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Business - Centre Sales Funnel" sheetId="1" r:id="rId5"/>
    <sheet state="hidden" name="Business - Lead Funnel " sheetId="2" r:id="rId6"/>
    <sheet state="visible" name="Business - Lead Funnel 1" sheetId="3" r:id="rId7"/>
    <sheet state="visible" name="Business - AdmissionRevenue" sheetId="4" r:id="rId8"/>
    <sheet state="visible" name="Service - Admissions Report" sheetId="5" r:id="rId9"/>
    <sheet state="visible" name="raw_data" sheetId="6" r:id="rId10"/>
    <sheet state="visible" name="collexo_data" sheetId="7" r:id="rId11"/>
    <sheet state="hidden" name="Jan 26" sheetId="8" r:id="rId12"/>
    <sheet state="hidden" name="Feb 26" sheetId="9" r:id="rId13"/>
    <sheet state="hidden" name="final" sheetId="10" r:id="rId14"/>
  </sheets>
  <definedNames>
    <definedName hidden="1" localSheetId="4" name="_xlnm._FilterDatabase">'Service - Admissions Report'!$A$2:$AF$1001</definedName>
  </definedNames>
  <calcPr/>
  <pivotCaches>
    <pivotCache cacheId="0" r:id="rId15"/>
  </pivotCaches>
</workbook>
</file>

<file path=xl/sharedStrings.xml><?xml version="1.0" encoding="utf-8"?>
<sst xmlns="http://schemas.openxmlformats.org/spreadsheetml/2006/main" count="793" uniqueCount="468">
  <si>
    <t>Overall Funnel</t>
  </si>
  <si>
    <t>Counsellor Name</t>
  </si>
  <si>
    <t>Team</t>
  </si>
  <si>
    <t>Untouched (Overall)</t>
  </si>
  <si>
    <t>Walk-ins (Overall)</t>
  </si>
  <si>
    <t>Cold Leads (Overall)</t>
  </si>
  <si>
    <t>Warm Leads(Overall)</t>
  </si>
  <si>
    <t>Interested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</si>
  <si>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</si>
  <si>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</si>
  <si>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</si>
  <si>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</si>
  <si>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</si>
  <si>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</si>
  <si>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</si>
  <si>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</si>
  <si>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</t>
  </si>
  <si>
    <t>Oct</t>
  </si>
  <si>
    <t>Nov</t>
  </si>
  <si>
    <t>Dec</t>
  </si>
  <si>
    <t>Enrolled
(Overall)</t>
  </si>
  <si>
    <t>Missbah</t>
  </si>
  <si>
    <t>Delhi</t>
  </si>
  <si>
    <t>Arju</t>
  </si>
  <si>
    <t>User Reg. Date</t>
  </si>
  <si>
    <t>Walk- in Date</t>
  </si>
  <si>
    <t>StudyIQ offline centre</t>
  </si>
  <si>
    <t>Lead Stage</t>
  </si>
  <si>
    <t>Interested Course</t>
  </si>
  <si>
    <t>Centre Name</t>
  </si>
  <si>
    <t>Walk-Ins</t>
  </si>
  <si>
    <t>Overall Walkin Split</t>
  </si>
  <si>
    <t>Leads</t>
  </si>
  <si>
    <t>Date</t>
  </si>
  <si>
    <t>Overall Walkin</t>
  </si>
  <si>
    <t>Primary Walkin</t>
  </si>
  <si>
    <t>Secondary Walkin</t>
  </si>
  <si>
    <t>GS Foundation</t>
  </si>
  <si>
    <t>Other Courses</t>
  </si>
  <si>
    <t>Inbound</t>
  </si>
  <si>
    <t>Paid campaign</t>
  </si>
  <si>
    <t>Website Leads</t>
  </si>
  <si>
    <t>External Leads</t>
  </si>
  <si>
    <t>YT</t>
  </si>
  <si>
    <t>Target</t>
  </si>
  <si>
    <t>Difference</t>
  </si>
  <si>
    <t>Total</t>
  </si>
  <si>
    <t xml:space="preserve">Date </t>
  </si>
  <si>
    <t>Not Interested</t>
  </si>
  <si>
    <t>Fake Lead</t>
  </si>
  <si>
    <t>Cold</t>
  </si>
  <si>
    <t>Warm</t>
  </si>
  <si>
    <t>Engaged</t>
  </si>
  <si>
    <t>Future Prospect</t>
  </si>
  <si>
    <t>Enrolled</t>
  </si>
  <si>
    <t>Revenue</t>
  </si>
  <si>
    <t>Walk-in</t>
  </si>
  <si>
    <t xml:space="preserve"> Walk-in Conversion Rate</t>
  </si>
  <si>
    <t>Enrollment Conversion Rate</t>
  </si>
  <si>
    <t>Overall SIQ</t>
  </si>
  <si>
    <t>Patna</t>
  </si>
  <si>
    <t>Lucknow</t>
  </si>
  <si>
    <t>Prayagraj</t>
  </si>
  <si>
    <t>Indore</t>
  </si>
  <si>
    <t>Prayaraj</t>
  </si>
  <si>
    <t>Admissions</t>
  </si>
  <si>
    <t>GS Admission
Target</t>
  </si>
  <si>
    <t>GS Admission
Achieved</t>
  </si>
  <si>
    <t>Other Admission
Target</t>
  </si>
  <si>
    <t>Other Admission
Achieved</t>
  </si>
  <si>
    <t>Revenue
Target</t>
  </si>
  <si>
    <t>GS Admission
Revenue</t>
  </si>
  <si>
    <t>Other Admission
Revenue</t>
  </si>
  <si>
    <t>UNIQUE ORDERS</t>
  </si>
  <si>
    <t>Center Name</t>
  </si>
  <si>
    <t>Total orders</t>
  </si>
  <si>
    <t>Total Revenue</t>
  </si>
  <si>
    <t>New Delhi</t>
  </si>
  <si>
    <t>From CRM</t>
  </si>
  <si>
    <t>Business Team</t>
  </si>
  <si>
    <t>SST Team</t>
  </si>
  <si>
    <t>Mentor Team</t>
  </si>
  <si>
    <t>Date of Enrollment</t>
  </si>
  <si>
    <t>Centre</t>
  </si>
  <si>
    <t>Name of Student</t>
  </si>
  <si>
    <t xml:space="preserve">Reg. Phone No. </t>
  </si>
  <si>
    <t>Course</t>
  </si>
  <si>
    <t>Email ID</t>
  </si>
  <si>
    <t>Course Detail Name</t>
  </si>
  <si>
    <t>Total Sale Value</t>
  </si>
  <si>
    <t>Amount Paid</t>
  </si>
  <si>
    <t>Course Activated</t>
  </si>
  <si>
    <t>First Call Done - SST</t>
  </si>
  <si>
    <t>First Message Sent</t>
  </si>
  <si>
    <t>Student Support 
Number 
Shared</t>
  </si>
  <si>
    <t>Whatassp Group Added</t>
  </si>
  <si>
    <t>Mentor Allocated</t>
  </si>
  <si>
    <t>Mentor Name</t>
  </si>
  <si>
    <t>Mentor's First Call done</t>
  </si>
  <si>
    <t>Mentor's FI Date</t>
  </si>
  <si>
    <t>LMS Downloaded</t>
  </si>
  <si>
    <t>Personalised 
Study Plan Made</t>
  </si>
  <si>
    <t>PSP - Date</t>
  </si>
  <si>
    <t>Progress 
Tracking Sheet 
Created</t>
  </si>
  <si>
    <t>PTS
Link</t>
  </si>
  <si>
    <t>email</t>
  </si>
  <si>
    <t>007gautamaryan@gmail.com</t>
  </si>
  <si>
    <t>20muskansharma0712@gmail.com</t>
  </si>
  <si>
    <t>23kartiksinghal@gmail.com</t>
  </si>
  <si>
    <t>33348swechchhapandey9c@gmail.com</t>
  </si>
  <si>
    <t>9170spandey@gmail.com</t>
  </si>
  <si>
    <t>9918313@gmail.com</t>
  </si>
  <si>
    <t>a3754586@gmail.com</t>
  </si>
  <si>
    <t>aashi25march@gmail.com</t>
  </si>
  <si>
    <t>Aayshag0@gmail.com</t>
  </si>
  <si>
    <t>aayuugoswami@gmail.com</t>
  </si>
  <si>
    <t>abbasnasirsyed73@gmail.com</t>
  </si>
  <si>
    <t>abdularij2007@gmail.com</t>
  </si>
  <si>
    <t>abhyuday9990@gmail.com</t>
  </si>
  <si>
    <t>acmachandan24@gmail.com</t>
  </si>
  <si>
    <t>addyaddy626595@gmail.com</t>
  </si>
  <si>
    <t>aditigulia9@gmail.com</t>
  </si>
  <si>
    <t>aditipatel45678@gmail.com</t>
  </si>
  <si>
    <t>aditisrivas14@gmail.com</t>
  </si>
  <si>
    <t>aditya2008du@gmail.com</t>
  </si>
  <si>
    <t>adityakr1901@gmail.com</t>
  </si>
  <si>
    <t>adityamodanwal56@gmail.com</t>
  </si>
  <si>
    <t>advgautamsingh1kbc@gmail.com</t>
  </si>
  <si>
    <t>adwikashukla16@gmail.com</t>
  </si>
  <si>
    <t>Afzalsiddiqui227@gmail.com</t>
  </si>
  <si>
    <t>agraharishriyansh05@gmail.com</t>
  </si>
  <si>
    <t>akashvaidwan123@gmail.com</t>
  </si>
  <si>
    <t>aksharaap0906@gmail.com</t>
  </si>
  <si>
    <t>alifarahman@gmail.com</t>
  </si>
  <si>
    <t>alishaahmad1814@gmal.com</t>
  </si>
  <si>
    <t>alok27269@gmail.com</t>
  </si>
  <si>
    <t>alokpratap226@gmail.com</t>
  </si>
  <si>
    <t>aman0800003@gmail.com</t>
  </si>
  <si>
    <t>amanlibro983@gmail.com</t>
  </si>
  <si>
    <t>amansunartiya09@gmail.com</t>
  </si>
  <si>
    <t>amishachoudhary956@gmail.com</t>
  </si>
  <si>
    <t>amitchakraborty2801@gmail.com</t>
  </si>
  <si>
    <t>anandsinghhpking@gmail.com</t>
  </si>
  <si>
    <t>anannyahazarika396@gmail.com</t>
  </si>
  <si>
    <t>anjjali28@gmail.com</t>
  </si>
  <si>
    <t>ankitasingh21102003@gmail.com</t>
  </si>
  <si>
    <t>ankitbhagat024@gmail.com</t>
  </si>
  <si>
    <t>ankitpandeysln2018@gmail.com</t>
  </si>
  <si>
    <t>anshikam224149@gmail.com</t>
  </si>
  <si>
    <t>anshukuntal41@gmail.com</t>
  </si>
  <si>
    <t>anugoyal2910@gmail.com</t>
  </si>
  <si>
    <t>anujbiswan03@gmail.com</t>
  </si>
  <si>
    <t>anurajsingh.0376@gmail.com</t>
  </si>
  <si>
    <t>anushkabankar529@gmail.com</t>
  </si>
  <si>
    <t>anushkachoubey56@gmail.com</t>
  </si>
  <si>
    <t>anuskaa0220@gmail.com</t>
  </si>
  <si>
    <t>apoorvaydv4959@gmail.com</t>
  </si>
  <si>
    <t>aqsaq9805@gmail.com</t>
  </si>
  <si>
    <t>aradhyaagrawal79872@gmail.com</t>
  </si>
  <si>
    <t>archananishi8955@gmail.com</t>
  </si>
  <si>
    <t>armankujur987@gmail.com</t>
  </si>
  <si>
    <t>armita1207s@gmail.com</t>
  </si>
  <si>
    <t>aryanstark2005@gmail.com</t>
  </si>
  <si>
    <t>aryanthapa2909@gmail.com</t>
  </si>
  <si>
    <t>aryanvats927@gmail.com</t>
  </si>
  <si>
    <t>ashwanig405@gmail.com</t>
  </si>
  <si>
    <t>ashwaniks1234@gmail.com</t>
  </si>
  <si>
    <t>Avinashkumarsoniias@gmail.com</t>
  </si>
  <si>
    <t>avnesh7471@gmail.com</t>
  </si>
  <si>
    <t>AYANGADYADAV638@GMAIL.COM</t>
  </si>
  <si>
    <t>ayushkumarahirwar877@gmail.com</t>
  </si>
  <si>
    <t>ayushprabhakar80@gmail.com</t>
  </si>
  <si>
    <t>ayushsrivastava556@gmail.com</t>
  </si>
  <si>
    <t>ayushtripathi2024@gmail.com</t>
  </si>
  <si>
    <t>Badelaltiwari003@gmail.com</t>
  </si>
  <si>
    <t>bajajbajaj2006@gmail.com</t>
  </si>
  <si>
    <t>bhalseayush777@gmail.com</t>
  </si>
  <si>
    <t>bhartiprajapati4691@gmail.com</t>
  </si>
  <si>
    <t>bhatiaabhinav964@gmail.com</t>
  </si>
  <si>
    <t>bidhalatasha@gmail.com</t>
  </si>
  <si>
    <t>buntyrathor007@gmail.com</t>
  </si>
  <si>
    <t>Chaudharyalinusrat@gmail.com</t>
  </si>
  <si>
    <t>chhavi01040@gmail.com</t>
  </si>
  <si>
    <t>chinthamavaneesh1704@gmail.com</t>
  </si>
  <si>
    <t>choudharymahimasays@gmail.com</t>
  </si>
  <si>
    <t>d14861381@gmail.com</t>
  </si>
  <si>
    <t>deekshap346@gmail.com</t>
  </si>
  <si>
    <t>deep32mishra@gmail.com</t>
  </si>
  <si>
    <t>deepakdhiman8004@gmail.com</t>
  </si>
  <si>
    <t>deependrathakur567@gmail.com</t>
  </si>
  <si>
    <t>deepeshattri@gmail.com</t>
  </si>
  <si>
    <t>devansh.nitbhopal@gmail.com</t>
  </si>
  <si>
    <t>DEVMANISAROJ9451@GMAIL.COM</t>
  </si>
  <si>
    <t>dg8010003@gmail.com</t>
  </si>
  <si>
    <t>dhimanak2004@gmail.com</t>
  </si>
  <si>
    <t>dipeekameda32.36@gmail.com</t>
  </si>
  <si>
    <t>divyanshdubey1605@gmail.com</t>
  </si>
  <si>
    <t>fahadmir1998@gmail.com</t>
  </si>
  <si>
    <t>falakjnp97@gmail.com</t>
  </si>
  <si>
    <t>fenrir.v@gmail.com</t>
  </si>
  <si>
    <t>fgdhjgkh@gmail.com</t>
  </si>
  <si>
    <t>galsinghsolanki40@gmail.com</t>
  </si>
  <si>
    <t>gauravbaliyan03022003@gmail.com</t>
  </si>
  <si>
    <t>gauravsinghsiwan8800@gmail.com</t>
  </si>
  <si>
    <t>gauravyd2095@gmail.com</t>
  </si>
  <si>
    <t>gautampoonam468@gmail.com</t>
  </si>
  <si>
    <t>gautmisingh04@gmail.com</t>
  </si>
  <si>
    <t>girwalmansi2004@gmail.com</t>
  </si>
  <si>
    <t>gitendradewangan7@gmail.com</t>
  </si>
  <si>
    <t>goldyychaudharyy51@gmail.com</t>
  </si>
  <si>
    <t>grajagraja0987@gmail.com</t>
  </si>
  <si>
    <t>gurjarkhushi7963@gmail.com</t>
  </si>
  <si>
    <t>Gyan94422@gmail.com</t>
  </si>
  <si>
    <t>gyanu14315052002@gmail.com</t>
  </si>
  <si>
    <t>hansdaboy12@gmail.com</t>
  </si>
  <si>
    <t>hardikuttreja@gmail.com</t>
  </si>
  <si>
    <t>hari8318651390@gmail.com</t>
  </si>
  <si>
    <t>harshitarai7272@gmail.com</t>
  </si>
  <si>
    <t>harshitsrivastav0001@gmail.com</t>
  </si>
  <si>
    <t>hemantsingh203203@gmail.com</t>
  </si>
  <si>
    <t>hraj42331@gmail.com</t>
  </si>
  <si>
    <t>hridaykushwaha50@gmail.com</t>
  </si>
  <si>
    <t>humeshdiwan2003@gmail.com</t>
  </si>
  <si>
    <t>impreeti2005@gmail.com</t>
  </si>
  <si>
    <t>indrajeet821145@gmail.com</t>
  </si>
  <si>
    <t>ishapathak8@gmail.com</t>
  </si>
  <si>
    <t>Jadonkajal@gmail.com</t>
  </si>
  <si>
    <t>jahanviikashyap17@gmail.com</t>
  </si>
  <si>
    <t>jainkanchi678@gmail.com</t>
  </si>
  <si>
    <t>jamresachin584@gmail.com</t>
  </si>
  <si>
    <t>jawaharuikey1671@gmail.com</t>
  </si>
  <si>
    <t>jaykantsinha123@gmail.com</t>
  </si>
  <si>
    <t>jaykumarb931@gmail.com</t>
  </si>
  <si>
    <t>jbsonkar143@gmail.com</t>
  </si>
  <si>
    <t>jeetaryan20866@gmail.com</t>
  </si>
  <si>
    <t>jhakshama15@gmail.com</t>
  </si>
  <si>
    <t>jjessicasingh1@gmail.com</t>
  </si>
  <si>
    <t>jupadhyaya058@gmail.com</t>
  </si>
  <si>
    <t>kajalkumariabhis@gmail.com</t>
  </si>
  <si>
    <t>kalayidenim@gmail.com</t>
  </si>
  <si>
    <t>kalpananishad101@gmail.com</t>
  </si>
  <si>
    <t>kartiksharma98224@gmail.com</t>
  </si>
  <si>
    <t>kashishguru12345@gmail.com</t>
  </si>
  <si>
    <t>Kashyapshreyansh53@gmail.com</t>
  </si>
  <si>
    <t>keshrisanya53@gmail.com</t>
  </si>
  <si>
    <t>kg082051@gmail.com</t>
  </si>
  <si>
    <t>khushboochouhan63758@gmail.com</t>
  </si>
  <si>
    <t>khushbujasavat20@gmail.com</t>
  </si>
  <si>
    <t>khushidnmps1608@gmail.com</t>
  </si>
  <si>
    <t>khushimaurya8473@gmail.com</t>
  </si>
  <si>
    <t>kinkarkkumarpandey@gmail.com</t>
  </si>
  <si>
    <t>kisansingh4840@gmail.com</t>
  </si>
  <si>
    <t>kishankumarsaroj528@gmail.com</t>
  </si>
  <si>
    <t>komal.pandey8178@gmail.com</t>
  </si>
  <si>
    <t>komalvishwakarma383@gmail.com</t>
  </si>
  <si>
    <t>krishnabijoy2000@gmail.com</t>
  </si>
  <si>
    <t>krpiyushmaurya@gmail.com</t>
  </si>
  <si>
    <t>ks1965532@gmail.com</t>
  </si>
  <si>
    <t>ks4172665@gmail.com</t>
  </si>
  <si>
    <t>kuldeeprajpoot9448@gmail.com</t>
  </si>
  <si>
    <t>kumaranand45615@gmail.com</t>
  </si>
  <si>
    <t>kumarasalbd@gmail.com</t>
  </si>
  <si>
    <t>kumarashutoshyadav4567@gmail.com</t>
  </si>
  <si>
    <t>kumarbindashutosh05@gmail.com</t>
  </si>
  <si>
    <t>kumarprince33899@gmail.com</t>
  </si>
  <si>
    <t>kumarsetu16.ka@gmail.com</t>
  </si>
  <si>
    <t>kushikumari@gmail.com</t>
  </si>
  <si>
    <t>kushwahsuraj17@gmail.com</t>
  </si>
  <si>
    <t>lakshayrana1406@gmail.com</t>
  </si>
  <si>
    <t>lakshmikumari98168@gmail.com</t>
  </si>
  <si>
    <t>lakshya.guptaforwork@gmail.com</t>
  </si>
  <si>
    <t>lavanyachoudhary928@gmail.com</t>
  </si>
  <si>
    <t>lokesh2129verma@gmail.com</t>
  </si>
  <si>
    <t>lugloadvedant@gmail.com</t>
  </si>
  <si>
    <t>mandavisinghgharwarbarokhar@gmail.com</t>
  </si>
  <si>
    <t>manishmaurya1772@gmail.com</t>
  </si>
  <si>
    <t>manjeekumar3198@gmail.com</t>
  </si>
  <si>
    <t>masterabhisheksingh02@gmail.com</t>
  </si>
  <si>
    <t>mbhavna078@gmail.com</t>
  </si>
  <si>
    <t>mdhaseena1004@gmail.com</t>
  </si>
  <si>
    <t>metier18@gmail.com</t>
  </si>
  <si>
    <t>Mithlish704@gmail.com</t>
  </si>
  <si>
    <t>mridulporush30@gmail.com</t>
  </si>
  <si>
    <t>mushairakhan6@gmail.com</t>
  </si>
  <si>
    <t>muskanbehl05@gmail.com</t>
  </si>
  <si>
    <t>muskanverma9450@gmail.com</t>
  </si>
  <si>
    <t>nagsoham31@gmail.com</t>
  </si>
  <si>
    <t>naincyofficial5@gmail.com</t>
  </si>
  <si>
    <t>namiagrahari19@gmail.com</t>
  </si>
  <si>
    <t>namishkarajput8d@gmail.com</t>
  </si>
  <si>
    <t>namritasingh1304@gmail.com</t>
  </si>
  <si>
    <t>nandmishra2211@gmail.com</t>
  </si>
  <si>
    <t>naoremp43@gmail.com</t>
  </si>
  <si>
    <t>nayaknivedita2@gmail.com</t>
  </si>
  <si>
    <t>NEETUGUPTA7617@GMAIL.COM</t>
  </si>
  <si>
    <t>neha1174622@gmail.com</t>
  </si>
  <si>
    <t>nehasoni080624@gmail.com</t>
  </si>
  <si>
    <t>nehayv.4888@gmail.com</t>
  </si>
  <si>
    <t>nidhi8960122938@gmail.com</t>
  </si>
  <si>
    <t>nikitabhartiya@gmail.com</t>
  </si>
  <si>
    <t>nileshyadav8765@gmail.com</t>
  </si>
  <si>
    <t>nishakotra2006@gmail.com</t>
  </si>
  <si>
    <t>nisharaj3432@gmail.com</t>
  </si>
  <si>
    <t>nisharajakgurniya.2007@gmail.com</t>
  </si>
  <si>
    <t>nitish3671@gmail.com</t>
  </si>
  <si>
    <t>nitzsha4@gmail.com</t>
  </si>
  <si>
    <t>nizammonitor@gmail.com</t>
  </si>
  <si>
    <t>nntakalkar2229@gmail.com</t>
  </si>
  <si>
    <t>noorsharma0410@gmail.com</t>
  </si>
  <si>
    <t>nowaidbrma123@gmail.com</t>
  </si>
  <si>
    <t>ny68525@gmail.com</t>
  </si>
  <si>
    <t>omm48756@gmail.com</t>
  </si>
  <si>
    <t>onlineneha123321@gmail.com</t>
  </si>
  <si>
    <t>pariharrakshita23@gmail.com</t>
  </si>
  <si>
    <t>patidarreena291@gmail.com</t>
  </si>
  <si>
    <t>pawank34550@gmail.com</t>
  </si>
  <si>
    <t>pawarpurnesh@gmail.com</t>
  </si>
  <si>
    <t>Pihu.kashyappppp@gmail.com</t>
  </si>
  <si>
    <t>pihukr2007@gmail.com</t>
  </si>
  <si>
    <t>piyushchouhan2593@gmail.com</t>
  </si>
  <si>
    <t>pkkumarbc@gmail.com</t>
  </si>
  <si>
    <t>prajapatianand9999@gmail.com</t>
  </si>
  <si>
    <t>prajapatmohit372@gmail.com</t>
  </si>
  <si>
    <t>Pranshustp041@gmail.com</t>
  </si>
  <si>
    <t>prarthanajat4@gmail.com</t>
  </si>
  <si>
    <t>prateektiwarinps9800@gmail.com</t>
  </si>
  <si>
    <t>prathmesh.archan@gmail.com</t>
  </si>
  <si>
    <t>prathvi2515@gmail.com</t>
  </si>
  <si>
    <t>pratibharao080@gmail.com</t>
  </si>
  <si>
    <t>pratishtharasaily@gmail.com</t>
  </si>
  <si>
    <t>princesinghrajawat200@gmail.com</t>
  </si>
  <si>
    <t>princessbrd7@gmail.com</t>
  </si>
  <si>
    <t>princesschoudhary847@gmail.com</t>
  </si>
  <si>
    <t>priyamsoni210@gmail.com</t>
  </si>
  <si>
    <t>priyankakaimur1@gmail.com</t>
  </si>
  <si>
    <t>priyasingh28317@gmail.com</t>
  </si>
  <si>
    <t>purnimakeshwarwani1@gmail.com</t>
  </si>
  <si>
    <t>raghvendraraj8080@gmail.com</t>
  </si>
  <si>
    <t>raja@gmail.com</t>
  </si>
  <si>
    <t>rajankitttttt1405@gmail.com</t>
  </si>
  <si>
    <t>rajeshkumarmaurya85@yahoo.com</t>
  </si>
  <si>
    <t>rajkumar91296349@gmail.com</t>
  </si>
  <si>
    <t>rakhisankhla799@gmail.com</t>
  </si>
  <si>
    <t>rakshandabusiness3@gmail.com</t>
  </si>
  <si>
    <t>raniverma107200@gmail.com</t>
  </si>
  <si>
    <t>ranjit221715@mail.com</t>
  </si>
  <si>
    <t>rashishy1@gmail.com</t>
  </si>
  <si>
    <t>rimjhim238@gmail.com</t>
  </si>
  <si>
    <t>Rishavyadav@gmail.com</t>
  </si>
  <si>
    <t>ritikadalal0216@gmail.com</t>
  </si>
  <si>
    <t>ritiktiwa1999@gmail.com</t>
  </si>
  <si>
    <t>rituraj664@gmail.com</t>
  </si>
  <si>
    <t>rks12122001@gmail.com</t>
  </si>
  <si>
    <t>robinsinghjee@gmail.com</t>
  </si>
  <si>
    <t>rohit8210378599@gmail.com</t>
  </si>
  <si>
    <t>rohitkumarvijayk@gmail.com</t>
  </si>
  <si>
    <t>rohitmore4300@gmail.com</t>
  </si>
  <si>
    <t>roshni2007tiwari.05@gmail.com</t>
  </si>
  <si>
    <t>rupamaddheshiya01@gmail.com</t>
  </si>
  <si>
    <t>s.chaitali1009@gmail.com</t>
  </si>
  <si>
    <t>sachinkushwah3256@gmail.com</t>
  </si>
  <si>
    <t>sahilmeher229@gmail.com</t>
  </si>
  <si>
    <t>Saimamasoodalam@gmail.com</t>
  </si>
  <si>
    <t>sakimaurya0806@gmail.com</t>
  </si>
  <si>
    <t>sakshi04252218@gmail.com</t>
  </si>
  <si>
    <t>salameambika9@gmail.com</t>
  </si>
  <si>
    <t>salonityagi340@gmail.com</t>
  </si>
  <si>
    <t>samarthsengar01@gmail.com</t>
  </si>
  <si>
    <t>sandeeprichasaurabh@gmai.com</t>
  </si>
  <si>
    <t>sanginijalota242@gmail.com</t>
  </si>
  <si>
    <t>sanjanshrirao27@gmail.com</t>
  </si>
  <si>
    <t>sanketshukriya2630@gmail.com</t>
  </si>
  <si>
    <t>sanojkumar0378@gmail.com</t>
  </si>
  <si>
    <t>sarmah.rishiraj01@gmail.com</t>
  </si>
  <si>
    <t>satishvishwakarma1913199@gmail.com</t>
  </si>
  <si>
    <t>saurabh9990k@gmail.com</t>
  </si>
  <si>
    <t>sb1409948@gmail.com</t>
  </si>
  <si>
    <t>sdpatel9839@gmail.com</t>
  </si>
  <si>
    <t>shantoshpandey43@gmail.com</t>
  </si>
  <si>
    <t>shanukumar7761@gmail.com</t>
  </si>
  <si>
    <t>shiki_mig25@gmail.com</t>
  </si>
  <si>
    <t>shivam70265@gmail.com</t>
  </si>
  <si>
    <t>shivam98485@gmail.com</t>
  </si>
  <si>
    <t>shivangisingh5902@gmail.com</t>
  </si>
  <si>
    <t>shivanikrishan123456@gmail.com</t>
  </si>
  <si>
    <t>shivshankarjaiswal102@gmail.com</t>
  </si>
  <si>
    <t>shourypratap8@gmail.com</t>
  </si>
  <si>
    <t>shreyaharwai35@gmail.com</t>
  </si>
  <si>
    <t>shreyakushwaha0105@gmail.com</t>
  </si>
  <si>
    <t>shreyanagar56@gmail.com</t>
  </si>
  <si>
    <t>shriramc758@gmail.com</t>
  </si>
  <si>
    <t>shuklarunak19@gmail.com</t>
  </si>
  <si>
    <t>shuklavyomax@gmail.com</t>
  </si>
  <si>
    <t>shweta252jha@gmail.com</t>
  </si>
  <si>
    <t>shwetawin25@gmail.com</t>
  </si>
  <si>
    <t>sindoor2020@gmail.com</t>
  </si>
  <si>
    <t>singhchetan151295@gmail.com</t>
  </si>
  <si>
    <t>singhharshita76@gmail.com</t>
  </si>
  <si>
    <t>singhhrijul@gmail.com</t>
  </si>
  <si>
    <t>sl3590833@gmail.com</t>
  </si>
  <si>
    <t>smillingsatyam5284@gmail.com</t>
  </si>
  <si>
    <t>smruthiranjan03@gmail.com</t>
  </si>
  <si>
    <t>snehakori2016@gmail.com</t>
  </si>
  <si>
    <t>snghprithviraj631@gmail.com</t>
  </si>
  <si>
    <t>someshpandey89611@gmail.com</t>
  </si>
  <si>
    <t>sonamrani98355@gmail.com</t>
  </si>
  <si>
    <t>Sonukumar912217@gmail.com</t>
  </si>
  <si>
    <t>sorabhsolankisorabhsolanki1217@gmail.com</t>
  </si>
  <si>
    <t>sp7954364@gmail.com</t>
  </si>
  <si>
    <t>sram68608@gmail.com</t>
  </si>
  <si>
    <t>srinathnishad6@gmail.com</t>
  </si>
  <si>
    <t>stopwastingtime770@gmail.com</t>
  </si>
  <si>
    <t>sudha.rani12627272@gmail.com</t>
  </si>
  <si>
    <t>suhanashah256@gmail.com</t>
  </si>
  <si>
    <t>suhanikumarimauryaprofessor@gmail.com</t>
  </si>
  <si>
    <t>SunainaKumari@gmail.com</t>
  </si>
  <si>
    <t>sushilgolumaurya5555@gmail.com</t>
  </si>
  <si>
    <t>sushilmaurya7379@gmail.com</t>
  </si>
  <si>
    <t>swarnaavula2@gmail.com</t>
  </si>
  <si>
    <t>swetakushwah58@gmail.com</t>
  </si>
  <si>
    <t>sy8840381490@gmail.com</t>
  </si>
  <si>
    <t>syedrushda1@gmail.com</t>
  </si>
  <si>
    <t>taigorsatendra806@gmail.com</t>
  </si>
  <si>
    <t>tanishaverma047@gmail.com</t>
  </si>
  <si>
    <t>Tanmay8508@gmail.com</t>
  </si>
  <si>
    <t>tanmaysolanki008@gmail.com</t>
  </si>
  <si>
    <t>tanupriyanisha3117@gmail.com</t>
  </si>
  <si>
    <t>tarun9950214514@gmail.com</t>
  </si>
  <si>
    <t>tdhkrishnagupta11@gmail.com</t>
  </si>
  <si>
    <t>tengchangdshira@gmail.com</t>
  </si>
  <si>
    <t>thecipher0001@gmail.com</t>
  </si>
  <si>
    <t>tiger009vip@gmail.com</t>
  </si>
  <si>
    <t>tiwarishivank778@gmail.com</t>
  </si>
  <si>
    <t>trendwithmanish@gmail.com</t>
  </si>
  <si>
    <t>tripathiakanksha1530@gmail.com</t>
  </si>
  <si>
    <t>tripathishwetank5@gmail.com</t>
  </si>
  <si>
    <t>ujjwal.yadav.2414@gmail.com</t>
  </si>
  <si>
    <t>utsavumang75@gmail.com</t>
  </si>
  <si>
    <t>vaibhavyadav10052005@gmail.com</t>
  </si>
  <si>
    <t>vaishnabimahata@gmail.com</t>
  </si>
  <si>
    <t>vansh666806@gmail.com</t>
  </si>
  <si>
    <t>varsharaj076@gmail.com</t>
  </si>
  <si>
    <t>Varunbarman2003@gmail.com</t>
  </si>
  <si>
    <t>varunpandey79@gmail.com</t>
  </si>
  <si>
    <t>vetdevduvasu@gmail.com</t>
  </si>
  <si>
    <t>vibhutibharti5555@gmail.com</t>
  </si>
  <si>
    <t>vijayprakash4549@gmail.com</t>
  </si>
  <si>
    <t>vinayaksingh1556698@gmail.com</t>
  </si>
  <si>
    <t>vishakhasinghyadav00@gmail.com</t>
  </si>
  <si>
    <t>vishalthavliya2@gmail.com</t>
  </si>
  <si>
    <t>vivekkajla168@gmail.com</t>
  </si>
  <si>
    <t>vivkyyadav33855@gmail.com</t>
  </si>
  <si>
    <t>vs8473676@gmail.com</t>
  </si>
  <si>
    <t>vsbadghare2007@gmail.com</t>
  </si>
  <si>
    <t>xcluzive.ai@gmail.com</t>
  </si>
  <si>
    <t>yadavvedansh07@gmail.com</t>
  </si>
  <si>
    <t>yashrajs9700@gmail.com</t>
  </si>
  <si>
    <t>yv5895774@gmail.com</t>
  </si>
  <si>
    <t>zuhaibgujjar69@gmai.com</t>
  </si>
  <si>
    <t>website_leads</t>
  </si>
  <si>
    <t>publisher_wise_leads</t>
  </si>
  <si>
    <t>Overall</t>
  </si>
  <si>
    <t>Secondary Walk-in</t>
  </si>
  <si>
    <t>Paid Campaign</t>
  </si>
  <si>
    <t>GS foundation</t>
  </si>
  <si>
    <t>Intersed course</t>
  </si>
  <si>
    <t>otherd</t>
  </si>
  <si>
    <t>Overall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</si>
</sst>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&quot;-&quot;mmm&quot;-&quot;yyyy"/>
    <numFmt numFmtId="165" formatCode="dd/MM/yyyy"/>
    <numFmt numFmtId="166" formatCode="yyyy-mm-dd"/>
    <numFmt numFmtId="167" formatCode="dd&quot;/&quot;mm&quot;/&quot;yyyy"/>
    <numFmt numFmtId="168" formatCode="d-mmmm-yyyy"/>
    <numFmt numFmtId="169" formatCode="dd-mmmm-yyyy"/>
    <numFmt numFmtId="170" formatCode="mm/dd/yy"/>
    <numFmt numFmtId="171" formatCode="d-m-yyyy"/>
    <numFmt numFmtId="172" formatCode="d-mm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Roboto"/>
    </font>
    <font>
      <color theme="1"/>
      <name val="Roboto"/>
    </font>
    <font/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sz val="10.0"/>
      <color theme="1"/>
      <name val="Roboto"/>
    </font>
    <font>
      <u/>
      <color rgb="FF0000FF"/>
    </font>
  </fonts>
  <fills count="16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274E13"/>
        <bgColor rgb="FF274E1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FF0000"/>
      </left>
      <top style="medium">
        <color rgb="FFFF0000"/>
      </top>
      <bottom style="medium">
        <color rgb="FFFF0000"/>
      </bottom>
    </border>
    <border>
      <top style="medium">
        <color rgb="FFFF0000"/>
      </top>
      <bottom style="medium">
        <color rgb="FFFF0000"/>
      </bottom>
    </border>
    <border>
      <right style="medium">
        <color rgb="FFFF0000"/>
      </right>
      <top style="medium">
        <color rgb="FFFF0000"/>
      </top>
      <bottom style="medium">
        <color rgb="FFFF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medium">
        <color rgb="FFFF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medium">
        <color rgb="FFFF0000"/>
      </right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3" fillId="2" fontId="1" numFmtId="0" xfId="0" applyAlignment="1" applyBorder="1" applyFont="1">
      <alignment horizontal="center" readingOrder="0" shrinkToFit="0" vertical="center" wrapText="1"/>
    </xf>
    <xf borderId="3" fillId="3" fontId="1" numFmtId="0" xfId="0" applyAlignment="1" applyBorder="1" applyFill="1" applyFont="1">
      <alignment horizontal="center" readingOrder="0" shrinkToFit="0" vertical="center" wrapText="1"/>
    </xf>
    <xf borderId="3" fillId="4" fontId="1" numFmtId="0" xfId="0" applyAlignment="1" applyBorder="1" applyFill="1" applyFont="1">
      <alignment horizontal="center" readingOrder="0" shrinkToFit="0" vertical="center" wrapText="1"/>
    </xf>
    <xf borderId="3" fillId="5" fontId="1" numFmtId="0" xfId="0" applyAlignment="1" applyBorder="1" applyFill="1" applyFont="1">
      <alignment horizontal="center" readingOrder="0" shrinkToFit="0" vertical="center" wrapText="1"/>
    </xf>
    <xf borderId="4" fillId="5" fontId="1" numFmtId="0" xfId="0" applyAlignment="1" applyBorder="1" applyFont="1">
      <alignment horizontal="center" readingOrder="0" shrinkToFit="0" vertical="center" wrapText="1"/>
    </xf>
    <xf borderId="3" fillId="6" fontId="1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shrinkToFit="0" vertical="center" wrapText="1"/>
    </xf>
    <xf borderId="0" fillId="7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2" fillId="3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2" fillId="9" fontId="2" numFmtId="0" xfId="0" applyAlignment="1" applyBorder="1" applyFill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2" fillId="10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8" fontId="2" numFmtId="0" xfId="0" applyAlignment="1" applyBorder="1" applyFont="1">
      <alignment horizontal="center" readingOrder="0" shrinkToFit="0" vertical="center" wrapText="1"/>
    </xf>
    <xf borderId="1" fillId="1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5" fillId="0" fontId="1" numFmtId="0" xfId="0" applyBorder="1" applyFont="1"/>
    <xf borderId="0" fillId="0" fontId="2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8" fontId="2" numFmtId="0" xfId="0" applyAlignment="1" applyBorder="1" applyFont="1">
      <alignment horizontal="center" vertical="center"/>
    </xf>
    <xf borderId="0" fillId="9" fontId="2" numFmtId="0" xfId="0" applyAlignment="1" applyFont="1">
      <alignment horizontal="center" readingOrder="0" vertical="center"/>
    </xf>
    <xf borderId="0" fillId="9" fontId="2" numFmtId="165" xfId="0" applyAlignment="1" applyFont="1" applyNumberForma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" numFmtId="10" xfId="0" applyAlignment="1" applyFont="1" applyNumberFormat="1">
      <alignment horizont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6" fillId="0" fontId="5" numFmtId="0" xfId="0" applyAlignment="1" applyBorder="1" applyFont="1">
      <alignment horizontal="center" readingOrder="0"/>
    </xf>
    <xf borderId="7" fillId="0" fontId="4" numFmtId="0" xfId="0" applyBorder="1" applyFont="1"/>
    <xf borderId="8" fillId="0" fontId="4" numFmtId="0" xfId="0" applyBorder="1" applyFont="1"/>
    <xf borderId="6" fillId="0" fontId="6" numFmtId="0" xfId="0" applyAlignment="1" applyBorder="1" applyFont="1">
      <alignment horizontal="center" readingOrder="0" vertical="bottom"/>
    </xf>
    <xf borderId="9" fillId="3" fontId="3" numFmtId="0" xfId="0" applyAlignment="1" applyBorder="1" applyFont="1">
      <alignment horizontal="center" readingOrder="0" vertical="center"/>
    </xf>
    <xf borderId="10" fillId="0" fontId="4" numFmtId="0" xfId="0" applyBorder="1" applyFont="1"/>
    <xf borderId="9" fillId="9" fontId="2" numFmtId="0" xfId="0" applyAlignment="1" applyBorder="1" applyFont="1">
      <alignment horizontal="center" readingOrder="0" vertical="center"/>
    </xf>
    <xf borderId="9" fillId="10" fontId="3" numFmtId="0" xfId="0" applyAlignment="1" applyBorder="1" applyFont="1">
      <alignment horizontal="center" readingOrder="0" vertical="center"/>
    </xf>
    <xf borderId="11" fillId="0" fontId="4" numFmtId="0" xfId="0" applyBorder="1" applyFont="1"/>
    <xf borderId="0" fillId="0" fontId="7" numFmtId="0" xfId="0" applyFont="1"/>
    <xf borderId="9" fillId="3" fontId="3" numFmtId="0" xfId="0" applyAlignment="1" applyBorder="1" applyFont="1">
      <alignment horizontal="center"/>
    </xf>
    <xf borderId="9" fillId="9" fontId="2" numFmtId="0" xfId="0" applyAlignment="1" applyBorder="1" applyFont="1">
      <alignment horizontal="center"/>
    </xf>
    <xf borderId="9" fillId="10" fontId="3" numFmtId="0" xfId="0" applyAlignment="1" applyBorder="1" applyFont="1">
      <alignment horizontal="center"/>
    </xf>
    <xf borderId="12" fillId="1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10" fontId="2" numFmtId="0" xfId="0" applyAlignment="1" applyBorder="1" applyFont="1">
      <alignment horizontal="center" shrinkToFit="0" wrapText="1"/>
    </xf>
    <xf borderId="12" fillId="10" fontId="2" numFmtId="0" xfId="0" applyAlignment="1" applyBorder="1" applyFont="1">
      <alignment horizontal="center" shrinkToFit="0" wrapText="1"/>
    </xf>
    <xf borderId="1" fillId="0" fontId="1" numFmtId="0" xfId="0" applyBorder="1" applyFont="1"/>
    <xf borderId="12" fillId="0" fontId="1" numFmtId="0" xfId="0" applyBorder="1" applyFont="1"/>
    <xf borderId="4" fillId="0" fontId="1" numFmtId="0" xfId="0" applyBorder="1" applyFont="1"/>
    <xf borderId="4" fillId="0" fontId="7" numFmtId="0" xfId="0" applyAlignment="1" applyBorder="1" applyFont="1">
      <alignment vertical="bottom"/>
    </xf>
    <xf borderId="1" fillId="0" fontId="7" numFmtId="0" xfId="0" applyAlignment="1" applyBorder="1" applyFont="1">
      <alignment vertical="bottom"/>
    </xf>
    <xf borderId="12" fillId="0" fontId="7" numFmtId="0" xfId="0" applyAlignment="1" applyBorder="1" applyFont="1">
      <alignment vertical="bottom"/>
    </xf>
    <xf borderId="1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 vertical="center"/>
    </xf>
    <xf borderId="13" fillId="0" fontId="3" numFmtId="0" xfId="0" applyAlignment="1" applyBorder="1" applyFont="1">
      <alignment horizontal="center" vertical="center"/>
    </xf>
    <xf borderId="14" fillId="0" fontId="1" numFmtId="0" xfId="0" applyBorder="1" applyFont="1"/>
    <xf borderId="0" fillId="0" fontId="3" numFmtId="0" xfId="0" applyAlignment="1" applyFont="1">
      <alignment horizontal="center"/>
    </xf>
    <xf borderId="14" fillId="0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5" fillId="0" fontId="2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/>
    </xf>
    <xf borderId="2" fillId="7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9" fillId="10" fontId="2" numFmtId="0" xfId="0" applyAlignment="1" applyBorder="1" applyFont="1">
      <alignment horizontal="center" readingOrder="0" shrinkToFit="0" vertical="center" wrapText="1"/>
    </xf>
    <xf borderId="9" fillId="10" fontId="2" numFmtId="0" xfId="0" applyAlignment="1" applyBorder="1" applyFont="1">
      <alignment horizontal="center" readingOrder="0" vertical="center"/>
    </xf>
    <xf borderId="11" fillId="10" fontId="2" numFmtId="0" xfId="0" applyAlignment="1" applyBorder="1" applyFont="1">
      <alignment horizontal="center" readingOrder="0" shrinkToFit="0" vertical="center" wrapText="1"/>
    </xf>
    <xf borderId="1" fillId="9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vertical="center"/>
    </xf>
    <xf borderId="12" fillId="3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shrinkToFit="0" vertical="center" wrapText="1"/>
    </xf>
    <xf borderId="12" fillId="0" fontId="3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2" fillId="0" fontId="3" numFmtId="3" xfId="0" applyAlignment="1" applyBorder="1" applyFont="1" applyNumberFormat="1">
      <alignment horizontal="center" vertical="center"/>
    </xf>
    <xf borderId="4" fillId="0" fontId="3" numFmtId="3" xfId="0" applyAlignment="1" applyBorder="1" applyFont="1" applyNumberFormat="1">
      <alignment horizontal="center" vertical="center"/>
    </xf>
    <xf borderId="1" fillId="0" fontId="2" numFmtId="3" xfId="0" applyAlignment="1" applyBorder="1" applyFont="1" applyNumberFormat="1">
      <alignment horizontal="center" vertical="center"/>
    </xf>
    <xf borderId="12" fillId="0" fontId="2" numFmtId="3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3" xfId="0" applyAlignment="1" applyBorder="1" applyFont="1" applyNumberFormat="1">
      <alignment horizontal="center" vertical="center"/>
    </xf>
    <xf borderId="14" fillId="0" fontId="3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readingOrder="0" vertical="center"/>
    </xf>
    <xf borderId="0" fillId="0" fontId="2" numFmtId="3" xfId="0" applyAlignment="1" applyFont="1" applyNumberFormat="1">
      <alignment horizontal="center" vertical="center"/>
    </xf>
    <xf borderId="0" fillId="11" fontId="8" numFmtId="0" xfId="0" applyAlignment="1" applyFill="1" applyFont="1">
      <alignment horizontal="left" readingOrder="0" shrinkToFit="0" vertical="center" wrapText="1"/>
    </xf>
    <xf borderId="0" fillId="11" fontId="8" numFmtId="0" xfId="0" applyAlignment="1" applyFont="1">
      <alignment horizontal="center" readingOrder="0" shrinkToFit="0" vertical="center" wrapText="1"/>
    </xf>
    <xf borderId="0" fillId="9" fontId="8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readingOrder="0" shrinkToFit="0" vertical="center" wrapText="1"/>
    </xf>
    <xf borderId="0" fillId="12" fontId="8" numFmtId="0" xfId="0" applyAlignment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11" fontId="8" numFmtId="0" xfId="0" applyAlignment="1" applyFont="1">
      <alignment horizontal="center" readingOrder="0" shrinkToFit="0" vertical="center" wrapText="0"/>
    </xf>
    <xf borderId="0" fillId="13" fontId="8" numFmtId="0" xfId="0" applyAlignment="1" applyFill="1" applyFont="1">
      <alignment horizontal="left" shrinkToFit="0" vertical="center" wrapText="1"/>
    </xf>
    <xf borderId="0" fillId="13" fontId="8" numFmtId="0" xfId="0" applyAlignment="1" applyFont="1">
      <alignment horizontal="center" shrinkToFit="0" vertical="center" wrapText="1"/>
    </xf>
    <xf borderId="0" fillId="13" fontId="8" numFmtId="0" xfId="0" applyAlignment="1" applyFont="1">
      <alignment horizontal="center" shrinkToFit="0" vertical="center" wrapText="0"/>
    </xf>
    <xf borderId="0" fillId="13" fontId="8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8" numFmtId="167" xfId="0" applyAlignment="1" applyFont="1" applyNumberFormat="1">
      <alignment horizontal="center" shrinkToFit="0" vertical="center" wrapText="1"/>
    </xf>
    <xf borderId="0" fillId="0" fontId="1" numFmtId="0" xfId="0" applyFont="1"/>
    <xf borderId="0" fillId="14" fontId="5" numFmtId="0" xfId="0" applyAlignment="1" applyFill="1" applyFont="1">
      <alignment readingOrder="0"/>
    </xf>
    <xf borderId="0" fillId="0" fontId="1" numFmtId="168" xfId="0" applyFont="1" applyNumberFormat="1"/>
    <xf borderId="0" fillId="0" fontId="1" numFmtId="0" xfId="0" applyFont="1"/>
    <xf borderId="0" fillId="0" fontId="1" numFmtId="167" xfId="0" applyFont="1" applyNumberFormat="1"/>
    <xf borderId="0" fillId="0" fontId="1" numFmtId="169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9" numFmtId="0" xfId="0" applyFont="1"/>
    <xf borderId="0" fillId="0" fontId="1" numFmtId="170" xfId="0" applyFont="1" applyNumberFormat="1"/>
    <xf borderId="1" fillId="9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/>
    </xf>
    <xf borderId="1" fillId="0" fontId="5" numFmtId="164" xfId="0" applyAlignment="1" applyBorder="1" applyFont="1" applyNumberFormat="1">
      <alignment horizontal="center" readingOrder="0"/>
    </xf>
    <xf borderId="0" fillId="0" fontId="1" numFmtId="171" xfId="0" applyAlignment="1" applyFont="1" applyNumberFormat="1">
      <alignment horizontal="center" readingOrder="0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1" numFmtId="172" xfId="0" applyAlignment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0" fillId="15" fontId="5" numFmtId="0" xfId="0" applyAlignment="1" applyFill="1" applyFont="1">
      <alignment horizontal="center" readingOrder="0" shrinkToFit="0" vertical="center" wrapText="1"/>
    </xf>
    <xf borderId="0" fillId="15" fontId="5" numFmtId="0" xfId="0" applyAlignment="1" applyFont="1">
      <alignment horizontal="center" readingOrder="0"/>
    </xf>
    <xf borderId="0" fillId="15" fontId="5" numFmtId="164" xfId="0" applyAlignment="1" applyFont="1" applyNumberFormat="1">
      <alignment horizontal="center" readingOrder="0"/>
    </xf>
    <xf borderId="0" fillId="15" fontId="1" numFmtId="0" xfId="0" applyAlignment="1" applyFont="1">
      <alignment horizontal="center"/>
    </xf>
    <xf borderId="0" fillId="15" fontId="1" numFmtId="0" xfId="0" applyAlignment="1" applyFont="1">
      <alignment horizontal="center" readingOrder="0"/>
    </xf>
    <xf borderId="0" fillId="7" fontId="5" numFmtId="0" xfId="0" applyAlignment="1" applyFont="1">
      <alignment readingOrder="0"/>
    </xf>
    <xf borderId="0" fillId="0" fontId="1" numFmtId="0" xfId="0" applyAlignment="1" applyFont="1">
      <alignment readingOrder="0"/>
    </xf>
    <xf borderId="2" fillId="9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V1000" sheet="collexo_data"/>
  </cacheSource>
  <cacheFields>
    <cacheField name="current_paid_date" numFmtId="166">
      <sharedItems containsDate="1" containsString="0" containsBlank="1">
        <d v="2026-02-18T00:00:00Z"/>
        <d v="2026-03-06T00:00:00Z"/>
        <d v="2026-03-17T00:00:00Z"/>
        <d v="2026-03-25T00:00:00Z"/>
        <d v="2026-03-27T00:00:00Z"/>
        <d v="2026-03-20T00:00:00Z"/>
        <d v="2026-03-10T00:00:00Z"/>
        <d v="2026-03-09T00:00:00Z"/>
        <d v="2026-02-20T00:00:00Z"/>
        <d v="2026-02-16T00:00:00Z"/>
        <d v="2026-03-30T00:00:00Z"/>
        <d v="2026-02-26T00:00:00Z"/>
        <d v="2026-02-23T00:00:00Z"/>
        <d v="2026-03-05T00:00:00Z"/>
        <d v="2026-03-24T00:00:00Z"/>
        <d v="2026-03-26T00:00:00Z"/>
        <d v="2026-03-18T00:00:00Z"/>
        <d v="2026-03-16T00:00:00Z"/>
        <d v="2026-03-11T00:00:00Z"/>
        <d v="2026-03-07T00:00:00Z"/>
        <d v="2026-02-14T00:00:00Z"/>
        <d v="2026-03-08T00:00:00Z"/>
        <d v="2026-03-29T00:00:00Z"/>
        <d v="2026-02-19T00:00:00Z"/>
        <d v="2026-03-14T00:00:00Z"/>
        <d v="2026-02-06T00:00:00Z"/>
        <d v="2026-03-31T00:00:00Z"/>
        <d v="2026-02-15T00:00:00Z"/>
        <d v="2026-02-03T00:00:00Z"/>
        <d v="2026-03-23T00:00:00Z"/>
        <d v="2026-03-13T00:00:00Z"/>
        <d v="2026-02-02T00:00:00Z"/>
        <d v="2026-01-27T00:00:00Z"/>
        <d v="2026-03-28T00:00:00Z"/>
        <d v="2026-02-21T00:00:00Z"/>
        <d v="2026-03-15T00:00:00Z"/>
        <d v="2026-01-29T00:00:00Z"/>
        <d v="2026-03-19T00:00:00Z"/>
        <d v="2026-01-31T00:00:00Z"/>
        <d v="2026-02-09T00:00:00Z"/>
        <d v="2026-02-22T00:00:00Z"/>
        <d v="2026-01-22T00:00:00Z"/>
        <d v="2026-02-24T00:00:00Z"/>
        <d v="2026-02-27T00:00:00Z"/>
        <d v="2026-01-24T00:00:00Z"/>
        <d v="2026-03-12T00:00:00Z"/>
        <d v="2026-02-10T00:00:00Z"/>
        <d v="2026-02-25T00:00:00Z"/>
        <d v="2026-03-01T00:00:00Z"/>
        <d v="2026-02-28T00:00:00Z"/>
        <d v="2026-03-21T00:00:00Z"/>
        <d v="2026-02-13T00:00:00Z"/>
        <d v="2026-02-07T00:00:00Z"/>
        <d v="2026-03-22T00:00:00Z"/>
        <d v="2026-02-05T00:00:00Z"/>
        <d v="2026-01-23T00:00:00Z"/>
        <d v="2026-02-17T00:00:00Z"/>
        <d v="2026-01-28T00:00:00Z"/>
        <d v="2026-01-30T00:00:00Z"/>
        <d v="2026-02-12T00:00:00Z"/>
        <d v="2026-02-08T00:00:00Z"/>
        <d v="2026-02-01T00:00:00Z"/>
        <d v="2026-02-11T00:00:00Z"/>
        <d v="2026-01-26T00:00:00Z"/>
        <d v="2026-02-04T00:00:00Z"/>
        <d v="2026-03-02T00:00:00Z"/>
        <d v="2026-01-09T00:00:00Z"/>
        <d v="2026-01-10T00:00:00Z"/>
        <d v="2026-01-12T00:00:00Z"/>
        <d v="2026-01-13T00:00:00Z"/>
        <d v="2026-01-14T00:00:00Z"/>
        <d v="2026-01-15T00:00:00Z"/>
        <d v="2026-01-16T00:00:00Z"/>
        <d v="2026-01-19T00:00:00Z"/>
        <d v="2026-01-20T00:00:00Z"/>
        <d v="2026-01-21T00:00:00Z"/>
        <m/>
      </sharedItems>
    </cacheField>
    <cacheField name="subject" numFmtId="0">
      <sharedItems containsBlank="1">
        <s v="Payment data from Collexo"/>
        <m/>
      </sharedItems>
    </cacheField>
    <cacheField name="description" numFmtId="0">
      <sharedItems containsBlank="1">
        <s v="Not Available"/>
        <m/>
      </sharedItems>
    </cacheField>
    <cacheField name="center_code" numFmtId="0">
      <sharedItems containsString="0" containsBlank="1" containsNumber="1" containsInteger="1">
        <n v="1500609.0"/>
        <n v="1500612.0"/>
        <n v="1500610.0"/>
        <n v="1500613.0"/>
        <n v="1500611.0"/>
        <m/>
      </sharedItems>
    </cacheField>
    <cacheField name="collexo_order_id">
      <sharedItems containsBlank="1" containsMixedTypes="1" containsNumber="1" containsInteger="1">
        <s v="6339_988_7"/>
        <n v="126108.0"/>
        <n v="127566.0"/>
        <s v="16577_988_7"/>
        <n v="110855.0"/>
        <n v="46422.0"/>
        <n v="88177.0"/>
        <n v="70130.0"/>
        <n v="78492.0"/>
        <s v="7721_988_7"/>
        <n v="139300.0"/>
        <n v="39331.0"/>
        <s v="17462_988_7"/>
        <s v="17460_988_7"/>
        <s v="16579_988_7"/>
        <s v="10470_988_7"/>
        <n v="133169.0"/>
        <s v="12617_988_7"/>
        <s v="16343_988_7"/>
        <s v="16352_988_7"/>
        <s v="16342_988_7"/>
        <n v="129240.0"/>
        <s v="14631_988_7"/>
        <n v="123029.0"/>
        <n v="127724.0"/>
        <s v="13597_988_7"/>
        <s v="12613_988_7"/>
        <s v="17468_988_7"/>
        <s v="13596_988_7"/>
        <n v="122274.0"/>
        <s v="15574_988_7"/>
        <n v="126732.0"/>
        <n v="124723.0"/>
        <n v="134615.0"/>
        <n v="124097.0"/>
        <s v="11243_988_7"/>
        <n v="40215.0"/>
        <n v="110726.0"/>
        <s v="4012_988_7"/>
        <s v="12615_988_7"/>
        <n v="29086.0"/>
        <s v="16350_988_7"/>
        <s v="16799_988_7"/>
        <s v="6459_988_7"/>
        <s v="16812_988_7"/>
        <n v="120500.0"/>
        <n v="126857.0"/>
        <s v="17318_988_7"/>
        <n v="107371.0"/>
        <n v="128605.0"/>
        <s v="16380_988_7"/>
        <s v="16801_988_7"/>
        <s v="5454_988_7"/>
        <s v="14071_988_7"/>
        <s v="6467_988_7"/>
        <s v="16821_988_7"/>
        <n v="79530.0"/>
        <s v="17465_988_7"/>
        <s v="16809_988_7"/>
        <n v="127463.0"/>
        <s v="2584_988_7"/>
        <n v="133174.0"/>
        <n v="133176.0"/>
        <n v="123052.0"/>
        <n v="127273.0"/>
        <s v="2865_988_7"/>
        <n v="125023.0"/>
        <n v="80125.0"/>
        <s v="12790_988_7"/>
        <s v="13626_988_7"/>
        <n v="36197.0"/>
        <n v="139365.0"/>
        <s v="15324_988_7"/>
        <n v="78973.0"/>
        <n v="123403.0"/>
        <s v="3206_988_7"/>
        <s v="4359_988_7"/>
        <s v="8030_988_7"/>
        <s v="1753_988_7"/>
        <n v="122267.0"/>
        <n v="126849.0"/>
        <n v="36232.0"/>
        <n v="124460.0"/>
        <s v="15321_988_7"/>
        <n v="107270.0"/>
        <s v="4361_988_7"/>
        <s v="11427_988_7"/>
        <s v="14272_988_7"/>
        <s v="2131_988_7"/>
        <n v="63916.0"/>
        <n v="129293.0"/>
        <s v="12792_988_7"/>
        <s v="4543_988_7"/>
        <n v="124058.0"/>
        <s v="3652_988_7"/>
        <s v="15575_988_7"/>
        <n v="126958.0"/>
        <s v="8029_988_7"/>
        <s v="5176_988_7"/>
        <s v="8033_988_7"/>
        <s v="15326_988_7"/>
        <n v="32934.0"/>
        <n v="127313.0"/>
        <n v="76874.0"/>
        <n v="20568.0"/>
        <n v="130793.0"/>
        <n v="139366.0"/>
        <s v="2119_988_7"/>
        <n v="133215.0"/>
        <n v="123696.0"/>
        <s v="9067_988_7"/>
        <n v="124285.0"/>
        <s v="17306_988_7"/>
        <n v="127149.0"/>
        <s v="13635_988_7"/>
        <s v="15700_988_7"/>
        <s v="15694_988_7"/>
        <n v="126176.0"/>
        <n v="126967.0"/>
        <s v="5055_988_7"/>
        <s v="4393_988_7"/>
        <s v="4142_988_7"/>
        <n v="68558.0"/>
        <n v="127255.0"/>
        <n v="124647.0"/>
        <n v="132470.0"/>
        <s v="7726_988_7"/>
        <s v="7082_988_7"/>
        <s v="13707_988_7"/>
        <n v="133171.0"/>
        <s v="15921_988_7"/>
        <s v="4150_988_7"/>
        <n v="127840.0"/>
        <s v="2122_988_7"/>
        <n v="134656.0"/>
        <s v="3912_988_7"/>
        <s v="1930_988_7"/>
        <s v="11437_988_7"/>
        <s v="13710_988_7"/>
        <n v="127026.0"/>
        <s v="5171_988_7"/>
        <s v="17756_988_7"/>
        <n v="124825.0"/>
        <s v="14627_988_7"/>
        <s v="3910_988_7"/>
        <n v="124555.0"/>
        <s v="15697_988_7"/>
        <s v="15696_988_7"/>
        <s v="2912_988_7"/>
        <n v="105349.0"/>
        <s v="5643_988_7"/>
        <n v="126627.0"/>
        <s v="2860_988_7"/>
        <s v="17469_988_7"/>
        <s v="13444_988_7"/>
        <s v="16805_988_7"/>
        <s v="3588_988_7"/>
        <n v="139619.0"/>
        <s v="2745_988_7"/>
        <n v="127464.0"/>
        <s v="13641_988_7"/>
        <s v="13068_988_7"/>
        <n v="128654.0"/>
        <n v="129695.0"/>
        <s v="10915_988_7"/>
        <s v="16802_988_7"/>
        <s v="3126_988_7"/>
        <n v="51034.0"/>
        <s v="3066_988_7"/>
        <s v="9066_988_7"/>
        <s v="3583_988_7"/>
        <s v="17725_988_7"/>
        <n v="140023.0"/>
        <s v="13067_988_7"/>
        <s v="3585_988_7"/>
        <s v="5065_988_7"/>
        <s v="16544_988_7"/>
        <s v="5175_988_7"/>
        <n v="129987.0"/>
        <s v="16346_988_7"/>
        <s v="6517_988_7"/>
        <s v="2751_988_7"/>
        <n v="85306.0"/>
        <n v="124471.0"/>
        <s v="3281_988_7"/>
        <s v="16521_988_7"/>
        <s v="7731_988_7"/>
        <s v="13856_988_7"/>
        <s v="15737_988_7"/>
        <n v="123469.0"/>
        <s v="7883_988_7"/>
        <s v="6340_988_7"/>
        <n v="133044.0"/>
        <n v="132925.0"/>
        <s v="17651_988_7"/>
        <s v="2859_988_7"/>
        <s v="17653_988_7"/>
        <s v="4274_988_7"/>
        <s v="16542_988_7"/>
        <s v="2079_988_7"/>
        <s v="14448_988_7"/>
        <s v="15739_988_7"/>
        <s v="13446_988_7"/>
        <s v="13434_988_7"/>
        <s v="13849_988_7"/>
        <n v="127396.0"/>
        <s v="16349_988_7"/>
        <n v="124551.0"/>
        <s v="16519_988_7"/>
        <s v="4273_988_7"/>
        <s v="16967_988_7"/>
        <s v="6514_988_7"/>
        <n v="123689.0"/>
        <n v="139291.0"/>
        <n v="108436.0"/>
        <s v="7720_988_7"/>
        <s v="13432_988_7"/>
        <s v="16516_988_7"/>
        <n v="125791.0"/>
        <s v="10913_988_7"/>
        <n v="23787.0"/>
        <n v="126806.0"/>
        <n v="123024.0"/>
        <s v="13267_988_7"/>
        <n v="124527.0"/>
        <s v="2127_988_7"/>
        <n v="125792.0"/>
        <n v="133182.0"/>
        <n v="128771.0"/>
        <s v="3071_988_7"/>
        <n v="127052.0"/>
        <n v="40218.0"/>
        <n v="129402.0"/>
        <s v="13269_988_7"/>
        <n v="34503.0"/>
        <s v="3195_988_7"/>
        <n v="110205.0"/>
        <n v="129636.0"/>
        <s v="15751_988_7"/>
        <s v="15749_988_7"/>
        <n v="123677.0"/>
        <s v="3914_988_7"/>
        <n v="125546.0"/>
        <s v="3579_988_7"/>
        <s v="3070_988_7"/>
        <s v="3916_988_7"/>
        <s v="3073_988_7"/>
        <s v="1746_988_7"/>
        <n v="39501.0"/>
        <n v="127568.0"/>
        <s v="5639_988_7"/>
        <s v="5635_988_7"/>
        <s v="3097_988_7"/>
        <n v="122866.0"/>
        <s v="13848_988_7"/>
        <n v="124604.0"/>
        <n v="133192.0"/>
        <s v="10813_988_7"/>
        <s v="2550_988_7"/>
        <n v="127601.0"/>
        <s v="17652_988_7"/>
        <s v="13271_988_7"/>
        <n v="133076.0"/>
        <n v="127147.0"/>
        <n v="124667.0"/>
        <s v="13270_988_7"/>
        <s v="2545_988_7"/>
        <n v="126139.0"/>
        <s v="5647_988_7"/>
        <s v="4370_988_7"/>
        <s v="5447_988_7"/>
        <n v="130296.0"/>
        <s v="15266_988_7"/>
        <s v="6345_988_7"/>
        <s v="7728_988_7"/>
        <n v="139596.0"/>
        <s v="3909_988_7"/>
        <s v="8040_988_7"/>
        <n v="34853.0"/>
        <s v="15566_988_7"/>
        <s v="16132_988_7"/>
        <s v="4973_988_7"/>
        <s v="2548_988_7"/>
        <s v="4548_988_7"/>
        <s v="15567_988_7"/>
        <n v="127415.0"/>
        <s v="6532_988_7"/>
        <s v="13972_988_7"/>
        <n v="126147.0"/>
        <s v="3289_988_7"/>
        <s v="16491_988_7"/>
        <s v="11515_988_7"/>
        <s v="14273_988_7"/>
        <s v="14724_988_7"/>
        <s v="15264_988_7"/>
        <n v="127085.0"/>
        <s v="14850_988_7"/>
        <s v="17463_988_7"/>
        <s v="17141_988_7"/>
        <s v="5455_988_7"/>
        <s v="14725_988_7"/>
        <s v="17142_988_7"/>
        <n v="128177.0"/>
        <s v="14269_988_7"/>
        <s v="16490_988_7"/>
        <s v="3453_988_7"/>
        <s v="5450_988_7"/>
        <s v="3710_988_7"/>
        <s v="17466_988_7"/>
        <s v="6480_988_7"/>
        <s v="17446_988_7"/>
        <n v="80996.0"/>
        <s v="16494_988_7"/>
        <s v="7730_988_7"/>
        <s v="16487_988_7"/>
        <s v="2554_988_7"/>
        <s v="3101_988_7"/>
        <s v="11001_988_7"/>
        <s v="13971_988_7"/>
        <s v="13437_988_7"/>
        <n v="122948.0"/>
        <s v="7884_988_7"/>
        <s v="3528_988_7"/>
        <s v="5141_988_7"/>
        <n v="127537.0"/>
        <s v="14840_988_7"/>
        <s v="3666_988_7"/>
        <n v="14117.0"/>
        <n v="73731.0"/>
        <s v="5186_988_7"/>
        <s v="16514_988_7"/>
        <s v="3068_988_7"/>
        <s v="13706_988_7"/>
        <n v="126090.0"/>
        <n v="125547.0"/>
        <n v="119791.0"/>
        <s v="14065_988_7"/>
        <n v="124837.0"/>
        <n v="130672.0"/>
        <s v="11430_988_7"/>
        <s v="14064_988_7"/>
        <s v="16003_988_7"/>
        <n v="89082.0"/>
        <s v="8035_988_7"/>
        <n v="124156.0"/>
        <s v="16511_988_7"/>
        <n v="109390.0"/>
        <s v="13881_988_7"/>
        <s v="8034_988_7"/>
        <s v="13634_988_7"/>
        <s v="15111_988_7"/>
        <n v="130348.0"/>
        <s v="4371_988_7"/>
        <s v="10996_988_7"/>
        <n v="125024.0"/>
        <s v="16506_988_7"/>
        <s v="3667_988_7"/>
        <n v="81523.0"/>
        <s v="13630_988_7"/>
        <s v="15113_988_7"/>
        <n v="129775.0"/>
        <s v="10994_988_7"/>
        <n v="128981.0"/>
        <n v="139949.0"/>
        <s v="17166_988_7"/>
        <s v="3261_988_7"/>
        <s v="8037_988_7"/>
        <s v="15756_988_7"/>
        <s v="13266_988_7"/>
        <s v="11429_988_7"/>
        <n v="129598.0"/>
        <n v="39462.0"/>
        <s v="13264_988_7"/>
        <n v="130049.0"/>
        <s v="16567_988_7"/>
        <s v="16986_988_7"/>
        <n v="127287.0"/>
        <s v="16914_988_7"/>
        <s v="5032_988_7"/>
        <n v="123430.0"/>
        <n v="139606.0"/>
        <s v="17445_988_7"/>
        <n v="122781.0"/>
        <s v="16562_988_7"/>
        <n v="124163.0"/>
        <s v="15569_988_7"/>
        <s v="5034_988_7"/>
        <s v="15313_988_7"/>
        <s v="14575_988_7"/>
        <n v="134614.0"/>
        <n v="139866.0"/>
        <n v="127515.0"/>
        <n v="55009.0"/>
        <n v="139932.0"/>
        <s v="17451_988_7"/>
        <s v="17163_988_7"/>
        <n v="127632.0"/>
        <s v="5198_988_7"/>
        <s v="17435_988_7"/>
        <n v="123500.0"/>
        <s v="11196_988_7"/>
        <s v="15570_988_7"/>
        <n v="126890.0"/>
        <n v="127668.0"/>
        <s v="15316_988_7"/>
        <s v="16457_988_7"/>
        <s v="11199_988_7"/>
        <s v="9064_988_7"/>
        <s v="5452_988_7"/>
        <n v="134669.0"/>
        <s v="17164_988_7"/>
        <s v="14442_988_7"/>
        <s v="6535_988_7"/>
        <s v="16453_988_7"/>
        <s v="4141_988_7"/>
        <s v="14578_988_7"/>
        <s v="5453_988_7"/>
        <s v="16570_988_7"/>
        <s v="14843_988_7"/>
        <s v="16447_988_7"/>
        <s v="17303_988_7"/>
        <n v="125785.0"/>
        <s v="14440_988_7"/>
        <s v="6402_988_7"/>
        <n v="128775.0"/>
        <s v="13265_988_7"/>
        <s v="16450_988_7"/>
        <s v="16563_988_7"/>
        <n v="125111.0"/>
        <s v="17453_988_7"/>
        <n v="124175.0"/>
        <n v="127120.0"/>
        <s v="16915_988_7"/>
        <n v="127016.0"/>
        <s v="11197_988_7"/>
        <s v="2449_988_7"/>
        <s v="14439_988_7"/>
        <s v="2728_988_7"/>
        <s v="6475_988_7"/>
        <n v="124231.0"/>
        <n v="141022.0"/>
        <n v="126166.0"/>
        <n v="130051.0"/>
        <s v="4734_988_7"/>
        <n v="141046.0"/>
        <s v="3308_988_7"/>
        <s v="3808_988_7"/>
        <n v="125840.0"/>
        <n v="126082.0"/>
        <s v="13439_988_7"/>
        <s v="16535_988_7"/>
        <n v="139904.0"/>
        <s v="3915_988_7"/>
        <s v="13060_988_7"/>
        <s v="2688_988_7"/>
        <s v="4392_988_7"/>
        <s v="16353_988_7"/>
        <s v="13272_988_7"/>
        <s v="13061_988_7"/>
        <s v="6474_988_7"/>
        <n v="124709.0"/>
        <n v="124070.0"/>
        <n v="125459.0"/>
        <n v="56568.0"/>
        <s v="10800_988_7"/>
        <s v="3291_988_7"/>
        <s v="12857_988_7"/>
        <s v="13438_988_7"/>
        <n v="129422.0"/>
        <s v="11218_988_7"/>
        <s v="6468_988_7"/>
        <s v="4369_988_7"/>
        <s v="4904_988_7"/>
        <s v="3218_988_7"/>
        <n v="139347.0"/>
        <n v="128156.0"/>
        <n v="139869.0"/>
        <n v="65144.0"/>
        <n v="132479.0"/>
        <s v="4685_988_7"/>
        <s v="4267_988_7"/>
        <s v="12860_988_7"/>
        <s v="12859_988_7"/>
        <s v="11223_988_7"/>
        <n v="127100.0"/>
        <s v="11416_988_7"/>
        <s v="16261_988_7"/>
        <n v="35283.0"/>
        <n v="127097.0"/>
        <n v="129732.0"/>
        <s v="15629_988_7"/>
        <s v="11412_988_7"/>
        <n v="123306.0"/>
        <n v="123710.0"/>
        <s v="6476_988_7"/>
        <n v="139574.0"/>
        <s v="16356_988_7"/>
        <n v="133225.0"/>
        <s v="11603_988_7"/>
        <n v="134618.0"/>
        <n v="120993.0"/>
        <n v="122869.0"/>
        <s v="15307_988_7"/>
        <s v="1891_988_7"/>
        <s v="15210_988_7"/>
        <s v="15915_988_7"/>
        <n v="14275.0"/>
        <n v="119781.0"/>
        <n v="89693.0"/>
        <s v="11932_988_7"/>
        <s v="11929_988_7"/>
        <s v="6525_988_7"/>
        <s v="10782_988_7"/>
        <n v="133055.0"/>
        <n v="127337.0"/>
        <s v="6464_988_7"/>
        <n v="109394.0"/>
        <n v="127479.0"/>
        <s v="11940_988_7"/>
        <s v="13880_988_7"/>
        <n v="127676.0"/>
        <n v="120478.0"/>
        <s v="2743_988_7"/>
        <s v="15306_988_7"/>
        <s v="1911_988_7"/>
        <s v="7086_988_7"/>
        <s v="11951_988_7"/>
        <s v="10613_988_7"/>
        <s v="13879_988_7"/>
        <n v="127700.0"/>
        <s v="17459_988_7"/>
        <s v="11954_988_7"/>
        <n v="64847.0"/>
        <n v="140320.0"/>
        <n v="128133.0"/>
        <s v="6526_988_7"/>
        <s v="15339_988_7"/>
        <n v="132375.0"/>
        <s v="15208_988_7"/>
        <n v="127558.0"/>
        <s v="11595_988_7"/>
        <s v="6529_988_7"/>
        <s v="4014_988_7"/>
        <s v="3825_988_7"/>
        <s v="17457_988_7"/>
        <s v="11949_988_7"/>
        <s v="13588_988_7"/>
        <s v="6463_988_7"/>
        <n v="25855.0"/>
        <s v="7088_988_7"/>
        <s v="14075_988_7"/>
        <n v="83482.0"/>
        <s v="14211_988_7"/>
        <n v="121546.0"/>
        <n v="124489.0"/>
        <n v="24394.0"/>
        <s v="13062_988_7"/>
        <s v="3265_988_7"/>
        <n v="123767.0"/>
        <s v="13878_988_7"/>
        <s v="15920_988_7"/>
        <n v="125031.0"/>
        <s v="3473_988_7"/>
        <s v="4731_988_7"/>
        <s v="17097_988_7"/>
        <n v="124057.0"/>
        <s v="13065_988_7"/>
        <n v="133193.0"/>
        <s v="11601_988_7"/>
        <s v="4269_988_7"/>
        <s v="11224_988_7"/>
        <s v="13225_988_7"/>
        <s v="8036_988_7"/>
        <s v="13875_988_7"/>
        <n v="122027.0"/>
        <s v="8038_988_7"/>
        <s v="11219_988_7"/>
        <s v="12661_988_7"/>
        <s v="17713_988_7"/>
        <s v="3208_988_7"/>
        <s v="16966_988_7"/>
        <s v="13227_988_7"/>
        <s v="3121_988_7"/>
        <s v="6344_988_7"/>
        <s v="2580_988_7"/>
        <s v="5306_988_7"/>
        <s v="2910_988_7"/>
        <n v="125817.0"/>
        <s v="2586_988_7"/>
        <s v="2749_988_7"/>
        <s v="15918_988_7"/>
        <n v="109867.0"/>
        <s v="677_988_7"/>
        <s v="678_988_7"/>
        <s v="704_988_7"/>
        <s v="725_988_7"/>
        <s v="726_988_7"/>
        <s v="727_988_7"/>
        <s v="744_988_7"/>
        <s v="748_988_7"/>
        <s v="797_988_7"/>
        <s v="798_988_7"/>
        <s v="799_988_7"/>
        <s v="817_988_7"/>
        <s v="829_988_7"/>
        <s v="830_988_7"/>
        <s v="831_988_7"/>
        <s v="832_988_7"/>
        <s v="855_988_7"/>
        <s v="899_988_7"/>
        <s v="902_988_7"/>
        <s v="903_988_7"/>
        <s v="904_988_7"/>
        <s v="935_988_7"/>
        <s v="939_988_7"/>
        <s v="940_988_7"/>
        <s v="948_988_7"/>
        <s v="964_988_7"/>
        <s v="1214_988_7"/>
        <s v="1219_988_7"/>
        <s v="1356_988_7"/>
        <s v="1361_988_7"/>
        <s v="1438_988_7"/>
        <m/>
      </sharedItems>
    </cacheField>
    <cacheField name="current_paid_amount" numFmtId="0">
      <sharedItems containsString="0" containsBlank="1" containsNumber="1" containsInteger="1">
        <n v="5000.0"/>
        <n v="2000.0"/>
        <n v="40000.0"/>
        <n v="32000.0"/>
        <n v="34000.0"/>
        <n v="35000.0"/>
        <n v="4338.0"/>
        <n v="7000.0"/>
        <n v="1.0"/>
        <n v="43200.0"/>
        <n v="44000.0"/>
        <n v="10000.0"/>
        <n v="65000.0"/>
        <n v="30000.0"/>
        <n v="70000.0"/>
        <n v="25000.0"/>
        <n v="1000.0"/>
        <n v="7909.0"/>
        <n v="35673.0"/>
        <n v="112000.0"/>
        <n v="100000.0"/>
        <n v="20000.0"/>
        <n v="8000.0"/>
        <n v="41673.0"/>
        <n v="43913.0"/>
        <n v="125000.0"/>
        <n v="36628.0"/>
        <n v="47500.0"/>
        <n v="16000.0"/>
        <n v="55800.0"/>
        <n v="5418.0"/>
        <n v="44233.0"/>
        <n v="6372.0"/>
        <n v="6200.0"/>
        <n v="39000.0"/>
        <n v="54000.0"/>
        <n v="60000.0"/>
        <n v="400.0"/>
        <n v="4800.0"/>
        <n v="6000.0"/>
        <n v="6087.0"/>
        <n v="20059.0"/>
        <n v="75000.0"/>
        <n v="140000.0"/>
        <n v="10320.0"/>
        <n v="5767.0"/>
        <n v="135000.0"/>
        <n v="48413.0"/>
        <n v="6587.0"/>
        <n v="26000.0"/>
        <n v="3587.0"/>
        <n v="46056.0"/>
        <n v="90000.0"/>
        <n v="80000.0"/>
        <n v="500.0"/>
        <n v="50000.0"/>
        <n v="96000.0"/>
        <n v="104000.0"/>
        <n v="21413.0"/>
        <n v="119000.0"/>
        <n v="94000.0"/>
        <n v="46000.0"/>
        <n v="14000.0"/>
        <n v="95000.0"/>
        <n v="8944.0"/>
        <n v="45000.0"/>
        <n v="67000.0"/>
        <n v="15000.0"/>
        <n v="6801.0"/>
        <n v="36666.0"/>
        <n v="9500.0"/>
        <n v="20500.0"/>
        <n v="33750.0"/>
        <n v="3000.0"/>
        <n v="58000.0"/>
        <n v="36000.0"/>
        <n v="115000.0"/>
        <n v="24000.0"/>
        <n v="22000.0"/>
        <n v="105000.0"/>
        <n v="3750.0"/>
        <n v="42000.0"/>
        <n v="101250.0"/>
        <n v="33199.0"/>
        <n v="23999.0"/>
        <n v="21000.0"/>
        <n v="72000.0"/>
        <n v="93519.0"/>
        <n v="9000.0"/>
        <n v="108000.0"/>
        <n v="82000.0"/>
        <n v="1500.0"/>
        <n v="69647.0"/>
        <n v="19000.0"/>
        <n v="1481.0"/>
        <n v="94286.0"/>
        <n v="120000.0"/>
        <n v="4516.0"/>
        <n v="16481.0"/>
        <n v="19484.0"/>
        <n v="8600.0"/>
        <n v="37000.0"/>
        <n v="40913.0"/>
        <n v="46105.0"/>
        <n v="7087.0"/>
        <n v="20662.0"/>
        <n v="8087.0"/>
        <n v="8895.0"/>
        <n v="50400.0"/>
        <n v="23000.0"/>
        <n v="64000.0"/>
        <n v="128000.0"/>
        <n v="43000.0"/>
        <n v="69000.0"/>
        <n v="59000.0"/>
        <n v="38000.0"/>
        <n v="88000.0"/>
        <n v="603.0"/>
        <n v="600.0"/>
        <n v="12000.0"/>
        <n v="31000.0"/>
        <n v="55000.0"/>
        <n v="6037.0"/>
        <n v="8572.0"/>
        <n v="20999.0"/>
        <n v="51428.0"/>
        <n v="4000.0"/>
        <n v="6767.0"/>
        <n v="26320.0"/>
        <n v="1767.0"/>
        <n v="14250.0"/>
        <n v="33000.0"/>
        <n v="103680.0"/>
        <n v="28000.0"/>
        <n v="8500.0"/>
        <n v="18963.0"/>
        <n v="130000.0"/>
        <n v="101750.0"/>
        <n v="56250.0"/>
        <n v="1600.0"/>
        <n v="2500.0"/>
        <n v="48000.0"/>
        <n v="92000.0"/>
        <n v="4500.0"/>
        <n v="3944.0"/>
        <n v="87680.0"/>
        <n v="320.0"/>
        <n v="47478.0"/>
        <n v="3500.0"/>
        <n v="1087.0"/>
        <n v="31500.0"/>
        <n v="79000.0"/>
        <n v="8750.0"/>
        <n v="28800.0"/>
        <n v="1200.0"/>
        <n v="18000.0"/>
        <n v="37485.0"/>
        <n v="6515.0"/>
        <n v="54948.0"/>
        <n v="74000.0"/>
        <n v="10052.0"/>
        <n v="103000.0"/>
        <n v="71000.0"/>
        <n v="5500.0"/>
        <n v="84000.0"/>
        <n v="110000.0"/>
        <n v="41769.0"/>
        <n v="49500.0"/>
        <n v="6744.0"/>
        <n v="17000.0"/>
        <n v="32856.0"/>
        <n v="9658.0"/>
        <n v="97000.0"/>
        <n v="50342.0"/>
        <n v="8231.0"/>
        <n v="33500.0"/>
        <n v="12500.0"/>
        <n v="42500.0"/>
        <n v="42091.0"/>
        <n v="4658.0"/>
        <n v="63000.0"/>
        <n v="20342.0"/>
        <n v="85000.0"/>
        <n v="43750.0"/>
        <n v="131250.0"/>
        <m/>
      </sharedItems>
    </cacheField>
    <cacheField name="next_installment_date">
      <sharedItems containsDate="1" containsBlank="1" containsMixedTypes="1">
        <d v="2026-02-28T00:00:00Z"/>
        <d v="2026-03-09T00:00:00Z"/>
        <d v="2026-03-17T00:00:00Z"/>
        <d v="2026-03-31T00:00:00Z"/>
        <d v="2026-04-06T00:00:00Z"/>
        <s v="Not Available"/>
        <d v="2026-03-22T00:00:00Z"/>
        <d v="2026-03-12T00:00:00Z"/>
        <d v="2026-03-10T00:00:00Z"/>
        <d v="2026-03-19T00:00:00Z"/>
        <d v="2026-02-20T00:00:00Z"/>
        <d v="2026-03-24T00:00:00Z"/>
        <d v="2026-03-06T00:00:00Z"/>
        <d v="2026-02-18T00:00:00Z"/>
        <d v="2026-03-13T00:00:00Z"/>
        <d v="2026-04-30T00:00:00Z"/>
        <d v="2026-03-14T00:00:00Z"/>
        <d v="2026-03-15T00:00:00Z"/>
        <d v="2026-03-29T00:00:00Z"/>
        <d v="2026-03-20T00:00:00Z"/>
        <d v="2026-03-27T00:00:00Z"/>
        <d v="2026-03-23T00:00:00Z"/>
        <d v="2026-02-16T00:00:00Z"/>
        <d v="2026-04-04T00:00:00Z"/>
        <d v="2026-03-18T00:00:00Z"/>
        <d v="2026-02-24T00:00:00Z"/>
        <d v="2026-02-10T00:00:00Z"/>
        <d v="2026-05-01T00:00:00Z"/>
        <d v="2026-03-30T00:00:00Z"/>
        <d v="2026-04-28T00:00:00Z"/>
        <d v="2026-01-31T00:00:00Z"/>
        <d v="2026-03-25T00:00:00Z"/>
        <d v="2026-01-24T00:00:00Z"/>
        <d v="2026-03-28T00:00:00Z"/>
        <d v="2026-04-05T00:00:00Z"/>
        <d v="2026-03-26T00:00:00Z"/>
        <d v="2026-02-06T00:00:00Z"/>
        <d v="2026-03-11T00:00:00Z"/>
        <d v="2026-02-23T00:00:00Z"/>
        <d v="2026-02-26T00:00:00Z"/>
        <d v="2026-03-05T00:00:00Z"/>
        <d v="2026-01-30T00:00:00Z"/>
        <d v="2026-05-31T00:00:00Z"/>
        <d v="2026-02-17T00:00:00Z"/>
        <d v="2026-03-01T00:00:00Z"/>
        <d v="2026-03-16T00:00:00Z"/>
        <d v="2026-02-05T00:00:00Z"/>
        <d v="2026-04-03T00:00:00Z"/>
        <d v="2026-02-04T00:00:00Z"/>
        <d v="2026-02-19T00:00:00Z"/>
        <d v="2026-03-21T00:00:00Z"/>
        <d v="2026-04-02T00:00:00Z"/>
        <d v="2026-02-12T00:00:00Z"/>
        <d v="2026-02-27T00:00:00Z"/>
        <d v="2026-02-21T00:00:00Z"/>
        <d v="2026-03-03T00:00:00Z"/>
        <d v="2026-02-15T00:00:00Z"/>
        <d v="2026-02-03T00:00:00Z"/>
        <d v="2026-02-13T00:00:00Z"/>
        <d v="2026-04-21T00:00:00Z"/>
        <d v="2026-04-11T00:00:00Z"/>
        <d v="2026-02-14T00:00:00Z"/>
        <d v="2026-02-22T00:00:00Z"/>
        <d v="2026-04-10T00:00:00Z"/>
        <d v="2026-03-08T00:00:00Z"/>
        <d v="2026-02-25T00:00:00Z"/>
        <d v="2026-04-09T00:00:00Z"/>
        <d v="2026-04-12T00:00:00Z"/>
        <d v="2026-03-07T00:00:00Z"/>
        <d v="2026-04-01T00:00:00Z"/>
        <d v="2026-02-11T00:00:00Z"/>
        <d v="2026-02-09T00:00:00Z"/>
        <d v="2026-02-07T00:00:00Z"/>
        <d v="2026-05-05T00:00:00Z"/>
        <d v="2026-10-01T00:00:00Z"/>
        <s v="30/01/26"/>
        <s v="13/01/26"/>
        <s v="16/01/26"/>
        <s v="31/01/26"/>
        <s v="17/01/26"/>
        <s v="21/01/26"/>
        <s v="24/01/26"/>
        <s v="22/01/26"/>
        <s v="23/01/26"/>
        <m/>
      </sharedItems>
    </cacheField>
    <cacheField name="next_installment_amount" numFmtId="0">
      <sharedItems containsString="0" containsBlank="1" containsNumber="1" containsInteger="1">
        <n v="125000.0"/>
        <n v="35000.0"/>
        <n v="2000.0"/>
        <n v="130000.0"/>
        <n v="6000.0"/>
        <n v="0.0"/>
        <n v="30000.0"/>
        <n v="20662.0"/>
        <n v="90000.0"/>
        <n v="14000.0"/>
        <n v="140000.0"/>
        <n v="100000.0"/>
        <n v="79000.0"/>
        <n v="41673.0"/>
        <n v="8000.0"/>
        <n v="39000.0"/>
        <n v="54000.0"/>
        <n v="16000.0"/>
        <n v="120000.0"/>
        <n v="7000.0"/>
        <n v="65000.0"/>
        <n v="34000.0"/>
        <n v="15000.0"/>
        <n v="6372.0"/>
        <n v="75000.0"/>
        <n v="104000.0"/>
        <n v="40000.0"/>
        <n v="60000.0"/>
        <n v="7909.0"/>
        <n v="36628.0"/>
        <n v="25000.0"/>
        <n v="55800.0"/>
        <n v="69000.0"/>
        <n v="12000.0"/>
        <n v="44000.0"/>
        <n v="39004.0"/>
        <n v="43200.0"/>
        <n v="43913.0"/>
        <n v="70000.0"/>
        <n v="1000.0"/>
        <n v="18000.0"/>
        <n v="79680.0"/>
        <n v="165000.0"/>
        <n v="44233.0"/>
        <n v="50000.0"/>
        <n v="48413.0"/>
        <n v="33000.0"/>
        <n v="21413.0"/>
        <n v="94000.0"/>
        <n v="8750.0"/>
        <n v="96000.0"/>
        <n v="20000.0"/>
        <n v="59500.0"/>
        <n v="119000.0"/>
        <n v="10000.0"/>
        <n v="135000.0"/>
        <n v="7444.0"/>
        <n v="46000.0"/>
        <n v="45000.0"/>
        <n v="95000.0"/>
        <n v="24000.0"/>
        <n v="118000.0"/>
        <n v="31000.0"/>
        <n v="46056.0"/>
        <n v="58000.0"/>
        <n v="20500.0"/>
        <n v="33199.0"/>
        <n v="36666.0"/>
        <n v="21000.0"/>
        <n v="36668.0"/>
        <n v="101250.0"/>
        <n v="67000.0"/>
        <n v="5000.0"/>
        <n v="80000.0"/>
        <n v="78000.0"/>
        <n v="105000.0"/>
        <n v="48000.0"/>
        <n v="115000.0"/>
        <n v="36000.0"/>
        <n v="3750.0"/>
        <n v="30500.0"/>
        <n v="101000.0"/>
        <n v="110000.0"/>
        <n v="9000.0"/>
        <n v="22000.0"/>
        <n v="82000.0"/>
        <n v="53500.0"/>
        <n v="72000.0"/>
        <n v="15519.0"/>
        <n v="4000.0"/>
        <n v="19484.0"/>
        <n v="93519.0"/>
        <n v="1481.0"/>
        <n v="59000.0"/>
        <n v="38000.0"/>
        <n v="10714.0"/>
        <n v="69647.0"/>
        <n v="50400.0"/>
        <n v="43000.0"/>
        <n v="23000.0"/>
        <n v="64000.0"/>
        <n v="26250.0"/>
        <n v="128000.0"/>
        <n v="3000.0"/>
        <n v="127000.0"/>
        <n v="97000.0"/>
        <n v="40913.0"/>
        <n v="46105.0"/>
        <n v="53400.0"/>
        <n v="68000.0"/>
        <n v="138000.0"/>
        <n v="123000.0"/>
        <n v="88000.0"/>
        <n v="107000.0"/>
        <n v="400.0"/>
        <n v="108000.0"/>
        <n v="53000.0"/>
        <n v="18963.0"/>
        <n v="51428.0"/>
        <n v="112000.0"/>
        <n v="49000.0"/>
        <n v="17000.0"/>
        <n v="101750.0"/>
        <n v="103680.0"/>
        <n v="120750.0"/>
        <n v="1767.0"/>
        <n v="27000.0"/>
        <n v="76500.0"/>
        <n v="6767.0"/>
        <n v="113000.0"/>
        <n v="2500.0"/>
        <n v="99000.0"/>
        <n v="80500.0"/>
        <n v="89000.0"/>
        <n v="148000.0"/>
        <n v="47478.0"/>
        <n v="87680.0"/>
        <n v="61000.0"/>
        <n v="4500.0"/>
        <n v="31500.0"/>
        <n v="74000.0"/>
        <n v="56250.0"/>
        <n v="37000.0"/>
        <n v="320.0"/>
        <n v="71000.0"/>
        <n v="500.0"/>
        <n v="28800.0"/>
        <n v="1200.0"/>
        <n v="55000.0"/>
        <n v="103000.0"/>
        <n v="37485.0"/>
        <n v="54948.0"/>
        <n v="6515.0"/>
        <n v="54500.0"/>
        <n v="49500.0"/>
        <n v="84000.0"/>
        <n v="32856.0"/>
        <n v="28000.0"/>
        <n v="26000.0"/>
        <n v="50342.0"/>
        <n v="41769.0"/>
        <n v="19000.0"/>
        <n v="85000.0"/>
        <n v="33500.0"/>
        <n v="2587.0"/>
        <n v="42500.0"/>
        <n v="1087.0"/>
        <n v="42091.0"/>
        <n v="93000.0"/>
        <n v="20342.0"/>
        <n v="77000.0"/>
        <n v="12500.0"/>
        <n v="145000.0"/>
        <n v="131250.0"/>
        <n v="63000.0"/>
        <m/>
      </sharedItems>
    </cacheField>
    <cacheField name="total_amount" numFmtId="0">
      <sharedItems containsString="0" containsBlank="1" containsNumber="1" containsInteger="1">
        <n v="130000.0"/>
        <n v="40000.0"/>
        <n v="55000.0"/>
        <n v="175000.0"/>
        <n v="38000.0"/>
        <n v="35000.0"/>
        <n v="65000.0"/>
        <n v="25000.0"/>
        <n v="80000.0"/>
        <n v="1.0"/>
        <n v="48000.0"/>
        <n v="44400.0"/>
        <n v="100000.0"/>
        <n v="125000.0"/>
        <n v="49000.0"/>
        <n v="140000.0"/>
        <n v="70000.0"/>
        <n v="50000.0"/>
        <n v="44000.0"/>
        <n v="47500.0"/>
        <n v="62000.0"/>
        <n v="32000.0"/>
        <n v="75004.0"/>
        <n v="20000.0"/>
        <n v="170000.0"/>
        <n v="110000.0"/>
        <n v="34000.0"/>
        <n v="95000.0"/>
        <n v="71250.0"/>
        <n v="120000.0"/>
        <n v="60000.0"/>
        <n v="30000.0"/>
        <n v="45000.0"/>
        <n v="115000.0"/>
        <n v="75000.0"/>
        <n v="21500.0"/>
        <n v="135000.0"/>
        <n v="40750.0"/>
        <n v="68000.0"/>
        <n v="22000.0"/>
        <n v="85000.0"/>
        <n v="42000.0"/>
        <n v="104000.0"/>
        <n v="24999.0"/>
        <n v="21000.0"/>
        <n v="90000.0"/>
        <n v="47000.0"/>
        <n v="36000.0"/>
        <n v="70647.0"/>
        <n v="19000.0"/>
        <n v="54000.0"/>
        <n v="24000.0"/>
        <n v="59000.0"/>
        <n v="150000.0"/>
        <n v="23000.0"/>
        <n v="39000.0"/>
        <n v="105000.0"/>
        <n v="26000.0"/>
        <n v="54400.0"/>
        <n v="69603.0"/>
        <n v="117000.0"/>
        <n v="28000.0"/>
        <n v="20999.0"/>
        <n v="80767.0"/>
        <n v="40767.0"/>
        <n v="51600.0"/>
        <n v="74000.0"/>
        <n v="50478.0"/>
        <n v="92000.0"/>
        <n v="85500.0"/>
        <n v="72000.0"/>
        <n v="102000.0"/>
        <n v="39600.0"/>
        <n v="37000.0"/>
        <n v="125500.0"/>
        <n v="31000.0"/>
        <m/>
      </sharedItems>
    </cacheField>
    <cacheField name="total_installment" numFmtId="0">
      <sharedItems containsString="0" containsBlank="1" containsNumber="1" containsInteger="1">
        <n v="2.0"/>
        <n v="5.0"/>
        <n v="3.0"/>
        <n v="4.0"/>
        <n v="1.0"/>
        <n v="8.0"/>
        <m/>
      </sharedItems>
    </cacheField>
    <cacheField name="id" numFmtId="0">
      <sharedItems containsString="0" containsBlank="1" containsNumber="1" containsInteger="1">
        <n v="251.0"/>
        <n v="415.0"/>
        <n v="583.0"/>
        <n v="753.0"/>
        <n v="422.0"/>
        <n v="784.0"/>
        <n v="644.0"/>
        <n v="469.0"/>
        <n v="447.0"/>
        <n v="286.0"/>
        <n v="793.0"/>
        <n v="227.0"/>
        <n v="841.0"/>
        <n v="840.0"/>
        <n v="344.0"/>
        <n v="754.0"/>
        <n v="320.0"/>
        <n v="722.0"/>
        <n v="411.0"/>
        <n v="708.0"/>
        <n v="762.0"/>
        <n v="712.0"/>
        <n v="707.0"/>
        <n v="321.0"/>
        <n v="604.0"/>
        <n v="760.0"/>
        <n v="569.0"/>
        <n v="281.0"/>
        <n v="592.0"/>
        <n v="483.0"/>
        <n v="409.0"/>
        <n v="845.0"/>
        <n v="482.0"/>
        <n v="427.0"/>
        <n v="212.0"/>
        <n v="650.0"/>
        <n v="431.0"/>
        <n v="585.0"/>
        <n v="476.0"/>
        <n v="605.0"/>
        <n v="450.0"/>
        <n v="821.0"/>
        <n v="266.0"/>
        <n v="358.0"/>
        <n v="542.0"/>
        <n v="544.0"/>
        <n v="412.0"/>
        <n v="173.0"/>
        <n v="410.0"/>
        <n v="877.0"/>
        <n v="711.0"/>
        <n v="767.0"/>
        <n v="257.0"/>
        <n v="603.0"/>
        <n v="772.0"/>
        <n v="219.0"/>
        <n v="161.0"/>
        <n v="543.0"/>
        <n v="820.0"/>
        <n v="444.0"/>
        <n v="588.0"/>
        <n v="282.0"/>
        <n v="681.0"/>
        <n v="827.0"/>
        <n v="557.0"/>
        <n v="226.0"/>
        <n v="430.0"/>
        <n v="578.0"/>
        <n v="792.0"/>
        <n v="715.0"/>
        <n v="570.0"/>
        <n v="768.0"/>
        <n v="250.0"/>
        <n v="494.0"/>
        <n v="232.0"/>
        <n v="531.0"/>
        <n v="584.0"/>
        <n v="260.0"/>
        <n v="680.0"/>
        <n v="773.0"/>
        <n v="526.0"/>
        <n v="843.0"/>
        <n v="771.0"/>
        <n v="155.0"/>
        <n v="559.0"/>
        <n v="118.0"/>
        <n v="804.0"/>
        <n v="790.0"/>
        <n v="291.0"/>
        <n v="552.0"/>
        <n v="128.0"/>
        <n v="485.0"/>
        <n v="217.0"/>
        <n v="417.0"/>
        <n v="484.0"/>
        <n v="283.0"/>
        <n v="848.0"/>
        <n v="625.0"/>
        <n v="616.0"/>
        <n v="704.0"/>
        <n v="141.0"/>
        <n v="182.0"/>
        <n v="306.0"/>
        <n v="103.0"/>
        <n v="319.0"/>
        <n v="462.0"/>
        <n v="314.0"/>
        <n v="328.0"/>
        <n v="624.0"/>
        <n v="789.0"/>
        <n v="798.0"/>
        <n v="183.0"/>
        <n v="368.0"/>
        <n v="547.0"/>
        <n v="111.0"/>
        <n v="284.0"/>
        <n v="687.0"/>
        <n v="502.0"/>
        <n v="688.0"/>
        <n v="418.0"/>
        <n v="191.0"/>
        <n v="339.0"/>
        <n v="805.0"/>
        <n v="158.0"/>
        <n v="355.0"/>
        <n v="651.0"/>
        <n v="448.0"/>
        <n v="298.0"/>
        <n v="221.0"/>
        <n v="744.0"/>
        <n v="305.0"/>
        <n v="211.0"/>
        <n v="307.0"/>
        <n v="627.0"/>
        <n v="327.0"/>
        <n v="401.0"/>
        <n v="480.0"/>
        <n v="373.0"/>
        <n v="813.0"/>
        <n v="381.0"/>
        <n v="533.0"/>
        <n v="454.0"/>
        <n v="868.0"/>
        <n v="683.0"/>
        <n v="791.0"/>
        <n v="108.0"/>
        <n v="743.0"/>
        <n v="223.0"/>
        <n v="317.0"/>
        <n v="617.0"/>
        <n v="826.0"/>
        <n v="782.0"/>
        <n v="589.0"/>
        <n v="488.0"/>
        <n v="501.0"/>
        <n v="660.0"/>
        <n v="869.0"/>
        <n v="657.0"/>
        <n v="420.0"/>
        <n v="832.0"/>
        <n v="550.0"/>
        <n v="205.0"/>
        <n v="190.0"/>
        <n v="176.0"/>
        <n v="739.0"/>
        <n v="489.0"/>
        <n v="399.0"/>
        <n v="690.0"/>
        <n v="287.0"/>
        <n v="276.0"/>
        <n v="499.0"/>
        <n v="727.0"/>
        <n v="677.0"/>
        <n v="177.0"/>
        <n v="764.0"/>
        <n v="593.0"/>
        <n v="109.0"/>
        <n v="761.0"/>
        <n v="169.0"/>
        <n v="106.0"/>
        <n v="398.0"/>
        <n v="551.0"/>
        <n v="371.0"/>
        <n v="500.0"/>
        <n v="534.0"/>
        <n v="645.0"/>
        <n v="209.0"/>
        <n v="598.0"/>
        <n v="870.0"/>
        <n v="396.0"/>
        <n v="568.0"/>
        <n v="249.0"/>
        <n v="168.0"/>
        <n v="490.0"/>
        <n v="349.0"/>
        <n v="659.0"/>
        <n v="586.0"/>
        <n v="658.0"/>
        <n v="130.0"/>
        <n v="706.0"/>
        <n v="246.0"/>
        <n v="433.0"/>
        <n v="127.0"/>
        <n v="846.0"/>
        <n v="471.0"/>
        <n v="770.0"/>
        <n v="157.0"/>
        <n v="815.0"/>
        <n v="123.0"/>
        <n v="561.0"/>
        <n v="491.0"/>
        <n v="439.0"/>
        <n v="638.0"/>
        <n v="655.0"/>
        <n v="643.0"/>
        <n v="335.0"/>
        <n v="769.0"/>
        <n v="139.0"/>
        <n v="879.0"/>
        <n v="131.0"/>
        <n v="316.0"/>
        <n v="816.0"/>
        <n v="705.0"/>
        <n v="154.0"/>
        <n v="863.0"/>
        <n v="871.0"/>
        <n v="438.0"/>
        <n v="654.0"/>
        <n v="156.0"/>
        <n v="206.0"/>
        <n v="741.0"/>
        <n v="210.0"/>
        <n v="686.0"/>
        <n v="709.0"/>
        <n v="268.0"/>
        <n v="125.0"/>
        <n v="200.0"/>
        <n v="360.0"/>
        <n v="146.0"/>
        <n v="736.0"/>
        <n v="814.0"/>
        <n v="639.0"/>
        <n v="290.0"/>
        <n v="513.0"/>
        <n v="662.0"/>
        <n v="367.0"/>
        <n v="296.0"/>
        <n v="252.0"/>
        <n v="875.0"/>
        <n v="774.0"/>
        <n v="852.0"/>
        <n v="126.0"/>
        <n v="854.0"/>
        <n v="818.0"/>
        <n v="181.0"/>
        <n v="740.0"/>
        <n v="669.0"/>
        <n v="107.0"/>
        <n v="556.0"/>
        <n v="663.0"/>
        <n v="472.0"/>
        <n v="465.0"/>
        <n v="512.0"/>
        <n v="590.0"/>
        <n v="710.0"/>
        <n v="318.0"/>
        <n v="735.0"/>
        <n v="180.0"/>
        <n v="560.0"/>
        <n v="329.0"/>
        <n v="366.0"/>
        <n v="786.0"/>
        <n v="267.0"/>
        <n v="224.0"/>
        <n v="864.0"/>
        <n v="591.0"/>
        <n v="243.0"/>
        <n v="285.0"/>
        <n v="464.0"/>
        <n v="637.0"/>
        <n v="357.0"/>
        <n v="734.0"/>
        <n v="393.0"/>
        <n v="334.0"/>
        <n v="207.0"/>
        <n v="461.0"/>
        <n v="215.0"/>
        <n v="455.0"/>
        <n v="323.0"/>
        <n v="110.0"/>
        <n v="612.0"/>
        <n v="795.0"/>
        <n v="595.0"/>
        <n v="134.0"/>
        <n v="220.0"/>
        <n v="608.0"/>
        <n v="641.0"/>
        <n v="541.0"/>
        <n v="632.0"/>
        <n v="456.0"/>
        <n v="388.0"/>
        <n v="759.0"/>
        <n v="140.0"/>
        <n v="432.0"/>
        <n v="696.0"/>
        <n v="667.0"/>
        <n v="666.0"/>
        <n v="338.0"/>
        <n v="170.0"/>
        <n v="817.0"/>
        <n v="523.0"/>
        <n v="361.0"/>
        <n v="780.0"/>
        <n v="153.0"/>
        <n v="133.0"/>
        <n v="172.0"/>
        <n v="135.0"/>
        <n v="102.0"/>
        <n v="599.0"/>
        <n v="463.0"/>
        <n v="781.0"/>
        <n v="699.0"/>
        <n v="245.0"/>
        <n v="636.0"/>
        <n v="244.0"/>
        <n v="400.0"/>
        <n v="136.0"/>
        <n v="274.0"/>
        <n v="540.0"/>
        <n v="511.0"/>
        <n v="225.0"/>
        <n v="794.0"/>
        <n v="492.0"/>
        <n v="322.0"/>
        <n v="362.0"/>
        <n v="275.0"/>
        <n v="757.0"/>
        <n v="539.0"/>
        <n v="333.0"/>
        <n v="700.0"/>
        <n v="115.0"/>
        <n v="558.0"/>
        <n v="587.0"/>
        <n v="522.0"/>
        <n v="853.0"/>
        <n v="216.0"/>
        <n v="701.0"/>
        <n v="758.0"/>
        <n v="652.0"/>
        <n v="775.0"/>
        <n v="458.0"/>
        <n v="779.0"/>
        <n v="474.0"/>
        <n v="394.0"/>
        <n v="457.0"/>
        <n v="113.0"/>
        <n v="507.0"/>
        <n v="247.0"/>
        <n v="185.0"/>
        <n v="228.0"/>
        <n v="730.0"/>
        <n v="614.0"/>
        <n v="254.0"/>
        <n v="288.0"/>
        <n v="873.0"/>
        <n v="167.0"/>
        <n v="313.0"/>
        <n v="874.0"/>
        <n v="391.0"/>
        <n v="646.0"/>
        <n v="698.0"/>
        <n v="392.0"/>
        <n v="201.0"/>
        <n v="114.0"/>
        <n v="192.0"/>
        <n v="647.0"/>
        <n v="527.0"/>
        <n v="510.0"/>
        <n v="272.0"/>
        <n v="495.0"/>
        <n v="521.0"/>
        <n v="419.0"/>
        <n v="147.0"/>
        <n v="725.0"/>
        <n v="372.0"/>
        <n v="548.0"/>
        <n v="573.0"/>
        <n v="613.0"/>
        <n v="577.0"/>
        <n v="477.0"/>
        <n v="581.0"/>
        <n v="842.0"/>
        <n v="800.0"/>
        <n v="233.0"/>
        <n v="574.0"/>
        <n v="801.0"/>
        <n v="721.0"/>
        <n v="546.0"/>
        <n v="724.0"/>
        <n v="150.0"/>
        <n v="528.0"/>
        <n v="229.0"/>
        <n v="806.0"/>
        <n v="162.0"/>
        <n v="844.0"/>
        <n v="265.0"/>
        <n v="729.0"/>
        <n v="835.0"/>
        <n v="279.0"/>
        <n v="726.0"/>
        <n v="289.0"/>
        <n v="723.0"/>
        <n v="116.0"/>
        <n v="137.0"/>
        <n v="342.0"/>
        <n v="520.0"/>
        <n v="466.0"/>
        <n v="195.0"/>
        <n v="731.0"/>
        <n v="280.0"/>
        <n v="685.0"/>
        <n v="473.0"/>
        <n v="596.0"/>
        <n v="297.0"/>
        <n v="152.0"/>
        <n v="208.0"/>
        <n v="545.0"/>
        <n v="579.0"/>
        <n v="159.0"/>
        <n v="766.0"/>
        <n v="295.0"/>
        <n v="213.0"/>
        <n v="733.0"/>
        <n v="132.0"/>
        <n v="498.0"/>
        <n v="428.0"/>
        <n v="390.0"/>
        <n v="343.0"/>
        <n v="530.0"/>
        <n v="374.0"/>
        <n v="787.0"/>
        <n v="751.0"/>
        <n v="370.0"/>
        <n v="348.0"/>
        <n v="529.0"/>
        <n v="682.0"/>
        <n v="376.0"/>
        <n v="309.0"/>
        <n v="421.0"/>
        <n v="303.0"/>
        <n v="732.0"/>
        <n v="234.0"/>
        <n v="691.0"/>
        <n v="331.0"/>
        <n v="519.0"/>
        <n v="308.0"/>
        <n v="487.0"/>
        <n v="606.0"/>
        <n v="695.0"/>
        <n v="186.0"/>
        <n v="341.0"/>
        <n v="386.0"/>
        <n v="389.0"/>
        <n v="615.0"/>
        <n v="728.0"/>
        <n v="160.0"/>
        <n v="248.0"/>
        <n v="486.0"/>
        <n v="387.0"/>
        <n v="375.0"/>
        <n v="385.0"/>
        <n v="607.0"/>
        <n v="518.0"/>
        <n v="664.0"/>
        <n v="340.0"/>
        <n v="642.0"/>
        <n v="851.0"/>
        <n v="811.0"/>
        <n v="443.0"/>
        <n v="144.0"/>
        <n v="311.0"/>
        <n v="668.0"/>
        <n v="302.0"/>
        <n v="453.0"/>
        <n v="369.0"/>
        <n v="665.0"/>
        <n v="442.0"/>
        <n v="451.0"/>
        <n v="693.0"/>
        <n v="749.0"/>
        <n v="788.0"/>
        <n v="524.0"/>
        <n v="777.0"/>
        <n v="202.0"/>
        <n v="300.0"/>
        <n v="819.0"/>
        <n v="765.0"/>
        <n v="834.0"/>
        <n v="235.0"/>
        <n v="745.0"/>
        <n v="256.0"/>
        <n v="648.0"/>
        <n v="525.0"/>
        <n v="203.0"/>
        <n v="620.0"/>
        <n v="562.0"/>
        <n v="823.0"/>
        <n v="829.0"/>
        <n v="536.0"/>
        <n v="194.0"/>
        <n v="872.0"/>
        <n v="836.0"/>
        <n v="809.0"/>
        <n v="697.0"/>
        <n v="214.0"/>
        <n v="833.0"/>
        <n v="236.0"/>
        <n v="345.0"/>
        <n v="649.0"/>
        <n v="475.0"/>
        <n v="549.0"/>
        <n v="621.0"/>
        <n v="294.0"/>
        <n v="719.0"/>
        <n v="752.0"/>
        <n v="347.0"/>
        <n v="241.0"/>
        <n v="673.0"/>
        <n v="315.0"/>
        <n v="230.0"/>
        <n v="878.0"/>
        <n v="810.0"/>
        <n v="555.0"/>
        <n v="301.0"/>
        <n v="273.0"/>
        <n v="718.0"/>
        <n v="175.0"/>
        <n v="828.0"/>
        <n v="563.0"/>
        <n v="694.0"/>
        <n v="231.0"/>
        <n v="750.0"/>
        <n v="580.0"/>
        <n v="716.0"/>
        <n v="825.0"/>
        <n v="449.0"/>
        <n v="554.0"/>
        <n v="255.0"/>
        <n v="582.0"/>
        <n v="566.0"/>
        <n v="452.0"/>
        <n v="692.0"/>
        <n v="717.0"/>
        <n v="746.0"/>
        <n v="737.0"/>
        <n v="837.0"/>
        <n v="672.0"/>
        <n v="441.0"/>
        <n v="822.0"/>
        <n v="379.0"/>
        <n v="508.0"/>
        <n v="748.0"/>
        <n v="382.0"/>
        <n v="799.0"/>
        <n v="778.0"/>
        <n v="538.0"/>
        <n v="497.0"/>
        <n v="855.0"/>
        <n v="858.0"/>
        <n v="346.0"/>
        <n v="112.0"/>
        <n v="397.0"/>
        <n v="553.0"/>
        <n v="121.0"/>
        <n v="263.0"/>
        <n v="324.0"/>
        <n v="860.0"/>
        <n v="808.0"/>
        <n v="678.0"/>
        <n v="197.0"/>
        <n v="876.0"/>
        <n v="149.0"/>
        <n v="163.0"/>
        <n v="503.0"/>
        <n v="414.0"/>
        <n v="468.0"/>
        <n v="807.0"/>
        <n v="738.0"/>
        <n v="504.0"/>
        <n v="867.0"/>
        <n v="171.0"/>
        <n v="434.0"/>
        <n v="120.0"/>
        <n v="189.0"/>
        <n v="713.0"/>
        <n v="459.0"/>
        <n v="506.0"/>
        <n v="435.0"/>
        <n v="262.0"/>
        <n v="384.0"/>
        <n v="354.0"/>
        <n v="408.0"/>
        <n v="479.0"/>
        <n v="332.0"/>
        <n v="148.0"/>
        <n v="567.0"/>
        <n v="423.0"/>
        <n v="460.0"/>
        <n v="467.0"/>
        <n v="661.0"/>
        <n v="325.0"/>
        <n v="350.0"/>
        <n v="622.0"/>
        <n v="261.0"/>
        <n v="426.0"/>
        <n v="184.0"/>
        <n v="199.0"/>
        <n v="143.0"/>
        <n v="865.0"/>
        <n v="609.0"/>
        <n v="831.0"/>
        <n v="763.0"/>
        <n v="597.0"/>
        <n v="356.0"/>
        <n v="689.0"/>
        <n v="830.0"/>
        <n v="193.0"/>
        <n v="178.0"/>
        <n v="824.0"/>
        <n v="425.0"/>
        <n v="849.0"/>
        <n v="424.0"/>
        <n v="352.0"/>
        <n v="383.0"/>
        <n v="623.0"/>
        <n v="702.0"/>
        <n v="572.0"/>
        <n v="365.0"/>
        <n v="703.0"/>
        <n v="594.0"/>
        <n v="634.0"/>
        <n v="671.0"/>
        <n v="656.0"/>
        <n v="364.0"/>
        <n v="299.0"/>
        <n v="237.0"/>
        <n v="264.0"/>
        <n v="812.0"/>
        <n v="714.0"/>
        <n v="747.0"/>
        <n v="380.0"/>
        <n v="796.0"/>
        <n v="601.0"/>
        <n v="679.0"/>
        <n v="198.0"/>
        <n v="619.0"/>
        <n v="104.0"/>
        <n v="611.0"/>
        <n v="674.0"/>
        <n v="222.0"/>
        <n v="187.0"/>
        <n v="629.0"/>
        <n v="403.0"/>
        <n v="470.0"/>
        <n v="402.0"/>
        <n v="269.0"/>
        <n v="630.0"/>
        <n v="330.0"/>
        <n v="720.0"/>
        <n v="505.0"/>
        <n v="259.0"/>
        <n v="240.0"/>
        <n v="188.0"/>
        <n v="802.0"/>
        <n v="537.0"/>
        <n v="404.0"/>
        <n v="517.0"/>
        <n v="626.0"/>
        <n v="166.0"/>
        <n v="122.0"/>
        <n v="618.0"/>
        <n v="628.0"/>
        <n v="509.0"/>
        <n v="105.0"/>
        <n v="600.0"/>
        <n v="277.0"/>
        <n v="406.0"/>
        <n v="238.0"/>
        <n v="326.0"/>
        <n v="516.0"/>
        <n v="565.0"/>
        <n v="839.0"/>
        <n v="407.0"/>
        <n v="653.0"/>
        <n v="856.0"/>
        <n v="571.0"/>
        <n v="866.0"/>
        <n v="270.0"/>
        <n v="633.0"/>
        <n v="783.0"/>
        <n v="742.0"/>
        <n v="575.0"/>
        <n v="610.0"/>
        <n v="861.0"/>
        <n v="755.0"/>
        <n v="670.0"/>
        <n v="239.0"/>
        <n v="684.0"/>
        <n v="377.0"/>
        <n v="271.0"/>
        <n v="174.0"/>
        <n v="635.0"/>
        <n v="576.0"/>
        <n v="164.0"/>
        <n v="165.0"/>
        <n v="564.0"/>
        <n v="838.0"/>
        <n v="405.0"/>
        <n v="481.0"/>
        <n v="258.0"/>
        <n v="847.0"/>
        <n v="857.0"/>
        <n v="204.0"/>
        <n v="278.0"/>
        <n v="532.0"/>
        <n v="640.0"/>
        <n v="535.0"/>
        <n v="859.0"/>
        <n v="850.0"/>
        <n v="336.0"/>
        <n v="436.0"/>
        <n v="337.0"/>
        <n v="145.0"/>
        <n v="631.0"/>
        <n v="242.0"/>
        <n v="515.0"/>
        <n v="676.0"/>
        <n v="363.0"/>
        <n v="602.0"/>
        <n v="151.0"/>
        <n v="196.0"/>
        <n v="359.0"/>
        <n v="797.0"/>
        <n v="293.0"/>
        <n v="437.0"/>
        <n v="776.0"/>
        <n v="378.0"/>
        <n v="179.0"/>
        <n v="493.0"/>
        <n v="756.0"/>
        <n v="292.0"/>
        <n v="353.0"/>
        <n v="445.0"/>
        <n v="310.0"/>
        <n v="514.0"/>
        <n v="478.0"/>
        <n v="312.0"/>
        <n v="351.0"/>
        <n v="413.0"/>
        <n v="862.0"/>
        <n v="142.0"/>
        <n v="785.0"/>
        <n v="446.0"/>
        <n v="138.0"/>
        <n v="253.0"/>
        <n v="117.0"/>
        <n v="218.0"/>
        <n v="129.0"/>
        <n v="395.0"/>
        <n v="119.0"/>
        <n v="124.0"/>
        <n v="675.0"/>
        <n v="440.0"/>
        <n v="496.0"/>
        <n v="304.0"/>
        <n v="803.0"/>
        <n v="59.0"/>
        <n v="60.0"/>
        <n v="62.0"/>
        <n v="63.0"/>
        <n v="64.0"/>
        <n v="65.0"/>
        <n v="66.0"/>
        <n v="71.0"/>
        <n v="78.0"/>
        <n v="79.0"/>
        <n v="80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m/>
      </sharedItems>
    </cacheField>
    <cacheField name="title" numFmtId="0">
      <sharedItems containsBlank="1">
        <s v="New Delhi"/>
        <s v="Indore"/>
        <s v="Lucknow"/>
        <s v="Prayagraj"/>
        <s v="Patna"/>
        <m/>
      </sharedItems>
    </cacheField>
    <cacheField name="email" numFmtId="0">
      <sharedItems containsBlank="1">
        <s v="aryanvats927@gmail.com"/>
        <s v="prathvi2515@gmail.com"/>
        <s v="alok27269@gmail.com"/>
        <s v="namishkarajput8d@gmail.com"/>
        <s v="ayushprabhakar80@gmail.com"/>
        <s v="ranjit221715@mail.com"/>
        <s v="nileshyadav8765@gmail.com"/>
        <s v="grajagraja0987@gmail.com"/>
        <s v="piyushchouhan2593@gmail.com"/>
        <s v="adityakr1901@gmail.com"/>
        <s v="9918313@gmail.com"/>
        <s v="fahadmir1998@gmail.com"/>
        <s v="kumarsetu16.ka@gmail.com"/>
        <s v="alishaahmad1814@gmal.com"/>
        <s v="ritikadalal0216@gmail.com"/>
        <s v="sahilmeher229@gmail.com"/>
        <s v="harshitarai7272@gmail.com"/>
        <s v="Sonukumar912217@gmail.com"/>
        <s v="sp7954364@gmail.com"/>
        <s v="kushikumari@gmail.com"/>
        <s v="sanjanshrirao27@gmail.com"/>
        <s v="aditisrivas14@gmail.com"/>
        <s v="anjjali28@gmail.com"/>
        <s v="gauravyd2095@gmail.com"/>
        <s v="ny68525@gmail.com"/>
        <s v="kashishguru12345@gmail.com"/>
        <s v="shuklavyomax@gmail.com"/>
        <s v="choudharymahimasays@gmail.com"/>
        <s v="suhanikumarimauryaprofessor@gmail.com"/>
        <s v="sanketshukriya2630@gmail.com"/>
        <s v="vansh666806@gmail.com"/>
        <s v="aditipatel45678@gmail.com"/>
        <s v="d14861381@gmail.com"/>
        <s v="rashishy1@gmail.com"/>
        <s v="rohit8210378599@gmail.com"/>
        <s v="pariharrakshita23@gmail.com"/>
        <s v="abhyuday9990@gmail.com"/>
        <s v="khushbujasavat20@gmail.com"/>
        <s v="a3754586@gmail.com"/>
        <s v="aman0800003@gmail.com"/>
        <s v="anushkabankar529@gmail.com"/>
        <s v="anshikam224149@gmail.com"/>
        <s v="dhimanak2004@gmail.com"/>
        <s v="keshrisanya53@gmail.com"/>
        <s v="sb1409948@gmail.com"/>
        <s v="ks1965532@gmail.com"/>
        <s v="tiwarishivank778@gmail.com"/>
        <s v="sandeeprichasaurabh@gmai.com"/>
        <s v="yv5895774@gmail.com"/>
        <s v="prajapatmohit372@gmail.com"/>
        <s v="sy8840381490@gmail.com"/>
        <s v="roshni2007tiwari.05@gmail.com"/>
        <s v="aryanstark2005@gmail.com"/>
        <s v="sakimaurya0806@gmail.com"/>
        <s v="deep32mishra@gmail.com"/>
        <s v="anandsinghhpking@gmail.com"/>
        <s v="rks12122001@gmail.com"/>
        <s v="rajeshkumarmaurya85@yahoo.com"/>
        <s v="namiagrahari19@gmail.com"/>
        <s v="someshpandey89611@gmail.com"/>
        <s v="satishvishwakarma1913199@gmail.com"/>
        <s v="NEETUGUPTA7617@GMAIL.COM"/>
        <s v="shweta252jha@gmail.com"/>
        <s v="kalayidenim@gmail.com"/>
        <s v="ashwanig405@gmail.com"/>
        <s v="jaykumarb931@gmail.com"/>
        <s v="hari8318651390@gmail.com"/>
        <s v="indrajeet821145@gmail.com"/>
        <s v="mbhavna078@gmail.com"/>
        <s v="shantoshpandey43@gmail.com"/>
        <s v="lakshya.guptaforwork@gmail.com"/>
        <s v="pratibharao080@gmail.com"/>
        <s v="pkkumarbc@gmail.com"/>
        <s v="kartiksharma98224@gmail.com"/>
        <s v="sorabhsolankisorabhsolanki1217@gmail.com"/>
        <s v="kuldeeprajpoot9448@gmail.com"/>
        <s v="amishachoudhary956@gmail.com"/>
        <s v="rajankitttttt1405@gmail.com"/>
        <s v="amansunartiya09@gmail.com"/>
        <s v="Rishavyadav@gmail.com"/>
        <s v="nitzsha4@gmail.com"/>
        <s v="jahanviikashyap17@gmail.com"/>
        <s v="naoremp43@gmail.com"/>
        <s v="taigorsatendra806@gmail.com"/>
        <s v="pawank34550@gmail.com"/>
        <s v="prathmesh.archan@gmail.com"/>
        <s v="ashwaniks1234@gmail.com"/>
        <s v="fenrir.v@gmail.com"/>
        <s v="alifarahman@gmail.com"/>
        <s v="ayushtripathi2024@gmail.com"/>
        <s v="nikitabhartiya@gmail.com"/>
        <s v="singhharshita76@gmail.com"/>
        <s v="nehasoni080624@gmail.com"/>
        <s v="thecipher0001@gmail.com"/>
        <s v="sanojkumar0378@gmail.com"/>
        <s v="agraharishriyansh05@gmail.com"/>
        <s v="trendwithmanish@gmail.com"/>
        <s v="mdhaseena1004@gmail.com"/>
        <s v="singhchetan151295@gmail.com"/>
        <s v="lakshmikumari98168@gmail.com"/>
        <s v="nagsoham31@gmail.com"/>
        <s v="tiger009vip@gmail.com"/>
        <s v="hraj42331@gmail.com"/>
        <s v="anurajsingh.0376@gmail.com"/>
        <s v="kumarashutoshyadav4567@gmail.com"/>
        <s v="hridaykushwaha50@gmail.com"/>
        <s v="vibhutibharti5555@gmail.com"/>
        <s v="prajapatianand9999@gmail.com"/>
        <s v="kg082051@gmail.com"/>
        <s v="lokesh2129verma@gmail.com"/>
        <s v="smruthiranjan03@gmail.com"/>
        <s v="prarthanajat4@gmail.com"/>
        <s v="metier18@gmail.com"/>
        <s v="nizammonitor@gmail.com"/>
        <s v="vinayaksingh1556698@gmail.com"/>
        <s v="nowaidbrma123@gmail.com"/>
        <s v="bhartiprajapati4691@gmail.com"/>
        <s v="lakshayrana1406@gmail.com"/>
        <s v="masterabhisheksingh02@gmail.com"/>
        <s v="Chaudharyalinusrat@gmail.com"/>
        <s v="shourypratap8@gmail.com"/>
        <s v="vijayprakash4549@gmail.com"/>
        <s v="naincyofficial5@gmail.com"/>
        <s v="hemantsingh203203@gmail.com"/>
        <s v="ayushkumarahirwar877@gmail.com"/>
        <s v="aditigulia9@gmail.com"/>
        <s v="raghvendraraj8080@gmail.com"/>
        <s v="Gyan94422@gmail.com"/>
        <s v="galsinghsolanki40@gmail.com"/>
        <s v="rajkumar91296349@gmail.com"/>
        <s v="anushkachoubey56@gmail.com"/>
        <s v="shivanikrishan123456@gmail.com"/>
        <s v="apoorvaydv4959@gmail.com"/>
        <s v="dipeekameda32.36@gmail.com"/>
        <s v="SunainaKumari@gmail.com"/>
        <s v="tripathishwetank5@gmail.com"/>
        <s v="Pihu.kashyappppp@gmail.com"/>
        <s v="shriramc758@gmail.com"/>
        <s v="rakhisankhla799@gmail.com"/>
        <s v="gurjarkhushi7963@gmail.com"/>
        <s v="samarthsengar01@gmail.com"/>
        <s v="33348swechchhapandey9c@gmail.com"/>
        <s v="armita1207s@gmail.com"/>
        <s v="salameambika9@gmail.com"/>
        <s v="vs8473676@gmail.com"/>
        <s v="gautmisingh04@gmail.com"/>
        <s v="vishakhasinghyadav00@gmail.com"/>
        <s v="abdularij2007@gmail.com"/>
        <s v="anujbiswan03@gmail.com"/>
        <s v="priyamsoni210@gmail.com"/>
        <s v="prateektiwarinps9800@gmail.com"/>
        <s v="varunpandey79@gmail.com"/>
        <s v="ankitpandeysln2018@gmail.com"/>
        <s v="jjessicasingh1@gmail.com"/>
        <s v="sakshi04252218@gmail.com"/>
        <s v="bhatiaabhinav964@gmail.com"/>
        <s v="AYANGADYADAV638@GMAIL.COM"/>
        <s v="jawaharuikey1671@gmail.com"/>
        <s v="vishalthavliya2@gmail.com"/>
        <s v="adityamodanwal56@gmail.com"/>
        <s v="007gautamaryan@gmail.com"/>
        <s v="shreyanagar56@gmail.com"/>
        <s v="ayushsrivastava556@gmail.com"/>
        <s v="jeetaryan20866@gmail.com"/>
        <s v="buntyrathor007@gmail.com"/>
        <s v="impreeti2005@gmail.com"/>
        <s v="tarun9950214514@gmail.com"/>
        <s v="aashi25march@gmail.com"/>
        <s v="snghprithviraj631@gmail.com"/>
        <s v="jaykantsinha123@gmail.com"/>
        <s v="jupadhyaya058@gmail.com"/>
        <s v="ujjwal.yadav.2414@gmail.com"/>
        <s v="akashvaidwan123@gmail.com"/>
        <s v="gauravsinghsiwan8800@gmail.com"/>
        <s v="goldyychaudharyy51@gmail.com"/>
        <s v="ankitasingh21102003@gmail.com"/>
        <s v="komal.pandey8178@gmail.com"/>
        <s v="deepakdhiman8004@gmail.com"/>
        <s v="stopwastingtime770@gmail.com"/>
        <s v="aditya2008du@gmail.com"/>
        <s v="rohitmore4300@gmail.com"/>
        <s v="kumarprince33899@gmail.com"/>
        <s v="nisharaj3432@gmail.com"/>
        <s v="divyanshdubey1605@gmail.com"/>
        <s v="princessbrd7@gmail.com"/>
        <s v="noorsharma0410@gmail.com"/>
        <s v="tengchangdshira@gmail.com"/>
        <s v="singhhrijul@gmail.com"/>
        <s v="aayuugoswami@gmail.com"/>
        <s v="sudha.rani12627272@gmail.com"/>
        <s v="vaibhavyadav10052005@gmail.com"/>
        <s v="pratishtharasaily@gmail.com"/>
        <s v="muskanverma9450@gmail.com"/>
        <s v="Avinashkumarsoniias@gmail.com"/>
        <s v="sindoor2020@gmail.com"/>
        <s v="chhavi01040@gmail.com"/>
        <s v="robinsinghjee@gmail.com"/>
        <s v="acmachandan24@gmail.com"/>
        <s v="advgautamsingh1kbc@gmail.com"/>
        <s v="sushilmaurya7379@gmail.com"/>
        <s v="nitish3671@gmail.com"/>
        <s v="nandmishra2211@gmail.com"/>
        <s v="shuklarunak19@gmail.com"/>
        <s v="ks4172665@gmail.com"/>
        <s v="nisharajakgurniya.2007@gmail.com"/>
        <s v="kisansingh4840@gmail.com"/>
        <s v="Tanmay8508@gmail.com"/>
        <s v="vivkyyadav33855@gmail.com"/>
        <s v="rakshandabusiness3@gmail.com"/>
        <s v="princesschoudhary847@gmail.com"/>
        <s v="patidarreena291@gmail.com"/>
        <s v="sachinkushwah3256@gmail.com"/>
        <s v="onlineneha123321@gmail.com"/>
        <s v="pihukr2007@gmail.com"/>
        <s v="chinthamavaneesh1704@gmail.com"/>
        <s v="swarnaavula2@gmail.com"/>
        <s v="shreyakushwaha0105@gmail.com"/>
        <s v="zuhaibgujjar69@gmai.com"/>
        <s v="tdhkrishnagupta11@gmail.com"/>
        <s v="vivekkajla168@gmail.com"/>
        <s v="Kashyapshreyansh53@gmail.com"/>
        <s v="sdpatel9839@gmail.com"/>
        <s v="rimjhim238@gmail.com"/>
        <s v="bajajbajaj2006@gmail.com"/>
        <s v="anshukuntal41@gmail.com"/>
        <s v="shivangisingh5902@gmail.com"/>
        <s v="armankujur987@gmail.com"/>
        <s v="bhalseayush777@gmail.com"/>
        <s v="nehayv.4888@gmail.com"/>
        <s v="yashrajs9700@gmail.com"/>
        <s v="shiki_mig25@gmail.com"/>
        <s v="shivam70265@gmail.com"/>
        <s v="priyankakaimur1@gmail.com"/>
        <s v="aqsaq9805@gmail.com"/>
        <s v="manishmaurya1772@gmail.com"/>
        <s v="srinathnishad6@gmail.com"/>
        <s v="dg8010003@gmail.com"/>
        <s v="aradhyaagrawal79872@gmail.com"/>
        <s v="swetakushwah58@gmail.com"/>
        <s v="nayaknivedita2@gmail.com"/>
        <s v="shreyaharwai35@gmail.com"/>
        <s v="komalvishwakarma383@gmail.com"/>
        <s v="hansdaboy12@gmail.com"/>
        <s v="neha1174622@gmail.com"/>
        <s v="23kartiksinghal@gmail.com"/>
        <s v="princesinghrajawat200@gmail.com"/>
        <s v="amitchakraborty2801@gmail.com"/>
        <s v="khushimaurya8473@gmail.com"/>
        <s v="Varunbarman2003@gmail.com"/>
        <s v="jbsonkar143@gmail.com"/>
        <s v="kishankumarsaroj528@gmail.com"/>
        <s v="ritiktiwa1999@gmail.com"/>
        <s v="tanishaverma047@gmail.com"/>
        <s v="anuskaa0220@gmail.com"/>
        <s v="tanupriyanisha3117@gmail.com"/>
        <s v="harshitsrivastav0001@gmail.com"/>
        <s v="jhakshama15@gmail.com"/>
        <s v="gautampoonam468@gmail.com"/>
        <s v="ankitbhagat024@gmail.com"/>
        <s v="kumarasalbd@gmail.com"/>
        <s v="fgdhjgkh@gmail.com"/>
        <s v="nntakalkar2229@gmail.com"/>
        <s v="kalpananishad101@gmail.com"/>
        <s v="20muskansharma0712@gmail.com"/>
        <s v="yadavvedansh07@gmail.com"/>
        <s v="anannyahazarika396@gmail.com"/>
        <s v="deekshap346@gmail.com"/>
        <s v="mridulporush30@gmail.com"/>
        <s v="kushwahsuraj17@gmail.com"/>
        <s v="kajalkumariabhis@gmail.com"/>
        <s v="mandavisinghgharwarbarokhar@gmail.com"/>
        <s v="devansh.nitbhopal@gmail.com"/>
        <s v="archananishi8955@gmail.com"/>
        <s v="sarmah.rishiraj01@gmail.com"/>
        <s v="kinkarkkumarpandey@gmail.com"/>
        <s v="Jadonkajal@gmail.com"/>
        <s v="saurabh9990k@gmail.com"/>
        <s v="addyaddy626595@gmail.com"/>
        <s v="manjeekumar3198@gmail.com"/>
        <s v="omm48756@gmail.com"/>
        <s v="9170spandey@gmail.com"/>
        <s v="gitendradewangan7@gmail.com"/>
        <s v="shivshankarjaiswal102@gmail.com"/>
        <s v="priyasingh28317@gmail.com"/>
        <s v="sushilgolumaurya5555@gmail.com"/>
        <s v="varsharaj076@gmail.com"/>
        <s v="anugoyal2910@gmail.com"/>
        <s v="amanlibro983@gmail.com"/>
        <s v="tanmaysolanki008@gmail.com"/>
        <s v="shivam98485@gmail.com"/>
        <s v="adwikashukla16@gmail.com"/>
        <s v="vetdevduvasu@gmail.com"/>
        <s v="raniverma107200@gmail.com"/>
        <s v="sram68608@gmail.com"/>
        <s v="tripathiakanksha1530@gmail.com"/>
        <s v="raja@gmail.com"/>
        <s v="krpiyushmaurya@gmail.com"/>
        <s v="vaishnabimahata@gmail.com"/>
        <s v="DEVMANISAROJ9451@GMAIL.COM"/>
        <s v="syedrushda1@gmail.com"/>
        <s v="nidhi8960122938@gmail.com"/>
        <s v="krishnabijoy2000@gmail.com"/>
        <s v="ishapathak8@gmail.com"/>
        <s v="suhanashah256@gmail.com"/>
        <s v="sonamrani98355@gmail.com"/>
        <s v="purnimakeshwarwani1@gmail.com"/>
        <s v="mushairakhan6@gmail.com"/>
        <s v="namritasingh1304@gmail.com"/>
        <s v="Mithlish704@gmail.com"/>
        <s v="abbasnasirsyed73@gmail.com"/>
        <s v="kumarbindashutosh05@gmail.com"/>
        <s v="gyanu14315052002@gmail.com"/>
        <s v="Pranshustp041@gmail.com"/>
        <s v="Saimamasoodalam@gmail.com"/>
        <s v="jainkanchi678@gmail.com"/>
        <s v="rupamaddheshiya01@gmail.com"/>
        <s v="shanukumar7761@gmail.com"/>
        <s v="lugloadvedant@gmail.com"/>
        <s v="alokpratap226@gmail.com"/>
        <s v="avnesh7471@gmail.com"/>
        <s v="xcluzive.ai@gmail.com"/>
        <s v="kumaranand45615@gmail.com"/>
        <s v="shwetawin25@gmail.com"/>
        <s v="rohitkumarvijayk@gmail.com"/>
        <s v="nishakotra2006@gmail.com"/>
        <s v="smillingsatyam5284@gmail.com"/>
        <s v="girwalmansi2004@gmail.com"/>
        <s v="humeshdiwan2003@gmail.com"/>
        <s v="jamresachin584@gmail.com"/>
        <s v="rituraj664@gmail.com"/>
        <s v="utsavumang75@gmail.com"/>
        <s v="lavanyachoudhary928@gmail.com"/>
        <s v="s.chaitali1009@gmail.com"/>
        <s v="pawarpurnesh@gmail.com"/>
        <s v="deependrathakur567@gmail.com"/>
        <s v="bidhalatasha@gmail.com"/>
        <s v="muskanbehl05@gmail.com"/>
        <s v="sl3590833@gmail.com"/>
        <s v="aksharaap0906@gmail.com"/>
        <s v="Badelaltiwari003@gmail.com"/>
        <s v="sanginijalota242@gmail.com"/>
        <s v="falakjnp97@gmail.com"/>
        <s v="salonityagi340@gmail.com"/>
        <s v="vsbadghare2007@gmail.com"/>
        <s v="hardikuttreja@gmail.com"/>
        <s v="khushidnmps1608@gmail.com"/>
        <s v="deepeshattri@gmail.com"/>
        <s v="Aayshag0@gmail.com"/>
        <s v="gauravbaliyan03022003@gmail.com"/>
        <s v="Afzalsiddiqui227@gmail.com"/>
        <s v="snehakori2016@gmail.com"/>
        <s v="aryanthapa2909@gmail.com"/>
        <s v="khushboochouhan63758@gmail.com"/>
        <m/>
      </sharedItems>
    </cacheField>
    <cacheField name="name" numFmtId="0">
      <sharedItems containsBlank="1">
        <s v="Aryan"/>
        <s v="Prathvi Sharma"/>
        <s v="Alok"/>
        <s v="Namishka"/>
        <s v="Ayush"/>
        <s v="Ranjit"/>
        <s v="Nilesh yadav"/>
        <s v="Raj kumari"/>
        <s v="Piyush"/>
        <s v="Anjali kumari"/>
        <s v="Ashish"/>
        <s v="FAHA IRSHAD MIR"/>
        <s v="Kumar Setu"/>
        <s v="Alisha"/>
        <s v="Ritika"/>
        <s v="Sahil"/>
        <s v="Harshita Rai"/>
        <s v="Ashutosh kumar"/>
        <s v="Satya Prakash Verma"/>
        <s v="Shiwangi kumari"/>
        <s v="Sanjan shrirao"/>
        <s v="Aditi Srivas"/>
        <s v="ANJALI YADAV"/>
        <s v="Manisha Yadav"/>
        <s v="Neha"/>
        <s v="Kashish"/>
        <s v="Vyomesh Shukla"/>
        <s v="Mahima Choudhary"/>
        <s v="Suhani Kumari"/>
        <s v="Sanket"/>
        <s v="Vansh"/>
        <s v="Aditi"/>
        <s v="Deeksha"/>
        <s v="Ashish yadav"/>
        <s v="Rohit Kumar"/>
        <s v="Rakshita Parihar"/>
        <s v="Abhyuday singh"/>
        <s v="Khushbu Jasavat"/>
        <s v="Amit"/>
        <s v="Aman"/>
        <s v="Anushka Bankar"/>
        <s v="Anshika"/>
        <s v="Akshay"/>
        <s v="Sanya"/>
        <s v="SURAJ"/>
        <s v="Komal"/>
        <s v="Shiwank"/>
        <s v="Sandeep"/>
        <s v="Vivek Lav Yadav"/>
        <s v="Mohit prajapat"/>
        <s v="Suraj yadav"/>
        <s v="ROSANI TIWARI"/>
        <s v="Sakshi"/>
        <s v="Ved Prakash Mishra"/>
        <s v="Anand pratap singh"/>
        <s v="Rakesh kumar"/>
        <s v="Rajesh kumar"/>
        <s v="Nami Agrahari"/>
        <s v="Soumesh pandey"/>
        <s v="Satish"/>
        <s v="Neetu"/>
        <s v="Shweta Kumari"/>
        <s v="Denim"/>
        <s v="Ashwani Singh"/>
        <s v="Jay kumar"/>
        <s v="Hariom Singh"/>
        <s v="INDRAJEET"/>
        <s v="Bhavna mishra"/>
        <s v="Sudhkar"/>
        <s v="lakshya"/>
        <s v="Pratibha"/>
        <s v="Praveen Kumar"/>
        <s v="Kartik"/>
        <s v="Sorabh solanki"/>
        <s v="Kuldeep rajpoot"/>
        <s v="Amisha choudhary"/>
        <s v="Ankit"/>
        <s v="Aman sunartiya"/>
        <s v="Rishav Kumar"/>
        <s v="Nitish"/>
        <s v="Jahanvi Kashyap"/>
        <s v="Preety"/>
        <s v="Satendra Kumar yadav"/>
        <s v="Pawan Kumar Sharma"/>
        <s v="Prathmesh Kumar Gupta"/>
        <s v="Ashwani Kumar"/>
        <s v="Alifa rahman"/>
        <s v="Nikita"/>
        <s v="Harshita"/>
        <s v="Neha soni"/>
        <s v="Prince Patwa"/>
        <s v="Sanoj"/>
        <s v="Shreyansh Agrahari"/>
        <s v="Manish Kumar"/>
        <s v="Haseena"/>
        <s v="Chetan singh"/>
        <s v="lakshmi"/>
        <s v="Soham nag"/>
        <s v="Shivam"/>
        <s v="Harsh raj"/>
        <s v="Anuraj singh"/>
        <s v="Ashutosh"/>
        <s v="Hriday Kushwaha"/>
        <s v="vibhuti bharti"/>
        <s v="Anand Kumar Prajapati"/>
        <s v="kajal"/>
        <s v="Lokesh"/>
        <s v="Ranjan"/>
        <s v="Prarthana Jat"/>
        <s v="SHASHIKANT TIWARI"/>
        <s v="Ahamad"/>
        <s v="Vinayak"/>
        <s v="Nowai"/>
        <s v="Bharti Prajapati"/>
        <s v="LAKSHAY"/>
        <s v="Abhishek singh"/>
        <s v="ali"/>
        <s v="Shaurya"/>
        <s v="Vijay"/>
        <s v="Naincy Tripathi"/>
        <s v="Hemant Kumar Singh"/>
        <s v="Ayush kumar ahirwar"/>
        <s v="aditi gulia"/>
        <s v="brijendra"/>
        <s v="Gyan Prakash"/>
        <s v="Galsingh Solanki"/>
        <s v="Raj kumar"/>
        <s v="Anushka"/>
        <s v="Pooja Chaurasiya"/>
        <s v="Apoorva Yadav"/>
        <s v="DEEPIKA MEDA"/>
        <s v="Sunaina"/>
        <s v="Shwetank Tripathi"/>
        <s v="Shalu Kumari"/>
        <s v="Shreeram Chouhan"/>
        <s v="Rakhi"/>
        <s v="Khushi gurjar"/>
        <s v="Shanu sengar"/>
        <s v="Swchchha pandey"/>
        <s v="Armita Singh"/>
        <s v="Ambika salame"/>
        <s v="Vikram singh"/>
        <s v="Gautmi"/>
        <s v="Vishakha Singh Yadav"/>
        <s v="Abdul Arij"/>
        <s v="Anuj Kumar"/>
        <s v="shyam soni"/>
        <s v="Prateek Tiwari"/>
        <s v="Varun"/>
        <s v="Ankit pandey"/>
        <s v="Jessica kumari"/>
        <s v="Abhinav bhatia"/>
        <s v="Angad YADAV"/>
        <s v="Meena uikey"/>
        <s v="Vishal thavliya"/>
        <s v="Aditya Modanwal"/>
        <s v="Aryan Gautam"/>
        <s v="Shreya nagar"/>
        <s v="Ayush Prakash"/>
        <s v="Jagjeet Singh"/>
        <s v="Vishal"/>
        <s v="Preeti kumari"/>
        <s v="Tarun"/>
        <s v="Yougenderi"/>
        <s v="Prithviraj singh"/>
        <s v="Jaikant Sinha"/>
        <s v="shubhi upadhaya"/>
        <s v="Ujjwal yadav"/>
        <s v="Akash vaidwan"/>
        <s v="Aalok kumar"/>
        <s v="Jaishal"/>
        <s v="Ankita Singh"/>
        <s v="Deepak Dhiman"/>
        <s v="Saumya Singh"/>
        <s v="Aditya"/>
        <s v="Rohit more"/>
        <s v="Prince"/>
        <s v="Nisha Raj"/>
        <s v="Divyansh Dubey"/>
        <s v="Princess Barode"/>
        <s v="Noor Sharma"/>
        <s v="Tengchang D Shira"/>
        <s v="Rijul"/>
        <s v="Ayushi Giri"/>
        <s v="Prem Pratap"/>
        <s v="Vaibhav Pratap"/>
        <s v="Pratishta"/>
        <s v="Priyanka"/>
        <s v="Deepmala"/>
        <s v="Chhavi Rani"/>
        <s v="Chandan"/>
        <s v="Gautam Singh"/>
        <s v="Sushil Maurya"/>
        <s v="Nitish kumar"/>
        <s v="B.N Mishra"/>
        <s v="Ronak"/>
        <s v="Krishnapal Sisodiya"/>
        <s v="Nisha Rajak"/>
        <s v="Shashwat Singh"/>
        <s v="Tanmay Shanker"/>
        <s v="Vicky yadav"/>
        <s v="Rakshanda dinesh Gedam"/>
        <s v="PRINCESS CHOUDHARY"/>
        <s v="Reena patidar"/>
        <s v="Sachin"/>
        <s v="Neha Kumari"/>
        <s v="Pihu Kumari"/>
        <s v="Chintham Avaneesh"/>
        <s v="Swarna Kumari"/>
        <s v="Shreya Kushwaha"/>
        <s v="Zuhaib"/>
        <s v="Krishna"/>
        <s v="VIVEK KAJLA"/>
        <s v="Shreyansh"/>
        <s v="Shivani Patel"/>
        <s v="Rimjhim"/>
        <s v="Anshu"/>
        <s v="Shivangi singh"/>
        <s v="Arman kujur"/>
        <s v="Aayush bhalse"/>
        <s v="Neha Yadav"/>
        <s v="yash Siriya"/>
        <s v="Shrikant"/>
        <s v="Ayush Bhartiya"/>
        <s v="Priyanka Gupta"/>
        <s v="Aqsha Qureshi"/>
        <s v="Manish Maurya"/>
        <s v="Shri Nath Nishad"/>
        <s v="DEEPAK KUMAR GUPTA"/>
        <s v="Aradhya Agarwal"/>
        <s v="Shweta"/>
        <s v="nivedita nayak"/>
        <s v="Shreya modanwal"/>
        <s v="Komal Vishwakarma"/>
        <s v="Akhir"/>
        <s v="Neha Singh"/>
        <s v="Kartik Singh"/>
        <s v="Prince singh rajawat"/>
        <s v="Khushi Maurya"/>
        <s v="Varun Sudhanshu"/>
        <s v="Jang Bahadur"/>
        <s v="Kishan Kumarsaroj"/>
        <s v="Ritik Tiwari"/>
        <s v="Tanisha"/>
        <s v="TANU PRIYA"/>
        <s v="Harshit"/>
        <s v="Kshama Jha"/>
        <s v="Poonam gautam"/>
        <s v="Ankit Bhagat"/>
        <s v="Ankit Sahu"/>
        <s v="Rishabh Tiwari"/>
        <s v="Nishant"/>
        <s v="Kalpana"/>
        <s v="Muskan Sharma"/>
        <s v="Vedansh Yadav"/>
        <s v="Anannya"/>
        <s v="Deeksha pandey"/>
        <s v="Mridul singh"/>
        <s v="Suraj kushwah"/>
        <s v="Kajal kumari"/>
        <s v="Mandavi Singh"/>
        <s v="Devansh Bhargava"/>
        <s v="Archana Yadav"/>
        <s v="Rishiraj sharma"/>
        <s v="Nandita pandey"/>
        <s v="Kajal Jadon"/>
        <s v="Saurabh Kumar"/>
        <s v="Ayush Sevetiya"/>
        <s v="Manjee"/>
        <s v="mrityunjay mishra"/>
        <s v="Shivam Pandey"/>
        <s v="Gitendra Dewangan"/>
        <s v="shivshankar kumar"/>
        <s v="Priya"/>
        <s v="Sushil kumar maurya"/>
        <s v="Varsha Raj"/>
        <s v="Anushka Raj"/>
        <s v="Tanmay Solanki"/>
        <s v="Shivam Kumar"/>
        <s v="Ishita"/>
        <s v="Dev Sharma"/>
        <s v="Rani Verma"/>
        <s v="Ram Sharma"/>
        <s v="Akanksha Tripathi"/>
        <s v="Raja Ranjan"/>
        <s v="PIYUSH MAURYA"/>
        <s v="vaishnabi"/>
        <s v="devmani saroj"/>
        <s v="Syed Rushda Fatima"/>
        <s v="Tanu"/>
        <s v="BIJOY KRISHNA HAZARIKA"/>
        <s v="Isha pathak"/>
        <s v="Suhana shah"/>
        <s v="Sonam rani"/>
        <s v="Purnima kesarwani"/>
        <s v="Mubshara Khan"/>
        <s v="namrita singh"/>
        <s v="Mithlesh"/>
        <s v="SYED NASIR ABBAS"/>
        <s v="Gyanendra chaubey"/>
        <s v="Pranshu Chaturved"/>
        <s v="Saima masood"/>
        <s v="Kanchi jain"/>
        <s v="Rupa"/>
        <s v="Shanu Kumar"/>
        <s v="Vedant Mishra"/>
        <s v="Alok Singh"/>
        <s v="AVNESH YADAV"/>
        <s v="risbha"/>
        <s v="NISHA"/>
        <s v="Saurav"/>
        <s v="Mansi girwal"/>
        <s v="Humesh Diwan"/>
        <s v="Sachin Jamre"/>
        <s v="Ruturaj"/>
        <s v="Utsav"/>
        <s v="Lavanya"/>
        <s v="Chaitali Singh"/>
        <s v="Purnesh panwar"/>
        <s v="Deependra Singh Thakur"/>
        <s v="latasha"/>
        <s v="Muskan Behl"/>
        <s v="swati"/>
        <s v="Akshara AP"/>
        <s v="Badelal"/>
        <s v="sangani"/>
        <s v="Falak khn"/>
        <s v="Saloni Tyagi"/>
        <s v="Vaishnavi Badghare"/>
        <s v="Hardik Uttreja"/>
        <s v="KHUSHI KUMARI"/>
        <s v="deepesh attri"/>
        <s v="Aaysha Gouri"/>
        <s v="Saurav rai"/>
        <s v="Gaurav Baliyan"/>
        <s v="Deepmala ."/>
        <s v="Afzal siddiqi"/>
        <s v="DR Sneha"/>
        <s v="Aryan Thapa"/>
        <s v="Khushboo ."/>
        <s v="sangani Jalota"/>
        <m/>
      </sharedItems>
    </cacheField>
    <cacheField name="user_id" numFmtId="0">
      <sharedItems containsString="0" containsBlank="1" containsNumber="1" containsInteger="1">
        <n v="96169.0"/>
        <n v="126108.0"/>
        <n v="127566.0"/>
        <n v="31782.0"/>
        <n v="110855.0"/>
        <n v="46422.0"/>
        <n v="88177.0"/>
        <n v="70130.0"/>
        <n v="78492.0"/>
        <n v="139300.0"/>
        <n v="39331.0"/>
        <n v="133212.0"/>
        <n v="122970.0"/>
        <n v="133169.0"/>
        <n v="126075.0"/>
        <n v="130021.0"/>
        <n v="129240.0"/>
        <n v="120562.0"/>
        <n v="123029.0"/>
        <n v="127724.0"/>
        <n v="122274.0"/>
        <n v="126732.0"/>
        <n v="124723.0"/>
        <n v="134615.0"/>
        <n v="124097.0"/>
        <n v="40215.0"/>
        <n v="110726.0"/>
        <n v="120715.0"/>
        <n v="29086.0"/>
        <n v="92076.0"/>
        <n v="133072.0"/>
        <n v="120500.0"/>
        <n v="126857.0"/>
        <n v="107371.0"/>
        <n v="128605.0"/>
        <n v="79530.0"/>
        <n v="127463.0"/>
        <n v="42045.0"/>
        <n v="133174.0"/>
        <n v="133176.0"/>
        <n v="123052.0"/>
        <n v="127273.0"/>
        <n v="88384.0"/>
        <n v="125023.0"/>
        <n v="80125.0"/>
        <n v="126120.0"/>
        <n v="14600.0"/>
        <n v="36197.0"/>
        <n v="139365.0"/>
        <n v="124593.0"/>
        <n v="78973.0"/>
        <n v="123403.0"/>
        <n v="123511.0"/>
        <n v="122267.0"/>
        <n v="126849.0"/>
        <n v="36232.0"/>
        <n v="124460.0"/>
        <n v="107270.0"/>
        <n v="63916.0"/>
        <n v="129293.0"/>
        <n v="120258.0"/>
        <n v="124058.0"/>
        <n v="126958.0"/>
        <n v="123514.0"/>
        <n v="32934.0"/>
        <n v="127313.0"/>
        <n v="76874.0"/>
        <n v="20568.0"/>
        <n v="130793.0"/>
        <n v="139366.0"/>
        <n v="89109.0"/>
        <n v="133215.0"/>
        <n v="123696.0"/>
        <n v="112266.0"/>
        <n v="124285.0"/>
        <n v="127149.0"/>
        <n v="127272.0"/>
        <n v="129294.0"/>
        <n v="126176.0"/>
        <n v="126967.0"/>
        <n v="123406.0"/>
        <n v="83209.0"/>
        <n v="122252.0"/>
        <n v="68558.0"/>
        <n v="127255.0"/>
        <n v="124647.0"/>
        <n v="132470.0"/>
        <n v="123040.0"/>
        <n v="133171.0"/>
        <n v="130266.0"/>
        <n v="127840.0"/>
        <n v="134656.0"/>
        <n v="87938.0"/>
        <n v="127026.0"/>
        <n v="124825.0"/>
        <n v="124555.0"/>
        <n v="105349.0"/>
        <n v="123766.0"/>
        <n v="126627.0"/>
        <n v="89028.0"/>
        <n v="130022.0"/>
        <n v="47683.0"/>
        <n v="101903.0"/>
        <n v="120444.0"/>
        <n v="139619.0"/>
        <n v="127464.0"/>
        <n v="124546.0"/>
        <n v="128654.0"/>
        <n v="129695.0"/>
        <n v="124363.0"/>
        <n v="111679.0"/>
        <n v="51034.0"/>
        <n v="133131.0"/>
        <n v="140023.0"/>
        <n v="14775.0"/>
        <n v="123506.0"/>
        <n v="129987.0"/>
        <n v="123748.0"/>
        <n v="111711.0"/>
        <n v="85306.0"/>
        <n v="124471.0"/>
        <n v="90540.0"/>
        <n v="123469.0"/>
        <n v="133044.0"/>
        <n v="132925.0"/>
        <n v="127123.0"/>
        <n v="127396.0"/>
        <n v="124551.0"/>
        <n v="123689.0"/>
        <n v="139291.0"/>
        <n v="108436.0"/>
        <n v="125791.0"/>
        <n v="120320.0"/>
        <n v="23787.0"/>
        <n v="126806.0"/>
        <n v="123024.0"/>
        <n v="121548.0"/>
        <n v="124527.0"/>
        <n v="88470.0"/>
        <n v="125792.0"/>
        <n v="133182.0"/>
        <n v="128771.0"/>
        <n v="118701.0"/>
        <n v="127052.0"/>
        <n v="40218.0"/>
        <n v="129402.0"/>
        <n v="34503.0"/>
        <n v="110205.0"/>
        <n v="129636.0"/>
        <n v="129772.0"/>
        <n v="123677.0"/>
        <n v="125546.0"/>
        <n v="39501.0"/>
        <n v="127568.0"/>
        <n v="123762.0"/>
        <n v="123744.0"/>
        <n v="122866.0"/>
        <n v="124604.0"/>
        <n v="133192.0"/>
        <n v="127601.0"/>
        <n v="124994.0"/>
        <n v="133076.0"/>
        <n v="127147.0"/>
        <n v="124667.0"/>
        <n v="49436.0"/>
        <n v="126139.0"/>
        <n v="88443.0"/>
        <n v="120716.0"/>
        <n v="82022.0"/>
        <n v="130296.0"/>
        <n v="128549.0"/>
        <n v="55265.0"/>
        <n v="123718.0"/>
        <n v="139596.0"/>
        <n v="120250.0"/>
        <n v="34853.0"/>
        <n v="129396.0"/>
        <n v="121381.0"/>
        <n v="127415.0"/>
        <n v="127048.0"/>
        <n v="126147.0"/>
        <n v="128986.0"/>
        <n v="127085.0"/>
        <n v="55940.0"/>
        <n v="128177.0"/>
        <n v="123559.0"/>
        <n v="83112.0"/>
        <n v="80996.0"/>
        <n v="122948.0"/>
        <n v="127537.0"/>
        <n v="127391.0"/>
        <n v="120008.0"/>
        <n v="14117.0"/>
        <n v="73731.0"/>
        <n v="78888.0"/>
        <n v="127683.0"/>
        <n v="119859.0"/>
        <n v="126090.0"/>
        <n v="125547.0"/>
        <n v="119791.0"/>
        <n v="124837.0"/>
        <n v="130672.0"/>
        <n v="124438.0"/>
        <n v="89082.0"/>
        <n v="124156.0"/>
        <n v="109390.0"/>
        <n v="124242.0"/>
        <n v="130348.0"/>
        <n v="120067.0"/>
        <n v="125024.0"/>
        <n v="81523.0"/>
        <n v="129775.0"/>
        <n v="128981.0"/>
        <n v="139949.0"/>
        <n v="126202.0"/>
        <n v="121594.0"/>
        <n v="129598.0"/>
        <n v="39462.0"/>
        <n v="130049.0"/>
        <n v="133189.0"/>
        <n v="127553.0"/>
        <n v="127287.0"/>
        <n v="33525.0"/>
        <n v="122668.0"/>
        <n v="123430.0"/>
        <n v="139606.0"/>
        <n v="133103.0"/>
        <n v="122781.0"/>
        <n v="124163.0"/>
        <n v="28816.0"/>
        <n v="81939.0"/>
        <n v="134614.0"/>
        <n v="139866.0"/>
        <n v="127515.0"/>
        <n v="55009.0"/>
        <n v="139932.0"/>
        <n v="126617.0"/>
        <n v="127632.0"/>
        <n v="122256.0"/>
        <n v="123500.0"/>
        <n v="126890.0"/>
        <n v="127668.0"/>
        <n v="123722.0"/>
        <n v="134669.0"/>
        <n v="81903.0"/>
        <n v="125785.0"/>
        <n v="128775.0"/>
        <n v="125111.0"/>
        <n v="124175.0"/>
        <n v="127120.0"/>
        <n v="127016.0"/>
        <n v="87913.0"/>
        <n v="111723.0"/>
        <n v="123416.0"/>
        <n v="124231.0"/>
        <n v="141022.0"/>
        <n v="126166.0"/>
        <n v="130051.0"/>
        <n v="122341.0"/>
        <n v="141046.0"/>
        <n v="83218.0"/>
        <n v="120366.0"/>
        <n v="125840.0"/>
        <n v="126082.0"/>
        <n v="126071.0"/>
        <n v="124311.0"/>
        <n v="139904.0"/>
        <n v="120211.0"/>
        <n v="111647.0"/>
        <n v="124709.0"/>
        <n v="124070.0"/>
        <n v="125459.0"/>
        <n v="56568.0"/>
        <n v="125506.0"/>
        <n v="129422.0"/>
        <n v="82638.0"/>
        <n v="139347.0"/>
        <n v="128156.0"/>
        <n v="139869.0"/>
        <n v="65144.0"/>
        <n v="132479.0"/>
        <n v="127100.0"/>
        <n v="124310.0"/>
        <n v="124180.0"/>
        <n v="35283.0"/>
        <n v="127097.0"/>
        <n v="129732.0"/>
        <n v="119860.0"/>
        <n v="123306.0"/>
        <n v="123710.0"/>
        <n v="139574.0"/>
        <n v="129260.0"/>
        <n v="133225.0"/>
        <n v="134618.0"/>
        <n v="120993.0"/>
        <n v="122869.0"/>
        <n v="120316.0"/>
        <n v="87967.0"/>
        <n v="14275.0"/>
        <n v="119781.0"/>
        <n v="89693.0"/>
        <n v="125109.0"/>
        <n v="124531.0"/>
        <n v="133055.0"/>
        <n v="127337.0"/>
        <n v="109394.0"/>
        <n v="127479.0"/>
        <n v="127676.0"/>
        <n v="120478.0"/>
        <n v="124659.0"/>
        <n v="127700.0"/>
        <n v="130039.0"/>
        <n v="64847.0"/>
        <n v="140320.0"/>
        <n v="128133.0"/>
        <n v="132375.0"/>
        <n v="127558.0"/>
        <n v="64176.0"/>
        <n v="25855.0"/>
        <n v="127071.0"/>
        <n v="83482.0"/>
        <n v="121546.0"/>
        <n v="124489.0"/>
        <n v="24394.0"/>
        <n v="126165.0"/>
        <n v="83769.0"/>
        <n v="123767.0"/>
        <n v="124092.0"/>
        <n v="125031.0"/>
        <n v="56746.0"/>
        <n v="68123.0"/>
        <n v="124437.0"/>
        <n v="124057.0"/>
        <n v="133193.0"/>
        <n v="47882.0"/>
        <n v="121487.0"/>
        <n v="122283.0"/>
        <n v="122027.0"/>
        <n v="89292.0"/>
        <n v="125817.0"/>
        <n v="88190.0"/>
        <n v="109867.0"/>
        <n v="41735.0"/>
        <n v="83024.0"/>
        <n v="83095.0"/>
        <n v="81669.0"/>
        <n v="82233.0"/>
        <n v="83789.0"/>
        <n v="83121.0"/>
        <n v="82242.0"/>
        <n v="86621.0"/>
        <n v="83152.0"/>
        <n v="83222.0"/>
        <m/>
      </sharedItems>
    </cacheField>
    <cacheField name="course slug" numFmtId="0">
      <sharedItems containsBlank="1">
        <s v="upsc-gs-foundation-hinglish-target-2027-gsf-upsc-e04-orn"/>
        <s v="upsc-gs-foundation-hinglish-target-2027-gsf-upsc-m02-ind"/>
        <s v="Not Available"/>
        <s v="upsc-gs-foundation-hinglish-target-2028-gsf-upsc-e05-orn"/>
        <s v="upsc-gs-foundation-hinglish-target-2027-gsf-upsc-e03-pry"/>
        <s v="upsc-gs-foundation-hindi-target-2027-gsf-upsc-m02-pry"/>
        <s v="samadhan-mentorship-program-pry"/>
        <s v="upsc-gs-foundation-hindi-target-2028-gsf-upsc-m02-ind"/>
        <s v="bpsc-gs-foundation-hinglish-target-2026-gsf-bpsc-m02-pat"/>
        <s v="upsc-gs-foundation-hinglish-target-2027-gsf-upsc-m05-orn"/>
        <s v="upsc-gs-foundation-hinglish-target-2027-gsf-upsc-e02-orn"/>
        <s v="upsc-gs-foundation-hinglish-target-2028-gsf-upsc-m05-orn"/>
        <s v="upsc-gs-foundation-hinglish-target-2027-gsf-upsc-e02-pry"/>
        <s v="upsc-gs-foundation-hindi-target-2027-gsf-upsc-m03-pry"/>
        <s v="upsc-gs-foundation-hindi-target-2028-gsf-upsc-m01-lko"/>
        <s v="upsc-gs-foundation-hinglish-target-2027-gsf-upsc-m02-orn"/>
        <s v="upsc-gs-foundation-hinglish-target-2027-gsf-upsc-e03-pat"/>
        <s v="upsc-gs-foundation-hinglish-target-2027-gsf-upsc-e03-orn"/>
        <s v="samadhan-mentorship-program-ind"/>
        <s v="upsc-gs-foundation-hinglish-target-2028-gsf-upsc-e03-pry"/>
        <s v="ncert-foundation-hinglish-target-2026-nce-upsc-e02-orn"/>
        <s v="upsc-gs-foundation-hindi-target-2028-gsf-upsc-m03-lko"/>
        <s v="upsc-gs-foundation-hinglish-target-2028-gsf-upsc-m01-ind"/>
        <s v="upsc-gs-foundation-hinglish-target-2028-gsf-upsc-e02-lko"/>
        <s v="upsc-gs-foundation-hinglish-target-2028-gsf-upsc-e04-orn"/>
        <s v="upsc-gs-foundation-hinglish-target-2027-gsf-upsc-e03-lko"/>
        <s v="course-detail/bpsc-gs-foundation-hindi-target-2026-gsf-bpsc-m02-pat"/>
        <s v="upsc-gs-foundation-hinglish-target-2028-gsf-upsc-m02-ind"/>
        <s v="upsc-gs-foundation-hinglish-target-2028-gsf-upsc-e03-pat"/>
        <s v="upsc-gs-foundation-hindi-target-2028-gsf-upsc-m03-ind"/>
        <s v="upsc-gs-foundation-hinglish-target-2028-gsf-upsc-e03-orn"/>
        <s v="mppsc-gs-foundation-hinglish-target-2027-gsf-mppsc-e02-ind"/>
        <s v="mppsc-gs-foundation-hinglish-target-2028-gsf-mppsc-e02-ind"/>
        <s v="upsc-gs-foundation-hinglish-target-2027-gsf-upsc-e01-orn"/>
        <s v="upsc-gs-foundation-hinglish-target-2027-gsf-upsc-m03-orn"/>
        <s v="upsc-gs-foundation-hinglish-target-2028-gsf-upsc-e03-lko"/>
        <s v="ncert-foundation-hinglish-target-2026-nce-upsc-e01-orn"/>
        <s v="upsc-gs-foundation-hindi-target-2028-gsf-upsc-m02-pry"/>
        <s v="upsc-gs-foundation-hinglish-target-2027-gsf-upsc-m04-orn"/>
        <s v="bpsc-gs-foundation-hindi-target-2026-gsf-bpsc-e02-pat"/>
        <s v="super-100-gs-foundation-2027-p2i-offline-july-batch4-e-orn-with-ncert"/>
        <s v="upsc-gs-foundation-hinglish-target-2027-gsf-upsc-e05-orn"/>
        <s v="madhya-pradesh-psc-gs-foundation-2027-p2i-offline-hindi-batch-e-ind"/>
        <s v="upsc-gs-foundation-hinglish-target-2027-gsf-upsc-e02-lko"/>
        <s v="upsc-gs-foundation-hindi-target-2027-gsf-upsc-m01-lko"/>
        <s v="upsc-gs-foundation-hindi-target-2027-gsf-upsc-m02-ind"/>
        <s v="madhya-pradesh-psc-gs-foundation-2027-p2i-offline-hindi-batch-2-e-ind"/>
        <s v="upsc-gs-foundation-hindi-target-2027-gsf-upsc-m03-ind"/>
        <s v="NCERT Foundation Hinglish Target 2026 (NCE-UPSC-E02)-ORN"/>
        <s v="UPSC GS Foundation Hinglish Target 2027 (GSF-UPSC-E03)-PRY"/>
        <s v="upsc-gs-foundation-hinglish-target-2028-gsf-upsc-m04-orn"/>
        <s v="upsc-gs-foundation-hinglish-target-2028-gsf-upsc-m03-ind"/>
        <s v="-"/>
        <s v="upsc-gs-foundation-hinglish-target-2028-lko-gsf-upsc-e01"/>
        <s v="bpsc-gs-foundation-hinglish-target-2026-gsf-bpsc-e02-pat"/>
        <s v="6576 - UPSC GS Foundation Hinglish Target 2027 February (M) - ORN"/>
        <s v="upsc-gs-foundation-hinglish-target-2027-gsf-upsc-e02-pat"/>
        <s v="UPSC GS Foundation Hinglish Target 2027 (GSF-UPSC-E05)-ORN"/>
        <s v="super-100-gs-foundation-2026-p2i-offline-august-english-batch-pry"/>
        <s v="."/>
        <s v="/upsc-gs-foundation-hinglish-target-2027-gsf-upsc-e04-orn"/>
        <s v="upsc-gs-foundation-hinglish-target-2027-gsf-upsc-m03-ind"/>
        <s v="bpsc-gs-foundation-hindi-target-2026-gsf-bpsc-m02-pat"/>
        <s v="upsc-gs-foundation-hindi-target-2027-gsf-upsc-m02-lko"/>
        <s v="https://www.studyiq.com/course-detail/ncert-foundation-hinglish-target-2026-nce-upsc-e01-orn"/>
        <s v="super-100-gs-foundation-2028-p2i-offline-july-batch4-e-orn-with-ncert"/>
        <m/>
      </sharedItems>
    </cacheField>
    <cacheField name="course_name" numFmtId="0">
      <sharedItems containsBlank="1">
        <s v="GS Foundation Course"/>
        <s v="Mentorship - Samadhan"/>
        <s v="State PCS"/>
        <s v="Not Available"/>
        <m/>
      </sharedItems>
    </cacheField>
    <cacheField name="mobile">
      <sharedItems containsBlank="1" containsMixedTypes="1" containsNumber="1" containsInteger="1">
        <n v="9.871932461E9"/>
        <n v="9.302103026E9"/>
        <n v="7.991564058E9"/>
        <n v="9.654206738E9"/>
        <n v="7.307323495E9"/>
        <n v="6.388848525E9"/>
        <n v="7.355115452E9"/>
        <n v="8.303812163E9"/>
        <n v="6.262548575E9"/>
        <n v="9.220585925E9"/>
        <n v="9.554917918E9"/>
        <n v="7.889367873E9"/>
        <n v="8.287887061E9"/>
        <n v="9.260914814E9"/>
        <n v="7.011882881E9"/>
        <n v="8.260489709E9"/>
        <n v="9.45106071E9"/>
        <n v="8.340107504E9"/>
        <n v="7.525828802E9"/>
        <n v="9.631918855E9"/>
        <n v="9.960120204E9"/>
        <n v="7.307905986E9"/>
        <n v="9.354616316E9"/>
        <n v="6.307339718E9"/>
        <n v="9.026638188E9"/>
        <n v="9.63036563E9"/>
        <n v="8.887710938E9"/>
        <n v="7.374845032E9"/>
        <n v="7.75906625E9"/>
        <n v="9.43091471E9"/>
        <n v="8.168304118E9"/>
        <n v="9.369709052E9"/>
        <n v="7.395068633E9"/>
        <n v="6.394376064E9"/>
        <n v="8.210378599E9"/>
        <n v="8.989555666E9"/>
        <n v="6.38822191E9"/>
        <n v="7.375013137E9"/>
        <n v="7.607984659E9"/>
        <n v="8.726997266E9"/>
        <n v="9.607392999E9"/>
        <n v="7.310403419E9"/>
        <n v="8.218271839E9"/>
        <n v="8.381946988E9"/>
        <n v="7.753870534E9"/>
        <n v="9.053823253E9"/>
        <n v="9.918526032E9"/>
        <n v="6.387381393E9"/>
        <n v="6.394233709E9"/>
        <n v="9.257006657E9"/>
        <n v="9.569167599E9"/>
        <n v="9.871734417E9"/>
        <n v="9.31047141E9"/>
        <n v="7.505481168E9"/>
        <n v="9.305988624E9"/>
        <n v="7.389351178E9"/>
        <n v="9.065098868E9"/>
        <n v="9.762412013E9"/>
        <n v="9.369428815E9"/>
        <n v="8.707242699E9"/>
        <n v="8.576006471E9"/>
        <n v="7.895147109E9"/>
        <n v="9.863798887E9"/>
        <n v="7.629971971E9"/>
        <n v="6.386828884E9"/>
        <n v="7.321826544E9"/>
        <n v="6.389057893E9"/>
        <n v="9.229664795E9"/>
        <n v="9.232009662E9"/>
        <n v="7.652026709E9"/>
        <n v="9.355666501E9"/>
        <n v="8.881470311E9"/>
        <n v="7.355582262E9"/>
        <n v="9.413592675E9"/>
        <n v="9.644044883E9"/>
        <n v="9.580636288E9"/>
        <n v="9.508331167E9"/>
        <n v="9.990504871E9"/>
        <n v="8.602962929E9"/>
        <n v="9.304886426E9"/>
        <n v="9.555848241E9"/>
        <n v="8.814014928E9"/>
        <n v="8.448319329E9"/>
        <n v="7.348268798E9"/>
        <n v="8.303284846E9"/>
        <n v="7.317530189E9"/>
        <n v="7.007031214E9"/>
        <n v="7.070411838E9"/>
        <n v="6.393487536E9"/>
        <n v="8.839808159E9"/>
        <n v="9.250310684E9"/>
        <n v="9.161366059E9"/>
        <n v="6.299527052E9"/>
        <n v="7.800017337E9"/>
        <n v="9.060779354E9"/>
        <n v="9.125646548E9"/>
        <n v="8.757399474E9"/>
        <n v="8.688883282E9"/>
        <n v="9.169514355E9"/>
        <n v="7.050309334E9"/>
        <n v="7.855045836E9"/>
        <n v="9.9588563E9"/>
        <n v="9.835624619E9"/>
        <n v="9.520111541E9"/>
        <n v="6.201407029E9"/>
        <n v="9.455289673E9"/>
        <n v="7.870378856E9"/>
        <n v="8.299899506E9"/>
        <n v="9.50879206E9"/>
        <n v="8.178194044E9"/>
        <n v="7.876496464E9"/>
        <n v="9.98170032E9"/>
        <n v="9.664198337E9"/>
        <n v="9.044850984E9"/>
        <n v="8.587970069E9"/>
        <n v="9.366087291E9"/>
        <n v="8.349217934E9"/>
        <n v="8.920811162E9"/>
        <n v="8.700177368E9"/>
        <n v="9.119967771E9"/>
        <n v="9.120477442E9"/>
        <n v="9.341693412E9"/>
        <n v="8.810926995E9"/>
        <n v="8.006029476E9"/>
        <n v="6.268467967E9"/>
        <n v="7.827664144E9"/>
        <n v="7.991888982E9"/>
        <n v="7.905231362E9"/>
        <n v="9.179382549E9"/>
        <n v="9.129634941E9"/>
        <n v="7.004606717E9"/>
        <n v="8.127426997E9"/>
        <n v="9.259496903E9"/>
        <n v="9.977913236E9"/>
        <n v="8.271204184E9"/>
        <n v="9.219573776E9"/>
        <n v="9.142599043E9"/>
        <n v="9.302269107E9"/>
        <n v="9.306516045E9"/>
        <n v="9.993926036E9"/>
        <n v="8.770821292E9"/>
        <n v="9.118567877E9"/>
        <n v="7.37914E9"/>
        <n v="8.450881453E9"/>
        <n v="8.957695712E9"/>
        <n v="9.648302245E9"/>
        <n v="7.309210289E9"/>
        <n v="8.429452813E9"/>
        <n v="8.127351647E9"/>
        <n v="8.736032381E9"/>
        <n v="9.838283474E9"/>
        <n v="7.632867917E9"/>
        <n v="8.948404296E9"/>
        <n v="9.288647058E9"/>
        <n v="9.211665785E9"/>
        <n v="8.595966649E9"/>
        <n v="6.388609078E9"/>
        <n v="9.098931351E9"/>
        <n v="7.04942023E9"/>
        <n v="7.607572412E9"/>
        <n v="8.97996857E9"/>
        <n v="6.26431921E9"/>
        <n v="9.648560889E9"/>
        <n v="7.800324648E9"/>
        <n v="7.50548483E9"/>
        <n v="7.819863991E9"/>
        <n v="9.950214514E9"/>
        <n v="9.711642622E9"/>
        <n v="9.929462273E9"/>
        <n v="6.202156597E9"/>
        <n v="7.017304313E9"/>
        <n v="8.607197965E9"/>
        <n v="9.528831545E9"/>
        <n v="9.939699505E9"/>
        <n v="9.058402617E9"/>
        <n v="9.670079789E9"/>
        <n v="8.882617101E9"/>
        <n v="7.2061708E9"/>
        <n v="9.369889813E9"/>
        <n v="7.568052526E9"/>
        <n v="7.8799943E9"/>
        <n v="6.20306984E9"/>
        <n v="9.102624944E9"/>
        <n v="8.989620722E9"/>
        <n v="8.839168968E9"/>
        <n v="9.773766951E9"/>
        <n v="9.365264661E9"/>
        <n v="9.415454975E9"/>
        <n v="8.4708649E9"/>
        <n v="8.595802989E9"/>
        <n v="9.258372595E9"/>
        <n v="9.735172604E9"/>
        <n v="8.31800046E9"/>
        <n v="9.21993223E9"/>
        <n v="8.308052456E9"/>
        <n v="6.388540075E9"/>
        <n v="9.279238076E9"/>
        <n v="9.648810043E9"/>
        <n v="9.651624387E9"/>
        <n v="8.11261028E9"/>
        <n v="8.529763971E9"/>
        <n v="9.654053406E9"/>
        <n v="9.968253533E9"/>
        <n v="6.260648487E9"/>
        <n v="9.674337086E9"/>
        <n v="7.307786815E9"/>
        <n v="8.233763689E9"/>
        <n v="9.55575693E9"/>
        <n v="7.506300561E9"/>
        <n v="8.21038795E9"/>
        <n v="9.109581143E9"/>
        <n v="7.820045097E9"/>
        <n v="9.007225824E9"/>
        <n v="9.155491641E9"/>
        <n v="6.302647716E9"/>
        <n v="7.569056642E9"/>
        <n v="7.905052194E9"/>
        <n v="9.79546101E9"/>
        <n v="7.991314106E9"/>
        <n v="9.351151508E9"/>
        <n v="9.910810797E9"/>
        <n v="8.299542739E9"/>
        <n v="6.202290735E9"/>
        <n v="9.041700006E9"/>
        <n v="6.386802316E9"/>
        <n v="7.98549047E9"/>
        <n v="8.653960948E9"/>
        <n v="9.617487982E9"/>
        <n v="9.203848288E9"/>
        <n v="7.024125255E9"/>
        <n v="9.643355612E9"/>
        <n v="7.522843157E9"/>
        <n v="8.986373158E9"/>
        <n v="9.009263135E9"/>
        <n v="9.554347509E9"/>
        <n v="9.72168862E9"/>
        <n v="7.302726844E9"/>
        <n v="8.318484017E9"/>
        <n v="9.301271286E9"/>
        <n v="8.29911854E9"/>
        <n v="9.170552086E9"/>
        <n v="7.697874912E9"/>
        <n v="8.609073477E9"/>
        <n v="8.236844284E9"/>
        <n v="9.71108374E9"/>
        <n v="7.747849792E9"/>
        <n v="9.348009702E9"/>
        <n v="8.417846306E9"/>
        <n v="6.287066779E9"/>
        <n v="9.129826595E9"/>
        <n v="7.234804724E9"/>
        <n v="8.318771184E9"/>
        <n v="9.971041984E9"/>
        <n v="6.394479541E9"/>
        <n v="6.200988968E9"/>
        <n v="9.170997725E9"/>
        <n v="7.004569768E9"/>
        <n v="7.489704194E9"/>
        <n v="8.826668218E9"/>
        <n v="9.62899993E9"/>
        <n v="9.779996486E9"/>
        <n v="9.137507112E9"/>
        <n v="8.299856645E9"/>
        <n v="7.985779642E9"/>
        <n v="9.22058126E9"/>
        <n v="9.957591623E9"/>
        <n v="9.044882557E9"/>
        <n v="9.310313641E9"/>
        <n v="9.009637429E9"/>
        <n v="9.153765437E9"/>
        <n v="7.307431916E9"/>
        <n v="9.993110506E9"/>
        <n v="9.170368955E9"/>
        <n v="7.636072099E9"/>
        <n v="8.400954509E9"/>
        <n v="9.589014922E9"/>
        <n v="8.795174495E9"/>
        <n v="6.265953332E9"/>
        <n v="9.934281413E9"/>
        <n v="8.303105265E9"/>
        <n v="9.170828682E9"/>
        <n v="8.269421615E9"/>
        <n v="7.761994508E9"/>
        <n v="9.693807345E9"/>
        <n v="6.394269276E9"/>
        <n v="9.122855348E9"/>
        <n v="9.798773313E9"/>
        <n v="8.006166067E9"/>
        <n v="7.879818282E9"/>
        <n v="9.369688228E9"/>
        <n v="7.35577612E9"/>
        <n v="9.528979871E9"/>
        <n v="6.38782024E9"/>
        <n v="6.266347156E9"/>
        <n v="9.026118306E9"/>
        <n v="9.11705589E9"/>
        <n v="8.957919936E9"/>
        <n v="8.101540835E9"/>
        <n v="9.838547727E9"/>
        <n v="7.310637294E9"/>
        <n v="8.960122938E9"/>
        <n v="7.005031489E9"/>
        <n v="8.595041975E9"/>
        <n v="8.349671082E9"/>
        <n v="8.0841609E9"/>
        <n v="8.081636079E9"/>
        <n v="9.243371112E9"/>
        <n v="7.007502891E9"/>
        <n v="9.648333404E9"/>
        <n v="7.838172035E9"/>
        <n v="7.080849027E9"/>
        <n v="9.92317054E9"/>
        <n v="8.739055507E9"/>
        <n v="7.860486236E9"/>
        <n v="8.109610665E9"/>
        <n v="9.3357089E9"/>
        <n v="7.870743087E9"/>
        <n v="8.177006887E9"/>
        <n v="6.386716448E9"/>
        <n v="9.718737704E9"/>
        <n v="8.009878073E9"/>
        <n v="9.120491012E9"/>
        <n v="7.678644174E9"/>
        <n v="9.236532265E9"/>
        <n v="9.216289573E9"/>
        <n v="7.667109447E9"/>
        <n v="6.2608663E9"/>
        <n v="9.340831711E9"/>
        <n v="7.000354229E9"/>
        <n v="9.579252596E9"/>
        <n v="6.201770972E9"/>
        <n v="9.971763377E9"/>
        <n v="8.429895348E9"/>
        <n v="6.263180444E9"/>
        <n v="8.251094489E9"/>
        <n v="9.999038505E9"/>
        <n v="7.703949415E9"/>
        <n v="9.027413432E9"/>
        <n v="8.590366617E9"/>
        <n v="7.880487271E9"/>
        <n v="7.267852968E9"/>
        <n v="9.956468176E9"/>
        <s v="Not Available"/>
        <m/>
      </sharedItems>
    </cacheField>
    <cacheField name="payment_mode" numFmtId="0">
      <sharedItems containsBlank="1">
        <s v="Collexo"/>
        <s v="Not Available"/>
        <m/>
      </sharedItems>
    </cacheField>
    <cacheField name="payment_status" numFmtId="0">
      <sharedItems containsBlank="1">
        <s v="Success"/>
        <s v="Not Available"/>
        <m/>
      </sharedItems>
    </cacheField>
    <cacheField name="purchase_date">
      <sharedItems containsDate="1" containsBlank="1" containsMixedTypes="1">
        <d v="2026-02-18T00:00:00Z"/>
        <s v="Not Available"/>
        <d v="2026-03-25T00:00:00Z"/>
        <d v="2026-02-20T00:00:00Z"/>
        <d v="2026-03-30T00:00:00Z"/>
        <d v="2026-02-23T00:00:00Z"/>
        <d v="2026-03-05T00:00:00Z"/>
        <d v="2026-03-24T00:00:00Z"/>
        <d v="2026-03-16T00:00:00Z"/>
        <d v="2026-03-11T00:00:00Z"/>
        <d v="2026-03-20T00:00:00Z"/>
        <d v="2026-02-26T00:00:00Z"/>
        <d v="2026-02-06T00:00:00Z"/>
        <d v="2026-03-26T00:00:00Z"/>
        <d v="2026-03-29T00:00:00Z"/>
        <d v="2026-02-16T00:00:00Z"/>
        <d v="2026-03-13T00:00:00Z"/>
        <d v="2026-02-19T00:00:00Z"/>
        <d v="2026-01-27T00:00:00Z"/>
        <d v="2026-01-29T00:00:00Z"/>
        <d v="2026-03-06T00:00:00Z"/>
        <d v="2026-03-19T00:00:00Z"/>
        <d v="2026-01-31T00:00:00Z"/>
        <d v="2026-02-09T00:00:00Z"/>
        <d v="2026-02-22T00:00:00Z"/>
        <d v="2026-01-22T00:00:00Z"/>
        <d v="2026-02-27T00:00:00Z"/>
        <d v="2026-03-14T00:00:00Z"/>
        <d v="2026-01-24T00:00:00Z"/>
        <d v="2026-02-10T00:00:00Z"/>
        <d v="2026-02-03T00:00:00Z"/>
        <d v="2026-02-14T00:00:00Z"/>
        <d v="2026-03-21T00:00:00Z"/>
        <d v="2026-02-13T00:00:00Z"/>
        <d v="2026-02-07T00:00:00Z"/>
        <d v="2026-03-12T00:00:00Z"/>
        <d v="2026-03-22T00:00:00Z"/>
        <d v="2026-02-05T00:00:00Z"/>
        <d v="2026-01-23T00:00:00Z"/>
        <d v="2026-03-31T00:00:00Z"/>
        <d v="2026-02-17T00:00:00Z"/>
        <d v="2026-03-10T00:00:00Z"/>
        <d v="2026-02-02T00:00:00Z"/>
        <d v="2026-01-28T00:00:00Z"/>
        <d v="2026-03-08T00:00:00Z"/>
        <d v="2026-02-25T00:00:00Z"/>
        <d v="2026-01-30T00:00:00Z"/>
        <d v="2026-02-21T00:00:00Z"/>
        <d v="2026-02-08T00:00:00Z"/>
        <d v="2026-03-15T00:00:00Z"/>
        <d v="2026-03-27T00:00:00Z"/>
        <d v="2026-03-09T00:00:00Z"/>
        <d v="2026-02-24T00:00:00Z"/>
        <d v="2026-03-23T00:00:00Z"/>
        <d v="2026-02-28T00:00:00Z"/>
        <d v="2026-03-28T00:00:00Z"/>
        <d v="2026-02-01T00:00:00Z"/>
        <d v="2026-03-17T00:00:00Z"/>
        <d v="2026-03-18T00:00:00Z"/>
        <d v="2026-01-26T00:00:00Z"/>
        <d v="2026-02-04T00:00:00Z"/>
        <d v="2026-02-12T00:00:00Z"/>
        <d v="2026-03-02T00:00:00Z"/>
        <d v="2026-02-11T00:00:00Z"/>
        <d v="2026-02-15T00:00:00Z"/>
        <d v="2026-01-09T00:00:00Z"/>
        <d v="2026-01-13T00:00:00Z"/>
        <d v="2026-01-14T00:00:00Z"/>
        <d v="2026-01-15T00:00:00Z"/>
        <d v="2026-01-16T00:00:00Z"/>
        <d v="2026-01-19T00:00:00Z"/>
        <d v="2026-01-20T00:00:00Z"/>
        <d v="2026-01-21T00:00:00Z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ervice - Admissions Report" cacheId="0" dataCaption="" rowGrandTotals="0" compact="0" compactData="0">
  <location ref="A3:B357" firstHeaderRow="0" firstDataRow="1" firstDataCol="0"/>
  <pivotFields>
    <pivotField name="current_paid_date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subject" compact="0" outline="0" multipleItemSelectionAllowed="1" showAll="0">
      <items>
        <item x="0"/>
        <item x="1"/>
        <item t="default"/>
      </items>
    </pivotField>
    <pivotField name="description" compact="0" outline="0" multipleItemSelectionAllowed="1" showAll="0">
      <items>
        <item x="0"/>
        <item x="1"/>
        <item t="default"/>
      </items>
    </pivotField>
    <pivotField name="center_cod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llexo_ord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t="default"/>
      </items>
    </pivotField>
    <pivotField name="current_paid_am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t="default"/>
      </items>
    </pivotField>
    <pivotField name="next_installment_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next_installment_am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t="default"/>
      </items>
    </pivotField>
    <pivotField name="total_am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total_installment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mail" axis="axisRow" compact="0" outline="0" multipleItemSelectionAllowed="1" showAll="0" sortType="ascending">
      <items>
        <item x="353"/>
        <item x="160"/>
        <item x="263"/>
        <item x="244"/>
        <item x="141"/>
        <item x="280"/>
        <item x="10"/>
        <item x="38"/>
        <item x="167"/>
        <item x="347"/>
        <item x="188"/>
        <item x="309"/>
        <item x="147"/>
        <item x="36"/>
        <item x="197"/>
        <item x="277"/>
        <item x="125"/>
        <item x="31"/>
        <item x="21"/>
        <item x="179"/>
        <item x="9"/>
        <item x="159"/>
        <item x="198"/>
        <item x="290"/>
        <item x="349"/>
        <item x="95"/>
        <item x="172"/>
        <item x="338"/>
        <item x="88"/>
        <item x="13"/>
        <item x="2"/>
        <item x="318"/>
        <item x="39"/>
        <item x="287"/>
        <item x="78"/>
        <item x="76"/>
        <item x="246"/>
        <item x="55"/>
        <item x="265"/>
        <item x="22"/>
        <item x="175"/>
        <item x="258"/>
        <item x="152"/>
        <item x="41"/>
        <item x="224"/>
        <item x="286"/>
        <item x="148"/>
        <item x="103"/>
        <item x="40"/>
        <item x="130"/>
        <item x="253"/>
        <item x="132"/>
        <item x="233"/>
        <item x="237"/>
        <item x="272"/>
        <item x="226"/>
        <item x="142"/>
        <item x="52"/>
        <item x="351"/>
        <item x="0"/>
        <item x="64"/>
        <item x="86"/>
        <item x="193"/>
        <item x="319"/>
        <item x="156"/>
        <item x="124"/>
        <item x="4"/>
        <item x="162"/>
        <item x="89"/>
        <item x="339"/>
        <item x="223"/>
        <item x="227"/>
        <item x="116"/>
        <item x="155"/>
        <item x="335"/>
        <item x="164"/>
        <item x="119"/>
        <item x="195"/>
        <item x="214"/>
        <item x="27"/>
        <item x="32"/>
        <item x="266"/>
        <item x="54"/>
        <item x="177"/>
        <item x="334"/>
        <item x="346"/>
        <item x="271"/>
        <item x="298"/>
        <item x="236"/>
        <item x="42"/>
        <item x="133"/>
        <item x="183"/>
        <item x="11"/>
        <item x="341"/>
        <item x="87"/>
        <item x="260"/>
        <item x="128"/>
        <item x="348"/>
        <item x="173"/>
        <item x="23"/>
        <item x="257"/>
        <item x="145"/>
        <item x="326"/>
        <item x="281"/>
        <item x="174"/>
        <item x="7"/>
        <item x="139"/>
        <item x="127"/>
        <item x="311"/>
        <item x="242"/>
        <item x="344"/>
        <item x="66"/>
        <item x="16"/>
        <item x="255"/>
        <item x="123"/>
        <item x="102"/>
        <item x="105"/>
        <item x="327"/>
        <item x="165"/>
        <item x="67"/>
        <item x="302"/>
        <item x="275"/>
        <item x="81"/>
        <item x="314"/>
        <item x="328"/>
        <item x="157"/>
        <item x="169"/>
        <item x="65"/>
        <item x="249"/>
        <item x="163"/>
        <item x="256"/>
        <item x="153"/>
        <item x="170"/>
        <item x="269"/>
        <item x="63"/>
        <item x="262"/>
        <item x="73"/>
        <item x="25"/>
        <item x="220"/>
        <item x="43"/>
        <item x="108"/>
        <item x="352"/>
        <item x="37"/>
        <item x="345"/>
        <item x="247"/>
        <item x="274"/>
        <item x="205"/>
        <item x="250"/>
        <item x="176"/>
        <item x="241"/>
        <item x="301"/>
        <item x="296"/>
        <item x="45"/>
        <item x="203"/>
        <item x="75"/>
        <item x="321"/>
        <item x="259"/>
        <item x="104"/>
        <item x="310"/>
        <item x="181"/>
        <item x="12"/>
        <item x="19"/>
        <item x="268"/>
        <item x="117"/>
        <item x="99"/>
        <item x="70"/>
        <item x="331"/>
        <item x="109"/>
        <item x="317"/>
        <item x="270"/>
        <item x="234"/>
        <item x="278"/>
        <item x="118"/>
        <item x="68"/>
        <item x="97"/>
        <item x="112"/>
        <item x="308"/>
        <item x="267"/>
        <item x="306"/>
        <item x="336"/>
        <item x="192"/>
        <item x="100"/>
        <item x="122"/>
        <item x="58"/>
        <item x="3"/>
        <item x="307"/>
        <item x="201"/>
        <item x="82"/>
        <item x="239"/>
        <item x="61"/>
        <item x="243"/>
        <item x="92"/>
        <item x="228"/>
        <item x="300"/>
        <item x="90"/>
        <item x="6"/>
        <item x="324"/>
        <item x="182"/>
        <item x="204"/>
        <item x="200"/>
        <item x="80"/>
        <item x="113"/>
        <item x="261"/>
        <item x="185"/>
        <item x="115"/>
        <item x="24"/>
        <item x="279"/>
        <item x="212"/>
        <item x="35"/>
        <item x="210"/>
        <item x="84"/>
        <item x="333"/>
        <item x="136"/>
        <item x="213"/>
        <item x="8"/>
        <item x="72"/>
        <item x="107"/>
        <item x="49"/>
        <item x="312"/>
        <item x="111"/>
        <item x="150"/>
        <item x="85"/>
        <item x="1"/>
        <item x="71"/>
        <item x="191"/>
        <item x="245"/>
        <item x="184"/>
        <item x="209"/>
        <item x="149"/>
        <item x="232"/>
        <item x="283"/>
        <item x="305"/>
        <item x="126"/>
        <item x="295"/>
        <item x="77"/>
        <item x="57"/>
        <item x="129"/>
        <item x="138"/>
        <item x="208"/>
        <item x="292"/>
        <item x="5"/>
        <item x="33"/>
        <item x="222"/>
        <item x="79"/>
        <item x="14"/>
        <item x="251"/>
        <item x="329"/>
        <item x="56"/>
        <item x="196"/>
        <item x="34"/>
        <item x="323"/>
        <item x="180"/>
        <item x="51"/>
        <item x="315"/>
        <item x="332"/>
        <item x="211"/>
        <item x="15"/>
        <item x="313"/>
        <item x="53"/>
        <item x="154"/>
        <item x="143"/>
        <item x="342"/>
        <item x="140"/>
        <item x="47"/>
        <item x="340"/>
        <item x="20"/>
        <item x="29"/>
        <item x="94"/>
        <item x="273"/>
        <item x="60"/>
        <item x="276"/>
        <item x="44"/>
        <item x="221"/>
        <item x="69"/>
        <item x="316"/>
        <item x="230"/>
        <item x="231"/>
        <item x="289"/>
        <item x="225"/>
        <item x="131"/>
        <item x="282"/>
        <item x="120"/>
        <item x="240"/>
        <item x="216"/>
        <item x="161"/>
        <item x="137"/>
        <item x="202"/>
        <item x="26"/>
        <item x="62"/>
        <item x="322"/>
        <item x="194"/>
        <item x="98"/>
        <item x="91"/>
        <item x="187"/>
        <item x="337"/>
        <item x="325"/>
        <item x="110"/>
        <item x="350"/>
        <item x="168"/>
        <item x="59"/>
        <item x="304"/>
        <item x="17"/>
        <item x="74"/>
        <item x="18"/>
        <item x="293"/>
        <item x="235"/>
        <item x="178"/>
        <item x="189"/>
        <item x="303"/>
        <item x="28"/>
        <item x="134"/>
        <item x="284"/>
        <item x="199"/>
        <item x="215"/>
        <item x="238"/>
        <item x="50"/>
        <item x="299"/>
        <item x="83"/>
        <item x="252"/>
        <item x="206"/>
        <item x="288"/>
        <item x="254"/>
        <item x="166"/>
        <item x="218"/>
        <item x="186"/>
        <item x="93"/>
        <item x="101"/>
        <item x="46"/>
        <item x="96"/>
        <item x="294"/>
        <item x="135"/>
        <item x="171"/>
        <item x="330"/>
        <item x="190"/>
        <item x="297"/>
        <item x="30"/>
        <item x="285"/>
        <item x="248"/>
        <item x="151"/>
        <item x="291"/>
        <item x="106"/>
        <item x="121"/>
        <item x="114"/>
        <item x="146"/>
        <item x="158"/>
        <item x="219"/>
        <item x="207"/>
        <item x="144"/>
        <item x="343"/>
        <item x="320"/>
        <item x="264"/>
        <item x="229"/>
        <item x="48"/>
        <item x="217"/>
        <item t="default"/>
      </items>
    </pivotField>
    <pivotField name="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course slu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rse_nam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mobi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t="default"/>
      </items>
    </pivotField>
    <pivotField name="payment_mode" compact="0" outline="0" multipleItemSelectionAllowed="1" showAll="0">
      <items>
        <item x="0"/>
        <item x="1"/>
        <item x="2"/>
        <item t="default"/>
      </items>
    </pivotField>
    <pivotField name="payment_status" compact="0" outline="0" multipleItemSelectionAllowed="1" showAll="0">
      <items>
        <item x="0"/>
        <item x="1"/>
        <item x="2"/>
        <item t="default"/>
      </items>
    </pivotField>
    <pivotField name="purchase_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</pivotFields>
  <rowFields>
    <field x="12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tudyiq.com/course-detail/ncert-foundation-hinglish-target-2026-nce-upsc-e01-orn" TargetMode="External"/><Relationship Id="rId2" Type="http://schemas.openxmlformats.org/officeDocument/2006/relationships/hyperlink" Target="https://www.studyiq.com/course-detail/ncert-foundation-hinglish-target-2026-nce-upsc-e01-orn" TargetMode="External"/><Relationship Id="rId3" Type="http://schemas.openxmlformats.org/officeDocument/2006/relationships/hyperlink" Target="https://www.studyiq.com/course-detail/ncert-foundation-hinglish-target-2026-nce-upsc-e01-orn" TargetMode="External"/><Relationship Id="rId4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63"/>
    <col customWidth="1" min="3" max="3" width="10.75"/>
    <col customWidth="1" min="4" max="6" width="7.88"/>
    <col customWidth="1" min="7" max="7" width="9.13"/>
    <col customWidth="1" min="8" max="20" width="7.88"/>
    <col customWidth="1" min="21" max="21" width="13.5"/>
  </cols>
  <sheetData>
    <row r="1">
      <c r="A1" s="1"/>
      <c r="B1" s="1"/>
      <c r="C1" s="2" t="s">
        <v>0</v>
      </c>
      <c r="D1" s="3"/>
      <c r="E1" s="4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8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16</v>
      </c>
      <c r="Q2" s="10" t="s">
        <v>17</v>
      </c>
      <c r="R2" s="10" t="s">
        <v>18</v>
      </c>
      <c r="S2" s="10" t="s">
        <v>19</v>
      </c>
      <c r="T2" s="10" t="s">
        <v>20</v>
      </c>
      <c r="U2" s="11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</row>
    <row r="3">
      <c r="A3" s="12" t="s">
        <v>21</v>
      </c>
      <c r="B3" s="12" t="s">
        <v>22</v>
      </c>
      <c r="C3" s="12">
        <v>5.0</v>
      </c>
      <c r="D3" s="12">
        <v>400.0</v>
      </c>
      <c r="E3" s="12">
        <v>500.0</v>
      </c>
      <c r="F3" s="12">
        <v>100.0</v>
      </c>
      <c r="G3" s="12"/>
      <c r="H3" s="12">
        <v>30.0</v>
      </c>
      <c r="I3" s="12"/>
      <c r="J3" s="12"/>
      <c r="K3" s="12"/>
      <c r="L3" s="12"/>
      <c r="M3" s="12"/>
      <c r="N3" s="12"/>
      <c r="O3" s="12"/>
      <c r="P3" s="12"/>
      <c r="Q3" s="12"/>
      <c r="R3" s="12">
        <v>10.0</v>
      </c>
      <c r="S3" s="12">
        <v>10.0</v>
      </c>
      <c r="T3" s="12">
        <v>10.0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>
      <c r="A4" s="12" t="s">
        <v>23</v>
      </c>
      <c r="B4" s="12" t="s">
        <v>22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</row>
    <row r="7">
      <c r="A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</row>
    <row r="8">
      <c r="A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</row>
    <row r="9">
      <c r="A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</row>
    <row r="10">
      <c r="A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</row>
    <row r="11">
      <c r="A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</row>
    <row r="16">
      <c r="A16" s="9"/>
      <c r="B16" s="12" t="s">
        <v>24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</row>
    <row r="17">
      <c r="A17" s="9"/>
      <c r="B17" s="12" t="s">
        <v>25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</row>
    <row r="18">
      <c r="A18" s="9"/>
      <c r="B18" s="12" t="s">
        <v>26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</row>
    <row r="19">
      <c r="A19" s="9"/>
      <c r="B19" s="12" t="s">
        <v>27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</row>
    <row r="20">
      <c r="A20" s="9"/>
      <c r="B20" s="12" t="s">
        <v>28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4.5"/>
    <col customWidth="1" min="2" max="2" width="11.13"/>
    <col customWidth="1" min="3" max="3" width="11.5"/>
    <col customWidth="1" min="4" max="4" width="15.13"/>
    <col customWidth="1" min="5" max="5" width="14.88"/>
    <col customWidth="1" min="6" max="6" width="5.38"/>
    <col customWidth="1" min="7" max="8" width="6.0"/>
    <col customWidth="1" min="9" max="9" width="5.5"/>
    <col customWidth="1" min="10" max="10" width="6.0"/>
    <col customWidth="1" min="11" max="11" width="5.63"/>
    <col customWidth="1" min="12" max="12" width="5.75"/>
    <col customWidth="1" min="13" max="13" width="3.13"/>
    <col customWidth="1" min="14" max="14" width="6.0"/>
    <col customWidth="1" min="15" max="15" width="4.88"/>
    <col customWidth="1" min="16" max="16" width="13.0"/>
    <col customWidth="1" min="17" max="17" width="11.63"/>
    <col customWidth="1" min="18" max="18" width="12.38"/>
    <col customWidth="1" min="19" max="19" width="9.0"/>
    <col customWidth="1" min="20" max="20" width="15.5"/>
    <col customWidth="1" min="21" max="21" width="11.75"/>
    <col customWidth="1" min="23" max="23" width="23.38"/>
    <col customWidth="1" min="24" max="24" width="7.13"/>
    <col customWidth="1" min="25" max="25" width="12.13"/>
    <col customWidth="1" min="26" max="26" width="11.88"/>
    <col customWidth="1" min="27" max="27" width="12.0"/>
    <col customWidth="1" min="28" max="28" width="3.13"/>
  </cols>
  <sheetData>
    <row r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29</v>
      </c>
      <c r="Q1" s="14" t="s">
        <v>22</v>
      </c>
      <c r="R1" s="15"/>
      <c r="S1" s="15"/>
      <c r="T1" s="15"/>
      <c r="U1" s="15"/>
      <c r="V1" s="16"/>
      <c r="W1" s="16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</row>
    <row r="2">
      <c r="A2" s="15"/>
      <c r="B2" s="15"/>
      <c r="C2" s="17" t="s">
        <v>30</v>
      </c>
      <c r="D2" s="18"/>
      <c r="E2" s="19" t="s">
        <v>31</v>
      </c>
      <c r="F2" s="18"/>
      <c r="G2" s="20"/>
      <c r="H2" s="20"/>
      <c r="I2" s="21" t="s">
        <v>32</v>
      </c>
      <c r="J2" s="22"/>
      <c r="K2" s="22"/>
      <c r="L2" s="22"/>
      <c r="M2" s="18"/>
      <c r="N2" s="15"/>
      <c r="O2" s="15"/>
      <c r="P2" s="15"/>
      <c r="Q2" s="15"/>
      <c r="R2" s="17" t="s">
        <v>30</v>
      </c>
      <c r="S2" s="18"/>
      <c r="T2" s="19" t="s">
        <v>31</v>
      </c>
      <c r="U2" s="18"/>
      <c r="V2" s="20"/>
      <c r="W2" s="20"/>
      <c r="X2" s="21" t="s">
        <v>32</v>
      </c>
      <c r="Y2" s="22"/>
      <c r="Z2" s="22"/>
      <c r="AA2" s="22"/>
      <c r="AB2" s="18"/>
      <c r="AE2" s="15"/>
      <c r="AF2" s="15"/>
      <c r="AG2" s="15"/>
      <c r="AH2" s="15"/>
      <c r="AI2" s="15"/>
    </row>
    <row r="3" ht="66.0" customHeight="1">
      <c r="A3" s="23" t="s">
        <v>33</v>
      </c>
      <c r="B3" s="23" t="s">
        <v>34</v>
      </c>
      <c r="C3" s="24" t="s">
        <v>35</v>
      </c>
      <c r="D3" s="24" t="s">
        <v>36</v>
      </c>
      <c r="E3" s="23" t="s">
        <v>37</v>
      </c>
      <c r="F3" s="23" t="s">
        <v>38</v>
      </c>
      <c r="G3" s="25"/>
      <c r="H3" s="25"/>
      <c r="I3" s="26" t="s">
        <v>39</v>
      </c>
      <c r="J3" s="26" t="s">
        <v>40</v>
      </c>
      <c r="K3" s="26" t="s">
        <v>41</v>
      </c>
      <c r="L3" s="26" t="s">
        <v>42</v>
      </c>
      <c r="M3" s="26" t="s">
        <v>43</v>
      </c>
      <c r="N3" s="27"/>
      <c r="O3" s="27"/>
      <c r="P3" s="23" t="s">
        <v>33</v>
      </c>
      <c r="Q3" s="23" t="s">
        <v>34</v>
      </c>
      <c r="R3" s="24" t="s">
        <v>35</v>
      </c>
      <c r="S3" s="24" t="s">
        <v>36</v>
      </c>
      <c r="T3" s="23" t="s">
        <v>37</v>
      </c>
      <c r="U3" s="23" t="s">
        <v>38</v>
      </c>
      <c r="V3" s="25"/>
      <c r="W3" s="25"/>
      <c r="X3" s="26" t="s">
        <v>39</v>
      </c>
      <c r="Y3" s="26" t="s">
        <v>40</v>
      </c>
      <c r="Z3" s="26" t="s">
        <v>41</v>
      </c>
      <c r="AA3" s="26" t="s">
        <v>42</v>
      </c>
      <c r="AB3" s="26" t="s">
        <v>43</v>
      </c>
      <c r="AE3" s="28"/>
      <c r="AF3" s="28"/>
      <c r="AG3" s="28"/>
      <c r="AH3" s="28"/>
      <c r="AI3" s="28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29"/>
      <c r="Q4" s="30" t="s">
        <v>44</v>
      </c>
      <c r="R4" s="29"/>
      <c r="S4" s="29"/>
      <c r="T4" s="29"/>
      <c r="U4" s="29"/>
      <c r="V4" s="31"/>
      <c r="W4" s="31"/>
      <c r="X4" s="29"/>
      <c r="Y4" s="29"/>
      <c r="Z4" s="29"/>
      <c r="AA4" s="29"/>
      <c r="AB4" s="29"/>
      <c r="AE4" s="15"/>
      <c r="AF4" s="15"/>
      <c r="AG4" s="15"/>
      <c r="AH4" s="15"/>
      <c r="AI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29"/>
      <c r="Q5" s="30" t="s">
        <v>45</v>
      </c>
      <c r="R5" s="29"/>
      <c r="S5" s="29"/>
      <c r="T5" s="29"/>
      <c r="U5" s="29"/>
      <c r="V5" s="31"/>
      <c r="W5" s="31"/>
      <c r="X5" s="29"/>
      <c r="Y5" s="29"/>
      <c r="Z5" s="29"/>
      <c r="AA5" s="29"/>
      <c r="AB5" s="29"/>
      <c r="AE5" s="15"/>
      <c r="AF5" s="15"/>
      <c r="AG5" s="15"/>
      <c r="AH5" s="15"/>
      <c r="AI5" s="15"/>
    </row>
    <row r="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3">
        <v>46054.0</v>
      </c>
      <c r="Q6" s="29">
        <f>sumifs(raw_data!$E:$E,raw_data!$A:$A,P6,raw_data!$C:$C,$Q$1)</f>
        <v>19</v>
      </c>
      <c r="R6" s="29">
        <f>sumifs(raw_data!$E:$E,raw_data!$A:$A,P6,raw_data!$D:$D,"Primary_Walkin",raw_data!$C:$C,$Q$1)</f>
        <v>19</v>
      </c>
      <c r="S6" s="29">
        <f>sumifs(raw_data!$E:$E,raw_data!$A:$A,P6,raw_data!$D:$D,"Secondary_Walkin",raw_data!$C:$C,$Q$1)</f>
        <v>0</v>
      </c>
      <c r="T6" s="29">
        <f>sumifs(raw_data!$E:$E,raw_data!$A:$A,P6,raw_data!$G:$G,"GS Foundation",raw_data!$C:$C,$Q$1)</f>
        <v>18</v>
      </c>
      <c r="U6" s="29">
        <f>sumifs(raw_data!$E:$E,raw_data!$A:$A,P6,raw_data!$C:$C,$Q$1) - sumifs(raw_data!$E:$E,raw_data!$A:$A,P6,raw_data!$G:$G,"GS Foundation",raw_data!$C:$C,$Q$1)</f>
        <v>1</v>
      </c>
      <c r="V6" s="31"/>
      <c r="W6" s="31"/>
      <c r="X6" s="29">
        <f>sumifs(raw_data!$Z:$Z,raw_data!$T:$T,P6,raw_data!$U:$U,"Telephony",raw_data!$Y:$Y,$Q$1)</f>
        <v>1</v>
      </c>
      <c r="Y6" s="29">
        <f>sumifs(raw_data!$Z:$Z,raw_data!$T:$T,P6,raw_data!$U:$U,"Paid Ads",raw_data!$Y:$Y,$Q$1)</f>
        <v>1</v>
      </c>
      <c r="Z6" s="29">
        <f>sumifs(raw_data!$N:$N,raw_data!$K:$K,P6,raw_data!$O:$O,$Q$1)</f>
        <v>0</v>
      </c>
      <c r="AA6" s="29">
        <f>sumifs(raw_data!$Z:$Z,raw_data!$T:$T,P6,raw_data!$U:$U,"External Leads",raw_data!$Y:$Y,$Q$1)</f>
        <v>0</v>
      </c>
      <c r="AB6" s="29"/>
      <c r="AD6" s="34"/>
      <c r="AE6" s="15"/>
      <c r="AF6" s="15"/>
      <c r="AG6" s="15"/>
      <c r="AH6" s="15"/>
      <c r="AI6" s="15"/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3">
        <v>46055.0</v>
      </c>
      <c r="Q7" s="29">
        <f>sumifs(raw_data!$E:$E,raw_data!$A:$A,P7,raw_data!$C:$C,$Q$1)</f>
        <v>17</v>
      </c>
      <c r="R7" s="29">
        <f>sumifs(raw_data!$E:$E,raw_data!$A:$A,P7,raw_data!$D:$D,"Primary_Walkin",raw_data!$C:$C,$Q$1)</f>
        <v>16</v>
      </c>
      <c r="S7" s="29">
        <f>sumifs(raw_data!$E:$E,raw_data!$A:$A,P7,raw_data!$D:$D,"Secondary_Walkin",raw_data!$C:$C,$Q$1)</f>
        <v>1</v>
      </c>
      <c r="T7" s="29">
        <f>sumifs(raw_data!$E:$E,raw_data!$A:$A,P7,raw_data!$G:$G,"GS Foundation",raw_data!$C:$C,$Q$1)</f>
        <v>13</v>
      </c>
      <c r="U7" s="29">
        <f>sumifs(raw_data!$E:$E,raw_data!$A:$A,P7,raw_data!$C:$C,$Q$1) - sumifs(raw_data!$E:$E,raw_data!$A:$A,P7,raw_data!$G:$G,"GS Foundation",raw_data!$C:$C,$Q$1)</f>
        <v>4</v>
      </c>
      <c r="V7" s="31"/>
      <c r="W7" s="31"/>
      <c r="X7" s="29">
        <f>sumifs(raw_data!$Z:$Z,raw_data!$T:$T,P7,raw_data!$U:$U,"Telephony",raw_data!$Y:$Y,$Q$1)</f>
        <v>4</v>
      </c>
      <c r="Y7" s="29">
        <f>sumifs(raw_data!$Z:$Z,raw_data!$T:$T,P7,raw_data!$U:$U,"Paid Ads",raw_data!$Y:$Y,$Q$1)</f>
        <v>0</v>
      </c>
      <c r="Z7" s="29">
        <f>sumifs(raw_data!$N:$N,raw_data!$K:$K,P7,raw_data!$O:$O,$Q$1)</f>
        <v>0</v>
      </c>
      <c r="AA7" s="29">
        <f>sumifs(raw_data!$Z:$Z,raw_data!$T:$T,P7,raw_data!$U:$U,"External Leads",raw_data!$Y:$Y,$Q$1)</f>
        <v>0</v>
      </c>
      <c r="AB7" s="29"/>
      <c r="AE7" s="15"/>
      <c r="AF7" s="15"/>
      <c r="AG7" s="15"/>
      <c r="AH7" s="15"/>
      <c r="AI7" s="15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3">
        <v>46056.0</v>
      </c>
      <c r="Q8" s="29">
        <f>sumifs(raw_data!$E:$E,raw_data!$A:$A,P8,raw_data!$C:$C,$Q$1)</f>
        <v>27</v>
      </c>
      <c r="R8" s="29">
        <f>sumifs(raw_data!$E:$E,raw_data!$A:$A,P8,raw_data!$D:$D,"Primary_Walkin",raw_data!$C:$C,$Q$1)</f>
        <v>23</v>
      </c>
      <c r="S8" s="29">
        <f>sumifs(raw_data!$E:$E,raw_data!$A:$A,P8,raw_data!$D:$D,"Secondary_Walkin",raw_data!$C:$C,$Q$1)</f>
        <v>4</v>
      </c>
      <c r="T8" s="29">
        <f>sumifs(raw_data!$E:$E,raw_data!$A:$A,P8,raw_data!$G:$G,"GS Foundation",raw_data!$C:$C,$Q$1)</f>
        <v>24</v>
      </c>
      <c r="U8" s="29">
        <f>sumifs(raw_data!$E:$E,raw_data!$A:$A,P8,raw_data!$C:$C,$Q$1) - sumifs(raw_data!$E:$E,raw_data!$A:$A,P8,raw_data!$G:$G,"GS Foundation",raw_data!$C:$C,$Q$1)</f>
        <v>3</v>
      </c>
      <c r="V8" s="31"/>
      <c r="W8" s="31"/>
      <c r="X8" s="29">
        <f>sumifs(raw_data!$Z:$Z,raw_data!$T:$T,P8,raw_data!$U:$U,"Telephony",raw_data!$Y:$Y,$Q$1)</f>
        <v>2</v>
      </c>
      <c r="Y8" s="29">
        <f>sumifs(raw_data!$Z:$Z,raw_data!$T:$T,P8,raw_data!$U:$U,"Paid Ads",raw_data!$Y:$Y,$Q$1)</f>
        <v>0</v>
      </c>
      <c r="Z8" s="29">
        <f>sumifs(raw_data!$N:$N,raw_data!$K:$K,P8,raw_data!$O:$O,$Q$1)</f>
        <v>0</v>
      </c>
      <c r="AA8" s="29">
        <f>sumifs(raw_data!$Z:$Z,raw_data!$T:$T,P8,raw_data!$U:$U,"External Leads",raw_data!$Y:$Y,$Q$1)</f>
        <v>0</v>
      </c>
      <c r="AB8" s="29"/>
      <c r="AE8" s="15"/>
      <c r="AF8" s="15"/>
      <c r="AG8" s="15"/>
      <c r="AH8" s="15"/>
      <c r="AI8" s="15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3">
        <v>46057.0</v>
      </c>
      <c r="Q9" s="29">
        <f>sumifs(raw_data!$E:$E,raw_data!$A:$A,P9,raw_data!$C:$C,$Q$1)</f>
        <v>16</v>
      </c>
      <c r="R9" s="29">
        <f>sumifs(raw_data!$E:$E,raw_data!$A:$A,P9,raw_data!$D:$D,"Primary_Walkin",raw_data!$C:$C,$Q$1)</f>
        <v>16</v>
      </c>
      <c r="S9" s="29">
        <f>sumifs(raw_data!$E:$E,raw_data!$A:$A,P9,raw_data!$D:$D,"Secondary_Walkin",raw_data!$C:$C,$Q$1)</f>
        <v>0</v>
      </c>
      <c r="T9" s="29">
        <f>sumifs(raw_data!$E:$E,raw_data!$A:$A,P9,raw_data!$G:$G,"GS Foundation",raw_data!$C:$C,$Q$1)</f>
        <v>13</v>
      </c>
      <c r="U9" s="29">
        <f>sumifs(raw_data!$E:$E,raw_data!$A:$A,P9,raw_data!$C:$C,$Q$1) - sumifs(raw_data!$E:$E,raw_data!$A:$A,P9,raw_data!$G:$G,"GS Foundation",raw_data!$C:$C,$Q$1)</f>
        <v>3</v>
      </c>
      <c r="V9" s="31"/>
      <c r="W9" s="31"/>
      <c r="X9" s="29">
        <f>sumifs(raw_data!$Z:$Z,raw_data!$T:$T,P9,raw_data!$U:$U,"Telephony",raw_data!$Y:$Y,$Q$1)</f>
        <v>2</v>
      </c>
      <c r="Y9" s="29">
        <f>sumifs(raw_data!$Z:$Z,raw_data!$T:$T,P9,raw_data!$U:$U,"Paid Ads",raw_data!$Y:$Y,$Q$1)</f>
        <v>0</v>
      </c>
      <c r="Z9" s="29">
        <f>sumifs(raw_data!$N:$N,raw_data!$K:$K,P9,raw_data!$O:$O,$Q$1)</f>
        <v>0</v>
      </c>
      <c r="AA9" s="29">
        <f>sumifs(raw_data!$Z:$Z,raw_data!$T:$T,P9,raw_data!$U:$U,"External Leads",raw_data!$Y:$Y,$Q$1)</f>
        <v>0</v>
      </c>
      <c r="AB9" s="29"/>
      <c r="AE9" s="15"/>
      <c r="AF9" s="15"/>
      <c r="AG9" s="15"/>
      <c r="AH9" s="15"/>
      <c r="AI9" s="15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3">
        <v>46058.0</v>
      </c>
      <c r="Q10" s="29">
        <f>sumifs(raw_data!$E:$E,raw_data!$A:$A,P10,raw_data!$C:$C,$Q$1)</f>
        <v>22</v>
      </c>
      <c r="R10" s="29">
        <f>sumifs(raw_data!$E:$E,raw_data!$A:$A,P10,raw_data!$D:$D,"Primary_Walkin",raw_data!$C:$C,$Q$1)</f>
        <v>21</v>
      </c>
      <c r="S10" s="29">
        <f>sumifs(raw_data!$E:$E,raw_data!$A:$A,P10,raw_data!$D:$D,"Secondary_Walkin",raw_data!$C:$C,$Q$1)</f>
        <v>1</v>
      </c>
      <c r="T10" s="29">
        <f>sumifs(raw_data!$E:$E,raw_data!$A:$A,P10,raw_data!$G:$G,"GS Foundation",raw_data!$C:$C,$Q$1)</f>
        <v>20</v>
      </c>
      <c r="U10" s="29">
        <f>sumifs(raw_data!$E:$E,raw_data!$A:$A,P10,raw_data!$C:$C,$Q$1) - sumifs(raw_data!$E:$E,raw_data!$A:$A,P10,raw_data!$G:$G,"GS Foundation",raw_data!$C:$C,$Q$1)</f>
        <v>2</v>
      </c>
      <c r="V10" s="31"/>
      <c r="W10" s="31"/>
      <c r="X10" s="29">
        <f>sumifs(raw_data!$Z:$Z,raw_data!$T:$T,P10,raw_data!$U:$U,"Telephony",raw_data!$Y:$Y,$Q$1)</f>
        <v>1</v>
      </c>
      <c r="Y10" s="29">
        <f>sumifs(raw_data!$Z:$Z,raw_data!$T:$T,P10,raw_data!$U:$U,"Paid Ads",raw_data!$Y:$Y,$Q$1)</f>
        <v>0</v>
      </c>
      <c r="Z10" s="29">
        <f>sumifs(raw_data!$N:$N,raw_data!$K:$K,P10,raw_data!$O:$O,$Q$1)</f>
        <v>0</v>
      </c>
      <c r="AA10" s="29">
        <f>sumifs(raw_data!$Z:$Z,raw_data!$T:$T,P10,raw_data!$U:$U,"External Leads",raw_data!$Y:$Y,$Q$1)</f>
        <v>0</v>
      </c>
      <c r="AB10" s="29"/>
      <c r="AE10" s="15"/>
      <c r="AF10" s="15"/>
      <c r="AG10" s="15"/>
      <c r="AH10" s="15"/>
      <c r="AI10" s="15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3">
        <v>46059.0</v>
      </c>
      <c r="Q11" s="29">
        <f>sumifs(raw_data!$E:$E,raw_data!$A:$A,P11,raw_data!$C:$C,$Q$1)</f>
        <v>13</v>
      </c>
      <c r="R11" s="29">
        <f>sumifs(raw_data!$E:$E,raw_data!$A:$A,P11,raw_data!$D:$D,"Primary_Walkin",raw_data!$C:$C,$Q$1)</f>
        <v>10</v>
      </c>
      <c r="S11" s="29">
        <f>sumifs(raw_data!$E:$E,raw_data!$A:$A,P11,raw_data!$D:$D,"Secondary_Walkin",raw_data!$C:$C,$Q$1)</f>
        <v>3</v>
      </c>
      <c r="T11" s="29">
        <f>sumifs(raw_data!$E:$E,raw_data!$A:$A,P11,raw_data!$G:$G,"GS Foundation",raw_data!$C:$C,$Q$1)</f>
        <v>11</v>
      </c>
      <c r="U11" s="29">
        <f>sumifs(raw_data!$E:$E,raw_data!$A:$A,P11,raw_data!$C:$C,$Q$1) - sumifs(raw_data!$E:$E,raw_data!$A:$A,P11,raw_data!$G:$G,"GS Foundation",raw_data!$C:$C,$Q$1)</f>
        <v>2</v>
      </c>
      <c r="V11" s="31"/>
      <c r="W11" s="31"/>
      <c r="X11" s="29">
        <f>sumifs(raw_data!$Z:$Z,raw_data!$T:$T,P11,raw_data!$U:$U,"Telephony",raw_data!$Y:$Y,$Q$1)</f>
        <v>2</v>
      </c>
      <c r="Y11" s="29">
        <f>sumifs(raw_data!$Z:$Z,raw_data!$T:$T,P11,raw_data!$U:$U,"Paid Ads",raw_data!$Y:$Y,$Q$1)</f>
        <v>58</v>
      </c>
      <c r="Z11" s="29">
        <f>sumifs(raw_data!$N:$N,raw_data!$K:$K,P11,raw_data!$O:$O,$Q$1)</f>
        <v>0</v>
      </c>
      <c r="AA11" s="29">
        <f>sumifs(raw_data!$Z:$Z,raw_data!$T:$T,P11,raw_data!$U:$U,"External Leads",raw_data!$Y:$Y,$Q$1)</f>
        <v>0</v>
      </c>
      <c r="AB11" s="29"/>
      <c r="AE11" s="15"/>
      <c r="AF11" s="15"/>
      <c r="AG11" s="15"/>
      <c r="AH11" s="15"/>
      <c r="AI11" s="15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3">
        <v>46060.0</v>
      </c>
      <c r="Q12" s="29">
        <f>sumifs(raw_data!$E:$E,raw_data!$A:$A,P12,raw_data!$C:$C,$Q$1)</f>
        <v>31</v>
      </c>
      <c r="R12" s="29">
        <f>sumifs(raw_data!$E:$E,raw_data!$A:$A,P12,raw_data!$D:$D,"Primary_Walkin",raw_data!$C:$C,$Q$1)</f>
        <v>29</v>
      </c>
      <c r="S12" s="29">
        <f>sumifs(raw_data!$E:$E,raw_data!$A:$A,P12,raw_data!$D:$D,"Secondary_Walkin",raw_data!$C:$C,$Q$1)</f>
        <v>2</v>
      </c>
      <c r="T12" s="29">
        <f>sumifs(raw_data!$E:$E,raw_data!$A:$A,P12,raw_data!$G:$G,"GS Foundation",raw_data!$C:$C,$Q$1)</f>
        <v>29</v>
      </c>
      <c r="U12" s="29">
        <f>sumifs(raw_data!$E:$E,raw_data!$A:$A,P12,raw_data!$C:$C,$Q$1) - sumifs(raw_data!$E:$E,raw_data!$A:$A,P12,raw_data!$G:$G,"GS Foundation",raw_data!$C:$C,$Q$1)</f>
        <v>2</v>
      </c>
      <c r="V12" s="31"/>
      <c r="W12" s="31"/>
      <c r="X12" s="29">
        <f>sumifs(raw_data!$Z:$Z,raw_data!$T:$T,P12,raw_data!$U:$U,"Telephony",raw_data!$Y:$Y,$Q$1)</f>
        <v>0</v>
      </c>
      <c r="Y12" s="29">
        <f>sumifs(raw_data!$Z:$Z,raw_data!$T:$T,P12,raw_data!$U:$U,"Paid Ads",raw_data!$Y:$Y,$Q$1)</f>
        <v>0</v>
      </c>
      <c r="Z12" s="29">
        <f>sumifs(raw_data!$N:$N,raw_data!$K:$K,P12,raw_data!$O:$O,$Q$1)</f>
        <v>0</v>
      </c>
      <c r="AA12" s="29">
        <f>sumifs(raw_data!$Z:$Z,raw_data!$T:$T,P12,raw_data!$U:$U,"External Leads",raw_data!$Y:$Y,$Q$1)</f>
        <v>0</v>
      </c>
      <c r="AB12" s="29"/>
      <c r="AE12" s="15"/>
      <c r="AF12" s="15"/>
      <c r="AG12" s="15"/>
      <c r="AH12" s="15"/>
      <c r="AI12" s="15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3">
        <v>46061.0</v>
      </c>
      <c r="Q13" s="29">
        <f>sumifs(raw_data!$E:$E,raw_data!$A:$A,P13,raw_data!$C:$C,$Q$1)</f>
        <v>24</v>
      </c>
      <c r="R13" s="29">
        <f>sumifs(raw_data!$E:$E,raw_data!$A:$A,P13,raw_data!$D:$D,"Primary_Walkin",raw_data!$C:$C,$Q$1)</f>
        <v>22</v>
      </c>
      <c r="S13" s="29">
        <f>sumifs(raw_data!$E:$E,raw_data!$A:$A,P13,raw_data!$D:$D,"Secondary_Walkin",raw_data!$C:$C,$Q$1)</f>
        <v>2</v>
      </c>
      <c r="T13" s="29">
        <f>sumifs(raw_data!$E:$E,raw_data!$A:$A,P13,raw_data!$G:$G,"GS Foundation",raw_data!$C:$C,$Q$1)</f>
        <v>21</v>
      </c>
      <c r="U13" s="29">
        <f>sumifs(raw_data!$E:$E,raw_data!$A:$A,P13,raw_data!$C:$C,$Q$1) - sumifs(raw_data!$E:$E,raw_data!$A:$A,P13,raw_data!$G:$G,"GS Foundation",raw_data!$C:$C,$Q$1)</f>
        <v>3</v>
      </c>
      <c r="V13" s="31"/>
      <c r="W13" s="31"/>
      <c r="X13" s="29">
        <f>sumifs(raw_data!$Z:$Z,raw_data!$T:$T,P13,raw_data!$U:$U,"Telephony",raw_data!$Y:$Y,$Q$1)</f>
        <v>0</v>
      </c>
      <c r="Y13" s="29">
        <f>sumifs(raw_data!$Z:$Z,raw_data!$T:$T,P13,raw_data!$U:$U,"Paid Ads",raw_data!$Y:$Y,$Q$1)</f>
        <v>1</v>
      </c>
      <c r="Z13" s="29">
        <f>sumifs(raw_data!$N:$N,raw_data!$K:$K,P13,raw_data!$O:$O,$Q$1)</f>
        <v>0</v>
      </c>
      <c r="AA13" s="29">
        <f>sumifs(raw_data!$Z:$Z,raw_data!$T:$T,P13,raw_data!$U:$U,"External Leads",raw_data!$Y:$Y,$Q$1)</f>
        <v>0</v>
      </c>
      <c r="AB13" s="29"/>
      <c r="AE13" s="15"/>
      <c r="AF13" s="15"/>
      <c r="AG13" s="15"/>
      <c r="AH13" s="15"/>
      <c r="AI13" s="15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3">
        <v>46062.0</v>
      </c>
      <c r="Q14" s="29">
        <f>sumifs(raw_data!$E:$E,raw_data!$A:$A,P14,raw_data!$C:$C,$Q$1)</f>
        <v>15</v>
      </c>
      <c r="R14" s="29">
        <f>sumifs(raw_data!$E:$E,raw_data!$A:$A,P14,raw_data!$D:$D,"Primary_Walkin",raw_data!$C:$C,$Q$1)</f>
        <v>13</v>
      </c>
      <c r="S14" s="29">
        <f>sumifs(raw_data!$E:$E,raw_data!$A:$A,P14,raw_data!$D:$D,"Secondary_Walkin",raw_data!$C:$C,$Q$1)</f>
        <v>2</v>
      </c>
      <c r="T14" s="29">
        <f>sumifs(raw_data!$E:$E,raw_data!$A:$A,P14,raw_data!$G:$G,"GS Foundation",raw_data!$C:$C,$Q$1)</f>
        <v>15</v>
      </c>
      <c r="U14" s="29">
        <f>sumifs(raw_data!$E:$E,raw_data!$A:$A,P14,raw_data!$C:$C,$Q$1) - sumifs(raw_data!$E:$E,raw_data!$A:$A,P14,raw_data!$G:$G,"GS Foundation",raw_data!$C:$C,$Q$1)</f>
        <v>0</v>
      </c>
      <c r="V14" s="31"/>
      <c r="W14" s="31"/>
      <c r="X14" s="29">
        <f>sumifs(raw_data!$Z:$Z,raw_data!$T:$T,P14,raw_data!$U:$U,"Telephony",raw_data!$Y:$Y,$Q$1)</f>
        <v>0</v>
      </c>
      <c r="Y14" s="29">
        <f>sumifs(raw_data!$Z:$Z,raw_data!$T:$T,P14,raw_data!$U:$U,"Paid Ads",raw_data!$Y:$Y,$Q$1)</f>
        <v>0</v>
      </c>
      <c r="Z14" s="29">
        <f>sumifs(raw_data!$N:$N,raw_data!$K:$K,P14,raw_data!$O:$O,$Q$1)</f>
        <v>0</v>
      </c>
      <c r="AA14" s="29">
        <f>sumifs(raw_data!$Z:$Z,raw_data!$T:$T,P14,raw_data!$U:$U,"External Leads",raw_data!$Y:$Y,$Q$1)</f>
        <v>0</v>
      </c>
      <c r="AB14" s="29"/>
      <c r="AE14" s="15"/>
      <c r="AF14" s="15"/>
      <c r="AG14" s="15"/>
      <c r="AH14" s="15"/>
      <c r="AI14" s="15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3">
        <v>46063.0</v>
      </c>
      <c r="Q15" s="29">
        <f>sumifs(raw_data!$E:$E,raw_data!$A:$A,P15,raw_data!$C:$C,$Q$1)</f>
        <v>19</v>
      </c>
      <c r="R15" s="29">
        <f>sumifs(raw_data!$E:$E,raw_data!$A:$A,P15,raw_data!$D:$D,"Primary_Walkin",raw_data!$C:$C,$Q$1)</f>
        <v>19</v>
      </c>
      <c r="S15" s="29">
        <f>sumifs(raw_data!$E:$E,raw_data!$A:$A,P15,raw_data!$D:$D,"Secondary_Walkin",raw_data!$C:$C,$Q$1)</f>
        <v>0</v>
      </c>
      <c r="T15" s="29">
        <f>sumifs(raw_data!$E:$E,raw_data!$A:$A,P15,raw_data!$G:$G,"GS Foundation",raw_data!$C:$C,$Q$1)</f>
        <v>14</v>
      </c>
      <c r="U15" s="29">
        <f>sumifs(raw_data!$E:$E,raw_data!$A:$A,P15,raw_data!$C:$C,$Q$1) - sumifs(raw_data!$E:$E,raw_data!$A:$A,P15,raw_data!$G:$G,"GS Foundation",raw_data!$C:$C,$Q$1)</f>
        <v>5</v>
      </c>
      <c r="V15" s="31"/>
      <c r="W15" s="31"/>
      <c r="X15" s="29">
        <f>sumifs(raw_data!$Z:$Z,raw_data!$T:$T,P15,raw_data!$U:$U,"Telephony",raw_data!$Y:$Y,$Q$1)</f>
        <v>0</v>
      </c>
      <c r="Y15" s="29">
        <f>sumifs(raw_data!$Z:$Z,raw_data!$T:$T,P15,raw_data!$U:$U,"Paid Ads",raw_data!$Y:$Y,$Q$1)</f>
        <v>0</v>
      </c>
      <c r="Z15" s="29">
        <f>sumifs(raw_data!$N:$N,raw_data!$K:$K,P15,raw_data!$O:$O,$Q$1)</f>
        <v>0</v>
      </c>
      <c r="AA15" s="29">
        <f>sumifs(raw_data!$Z:$Z,raw_data!$T:$T,P15,raw_data!$U:$U,"External Leads",raw_data!$Y:$Y,$Q$1)</f>
        <v>0</v>
      </c>
      <c r="AB15" s="29"/>
      <c r="AE15" s="15"/>
      <c r="AF15" s="15"/>
      <c r="AG15" s="15"/>
      <c r="AH15" s="15"/>
      <c r="AI15" s="15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3">
        <v>46064.0</v>
      </c>
      <c r="Q16" s="29">
        <f>sumifs(raw_data!$E:$E,raw_data!$A:$A,P16,raw_data!$C:$C,$Q$1)</f>
        <v>15</v>
      </c>
      <c r="R16" s="29">
        <f>sumifs(raw_data!$E:$E,raw_data!$A:$A,P16,raw_data!$D:$D,"Primary_Walkin",raw_data!$C:$C,$Q$1)</f>
        <v>11</v>
      </c>
      <c r="S16" s="29">
        <f>sumifs(raw_data!$E:$E,raw_data!$A:$A,P16,raw_data!$D:$D,"Secondary_Walkin",raw_data!$C:$C,$Q$1)</f>
        <v>4</v>
      </c>
      <c r="T16" s="29">
        <f>sumifs(raw_data!$E:$E,raw_data!$A:$A,P16,raw_data!$G:$G,"GS Foundation",raw_data!$C:$C,$Q$1)</f>
        <v>14</v>
      </c>
      <c r="U16" s="29">
        <f>sumifs(raw_data!$E:$E,raw_data!$A:$A,P16,raw_data!$C:$C,$Q$1) - sumifs(raw_data!$E:$E,raw_data!$A:$A,P16,raw_data!$G:$G,"GS Foundation",raw_data!$C:$C,$Q$1)</f>
        <v>1</v>
      </c>
      <c r="V16" s="31"/>
      <c r="W16" s="31"/>
      <c r="X16" s="29">
        <f>sumifs(raw_data!$Z:$Z,raw_data!$T:$T,P16,raw_data!$U:$U,"Telephony",raw_data!$Y:$Y,$Q$1)</f>
        <v>0</v>
      </c>
      <c r="Y16" s="29">
        <f>sumifs(raw_data!$Z:$Z,raw_data!$T:$T,P16,raw_data!$U:$U,"Paid Ads",raw_data!$Y:$Y,$Q$1)</f>
        <v>1</v>
      </c>
      <c r="Z16" s="29">
        <f>sumifs(raw_data!$N:$N,raw_data!$K:$K,P16,raw_data!$O:$O,$Q$1)</f>
        <v>0</v>
      </c>
      <c r="AA16" s="29">
        <f>sumifs(raw_data!$Z:$Z,raw_data!$T:$T,P16,raw_data!$U:$U,"External Leads",raw_data!$Y:$Y,$Q$1)</f>
        <v>0</v>
      </c>
      <c r="AB16" s="29"/>
      <c r="AE16" s="15"/>
      <c r="AF16" s="15"/>
      <c r="AG16" s="15"/>
      <c r="AH16" s="15"/>
      <c r="AI16" s="15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3">
        <v>46065.0</v>
      </c>
      <c r="Q17" s="29">
        <f>sumifs(raw_data!$E:$E,raw_data!$A:$A,P17,raw_data!$C:$C,$Q$1)</f>
        <v>30</v>
      </c>
      <c r="R17" s="29">
        <f>sumifs(raw_data!$E:$E,raw_data!$A:$A,P17,raw_data!$D:$D,"Primary_Walkin",raw_data!$C:$C,$Q$1)</f>
        <v>27</v>
      </c>
      <c r="S17" s="29">
        <f>sumifs(raw_data!$E:$E,raw_data!$A:$A,P17,raw_data!$D:$D,"Secondary_Walkin",raw_data!$C:$C,$Q$1)</f>
        <v>3</v>
      </c>
      <c r="T17" s="29">
        <f>sumifs(raw_data!$E:$E,raw_data!$A:$A,P17,raw_data!$G:$G,"GS Foundation",raw_data!$C:$C,$Q$1)</f>
        <v>24</v>
      </c>
      <c r="U17" s="29">
        <f>sumifs(raw_data!$E:$E,raw_data!$A:$A,P17,raw_data!$C:$C,$Q$1) - sumifs(raw_data!$E:$E,raw_data!$A:$A,P17,raw_data!$G:$G,"GS Foundation",raw_data!$C:$C,$Q$1)</f>
        <v>6</v>
      </c>
      <c r="V17" s="31"/>
      <c r="W17" s="31"/>
      <c r="X17" s="29">
        <f>sumifs(raw_data!$Z:$Z,raw_data!$T:$T,P17,raw_data!$U:$U,"Telephony",raw_data!$Y:$Y,$Q$1)</f>
        <v>0</v>
      </c>
      <c r="Y17" s="29">
        <f>sumifs(raw_data!$Z:$Z,raw_data!$T:$T,P17,raw_data!$U:$U,"Paid Ads",raw_data!$Y:$Y,$Q$1)</f>
        <v>0</v>
      </c>
      <c r="Z17" s="29">
        <f>sumifs(raw_data!$N:$N,raw_data!$K:$K,P17,raw_data!$O:$O,$Q$1)</f>
        <v>0</v>
      </c>
      <c r="AA17" s="29">
        <f>sumifs(raw_data!$Z:$Z,raw_data!$T:$T,P17,raw_data!$U:$U,"External Leads",raw_data!$Y:$Y,$Q$1)</f>
        <v>0</v>
      </c>
      <c r="AB17" s="29"/>
      <c r="AE17" s="15"/>
      <c r="AF17" s="15"/>
      <c r="AG17" s="15"/>
      <c r="AH17" s="15"/>
      <c r="AI17" s="15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3">
        <v>46066.0</v>
      </c>
      <c r="Q18" s="29">
        <f>sumifs(raw_data!$E:$E,raw_data!$A:$A,P18,raw_data!$C:$C,$Q$1)</f>
        <v>16</v>
      </c>
      <c r="R18" s="29">
        <f>sumifs(raw_data!$E:$E,raw_data!$A:$A,P18,raw_data!$D:$D,"Primary_Walkin",raw_data!$C:$C,$Q$1)</f>
        <v>13</v>
      </c>
      <c r="S18" s="29">
        <f>sumifs(raw_data!$E:$E,raw_data!$A:$A,P18,raw_data!$D:$D,"Secondary_Walkin",raw_data!$C:$C,$Q$1)</f>
        <v>3</v>
      </c>
      <c r="T18" s="29">
        <f>sumifs(raw_data!$E:$E,raw_data!$A:$A,P18,raw_data!$G:$G,"GS Foundation",raw_data!$C:$C,$Q$1)</f>
        <v>16</v>
      </c>
      <c r="U18" s="29">
        <f>sumifs(raw_data!$E:$E,raw_data!$A:$A,P18,raw_data!$C:$C,$Q$1) - sumifs(raw_data!$E:$E,raw_data!$A:$A,P18,raw_data!$G:$G,"GS Foundation",raw_data!$C:$C,$Q$1)</f>
        <v>0</v>
      </c>
      <c r="V18" s="31"/>
      <c r="W18" s="31"/>
      <c r="X18" s="29">
        <f>sumifs(raw_data!$Z:$Z,raw_data!$T:$T,P18,raw_data!$U:$U,"Telephony",raw_data!$Y:$Y,$Q$1)</f>
        <v>0</v>
      </c>
      <c r="Y18" s="29">
        <f>sumifs(raw_data!$Z:$Z,raw_data!$T:$T,P18,raw_data!$U:$U,"Paid Ads",raw_data!$Y:$Y,$Q$1)</f>
        <v>1</v>
      </c>
      <c r="Z18" s="29">
        <f>sumifs(raw_data!$N:$N,raw_data!$K:$K,P18,raw_data!$O:$O,$Q$1)</f>
        <v>0</v>
      </c>
      <c r="AA18" s="29">
        <f>sumifs(raw_data!$Z:$Z,raw_data!$T:$T,P18,raw_data!$U:$U,"External Leads",raw_data!$Y:$Y,$Q$1)</f>
        <v>0</v>
      </c>
      <c r="AB18" s="29"/>
      <c r="AE18" s="15"/>
      <c r="AF18" s="15"/>
      <c r="AG18" s="15"/>
      <c r="AH18" s="15"/>
      <c r="AI18" s="15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3">
        <v>46067.0</v>
      </c>
      <c r="Q19" s="29">
        <f>sumifs(raw_data!$E:$E,raw_data!$A:$A,P19,raw_data!$C:$C,$Q$1)</f>
        <v>15</v>
      </c>
      <c r="R19" s="29">
        <f>sumifs(raw_data!$E:$E,raw_data!$A:$A,P19,raw_data!$D:$D,"Primary_Walkin",raw_data!$C:$C,$Q$1)</f>
        <v>14</v>
      </c>
      <c r="S19" s="29">
        <f>sumifs(raw_data!$E:$E,raw_data!$A:$A,P19,raw_data!$D:$D,"Secondary_Walkin",raw_data!$C:$C,$Q$1)</f>
        <v>1</v>
      </c>
      <c r="T19" s="29">
        <f>sumifs(raw_data!$E:$E,raw_data!$A:$A,P19,raw_data!$G:$G,"GS Foundation",raw_data!$C:$C,$Q$1)</f>
        <v>12</v>
      </c>
      <c r="U19" s="29">
        <f>sumifs(raw_data!$E:$E,raw_data!$A:$A,P19,raw_data!$C:$C,$Q$1) - sumifs(raw_data!$E:$E,raw_data!$A:$A,P19,raw_data!$G:$G,"GS Foundation",raw_data!$C:$C,$Q$1)</f>
        <v>3</v>
      </c>
      <c r="V19" s="31"/>
      <c r="W19" s="31"/>
      <c r="X19" s="29">
        <f>sumifs(raw_data!$Z:$Z,raw_data!$T:$T,P19,raw_data!$U:$U,"Telephony",raw_data!$Y:$Y,$Q$1)</f>
        <v>0</v>
      </c>
      <c r="Y19" s="29">
        <f>sumifs(raw_data!$Z:$Z,raw_data!$T:$T,P19,raw_data!$U:$U,"Paid Ads",raw_data!$Y:$Y,$Q$1)</f>
        <v>0</v>
      </c>
      <c r="Z19" s="29">
        <f>sumifs(raw_data!$N:$N,raw_data!$K:$K,P19,raw_data!$O:$O,$Q$1)</f>
        <v>0</v>
      </c>
      <c r="AA19" s="29">
        <f>sumifs(raw_data!$Z:$Z,raw_data!$T:$T,P19,raw_data!$U:$U,"External Leads",raw_data!$Y:$Y,$Q$1)</f>
        <v>0</v>
      </c>
      <c r="AB19" s="29"/>
      <c r="AE19" s="15"/>
      <c r="AF19" s="15"/>
      <c r="AG19" s="15"/>
      <c r="AH19" s="15"/>
      <c r="AI19" s="15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3">
        <v>46068.0</v>
      </c>
      <c r="Q20" s="29">
        <f>sumifs(raw_data!$E:$E,raw_data!$A:$A,P20,raw_data!$C:$C,$Q$1)</f>
        <v>9</v>
      </c>
      <c r="R20" s="29">
        <f>sumifs(raw_data!$E:$E,raw_data!$A:$A,P20,raw_data!$D:$D,"Primary_Walkin",raw_data!$C:$C,$Q$1)</f>
        <v>8</v>
      </c>
      <c r="S20" s="29">
        <f>sumifs(raw_data!$E:$E,raw_data!$A:$A,P20,raw_data!$D:$D,"Secondary_Walkin",raw_data!$C:$C,$Q$1)</f>
        <v>1</v>
      </c>
      <c r="T20" s="29">
        <f>sumifs(raw_data!$E:$E,raw_data!$A:$A,P20,raw_data!$G:$G,"GS Foundation",raw_data!$C:$C,$Q$1)</f>
        <v>7</v>
      </c>
      <c r="U20" s="29">
        <f>sumifs(raw_data!$E:$E,raw_data!$A:$A,P20,raw_data!$C:$C,$Q$1) - sumifs(raw_data!$E:$E,raw_data!$A:$A,P20,raw_data!$G:$G,"GS Foundation",raw_data!$C:$C,$Q$1)</f>
        <v>2</v>
      </c>
      <c r="V20" s="31"/>
      <c r="W20" s="31"/>
      <c r="X20" s="29">
        <f>sumifs(raw_data!$Z:$Z,raw_data!$T:$T,P20,raw_data!$U:$U,"Telephony",raw_data!$Y:$Y,$Q$1)</f>
        <v>0</v>
      </c>
      <c r="Y20" s="29">
        <f>sumifs(raw_data!$Z:$Z,raw_data!$T:$T,P20,raw_data!$U:$U,"Paid Ads",raw_data!$Y:$Y,$Q$1)</f>
        <v>0</v>
      </c>
      <c r="Z20" s="29">
        <f>sumifs(raw_data!$N:$N,raw_data!$K:$K,P20,raw_data!$O:$O,$Q$1)</f>
        <v>0</v>
      </c>
      <c r="AA20" s="29">
        <f>sumifs(raw_data!$Z:$Z,raw_data!$T:$T,P20,raw_data!$U:$U,"External Leads",raw_data!$Y:$Y,$Q$1)</f>
        <v>0</v>
      </c>
      <c r="AB20" s="29"/>
      <c r="AE20" s="15"/>
      <c r="AF20" s="15"/>
      <c r="AG20" s="15"/>
      <c r="AH20" s="15"/>
      <c r="AI20" s="15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3">
        <v>46069.0</v>
      </c>
      <c r="Q21" s="29">
        <f>sumifs(raw_data!$E:$E,raw_data!$A:$A,P21,raw_data!$C:$C,$Q$1)</f>
        <v>13</v>
      </c>
      <c r="R21" s="29">
        <f>sumifs(raw_data!$E:$E,raw_data!$A:$A,P21,raw_data!$D:$D,"Primary_Walkin",raw_data!$C:$C,$Q$1)</f>
        <v>12</v>
      </c>
      <c r="S21" s="29">
        <f>sumifs(raw_data!$E:$E,raw_data!$A:$A,P21,raw_data!$D:$D,"Secondary_Walkin",raw_data!$C:$C,$Q$1)</f>
        <v>1</v>
      </c>
      <c r="T21" s="29">
        <f>sumifs(raw_data!$E:$E,raw_data!$A:$A,P21,raw_data!$G:$G,"GS Foundation",raw_data!$C:$C,$Q$1)</f>
        <v>11</v>
      </c>
      <c r="U21" s="29">
        <f>sumifs(raw_data!$E:$E,raw_data!$A:$A,P21,raw_data!$C:$C,$Q$1) - sumifs(raw_data!$E:$E,raw_data!$A:$A,P21,raw_data!$G:$G,"GS Foundation",raw_data!$C:$C,$Q$1)</f>
        <v>2</v>
      </c>
      <c r="V21" s="31"/>
      <c r="W21" s="31"/>
      <c r="X21" s="29">
        <f>sumifs(raw_data!$Z:$Z,raw_data!$T:$T,P21,raw_data!$U:$U,"Telephony",raw_data!$Y:$Y,$Q$1)</f>
        <v>0</v>
      </c>
      <c r="Y21" s="29">
        <f>sumifs(raw_data!$Z:$Z,raw_data!$T:$T,P21,raw_data!$U:$U,"Paid Ads",raw_data!$Y:$Y,$Q$1)</f>
        <v>1</v>
      </c>
      <c r="Z21" s="29">
        <f>sumifs(raw_data!$N:$N,raw_data!$K:$K,P21,raw_data!$O:$O,$Q$1)</f>
        <v>0</v>
      </c>
      <c r="AA21" s="29">
        <f>sumifs(raw_data!$Z:$Z,raw_data!$T:$T,P21,raw_data!$U:$U,"External Leads",raw_data!$Y:$Y,$Q$1)</f>
        <v>0</v>
      </c>
      <c r="AB21" s="29"/>
      <c r="AE21" s="15"/>
      <c r="AF21" s="15"/>
      <c r="AG21" s="15"/>
      <c r="AH21" s="15"/>
      <c r="AI21" s="15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3">
        <v>46070.0</v>
      </c>
      <c r="Q22" s="29">
        <f>sumifs(raw_data!$E:$E,raw_data!$A:$A,P22,raw_data!$C:$C,$Q$1)</f>
        <v>20</v>
      </c>
      <c r="R22" s="29">
        <f>sumifs(raw_data!$E:$E,raw_data!$A:$A,P22,raw_data!$D:$D,"Primary_Walkin",raw_data!$C:$C,$Q$1)</f>
        <v>18</v>
      </c>
      <c r="S22" s="29">
        <f>sumifs(raw_data!$E:$E,raw_data!$A:$A,P22,raw_data!$D:$D,"Secondary_Walkin",raw_data!$C:$C,$Q$1)</f>
        <v>2</v>
      </c>
      <c r="T22" s="29">
        <f>sumifs(raw_data!$E:$E,raw_data!$A:$A,P22,raw_data!$G:$G,"GS Foundation",raw_data!$C:$C,$Q$1)</f>
        <v>18</v>
      </c>
      <c r="U22" s="29">
        <f>sumifs(raw_data!$E:$E,raw_data!$A:$A,P22,raw_data!$C:$C,$Q$1) - sumifs(raw_data!$E:$E,raw_data!$A:$A,P22,raw_data!$G:$G,"GS Foundation",raw_data!$C:$C,$Q$1)</f>
        <v>2</v>
      </c>
      <c r="V22" s="31"/>
      <c r="W22" s="31"/>
      <c r="X22" s="29">
        <f>sumifs(raw_data!$Z:$Z,raw_data!$T:$T,P22,raw_data!$U:$U,"Telephony",raw_data!$Y:$Y,$Q$1)</f>
        <v>0</v>
      </c>
      <c r="Y22" s="29">
        <f>sumifs(raw_data!$Z:$Z,raw_data!$T:$T,P22,raw_data!$U:$U,"Paid Ads",raw_data!$Y:$Y,$Q$1)</f>
        <v>1</v>
      </c>
      <c r="Z22" s="29">
        <f>sumifs(raw_data!$N:$N,raw_data!$K:$K,P22,raw_data!$O:$O,$Q$1)</f>
        <v>0</v>
      </c>
      <c r="AA22" s="29">
        <f>sumifs(raw_data!$Z:$Z,raw_data!$T:$T,P22,raw_data!$U:$U,"External Leads",raw_data!$Y:$Y,$Q$1)</f>
        <v>0</v>
      </c>
      <c r="AB22" s="29"/>
      <c r="AE22" s="15"/>
      <c r="AF22" s="15"/>
      <c r="AG22" s="15"/>
      <c r="AH22" s="15"/>
      <c r="AI22" s="15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3">
        <v>46071.0</v>
      </c>
      <c r="Q23" s="29">
        <f>sumifs(raw_data!$E:$E,raw_data!$A:$A,P23,raw_data!$C:$C,$Q$1)</f>
        <v>13</v>
      </c>
      <c r="R23" s="29">
        <f>sumifs(raw_data!$E:$E,raw_data!$A:$A,P23,raw_data!$D:$D,"Primary_Walkin",raw_data!$C:$C,$Q$1)</f>
        <v>11</v>
      </c>
      <c r="S23" s="29">
        <f>sumifs(raw_data!$E:$E,raw_data!$A:$A,P23,raw_data!$D:$D,"Secondary_Walkin",raw_data!$C:$C,$Q$1)</f>
        <v>2</v>
      </c>
      <c r="T23" s="29">
        <f>sumifs(raw_data!$E:$E,raw_data!$A:$A,P23,raw_data!$G:$G,"GS Foundation",raw_data!$C:$C,$Q$1)</f>
        <v>11</v>
      </c>
      <c r="U23" s="29">
        <f>sumifs(raw_data!$E:$E,raw_data!$A:$A,P23,raw_data!$C:$C,$Q$1) - sumifs(raw_data!$E:$E,raw_data!$A:$A,P23,raw_data!$G:$G,"GS Foundation",raw_data!$C:$C,$Q$1)</f>
        <v>2</v>
      </c>
      <c r="V23" s="31"/>
      <c r="W23" s="31"/>
      <c r="X23" s="29">
        <f>sumifs(raw_data!$Z:$Z,raw_data!$T:$T,P23,raw_data!$U:$U,"Telephony",raw_data!$Y:$Y,$Q$1)</f>
        <v>0</v>
      </c>
      <c r="Y23" s="29">
        <f>sumifs(raw_data!$Z:$Z,raw_data!$T:$T,P23,raw_data!$U:$U,"Paid Ads",raw_data!$Y:$Y,$Q$1)</f>
        <v>0</v>
      </c>
      <c r="Z23" s="29">
        <f>sumifs(raw_data!$N:$N,raw_data!$K:$K,P23,raw_data!$O:$O,$Q$1)</f>
        <v>0</v>
      </c>
      <c r="AA23" s="29">
        <f>sumifs(raw_data!$Z:$Z,raw_data!$T:$T,P23,raw_data!$U:$U,"External Leads",raw_data!$Y:$Y,$Q$1)</f>
        <v>0</v>
      </c>
      <c r="AB23" s="29"/>
      <c r="AE23" s="15"/>
      <c r="AF23" s="15"/>
      <c r="AG23" s="15"/>
      <c r="AH23" s="15"/>
      <c r="AI23" s="15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3">
        <v>46072.0</v>
      </c>
      <c r="Q24" s="29">
        <f>sumifs(raw_data!$E:$E,raw_data!$A:$A,P24,raw_data!$C:$C,$Q$1)</f>
        <v>14</v>
      </c>
      <c r="R24" s="29">
        <f>sumifs(raw_data!$E:$E,raw_data!$A:$A,P24,raw_data!$D:$D,"Primary_Walkin",raw_data!$C:$C,$Q$1)</f>
        <v>12</v>
      </c>
      <c r="S24" s="29">
        <f>sumifs(raw_data!$E:$E,raw_data!$A:$A,P24,raw_data!$D:$D,"Secondary_Walkin",raw_data!$C:$C,$Q$1)</f>
        <v>2</v>
      </c>
      <c r="T24" s="29">
        <f>sumifs(raw_data!$E:$E,raw_data!$A:$A,P24,raw_data!$G:$G,"GS Foundation",raw_data!$C:$C,$Q$1)</f>
        <v>12</v>
      </c>
      <c r="U24" s="29">
        <f>sumifs(raw_data!$E:$E,raw_data!$A:$A,P24,raw_data!$C:$C,$Q$1) - sumifs(raw_data!$E:$E,raw_data!$A:$A,P24,raw_data!$G:$G,"GS Foundation",raw_data!$C:$C,$Q$1)</f>
        <v>2</v>
      </c>
      <c r="V24" s="31"/>
      <c r="W24" s="31"/>
      <c r="X24" s="29">
        <f>sumifs(raw_data!$Z:$Z,raw_data!$T:$T,P24,raw_data!$U:$U,"Telephony",raw_data!$Y:$Y,$Q$1)</f>
        <v>0</v>
      </c>
      <c r="Y24" s="29">
        <f>sumifs(raw_data!$Z:$Z,raw_data!$T:$T,P24,raw_data!$U:$U,"Paid Ads",raw_data!$Y:$Y,$Q$1)</f>
        <v>0</v>
      </c>
      <c r="Z24" s="29">
        <f>sumifs(raw_data!$N:$N,raw_data!$K:$K,P24,raw_data!$O:$O,$Q$1)</f>
        <v>0</v>
      </c>
      <c r="AA24" s="29">
        <f>sumifs(raw_data!$Z:$Z,raw_data!$T:$T,P24,raw_data!$U:$U,"External Leads",raw_data!$Y:$Y,$Q$1)</f>
        <v>0</v>
      </c>
      <c r="AB24" s="29"/>
      <c r="AE24" s="15"/>
      <c r="AF24" s="15"/>
      <c r="AG24" s="15"/>
      <c r="AH24" s="15"/>
      <c r="AI24" s="15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3">
        <v>46073.0</v>
      </c>
      <c r="Q25" s="29">
        <f>sumifs(raw_data!$E:$E,raw_data!$A:$A,P25,raw_data!$C:$C,$Q$1)</f>
        <v>14</v>
      </c>
      <c r="R25" s="29">
        <f>sumifs(raw_data!$E:$E,raw_data!$A:$A,P25,raw_data!$D:$D,"Primary_Walkin",raw_data!$C:$C,$Q$1)</f>
        <v>13</v>
      </c>
      <c r="S25" s="29">
        <f>sumifs(raw_data!$E:$E,raw_data!$A:$A,P25,raw_data!$D:$D,"Secondary_Walkin",raw_data!$C:$C,$Q$1)</f>
        <v>1</v>
      </c>
      <c r="T25" s="29">
        <f>sumifs(raw_data!$E:$E,raw_data!$A:$A,P25,raw_data!$G:$G,"GS Foundation",raw_data!$C:$C,$Q$1)</f>
        <v>13</v>
      </c>
      <c r="U25" s="29">
        <f>sumifs(raw_data!$E:$E,raw_data!$A:$A,P25,raw_data!$C:$C,$Q$1) - sumifs(raw_data!$E:$E,raw_data!$A:$A,P25,raw_data!$G:$G,"GS Foundation",raw_data!$C:$C,$Q$1)</f>
        <v>1</v>
      </c>
      <c r="V25" s="31"/>
      <c r="W25" s="31"/>
      <c r="X25" s="29">
        <f>sumifs(raw_data!$Z:$Z,raw_data!$T:$T,P25,raw_data!$U:$U,"Telephony",raw_data!$Y:$Y,$Q$1)</f>
        <v>0</v>
      </c>
      <c r="Y25" s="29">
        <f>sumifs(raw_data!$Z:$Z,raw_data!$T:$T,P25,raw_data!$U:$U,"Paid Ads",raw_data!$Y:$Y,$Q$1)</f>
        <v>0</v>
      </c>
      <c r="Z25" s="29">
        <f>sumifs(raw_data!$N:$N,raw_data!$K:$K,P25,raw_data!$O:$O,$Q$1)</f>
        <v>0</v>
      </c>
      <c r="AA25" s="29">
        <f>sumifs(raw_data!$Z:$Z,raw_data!$T:$T,P25,raw_data!$U:$U,"External Leads",raw_data!$Y:$Y,$Q$1)</f>
        <v>0</v>
      </c>
      <c r="AB25" s="29"/>
      <c r="AE25" s="15"/>
      <c r="AF25" s="15"/>
      <c r="AG25" s="15"/>
      <c r="AH25" s="15"/>
      <c r="AI25" s="15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3">
        <v>46074.0</v>
      </c>
      <c r="Q26" s="29">
        <f>sumifs(raw_data!$E:$E,raw_data!$A:$A,P26,raw_data!$C:$C,$Q$1)</f>
        <v>21</v>
      </c>
      <c r="R26" s="29">
        <f>sumifs(raw_data!$E:$E,raw_data!$A:$A,P26,raw_data!$D:$D,"Primary_Walkin",raw_data!$C:$C,$Q$1)</f>
        <v>19</v>
      </c>
      <c r="S26" s="29">
        <f>sumifs(raw_data!$E:$E,raw_data!$A:$A,P26,raw_data!$D:$D,"Secondary_Walkin",raw_data!$C:$C,$Q$1)</f>
        <v>2</v>
      </c>
      <c r="T26" s="29">
        <f>sumifs(raw_data!$E:$E,raw_data!$A:$A,P26,raw_data!$G:$G,"GS Foundation",raw_data!$C:$C,$Q$1)</f>
        <v>15</v>
      </c>
      <c r="U26" s="29">
        <f>sumifs(raw_data!$E:$E,raw_data!$A:$A,P26,raw_data!$C:$C,$Q$1) - sumifs(raw_data!$E:$E,raw_data!$A:$A,P26,raw_data!$G:$G,"GS Foundation",raw_data!$C:$C,$Q$1)</f>
        <v>6</v>
      </c>
      <c r="V26" s="31"/>
      <c r="W26" s="31"/>
      <c r="X26" s="29">
        <f>sumifs(raw_data!$Z:$Z,raw_data!$T:$T,P26,raw_data!$U:$U,"Telephony",raw_data!$Y:$Y,$Q$1)</f>
        <v>0</v>
      </c>
      <c r="Y26" s="29">
        <f>sumifs(raw_data!$Z:$Z,raw_data!$T:$T,P26,raw_data!$U:$U,"Paid Ads",raw_data!$Y:$Y,$Q$1)</f>
        <v>0</v>
      </c>
      <c r="Z26" s="29">
        <f>sumifs(raw_data!$N:$N,raw_data!$K:$K,P26,raw_data!$O:$O,$Q$1)</f>
        <v>0</v>
      </c>
      <c r="AA26" s="29">
        <f>sumifs(raw_data!$Z:$Z,raw_data!$T:$T,P26,raw_data!$U:$U,"External Leads",raw_data!$Y:$Y,$Q$1)</f>
        <v>0</v>
      </c>
      <c r="AB26" s="29"/>
      <c r="AE26" s="15"/>
      <c r="AF26" s="15"/>
      <c r="AG26" s="15"/>
      <c r="AH26" s="15"/>
      <c r="AI26" s="15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3">
        <v>46075.0</v>
      </c>
      <c r="Q27" s="29">
        <f>sumifs(raw_data!$E:$E,raw_data!$A:$A,P27,raw_data!$C:$C,$Q$1)</f>
        <v>15</v>
      </c>
      <c r="R27" s="29">
        <f>sumifs(raw_data!$E:$E,raw_data!$A:$A,P27,raw_data!$D:$D,"Primary_Walkin",raw_data!$C:$C,$Q$1)</f>
        <v>14</v>
      </c>
      <c r="S27" s="29">
        <f>sumifs(raw_data!$E:$E,raw_data!$A:$A,P27,raw_data!$D:$D,"Secondary_Walkin",raw_data!$C:$C,$Q$1)</f>
        <v>1</v>
      </c>
      <c r="T27" s="29">
        <f>sumifs(raw_data!$E:$E,raw_data!$A:$A,P27,raw_data!$G:$G,"GS Foundation",raw_data!$C:$C,$Q$1)</f>
        <v>14</v>
      </c>
      <c r="U27" s="29">
        <f>sumifs(raw_data!$E:$E,raw_data!$A:$A,P27,raw_data!$C:$C,$Q$1) - sumifs(raw_data!$E:$E,raw_data!$A:$A,P27,raw_data!$G:$G,"GS Foundation",raw_data!$C:$C,$Q$1)</f>
        <v>1</v>
      </c>
      <c r="V27" s="31"/>
      <c r="W27" s="31"/>
      <c r="X27" s="29">
        <f>sumifs(raw_data!$Z:$Z,raw_data!$T:$T,P27,raw_data!$U:$U,"Telephony",raw_data!$Y:$Y,$Q$1)</f>
        <v>0</v>
      </c>
      <c r="Y27" s="29">
        <f>sumifs(raw_data!$Z:$Z,raw_data!$T:$T,P27,raw_data!$U:$U,"Paid Ads",raw_data!$Y:$Y,$Q$1)</f>
        <v>0</v>
      </c>
      <c r="Z27" s="29">
        <f>sumifs(raw_data!$N:$N,raw_data!$K:$K,P27,raw_data!$O:$O,$Q$1)</f>
        <v>0</v>
      </c>
      <c r="AA27" s="29">
        <f>sumifs(raw_data!$Z:$Z,raw_data!$T:$T,P27,raw_data!$U:$U,"External Leads",raw_data!$Y:$Y,$Q$1)</f>
        <v>0</v>
      </c>
      <c r="AB27" s="29"/>
      <c r="AE27" s="15"/>
      <c r="AF27" s="15"/>
      <c r="AG27" s="15"/>
      <c r="AH27" s="15"/>
      <c r="AI27" s="15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3">
        <v>46076.0</v>
      </c>
      <c r="Q28" s="29">
        <f>sumifs(raw_data!$E:$E,raw_data!$A:$A,P28,raw_data!$C:$C,$Q$1)</f>
        <v>15</v>
      </c>
      <c r="R28" s="29">
        <f>sumifs(raw_data!$E:$E,raw_data!$A:$A,P28,raw_data!$D:$D,"Primary_Walkin",raw_data!$C:$C,$Q$1)</f>
        <v>15</v>
      </c>
      <c r="S28" s="29">
        <f>sumifs(raw_data!$E:$E,raw_data!$A:$A,P28,raw_data!$D:$D,"Secondary_Walkin",raw_data!$C:$C,$Q$1)</f>
        <v>0</v>
      </c>
      <c r="T28" s="29">
        <f>sumifs(raw_data!$E:$E,raw_data!$A:$A,P28,raw_data!$G:$G,"GS Foundation",raw_data!$C:$C,$Q$1)</f>
        <v>14</v>
      </c>
      <c r="U28" s="29">
        <f>sumifs(raw_data!$E:$E,raw_data!$A:$A,P28,raw_data!$C:$C,$Q$1) - sumifs(raw_data!$E:$E,raw_data!$A:$A,P28,raw_data!$G:$G,"GS Foundation",raw_data!$C:$C,$Q$1)</f>
        <v>1</v>
      </c>
      <c r="V28" s="31"/>
      <c r="W28" s="31"/>
      <c r="X28" s="29">
        <f>sumifs(raw_data!$Z:$Z,raw_data!$T:$T,P28,raw_data!$U:$U,"Telephony",raw_data!$Y:$Y,$Q$1)</f>
        <v>8</v>
      </c>
      <c r="Y28" s="29">
        <f>sumifs(raw_data!$Z:$Z,raw_data!$T:$T,P28,raw_data!$U:$U,"Paid Ads",raw_data!$Y:$Y,$Q$1)</f>
        <v>0</v>
      </c>
      <c r="Z28" s="29">
        <f>sumifs(raw_data!$N:$N,raw_data!$K:$K,P28,raw_data!$O:$O,$Q$1)</f>
        <v>0</v>
      </c>
      <c r="AA28" s="29">
        <f>sumifs(raw_data!$Z:$Z,raw_data!$T:$T,P28,raw_data!$U:$U,"External Leads",raw_data!$Y:$Y,$Q$1)</f>
        <v>0</v>
      </c>
      <c r="AB28" s="29"/>
      <c r="AE28" s="15"/>
      <c r="AF28" s="15"/>
      <c r="AG28" s="15"/>
      <c r="AH28" s="15"/>
      <c r="AI28" s="15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3">
        <v>46077.0</v>
      </c>
      <c r="Q29" s="29">
        <f>sumifs(raw_data!$E:$E,raw_data!$A:$A,P29,raw_data!$C:$C,$Q$1)</f>
        <v>19</v>
      </c>
      <c r="R29" s="29">
        <f>sumifs(raw_data!$E:$E,raw_data!$A:$A,P29,raw_data!$D:$D,"Primary_Walkin",raw_data!$C:$C,$Q$1)</f>
        <v>16</v>
      </c>
      <c r="S29" s="29">
        <f>sumifs(raw_data!$E:$E,raw_data!$A:$A,P29,raw_data!$D:$D,"Secondary_Walkin",raw_data!$C:$C,$Q$1)</f>
        <v>3</v>
      </c>
      <c r="T29" s="29">
        <f>sumifs(raw_data!$E:$E,raw_data!$A:$A,P29,raw_data!$G:$G,"GS Foundation",raw_data!$C:$C,$Q$1)</f>
        <v>17</v>
      </c>
      <c r="U29" s="29">
        <f>sumifs(raw_data!$E:$E,raw_data!$A:$A,P29,raw_data!$C:$C,$Q$1) - sumifs(raw_data!$E:$E,raw_data!$A:$A,P29,raw_data!$G:$G,"GS Foundation",raw_data!$C:$C,$Q$1)</f>
        <v>2</v>
      </c>
      <c r="V29" s="31"/>
      <c r="W29" s="31"/>
      <c r="X29" s="29">
        <f>sumifs(raw_data!$Z:$Z,raw_data!$T:$T,P29,raw_data!$U:$U,"Telephony",raw_data!$Y:$Y,$Q$1)</f>
        <v>4</v>
      </c>
      <c r="Y29" s="29">
        <f>sumifs(raw_data!$Z:$Z,raw_data!$T:$T,P29,raw_data!$U:$U,"Paid Ads",raw_data!$Y:$Y,$Q$1)</f>
        <v>1</v>
      </c>
      <c r="Z29" s="29">
        <f>sumifs(raw_data!$N:$N,raw_data!$K:$K,P29,raw_data!$O:$O,$Q$1)</f>
        <v>0</v>
      </c>
      <c r="AA29" s="29">
        <f>sumifs(raw_data!$Z:$Z,raw_data!$T:$T,P29,raw_data!$U:$U,"External Leads",raw_data!$Y:$Y,$Q$1)</f>
        <v>0</v>
      </c>
      <c r="AB29" s="29"/>
      <c r="AE29" s="15"/>
      <c r="AF29" s="15"/>
      <c r="AG29" s="15"/>
      <c r="AH29" s="15"/>
      <c r="AI29" s="15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3">
        <v>46078.0</v>
      </c>
      <c r="Q30" s="29">
        <f>sumifs(raw_data!$E:$E,raw_data!$A:$A,P30,raw_data!$C:$C,$Q$1)</f>
        <v>14</v>
      </c>
      <c r="R30" s="29">
        <f>sumifs(raw_data!$E:$E,raw_data!$A:$A,P30,raw_data!$D:$D,"Primary_Walkin",raw_data!$C:$C,$Q$1)</f>
        <v>13</v>
      </c>
      <c r="S30" s="29">
        <f>sumifs(raw_data!$E:$E,raw_data!$A:$A,P30,raw_data!$D:$D,"Secondary_Walkin",raw_data!$C:$C,$Q$1)</f>
        <v>1</v>
      </c>
      <c r="T30" s="29">
        <f>sumifs(raw_data!$E:$E,raw_data!$A:$A,P30,raw_data!$G:$G,"GS Foundation",raw_data!$C:$C,$Q$1)</f>
        <v>11</v>
      </c>
      <c r="U30" s="29">
        <f>sumifs(raw_data!$E:$E,raw_data!$A:$A,P30,raw_data!$C:$C,$Q$1) - sumifs(raw_data!$E:$E,raw_data!$A:$A,P30,raw_data!$G:$G,"GS Foundation",raw_data!$C:$C,$Q$1)</f>
        <v>3</v>
      </c>
      <c r="V30" s="31"/>
      <c r="W30" s="31"/>
      <c r="X30" s="29">
        <f>sumifs(raw_data!$Z:$Z,raw_data!$T:$T,P30,raw_data!$U:$U,"Telephony",raw_data!$Y:$Y,$Q$1)</f>
        <v>19</v>
      </c>
      <c r="Y30" s="29">
        <f>sumifs(raw_data!$Z:$Z,raw_data!$T:$T,P30,raw_data!$U:$U,"Paid Ads",raw_data!$Y:$Y,$Q$1)</f>
        <v>0</v>
      </c>
      <c r="Z30" s="29">
        <f>sumifs(raw_data!$N:$N,raw_data!$K:$K,P30,raw_data!$O:$O,$Q$1)</f>
        <v>0</v>
      </c>
      <c r="AA30" s="29">
        <f>sumifs(raw_data!$Z:$Z,raw_data!$T:$T,P30,raw_data!$U:$U,"External Leads",raw_data!$Y:$Y,$Q$1)</f>
        <v>0</v>
      </c>
      <c r="AB30" s="29"/>
      <c r="AE30" s="15"/>
      <c r="AF30" s="15"/>
      <c r="AG30" s="15"/>
      <c r="AH30" s="15"/>
      <c r="AI30" s="15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3">
        <v>46079.0</v>
      </c>
      <c r="Q31" s="29">
        <f>sumifs(raw_data!$E:$E,raw_data!$A:$A,P31,raw_data!$C:$C,$Q$1)</f>
        <v>21</v>
      </c>
      <c r="R31" s="29">
        <f>sumifs(raw_data!$E:$E,raw_data!$A:$A,P31,raw_data!$D:$D,"Primary_Walkin",raw_data!$C:$C,$Q$1)</f>
        <v>18</v>
      </c>
      <c r="S31" s="29">
        <f>sumifs(raw_data!$E:$E,raw_data!$A:$A,P31,raw_data!$D:$D,"Secondary_Walkin",raw_data!$C:$C,$Q$1)</f>
        <v>3</v>
      </c>
      <c r="T31" s="29">
        <f>sumifs(raw_data!$E:$E,raw_data!$A:$A,P31,raw_data!$G:$G,"GS Foundation",raw_data!$C:$C,$Q$1)</f>
        <v>18</v>
      </c>
      <c r="U31" s="29">
        <f>sumifs(raw_data!$E:$E,raw_data!$A:$A,P31,raw_data!$C:$C,$Q$1) - sumifs(raw_data!$E:$E,raw_data!$A:$A,P31,raw_data!$G:$G,"GS Foundation",raw_data!$C:$C,$Q$1)</f>
        <v>3</v>
      </c>
      <c r="V31" s="31"/>
      <c r="W31" s="31"/>
      <c r="X31" s="29">
        <f>sumifs(raw_data!$Z:$Z,raw_data!$T:$T,P31,raw_data!$U:$U,"Telephony",raw_data!$Y:$Y,$Q$1)</f>
        <v>14</v>
      </c>
      <c r="Y31" s="29">
        <f>sumifs(raw_data!$Z:$Z,raw_data!$T:$T,P31,raw_data!$U:$U,"Paid Ads",raw_data!$Y:$Y,$Q$1)</f>
        <v>0</v>
      </c>
      <c r="Z31" s="29">
        <f>sumifs(raw_data!$N:$N,raw_data!$K:$K,P31,raw_data!$O:$O,$Q$1)</f>
        <v>0</v>
      </c>
      <c r="AA31" s="29">
        <f>sumifs(raw_data!$Z:$Z,raw_data!$T:$T,P31,raw_data!$U:$U,"External Leads",raw_data!$Y:$Y,$Q$1)</f>
        <v>0</v>
      </c>
      <c r="AB31" s="29"/>
      <c r="AE31" s="15"/>
      <c r="AF31" s="15"/>
      <c r="AG31" s="15"/>
      <c r="AH31" s="15"/>
      <c r="AI31" s="15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3">
        <v>46080.0</v>
      </c>
      <c r="Q32" s="29">
        <f>sumifs(raw_data!$E:$E,raw_data!$A:$A,P32,raw_data!$C:$C,$Q$1)</f>
        <v>14</v>
      </c>
      <c r="R32" s="29">
        <f>sumifs(raw_data!$E:$E,raw_data!$A:$A,P32,raw_data!$D:$D,"Primary_Walkin",raw_data!$C:$C,$Q$1)</f>
        <v>13</v>
      </c>
      <c r="S32" s="29">
        <f>sumifs(raw_data!$E:$E,raw_data!$A:$A,P32,raw_data!$D:$D,"Secondary_Walkin",raw_data!$C:$C,$Q$1)</f>
        <v>1</v>
      </c>
      <c r="T32" s="29">
        <f>sumifs(raw_data!$E:$E,raw_data!$A:$A,P32,raw_data!$G:$G,"GS Foundation",raw_data!$C:$C,$Q$1)</f>
        <v>13</v>
      </c>
      <c r="U32" s="29">
        <f>sumifs(raw_data!$E:$E,raw_data!$A:$A,P32,raw_data!$C:$C,$Q$1) - sumifs(raw_data!$E:$E,raw_data!$A:$A,P32,raw_data!$G:$G,"GS Foundation",raw_data!$C:$C,$Q$1)</f>
        <v>1</v>
      </c>
      <c r="V32" s="31"/>
      <c r="W32" s="31"/>
      <c r="X32" s="29">
        <f>sumifs(raw_data!$Z:$Z,raw_data!$T:$T,P32,raw_data!$U:$U,"Telephony",raw_data!$Y:$Y,$Q$1)</f>
        <v>15</v>
      </c>
      <c r="Y32" s="29">
        <f>sumifs(raw_data!$Z:$Z,raw_data!$T:$T,P32,raw_data!$U:$U,"Paid Ads",raw_data!$Y:$Y,$Q$1)</f>
        <v>0</v>
      </c>
      <c r="Z32" s="29">
        <f>sumifs(raw_data!$N:$N,raw_data!$K:$K,P32,raw_data!$O:$O,$Q$1)</f>
        <v>0</v>
      </c>
      <c r="AA32" s="29">
        <f>sumifs(raw_data!$Z:$Z,raw_data!$T:$T,P32,raw_data!$U:$U,"External Leads",raw_data!$Y:$Y,$Q$1)</f>
        <v>0</v>
      </c>
      <c r="AB32" s="29"/>
      <c r="AE32" s="15"/>
      <c r="AF32" s="15"/>
      <c r="AG32" s="15"/>
      <c r="AH32" s="15"/>
      <c r="AI32" s="15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3">
        <v>46081.0</v>
      </c>
      <c r="Q33" s="29">
        <f>sumifs(raw_data!$E:$E,raw_data!$A:$A,P33,raw_data!$C:$C,$Q$1)</f>
        <v>16</v>
      </c>
      <c r="R33" s="29">
        <f>sumifs(raw_data!$E:$E,raw_data!$A:$A,P33,raw_data!$D:$D,"Primary_Walkin",raw_data!$C:$C,$Q$1)</f>
        <v>15</v>
      </c>
      <c r="S33" s="29">
        <f>sumifs(raw_data!$E:$E,raw_data!$A:$A,P33,raw_data!$D:$D,"Secondary_Walkin",raw_data!$C:$C,$Q$1)</f>
        <v>1</v>
      </c>
      <c r="T33" s="29">
        <f>sumifs(raw_data!$E:$E,raw_data!$A:$A,P33,raw_data!$G:$G,"GS Foundation",raw_data!$C:$C,$Q$1)</f>
        <v>14</v>
      </c>
      <c r="U33" s="29">
        <f>sumifs(raw_data!$E:$E,raw_data!$A:$A,P33,raw_data!$C:$C,$Q$1) - sumifs(raw_data!$E:$E,raw_data!$A:$A,P33,raw_data!$G:$G,"GS Foundation",raw_data!$C:$C,$Q$1)</f>
        <v>2</v>
      </c>
      <c r="V33" s="31"/>
      <c r="W33" s="31"/>
      <c r="X33" s="29">
        <f>sumifs(raw_data!$Z:$Z,raw_data!$T:$T,P33,raw_data!$U:$U,"Telephony",raw_data!$Y:$Y,$Q$1)</f>
        <v>18</v>
      </c>
      <c r="Y33" s="29">
        <f>sumifs(raw_data!$Z:$Z,raw_data!$T:$T,P33,raw_data!$U:$U,"Paid Ads",raw_data!$Y:$Y,$Q$1)</f>
        <v>0</v>
      </c>
      <c r="Z33" s="29">
        <f>sumifs(raw_data!$N:$N,raw_data!$K:$K,P33,raw_data!$O:$O,$Q$1)</f>
        <v>0</v>
      </c>
      <c r="AA33" s="29">
        <f>sumifs(raw_data!$Z:$Z,raw_data!$T:$T,P33,raw_data!$U:$U,"External Leads",raw_data!$Y:$Y,$Q$1)</f>
        <v>217</v>
      </c>
      <c r="AB33" s="29"/>
      <c r="AE33" s="15"/>
      <c r="AF33" s="15"/>
      <c r="AG33" s="15"/>
      <c r="AH33" s="15"/>
      <c r="AI33" s="15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3"/>
      <c r="Q34" s="29"/>
      <c r="R34" s="29"/>
      <c r="S34" s="29"/>
      <c r="T34" s="29"/>
      <c r="U34" s="29"/>
      <c r="V34" s="31"/>
      <c r="W34" s="31"/>
      <c r="X34" s="29"/>
      <c r="Y34" s="29"/>
      <c r="Z34" s="29"/>
      <c r="AA34" s="29"/>
      <c r="AB34" s="29"/>
      <c r="AE34" s="15"/>
      <c r="AF34" s="15"/>
      <c r="AG34" s="15"/>
      <c r="AH34" s="15"/>
      <c r="AI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9"/>
      <c r="Q35" s="29"/>
      <c r="R35" s="29"/>
      <c r="S35" s="29"/>
      <c r="T35" s="29"/>
      <c r="U35" s="29"/>
      <c r="V35" s="31"/>
      <c r="W35" s="31"/>
      <c r="X35" s="29"/>
      <c r="Y35" s="29"/>
      <c r="Z35" s="29"/>
      <c r="AA35" s="29"/>
      <c r="AB35" s="29"/>
      <c r="AE35" s="15"/>
      <c r="AF35" s="15"/>
      <c r="AG35" s="15"/>
      <c r="AH35" s="15"/>
      <c r="AI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29"/>
      <c r="Q36" s="29"/>
      <c r="R36" s="29"/>
      <c r="S36" s="29"/>
      <c r="T36" s="29"/>
      <c r="U36" s="29"/>
      <c r="V36" s="31"/>
      <c r="W36" s="31"/>
      <c r="X36" s="29"/>
      <c r="Y36" s="29"/>
      <c r="Z36" s="29"/>
      <c r="AA36" s="29"/>
      <c r="AB36" s="29"/>
      <c r="AE36" s="15"/>
      <c r="AF36" s="15"/>
      <c r="AG36" s="15"/>
      <c r="AH36" s="15"/>
      <c r="AI36" s="1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0" t="s">
        <v>46</v>
      </c>
      <c r="Q37" s="36">
        <f t="shared" ref="Q37:U37" si="1">sum(Q6:Q33)</f>
        <v>497</v>
      </c>
      <c r="R37" s="36">
        <f t="shared" si="1"/>
        <v>450</v>
      </c>
      <c r="S37" s="36">
        <f t="shared" si="1"/>
        <v>47</v>
      </c>
      <c r="T37" s="36">
        <f t="shared" si="1"/>
        <v>432</v>
      </c>
      <c r="U37" s="36">
        <f t="shared" si="1"/>
        <v>65</v>
      </c>
      <c r="V37" s="37"/>
      <c r="W37" s="37"/>
      <c r="X37" s="36">
        <f t="shared" ref="X37:AB37" si="2">sum(X6:X33)</f>
        <v>90</v>
      </c>
      <c r="Y37" s="36">
        <f t="shared" si="2"/>
        <v>65</v>
      </c>
      <c r="Z37" s="36">
        <f t="shared" si="2"/>
        <v>0</v>
      </c>
      <c r="AA37" s="36">
        <f t="shared" si="2"/>
        <v>217</v>
      </c>
      <c r="AB37" s="36">
        <f t="shared" si="2"/>
        <v>0</v>
      </c>
      <c r="AE37" s="15"/>
      <c r="AF37" s="15"/>
      <c r="AG37" s="15"/>
      <c r="AH37" s="15"/>
      <c r="AI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6"/>
      <c r="W38" s="16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 t="s">
        <v>47</v>
      </c>
      <c r="P39" s="39">
        <v>46054.0</v>
      </c>
      <c r="Q39" s="39">
        <v>46081.0</v>
      </c>
      <c r="R39" s="15"/>
      <c r="S39" s="15"/>
      <c r="T39" s="15"/>
      <c r="U39" s="15"/>
      <c r="V39" s="16"/>
      <c r="W39" s="16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40" t="s">
        <v>48</v>
      </c>
      <c r="Q40" s="41">
        <f>SUMIFS(raw_data!$E:$E,raw_data!$A:$A,"&gt;="&amp;$P$39,raw_data!$A:$A,"&lt;="&amp;$Q$39,raw_data!$F:$F,"Not Interested",raw_data!$C:$C,$Q$1)</f>
        <v>158</v>
      </c>
      <c r="R40" s="29">
        <f>sumifs(raw_data!$E:$E,raw_data!$A:$A,"&gt;="&amp;$P$39,raw_data!$A:$A,"&lt;="&amp;$Q$39,raw_data!$D:$D,"Primary_Walkin",raw_data!$F:$F,"Not Interested",raw_data!$C:$C,$Q$1)</f>
        <v>147</v>
      </c>
      <c r="S40" s="29">
        <f>sumifs(raw_data!$E:$E,raw_data!$A:$A,"&gt;="&amp;$P$39,raw_data!$A:$A,"&lt;="&amp;$Q$39,raw_data!$D:$D,"Secondary_Walkin",raw_data!$F:$F,"Not Interested",raw_data!$C:$C,$Q$1)</f>
        <v>11</v>
      </c>
      <c r="T40" s="29">
        <f>sumifs(raw_data!$E:$E,raw_data!$A:$A,"&gt;="&amp;$P$39,raw_data!$A:$A,"&lt;="&amp;$Q$39,raw_data!$G:$G,"GS Foundation",raw_data!$F:$F,"Not Interested",raw_data!$C:$C,$Q$1)</f>
        <v>132</v>
      </c>
      <c r="U40" s="29">
        <f>SUMIFS(raw_data!$E:$E,raw_data!$A:$A,"&gt;="&amp;$P$39,raw_data!$A:$A,"&lt;="&amp;$Q$39,raw_data!$F:$F,"Not Interested",raw_data!$C:$C,$Q$1) - sumifs(raw_data!$E:$E,raw_data!$A:$A,"&gt;="&amp;$P$39,raw_data!$A:$A,"&lt;="&amp;$Q$39,raw_data!$G:$G,"GS Foundation",raw_data!$F:$F,"Not Interested",raw_data!$C:$C,$Q$1)</f>
        <v>26</v>
      </c>
      <c r="V40" s="16"/>
      <c r="W40" s="40" t="s">
        <v>48</v>
      </c>
      <c r="X40" s="42">
        <f>sumifs(raw_data!$Z:$Z,raw_data!$T:$T,"&gt;="&amp;$P$39,raw_data!$T:$T,"&lt;="&amp;$Q$39,raw_data!$U:$U,"Telephony",raw_data!$Y:$Y,$Q$1,raw_data!AA:AA,"Not Interested")</f>
        <v>6</v>
      </c>
      <c r="Y40" s="29">
        <f>sumifs(raw_data!$Z:$Z,raw_data!$T:$T,"&gt;="&amp;$P$39,raw_data!$T:$T,"&lt;="&amp;$Q$39 ,raw_data!$U:$U,"Paid Ads",raw_data!$Y:$Y,$Q$1,raw_data!AA:AA,"Not Interested")</f>
        <v>11</v>
      </c>
      <c r="Z40" s="29"/>
      <c r="AA40" s="29">
        <f>sumifs(raw_data!$Z:$Z,raw_data!$T:$T,"&gt;="&amp;$P$39,raw_data!$T:$T,"&lt;="&amp;$Q$39,raw_data!$U:$U,"External Leads",raw_data!$Y:$Y,$Q$1,raw_data!AA:AA,"Not Interested")</f>
        <v>0</v>
      </c>
      <c r="AB40" s="15"/>
      <c r="AC40" s="15"/>
      <c r="AD40" s="15"/>
      <c r="AE40" s="15"/>
      <c r="AF40" s="15"/>
      <c r="AG40" s="15"/>
      <c r="AH40" s="15"/>
      <c r="AI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40" t="s">
        <v>49</v>
      </c>
      <c r="Q41" s="41">
        <f>sumifs(raw_data!$E:$E,raw_data!$A:$A,"&gt;="&amp;$P$39,raw_data!$A:$A,"&lt;="&amp;$Q$39,raw_data!$F:$F,"Fake Lead",raw_data!$C:$C,$Q$1)</f>
        <v>34</v>
      </c>
      <c r="R41" s="29">
        <f>sumifs(raw_data!$E:$E,raw_data!$A:$A,"&gt;="&amp;$P$39,raw_data!$A:$A,"&lt;="&amp;$Q$39,raw_data!$D:$D,"Primary_Walkin",raw_data!$F:$F,"Fake Lead",raw_data!$C:$C,$Q$1)</f>
        <v>33</v>
      </c>
      <c r="S41" s="29">
        <f>sumifs(raw_data!$E:$E,raw_data!$A:$A,"&gt;="&amp;$P$39,raw_data!$A:$A,"&lt;="&amp;$Q$39,raw_data!$D:$D,"Secondary_Walkin",raw_data!$F:$F,"Fake Lead",raw_data!$C:$C,$Q$1)</f>
        <v>1</v>
      </c>
      <c r="T41" s="29">
        <f>sumifs(raw_data!$E:$E,raw_data!$A:$A,"&gt;="&amp;$P$39,raw_data!$A:$A,"&lt;="&amp;$Q$39,raw_data!$G:$G,"GS Foundation",raw_data!$F:$F,"Fake Lead",raw_data!$C:$C,$Q$1)</f>
        <v>29</v>
      </c>
      <c r="U41" s="29">
        <f>SUMIFS(raw_data!$E:$E,raw_data!$A:$A,"&gt;="&amp;$P$39,raw_data!$A:$A,"&lt;="&amp;$Q$39,raw_data!$F:$F,"Fake Lead",raw_data!$C:$C,$Q$1) - sumifs(raw_data!$E:$E,raw_data!$A:$A,"&gt;="&amp;$P$39,raw_data!$A:$A,"&lt;="&amp;$Q$39,raw_data!$G:$G,"GS Foundation",raw_data!$F:$F,"Fake Lead",raw_data!$C:$C,$Q$1)</f>
        <v>5</v>
      </c>
      <c r="V41" s="16"/>
      <c r="W41" s="40" t="s">
        <v>49</v>
      </c>
      <c r="X41" s="42">
        <f>sumifs(raw_data!$Z:$Z,raw_data!$T:$T,"&gt;="&amp;$P$39,raw_data!$T:$T,"&lt;="&amp;$Q$39,raw_data!$U:$U,"Telephony",raw_data!$Y:$Y,$Q$1,raw_data!AA:AA,"Fake Lead")</f>
        <v>14</v>
      </c>
      <c r="Y41" s="29">
        <f>sumifs(raw_data!$Z:$Z,raw_data!$T:$T,"&gt;="&amp;$P$39,raw_data!$T:$T,"&lt;="&amp;$Q$39,raw_data!$U:$U,"Paid Ads",raw_data!$Y:$Y,$Q$1,raw_data!AA:AA,"Fake Lead")</f>
        <v>5</v>
      </c>
      <c r="Z41" s="29"/>
      <c r="AA41" s="29">
        <f>sumifs(raw_data!$Z:$Z,raw_data!$T:$T,"&gt;="&amp;$P$39,raw_data!$T:$T,"&lt;="&amp;$Q$39,raw_data!$U:$U,"External Leads",raw_data!$Y:$Y,$Q$1,raw_data!AA:AA,"Fake Lead")</f>
        <v>0</v>
      </c>
      <c r="AB41" s="15"/>
      <c r="AC41" s="15"/>
      <c r="AD41" s="15"/>
      <c r="AE41" s="15"/>
      <c r="AF41" s="15"/>
      <c r="AG41" s="15"/>
      <c r="AH41" s="15"/>
      <c r="AI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40" t="s">
        <v>50</v>
      </c>
      <c r="Q42" s="41">
        <f>sumifs(raw_data!$E:$E,raw_data!$A:$A,"&gt;="&amp;$P$39,raw_data!$A:$A,"&lt;="&amp;$Q$39,raw_data!$F:$F,"Cold",raw_data!$C:$C,$Q$1)</f>
        <v>163</v>
      </c>
      <c r="R42" s="29">
        <f>sumifs(raw_data!$E:$E,raw_data!$A:$A,"&gt;="&amp;$P$39,raw_data!$A:$A,"&lt;="&amp;$Q$39,raw_data!$D:$D,"Primary_Walkin",raw_data!$F:$F,"Cold",raw_data!$C:$C,$Q$1)</f>
        <v>151</v>
      </c>
      <c r="S42" s="29">
        <f>sumifs(raw_data!$E:$E,raw_data!$A:$A,"&gt;="&amp;$P$39,raw_data!$A:$A,"&lt;="&amp;$Q$39,raw_data!$D:$D,"Secondary_Walkin",raw_data!$F:$F,"Cold",raw_data!$C:$C,$Q$1)</f>
        <v>12</v>
      </c>
      <c r="T42" s="29">
        <f>sumifs(raw_data!$E:$E,raw_data!$A:$A,"&gt;="&amp;$P$39,raw_data!$A:$A,"&lt;="&amp;$Q$39,raw_data!$G:$G,"GS Foundation",raw_data!$F:$F,"Cold",raw_data!$C:$C,$Q$1)</f>
        <v>142</v>
      </c>
      <c r="U42" s="29">
        <f>SUMIFS(raw_data!$E:$E,raw_data!$A:$A,"&gt;="&amp;$P$39,raw_data!$A:$A,"&lt;="&amp;$Q$39,raw_data!$F:$F,"Cold",raw_data!$C:$C,$Q$1) - sumifs(raw_data!$E:$E,raw_data!$A:$A,"&gt;="&amp;$P$39,raw_data!$A:$A,"&lt;="&amp;$Q$39,raw_data!$G:$G,"GS Foundation",raw_data!$F:$F,"Cold",raw_data!$C:$C,$Q$1)</f>
        <v>21</v>
      </c>
      <c r="V42" s="16"/>
      <c r="W42" s="40" t="s">
        <v>50</v>
      </c>
      <c r="X42" s="42">
        <f>sumifs(raw_data!$Z:$Z,raw_data!$T:$T,"&gt;="&amp;$P$39,raw_data!$T:$T,"&lt;="&amp;$Q$39,raw_data!$U:$U,"Telephony",raw_data!$Y:$Y,$Q$1,raw_data!AA:AA,"Cold")</f>
        <v>56</v>
      </c>
      <c r="Y42" s="29">
        <f>sumifs(raw_data!$Z:$Z,raw_data!$T:$T,"&gt;="&amp;$P$39,raw_data!$T:$T,"&lt;="&amp;$Q$39,raw_data!$U:$U,"Paid Ads",raw_data!$Y:$Y,$Q$1,raw_data!AA:AA,"Cold")</f>
        <v>49</v>
      </c>
      <c r="Z42" s="29"/>
      <c r="AA42" s="29">
        <f>sumifs(raw_data!$Z:$Z,raw_data!$T:$T,"&gt;="&amp;$P$39,raw_data!$T:$T,"&lt;="&amp;$Q$39,raw_data!$U:$U,"External Leads",raw_data!$Y:$Y,$Q$1,raw_data!AA:AA,"Cold")</f>
        <v>156</v>
      </c>
      <c r="AB42" s="15"/>
      <c r="AC42" s="15"/>
      <c r="AD42" s="15"/>
      <c r="AE42" s="15"/>
      <c r="AF42" s="15"/>
      <c r="AG42" s="15"/>
      <c r="AH42" s="15"/>
      <c r="AI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40" t="s">
        <v>51</v>
      </c>
      <c r="Q43" s="41">
        <f>sumifs(raw_data!$E:$E,raw_data!$A:$A,"&gt;="&amp;$P$39,raw_data!$A:$A,"&lt;="&amp;$Q$39,raw_data!$F:$F,"Warm",raw_data!$C:$C,$Q$1)</f>
        <v>14</v>
      </c>
      <c r="R43" s="29">
        <f>sumifs(raw_data!$E:$E,raw_data!$A:$A,"&gt;="&amp;$P$39,raw_data!$A:$A,"&lt;="&amp;$Q$39,raw_data!$D:$D,"Primary_Walkin",raw_data!$F:$F,"Warm",raw_data!$C:$C,$Q$1)</f>
        <v>12</v>
      </c>
      <c r="S43" s="29">
        <f>sumifs(raw_data!$E:$E,raw_data!$A:$A,"&gt;="&amp;$P$39,raw_data!$A:$A,"&lt;="&amp;$Q$39,raw_data!$D:$D,"Secondary_Walkin",raw_data!$F:$F,"Warm",raw_data!$C:$C,$Q$1)</f>
        <v>2</v>
      </c>
      <c r="T43" s="29">
        <f>sumifs(raw_data!$E:$E,raw_data!$A:$A,"&gt;="&amp;$P$39,raw_data!$A:$A,"&lt;="&amp;$Q$39,raw_data!$G:$G,"GS Foundation",raw_data!$F:$F,"Warm",raw_data!$C:$C,$Q$1)</f>
        <v>14</v>
      </c>
      <c r="U43" s="29">
        <f>SUMIFS(raw_data!$E:$E,raw_data!$A:$A,"&gt;="&amp;$P$39,raw_data!$A:$A,"&lt;="&amp;$Q$39,raw_data!$F:$F,"Warm",raw_data!$C:$C,$Q$1) - sumifs(raw_data!$E:$E,raw_data!$A:$A,"&gt;="&amp;$P$39,raw_data!$A:$A,"&lt;="&amp;$Q$39,raw_data!$G:$G,"GS Foundation",raw_data!$F:$F,"Warm",raw_data!$C:$C,$Q$1)</f>
        <v>0</v>
      </c>
      <c r="V43" s="16"/>
      <c r="W43" s="40" t="s">
        <v>51</v>
      </c>
      <c r="X43" s="42">
        <f>sumifs(raw_data!$Z:$Z,raw_data!$T:$T,"&gt;="&amp;$P$39,raw_data!$T:$T,"&lt;="&amp;$Q$39,raw_data!$U:$U,"Telephony",raw_data!$Y:$Y,$Q$1,raw_data!AA:AA,"Warm")</f>
        <v>4</v>
      </c>
      <c r="Y43" s="29">
        <f>sumifs(raw_data!$Z:$Z,raw_data!$T:$T,"&gt;="&amp;$P$39,raw_data!$T:$T,"&lt;="&amp;$Q$39,raw_data!$U:$U,"Paid Ads",raw_data!$Y:$Y,$Q$1,raw_data!AA:AA,"Warm")</f>
        <v>0</v>
      </c>
      <c r="Z43" s="29"/>
      <c r="AA43" s="29">
        <f>sumifs(raw_data!$Z:$Z,raw_data!$T:$T,"&gt;="&amp;$P$39,raw_data!$T:$T,"&lt;="&amp;$Q$39,raw_data!$U:$U,"External Leads",raw_data!$Y:$Y,$Q$1,raw_data!AA:AA,"Warm")</f>
        <v>0</v>
      </c>
      <c r="AB43" s="15"/>
      <c r="AC43" s="15"/>
      <c r="AD43" s="15"/>
      <c r="AE43" s="15"/>
      <c r="AF43" s="15"/>
      <c r="AG43" s="15"/>
      <c r="AH43" s="15"/>
      <c r="AI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40" t="s">
        <v>7</v>
      </c>
      <c r="Q44" s="41">
        <f>sumifs(raw_data!$E:$E,raw_data!$A:$A,"&gt;="&amp;$P$39,raw_data!$A:$A,"&lt;="&amp;$Q$39,raw_data!$F:$F,"Interested",raw_data!$C:$C,$Q$1)</f>
        <v>0</v>
      </c>
      <c r="R44" s="29">
        <f>sumifs(raw_data!$E:$E,raw_data!$A:$A,"&gt;="&amp;$P$39,raw_data!$A:$A,"&lt;="&amp;$Q$39,raw_data!$D:$D,"Primary_Walkin",raw_data!$F:$F,"Interested",raw_data!$C:$C,$Q$1)</f>
        <v>0</v>
      </c>
      <c r="S44" s="29">
        <f>sumifs(raw_data!$E:$E,raw_data!$A:$A,"&gt;="&amp;$P$39,raw_data!$A:$A,"&lt;="&amp;$Q$39,raw_data!$D:$D,"Secondary_Walkin",raw_data!$F:$F,"Interested",raw_data!$C:$C,$Q$1)</f>
        <v>0</v>
      </c>
      <c r="T44" s="29">
        <f>sumifs(raw_data!$E:$E,raw_data!$A:$A,"&gt;="&amp;$P$39,raw_data!$A:$A,"&lt;="&amp;$Q$39,raw_data!$G:$G,"GS Foundation",raw_data!$F:$F,"Interested",raw_data!$C:$C,$Q$1)</f>
        <v>0</v>
      </c>
      <c r="U44" s="29">
        <f>SUMIFS(raw_data!$E:$E,raw_data!$A:$A,"&gt;="&amp;$P$39,raw_data!$A:$A,"&lt;="&amp;$Q$39,raw_data!$F:$F,"Interested",raw_data!$C:$C,$Q$1) - sumifs(raw_data!$E:$E,raw_data!$A:$A,"&gt;="&amp;$P$39,raw_data!$A:$A,"&lt;="&amp;$Q$39,raw_data!$G:$G,"GS Foundation",raw_data!$F:$F,"Interested",raw_data!$C:$C,$Q$1)</f>
        <v>0</v>
      </c>
      <c r="V44" s="16"/>
      <c r="W44" s="40" t="s">
        <v>52</v>
      </c>
      <c r="X44" s="42">
        <f>sumifs(raw_data!$Z:$Z,raw_data!$T:$T,"&gt;="&amp;$P$39,raw_data!$T:$T,"&lt;="&amp;$Q$39,raw_data!$U:$U,"Telephony",raw_data!$Y:$Y,$Q$1,raw_data!AA:AA,"Engaged")</f>
        <v>0</v>
      </c>
      <c r="Y44" s="29">
        <f>sumifs(raw_data!$Z:$Z,raw_data!$T:$T,"&gt;="&amp;$P$39,raw_data!$T:$T,"&lt;="&amp;$Q$39,raw_data!$U:$U,"Paid Ads",raw_data!$Y:$Y,$Q$1,raw_data!AA:AA,"Engaged")</f>
        <v>0</v>
      </c>
      <c r="Z44" s="29"/>
      <c r="AA44" s="29">
        <f>sumifs(raw_data!$Z:$Z,raw_data!$T:$T,"&gt;="&amp;$P$39,raw_data!$T:$T,"&lt;="&amp;$Q$39,raw_data!$U:$U,"External Leads",raw_data!$Y:$Y,$Q$1,raw_data!AA:AA,"Engaged")</f>
        <v>0</v>
      </c>
      <c r="AB44" s="15"/>
      <c r="AC44" s="15"/>
      <c r="AD44" s="15"/>
      <c r="AE44" s="15"/>
      <c r="AF44" s="15"/>
      <c r="AG44" s="15"/>
      <c r="AH44" s="15"/>
      <c r="AI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40" t="s">
        <v>53</v>
      </c>
      <c r="Q45" s="41">
        <f>sumifs(raw_data!$E:$E,raw_data!$A:$A,"&gt;="&amp;$P$39,raw_data!$A:$A,"&lt;="&amp;$Q$39,raw_data!$F:$F,"Future Prospects",raw_data!$C:$C,$Q$1) + sumifs(raw_data!$E:$E,raw_data!$A:$A,"&gt;="&amp;$P$39,raw_data!$A:$A,"&lt;="&amp;$Q$39,raw_data!$F:$F,"Future Prospect",raw_data!$C:$C,$Q$1)</f>
        <v>63</v>
      </c>
      <c r="R45" s="29">
        <f>sumifs(raw_data!$E:$E,raw_data!$A:$A,"&gt;="&amp;$P$39,raw_data!$A:$A,"&lt;="&amp;$Q$39,raw_data!$D:$D,"Primary_Walkin",raw_data!$F:$F,"Future Prospects",raw_data!$C:$C,$Q$1) + sumifs(raw_data!$E:$E,raw_data!$A:$A,"&gt;="&amp;$P$39,raw_data!$A:$A,"&lt;="&amp;$Q$39,raw_data!$D:$D,"Primary_Walkin",raw_data!$F:$F,"Future Prospect",raw_data!$C:$C,$Q$1)</f>
        <v>58</v>
      </c>
      <c r="S45" s="29">
        <f>sumifs(raw_data!$E:$E,raw_data!$A:$A,"&gt;="&amp;$P$39,raw_data!$A:$A,"&lt;="&amp;$Q$39,raw_data!$D:$D,"Secondary_Walkin",raw_data!$F:$F,"Future Prospects",raw_data!$C:$C,$Q$1) + sumifs(raw_data!$E:$E,raw_data!$A:$A,"&gt;="&amp;$P$39,raw_data!$A:$A,"&lt;="&amp;$Q$39,raw_data!$D:$D,"Secondary_Walkin",raw_data!$F:$F,"Future Prospect",raw_data!$C:$C,$Q$1)</f>
        <v>5</v>
      </c>
      <c r="T45" s="29">
        <f>sumifs(raw_data!$E:$E,raw_data!$A:$A,"&gt;="&amp;$P$39,raw_data!$A:$A,"&lt;="&amp;$Q$39,raw_data!$G:$G,"GS Foundation",raw_data!$F:$F,"Future Prospects",raw_data!$C:$C,$Q$1) + sumifs(raw_data!$E:$E,raw_data!$A:$A,"&gt;="&amp;$P$39,raw_data!$A:$A,"&lt;="&amp;$Q$39,raw_data!$G:$G,"GS Foundation",raw_data!$F:$F,"Future Prospect",raw_data!$C:$C,$Q$1)</f>
        <v>58</v>
      </c>
      <c r="U45" s="29">
        <f>SUMIFS(raw_data!$E:$E,raw_data!$A:$A,"&gt;="&amp;$P$39,raw_data!$A:$A,"&lt;="&amp;$Q$39,raw_data!$F:$F,"Future Prospects",raw_data!$C:$C,$Q$1)+ SUMIFS(raw_data!$E:$E,raw_data!$A:$A,"&gt;="&amp;$P$39,raw_data!$A:$A,"&lt;="&amp;$Q$39,raw_data!$F:$F,"Future Prospect",raw_data!$C:$C,$Q$1) - sumifs(raw_data!$E:$E,raw_data!$A:$A,"&gt;="&amp;$P$39,raw_data!$A:$A,"&lt;="&amp;$Q$39,raw_data!$G:$G,"GS Foundation",raw_data!$F:$F,"Future Prospects",raw_data!$C:$C,$Q$1) + sumifs(raw_data!$E:$E,raw_data!$A:$A,"&gt;="&amp;$P$39,raw_data!$A:$A,"&lt;="&amp;$Q$39,raw_data!$G:$G,"GS Foundation",raw_data!$F:$F,"Future Prospect",raw_data!$C:$C,$Q$1)</f>
        <v>5</v>
      </c>
      <c r="V45" s="16"/>
      <c r="W45" s="40" t="s">
        <v>7</v>
      </c>
      <c r="X45" s="42">
        <f>sumifs(raw_data!$Z:$Z,raw_data!$T:$T,"&gt;="&amp;$P$39,raw_data!$T:$T,"&lt;="&amp;$Q$39,raw_data!$U:$U,"Telephony",raw_data!$Y:$Y,$Q$1,raw_data!AA:AA,"Interested")</f>
        <v>0</v>
      </c>
      <c r="Y45" s="29">
        <f>sumifs(raw_data!$Z:$Z,raw_data!$T:$T,"&gt;="&amp;$P$39,raw_data!$T:$T,"&lt;="&amp;$Q$39,raw_data!$U:$U,"Paid Ads",raw_data!$Y:$Y,$Q$1,raw_data!AA:AA,"Interested")</f>
        <v>0</v>
      </c>
      <c r="Z45" s="29"/>
      <c r="AA45" s="29">
        <f>sumifs(raw_data!$Z:$Z,raw_data!$T:$T,"&gt;="&amp;$P$39,raw_data!$T:$T,"&lt;="&amp;$Q$39,raw_data!$U:$U,"External Leads",raw_data!$Y:$Y,$Q$1,raw_data!AA:AA,"Interested")</f>
        <v>0</v>
      </c>
      <c r="AB45" s="15"/>
      <c r="AC45" s="15"/>
      <c r="AD45" s="15"/>
      <c r="AE45" s="15"/>
      <c r="AF45" s="15"/>
      <c r="AG45" s="15"/>
      <c r="AH45" s="15"/>
      <c r="AI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40" t="s">
        <v>54</v>
      </c>
      <c r="Q46" s="41">
        <f>sumifs(raw_data!$E:$E,raw_data!$A:$A,"&gt;="&amp;$P$39,raw_data!$A:$A,"&lt;="&amp;$Q$39,raw_data!$F:$F,"Enrolled",raw_data!$C:$C,$Q$1)</f>
        <v>59</v>
      </c>
      <c r="R46" s="29">
        <f>sumifs(raw_data!$E:$E,raw_data!$A:$A,"&gt;="&amp;$P$39,raw_data!$A:$A,"&lt;="&amp;$Q$39,raw_data!$D:$D,"Primary_Walkin",raw_data!$F:$F,"Enrolled",raw_data!$C:$C,$Q$1)</f>
        <v>49</v>
      </c>
      <c r="S46" s="29">
        <f>sumifs(raw_data!$E:$E,raw_data!$A:$A,"&gt;="&amp;$P$39,raw_data!$A:$A,"&lt;="&amp;$Q$39,raw_data!$D:$D,"Secondary_Walkin",raw_data!$F:$F,"Enrolled",raw_data!$C:$C,$Q$1)</f>
        <v>10</v>
      </c>
      <c r="T46" s="29">
        <f>sumifs(raw_data!$E:$E,raw_data!$A:$A,"&gt;="&amp;$P$39,raw_data!$A:$A,"&lt;="&amp;$Q$39,raw_data!$G:$G,"GS Foundation",raw_data!$F:$F,"Enrolled",raw_data!$C:$C,$Q$1)</f>
        <v>52</v>
      </c>
      <c r="U46" s="29">
        <f>SUMIFS(raw_data!$E:$E,raw_data!$A:$A,"&gt;="&amp;$P$39,raw_data!$A:$A,"&lt;="&amp;$Q$39,raw_data!$F:$F,"Enrolled",raw_data!$C:$C,$Q$1) - sumifs(raw_data!$E:$E,raw_data!$A:$A,"&gt;="&amp;$P$39,raw_data!$A:$A,"&lt;="&amp;$Q$39,raw_data!$G:$G,"GS Foundation",raw_data!$F:$F,"Enrolled",raw_data!$C:$C,$Q$1)</f>
        <v>7</v>
      </c>
      <c r="V46" s="16"/>
      <c r="W46" s="40" t="s">
        <v>53</v>
      </c>
      <c r="X46" s="42">
        <f>sumifs(raw_data!$Z:$Z,raw_data!$T:$T,"&gt;="&amp;$P$39,raw_data!$T:$T,"&lt;="&amp;$Q$39,raw_data!$U:$U,"Telephony",raw_data!$Y:$Y,$Q$1,raw_data!AA:AA,"Future Prospects")</f>
        <v>3</v>
      </c>
      <c r="Y46" s="29">
        <f>sumifs(raw_data!$Z:$Z,raw_data!$T:$T,"&gt;="&amp;$P$39,raw_data!$T:$T,"&lt;="&amp;$Q$39,raw_data!$U:$U,"Paid Ads",raw_data!$Y:$Y,$Q$1,raw_data!AA:AA,"Future Prospects")</f>
        <v>0</v>
      </c>
      <c r="Z46" s="29"/>
      <c r="AA46" s="29">
        <f>sumifs(raw_data!$Z:$Z,raw_data!$T:$T,"&gt;="&amp;$P$39,raw_data!$T:$T,"&lt;="&amp;$Q$39,raw_data!$U:$U,"External Leads",raw_data!$Y:$Y,$Q$1,raw_data!AA:AA,"Future Prospects")</f>
        <v>0</v>
      </c>
      <c r="AB46" s="15"/>
      <c r="AC46" s="15"/>
      <c r="AD46" s="15"/>
      <c r="AE46" s="15"/>
      <c r="AF46" s="15"/>
      <c r="AG46" s="15"/>
      <c r="AH46" s="15"/>
      <c r="AI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40" t="s">
        <v>55</v>
      </c>
      <c r="Q47" s="29"/>
      <c r="R47" s="29"/>
      <c r="S47" s="29"/>
      <c r="T47" s="29"/>
      <c r="U47" s="29"/>
      <c r="V47" s="16"/>
      <c r="W47" s="40" t="s">
        <v>54</v>
      </c>
      <c r="X47" s="42">
        <f>sumifs(raw_data!$Z:$Z,raw_data!$T:$T,"&gt;="&amp;$P$39,raw_data!$T:$T,"&lt;="&amp;$Q$39,raw_data!$U:$U,"Telephony",raw_data!$Y:$Y,$Q$1,raw_data!AA:AA,"Enrolled")</f>
        <v>7</v>
      </c>
      <c r="Y47" s="29">
        <f>sumifs(raw_data!$Z:$Z,raw_data!$T:$T,"&gt;="&amp;$P$39,raw_data!$T:$T,"&lt;="&amp;$Q$39,raw_data!$U:$U,"Paid Ads",raw_data!$Y:$Y,$Q$1,raw_data!AA:AA,"Enrolled")</f>
        <v>0</v>
      </c>
      <c r="Z47" s="29"/>
      <c r="AA47" s="29">
        <f>sumifs(raw_data!$Z:$Z,raw_data!$T:$T,"&gt;="&amp;$P$39,raw_data!$T:$T,"&lt;="&amp;$Q$39,raw_data!$U:$U,"External Leads",raw_data!$Y:$Y,$Q$1,raw_data!AA:AA,"Enrolled")</f>
        <v>0</v>
      </c>
      <c r="AB47" s="15"/>
      <c r="AC47" s="15"/>
      <c r="AD47" s="15"/>
      <c r="AE47" s="15"/>
      <c r="AF47" s="15"/>
      <c r="AG47" s="15"/>
      <c r="AH47" s="15"/>
      <c r="AI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6"/>
      <c r="W48" s="43" t="s">
        <v>56</v>
      </c>
      <c r="X48" s="44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6"/>
      <c r="W49" s="45" t="s">
        <v>57</v>
      </c>
      <c r="X49" s="4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6"/>
      <c r="W50" s="47" t="s">
        <v>54</v>
      </c>
      <c r="X50" s="44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6"/>
      <c r="W51" s="48" t="s">
        <v>58</v>
      </c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6"/>
      <c r="W52" s="16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6"/>
      <c r="W53" s="16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6"/>
      <c r="W54" s="16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6"/>
      <c r="W55" s="16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6"/>
      <c r="W56" s="16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6"/>
      <c r="W57" s="16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4"/>
      <c r="Q58" s="15"/>
      <c r="R58" s="15"/>
      <c r="S58" s="15"/>
      <c r="T58" s="15"/>
      <c r="U58" s="15"/>
      <c r="V58" s="16"/>
      <c r="W58" s="16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6"/>
      <c r="W59" s="16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6"/>
      <c r="W60" s="16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6"/>
      <c r="W61" s="16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6"/>
      <c r="W62" s="16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6"/>
      <c r="W63" s="16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6"/>
      <c r="W64" s="16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6"/>
      <c r="W65" s="16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6"/>
      <c r="W66" s="16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6"/>
      <c r="W67" s="16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6"/>
      <c r="W68" s="16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6"/>
      <c r="W69" s="16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6"/>
      <c r="W70" s="16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6"/>
      <c r="W71" s="16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6"/>
      <c r="W72" s="16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6"/>
      <c r="W73" s="16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6"/>
      <c r="W74" s="16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6"/>
      <c r="W75" s="16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6"/>
      <c r="W76" s="16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6"/>
      <c r="W77" s="16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6"/>
      <c r="W78" s="16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6"/>
      <c r="W79" s="16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6"/>
      <c r="W80" s="16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6"/>
      <c r="W81" s="16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6"/>
      <c r="W82" s="16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6"/>
      <c r="W83" s="16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6"/>
      <c r="W84" s="16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6"/>
      <c r="W85" s="16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6"/>
      <c r="W86" s="16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6"/>
      <c r="W87" s="16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6"/>
      <c r="W88" s="16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6"/>
      <c r="W89" s="16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6"/>
      <c r="W90" s="16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6"/>
      <c r="W91" s="16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6"/>
      <c r="W92" s="16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6"/>
      <c r="W93" s="16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6"/>
      <c r="W94" s="16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6"/>
      <c r="W95" s="16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6"/>
      <c r="W96" s="16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6"/>
      <c r="W97" s="16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6"/>
      <c r="W98" s="16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6"/>
      <c r="W99" s="16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6"/>
      <c r="W100" s="16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6"/>
      <c r="W101" s="16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6"/>
      <c r="W102" s="16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6"/>
      <c r="W103" s="16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6"/>
      <c r="W104" s="16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6"/>
      <c r="W105" s="16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6"/>
      <c r="W106" s="16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6"/>
      <c r="W107" s="16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6"/>
      <c r="W108" s="16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6"/>
      <c r="W109" s="16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6"/>
      <c r="W110" s="16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6"/>
      <c r="W111" s="16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6"/>
      <c r="W112" s="16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6"/>
      <c r="W113" s="16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6"/>
      <c r="W114" s="16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6"/>
      <c r="W115" s="16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6"/>
      <c r="W116" s="16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6"/>
      <c r="W117" s="16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6"/>
      <c r="W118" s="16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6"/>
      <c r="W119" s="16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6"/>
      <c r="W120" s="16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6"/>
      <c r="W121" s="16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6"/>
      <c r="W122" s="16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6"/>
      <c r="W123" s="16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6"/>
      <c r="W124" s="16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6"/>
      <c r="W125" s="16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6"/>
      <c r="W126" s="16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6"/>
      <c r="W127" s="16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6"/>
      <c r="W128" s="16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6"/>
      <c r="W129" s="16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6"/>
      <c r="W130" s="16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6"/>
      <c r="W131" s="16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6"/>
      <c r="W132" s="16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6"/>
      <c r="W133" s="16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6"/>
      <c r="W134" s="16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6"/>
      <c r="W135" s="16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6"/>
      <c r="W136" s="16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6"/>
      <c r="W137" s="16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6"/>
      <c r="W138" s="16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6"/>
      <c r="W139" s="16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6"/>
      <c r="W140" s="16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6"/>
      <c r="W141" s="16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6"/>
      <c r="W142" s="16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6"/>
      <c r="W143" s="16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6"/>
      <c r="W144" s="16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6"/>
      <c r="W145" s="16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6"/>
      <c r="W146" s="16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6"/>
      <c r="W147" s="16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6"/>
      <c r="W148" s="16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6"/>
      <c r="W149" s="16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6"/>
      <c r="W150" s="16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6"/>
      <c r="W151" s="16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6"/>
      <c r="W152" s="16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6"/>
      <c r="W153" s="16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6"/>
      <c r="W154" s="16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6"/>
      <c r="W155" s="16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6"/>
      <c r="W156" s="16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6"/>
      <c r="W157" s="16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6"/>
      <c r="W158" s="16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6"/>
      <c r="W159" s="16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6"/>
      <c r="W160" s="16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6"/>
      <c r="W161" s="16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6"/>
      <c r="W162" s="16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6"/>
      <c r="W163" s="16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6"/>
      <c r="W164" s="16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6"/>
      <c r="W165" s="16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6"/>
      <c r="W166" s="16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6"/>
      <c r="W167" s="16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6"/>
      <c r="W168" s="16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6"/>
      <c r="W169" s="16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6"/>
      <c r="W170" s="16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6"/>
      <c r="W171" s="16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6"/>
      <c r="W172" s="16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6"/>
      <c r="W173" s="16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6"/>
      <c r="W174" s="16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6"/>
      <c r="W175" s="16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6"/>
      <c r="W176" s="16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6"/>
      <c r="W177" s="16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6"/>
      <c r="W178" s="16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6"/>
      <c r="W179" s="16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6"/>
      <c r="W180" s="16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6"/>
      <c r="W181" s="16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6"/>
      <c r="W182" s="16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6"/>
      <c r="W183" s="16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6"/>
      <c r="W184" s="16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6"/>
      <c r="W185" s="16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6"/>
      <c r="W186" s="16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6"/>
      <c r="W187" s="16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6"/>
      <c r="W188" s="16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6"/>
      <c r="W189" s="16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6"/>
      <c r="W190" s="16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6"/>
      <c r="W191" s="16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6"/>
      <c r="W192" s="16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6"/>
      <c r="W193" s="16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6"/>
      <c r="W194" s="16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6"/>
      <c r="W195" s="16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6"/>
      <c r="W196" s="16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6"/>
      <c r="W197" s="16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6"/>
      <c r="W198" s="16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6"/>
      <c r="W199" s="16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6"/>
      <c r="W200" s="16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6"/>
      <c r="W201" s="16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6"/>
      <c r="W202" s="16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6"/>
      <c r="W203" s="16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6"/>
      <c r="W204" s="16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6"/>
      <c r="W205" s="16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6"/>
      <c r="W206" s="16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6"/>
      <c r="W207" s="16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6"/>
      <c r="W208" s="16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6"/>
      <c r="W209" s="16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6"/>
      <c r="W210" s="16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6"/>
      <c r="W211" s="16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6"/>
      <c r="W212" s="16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6"/>
      <c r="W213" s="16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6"/>
      <c r="W214" s="16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6"/>
      <c r="W215" s="16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6"/>
      <c r="W216" s="16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6"/>
      <c r="W217" s="16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6"/>
      <c r="W218" s="16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6"/>
      <c r="W219" s="16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6"/>
      <c r="W220" s="16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6"/>
      <c r="W221" s="16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6"/>
      <c r="W222" s="16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6"/>
      <c r="W223" s="16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6"/>
      <c r="W224" s="16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6"/>
      <c r="W225" s="16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6"/>
      <c r="W226" s="16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6"/>
      <c r="W227" s="16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6"/>
      <c r="W228" s="16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6"/>
      <c r="W229" s="16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6"/>
      <c r="W230" s="16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6"/>
      <c r="W231" s="16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6"/>
      <c r="W232" s="16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6"/>
      <c r="W233" s="16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6"/>
      <c r="W234" s="16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6"/>
      <c r="W235" s="16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6"/>
      <c r="W236" s="16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6"/>
      <c r="W237" s="16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6"/>
      <c r="W238" s="16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6"/>
      <c r="W239" s="16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6"/>
      <c r="W240" s="16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6"/>
      <c r="W241" s="16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6"/>
      <c r="W242" s="16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6"/>
      <c r="W243" s="16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6"/>
      <c r="W244" s="16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6"/>
      <c r="W245" s="16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6"/>
      <c r="W246" s="16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6"/>
      <c r="W247" s="16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6"/>
      <c r="W248" s="16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6"/>
      <c r="W249" s="16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6"/>
      <c r="W250" s="16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6"/>
      <c r="W251" s="16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6"/>
      <c r="W252" s="16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6"/>
      <c r="W253" s="16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6"/>
      <c r="W254" s="16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6"/>
      <c r="W255" s="16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6"/>
      <c r="W256" s="16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6"/>
      <c r="W257" s="16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6"/>
      <c r="W258" s="16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6"/>
      <c r="W259" s="16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6"/>
      <c r="W260" s="16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6"/>
      <c r="W261" s="16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6"/>
      <c r="W262" s="16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6"/>
      <c r="W263" s="16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6"/>
      <c r="W264" s="16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6"/>
      <c r="W265" s="16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6"/>
      <c r="W266" s="16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6"/>
      <c r="W267" s="16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6"/>
      <c r="W268" s="16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6"/>
      <c r="W269" s="16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6"/>
      <c r="W270" s="16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6"/>
      <c r="W271" s="16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6"/>
      <c r="W272" s="16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6"/>
      <c r="W273" s="16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6"/>
      <c r="W274" s="16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6"/>
      <c r="W275" s="16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6"/>
      <c r="W276" s="16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6"/>
      <c r="W277" s="16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6"/>
      <c r="W278" s="16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6"/>
      <c r="W279" s="16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6"/>
      <c r="W280" s="16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6"/>
      <c r="W281" s="16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6"/>
      <c r="W282" s="16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6"/>
      <c r="W283" s="16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6"/>
      <c r="W284" s="16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6"/>
      <c r="W285" s="16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6"/>
      <c r="W286" s="16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6"/>
      <c r="W287" s="16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6"/>
      <c r="W288" s="16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6"/>
      <c r="W289" s="16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6"/>
      <c r="W290" s="16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6"/>
      <c r="W291" s="16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6"/>
      <c r="W292" s="16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6"/>
      <c r="W293" s="16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6"/>
      <c r="W294" s="16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6"/>
      <c r="W295" s="16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6"/>
      <c r="W296" s="16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6"/>
      <c r="W297" s="16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6"/>
      <c r="W298" s="16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6"/>
      <c r="W299" s="16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6"/>
      <c r="W300" s="16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6"/>
      <c r="W301" s="16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6"/>
      <c r="W302" s="16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6"/>
      <c r="W303" s="16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6"/>
      <c r="W304" s="16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6"/>
      <c r="W305" s="16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6"/>
      <c r="W306" s="16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6"/>
      <c r="W307" s="16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6"/>
      <c r="W308" s="16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6"/>
      <c r="W309" s="16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6"/>
      <c r="W310" s="16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6"/>
      <c r="W311" s="16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6"/>
      <c r="W312" s="16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6"/>
      <c r="W313" s="16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6"/>
      <c r="W314" s="16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6"/>
      <c r="W315" s="16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6"/>
      <c r="W316" s="16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6"/>
      <c r="W317" s="16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6"/>
      <c r="W318" s="16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6"/>
      <c r="W319" s="16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6"/>
      <c r="W320" s="16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6"/>
      <c r="W321" s="16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6"/>
      <c r="W322" s="16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6"/>
      <c r="W323" s="16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6"/>
      <c r="W324" s="16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6"/>
      <c r="W325" s="16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6"/>
      <c r="W326" s="16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6"/>
      <c r="W327" s="16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6"/>
      <c r="W328" s="16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6"/>
      <c r="W329" s="16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6"/>
      <c r="W330" s="16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6"/>
      <c r="W331" s="16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6"/>
      <c r="W332" s="16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6"/>
      <c r="W333" s="16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6"/>
      <c r="W334" s="16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6"/>
      <c r="W335" s="16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6"/>
      <c r="W336" s="16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6"/>
      <c r="W337" s="16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6"/>
      <c r="W338" s="16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6"/>
      <c r="W339" s="16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6"/>
      <c r="W340" s="16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6"/>
      <c r="W341" s="16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6"/>
      <c r="W342" s="16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6"/>
      <c r="W343" s="16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6"/>
      <c r="W344" s="16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6"/>
      <c r="W345" s="16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6"/>
      <c r="W346" s="16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6"/>
      <c r="W347" s="16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6"/>
      <c r="W348" s="16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6"/>
      <c r="W349" s="16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6"/>
      <c r="W350" s="16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6"/>
      <c r="W351" s="16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6"/>
      <c r="W352" s="16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6"/>
      <c r="W353" s="16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6"/>
      <c r="W354" s="16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6"/>
      <c r="W355" s="16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6"/>
      <c r="W356" s="16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6"/>
      <c r="W357" s="16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6"/>
      <c r="W358" s="16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6"/>
      <c r="W359" s="16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6"/>
      <c r="W360" s="16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6"/>
      <c r="W361" s="16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6"/>
      <c r="W362" s="16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6"/>
      <c r="W363" s="16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6"/>
      <c r="W364" s="16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6"/>
      <c r="W365" s="16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6"/>
      <c r="W366" s="16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6"/>
      <c r="W367" s="16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6"/>
      <c r="W368" s="16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6"/>
      <c r="W369" s="16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6"/>
      <c r="W370" s="16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6"/>
      <c r="W371" s="16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6"/>
      <c r="W372" s="16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6"/>
      <c r="W373" s="16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6"/>
      <c r="W374" s="16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6"/>
      <c r="W375" s="16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6"/>
      <c r="W376" s="16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6"/>
      <c r="W377" s="16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6"/>
      <c r="W378" s="16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6"/>
      <c r="W379" s="16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6"/>
      <c r="W380" s="16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6"/>
      <c r="W381" s="16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6"/>
      <c r="W382" s="16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6"/>
      <c r="W383" s="16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6"/>
      <c r="W384" s="16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6"/>
      <c r="W385" s="16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6"/>
      <c r="W386" s="16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6"/>
      <c r="W387" s="16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6"/>
      <c r="W388" s="16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6"/>
      <c r="W389" s="16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6"/>
      <c r="W390" s="16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6"/>
      <c r="W391" s="16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6"/>
      <c r="W392" s="16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6"/>
      <c r="W393" s="16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6"/>
      <c r="W394" s="16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6"/>
      <c r="W395" s="16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6"/>
      <c r="W396" s="16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6"/>
      <c r="W397" s="16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6"/>
      <c r="W398" s="16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6"/>
      <c r="W399" s="16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6"/>
      <c r="W400" s="16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6"/>
      <c r="W401" s="16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6"/>
      <c r="W402" s="16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6"/>
      <c r="W403" s="16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6"/>
      <c r="W404" s="16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6"/>
      <c r="W405" s="16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6"/>
      <c r="W406" s="16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6"/>
      <c r="W407" s="16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6"/>
      <c r="W408" s="16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6"/>
      <c r="W409" s="16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6"/>
      <c r="W410" s="16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6"/>
      <c r="W411" s="16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6"/>
      <c r="W412" s="16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6"/>
      <c r="W413" s="16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6"/>
      <c r="W414" s="16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6"/>
      <c r="W415" s="16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6"/>
      <c r="W416" s="16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6"/>
      <c r="W417" s="16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6"/>
      <c r="W418" s="16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6"/>
      <c r="W419" s="16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6"/>
      <c r="W420" s="16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6"/>
      <c r="W421" s="16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6"/>
      <c r="W422" s="16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6"/>
      <c r="W423" s="16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6"/>
      <c r="W424" s="16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6"/>
      <c r="W425" s="16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6"/>
      <c r="W426" s="16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6"/>
      <c r="W427" s="16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6"/>
      <c r="W428" s="16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6"/>
      <c r="W429" s="16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6"/>
      <c r="W430" s="16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6"/>
      <c r="W431" s="16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6"/>
      <c r="W432" s="16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6"/>
      <c r="W433" s="16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6"/>
      <c r="W434" s="16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6"/>
      <c r="W435" s="16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6"/>
      <c r="W436" s="16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6"/>
      <c r="W437" s="16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6"/>
      <c r="W438" s="16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6"/>
      <c r="W439" s="16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6"/>
      <c r="W440" s="16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6"/>
      <c r="W441" s="16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6"/>
      <c r="W442" s="16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6"/>
      <c r="W443" s="16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6"/>
      <c r="W444" s="16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6"/>
      <c r="W445" s="16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6"/>
      <c r="W446" s="16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6"/>
      <c r="W447" s="16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6"/>
      <c r="W448" s="16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6"/>
      <c r="W449" s="16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6"/>
      <c r="W450" s="16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6"/>
      <c r="W451" s="16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6"/>
      <c r="W452" s="16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6"/>
      <c r="W453" s="16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6"/>
      <c r="W454" s="16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6"/>
      <c r="W455" s="16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6"/>
      <c r="W456" s="16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6"/>
      <c r="W457" s="16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6"/>
      <c r="W458" s="16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6"/>
      <c r="W459" s="16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6"/>
      <c r="W460" s="16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6"/>
      <c r="W461" s="16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6"/>
      <c r="W462" s="16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6"/>
      <c r="W463" s="16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6"/>
      <c r="W464" s="16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6"/>
      <c r="W465" s="16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6"/>
      <c r="W466" s="16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6"/>
      <c r="W467" s="16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6"/>
      <c r="W468" s="16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6"/>
      <c r="W469" s="16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6"/>
      <c r="W470" s="16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6"/>
      <c r="W471" s="16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6"/>
      <c r="W472" s="16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6"/>
      <c r="W473" s="16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6"/>
      <c r="W474" s="16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6"/>
      <c r="W475" s="16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6"/>
      <c r="W476" s="16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6"/>
      <c r="W477" s="16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6"/>
      <c r="W478" s="16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6"/>
      <c r="W479" s="16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6"/>
      <c r="W480" s="16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6"/>
      <c r="W481" s="16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6"/>
      <c r="W482" s="16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6"/>
      <c r="W483" s="16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6"/>
      <c r="W484" s="16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6"/>
      <c r="W485" s="16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6"/>
      <c r="W486" s="16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6"/>
      <c r="W487" s="16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6"/>
      <c r="W488" s="16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6"/>
      <c r="W489" s="16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6"/>
      <c r="W490" s="16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6"/>
      <c r="W491" s="16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6"/>
      <c r="W492" s="16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6"/>
      <c r="W493" s="16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6"/>
      <c r="W494" s="16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6"/>
      <c r="W495" s="16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6"/>
      <c r="W496" s="16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6"/>
      <c r="W497" s="16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6"/>
      <c r="W498" s="16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6"/>
      <c r="W499" s="16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6"/>
      <c r="W500" s="16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6"/>
      <c r="W501" s="16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6"/>
      <c r="W502" s="16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6"/>
      <c r="W503" s="16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6"/>
      <c r="W504" s="16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6"/>
      <c r="W505" s="16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6"/>
      <c r="W506" s="16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6"/>
      <c r="W507" s="16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6"/>
      <c r="W508" s="16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6"/>
      <c r="W509" s="16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6"/>
      <c r="W510" s="16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6"/>
      <c r="W511" s="16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6"/>
      <c r="W512" s="16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6"/>
      <c r="W513" s="16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6"/>
      <c r="W514" s="16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6"/>
      <c r="W515" s="16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6"/>
      <c r="W516" s="16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6"/>
      <c r="W517" s="16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6"/>
      <c r="W518" s="16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6"/>
      <c r="W519" s="16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6"/>
      <c r="W520" s="16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6"/>
      <c r="W521" s="16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6"/>
      <c r="W522" s="16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6"/>
      <c r="W523" s="16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6"/>
      <c r="W524" s="16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6"/>
      <c r="W525" s="16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6"/>
      <c r="W526" s="16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6"/>
      <c r="W527" s="16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6"/>
      <c r="W528" s="16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6"/>
      <c r="W529" s="16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6"/>
      <c r="W530" s="16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6"/>
      <c r="W531" s="16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6"/>
      <c r="W532" s="16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6"/>
      <c r="W533" s="16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6"/>
      <c r="W534" s="16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6"/>
      <c r="W535" s="16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6"/>
      <c r="W536" s="16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6"/>
      <c r="W537" s="16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6"/>
      <c r="W538" s="16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6"/>
      <c r="W539" s="16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6"/>
      <c r="W540" s="16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6"/>
      <c r="W541" s="16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6"/>
      <c r="W542" s="16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6"/>
      <c r="W543" s="16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6"/>
      <c r="W544" s="16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6"/>
      <c r="W545" s="16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6"/>
      <c r="W546" s="16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6"/>
      <c r="W547" s="16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6"/>
      <c r="W548" s="16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6"/>
      <c r="W549" s="16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6"/>
      <c r="W550" s="16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6"/>
      <c r="W551" s="16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6"/>
      <c r="W552" s="16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6"/>
      <c r="W553" s="16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6"/>
      <c r="W554" s="16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6"/>
      <c r="W555" s="16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6"/>
      <c r="W556" s="16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6"/>
      <c r="W557" s="16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6"/>
      <c r="W558" s="16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6"/>
      <c r="W559" s="16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6"/>
      <c r="W560" s="16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6"/>
      <c r="W561" s="16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6"/>
      <c r="W562" s="16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6"/>
      <c r="W563" s="16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6"/>
      <c r="W564" s="16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6"/>
      <c r="W565" s="16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6"/>
      <c r="W566" s="16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6"/>
      <c r="W567" s="16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6"/>
      <c r="W568" s="16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6"/>
      <c r="W569" s="16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6"/>
      <c r="W570" s="16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6"/>
      <c r="W571" s="16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6"/>
      <c r="W572" s="16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6"/>
      <c r="W573" s="16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6"/>
      <c r="W574" s="16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6"/>
      <c r="W575" s="16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6"/>
      <c r="W576" s="16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6"/>
      <c r="W577" s="16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6"/>
      <c r="W578" s="16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6"/>
      <c r="W579" s="16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6"/>
      <c r="W580" s="16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6"/>
      <c r="W581" s="16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6"/>
      <c r="W582" s="16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6"/>
      <c r="W583" s="16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6"/>
      <c r="W584" s="16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6"/>
      <c r="W585" s="16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6"/>
      <c r="W586" s="16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6"/>
      <c r="W587" s="16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6"/>
      <c r="W588" s="16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6"/>
      <c r="W589" s="16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6"/>
      <c r="W590" s="16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6"/>
      <c r="W591" s="16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6"/>
      <c r="W592" s="16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6"/>
      <c r="W593" s="16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6"/>
      <c r="W594" s="16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6"/>
      <c r="W595" s="16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6"/>
      <c r="W596" s="16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6"/>
      <c r="W597" s="16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6"/>
      <c r="W598" s="16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6"/>
      <c r="W599" s="16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6"/>
      <c r="W600" s="16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6"/>
      <c r="W601" s="16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6"/>
      <c r="W602" s="16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6"/>
      <c r="W603" s="16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6"/>
      <c r="W604" s="16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6"/>
      <c r="W605" s="16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6"/>
      <c r="W606" s="16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6"/>
      <c r="W607" s="16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6"/>
      <c r="W608" s="16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6"/>
      <c r="W609" s="16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6"/>
      <c r="W610" s="16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6"/>
      <c r="W611" s="16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6"/>
      <c r="W612" s="16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6"/>
      <c r="W613" s="16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6"/>
      <c r="W614" s="16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6"/>
      <c r="W615" s="16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6"/>
      <c r="W616" s="16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6"/>
      <c r="W617" s="16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6"/>
      <c r="W618" s="16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6"/>
      <c r="W619" s="16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6"/>
      <c r="W620" s="16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6"/>
      <c r="W621" s="16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6"/>
      <c r="W622" s="16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6"/>
      <c r="W623" s="16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6"/>
      <c r="W624" s="16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6"/>
      <c r="W625" s="16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6"/>
      <c r="W626" s="16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6"/>
      <c r="W627" s="16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6"/>
      <c r="W628" s="16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6"/>
      <c r="W629" s="16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6"/>
      <c r="W630" s="16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6"/>
      <c r="W631" s="16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6"/>
      <c r="W632" s="16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6"/>
      <c r="W633" s="16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6"/>
      <c r="W634" s="16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6"/>
      <c r="W635" s="16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6"/>
      <c r="W636" s="16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6"/>
      <c r="W637" s="16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6"/>
      <c r="W638" s="16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6"/>
      <c r="W639" s="16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6"/>
      <c r="W640" s="16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6"/>
      <c r="W641" s="16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6"/>
      <c r="W642" s="16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6"/>
      <c r="W643" s="16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6"/>
      <c r="W644" s="16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6"/>
      <c r="W645" s="16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6"/>
      <c r="W646" s="16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6"/>
      <c r="W647" s="16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6"/>
      <c r="W648" s="16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6"/>
      <c r="W649" s="16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6"/>
      <c r="W650" s="16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6"/>
      <c r="W651" s="16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6"/>
      <c r="W652" s="16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6"/>
      <c r="W653" s="16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6"/>
      <c r="W654" s="16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6"/>
      <c r="W655" s="16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6"/>
      <c r="W656" s="16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6"/>
      <c r="W657" s="16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6"/>
      <c r="W658" s="16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6"/>
      <c r="W659" s="16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6"/>
      <c r="W660" s="16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6"/>
      <c r="W661" s="16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6"/>
      <c r="W662" s="16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6"/>
      <c r="W663" s="16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6"/>
      <c r="W664" s="16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6"/>
      <c r="W665" s="16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6"/>
      <c r="W666" s="16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6"/>
      <c r="W667" s="16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6"/>
      <c r="W668" s="16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6"/>
      <c r="W669" s="16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6"/>
      <c r="W670" s="16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6"/>
      <c r="W671" s="16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6"/>
      <c r="W672" s="16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6"/>
      <c r="W673" s="16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6"/>
      <c r="W674" s="16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6"/>
      <c r="W675" s="16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6"/>
      <c r="W676" s="16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6"/>
      <c r="W677" s="16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6"/>
      <c r="W678" s="16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6"/>
      <c r="W679" s="16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6"/>
      <c r="W680" s="16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6"/>
      <c r="W681" s="16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6"/>
      <c r="W682" s="16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6"/>
      <c r="W683" s="16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6"/>
      <c r="W684" s="16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6"/>
      <c r="W685" s="16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6"/>
      <c r="W686" s="16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6"/>
      <c r="W687" s="16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6"/>
      <c r="W688" s="16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6"/>
      <c r="W689" s="16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6"/>
      <c r="W690" s="16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6"/>
      <c r="W691" s="16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6"/>
      <c r="W692" s="16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6"/>
      <c r="W693" s="16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6"/>
      <c r="W694" s="16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6"/>
      <c r="W695" s="16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6"/>
      <c r="W696" s="16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6"/>
      <c r="W697" s="16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6"/>
      <c r="W698" s="16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6"/>
      <c r="W699" s="16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6"/>
      <c r="W700" s="16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6"/>
      <c r="W701" s="16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6"/>
      <c r="W702" s="16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6"/>
      <c r="W703" s="16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6"/>
      <c r="W704" s="16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6"/>
      <c r="W705" s="16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6"/>
      <c r="W706" s="16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6"/>
      <c r="W707" s="16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6"/>
      <c r="W708" s="16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6"/>
      <c r="W709" s="16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6"/>
      <c r="W710" s="16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6"/>
      <c r="W711" s="16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6"/>
      <c r="W712" s="16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6"/>
      <c r="W713" s="16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6"/>
      <c r="W714" s="16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6"/>
      <c r="W715" s="16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6"/>
      <c r="W716" s="16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6"/>
      <c r="W717" s="16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6"/>
      <c r="W718" s="16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6"/>
      <c r="W719" s="16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6"/>
      <c r="W720" s="16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6"/>
      <c r="W721" s="16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6"/>
      <c r="W722" s="16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6"/>
      <c r="W723" s="16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6"/>
      <c r="W724" s="16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6"/>
      <c r="W725" s="16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6"/>
      <c r="W726" s="16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6"/>
      <c r="W727" s="16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6"/>
      <c r="W728" s="16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6"/>
      <c r="W729" s="16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6"/>
      <c r="W730" s="16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6"/>
      <c r="W731" s="16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6"/>
      <c r="W732" s="16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6"/>
      <c r="W733" s="16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6"/>
      <c r="W734" s="16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6"/>
      <c r="W735" s="16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6"/>
      <c r="W736" s="16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6"/>
      <c r="W737" s="16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6"/>
      <c r="W738" s="16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6"/>
      <c r="W739" s="16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6"/>
      <c r="W740" s="16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6"/>
      <c r="W741" s="16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6"/>
      <c r="W742" s="16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6"/>
      <c r="W743" s="16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6"/>
      <c r="W744" s="16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6"/>
      <c r="W745" s="16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6"/>
      <c r="W746" s="16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6"/>
      <c r="W747" s="16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6"/>
      <c r="W748" s="16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6"/>
      <c r="W749" s="16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6"/>
      <c r="W750" s="16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6"/>
      <c r="W751" s="16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6"/>
      <c r="W752" s="16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6"/>
      <c r="W753" s="16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6"/>
      <c r="W754" s="16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6"/>
      <c r="W755" s="16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6"/>
      <c r="W756" s="16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6"/>
      <c r="W757" s="16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6"/>
      <c r="W758" s="16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6"/>
      <c r="W759" s="16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6"/>
      <c r="W760" s="16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6"/>
      <c r="W761" s="16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6"/>
      <c r="W762" s="16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6"/>
      <c r="W763" s="16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6"/>
      <c r="W764" s="16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6"/>
      <c r="W765" s="16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6"/>
      <c r="W766" s="16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6"/>
      <c r="W767" s="16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6"/>
      <c r="W768" s="16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6"/>
      <c r="W769" s="16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6"/>
      <c r="W770" s="16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6"/>
      <c r="W771" s="16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6"/>
      <c r="W772" s="16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6"/>
      <c r="W773" s="16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6"/>
      <c r="W774" s="16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6"/>
      <c r="W775" s="16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6"/>
      <c r="W776" s="16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6"/>
      <c r="W777" s="16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6"/>
      <c r="W778" s="16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6"/>
      <c r="W779" s="16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6"/>
      <c r="W780" s="16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6"/>
      <c r="W781" s="16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6"/>
      <c r="W782" s="16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6"/>
      <c r="W783" s="16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6"/>
      <c r="W784" s="16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6"/>
      <c r="W785" s="16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6"/>
      <c r="W786" s="16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6"/>
      <c r="W787" s="16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6"/>
      <c r="W788" s="16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6"/>
      <c r="W789" s="16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6"/>
      <c r="W790" s="16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6"/>
      <c r="W791" s="16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6"/>
      <c r="W792" s="16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6"/>
      <c r="W793" s="16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6"/>
      <c r="W794" s="16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6"/>
      <c r="W795" s="16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6"/>
      <c r="W796" s="16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6"/>
      <c r="W797" s="16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6"/>
      <c r="W798" s="16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6"/>
      <c r="W799" s="16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6"/>
      <c r="W800" s="16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6"/>
      <c r="W801" s="16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6"/>
      <c r="W802" s="16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6"/>
      <c r="W803" s="16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6"/>
      <c r="W804" s="16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6"/>
      <c r="W805" s="16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6"/>
      <c r="W806" s="16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6"/>
      <c r="W807" s="16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6"/>
      <c r="W808" s="16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6"/>
      <c r="W809" s="16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6"/>
      <c r="W810" s="16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6"/>
      <c r="W811" s="16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6"/>
      <c r="W812" s="16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6"/>
      <c r="W813" s="16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6"/>
      <c r="W814" s="16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6"/>
      <c r="W815" s="16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6"/>
      <c r="W816" s="16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6"/>
      <c r="W817" s="16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6"/>
      <c r="W818" s="16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6"/>
      <c r="W819" s="16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6"/>
      <c r="W820" s="16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6"/>
      <c r="W821" s="16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6"/>
      <c r="W822" s="16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6"/>
      <c r="W823" s="16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6"/>
      <c r="W824" s="16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6"/>
      <c r="W825" s="16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6"/>
      <c r="W826" s="16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6"/>
      <c r="W827" s="16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6"/>
      <c r="W828" s="16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6"/>
      <c r="W829" s="16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6"/>
      <c r="W830" s="16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6"/>
      <c r="W831" s="16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6"/>
      <c r="W832" s="16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6"/>
      <c r="W833" s="16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6"/>
      <c r="W834" s="16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6"/>
      <c r="W835" s="16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6"/>
      <c r="W836" s="16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6"/>
      <c r="W837" s="16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6"/>
      <c r="W838" s="16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6"/>
      <c r="W839" s="16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6"/>
      <c r="W840" s="16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6"/>
      <c r="W841" s="16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6"/>
      <c r="W842" s="16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6"/>
      <c r="W843" s="16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6"/>
      <c r="W844" s="16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6"/>
      <c r="W845" s="16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6"/>
      <c r="W846" s="16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6"/>
      <c r="W847" s="16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6"/>
      <c r="W848" s="16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6"/>
      <c r="W849" s="16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6"/>
      <c r="W850" s="16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6"/>
      <c r="W851" s="16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6"/>
      <c r="W852" s="16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6"/>
      <c r="W853" s="16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6"/>
      <c r="W854" s="16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6"/>
      <c r="W855" s="16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6"/>
      <c r="W856" s="16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6"/>
      <c r="W857" s="16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6"/>
      <c r="W858" s="16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6"/>
      <c r="W859" s="16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6"/>
      <c r="W860" s="16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6"/>
      <c r="W861" s="16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6"/>
      <c r="W862" s="16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6"/>
      <c r="W863" s="16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6"/>
      <c r="W864" s="16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6"/>
      <c r="W865" s="16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6"/>
      <c r="W866" s="16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6"/>
      <c r="W867" s="16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6"/>
      <c r="W868" s="16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6"/>
      <c r="W869" s="16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6"/>
      <c r="W870" s="16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6"/>
      <c r="W871" s="16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6"/>
      <c r="W872" s="16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6"/>
      <c r="W873" s="16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6"/>
      <c r="W874" s="16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6"/>
      <c r="W875" s="16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6"/>
      <c r="W876" s="16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6"/>
      <c r="W877" s="16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6"/>
      <c r="W878" s="16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6"/>
      <c r="W879" s="16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6"/>
      <c r="W880" s="16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6"/>
      <c r="W881" s="16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6"/>
      <c r="W882" s="16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6"/>
      <c r="W883" s="16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6"/>
      <c r="W884" s="16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6"/>
      <c r="W885" s="16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6"/>
      <c r="W886" s="16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6"/>
      <c r="W887" s="16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6"/>
      <c r="W888" s="16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6"/>
      <c r="W889" s="16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6"/>
      <c r="W890" s="16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6"/>
      <c r="W891" s="16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6"/>
      <c r="W892" s="16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6"/>
      <c r="W893" s="16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6"/>
      <c r="W894" s="16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6"/>
      <c r="W895" s="16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6"/>
      <c r="W896" s="16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6"/>
      <c r="W897" s="16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6"/>
      <c r="W898" s="16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6"/>
      <c r="W899" s="16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6"/>
      <c r="W900" s="16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6"/>
      <c r="W901" s="16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6"/>
      <c r="W902" s="16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6"/>
      <c r="W903" s="16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6"/>
      <c r="W904" s="16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6"/>
      <c r="W905" s="16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6"/>
      <c r="W906" s="16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6"/>
      <c r="W907" s="16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6"/>
      <c r="W908" s="16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6"/>
      <c r="W909" s="16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6"/>
      <c r="W910" s="16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6"/>
      <c r="W911" s="16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6"/>
      <c r="W912" s="16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6"/>
      <c r="W913" s="16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6"/>
      <c r="W914" s="16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6"/>
      <c r="W915" s="16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6"/>
      <c r="W916" s="16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6"/>
      <c r="W917" s="16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6"/>
      <c r="W918" s="16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6"/>
      <c r="W919" s="16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6"/>
      <c r="W920" s="16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6"/>
      <c r="W921" s="16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6"/>
      <c r="W922" s="16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6"/>
      <c r="W923" s="16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6"/>
      <c r="W924" s="16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6"/>
      <c r="W925" s="16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6"/>
      <c r="W926" s="16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6"/>
      <c r="W927" s="16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6"/>
      <c r="W928" s="16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6"/>
      <c r="W929" s="16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6"/>
      <c r="W930" s="16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6"/>
      <c r="W931" s="16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6"/>
      <c r="W932" s="16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6"/>
      <c r="W933" s="16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6"/>
      <c r="W934" s="16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6"/>
      <c r="W935" s="16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6"/>
      <c r="W936" s="16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6"/>
      <c r="W937" s="16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6"/>
      <c r="W938" s="16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6"/>
      <c r="W939" s="16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6"/>
      <c r="W940" s="16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6"/>
      <c r="W941" s="16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6"/>
      <c r="W942" s="16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6"/>
      <c r="W943" s="16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6"/>
      <c r="W944" s="16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6"/>
      <c r="W945" s="16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6"/>
      <c r="W946" s="16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6"/>
      <c r="W947" s="16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6"/>
      <c r="W948" s="16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6"/>
      <c r="W949" s="16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6"/>
      <c r="W950" s="16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6"/>
      <c r="W951" s="16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6"/>
      <c r="W952" s="16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6"/>
      <c r="W953" s="16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6"/>
      <c r="W954" s="16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6"/>
      <c r="W955" s="16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6"/>
      <c r="W956" s="16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6"/>
      <c r="W957" s="16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6"/>
      <c r="W958" s="16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6"/>
      <c r="W959" s="16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6"/>
      <c r="W960" s="16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6"/>
      <c r="W961" s="16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6"/>
      <c r="W962" s="16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6"/>
      <c r="W963" s="16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6"/>
      <c r="W964" s="16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6"/>
      <c r="W965" s="16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6"/>
      <c r="W966" s="16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6"/>
      <c r="W967" s="16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6"/>
      <c r="W968" s="16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6"/>
      <c r="W969" s="16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6"/>
      <c r="W970" s="16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6"/>
      <c r="W971" s="16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6"/>
      <c r="W972" s="16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6"/>
      <c r="W973" s="16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6"/>
      <c r="W974" s="16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6"/>
      <c r="W975" s="16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6"/>
      <c r="W976" s="16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6"/>
      <c r="W977" s="16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6"/>
      <c r="W978" s="16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6"/>
      <c r="W979" s="16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6"/>
      <c r="W980" s="16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6"/>
      <c r="W981" s="16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6"/>
      <c r="W982" s="16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6"/>
      <c r="W983" s="16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6"/>
      <c r="W984" s="16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6"/>
      <c r="W985" s="16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6"/>
      <c r="W986" s="16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6"/>
      <c r="W987" s="16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6"/>
      <c r="W988" s="16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6"/>
      <c r="W989" s="16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6"/>
      <c r="W990" s="16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6"/>
      <c r="W991" s="16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6"/>
      <c r="W992" s="16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6"/>
      <c r="W993" s="16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6"/>
      <c r="W994" s="16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6"/>
      <c r="W995" s="16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6"/>
      <c r="W996" s="16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6"/>
      <c r="W997" s="16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6"/>
      <c r="W998" s="16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6"/>
      <c r="W999" s="16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6"/>
      <c r="W1000" s="16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6"/>
      <c r="W1001" s="16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</row>
    <row r="100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6"/>
      <c r="W1002" s="16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6"/>
      <c r="W1003" s="16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</row>
    <row r="1004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6"/>
      <c r="W1004" s="16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</row>
  </sheetData>
  <mergeCells count="6">
    <mergeCell ref="C2:D2"/>
    <mergeCell ref="E2:F2"/>
    <mergeCell ref="I2:M2"/>
    <mergeCell ref="R2:S2"/>
    <mergeCell ref="T2:U2"/>
    <mergeCell ref="X2:AB2"/>
  </mergeCells>
  <dataValidations>
    <dataValidation type="list" allowBlank="1" showErrorMessage="1" sqref="Q1">
      <formula1>"Delhi,Prayagraj,Lucknow,Patna,Indore"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75"/>
  <cols>
    <col customWidth="1" min="2" max="61" width="9.88"/>
  </cols>
  <sheetData>
    <row r="1">
      <c r="A1" s="49" t="s">
        <v>29</v>
      </c>
      <c r="B1" s="50" t="s">
        <v>59</v>
      </c>
      <c r="C1" s="51"/>
      <c r="D1" s="51"/>
      <c r="E1" s="51"/>
      <c r="F1" s="51"/>
      <c r="G1" s="51"/>
      <c r="H1" s="51"/>
      <c r="I1" s="51"/>
      <c r="J1" s="51"/>
      <c r="K1" s="52"/>
      <c r="L1" s="50" t="s">
        <v>22</v>
      </c>
      <c r="M1" s="51"/>
      <c r="N1" s="51"/>
      <c r="O1" s="51"/>
      <c r="P1" s="51"/>
      <c r="Q1" s="51"/>
      <c r="R1" s="51"/>
      <c r="S1" s="51"/>
      <c r="T1" s="51"/>
      <c r="U1" s="52"/>
      <c r="V1" s="50" t="s">
        <v>60</v>
      </c>
      <c r="W1" s="51"/>
      <c r="X1" s="51"/>
      <c r="Y1" s="51"/>
      <c r="Z1" s="51"/>
      <c r="AA1" s="51"/>
      <c r="AB1" s="51"/>
      <c r="AC1" s="51"/>
      <c r="AD1" s="51"/>
      <c r="AE1" s="52"/>
      <c r="AF1" s="53" t="s">
        <v>61</v>
      </c>
      <c r="AG1" s="51"/>
      <c r="AH1" s="51"/>
      <c r="AI1" s="51"/>
      <c r="AJ1" s="51"/>
      <c r="AK1" s="51"/>
      <c r="AL1" s="51"/>
      <c r="AM1" s="51"/>
      <c r="AN1" s="51"/>
      <c r="AO1" s="52"/>
      <c r="AP1" s="53" t="s">
        <v>62</v>
      </c>
      <c r="AQ1" s="51"/>
      <c r="AR1" s="51"/>
      <c r="AS1" s="51"/>
      <c r="AT1" s="51"/>
      <c r="AU1" s="51"/>
      <c r="AV1" s="51"/>
      <c r="AW1" s="51"/>
      <c r="AX1" s="51"/>
      <c r="AY1" s="52"/>
      <c r="AZ1" s="53" t="s">
        <v>63</v>
      </c>
      <c r="BA1" s="51"/>
      <c r="BB1" s="51"/>
      <c r="BC1" s="51"/>
      <c r="BD1" s="51"/>
      <c r="BE1" s="51"/>
      <c r="BF1" s="51"/>
      <c r="BG1" s="51"/>
      <c r="BH1" s="51"/>
      <c r="BI1" s="52"/>
    </row>
    <row r="2">
      <c r="A2" s="15"/>
      <c r="B2" s="15"/>
      <c r="C2" s="54" t="s">
        <v>30</v>
      </c>
      <c r="D2" s="55"/>
      <c r="E2" s="56" t="s">
        <v>31</v>
      </c>
      <c r="F2" s="55"/>
      <c r="G2" s="57" t="s">
        <v>32</v>
      </c>
      <c r="H2" s="58"/>
      <c r="I2" s="58"/>
      <c r="J2" s="58"/>
      <c r="K2" s="55"/>
      <c r="L2" s="15"/>
      <c r="M2" s="54" t="s">
        <v>30</v>
      </c>
      <c r="N2" s="55"/>
      <c r="O2" s="56" t="s">
        <v>31</v>
      </c>
      <c r="P2" s="55"/>
      <c r="Q2" s="57" t="s">
        <v>32</v>
      </c>
      <c r="R2" s="58"/>
      <c r="S2" s="58"/>
      <c r="T2" s="58"/>
      <c r="U2" s="55"/>
      <c r="V2" s="15"/>
      <c r="W2" s="54" t="s">
        <v>30</v>
      </c>
      <c r="X2" s="55"/>
      <c r="Y2" s="56" t="s">
        <v>31</v>
      </c>
      <c r="Z2" s="55"/>
      <c r="AA2" s="57" t="s">
        <v>32</v>
      </c>
      <c r="AB2" s="58"/>
      <c r="AC2" s="58"/>
      <c r="AD2" s="58"/>
      <c r="AE2" s="55"/>
      <c r="AF2" s="59"/>
      <c r="AG2" s="60" t="s">
        <v>30</v>
      </c>
      <c r="AH2" s="55"/>
      <c r="AI2" s="61" t="s">
        <v>31</v>
      </c>
      <c r="AJ2" s="55"/>
      <c r="AK2" s="62" t="s">
        <v>32</v>
      </c>
      <c r="AL2" s="58"/>
      <c r="AM2" s="58"/>
      <c r="AN2" s="58"/>
      <c r="AO2" s="55"/>
      <c r="AP2" s="59"/>
      <c r="AQ2" s="60" t="s">
        <v>30</v>
      </c>
      <c r="AR2" s="55"/>
      <c r="AS2" s="61" t="s">
        <v>31</v>
      </c>
      <c r="AT2" s="55"/>
      <c r="AU2" s="62" t="s">
        <v>32</v>
      </c>
      <c r="AV2" s="58"/>
      <c r="AW2" s="58"/>
      <c r="AX2" s="58"/>
      <c r="AY2" s="55"/>
      <c r="AZ2" s="59"/>
      <c r="BA2" s="60" t="s">
        <v>30</v>
      </c>
      <c r="BB2" s="55"/>
      <c r="BC2" s="61" t="s">
        <v>31</v>
      </c>
      <c r="BD2" s="55"/>
      <c r="BE2" s="62" t="s">
        <v>32</v>
      </c>
      <c r="BF2" s="58"/>
      <c r="BG2" s="58"/>
      <c r="BH2" s="58"/>
      <c r="BI2" s="55"/>
    </row>
    <row r="3" ht="50.25" customHeight="1">
      <c r="A3" s="23" t="s">
        <v>33</v>
      </c>
      <c r="B3" s="23" t="s">
        <v>34</v>
      </c>
      <c r="C3" s="24" t="s">
        <v>35</v>
      </c>
      <c r="D3" s="24" t="s">
        <v>36</v>
      </c>
      <c r="E3" s="23" t="s">
        <v>37</v>
      </c>
      <c r="F3" s="23" t="s">
        <v>38</v>
      </c>
      <c r="G3" s="26" t="s">
        <v>39</v>
      </c>
      <c r="H3" s="26" t="s">
        <v>40</v>
      </c>
      <c r="I3" s="26" t="s">
        <v>41</v>
      </c>
      <c r="J3" s="26" t="s">
        <v>42</v>
      </c>
      <c r="K3" s="63" t="s">
        <v>43</v>
      </c>
      <c r="L3" s="64" t="s">
        <v>34</v>
      </c>
      <c r="M3" s="24" t="s">
        <v>35</v>
      </c>
      <c r="N3" s="24" t="s">
        <v>36</v>
      </c>
      <c r="O3" s="23" t="s">
        <v>37</v>
      </c>
      <c r="P3" s="23" t="s">
        <v>38</v>
      </c>
      <c r="Q3" s="26" t="s">
        <v>39</v>
      </c>
      <c r="R3" s="26" t="s">
        <v>40</v>
      </c>
      <c r="S3" s="26" t="s">
        <v>41</v>
      </c>
      <c r="T3" s="26" t="s">
        <v>42</v>
      </c>
      <c r="U3" s="63" t="s">
        <v>43</v>
      </c>
      <c r="V3" s="64" t="s">
        <v>34</v>
      </c>
      <c r="W3" s="24" t="s">
        <v>35</v>
      </c>
      <c r="X3" s="24" t="s">
        <v>36</v>
      </c>
      <c r="Y3" s="23" t="s">
        <v>37</v>
      </c>
      <c r="Z3" s="23" t="s">
        <v>38</v>
      </c>
      <c r="AA3" s="26" t="s">
        <v>39</v>
      </c>
      <c r="AB3" s="26" t="s">
        <v>40</v>
      </c>
      <c r="AC3" s="26" t="s">
        <v>41</v>
      </c>
      <c r="AD3" s="26" t="s">
        <v>42</v>
      </c>
      <c r="AE3" s="63" t="s">
        <v>43</v>
      </c>
      <c r="AF3" s="65" t="s">
        <v>34</v>
      </c>
      <c r="AG3" s="66" t="s">
        <v>35</v>
      </c>
      <c r="AH3" s="66" t="s">
        <v>36</v>
      </c>
      <c r="AI3" s="67" t="s">
        <v>37</v>
      </c>
      <c r="AJ3" s="67" t="s">
        <v>38</v>
      </c>
      <c r="AK3" s="68" t="s">
        <v>39</v>
      </c>
      <c r="AL3" s="68" t="s">
        <v>40</v>
      </c>
      <c r="AM3" s="68" t="s">
        <v>41</v>
      </c>
      <c r="AN3" s="68" t="s">
        <v>42</v>
      </c>
      <c r="AO3" s="69" t="s">
        <v>43</v>
      </c>
      <c r="AP3" s="65" t="s">
        <v>34</v>
      </c>
      <c r="AQ3" s="66" t="s">
        <v>35</v>
      </c>
      <c r="AR3" s="66" t="s">
        <v>36</v>
      </c>
      <c r="AS3" s="67" t="s">
        <v>37</v>
      </c>
      <c r="AT3" s="67" t="s">
        <v>38</v>
      </c>
      <c r="AU3" s="68" t="s">
        <v>39</v>
      </c>
      <c r="AV3" s="68" t="s">
        <v>40</v>
      </c>
      <c r="AW3" s="68" t="s">
        <v>41</v>
      </c>
      <c r="AX3" s="68" t="s">
        <v>42</v>
      </c>
      <c r="AY3" s="69" t="s">
        <v>43</v>
      </c>
      <c r="AZ3" s="65" t="s">
        <v>34</v>
      </c>
      <c r="BA3" s="66" t="s">
        <v>35</v>
      </c>
      <c r="BB3" s="66" t="s">
        <v>36</v>
      </c>
      <c r="BC3" s="67" t="s">
        <v>37</v>
      </c>
      <c r="BD3" s="67" t="s">
        <v>38</v>
      </c>
      <c r="BE3" s="68" t="s">
        <v>39</v>
      </c>
      <c r="BF3" s="68" t="s">
        <v>40</v>
      </c>
      <c r="BG3" s="68" t="s">
        <v>41</v>
      </c>
      <c r="BH3" s="68" t="s">
        <v>42</v>
      </c>
      <c r="BI3" s="68" t="s">
        <v>43</v>
      </c>
    </row>
    <row r="4">
      <c r="A4" s="30" t="s">
        <v>44</v>
      </c>
      <c r="B4" s="70"/>
      <c r="C4" s="70"/>
      <c r="D4" s="70"/>
      <c r="E4" s="70"/>
      <c r="F4" s="70"/>
      <c r="G4" s="70"/>
      <c r="H4" s="70"/>
      <c r="I4" s="70"/>
      <c r="J4" s="70"/>
      <c r="K4" s="71"/>
      <c r="L4" s="72"/>
      <c r="M4" s="70"/>
      <c r="N4" s="70"/>
      <c r="O4" s="70"/>
      <c r="P4" s="70"/>
      <c r="Q4" s="70"/>
      <c r="R4" s="70"/>
      <c r="S4" s="70"/>
      <c r="T4" s="70"/>
      <c r="U4" s="71"/>
      <c r="V4" s="72"/>
      <c r="W4" s="70"/>
      <c r="X4" s="70"/>
      <c r="Y4" s="70"/>
      <c r="Z4" s="70"/>
      <c r="AA4" s="70"/>
      <c r="AB4" s="70"/>
      <c r="AC4" s="70"/>
      <c r="AD4" s="70"/>
      <c r="AE4" s="71"/>
      <c r="AF4" s="73"/>
      <c r="AG4" s="74"/>
      <c r="AH4" s="74"/>
      <c r="AI4" s="74"/>
      <c r="AJ4" s="74"/>
      <c r="AK4" s="74"/>
      <c r="AL4" s="74"/>
      <c r="AM4" s="74"/>
      <c r="AN4" s="74"/>
      <c r="AO4" s="75"/>
      <c r="AP4" s="73"/>
      <c r="AQ4" s="74"/>
      <c r="AR4" s="74"/>
      <c r="AS4" s="74"/>
      <c r="AT4" s="74"/>
      <c r="AU4" s="74"/>
      <c r="AV4" s="74"/>
      <c r="AW4" s="74"/>
      <c r="AX4" s="74"/>
      <c r="AY4" s="75"/>
      <c r="AZ4" s="73"/>
      <c r="BA4" s="74"/>
      <c r="BB4" s="74"/>
      <c r="BC4" s="74"/>
      <c r="BD4" s="74"/>
      <c r="BE4" s="74"/>
      <c r="BF4" s="74"/>
      <c r="BG4" s="74"/>
      <c r="BH4" s="74"/>
      <c r="BI4" s="74"/>
    </row>
    <row r="5">
      <c r="A5" s="30" t="s">
        <v>45</v>
      </c>
      <c r="B5" s="70"/>
      <c r="C5" s="70"/>
      <c r="D5" s="70"/>
      <c r="E5" s="70"/>
      <c r="F5" s="70"/>
      <c r="G5" s="70"/>
      <c r="H5" s="70"/>
      <c r="I5" s="70"/>
      <c r="J5" s="70"/>
      <c r="K5" s="71"/>
      <c r="L5" s="72"/>
      <c r="M5" s="70"/>
      <c r="N5" s="70"/>
      <c r="O5" s="70"/>
      <c r="P5" s="70"/>
      <c r="Q5" s="70"/>
      <c r="R5" s="70"/>
      <c r="S5" s="70"/>
      <c r="T5" s="70"/>
      <c r="U5" s="71"/>
      <c r="V5" s="72"/>
      <c r="W5" s="70"/>
      <c r="X5" s="70"/>
      <c r="Y5" s="70"/>
      <c r="Z5" s="70"/>
      <c r="AA5" s="70"/>
      <c r="AB5" s="70"/>
      <c r="AC5" s="70"/>
      <c r="AD5" s="70"/>
      <c r="AE5" s="71"/>
      <c r="AF5" s="73"/>
      <c r="AG5" s="74"/>
      <c r="AH5" s="74"/>
      <c r="AI5" s="74"/>
      <c r="AJ5" s="74"/>
      <c r="AK5" s="74"/>
      <c r="AL5" s="74"/>
      <c r="AM5" s="74"/>
      <c r="AN5" s="74"/>
      <c r="AO5" s="75"/>
      <c r="AP5" s="73"/>
      <c r="AQ5" s="74"/>
      <c r="AR5" s="74"/>
      <c r="AS5" s="74"/>
      <c r="AT5" s="74"/>
      <c r="AU5" s="74"/>
      <c r="AV5" s="74"/>
      <c r="AW5" s="74"/>
      <c r="AX5" s="74"/>
      <c r="AY5" s="75"/>
      <c r="AZ5" s="73"/>
      <c r="BA5" s="74"/>
      <c r="BB5" s="74"/>
      <c r="BC5" s="74"/>
      <c r="BD5" s="74"/>
      <c r="BE5" s="74"/>
      <c r="BF5" s="74"/>
      <c r="BG5" s="74"/>
      <c r="BH5" s="74"/>
      <c r="BI5" s="74"/>
    </row>
    <row r="6">
      <c r="A6" s="30"/>
      <c r="B6" s="70"/>
      <c r="C6" s="70"/>
      <c r="D6" s="70"/>
      <c r="E6" s="70"/>
      <c r="F6" s="70"/>
      <c r="G6" s="70"/>
      <c r="H6" s="70"/>
      <c r="I6" s="70"/>
      <c r="J6" s="70"/>
      <c r="K6" s="71"/>
      <c r="L6" s="72"/>
      <c r="M6" s="70"/>
      <c r="N6" s="70"/>
      <c r="O6" s="70"/>
      <c r="P6" s="70"/>
      <c r="Q6" s="70"/>
      <c r="R6" s="70"/>
      <c r="S6" s="70"/>
      <c r="T6" s="70"/>
      <c r="U6" s="71"/>
      <c r="V6" s="72"/>
      <c r="W6" s="70"/>
      <c r="X6" s="70"/>
      <c r="Y6" s="70"/>
      <c r="Z6" s="70"/>
      <c r="AA6" s="70"/>
      <c r="AB6" s="70"/>
      <c r="AC6" s="70"/>
      <c r="AD6" s="70"/>
      <c r="AE6" s="71"/>
      <c r="AF6" s="73"/>
      <c r="AG6" s="74"/>
      <c r="AH6" s="74"/>
      <c r="AI6" s="74"/>
      <c r="AJ6" s="74"/>
      <c r="AK6" s="74"/>
      <c r="AL6" s="74"/>
      <c r="AM6" s="74"/>
      <c r="AN6" s="74"/>
      <c r="AO6" s="75"/>
      <c r="AP6" s="73"/>
      <c r="AQ6" s="74"/>
      <c r="AR6" s="74"/>
      <c r="AS6" s="74"/>
      <c r="AT6" s="74"/>
      <c r="AU6" s="74"/>
      <c r="AV6" s="74"/>
      <c r="AW6" s="74"/>
      <c r="AX6" s="74"/>
      <c r="AY6" s="75"/>
      <c r="AZ6" s="73"/>
      <c r="BA6" s="74"/>
      <c r="BB6" s="74"/>
      <c r="BC6" s="74"/>
      <c r="BD6" s="74"/>
      <c r="BE6" s="74"/>
      <c r="BF6" s="74"/>
      <c r="BG6" s="74"/>
      <c r="BH6" s="74"/>
      <c r="BI6" s="74"/>
    </row>
    <row r="7">
      <c r="A7" s="33">
        <v>46054.0</v>
      </c>
      <c r="B7" s="29">
        <f>sumifs(raw_data!$E:$E,raw_data!$A:$A,$A7)</f>
        <v>35</v>
      </c>
      <c r="C7" s="29">
        <f>sumifs(raw_data!$E:$E,raw_data!$A:$A,$A7,raw_data!$D:$D,"Primary_Walkin")</f>
        <v>34</v>
      </c>
      <c r="D7" s="29">
        <f>sumifs(raw_data!$E:$E,raw_data!$A:$A,$A7,raw_data!$D:$D,"Secondary_Walkin")</f>
        <v>1</v>
      </c>
      <c r="E7" s="29">
        <f>sumifs(raw_data!$E:$E,raw_data!$A:$A,$A7,raw_data!$G:$G,"GS Foundation")</f>
        <v>27</v>
      </c>
      <c r="F7" s="29">
        <f>sumifs(raw_data!$E:$E,raw_data!$A:$A,$A7) - sumifs(raw_data!$E:$E,raw_data!$A:$A,$A7,raw_data!$G:$G,"GS Foundation")</f>
        <v>8</v>
      </c>
      <c r="G7" s="76">
        <f>sumifs(raw_data!$Z:$Z,raw_data!$T:$T,$A7,raw_data!$U:$U,"Telephony")</f>
        <v>14</v>
      </c>
      <c r="H7" s="76">
        <f>sumifs(raw_data!$Z:$Z,raw_data!$T:$T,$A7,raw_data!$U:$U,"Paid Ads")</f>
        <v>3</v>
      </c>
      <c r="I7" s="76">
        <f t="shared" ref="I7:I37" si="1">S7+AC7+AM7+AW7+BG7</f>
        <v>0</v>
      </c>
      <c r="J7" s="76">
        <f>sumifs(raw_data!$Z:$Z,raw_data!$T:$T,$A7,raw_data!$U:$U,"External Leads")</f>
        <v>11</v>
      </c>
      <c r="K7" s="71"/>
      <c r="L7" s="77">
        <f>sumifs(raw_data!$E:$E,raw_data!$A:$A,$A7,raw_data!$C:$C,$L$1)</f>
        <v>19</v>
      </c>
      <c r="M7" s="29">
        <f>sumifs(raw_data!$E:$E,raw_data!$A:$A,$A7,raw_data!$D:$D,"Primary_Walkin",raw_data!$C:$C,$L$1)</f>
        <v>19</v>
      </c>
      <c r="N7" s="29">
        <f>sumifs(raw_data!$E:$E,raw_data!$A:$A,$A7,raw_data!$D:$D,"Secondary_Walkin",raw_data!$C:$C,$L$1)</f>
        <v>0</v>
      </c>
      <c r="O7" s="29">
        <f>sumifs(raw_data!$E:$E,raw_data!$A:$A,$A7,raw_data!$G:$G,"GS Foundation",raw_data!$C:$C,$L$1)</f>
        <v>18</v>
      </c>
      <c r="P7" s="29">
        <f>sumifs(raw_data!$E:$E,raw_data!$A:$A,$A7,raw_data!$C:$C,$L$1) - sumifs(raw_data!$E:$E,raw_data!$A:$A,$A7,raw_data!$G:$G,"GS Foundation",raw_data!$C:$C,$L$1)</f>
        <v>1</v>
      </c>
      <c r="Q7" s="76">
        <f>sumifs(raw_data!$Z:$Z,raw_data!$T:$T,$A7,raw_data!$U:$U,"Telephony",raw_data!$Y:$Y,$L$1)</f>
        <v>1</v>
      </c>
      <c r="R7" s="76">
        <f>sumifs(raw_data!$Z:$Z,raw_data!$T:$T,$A7,raw_data!$U:$U,"Paid Ads",raw_data!$Y:$Y,$L$1)</f>
        <v>1</v>
      </c>
      <c r="S7" s="76">
        <f>sumifs(raw_data!$N:$N,raw_data!$K:$K,$A7,raw_data!$O:$O,$L$1)</f>
        <v>0</v>
      </c>
      <c r="T7" s="76">
        <f>sumifs(raw_data!$Z:$Z,raw_data!$T:$T,$A7,raw_data!$U:$U,"External Leads",raw_data!$Y:$Y,$L$1)</f>
        <v>0</v>
      </c>
      <c r="U7" s="71"/>
      <c r="V7" s="77">
        <f>sumifs(raw_data!$E:$E,raw_data!$A:$A,$A7,raw_data!$C:$C,$V$1)</f>
        <v>5</v>
      </c>
      <c r="W7" s="29">
        <f>sumifs(raw_data!$E:$E,raw_data!$A:$A,$A7,raw_data!$D:$D,"Primary_Walkin",raw_data!$C:$C,$V$1)</f>
        <v>5</v>
      </c>
      <c r="X7" s="29">
        <f>sumifs(raw_data!$E:$E,raw_data!$A:$A,$A7,raw_data!$D:$D,"Secondary_Walkin",raw_data!$C:$C,$V$1)</f>
        <v>0</v>
      </c>
      <c r="Y7" s="29">
        <f>sumifs(raw_data!$E:$E,raw_data!$A:$A,$A7,raw_data!$G:$G,"GS Foundation",raw_data!$C:$C,$V$1)</f>
        <v>2</v>
      </c>
      <c r="Z7" s="29">
        <f>sumifs(raw_data!$E:$E,raw_data!$A:$A,$A7,raw_data!$C:$C,$V$1) - sumifs(raw_data!$E:$E,raw_data!$A:$A,$A7,raw_data!$G:$G,"GS Foundation",raw_data!$C:$C,$V$1)</f>
        <v>3</v>
      </c>
      <c r="AA7" s="76">
        <f>sumifs(raw_data!$Z:$Z,raw_data!$T:$T,$A7,raw_data!$U:$U,"Telephony",raw_data!$Y:$Y,$V$1)</f>
        <v>0</v>
      </c>
      <c r="AB7" s="76">
        <f>sumifs(raw_data!$Z:$Z,raw_data!$T:$T,$A7,raw_data!$U:$U,"Paid Ads",raw_data!$Y:$Y,$V$1)</f>
        <v>0</v>
      </c>
      <c r="AC7" s="76">
        <f>sumifs(raw_data!$N:$N,raw_data!$K:$K,$A7,raw_data!$O:$O,$V$1)</f>
        <v>0</v>
      </c>
      <c r="AD7" s="76">
        <f>sumifs(raw_data!$Z:$Z,raw_data!$T:$T,$A7,raw_data!$U:$U,"External Leads",raw_data!$Y:$Y,$V$1)</f>
        <v>0</v>
      </c>
      <c r="AE7" s="71"/>
      <c r="AF7" s="77">
        <f>sumifs(raw_data!$E:$E,raw_data!$A:$A,$A7,raw_data!$C:$C,$AF$1)</f>
        <v>0</v>
      </c>
      <c r="AG7" s="29">
        <f>sumifs(raw_data!$E:$E,raw_data!$A:$A,$A7,raw_data!$D:$D,"Primary_Walkin",raw_data!$C:$C,$AF$1)</f>
        <v>0</v>
      </c>
      <c r="AH7" s="29">
        <f>sumifs(raw_data!$E:$E,raw_data!$A:$A,$A7,raw_data!$D:$D,"Secondary_Walkin",raw_data!$C:$C,$AF$1)</f>
        <v>0</v>
      </c>
      <c r="AI7" s="29">
        <f>sumifs(raw_data!$E:$E,raw_data!$A:$A,$A7,raw_data!$G:$G,"GS Foundation",raw_data!$C:$C,$AF$1)</f>
        <v>0</v>
      </c>
      <c r="AJ7" s="29">
        <f>sumifs(raw_data!$E:$E,raw_data!$A:$A,$A7,raw_data!$C:$C,$AF$1) - sumifs(raw_data!$E:$E,raw_data!$A:$A,$A7,raw_data!$G:$G,"GS Foundation",raw_data!$C:$C,$AF$1)</f>
        <v>0</v>
      </c>
      <c r="AK7" s="76">
        <f>sumifs(raw_data!$Z:$Z,raw_data!$T:$T,$A7,raw_data!$U:$U,"Telephony",raw_data!$Y:$Y,$AF$1)</f>
        <v>0</v>
      </c>
      <c r="AL7" s="76">
        <f>sumifs(raw_data!$Z:$Z,raw_data!$T:$T,$A7,raw_data!$U:$U,"Paid Ads",raw_data!$Y:$Y,$AF$1)</f>
        <v>2</v>
      </c>
      <c r="AM7" s="76">
        <f>sumifs(raw_data!$N:$N,raw_data!$K:$K,$A7,raw_data!$O:$O,$AF$1)</f>
        <v>0</v>
      </c>
      <c r="AN7" s="76">
        <f>sumifs(raw_data!$Z:$Z,raw_data!$T:$T,$A7,raw_data!$U:$U,"External Leads",raw_data!$Y:$Y,$AF$1)</f>
        <v>0</v>
      </c>
      <c r="AO7" s="75"/>
      <c r="AP7" s="77">
        <f>sumifs(raw_data!$E:$E,raw_data!$A:$A,$A7,raw_data!$C:$C,$AP$1)</f>
        <v>6</v>
      </c>
      <c r="AQ7" s="29">
        <f>sumifs(raw_data!$E:$E,raw_data!$A:$A,$A7,raw_data!$D:$D,"Primary_Walkin",raw_data!$C:$C,$AP$1)</f>
        <v>5</v>
      </c>
      <c r="AR7" s="29">
        <f>sumifs(raw_data!$E:$E,raw_data!$A:$A,$A7,raw_data!$D:$D,"Secondary_Walkin",raw_data!$C:$C,$AP$1)</f>
        <v>1</v>
      </c>
      <c r="AS7" s="29">
        <f>sumifs(raw_data!$E:$E,raw_data!$A:$A,$A7,raw_data!$G:$G,"GS Foundation",raw_data!$C:$C,$AP$1)</f>
        <v>4</v>
      </c>
      <c r="AT7" s="29">
        <f>sumifs(raw_data!$E:$E,raw_data!$A:$A,$A7,raw_data!$C:$C,$AP$1) - sumifs(raw_data!$E:$E,raw_data!$A:$A,$A7,raw_data!$G:$G,"GS Foundation",raw_data!$C:$C,$AP$1)</f>
        <v>2</v>
      </c>
      <c r="AU7" s="76">
        <f>sumifs(raw_data!$Z:$Z,raw_data!$T:$T,$A7,raw_data!$U:$U,"Telephony",raw_data!$Y:$Y,$AP$1)</f>
        <v>0</v>
      </c>
      <c r="AV7" s="76">
        <f>sumifs(raw_data!$Z:$Z,raw_data!$T:$T,$A7,raw_data!$U:$U,"Paid Ads",raw_data!$Y:$Y,$AP$1)</f>
        <v>0</v>
      </c>
      <c r="AW7" s="76">
        <f>sumifs(raw_data!$N:$N,raw_data!$K:$K,$A7,raw_data!$O:$O,$AP$1)</f>
        <v>0</v>
      </c>
      <c r="AX7" s="76">
        <f>sumifs(raw_data!$Z:$Z,raw_data!$T:$T,$A7,raw_data!$U:$U,"External Leads",raw_data!$Y:$Y,$AP$1)</f>
        <v>0</v>
      </c>
      <c r="AY7" s="75"/>
      <c r="AZ7" s="77">
        <f>sumifs(raw_data!$E:$E,raw_data!$A:$A,$A7,raw_data!$C:$C,$AZ$1)</f>
        <v>5</v>
      </c>
      <c r="BA7" s="29">
        <f>sumifs(raw_data!$E:$E,raw_data!$A:$A,$A7,raw_data!$D:$D,"Primary_Walkin",raw_data!$C:$C,$AZ$1)</f>
        <v>5</v>
      </c>
      <c r="BB7" s="29">
        <f>sumifs(raw_data!$E:$E,raw_data!$A:$A,$A7,raw_data!$D:$D,"Secondary_Walkin",raw_data!$C:$C,$AZ$1)</f>
        <v>0</v>
      </c>
      <c r="BC7" s="29">
        <f>sumifs(raw_data!$E:$E,raw_data!$A:$A,$A7,raw_data!$G:$G,"GS Foundation",raw_data!$C:$C,$AZ$1)</f>
        <v>3</v>
      </c>
      <c r="BD7" s="29">
        <f>sumifs(raw_data!$E:$E,raw_data!$A:$A,$A7,raw_data!$C:$C,$AZ$1) - sumifs(raw_data!$E:$E,raw_data!$A:$A,$A7,raw_data!$G:$G,"GS Foundation",raw_data!$C:$C,$AZ$1)</f>
        <v>2</v>
      </c>
      <c r="BE7" s="76">
        <f>sumifs(raw_data!$Z:$Z,raw_data!$T:$T,$A7,raw_data!$U:$U,"Telephony",raw_data!$Y:$Y,$AZ$1)</f>
        <v>1</v>
      </c>
      <c r="BF7" s="76">
        <f>sumifs(raw_data!$Z:$Z,raw_data!$T:$T,$A7,raw_data!$U:$U,"Paid Ads",raw_data!$Y:$Y,$AZ$1)</f>
        <v>0</v>
      </c>
      <c r="BG7" s="76">
        <f>sumifs(raw_data!$N:$N,raw_data!$K:$K,$A7,raw_data!$O:$O,$AZ$1)</f>
        <v>0</v>
      </c>
      <c r="BH7" s="76">
        <f>sumifs(raw_data!$Z:$Z,raw_data!$T:$T,$A7,raw_data!$U:$U,"External Leads",raw_data!$Y:$Y,$AZ$1)</f>
        <v>0</v>
      </c>
      <c r="BI7" s="74"/>
    </row>
    <row r="8">
      <c r="A8" s="33">
        <v>46055.0</v>
      </c>
      <c r="B8" s="29">
        <f>sumifs(raw_data!$E:$E,raw_data!$A:$A,$A8)</f>
        <v>41</v>
      </c>
      <c r="C8" s="29">
        <f>sumifs(raw_data!$E:$E,raw_data!$A:$A,$A8,raw_data!$D:$D,"Primary_Walkin")</f>
        <v>36</v>
      </c>
      <c r="D8" s="29">
        <f>sumifs(raw_data!$E:$E,raw_data!$A:$A,$A8,raw_data!$D:$D,"Secondary_Walkin")</f>
        <v>5</v>
      </c>
      <c r="E8" s="29">
        <f>sumifs(raw_data!$E:$E,raw_data!$A:$A,$A8,raw_data!$G:$G,"GS Foundation")</f>
        <v>23</v>
      </c>
      <c r="F8" s="29">
        <f>sumifs(raw_data!$E:$E,raw_data!$A:$A,$A8) - sumifs(raw_data!$E:$E,raw_data!$A:$A,$A8,raw_data!$G:$G,"GS Foundation")</f>
        <v>18</v>
      </c>
      <c r="G8" s="76">
        <f>sumifs(raw_data!$Z:$Z,raw_data!$T:$T,$A8,raw_data!$U:$U,"Telephony")</f>
        <v>35</v>
      </c>
      <c r="H8" s="76">
        <f>sumifs(raw_data!$Z:$Z,raw_data!$T:$T,$A8,raw_data!$U:$U,"Paid Ads")</f>
        <v>2</v>
      </c>
      <c r="I8" s="76">
        <f t="shared" si="1"/>
        <v>0</v>
      </c>
      <c r="J8" s="76">
        <f>sumifs(raw_data!$Z:$Z,raw_data!$T:$T,$A8,raw_data!$U:$U,"External Leads")</f>
        <v>6</v>
      </c>
      <c r="K8" s="71"/>
      <c r="L8" s="77">
        <f>sumifs(raw_data!$E:$E,raw_data!$A:$A,$A8,raw_data!$C:$C,$L$1)</f>
        <v>17</v>
      </c>
      <c r="M8" s="29">
        <f>sumifs(raw_data!$E:$E,raw_data!$A:$A,$A8,raw_data!$D:$D,"Primary_Walkin",raw_data!$C:$C,$L$1)</f>
        <v>16</v>
      </c>
      <c r="N8" s="29">
        <f>sumifs(raw_data!$E:$E,raw_data!$A:$A,$A8,raw_data!$D:$D,"Secondary_Walkin",raw_data!$C:$C,$L$1)</f>
        <v>1</v>
      </c>
      <c r="O8" s="29">
        <f>sumifs(raw_data!$E:$E,raw_data!$A:$A,$A8,raw_data!$G:$G,"GS Foundation",raw_data!$C:$C,$L$1)</f>
        <v>13</v>
      </c>
      <c r="P8" s="29">
        <f>sumifs(raw_data!$E:$E,raw_data!$A:$A,$A8,raw_data!$C:$C,$L$1) - sumifs(raw_data!$E:$E,raw_data!$A:$A,$A8,raw_data!$G:$G,"GS Foundation",raw_data!$C:$C,$L$1)</f>
        <v>4</v>
      </c>
      <c r="Q8" s="76">
        <f>sumifs(raw_data!$Z:$Z,raw_data!$T:$T,$A8,raw_data!$U:$U,"Telephony",raw_data!$Y:$Y,$L$1)</f>
        <v>4</v>
      </c>
      <c r="R8" s="76">
        <f>sumifs(raw_data!$Z:$Z,raw_data!$T:$T,$A8,raw_data!$U:$U,"Paid Ads",raw_data!$Y:$Y,$L$1)</f>
        <v>0</v>
      </c>
      <c r="S8" s="76">
        <f>sumifs(raw_data!$N:$N,raw_data!$K:$K,$A8,raw_data!$O:$O,$L$1)</f>
        <v>0</v>
      </c>
      <c r="T8" s="76">
        <f>sumifs(raw_data!$Z:$Z,raw_data!$T:$T,$A8,raw_data!$U:$U,"External Leads",raw_data!$Y:$Y,$L$1)</f>
        <v>0</v>
      </c>
      <c r="U8" s="71"/>
      <c r="V8" s="77">
        <f>sumifs(raw_data!$E:$E,raw_data!$A:$A,$A8,raw_data!$C:$C,$V$1)</f>
        <v>8</v>
      </c>
      <c r="W8" s="29">
        <f>sumifs(raw_data!$E:$E,raw_data!$A:$A,$A8,raw_data!$D:$D,"Primary_Walkin",raw_data!$C:$C,$V$1)</f>
        <v>7</v>
      </c>
      <c r="X8" s="29">
        <f>sumifs(raw_data!$E:$E,raw_data!$A:$A,$A8,raw_data!$D:$D,"Secondary_Walkin",raw_data!$C:$C,$V$1)</f>
        <v>1</v>
      </c>
      <c r="Y8" s="29">
        <f>sumifs(raw_data!$E:$E,raw_data!$A:$A,$A8,raw_data!$G:$G,"GS Foundation",raw_data!$C:$C,$V$1)</f>
        <v>4</v>
      </c>
      <c r="Z8" s="29">
        <f>sumifs(raw_data!$E:$E,raw_data!$A:$A,$A8,raw_data!$C:$C,$V$1) - sumifs(raw_data!$E:$E,raw_data!$A:$A,$A8,raw_data!$G:$G,"GS Foundation",raw_data!$C:$C,$V$1)</f>
        <v>4</v>
      </c>
      <c r="AA8" s="76">
        <f>sumifs(raw_data!$Z:$Z,raw_data!$T:$T,$A8,raw_data!$U:$U,"Telephony",raw_data!$Y:$Y,$V$1)</f>
        <v>1</v>
      </c>
      <c r="AB8" s="76">
        <f>sumifs(raw_data!$Z:$Z,raw_data!$T:$T,$A8,raw_data!$U:$U,"Paid Ads",raw_data!$Y:$Y,$V$1)</f>
        <v>0</v>
      </c>
      <c r="AC8" s="76">
        <f>sumifs(raw_data!$N:$N,raw_data!$K:$K,$A8,raw_data!$O:$O,$V$1)</f>
        <v>0</v>
      </c>
      <c r="AD8" s="76">
        <f>sumifs(raw_data!$Z:$Z,raw_data!$T:$T,$A8,raw_data!$U:$U,"External Leads",raw_data!$Y:$Y,$V$1)</f>
        <v>0</v>
      </c>
      <c r="AE8" s="71"/>
      <c r="AF8" s="77">
        <f>sumifs(raw_data!$E:$E,raw_data!$A:$A,$A8,raw_data!$C:$C,$AF$1)</f>
        <v>3</v>
      </c>
      <c r="AG8" s="29">
        <f>sumifs(raw_data!$E:$E,raw_data!$A:$A,$A8,raw_data!$D:$D,"Primary_Walkin",raw_data!$C:$C,$AF$1)</f>
        <v>3</v>
      </c>
      <c r="AH8" s="29">
        <f>sumifs(raw_data!$E:$E,raw_data!$A:$A,$A8,raw_data!$D:$D,"Secondary_Walkin",raw_data!$C:$C,$AF$1)</f>
        <v>0</v>
      </c>
      <c r="AI8" s="29">
        <f>sumifs(raw_data!$E:$E,raw_data!$A:$A,$A8,raw_data!$G:$G,"GS Foundation",raw_data!$C:$C,$AF$1)</f>
        <v>2</v>
      </c>
      <c r="AJ8" s="29">
        <f>sumifs(raw_data!$E:$E,raw_data!$A:$A,$A8,raw_data!$C:$C,$AF$1) - sumifs(raw_data!$E:$E,raw_data!$A:$A,$A8,raw_data!$G:$G,"GS Foundation",raw_data!$C:$C,$AF$1)</f>
        <v>1</v>
      </c>
      <c r="AK8" s="76">
        <f>sumifs(raw_data!$Z:$Z,raw_data!$T:$T,$A8,raw_data!$U:$U,"Telephony",raw_data!$Y:$Y,$AF$1)</f>
        <v>0</v>
      </c>
      <c r="AL8" s="76">
        <f>sumifs(raw_data!$Z:$Z,raw_data!$T:$T,$A8,raw_data!$U:$U,"Paid Ads",raw_data!$Y:$Y,$AF$1)</f>
        <v>0</v>
      </c>
      <c r="AM8" s="76">
        <f>sumifs(raw_data!$N:$N,raw_data!$K:$K,$A8,raw_data!$O:$O,$AF$1)</f>
        <v>0</v>
      </c>
      <c r="AN8" s="76">
        <f>sumifs(raw_data!$Z:$Z,raw_data!$T:$T,$A8,raw_data!$U:$U,"External Leads",raw_data!$Y:$Y,$AF$1)</f>
        <v>0</v>
      </c>
      <c r="AO8" s="75"/>
      <c r="AP8" s="77">
        <f>sumifs(raw_data!$E:$E,raw_data!$A:$A,$A8,raw_data!$C:$C,$AP$1)</f>
        <v>7</v>
      </c>
      <c r="AQ8" s="29">
        <f>sumifs(raw_data!$E:$E,raw_data!$A:$A,$A8,raw_data!$D:$D,"Primary_Walkin",raw_data!$C:$C,$AP$1)</f>
        <v>5</v>
      </c>
      <c r="AR8" s="29">
        <f>sumifs(raw_data!$E:$E,raw_data!$A:$A,$A8,raw_data!$D:$D,"Secondary_Walkin",raw_data!$C:$C,$AP$1)</f>
        <v>2</v>
      </c>
      <c r="AS8" s="29">
        <f>sumifs(raw_data!$E:$E,raw_data!$A:$A,$A8,raw_data!$G:$G,"GS Foundation",raw_data!$C:$C,$AP$1)</f>
        <v>4</v>
      </c>
      <c r="AT8" s="29">
        <f>sumifs(raw_data!$E:$E,raw_data!$A:$A,$A8,raw_data!$C:$C,$AP$1) - sumifs(raw_data!$E:$E,raw_data!$A:$A,$A8,raw_data!$G:$G,"GS Foundation",raw_data!$C:$C,$AP$1)</f>
        <v>3</v>
      </c>
      <c r="AU8" s="76">
        <f>sumifs(raw_data!$Z:$Z,raw_data!$T:$T,$A8,raw_data!$U:$U,"Telephony",raw_data!$Y:$Y,$AP$1)</f>
        <v>1</v>
      </c>
      <c r="AV8" s="76">
        <f>sumifs(raw_data!$Z:$Z,raw_data!$T:$T,$A8,raw_data!$U:$U,"Paid Ads",raw_data!$Y:$Y,$AP$1)</f>
        <v>0</v>
      </c>
      <c r="AW8" s="76">
        <f>sumifs(raw_data!$N:$N,raw_data!$K:$K,$A8,raw_data!$O:$O,$AP$1)</f>
        <v>0</v>
      </c>
      <c r="AX8" s="76">
        <f>sumifs(raw_data!$Z:$Z,raw_data!$T:$T,$A8,raw_data!$U:$U,"External Leads",raw_data!$Y:$Y,$AP$1)</f>
        <v>0</v>
      </c>
      <c r="AY8" s="75"/>
      <c r="AZ8" s="77">
        <f>sumifs(raw_data!$E:$E,raw_data!$A:$A,$A8,raw_data!$C:$C,$AZ$1)</f>
        <v>6</v>
      </c>
      <c r="BA8" s="29">
        <f>sumifs(raw_data!$E:$E,raw_data!$A:$A,$A8,raw_data!$D:$D,"Primary_Walkin",raw_data!$C:$C,$AZ$1)</f>
        <v>5</v>
      </c>
      <c r="BB8" s="29">
        <f>sumifs(raw_data!$E:$E,raw_data!$A:$A,$A8,raw_data!$D:$D,"Secondary_Walkin",raw_data!$C:$C,$AZ$1)</f>
        <v>1</v>
      </c>
      <c r="BC8" s="29">
        <f>sumifs(raw_data!$E:$E,raw_data!$A:$A,$A8,raw_data!$G:$G,"GS Foundation",raw_data!$C:$C,$AZ$1)</f>
        <v>0</v>
      </c>
      <c r="BD8" s="29">
        <f>sumifs(raw_data!$E:$E,raw_data!$A:$A,$A8,raw_data!$C:$C,$AZ$1) - sumifs(raw_data!$E:$E,raw_data!$A:$A,$A8,raw_data!$G:$G,"GS Foundation",raw_data!$C:$C,$AZ$1)</f>
        <v>6</v>
      </c>
      <c r="BE8" s="76">
        <f>sumifs(raw_data!$Z:$Z,raw_data!$T:$T,$A8,raw_data!$U:$U,"Telephony",raw_data!$Y:$Y,$AZ$1)</f>
        <v>6</v>
      </c>
      <c r="BF8" s="76">
        <f>sumifs(raw_data!$Z:$Z,raw_data!$T:$T,$A8,raw_data!$U:$U,"Paid Ads",raw_data!$Y:$Y,$AZ$1)</f>
        <v>1</v>
      </c>
      <c r="BG8" s="76">
        <f>sumifs(raw_data!$N:$N,raw_data!$K:$K,$A8,raw_data!$O:$O,$AZ$1)</f>
        <v>0</v>
      </c>
      <c r="BH8" s="76">
        <f>sumifs(raw_data!$Z:$Z,raw_data!$T:$T,$A8,raw_data!$U:$U,"External Leads",raw_data!$Y:$Y,$AZ$1)</f>
        <v>0</v>
      </c>
      <c r="BI8" s="74"/>
    </row>
    <row r="9">
      <c r="A9" s="33">
        <v>46056.0</v>
      </c>
      <c r="B9" s="29">
        <f>sumifs(raw_data!$E:$E,raw_data!$A:$A,$A9)</f>
        <v>55</v>
      </c>
      <c r="C9" s="29">
        <f>sumifs(raw_data!$E:$E,raw_data!$A:$A,$A9,raw_data!$D:$D,"Primary_Walkin")</f>
        <v>50</v>
      </c>
      <c r="D9" s="29">
        <f>sumifs(raw_data!$E:$E,raw_data!$A:$A,$A9,raw_data!$D:$D,"Secondary_Walkin")</f>
        <v>5</v>
      </c>
      <c r="E9" s="29">
        <f>sumifs(raw_data!$E:$E,raw_data!$A:$A,$A9,raw_data!$G:$G,"GS Foundation")</f>
        <v>35</v>
      </c>
      <c r="F9" s="29">
        <f>sumifs(raw_data!$E:$E,raw_data!$A:$A,$A9) - sumifs(raw_data!$E:$E,raw_data!$A:$A,$A9,raw_data!$G:$G,"GS Foundation")</f>
        <v>20</v>
      </c>
      <c r="G9" s="76">
        <f>sumifs(raw_data!$Z:$Z,raw_data!$T:$T,$A9,raw_data!$U:$U,"Telephony")</f>
        <v>19</v>
      </c>
      <c r="H9" s="76">
        <f>sumifs(raw_data!$Z:$Z,raw_data!$T:$T,$A9,raw_data!$U:$U,"Paid Ads")</f>
        <v>0</v>
      </c>
      <c r="I9" s="76">
        <f t="shared" si="1"/>
        <v>0</v>
      </c>
      <c r="J9" s="76">
        <f>sumifs(raw_data!$Z:$Z,raw_data!$T:$T,$A9,raw_data!$U:$U,"External Leads")</f>
        <v>135</v>
      </c>
      <c r="K9" s="71"/>
      <c r="L9" s="77">
        <f>sumifs(raw_data!$E:$E,raw_data!$A:$A,$A9,raw_data!$C:$C,$L$1)</f>
        <v>27</v>
      </c>
      <c r="M9" s="29">
        <f>sumifs(raw_data!$E:$E,raw_data!$A:$A,$A9,raw_data!$D:$D,"Primary_Walkin",raw_data!$C:$C,$L$1)</f>
        <v>23</v>
      </c>
      <c r="N9" s="29">
        <f>sumifs(raw_data!$E:$E,raw_data!$A:$A,$A9,raw_data!$D:$D,"Secondary_Walkin",raw_data!$C:$C,$L$1)</f>
        <v>4</v>
      </c>
      <c r="O9" s="29">
        <f>sumifs(raw_data!$E:$E,raw_data!$A:$A,$A9,raw_data!$G:$G,"GS Foundation",raw_data!$C:$C,$L$1)</f>
        <v>24</v>
      </c>
      <c r="P9" s="29">
        <f>sumifs(raw_data!$E:$E,raw_data!$A:$A,$A9,raw_data!$C:$C,$L$1) - sumifs(raw_data!$E:$E,raw_data!$A:$A,$A9,raw_data!$G:$G,"GS Foundation",raw_data!$C:$C,$L$1)</f>
        <v>3</v>
      </c>
      <c r="Q9" s="76">
        <f>sumifs(raw_data!$Z:$Z,raw_data!$T:$T,$A9,raw_data!$U:$U,"Telephony",raw_data!$Y:$Y,$L$1)</f>
        <v>2</v>
      </c>
      <c r="R9" s="76">
        <f>sumifs(raw_data!$Z:$Z,raw_data!$T:$T,$A9,raw_data!$U:$U,"Paid Ads",raw_data!$Y:$Y,$L$1)</f>
        <v>0</v>
      </c>
      <c r="S9" s="76">
        <f>sumifs(raw_data!$N:$N,raw_data!$K:$K,$A9,raw_data!$O:$O,$L$1)</f>
        <v>0</v>
      </c>
      <c r="T9" s="76">
        <f>sumifs(raw_data!$Z:$Z,raw_data!$T:$T,$A9,raw_data!$U:$U,"External Leads",raw_data!$Y:$Y,$L$1)</f>
        <v>0</v>
      </c>
      <c r="U9" s="71"/>
      <c r="V9" s="77">
        <f>sumifs(raw_data!$E:$E,raw_data!$A:$A,$A9,raw_data!$C:$C,$V$1)</f>
        <v>11</v>
      </c>
      <c r="W9" s="29">
        <f>sumifs(raw_data!$E:$E,raw_data!$A:$A,$A9,raw_data!$D:$D,"Primary_Walkin",raw_data!$C:$C,$V$1)</f>
        <v>11</v>
      </c>
      <c r="X9" s="29">
        <f>sumifs(raw_data!$E:$E,raw_data!$A:$A,$A9,raw_data!$D:$D,"Secondary_Walkin",raw_data!$C:$C,$V$1)</f>
        <v>0</v>
      </c>
      <c r="Y9" s="29">
        <f>sumifs(raw_data!$E:$E,raw_data!$A:$A,$A9,raw_data!$G:$G,"GS Foundation",raw_data!$C:$C,$V$1)</f>
        <v>5</v>
      </c>
      <c r="Z9" s="29">
        <f>sumifs(raw_data!$E:$E,raw_data!$A:$A,$A9,raw_data!$C:$C,$V$1) - sumifs(raw_data!$E:$E,raw_data!$A:$A,$A9,raw_data!$G:$G,"GS Foundation",raw_data!$C:$C,$V$1)</f>
        <v>6</v>
      </c>
      <c r="AA9" s="76">
        <f>sumifs(raw_data!$Z:$Z,raw_data!$T:$T,$A9,raw_data!$U:$U,"Telephony",raw_data!$Y:$Y,$V$1)</f>
        <v>0</v>
      </c>
      <c r="AB9" s="76">
        <f>sumifs(raw_data!$Z:$Z,raw_data!$T:$T,$A9,raw_data!$U:$U,"Paid Ads",raw_data!$Y:$Y,$V$1)</f>
        <v>0</v>
      </c>
      <c r="AC9" s="76">
        <f>sumifs(raw_data!$N:$N,raw_data!$K:$K,$A9,raw_data!$O:$O,$V$1)</f>
        <v>0</v>
      </c>
      <c r="AD9" s="76">
        <f>sumifs(raw_data!$Z:$Z,raw_data!$T:$T,$A9,raw_data!$U:$U,"External Leads",raw_data!$Y:$Y,$V$1)</f>
        <v>0</v>
      </c>
      <c r="AE9" s="71"/>
      <c r="AF9" s="77">
        <f>sumifs(raw_data!$E:$E,raw_data!$A:$A,$A9,raw_data!$C:$C,$AF$1)</f>
        <v>1</v>
      </c>
      <c r="AG9" s="29">
        <f>sumifs(raw_data!$E:$E,raw_data!$A:$A,$A9,raw_data!$D:$D,"Primary_Walkin",raw_data!$C:$C,$AF$1)</f>
        <v>1</v>
      </c>
      <c r="AH9" s="29">
        <f>sumifs(raw_data!$E:$E,raw_data!$A:$A,$A9,raw_data!$D:$D,"Secondary_Walkin",raw_data!$C:$C,$AF$1)</f>
        <v>0</v>
      </c>
      <c r="AI9" s="29">
        <f>sumifs(raw_data!$E:$E,raw_data!$A:$A,$A9,raw_data!$G:$G,"GS Foundation",raw_data!$C:$C,$AF$1)</f>
        <v>0</v>
      </c>
      <c r="AJ9" s="29">
        <f>sumifs(raw_data!$E:$E,raw_data!$A:$A,$A9,raw_data!$C:$C,$AF$1) - sumifs(raw_data!$E:$E,raw_data!$A:$A,$A9,raw_data!$G:$G,"GS Foundation",raw_data!$C:$C,$AF$1)</f>
        <v>1</v>
      </c>
      <c r="AK9" s="76">
        <f>sumifs(raw_data!$Z:$Z,raw_data!$T:$T,$A9,raw_data!$U:$U,"Telephony",raw_data!$Y:$Y,$AF$1)</f>
        <v>0</v>
      </c>
      <c r="AL9" s="76">
        <f>sumifs(raw_data!$Z:$Z,raw_data!$T:$T,$A9,raw_data!$U:$U,"Paid Ads",raw_data!$Y:$Y,$AF$1)</f>
        <v>0</v>
      </c>
      <c r="AM9" s="76">
        <f>sumifs(raw_data!$N:$N,raw_data!$K:$K,$A9,raw_data!$O:$O,$AF$1)</f>
        <v>0</v>
      </c>
      <c r="AN9" s="76">
        <f>sumifs(raw_data!$Z:$Z,raw_data!$T:$T,$A9,raw_data!$U:$U,"External Leads",raw_data!$Y:$Y,$AF$1)</f>
        <v>134</v>
      </c>
      <c r="AO9" s="75"/>
      <c r="AP9" s="77">
        <f>sumifs(raw_data!$E:$E,raw_data!$A:$A,$A9,raw_data!$C:$C,$AP$1)</f>
        <v>9</v>
      </c>
      <c r="AQ9" s="29">
        <f>sumifs(raw_data!$E:$E,raw_data!$A:$A,$A9,raw_data!$D:$D,"Primary_Walkin",raw_data!$C:$C,$AP$1)</f>
        <v>8</v>
      </c>
      <c r="AR9" s="29">
        <f>sumifs(raw_data!$E:$E,raw_data!$A:$A,$A9,raw_data!$D:$D,"Secondary_Walkin",raw_data!$C:$C,$AP$1)</f>
        <v>1</v>
      </c>
      <c r="AS9" s="29">
        <f>sumifs(raw_data!$E:$E,raw_data!$A:$A,$A9,raw_data!$G:$G,"GS Foundation",raw_data!$C:$C,$AP$1)</f>
        <v>5</v>
      </c>
      <c r="AT9" s="29">
        <f>sumifs(raw_data!$E:$E,raw_data!$A:$A,$A9,raw_data!$C:$C,$AP$1) - sumifs(raw_data!$E:$E,raw_data!$A:$A,$A9,raw_data!$G:$G,"GS Foundation",raw_data!$C:$C,$AP$1)</f>
        <v>4</v>
      </c>
      <c r="AU9" s="76">
        <f>sumifs(raw_data!$Z:$Z,raw_data!$T:$T,$A9,raw_data!$U:$U,"Telephony",raw_data!$Y:$Y,$AP$1)</f>
        <v>0</v>
      </c>
      <c r="AV9" s="76">
        <f>sumifs(raw_data!$Z:$Z,raw_data!$T:$T,$A9,raw_data!$U:$U,"Paid Ads",raw_data!$Y:$Y,$AP$1)</f>
        <v>0</v>
      </c>
      <c r="AW9" s="76">
        <f>sumifs(raw_data!$N:$N,raw_data!$K:$K,$A9,raw_data!$O:$O,$AP$1)</f>
        <v>0</v>
      </c>
      <c r="AX9" s="76">
        <f>sumifs(raw_data!$Z:$Z,raw_data!$T:$T,$A9,raw_data!$U:$U,"External Leads",raw_data!$Y:$Y,$AP$1)</f>
        <v>0</v>
      </c>
      <c r="AY9" s="75"/>
      <c r="AZ9" s="77">
        <f>sumifs(raw_data!$E:$E,raw_data!$A:$A,$A9,raw_data!$C:$C,$AZ$1)</f>
        <v>7</v>
      </c>
      <c r="BA9" s="29">
        <f>sumifs(raw_data!$E:$E,raw_data!$A:$A,$A9,raw_data!$D:$D,"Primary_Walkin",raw_data!$C:$C,$AZ$1)</f>
        <v>7</v>
      </c>
      <c r="BB9" s="29">
        <f>sumifs(raw_data!$E:$E,raw_data!$A:$A,$A9,raw_data!$D:$D,"Secondary_Walkin",raw_data!$C:$C,$AZ$1)</f>
        <v>0</v>
      </c>
      <c r="BC9" s="29">
        <f>sumifs(raw_data!$E:$E,raw_data!$A:$A,$A9,raw_data!$G:$G,"GS Foundation",raw_data!$C:$C,$AZ$1)</f>
        <v>1</v>
      </c>
      <c r="BD9" s="29">
        <f>sumifs(raw_data!$E:$E,raw_data!$A:$A,$A9,raw_data!$C:$C,$AZ$1) - sumifs(raw_data!$E:$E,raw_data!$A:$A,$A9,raw_data!$G:$G,"GS Foundation",raw_data!$C:$C,$AZ$1)</f>
        <v>6</v>
      </c>
      <c r="BE9" s="76">
        <f>sumifs(raw_data!$Z:$Z,raw_data!$T:$T,$A9,raw_data!$U:$U,"Telephony",raw_data!$Y:$Y,$AZ$1)</f>
        <v>1</v>
      </c>
      <c r="BF9" s="76">
        <f>sumifs(raw_data!$Z:$Z,raw_data!$T:$T,$A9,raw_data!$U:$U,"Paid Ads",raw_data!$Y:$Y,$AZ$1)</f>
        <v>0</v>
      </c>
      <c r="BG9" s="76">
        <f>sumifs(raw_data!$N:$N,raw_data!$K:$K,$A9,raw_data!$O:$O,$AZ$1)</f>
        <v>0</v>
      </c>
      <c r="BH9" s="76">
        <f>sumifs(raw_data!$Z:$Z,raw_data!$T:$T,$A9,raw_data!$U:$U,"External Leads",raw_data!$Y:$Y,$AZ$1)</f>
        <v>0</v>
      </c>
      <c r="BI9" s="74"/>
    </row>
    <row r="10">
      <c r="A10" s="33">
        <v>46057.0</v>
      </c>
      <c r="B10" s="29">
        <f>sumifs(raw_data!$E:$E,raw_data!$A:$A,$A10)</f>
        <v>65</v>
      </c>
      <c r="C10" s="29">
        <f>sumifs(raw_data!$E:$E,raw_data!$A:$A,$A10,raw_data!$D:$D,"Primary_Walkin")</f>
        <v>58</v>
      </c>
      <c r="D10" s="29">
        <f>sumifs(raw_data!$E:$E,raw_data!$A:$A,$A10,raw_data!$D:$D,"Secondary_Walkin")</f>
        <v>7</v>
      </c>
      <c r="E10" s="29">
        <f>sumifs(raw_data!$E:$E,raw_data!$A:$A,$A10,raw_data!$G:$G,"GS Foundation")</f>
        <v>37</v>
      </c>
      <c r="F10" s="29">
        <f>sumifs(raw_data!$E:$E,raw_data!$A:$A,$A10) - sumifs(raw_data!$E:$E,raw_data!$A:$A,$A10,raw_data!$G:$G,"GS Foundation")</f>
        <v>28</v>
      </c>
      <c r="G10" s="76">
        <f>sumifs(raw_data!$Z:$Z,raw_data!$T:$T,$A10,raw_data!$U:$U,"Telephony")</f>
        <v>24</v>
      </c>
      <c r="H10" s="76">
        <f>sumifs(raw_data!$Z:$Z,raw_data!$T:$T,$A10,raw_data!$U:$U,"Paid Ads")</f>
        <v>117</v>
      </c>
      <c r="I10" s="76">
        <f t="shared" si="1"/>
        <v>0</v>
      </c>
      <c r="J10" s="76">
        <f>sumifs(raw_data!$Z:$Z,raw_data!$T:$T,$A10,raw_data!$U:$U,"External Leads")</f>
        <v>3</v>
      </c>
      <c r="K10" s="71"/>
      <c r="L10" s="77">
        <f>sumifs(raw_data!$E:$E,raw_data!$A:$A,$A10,raw_data!$C:$C,$L$1)</f>
        <v>16</v>
      </c>
      <c r="M10" s="29">
        <f>sumifs(raw_data!$E:$E,raw_data!$A:$A,$A10,raw_data!$D:$D,"Primary_Walkin",raw_data!$C:$C,$L$1)</f>
        <v>16</v>
      </c>
      <c r="N10" s="29">
        <f>sumifs(raw_data!$E:$E,raw_data!$A:$A,$A10,raw_data!$D:$D,"Secondary_Walkin",raw_data!$C:$C,$L$1)</f>
        <v>0</v>
      </c>
      <c r="O10" s="29">
        <f>sumifs(raw_data!$E:$E,raw_data!$A:$A,$A10,raw_data!$G:$G,"GS Foundation",raw_data!$C:$C,$L$1)</f>
        <v>13</v>
      </c>
      <c r="P10" s="29">
        <f>sumifs(raw_data!$E:$E,raw_data!$A:$A,$A10,raw_data!$C:$C,$L$1) - sumifs(raw_data!$E:$E,raw_data!$A:$A,$A10,raw_data!$G:$G,"GS Foundation",raw_data!$C:$C,$L$1)</f>
        <v>3</v>
      </c>
      <c r="Q10" s="76">
        <f>sumifs(raw_data!$Z:$Z,raw_data!$T:$T,$A10,raw_data!$U:$U,"Telephony",raw_data!$Y:$Y,$L$1)</f>
        <v>2</v>
      </c>
      <c r="R10" s="76">
        <f>sumifs(raw_data!$Z:$Z,raw_data!$T:$T,$A10,raw_data!$U:$U,"Paid Ads",raw_data!$Y:$Y,$L$1)</f>
        <v>0</v>
      </c>
      <c r="S10" s="76">
        <f>sumifs(raw_data!$N:$N,raw_data!$K:$K,$A10,raw_data!$O:$O,$L$1)</f>
        <v>0</v>
      </c>
      <c r="T10" s="76">
        <f>sumifs(raw_data!$Z:$Z,raw_data!$T:$T,$A10,raw_data!$U:$U,"External Leads",raw_data!$Y:$Y,$L$1)</f>
        <v>0</v>
      </c>
      <c r="U10" s="71"/>
      <c r="V10" s="77">
        <f>sumifs(raw_data!$E:$E,raw_data!$A:$A,$A10,raw_data!$C:$C,$V$1)</f>
        <v>18</v>
      </c>
      <c r="W10" s="29">
        <f>sumifs(raw_data!$E:$E,raw_data!$A:$A,$A10,raw_data!$D:$D,"Primary_Walkin",raw_data!$C:$C,$V$1)</f>
        <v>16</v>
      </c>
      <c r="X10" s="29">
        <f>sumifs(raw_data!$E:$E,raw_data!$A:$A,$A10,raw_data!$D:$D,"Secondary_Walkin",raw_data!$C:$C,$V$1)</f>
        <v>2</v>
      </c>
      <c r="Y10" s="29">
        <f>sumifs(raw_data!$E:$E,raw_data!$A:$A,$A10,raw_data!$G:$G,"GS Foundation",raw_data!$C:$C,$V$1)</f>
        <v>9</v>
      </c>
      <c r="Z10" s="29">
        <f>sumifs(raw_data!$E:$E,raw_data!$A:$A,$A10,raw_data!$C:$C,$V$1) - sumifs(raw_data!$E:$E,raw_data!$A:$A,$A10,raw_data!$G:$G,"GS Foundation",raw_data!$C:$C,$V$1)</f>
        <v>9</v>
      </c>
      <c r="AA10" s="76">
        <f>sumifs(raw_data!$Z:$Z,raw_data!$T:$T,$A10,raw_data!$U:$U,"Telephony",raw_data!$Y:$Y,$V$1)</f>
        <v>2</v>
      </c>
      <c r="AB10" s="76">
        <f>sumifs(raw_data!$Z:$Z,raw_data!$T:$T,$A10,raw_data!$U:$U,"Paid Ads",raw_data!$Y:$Y,$V$1)</f>
        <v>0</v>
      </c>
      <c r="AC10" s="76">
        <f>sumifs(raw_data!$N:$N,raw_data!$K:$K,$A10,raw_data!$O:$O,$V$1)</f>
        <v>0</v>
      </c>
      <c r="AD10" s="76">
        <f>sumifs(raw_data!$Z:$Z,raw_data!$T:$T,$A10,raw_data!$U:$U,"External Leads",raw_data!$Y:$Y,$V$1)</f>
        <v>0</v>
      </c>
      <c r="AE10" s="71"/>
      <c r="AF10" s="77">
        <f>sumifs(raw_data!$E:$E,raw_data!$A:$A,$A10,raw_data!$C:$C,$AF$1)</f>
        <v>2</v>
      </c>
      <c r="AG10" s="29">
        <f>sumifs(raw_data!$E:$E,raw_data!$A:$A,$A10,raw_data!$D:$D,"Primary_Walkin",raw_data!$C:$C,$AF$1)</f>
        <v>1</v>
      </c>
      <c r="AH10" s="29">
        <f>sumifs(raw_data!$E:$E,raw_data!$A:$A,$A10,raw_data!$D:$D,"Secondary_Walkin",raw_data!$C:$C,$AF$1)</f>
        <v>1</v>
      </c>
      <c r="AI10" s="29">
        <f>sumifs(raw_data!$E:$E,raw_data!$A:$A,$A10,raw_data!$G:$G,"GS Foundation",raw_data!$C:$C,$AF$1)</f>
        <v>0</v>
      </c>
      <c r="AJ10" s="29">
        <f>sumifs(raw_data!$E:$E,raw_data!$A:$A,$A10,raw_data!$C:$C,$AF$1) - sumifs(raw_data!$E:$E,raw_data!$A:$A,$A10,raw_data!$G:$G,"GS Foundation",raw_data!$C:$C,$AF$1)</f>
        <v>2</v>
      </c>
      <c r="AK10" s="76">
        <f>sumifs(raw_data!$Z:$Z,raw_data!$T:$T,$A10,raw_data!$U:$U,"Telephony",raw_data!$Y:$Y,$AF$1)</f>
        <v>0</v>
      </c>
      <c r="AL10" s="76">
        <f>sumifs(raw_data!$Z:$Z,raw_data!$T:$T,$A10,raw_data!$U:$U,"Paid Ads",raw_data!$Y:$Y,$AF$1)</f>
        <v>117</v>
      </c>
      <c r="AM10" s="76">
        <f>sumifs(raw_data!$N:$N,raw_data!$K:$K,$A10,raw_data!$O:$O,$AF$1)</f>
        <v>0</v>
      </c>
      <c r="AN10" s="76">
        <f>sumifs(raw_data!$Z:$Z,raw_data!$T:$T,$A10,raw_data!$U:$U,"External Leads",raw_data!$Y:$Y,$AF$1)</f>
        <v>0</v>
      </c>
      <c r="AO10" s="75"/>
      <c r="AP10" s="77">
        <f>sumifs(raw_data!$E:$E,raw_data!$A:$A,$A10,raw_data!$C:$C,$AP$1)</f>
        <v>17</v>
      </c>
      <c r="AQ10" s="29">
        <f>sumifs(raw_data!$E:$E,raw_data!$A:$A,$A10,raw_data!$D:$D,"Primary_Walkin",raw_data!$C:$C,$AP$1)</f>
        <v>15</v>
      </c>
      <c r="AR10" s="29">
        <f>sumifs(raw_data!$E:$E,raw_data!$A:$A,$A10,raw_data!$D:$D,"Secondary_Walkin",raw_data!$C:$C,$AP$1)</f>
        <v>2</v>
      </c>
      <c r="AS10" s="29">
        <f>sumifs(raw_data!$E:$E,raw_data!$A:$A,$A10,raw_data!$G:$G,"GS Foundation",raw_data!$C:$C,$AP$1)</f>
        <v>12</v>
      </c>
      <c r="AT10" s="29">
        <f>sumifs(raw_data!$E:$E,raw_data!$A:$A,$A10,raw_data!$C:$C,$AP$1) - sumifs(raw_data!$E:$E,raw_data!$A:$A,$A10,raw_data!$G:$G,"GS Foundation",raw_data!$C:$C,$AP$1)</f>
        <v>5</v>
      </c>
      <c r="AU10" s="76">
        <f>sumifs(raw_data!$Z:$Z,raw_data!$T:$T,$A10,raw_data!$U:$U,"Telephony",raw_data!$Y:$Y,$AP$1)</f>
        <v>0</v>
      </c>
      <c r="AV10" s="76">
        <f>sumifs(raw_data!$Z:$Z,raw_data!$T:$T,$A10,raw_data!$U:$U,"Paid Ads",raw_data!$Y:$Y,$AP$1)</f>
        <v>0</v>
      </c>
      <c r="AW10" s="76">
        <f>sumifs(raw_data!$N:$N,raw_data!$K:$K,$A10,raw_data!$O:$O,$AP$1)</f>
        <v>0</v>
      </c>
      <c r="AX10" s="76">
        <f>sumifs(raw_data!$Z:$Z,raw_data!$T:$T,$A10,raw_data!$U:$U,"External Leads",raw_data!$Y:$Y,$AP$1)</f>
        <v>0</v>
      </c>
      <c r="AY10" s="75"/>
      <c r="AZ10" s="77">
        <f>sumifs(raw_data!$E:$E,raw_data!$A:$A,$A10,raw_data!$C:$C,$AZ$1)</f>
        <v>8</v>
      </c>
      <c r="BA10" s="29">
        <f>sumifs(raw_data!$E:$E,raw_data!$A:$A,$A10,raw_data!$D:$D,"Primary_Walkin",raw_data!$C:$C,$AZ$1)</f>
        <v>7</v>
      </c>
      <c r="BB10" s="29">
        <f>sumifs(raw_data!$E:$E,raw_data!$A:$A,$A10,raw_data!$D:$D,"Secondary_Walkin",raw_data!$C:$C,$AZ$1)</f>
        <v>1</v>
      </c>
      <c r="BC10" s="29">
        <f>sumifs(raw_data!$E:$E,raw_data!$A:$A,$A10,raw_data!$G:$G,"GS Foundation",raw_data!$C:$C,$AZ$1)</f>
        <v>0</v>
      </c>
      <c r="BD10" s="29">
        <f>sumifs(raw_data!$E:$E,raw_data!$A:$A,$A10,raw_data!$C:$C,$AZ$1) - sumifs(raw_data!$E:$E,raw_data!$A:$A,$A10,raw_data!$G:$G,"GS Foundation",raw_data!$C:$C,$AZ$1)</f>
        <v>8</v>
      </c>
      <c r="BE10" s="76">
        <f>sumifs(raw_data!$Z:$Z,raw_data!$T:$T,$A10,raw_data!$U:$U,"Telephony",raw_data!$Y:$Y,$AZ$1)</f>
        <v>7</v>
      </c>
      <c r="BF10" s="76">
        <f>sumifs(raw_data!$Z:$Z,raw_data!$T:$T,$A10,raw_data!$U:$U,"Paid Ads",raw_data!$Y:$Y,$AZ$1)</f>
        <v>0</v>
      </c>
      <c r="BG10" s="76">
        <f>sumifs(raw_data!$N:$N,raw_data!$K:$K,$A10,raw_data!$O:$O,$AZ$1)</f>
        <v>0</v>
      </c>
      <c r="BH10" s="76">
        <f>sumifs(raw_data!$Z:$Z,raw_data!$T:$T,$A10,raw_data!$U:$U,"External Leads",raw_data!$Y:$Y,$AZ$1)</f>
        <v>0</v>
      </c>
      <c r="BI10" s="74"/>
    </row>
    <row r="11">
      <c r="A11" s="33">
        <v>46058.0</v>
      </c>
      <c r="B11" s="29">
        <f>sumifs(raw_data!$E:$E,raw_data!$A:$A,$A11)</f>
        <v>55</v>
      </c>
      <c r="C11" s="29">
        <f>sumifs(raw_data!$E:$E,raw_data!$A:$A,$A11,raw_data!$D:$D,"Primary_Walkin")</f>
        <v>51</v>
      </c>
      <c r="D11" s="29">
        <f>sumifs(raw_data!$E:$E,raw_data!$A:$A,$A11,raw_data!$D:$D,"Secondary_Walkin")</f>
        <v>4</v>
      </c>
      <c r="E11" s="29">
        <f>sumifs(raw_data!$E:$E,raw_data!$A:$A,$A11,raw_data!$G:$G,"GS Foundation")</f>
        <v>36</v>
      </c>
      <c r="F11" s="29">
        <f>sumifs(raw_data!$E:$E,raw_data!$A:$A,$A11) - sumifs(raw_data!$E:$E,raw_data!$A:$A,$A11,raw_data!$G:$G,"GS Foundation")</f>
        <v>19</v>
      </c>
      <c r="G11" s="76">
        <f>sumifs(raw_data!$Z:$Z,raw_data!$T:$T,$A11,raw_data!$U:$U,"Telephony")</f>
        <v>24</v>
      </c>
      <c r="H11" s="76">
        <f>sumifs(raw_data!$Z:$Z,raw_data!$T:$T,$A11,raw_data!$U:$U,"Paid Ads")</f>
        <v>0</v>
      </c>
      <c r="I11" s="76">
        <f t="shared" si="1"/>
        <v>0</v>
      </c>
      <c r="J11" s="76">
        <f>sumifs(raw_data!$Z:$Z,raw_data!$T:$T,$A11,raw_data!$U:$U,"External Leads")</f>
        <v>36</v>
      </c>
      <c r="K11" s="71"/>
      <c r="L11" s="77">
        <f>sumifs(raw_data!$E:$E,raw_data!$A:$A,$A11,raw_data!$C:$C,$L$1)</f>
        <v>22</v>
      </c>
      <c r="M11" s="29">
        <f>sumifs(raw_data!$E:$E,raw_data!$A:$A,$A11,raw_data!$D:$D,"Primary_Walkin",raw_data!$C:$C,$L$1)</f>
        <v>21</v>
      </c>
      <c r="N11" s="29">
        <f>sumifs(raw_data!$E:$E,raw_data!$A:$A,$A11,raw_data!$D:$D,"Secondary_Walkin",raw_data!$C:$C,$L$1)</f>
        <v>1</v>
      </c>
      <c r="O11" s="29">
        <f>sumifs(raw_data!$E:$E,raw_data!$A:$A,$A11,raw_data!$G:$G,"GS Foundation",raw_data!$C:$C,$L$1)</f>
        <v>20</v>
      </c>
      <c r="P11" s="29">
        <f>sumifs(raw_data!$E:$E,raw_data!$A:$A,$A11,raw_data!$C:$C,$L$1) - sumifs(raw_data!$E:$E,raw_data!$A:$A,$A11,raw_data!$G:$G,"GS Foundation",raw_data!$C:$C,$L$1)</f>
        <v>2</v>
      </c>
      <c r="Q11" s="76">
        <f>sumifs(raw_data!$Z:$Z,raw_data!$T:$T,$A11,raw_data!$U:$U,"Telephony",raw_data!$Y:$Y,$L$1)</f>
        <v>1</v>
      </c>
      <c r="R11" s="76">
        <f>sumifs(raw_data!$Z:$Z,raw_data!$T:$T,$A11,raw_data!$U:$U,"Paid Ads",raw_data!$Y:$Y,$L$1)</f>
        <v>0</v>
      </c>
      <c r="S11" s="76">
        <f>sumifs(raw_data!$N:$N,raw_data!$K:$K,$A11,raw_data!$O:$O,$L$1)</f>
        <v>0</v>
      </c>
      <c r="T11" s="76">
        <f>sumifs(raw_data!$Z:$Z,raw_data!$T:$T,$A11,raw_data!$U:$U,"External Leads",raw_data!$Y:$Y,$L$1)</f>
        <v>0</v>
      </c>
      <c r="U11" s="71"/>
      <c r="V11" s="77">
        <f>sumifs(raw_data!$E:$E,raw_data!$A:$A,$A11,raw_data!$C:$C,$V$1)</f>
        <v>12</v>
      </c>
      <c r="W11" s="29">
        <f>sumifs(raw_data!$E:$E,raw_data!$A:$A,$A11,raw_data!$D:$D,"Primary_Walkin",raw_data!$C:$C,$V$1)</f>
        <v>12</v>
      </c>
      <c r="X11" s="29">
        <f>sumifs(raw_data!$E:$E,raw_data!$A:$A,$A11,raw_data!$D:$D,"Secondary_Walkin",raw_data!$C:$C,$V$1)</f>
        <v>0</v>
      </c>
      <c r="Y11" s="29">
        <f>sumifs(raw_data!$E:$E,raw_data!$A:$A,$A11,raw_data!$G:$G,"GS Foundation",raw_data!$C:$C,$V$1)</f>
        <v>6</v>
      </c>
      <c r="Z11" s="29">
        <f>sumifs(raw_data!$E:$E,raw_data!$A:$A,$A11,raw_data!$C:$C,$V$1) - sumifs(raw_data!$E:$E,raw_data!$A:$A,$A11,raw_data!$G:$G,"GS Foundation",raw_data!$C:$C,$V$1)</f>
        <v>6</v>
      </c>
      <c r="AA11" s="76">
        <f>sumifs(raw_data!$Z:$Z,raw_data!$T:$T,$A11,raw_data!$U:$U,"Telephony",raw_data!$Y:$Y,$V$1)</f>
        <v>1</v>
      </c>
      <c r="AB11" s="76">
        <f>sumifs(raw_data!$Z:$Z,raw_data!$T:$T,$A11,raw_data!$U:$U,"Paid Ads",raw_data!$Y:$Y,$V$1)</f>
        <v>0</v>
      </c>
      <c r="AC11" s="76">
        <f>sumifs(raw_data!$N:$N,raw_data!$K:$K,$A11,raw_data!$O:$O,$V$1)</f>
        <v>0</v>
      </c>
      <c r="AD11" s="76">
        <f>sumifs(raw_data!$Z:$Z,raw_data!$T:$T,$A11,raw_data!$U:$U,"External Leads",raw_data!$Y:$Y,$V$1)</f>
        <v>0</v>
      </c>
      <c r="AE11" s="71"/>
      <c r="AF11" s="77">
        <f>sumifs(raw_data!$E:$E,raw_data!$A:$A,$A11,raw_data!$C:$C,$AF$1)</f>
        <v>2</v>
      </c>
      <c r="AG11" s="29">
        <f>sumifs(raw_data!$E:$E,raw_data!$A:$A,$A11,raw_data!$D:$D,"Primary_Walkin",raw_data!$C:$C,$AF$1)</f>
        <v>1</v>
      </c>
      <c r="AH11" s="29">
        <f>sumifs(raw_data!$E:$E,raw_data!$A:$A,$A11,raw_data!$D:$D,"Secondary_Walkin",raw_data!$C:$C,$AF$1)</f>
        <v>1</v>
      </c>
      <c r="AI11" s="29">
        <f>sumifs(raw_data!$E:$E,raw_data!$A:$A,$A11,raw_data!$G:$G,"GS Foundation",raw_data!$C:$C,$AF$1)</f>
        <v>1</v>
      </c>
      <c r="AJ11" s="29">
        <f>sumifs(raw_data!$E:$E,raw_data!$A:$A,$A11,raw_data!$C:$C,$AF$1) - sumifs(raw_data!$E:$E,raw_data!$A:$A,$A11,raw_data!$G:$G,"GS Foundation",raw_data!$C:$C,$AF$1)</f>
        <v>1</v>
      </c>
      <c r="AK11" s="76">
        <f>sumifs(raw_data!$Z:$Z,raw_data!$T:$T,$A11,raw_data!$U:$U,"Telephony",raw_data!$Y:$Y,$AF$1)</f>
        <v>1</v>
      </c>
      <c r="AL11" s="76">
        <f>sumifs(raw_data!$Z:$Z,raw_data!$T:$T,$A11,raw_data!$U:$U,"Paid Ads",raw_data!$Y:$Y,$AF$1)</f>
        <v>0</v>
      </c>
      <c r="AM11" s="76">
        <f>sumifs(raw_data!$N:$N,raw_data!$K:$K,$A11,raw_data!$O:$O,$AF$1)</f>
        <v>0</v>
      </c>
      <c r="AN11" s="76">
        <f>sumifs(raw_data!$Z:$Z,raw_data!$T:$T,$A11,raw_data!$U:$U,"External Leads",raw_data!$Y:$Y,$AF$1)</f>
        <v>0</v>
      </c>
      <c r="AO11" s="75"/>
      <c r="AP11" s="77">
        <f>sumifs(raw_data!$E:$E,raw_data!$A:$A,$A11,raw_data!$C:$C,$AP$1)</f>
        <v>10</v>
      </c>
      <c r="AQ11" s="29">
        <f>sumifs(raw_data!$E:$E,raw_data!$A:$A,$A11,raw_data!$D:$D,"Primary_Walkin",raw_data!$C:$C,$AP$1)</f>
        <v>9</v>
      </c>
      <c r="AR11" s="29">
        <f>sumifs(raw_data!$E:$E,raw_data!$A:$A,$A11,raw_data!$D:$D,"Secondary_Walkin",raw_data!$C:$C,$AP$1)</f>
        <v>1</v>
      </c>
      <c r="AS11" s="29">
        <f>sumifs(raw_data!$E:$E,raw_data!$A:$A,$A11,raw_data!$G:$G,"GS Foundation",raw_data!$C:$C,$AP$1)</f>
        <v>7</v>
      </c>
      <c r="AT11" s="29">
        <f>sumifs(raw_data!$E:$E,raw_data!$A:$A,$A11,raw_data!$C:$C,$AP$1) - sumifs(raw_data!$E:$E,raw_data!$A:$A,$A11,raw_data!$G:$G,"GS Foundation",raw_data!$C:$C,$AP$1)</f>
        <v>3</v>
      </c>
      <c r="AU11" s="76">
        <f>sumifs(raw_data!$Z:$Z,raw_data!$T:$T,$A11,raw_data!$U:$U,"Telephony",raw_data!$Y:$Y,$AP$1)</f>
        <v>0</v>
      </c>
      <c r="AV11" s="76">
        <f>sumifs(raw_data!$Z:$Z,raw_data!$T:$T,$A11,raw_data!$U:$U,"Paid Ads",raw_data!$Y:$Y,$AP$1)</f>
        <v>0</v>
      </c>
      <c r="AW11" s="76">
        <f>sumifs(raw_data!$N:$N,raw_data!$K:$K,$A11,raw_data!$O:$O,$AP$1)</f>
        <v>0</v>
      </c>
      <c r="AX11" s="76">
        <f>sumifs(raw_data!$Z:$Z,raw_data!$T:$T,$A11,raw_data!$U:$U,"External Leads",raw_data!$Y:$Y,$AP$1)</f>
        <v>0</v>
      </c>
      <c r="AY11" s="75"/>
      <c r="AZ11" s="77">
        <f>sumifs(raw_data!$E:$E,raw_data!$A:$A,$A11,raw_data!$C:$C,$AZ$1)</f>
        <v>8</v>
      </c>
      <c r="BA11" s="29">
        <f>sumifs(raw_data!$E:$E,raw_data!$A:$A,$A11,raw_data!$D:$D,"Primary_Walkin",raw_data!$C:$C,$AZ$1)</f>
        <v>7</v>
      </c>
      <c r="BB11" s="29">
        <f>sumifs(raw_data!$E:$E,raw_data!$A:$A,$A11,raw_data!$D:$D,"Secondary_Walkin",raw_data!$C:$C,$AZ$1)</f>
        <v>1</v>
      </c>
      <c r="BC11" s="29">
        <f>sumifs(raw_data!$E:$E,raw_data!$A:$A,$A11,raw_data!$G:$G,"GS Foundation",raw_data!$C:$C,$AZ$1)</f>
        <v>1</v>
      </c>
      <c r="BD11" s="29">
        <f>sumifs(raw_data!$E:$E,raw_data!$A:$A,$A11,raw_data!$C:$C,$AZ$1) - sumifs(raw_data!$E:$E,raw_data!$A:$A,$A11,raw_data!$G:$G,"GS Foundation",raw_data!$C:$C,$AZ$1)</f>
        <v>7</v>
      </c>
      <c r="BE11" s="76">
        <f>sumifs(raw_data!$Z:$Z,raw_data!$T:$T,$A11,raw_data!$U:$U,"Telephony",raw_data!$Y:$Y,$AZ$1)</f>
        <v>3</v>
      </c>
      <c r="BF11" s="76">
        <f>sumifs(raw_data!$Z:$Z,raw_data!$T:$T,$A11,raw_data!$U:$U,"Paid Ads",raw_data!$Y:$Y,$AZ$1)</f>
        <v>0</v>
      </c>
      <c r="BG11" s="76">
        <f>sumifs(raw_data!$N:$N,raw_data!$K:$K,$A11,raw_data!$O:$O,$AZ$1)</f>
        <v>0</v>
      </c>
      <c r="BH11" s="76">
        <f>sumifs(raw_data!$Z:$Z,raw_data!$T:$T,$A11,raw_data!$U:$U,"External Leads",raw_data!$Y:$Y,$AZ$1)</f>
        <v>25</v>
      </c>
      <c r="BI11" s="74"/>
    </row>
    <row r="12">
      <c r="A12" s="33">
        <v>46059.0</v>
      </c>
      <c r="B12" s="29">
        <f>sumifs(raw_data!$E:$E,raw_data!$A:$A,$A12)</f>
        <v>46</v>
      </c>
      <c r="C12" s="29">
        <f>sumifs(raw_data!$E:$E,raw_data!$A:$A,$A12,raw_data!$D:$D,"Primary_Walkin")</f>
        <v>42</v>
      </c>
      <c r="D12" s="29">
        <f>sumifs(raw_data!$E:$E,raw_data!$A:$A,$A12,raw_data!$D:$D,"Secondary_Walkin")</f>
        <v>4</v>
      </c>
      <c r="E12" s="29">
        <f>sumifs(raw_data!$E:$E,raw_data!$A:$A,$A12,raw_data!$G:$G,"GS Foundation")</f>
        <v>18</v>
      </c>
      <c r="F12" s="29">
        <f>sumifs(raw_data!$E:$E,raw_data!$A:$A,$A12) - sumifs(raw_data!$E:$E,raw_data!$A:$A,$A12,raw_data!$G:$G,"GS Foundation")</f>
        <v>28</v>
      </c>
      <c r="G12" s="76">
        <f>sumifs(raw_data!$Z:$Z,raw_data!$T:$T,$A12,raw_data!$U:$U,"Telephony")</f>
        <v>29</v>
      </c>
      <c r="H12" s="76">
        <f>sumifs(raw_data!$Z:$Z,raw_data!$T:$T,$A12,raw_data!$U:$U,"Paid Ads")</f>
        <v>58</v>
      </c>
      <c r="I12" s="76">
        <f t="shared" si="1"/>
        <v>0</v>
      </c>
      <c r="J12" s="76">
        <f>sumifs(raw_data!$Z:$Z,raw_data!$T:$T,$A12,raw_data!$U:$U,"External Leads")</f>
        <v>505</v>
      </c>
      <c r="K12" s="71"/>
      <c r="L12" s="77">
        <f>sumifs(raw_data!$E:$E,raw_data!$A:$A,$A12,raw_data!$C:$C,$L$1)</f>
        <v>13</v>
      </c>
      <c r="M12" s="29">
        <f>sumifs(raw_data!$E:$E,raw_data!$A:$A,$A12,raw_data!$D:$D,"Primary_Walkin",raw_data!$C:$C,$L$1)</f>
        <v>10</v>
      </c>
      <c r="N12" s="29">
        <f>sumifs(raw_data!$E:$E,raw_data!$A:$A,$A12,raw_data!$D:$D,"Secondary_Walkin",raw_data!$C:$C,$L$1)</f>
        <v>3</v>
      </c>
      <c r="O12" s="29">
        <f>sumifs(raw_data!$E:$E,raw_data!$A:$A,$A12,raw_data!$G:$G,"GS Foundation",raw_data!$C:$C,$L$1)</f>
        <v>11</v>
      </c>
      <c r="P12" s="29">
        <f>sumifs(raw_data!$E:$E,raw_data!$A:$A,$A12,raw_data!$C:$C,$L$1) - sumifs(raw_data!$E:$E,raw_data!$A:$A,$A12,raw_data!$G:$G,"GS Foundation",raw_data!$C:$C,$L$1)</f>
        <v>2</v>
      </c>
      <c r="Q12" s="76">
        <f>sumifs(raw_data!$Z:$Z,raw_data!$T:$T,$A12,raw_data!$U:$U,"Telephony",raw_data!$Y:$Y,$L$1)</f>
        <v>2</v>
      </c>
      <c r="R12" s="76">
        <f>sumifs(raw_data!$Z:$Z,raw_data!$T:$T,$A12,raw_data!$U:$U,"Paid Ads",raw_data!$Y:$Y,$L$1)</f>
        <v>58</v>
      </c>
      <c r="S12" s="76">
        <f>sumifs(raw_data!$N:$N,raw_data!$K:$K,$A12,raw_data!$O:$O,$L$1)</f>
        <v>0</v>
      </c>
      <c r="T12" s="76">
        <f>sumifs(raw_data!$Z:$Z,raw_data!$T:$T,$A12,raw_data!$U:$U,"External Leads",raw_data!$Y:$Y,$L$1)</f>
        <v>0</v>
      </c>
      <c r="U12" s="71"/>
      <c r="V12" s="77">
        <f>sumifs(raw_data!$E:$E,raw_data!$A:$A,$A12,raw_data!$C:$C,$V$1)</f>
        <v>19</v>
      </c>
      <c r="W12" s="29">
        <f>sumifs(raw_data!$E:$E,raw_data!$A:$A,$A12,raw_data!$D:$D,"Primary_Walkin",raw_data!$C:$C,$V$1)</f>
        <v>19</v>
      </c>
      <c r="X12" s="29">
        <f>sumifs(raw_data!$E:$E,raw_data!$A:$A,$A12,raw_data!$D:$D,"Secondary_Walkin",raw_data!$C:$C,$V$1)</f>
        <v>0</v>
      </c>
      <c r="Y12" s="29">
        <f>sumifs(raw_data!$E:$E,raw_data!$A:$A,$A12,raw_data!$G:$G,"GS Foundation",raw_data!$C:$C,$V$1)</f>
        <v>5</v>
      </c>
      <c r="Z12" s="29">
        <f>sumifs(raw_data!$E:$E,raw_data!$A:$A,$A12,raw_data!$C:$C,$V$1) - sumifs(raw_data!$E:$E,raw_data!$A:$A,$A12,raw_data!$G:$G,"GS Foundation",raw_data!$C:$C,$V$1)</f>
        <v>14</v>
      </c>
      <c r="AA12" s="76">
        <f>sumifs(raw_data!$Z:$Z,raw_data!$T:$T,$A12,raw_data!$U:$U,"Telephony",raw_data!$Y:$Y,$V$1)</f>
        <v>0</v>
      </c>
      <c r="AB12" s="76">
        <f>sumifs(raw_data!$Z:$Z,raw_data!$T:$T,$A12,raw_data!$U:$U,"Paid Ads",raw_data!$Y:$Y,$V$1)</f>
        <v>0</v>
      </c>
      <c r="AC12" s="76">
        <f>sumifs(raw_data!$N:$N,raw_data!$K:$K,$A12,raw_data!$O:$O,$V$1)</f>
        <v>0</v>
      </c>
      <c r="AD12" s="76">
        <f>sumifs(raw_data!$Z:$Z,raw_data!$T:$T,$A12,raw_data!$U:$U,"External Leads",raw_data!$Y:$Y,$V$1)</f>
        <v>0</v>
      </c>
      <c r="AE12" s="71"/>
      <c r="AF12" s="77">
        <f>sumifs(raw_data!$E:$E,raw_data!$A:$A,$A12,raw_data!$C:$C,$AF$1)</f>
        <v>2</v>
      </c>
      <c r="AG12" s="29">
        <f>sumifs(raw_data!$E:$E,raw_data!$A:$A,$A12,raw_data!$D:$D,"Primary_Walkin",raw_data!$C:$C,$AF$1)</f>
        <v>2</v>
      </c>
      <c r="AH12" s="29">
        <f>sumifs(raw_data!$E:$E,raw_data!$A:$A,$A12,raw_data!$D:$D,"Secondary_Walkin",raw_data!$C:$C,$AF$1)</f>
        <v>0</v>
      </c>
      <c r="AI12" s="29">
        <f>sumifs(raw_data!$E:$E,raw_data!$A:$A,$A12,raw_data!$G:$G,"GS Foundation",raw_data!$C:$C,$AF$1)</f>
        <v>0</v>
      </c>
      <c r="AJ12" s="29">
        <f>sumifs(raw_data!$E:$E,raw_data!$A:$A,$A12,raw_data!$C:$C,$AF$1) - sumifs(raw_data!$E:$E,raw_data!$A:$A,$A12,raw_data!$G:$G,"GS Foundation",raw_data!$C:$C,$AF$1)</f>
        <v>2</v>
      </c>
      <c r="AK12" s="76">
        <f>sumifs(raw_data!$Z:$Z,raw_data!$T:$T,$A12,raw_data!$U:$U,"Telephony",raw_data!$Y:$Y,$AF$1)</f>
        <v>0</v>
      </c>
      <c r="AL12" s="76">
        <f>sumifs(raw_data!$Z:$Z,raw_data!$T:$T,$A12,raw_data!$U:$U,"Paid Ads",raw_data!$Y:$Y,$AF$1)</f>
        <v>0</v>
      </c>
      <c r="AM12" s="76">
        <f>sumifs(raw_data!$N:$N,raw_data!$K:$K,$A12,raw_data!$O:$O,$AF$1)</f>
        <v>0</v>
      </c>
      <c r="AN12" s="76">
        <f>sumifs(raw_data!$Z:$Z,raw_data!$T:$T,$A12,raw_data!$U:$U,"External Leads",raw_data!$Y:$Y,$AF$1)</f>
        <v>502</v>
      </c>
      <c r="AO12" s="75"/>
      <c r="AP12" s="77">
        <f>sumifs(raw_data!$E:$E,raw_data!$A:$A,$A12,raw_data!$C:$C,$AP$1)</f>
        <v>7</v>
      </c>
      <c r="AQ12" s="29">
        <f>sumifs(raw_data!$E:$E,raw_data!$A:$A,$A12,raw_data!$D:$D,"Primary_Walkin",raw_data!$C:$C,$AP$1)</f>
        <v>7</v>
      </c>
      <c r="AR12" s="29">
        <f>sumifs(raw_data!$E:$E,raw_data!$A:$A,$A12,raw_data!$D:$D,"Secondary_Walkin",raw_data!$C:$C,$AP$1)</f>
        <v>0</v>
      </c>
      <c r="AS12" s="29">
        <f>sumifs(raw_data!$E:$E,raw_data!$A:$A,$A12,raw_data!$G:$G,"GS Foundation",raw_data!$C:$C,$AP$1)</f>
        <v>0</v>
      </c>
      <c r="AT12" s="29">
        <f>sumifs(raw_data!$E:$E,raw_data!$A:$A,$A12,raw_data!$C:$C,$AP$1) - sumifs(raw_data!$E:$E,raw_data!$A:$A,$A12,raw_data!$G:$G,"GS Foundation",raw_data!$C:$C,$AP$1)</f>
        <v>7</v>
      </c>
      <c r="AU12" s="76">
        <f>sumifs(raw_data!$Z:$Z,raw_data!$T:$T,$A12,raw_data!$U:$U,"Telephony",raw_data!$Y:$Y,$AP$1)</f>
        <v>1</v>
      </c>
      <c r="AV12" s="76">
        <f>sumifs(raw_data!$Z:$Z,raw_data!$T:$T,$A12,raw_data!$U:$U,"Paid Ads",raw_data!$Y:$Y,$AP$1)</f>
        <v>0</v>
      </c>
      <c r="AW12" s="76">
        <f>sumifs(raw_data!$N:$N,raw_data!$K:$K,$A12,raw_data!$O:$O,$AP$1)</f>
        <v>0</v>
      </c>
      <c r="AX12" s="76">
        <f>sumifs(raw_data!$Z:$Z,raw_data!$T:$T,$A12,raw_data!$U:$U,"External Leads",raw_data!$Y:$Y,$AP$1)</f>
        <v>0</v>
      </c>
      <c r="AY12" s="75"/>
      <c r="AZ12" s="77">
        <f>sumifs(raw_data!$E:$E,raw_data!$A:$A,$A12,raw_data!$C:$C,$AZ$1)</f>
        <v>5</v>
      </c>
      <c r="BA12" s="29">
        <f>sumifs(raw_data!$E:$E,raw_data!$A:$A,$A12,raw_data!$D:$D,"Primary_Walkin",raw_data!$C:$C,$AZ$1)</f>
        <v>4</v>
      </c>
      <c r="BB12" s="29">
        <f>sumifs(raw_data!$E:$E,raw_data!$A:$A,$A12,raw_data!$D:$D,"Secondary_Walkin",raw_data!$C:$C,$AZ$1)</f>
        <v>1</v>
      </c>
      <c r="BC12" s="29">
        <f>sumifs(raw_data!$E:$E,raw_data!$A:$A,$A12,raw_data!$G:$G,"GS Foundation",raw_data!$C:$C,$AZ$1)</f>
        <v>2</v>
      </c>
      <c r="BD12" s="29">
        <f>sumifs(raw_data!$E:$E,raw_data!$A:$A,$A12,raw_data!$C:$C,$AZ$1) - sumifs(raw_data!$E:$E,raw_data!$A:$A,$A12,raw_data!$G:$G,"GS Foundation",raw_data!$C:$C,$AZ$1)</f>
        <v>3</v>
      </c>
      <c r="BE12" s="76">
        <f>sumifs(raw_data!$Z:$Z,raw_data!$T:$T,$A12,raw_data!$U:$U,"Telephony",raw_data!$Y:$Y,$AZ$1)</f>
        <v>7</v>
      </c>
      <c r="BF12" s="76">
        <f>sumifs(raw_data!$Z:$Z,raw_data!$T:$T,$A12,raw_data!$U:$U,"Paid Ads",raw_data!$Y:$Y,$AZ$1)</f>
        <v>0</v>
      </c>
      <c r="BG12" s="76">
        <f>sumifs(raw_data!$N:$N,raw_data!$K:$K,$A12,raw_data!$O:$O,$AZ$1)</f>
        <v>0</v>
      </c>
      <c r="BH12" s="76">
        <f>sumifs(raw_data!$Z:$Z,raw_data!$T:$T,$A12,raw_data!$U:$U,"External Leads",raw_data!$Y:$Y,$AZ$1)</f>
        <v>1</v>
      </c>
      <c r="BI12" s="74"/>
    </row>
    <row r="13">
      <c r="A13" s="33">
        <v>46060.0</v>
      </c>
      <c r="B13" s="29">
        <f>sumifs(raw_data!$E:$E,raw_data!$A:$A,$A13)</f>
        <v>69</v>
      </c>
      <c r="C13" s="29">
        <f>sumifs(raw_data!$E:$E,raw_data!$A:$A,$A13,raw_data!$D:$D,"Primary_Walkin")</f>
        <v>64</v>
      </c>
      <c r="D13" s="29">
        <f>sumifs(raw_data!$E:$E,raw_data!$A:$A,$A13,raw_data!$D:$D,"Secondary_Walkin")</f>
        <v>5</v>
      </c>
      <c r="E13" s="29">
        <f>sumifs(raw_data!$E:$E,raw_data!$A:$A,$A13,raw_data!$G:$G,"GS Foundation")</f>
        <v>46</v>
      </c>
      <c r="F13" s="29">
        <f>sumifs(raw_data!$E:$E,raw_data!$A:$A,$A13) - sumifs(raw_data!$E:$E,raw_data!$A:$A,$A13,raw_data!$G:$G,"GS Foundation")</f>
        <v>23</v>
      </c>
      <c r="G13" s="76">
        <f>sumifs(raw_data!$Z:$Z,raw_data!$T:$T,$A13,raw_data!$U:$U,"Telephony")</f>
        <v>23</v>
      </c>
      <c r="H13" s="76">
        <f>sumifs(raw_data!$Z:$Z,raw_data!$T:$T,$A13,raw_data!$U:$U,"Paid Ads")</f>
        <v>0</v>
      </c>
      <c r="I13" s="76">
        <f t="shared" si="1"/>
        <v>0</v>
      </c>
      <c r="J13" s="76">
        <f>sumifs(raw_data!$Z:$Z,raw_data!$T:$T,$A13,raw_data!$U:$U,"External Leads")</f>
        <v>3</v>
      </c>
      <c r="K13" s="71"/>
      <c r="L13" s="77">
        <f>sumifs(raw_data!$E:$E,raw_data!$A:$A,$A13,raw_data!$C:$C,$L$1)</f>
        <v>31</v>
      </c>
      <c r="M13" s="29">
        <f>sumifs(raw_data!$E:$E,raw_data!$A:$A,$A13,raw_data!$D:$D,"Primary_Walkin",raw_data!$C:$C,$L$1)</f>
        <v>29</v>
      </c>
      <c r="N13" s="29">
        <f>sumifs(raw_data!$E:$E,raw_data!$A:$A,$A13,raw_data!$D:$D,"Secondary_Walkin",raw_data!$C:$C,$L$1)</f>
        <v>2</v>
      </c>
      <c r="O13" s="29">
        <f>sumifs(raw_data!$E:$E,raw_data!$A:$A,$A13,raw_data!$G:$G,"GS Foundation",raw_data!$C:$C,$L$1)</f>
        <v>29</v>
      </c>
      <c r="P13" s="29">
        <f>sumifs(raw_data!$E:$E,raw_data!$A:$A,$A13,raw_data!$C:$C,$L$1) - sumifs(raw_data!$E:$E,raw_data!$A:$A,$A13,raw_data!$G:$G,"GS Foundation",raw_data!$C:$C,$L$1)</f>
        <v>2</v>
      </c>
      <c r="Q13" s="76">
        <f>sumifs(raw_data!$Z:$Z,raw_data!$T:$T,$A13,raw_data!$U:$U,"Telephony",raw_data!$Y:$Y,$L$1)</f>
        <v>0</v>
      </c>
      <c r="R13" s="76">
        <f>sumifs(raw_data!$Z:$Z,raw_data!$T:$T,$A13,raw_data!$U:$U,"Paid Ads",raw_data!$Y:$Y,$L$1)</f>
        <v>0</v>
      </c>
      <c r="S13" s="76">
        <f>sumifs(raw_data!$N:$N,raw_data!$K:$K,$A13,raw_data!$O:$O,$L$1)</f>
        <v>0</v>
      </c>
      <c r="T13" s="76">
        <f>sumifs(raw_data!$Z:$Z,raw_data!$T:$T,$A13,raw_data!$U:$U,"External Leads",raw_data!$Y:$Y,$L$1)</f>
        <v>0</v>
      </c>
      <c r="U13" s="71"/>
      <c r="V13" s="77">
        <f>sumifs(raw_data!$E:$E,raw_data!$A:$A,$A13,raw_data!$C:$C,$V$1)</f>
        <v>13</v>
      </c>
      <c r="W13" s="29">
        <f>sumifs(raw_data!$E:$E,raw_data!$A:$A,$A13,raw_data!$D:$D,"Primary_Walkin",raw_data!$C:$C,$V$1)</f>
        <v>12</v>
      </c>
      <c r="X13" s="29">
        <f>sumifs(raw_data!$E:$E,raw_data!$A:$A,$A13,raw_data!$D:$D,"Secondary_Walkin",raw_data!$C:$C,$V$1)</f>
        <v>1</v>
      </c>
      <c r="Y13" s="29">
        <f>sumifs(raw_data!$E:$E,raw_data!$A:$A,$A13,raw_data!$G:$G,"GS Foundation",raw_data!$C:$C,$V$1)</f>
        <v>5</v>
      </c>
      <c r="Z13" s="29">
        <f>sumifs(raw_data!$E:$E,raw_data!$A:$A,$A13,raw_data!$C:$C,$V$1) - sumifs(raw_data!$E:$E,raw_data!$A:$A,$A13,raw_data!$G:$G,"GS Foundation",raw_data!$C:$C,$V$1)</f>
        <v>8</v>
      </c>
      <c r="AA13" s="76">
        <f>sumifs(raw_data!$Z:$Z,raw_data!$T:$T,$A13,raw_data!$U:$U,"Telephony",raw_data!$Y:$Y,$V$1)</f>
        <v>2</v>
      </c>
      <c r="AB13" s="76">
        <f>sumifs(raw_data!$Z:$Z,raw_data!$T:$T,$A13,raw_data!$U:$U,"Paid Ads",raw_data!$Y:$Y,$V$1)</f>
        <v>0</v>
      </c>
      <c r="AC13" s="76">
        <f>sumifs(raw_data!$N:$N,raw_data!$K:$K,$A13,raw_data!$O:$O,$V$1)</f>
        <v>0</v>
      </c>
      <c r="AD13" s="76">
        <f>sumifs(raw_data!$Z:$Z,raw_data!$T:$T,$A13,raw_data!$U:$U,"External Leads",raw_data!$Y:$Y,$V$1)</f>
        <v>0</v>
      </c>
      <c r="AE13" s="71"/>
      <c r="AF13" s="77">
        <f>sumifs(raw_data!$E:$E,raw_data!$A:$A,$A13,raw_data!$C:$C,$AF$1)</f>
        <v>7</v>
      </c>
      <c r="AG13" s="29">
        <f>sumifs(raw_data!$E:$E,raw_data!$A:$A,$A13,raw_data!$D:$D,"Primary_Walkin",raw_data!$C:$C,$AF$1)</f>
        <v>7</v>
      </c>
      <c r="AH13" s="29">
        <f>sumifs(raw_data!$E:$E,raw_data!$A:$A,$A13,raw_data!$D:$D,"Secondary_Walkin",raw_data!$C:$C,$AF$1)</f>
        <v>0</v>
      </c>
      <c r="AI13" s="29">
        <f>sumifs(raw_data!$E:$E,raw_data!$A:$A,$A13,raw_data!$G:$G,"GS Foundation",raw_data!$C:$C,$AF$1)</f>
        <v>1</v>
      </c>
      <c r="AJ13" s="29">
        <f>sumifs(raw_data!$E:$E,raw_data!$A:$A,$A13,raw_data!$C:$C,$AF$1) - sumifs(raw_data!$E:$E,raw_data!$A:$A,$A13,raw_data!$G:$G,"GS Foundation",raw_data!$C:$C,$AF$1)</f>
        <v>6</v>
      </c>
      <c r="AK13" s="76">
        <f>sumifs(raw_data!$Z:$Z,raw_data!$T:$T,$A13,raw_data!$U:$U,"Telephony",raw_data!$Y:$Y,$AF$1)</f>
        <v>0</v>
      </c>
      <c r="AL13" s="76">
        <f>sumifs(raw_data!$Z:$Z,raw_data!$T:$T,$A13,raw_data!$U:$U,"Paid Ads",raw_data!$Y:$Y,$AF$1)</f>
        <v>0</v>
      </c>
      <c r="AM13" s="76">
        <f>sumifs(raw_data!$N:$N,raw_data!$K:$K,$A13,raw_data!$O:$O,$AF$1)</f>
        <v>0</v>
      </c>
      <c r="AN13" s="76">
        <f>sumifs(raw_data!$Z:$Z,raw_data!$T:$T,$A13,raw_data!$U:$U,"External Leads",raw_data!$Y:$Y,$AF$1)</f>
        <v>0</v>
      </c>
      <c r="AO13" s="75"/>
      <c r="AP13" s="77">
        <f>sumifs(raw_data!$E:$E,raw_data!$A:$A,$A13,raw_data!$C:$C,$AP$1)</f>
        <v>7</v>
      </c>
      <c r="AQ13" s="29">
        <f>sumifs(raw_data!$E:$E,raw_data!$A:$A,$A13,raw_data!$D:$D,"Primary_Walkin",raw_data!$C:$C,$AP$1)</f>
        <v>6</v>
      </c>
      <c r="AR13" s="29">
        <f>sumifs(raw_data!$E:$E,raw_data!$A:$A,$A13,raw_data!$D:$D,"Secondary_Walkin",raw_data!$C:$C,$AP$1)</f>
        <v>1</v>
      </c>
      <c r="AS13" s="29">
        <f>sumifs(raw_data!$E:$E,raw_data!$A:$A,$A13,raw_data!$G:$G,"GS Foundation",raw_data!$C:$C,$AP$1)</f>
        <v>5</v>
      </c>
      <c r="AT13" s="29">
        <f>sumifs(raw_data!$E:$E,raw_data!$A:$A,$A13,raw_data!$C:$C,$AP$1) - sumifs(raw_data!$E:$E,raw_data!$A:$A,$A13,raw_data!$G:$G,"GS Foundation",raw_data!$C:$C,$AP$1)</f>
        <v>2</v>
      </c>
      <c r="AU13" s="76">
        <f>sumifs(raw_data!$Z:$Z,raw_data!$T:$T,$A13,raw_data!$U:$U,"Telephony",raw_data!$Y:$Y,$AP$1)</f>
        <v>0</v>
      </c>
      <c r="AV13" s="76">
        <f>sumifs(raw_data!$Z:$Z,raw_data!$T:$T,$A13,raw_data!$U:$U,"Paid Ads",raw_data!$Y:$Y,$AP$1)</f>
        <v>0</v>
      </c>
      <c r="AW13" s="76">
        <f>sumifs(raw_data!$N:$N,raw_data!$K:$K,$A13,raw_data!$O:$O,$AP$1)</f>
        <v>0</v>
      </c>
      <c r="AX13" s="76">
        <f>sumifs(raw_data!$Z:$Z,raw_data!$T:$T,$A13,raw_data!$U:$U,"External Leads",raw_data!$Y:$Y,$AP$1)</f>
        <v>0</v>
      </c>
      <c r="AY13" s="75"/>
      <c r="AZ13" s="77">
        <f>sumifs(raw_data!$E:$E,raw_data!$A:$A,$A13,raw_data!$C:$C,$AZ$1)</f>
        <v>11</v>
      </c>
      <c r="BA13" s="29">
        <f>sumifs(raw_data!$E:$E,raw_data!$A:$A,$A13,raw_data!$D:$D,"Primary_Walkin",raw_data!$C:$C,$AZ$1)</f>
        <v>10</v>
      </c>
      <c r="BB13" s="29">
        <f>sumifs(raw_data!$E:$E,raw_data!$A:$A,$A13,raw_data!$D:$D,"Secondary_Walkin",raw_data!$C:$C,$AZ$1)</f>
        <v>1</v>
      </c>
      <c r="BC13" s="29">
        <f>sumifs(raw_data!$E:$E,raw_data!$A:$A,$A13,raw_data!$G:$G,"GS Foundation",raw_data!$C:$C,$AZ$1)</f>
        <v>6</v>
      </c>
      <c r="BD13" s="29">
        <f>sumifs(raw_data!$E:$E,raw_data!$A:$A,$A13,raw_data!$C:$C,$AZ$1) - sumifs(raw_data!$E:$E,raw_data!$A:$A,$A13,raw_data!$G:$G,"GS Foundation",raw_data!$C:$C,$AZ$1)</f>
        <v>5</v>
      </c>
      <c r="BE13" s="76">
        <f>sumifs(raw_data!$Z:$Z,raw_data!$T:$T,$A13,raw_data!$U:$U,"Telephony",raw_data!$Y:$Y,$AZ$1)</f>
        <v>5</v>
      </c>
      <c r="BF13" s="76">
        <f>sumifs(raw_data!$Z:$Z,raw_data!$T:$T,$A13,raw_data!$U:$U,"Paid Ads",raw_data!$Y:$Y,$AZ$1)</f>
        <v>0</v>
      </c>
      <c r="BG13" s="76">
        <f>sumifs(raw_data!$N:$N,raw_data!$K:$K,$A13,raw_data!$O:$O,$AZ$1)</f>
        <v>0</v>
      </c>
      <c r="BH13" s="76">
        <f>sumifs(raw_data!$Z:$Z,raw_data!$T:$T,$A13,raw_data!$U:$U,"External Leads",raw_data!$Y:$Y,$AZ$1)</f>
        <v>1</v>
      </c>
      <c r="BI13" s="74"/>
    </row>
    <row r="14">
      <c r="A14" s="33">
        <v>46061.0</v>
      </c>
      <c r="B14" s="29">
        <f>sumifs(raw_data!$E:$E,raw_data!$A:$A,$A14)</f>
        <v>51</v>
      </c>
      <c r="C14" s="29">
        <f>sumifs(raw_data!$E:$E,raw_data!$A:$A,$A14,raw_data!$D:$D,"Primary_Walkin")</f>
        <v>47</v>
      </c>
      <c r="D14" s="29">
        <f>sumifs(raw_data!$E:$E,raw_data!$A:$A,$A14,raw_data!$D:$D,"Secondary_Walkin")</f>
        <v>4</v>
      </c>
      <c r="E14" s="29">
        <f>sumifs(raw_data!$E:$E,raw_data!$A:$A,$A14,raw_data!$G:$G,"GS Foundation")</f>
        <v>33</v>
      </c>
      <c r="F14" s="29">
        <f>sumifs(raw_data!$E:$E,raw_data!$A:$A,$A14) - sumifs(raw_data!$E:$E,raw_data!$A:$A,$A14,raw_data!$G:$G,"GS Foundation")</f>
        <v>18</v>
      </c>
      <c r="G14" s="76">
        <f>sumifs(raw_data!$Z:$Z,raw_data!$T:$T,$A14,raw_data!$U:$U,"Telephony")</f>
        <v>7</v>
      </c>
      <c r="H14" s="76">
        <f>sumifs(raw_data!$Z:$Z,raw_data!$T:$T,$A14,raw_data!$U:$U,"Paid Ads")</f>
        <v>3</v>
      </c>
      <c r="I14" s="76">
        <f t="shared" si="1"/>
        <v>0</v>
      </c>
      <c r="J14" s="76">
        <f>sumifs(raw_data!$Z:$Z,raw_data!$T:$T,$A14,raw_data!$U:$U,"External Leads")</f>
        <v>5</v>
      </c>
      <c r="K14" s="71"/>
      <c r="L14" s="77">
        <f>sumifs(raw_data!$E:$E,raw_data!$A:$A,$A14,raw_data!$C:$C,$L$1)</f>
        <v>24</v>
      </c>
      <c r="M14" s="29">
        <f>sumifs(raw_data!$E:$E,raw_data!$A:$A,$A14,raw_data!$D:$D,"Primary_Walkin",raw_data!$C:$C,$L$1)</f>
        <v>22</v>
      </c>
      <c r="N14" s="29">
        <f>sumifs(raw_data!$E:$E,raw_data!$A:$A,$A14,raw_data!$D:$D,"Secondary_Walkin",raw_data!$C:$C,$L$1)</f>
        <v>2</v>
      </c>
      <c r="O14" s="29">
        <f>sumifs(raw_data!$E:$E,raw_data!$A:$A,$A14,raw_data!$G:$G,"GS Foundation",raw_data!$C:$C,$L$1)</f>
        <v>21</v>
      </c>
      <c r="P14" s="29">
        <f>sumifs(raw_data!$E:$E,raw_data!$A:$A,$A14,raw_data!$C:$C,$L$1) - sumifs(raw_data!$E:$E,raw_data!$A:$A,$A14,raw_data!$G:$G,"GS Foundation",raw_data!$C:$C,$L$1)</f>
        <v>3</v>
      </c>
      <c r="Q14" s="76">
        <f>sumifs(raw_data!$Z:$Z,raw_data!$T:$T,$A14,raw_data!$U:$U,"Telephony",raw_data!$Y:$Y,$L$1)</f>
        <v>0</v>
      </c>
      <c r="R14" s="76">
        <f>sumifs(raw_data!$Z:$Z,raw_data!$T:$T,$A14,raw_data!$U:$U,"Paid Ads",raw_data!$Y:$Y,$L$1)</f>
        <v>1</v>
      </c>
      <c r="S14" s="76">
        <f>sumifs(raw_data!$N:$N,raw_data!$K:$K,$A14,raw_data!$O:$O,$L$1)</f>
        <v>0</v>
      </c>
      <c r="T14" s="76">
        <f>sumifs(raw_data!$Z:$Z,raw_data!$T:$T,$A14,raw_data!$U:$U,"External Leads",raw_data!$Y:$Y,$L$1)</f>
        <v>0</v>
      </c>
      <c r="U14" s="71"/>
      <c r="V14" s="77">
        <f>sumifs(raw_data!$E:$E,raw_data!$A:$A,$A14,raw_data!$C:$C,$V$1)</f>
        <v>11</v>
      </c>
      <c r="W14" s="29">
        <f>sumifs(raw_data!$E:$E,raw_data!$A:$A,$A14,raw_data!$D:$D,"Primary_Walkin",raw_data!$C:$C,$V$1)</f>
        <v>11</v>
      </c>
      <c r="X14" s="29">
        <f>sumifs(raw_data!$E:$E,raw_data!$A:$A,$A14,raw_data!$D:$D,"Secondary_Walkin",raw_data!$C:$C,$V$1)</f>
        <v>0</v>
      </c>
      <c r="Y14" s="29">
        <f>sumifs(raw_data!$E:$E,raw_data!$A:$A,$A14,raw_data!$G:$G,"GS Foundation",raw_data!$C:$C,$V$1)</f>
        <v>3</v>
      </c>
      <c r="Z14" s="29">
        <f>sumifs(raw_data!$E:$E,raw_data!$A:$A,$A14,raw_data!$C:$C,$V$1) - sumifs(raw_data!$E:$E,raw_data!$A:$A,$A14,raw_data!$G:$G,"GS Foundation",raw_data!$C:$C,$V$1)</f>
        <v>8</v>
      </c>
      <c r="AA14" s="76">
        <f>sumifs(raw_data!$Z:$Z,raw_data!$T:$T,$A14,raw_data!$U:$U,"Telephony",raw_data!$Y:$Y,$V$1)</f>
        <v>0</v>
      </c>
      <c r="AB14" s="76">
        <f>sumifs(raw_data!$Z:$Z,raw_data!$T:$T,$A14,raw_data!$U:$U,"Paid Ads",raw_data!$Y:$Y,$V$1)</f>
        <v>0</v>
      </c>
      <c r="AC14" s="76">
        <f>sumifs(raw_data!$N:$N,raw_data!$K:$K,$A14,raw_data!$O:$O,$V$1)</f>
        <v>0</v>
      </c>
      <c r="AD14" s="76">
        <f>sumifs(raw_data!$Z:$Z,raw_data!$T:$T,$A14,raw_data!$U:$U,"External Leads",raw_data!$Y:$Y,$V$1)</f>
        <v>0</v>
      </c>
      <c r="AE14" s="71"/>
      <c r="AF14" s="77">
        <f>sumifs(raw_data!$E:$E,raw_data!$A:$A,$A14,raw_data!$C:$C,$AF$1)</f>
        <v>3</v>
      </c>
      <c r="AG14" s="29">
        <f>sumifs(raw_data!$E:$E,raw_data!$A:$A,$A14,raw_data!$D:$D,"Primary_Walkin",raw_data!$C:$C,$AF$1)</f>
        <v>2</v>
      </c>
      <c r="AH14" s="29">
        <f>sumifs(raw_data!$E:$E,raw_data!$A:$A,$A14,raw_data!$D:$D,"Secondary_Walkin",raw_data!$C:$C,$AF$1)</f>
        <v>1</v>
      </c>
      <c r="AI14" s="29">
        <f>sumifs(raw_data!$E:$E,raw_data!$A:$A,$A14,raw_data!$G:$G,"GS Foundation",raw_data!$C:$C,$AF$1)</f>
        <v>1</v>
      </c>
      <c r="AJ14" s="29">
        <f>sumifs(raw_data!$E:$E,raw_data!$A:$A,$A14,raw_data!$C:$C,$AF$1) - sumifs(raw_data!$E:$E,raw_data!$A:$A,$A14,raw_data!$G:$G,"GS Foundation",raw_data!$C:$C,$AF$1)</f>
        <v>2</v>
      </c>
      <c r="AK14" s="76">
        <f>sumifs(raw_data!$Z:$Z,raw_data!$T:$T,$A14,raw_data!$U:$U,"Telephony",raw_data!$Y:$Y,$AF$1)</f>
        <v>0</v>
      </c>
      <c r="AL14" s="76">
        <f>sumifs(raw_data!$Z:$Z,raw_data!$T:$T,$A14,raw_data!$U:$U,"Paid Ads",raw_data!$Y:$Y,$AF$1)</f>
        <v>0</v>
      </c>
      <c r="AM14" s="76">
        <f>sumifs(raw_data!$N:$N,raw_data!$K:$K,$A14,raw_data!$O:$O,$AF$1)</f>
        <v>0</v>
      </c>
      <c r="AN14" s="76">
        <f>sumifs(raw_data!$Z:$Z,raw_data!$T:$T,$A14,raw_data!$U:$U,"External Leads",raw_data!$Y:$Y,$AF$1)</f>
        <v>0</v>
      </c>
      <c r="AO14" s="75"/>
      <c r="AP14" s="77">
        <f>sumifs(raw_data!$E:$E,raw_data!$A:$A,$A14,raw_data!$C:$C,$AP$1)</f>
        <v>8</v>
      </c>
      <c r="AQ14" s="29">
        <f>sumifs(raw_data!$E:$E,raw_data!$A:$A,$A14,raw_data!$D:$D,"Primary_Walkin",raw_data!$C:$C,$AP$1)</f>
        <v>8</v>
      </c>
      <c r="AR14" s="29">
        <f>sumifs(raw_data!$E:$E,raw_data!$A:$A,$A14,raw_data!$D:$D,"Secondary_Walkin",raw_data!$C:$C,$AP$1)</f>
        <v>0</v>
      </c>
      <c r="AS14" s="29">
        <f>sumifs(raw_data!$E:$E,raw_data!$A:$A,$A14,raw_data!$G:$G,"GS Foundation",raw_data!$C:$C,$AP$1)</f>
        <v>6</v>
      </c>
      <c r="AT14" s="29">
        <f>sumifs(raw_data!$E:$E,raw_data!$A:$A,$A14,raw_data!$C:$C,$AP$1) - sumifs(raw_data!$E:$E,raw_data!$A:$A,$A14,raw_data!$G:$G,"GS Foundation",raw_data!$C:$C,$AP$1)</f>
        <v>2</v>
      </c>
      <c r="AU14" s="76">
        <f>sumifs(raw_data!$Z:$Z,raw_data!$T:$T,$A14,raw_data!$U:$U,"Telephony",raw_data!$Y:$Y,$AP$1)</f>
        <v>0</v>
      </c>
      <c r="AV14" s="76">
        <f>sumifs(raw_data!$Z:$Z,raw_data!$T:$T,$A14,raw_data!$U:$U,"Paid Ads",raw_data!$Y:$Y,$AP$1)</f>
        <v>0</v>
      </c>
      <c r="AW14" s="76">
        <f>sumifs(raw_data!$N:$N,raw_data!$K:$K,$A14,raw_data!$O:$O,$AP$1)</f>
        <v>0</v>
      </c>
      <c r="AX14" s="76">
        <f>sumifs(raw_data!$Z:$Z,raw_data!$T:$T,$A14,raw_data!$U:$U,"External Leads",raw_data!$Y:$Y,$AP$1)</f>
        <v>0</v>
      </c>
      <c r="AY14" s="75"/>
      <c r="AZ14" s="77">
        <f>sumifs(raw_data!$E:$E,raw_data!$A:$A,$A14,raw_data!$C:$C,$AZ$1)</f>
        <v>5</v>
      </c>
      <c r="BA14" s="29">
        <f>sumifs(raw_data!$E:$E,raw_data!$A:$A,$A14,raw_data!$D:$D,"Primary_Walkin",raw_data!$C:$C,$AZ$1)</f>
        <v>4</v>
      </c>
      <c r="BB14" s="29">
        <f>sumifs(raw_data!$E:$E,raw_data!$A:$A,$A14,raw_data!$D:$D,"Secondary_Walkin",raw_data!$C:$C,$AZ$1)</f>
        <v>1</v>
      </c>
      <c r="BC14" s="29">
        <f>sumifs(raw_data!$E:$E,raw_data!$A:$A,$A14,raw_data!$G:$G,"GS Foundation",raw_data!$C:$C,$AZ$1)</f>
        <v>2</v>
      </c>
      <c r="BD14" s="29">
        <f>sumifs(raw_data!$E:$E,raw_data!$A:$A,$A14,raw_data!$C:$C,$AZ$1) - sumifs(raw_data!$E:$E,raw_data!$A:$A,$A14,raw_data!$G:$G,"GS Foundation",raw_data!$C:$C,$AZ$1)</f>
        <v>3</v>
      </c>
      <c r="BE14" s="76">
        <f>sumifs(raw_data!$Z:$Z,raw_data!$T:$T,$A14,raw_data!$U:$U,"Telephony",raw_data!$Y:$Y,$AZ$1)</f>
        <v>1</v>
      </c>
      <c r="BF14" s="76">
        <f>sumifs(raw_data!$Z:$Z,raw_data!$T:$T,$A14,raw_data!$U:$U,"Paid Ads",raw_data!$Y:$Y,$AZ$1)</f>
        <v>2</v>
      </c>
      <c r="BG14" s="76">
        <f>sumifs(raw_data!$N:$N,raw_data!$K:$K,$A14,raw_data!$O:$O,$AZ$1)</f>
        <v>0</v>
      </c>
      <c r="BH14" s="76">
        <f>sumifs(raw_data!$Z:$Z,raw_data!$T:$T,$A14,raw_data!$U:$U,"External Leads",raw_data!$Y:$Y,$AZ$1)</f>
        <v>0</v>
      </c>
      <c r="BI14" s="74"/>
    </row>
    <row r="15">
      <c r="A15" s="33">
        <v>46062.0</v>
      </c>
      <c r="B15" s="29">
        <f>sumifs(raw_data!$E:$E,raw_data!$A:$A,$A15)</f>
        <v>73</v>
      </c>
      <c r="C15" s="29">
        <f>sumifs(raw_data!$E:$E,raw_data!$A:$A,$A15,raw_data!$D:$D,"Primary_Walkin")</f>
        <v>65</v>
      </c>
      <c r="D15" s="29">
        <f>sumifs(raw_data!$E:$E,raw_data!$A:$A,$A15,raw_data!$D:$D,"Secondary_Walkin")</f>
        <v>8</v>
      </c>
      <c r="E15" s="29">
        <f>sumifs(raw_data!$E:$E,raw_data!$A:$A,$A15,raw_data!$G:$G,"GS Foundation")</f>
        <v>42</v>
      </c>
      <c r="F15" s="29">
        <f>sumifs(raw_data!$E:$E,raw_data!$A:$A,$A15) - sumifs(raw_data!$E:$E,raw_data!$A:$A,$A15,raw_data!$G:$G,"GS Foundation")</f>
        <v>31</v>
      </c>
      <c r="G15" s="76">
        <f>sumifs(raw_data!$Z:$Z,raw_data!$T:$T,$A15,raw_data!$U:$U,"Telephony")</f>
        <v>13</v>
      </c>
      <c r="H15" s="76">
        <f>sumifs(raw_data!$Z:$Z,raw_data!$T:$T,$A15,raw_data!$U:$U,"Paid Ads")</f>
        <v>0</v>
      </c>
      <c r="I15" s="76">
        <f t="shared" si="1"/>
        <v>0</v>
      </c>
      <c r="J15" s="76">
        <f>sumifs(raw_data!$Z:$Z,raw_data!$T:$T,$A15,raw_data!$U:$U,"External Leads")</f>
        <v>9</v>
      </c>
      <c r="K15" s="71"/>
      <c r="L15" s="77">
        <f>sumifs(raw_data!$E:$E,raw_data!$A:$A,$A15,raw_data!$C:$C,$L$1)</f>
        <v>15</v>
      </c>
      <c r="M15" s="29">
        <f>sumifs(raw_data!$E:$E,raw_data!$A:$A,$A15,raw_data!$D:$D,"Primary_Walkin",raw_data!$C:$C,$L$1)</f>
        <v>13</v>
      </c>
      <c r="N15" s="29">
        <f>sumifs(raw_data!$E:$E,raw_data!$A:$A,$A15,raw_data!$D:$D,"Secondary_Walkin",raw_data!$C:$C,$L$1)</f>
        <v>2</v>
      </c>
      <c r="O15" s="29">
        <f>sumifs(raw_data!$E:$E,raw_data!$A:$A,$A15,raw_data!$G:$G,"GS Foundation",raw_data!$C:$C,$L$1)</f>
        <v>15</v>
      </c>
      <c r="P15" s="29">
        <f>sumifs(raw_data!$E:$E,raw_data!$A:$A,$A15,raw_data!$C:$C,$L$1) - sumifs(raw_data!$E:$E,raw_data!$A:$A,$A15,raw_data!$G:$G,"GS Foundation",raw_data!$C:$C,$L$1)</f>
        <v>0</v>
      </c>
      <c r="Q15" s="76">
        <f>sumifs(raw_data!$Z:$Z,raw_data!$T:$T,$A15,raw_data!$U:$U,"Telephony",raw_data!$Y:$Y,$L$1)</f>
        <v>0</v>
      </c>
      <c r="R15" s="76">
        <f>sumifs(raw_data!$Z:$Z,raw_data!$T:$T,$A15,raw_data!$U:$U,"Paid Ads",raw_data!$Y:$Y,$L$1)</f>
        <v>0</v>
      </c>
      <c r="S15" s="76">
        <f>sumifs(raw_data!$N:$N,raw_data!$K:$K,$A15,raw_data!$O:$O,$L$1)</f>
        <v>0</v>
      </c>
      <c r="T15" s="76">
        <f>sumifs(raw_data!$Z:$Z,raw_data!$T:$T,$A15,raw_data!$U:$U,"External Leads",raw_data!$Y:$Y,$L$1)</f>
        <v>0</v>
      </c>
      <c r="U15" s="71"/>
      <c r="V15" s="77">
        <f>sumifs(raw_data!$E:$E,raw_data!$A:$A,$A15,raw_data!$C:$C,$V$1)</f>
        <v>18</v>
      </c>
      <c r="W15" s="29">
        <f>sumifs(raw_data!$E:$E,raw_data!$A:$A,$A15,raw_data!$D:$D,"Primary_Walkin",raw_data!$C:$C,$V$1)</f>
        <v>18</v>
      </c>
      <c r="X15" s="29">
        <f>sumifs(raw_data!$E:$E,raw_data!$A:$A,$A15,raw_data!$D:$D,"Secondary_Walkin",raw_data!$C:$C,$V$1)</f>
        <v>0</v>
      </c>
      <c r="Y15" s="29">
        <f>sumifs(raw_data!$E:$E,raw_data!$A:$A,$A15,raw_data!$G:$G,"GS Foundation",raw_data!$C:$C,$V$1)</f>
        <v>8</v>
      </c>
      <c r="Z15" s="29">
        <f>sumifs(raw_data!$E:$E,raw_data!$A:$A,$A15,raw_data!$C:$C,$V$1) - sumifs(raw_data!$E:$E,raw_data!$A:$A,$A15,raw_data!$G:$G,"GS Foundation",raw_data!$C:$C,$V$1)</f>
        <v>10</v>
      </c>
      <c r="AA15" s="76">
        <f>sumifs(raw_data!$Z:$Z,raw_data!$T:$T,$A15,raw_data!$U:$U,"Telephony",raw_data!$Y:$Y,$V$1)</f>
        <v>0</v>
      </c>
      <c r="AB15" s="76">
        <f>sumifs(raw_data!$Z:$Z,raw_data!$T:$T,$A15,raw_data!$U:$U,"Paid Ads",raw_data!$Y:$Y,$V$1)</f>
        <v>0</v>
      </c>
      <c r="AC15" s="76">
        <f>sumifs(raw_data!$N:$N,raw_data!$K:$K,$A15,raw_data!$O:$O,$V$1)</f>
        <v>0</v>
      </c>
      <c r="AD15" s="76">
        <f>sumifs(raw_data!$Z:$Z,raw_data!$T:$T,$A15,raw_data!$U:$U,"External Leads",raw_data!$Y:$Y,$V$1)</f>
        <v>0</v>
      </c>
      <c r="AE15" s="71"/>
      <c r="AF15" s="77">
        <f>sumifs(raw_data!$E:$E,raw_data!$A:$A,$A15,raw_data!$C:$C,$AF$1)</f>
        <v>10</v>
      </c>
      <c r="AG15" s="29">
        <f>sumifs(raw_data!$E:$E,raw_data!$A:$A,$A15,raw_data!$D:$D,"Primary_Walkin",raw_data!$C:$C,$AF$1)</f>
        <v>8</v>
      </c>
      <c r="AH15" s="29">
        <f>sumifs(raw_data!$E:$E,raw_data!$A:$A,$A15,raw_data!$D:$D,"Secondary_Walkin",raw_data!$C:$C,$AF$1)</f>
        <v>2</v>
      </c>
      <c r="AI15" s="29">
        <f>sumifs(raw_data!$E:$E,raw_data!$A:$A,$A15,raw_data!$G:$G,"GS Foundation",raw_data!$C:$C,$AF$1)</f>
        <v>3</v>
      </c>
      <c r="AJ15" s="29">
        <f>sumifs(raw_data!$E:$E,raw_data!$A:$A,$A15,raw_data!$C:$C,$AF$1) - sumifs(raw_data!$E:$E,raw_data!$A:$A,$A15,raw_data!$G:$G,"GS Foundation",raw_data!$C:$C,$AF$1)</f>
        <v>7</v>
      </c>
      <c r="AK15" s="76">
        <f>sumifs(raw_data!$Z:$Z,raw_data!$T:$T,$A15,raw_data!$U:$U,"Telephony",raw_data!$Y:$Y,$AF$1)</f>
        <v>0</v>
      </c>
      <c r="AL15" s="76">
        <f>sumifs(raw_data!$Z:$Z,raw_data!$T:$T,$A15,raw_data!$U:$U,"Paid Ads",raw_data!$Y:$Y,$AF$1)</f>
        <v>0</v>
      </c>
      <c r="AM15" s="76">
        <f>sumifs(raw_data!$N:$N,raw_data!$K:$K,$A15,raw_data!$O:$O,$AF$1)</f>
        <v>0</v>
      </c>
      <c r="AN15" s="76">
        <f>sumifs(raw_data!$Z:$Z,raw_data!$T:$T,$A15,raw_data!$U:$U,"External Leads",raw_data!$Y:$Y,$AF$1)</f>
        <v>0</v>
      </c>
      <c r="AO15" s="75"/>
      <c r="AP15" s="77">
        <f>sumifs(raw_data!$E:$E,raw_data!$A:$A,$A15,raw_data!$C:$C,$AP$1)</f>
        <v>20</v>
      </c>
      <c r="AQ15" s="29">
        <f>sumifs(raw_data!$E:$E,raw_data!$A:$A,$A15,raw_data!$D:$D,"Primary_Walkin",raw_data!$C:$C,$AP$1)</f>
        <v>19</v>
      </c>
      <c r="AR15" s="29">
        <f>sumifs(raw_data!$E:$E,raw_data!$A:$A,$A15,raw_data!$D:$D,"Secondary_Walkin",raw_data!$C:$C,$AP$1)</f>
        <v>1</v>
      </c>
      <c r="AS15" s="29">
        <f>sumifs(raw_data!$E:$E,raw_data!$A:$A,$A15,raw_data!$G:$G,"GS Foundation",raw_data!$C:$C,$AP$1)</f>
        <v>15</v>
      </c>
      <c r="AT15" s="29">
        <f>sumifs(raw_data!$E:$E,raw_data!$A:$A,$A15,raw_data!$C:$C,$AP$1) - sumifs(raw_data!$E:$E,raw_data!$A:$A,$A15,raw_data!$G:$G,"GS Foundation",raw_data!$C:$C,$AP$1)</f>
        <v>5</v>
      </c>
      <c r="AU15" s="76">
        <f>sumifs(raw_data!$Z:$Z,raw_data!$T:$T,$A15,raw_data!$U:$U,"Telephony",raw_data!$Y:$Y,$AP$1)</f>
        <v>0</v>
      </c>
      <c r="AV15" s="76">
        <f>sumifs(raw_data!$Z:$Z,raw_data!$T:$T,$A15,raw_data!$U:$U,"Paid Ads",raw_data!$Y:$Y,$AP$1)</f>
        <v>0</v>
      </c>
      <c r="AW15" s="76">
        <f>sumifs(raw_data!$N:$N,raw_data!$K:$K,$A15,raw_data!$O:$O,$AP$1)</f>
        <v>0</v>
      </c>
      <c r="AX15" s="76">
        <f>sumifs(raw_data!$Z:$Z,raw_data!$T:$T,$A15,raw_data!$U:$U,"External Leads",raw_data!$Y:$Y,$AP$1)</f>
        <v>0</v>
      </c>
      <c r="AY15" s="75"/>
      <c r="AZ15" s="77">
        <f>sumifs(raw_data!$E:$E,raw_data!$A:$A,$A15,raw_data!$C:$C,$AZ$1)</f>
        <v>10</v>
      </c>
      <c r="BA15" s="29">
        <f>sumifs(raw_data!$E:$E,raw_data!$A:$A,$A15,raw_data!$D:$D,"Primary_Walkin",raw_data!$C:$C,$AZ$1)</f>
        <v>7</v>
      </c>
      <c r="BB15" s="29">
        <f>sumifs(raw_data!$E:$E,raw_data!$A:$A,$A15,raw_data!$D:$D,"Secondary_Walkin",raw_data!$C:$C,$AZ$1)</f>
        <v>3</v>
      </c>
      <c r="BC15" s="29">
        <f>sumifs(raw_data!$E:$E,raw_data!$A:$A,$A15,raw_data!$G:$G,"GS Foundation",raw_data!$C:$C,$AZ$1)</f>
        <v>1</v>
      </c>
      <c r="BD15" s="29">
        <f>sumifs(raw_data!$E:$E,raw_data!$A:$A,$A15,raw_data!$C:$C,$AZ$1) - sumifs(raw_data!$E:$E,raw_data!$A:$A,$A15,raw_data!$G:$G,"GS Foundation",raw_data!$C:$C,$AZ$1)</f>
        <v>9</v>
      </c>
      <c r="BE15" s="76">
        <f>sumifs(raw_data!$Z:$Z,raw_data!$T:$T,$A15,raw_data!$U:$U,"Telephony",raw_data!$Y:$Y,$AZ$1)</f>
        <v>6</v>
      </c>
      <c r="BF15" s="76">
        <f>sumifs(raw_data!$Z:$Z,raw_data!$T:$T,$A15,raw_data!$U:$U,"Paid Ads",raw_data!$Y:$Y,$AZ$1)</f>
        <v>0</v>
      </c>
      <c r="BG15" s="76">
        <f>sumifs(raw_data!$N:$N,raw_data!$K:$K,$A15,raw_data!$O:$O,$AZ$1)</f>
        <v>0</v>
      </c>
      <c r="BH15" s="76">
        <f>sumifs(raw_data!$Z:$Z,raw_data!$T:$T,$A15,raw_data!$U:$U,"External Leads",raw_data!$Y:$Y,$AZ$1)</f>
        <v>0</v>
      </c>
      <c r="BI15" s="74"/>
    </row>
    <row r="16">
      <c r="A16" s="33">
        <v>46063.0</v>
      </c>
      <c r="B16" s="29">
        <f>sumifs(raw_data!$E:$E,raw_data!$A:$A,$A16)</f>
        <v>54</v>
      </c>
      <c r="C16" s="29">
        <f>sumifs(raw_data!$E:$E,raw_data!$A:$A,$A16,raw_data!$D:$D,"Primary_Walkin")</f>
        <v>53</v>
      </c>
      <c r="D16" s="29">
        <f>sumifs(raw_data!$E:$E,raw_data!$A:$A,$A16,raw_data!$D:$D,"Secondary_Walkin")</f>
        <v>1</v>
      </c>
      <c r="E16" s="29">
        <f>sumifs(raw_data!$E:$E,raw_data!$A:$A,$A16,raw_data!$G:$G,"GS Foundation")</f>
        <v>31</v>
      </c>
      <c r="F16" s="29">
        <f>sumifs(raw_data!$E:$E,raw_data!$A:$A,$A16) - sumifs(raw_data!$E:$E,raw_data!$A:$A,$A16,raw_data!$G:$G,"GS Foundation")</f>
        <v>23</v>
      </c>
      <c r="G16" s="76">
        <f>sumifs(raw_data!$Z:$Z,raw_data!$T:$T,$A16,raw_data!$U:$U,"Telephony")</f>
        <v>14</v>
      </c>
      <c r="H16" s="76">
        <f>sumifs(raw_data!$Z:$Z,raw_data!$T:$T,$A16,raw_data!$U:$U,"Paid Ads")</f>
        <v>2</v>
      </c>
      <c r="I16" s="76">
        <f t="shared" si="1"/>
        <v>0</v>
      </c>
      <c r="J16" s="76">
        <f>sumifs(raw_data!$Z:$Z,raw_data!$T:$T,$A16,raw_data!$U:$U,"External Leads")</f>
        <v>1</v>
      </c>
      <c r="K16" s="71"/>
      <c r="L16" s="77">
        <f>sumifs(raw_data!$E:$E,raw_data!$A:$A,$A16,raw_data!$C:$C,$L$1)</f>
        <v>19</v>
      </c>
      <c r="M16" s="29">
        <f>sumifs(raw_data!$E:$E,raw_data!$A:$A,$A16,raw_data!$D:$D,"Primary_Walkin",raw_data!$C:$C,$L$1)</f>
        <v>19</v>
      </c>
      <c r="N16" s="29">
        <f>sumifs(raw_data!$E:$E,raw_data!$A:$A,$A16,raw_data!$D:$D,"Secondary_Walkin",raw_data!$C:$C,$L$1)</f>
        <v>0</v>
      </c>
      <c r="O16" s="29">
        <f>sumifs(raw_data!$E:$E,raw_data!$A:$A,$A16,raw_data!$G:$G,"GS Foundation",raw_data!$C:$C,$L$1)</f>
        <v>14</v>
      </c>
      <c r="P16" s="29">
        <f>sumifs(raw_data!$E:$E,raw_data!$A:$A,$A16,raw_data!$C:$C,$L$1) - sumifs(raw_data!$E:$E,raw_data!$A:$A,$A16,raw_data!$G:$G,"GS Foundation",raw_data!$C:$C,$L$1)</f>
        <v>5</v>
      </c>
      <c r="Q16" s="76">
        <f>sumifs(raw_data!$Z:$Z,raw_data!$T:$T,$A16,raw_data!$U:$U,"Telephony",raw_data!$Y:$Y,$L$1)</f>
        <v>0</v>
      </c>
      <c r="R16" s="76">
        <f>sumifs(raw_data!$Z:$Z,raw_data!$T:$T,$A16,raw_data!$U:$U,"Paid Ads",raw_data!$Y:$Y,$L$1)</f>
        <v>0</v>
      </c>
      <c r="S16" s="76">
        <f>sumifs(raw_data!$N:$N,raw_data!$K:$K,$A16,raw_data!$O:$O,$L$1)</f>
        <v>0</v>
      </c>
      <c r="T16" s="76">
        <f>sumifs(raw_data!$Z:$Z,raw_data!$T:$T,$A16,raw_data!$U:$U,"External Leads",raw_data!$Y:$Y,$L$1)</f>
        <v>0</v>
      </c>
      <c r="U16" s="71"/>
      <c r="V16" s="77">
        <f>sumifs(raw_data!$E:$E,raw_data!$A:$A,$A16,raw_data!$C:$C,$V$1)</f>
        <v>11</v>
      </c>
      <c r="W16" s="29">
        <f>sumifs(raw_data!$E:$E,raw_data!$A:$A,$A16,raw_data!$D:$D,"Primary_Walkin",raw_data!$C:$C,$V$1)</f>
        <v>10</v>
      </c>
      <c r="X16" s="29">
        <f>sumifs(raw_data!$E:$E,raw_data!$A:$A,$A16,raw_data!$D:$D,"Secondary_Walkin",raw_data!$C:$C,$V$1)</f>
        <v>1</v>
      </c>
      <c r="Y16" s="29">
        <f>sumifs(raw_data!$E:$E,raw_data!$A:$A,$A16,raw_data!$G:$G,"GS Foundation",raw_data!$C:$C,$V$1)</f>
        <v>5</v>
      </c>
      <c r="Z16" s="29">
        <f>sumifs(raw_data!$E:$E,raw_data!$A:$A,$A16,raw_data!$C:$C,$V$1) - sumifs(raw_data!$E:$E,raw_data!$A:$A,$A16,raw_data!$G:$G,"GS Foundation",raw_data!$C:$C,$V$1)</f>
        <v>6</v>
      </c>
      <c r="AA16" s="76">
        <f>sumifs(raw_data!$Z:$Z,raw_data!$T:$T,$A16,raw_data!$U:$U,"Telephony",raw_data!$Y:$Y,$V$1)</f>
        <v>1</v>
      </c>
      <c r="AB16" s="76">
        <f>sumifs(raw_data!$Z:$Z,raw_data!$T:$T,$A16,raw_data!$U:$U,"Paid Ads",raw_data!$Y:$Y,$V$1)</f>
        <v>0</v>
      </c>
      <c r="AC16" s="76">
        <f>sumifs(raw_data!$N:$N,raw_data!$K:$K,$A16,raw_data!$O:$O,$V$1)</f>
        <v>0</v>
      </c>
      <c r="AD16" s="76">
        <f>sumifs(raw_data!$Z:$Z,raw_data!$T:$T,$A16,raw_data!$U:$U,"External Leads",raw_data!$Y:$Y,$V$1)</f>
        <v>0</v>
      </c>
      <c r="AE16" s="71"/>
      <c r="AF16" s="77">
        <f>sumifs(raw_data!$E:$E,raw_data!$A:$A,$A16,raw_data!$C:$C,$AF$1)</f>
        <v>5</v>
      </c>
      <c r="AG16" s="29">
        <f>sumifs(raw_data!$E:$E,raw_data!$A:$A,$A16,raw_data!$D:$D,"Primary_Walkin",raw_data!$C:$C,$AF$1)</f>
        <v>5</v>
      </c>
      <c r="AH16" s="29">
        <f>sumifs(raw_data!$E:$E,raw_data!$A:$A,$A16,raw_data!$D:$D,"Secondary_Walkin",raw_data!$C:$C,$AF$1)</f>
        <v>0</v>
      </c>
      <c r="AI16" s="29">
        <f>sumifs(raw_data!$E:$E,raw_data!$A:$A,$A16,raw_data!$G:$G,"GS Foundation",raw_data!$C:$C,$AF$1)</f>
        <v>2</v>
      </c>
      <c r="AJ16" s="29">
        <f>sumifs(raw_data!$E:$E,raw_data!$A:$A,$A16,raw_data!$C:$C,$AF$1) - sumifs(raw_data!$E:$E,raw_data!$A:$A,$A16,raw_data!$G:$G,"GS Foundation",raw_data!$C:$C,$AF$1)</f>
        <v>3</v>
      </c>
      <c r="AK16" s="76">
        <f>sumifs(raw_data!$Z:$Z,raw_data!$T:$T,$A16,raw_data!$U:$U,"Telephony",raw_data!$Y:$Y,$AF$1)</f>
        <v>0</v>
      </c>
      <c r="AL16" s="76">
        <f>sumifs(raw_data!$Z:$Z,raw_data!$T:$T,$A16,raw_data!$U:$U,"Paid Ads",raw_data!$Y:$Y,$AF$1)</f>
        <v>0</v>
      </c>
      <c r="AM16" s="76">
        <f>sumifs(raw_data!$N:$N,raw_data!$K:$K,$A16,raw_data!$O:$O,$AF$1)</f>
        <v>0</v>
      </c>
      <c r="AN16" s="76">
        <f>sumifs(raw_data!$Z:$Z,raw_data!$T:$T,$A16,raw_data!$U:$U,"External Leads",raw_data!$Y:$Y,$AF$1)</f>
        <v>0</v>
      </c>
      <c r="AO16" s="75"/>
      <c r="AP16" s="77">
        <f>sumifs(raw_data!$E:$E,raw_data!$A:$A,$A16,raw_data!$C:$C,$AP$1)</f>
        <v>12</v>
      </c>
      <c r="AQ16" s="29">
        <f>sumifs(raw_data!$E:$E,raw_data!$A:$A,$A16,raw_data!$D:$D,"Primary_Walkin",raw_data!$C:$C,$AP$1)</f>
        <v>12</v>
      </c>
      <c r="AR16" s="29">
        <f>sumifs(raw_data!$E:$E,raw_data!$A:$A,$A16,raw_data!$D:$D,"Secondary_Walkin",raw_data!$C:$C,$AP$1)</f>
        <v>0</v>
      </c>
      <c r="AS16" s="29">
        <f>sumifs(raw_data!$E:$E,raw_data!$A:$A,$A16,raw_data!$G:$G,"GS Foundation",raw_data!$C:$C,$AP$1)</f>
        <v>7</v>
      </c>
      <c r="AT16" s="29">
        <f>sumifs(raw_data!$E:$E,raw_data!$A:$A,$A16,raw_data!$C:$C,$AP$1) - sumifs(raw_data!$E:$E,raw_data!$A:$A,$A16,raw_data!$G:$G,"GS Foundation",raw_data!$C:$C,$AP$1)</f>
        <v>5</v>
      </c>
      <c r="AU16" s="76">
        <f>sumifs(raw_data!$Z:$Z,raw_data!$T:$T,$A16,raw_data!$U:$U,"Telephony",raw_data!$Y:$Y,$AP$1)</f>
        <v>1</v>
      </c>
      <c r="AV16" s="76">
        <f>sumifs(raw_data!$Z:$Z,raw_data!$T:$T,$A16,raw_data!$U:$U,"Paid Ads",raw_data!$Y:$Y,$AP$1)</f>
        <v>2</v>
      </c>
      <c r="AW16" s="76">
        <f>sumifs(raw_data!$N:$N,raw_data!$K:$K,$A16,raw_data!$O:$O,$AP$1)</f>
        <v>0</v>
      </c>
      <c r="AX16" s="76">
        <f>sumifs(raw_data!$Z:$Z,raw_data!$T:$T,$A16,raw_data!$U:$U,"External Leads",raw_data!$Y:$Y,$AP$1)</f>
        <v>0</v>
      </c>
      <c r="AY16" s="75"/>
      <c r="AZ16" s="77">
        <f>sumifs(raw_data!$E:$E,raw_data!$A:$A,$A16,raw_data!$C:$C,$AZ$1)</f>
        <v>7</v>
      </c>
      <c r="BA16" s="29">
        <f>sumifs(raw_data!$E:$E,raw_data!$A:$A,$A16,raw_data!$D:$D,"Primary_Walkin",raw_data!$C:$C,$AZ$1)</f>
        <v>7</v>
      </c>
      <c r="BB16" s="29">
        <f>sumifs(raw_data!$E:$E,raw_data!$A:$A,$A16,raw_data!$D:$D,"Secondary_Walkin",raw_data!$C:$C,$AZ$1)</f>
        <v>0</v>
      </c>
      <c r="BC16" s="29">
        <f>sumifs(raw_data!$E:$E,raw_data!$A:$A,$A16,raw_data!$G:$G,"GS Foundation",raw_data!$C:$C,$AZ$1)</f>
        <v>3</v>
      </c>
      <c r="BD16" s="29">
        <f>sumifs(raw_data!$E:$E,raw_data!$A:$A,$A16,raw_data!$C:$C,$AZ$1) - sumifs(raw_data!$E:$E,raw_data!$A:$A,$A16,raw_data!$G:$G,"GS Foundation",raw_data!$C:$C,$AZ$1)</f>
        <v>4</v>
      </c>
      <c r="BE16" s="76">
        <f>sumifs(raw_data!$Z:$Z,raw_data!$T:$T,$A16,raw_data!$U:$U,"Telephony",raw_data!$Y:$Y,$AZ$1)</f>
        <v>4</v>
      </c>
      <c r="BF16" s="76">
        <f>sumifs(raw_data!$Z:$Z,raw_data!$T:$T,$A16,raw_data!$U:$U,"Paid Ads",raw_data!$Y:$Y,$AZ$1)</f>
        <v>0</v>
      </c>
      <c r="BG16" s="76">
        <f>sumifs(raw_data!$N:$N,raw_data!$K:$K,$A16,raw_data!$O:$O,$AZ$1)</f>
        <v>0</v>
      </c>
      <c r="BH16" s="76">
        <f>sumifs(raw_data!$Z:$Z,raw_data!$T:$T,$A16,raw_data!$U:$U,"External Leads",raw_data!$Y:$Y,$AZ$1)</f>
        <v>0</v>
      </c>
      <c r="BI16" s="74"/>
    </row>
    <row r="17">
      <c r="A17" s="33">
        <v>46064.0</v>
      </c>
      <c r="B17" s="29">
        <f>sumifs(raw_data!$E:$E,raw_data!$A:$A,$A17)</f>
        <v>59</v>
      </c>
      <c r="C17" s="29">
        <f>sumifs(raw_data!$E:$E,raw_data!$A:$A,$A17,raw_data!$D:$D,"Primary_Walkin")</f>
        <v>53</v>
      </c>
      <c r="D17" s="29">
        <f>sumifs(raw_data!$E:$E,raw_data!$A:$A,$A17,raw_data!$D:$D,"Secondary_Walkin")</f>
        <v>6</v>
      </c>
      <c r="E17" s="29">
        <f>sumifs(raw_data!$E:$E,raw_data!$A:$A,$A17,raw_data!$G:$G,"GS Foundation")</f>
        <v>34</v>
      </c>
      <c r="F17" s="29">
        <f>sumifs(raw_data!$E:$E,raw_data!$A:$A,$A17) - sumifs(raw_data!$E:$E,raw_data!$A:$A,$A17,raw_data!$G:$G,"GS Foundation")</f>
        <v>25</v>
      </c>
      <c r="G17" s="76">
        <f>sumifs(raw_data!$Z:$Z,raw_data!$T:$T,$A17,raw_data!$U:$U,"Telephony")</f>
        <v>13</v>
      </c>
      <c r="H17" s="76">
        <f>sumifs(raw_data!$Z:$Z,raw_data!$T:$T,$A17,raw_data!$U:$U,"Paid Ads")</f>
        <v>1</v>
      </c>
      <c r="I17" s="76">
        <f t="shared" si="1"/>
        <v>0</v>
      </c>
      <c r="J17" s="76">
        <f>sumifs(raw_data!$Z:$Z,raw_data!$T:$T,$A17,raw_data!$U:$U,"External Leads")</f>
        <v>3</v>
      </c>
      <c r="K17" s="71"/>
      <c r="L17" s="77">
        <f>sumifs(raw_data!$E:$E,raw_data!$A:$A,$A17,raw_data!$C:$C,$L$1)</f>
        <v>15</v>
      </c>
      <c r="M17" s="29">
        <f>sumifs(raw_data!$E:$E,raw_data!$A:$A,$A17,raw_data!$D:$D,"Primary_Walkin",raw_data!$C:$C,$L$1)</f>
        <v>11</v>
      </c>
      <c r="N17" s="29">
        <f>sumifs(raw_data!$E:$E,raw_data!$A:$A,$A17,raw_data!$D:$D,"Secondary_Walkin",raw_data!$C:$C,$L$1)</f>
        <v>4</v>
      </c>
      <c r="O17" s="29">
        <f>sumifs(raw_data!$E:$E,raw_data!$A:$A,$A17,raw_data!$G:$G,"GS Foundation",raw_data!$C:$C,$L$1)</f>
        <v>14</v>
      </c>
      <c r="P17" s="29">
        <f>sumifs(raw_data!$E:$E,raw_data!$A:$A,$A17,raw_data!$C:$C,$L$1) - sumifs(raw_data!$E:$E,raw_data!$A:$A,$A17,raw_data!$G:$G,"GS Foundation",raw_data!$C:$C,$L$1)</f>
        <v>1</v>
      </c>
      <c r="Q17" s="76">
        <f>sumifs(raw_data!$Z:$Z,raw_data!$T:$T,$A17,raw_data!$U:$U,"Telephony",raw_data!$Y:$Y,$L$1)</f>
        <v>0</v>
      </c>
      <c r="R17" s="76">
        <f>sumifs(raw_data!$Z:$Z,raw_data!$T:$T,$A17,raw_data!$U:$U,"Paid Ads",raw_data!$Y:$Y,$L$1)</f>
        <v>1</v>
      </c>
      <c r="S17" s="76">
        <f>sumifs(raw_data!$N:$N,raw_data!$K:$K,$A17,raw_data!$O:$O,$L$1)</f>
        <v>0</v>
      </c>
      <c r="T17" s="76">
        <f>sumifs(raw_data!$Z:$Z,raw_data!$T:$T,$A17,raw_data!$U:$U,"External Leads",raw_data!$Y:$Y,$L$1)</f>
        <v>0</v>
      </c>
      <c r="U17" s="71"/>
      <c r="V17" s="77">
        <f>sumifs(raw_data!$E:$E,raw_data!$A:$A,$A17,raw_data!$C:$C,$V$1)</f>
        <v>18</v>
      </c>
      <c r="W17" s="29">
        <f>sumifs(raw_data!$E:$E,raw_data!$A:$A,$A17,raw_data!$D:$D,"Primary_Walkin",raw_data!$C:$C,$V$1)</f>
        <v>18</v>
      </c>
      <c r="X17" s="29">
        <f>sumifs(raw_data!$E:$E,raw_data!$A:$A,$A17,raw_data!$D:$D,"Secondary_Walkin",raw_data!$C:$C,$V$1)</f>
        <v>0</v>
      </c>
      <c r="Y17" s="29">
        <f>sumifs(raw_data!$E:$E,raw_data!$A:$A,$A17,raw_data!$G:$G,"GS Foundation",raw_data!$C:$C,$V$1)</f>
        <v>4</v>
      </c>
      <c r="Z17" s="29">
        <f>sumifs(raw_data!$E:$E,raw_data!$A:$A,$A17,raw_data!$C:$C,$V$1) - sumifs(raw_data!$E:$E,raw_data!$A:$A,$A17,raw_data!$G:$G,"GS Foundation",raw_data!$C:$C,$V$1)</f>
        <v>14</v>
      </c>
      <c r="AA17" s="76">
        <f>sumifs(raw_data!$Z:$Z,raw_data!$T:$T,$A17,raw_data!$U:$U,"Telephony",raw_data!$Y:$Y,$V$1)</f>
        <v>0</v>
      </c>
      <c r="AB17" s="76">
        <f>sumifs(raw_data!$Z:$Z,raw_data!$T:$T,$A17,raw_data!$U:$U,"Paid Ads",raw_data!$Y:$Y,$V$1)</f>
        <v>0</v>
      </c>
      <c r="AC17" s="76">
        <f>sumifs(raw_data!$N:$N,raw_data!$K:$K,$A17,raw_data!$O:$O,$V$1)</f>
        <v>0</v>
      </c>
      <c r="AD17" s="76">
        <f>sumifs(raw_data!$Z:$Z,raw_data!$T:$T,$A17,raw_data!$U:$U,"External Leads",raw_data!$Y:$Y,$V$1)</f>
        <v>0</v>
      </c>
      <c r="AE17" s="71"/>
      <c r="AF17" s="77">
        <f>sumifs(raw_data!$E:$E,raw_data!$A:$A,$A17,raw_data!$C:$C,$AF$1)</f>
        <v>2</v>
      </c>
      <c r="AG17" s="29">
        <f>sumifs(raw_data!$E:$E,raw_data!$A:$A,$A17,raw_data!$D:$D,"Primary_Walkin",raw_data!$C:$C,$AF$1)</f>
        <v>1</v>
      </c>
      <c r="AH17" s="29">
        <f>sumifs(raw_data!$E:$E,raw_data!$A:$A,$A17,raw_data!$D:$D,"Secondary_Walkin",raw_data!$C:$C,$AF$1)</f>
        <v>1</v>
      </c>
      <c r="AI17" s="29">
        <f>sumifs(raw_data!$E:$E,raw_data!$A:$A,$A17,raw_data!$G:$G,"GS Foundation",raw_data!$C:$C,$AF$1)</f>
        <v>2</v>
      </c>
      <c r="AJ17" s="29">
        <f>sumifs(raw_data!$E:$E,raw_data!$A:$A,$A17,raw_data!$C:$C,$AF$1) - sumifs(raw_data!$E:$E,raw_data!$A:$A,$A17,raw_data!$G:$G,"GS Foundation",raw_data!$C:$C,$AF$1)</f>
        <v>0</v>
      </c>
      <c r="AK17" s="76">
        <f>sumifs(raw_data!$Z:$Z,raw_data!$T:$T,$A17,raw_data!$U:$U,"Telephony",raw_data!$Y:$Y,$AF$1)</f>
        <v>1</v>
      </c>
      <c r="AL17" s="76">
        <f>sumifs(raw_data!$Z:$Z,raw_data!$T:$T,$A17,raw_data!$U:$U,"Paid Ads",raw_data!$Y:$Y,$AF$1)</f>
        <v>0</v>
      </c>
      <c r="AM17" s="76">
        <f>sumifs(raw_data!$N:$N,raw_data!$K:$K,$A17,raw_data!$O:$O,$AF$1)</f>
        <v>0</v>
      </c>
      <c r="AN17" s="76">
        <f>sumifs(raw_data!$Z:$Z,raw_data!$T:$T,$A17,raw_data!$U:$U,"External Leads",raw_data!$Y:$Y,$AF$1)</f>
        <v>0</v>
      </c>
      <c r="AO17" s="75"/>
      <c r="AP17" s="77">
        <f>sumifs(raw_data!$E:$E,raw_data!$A:$A,$A17,raw_data!$C:$C,$AP$1)</f>
        <v>10</v>
      </c>
      <c r="AQ17" s="29">
        <f>sumifs(raw_data!$E:$E,raw_data!$A:$A,$A17,raw_data!$D:$D,"Primary_Walkin",raw_data!$C:$C,$AP$1)</f>
        <v>10</v>
      </c>
      <c r="AR17" s="29">
        <f>sumifs(raw_data!$E:$E,raw_data!$A:$A,$A17,raw_data!$D:$D,"Secondary_Walkin",raw_data!$C:$C,$AP$1)</f>
        <v>0</v>
      </c>
      <c r="AS17" s="29">
        <f>sumifs(raw_data!$E:$E,raw_data!$A:$A,$A17,raw_data!$G:$G,"GS Foundation",raw_data!$C:$C,$AP$1)</f>
        <v>8</v>
      </c>
      <c r="AT17" s="29">
        <f>sumifs(raw_data!$E:$E,raw_data!$A:$A,$A17,raw_data!$C:$C,$AP$1) - sumifs(raw_data!$E:$E,raw_data!$A:$A,$A17,raw_data!$G:$G,"GS Foundation",raw_data!$C:$C,$AP$1)</f>
        <v>2</v>
      </c>
      <c r="AU17" s="76">
        <f>sumifs(raw_data!$Z:$Z,raw_data!$T:$T,$A17,raw_data!$U:$U,"Telephony",raw_data!$Y:$Y,$AP$1)</f>
        <v>1</v>
      </c>
      <c r="AV17" s="76">
        <f>sumifs(raw_data!$Z:$Z,raw_data!$T:$T,$A17,raw_data!$U:$U,"Paid Ads",raw_data!$Y:$Y,$AP$1)</f>
        <v>0</v>
      </c>
      <c r="AW17" s="76">
        <f>sumifs(raw_data!$N:$N,raw_data!$K:$K,$A17,raw_data!$O:$O,$AP$1)</f>
        <v>0</v>
      </c>
      <c r="AX17" s="76">
        <f>sumifs(raw_data!$Z:$Z,raw_data!$T:$T,$A17,raw_data!$U:$U,"External Leads",raw_data!$Y:$Y,$AP$1)</f>
        <v>0</v>
      </c>
      <c r="AY17" s="75"/>
      <c r="AZ17" s="77">
        <f>sumifs(raw_data!$E:$E,raw_data!$A:$A,$A17,raw_data!$C:$C,$AZ$1)</f>
        <v>14</v>
      </c>
      <c r="BA17" s="29">
        <f>sumifs(raw_data!$E:$E,raw_data!$A:$A,$A17,raw_data!$D:$D,"Primary_Walkin",raw_data!$C:$C,$AZ$1)</f>
        <v>13</v>
      </c>
      <c r="BB17" s="29">
        <f>sumifs(raw_data!$E:$E,raw_data!$A:$A,$A17,raw_data!$D:$D,"Secondary_Walkin",raw_data!$C:$C,$AZ$1)</f>
        <v>1</v>
      </c>
      <c r="BC17" s="29">
        <f>sumifs(raw_data!$E:$E,raw_data!$A:$A,$A17,raw_data!$G:$G,"GS Foundation",raw_data!$C:$C,$AZ$1)</f>
        <v>6</v>
      </c>
      <c r="BD17" s="29">
        <f>sumifs(raw_data!$E:$E,raw_data!$A:$A,$A17,raw_data!$C:$C,$AZ$1) - sumifs(raw_data!$E:$E,raw_data!$A:$A,$A17,raw_data!$G:$G,"GS Foundation",raw_data!$C:$C,$AZ$1)</f>
        <v>8</v>
      </c>
      <c r="BE17" s="76">
        <f>sumifs(raw_data!$Z:$Z,raw_data!$T:$T,$A17,raw_data!$U:$U,"Telephony",raw_data!$Y:$Y,$AZ$1)</f>
        <v>4</v>
      </c>
      <c r="BF17" s="76">
        <f>sumifs(raw_data!$Z:$Z,raw_data!$T:$T,$A17,raw_data!$U:$U,"Paid Ads",raw_data!$Y:$Y,$AZ$1)</f>
        <v>0</v>
      </c>
      <c r="BG17" s="76">
        <f>sumifs(raw_data!$N:$N,raw_data!$K:$K,$A17,raw_data!$O:$O,$AZ$1)</f>
        <v>0</v>
      </c>
      <c r="BH17" s="76">
        <f>sumifs(raw_data!$Z:$Z,raw_data!$T:$T,$A17,raw_data!$U:$U,"External Leads",raw_data!$Y:$Y,$AZ$1)</f>
        <v>0</v>
      </c>
      <c r="BI17" s="74"/>
    </row>
    <row r="18">
      <c r="A18" s="33">
        <v>46065.0</v>
      </c>
      <c r="B18" s="29">
        <f>sumifs(raw_data!$E:$E,raw_data!$A:$A,$A18)</f>
        <v>79</v>
      </c>
      <c r="C18" s="29">
        <f>sumifs(raw_data!$E:$E,raw_data!$A:$A,$A18,raw_data!$D:$D,"Primary_Walkin")</f>
        <v>74</v>
      </c>
      <c r="D18" s="29">
        <f>sumifs(raw_data!$E:$E,raw_data!$A:$A,$A18,raw_data!$D:$D,"Secondary_Walkin")</f>
        <v>5</v>
      </c>
      <c r="E18" s="29">
        <f>sumifs(raw_data!$E:$E,raw_data!$A:$A,$A18,raw_data!$G:$G,"GS Foundation")</f>
        <v>41</v>
      </c>
      <c r="F18" s="29">
        <f>sumifs(raw_data!$E:$E,raw_data!$A:$A,$A18) - sumifs(raw_data!$E:$E,raw_data!$A:$A,$A18,raw_data!$G:$G,"GS Foundation")</f>
        <v>38</v>
      </c>
      <c r="G18" s="76">
        <f>sumifs(raw_data!$Z:$Z,raw_data!$T:$T,$A18,raw_data!$U:$U,"Telephony")</f>
        <v>18</v>
      </c>
      <c r="H18" s="76">
        <f>sumifs(raw_data!$Z:$Z,raw_data!$T:$T,$A18,raw_data!$U:$U,"Paid Ads")</f>
        <v>0</v>
      </c>
      <c r="I18" s="76">
        <f t="shared" si="1"/>
        <v>0</v>
      </c>
      <c r="J18" s="76">
        <f>sumifs(raw_data!$Z:$Z,raw_data!$T:$T,$A18,raw_data!$U:$U,"External Leads")</f>
        <v>2</v>
      </c>
      <c r="K18" s="71"/>
      <c r="L18" s="77">
        <f>sumifs(raw_data!$E:$E,raw_data!$A:$A,$A18,raw_data!$C:$C,$L$1)</f>
        <v>30</v>
      </c>
      <c r="M18" s="29">
        <f>sumifs(raw_data!$E:$E,raw_data!$A:$A,$A18,raw_data!$D:$D,"Primary_Walkin",raw_data!$C:$C,$L$1)</f>
        <v>27</v>
      </c>
      <c r="N18" s="29">
        <f>sumifs(raw_data!$E:$E,raw_data!$A:$A,$A18,raw_data!$D:$D,"Secondary_Walkin",raw_data!$C:$C,$L$1)</f>
        <v>3</v>
      </c>
      <c r="O18" s="29">
        <f>sumifs(raw_data!$E:$E,raw_data!$A:$A,$A18,raw_data!$G:$G,"GS Foundation",raw_data!$C:$C,$L$1)</f>
        <v>24</v>
      </c>
      <c r="P18" s="29">
        <f>sumifs(raw_data!$E:$E,raw_data!$A:$A,$A18,raw_data!$C:$C,$L$1) - sumifs(raw_data!$E:$E,raw_data!$A:$A,$A18,raw_data!$G:$G,"GS Foundation",raw_data!$C:$C,$L$1)</f>
        <v>6</v>
      </c>
      <c r="Q18" s="76">
        <f>sumifs(raw_data!$Z:$Z,raw_data!$T:$T,$A18,raw_data!$U:$U,"Telephony",raw_data!$Y:$Y,$L$1)</f>
        <v>0</v>
      </c>
      <c r="R18" s="76">
        <f>sumifs(raw_data!$Z:$Z,raw_data!$T:$T,$A18,raw_data!$U:$U,"Paid Ads",raw_data!$Y:$Y,$L$1)</f>
        <v>0</v>
      </c>
      <c r="S18" s="76">
        <f>sumifs(raw_data!$N:$N,raw_data!$K:$K,$A18,raw_data!$O:$O,$L$1)</f>
        <v>0</v>
      </c>
      <c r="T18" s="76">
        <f>sumifs(raw_data!$Z:$Z,raw_data!$T:$T,$A18,raw_data!$U:$U,"External Leads",raw_data!$Y:$Y,$L$1)</f>
        <v>0</v>
      </c>
      <c r="U18" s="71"/>
      <c r="V18" s="77">
        <f>sumifs(raw_data!$E:$E,raw_data!$A:$A,$A18,raw_data!$C:$C,$V$1)</f>
        <v>27</v>
      </c>
      <c r="W18" s="29">
        <f>sumifs(raw_data!$E:$E,raw_data!$A:$A,$A18,raw_data!$D:$D,"Primary_Walkin",raw_data!$C:$C,$V$1)</f>
        <v>26</v>
      </c>
      <c r="X18" s="29">
        <f>sumifs(raw_data!$E:$E,raw_data!$A:$A,$A18,raw_data!$D:$D,"Secondary_Walkin",raw_data!$C:$C,$V$1)</f>
        <v>1</v>
      </c>
      <c r="Y18" s="29">
        <f>sumifs(raw_data!$E:$E,raw_data!$A:$A,$A18,raw_data!$G:$G,"GS Foundation",raw_data!$C:$C,$V$1)</f>
        <v>7</v>
      </c>
      <c r="Z18" s="29">
        <f>sumifs(raw_data!$E:$E,raw_data!$A:$A,$A18,raw_data!$C:$C,$V$1) - sumifs(raw_data!$E:$E,raw_data!$A:$A,$A18,raw_data!$G:$G,"GS Foundation",raw_data!$C:$C,$V$1)</f>
        <v>20</v>
      </c>
      <c r="AA18" s="76">
        <f>sumifs(raw_data!$Z:$Z,raw_data!$T:$T,$A18,raw_data!$U:$U,"Telephony",raw_data!$Y:$Y,$V$1)</f>
        <v>0</v>
      </c>
      <c r="AB18" s="76">
        <f>sumifs(raw_data!$Z:$Z,raw_data!$T:$T,$A18,raw_data!$U:$U,"Paid Ads",raw_data!$Y:$Y,$V$1)</f>
        <v>0</v>
      </c>
      <c r="AC18" s="76">
        <f>sumifs(raw_data!$N:$N,raw_data!$K:$K,$A18,raw_data!$O:$O,$V$1)</f>
        <v>0</v>
      </c>
      <c r="AD18" s="76">
        <f>sumifs(raw_data!$Z:$Z,raw_data!$T:$T,$A18,raw_data!$U:$U,"External Leads",raw_data!$Y:$Y,$V$1)</f>
        <v>0</v>
      </c>
      <c r="AE18" s="71"/>
      <c r="AF18" s="77">
        <f>sumifs(raw_data!$E:$E,raw_data!$A:$A,$A18,raw_data!$C:$C,$AF$1)</f>
        <v>4</v>
      </c>
      <c r="AG18" s="29">
        <f>sumifs(raw_data!$E:$E,raw_data!$A:$A,$A18,raw_data!$D:$D,"Primary_Walkin",raw_data!$C:$C,$AF$1)</f>
        <v>4</v>
      </c>
      <c r="AH18" s="29">
        <f>sumifs(raw_data!$E:$E,raw_data!$A:$A,$A18,raw_data!$D:$D,"Secondary_Walkin",raw_data!$C:$C,$AF$1)</f>
        <v>0</v>
      </c>
      <c r="AI18" s="29">
        <f>sumifs(raw_data!$E:$E,raw_data!$A:$A,$A18,raw_data!$G:$G,"GS Foundation",raw_data!$C:$C,$AF$1)</f>
        <v>1</v>
      </c>
      <c r="AJ18" s="29">
        <f>sumifs(raw_data!$E:$E,raw_data!$A:$A,$A18,raw_data!$C:$C,$AF$1) - sumifs(raw_data!$E:$E,raw_data!$A:$A,$A18,raw_data!$G:$G,"GS Foundation",raw_data!$C:$C,$AF$1)</f>
        <v>3</v>
      </c>
      <c r="AK18" s="76">
        <f>sumifs(raw_data!$Z:$Z,raw_data!$T:$T,$A18,raw_data!$U:$U,"Telephony",raw_data!$Y:$Y,$AF$1)</f>
        <v>1</v>
      </c>
      <c r="AL18" s="76">
        <f>sumifs(raw_data!$Z:$Z,raw_data!$T:$T,$A18,raw_data!$U:$U,"Paid Ads",raw_data!$Y:$Y,$AF$1)</f>
        <v>0</v>
      </c>
      <c r="AM18" s="76">
        <f>sumifs(raw_data!$N:$N,raw_data!$K:$K,$A18,raw_data!$O:$O,$AF$1)</f>
        <v>0</v>
      </c>
      <c r="AN18" s="76">
        <f>sumifs(raw_data!$Z:$Z,raw_data!$T:$T,$A18,raw_data!$U:$U,"External Leads",raw_data!$Y:$Y,$AF$1)</f>
        <v>0</v>
      </c>
      <c r="AO18" s="75"/>
      <c r="AP18" s="77">
        <f>sumifs(raw_data!$E:$E,raw_data!$A:$A,$A18,raw_data!$C:$C,$AP$1)</f>
        <v>11</v>
      </c>
      <c r="AQ18" s="29">
        <f>sumifs(raw_data!$E:$E,raw_data!$A:$A,$A18,raw_data!$D:$D,"Primary_Walkin",raw_data!$C:$C,$AP$1)</f>
        <v>10</v>
      </c>
      <c r="AR18" s="29">
        <f>sumifs(raw_data!$E:$E,raw_data!$A:$A,$A18,raw_data!$D:$D,"Secondary_Walkin",raw_data!$C:$C,$AP$1)</f>
        <v>1</v>
      </c>
      <c r="AS18" s="29">
        <f>sumifs(raw_data!$E:$E,raw_data!$A:$A,$A18,raw_data!$G:$G,"GS Foundation",raw_data!$C:$C,$AP$1)</f>
        <v>8</v>
      </c>
      <c r="AT18" s="29">
        <f>sumifs(raw_data!$E:$E,raw_data!$A:$A,$A18,raw_data!$C:$C,$AP$1) - sumifs(raw_data!$E:$E,raw_data!$A:$A,$A18,raw_data!$G:$G,"GS Foundation",raw_data!$C:$C,$AP$1)</f>
        <v>3</v>
      </c>
      <c r="AU18" s="76">
        <f>sumifs(raw_data!$Z:$Z,raw_data!$T:$T,$A18,raw_data!$U:$U,"Telephony",raw_data!$Y:$Y,$AP$1)</f>
        <v>0</v>
      </c>
      <c r="AV18" s="76">
        <f>sumifs(raw_data!$Z:$Z,raw_data!$T:$T,$A18,raw_data!$U:$U,"Paid Ads",raw_data!$Y:$Y,$AP$1)</f>
        <v>0</v>
      </c>
      <c r="AW18" s="76">
        <f>sumifs(raw_data!$N:$N,raw_data!$K:$K,$A18,raw_data!$O:$O,$AP$1)</f>
        <v>0</v>
      </c>
      <c r="AX18" s="76">
        <f>sumifs(raw_data!$Z:$Z,raw_data!$T:$T,$A18,raw_data!$U:$U,"External Leads",raw_data!$Y:$Y,$AP$1)</f>
        <v>0</v>
      </c>
      <c r="AY18" s="75"/>
      <c r="AZ18" s="77">
        <f>sumifs(raw_data!$E:$E,raw_data!$A:$A,$A18,raw_data!$C:$C,$AZ$1)</f>
        <v>7</v>
      </c>
      <c r="BA18" s="29">
        <f>sumifs(raw_data!$E:$E,raw_data!$A:$A,$A18,raw_data!$D:$D,"Primary_Walkin",raw_data!$C:$C,$AZ$1)</f>
        <v>7</v>
      </c>
      <c r="BB18" s="29">
        <f>sumifs(raw_data!$E:$E,raw_data!$A:$A,$A18,raw_data!$D:$D,"Secondary_Walkin",raw_data!$C:$C,$AZ$1)</f>
        <v>0</v>
      </c>
      <c r="BC18" s="29">
        <f>sumifs(raw_data!$E:$E,raw_data!$A:$A,$A18,raw_data!$G:$G,"GS Foundation",raw_data!$C:$C,$AZ$1)</f>
        <v>1</v>
      </c>
      <c r="BD18" s="29">
        <f>sumifs(raw_data!$E:$E,raw_data!$A:$A,$A18,raw_data!$C:$C,$AZ$1) - sumifs(raw_data!$E:$E,raw_data!$A:$A,$A18,raw_data!$G:$G,"GS Foundation",raw_data!$C:$C,$AZ$1)</f>
        <v>6</v>
      </c>
      <c r="BE18" s="76">
        <f>sumifs(raw_data!$Z:$Z,raw_data!$T:$T,$A18,raw_data!$U:$U,"Telephony",raw_data!$Y:$Y,$AZ$1)</f>
        <v>4</v>
      </c>
      <c r="BF18" s="76">
        <f>sumifs(raw_data!$Z:$Z,raw_data!$T:$T,$A18,raw_data!$U:$U,"Paid Ads",raw_data!$Y:$Y,$AZ$1)</f>
        <v>0</v>
      </c>
      <c r="BG18" s="76">
        <f>sumifs(raw_data!$N:$N,raw_data!$K:$K,$A18,raw_data!$O:$O,$AZ$1)</f>
        <v>0</v>
      </c>
      <c r="BH18" s="76">
        <f>sumifs(raw_data!$Z:$Z,raw_data!$T:$T,$A18,raw_data!$U:$U,"External Leads",raw_data!$Y:$Y,$AZ$1)</f>
        <v>0</v>
      </c>
      <c r="BI18" s="74"/>
    </row>
    <row r="19">
      <c r="A19" s="33">
        <v>46066.0</v>
      </c>
      <c r="B19" s="29">
        <f>sumifs(raw_data!$E:$E,raw_data!$A:$A,$A19)</f>
        <v>54</v>
      </c>
      <c r="C19" s="29">
        <f>sumifs(raw_data!$E:$E,raw_data!$A:$A,$A19,raw_data!$D:$D,"Primary_Walkin")</f>
        <v>47</v>
      </c>
      <c r="D19" s="29">
        <f>sumifs(raw_data!$E:$E,raw_data!$A:$A,$A19,raw_data!$D:$D,"Secondary_Walkin")</f>
        <v>7</v>
      </c>
      <c r="E19" s="29">
        <f>sumifs(raw_data!$E:$E,raw_data!$A:$A,$A19,raw_data!$G:$G,"GS Foundation")</f>
        <v>39</v>
      </c>
      <c r="F19" s="29">
        <f>sumifs(raw_data!$E:$E,raw_data!$A:$A,$A19) - sumifs(raw_data!$E:$E,raw_data!$A:$A,$A19,raw_data!$G:$G,"GS Foundation")</f>
        <v>15</v>
      </c>
      <c r="G19" s="76">
        <f>sumifs(raw_data!$Z:$Z,raw_data!$T:$T,$A19,raw_data!$U:$U,"Telephony")</f>
        <v>8</v>
      </c>
      <c r="H19" s="76">
        <f>sumifs(raw_data!$Z:$Z,raw_data!$T:$T,$A19,raw_data!$U:$U,"Paid Ads")</f>
        <v>1</v>
      </c>
      <c r="I19" s="76">
        <f t="shared" si="1"/>
        <v>0</v>
      </c>
      <c r="J19" s="76">
        <f>sumifs(raw_data!$Z:$Z,raw_data!$T:$T,$A19,raw_data!$U:$U,"External Leads")</f>
        <v>0</v>
      </c>
      <c r="K19" s="71"/>
      <c r="L19" s="77">
        <f>sumifs(raw_data!$E:$E,raw_data!$A:$A,$A19,raw_data!$C:$C,$L$1)</f>
        <v>16</v>
      </c>
      <c r="M19" s="29">
        <f>sumifs(raw_data!$E:$E,raw_data!$A:$A,$A19,raw_data!$D:$D,"Primary_Walkin",raw_data!$C:$C,$L$1)</f>
        <v>13</v>
      </c>
      <c r="N19" s="29">
        <f>sumifs(raw_data!$E:$E,raw_data!$A:$A,$A19,raw_data!$D:$D,"Secondary_Walkin",raw_data!$C:$C,$L$1)</f>
        <v>3</v>
      </c>
      <c r="O19" s="29">
        <f>sumifs(raw_data!$E:$E,raw_data!$A:$A,$A19,raw_data!$G:$G,"GS Foundation",raw_data!$C:$C,$L$1)</f>
        <v>16</v>
      </c>
      <c r="P19" s="29">
        <f>sumifs(raw_data!$E:$E,raw_data!$A:$A,$A19,raw_data!$C:$C,$L$1) - sumifs(raw_data!$E:$E,raw_data!$A:$A,$A19,raw_data!$G:$G,"GS Foundation",raw_data!$C:$C,$L$1)</f>
        <v>0</v>
      </c>
      <c r="Q19" s="76">
        <f>sumifs(raw_data!$Z:$Z,raw_data!$T:$T,$A19,raw_data!$U:$U,"Telephony",raw_data!$Y:$Y,$L$1)</f>
        <v>0</v>
      </c>
      <c r="R19" s="76">
        <f>sumifs(raw_data!$Z:$Z,raw_data!$T:$T,$A19,raw_data!$U:$U,"Paid Ads",raw_data!$Y:$Y,$L$1)</f>
        <v>1</v>
      </c>
      <c r="S19" s="76">
        <f>sumifs(raw_data!$N:$N,raw_data!$K:$K,$A19,raw_data!$O:$O,$L$1)</f>
        <v>0</v>
      </c>
      <c r="T19" s="76">
        <f>sumifs(raw_data!$Z:$Z,raw_data!$T:$T,$A19,raw_data!$U:$U,"External Leads",raw_data!$Y:$Y,$L$1)</f>
        <v>0</v>
      </c>
      <c r="U19" s="71"/>
      <c r="V19" s="77">
        <f>sumifs(raw_data!$E:$E,raw_data!$A:$A,$A19,raw_data!$C:$C,$V$1)</f>
        <v>16</v>
      </c>
      <c r="W19" s="29">
        <f>sumifs(raw_data!$E:$E,raw_data!$A:$A,$A19,raw_data!$D:$D,"Primary_Walkin",raw_data!$C:$C,$V$1)</f>
        <v>15</v>
      </c>
      <c r="X19" s="29">
        <f>sumifs(raw_data!$E:$E,raw_data!$A:$A,$A19,raw_data!$D:$D,"Secondary_Walkin",raw_data!$C:$C,$V$1)</f>
        <v>1</v>
      </c>
      <c r="Y19" s="29">
        <f>sumifs(raw_data!$E:$E,raw_data!$A:$A,$A19,raw_data!$G:$G,"GS Foundation",raw_data!$C:$C,$V$1)</f>
        <v>12</v>
      </c>
      <c r="Z19" s="29">
        <f>sumifs(raw_data!$E:$E,raw_data!$A:$A,$A19,raw_data!$C:$C,$V$1) - sumifs(raw_data!$E:$E,raw_data!$A:$A,$A19,raw_data!$G:$G,"GS Foundation",raw_data!$C:$C,$V$1)</f>
        <v>4</v>
      </c>
      <c r="AA19" s="76">
        <f>sumifs(raw_data!$Z:$Z,raw_data!$T:$T,$A19,raw_data!$U:$U,"Telephony",raw_data!$Y:$Y,$V$1)</f>
        <v>0</v>
      </c>
      <c r="AB19" s="76">
        <f>sumifs(raw_data!$Z:$Z,raw_data!$T:$T,$A19,raw_data!$U:$U,"Paid Ads",raw_data!$Y:$Y,$V$1)</f>
        <v>0</v>
      </c>
      <c r="AC19" s="76">
        <f>sumifs(raw_data!$N:$N,raw_data!$K:$K,$A19,raw_data!$O:$O,$V$1)</f>
        <v>0</v>
      </c>
      <c r="AD19" s="76">
        <f>sumifs(raw_data!$Z:$Z,raw_data!$T:$T,$A19,raw_data!$U:$U,"External Leads",raw_data!$Y:$Y,$V$1)</f>
        <v>0</v>
      </c>
      <c r="AE19" s="71"/>
      <c r="AF19" s="77">
        <f>sumifs(raw_data!$E:$E,raw_data!$A:$A,$A19,raw_data!$C:$C,$AF$1)</f>
        <v>3</v>
      </c>
      <c r="AG19" s="29">
        <f>sumifs(raw_data!$E:$E,raw_data!$A:$A,$A19,raw_data!$D:$D,"Primary_Walkin",raw_data!$C:$C,$AF$1)</f>
        <v>2</v>
      </c>
      <c r="AH19" s="29">
        <f>sumifs(raw_data!$E:$E,raw_data!$A:$A,$A19,raw_data!$D:$D,"Secondary_Walkin",raw_data!$C:$C,$AF$1)</f>
        <v>1</v>
      </c>
      <c r="AI19" s="29">
        <f>sumifs(raw_data!$E:$E,raw_data!$A:$A,$A19,raw_data!$G:$G,"GS Foundation",raw_data!$C:$C,$AF$1)</f>
        <v>1</v>
      </c>
      <c r="AJ19" s="29">
        <f>sumifs(raw_data!$E:$E,raw_data!$A:$A,$A19,raw_data!$C:$C,$AF$1) - sumifs(raw_data!$E:$E,raw_data!$A:$A,$A19,raw_data!$G:$G,"GS Foundation",raw_data!$C:$C,$AF$1)</f>
        <v>2</v>
      </c>
      <c r="AK19" s="76">
        <f>sumifs(raw_data!$Z:$Z,raw_data!$T:$T,$A19,raw_data!$U:$U,"Telephony",raw_data!$Y:$Y,$AF$1)</f>
        <v>0</v>
      </c>
      <c r="AL19" s="76">
        <f>sumifs(raw_data!$Z:$Z,raw_data!$T:$T,$A19,raw_data!$U:$U,"Paid Ads",raw_data!$Y:$Y,$AF$1)</f>
        <v>0</v>
      </c>
      <c r="AM19" s="76">
        <f>sumifs(raw_data!$N:$N,raw_data!$K:$K,$A19,raw_data!$O:$O,$AF$1)</f>
        <v>0</v>
      </c>
      <c r="AN19" s="76">
        <f>sumifs(raw_data!$Z:$Z,raw_data!$T:$T,$A19,raw_data!$U:$U,"External Leads",raw_data!$Y:$Y,$AF$1)</f>
        <v>0</v>
      </c>
      <c r="AO19" s="75"/>
      <c r="AP19" s="77">
        <f>sumifs(raw_data!$E:$E,raw_data!$A:$A,$A19,raw_data!$C:$C,$AP$1)</f>
        <v>9</v>
      </c>
      <c r="AQ19" s="29">
        <f>sumifs(raw_data!$E:$E,raw_data!$A:$A,$A19,raw_data!$D:$D,"Primary_Walkin",raw_data!$C:$C,$AP$1)</f>
        <v>7</v>
      </c>
      <c r="AR19" s="29">
        <f>sumifs(raw_data!$E:$E,raw_data!$A:$A,$A19,raw_data!$D:$D,"Secondary_Walkin",raw_data!$C:$C,$AP$1)</f>
        <v>2</v>
      </c>
      <c r="AS19" s="29">
        <f>sumifs(raw_data!$E:$E,raw_data!$A:$A,$A19,raw_data!$G:$G,"GS Foundation",raw_data!$C:$C,$AP$1)</f>
        <v>6</v>
      </c>
      <c r="AT19" s="29">
        <f>sumifs(raw_data!$E:$E,raw_data!$A:$A,$A19,raw_data!$C:$C,$AP$1) - sumifs(raw_data!$E:$E,raw_data!$A:$A,$A19,raw_data!$G:$G,"GS Foundation",raw_data!$C:$C,$AP$1)</f>
        <v>3</v>
      </c>
      <c r="AU19" s="76">
        <f>sumifs(raw_data!$Z:$Z,raw_data!$T:$T,$A19,raw_data!$U:$U,"Telephony",raw_data!$Y:$Y,$AP$1)</f>
        <v>0</v>
      </c>
      <c r="AV19" s="76">
        <f>sumifs(raw_data!$Z:$Z,raw_data!$T:$T,$A19,raw_data!$U:$U,"Paid Ads",raw_data!$Y:$Y,$AP$1)</f>
        <v>0</v>
      </c>
      <c r="AW19" s="76">
        <f>sumifs(raw_data!$N:$N,raw_data!$K:$K,$A19,raw_data!$O:$O,$AP$1)</f>
        <v>0</v>
      </c>
      <c r="AX19" s="76">
        <f>sumifs(raw_data!$Z:$Z,raw_data!$T:$T,$A19,raw_data!$U:$U,"External Leads",raw_data!$Y:$Y,$AP$1)</f>
        <v>0</v>
      </c>
      <c r="AY19" s="75"/>
      <c r="AZ19" s="77">
        <f>sumifs(raw_data!$E:$E,raw_data!$A:$A,$A19,raw_data!$C:$C,$AZ$1)</f>
        <v>7</v>
      </c>
      <c r="BA19" s="29">
        <f>sumifs(raw_data!$E:$E,raw_data!$A:$A,$A19,raw_data!$D:$D,"Primary_Walkin",raw_data!$C:$C,$AZ$1)</f>
        <v>7</v>
      </c>
      <c r="BB19" s="29">
        <f>sumifs(raw_data!$E:$E,raw_data!$A:$A,$A19,raw_data!$D:$D,"Secondary_Walkin",raw_data!$C:$C,$AZ$1)</f>
        <v>0</v>
      </c>
      <c r="BC19" s="29">
        <f>sumifs(raw_data!$E:$E,raw_data!$A:$A,$A19,raw_data!$G:$G,"GS Foundation",raw_data!$C:$C,$AZ$1)</f>
        <v>3</v>
      </c>
      <c r="BD19" s="29">
        <f>sumifs(raw_data!$E:$E,raw_data!$A:$A,$A19,raw_data!$C:$C,$AZ$1) - sumifs(raw_data!$E:$E,raw_data!$A:$A,$A19,raw_data!$G:$G,"GS Foundation",raw_data!$C:$C,$AZ$1)</f>
        <v>4</v>
      </c>
      <c r="BE19" s="76">
        <f>sumifs(raw_data!$Z:$Z,raw_data!$T:$T,$A19,raw_data!$U:$U,"Telephony",raw_data!$Y:$Y,$AZ$1)</f>
        <v>1</v>
      </c>
      <c r="BF19" s="76">
        <f>sumifs(raw_data!$Z:$Z,raw_data!$T:$T,$A19,raw_data!$U:$U,"Paid Ads",raw_data!$Y:$Y,$AZ$1)</f>
        <v>0</v>
      </c>
      <c r="BG19" s="76">
        <f>sumifs(raw_data!$N:$N,raw_data!$K:$K,$A19,raw_data!$O:$O,$AZ$1)</f>
        <v>0</v>
      </c>
      <c r="BH19" s="76">
        <f>sumifs(raw_data!$Z:$Z,raw_data!$T:$T,$A19,raw_data!$U:$U,"External Leads",raw_data!$Y:$Y,$AZ$1)</f>
        <v>0</v>
      </c>
      <c r="BI19" s="74"/>
    </row>
    <row r="20">
      <c r="A20" s="33">
        <v>46067.0</v>
      </c>
      <c r="B20" s="29">
        <f>sumifs(raw_data!$E:$E,raw_data!$A:$A,$A20)</f>
        <v>59</v>
      </c>
      <c r="C20" s="29">
        <f>sumifs(raw_data!$E:$E,raw_data!$A:$A,$A20,raw_data!$D:$D,"Primary_Walkin")</f>
        <v>55</v>
      </c>
      <c r="D20" s="29">
        <f>sumifs(raw_data!$E:$E,raw_data!$A:$A,$A20,raw_data!$D:$D,"Secondary_Walkin")</f>
        <v>4</v>
      </c>
      <c r="E20" s="29">
        <f>sumifs(raw_data!$E:$E,raw_data!$A:$A,$A20,raw_data!$G:$G,"GS Foundation")</f>
        <v>29</v>
      </c>
      <c r="F20" s="29">
        <f>sumifs(raw_data!$E:$E,raw_data!$A:$A,$A20) - sumifs(raw_data!$E:$E,raw_data!$A:$A,$A20,raw_data!$G:$G,"GS Foundation")</f>
        <v>30</v>
      </c>
      <c r="G20" s="76">
        <f>sumifs(raw_data!$Z:$Z,raw_data!$T:$T,$A20,raw_data!$U:$U,"Telephony")</f>
        <v>10</v>
      </c>
      <c r="H20" s="76">
        <f>sumifs(raw_data!$Z:$Z,raw_data!$T:$T,$A20,raw_data!$U:$U,"Paid Ads")</f>
        <v>1</v>
      </c>
      <c r="I20" s="76">
        <f t="shared" si="1"/>
        <v>0</v>
      </c>
      <c r="J20" s="76">
        <f>sumifs(raw_data!$Z:$Z,raw_data!$T:$T,$A20,raw_data!$U:$U,"External Leads")</f>
        <v>0</v>
      </c>
      <c r="K20" s="71"/>
      <c r="L20" s="77">
        <f>sumifs(raw_data!$E:$E,raw_data!$A:$A,$A20,raw_data!$C:$C,$L$1)</f>
        <v>15</v>
      </c>
      <c r="M20" s="29">
        <f>sumifs(raw_data!$E:$E,raw_data!$A:$A,$A20,raw_data!$D:$D,"Primary_Walkin",raw_data!$C:$C,$L$1)</f>
        <v>14</v>
      </c>
      <c r="N20" s="29">
        <f>sumifs(raw_data!$E:$E,raw_data!$A:$A,$A20,raw_data!$D:$D,"Secondary_Walkin",raw_data!$C:$C,$L$1)</f>
        <v>1</v>
      </c>
      <c r="O20" s="29">
        <f>sumifs(raw_data!$E:$E,raw_data!$A:$A,$A20,raw_data!$G:$G,"GS Foundation",raw_data!$C:$C,$L$1)</f>
        <v>12</v>
      </c>
      <c r="P20" s="29">
        <f>sumifs(raw_data!$E:$E,raw_data!$A:$A,$A20,raw_data!$C:$C,$L$1) - sumifs(raw_data!$E:$E,raw_data!$A:$A,$A20,raw_data!$G:$G,"GS Foundation",raw_data!$C:$C,$L$1)</f>
        <v>3</v>
      </c>
      <c r="Q20" s="76">
        <f>sumifs(raw_data!$Z:$Z,raw_data!$T:$T,$A20,raw_data!$U:$U,"Telephony",raw_data!$Y:$Y,$L$1)</f>
        <v>0</v>
      </c>
      <c r="R20" s="76">
        <f>sumifs(raw_data!$Z:$Z,raw_data!$T:$T,$A20,raw_data!$U:$U,"Paid Ads",raw_data!$Y:$Y,$L$1)</f>
        <v>0</v>
      </c>
      <c r="S20" s="76">
        <f>sumifs(raw_data!$N:$N,raw_data!$K:$K,$A20,raw_data!$O:$O,$L$1)</f>
        <v>0</v>
      </c>
      <c r="T20" s="76">
        <f>sumifs(raw_data!$Z:$Z,raw_data!$T:$T,$A20,raw_data!$U:$U,"External Leads",raw_data!$Y:$Y,$L$1)</f>
        <v>0</v>
      </c>
      <c r="U20" s="71"/>
      <c r="V20" s="77">
        <f>sumifs(raw_data!$E:$E,raw_data!$A:$A,$A20,raw_data!$C:$C,$V$1)</f>
        <v>21</v>
      </c>
      <c r="W20" s="29">
        <f>sumifs(raw_data!$E:$E,raw_data!$A:$A,$A20,raw_data!$D:$D,"Primary_Walkin",raw_data!$C:$C,$V$1)</f>
        <v>19</v>
      </c>
      <c r="X20" s="29">
        <f>sumifs(raw_data!$E:$E,raw_data!$A:$A,$A20,raw_data!$D:$D,"Secondary_Walkin",raw_data!$C:$C,$V$1)</f>
        <v>2</v>
      </c>
      <c r="Y20" s="29">
        <f>sumifs(raw_data!$E:$E,raw_data!$A:$A,$A20,raw_data!$G:$G,"GS Foundation",raw_data!$C:$C,$V$1)</f>
        <v>6</v>
      </c>
      <c r="Z20" s="29">
        <f>sumifs(raw_data!$E:$E,raw_data!$A:$A,$A20,raw_data!$C:$C,$V$1) - sumifs(raw_data!$E:$E,raw_data!$A:$A,$A20,raw_data!$G:$G,"GS Foundation",raw_data!$C:$C,$V$1)</f>
        <v>15</v>
      </c>
      <c r="AA20" s="76">
        <f>sumifs(raw_data!$Z:$Z,raw_data!$T:$T,$A20,raw_data!$U:$U,"Telephony",raw_data!$Y:$Y,$V$1)</f>
        <v>0</v>
      </c>
      <c r="AB20" s="76">
        <f>sumifs(raw_data!$Z:$Z,raw_data!$T:$T,$A20,raw_data!$U:$U,"Paid Ads",raw_data!$Y:$Y,$V$1)</f>
        <v>0</v>
      </c>
      <c r="AC20" s="76">
        <f>sumifs(raw_data!$N:$N,raw_data!$K:$K,$A20,raw_data!$O:$O,$V$1)</f>
        <v>0</v>
      </c>
      <c r="AD20" s="76">
        <f>sumifs(raw_data!$Z:$Z,raw_data!$T:$T,$A20,raw_data!$U:$U,"External Leads",raw_data!$Y:$Y,$V$1)</f>
        <v>0</v>
      </c>
      <c r="AE20" s="71"/>
      <c r="AF20" s="77">
        <f>sumifs(raw_data!$E:$E,raw_data!$A:$A,$A20,raw_data!$C:$C,$AF$1)</f>
        <v>5</v>
      </c>
      <c r="AG20" s="29">
        <f>sumifs(raw_data!$E:$E,raw_data!$A:$A,$A20,raw_data!$D:$D,"Primary_Walkin",raw_data!$C:$C,$AF$1)</f>
        <v>5</v>
      </c>
      <c r="AH20" s="29">
        <f>sumifs(raw_data!$E:$E,raw_data!$A:$A,$A20,raw_data!$D:$D,"Secondary_Walkin",raw_data!$C:$C,$AF$1)</f>
        <v>0</v>
      </c>
      <c r="AI20" s="29">
        <f>sumifs(raw_data!$E:$E,raw_data!$A:$A,$A20,raw_data!$G:$G,"GS Foundation",raw_data!$C:$C,$AF$1)</f>
        <v>3</v>
      </c>
      <c r="AJ20" s="29">
        <f>sumifs(raw_data!$E:$E,raw_data!$A:$A,$A20,raw_data!$C:$C,$AF$1) - sumifs(raw_data!$E:$E,raw_data!$A:$A,$A20,raw_data!$G:$G,"GS Foundation",raw_data!$C:$C,$AF$1)</f>
        <v>2</v>
      </c>
      <c r="AK20" s="76">
        <f>sumifs(raw_data!$Z:$Z,raw_data!$T:$T,$A20,raw_data!$U:$U,"Telephony",raw_data!$Y:$Y,$AF$1)</f>
        <v>0</v>
      </c>
      <c r="AL20" s="76">
        <f>sumifs(raw_data!$Z:$Z,raw_data!$T:$T,$A20,raw_data!$U:$U,"Paid Ads",raw_data!$Y:$Y,$AF$1)</f>
        <v>0</v>
      </c>
      <c r="AM20" s="76">
        <f>sumifs(raw_data!$N:$N,raw_data!$K:$K,$A20,raw_data!$O:$O,$AF$1)</f>
        <v>0</v>
      </c>
      <c r="AN20" s="76">
        <f>sumifs(raw_data!$Z:$Z,raw_data!$T:$T,$A20,raw_data!$U:$U,"External Leads",raw_data!$Y:$Y,$AF$1)</f>
        <v>0</v>
      </c>
      <c r="AO20" s="75"/>
      <c r="AP20" s="77">
        <f>sumifs(raw_data!$E:$E,raw_data!$A:$A,$A20,raw_data!$C:$C,$AP$1)</f>
        <v>14</v>
      </c>
      <c r="AQ20" s="29">
        <f>sumifs(raw_data!$E:$E,raw_data!$A:$A,$A20,raw_data!$D:$D,"Primary_Walkin",raw_data!$C:$C,$AP$1)</f>
        <v>13</v>
      </c>
      <c r="AR20" s="29">
        <f>sumifs(raw_data!$E:$E,raw_data!$A:$A,$A20,raw_data!$D:$D,"Secondary_Walkin",raw_data!$C:$C,$AP$1)</f>
        <v>1</v>
      </c>
      <c r="AS20" s="29">
        <f>sumifs(raw_data!$E:$E,raw_data!$A:$A,$A20,raw_data!$G:$G,"GS Foundation",raw_data!$C:$C,$AP$1)</f>
        <v>7</v>
      </c>
      <c r="AT20" s="29">
        <f>sumifs(raw_data!$E:$E,raw_data!$A:$A,$A20,raw_data!$C:$C,$AP$1) - sumifs(raw_data!$E:$E,raw_data!$A:$A,$A20,raw_data!$G:$G,"GS Foundation",raw_data!$C:$C,$AP$1)</f>
        <v>7</v>
      </c>
      <c r="AU20" s="76">
        <f>sumifs(raw_data!$Z:$Z,raw_data!$T:$T,$A20,raw_data!$U:$U,"Telephony",raw_data!$Y:$Y,$AP$1)</f>
        <v>0</v>
      </c>
      <c r="AV20" s="76">
        <f>sumifs(raw_data!$Z:$Z,raw_data!$T:$T,$A20,raw_data!$U:$U,"Paid Ads",raw_data!$Y:$Y,$AP$1)</f>
        <v>0</v>
      </c>
      <c r="AW20" s="76">
        <f>sumifs(raw_data!$N:$N,raw_data!$K:$K,$A20,raw_data!$O:$O,$AP$1)</f>
        <v>0</v>
      </c>
      <c r="AX20" s="76">
        <f>sumifs(raw_data!$Z:$Z,raw_data!$T:$T,$A20,raw_data!$U:$U,"External Leads",raw_data!$Y:$Y,$AP$1)</f>
        <v>0</v>
      </c>
      <c r="AY20" s="75"/>
      <c r="AZ20" s="77">
        <f>sumifs(raw_data!$E:$E,raw_data!$A:$A,$A20,raw_data!$C:$C,$AZ$1)</f>
        <v>4</v>
      </c>
      <c r="BA20" s="29">
        <f>sumifs(raw_data!$E:$E,raw_data!$A:$A,$A20,raw_data!$D:$D,"Primary_Walkin",raw_data!$C:$C,$AZ$1)</f>
        <v>4</v>
      </c>
      <c r="BB20" s="29">
        <f>sumifs(raw_data!$E:$E,raw_data!$A:$A,$A20,raw_data!$D:$D,"Secondary_Walkin",raw_data!$C:$C,$AZ$1)</f>
        <v>0</v>
      </c>
      <c r="BC20" s="29">
        <f>sumifs(raw_data!$E:$E,raw_data!$A:$A,$A20,raw_data!$G:$G,"GS Foundation",raw_data!$C:$C,$AZ$1)</f>
        <v>1</v>
      </c>
      <c r="BD20" s="29">
        <f>sumifs(raw_data!$E:$E,raw_data!$A:$A,$A20,raw_data!$C:$C,$AZ$1) - sumifs(raw_data!$E:$E,raw_data!$A:$A,$A20,raw_data!$G:$G,"GS Foundation",raw_data!$C:$C,$AZ$1)</f>
        <v>3</v>
      </c>
      <c r="BE20" s="76">
        <f>sumifs(raw_data!$Z:$Z,raw_data!$T:$T,$A20,raw_data!$U:$U,"Telephony",raw_data!$Y:$Y,$AZ$1)</f>
        <v>1</v>
      </c>
      <c r="BF20" s="76">
        <f>sumifs(raw_data!$Z:$Z,raw_data!$T:$T,$A20,raw_data!$U:$U,"Paid Ads",raw_data!$Y:$Y,$AZ$1)</f>
        <v>1</v>
      </c>
      <c r="BG20" s="76">
        <f>sumifs(raw_data!$N:$N,raw_data!$K:$K,$A20,raw_data!$O:$O,$AZ$1)</f>
        <v>0</v>
      </c>
      <c r="BH20" s="76">
        <f>sumifs(raw_data!$Z:$Z,raw_data!$T:$T,$A20,raw_data!$U:$U,"External Leads",raw_data!$Y:$Y,$AZ$1)</f>
        <v>0</v>
      </c>
      <c r="BI20" s="74"/>
    </row>
    <row r="21">
      <c r="A21" s="33">
        <v>46068.0</v>
      </c>
      <c r="B21" s="29">
        <f>sumifs(raw_data!$E:$E,raw_data!$A:$A,$A21)</f>
        <v>24</v>
      </c>
      <c r="C21" s="29">
        <f>sumifs(raw_data!$E:$E,raw_data!$A:$A,$A21,raw_data!$D:$D,"Primary_Walkin")</f>
        <v>21</v>
      </c>
      <c r="D21" s="29">
        <f>sumifs(raw_data!$E:$E,raw_data!$A:$A,$A21,raw_data!$D:$D,"Secondary_Walkin")</f>
        <v>3</v>
      </c>
      <c r="E21" s="29">
        <f>sumifs(raw_data!$E:$E,raw_data!$A:$A,$A21,raw_data!$G:$G,"GS Foundation")</f>
        <v>12</v>
      </c>
      <c r="F21" s="29">
        <f>sumifs(raw_data!$E:$E,raw_data!$A:$A,$A21) - sumifs(raw_data!$E:$E,raw_data!$A:$A,$A21,raw_data!$G:$G,"GS Foundation")</f>
        <v>12</v>
      </c>
      <c r="G21" s="76">
        <f>sumifs(raw_data!$Z:$Z,raw_data!$T:$T,$A21,raw_data!$U:$U,"Telephony")</f>
        <v>11</v>
      </c>
      <c r="H21" s="76">
        <f>sumifs(raw_data!$Z:$Z,raw_data!$T:$T,$A21,raw_data!$U:$U,"Paid Ads")</f>
        <v>0</v>
      </c>
      <c r="I21" s="76">
        <f t="shared" si="1"/>
        <v>0</v>
      </c>
      <c r="J21" s="76">
        <f>sumifs(raw_data!$Z:$Z,raw_data!$T:$T,$A21,raw_data!$U:$U,"External Leads")</f>
        <v>1</v>
      </c>
      <c r="K21" s="71"/>
      <c r="L21" s="77">
        <f>sumifs(raw_data!$E:$E,raw_data!$A:$A,$A21,raw_data!$C:$C,$L$1)</f>
        <v>9</v>
      </c>
      <c r="M21" s="29">
        <f>sumifs(raw_data!$E:$E,raw_data!$A:$A,$A21,raw_data!$D:$D,"Primary_Walkin",raw_data!$C:$C,$L$1)</f>
        <v>8</v>
      </c>
      <c r="N21" s="29">
        <f>sumifs(raw_data!$E:$E,raw_data!$A:$A,$A21,raw_data!$D:$D,"Secondary_Walkin",raw_data!$C:$C,$L$1)</f>
        <v>1</v>
      </c>
      <c r="O21" s="29">
        <f>sumifs(raw_data!$E:$E,raw_data!$A:$A,$A21,raw_data!$G:$G,"GS Foundation",raw_data!$C:$C,$L$1)</f>
        <v>7</v>
      </c>
      <c r="P21" s="29">
        <f>sumifs(raw_data!$E:$E,raw_data!$A:$A,$A21,raw_data!$C:$C,$L$1) - sumifs(raw_data!$E:$E,raw_data!$A:$A,$A21,raw_data!$G:$G,"GS Foundation",raw_data!$C:$C,$L$1)</f>
        <v>2</v>
      </c>
      <c r="Q21" s="76">
        <f>sumifs(raw_data!$Z:$Z,raw_data!$T:$T,$A21,raw_data!$U:$U,"Telephony",raw_data!$Y:$Y,$L$1)</f>
        <v>0</v>
      </c>
      <c r="R21" s="76">
        <f>sumifs(raw_data!$Z:$Z,raw_data!$T:$T,$A21,raw_data!$U:$U,"Paid Ads",raw_data!$Y:$Y,$L$1)</f>
        <v>0</v>
      </c>
      <c r="S21" s="76">
        <f>sumifs(raw_data!$N:$N,raw_data!$K:$K,$A21,raw_data!$O:$O,$L$1)</f>
        <v>0</v>
      </c>
      <c r="T21" s="76">
        <f>sumifs(raw_data!$Z:$Z,raw_data!$T:$T,$A21,raw_data!$U:$U,"External Leads",raw_data!$Y:$Y,$L$1)</f>
        <v>0</v>
      </c>
      <c r="U21" s="71"/>
      <c r="V21" s="77">
        <f>sumifs(raw_data!$E:$E,raw_data!$A:$A,$A21,raw_data!$C:$C,$V$1)</f>
        <v>6</v>
      </c>
      <c r="W21" s="29">
        <f>sumifs(raw_data!$E:$E,raw_data!$A:$A,$A21,raw_data!$D:$D,"Primary_Walkin",raw_data!$C:$C,$V$1)</f>
        <v>6</v>
      </c>
      <c r="X21" s="29">
        <f>sumifs(raw_data!$E:$E,raw_data!$A:$A,$A21,raw_data!$D:$D,"Secondary_Walkin",raw_data!$C:$C,$V$1)</f>
        <v>0</v>
      </c>
      <c r="Y21" s="29">
        <f>sumifs(raw_data!$E:$E,raw_data!$A:$A,$A21,raw_data!$G:$G,"GS Foundation",raw_data!$C:$C,$V$1)</f>
        <v>2</v>
      </c>
      <c r="Z21" s="29">
        <f>sumifs(raw_data!$E:$E,raw_data!$A:$A,$A21,raw_data!$C:$C,$V$1) - sumifs(raw_data!$E:$E,raw_data!$A:$A,$A21,raw_data!$G:$G,"GS Foundation",raw_data!$C:$C,$V$1)</f>
        <v>4</v>
      </c>
      <c r="AA21" s="76">
        <f>sumifs(raw_data!$Z:$Z,raw_data!$T:$T,$A21,raw_data!$U:$U,"Telephony",raw_data!$Y:$Y,$V$1)</f>
        <v>0</v>
      </c>
      <c r="AB21" s="76">
        <f>sumifs(raw_data!$Z:$Z,raw_data!$T:$T,$A21,raw_data!$U:$U,"Paid Ads",raw_data!$Y:$Y,$V$1)</f>
        <v>0</v>
      </c>
      <c r="AC21" s="76">
        <f>sumifs(raw_data!$N:$N,raw_data!$K:$K,$A21,raw_data!$O:$O,$V$1)</f>
        <v>0</v>
      </c>
      <c r="AD21" s="76">
        <f>sumifs(raw_data!$Z:$Z,raw_data!$T:$T,$A21,raw_data!$U:$U,"External Leads",raw_data!$Y:$Y,$V$1)</f>
        <v>0</v>
      </c>
      <c r="AE21" s="71"/>
      <c r="AF21" s="77">
        <f>sumifs(raw_data!$E:$E,raw_data!$A:$A,$A21,raw_data!$C:$C,$AF$1)</f>
        <v>4</v>
      </c>
      <c r="AG21" s="29">
        <f>sumifs(raw_data!$E:$E,raw_data!$A:$A,$A21,raw_data!$D:$D,"Primary_Walkin",raw_data!$C:$C,$AF$1)</f>
        <v>3</v>
      </c>
      <c r="AH21" s="29">
        <f>sumifs(raw_data!$E:$E,raw_data!$A:$A,$A21,raw_data!$D:$D,"Secondary_Walkin",raw_data!$C:$C,$AF$1)</f>
        <v>1</v>
      </c>
      <c r="AI21" s="29">
        <f>sumifs(raw_data!$E:$E,raw_data!$A:$A,$A21,raw_data!$G:$G,"GS Foundation",raw_data!$C:$C,$AF$1)</f>
        <v>2</v>
      </c>
      <c r="AJ21" s="29">
        <f>sumifs(raw_data!$E:$E,raw_data!$A:$A,$A21,raw_data!$C:$C,$AF$1) - sumifs(raw_data!$E:$E,raw_data!$A:$A,$A21,raw_data!$G:$G,"GS Foundation",raw_data!$C:$C,$AF$1)</f>
        <v>2</v>
      </c>
      <c r="AK21" s="76">
        <f>sumifs(raw_data!$Z:$Z,raw_data!$T:$T,$A21,raw_data!$U:$U,"Telephony",raw_data!$Y:$Y,$AF$1)</f>
        <v>0</v>
      </c>
      <c r="AL21" s="76">
        <f>sumifs(raw_data!$Z:$Z,raw_data!$T:$T,$A21,raw_data!$U:$U,"Paid Ads",raw_data!$Y:$Y,$AF$1)</f>
        <v>0</v>
      </c>
      <c r="AM21" s="76">
        <f>sumifs(raw_data!$N:$N,raw_data!$K:$K,$A21,raw_data!$O:$O,$AF$1)</f>
        <v>0</v>
      </c>
      <c r="AN21" s="76">
        <f>sumifs(raw_data!$Z:$Z,raw_data!$T:$T,$A21,raw_data!$U:$U,"External Leads",raw_data!$Y:$Y,$AF$1)</f>
        <v>0</v>
      </c>
      <c r="AO21" s="75"/>
      <c r="AP21" s="77">
        <f>sumifs(raw_data!$E:$E,raw_data!$A:$A,$A21,raw_data!$C:$C,$AP$1)</f>
        <v>3</v>
      </c>
      <c r="AQ21" s="29">
        <f>sumifs(raw_data!$E:$E,raw_data!$A:$A,$A21,raw_data!$D:$D,"Primary_Walkin",raw_data!$C:$C,$AP$1)</f>
        <v>2</v>
      </c>
      <c r="AR21" s="29">
        <f>sumifs(raw_data!$E:$E,raw_data!$A:$A,$A21,raw_data!$D:$D,"Secondary_Walkin",raw_data!$C:$C,$AP$1)</f>
        <v>1</v>
      </c>
      <c r="AS21" s="29">
        <f>sumifs(raw_data!$E:$E,raw_data!$A:$A,$A21,raw_data!$G:$G,"GS Foundation",raw_data!$C:$C,$AP$1)</f>
        <v>1</v>
      </c>
      <c r="AT21" s="29">
        <f>sumifs(raw_data!$E:$E,raw_data!$A:$A,$A21,raw_data!$C:$C,$AP$1) - sumifs(raw_data!$E:$E,raw_data!$A:$A,$A21,raw_data!$G:$G,"GS Foundation",raw_data!$C:$C,$AP$1)</f>
        <v>2</v>
      </c>
      <c r="AU21" s="76">
        <f>sumifs(raw_data!$Z:$Z,raw_data!$T:$T,$A21,raw_data!$U:$U,"Telephony",raw_data!$Y:$Y,$AP$1)</f>
        <v>0</v>
      </c>
      <c r="AV21" s="76">
        <f>sumifs(raw_data!$Z:$Z,raw_data!$T:$T,$A21,raw_data!$U:$U,"Paid Ads",raw_data!$Y:$Y,$AP$1)</f>
        <v>0</v>
      </c>
      <c r="AW21" s="76">
        <f>sumifs(raw_data!$N:$N,raw_data!$K:$K,$A21,raw_data!$O:$O,$AP$1)</f>
        <v>0</v>
      </c>
      <c r="AX21" s="76">
        <f>sumifs(raw_data!$Z:$Z,raw_data!$T:$T,$A21,raw_data!$U:$U,"External Leads",raw_data!$Y:$Y,$AP$1)</f>
        <v>0</v>
      </c>
      <c r="AY21" s="75"/>
      <c r="AZ21" s="77">
        <f>sumifs(raw_data!$E:$E,raw_data!$A:$A,$A21,raw_data!$C:$C,$AZ$1)</f>
        <v>2</v>
      </c>
      <c r="BA21" s="29">
        <f>sumifs(raw_data!$E:$E,raw_data!$A:$A,$A21,raw_data!$D:$D,"Primary_Walkin",raw_data!$C:$C,$AZ$1)</f>
        <v>2</v>
      </c>
      <c r="BB21" s="29">
        <f>sumifs(raw_data!$E:$E,raw_data!$A:$A,$A21,raw_data!$D:$D,"Secondary_Walkin",raw_data!$C:$C,$AZ$1)</f>
        <v>0</v>
      </c>
      <c r="BC21" s="29">
        <f>sumifs(raw_data!$E:$E,raw_data!$A:$A,$A21,raw_data!$G:$G,"GS Foundation",raw_data!$C:$C,$AZ$1)</f>
        <v>0</v>
      </c>
      <c r="BD21" s="29">
        <f>sumifs(raw_data!$E:$E,raw_data!$A:$A,$A21,raw_data!$C:$C,$AZ$1) - sumifs(raw_data!$E:$E,raw_data!$A:$A,$A21,raw_data!$G:$G,"GS Foundation",raw_data!$C:$C,$AZ$1)</f>
        <v>2</v>
      </c>
      <c r="BE21" s="76">
        <f>sumifs(raw_data!$Z:$Z,raw_data!$T:$T,$A21,raw_data!$U:$U,"Telephony",raw_data!$Y:$Y,$AZ$1)</f>
        <v>5</v>
      </c>
      <c r="BF21" s="76">
        <f>sumifs(raw_data!$Z:$Z,raw_data!$T:$T,$A21,raw_data!$U:$U,"Paid Ads",raw_data!$Y:$Y,$AZ$1)</f>
        <v>0</v>
      </c>
      <c r="BG21" s="76">
        <f>sumifs(raw_data!$N:$N,raw_data!$K:$K,$A21,raw_data!$O:$O,$AZ$1)</f>
        <v>0</v>
      </c>
      <c r="BH21" s="76">
        <f>sumifs(raw_data!$Z:$Z,raw_data!$T:$T,$A21,raw_data!$U:$U,"External Leads",raw_data!$Y:$Y,$AZ$1)</f>
        <v>0</v>
      </c>
      <c r="BI21" s="74"/>
    </row>
    <row r="22">
      <c r="A22" s="33">
        <v>46069.0</v>
      </c>
      <c r="B22" s="29">
        <f>sumifs(raw_data!$E:$E,raw_data!$A:$A,$A22)</f>
        <v>56</v>
      </c>
      <c r="C22" s="29">
        <f>sumifs(raw_data!$E:$E,raw_data!$A:$A,$A22,raw_data!$D:$D,"Primary_Walkin")</f>
        <v>54</v>
      </c>
      <c r="D22" s="29">
        <f>sumifs(raw_data!$E:$E,raw_data!$A:$A,$A22,raw_data!$D:$D,"Secondary_Walkin")</f>
        <v>2</v>
      </c>
      <c r="E22" s="29">
        <f>sumifs(raw_data!$E:$E,raw_data!$A:$A,$A22,raw_data!$G:$G,"GS Foundation")</f>
        <v>29</v>
      </c>
      <c r="F22" s="29">
        <f>sumifs(raw_data!$E:$E,raw_data!$A:$A,$A22) - sumifs(raw_data!$E:$E,raw_data!$A:$A,$A22,raw_data!$G:$G,"GS Foundation")</f>
        <v>27</v>
      </c>
      <c r="G22" s="76">
        <f>sumifs(raw_data!$Z:$Z,raw_data!$T:$T,$A22,raw_data!$U:$U,"Telephony")</f>
        <v>11</v>
      </c>
      <c r="H22" s="76">
        <f>sumifs(raw_data!$Z:$Z,raw_data!$T:$T,$A22,raw_data!$U:$U,"Paid Ads")</f>
        <v>1</v>
      </c>
      <c r="I22" s="76">
        <f t="shared" si="1"/>
        <v>0</v>
      </c>
      <c r="J22" s="76">
        <f>sumifs(raw_data!$Z:$Z,raw_data!$T:$T,$A22,raw_data!$U:$U,"External Leads")</f>
        <v>1</v>
      </c>
      <c r="K22" s="71"/>
      <c r="L22" s="77">
        <f>sumifs(raw_data!$E:$E,raw_data!$A:$A,$A22,raw_data!$C:$C,$L$1)</f>
        <v>13</v>
      </c>
      <c r="M22" s="29">
        <f>sumifs(raw_data!$E:$E,raw_data!$A:$A,$A22,raw_data!$D:$D,"Primary_Walkin",raw_data!$C:$C,$L$1)</f>
        <v>12</v>
      </c>
      <c r="N22" s="29">
        <f>sumifs(raw_data!$E:$E,raw_data!$A:$A,$A22,raw_data!$D:$D,"Secondary_Walkin",raw_data!$C:$C,$L$1)</f>
        <v>1</v>
      </c>
      <c r="O22" s="29">
        <f>sumifs(raw_data!$E:$E,raw_data!$A:$A,$A22,raw_data!$G:$G,"GS Foundation",raw_data!$C:$C,$L$1)</f>
        <v>11</v>
      </c>
      <c r="P22" s="29">
        <f>sumifs(raw_data!$E:$E,raw_data!$A:$A,$A22,raw_data!$C:$C,$L$1) - sumifs(raw_data!$E:$E,raw_data!$A:$A,$A22,raw_data!$G:$G,"GS Foundation",raw_data!$C:$C,$L$1)</f>
        <v>2</v>
      </c>
      <c r="Q22" s="76">
        <f>sumifs(raw_data!$Z:$Z,raw_data!$T:$T,$A22,raw_data!$U:$U,"Telephony",raw_data!$Y:$Y,$L$1)</f>
        <v>0</v>
      </c>
      <c r="R22" s="76">
        <f>sumifs(raw_data!$Z:$Z,raw_data!$T:$T,$A22,raw_data!$U:$U,"Paid Ads",raw_data!$Y:$Y,$L$1)</f>
        <v>1</v>
      </c>
      <c r="S22" s="76">
        <f>sumifs(raw_data!$N:$N,raw_data!$K:$K,$A22,raw_data!$O:$O,$L$1)</f>
        <v>0</v>
      </c>
      <c r="T22" s="76">
        <f>sumifs(raw_data!$Z:$Z,raw_data!$T:$T,$A22,raw_data!$U:$U,"External Leads",raw_data!$Y:$Y,$L$1)</f>
        <v>0</v>
      </c>
      <c r="U22" s="71"/>
      <c r="V22" s="77">
        <f>sumifs(raw_data!$E:$E,raw_data!$A:$A,$A22,raw_data!$C:$C,$V$1)</f>
        <v>16</v>
      </c>
      <c r="W22" s="29">
        <f>sumifs(raw_data!$E:$E,raw_data!$A:$A,$A22,raw_data!$D:$D,"Primary_Walkin",raw_data!$C:$C,$V$1)</f>
        <v>16</v>
      </c>
      <c r="X22" s="29">
        <f>sumifs(raw_data!$E:$E,raw_data!$A:$A,$A22,raw_data!$D:$D,"Secondary_Walkin",raw_data!$C:$C,$V$1)</f>
        <v>0</v>
      </c>
      <c r="Y22" s="29">
        <f>sumifs(raw_data!$E:$E,raw_data!$A:$A,$A22,raw_data!$G:$G,"GS Foundation",raw_data!$C:$C,$V$1)</f>
        <v>6</v>
      </c>
      <c r="Z22" s="29">
        <f>sumifs(raw_data!$E:$E,raw_data!$A:$A,$A22,raw_data!$C:$C,$V$1) - sumifs(raw_data!$E:$E,raw_data!$A:$A,$A22,raw_data!$G:$G,"GS Foundation",raw_data!$C:$C,$V$1)</f>
        <v>10</v>
      </c>
      <c r="AA22" s="76">
        <f>sumifs(raw_data!$Z:$Z,raw_data!$T:$T,$A22,raw_data!$U:$U,"Telephony",raw_data!$Y:$Y,$V$1)</f>
        <v>0</v>
      </c>
      <c r="AB22" s="76">
        <f>sumifs(raw_data!$Z:$Z,raw_data!$T:$T,$A22,raw_data!$U:$U,"Paid Ads",raw_data!$Y:$Y,$V$1)</f>
        <v>0</v>
      </c>
      <c r="AC22" s="76">
        <f>sumifs(raw_data!$N:$N,raw_data!$K:$K,$A22,raw_data!$O:$O,$V$1)</f>
        <v>0</v>
      </c>
      <c r="AD22" s="76">
        <f>sumifs(raw_data!$Z:$Z,raw_data!$T:$T,$A22,raw_data!$U:$U,"External Leads",raw_data!$Y:$Y,$V$1)</f>
        <v>0</v>
      </c>
      <c r="AE22" s="71"/>
      <c r="AF22" s="77">
        <f>sumifs(raw_data!$E:$E,raw_data!$A:$A,$A22,raw_data!$C:$C,$AF$1)</f>
        <v>3</v>
      </c>
      <c r="AG22" s="29">
        <f>sumifs(raw_data!$E:$E,raw_data!$A:$A,$A22,raw_data!$D:$D,"Primary_Walkin",raw_data!$C:$C,$AF$1)</f>
        <v>3</v>
      </c>
      <c r="AH22" s="29">
        <f>sumifs(raw_data!$E:$E,raw_data!$A:$A,$A22,raw_data!$D:$D,"Secondary_Walkin",raw_data!$C:$C,$AF$1)</f>
        <v>0</v>
      </c>
      <c r="AI22" s="29">
        <f>sumifs(raw_data!$E:$E,raw_data!$A:$A,$A22,raw_data!$G:$G,"GS Foundation",raw_data!$C:$C,$AF$1)</f>
        <v>2</v>
      </c>
      <c r="AJ22" s="29">
        <f>sumifs(raw_data!$E:$E,raw_data!$A:$A,$A22,raw_data!$C:$C,$AF$1) - sumifs(raw_data!$E:$E,raw_data!$A:$A,$A22,raw_data!$G:$G,"GS Foundation",raw_data!$C:$C,$AF$1)</f>
        <v>1</v>
      </c>
      <c r="AK22" s="76">
        <f>sumifs(raw_data!$Z:$Z,raw_data!$T:$T,$A22,raw_data!$U:$U,"Telephony",raw_data!$Y:$Y,$AF$1)</f>
        <v>0</v>
      </c>
      <c r="AL22" s="76">
        <f>sumifs(raw_data!$Z:$Z,raw_data!$T:$T,$A22,raw_data!$U:$U,"Paid Ads",raw_data!$Y:$Y,$AF$1)</f>
        <v>0</v>
      </c>
      <c r="AM22" s="76">
        <f>sumifs(raw_data!$N:$N,raw_data!$K:$K,$A22,raw_data!$O:$O,$AF$1)</f>
        <v>0</v>
      </c>
      <c r="AN22" s="76">
        <f>sumifs(raw_data!$Z:$Z,raw_data!$T:$T,$A22,raw_data!$U:$U,"External Leads",raw_data!$Y:$Y,$AF$1)</f>
        <v>0</v>
      </c>
      <c r="AO22" s="75"/>
      <c r="AP22" s="77">
        <f>sumifs(raw_data!$E:$E,raw_data!$A:$A,$A22,raw_data!$C:$C,$AP$1)</f>
        <v>14</v>
      </c>
      <c r="AQ22" s="29">
        <f>sumifs(raw_data!$E:$E,raw_data!$A:$A,$A22,raw_data!$D:$D,"Primary_Walkin",raw_data!$C:$C,$AP$1)</f>
        <v>14</v>
      </c>
      <c r="AR22" s="29">
        <f>sumifs(raw_data!$E:$E,raw_data!$A:$A,$A22,raw_data!$D:$D,"Secondary_Walkin",raw_data!$C:$C,$AP$1)</f>
        <v>0</v>
      </c>
      <c r="AS22" s="29">
        <f>sumifs(raw_data!$E:$E,raw_data!$A:$A,$A22,raw_data!$G:$G,"GS Foundation",raw_data!$C:$C,$AP$1)</f>
        <v>8</v>
      </c>
      <c r="AT22" s="29">
        <f>sumifs(raw_data!$E:$E,raw_data!$A:$A,$A22,raw_data!$C:$C,$AP$1) - sumifs(raw_data!$E:$E,raw_data!$A:$A,$A22,raw_data!$G:$G,"GS Foundation",raw_data!$C:$C,$AP$1)</f>
        <v>6</v>
      </c>
      <c r="AU22" s="76">
        <f>sumifs(raw_data!$Z:$Z,raw_data!$T:$T,$A22,raw_data!$U:$U,"Telephony",raw_data!$Y:$Y,$AP$1)</f>
        <v>0</v>
      </c>
      <c r="AV22" s="76">
        <f>sumifs(raw_data!$Z:$Z,raw_data!$T:$T,$A22,raw_data!$U:$U,"Paid Ads",raw_data!$Y:$Y,$AP$1)</f>
        <v>0</v>
      </c>
      <c r="AW22" s="76">
        <f>sumifs(raw_data!$N:$N,raw_data!$K:$K,$A22,raw_data!$O:$O,$AP$1)</f>
        <v>0</v>
      </c>
      <c r="AX22" s="76">
        <f>sumifs(raw_data!$Z:$Z,raw_data!$T:$T,$A22,raw_data!$U:$U,"External Leads",raw_data!$Y:$Y,$AP$1)</f>
        <v>0</v>
      </c>
      <c r="AY22" s="75"/>
      <c r="AZ22" s="77">
        <f>sumifs(raw_data!$E:$E,raw_data!$A:$A,$A22,raw_data!$C:$C,$AZ$1)</f>
        <v>10</v>
      </c>
      <c r="BA22" s="29">
        <f>sumifs(raw_data!$E:$E,raw_data!$A:$A,$A22,raw_data!$D:$D,"Primary_Walkin",raw_data!$C:$C,$AZ$1)</f>
        <v>9</v>
      </c>
      <c r="BB22" s="29">
        <f>sumifs(raw_data!$E:$E,raw_data!$A:$A,$A22,raw_data!$D:$D,"Secondary_Walkin",raw_data!$C:$C,$AZ$1)</f>
        <v>1</v>
      </c>
      <c r="BC22" s="29">
        <f>sumifs(raw_data!$E:$E,raw_data!$A:$A,$A22,raw_data!$G:$G,"GS Foundation",raw_data!$C:$C,$AZ$1)</f>
        <v>2</v>
      </c>
      <c r="BD22" s="29">
        <f>sumifs(raw_data!$E:$E,raw_data!$A:$A,$A22,raw_data!$C:$C,$AZ$1) - sumifs(raw_data!$E:$E,raw_data!$A:$A,$A22,raw_data!$G:$G,"GS Foundation",raw_data!$C:$C,$AZ$1)</f>
        <v>8</v>
      </c>
      <c r="BE22" s="76">
        <f>sumifs(raw_data!$Z:$Z,raw_data!$T:$T,$A22,raw_data!$U:$U,"Telephony",raw_data!$Y:$Y,$AZ$1)</f>
        <v>3</v>
      </c>
      <c r="BF22" s="76">
        <f>sumifs(raw_data!$Z:$Z,raw_data!$T:$T,$A22,raw_data!$U:$U,"Paid Ads",raw_data!$Y:$Y,$AZ$1)</f>
        <v>0</v>
      </c>
      <c r="BG22" s="76">
        <f>sumifs(raw_data!$N:$N,raw_data!$K:$K,$A22,raw_data!$O:$O,$AZ$1)</f>
        <v>0</v>
      </c>
      <c r="BH22" s="76">
        <f>sumifs(raw_data!$Z:$Z,raw_data!$T:$T,$A22,raw_data!$U:$U,"External Leads",raw_data!$Y:$Y,$AZ$1)</f>
        <v>0</v>
      </c>
      <c r="BI22" s="74"/>
    </row>
    <row r="23">
      <c r="A23" s="33">
        <v>46070.0</v>
      </c>
      <c r="B23" s="29">
        <f>sumifs(raw_data!$E:$E,raw_data!$A:$A,$A23)</f>
        <v>55</v>
      </c>
      <c r="C23" s="29">
        <f>sumifs(raw_data!$E:$E,raw_data!$A:$A,$A23,raw_data!$D:$D,"Primary_Walkin")</f>
        <v>50</v>
      </c>
      <c r="D23" s="29">
        <f>sumifs(raw_data!$E:$E,raw_data!$A:$A,$A23,raw_data!$D:$D,"Secondary_Walkin")</f>
        <v>5</v>
      </c>
      <c r="E23" s="29">
        <f>sumifs(raw_data!$E:$E,raw_data!$A:$A,$A23,raw_data!$G:$G,"GS Foundation")</f>
        <v>35</v>
      </c>
      <c r="F23" s="29">
        <f>sumifs(raw_data!$E:$E,raw_data!$A:$A,$A23) - sumifs(raw_data!$E:$E,raw_data!$A:$A,$A23,raw_data!$G:$G,"GS Foundation")</f>
        <v>20</v>
      </c>
      <c r="G23" s="76">
        <f>sumifs(raw_data!$Z:$Z,raw_data!$T:$T,$A23,raw_data!$U:$U,"Telephony")</f>
        <v>10</v>
      </c>
      <c r="H23" s="76">
        <f>sumifs(raw_data!$Z:$Z,raw_data!$T:$T,$A23,raw_data!$U:$U,"Paid Ads")</f>
        <v>64</v>
      </c>
      <c r="I23" s="76">
        <f t="shared" si="1"/>
        <v>0</v>
      </c>
      <c r="J23" s="76">
        <f>sumifs(raw_data!$Z:$Z,raw_data!$T:$T,$A23,raw_data!$U:$U,"External Leads")</f>
        <v>0</v>
      </c>
      <c r="K23" s="71"/>
      <c r="L23" s="77">
        <f>sumifs(raw_data!$E:$E,raw_data!$A:$A,$A23,raw_data!$C:$C,$L$1)</f>
        <v>20</v>
      </c>
      <c r="M23" s="29">
        <f>sumifs(raw_data!$E:$E,raw_data!$A:$A,$A23,raw_data!$D:$D,"Primary_Walkin",raw_data!$C:$C,$L$1)</f>
        <v>18</v>
      </c>
      <c r="N23" s="29">
        <f>sumifs(raw_data!$E:$E,raw_data!$A:$A,$A23,raw_data!$D:$D,"Secondary_Walkin",raw_data!$C:$C,$L$1)</f>
        <v>2</v>
      </c>
      <c r="O23" s="29">
        <f>sumifs(raw_data!$E:$E,raw_data!$A:$A,$A23,raw_data!$G:$G,"GS Foundation",raw_data!$C:$C,$L$1)</f>
        <v>18</v>
      </c>
      <c r="P23" s="29">
        <f>sumifs(raw_data!$E:$E,raw_data!$A:$A,$A23,raw_data!$C:$C,$L$1) - sumifs(raw_data!$E:$E,raw_data!$A:$A,$A23,raw_data!$G:$G,"GS Foundation",raw_data!$C:$C,$L$1)</f>
        <v>2</v>
      </c>
      <c r="Q23" s="76">
        <f>sumifs(raw_data!$Z:$Z,raw_data!$T:$T,$A23,raw_data!$U:$U,"Telephony",raw_data!$Y:$Y,$L$1)</f>
        <v>0</v>
      </c>
      <c r="R23" s="76">
        <f>sumifs(raw_data!$Z:$Z,raw_data!$T:$T,$A23,raw_data!$U:$U,"Paid Ads",raw_data!$Y:$Y,$L$1)</f>
        <v>1</v>
      </c>
      <c r="S23" s="76">
        <f>sumifs(raw_data!$N:$N,raw_data!$K:$K,$A23,raw_data!$O:$O,$L$1)</f>
        <v>0</v>
      </c>
      <c r="T23" s="76">
        <f>sumifs(raw_data!$Z:$Z,raw_data!$T:$T,$A23,raw_data!$U:$U,"External Leads",raw_data!$Y:$Y,$L$1)</f>
        <v>0</v>
      </c>
      <c r="U23" s="71"/>
      <c r="V23" s="77">
        <f>sumifs(raw_data!$E:$E,raw_data!$A:$A,$A23,raw_data!$C:$C,$V$1)</f>
        <v>17</v>
      </c>
      <c r="W23" s="29">
        <f>sumifs(raw_data!$E:$E,raw_data!$A:$A,$A23,raw_data!$D:$D,"Primary_Walkin",raw_data!$C:$C,$V$1)</f>
        <v>16</v>
      </c>
      <c r="X23" s="29">
        <f>sumifs(raw_data!$E:$E,raw_data!$A:$A,$A23,raw_data!$D:$D,"Secondary_Walkin",raw_data!$C:$C,$V$1)</f>
        <v>1</v>
      </c>
      <c r="Y23" s="29">
        <f>sumifs(raw_data!$E:$E,raw_data!$A:$A,$A23,raw_data!$G:$G,"GS Foundation",raw_data!$C:$C,$V$1)</f>
        <v>7</v>
      </c>
      <c r="Z23" s="29">
        <f>sumifs(raw_data!$E:$E,raw_data!$A:$A,$A23,raw_data!$C:$C,$V$1) - sumifs(raw_data!$E:$E,raw_data!$A:$A,$A23,raw_data!$G:$G,"GS Foundation",raw_data!$C:$C,$V$1)</f>
        <v>10</v>
      </c>
      <c r="AA23" s="76">
        <f>sumifs(raw_data!$Z:$Z,raw_data!$T:$T,$A23,raw_data!$U:$U,"Telephony",raw_data!$Y:$Y,$V$1)</f>
        <v>0</v>
      </c>
      <c r="AB23" s="76">
        <f>sumifs(raw_data!$Z:$Z,raw_data!$T:$T,$A23,raw_data!$U:$U,"Paid Ads",raw_data!$Y:$Y,$V$1)</f>
        <v>0</v>
      </c>
      <c r="AC23" s="76">
        <f>sumifs(raw_data!$N:$N,raw_data!$K:$K,$A23,raw_data!$O:$O,$V$1)</f>
        <v>0</v>
      </c>
      <c r="AD23" s="76">
        <f>sumifs(raw_data!$Z:$Z,raw_data!$T:$T,$A23,raw_data!$U:$U,"External Leads",raw_data!$Y:$Y,$V$1)</f>
        <v>0</v>
      </c>
      <c r="AE23" s="71"/>
      <c r="AF23" s="77">
        <f>sumifs(raw_data!$E:$E,raw_data!$A:$A,$A23,raw_data!$C:$C,$AF$1)</f>
        <v>0</v>
      </c>
      <c r="AG23" s="29">
        <f>sumifs(raw_data!$E:$E,raw_data!$A:$A,$A23,raw_data!$D:$D,"Primary_Walkin",raw_data!$C:$C,$AF$1)</f>
        <v>0</v>
      </c>
      <c r="AH23" s="29">
        <f>sumifs(raw_data!$E:$E,raw_data!$A:$A,$A23,raw_data!$D:$D,"Secondary_Walkin",raw_data!$C:$C,$AF$1)</f>
        <v>0</v>
      </c>
      <c r="AI23" s="29">
        <f>sumifs(raw_data!$E:$E,raw_data!$A:$A,$A23,raw_data!$G:$G,"GS Foundation",raw_data!$C:$C,$AF$1)</f>
        <v>0</v>
      </c>
      <c r="AJ23" s="29">
        <f>sumifs(raw_data!$E:$E,raw_data!$A:$A,$A23,raw_data!$C:$C,$AF$1) - sumifs(raw_data!$E:$E,raw_data!$A:$A,$A23,raw_data!$G:$G,"GS Foundation",raw_data!$C:$C,$AF$1)</f>
        <v>0</v>
      </c>
      <c r="AK23" s="76">
        <f>sumifs(raw_data!$Z:$Z,raw_data!$T:$T,$A23,raw_data!$U:$U,"Telephony",raw_data!$Y:$Y,$AF$1)</f>
        <v>0</v>
      </c>
      <c r="AL23" s="76">
        <f>sumifs(raw_data!$Z:$Z,raw_data!$T:$T,$A23,raw_data!$U:$U,"Paid Ads",raw_data!$Y:$Y,$AF$1)</f>
        <v>26</v>
      </c>
      <c r="AM23" s="76">
        <f>sumifs(raw_data!$N:$N,raw_data!$K:$K,$A23,raw_data!$O:$O,$AF$1)</f>
        <v>0</v>
      </c>
      <c r="AN23" s="76">
        <f>sumifs(raw_data!$Z:$Z,raw_data!$T:$T,$A23,raw_data!$U:$U,"External Leads",raw_data!$Y:$Y,$AF$1)</f>
        <v>0</v>
      </c>
      <c r="AO23" s="75"/>
      <c r="AP23" s="77">
        <f>sumifs(raw_data!$E:$E,raw_data!$A:$A,$A23,raw_data!$C:$C,$AP$1)</f>
        <v>13</v>
      </c>
      <c r="AQ23" s="29">
        <f>sumifs(raw_data!$E:$E,raw_data!$A:$A,$A23,raw_data!$D:$D,"Primary_Walkin",raw_data!$C:$C,$AP$1)</f>
        <v>12</v>
      </c>
      <c r="AR23" s="29">
        <f>sumifs(raw_data!$E:$E,raw_data!$A:$A,$A23,raw_data!$D:$D,"Secondary_Walkin",raw_data!$C:$C,$AP$1)</f>
        <v>1</v>
      </c>
      <c r="AS23" s="29">
        <f>sumifs(raw_data!$E:$E,raw_data!$A:$A,$A23,raw_data!$G:$G,"GS Foundation",raw_data!$C:$C,$AP$1)</f>
        <v>9</v>
      </c>
      <c r="AT23" s="29">
        <f>sumifs(raw_data!$E:$E,raw_data!$A:$A,$A23,raw_data!$C:$C,$AP$1) - sumifs(raw_data!$E:$E,raw_data!$A:$A,$A23,raw_data!$G:$G,"GS Foundation",raw_data!$C:$C,$AP$1)</f>
        <v>4</v>
      </c>
      <c r="AU23" s="76">
        <f>sumifs(raw_data!$Z:$Z,raw_data!$T:$T,$A23,raw_data!$U:$U,"Telephony",raw_data!$Y:$Y,$AP$1)</f>
        <v>0</v>
      </c>
      <c r="AV23" s="76">
        <f>sumifs(raw_data!$Z:$Z,raw_data!$T:$T,$A23,raw_data!$U:$U,"Paid Ads",raw_data!$Y:$Y,$AP$1)</f>
        <v>0</v>
      </c>
      <c r="AW23" s="76">
        <f>sumifs(raw_data!$N:$N,raw_data!$K:$K,$A23,raw_data!$O:$O,$AP$1)</f>
        <v>0</v>
      </c>
      <c r="AX23" s="76">
        <f>sumifs(raw_data!$Z:$Z,raw_data!$T:$T,$A23,raw_data!$U:$U,"External Leads",raw_data!$Y:$Y,$AP$1)</f>
        <v>0</v>
      </c>
      <c r="AY23" s="75"/>
      <c r="AZ23" s="77">
        <f>sumifs(raw_data!$E:$E,raw_data!$A:$A,$A23,raw_data!$C:$C,$AZ$1)</f>
        <v>5</v>
      </c>
      <c r="BA23" s="29">
        <f>sumifs(raw_data!$E:$E,raw_data!$A:$A,$A23,raw_data!$D:$D,"Primary_Walkin",raw_data!$C:$C,$AZ$1)</f>
        <v>4</v>
      </c>
      <c r="BB23" s="29">
        <f>sumifs(raw_data!$E:$E,raw_data!$A:$A,$A23,raw_data!$D:$D,"Secondary_Walkin",raw_data!$C:$C,$AZ$1)</f>
        <v>1</v>
      </c>
      <c r="BC23" s="29">
        <f>sumifs(raw_data!$E:$E,raw_data!$A:$A,$A23,raw_data!$G:$G,"GS Foundation",raw_data!$C:$C,$AZ$1)</f>
        <v>1</v>
      </c>
      <c r="BD23" s="29">
        <f>sumifs(raw_data!$E:$E,raw_data!$A:$A,$A23,raw_data!$C:$C,$AZ$1) - sumifs(raw_data!$E:$E,raw_data!$A:$A,$A23,raw_data!$G:$G,"GS Foundation",raw_data!$C:$C,$AZ$1)</f>
        <v>4</v>
      </c>
      <c r="BE23" s="76">
        <f>sumifs(raw_data!$Z:$Z,raw_data!$T:$T,$A23,raw_data!$U:$U,"Telephony",raw_data!$Y:$Y,$AZ$1)</f>
        <v>3</v>
      </c>
      <c r="BF23" s="76">
        <f>sumifs(raw_data!$Z:$Z,raw_data!$T:$T,$A23,raw_data!$U:$U,"Paid Ads",raw_data!$Y:$Y,$AZ$1)</f>
        <v>37</v>
      </c>
      <c r="BG23" s="76">
        <f>sumifs(raw_data!$N:$N,raw_data!$K:$K,$A23,raw_data!$O:$O,$AZ$1)</f>
        <v>0</v>
      </c>
      <c r="BH23" s="76">
        <f>sumifs(raw_data!$Z:$Z,raw_data!$T:$T,$A23,raw_data!$U:$U,"External Leads",raw_data!$Y:$Y,$AZ$1)</f>
        <v>0</v>
      </c>
      <c r="BI23" s="74"/>
    </row>
    <row r="24">
      <c r="A24" s="33">
        <v>46071.0</v>
      </c>
      <c r="B24" s="29">
        <f>sumifs(raw_data!$E:$E,raw_data!$A:$A,$A24)</f>
        <v>56</v>
      </c>
      <c r="C24" s="29">
        <f>sumifs(raw_data!$E:$E,raw_data!$A:$A,$A24,raw_data!$D:$D,"Primary_Walkin")</f>
        <v>50</v>
      </c>
      <c r="D24" s="29">
        <f>sumifs(raw_data!$E:$E,raw_data!$A:$A,$A24,raw_data!$D:$D,"Secondary_Walkin")</f>
        <v>6</v>
      </c>
      <c r="E24" s="29">
        <f>sumifs(raw_data!$E:$E,raw_data!$A:$A,$A24,raw_data!$G:$G,"GS Foundation")</f>
        <v>27</v>
      </c>
      <c r="F24" s="29">
        <f>sumifs(raw_data!$E:$E,raw_data!$A:$A,$A24) - sumifs(raw_data!$E:$E,raw_data!$A:$A,$A24,raw_data!$G:$G,"GS Foundation")</f>
        <v>29</v>
      </c>
      <c r="G24" s="76">
        <f>sumifs(raw_data!$Z:$Z,raw_data!$T:$T,$A24,raw_data!$U:$U,"Telephony")</f>
        <v>11</v>
      </c>
      <c r="H24" s="76">
        <f>sumifs(raw_data!$Z:$Z,raw_data!$T:$T,$A24,raw_data!$U:$U,"Paid Ads")</f>
        <v>0</v>
      </c>
      <c r="I24" s="76">
        <f t="shared" si="1"/>
        <v>0</v>
      </c>
      <c r="J24" s="76">
        <f>sumifs(raw_data!$Z:$Z,raw_data!$T:$T,$A24,raw_data!$U:$U,"External Leads")</f>
        <v>39</v>
      </c>
      <c r="K24" s="71"/>
      <c r="L24" s="77">
        <f>sumifs(raw_data!$E:$E,raw_data!$A:$A,$A24,raw_data!$C:$C,$L$1)</f>
        <v>13</v>
      </c>
      <c r="M24" s="29">
        <f>sumifs(raw_data!$E:$E,raw_data!$A:$A,$A24,raw_data!$D:$D,"Primary_Walkin",raw_data!$C:$C,$L$1)</f>
        <v>11</v>
      </c>
      <c r="N24" s="29">
        <f>sumifs(raw_data!$E:$E,raw_data!$A:$A,$A24,raw_data!$D:$D,"Secondary_Walkin",raw_data!$C:$C,$L$1)</f>
        <v>2</v>
      </c>
      <c r="O24" s="29">
        <f>sumifs(raw_data!$E:$E,raw_data!$A:$A,$A24,raw_data!$G:$G,"GS Foundation",raw_data!$C:$C,$L$1)</f>
        <v>11</v>
      </c>
      <c r="P24" s="29">
        <f>sumifs(raw_data!$E:$E,raw_data!$A:$A,$A24,raw_data!$C:$C,$L$1) - sumifs(raw_data!$E:$E,raw_data!$A:$A,$A24,raw_data!$G:$G,"GS Foundation",raw_data!$C:$C,$L$1)</f>
        <v>2</v>
      </c>
      <c r="Q24" s="76">
        <f>sumifs(raw_data!$Z:$Z,raw_data!$T:$T,$A24,raw_data!$U:$U,"Telephony",raw_data!$Y:$Y,$L$1)</f>
        <v>0</v>
      </c>
      <c r="R24" s="76">
        <f>sumifs(raw_data!$Z:$Z,raw_data!$T:$T,$A24,raw_data!$U:$U,"Paid Ads",raw_data!$Y:$Y,$L$1)</f>
        <v>0</v>
      </c>
      <c r="S24" s="76">
        <f>sumifs(raw_data!$N:$N,raw_data!$K:$K,$A24,raw_data!$O:$O,$L$1)</f>
        <v>0</v>
      </c>
      <c r="T24" s="76">
        <f>sumifs(raw_data!$Z:$Z,raw_data!$T:$T,$A24,raw_data!$U:$U,"External Leads",raw_data!$Y:$Y,$L$1)</f>
        <v>0</v>
      </c>
      <c r="U24" s="71"/>
      <c r="V24" s="77">
        <f>sumifs(raw_data!$E:$E,raw_data!$A:$A,$A24,raw_data!$C:$C,$V$1)</f>
        <v>13</v>
      </c>
      <c r="W24" s="29">
        <f>sumifs(raw_data!$E:$E,raw_data!$A:$A,$A24,raw_data!$D:$D,"Primary_Walkin",raw_data!$C:$C,$V$1)</f>
        <v>12</v>
      </c>
      <c r="X24" s="29">
        <f>sumifs(raw_data!$E:$E,raw_data!$A:$A,$A24,raw_data!$D:$D,"Secondary_Walkin",raw_data!$C:$C,$V$1)</f>
        <v>1</v>
      </c>
      <c r="Y24" s="29">
        <f>sumifs(raw_data!$E:$E,raw_data!$A:$A,$A24,raw_data!$G:$G,"GS Foundation",raw_data!$C:$C,$V$1)</f>
        <v>1</v>
      </c>
      <c r="Z24" s="29">
        <f>sumifs(raw_data!$E:$E,raw_data!$A:$A,$A24,raw_data!$C:$C,$V$1) - sumifs(raw_data!$E:$E,raw_data!$A:$A,$A24,raw_data!$G:$G,"GS Foundation",raw_data!$C:$C,$V$1)</f>
        <v>12</v>
      </c>
      <c r="AA24" s="76">
        <f>sumifs(raw_data!$Z:$Z,raw_data!$T:$T,$A24,raw_data!$U:$U,"Telephony",raw_data!$Y:$Y,$V$1)</f>
        <v>1</v>
      </c>
      <c r="AB24" s="76">
        <f>sumifs(raw_data!$Z:$Z,raw_data!$T:$T,$A24,raw_data!$U:$U,"Paid Ads",raw_data!$Y:$Y,$V$1)</f>
        <v>0</v>
      </c>
      <c r="AC24" s="76">
        <f>sumifs(raw_data!$N:$N,raw_data!$K:$K,$A24,raw_data!$O:$O,$V$1)</f>
        <v>0</v>
      </c>
      <c r="AD24" s="76">
        <f>sumifs(raw_data!$Z:$Z,raw_data!$T:$T,$A24,raw_data!$U:$U,"External Leads",raw_data!$Y:$Y,$V$1)</f>
        <v>0</v>
      </c>
      <c r="AE24" s="71"/>
      <c r="AF24" s="77">
        <f>sumifs(raw_data!$E:$E,raw_data!$A:$A,$A24,raw_data!$C:$C,$AF$1)</f>
        <v>10</v>
      </c>
      <c r="AG24" s="29">
        <f>sumifs(raw_data!$E:$E,raw_data!$A:$A,$A24,raw_data!$D:$D,"Primary_Walkin",raw_data!$C:$C,$AF$1)</f>
        <v>9</v>
      </c>
      <c r="AH24" s="29">
        <f>sumifs(raw_data!$E:$E,raw_data!$A:$A,$A24,raw_data!$D:$D,"Secondary_Walkin",raw_data!$C:$C,$AF$1)</f>
        <v>1</v>
      </c>
      <c r="AI24" s="29">
        <f>sumifs(raw_data!$E:$E,raw_data!$A:$A,$A24,raw_data!$G:$G,"GS Foundation",raw_data!$C:$C,$AF$1)</f>
        <v>6</v>
      </c>
      <c r="AJ24" s="29">
        <f>sumifs(raw_data!$E:$E,raw_data!$A:$A,$A24,raw_data!$C:$C,$AF$1) - sumifs(raw_data!$E:$E,raw_data!$A:$A,$A24,raw_data!$G:$G,"GS Foundation",raw_data!$C:$C,$AF$1)</f>
        <v>4</v>
      </c>
      <c r="AK24" s="76">
        <f>sumifs(raw_data!$Z:$Z,raw_data!$T:$T,$A24,raw_data!$U:$U,"Telephony",raw_data!$Y:$Y,$AF$1)</f>
        <v>1</v>
      </c>
      <c r="AL24" s="76">
        <f>sumifs(raw_data!$Z:$Z,raw_data!$T:$T,$A24,raw_data!$U:$U,"Paid Ads",raw_data!$Y:$Y,$AF$1)</f>
        <v>0</v>
      </c>
      <c r="AM24" s="76">
        <f>sumifs(raw_data!$N:$N,raw_data!$K:$K,$A24,raw_data!$O:$O,$AF$1)</f>
        <v>0</v>
      </c>
      <c r="AN24" s="76">
        <f>sumifs(raw_data!$Z:$Z,raw_data!$T:$T,$A24,raw_data!$U:$U,"External Leads",raw_data!$Y:$Y,$AF$1)</f>
        <v>0</v>
      </c>
      <c r="AO24" s="75"/>
      <c r="AP24" s="77">
        <f>sumifs(raw_data!$E:$E,raw_data!$A:$A,$A24,raw_data!$C:$C,$AP$1)</f>
        <v>14</v>
      </c>
      <c r="AQ24" s="29">
        <f>sumifs(raw_data!$E:$E,raw_data!$A:$A,$A24,raw_data!$D:$D,"Primary_Walkin",raw_data!$C:$C,$AP$1)</f>
        <v>13</v>
      </c>
      <c r="AR24" s="29">
        <f>sumifs(raw_data!$E:$E,raw_data!$A:$A,$A24,raw_data!$D:$D,"Secondary_Walkin",raw_data!$C:$C,$AP$1)</f>
        <v>1</v>
      </c>
      <c r="AS24" s="29">
        <f>sumifs(raw_data!$E:$E,raw_data!$A:$A,$A24,raw_data!$G:$G,"GS Foundation",raw_data!$C:$C,$AP$1)</f>
        <v>8</v>
      </c>
      <c r="AT24" s="29">
        <f>sumifs(raw_data!$E:$E,raw_data!$A:$A,$A24,raw_data!$C:$C,$AP$1) - sumifs(raw_data!$E:$E,raw_data!$A:$A,$A24,raw_data!$G:$G,"GS Foundation",raw_data!$C:$C,$AP$1)</f>
        <v>6</v>
      </c>
      <c r="AU24" s="76">
        <f>sumifs(raw_data!$Z:$Z,raw_data!$T:$T,$A24,raw_data!$U:$U,"Telephony",raw_data!$Y:$Y,$AP$1)</f>
        <v>0</v>
      </c>
      <c r="AV24" s="76">
        <f>sumifs(raw_data!$Z:$Z,raw_data!$T:$T,$A24,raw_data!$U:$U,"Paid Ads",raw_data!$Y:$Y,$AP$1)</f>
        <v>0</v>
      </c>
      <c r="AW24" s="76">
        <f>sumifs(raw_data!$N:$N,raw_data!$K:$K,$A24,raw_data!$O:$O,$AP$1)</f>
        <v>0</v>
      </c>
      <c r="AX24" s="76">
        <f>sumifs(raw_data!$Z:$Z,raw_data!$T:$T,$A24,raw_data!$U:$U,"External Leads",raw_data!$Y:$Y,$AP$1)</f>
        <v>0</v>
      </c>
      <c r="AY24" s="75"/>
      <c r="AZ24" s="77">
        <f>sumifs(raw_data!$E:$E,raw_data!$A:$A,$A24,raw_data!$C:$C,$AZ$1)</f>
        <v>6</v>
      </c>
      <c r="BA24" s="29">
        <f>sumifs(raw_data!$E:$E,raw_data!$A:$A,$A24,raw_data!$D:$D,"Primary_Walkin",raw_data!$C:$C,$AZ$1)</f>
        <v>5</v>
      </c>
      <c r="BB24" s="29">
        <f>sumifs(raw_data!$E:$E,raw_data!$A:$A,$A24,raw_data!$D:$D,"Secondary_Walkin",raw_data!$C:$C,$AZ$1)</f>
        <v>1</v>
      </c>
      <c r="BC24" s="29">
        <f>sumifs(raw_data!$E:$E,raw_data!$A:$A,$A24,raw_data!$G:$G,"GS Foundation",raw_data!$C:$C,$AZ$1)</f>
        <v>1</v>
      </c>
      <c r="BD24" s="29">
        <f>sumifs(raw_data!$E:$E,raw_data!$A:$A,$A24,raw_data!$C:$C,$AZ$1) - sumifs(raw_data!$E:$E,raw_data!$A:$A,$A24,raw_data!$G:$G,"GS Foundation",raw_data!$C:$C,$AZ$1)</f>
        <v>5</v>
      </c>
      <c r="BE24" s="76">
        <f>sumifs(raw_data!$Z:$Z,raw_data!$T:$T,$A24,raw_data!$U:$U,"Telephony",raw_data!$Y:$Y,$AZ$1)</f>
        <v>3</v>
      </c>
      <c r="BF24" s="76">
        <f>sumifs(raw_data!$Z:$Z,raw_data!$T:$T,$A24,raw_data!$U:$U,"Paid Ads",raw_data!$Y:$Y,$AZ$1)</f>
        <v>0</v>
      </c>
      <c r="BG24" s="76">
        <f>sumifs(raw_data!$N:$N,raw_data!$K:$K,$A24,raw_data!$O:$O,$AZ$1)</f>
        <v>0</v>
      </c>
      <c r="BH24" s="76">
        <f>sumifs(raw_data!$Z:$Z,raw_data!$T:$T,$A24,raw_data!$U:$U,"External Leads",raw_data!$Y:$Y,$AZ$1)</f>
        <v>1</v>
      </c>
      <c r="BI24" s="74"/>
    </row>
    <row r="25">
      <c r="A25" s="33">
        <v>46072.0</v>
      </c>
      <c r="B25" s="29">
        <f>sumifs(raw_data!$E:$E,raw_data!$A:$A,$A25)</f>
        <v>59</v>
      </c>
      <c r="C25" s="29">
        <f>sumifs(raw_data!$E:$E,raw_data!$A:$A,$A25,raw_data!$D:$D,"Primary_Walkin")</f>
        <v>53</v>
      </c>
      <c r="D25" s="29">
        <f>sumifs(raw_data!$E:$E,raw_data!$A:$A,$A25,raw_data!$D:$D,"Secondary_Walkin")</f>
        <v>6</v>
      </c>
      <c r="E25" s="29">
        <f>sumifs(raw_data!$E:$E,raw_data!$A:$A,$A25,raw_data!$G:$G,"GS Foundation")</f>
        <v>29</v>
      </c>
      <c r="F25" s="29">
        <f>sumifs(raw_data!$E:$E,raw_data!$A:$A,$A25) - sumifs(raw_data!$E:$E,raw_data!$A:$A,$A25,raw_data!$G:$G,"GS Foundation")</f>
        <v>30</v>
      </c>
      <c r="G25" s="76">
        <f>sumifs(raw_data!$Z:$Z,raw_data!$T:$T,$A25,raw_data!$U:$U,"Telephony")</f>
        <v>14</v>
      </c>
      <c r="H25" s="76">
        <f>sumifs(raw_data!$Z:$Z,raw_data!$T:$T,$A25,raw_data!$U:$U,"Paid Ads")</f>
        <v>1</v>
      </c>
      <c r="I25" s="76">
        <f t="shared" si="1"/>
        <v>0</v>
      </c>
      <c r="J25" s="76">
        <f>sumifs(raw_data!$Z:$Z,raw_data!$T:$T,$A25,raw_data!$U:$U,"External Leads")</f>
        <v>36</v>
      </c>
      <c r="K25" s="71"/>
      <c r="L25" s="77">
        <f>sumifs(raw_data!$E:$E,raw_data!$A:$A,$A25,raw_data!$C:$C,$L$1)</f>
        <v>14</v>
      </c>
      <c r="M25" s="29">
        <f>sumifs(raw_data!$E:$E,raw_data!$A:$A,$A25,raw_data!$D:$D,"Primary_Walkin",raw_data!$C:$C,$L$1)</f>
        <v>12</v>
      </c>
      <c r="N25" s="29">
        <f>sumifs(raw_data!$E:$E,raw_data!$A:$A,$A25,raw_data!$D:$D,"Secondary_Walkin",raw_data!$C:$C,$L$1)</f>
        <v>2</v>
      </c>
      <c r="O25" s="29">
        <f>sumifs(raw_data!$E:$E,raw_data!$A:$A,$A25,raw_data!$G:$G,"GS Foundation",raw_data!$C:$C,$L$1)</f>
        <v>12</v>
      </c>
      <c r="P25" s="29">
        <f>sumifs(raw_data!$E:$E,raw_data!$A:$A,$A25,raw_data!$C:$C,$L$1) - sumifs(raw_data!$E:$E,raw_data!$A:$A,$A25,raw_data!$G:$G,"GS Foundation",raw_data!$C:$C,$L$1)</f>
        <v>2</v>
      </c>
      <c r="Q25" s="76">
        <f>sumifs(raw_data!$Z:$Z,raw_data!$T:$T,$A25,raw_data!$U:$U,"Telephony",raw_data!$Y:$Y,$L$1)</f>
        <v>0</v>
      </c>
      <c r="R25" s="76">
        <f>sumifs(raw_data!$Z:$Z,raw_data!$T:$T,$A25,raw_data!$U:$U,"Paid Ads",raw_data!$Y:$Y,$L$1)</f>
        <v>0</v>
      </c>
      <c r="S25" s="76">
        <f>sumifs(raw_data!$N:$N,raw_data!$K:$K,$A25,raw_data!$O:$O,$L$1)</f>
        <v>0</v>
      </c>
      <c r="T25" s="76">
        <f>sumifs(raw_data!$Z:$Z,raw_data!$T:$T,$A25,raw_data!$U:$U,"External Leads",raw_data!$Y:$Y,$L$1)</f>
        <v>0</v>
      </c>
      <c r="U25" s="71"/>
      <c r="V25" s="77">
        <f>sumifs(raw_data!$E:$E,raw_data!$A:$A,$A25,raw_data!$C:$C,$V$1)</f>
        <v>15</v>
      </c>
      <c r="W25" s="29">
        <f>sumifs(raw_data!$E:$E,raw_data!$A:$A,$A25,raw_data!$D:$D,"Primary_Walkin",raw_data!$C:$C,$V$1)</f>
        <v>14</v>
      </c>
      <c r="X25" s="29">
        <f>sumifs(raw_data!$E:$E,raw_data!$A:$A,$A25,raw_data!$D:$D,"Secondary_Walkin",raw_data!$C:$C,$V$1)</f>
        <v>1</v>
      </c>
      <c r="Y25" s="29">
        <f>sumifs(raw_data!$E:$E,raw_data!$A:$A,$A25,raw_data!$G:$G,"GS Foundation",raw_data!$C:$C,$V$1)</f>
        <v>5</v>
      </c>
      <c r="Z25" s="29">
        <f>sumifs(raw_data!$E:$E,raw_data!$A:$A,$A25,raw_data!$C:$C,$V$1) - sumifs(raw_data!$E:$E,raw_data!$A:$A,$A25,raw_data!$G:$G,"GS Foundation",raw_data!$C:$C,$V$1)</f>
        <v>10</v>
      </c>
      <c r="AA25" s="76">
        <f>sumifs(raw_data!$Z:$Z,raw_data!$T:$T,$A25,raw_data!$U:$U,"Telephony",raw_data!$Y:$Y,$V$1)</f>
        <v>0</v>
      </c>
      <c r="AB25" s="76">
        <f>sumifs(raw_data!$Z:$Z,raw_data!$T:$T,$A25,raw_data!$U:$U,"Paid Ads",raw_data!$Y:$Y,$V$1)</f>
        <v>0</v>
      </c>
      <c r="AC25" s="76">
        <f>sumifs(raw_data!$N:$N,raw_data!$K:$K,$A25,raw_data!$O:$O,$V$1)</f>
        <v>0</v>
      </c>
      <c r="AD25" s="76">
        <f>sumifs(raw_data!$Z:$Z,raw_data!$T:$T,$A25,raw_data!$U:$U,"External Leads",raw_data!$Y:$Y,$V$1)</f>
        <v>0</v>
      </c>
      <c r="AE25" s="71"/>
      <c r="AF25" s="77">
        <f>sumifs(raw_data!$E:$E,raw_data!$A:$A,$A25,raw_data!$C:$C,$AF$1)</f>
        <v>4</v>
      </c>
      <c r="AG25" s="29">
        <f>sumifs(raw_data!$E:$E,raw_data!$A:$A,$A25,raw_data!$D:$D,"Primary_Walkin",raw_data!$C:$C,$AF$1)</f>
        <v>4</v>
      </c>
      <c r="AH25" s="29">
        <f>sumifs(raw_data!$E:$E,raw_data!$A:$A,$A25,raw_data!$D:$D,"Secondary_Walkin",raw_data!$C:$C,$AF$1)</f>
        <v>0</v>
      </c>
      <c r="AI25" s="29">
        <f>sumifs(raw_data!$E:$E,raw_data!$A:$A,$A25,raw_data!$G:$G,"GS Foundation",raw_data!$C:$C,$AF$1)</f>
        <v>0</v>
      </c>
      <c r="AJ25" s="29">
        <f>sumifs(raw_data!$E:$E,raw_data!$A:$A,$A25,raw_data!$C:$C,$AF$1) - sumifs(raw_data!$E:$E,raw_data!$A:$A,$A25,raw_data!$G:$G,"GS Foundation",raw_data!$C:$C,$AF$1)</f>
        <v>4</v>
      </c>
      <c r="AK25" s="76">
        <f>sumifs(raw_data!$Z:$Z,raw_data!$T:$T,$A25,raw_data!$U:$U,"Telephony",raw_data!$Y:$Y,$AF$1)</f>
        <v>0</v>
      </c>
      <c r="AL25" s="76">
        <f>sumifs(raw_data!$Z:$Z,raw_data!$T:$T,$A25,raw_data!$U:$U,"Paid Ads",raw_data!$Y:$Y,$AF$1)</f>
        <v>0</v>
      </c>
      <c r="AM25" s="76">
        <f>sumifs(raw_data!$N:$N,raw_data!$K:$K,$A25,raw_data!$O:$O,$AF$1)</f>
        <v>0</v>
      </c>
      <c r="AN25" s="76">
        <f>sumifs(raw_data!$Z:$Z,raw_data!$T:$T,$A25,raw_data!$U:$U,"External Leads",raw_data!$Y:$Y,$AF$1)</f>
        <v>0</v>
      </c>
      <c r="AO25" s="75"/>
      <c r="AP25" s="77">
        <f>sumifs(raw_data!$E:$E,raw_data!$A:$A,$A25,raw_data!$C:$C,$AP$1)</f>
        <v>15</v>
      </c>
      <c r="AQ25" s="29">
        <f>sumifs(raw_data!$E:$E,raw_data!$A:$A,$A25,raw_data!$D:$D,"Primary_Walkin",raw_data!$C:$C,$AP$1)</f>
        <v>13</v>
      </c>
      <c r="AR25" s="29">
        <f>sumifs(raw_data!$E:$E,raw_data!$A:$A,$A25,raw_data!$D:$D,"Secondary_Walkin",raw_data!$C:$C,$AP$1)</f>
        <v>2</v>
      </c>
      <c r="AS25" s="29">
        <f>sumifs(raw_data!$E:$E,raw_data!$A:$A,$A25,raw_data!$G:$G,"GS Foundation",raw_data!$C:$C,$AP$1)</f>
        <v>7</v>
      </c>
      <c r="AT25" s="29">
        <f>sumifs(raw_data!$E:$E,raw_data!$A:$A,$A25,raw_data!$C:$C,$AP$1) - sumifs(raw_data!$E:$E,raw_data!$A:$A,$A25,raw_data!$G:$G,"GS Foundation",raw_data!$C:$C,$AP$1)</f>
        <v>8</v>
      </c>
      <c r="AU25" s="76">
        <f>sumifs(raw_data!$Z:$Z,raw_data!$T:$T,$A25,raw_data!$U:$U,"Telephony",raw_data!$Y:$Y,$AP$1)</f>
        <v>0</v>
      </c>
      <c r="AV25" s="76">
        <f>sumifs(raw_data!$Z:$Z,raw_data!$T:$T,$A25,raw_data!$U:$U,"Paid Ads",raw_data!$Y:$Y,$AP$1)</f>
        <v>0</v>
      </c>
      <c r="AW25" s="76">
        <f>sumifs(raw_data!$N:$N,raw_data!$K:$K,$A25,raw_data!$O:$O,$AP$1)</f>
        <v>0</v>
      </c>
      <c r="AX25" s="76">
        <f>sumifs(raw_data!$Z:$Z,raw_data!$T:$T,$A25,raw_data!$U:$U,"External Leads",raw_data!$Y:$Y,$AP$1)</f>
        <v>0</v>
      </c>
      <c r="AY25" s="75"/>
      <c r="AZ25" s="77">
        <f>sumifs(raw_data!$E:$E,raw_data!$A:$A,$A25,raw_data!$C:$C,$AZ$1)</f>
        <v>11</v>
      </c>
      <c r="BA25" s="29">
        <f>sumifs(raw_data!$E:$E,raw_data!$A:$A,$A25,raw_data!$D:$D,"Primary_Walkin",raw_data!$C:$C,$AZ$1)</f>
        <v>10</v>
      </c>
      <c r="BB25" s="29">
        <f>sumifs(raw_data!$E:$E,raw_data!$A:$A,$A25,raw_data!$D:$D,"Secondary_Walkin",raw_data!$C:$C,$AZ$1)</f>
        <v>1</v>
      </c>
      <c r="BC25" s="29">
        <f>sumifs(raw_data!$E:$E,raw_data!$A:$A,$A25,raw_data!$G:$G,"GS Foundation",raw_data!$C:$C,$AZ$1)</f>
        <v>5</v>
      </c>
      <c r="BD25" s="29">
        <f>sumifs(raw_data!$E:$E,raw_data!$A:$A,$A25,raw_data!$C:$C,$AZ$1) - sumifs(raw_data!$E:$E,raw_data!$A:$A,$A25,raw_data!$G:$G,"GS Foundation",raw_data!$C:$C,$AZ$1)</f>
        <v>6</v>
      </c>
      <c r="BE25" s="76">
        <f>sumifs(raw_data!$Z:$Z,raw_data!$T:$T,$A25,raw_data!$U:$U,"Telephony",raw_data!$Y:$Y,$AZ$1)</f>
        <v>2</v>
      </c>
      <c r="BF25" s="76">
        <f>sumifs(raw_data!$Z:$Z,raw_data!$T:$T,$A25,raw_data!$U:$U,"Paid Ads",raw_data!$Y:$Y,$AZ$1)</f>
        <v>1</v>
      </c>
      <c r="BG25" s="76">
        <f>sumifs(raw_data!$N:$N,raw_data!$K:$K,$A25,raw_data!$O:$O,$AZ$1)</f>
        <v>0</v>
      </c>
      <c r="BH25" s="76">
        <f>sumifs(raw_data!$Z:$Z,raw_data!$T:$T,$A25,raw_data!$U:$U,"External Leads",raw_data!$Y:$Y,$AZ$1)</f>
        <v>0</v>
      </c>
      <c r="BI25" s="74"/>
    </row>
    <row r="26">
      <c r="A26" s="33">
        <v>46073.0</v>
      </c>
      <c r="B26" s="29">
        <f>sumifs(raw_data!$E:$E,raw_data!$A:$A,$A26)</f>
        <v>55</v>
      </c>
      <c r="C26" s="29">
        <f>sumifs(raw_data!$E:$E,raw_data!$A:$A,$A26,raw_data!$D:$D,"Primary_Walkin")</f>
        <v>48</v>
      </c>
      <c r="D26" s="29">
        <f>sumifs(raw_data!$E:$E,raw_data!$A:$A,$A26,raw_data!$D:$D,"Secondary_Walkin")</f>
        <v>7</v>
      </c>
      <c r="E26" s="29">
        <f>sumifs(raw_data!$E:$E,raw_data!$A:$A,$A26,raw_data!$G:$G,"GS Foundation")</f>
        <v>30</v>
      </c>
      <c r="F26" s="29">
        <f>sumifs(raw_data!$E:$E,raw_data!$A:$A,$A26) - sumifs(raw_data!$E:$E,raw_data!$A:$A,$A26,raw_data!$G:$G,"GS Foundation")</f>
        <v>25</v>
      </c>
      <c r="G26" s="76">
        <f>sumifs(raw_data!$Z:$Z,raw_data!$T:$T,$A26,raw_data!$U:$U,"Telephony")</f>
        <v>14</v>
      </c>
      <c r="H26" s="76">
        <f>sumifs(raw_data!$Z:$Z,raw_data!$T:$T,$A26,raw_data!$U:$U,"Paid Ads")</f>
        <v>0</v>
      </c>
      <c r="I26" s="76">
        <f t="shared" si="1"/>
        <v>0</v>
      </c>
      <c r="J26" s="76">
        <f>sumifs(raw_data!$Z:$Z,raw_data!$T:$T,$A26,raw_data!$U:$U,"External Leads")</f>
        <v>0</v>
      </c>
      <c r="K26" s="71"/>
      <c r="L26" s="77">
        <f>sumifs(raw_data!$E:$E,raw_data!$A:$A,$A26,raw_data!$C:$C,$L$1)</f>
        <v>14</v>
      </c>
      <c r="M26" s="29">
        <f>sumifs(raw_data!$E:$E,raw_data!$A:$A,$A26,raw_data!$D:$D,"Primary_Walkin",raw_data!$C:$C,$L$1)</f>
        <v>13</v>
      </c>
      <c r="N26" s="29">
        <f>sumifs(raw_data!$E:$E,raw_data!$A:$A,$A26,raw_data!$D:$D,"Secondary_Walkin",raw_data!$C:$C,$L$1)</f>
        <v>1</v>
      </c>
      <c r="O26" s="29">
        <f>sumifs(raw_data!$E:$E,raw_data!$A:$A,$A26,raw_data!$G:$G,"GS Foundation",raw_data!$C:$C,$L$1)</f>
        <v>13</v>
      </c>
      <c r="P26" s="29">
        <f>sumifs(raw_data!$E:$E,raw_data!$A:$A,$A26,raw_data!$C:$C,$L$1) - sumifs(raw_data!$E:$E,raw_data!$A:$A,$A26,raw_data!$G:$G,"GS Foundation",raw_data!$C:$C,$L$1)</f>
        <v>1</v>
      </c>
      <c r="Q26" s="76">
        <f>sumifs(raw_data!$Z:$Z,raw_data!$T:$T,$A26,raw_data!$U:$U,"Telephony",raw_data!$Y:$Y,$L$1)</f>
        <v>0</v>
      </c>
      <c r="R26" s="76">
        <f>sumifs(raw_data!$Z:$Z,raw_data!$T:$T,$A26,raw_data!$U:$U,"Paid Ads",raw_data!$Y:$Y,$L$1)</f>
        <v>0</v>
      </c>
      <c r="S26" s="76">
        <f>sumifs(raw_data!$N:$N,raw_data!$K:$K,$A26,raw_data!$O:$O,$L$1)</f>
        <v>0</v>
      </c>
      <c r="T26" s="76">
        <f>sumifs(raw_data!$Z:$Z,raw_data!$T:$T,$A26,raw_data!$U:$U,"External Leads",raw_data!$Y:$Y,$L$1)</f>
        <v>0</v>
      </c>
      <c r="U26" s="71"/>
      <c r="V26" s="77">
        <f>sumifs(raw_data!$E:$E,raw_data!$A:$A,$A26,raw_data!$C:$C,$V$1)</f>
        <v>12</v>
      </c>
      <c r="W26" s="29">
        <f>sumifs(raw_data!$E:$E,raw_data!$A:$A,$A26,raw_data!$D:$D,"Primary_Walkin",raw_data!$C:$C,$V$1)</f>
        <v>11</v>
      </c>
      <c r="X26" s="29">
        <f>sumifs(raw_data!$E:$E,raw_data!$A:$A,$A26,raw_data!$D:$D,"Secondary_Walkin",raw_data!$C:$C,$V$1)</f>
        <v>1</v>
      </c>
      <c r="Y26" s="29">
        <f>sumifs(raw_data!$E:$E,raw_data!$A:$A,$A26,raw_data!$G:$G,"GS Foundation",raw_data!$C:$C,$V$1)</f>
        <v>5</v>
      </c>
      <c r="Z26" s="29">
        <f>sumifs(raw_data!$E:$E,raw_data!$A:$A,$A26,raw_data!$C:$C,$V$1) - sumifs(raw_data!$E:$E,raw_data!$A:$A,$A26,raw_data!$G:$G,"GS Foundation",raw_data!$C:$C,$V$1)</f>
        <v>7</v>
      </c>
      <c r="AA26" s="76">
        <f>sumifs(raw_data!$Z:$Z,raw_data!$T:$T,$A26,raw_data!$U:$U,"Telephony",raw_data!$Y:$Y,$V$1)</f>
        <v>0</v>
      </c>
      <c r="AB26" s="76">
        <f>sumifs(raw_data!$Z:$Z,raw_data!$T:$T,$A26,raw_data!$U:$U,"Paid Ads",raw_data!$Y:$Y,$V$1)</f>
        <v>0</v>
      </c>
      <c r="AC26" s="76">
        <f>sumifs(raw_data!$N:$N,raw_data!$K:$K,$A26,raw_data!$O:$O,$V$1)</f>
        <v>0</v>
      </c>
      <c r="AD26" s="76">
        <f>sumifs(raw_data!$Z:$Z,raw_data!$T:$T,$A26,raw_data!$U:$U,"External Leads",raw_data!$Y:$Y,$V$1)</f>
        <v>0</v>
      </c>
      <c r="AE26" s="71"/>
      <c r="AF26" s="77">
        <f>sumifs(raw_data!$E:$E,raw_data!$A:$A,$A26,raw_data!$C:$C,$AF$1)</f>
        <v>4</v>
      </c>
      <c r="AG26" s="29">
        <f>sumifs(raw_data!$E:$E,raw_data!$A:$A,$A26,raw_data!$D:$D,"Primary_Walkin",raw_data!$C:$C,$AF$1)</f>
        <v>3</v>
      </c>
      <c r="AH26" s="29">
        <f>sumifs(raw_data!$E:$E,raw_data!$A:$A,$A26,raw_data!$D:$D,"Secondary_Walkin",raw_data!$C:$C,$AF$1)</f>
        <v>1</v>
      </c>
      <c r="AI26" s="29">
        <f>sumifs(raw_data!$E:$E,raw_data!$A:$A,$A26,raw_data!$G:$G,"GS Foundation",raw_data!$C:$C,$AF$1)</f>
        <v>1</v>
      </c>
      <c r="AJ26" s="29">
        <f>sumifs(raw_data!$E:$E,raw_data!$A:$A,$A26,raw_data!$C:$C,$AF$1) - sumifs(raw_data!$E:$E,raw_data!$A:$A,$A26,raw_data!$G:$G,"GS Foundation",raw_data!$C:$C,$AF$1)</f>
        <v>3</v>
      </c>
      <c r="AK26" s="76">
        <f>sumifs(raw_data!$Z:$Z,raw_data!$T:$T,$A26,raw_data!$U:$U,"Telephony",raw_data!$Y:$Y,$AF$1)</f>
        <v>0</v>
      </c>
      <c r="AL26" s="76">
        <f>sumifs(raw_data!$Z:$Z,raw_data!$T:$T,$A26,raw_data!$U:$U,"Paid Ads",raw_data!$Y:$Y,$AF$1)</f>
        <v>0</v>
      </c>
      <c r="AM26" s="76">
        <f>sumifs(raw_data!$N:$N,raw_data!$K:$K,$A26,raw_data!$O:$O,$AF$1)</f>
        <v>0</v>
      </c>
      <c r="AN26" s="76">
        <f>sumifs(raw_data!$Z:$Z,raw_data!$T:$T,$A26,raw_data!$U:$U,"External Leads",raw_data!$Y:$Y,$AF$1)</f>
        <v>0</v>
      </c>
      <c r="AO26" s="75"/>
      <c r="AP26" s="77">
        <f>sumifs(raw_data!$E:$E,raw_data!$A:$A,$A26,raw_data!$C:$C,$AP$1)</f>
        <v>12</v>
      </c>
      <c r="AQ26" s="29">
        <f>sumifs(raw_data!$E:$E,raw_data!$A:$A,$A26,raw_data!$D:$D,"Primary_Walkin",raw_data!$C:$C,$AP$1)</f>
        <v>10</v>
      </c>
      <c r="AR26" s="29">
        <f>sumifs(raw_data!$E:$E,raw_data!$A:$A,$A26,raw_data!$D:$D,"Secondary_Walkin",raw_data!$C:$C,$AP$1)</f>
        <v>2</v>
      </c>
      <c r="AS26" s="29">
        <f>sumifs(raw_data!$E:$E,raw_data!$A:$A,$A26,raw_data!$G:$G,"GS Foundation",raw_data!$C:$C,$AP$1)</f>
        <v>9</v>
      </c>
      <c r="AT26" s="29">
        <f>sumifs(raw_data!$E:$E,raw_data!$A:$A,$A26,raw_data!$C:$C,$AP$1) - sumifs(raw_data!$E:$E,raw_data!$A:$A,$A26,raw_data!$G:$G,"GS Foundation",raw_data!$C:$C,$AP$1)</f>
        <v>3</v>
      </c>
      <c r="AU26" s="76">
        <f>sumifs(raw_data!$Z:$Z,raw_data!$T:$T,$A26,raw_data!$U:$U,"Telephony",raw_data!$Y:$Y,$AP$1)</f>
        <v>1</v>
      </c>
      <c r="AV26" s="76">
        <f>sumifs(raw_data!$Z:$Z,raw_data!$T:$T,$A26,raw_data!$U:$U,"Paid Ads",raw_data!$Y:$Y,$AP$1)</f>
        <v>0</v>
      </c>
      <c r="AW26" s="76">
        <f>sumifs(raw_data!$N:$N,raw_data!$K:$K,$A26,raw_data!$O:$O,$AP$1)</f>
        <v>0</v>
      </c>
      <c r="AX26" s="76">
        <f>sumifs(raw_data!$Z:$Z,raw_data!$T:$T,$A26,raw_data!$U:$U,"External Leads",raw_data!$Y:$Y,$AP$1)</f>
        <v>0</v>
      </c>
      <c r="AY26" s="75"/>
      <c r="AZ26" s="77">
        <f>sumifs(raw_data!$E:$E,raw_data!$A:$A,$A26,raw_data!$C:$C,$AZ$1)</f>
        <v>10</v>
      </c>
      <c r="BA26" s="29">
        <f>sumifs(raw_data!$E:$E,raw_data!$A:$A,$A26,raw_data!$D:$D,"Primary_Walkin",raw_data!$C:$C,$AZ$1)</f>
        <v>8</v>
      </c>
      <c r="BB26" s="29">
        <f>sumifs(raw_data!$E:$E,raw_data!$A:$A,$A26,raw_data!$D:$D,"Secondary_Walkin",raw_data!$C:$C,$AZ$1)</f>
        <v>2</v>
      </c>
      <c r="BC26" s="29">
        <f>sumifs(raw_data!$E:$E,raw_data!$A:$A,$A26,raw_data!$G:$G,"GS Foundation",raw_data!$C:$C,$AZ$1)</f>
        <v>2</v>
      </c>
      <c r="BD26" s="29">
        <f>sumifs(raw_data!$E:$E,raw_data!$A:$A,$A26,raw_data!$C:$C,$AZ$1) - sumifs(raw_data!$E:$E,raw_data!$A:$A,$A26,raw_data!$G:$G,"GS Foundation",raw_data!$C:$C,$AZ$1)</f>
        <v>8</v>
      </c>
      <c r="BE26" s="76">
        <f>sumifs(raw_data!$Z:$Z,raw_data!$T:$T,$A26,raw_data!$U:$U,"Telephony",raw_data!$Y:$Y,$AZ$1)</f>
        <v>5</v>
      </c>
      <c r="BF26" s="76">
        <f>sumifs(raw_data!$Z:$Z,raw_data!$T:$T,$A26,raw_data!$U:$U,"Paid Ads",raw_data!$Y:$Y,$AZ$1)</f>
        <v>0</v>
      </c>
      <c r="BG26" s="76">
        <f>sumifs(raw_data!$N:$N,raw_data!$K:$K,$A26,raw_data!$O:$O,$AZ$1)</f>
        <v>0</v>
      </c>
      <c r="BH26" s="76">
        <f>sumifs(raw_data!$Z:$Z,raw_data!$T:$T,$A26,raw_data!$U:$U,"External Leads",raw_data!$Y:$Y,$AZ$1)</f>
        <v>0</v>
      </c>
      <c r="BI26" s="74"/>
    </row>
    <row r="27">
      <c r="A27" s="33">
        <v>46074.0</v>
      </c>
      <c r="B27" s="29">
        <f>sumifs(raw_data!$E:$E,raw_data!$A:$A,$A27)</f>
        <v>53</v>
      </c>
      <c r="C27" s="29">
        <f>sumifs(raw_data!$E:$E,raw_data!$A:$A,$A27,raw_data!$D:$D,"Primary_Walkin")</f>
        <v>49</v>
      </c>
      <c r="D27" s="29">
        <f>sumifs(raw_data!$E:$E,raw_data!$A:$A,$A27,raw_data!$D:$D,"Secondary_Walkin")</f>
        <v>4</v>
      </c>
      <c r="E27" s="29">
        <f>sumifs(raw_data!$E:$E,raw_data!$A:$A,$A27,raw_data!$G:$G,"GS Foundation")</f>
        <v>34</v>
      </c>
      <c r="F27" s="29">
        <f>sumifs(raw_data!$E:$E,raw_data!$A:$A,$A27) - sumifs(raw_data!$E:$E,raw_data!$A:$A,$A27,raw_data!$G:$G,"GS Foundation")</f>
        <v>19</v>
      </c>
      <c r="G27" s="76">
        <f>sumifs(raw_data!$Z:$Z,raw_data!$T:$T,$A27,raw_data!$U:$U,"Telephony")</f>
        <v>11</v>
      </c>
      <c r="H27" s="76">
        <f>sumifs(raw_data!$Z:$Z,raw_data!$T:$T,$A27,raw_data!$U:$U,"Paid Ads")</f>
        <v>0</v>
      </c>
      <c r="I27" s="76">
        <f t="shared" si="1"/>
        <v>0</v>
      </c>
      <c r="J27" s="76">
        <f>sumifs(raw_data!$Z:$Z,raw_data!$T:$T,$A27,raw_data!$U:$U,"External Leads")</f>
        <v>66</v>
      </c>
      <c r="K27" s="71"/>
      <c r="L27" s="77">
        <f>sumifs(raw_data!$E:$E,raw_data!$A:$A,$A27,raw_data!$C:$C,$L$1)</f>
        <v>21</v>
      </c>
      <c r="M27" s="29">
        <f>sumifs(raw_data!$E:$E,raw_data!$A:$A,$A27,raw_data!$D:$D,"Primary_Walkin",raw_data!$C:$C,$L$1)</f>
        <v>19</v>
      </c>
      <c r="N27" s="29">
        <f>sumifs(raw_data!$E:$E,raw_data!$A:$A,$A27,raw_data!$D:$D,"Secondary_Walkin",raw_data!$C:$C,$L$1)</f>
        <v>2</v>
      </c>
      <c r="O27" s="29">
        <f>sumifs(raw_data!$E:$E,raw_data!$A:$A,$A27,raw_data!$G:$G,"GS Foundation",raw_data!$C:$C,$L$1)</f>
        <v>15</v>
      </c>
      <c r="P27" s="29">
        <f>sumifs(raw_data!$E:$E,raw_data!$A:$A,$A27,raw_data!$C:$C,$L$1) - sumifs(raw_data!$E:$E,raw_data!$A:$A,$A27,raw_data!$G:$G,"GS Foundation",raw_data!$C:$C,$L$1)</f>
        <v>6</v>
      </c>
      <c r="Q27" s="76">
        <f>sumifs(raw_data!$Z:$Z,raw_data!$T:$T,$A27,raw_data!$U:$U,"Telephony",raw_data!$Y:$Y,$L$1)</f>
        <v>0</v>
      </c>
      <c r="R27" s="76">
        <f>sumifs(raw_data!$Z:$Z,raw_data!$T:$T,$A27,raw_data!$U:$U,"Paid Ads",raw_data!$Y:$Y,$L$1)</f>
        <v>0</v>
      </c>
      <c r="S27" s="76">
        <f>sumifs(raw_data!$N:$N,raw_data!$K:$K,$A27,raw_data!$O:$O,$L$1)</f>
        <v>0</v>
      </c>
      <c r="T27" s="76">
        <f>sumifs(raw_data!$Z:$Z,raw_data!$T:$T,$A27,raw_data!$U:$U,"External Leads",raw_data!$Y:$Y,$L$1)</f>
        <v>0</v>
      </c>
      <c r="U27" s="71"/>
      <c r="V27" s="77">
        <f>sumifs(raw_data!$E:$E,raw_data!$A:$A,$A27,raw_data!$C:$C,$V$1)</f>
        <v>9</v>
      </c>
      <c r="W27" s="29">
        <f>sumifs(raw_data!$E:$E,raw_data!$A:$A,$A27,raw_data!$D:$D,"Primary_Walkin",raw_data!$C:$C,$V$1)</f>
        <v>9</v>
      </c>
      <c r="X27" s="29">
        <f>sumifs(raw_data!$E:$E,raw_data!$A:$A,$A27,raw_data!$D:$D,"Secondary_Walkin",raw_data!$C:$C,$V$1)</f>
        <v>0</v>
      </c>
      <c r="Y27" s="29">
        <f>sumifs(raw_data!$E:$E,raw_data!$A:$A,$A27,raw_data!$G:$G,"GS Foundation",raw_data!$C:$C,$V$1)</f>
        <v>3</v>
      </c>
      <c r="Z27" s="29">
        <f>sumifs(raw_data!$E:$E,raw_data!$A:$A,$A27,raw_data!$C:$C,$V$1) - sumifs(raw_data!$E:$E,raw_data!$A:$A,$A27,raw_data!$G:$G,"GS Foundation",raw_data!$C:$C,$V$1)</f>
        <v>6</v>
      </c>
      <c r="AA27" s="76">
        <f>sumifs(raw_data!$Z:$Z,raw_data!$T:$T,$A27,raw_data!$U:$U,"Telephony",raw_data!$Y:$Y,$V$1)</f>
        <v>1</v>
      </c>
      <c r="AB27" s="76">
        <f>sumifs(raw_data!$Z:$Z,raw_data!$T:$T,$A27,raw_data!$U:$U,"Paid Ads",raw_data!$Y:$Y,$V$1)</f>
        <v>0</v>
      </c>
      <c r="AC27" s="76">
        <f>sumifs(raw_data!$N:$N,raw_data!$K:$K,$A27,raw_data!$O:$O,$V$1)</f>
        <v>0</v>
      </c>
      <c r="AD27" s="76">
        <f>sumifs(raw_data!$Z:$Z,raw_data!$T:$T,$A27,raw_data!$U:$U,"External Leads",raw_data!$Y:$Y,$V$1)</f>
        <v>0</v>
      </c>
      <c r="AE27" s="71"/>
      <c r="AF27" s="77">
        <f>sumifs(raw_data!$E:$E,raw_data!$A:$A,$A27,raw_data!$C:$C,$AF$1)</f>
        <v>3</v>
      </c>
      <c r="AG27" s="29">
        <f>sumifs(raw_data!$E:$E,raw_data!$A:$A,$A27,raw_data!$D:$D,"Primary_Walkin",raw_data!$C:$C,$AF$1)</f>
        <v>1</v>
      </c>
      <c r="AH27" s="29">
        <f>sumifs(raw_data!$E:$E,raw_data!$A:$A,$A27,raw_data!$D:$D,"Secondary_Walkin",raw_data!$C:$C,$AF$1)</f>
        <v>2</v>
      </c>
      <c r="AI27" s="29">
        <f>sumifs(raw_data!$E:$E,raw_data!$A:$A,$A27,raw_data!$G:$G,"GS Foundation",raw_data!$C:$C,$AF$1)</f>
        <v>3</v>
      </c>
      <c r="AJ27" s="29">
        <f>sumifs(raw_data!$E:$E,raw_data!$A:$A,$A27,raw_data!$C:$C,$AF$1) - sumifs(raw_data!$E:$E,raw_data!$A:$A,$A27,raw_data!$G:$G,"GS Foundation",raw_data!$C:$C,$AF$1)</f>
        <v>0</v>
      </c>
      <c r="AK27" s="76">
        <f>sumifs(raw_data!$Z:$Z,raw_data!$T:$T,$A27,raw_data!$U:$U,"Telephony",raw_data!$Y:$Y,$AF$1)</f>
        <v>0</v>
      </c>
      <c r="AL27" s="76">
        <f>sumifs(raw_data!$Z:$Z,raw_data!$T:$T,$A27,raw_data!$U:$U,"Paid Ads",raw_data!$Y:$Y,$AF$1)</f>
        <v>0</v>
      </c>
      <c r="AM27" s="76">
        <f>sumifs(raw_data!$N:$N,raw_data!$K:$K,$A27,raw_data!$O:$O,$AF$1)</f>
        <v>0</v>
      </c>
      <c r="AN27" s="76">
        <f>sumifs(raw_data!$Z:$Z,raw_data!$T:$T,$A27,raw_data!$U:$U,"External Leads",raw_data!$Y:$Y,$AF$1)</f>
        <v>0</v>
      </c>
      <c r="AO27" s="75"/>
      <c r="AP27" s="77">
        <f>sumifs(raw_data!$E:$E,raw_data!$A:$A,$A27,raw_data!$C:$C,$AP$1)</f>
        <v>10</v>
      </c>
      <c r="AQ27" s="29">
        <f>sumifs(raw_data!$E:$E,raw_data!$A:$A,$A27,raw_data!$D:$D,"Primary_Walkin",raw_data!$C:$C,$AP$1)</f>
        <v>10</v>
      </c>
      <c r="AR27" s="29">
        <f>sumifs(raw_data!$E:$E,raw_data!$A:$A,$A27,raw_data!$D:$D,"Secondary_Walkin",raw_data!$C:$C,$AP$1)</f>
        <v>0</v>
      </c>
      <c r="AS27" s="29">
        <f>sumifs(raw_data!$E:$E,raw_data!$A:$A,$A27,raw_data!$G:$G,"GS Foundation",raw_data!$C:$C,$AP$1)</f>
        <v>9</v>
      </c>
      <c r="AT27" s="29">
        <f>sumifs(raw_data!$E:$E,raw_data!$A:$A,$A27,raw_data!$C:$C,$AP$1) - sumifs(raw_data!$E:$E,raw_data!$A:$A,$A27,raw_data!$G:$G,"GS Foundation",raw_data!$C:$C,$AP$1)</f>
        <v>1</v>
      </c>
      <c r="AU27" s="76">
        <f>sumifs(raw_data!$Z:$Z,raw_data!$T:$T,$A27,raw_data!$U:$U,"Telephony",raw_data!$Y:$Y,$AP$1)</f>
        <v>0</v>
      </c>
      <c r="AV27" s="76">
        <f>sumifs(raw_data!$Z:$Z,raw_data!$T:$T,$A27,raw_data!$U:$U,"Paid Ads",raw_data!$Y:$Y,$AP$1)</f>
        <v>0</v>
      </c>
      <c r="AW27" s="76">
        <f>sumifs(raw_data!$N:$N,raw_data!$K:$K,$A27,raw_data!$O:$O,$AP$1)</f>
        <v>0</v>
      </c>
      <c r="AX27" s="76">
        <f>sumifs(raw_data!$Z:$Z,raw_data!$T:$T,$A27,raw_data!$U:$U,"External Leads",raw_data!$Y:$Y,$AP$1)</f>
        <v>0</v>
      </c>
      <c r="AY27" s="75"/>
      <c r="AZ27" s="77">
        <f>sumifs(raw_data!$E:$E,raw_data!$A:$A,$A27,raw_data!$C:$C,$AZ$1)</f>
        <v>10</v>
      </c>
      <c r="BA27" s="29">
        <f>sumifs(raw_data!$E:$E,raw_data!$A:$A,$A27,raw_data!$D:$D,"Primary_Walkin",raw_data!$C:$C,$AZ$1)</f>
        <v>10</v>
      </c>
      <c r="BB27" s="29">
        <f>sumifs(raw_data!$E:$E,raw_data!$A:$A,$A27,raw_data!$D:$D,"Secondary_Walkin",raw_data!$C:$C,$AZ$1)</f>
        <v>0</v>
      </c>
      <c r="BC27" s="29">
        <f>sumifs(raw_data!$E:$E,raw_data!$A:$A,$A27,raw_data!$G:$G,"GS Foundation",raw_data!$C:$C,$AZ$1)</f>
        <v>4</v>
      </c>
      <c r="BD27" s="29">
        <f>sumifs(raw_data!$E:$E,raw_data!$A:$A,$A27,raw_data!$C:$C,$AZ$1) - sumifs(raw_data!$E:$E,raw_data!$A:$A,$A27,raw_data!$G:$G,"GS Foundation",raw_data!$C:$C,$AZ$1)</f>
        <v>6</v>
      </c>
      <c r="BE27" s="76">
        <f>sumifs(raw_data!$Z:$Z,raw_data!$T:$T,$A27,raw_data!$U:$U,"Telephony",raw_data!$Y:$Y,$AZ$1)</f>
        <v>3</v>
      </c>
      <c r="BF27" s="76">
        <f>sumifs(raw_data!$Z:$Z,raw_data!$T:$T,$A27,raw_data!$U:$U,"Paid Ads",raw_data!$Y:$Y,$AZ$1)</f>
        <v>0</v>
      </c>
      <c r="BG27" s="76">
        <f>sumifs(raw_data!$N:$N,raw_data!$K:$K,$A27,raw_data!$O:$O,$AZ$1)</f>
        <v>0</v>
      </c>
      <c r="BH27" s="76">
        <f>sumifs(raw_data!$Z:$Z,raw_data!$T:$T,$A27,raw_data!$U:$U,"External Leads",raw_data!$Y:$Y,$AZ$1)</f>
        <v>1</v>
      </c>
      <c r="BI27" s="74"/>
    </row>
    <row r="28">
      <c r="A28" s="33">
        <v>46075.0</v>
      </c>
      <c r="B28" s="29">
        <f>sumifs(raw_data!$E:$E,raw_data!$A:$A,$A28)</f>
        <v>58</v>
      </c>
      <c r="C28" s="29">
        <f>sumifs(raw_data!$E:$E,raw_data!$A:$A,$A28,raw_data!$D:$D,"Primary_Walkin")</f>
        <v>55</v>
      </c>
      <c r="D28" s="29">
        <f>sumifs(raw_data!$E:$E,raw_data!$A:$A,$A28,raw_data!$D:$D,"Secondary_Walkin")</f>
        <v>3</v>
      </c>
      <c r="E28" s="29">
        <f>sumifs(raw_data!$E:$E,raw_data!$A:$A,$A28,raw_data!$G:$G,"GS Foundation")</f>
        <v>30</v>
      </c>
      <c r="F28" s="29">
        <f>sumifs(raw_data!$E:$E,raw_data!$A:$A,$A28) - sumifs(raw_data!$E:$E,raw_data!$A:$A,$A28,raw_data!$G:$G,"GS Foundation")</f>
        <v>28</v>
      </c>
      <c r="G28" s="76">
        <f>sumifs(raw_data!$Z:$Z,raw_data!$T:$T,$A28,raw_data!$U:$U,"Telephony")</f>
        <v>12</v>
      </c>
      <c r="H28" s="76">
        <f>sumifs(raw_data!$Z:$Z,raw_data!$T:$T,$A28,raw_data!$U:$U,"Paid Ads")</f>
        <v>0</v>
      </c>
      <c r="I28" s="76">
        <f t="shared" si="1"/>
        <v>0</v>
      </c>
      <c r="J28" s="76">
        <f>sumifs(raw_data!$Z:$Z,raw_data!$T:$T,$A28,raw_data!$U:$U,"External Leads")</f>
        <v>1</v>
      </c>
      <c r="K28" s="71"/>
      <c r="L28" s="77">
        <f>sumifs(raw_data!$E:$E,raw_data!$A:$A,$A28,raw_data!$C:$C,$L$1)</f>
        <v>15</v>
      </c>
      <c r="M28" s="29">
        <f>sumifs(raw_data!$E:$E,raw_data!$A:$A,$A28,raw_data!$D:$D,"Primary_Walkin",raw_data!$C:$C,$L$1)</f>
        <v>14</v>
      </c>
      <c r="N28" s="29">
        <f>sumifs(raw_data!$E:$E,raw_data!$A:$A,$A28,raw_data!$D:$D,"Secondary_Walkin",raw_data!$C:$C,$L$1)</f>
        <v>1</v>
      </c>
      <c r="O28" s="29">
        <f>sumifs(raw_data!$E:$E,raw_data!$A:$A,$A28,raw_data!$G:$G,"GS Foundation",raw_data!$C:$C,$L$1)</f>
        <v>14</v>
      </c>
      <c r="P28" s="29">
        <f>sumifs(raw_data!$E:$E,raw_data!$A:$A,$A28,raw_data!$C:$C,$L$1) - sumifs(raw_data!$E:$E,raw_data!$A:$A,$A28,raw_data!$G:$G,"GS Foundation",raw_data!$C:$C,$L$1)</f>
        <v>1</v>
      </c>
      <c r="Q28" s="76">
        <f>sumifs(raw_data!$Z:$Z,raw_data!$T:$T,$A28,raw_data!$U:$U,"Telephony",raw_data!$Y:$Y,$L$1)</f>
        <v>0</v>
      </c>
      <c r="R28" s="76">
        <f>sumifs(raw_data!$Z:$Z,raw_data!$T:$T,$A28,raw_data!$U:$U,"Paid Ads",raw_data!$Y:$Y,$L$1)</f>
        <v>0</v>
      </c>
      <c r="S28" s="76">
        <f>sumifs(raw_data!$N:$N,raw_data!$K:$K,$A28,raw_data!$O:$O,$L$1)</f>
        <v>0</v>
      </c>
      <c r="T28" s="76">
        <f>sumifs(raw_data!$Z:$Z,raw_data!$T:$T,$A28,raw_data!$U:$U,"External Leads",raw_data!$Y:$Y,$L$1)</f>
        <v>0</v>
      </c>
      <c r="U28" s="71"/>
      <c r="V28" s="77">
        <f>sumifs(raw_data!$E:$E,raw_data!$A:$A,$A28,raw_data!$C:$C,$V$1)</f>
        <v>20</v>
      </c>
      <c r="W28" s="29">
        <f>sumifs(raw_data!$E:$E,raw_data!$A:$A,$A28,raw_data!$D:$D,"Primary_Walkin",raw_data!$C:$C,$V$1)</f>
        <v>19</v>
      </c>
      <c r="X28" s="29">
        <f>sumifs(raw_data!$E:$E,raw_data!$A:$A,$A28,raw_data!$D:$D,"Secondary_Walkin",raw_data!$C:$C,$V$1)</f>
        <v>1</v>
      </c>
      <c r="Y28" s="29">
        <f>sumifs(raw_data!$E:$E,raw_data!$A:$A,$A28,raw_data!$G:$G,"GS Foundation",raw_data!$C:$C,$V$1)</f>
        <v>2</v>
      </c>
      <c r="Z28" s="29">
        <f>sumifs(raw_data!$E:$E,raw_data!$A:$A,$A28,raw_data!$C:$C,$V$1) - sumifs(raw_data!$E:$E,raw_data!$A:$A,$A28,raw_data!$G:$G,"GS Foundation",raw_data!$C:$C,$V$1)</f>
        <v>18</v>
      </c>
      <c r="AA28" s="76">
        <f>sumifs(raw_data!$Z:$Z,raw_data!$T:$T,$A28,raw_data!$U:$U,"Telephony",raw_data!$Y:$Y,$V$1)</f>
        <v>0</v>
      </c>
      <c r="AB28" s="76">
        <f>sumifs(raw_data!$Z:$Z,raw_data!$T:$T,$A28,raw_data!$U:$U,"Paid Ads",raw_data!$Y:$Y,$V$1)</f>
        <v>0</v>
      </c>
      <c r="AC28" s="76">
        <f>sumifs(raw_data!$N:$N,raw_data!$K:$K,$A28,raw_data!$O:$O,$V$1)</f>
        <v>0</v>
      </c>
      <c r="AD28" s="76">
        <f>sumifs(raw_data!$Z:$Z,raw_data!$T:$T,$A28,raw_data!$U:$U,"External Leads",raw_data!$Y:$Y,$V$1)</f>
        <v>0</v>
      </c>
      <c r="AE28" s="71"/>
      <c r="AF28" s="77">
        <f>sumifs(raw_data!$E:$E,raw_data!$A:$A,$A28,raw_data!$C:$C,$AF$1)</f>
        <v>2</v>
      </c>
      <c r="AG28" s="29">
        <f>sumifs(raw_data!$E:$E,raw_data!$A:$A,$A28,raw_data!$D:$D,"Primary_Walkin",raw_data!$C:$C,$AF$1)</f>
        <v>2</v>
      </c>
      <c r="AH28" s="29">
        <f>sumifs(raw_data!$E:$E,raw_data!$A:$A,$A28,raw_data!$D:$D,"Secondary_Walkin",raw_data!$C:$C,$AF$1)</f>
        <v>0</v>
      </c>
      <c r="AI28" s="29">
        <f>sumifs(raw_data!$E:$E,raw_data!$A:$A,$A28,raw_data!$G:$G,"GS Foundation",raw_data!$C:$C,$AF$1)</f>
        <v>0</v>
      </c>
      <c r="AJ28" s="29">
        <f>sumifs(raw_data!$E:$E,raw_data!$A:$A,$A28,raw_data!$C:$C,$AF$1) - sumifs(raw_data!$E:$E,raw_data!$A:$A,$A28,raw_data!$G:$G,"GS Foundation",raw_data!$C:$C,$AF$1)</f>
        <v>2</v>
      </c>
      <c r="AK28" s="76">
        <f>sumifs(raw_data!$Z:$Z,raw_data!$T:$T,$A28,raw_data!$U:$U,"Telephony",raw_data!$Y:$Y,$AF$1)</f>
        <v>0</v>
      </c>
      <c r="AL28" s="76">
        <f>sumifs(raw_data!$Z:$Z,raw_data!$T:$T,$A28,raw_data!$U:$U,"Paid Ads",raw_data!$Y:$Y,$AF$1)</f>
        <v>0</v>
      </c>
      <c r="AM28" s="76">
        <f>sumifs(raw_data!$N:$N,raw_data!$K:$K,$A28,raw_data!$O:$O,$AF$1)</f>
        <v>0</v>
      </c>
      <c r="AN28" s="76">
        <f>sumifs(raw_data!$Z:$Z,raw_data!$T:$T,$A28,raw_data!$U:$U,"External Leads",raw_data!$Y:$Y,$AF$1)</f>
        <v>0</v>
      </c>
      <c r="AO28" s="75"/>
      <c r="AP28" s="77">
        <f>sumifs(raw_data!$E:$E,raw_data!$A:$A,$A28,raw_data!$C:$C,$AP$1)</f>
        <v>15</v>
      </c>
      <c r="AQ28" s="29">
        <f>sumifs(raw_data!$E:$E,raw_data!$A:$A,$A28,raw_data!$D:$D,"Primary_Walkin",raw_data!$C:$C,$AP$1)</f>
        <v>15</v>
      </c>
      <c r="AR28" s="29">
        <f>sumifs(raw_data!$E:$E,raw_data!$A:$A,$A28,raw_data!$D:$D,"Secondary_Walkin",raw_data!$C:$C,$AP$1)</f>
        <v>0</v>
      </c>
      <c r="AS28" s="29">
        <f>sumifs(raw_data!$E:$E,raw_data!$A:$A,$A28,raw_data!$G:$G,"GS Foundation",raw_data!$C:$C,$AP$1)</f>
        <v>12</v>
      </c>
      <c r="AT28" s="29">
        <f>sumifs(raw_data!$E:$E,raw_data!$A:$A,$A28,raw_data!$C:$C,$AP$1) - sumifs(raw_data!$E:$E,raw_data!$A:$A,$A28,raw_data!$G:$G,"GS Foundation",raw_data!$C:$C,$AP$1)</f>
        <v>3</v>
      </c>
      <c r="AU28" s="76">
        <f>sumifs(raw_data!$Z:$Z,raw_data!$T:$T,$A28,raw_data!$U:$U,"Telephony",raw_data!$Y:$Y,$AP$1)</f>
        <v>0</v>
      </c>
      <c r="AV28" s="76">
        <f>sumifs(raw_data!$Z:$Z,raw_data!$T:$T,$A28,raw_data!$U:$U,"Paid Ads",raw_data!$Y:$Y,$AP$1)</f>
        <v>0</v>
      </c>
      <c r="AW28" s="76">
        <f>sumifs(raw_data!$N:$N,raw_data!$K:$K,$A28,raw_data!$O:$O,$AP$1)</f>
        <v>0</v>
      </c>
      <c r="AX28" s="76">
        <f>sumifs(raw_data!$Z:$Z,raw_data!$T:$T,$A28,raw_data!$U:$U,"External Leads",raw_data!$Y:$Y,$AP$1)</f>
        <v>0</v>
      </c>
      <c r="AY28" s="75"/>
      <c r="AZ28" s="77">
        <f>sumifs(raw_data!$E:$E,raw_data!$A:$A,$A28,raw_data!$C:$C,$AZ$1)</f>
        <v>6</v>
      </c>
      <c r="BA28" s="29">
        <f>sumifs(raw_data!$E:$E,raw_data!$A:$A,$A28,raw_data!$D:$D,"Primary_Walkin",raw_data!$C:$C,$AZ$1)</f>
        <v>5</v>
      </c>
      <c r="BB28" s="29">
        <f>sumifs(raw_data!$E:$E,raw_data!$A:$A,$A28,raw_data!$D:$D,"Secondary_Walkin",raw_data!$C:$C,$AZ$1)</f>
        <v>1</v>
      </c>
      <c r="BC28" s="29">
        <f>sumifs(raw_data!$E:$E,raw_data!$A:$A,$A28,raw_data!$G:$G,"GS Foundation",raw_data!$C:$C,$AZ$1)</f>
        <v>2</v>
      </c>
      <c r="BD28" s="29">
        <f>sumifs(raw_data!$E:$E,raw_data!$A:$A,$A28,raw_data!$C:$C,$AZ$1) - sumifs(raw_data!$E:$E,raw_data!$A:$A,$A28,raw_data!$G:$G,"GS Foundation",raw_data!$C:$C,$AZ$1)</f>
        <v>4</v>
      </c>
      <c r="BE28" s="76">
        <f>sumifs(raw_data!$Z:$Z,raw_data!$T:$T,$A28,raw_data!$U:$U,"Telephony",raw_data!$Y:$Y,$AZ$1)</f>
        <v>2</v>
      </c>
      <c r="BF28" s="76">
        <f>sumifs(raw_data!$Z:$Z,raw_data!$T:$T,$A28,raw_data!$U:$U,"Paid Ads",raw_data!$Y:$Y,$AZ$1)</f>
        <v>0</v>
      </c>
      <c r="BG28" s="76">
        <f>sumifs(raw_data!$N:$N,raw_data!$K:$K,$A28,raw_data!$O:$O,$AZ$1)</f>
        <v>0</v>
      </c>
      <c r="BH28" s="76">
        <f>sumifs(raw_data!$Z:$Z,raw_data!$T:$T,$A28,raw_data!$U:$U,"External Leads",raw_data!$Y:$Y,$AZ$1)</f>
        <v>0</v>
      </c>
      <c r="BI28" s="74"/>
    </row>
    <row r="29">
      <c r="A29" s="33">
        <v>46076.0</v>
      </c>
      <c r="B29" s="29">
        <f>sumifs(raw_data!$E:$E,raw_data!$A:$A,$A29)</f>
        <v>44</v>
      </c>
      <c r="C29" s="29">
        <f>sumifs(raw_data!$E:$E,raw_data!$A:$A,$A29,raw_data!$D:$D,"Primary_Walkin")</f>
        <v>39</v>
      </c>
      <c r="D29" s="29">
        <f>sumifs(raw_data!$E:$E,raw_data!$A:$A,$A29,raw_data!$D:$D,"Secondary_Walkin")</f>
        <v>5</v>
      </c>
      <c r="E29" s="29">
        <f>sumifs(raw_data!$E:$E,raw_data!$A:$A,$A29,raw_data!$G:$G,"GS Foundation")</f>
        <v>25</v>
      </c>
      <c r="F29" s="29">
        <f>sumifs(raw_data!$E:$E,raw_data!$A:$A,$A29) - sumifs(raw_data!$E:$E,raw_data!$A:$A,$A29,raw_data!$G:$G,"GS Foundation")</f>
        <v>19</v>
      </c>
      <c r="G29" s="76">
        <f>sumifs(raw_data!$Z:$Z,raw_data!$T:$T,$A29,raw_data!$U:$U,"Telephony")</f>
        <v>19</v>
      </c>
      <c r="H29" s="76">
        <f>sumifs(raw_data!$Z:$Z,raw_data!$T:$T,$A29,raw_data!$U:$U,"Paid Ads")</f>
        <v>0</v>
      </c>
      <c r="I29" s="76">
        <f t="shared" si="1"/>
        <v>0</v>
      </c>
      <c r="J29" s="76">
        <f>sumifs(raw_data!$Z:$Z,raw_data!$T:$T,$A29,raw_data!$U:$U,"External Leads")</f>
        <v>18</v>
      </c>
      <c r="K29" s="71"/>
      <c r="L29" s="77">
        <f>sumifs(raw_data!$E:$E,raw_data!$A:$A,$A29,raw_data!$C:$C,$L$1)</f>
        <v>15</v>
      </c>
      <c r="M29" s="29">
        <f>sumifs(raw_data!$E:$E,raw_data!$A:$A,$A29,raw_data!$D:$D,"Primary_Walkin",raw_data!$C:$C,$L$1)</f>
        <v>15</v>
      </c>
      <c r="N29" s="29">
        <f>sumifs(raw_data!$E:$E,raw_data!$A:$A,$A29,raw_data!$D:$D,"Secondary_Walkin",raw_data!$C:$C,$L$1)</f>
        <v>0</v>
      </c>
      <c r="O29" s="29">
        <f>sumifs(raw_data!$E:$E,raw_data!$A:$A,$A29,raw_data!$G:$G,"GS Foundation",raw_data!$C:$C,$L$1)</f>
        <v>14</v>
      </c>
      <c r="P29" s="29">
        <f>sumifs(raw_data!$E:$E,raw_data!$A:$A,$A29,raw_data!$C:$C,$L$1) - sumifs(raw_data!$E:$E,raw_data!$A:$A,$A29,raw_data!$G:$G,"GS Foundation",raw_data!$C:$C,$L$1)</f>
        <v>1</v>
      </c>
      <c r="Q29" s="76">
        <f>sumifs(raw_data!$Z:$Z,raw_data!$T:$T,$A29,raw_data!$U:$U,"Telephony",raw_data!$Y:$Y,$L$1)</f>
        <v>8</v>
      </c>
      <c r="R29" s="76">
        <f>sumifs(raw_data!$Z:$Z,raw_data!$T:$T,$A29,raw_data!$U:$U,"Paid Ads",raw_data!$Y:$Y,$L$1)</f>
        <v>0</v>
      </c>
      <c r="S29" s="76">
        <f>sumifs(raw_data!$N:$N,raw_data!$K:$K,$A29,raw_data!$O:$O,$L$1)</f>
        <v>0</v>
      </c>
      <c r="T29" s="76">
        <f>sumifs(raw_data!$Z:$Z,raw_data!$T:$T,$A29,raw_data!$U:$U,"External Leads",raw_data!$Y:$Y,$L$1)</f>
        <v>0</v>
      </c>
      <c r="U29" s="71"/>
      <c r="V29" s="77">
        <f>sumifs(raw_data!$E:$E,raw_data!$A:$A,$A29,raw_data!$C:$C,$V$1)</f>
        <v>5</v>
      </c>
      <c r="W29" s="29">
        <f>sumifs(raw_data!$E:$E,raw_data!$A:$A,$A29,raw_data!$D:$D,"Primary_Walkin",raw_data!$C:$C,$V$1)</f>
        <v>5</v>
      </c>
      <c r="X29" s="29">
        <f>sumifs(raw_data!$E:$E,raw_data!$A:$A,$A29,raw_data!$D:$D,"Secondary_Walkin",raw_data!$C:$C,$V$1)</f>
        <v>0</v>
      </c>
      <c r="Y29" s="29">
        <f>sumifs(raw_data!$E:$E,raw_data!$A:$A,$A29,raw_data!$G:$G,"GS Foundation",raw_data!$C:$C,$V$1)</f>
        <v>0</v>
      </c>
      <c r="Z29" s="29">
        <f>sumifs(raw_data!$E:$E,raw_data!$A:$A,$A29,raw_data!$C:$C,$V$1) - sumifs(raw_data!$E:$E,raw_data!$A:$A,$A29,raw_data!$G:$G,"GS Foundation",raw_data!$C:$C,$V$1)</f>
        <v>5</v>
      </c>
      <c r="AA29" s="76">
        <f>sumifs(raw_data!$Z:$Z,raw_data!$T:$T,$A29,raw_data!$U:$U,"Telephony",raw_data!$Y:$Y,$V$1)</f>
        <v>0</v>
      </c>
      <c r="AB29" s="76">
        <f>sumifs(raw_data!$Z:$Z,raw_data!$T:$T,$A29,raw_data!$U:$U,"Paid Ads",raw_data!$Y:$Y,$V$1)</f>
        <v>0</v>
      </c>
      <c r="AC29" s="76">
        <f>sumifs(raw_data!$N:$N,raw_data!$K:$K,$A29,raw_data!$O:$O,$V$1)</f>
        <v>0</v>
      </c>
      <c r="AD29" s="76">
        <f>sumifs(raw_data!$Z:$Z,raw_data!$T:$T,$A29,raw_data!$U:$U,"External Leads",raw_data!$Y:$Y,$V$1)</f>
        <v>0</v>
      </c>
      <c r="AE29" s="71"/>
      <c r="AF29" s="77">
        <f>sumifs(raw_data!$E:$E,raw_data!$A:$A,$A29,raw_data!$C:$C,$AF$1)</f>
        <v>7</v>
      </c>
      <c r="AG29" s="29">
        <f>sumifs(raw_data!$E:$E,raw_data!$A:$A,$A29,raw_data!$D:$D,"Primary_Walkin",raw_data!$C:$C,$AF$1)</f>
        <v>6</v>
      </c>
      <c r="AH29" s="29">
        <f>sumifs(raw_data!$E:$E,raw_data!$A:$A,$A29,raw_data!$D:$D,"Secondary_Walkin",raw_data!$C:$C,$AF$1)</f>
        <v>1</v>
      </c>
      <c r="AI29" s="29">
        <f>sumifs(raw_data!$E:$E,raw_data!$A:$A,$A29,raw_data!$G:$G,"GS Foundation",raw_data!$C:$C,$AF$1)</f>
        <v>3</v>
      </c>
      <c r="AJ29" s="29">
        <f>sumifs(raw_data!$E:$E,raw_data!$A:$A,$A29,raw_data!$C:$C,$AF$1) - sumifs(raw_data!$E:$E,raw_data!$A:$A,$A29,raw_data!$G:$G,"GS Foundation",raw_data!$C:$C,$AF$1)</f>
        <v>4</v>
      </c>
      <c r="AK29" s="76">
        <f>sumifs(raw_data!$Z:$Z,raw_data!$T:$T,$A29,raw_data!$U:$U,"Telephony",raw_data!$Y:$Y,$AF$1)</f>
        <v>0</v>
      </c>
      <c r="AL29" s="76">
        <f>sumifs(raw_data!$Z:$Z,raw_data!$T:$T,$A29,raw_data!$U:$U,"Paid Ads",raw_data!$Y:$Y,$AF$1)</f>
        <v>0</v>
      </c>
      <c r="AM29" s="76">
        <f>sumifs(raw_data!$N:$N,raw_data!$K:$K,$A29,raw_data!$O:$O,$AF$1)</f>
        <v>0</v>
      </c>
      <c r="AN29" s="76">
        <f>sumifs(raw_data!$Z:$Z,raw_data!$T:$T,$A29,raw_data!$U:$U,"External Leads",raw_data!$Y:$Y,$AF$1)</f>
        <v>0</v>
      </c>
      <c r="AO29" s="75"/>
      <c r="AP29" s="77">
        <f>sumifs(raw_data!$E:$E,raw_data!$A:$A,$A29,raw_data!$C:$C,$AP$1)</f>
        <v>8</v>
      </c>
      <c r="AQ29" s="29">
        <f>sumifs(raw_data!$E:$E,raw_data!$A:$A,$A29,raw_data!$D:$D,"Primary_Walkin",raw_data!$C:$C,$AP$1)</f>
        <v>7</v>
      </c>
      <c r="AR29" s="29">
        <f>sumifs(raw_data!$E:$E,raw_data!$A:$A,$A29,raw_data!$D:$D,"Secondary_Walkin",raw_data!$C:$C,$AP$1)</f>
        <v>1</v>
      </c>
      <c r="AS29" s="29">
        <f>sumifs(raw_data!$E:$E,raw_data!$A:$A,$A29,raw_data!$G:$G,"GS Foundation",raw_data!$C:$C,$AP$1)</f>
        <v>4</v>
      </c>
      <c r="AT29" s="29">
        <f>sumifs(raw_data!$E:$E,raw_data!$A:$A,$A29,raw_data!$C:$C,$AP$1) - sumifs(raw_data!$E:$E,raw_data!$A:$A,$A29,raw_data!$G:$G,"GS Foundation",raw_data!$C:$C,$AP$1)</f>
        <v>4</v>
      </c>
      <c r="AU29" s="76">
        <f>sumifs(raw_data!$Z:$Z,raw_data!$T:$T,$A29,raw_data!$U:$U,"Telephony",raw_data!$Y:$Y,$AP$1)</f>
        <v>0</v>
      </c>
      <c r="AV29" s="76">
        <f>sumifs(raw_data!$Z:$Z,raw_data!$T:$T,$A29,raw_data!$U:$U,"Paid Ads",raw_data!$Y:$Y,$AP$1)</f>
        <v>0</v>
      </c>
      <c r="AW29" s="76">
        <f>sumifs(raw_data!$N:$N,raw_data!$K:$K,$A29,raw_data!$O:$O,$AP$1)</f>
        <v>0</v>
      </c>
      <c r="AX29" s="76">
        <f>sumifs(raw_data!$Z:$Z,raw_data!$T:$T,$A29,raw_data!$U:$U,"External Leads",raw_data!$Y:$Y,$AP$1)</f>
        <v>2</v>
      </c>
      <c r="AY29" s="75"/>
      <c r="AZ29" s="77">
        <f>sumifs(raw_data!$E:$E,raw_data!$A:$A,$A29,raw_data!$C:$C,$AZ$1)</f>
        <v>9</v>
      </c>
      <c r="BA29" s="29">
        <f>sumifs(raw_data!$E:$E,raw_data!$A:$A,$A29,raw_data!$D:$D,"Primary_Walkin",raw_data!$C:$C,$AZ$1)</f>
        <v>6</v>
      </c>
      <c r="BB29" s="29">
        <f>sumifs(raw_data!$E:$E,raw_data!$A:$A,$A29,raw_data!$D:$D,"Secondary_Walkin",raw_data!$C:$C,$AZ$1)</f>
        <v>3</v>
      </c>
      <c r="BC29" s="29">
        <f>sumifs(raw_data!$E:$E,raw_data!$A:$A,$A29,raw_data!$G:$G,"GS Foundation",raw_data!$C:$C,$AZ$1)</f>
        <v>4</v>
      </c>
      <c r="BD29" s="29">
        <f>sumifs(raw_data!$E:$E,raw_data!$A:$A,$A29,raw_data!$C:$C,$AZ$1) - sumifs(raw_data!$E:$E,raw_data!$A:$A,$A29,raw_data!$G:$G,"GS Foundation",raw_data!$C:$C,$AZ$1)</f>
        <v>5</v>
      </c>
      <c r="BE29" s="76">
        <f>sumifs(raw_data!$Z:$Z,raw_data!$T:$T,$A29,raw_data!$U:$U,"Telephony",raw_data!$Y:$Y,$AZ$1)</f>
        <v>1</v>
      </c>
      <c r="BF29" s="76">
        <f>sumifs(raw_data!$Z:$Z,raw_data!$T:$T,$A29,raw_data!$U:$U,"Paid Ads",raw_data!$Y:$Y,$AZ$1)</f>
        <v>0</v>
      </c>
      <c r="BG29" s="76">
        <f>sumifs(raw_data!$N:$N,raw_data!$K:$K,$A29,raw_data!$O:$O,$AZ$1)</f>
        <v>0</v>
      </c>
      <c r="BH29" s="76">
        <f>sumifs(raw_data!$Z:$Z,raw_data!$T:$T,$A29,raw_data!$U:$U,"External Leads",raw_data!$Y:$Y,$AZ$1)</f>
        <v>0</v>
      </c>
      <c r="BI29" s="74"/>
    </row>
    <row r="30">
      <c r="A30" s="33">
        <v>46077.0</v>
      </c>
      <c r="B30" s="29">
        <f>sumifs(raw_data!$E:$E,raw_data!$A:$A,$A30)</f>
        <v>45</v>
      </c>
      <c r="C30" s="29">
        <f>sumifs(raw_data!$E:$E,raw_data!$A:$A,$A30,raw_data!$D:$D,"Primary_Walkin")</f>
        <v>38</v>
      </c>
      <c r="D30" s="29">
        <f>sumifs(raw_data!$E:$E,raw_data!$A:$A,$A30,raw_data!$D:$D,"Secondary_Walkin")</f>
        <v>7</v>
      </c>
      <c r="E30" s="29">
        <f>sumifs(raw_data!$E:$E,raw_data!$A:$A,$A30,raw_data!$G:$G,"GS Foundation")</f>
        <v>27</v>
      </c>
      <c r="F30" s="29">
        <f>sumifs(raw_data!$E:$E,raw_data!$A:$A,$A30) - sumifs(raw_data!$E:$E,raw_data!$A:$A,$A30,raw_data!$G:$G,"GS Foundation")</f>
        <v>18</v>
      </c>
      <c r="G30" s="76">
        <f>sumifs(raw_data!$Z:$Z,raw_data!$T:$T,$A30,raw_data!$U:$U,"Telephony")</f>
        <v>19</v>
      </c>
      <c r="H30" s="76">
        <f>sumifs(raw_data!$Z:$Z,raw_data!$T:$T,$A30,raw_data!$U:$U,"Paid Ads")</f>
        <v>1</v>
      </c>
      <c r="I30" s="76">
        <f t="shared" si="1"/>
        <v>0</v>
      </c>
      <c r="J30" s="76">
        <f>sumifs(raw_data!$Z:$Z,raw_data!$T:$T,$A30,raw_data!$U:$U,"External Leads")</f>
        <v>0</v>
      </c>
      <c r="K30" s="71"/>
      <c r="L30" s="77">
        <f>sumifs(raw_data!$E:$E,raw_data!$A:$A,$A30,raw_data!$C:$C,$L$1)</f>
        <v>19</v>
      </c>
      <c r="M30" s="29">
        <f>sumifs(raw_data!$E:$E,raw_data!$A:$A,$A30,raw_data!$D:$D,"Primary_Walkin",raw_data!$C:$C,$L$1)</f>
        <v>16</v>
      </c>
      <c r="N30" s="29">
        <f>sumifs(raw_data!$E:$E,raw_data!$A:$A,$A30,raw_data!$D:$D,"Secondary_Walkin",raw_data!$C:$C,$L$1)</f>
        <v>3</v>
      </c>
      <c r="O30" s="29">
        <f>sumifs(raw_data!$E:$E,raw_data!$A:$A,$A30,raw_data!$G:$G,"GS Foundation",raw_data!$C:$C,$L$1)</f>
        <v>17</v>
      </c>
      <c r="P30" s="29">
        <f>sumifs(raw_data!$E:$E,raw_data!$A:$A,$A30,raw_data!$C:$C,$L$1) - sumifs(raw_data!$E:$E,raw_data!$A:$A,$A30,raw_data!$G:$G,"GS Foundation",raw_data!$C:$C,$L$1)</f>
        <v>2</v>
      </c>
      <c r="Q30" s="76">
        <f>sumifs(raw_data!$Z:$Z,raw_data!$T:$T,$A30,raw_data!$U:$U,"Telephony",raw_data!$Y:$Y,$L$1)</f>
        <v>4</v>
      </c>
      <c r="R30" s="76">
        <f>sumifs(raw_data!$Z:$Z,raw_data!$T:$T,$A30,raw_data!$U:$U,"Paid Ads",raw_data!$Y:$Y,$L$1)</f>
        <v>1</v>
      </c>
      <c r="S30" s="76">
        <f>sumifs(raw_data!$N:$N,raw_data!$K:$K,$A30,raw_data!$O:$O,$L$1)</f>
        <v>0</v>
      </c>
      <c r="T30" s="76">
        <f>sumifs(raw_data!$Z:$Z,raw_data!$T:$T,$A30,raw_data!$U:$U,"External Leads",raw_data!$Y:$Y,$L$1)</f>
        <v>0</v>
      </c>
      <c r="U30" s="71"/>
      <c r="V30" s="77">
        <f>sumifs(raw_data!$E:$E,raw_data!$A:$A,$A30,raw_data!$C:$C,$V$1)</f>
        <v>9</v>
      </c>
      <c r="W30" s="29">
        <f>sumifs(raw_data!$E:$E,raw_data!$A:$A,$A30,raw_data!$D:$D,"Primary_Walkin",raw_data!$C:$C,$V$1)</f>
        <v>7</v>
      </c>
      <c r="X30" s="29">
        <f>sumifs(raw_data!$E:$E,raw_data!$A:$A,$A30,raw_data!$D:$D,"Secondary_Walkin",raw_data!$C:$C,$V$1)</f>
        <v>2</v>
      </c>
      <c r="Y30" s="29">
        <f>sumifs(raw_data!$E:$E,raw_data!$A:$A,$A30,raw_data!$G:$G,"GS Foundation",raw_data!$C:$C,$V$1)</f>
        <v>1</v>
      </c>
      <c r="Z30" s="29">
        <f>sumifs(raw_data!$E:$E,raw_data!$A:$A,$A30,raw_data!$C:$C,$V$1) - sumifs(raw_data!$E:$E,raw_data!$A:$A,$A30,raw_data!$G:$G,"GS Foundation",raw_data!$C:$C,$V$1)</f>
        <v>8</v>
      </c>
      <c r="AA30" s="76">
        <f>sumifs(raw_data!$Z:$Z,raw_data!$T:$T,$A30,raw_data!$U:$U,"Telephony",raw_data!$Y:$Y,$V$1)</f>
        <v>1</v>
      </c>
      <c r="AB30" s="76">
        <f>sumifs(raw_data!$Z:$Z,raw_data!$T:$T,$A30,raw_data!$U:$U,"Paid Ads",raw_data!$Y:$Y,$V$1)</f>
        <v>0</v>
      </c>
      <c r="AC30" s="76">
        <f>sumifs(raw_data!$N:$N,raw_data!$K:$K,$A30,raw_data!$O:$O,$V$1)</f>
        <v>0</v>
      </c>
      <c r="AD30" s="76">
        <f>sumifs(raw_data!$Z:$Z,raw_data!$T:$T,$A30,raw_data!$U:$U,"External Leads",raw_data!$Y:$Y,$V$1)</f>
        <v>0</v>
      </c>
      <c r="AE30" s="71"/>
      <c r="AF30" s="77">
        <f>sumifs(raw_data!$E:$E,raw_data!$A:$A,$A30,raw_data!$C:$C,$AF$1)</f>
        <v>1</v>
      </c>
      <c r="AG30" s="29">
        <f>sumifs(raw_data!$E:$E,raw_data!$A:$A,$A30,raw_data!$D:$D,"Primary_Walkin",raw_data!$C:$C,$AF$1)</f>
        <v>1</v>
      </c>
      <c r="AH30" s="29">
        <f>sumifs(raw_data!$E:$E,raw_data!$A:$A,$A30,raw_data!$D:$D,"Secondary_Walkin",raw_data!$C:$C,$AF$1)</f>
        <v>0</v>
      </c>
      <c r="AI30" s="29">
        <f>sumifs(raw_data!$E:$E,raw_data!$A:$A,$A30,raw_data!$G:$G,"GS Foundation",raw_data!$C:$C,$AF$1)</f>
        <v>1</v>
      </c>
      <c r="AJ30" s="29">
        <f>sumifs(raw_data!$E:$E,raw_data!$A:$A,$A30,raw_data!$C:$C,$AF$1) - sumifs(raw_data!$E:$E,raw_data!$A:$A,$A30,raw_data!$G:$G,"GS Foundation",raw_data!$C:$C,$AF$1)</f>
        <v>0</v>
      </c>
      <c r="AK30" s="76">
        <f>sumifs(raw_data!$Z:$Z,raw_data!$T:$T,$A30,raw_data!$U:$U,"Telephony",raw_data!$Y:$Y,$AF$1)</f>
        <v>0</v>
      </c>
      <c r="AL30" s="76">
        <f>sumifs(raw_data!$Z:$Z,raw_data!$T:$T,$A30,raw_data!$U:$U,"Paid Ads",raw_data!$Y:$Y,$AF$1)</f>
        <v>0</v>
      </c>
      <c r="AM30" s="76">
        <f>sumifs(raw_data!$N:$N,raw_data!$K:$K,$A30,raw_data!$O:$O,$AF$1)</f>
        <v>0</v>
      </c>
      <c r="AN30" s="76">
        <f>sumifs(raw_data!$Z:$Z,raw_data!$T:$T,$A30,raw_data!$U:$U,"External Leads",raw_data!$Y:$Y,$AF$1)</f>
        <v>0</v>
      </c>
      <c r="AO30" s="75"/>
      <c r="AP30" s="77">
        <f>sumifs(raw_data!$E:$E,raw_data!$A:$A,$A30,raw_data!$C:$C,$AP$1)</f>
        <v>11</v>
      </c>
      <c r="AQ30" s="29">
        <f>sumifs(raw_data!$E:$E,raw_data!$A:$A,$A30,raw_data!$D:$D,"Primary_Walkin",raw_data!$C:$C,$AP$1)</f>
        <v>9</v>
      </c>
      <c r="AR30" s="29">
        <f>sumifs(raw_data!$E:$E,raw_data!$A:$A,$A30,raw_data!$D:$D,"Secondary_Walkin",raw_data!$C:$C,$AP$1)</f>
        <v>2</v>
      </c>
      <c r="AS30" s="29">
        <f>sumifs(raw_data!$E:$E,raw_data!$A:$A,$A30,raw_data!$G:$G,"GS Foundation",raw_data!$C:$C,$AP$1)</f>
        <v>5</v>
      </c>
      <c r="AT30" s="29">
        <f>sumifs(raw_data!$E:$E,raw_data!$A:$A,$A30,raw_data!$C:$C,$AP$1) - sumifs(raw_data!$E:$E,raw_data!$A:$A,$A30,raw_data!$G:$G,"GS Foundation",raw_data!$C:$C,$AP$1)</f>
        <v>6</v>
      </c>
      <c r="AU30" s="76">
        <f>sumifs(raw_data!$Z:$Z,raw_data!$T:$T,$A30,raw_data!$U:$U,"Telephony",raw_data!$Y:$Y,$AP$1)</f>
        <v>0</v>
      </c>
      <c r="AV30" s="76">
        <f>sumifs(raw_data!$Z:$Z,raw_data!$T:$T,$A30,raw_data!$U:$U,"Paid Ads",raw_data!$Y:$Y,$AP$1)</f>
        <v>0</v>
      </c>
      <c r="AW30" s="76">
        <f>sumifs(raw_data!$N:$N,raw_data!$K:$K,$A30,raw_data!$O:$O,$AP$1)</f>
        <v>0</v>
      </c>
      <c r="AX30" s="76">
        <f>sumifs(raw_data!$Z:$Z,raw_data!$T:$T,$A30,raw_data!$U:$U,"External Leads",raw_data!$Y:$Y,$AP$1)</f>
        <v>0</v>
      </c>
      <c r="AY30" s="75"/>
      <c r="AZ30" s="77">
        <f>sumifs(raw_data!$E:$E,raw_data!$A:$A,$A30,raw_data!$C:$C,$AZ$1)</f>
        <v>5</v>
      </c>
      <c r="BA30" s="29">
        <f>sumifs(raw_data!$E:$E,raw_data!$A:$A,$A30,raw_data!$D:$D,"Primary_Walkin",raw_data!$C:$C,$AZ$1)</f>
        <v>5</v>
      </c>
      <c r="BB30" s="29">
        <f>sumifs(raw_data!$E:$E,raw_data!$A:$A,$A30,raw_data!$D:$D,"Secondary_Walkin",raw_data!$C:$C,$AZ$1)</f>
        <v>0</v>
      </c>
      <c r="BC30" s="29">
        <f>sumifs(raw_data!$E:$E,raw_data!$A:$A,$A30,raw_data!$G:$G,"GS Foundation",raw_data!$C:$C,$AZ$1)</f>
        <v>3</v>
      </c>
      <c r="BD30" s="29">
        <f>sumifs(raw_data!$E:$E,raw_data!$A:$A,$A30,raw_data!$C:$C,$AZ$1) - sumifs(raw_data!$E:$E,raw_data!$A:$A,$A30,raw_data!$G:$G,"GS Foundation",raw_data!$C:$C,$AZ$1)</f>
        <v>2</v>
      </c>
      <c r="BE30" s="76">
        <f>sumifs(raw_data!$Z:$Z,raw_data!$T:$T,$A30,raw_data!$U:$U,"Telephony",raw_data!$Y:$Y,$AZ$1)</f>
        <v>2</v>
      </c>
      <c r="BF30" s="76">
        <f>sumifs(raw_data!$Z:$Z,raw_data!$T:$T,$A30,raw_data!$U:$U,"Paid Ads",raw_data!$Y:$Y,$AZ$1)</f>
        <v>0</v>
      </c>
      <c r="BG30" s="76">
        <f>sumifs(raw_data!$N:$N,raw_data!$K:$K,$A30,raw_data!$O:$O,$AZ$1)</f>
        <v>0</v>
      </c>
      <c r="BH30" s="76">
        <f>sumifs(raw_data!$Z:$Z,raw_data!$T:$T,$A30,raw_data!$U:$U,"External Leads",raw_data!$Y:$Y,$AZ$1)</f>
        <v>0</v>
      </c>
      <c r="BI30" s="74"/>
    </row>
    <row r="31">
      <c r="A31" s="33">
        <v>46078.0</v>
      </c>
      <c r="B31" s="29">
        <f>sumifs(raw_data!$E:$E,raw_data!$A:$A,$A31)</f>
        <v>38</v>
      </c>
      <c r="C31" s="29">
        <f>sumifs(raw_data!$E:$E,raw_data!$A:$A,$A31,raw_data!$D:$D,"Primary_Walkin")</f>
        <v>35</v>
      </c>
      <c r="D31" s="29">
        <f>sumifs(raw_data!$E:$E,raw_data!$A:$A,$A31,raw_data!$D:$D,"Secondary_Walkin")</f>
        <v>3</v>
      </c>
      <c r="E31" s="29">
        <f>sumifs(raw_data!$E:$E,raw_data!$A:$A,$A31,raw_data!$G:$G,"GS Foundation")</f>
        <v>20</v>
      </c>
      <c r="F31" s="29">
        <f>sumifs(raw_data!$E:$E,raw_data!$A:$A,$A31) - sumifs(raw_data!$E:$E,raw_data!$A:$A,$A31,raw_data!$G:$G,"GS Foundation")</f>
        <v>18</v>
      </c>
      <c r="G31" s="76">
        <f>sumifs(raw_data!$Z:$Z,raw_data!$T:$T,$A31,raw_data!$U:$U,"Telephony")</f>
        <v>32</v>
      </c>
      <c r="H31" s="76">
        <f>sumifs(raw_data!$Z:$Z,raw_data!$T:$T,$A31,raw_data!$U:$U,"Paid Ads")</f>
        <v>0</v>
      </c>
      <c r="I31" s="76">
        <f t="shared" si="1"/>
        <v>0</v>
      </c>
      <c r="J31" s="76">
        <f>sumifs(raw_data!$Z:$Z,raw_data!$T:$T,$A31,raw_data!$U:$U,"External Leads")</f>
        <v>2</v>
      </c>
      <c r="K31" s="71"/>
      <c r="L31" s="77">
        <f>sumifs(raw_data!$E:$E,raw_data!$A:$A,$A31,raw_data!$C:$C,$L$1)</f>
        <v>14</v>
      </c>
      <c r="M31" s="29">
        <f>sumifs(raw_data!$E:$E,raw_data!$A:$A,$A31,raw_data!$D:$D,"Primary_Walkin",raw_data!$C:$C,$L$1)</f>
        <v>13</v>
      </c>
      <c r="N31" s="29">
        <f>sumifs(raw_data!$E:$E,raw_data!$A:$A,$A31,raw_data!$D:$D,"Secondary_Walkin",raw_data!$C:$C,$L$1)</f>
        <v>1</v>
      </c>
      <c r="O31" s="29">
        <f>sumifs(raw_data!$E:$E,raw_data!$A:$A,$A31,raw_data!$G:$G,"GS Foundation",raw_data!$C:$C,$L$1)</f>
        <v>11</v>
      </c>
      <c r="P31" s="29">
        <f>sumifs(raw_data!$E:$E,raw_data!$A:$A,$A31,raw_data!$C:$C,$L$1) - sumifs(raw_data!$E:$E,raw_data!$A:$A,$A31,raw_data!$G:$G,"GS Foundation",raw_data!$C:$C,$L$1)</f>
        <v>3</v>
      </c>
      <c r="Q31" s="76">
        <f>sumifs(raw_data!$Z:$Z,raw_data!$T:$T,$A31,raw_data!$U:$U,"Telephony",raw_data!$Y:$Y,$L$1)</f>
        <v>19</v>
      </c>
      <c r="R31" s="76">
        <f>sumifs(raw_data!$Z:$Z,raw_data!$T:$T,$A31,raw_data!$U:$U,"Paid Ads",raw_data!$Y:$Y,$L$1)</f>
        <v>0</v>
      </c>
      <c r="S31" s="76">
        <f>sumifs(raw_data!$N:$N,raw_data!$K:$K,$A31,raw_data!$O:$O,$L$1)</f>
        <v>0</v>
      </c>
      <c r="T31" s="76">
        <f>sumifs(raw_data!$Z:$Z,raw_data!$T:$T,$A31,raw_data!$U:$U,"External Leads",raw_data!$Y:$Y,$L$1)</f>
        <v>0</v>
      </c>
      <c r="U31" s="71"/>
      <c r="V31" s="77">
        <f>sumifs(raw_data!$E:$E,raw_data!$A:$A,$A31,raw_data!$C:$C,$V$1)</f>
        <v>14</v>
      </c>
      <c r="W31" s="29">
        <f>sumifs(raw_data!$E:$E,raw_data!$A:$A,$A31,raw_data!$D:$D,"Primary_Walkin",raw_data!$C:$C,$V$1)</f>
        <v>13</v>
      </c>
      <c r="X31" s="29">
        <f>sumifs(raw_data!$E:$E,raw_data!$A:$A,$A31,raw_data!$D:$D,"Secondary_Walkin",raw_data!$C:$C,$V$1)</f>
        <v>1</v>
      </c>
      <c r="Y31" s="29">
        <f>sumifs(raw_data!$E:$E,raw_data!$A:$A,$A31,raw_data!$G:$G,"GS Foundation",raw_data!$C:$C,$V$1)</f>
        <v>2</v>
      </c>
      <c r="Z31" s="29">
        <f>sumifs(raw_data!$E:$E,raw_data!$A:$A,$A31,raw_data!$C:$C,$V$1) - sumifs(raw_data!$E:$E,raw_data!$A:$A,$A31,raw_data!$G:$G,"GS Foundation",raw_data!$C:$C,$V$1)</f>
        <v>12</v>
      </c>
      <c r="AA31" s="76">
        <f>sumifs(raw_data!$Z:$Z,raw_data!$T:$T,$A31,raw_data!$U:$U,"Telephony",raw_data!$Y:$Y,$V$1)</f>
        <v>1</v>
      </c>
      <c r="AB31" s="76">
        <f>sumifs(raw_data!$Z:$Z,raw_data!$T:$T,$A31,raw_data!$U:$U,"Paid Ads",raw_data!$Y:$Y,$V$1)</f>
        <v>0</v>
      </c>
      <c r="AC31" s="76">
        <f>sumifs(raw_data!$N:$N,raw_data!$K:$K,$A31,raw_data!$O:$O,$V$1)</f>
        <v>0</v>
      </c>
      <c r="AD31" s="76">
        <f>sumifs(raw_data!$Z:$Z,raw_data!$T:$T,$A31,raw_data!$U:$U,"External Leads",raw_data!$Y:$Y,$V$1)</f>
        <v>0</v>
      </c>
      <c r="AE31" s="71"/>
      <c r="AF31" s="77">
        <f>sumifs(raw_data!$E:$E,raw_data!$A:$A,$A31,raw_data!$C:$C,$AF$1)</f>
        <v>3</v>
      </c>
      <c r="AG31" s="29">
        <f>sumifs(raw_data!$E:$E,raw_data!$A:$A,$A31,raw_data!$D:$D,"Primary_Walkin",raw_data!$C:$C,$AF$1)</f>
        <v>2</v>
      </c>
      <c r="AH31" s="29">
        <f>sumifs(raw_data!$E:$E,raw_data!$A:$A,$A31,raw_data!$D:$D,"Secondary_Walkin",raw_data!$C:$C,$AF$1)</f>
        <v>1</v>
      </c>
      <c r="AI31" s="29">
        <f>sumifs(raw_data!$E:$E,raw_data!$A:$A,$A31,raw_data!$G:$G,"GS Foundation",raw_data!$C:$C,$AF$1)</f>
        <v>3</v>
      </c>
      <c r="AJ31" s="29">
        <f>sumifs(raw_data!$E:$E,raw_data!$A:$A,$A31,raw_data!$C:$C,$AF$1) - sumifs(raw_data!$E:$E,raw_data!$A:$A,$A31,raw_data!$G:$G,"GS Foundation",raw_data!$C:$C,$AF$1)</f>
        <v>0</v>
      </c>
      <c r="AK31" s="76">
        <f>sumifs(raw_data!$Z:$Z,raw_data!$T:$T,$A31,raw_data!$U:$U,"Telephony",raw_data!$Y:$Y,$AF$1)</f>
        <v>0</v>
      </c>
      <c r="AL31" s="76">
        <f>sumifs(raw_data!$Z:$Z,raw_data!$T:$T,$A31,raw_data!$U:$U,"Paid Ads",raw_data!$Y:$Y,$AF$1)</f>
        <v>0</v>
      </c>
      <c r="AM31" s="76">
        <f>sumifs(raw_data!$N:$N,raw_data!$K:$K,$A31,raw_data!$O:$O,$AF$1)</f>
        <v>0</v>
      </c>
      <c r="AN31" s="76">
        <f>sumifs(raw_data!$Z:$Z,raw_data!$T:$T,$A31,raw_data!$U:$U,"External Leads",raw_data!$Y:$Y,$AF$1)</f>
        <v>0</v>
      </c>
      <c r="AO31" s="75"/>
      <c r="AP31" s="77">
        <f>sumifs(raw_data!$E:$E,raw_data!$A:$A,$A31,raw_data!$C:$C,$AP$1)</f>
        <v>5</v>
      </c>
      <c r="AQ31" s="29">
        <f>sumifs(raw_data!$E:$E,raw_data!$A:$A,$A31,raw_data!$D:$D,"Primary_Walkin",raw_data!$C:$C,$AP$1)</f>
        <v>5</v>
      </c>
      <c r="AR31" s="29">
        <f>sumifs(raw_data!$E:$E,raw_data!$A:$A,$A31,raw_data!$D:$D,"Secondary_Walkin",raw_data!$C:$C,$AP$1)</f>
        <v>0</v>
      </c>
      <c r="AS31" s="29">
        <f>sumifs(raw_data!$E:$E,raw_data!$A:$A,$A31,raw_data!$G:$G,"GS Foundation",raw_data!$C:$C,$AP$1)</f>
        <v>4</v>
      </c>
      <c r="AT31" s="29">
        <f>sumifs(raw_data!$E:$E,raw_data!$A:$A,$A31,raw_data!$C:$C,$AP$1) - sumifs(raw_data!$E:$E,raw_data!$A:$A,$A31,raw_data!$G:$G,"GS Foundation",raw_data!$C:$C,$AP$1)</f>
        <v>1</v>
      </c>
      <c r="AU31" s="76">
        <f>sumifs(raw_data!$Z:$Z,raw_data!$T:$T,$A31,raw_data!$U:$U,"Telephony",raw_data!$Y:$Y,$AP$1)</f>
        <v>1</v>
      </c>
      <c r="AV31" s="76">
        <f>sumifs(raw_data!$Z:$Z,raw_data!$T:$T,$A31,raw_data!$U:$U,"Paid Ads",raw_data!$Y:$Y,$AP$1)</f>
        <v>0</v>
      </c>
      <c r="AW31" s="76">
        <f>sumifs(raw_data!$N:$N,raw_data!$K:$K,$A31,raw_data!$O:$O,$AP$1)</f>
        <v>0</v>
      </c>
      <c r="AX31" s="76">
        <f>sumifs(raw_data!$Z:$Z,raw_data!$T:$T,$A31,raw_data!$U:$U,"External Leads",raw_data!$Y:$Y,$AP$1)</f>
        <v>0</v>
      </c>
      <c r="AY31" s="75"/>
      <c r="AZ31" s="77">
        <f>sumifs(raw_data!$E:$E,raw_data!$A:$A,$A31,raw_data!$C:$C,$AZ$1)</f>
        <v>2</v>
      </c>
      <c r="BA31" s="29">
        <f>sumifs(raw_data!$E:$E,raw_data!$A:$A,$A31,raw_data!$D:$D,"Primary_Walkin",raw_data!$C:$C,$AZ$1)</f>
        <v>2</v>
      </c>
      <c r="BB31" s="29">
        <f>sumifs(raw_data!$E:$E,raw_data!$A:$A,$A31,raw_data!$D:$D,"Secondary_Walkin",raw_data!$C:$C,$AZ$1)</f>
        <v>0</v>
      </c>
      <c r="BC31" s="29">
        <f>sumifs(raw_data!$E:$E,raw_data!$A:$A,$A31,raw_data!$G:$G,"GS Foundation",raw_data!$C:$C,$AZ$1)</f>
        <v>0</v>
      </c>
      <c r="BD31" s="29">
        <f>sumifs(raw_data!$E:$E,raw_data!$A:$A,$A31,raw_data!$C:$C,$AZ$1) - sumifs(raw_data!$E:$E,raw_data!$A:$A,$A31,raw_data!$G:$G,"GS Foundation",raw_data!$C:$C,$AZ$1)</f>
        <v>2</v>
      </c>
      <c r="BE31" s="76">
        <f>sumifs(raw_data!$Z:$Z,raw_data!$T:$T,$A31,raw_data!$U:$U,"Telephony",raw_data!$Y:$Y,$AZ$1)</f>
        <v>2</v>
      </c>
      <c r="BF31" s="76">
        <f>sumifs(raw_data!$Z:$Z,raw_data!$T:$T,$A31,raw_data!$U:$U,"Paid Ads",raw_data!$Y:$Y,$AZ$1)</f>
        <v>0</v>
      </c>
      <c r="BG31" s="76">
        <f>sumifs(raw_data!$N:$N,raw_data!$K:$K,$A31,raw_data!$O:$O,$AZ$1)</f>
        <v>0</v>
      </c>
      <c r="BH31" s="76">
        <f>sumifs(raw_data!$Z:$Z,raw_data!$T:$T,$A31,raw_data!$U:$U,"External Leads",raw_data!$Y:$Y,$AZ$1)</f>
        <v>0</v>
      </c>
      <c r="BI31" s="74"/>
    </row>
    <row r="32">
      <c r="A32" s="33">
        <v>46079.0</v>
      </c>
      <c r="B32" s="29">
        <f>sumifs(raw_data!$E:$E,raw_data!$A:$A,$A32)</f>
        <v>58</v>
      </c>
      <c r="C32" s="29">
        <f>sumifs(raw_data!$E:$E,raw_data!$A:$A,$A32,raw_data!$D:$D,"Primary_Walkin")</f>
        <v>53</v>
      </c>
      <c r="D32" s="29">
        <f>sumifs(raw_data!$E:$E,raw_data!$A:$A,$A32,raw_data!$D:$D,"Secondary_Walkin")</f>
        <v>5</v>
      </c>
      <c r="E32" s="29">
        <f>sumifs(raw_data!$E:$E,raw_data!$A:$A,$A32,raw_data!$G:$G,"GS Foundation")</f>
        <v>33</v>
      </c>
      <c r="F32" s="29">
        <f>sumifs(raw_data!$E:$E,raw_data!$A:$A,$A32) - sumifs(raw_data!$E:$E,raw_data!$A:$A,$A32,raw_data!$G:$G,"GS Foundation")</f>
        <v>25</v>
      </c>
      <c r="G32" s="76">
        <f>sumifs(raw_data!$Z:$Z,raw_data!$T:$T,$A32,raw_data!$U:$U,"Telephony")</f>
        <v>29</v>
      </c>
      <c r="H32" s="76">
        <f>sumifs(raw_data!$Z:$Z,raw_data!$T:$T,$A32,raw_data!$U:$U,"Paid Ads")</f>
        <v>0</v>
      </c>
      <c r="I32" s="76">
        <f t="shared" si="1"/>
        <v>0</v>
      </c>
      <c r="J32" s="76">
        <f>sumifs(raw_data!$Z:$Z,raw_data!$T:$T,$A32,raw_data!$U:$U,"External Leads")</f>
        <v>11</v>
      </c>
      <c r="K32" s="71"/>
      <c r="L32" s="77">
        <f>sumifs(raw_data!$E:$E,raw_data!$A:$A,$A32,raw_data!$C:$C,$L$1)</f>
        <v>21</v>
      </c>
      <c r="M32" s="29">
        <f>sumifs(raw_data!$E:$E,raw_data!$A:$A,$A32,raw_data!$D:$D,"Primary_Walkin",raw_data!$C:$C,$L$1)</f>
        <v>18</v>
      </c>
      <c r="N32" s="29">
        <f>sumifs(raw_data!$E:$E,raw_data!$A:$A,$A32,raw_data!$D:$D,"Secondary_Walkin",raw_data!$C:$C,$L$1)</f>
        <v>3</v>
      </c>
      <c r="O32" s="29">
        <f>sumifs(raw_data!$E:$E,raw_data!$A:$A,$A32,raw_data!$G:$G,"GS Foundation",raw_data!$C:$C,$L$1)</f>
        <v>18</v>
      </c>
      <c r="P32" s="29">
        <f>sumifs(raw_data!$E:$E,raw_data!$A:$A,$A32,raw_data!$C:$C,$L$1) - sumifs(raw_data!$E:$E,raw_data!$A:$A,$A32,raw_data!$G:$G,"GS Foundation",raw_data!$C:$C,$L$1)</f>
        <v>3</v>
      </c>
      <c r="Q32" s="76">
        <f>sumifs(raw_data!$Z:$Z,raw_data!$T:$T,$A32,raw_data!$U:$U,"Telephony",raw_data!$Y:$Y,$L$1)</f>
        <v>14</v>
      </c>
      <c r="R32" s="76">
        <f>sumifs(raw_data!$Z:$Z,raw_data!$T:$T,$A32,raw_data!$U:$U,"Paid Ads",raw_data!$Y:$Y,$L$1)</f>
        <v>0</v>
      </c>
      <c r="S32" s="76">
        <f>sumifs(raw_data!$N:$N,raw_data!$K:$K,$A32,raw_data!$O:$O,$L$1)</f>
        <v>0</v>
      </c>
      <c r="T32" s="76">
        <f>sumifs(raw_data!$Z:$Z,raw_data!$T:$T,$A32,raw_data!$U:$U,"External Leads",raw_data!$Y:$Y,$L$1)</f>
        <v>0</v>
      </c>
      <c r="U32" s="71"/>
      <c r="V32" s="77">
        <f>sumifs(raw_data!$E:$E,raw_data!$A:$A,$A32,raw_data!$C:$C,$V$1)</f>
        <v>13</v>
      </c>
      <c r="W32" s="29">
        <f>sumifs(raw_data!$E:$E,raw_data!$A:$A,$A32,raw_data!$D:$D,"Primary_Walkin",raw_data!$C:$C,$V$1)</f>
        <v>13</v>
      </c>
      <c r="X32" s="29">
        <f>sumifs(raw_data!$E:$E,raw_data!$A:$A,$A32,raw_data!$D:$D,"Secondary_Walkin",raw_data!$C:$C,$V$1)</f>
        <v>0</v>
      </c>
      <c r="Y32" s="29">
        <f>sumifs(raw_data!$E:$E,raw_data!$A:$A,$A32,raw_data!$G:$G,"GS Foundation",raw_data!$C:$C,$V$1)</f>
        <v>3</v>
      </c>
      <c r="Z32" s="29">
        <f>sumifs(raw_data!$E:$E,raw_data!$A:$A,$A32,raw_data!$C:$C,$V$1) - sumifs(raw_data!$E:$E,raw_data!$A:$A,$A32,raw_data!$G:$G,"GS Foundation",raw_data!$C:$C,$V$1)</f>
        <v>10</v>
      </c>
      <c r="AA32" s="76">
        <f>sumifs(raw_data!$Z:$Z,raw_data!$T:$T,$A32,raw_data!$U:$U,"Telephony",raw_data!$Y:$Y,$V$1)</f>
        <v>1</v>
      </c>
      <c r="AB32" s="76">
        <f>sumifs(raw_data!$Z:$Z,raw_data!$T:$T,$A32,raw_data!$U:$U,"Paid Ads",raw_data!$Y:$Y,$V$1)</f>
        <v>0</v>
      </c>
      <c r="AC32" s="76">
        <f>sumifs(raw_data!$N:$N,raw_data!$K:$K,$A32,raw_data!$O:$O,$V$1)</f>
        <v>0</v>
      </c>
      <c r="AD32" s="76">
        <f>sumifs(raw_data!$Z:$Z,raw_data!$T:$T,$A32,raw_data!$U:$U,"External Leads",raw_data!$Y:$Y,$V$1)</f>
        <v>0</v>
      </c>
      <c r="AE32" s="71"/>
      <c r="AF32" s="77">
        <f>sumifs(raw_data!$E:$E,raw_data!$A:$A,$A32,raw_data!$C:$C,$AF$1)</f>
        <v>3</v>
      </c>
      <c r="AG32" s="29">
        <f>sumifs(raw_data!$E:$E,raw_data!$A:$A,$A32,raw_data!$D:$D,"Primary_Walkin",raw_data!$C:$C,$AF$1)</f>
        <v>3</v>
      </c>
      <c r="AH32" s="29">
        <f>sumifs(raw_data!$E:$E,raw_data!$A:$A,$A32,raw_data!$D:$D,"Secondary_Walkin",raw_data!$C:$C,$AF$1)</f>
        <v>0</v>
      </c>
      <c r="AI32" s="29">
        <f>sumifs(raw_data!$E:$E,raw_data!$A:$A,$A32,raw_data!$G:$G,"GS Foundation",raw_data!$C:$C,$AF$1)</f>
        <v>3</v>
      </c>
      <c r="AJ32" s="29">
        <f>sumifs(raw_data!$E:$E,raw_data!$A:$A,$A32,raw_data!$C:$C,$AF$1) - sumifs(raw_data!$E:$E,raw_data!$A:$A,$A32,raw_data!$G:$G,"GS Foundation",raw_data!$C:$C,$AF$1)</f>
        <v>0</v>
      </c>
      <c r="AK32" s="76">
        <f>sumifs(raw_data!$Z:$Z,raw_data!$T:$T,$A32,raw_data!$U:$U,"Telephony",raw_data!$Y:$Y,$AF$1)</f>
        <v>0</v>
      </c>
      <c r="AL32" s="76">
        <f>sumifs(raw_data!$Z:$Z,raw_data!$T:$T,$A32,raw_data!$U:$U,"Paid Ads",raw_data!$Y:$Y,$AF$1)</f>
        <v>0</v>
      </c>
      <c r="AM32" s="76">
        <f>sumifs(raw_data!$N:$N,raw_data!$K:$K,$A32,raw_data!$O:$O,$AF$1)</f>
        <v>0</v>
      </c>
      <c r="AN32" s="76">
        <f>sumifs(raw_data!$Z:$Z,raw_data!$T:$T,$A32,raw_data!$U:$U,"External Leads",raw_data!$Y:$Y,$AF$1)</f>
        <v>0</v>
      </c>
      <c r="AO32" s="75"/>
      <c r="AP32" s="77">
        <f>sumifs(raw_data!$E:$E,raw_data!$A:$A,$A32,raw_data!$C:$C,$AP$1)</f>
        <v>10</v>
      </c>
      <c r="AQ32" s="29">
        <f>sumifs(raw_data!$E:$E,raw_data!$A:$A,$A32,raw_data!$D:$D,"Primary_Walkin",raw_data!$C:$C,$AP$1)</f>
        <v>10</v>
      </c>
      <c r="AR32" s="29">
        <f>sumifs(raw_data!$E:$E,raw_data!$A:$A,$A32,raw_data!$D:$D,"Secondary_Walkin",raw_data!$C:$C,$AP$1)</f>
        <v>0</v>
      </c>
      <c r="AS32" s="29">
        <f>sumifs(raw_data!$E:$E,raw_data!$A:$A,$A32,raw_data!$G:$G,"GS Foundation",raw_data!$C:$C,$AP$1)</f>
        <v>6</v>
      </c>
      <c r="AT32" s="29">
        <f>sumifs(raw_data!$E:$E,raw_data!$A:$A,$A32,raw_data!$C:$C,$AP$1) - sumifs(raw_data!$E:$E,raw_data!$A:$A,$A32,raw_data!$G:$G,"GS Foundation",raw_data!$C:$C,$AP$1)</f>
        <v>4</v>
      </c>
      <c r="AU32" s="76">
        <f>sumifs(raw_data!$Z:$Z,raw_data!$T:$T,$A32,raw_data!$U:$U,"Telephony",raw_data!$Y:$Y,$AP$1)</f>
        <v>4</v>
      </c>
      <c r="AV32" s="76">
        <f>sumifs(raw_data!$Z:$Z,raw_data!$T:$T,$A32,raw_data!$U:$U,"Paid Ads",raw_data!$Y:$Y,$AP$1)</f>
        <v>0</v>
      </c>
      <c r="AW32" s="76">
        <f>sumifs(raw_data!$N:$N,raw_data!$K:$K,$A32,raw_data!$O:$O,$AP$1)</f>
        <v>0</v>
      </c>
      <c r="AX32" s="76">
        <f>sumifs(raw_data!$Z:$Z,raw_data!$T:$T,$A32,raw_data!$U:$U,"External Leads",raw_data!$Y:$Y,$AP$1)</f>
        <v>0</v>
      </c>
      <c r="AY32" s="75"/>
      <c r="AZ32" s="77">
        <f>sumifs(raw_data!$E:$E,raw_data!$A:$A,$A32,raw_data!$C:$C,$AZ$1)</f>
        <v>11</v>
      </c>
      <c r="BA32" s="29">
        <f>sumifs(raw_data!$E:$E,raw_data!$A:$A,$A32,raw_data!$D:$D,"Primary_Walkin",raw_data!$C:$C,$AZ$1)</f>
        <v>9</v>
      </c>
      <c r="BB32" s="29">
        <f>sumifs(raw_data!$E:$E,raw_data!$A:$A,$A32,raw_data!$D:$D,"Secondary_Walkin",raw_data!$C:$C,$AZ$1)</f>
        <v>2</v>
      </c>
      <c r="BC32" s="29">
        <f>sumifs(raw_data!$E:$E,raw_data!$A:$A,$A32,raw_data!$G:$G,"GS Foundation",raw_data!$C:$C,$AZ$1)</f>
        <v>3</v>
      </c>
      <c r="BD32" s="29">
        <f>sumifs(raw_data!$E:$E,raw_data!$A:$A,$A32,raw_data!$C:$C,$AZ$1) - sumifs(raw_data!$E:$E,raw_data!$A:$A,$A32,raw_data!$G:$G,"GS Foundation",raw_data!$C:$C,$AZ$1)</f>
        <v>8</v>
      </c>
      <c r="BE32" s="76">
        <f>sumifs(raw_data!$Z:$Z,raw_data!$T:$T,$A32,raw_data!$U:$U,"Telephony",raw_data!$Y:$Y,$AZ$1)</f>
        <v>4</v>
      </c>
      <c r="BF32" s="76">
        <f>sumifs(raw_data!$Z:$Z,raw_data!$T:$T,$A32,raw_data!$U:$U,"Paid Ads",raw_data!$Y:$Y,$AZ$1)</f>
        <v>0</v>
      </c>
      <c r="BG32" s="76">
        <f>sumifs(raw_data!$N:$N,raw_data!$K:$K,$A32,raw_data!$O:$O,$AZ$1)</f>
        <v>0</v>
      </c>
      <c r="BH32" s="76">
        <f>sumifs(raw_data!$Z:$Z,raw_data!$T:$T,$A32,raw_data!$U:$U,"External Leads",raw_data!$Y:$Y,$AZ$1)</f>
        <v>0</v>
      </c>
      <c r="BI32" s="74"/>
    </row>
    <row r="33">
      <c r="A33" s="33">
        <v>46080.0</v>
      </c>
      <c r="B33" s="29">
        <f>sumifs(raw_data!$E:$E,raw_data!$A:$A,$A33)</f>
        <v>32</v>
      </c>
      <c r="C33" s="29">
        <f>sumifs(raw_data!$E:$E,raw_data!$A:$A,$A33,raw_data!$D:$D,"Primary_Walkin")</f>
        <v>29</v>
      </c>
      <c r="D33" s="29">
        <f>sumifs(raw_data!$E:$E,raw_data!$A:$A,$A33,raw_data!$D:$D,"Secondary_Walkin")</f>
        <v>3</v>
      </c>
      <c r="E33" s="29">
        <f>sumifs(raw_data!$E:$E,raw_data!$A:$A,$A33,raw_data!$G:$G,"GS Foundation")</f>
        <v>18</v>
      </c>
      <c r="F33" s="29">
        <f>sumifs(raw_data!$E:$E,raw_data!$A:$A,$A33) - sumifs(raw_data!$E:$E,raw_data!$A:$A,$A33,raw_data!$G:$G,"GS Foundation")</f>
        <v>14</v>
      </c>
      <c r="G33" s="76">
        <f>sumifs(raw_data!$Z:$Z,raw_data!$T:$T,$A33,raw_data!$U:$U,"Telephony")</f>
        <v>25</v>
      </c>
      <c r="H33" s="76">
        <f>sumifs(raw_data!$Z:$Z,raw_data!$T:$T,$A33,raw_data!$U:$U,"Paid Ads")</f>
        <v>0</v>
      </c>
      <c r="I33" s="76">
        <f t="shared" si="1"/>
        <v>0</v>
      </c>
      <c r="J33" s="76">
        <f>sumifs(raw_data!$Z:$Z,raw_data!$T:$T,$A33,raw_data!$U:$U,"External Leads")</f>
        <v>14</v>
      </c>
      <c r="K33" s="71"/>
      <c r="L33" s="77">
        <f>sumifs(raw_data!$E:$E,raw_data!$A:$A,$A33,raw_data!$C:$C,$L$1)</f>
        <v>14</v>
      </c>
      <c r="M33" s="29">
        <f>sumifs(raw_data!$E:$E,raw_data!$A:$A,$A33,raw_data!$D:$D,"Primary_Walkin",raw_data!$C:$C,$L$1)</f>
        <v>13</v>
      </c>
      <c r="N33" s="29">
        <f>sumifs(raw_data!$E:$E,raw_data!$A:$A,$A33,raw_data!$D:$D,"Secondary_Walkin",raw_data!$C:$C,$L$1)</f>
        <v>1</v>
      </c>
      <c r="O33" s="29">
        <f>sumifs(raw_data!$E:$E,raw_data!$A:$A,$A33,raw_data!$G:$G,"GS Foundation",raw_data!$C:$C,$L$1)</f>
        <v>13</v>
      </c>
      <c r="P33" s="29">
        <f>sumifs(raw_data!$E:$E,raw_data!$A:$A,$A33,raw_data!$C:$C,$L$1) - sumifs(raw_data!$E:$E,raw_data!$A:$A,$A33,raw_data!$G:$G,"GS Foundation",raw_data!$C:$C,$L$1)</f>
        <v>1</v>
      </c>
      <c r="Q33" s="76">
        <f>sumifs(raw_data!$Z:$Z,raw_data!$T:$T,$A33,raw_data!$U:$U,"Telephony",raw_data!$Y:$Y,$L$1)</f>
        <v>15</v>
      </c>
      <c r="R33" s="76">
        <f>sumifs(raw_data!$Z:$Z,raw_data!$T:$T,$A33,raw_data!$U:$U,"Paid Ads",raw_data!$Y:$Y,$L$1)</f>
        <v>0</v>
      </c>
      <c r="S33" s="76">
        <f>sumifs(raw_data!$N:$N,raw_data!$K:$K,$A33,raw_data!$O:$O,$L$1)</f>
        <v>0</v>
      </c>
      <c r="T33" s="76">
        <f>sumifs(raw_data!$Z:$Z,raw_data!$T:$T,$A33,raw_data!$U:$U,"External Leads",raw_data!$Y:$Y,$L$1)</f>
        <v>0</v>
      </c>
      <c r="U33" s="71"/>
      <c r="V33" s="77">
        <f>sumifs(raw_data!$E:$E,raw_data!$A:$A,$A33,raw_data!$C:$C,$V$1)</f>
        <v>8</v>
      </c>
      <c r="W33" s="29">
        <f>sumifs(raw_data!$E:$E,raw_data!$A:$A,$A33,raw_data!$D:$D,"Primary_Walkin",raw_data!$C:$C,$V$1)</f>
        <v>7</v>
      </c>
      <c r="X33" s="29">
        <f>sumifs(raw_data!$E:$E,raw_data!$A:$A,$A33,raw_data!$D:$D,"Secondary_Walkin",raw_data!$C:$C,$V$1)</f>
        <v>1</v>
      </c>
      <c r="Y33" s="29">
        <f>sumifs(raw_data!$E:$E,raw_data!$A:$A,$A33,raw_data!$G:$G,"GS Foundation",raw_data!$C:$C,$V$1)</f>
        <v>0</v>
      </c>
      <c r="Z33" s="29">
        <f>sumifs(raw_data!$E:$E,raw_data!$A:$A,$A33,raw_data!$C:$C,$V$1) - sumifs(raw_data!$E:$E,raw_data!$A:$A,$A33,raw_data!$G:$G,"GS Foundation",raw_data!$C:$C,$V$1)</f>
        <v>8</v>
      </c>
      <c r="AA33" s="76">
        <f>sumifs(raw_data!$Z:$Z,raw_data!$T:$T,$A33,raw_data!$U:$U,"Telephony",raw_data!$Y:$Y,$V$1)</f>
        <v>0</v>
      </c>
      <c r="AB33" s="76">
        <f>sumifs(raw_data!$Z:$Z,raw_data!$T:$T,$A33,raw_data!$U:$U,"Paid Ads",raw_data!$Y:$Y,$V$1)</f>
        <v>0</v>
      </c>
      <c r="AC33" s="76">
        <f>sumifs(raw_data!$N:$N,raw_data!$K:$K,$A33,raw_data!$O:$O,$V$1)</f>
        <v>0</v>
      </c>
      <c r="AD33" s="76">
        <f>sumifs(raw_data!$Z:$Z,raw_data!$T:$T,$A33,raw_data!$U:$U,"External Leads",raw_data!$Y:$Y,$V$1)</f>
        <v>0</v>
      </c>
      <c r="AE33" s="71"/>
      <c r="AF33" s="77">
        <f>sumifs(raw_data!$E:$E,raw_data!$A:$A,$A33,raw_data!$C:$C,$AF$1)</f>
        <v>0</v>
      </c>
      <c r="AG33" s="29">
        <f>sumifs(raw_data!$E:$E,raw_data!$A:$A,$A33,raw_data!$D:$D,"Primary_Walkin",raw_data!$C:$C,$AF$1)</f>
        <v>0</v>
      </c>
      <c r="AH33" s="29">
        <f>sumifs(raw_data!$E:$E,raw_data!$A:$A,$A33,raw_data!$D:$D,"Secondary_Walkin",raw_data!$C:$C,$AF$1)</f>
        <v>0</v>
      </c>
      <c r="AI33" s="29">
        <f>sumifs(raw_data!$E:$E,raw_data!$A:$A,$A33,raw_data!$G:$G,"GS Foundation",raw_data!$C:$C,$AF$1)</f>
        <v>0</v>
      </c>
      <c r="AJ33" s="29">
        <f>sumifs(raw_data!$E:$E,raw_data!$A:$A,$A33,raw_data!$C:$C,$AF$1) - sumifs(raw_data!$E:$E,raw_data!$A:$A,$A33,raw_data!$G:$G,"GS Foundation",raw_data!$C:$C,$AF$1)</f>
        <v>0</v>
      </c>
      <c r="AK33" s="76">
        <f>sumifs(raw_data!$Z:$Z,raw_data!$T:$T,$A33,raw_data!$U:$U,"Telephony",raw_data!$Y:$Y,$AF$1)</f>
        <v>0</v>
      </c>
      <c r="AL33" s="76">
        <f>sumifs(raw_data!$Z:$Z,raw_data!$T:$T,$A33,raw_data!$U:$U,"Paid Ads",raw_data!$Y:$Y,$AF$1)</f>
        <v>0</v>
      </c>
      <c r="AM33" s="76">
        <f>sumifs(raw_data!$N:$N,raw_data!$K:$K,$A33,raw_data!$O:$O,$AF$1)</f>
        <v>0</v>
      </c>
      <c r="AN33" s="76">
        <f>sumifs(raw_data!$Z:$Z,raw_data!$T:$T,$A33,raw_data!$U:$U,"External Leads",raw_data!$Y:$Y,$AF$1)</f>
        <v>0</v>
      </c>
      <c r="AO33" s="75"/>
      <c r="AP33" s="77">
        <f>sumifs(raw_data!$E:$E,raw_data!$A:$A,$A33,raw_data!$C:$C,$AP$1)</f>
        <v>8</v>
      </c>
      <c r="AQ33" s="29">
        <f>sumifs(raw_data!$E:$E,raw_data!$A:$A,$A33,raw_data!$D:$D,"Primary_Walkin",raw_data!$C:$C,$AP$1)</f>
        <v>7</v>
      </c>
      <c r="AR33" s="29">
        <f>sumifs(raw_data!$E:$E,raw_data!$A:$A,$A33,raw_data!$D:$D,"Secondary_Walkin",raw_data!$C:$C,$AP$1)</f>
        <v>1</v>
      </c>
      <c r="AS33" s="29">
        <f>sumifs(raw_data!$E:$E,raw_data!$A:$A,$A33,raw_data!$G:$G,"GS Foundation",raw_data!$C:$C,$AP$1)</f>
        <v>4</v>
      </c>
      <c r="AT33" s="29">
        <f>sumifs(raw_data!$E:$E,raw_data!$A:$A,$A33,raw_data!$C:$C,$AP$1) - sumifs(raw_data!$E:$E,raw_data!$A:$A,$A33,raw_data!$G:$G,"GS Foundation",raw_data!$C:$C,$AP$1)</f>
        <v>4</v>
      </c>
      <c r="AU33" s="76">
        <f>sumifs(raw_data!$Z:$Z,raw_data!$T:$T,$A33,raw_data!$U:$U,"Telephony",raw_data!$Y:$Y,$AP$1)</f>
        <v>1</v>
      </c>
      <c r="AV33" s="76">
        <f>sumifs(raw_data!$Z:$Z,raw_data!$T:$T,$A33,raw_data!$U:$U,"Paid Ads",raw_data!$Y:$Y,$AP$1)</f>
        <v>0</v>
      </c>
      <c r="AW33" s="76">
        <f>sumifs(raw_data!$N:$N,raw_data!$K:$K,$A33,raw_data!$O:$O,$AP$1)</f>
        <v>0</v>
      </c>
      <c r="AX33" s="76">
        <f>sumifs(raw_data!$Z:$Z,raw_data!$T:$T,$A33,raw_data!$U:$U,"External Leads",raw_data!$Y:$Y,$AP$1)</f>
        <v>0</v>
      </c>
      <c r="AY33" s="75"/>
      <c r="AZ33" s="77">
        <f>sumifs(raw_data!$E:$E,raw_data!$A:$A,$A33,raw_data!$C:$C,$AZ$1)</f>
        <v>2</v>
      </c>
      <c r="BA33" s="29">
        <f>sumifs(raw_data!$E:$E,raw_data!$A:$A,$A33,raw_data!$D:$D,"Primary_Walkin",raw_data!$C:$C,$AZ$1)</f>
        <v>2</v>
      </c>
      <c r="BB33" s="29">
        <f>sumifs(raw_data!$E:$E,raw_data!$A:$A,$A33,raw_data!$D:$D,"Secondary_Walkin",raw_data!$C:$C,$AZ$1)</f>
        <v>0</v>
      </c>
      <c r="BC33" s="29">
        <f>sumifs(raw_data!$E:$E,raw_data!$A:$A,$A33,raw_data!$G:$G,"GS Foundation",raw_data!$C:$C,$AZ$1)</f>
        <v>1</v>
      </c>
      <c r="BD33" s="29">
        <f>sumifs(raw_data!$E:$E,raw_data!$A:$A,$A33,raw_data!$C:$C,$AZ$1) - sumifs(raw_data!$E:$E,raw_data!$A:$A,$A33,raw_data!$G:$G,"GS Foundation",raw_data!$C:$C,$AZ$1)</f>
        <v>1</v>
      </c>
      <c r="BE33" s="76">
        <f>sumifs(raw_data!$Z:$Z,raw_data!$T:$T,$A33,raw_data!$U:$U,"Telephony",raw_data!$Y:$Y,$AZ$1)</f>
        <v>5</v>
      </c>
      <c r="BF33" s="76">
        <f>sumifs(raw_data!$Z:$Z,raw_data!$T:$T,$A33,raw_data!$U:$U,"Paid Ads",raw_data!$Y:$Y,$AZ$1)</f>
        <v>0</v>
      </c>
      <c r="BG33" s="76">
        <f>sumifs(raw_data!$N:$N,raw_data!$K:$K,$A33,raw_data!$O:$O,$AZ$1)</f>
        <v>0</v>
      </c>
      <c r="BH33" s="76">
        <f>sumifs(raw_data!$Z:$Z,raw_data!$T:$T,$A33,raw_data!$U:$U,"External Leads",raw_data!$Y:$Y,$AZ$1)</f>
        <v>0</v>
      </c>
      <c r="BI33" s="74"/>
    </row>
    <row r="34">
      <c r="A34" s="33">
        <v>46081.0</v>
      </c>
      <c r="B34" s="29">
        <f>sumifs(raw_data!$E:$E,raw_data!$A:$A,$A34)</f>
        <v>35</v>
      </c>
      <c r="C34" s="29">
        <f>sumifs(raw_data!$E:$E,raw_data!$A:$A,$A34,raw_data!$D:$D,"Primary_Walkin")</f>
        <v>32</v>
      </c>
      <c r="D34" s="29">
        <f>sumifs(raw_data!$E:$E,raw_data!$A:$A,$A34,raw_data!$D:$D,"Secondary_Walkin")</f>
        <v>3</v>
      </c>
      <c r="E34" s="29">
        <f>sumifs(raw_data!$E:$E,raw_data!$A:$A,$A34,raw_data!$G:$G,"GS Foundation")</f>
        <v>23</v>
      </c>
      <c r="F34" s="29">
        <f>sumifs(raw_data!$E:$E,raw_data!$A:$A,$A34) - sumifs(raw_data!$E:$E,raw_data!$A:$A,$A34,raw_data!$G:$G,"GS Foundation")</f>
        <v>12</v>
      </c>
      <c r="G34" s="76">
        <f>sumifs(raw_data!$Z:$Z,raw_data!$T:$T,$A34,raw_data!$U:$U,"Telephony")</f>
        <v>28</v>
      </c>
      <c r="H34" s="76">
        <f>sumifs(raw_data!$Z:$Z,raw_data!$T:$T,$A34,raw_data!$U:$U,"Paid Ads")</f>
        <v>0</v>
      </c>
      <c r="I34" s="76">
        <f t="shared" si="1"/>
        <v>0</v>
      </c>
      <c r="J34" s="76">
        <f>sumifs(raw_data!$Z:$Z,raw_data!$T:$T,$A34,raw_data!$U:$U,"External Leads")</f>
        <v>237</v>
      </c>
      <c r="K34" s="71"/>
      <c r="L34" s="77">
        <f>sumifs(raw_data!$E:$E,raw_data!$A:$A,$A34,raw_data!$C:$C,$L$1)</f>
        <v>16</v>
      </c>
      <c r="M34" s="29">
        <f>sumifs(raw_data!$E:$E,raw_data!$A:$A,$A34,raw_data!$D:$D,"Primary_Walkin",raw_data!$C:$C,$L$1)</f>
        <v>15</v>
      </c>
      <c r="N34" s="29">
        <f>sumifs(raw_data!$E:$E,raw_data!$A:$A,$A34,raw_data!$D:$D,"Secondary_Walkin",raw_data!$C:$C,$L$1)</f>
        <v>1</v>
      </c>
      <c r="O34" s="29">
        <f>sumifs(raw_data!$E:$E,raw_data!$A:$A,$A34,raw_data!$G:$G,"GS Foundation",raw_data!$C:$C,$L$1)</f>
        <v>14</v>
      </c>
      <c r="P34" s="29">
        <f>sumifs(raw_data!$E:$E,raw_data!$A:$A,$A34,raw_data!$C:$C,$L$1) - sumifs(raw_data!$E:$E,raw_data!$A:$A,$A34,raw_data!$G:$G,"GS Foundation",raw_data!$C:$C,$L$1)</f>
        <v>2</v>
      </c>
      <c r="Q34" s="76">
        <f>sumifs(raw_data!$Z:$Z,raw_data!$T:$T,$A34,raw_data!$U:$U,"Telephony",raw_data!$Y:$Y,$L$1)</f>
        <v>18</v>
      </c>
      <c r="R34" s="76">
        <f>sumifs(raw_data!$Z:$Z,raw_data!$T:$T,$A34,raw_data!$U:$U,"Paid Ads",raw_data!$Y:$Y,$L$1)</f>
        <v>0</v>
      </c>
      <c r="S34" s="76">
        <f>sumifs(raw_data!$N:$N,raw_data!$K:$K,$A34,raw_data!$O:$O,$L$1)</f>
        <v>0</v>
      </c>
      <c r="T34" s="76">
        <f>sumifs(raw_data!$Z:$Z,raw_data!$T:$T,$A34,raw_data!$U:$U,"External Leads",raw_data!$Y:$Y,$L$1)</f>
        <v>217</v>
      </c>
      <c r="U34" s="71"/>
      <c r="V34" s="77">
        <f>sumifs(raw_data!$E:$E,raw_data!$A:$A,$A34,raw_data!$C:$C,$V$1)</f>
        <v>4</v>
      </c>
      <c r="W34" s="29">
        <f>sumifs(raw_data!$E:$E,raw_data!$A:$A,$A34,raw_data!$D:$D,"Primary_Walkin",raw_data!$C:$C,$V$1)</f>
        <v>4</v>
      </c>
      <c r="X34" s="29">
        <f>sumifs(raw_data!$E:$E,raw_data!$A:$A,$A34,raw_data!$D:$D,"Secondary_Walkin",raw_data!$C:$C,$V$1)</f>
        <v>0</v>
      </c>
      <c r="Y34" s="29">
        <f>sumifs(raw_data!$E:$E,raw_data!$A:$A,$A34,raw_data!$G:$G,"GS Foundation",raw_data!$C:$C,$V$1)</f>
        <v>1</v>
      </c>
      <c r="Z34" s="29">
        <f>sumifs(raw_data!$E:$E,raw_data!$A:$A,$A34,raw_data!$C:$C,$V$1) - sumifs(raw_data!$E:$E,raw_data!$A:$A,$A34,raw_data!$G:$G,"GS Foundation",raw_data!$C:$C,$V$1)</f>
        <v>3</v>
      </c>
      <c r="AA34" s="76">
        <f>sumifs(raw_data!$Z:$Z,raw_data!$T:$T,$A34,raw_data!$U:$U,"Telephony",raw_data!$Y:$Y,$V$1)</f>
        <v>1</v>
      </c>
      <c r="AB34" s="76">
        <f>sumifs(raw_data!$Z:$Z,raw_data!$T:$T,$A34,raw_data!$U:$U,"Paid Ads",raw_data!$Y:$Y,$V$1)</f>
        <v>0</v>
      </c>
      <c r="AC34" s="76">
        <f>sumifs(raw_data!$N:$N,raw_data!$K:$K,$A34,raw_data!$O:$O,$V$1)</f>
        <v>0</v>
      </c>
      <c r="AD34" s="76">
        <f>sumifs(raw_data!$Z:$Z,raw_data!$T:$T,$A34,raw_data!$U:$U,"External Leads",raw_data!$Y:$Y,$V$1)</f>
        <v>0</v>
      </c>
      <c r="AE34" s="71"/>
      <c r="AF34" s="77">
        <f>sumifs(raw_data!$E:$E,raw_data!$A:$A,$A34,raw_data!$C:$C,$AF$1)</f>
        <v>0</v>
      </c>
      <c r="AG34" s="29">
        <f>sumifs(raw_data!$E:$E,raw_data!$A:$A,$A34,raw_data!$D:$D,"Primary_Walkin",raw_data!$C:$C,$AF$1)</f>
        <v>0</v>
      </c>
      <c r="AH34" s="29">
        <f>sumifs(raw_data!$E:$E,raw_data!$A:$A,$A34,raw_data!$D:$D,"Secondary_Walkin",raw_data!$C:$C,$AF$1)</f>
        <v>0</v>
      </c>
      <c r="AI34" s="29">
        <f>sumifs(raw_data!$E:$E,raw_data!$A:$A,$A34,raw_data!$G:$G,"GS Foundation",raw_data!$C:$C,$AF$1)</f>
        <v>0</v>
      </c>
      <c r="AJ34" s="29">
        <f>sumifs(raw_data!$E:$E,raw_data!$A:$A,$A34,raw_data!$C:$C,$AF$1) - sumifs(raw_data!$E:$E,raw_data!$A:$A,$A34,raw_data!$G:$G,"GS Foundation",raw_data!$C:$C,$AF$1)</f>
        <v>0</v>
      </c>
      <c r="AK34" s="76">
        <f>sumifs(raw_data!$Z:$Z,raw_data!$T:$T,$A34,raw_data!$U:$U,"Telephony",raw_data!$Y:$Y,$AF$1)</f>
        <v>0</v>
      </c>
      <c r="AL34" s="76">
        <f>sumifs(raw_data!$Z:$Z,raw_data!$T:$T,$A34,raw_data!$U:$U,"Paid Ads",raw_data!$Y:$Y,$AF$1)</f>
        <v>0</v>
      </c>
      <c r="AM34" s="76">
        <f>sumifs(raw_data!$N:$N,raw_data!$K:$K,$A34,raw_data!$O:$O,$AF$1)</f>
        <v>0</v>
      </c>
      <c r="AN34" s="76">
        <f>sumifs(raw_data!$Z:$Z,raw_data!$T:$T,$A34,raw_data!$U:$U,"External Leads",raw_data!$Y:$Y,$AF$1)</f>
        <v>0</v>
      </c>
      <c r="AO34" s="75"/>
      <c r="AP34" s="77">
        <f>sumifs(raw_data!$E:$E,raw_data!$A:$A,$A34,raw_data!$C:$C,$AP$1)</f>
        <v>8</v>
      </c>
      <c r="AQ34" s="29">
        <f>sumifs(raw_data!$E:$E,raw_data!$A:$A,$A34,raw_data!$D:$D,"Primary_Walkin",raw_data!$C:$C,$AP$1)</f>
        <v>6</v>
      </c>
      <c r="AR34" s="29">
        <f>sumifs(raw_data!$E:$E,raw_data!$A:$A,$A34,raw_data!$D:$D,"Secondary_Walkin",raw_data!$C:$C,$AP$1)</f>
        <v>2</v>
      </c>
      <c r="AS34" s="29">
        <f>sumifs(raw_data!$E:$E,raw_data!$A:$A,$A34,raw_data!$G:$G,"GS Foundation",raw_data!$C:$C,$AP$1)</f>
        <v>7</v>
      </c>
      <c r="AT34" s="29">
        <f>sumifs(raw_data!$E:$E,raw_data!$A:$A,$A34,raw_data!$C:$C,$AP$1) - sumifs(raw_data!$E:$E,raw_data!$A:$A,$A34,raw_data!$G:$G,"GS Foundation",raw_data!$C:$C,$AP$1)</f>
        <v>1</v>
      </c>
      <c r="AU34" s="76">
        <f>sumifs(raw_data!$Z:$Z,raw_data!$T:$T,$A34,raw_data!$U:$U,"Telephony",raw_data!$Y:$Y,$AP$1)</f>
        <v>1</v>
      </c>
      <c r="AV34" s="76">
        <f>sumifs(raw_data!$Z:$Z,raw_data!$T:$T,$A34,raw_data!$U:$U,"Paid Ads",raw_data!$Y:$Y,$AP$1)</f>
        <v>0</v>
      </c>
      <c r="AW34" s="76">
        <f>sumifs(raw_data!$N:$N,raw_data!$K:$K,$A34,raw_data!$O:$O,$AP$1)</f>
        <v>0</v>
      </c>
      <c r="AX34" s="76">
        <f>sumifs(raw_data!$Z:$Z,raw_data!$T:$T,$A34,raw_data!$U:$U,"External Leads",raw_data!$Y:$Y,$AP$1)</f>
        <v>0</v>
      </c>
      <c r="AY34" s="75"/>
      <c r="AZ34" s="77">
        <f>sumifs(raw_data!$E:$E,raw_data!$A:$A,$A34,raw_data!$C:$C,$AZ$1)</f>
        <v>7</v>
      </c>
      <c r="BA34" s="29">
        <f>sumifs(raw_data!$E:$E,raw_data!$A:$A,$A34,raw_data!$D:$D,"Primary_Walkin",raw_data!$C:$C,$AZ$1)</f>
        <v>7</v>
      </c>
      <c r="BB34" s="29">
        <f>sumifs(raw_data!$E:$E,raw_data!$A:$A,$A34,raw_data!$D:$D,"Secondary_Walkin",raw_data!$C:$C,$AZ$1)</f>
        <v>0</v>
      </c>
      <c r="BC34" s="29">
        <f>sumifs(raw_data!$E:$E,raw_data!$A:$A,$A34,raw_data!$G:$G,"GS Foundation",raw_data!$C:$C,$AZ$1)</f>
        <v>1</v>
      </c>
      <c r="BD34" s="29">
        <f>sumifs(raw_data!$E:$E,raw_data!$A:$A,$A34,raw_data!$C:$C,$AZ$1) - sumifs(raw_data!$E:$E,raw_data!$A:$A,$A34,raw_data!$G:$G,"GS Foundation",raw_data!$C:$C,$AZ$1)</f>
        <v>6</v>
      </c>
      <c r="BE34" s="76">
        <f>sumifs(raw_data!$Z:$Z,raw_data!$T:$T,$A34,raw_data!$U:$U,"Telephony",raw_data!$Y:$Y,$AZ$1)</f>
        <v>2</v>
      </c>
      <c r="BF34" s="76">
        <f>sumifs(raw_data!$Z:$Z,raw_data!$T:$T,$A34,raw_data!$U:$U,"Paid Ads",raw_data!$Y:$Y,$AZ$1)</f>
        <v>0</v>
      </c>
      <c r="BG34" s="76">
        <f>sumifs(raw_data!$N:$N,raw_data!$K:$K,$A34,raw_data!$O:$O,$AZ$1)</f>
        <v>0</v>
      </c>
      <c r="BH34" s="76">
        <f>sumifs(raw_data!$Z:$Z,raw_data!$T:$T,$A34,raw_data!$U:$U,"External Leads",raw_data!$Y:$Y,$AZ$1)</f>
        <v>0</v>
      </c>
      <c r="BI34" s="74"/>
    </row>
    <row r="35">
      <c r="A35" s="33"/>
      <c r="B35" s="29">
        <f>sumifs(raw_data!$E:$E,raw_data!$A:$A,$A35)</f>
        <v>0</v>
      </c>
      <c r="C35" s="29">
        <f>sumifs(raw_data!$E:$E,raw_data!$A:$A,$A35,raw_data!$D:$D,"Primary_Walkin")</f>
        <v>0</v>
      </c>
      <c r="D35" s="29">
        <f>sumifs(raw_data!$E:$E,raw_data!$A:$A,$A35,raw_data!$D:$D,"Secondary_Walkin")</f>
        <v>0</v>
      </c>
      <c r="E35" s="29">
        <f>sumifs(raw_data!$E:$E,raw_data!$A:$A,$A35,raw_data!$G:$G,"GS Foundation")</f>
        <v>0</v>
      </c>
      <c r="F35" s="29">
        <f>sumifs(raw_data!$E:$E,raw_data!$A:$A,$A35) - sumifs(raw_data!$E:$E,raw_data!$A:$A,$A35,raw_data!$G:$G,"GS Foundation")</f>
        <v>0</v>
      </c>
      <c r="G35" s="76">
        <f>sumifs(raw_data!$Z:$Z,raw_data!$T:$T,$A35,raw_data!$U:$U,"Telephony")</f>
        <v>0</v>
      </c>
      <c r="H35" s="76">
        <f>sumifs(raw_data!$Z:$Z,raw_data!$T:$T,$A35,raw_data!$U:$U,"Paid Ads")</f>
        <v>0</v>
      </c>
      <c r="I35" s="76">
        <f t="shared" si="1"/>
        <v>0</v>
      </c>
      <c r="J35" s="76">
        <f>sumifs(raw_data!$Z:$Z,raw_data!$T:$T,$A35,raw_data!$U:$U,"External Leads")</f>
        <v>0</v>
      </c>
      <c r="K35" s="71"/>
      <c r="L35" s="77">
        <f>sumifs(raw_data!$E:$E,raw_data!$A:$A,$A35,raw_data!$C:$C,$L$1)</f>
        <v>0</v>
      </c>
      <c r="M35" s="29">
        <f>sumifs(raw_data!$E:$E,raw_data!$A:$A,$A35,raw_data!$D:$D,"Primary_Walkin",raw_data!$C:$C,$L$1)</f>
        <v>0</v>
      </c>
      <c r="N35" s="29">
        <f>sumifs(raw_data!$E:$E,raw_data!$A:$A,$A35,raw_data!$D:$D,"Secondary_Walkin",raw_data!$C:$C,$L$1)</f>
        <v>0</v>
      </c>
      <c r="O35" s="29">
        <f>sumifs(raw_data!$E:$E,raw_data!$A:$A,$A35,raw_data!$G:$G,"GS Foundation",raw_data!$C:$C,$L$1)</f>
        <v>0</v>
      </c>
      <c r="P35" s="29">
        <f>sumifs(raw_data!$E:$E,raw_data!$A:$A,$A35,raw_data!$C:$C,$L$1) - sumifs(raw_data!$E:$E,raw_data!$A:$A,$A35,raw_data!$G:$G,"GS Foundation",raw_data!$C:$C,$L$1)</f>
        <v>0</v>
      </c>
      <c r="Q35" s="76">
        <f>sumifs(raw_data!$Z:$Z,raw_data!$T:$T,$A35,raw_data!$U:$U,"Telephony",raw_data!$Y:$Y,$L$1)</f>
        <v>0</v>
      </c>
      <c r="R35" s="76">
        <f>sumifs(raw_data!$Z:$Z,raw_data!$T:$T,$A35,raw_data!$U:$U,"Paid Ads",raw_data!$Y:$Y,$L$1)</f>
        <v>0</v>
      </c>
      <c r="S35" s="76">
        <f>sumifs(raw_data!$N:$N,raw_data!$K:$K,$A35,raw_data!$O:$O,$L$1)</f>
        <v>0</v>
      </c>
      <c r="T35" s="76">
        <f>sumifs(raw_data!$Z:$Z,raw_data!$T:$T,$A35,raw_data!$U:$U,"External Leads",raw_data!$Y:$Y,$L$1)</f>
        <v>0</v>
      </c>
      <c r="U35" s="71"/>
      <c r="V35" s="77">
        <f>sumifs(raw_data!$E:$E,raw_data!$A:$A,$A35,raw_data!$C:$C,$V$1)</f>
        <v>0</v>
      </c>
      <c r="W35" s="29">
        <f>sumifs(raw_data!$E:$E,raw_data!$A:$A,$A35,raw_data!$D:$D,"Primary_Walkin",raw_data!$C:$C,$V$1)</f>
        <v>0</v>
      </c>
      <c r="X35" s="29">
        <f>sumifs(raw_data!$E:$E,raw_data!$A:$A,$A35,raw_data!$D:$D,"Secondary_Walkin",raw_data!$C:$C,$V$1)</f>
        <v>0</v>
      </c>
      <c r="Y35" s="29">
        <f>sumifs(raw_data!$E:$E,raw_data!$A:$A,$A35,raw_data!$G:$G,"GS Foundation",raw_data!$C:$C,$V$1)</f>
        <v>0</v>
      </c>
      <c r="Z35" s="29">
        <f>sumifs(raw_data!$E:$E,raw_data!$A:$A,$A35,raw_data!$C:$C,$V$1) - sumifs(raw_data!$E:$E,raw_data!$A:$A,$A35,raw_data!$G:$G,"GS Foundation",raw_data!$C:$C,$V$1)</f>
        <v>0</v>
      </c>
      <c r="AA35" s="76">
        <f>sumifs(raw_data!$Z:$Z,raw_data!$T:$T,$A35,raw_data!$U:$U,"Telephony",raw_data!$Y:$Y,$V$1)</f>
        <v>0</v>
      </c>
      <c r="AB35" s="76">
        <f>sumifs(raw_data!$Z:$Z,raw_data!$T:$T,$A35,raw_data!$U:$U,"Paid Ads",raw_data!$Y:$Y,$V$1)</f>
        <v>0</v>
      </c>
      <c r="AC35" s="76">
        <f>sumifs(raw_data!$N:$N,raw_data!$K:$K,$A35,raw_data!$O:$O,$V$1)</f>
        <v>0</v>
      </c>
      <c r="AD35" s="76">
        <f>sumifs(raw_data!$Z:$Z,raw_data!$T:$T,$A35,raw_data!$U:$U,"External Leads",raw_data!$Y:$Y,$V$1)</f>
        <v>0</v>
      </c>
      <c r="AE35" s="71"/>
      <c r="AF35" s="77">
        <f>sumifs(raw_data!$E:$E,raw_data!$A:$A,$A35,raw_data!$C:$C,$AF$1)</f>
        <v>0</v>
      </c>
      <c r="AG35" s="29">
        <f>sumifs(raw_data!$E:$E,raw_data!$A:$A,$A35,raw_data!$D:$D,"Primary_Walkin",raw_data!$C:$C,$AF$1)</f>
        <v>0</v>
      </c>
      <c r="AH35" s="29">
        <f>sumifs(raw_data!$E:$E,raw_data!$A:$A,$A35,raw_data!$D:$D,"Secondary_Walkin",raw_data!$C:$C,$AF$1)</f>
        <v>0</v>
      </c>
      <c r="AI35" s="29">
        <f>sumifs(raw_data!$E:$E,raw_data!$A:$A,$A35,raw_data!$G:$G,"GS Foundation",raw_data!$C:$C,$AF$1)</f>
        <v>0</v>
      </c>
      <c r="AJ35" s="29">
        <f>sumifs(raw_data!$E:$E,raw_data!$A:$A,$A35,raw_data!$C:$C,$AF$1) - sumifs(raw_data!$E:$E,raw_data!$A:$A,$A35,raw_data!$G:$G,"GS Foundation",raw_data!$C:$C,$AF$1)</f>
        <v>0</v>
      </c>
      <c r="AK35" s="76">
        <f>sumifs(raw_data!$Z:$Z,raw_data!$T:$T,$A35,raw_data!$U:$U,"Telephony",raw_data!$Y:$Y,$AF$1)</f>
        <v>0</v>
      </c>
      <c r="AL35" s="76">
        <f>sumifs(raw_data!$Z:$Z,raw_data!$T:$T,$A35,raw_data!$U:$U,"Paid Ads",raw_data!$Y:$Y,$AF$1)</f>
        <v>0</v>
      </c>
      <c r="AM35" s="76">
        <f>sumifs(raw_data!$N:$N,raw_data!$K:$K,$A35,raw_data!$O:$O,$AF$1)</f>
        <v>0</v>
      </c>
      <c r="AN35" s="76">
        <f>sumifs(raw_data!$Z:$Z,raw_data!$T:$T,$A35,raw_data!$U:$U,"External Leads",raw_data!$Y:$Y,$AF$1)</f>
        <v>0</v>
      </c>
      <c r="AO35" s="75"/>
      <c r="AP35" s="77">
        <f>sumifs(raw_data!$E:$E,raw_data!$A:$A,$A35,raw_data!$C:$C,$AP$1)</f>
        <v>0</v>
      </c>
      <c r="AQ35" s="29">
        <f>sumifs(raw_data!$E:$E,raw_data!$A:$A,$A35,raw_data!$D:$D,"Primary_Walkin",raw_data!$C:$C,$AP$1)</f>
        <v>0</v>
      </c>
      <c r="AR35" s="29">
        <f>sumifs(raw_data!$E:$E,raw_data!$A:$A,$A35,raw_data!$D:$D,"Secondary_Walkin",raw_data!$C:$C,$AP$1)</f>
        <v>0</v>
      </c>
      <c r="AS35" s="29">
        <f>sumifs(raw_data!$E:$E,raw_data!$A:$A,$A35,raw_data!$G:$G,"GS Foundation",raw_data!$C:$C,$AP$1)</f>
        <v>0</v>
      </c>
      <c r="AT35" s="29">
        <f>sumifs(raw_data!$E:$E,raw_data!$A:$A,$A35,raw_data!$C:$C,$AP$1) - sumifs(raw_data!$E:$E,raw_data!$A:$A,$A35,raw_data!$G:$G,"GS Foundation",raw_data!$C:$C,$AP$1)</f>
        <v>0</v>
      </c>
      <c r="AU35" s="76">
        <f>sumifs(raw_data!$Z:$Z,raw_data!$T:$T,$A35,raw_data!$U:$U,"Telephony",raw_data!$Y:$Y,$AP$1)</f>
        <v>0</v>
      </c>
      <c r="AV35" s="76">
        <f>sumifs(raw_data!$Z:$Z,raw_data!$T:$T,$A35,raw_data!$U:$U,"Paid Ads",raw_data!$Y:$Y,$AP$1)</f>
        <v>0</v>
      </c>
      <c r="AW35" s="76">
        <f>sumifs(raw_data!$N:$N,raw_data!$K:$K,$A35,raw_data!$O:$O,$AP$1)</f>
        <v>0</v>
      </c>
      <c r="AX35" s="76">
        <f>sumifs(raw_data!$Z:$Z,raw_data!$T:$T,$A35,raw_data!$U:$U,"External Leads",raw_data!$Y:$Y,$AP$1)</f>
        <v>0</v>
      </c>
      <c r="AY35" s="75"/>
      <c r="AZ35" s="77">
        <f>sumifs(raw_data!$E:$E,raw_data!$A:$A,$A35,raw_data!$C:$C,$AZ$1)</f>
        <v>0</v>
      </c>
      <c r="BA35" s="29">
        <f>sumifs(raw_data!$E:$E,raw_data!$A:$A,$A35,raw_data!$D:$D,"Primary_Walkin",raw_data!$C:$C,$AZ$1)</f>
        <v>0</v>
      </c>
      <c r="BB35" s="29">
        <f>sumifs(raw_data!$E:$E,raw_data!$A:$A,$A35,raw_data!$D:$D,"Secondary_Walkin",raw_data!$C:$C,$AZ$1)</f>
        <v>0</v>
      </c>
      <c r="BC35" s="29">
        <f>sumifs(raw_data!$E:$E,raw_data!$A:$A,$A35,raw_data!$G:$G,"GS Foundation",raw_data!$C:$C,$AZ$1)</f>
        <v>0</v>
      </c>
      <c r="BD35" s="29">
        <f>sumifs(raw_data!$E:$E,raw_data!$A:$A,$A35,raw_data!$C:$C,$AZ$1) - sumifs(raw_data!$E:$E,raw_data!$A:$A,$A35,raw_data!$G:$G,"GS Foundation",raw_data!$C:$C,$AZ$1)</f>
        <v>0</v>
      </c>
      <c r="BE35" s="76">
        <f>sumifs(raw_data!$Z:$Z,raw_data!$T:$T,$A35,raw_data!$U:$U,"Telephony",raw_data!$Y:$Y,$AZ$1)</f>
        <v>0</v>
      </c>
      <c r="BF35" s="76">
        <f>sumifs(raw_data!$Z:$Z,raw_data!$T:$T,$A35,raw_data!$U:$U,"Paid Ads",raw_data!$Y:$Y,$AZ$1)</f>
        <v>0</v>
      </c>
      <c r="BG35" s="76">
        <f>sumifs(raw_data!$N:$N,raw_data!$K:$K,$A35,raw_data!$O:$O,$AZ$1)</f>
        <v>0</v>
      </c>
      <c r="BH35" s="76">
        <f>sumifs(raw_data!$Z:$Z,raw_data!$T:$T,$A35,raw_data!$U:$U,"External Leads",raw_data!$Y:$Y,$AZ$1)</f>
        <v>0</v>
      </c>
      <c r="BI35" s="74"/>
    </row>
    <row r="36">
      <c r="A36" s="29"/>
      <c r="B36" s="29">
        <f>sumifs(raw_data!$E:$E,raw_data!$A:$A,$A36)</f>
        <v>0</v>
      </c>
      <c r="C36" s="29">
        <f>sumifs(raw_data!$E:$E,raw_data!$A:$A,$A36,raw_data!$D:$D,"Primary_Walkin")</f>
        <v>0</v>
      </c>
      <c r="D36" s="29">
        <f>sumifs(raw_data!$E:$E,raw_data!$A:$A,$A36,raw_data!$D:$D,"Secondary_Walkin")</f>
        <v>0</v>
      </c>
      <c r="E36" s="29">
        <f>sumifs(raw_data!$E:$E,raw_data!$A:$A,$A36,raw_data!$G:$G,"GS Foundation")</f>
        <v>0</v>
      </c>
      <c r="F36" s="29">
        <f>sumifs(raw_data!$E:$E,raw_data!$A:$A,$A36) - sumifs(raw_data!$E:$E,raw_data!$A:$A,$A36,raw_data!$G:$G,"GS Foundation")</f>
        <v>0</v>
      </c>
      <c r="G36" s="76">
        <f>sumifs(raw_data!$Z:$Z,raw_data!$T:$T,$A36,raw_data!$U:$U,"Telephony")</f>
        <v>0</v>
      </c>
      <c r="H36" s="76">
        <f>sumifs(raw_data!$Z:$Z,raw_data!$T:$T,$A36,raw_data!$U:$U,"Paid Ads")</f>
        <v>0</v>
      </c>
      <c r="I36" s="76">
        <f t="shared" si="1"/>
        <v>0</v>
      </c>
      <c r="J36" s="76">
        <f>sumifs(raw_data!$Z:$Z,raw_data!$T:$T,$A36,raw_data!$U:$U,"External Leads")</f>
        <v>0</v>
      </c>
      <c r="K36" s="71"/>
      <c r="L36" s="77">
        <f>sumifs(raw_data!$E:$E,raw_data!$A:$A,$A36,raw_data!$C:$C,$L$1)</f>
        <v>0</v>
      </c>
      <c r="M36" s="29">
        <f>sumifs(raw_data!$E:$E,raw_data!$A:$A,$A36,raw_data!$D:$D,"Primary_Walkin",raw_data!$C:$C,$L$1)</f>
        <v>0</v>
      </c>
      <c r="N36" s="29">
        <f>sumifs(raw_data!$E:$E,raw_data!$A:$A,$A36,raw_data!$D:$D,"Secondary_Walkin",raw_data!$C:$C,$L$1)</f>
        <v>0</v>
      </c>
      <c r="O36" s="29">
        <f>sumifs(raw_data!$E:$E,raw_data!$A:$A,$A36,raw_data!$G:$G,"GS Foundation",raw_data!$C:$C,$L$1)</f>
        <v>0</v>
      </c>
      <c r="P36" s="29">
        <f>sumifs(raw_data!$E:$E,raw_data!$A:$A,$A36,raw_data!$C:$C,$L$1) - sumifs(raw_data!$E:$E,raw_data!$A:$A,$A36,raw_data!$G:$G,"GS Foundation",raw_data!$C:$C,$L$1)</f>
        <v>0</v>
      </c>
      <c r="Q36" s="76">
        <f>sumifs(raw_data!$Z:$Z,raw_data!$T:$T,$A36,raw_data!$U:$U,"Telephony",raw_data!$Y:$Y,$L$1)</f>
        <v>0</v>
      </c>
      <c r="R36" s="76">
        <f>sumifs(raw_data!$Z:$Z,raw_data!$T:$T,$A36,raw_data!$U:$U,"Paid Ads",raw_data!$Y:$Y,$L$1)</f>
        <v>0</v>
      </c>
      <c r="S36" s="76">
        <f>sumifs(raw_data!$N:$N,raw_data!$K:$K,$A36,raw_data!$O:$O,$L$1)</f>
        <v>0</v>
      </c>
      <c r="T36" s="76">
        <f>sumifs(raw_data!$Z:$Z,raw_data!$T:$T,$A36,raw_data!$U:$U,"External Leads",raw_data!$Y:$Y,$L$1)</f>
        <v>0</v>
      </c>
      <c r="U36" s="71"/>
      <c r="V36" s="77">
        <f>sumifs(raw_data!$E:$E,raw_data!$A:$A,$A36,raw_data!$C:$C,$V$1)</f>
        <v>0</v>
      </c>
      <c r="W36" s="29">
        <f>sumifs(raw_data!$E:$E,raw_data!$A:$A,$A36,raw_data!$D:$D,"Primary_Walkin",raw_data!$C:$C,$V$1)</f>
        <v>0</v>
      </c>
      <c r="X36" s="29">
        <f>sumifs(raw_data!$E:$E,raw_data!$A:$A,$A36,raw_data!$D:$D,"Secondary_Walkin",raw_data!$C:$C,$V$1)</f>
        <v>0</v>
      </c>
      <c r="Y36" s="29">
        <f>sumifs(raw_data!$E:$E,raw_data!$A:$A,$A36,raw_data!$G:$G,"GS Foundation",raw_data!$C:$C,$V$1)</f>
        <v>0</v>
      </c>
      <c r="Z36" s="29">
        <f>sumifs(raw_data!$E:$E,raw_data!$A:$A,$A36,raw_data!$C:$C,$V$1) - sumifs(raw_data!$E:$E,raw_data!$A:$A,$A36,raw_data!$G:$G,"GS Foundation",raw_data!$C:$C,$V$1)</f>
        <v>0</v>
      </c>
      <c r="AA36" s="76">
        <f>sumifs(raw_data!$Z:$Z,raw_data!$T:$T,$A36,raw_data!$U:$U,"Telephony",raw_data!$Y:$Y,$V$1)</f>
        <v>0</v>
      </c>
      <c r="AB36" s="76">
        <f>sumifs(raw_data!$Z:$Z,raw_data!$T:$T,$A36,raw_data!$U:$U,"Paid Ads",raw_data!$Y:$Y,$V$1)</f>
        <v>0</v>
      </c>
      <c r="AC36" s="76">
        <f>sumifs(raw_data!$N:$N,raw_data!$K:$K,$A36,raw_data!$O:$O,$V$1)</f>
        <v>0</v>
      </c>
      <c r="AD36" s="76">
        <f>sumifs(raw_data!$Z:$Z,raw_data!$T:$T,$A36,raw_data!$U:$U,"External Leads",raw_data!$Y:$Y,$V$1)</f>
        <v>0</v>
      </c>
      <c r="AE36" s="71"/>
      <c r="AF36" s="77">
        <f>sumifs(raw_data!$E:$E,raw_data!$A:$A,$A36,raw_data!$C:$C,$AF$1)</f>
        <v>0</v>
      </c>
      <c r="AG36" s="29">
        <f>sumifs(raw_data!$E:$E,raw_data!$A:$A,$A36,raw_data!$D:$D,"Primary_Walkin",raw_data!$C:$C,$AF$1)</f>
        <v>0</v>
      </c>
      <c r="AH36" s="29">
        <f>sumifs(raw_data!$E:$E,raw_data!$A:$A,$A36,raw_data!$D:$D,"Secondary_Walkin",raw_data!$C:$C,$AF$1)</f>
        <v>0</v>
      </c>
      <c r="AI36" s="29">
        <f>sumifs(raw_data!$E:$E,raw_data!$A:$A,$A36,raw_data!$G:$G,"GS Foundation",raw_data!$C:$C,$AF$1)</f>
        <v>0</v>
      </c>
      <c r="AJ36" s="29">
        <f>sumifs(raw_data!$E:$E,raw_data!$A:$A,$A36,raw_data!$C:$C,$AF$1) - sumifs(raw_data!$E:$E,raw_data!$A:$A,$A36,raw_data!$G:$G,"GS Foundation",raw_data!$C:$C,$AF$1)</f>
        <v>0</v>
      </c>
      <c r="AK36" s="76">
        <f>sumifs(raw_data!$Z:$Z,raw_data!$T:$T,$A36,raw_data!$U:$U,"Telephony",raw_data!$Y:$Y,$AF$1)</f>
        <v>0</v>
      </c>
      <c r="AL36" s="76">
        <f>sumifs(raw_data!$Z:$Z,raw_data!$T:$T,$A36,raw_data!$U:$U,"Paid Ads",raw_data!$Y:$Y,$AF$1)</f>
        <v>0</v>
      </c>
      <c r="AM36" s="76">
        <f>sumifs(raw_data!$N:$N,raw_data!$K:$K,$A36,raw_data!$O:$O,$AF$1)</f>
        <v>0</v>
      </c>
      <c r="AN36" s="76">
        <f>sumifs(raw_data!$Z:$Z,raw_data!$T:$T,$A36,raw_data!$U:$U,"External Leads",raw_data!$Y:$Y,$AF$1)</f>
        <v>0</v>
      </c>
      <c r="AO36" s="75"/>
      <c r="AP36" s="77">
        <f>sumifs(raw_data!$E:$E,raw_data!$A:$A,$A36,raw_data!$C:$C,$AP$1)</f>
        <v>0</v>
      </c>
      <c r="AQ36" s="29">
        <f>sumifs(raw_data!$E:$E,raw_data!$A:$A,$A36,raw_data!$D:$D,"Primary_Walkin",raw_data!$C:$C,$AP$1)</f>
        <v>0</v>
      </c>
      <c r="AR36" s="29">
        <f>sumifs(raw_data!$E:$E,raw_data!$A:$A,$A36,raw_data!$D:$D,"Secondary_Walkin",raw_data!$C:$C,$AP$1)</f>
        <v>0</v>
      </c>
      <c r="AS36" s="29">
        <f>sumifs(raw_data!$E:$E,raw_data!$A:$A,$A36,raw_data!$G:$G,"GS Foundation",raw_data!$C:$C,$AP$1)</f>
        <v>0</v>
      </c>
      <c r="AT36" s="29">
        <f>sumifs(raw_data!$E:$E,raw_data!$A:$A,$A36,raw_data!$C:$C,$AP$1) - sumifs(raw_data!$E:$E,raw_data!$A:$A,$A36,raw_data!$G:$G,"GS Foundation",raw_data!$C:$C,$AP$1)</f>
        <v>0</v>
      </c>
      <c r="AU36" s="76">
        <f>sumifs(raw_data!$Z:$Z,raw_data!$T:$T,$A36,raw_data!$U:$U,"Telephony",raw_data!$Y:$Y,$AP$1)</f>
        <v>0</v>
      </c>
      <c r="AV36" s="76">
        <f>sumifs(raw_data!$Z:$Z,raw_data!$T:$T,$A36,raw_data!$U:$U,"Paid Ads",raw_data!$Y:$Y,$AP$1)</f>
        <v>0</v>
      </c>
      <c r="AW36" s="76">
        <f>sumifs(raw_data!$N:$N,raw_data!$K:$K,$A36,raw_data!$O:$O,$AP$1)</f>
        <v>0</v>
      </c>
      <c r="AX36" s="76">
        <f>sumifs(raw_data!$Z:$Z,raw_data!$T:$T,$A36,raw_data!$U:$U,"External Leads",raw_data!$Y:$Y,$AP$1)</f>
        <v>0</v>
      </c>
      <c r="AY36" s="75"/>
      <c r="AZ36" s="77">
        <f>sumifs(raw_data!$E:$E,raw_data!$A:$A,$A36,raw_data!$C:$C,$AZ$1)</f>
        <v>0</v>
      </c>
      <c r="BA36" s="29">
        <f>sumifs(raw_data!$E:$E,raw_data!$A:$A,$A36,raw_data!$D:$D,"Primary_Walkin",raw_data!$C:$C,$AZ$1)</f>
        <v>0</v>
      </c>
      <c r="BB36" s="29">
        <f>sumifs(raw_data!$E:$E,raw_data!$A:$A,$A36,raw_data!$D:$D,"Secondary_Walkin",raw_data!$C:$C,$AZ$1)</f>
        <v>0</v>
      </c>
      <c r="BC36" s="29">
        <f>sumifs(raw_data!$E:$E,raw_data!$A:$A,$A36,raw_data!$G:$G,"GS Foundation",raw_data!$C:$C,$AZ$1)</f>
        <v>0</v>
      </c>
      <c r="BD36" s="29">
        <f>sumifs(raw_data!$E:$E,raw_data!$A:$A,$A36,raw_data!$C:$C,$AZ$1) - sumifs(raw_data!$E:$E,raw_data!$A:$A,$A36,raw_data!$G:$G,"GS Foundation",raw_data!$C:$C,$AZ$1)</f>
        <v>0</v>
      </c>
      <c r="BE36" s="76">
        <f>sumifs(raw_data!$Z:$Z,raw_data!$T:$T,$A36,raw_data!$U:$U,"Telephony",raw_data!$Y:$Y,$AZ$1)</f>
        <v>0</v>
      </c>
      <c r="BF36" s="76">
        <f>sumifs(raw_data!$Z:$Z,raw_data!$T:$T,$A36,raw_data!$U:$U,"Paid Ads",raw_data!$Y:$Y,$AZ$1)</f>
        <v>0</v>
      </c>
      <c r="BG36" s="76">
        <f>sumifs(raw_data!$N:$N,raw_data!$K:$K,$A36,raw_data!$O:$O,$AZ$1)</f>
        <v>0</v>
      </c>
      <c r="BH36" s="76">
        <f>sumifs(raw_data!$Z:$Z,raw_data!$T:$T,$A36,raw_data!$U:$U,"External Leads",raw_data!$Y:$Y,$AZ$1)</f>
        <v>0</v>
      </c>
      <c r="BI36" s="74"/>
    </row>
    <row r="37">
      <c r="A37" s="78"/>
      <c r="B37" s="29">
        <f>sumifs(raw_data!$E:$E,raw_data!$A:$A,$A37)</f>
        <v>0</v>
      </c>
      <c r="C37" s="29">
        <f>sumifs(raw_data!$E:$E,raw_data!$A:$A,$A37,raw_data!$D:$D,"Primary_Walkin")</f>
        <v>0</v>
      </c>
      <c r="D37" s="29">
        <f>sumifs(raw_data!$E:$E,raw_data!$A:$A,$A37,raw_data!$D:$D,"Secondary_Walkin")</f>
        <v>0</v>
      </c>
      <c r="E37" s="29">
        <f>sumifs(raw_data!$E:$E,raw_data!$A:$A,$A37,raw_data!$G:$G,"GS Foundation")</f>
        <v>0</v>
      </c>
      <c r="F37" s="29">
        <f>sumifs(raw_data!$E:$E,raw_data!$A:$A,$A37) - sumifs(raw_data!$E:$E,raw_data!$A:$A,$A37,raw_data!$G:$G,"GS Foundation")</f>
        <v>0</v>
      </c>
      <c r="G37" s="76">
        <f>sumifs(raw_data!$Z:$Z,raw_data!$T:$T,$A37,raw_data!$U:$U,"Telephony")</f>
        <v>0</v>
      </c>
      <c r="H37" s="76">
        <f>sumifs(raw_data!$Z:$Z,raw_data!$T:$T,$A37,raw_data!$U:$U,"Paid Ads")</f>
        <v>0</v>
      </c>
      <c r="I37" s="76">
        <f t="shared" si="1"/>
        <v>0</v>
      </c>
      <c r="J37" s="76">
        <f>sumifs(raw_data!$Z:$Z,raw_data!$T:$T,$A37,raw_data!$U:$U,"External Leads")</f>
        <v>0</v>
      </c>
      <c r="K37" s="71"/>
      <c r="L37" s="77">
        <f>sumifs(raw_data!$E:$E,raw_data!$A:$A,$A37,raw_data!$C:$C,$L$1)</f>
        <v>0</v>
      </c>
      <c r="M37" s="29">
        <f>sumifs(raw_data!$E:$E,raw_data!$A:$A,$A37,raw_data!$D:$D,"Primary_Walkin",raw_data!$C:$C,$L$1)</f>
        <v>0</v>
      </c>
      <c r="N37" s="29">
        <f>sumifs(raw_data!$E:$E,raw_data!$A:$A,$A37,raw_data!$D:$D,"Secondary_Walkin",raw_data!$C:$C,$L$1)</f>
        <v>0</v>
      </c>
      <c r="O37" s="29">
        <f>sumifs(raw_data!$E:$E,raw_data!$A:$A,$A37,raw_data!$G:$G,"GS Foundation",raw_data!$C:$C,$L$1)</f>
        <v>0</v>
      </c>
      <c r="P37" s="29">
        <f>sumifs(raw_data!$E:$E,raw_data!$A:$A,$A37,raw_data!$C:$C,$L$1) - sumifs(raw_data!$E:$E,raw_data!$A:$A,$A37,raw_data!$G:$G,"GS Foundation",raw_data!$C:$C,$L$1)</f>
        <v>0</v>
      </c>
      <c r="Q37" s="76">
        <f>sumifs(raw_data!$Z:$Z,raw_data!$T:$T,$A37,raw_data!$U:$U,"Telephony",raw_data!$Y:$Y,$L$1)</f>
        <v>0</v>
      </c>
      <c r="R37" s="76">
        <f>sumifs(raw_data!$Z:$Z,raw_data!$T:$T,$A37,raw_data!$U:$U,"Paid Ads",raw_data!$Y:$Y,$L$1)</f>
        <v>0</v>
      </c>
      <c r="S37" s="76">
        <f>sumifs(raw_data!$N:$N,raw_data!$K:$K,$A37,raw_data!$O:$O,$L$1)</f>
        <v>0</v>
      </c>
      <c r="T37" s="76">
        <f>sumifs(raw_data!$Z:$Z,raw_data!$T:$T,$A37,raw_data!$U:$U,"External Leads",raw_data!$Y:$Y,$L$1)</f>
        <v>0</v>
      </c>
      <c r="U37" s="71"/>
      <c r="V37" s="77">
        <f>sumifs(raw_data!$E:$E,raw_data!$A:$A,$A37,raw_data!$C:$C,$V$1)</f>
        <v>0</v>
      </c>
      <c r="W37" s="29">
        <f>sumifs(raw_data!$E:$E,raw_data!$A:$A,$A37,raw_data!$D:$D,"Primary_Walkin",raw_data!$C:$C,$V$1)</f>
        <v>0</v>
      </c>
      <c r="X37" s="29">
        <f>sumifs(raw_data!$E:$E,raw_data!$A:$A,$A37,raw_data!$D:$D,"Secondary_Walkin",raw_data!$C:$C,$V$1)</f>
        <v>0</v>
      </c>
      <c r="Y37" s="29">
        <f>sumifs(raw_data!$E:$E,raw_data!$A:$A,$A37,raw_data!$G:$G,"GS Foundation",raw_data!$C:$C,$V$1)</f>
        <v>0</v>
      </c>
      <c r="Z37" s="29">
        <f>sumifs(raw_data!$E:$E,raw_data!$A:$A,$A37,raw_data!$C:$C,$V$1) - sumifs(raw_data!$E:$E,raw_data!$A:$A,$A37,raw_data!$G:$G,"GS Foundation",raw_data!$C:$C,$V$1)</f>
        <v>0</v>
      </c>
      <c r="AA37" s="76">
        <f>sumifs(raw_data!$Z:$Z,raw_data!$T:$T,$A37,raw_data!$U:$U,"Telephony",raw_data!$Y:$Y,$V$1)</f>
        <v>0</v>
      </c>
      <c r="AB37" s="76">
        <f>sumifs(raw_data!$Z:$Z,raw_data!$T:$T,$A37,raw_data!$U:$U,"Paid Ads",raw_data!$Y:$Y,$V$1)</f>
        <v>0</v>
      </c>
      <c r="AC37" s="76">
        <f>sumifs(raw_data!$N:$N,raw_data!$K:$K,$A37,raw_data!$O:$O,$V$1)</f>
        <v>0</v>
      </c>
      <c r="AD37" s="76">
        <f>sumifs(raw_data!$Z:$Z,raw_data!$T:$T,$A37,raw_data!$U:$U,"External Leads",raw_data!$Y:$Y,$V$1)</f>
        <v>0</v>
      </c>
      <c r="AE37" s="71"/>
      <c r="AF37" s="77">
        <f>sumifs(raw_data!$E:$E,raw_data!$A:$A,$A37,raw_data!$C:$C,$AF$1)</f>
        <v>0</v>
      </c>
      <c r="AG37" s="29">
        <f>sumifs(raw_data!$E:$E,raw_data!$A:$A,$A37,raw_data!$D:$D,"Primary_Walkin",raw_data!$C:$C,$AF$1)</f>
        <v>0</v>
      </c>
      <c r="AH37" s="29">
        <f>sumifs(raw_data!$E:$E,raw_data!$A:$A,$A37,raw_data!$D:$D,"Secondary_Walkin",raw_data!$C:$C,$AF$1)</f>
        <v>0</v>
      </c>
      <c r="AI37" s="29">
        <f>sumifs(raw_data!$E:$E,raw_data!$A:$A,$A37,raw_data!$G:$G,"GS Foundation",raw_data!$C:$C,$AF$1)</f>
        <v>0</v>
      </c>
      <c r="AJ37" s="29">
        <f>sumifs(raw_data!$E:$E,raw_data!$A:$A,$A37,raw_data!$C:$C,$AF$1) - sumifs(raw_data!$E:$E,raw_data!$A:$A,$A37,raw_data!$G:$G,"GS Foundation",raw_data!$C:$C,$AF$1)</f>
        <v>0</v>
      </c>
      <c r="AK37" s="76">
        <f>sumifs(raw_data!$Z:$Z,raw_data!$T:$T,$A37,raw_data!$U:$U,"Telephony",raw_data!$Y:$Y,$AF$1)</f>
        <v>0</v>
      </c>
      <c r="AL37" s="76">
        <f>sumifs(raw_data!$Z:$Z,raw_data!$T:$T,$A37,raw_data!$U:$U,"Paid Ads",raw_data!$Y:$Y,$AF$1)</f>
        <v>0</v>
      </c>
      <c r="AM37" s="76">
        <f>sumifs(raw_data!$N:$N,raw_data!$K:$K,$A37,raw_data!$O:$O,$AF$1)</f>
        <v>0</v>
      </c>
      <c r="AN37" s="76">
        <f>sumifs(raw_data!$Z:$Z,raw_data!$T:$T,$A37,raw_data!$U:$U,"External Leads",raw_data!$Y:$Y,$AF$1)</f>
        <v>0</v>
      </c>
      <c r="AO37" s="75"/>
      <c r="AP37" s="77">
        <f>sumifs(raw_data!$E:$E,raw_data!$A:$A,$A37,raw_data!$C:$C,$AP$1)</f>
        <v>0</v>
      </c>
      <c r="AQ37" s="29">
        <f>sumifs(raw_data!$E:$E,raw_data!$A:$A,$A37,raw_data!$D:$D,"Primary_Walkin",raw_data!$C:$C,$AP$1)</f>
        <v>0</v>
      </c>
      <c r="AR37" s="29">
        <f>sumifs(raw_data!$E:$E,raw_data!$A:$A,$A37,raw_data!$D:$D,"Secondary_Walkin",raw_data!$C:$C,$AP$1)</f>
        <v>0</v>
      </c>
      <c r="AS37" s="29">
        <f>sumifs(raw_data!$E:$E,raw_data!$A:$A,$A37,raw_data!$G:$G,"GS Foundation",raw_data!$C:$C,$AP$1)</f>
        <v>0</v>
      </c>
      <c r="AT37" s="29">
        <f>sumifs(raw_data!$E:$E,raw_data!$A:$A,$A37,raw_data!$C:$C,$AP$1) - sumifs(raw_data!$E:$E,raw_data!$A:$A,$A37,raw_data!$G:$G,"GS Foundation",raw_data!$C:$C,$AP$1)</f>
        <v>0</v>
      </c>
      <c r="AU37" s="76">
        <f>sumifs(raw_data!$Z:$Z,raw_data!$T:$T,$A37,raw_data!$U:$U,"Telephony",raw_data!$Y:$Y,$AP$1)</f>
        <v>0</v>
      </c>
      <c r="AV37" s="76">
        <f>sumifs(raw_data!$Z:$Z,raw_data!$T:$T,$A37,raw_data!$U:$U,"Paid Ads",raw_data!$Y:$Y,$AP$1)</f>
        <v>0</v>
      </c>
      <c r="AW37" s="76">
        <f>sumifs(raw_data!$N:$N,raw_data!$K:$K,$A37,raw_data!$O:$O,$AP$1)</f>
        <v>0</v>
      </c>
      <c r="AX37" s="76">
        <f>sumifs(raw_data!$Z:$Z,raw_data!$T:$T,$A37,raw_data!$U:$U,"External Leads",raw_data!$Y:$Y,$AP$1)</f>
        <v>0</v>
      </c>
      <c r="AY37" s="75"/>
      <c r="AZ37" s="77">
        <f>sumifs(raw_data!$E:$E,raw_data!$A:$A,$A37,raw_data!$C:$C,$AZ$1)</f>
        <v>0</v>
      </c>
      <c r="BA37" s="29">
        <f>sumifs(raw_data!$E:$E,raw_data!$A:$A,$A37,raw_data!$D:$D,"Primary_Walkin",raw_data!$C:$C,$AZ$1)</f>
        <v>0</v>
      </c>
      <c r="BB37" s="29">
        <f>sumifs(raw_data!$E:$E,raw_data!$A:$A,$A37,raw_data!$D:$D,"Secondary_Walkin",raw_data!$C:$C,$AZ$1)</f>
        <v>0</v>
      </c>
      <c r="BC37" s="29">
        <f>sumifs(raw_data!$E:$E,raw_data!$A:$A,$A37,raw_data!$G:$G,"GS Foundation",raw_data!$C:$C,$AZ$1)</f>
        <v>0</v>
      </c>
      <c r="BD37" s="29">
        <f>sumifs(raw_data!$E:$E,raw_data!$A:$A,$A37,raw_data!$C:$C,$AZ$1) - sumifs(raw_data!$E:$E,raw_data!$A:$A,$A37,raw_data!$G:$G,"GS Foundation",raw_data!$C:$C,$AZ$1)</f>
        <v>0</v>
      </c>
      <c r="BE37" s="76">
        <f>sumifs(raw_data!$Z:$Z,raw_data!$T:$T,$A37,raw_data!$U:$U,"Telephony",raw_data!$Y:$Y,$AZ$1)</f>
        <v>0</v>
      </c>
      <c r="BF37" s="76">
        <f>sumifs(raw_data!$Z:$Z,raw_data!$T:$T,$A37,raw_data!$U:$U,"Paid Ads",raw_data!$Y:$Y,$AZ$1)</f>
        <v>0</v>
      </c>
      <c r="BG37" s="76">
        <f>sumifs(raw_data!$N:$N,raw_data!$K:$K,$A37,raw_data!$O:$O,$AZ$1)</f>
        <v>0</v>
      </c>
      <c r="BH37" s="76">
        <f>sumifs(raw_data!$Z:$Z,raw_data!$T:$T,$A37,raw_data!$U:$U,"External Leads",raw_data!$Y:$Y,$AZ$1)</f>
        <v>0</v>
      </c>
      <c r="BI37" s="74"/>
    </row>
    <row r="38">
      <c r="A38" s="15"/>
      <c r="K38" s="79"/>
      <c r="L38" s="15"/>
      <c r="M38" s="15"/>
      <c r="N38" s="15"/>
      <c r="O38" s="15"/>
      <c r="P38" s="15"/>
      <c r="Q38" s="80"/>
      <c r="R38" s="80"/>
      <c r="S38" s="80"/>
      <c r="T38" s="80"/>
      <c r="U38" s="79"/>
      <c r="V38" s="15"/>
      <c r="W38" s="15"/>
      <c r="X38" s="15"/>
      <c r="Y38" s="15"/>
      <c r="Z38" s="15"/>
      <c r="AA38" s="80"/>
      <c r="AB38" s="80"/>
      <c r="AC38" s="80"/>
      <c r="AD38" s="80"/>
      <c r="AE38" s="79"/>
      <c r="AF38" s="15"/>
      <c r="AG38" s="15"/>
      <c r="AH38" s="15"/>
      <c r="AI38" s="15"/>
      <c r="AJ38" s="15"/>
      <c r="AK38" s="80"/>
      <c r="AL38" s="80"/>
      <c r="AM38" s="80"/>
      <c r="AN38" s="80"/>
      <c r="AO38" s="81"/>
      <c r="AP38" s="15"/>
      <c r="AQ38" s="15"/>
      <c r="AR38" s="15"/>
      <c r="AS38" s="15"/>
      <c r="AT38" s="15"/>
      <c r="AU38" s="80"/>
      <c r="AV38" s="80"/>
      <c r="AW38" s="80"/>
      <c r="AX38" s="80"/>
      <c r="AY38" s="81"/>
      <c r="AZ38" s="15"/>
      <c r="BA38" s="15"/>
      <c r="BB38" s="15"/>
      <c r="BC38" s="15"/>
      <c r="BD38" s="15"/>
      <c r="BE38" s="80"/>
      <c r="BF38" s="80"/>
      <c r="BG38" s="80"/>
      <c r="BH38" s="80"/>
      <c r="BI38" s="82"/>
    </row>
    <row r="39">
      <c r="A39" s="83" t="s">
        <v>46</v>
      </c>
      <c r="B39" s="84">
        <f t="shared" ref="B39:BI39" si="2">sum(B7:B37)</f>
        <v>1463</v>
      </c>
      <c r="C39" s="84">
        <f t="shared" si="2"/>
        <v>1335</v>
      </c>
      <c r="D39" s="84">
        <f t="shared" si="2"/>
        <v>128</v>
      </c>
      <c r="E39" s="84">
        <f t="shared" si="2"/>
        <v>843</v>
      </c>
      <c r="F39" s="84">
        <f t="shared" si="2"/>
        <v>620</v>
      </c>
      <c r="G39" s="84">
        <f t="shared" si="2"/>
        <v>497</v>
      </c>
      <c r="H39" s="84">
        <f t="shared" si="2"/>
        <v>255</v>
      </c>
      <c r="I39" s="84">
        <f t="shared" si="2"/>
        <v>0</v>
      </c>
      <c r="J39" s="84">
        <f t="shared" si="2"/>
        <v>1145</v>
      </c>
      <c r="K39" s="84">
        <f t="shared" si="2"/>
        <v>0</v>
      </c>
      <c r="L39" s="84">
        <f t="shared" si="2"/>
        <v>497</v>
      </c>
      <c r="M39" s="84">
        <f t="shared" si="2"/>
        <v>450</v>
      </c>
      <c r="N39" s="84">
        <f t="shared" si="2"/>
        <v>47</v>
      </c>
      <c r="O39" s="84">
        <f t="shared" si="2"/>
        <v>432</v>
      </c>
      <c r="P39" s="84">
        <f t="shared" si="2"/>
        <v>65</v>
      </c>
      <c r="Q39" s="84">
        <f t="shared" si="2"/>
        <v>90</v>
      </c>
      <c r="R39" s="84">
        <f t="shared" si="2"/>
        <v>65</v>
      </c>
      <c r="S39" s="84">
        <f t="shared" si="2"/>
        <v>0</v>
      </c>
      <c r="T39" s="84">
        <f t="shared" si="2"/>
        <v>217</v>
      </c>
      <c r="U39" s="84">
        <f t="shared" si="2"/>
        <v>0</v>
      </c>
      <c r="V39" s="84">
        <f t="shared" si="2"/>
        <v>369</v>
      </c>
      <c r="W39" s="84">
        <f t="shared" si="2"/>
        <v>351</v>
      </c>
      <c r="X39" s="84">
        <f t="shared" si="2"/>
        <v>18</v>
      </c>
      <c r="Y39" s="84">
        <f t="shared" si="2"/>
        <v>119</v>
      </c>
      <c r="Z39" s="84">
        <f t="shared" si="2"/>
        <v>250</v>
      </c>
      <c r="AA39" s="84">
        <f t="shared" si="2"/>
        <v>13</v>
      </c>
      <c r="AB39" s="84">
        <f t="shared" si="2"/>
        <v>0</v>
      </c>
      <c r="AC39" s="84">
        <f t="shared" si="2"/>
        <v>0</v>
      </c>
      <c r="AD39" s="84">
        <f t="shared" si="2"/>
        <v>0</v>
      </c>
      <c r="AE39" s="84">
        <f t="shared" si="2"/>
        <v>0</v>
      </c>
      <c r="AF39" s="84">
        <f t="shared" si="2"/>
        <v>93</v>
      </c>
      <c r="AG39" s="84">
        <f t="shared" si="2"/>
        <v>79</v>
      </c>
      <c r="AH39" s="84">
        <f t="shared" si="2"/>
        <v>14</v>
      </c>
      <c r="AI39" s="84">
        <f t="shared" si="2"/>
        <v>41</v>
      </c>
      <c r="AJ39" s="84">
        <f t="shared" si="2"/>
        <v>52</v>
      </c>
      <c r="AK39" s="84">
        <f t="shared" si="2"/>
        <v>4</v>
      </c>
      <c r="AL39" s="84">
        <f t="shared" si="2"/>
        <v>145</v>
      </c>
      <c r="AM39" s="84">
        <f t="shared" si="2"/>
        <v>0</v>
      </c>
      <c r="AN39" s="84">
        <f t="shared" si="2"/>
        <v>636</v>
      </c>
      <c r="AO39" s="84">
        <f t="shared" si="2"/>
        <v>0</v>
      </c>
      <c r="AP39" s="84">
        <f t="shared" si="2"/>
        <v>293</v>
      </c>
      <c r="AQ39" s="84">
        <f t="shared" si="2"/>
        <v>267</v>
      </c>
      <c r="AR39" s="84">
        <f t="shared" si="2"/>
        <v>26</v>
      </c>
      <c r="AS39" s="84">
        <f t="shared" si="2"/>
        <v>187</v>
      </c>
      <c r="AT39" s="84">
        <f t="shared" si="2"/>
        <v>106</v>
      </c>
      <c r="AU39" s="84">
        <f t="shared" si="2"/>
        <v>12</v>
      </c>
      <c r="AV39" s="84">
        <f t="shared" si="2"/>
        <v>2</v>
      </c>
      <c r="AW39" s="84">
        <f t="shared" si="2"/>
        <v>0</v>
      </c>
      <c r="AX39" s="84">
        <f t="shared" si="2"/>
        <v>2</v>
      </c>
      <c r="AY39" s="84">
        <f t="shared" si="2"/>
        <v>0</v>
      </c>
      <c r="AZ39" s="84">
        <f t="shared" si="2"/>
        <v>200</v>
      </c>
      <c r="BA39" s="84">
        <f t="shared" si="2"/>
        <v>178</v>
      </c>
      <c r="BB39" s="84">
        <f t="shared" si="2"/>
        <v>22</v>
      </c>
      <c r="BC39" s="84">
        <f t="shared" si="2"/>
        <v>59</v>
      </c>
      <c r="BD39" s="84">
        <f t="shared" si="2"/>
        <v>141</v>
      </c>
      <c r="BE39" s="84">
        <f t="shared" si="2"/>
        <v>93</v>
      </c>
      <c r="BF39" s="84">
        <f t="shared" si="2"/>
        <v>42</v>
      </c>
      <c r="BG39" s="84">
        <f t="shared" si="2"/>
        <v>0</v>
      </c>
      <c r="BH39" s="84">
        <f t="shared" si="2"/>
        <v>29</v>
      </c>
      <c r="BI39" s="84">
        <f t="shared" si="2"/>
        <v>0</v>
      </c>
    </row>
    <row r="40">
      <c r="K40" s="79"/>
      <c r="U40" s="79"/>
      <c r="AE40" s="79"/>
      <c r="AF40" s="82"/>
      <c r="AG40" s="82"/>
      <c r="AH40" s="82"/>
      <c r="AI40" s="82"/>
      <c r="AJ40" s="82"/>
      <c r="AK40" s="82"/>
      <c r="AL40" s="82"/>
      <c r="AM40" s="82"/>
      <c r="AN40" s="82"/>
      <c r="AO40" s="81"/>
      <c r="AP40" s="82"/>
      <c r="AQ40" s="82"/>
      <c r="AR40" s="82"/>
      <c r="AS40" s="82"/>
      <c r="AT40" s="82"/>
      <c r="AU40" s="82"/>
      <c r="AV40" s="82"/>
      <c r="AW40" s="82"/>
      <c r="AX40" s="82"/>
      <c r="AY40" s="81"/>
      <c r="AZ40" s="82"/>
      <c r="BA40" s="82"/>
      <c r="BB40" s="82"/>
      <c r="BC40" s="82"/>
      <c r="BD40" s="82"/>
      <c r="BE40" s="82"/>
      <c r="BF40" s="82"/>
      <c r="BG40" s="82"/>
      <c r="BH40" s="82"/>
      <c r="BI40" s="82"/>
    </row>
    <row r="41">
      <c r="K41" s="79"/>
      <c r="U41" s="79"/>
      <c r="AE41" s="79"/>
      <c r="AF41" s="82"/>
      <c r="AG41" s="82"/>
      <c r="AH41" s="82"/>
      <c r="AI41" s="82"/>
      <c r="AJ41" s="82"/>
      <c r="AK41" s="82"/>
      <c r="AL41" s="82"/>
      <c r="AM41" s="82"/>
      <c r="AN41" s="82"/>
      <c r="AO41" s="81"/>
      <c r="AP41" s="82"/>
      <c r="AQ41" s="82"/>
      <c r="AR41" s="82"/>
      <c r="AS41" s="82"/>
      <c r="AT41" s="82"/>
      <c r="AU41" s="82"/>
      <c r="AV41" s="82"/>
      <c r="AW41" s="82"/>
      <c r="AX41" s="82"/>
      <c r="AY41" s="81"/>
      <c r="AZ41" s="82"/>
      <c r="BA41" s="82"/>
      <c r="BB41" s="82"/>
      <c r="BC41" s="82"/>
      <c r="BD41" s="82"/>
      <c r="BE41" s="82"/>
      <c r="BF41" s="82"/>
      <c r="BG41" s="82"/>
      <c r="BH41" s="82"/>
      <c r="BI41" s="82"/>
    </row>
    <row r="42">
      <c r="A42" s="38" t="s">
        <v>47</v>
      </c>
      <c r="B42" s="39">
        <v>46054.0</v>
      </c>
      <c r="C42" s="39">
        <v>46081.0</v>
      </c>
      <c r="K42" s="79"/>
      <c r="U42" s="79"/>
      <c r="AE42" s="79"/>
      <c r="AF42" s="82"/>
      <c r="AG42" s="82"/>
      <c r="AH42" s="82"/>
      <c r="AI42" s="82"/>
      <c r="AJ42" s="82"/>
      <c r="AK42" s="82"/>
      <c r="AL42" s="82"/>
      <c r="AM42" s="82"/>
      <c r="AN42" s="82"/>
      <c r="AO42" s="81"/>
      <c r="AP42" s="82"/>
      <c r="AQ42" s="82"/>
      <c r="AR42" s="82"/>
      <c r="AS42" s="82"/>
      <c r="AT42" s="82"/>
      <c r="AU42" s="82"/>
      <c r="AV42" s="82"/>
      <c r="AW42" s="82"/>
      <c r="AX42" s="82"/>
      <c r="AY42" s="81"/>
      <c r="AZ42" s="82"/>
      <c r="BA42" s="82"/>
      <c r="BB42" s="82"/>
      <c r="BC42" s="82"/>
      <c r="BD42" s="82"/>
      <c r="BE42" s="82"/>
      <c r="BF42" s="82"/>
      <c r="BG42" s="82"/>
      <c r="BH42" s="82"/>
      <c r="BI42" s="82"/>
    </row>
    <row r="43">
      <c r="A43" s="40" t="s">
        <v>48</v>
      </c>
      <c r="B43" s="41">
        <f>SUMIFS(raw_data!$E:$E,raw_data!$A:$A,"&gt;="&amp;$B$42,raw_data!$A:$A,"&lt;="&amp;$C$42,raw_data!$F:$F,"Not Interested")</f>
        <v>316</v>
      </c>
      <c r="C43" s="29">
        <f>sumifs(raw_data!$E:$E,raw_data!$A:$A,"&gt;="&amp;$B$42,raw_data!$A:$A,"&lt;="&amp;$C$42,raw_data!$D:$D,"Primary_Walkin",raw_data!$F:$F,"Not Interested")</f>
        <v>286</v>
      </c>
      <c r="D43" s="29">
        <f>sumifs(raw_data!$E:$E,raw_data!$A:$A,"&gt;="&amp;$B$42,raw_data!$A:$A,"&lt;="&amp;$C$42,raw_data!$D:$D,"Secondary_Walkin",raw_data!$F:$F,"Not Interested")</f>
        <v>30</v>
      </c>
      <c r="E43" s="29">
        <f>sumifs(raw_data!$E:$E,raw_data!$A:$A,"&gt;="&amp;$B$42,raw_data!$A:$A,"&lt;="&amp;$C$42,raw_data!$G:$G,"GS Foundation",raw_data!$F:$F,"Not Interested")</f>
        <v>195</v>
      </c>
      <c r="F43" s="29">
        <f>SUMIFS(raw_data!$E:$E,raw_data!$A:$A,"&gt;="&amp;$B$42,raw_data!$A:$A,"&lt;="&amp;$C$42,raw_data!$F:$F,"Not Interested") - sumifs(raw_data!$E:$E,raw_data!$A:$A,"&gt;="&amp;$B$42,raw_data!$A:$A,"&lt;="&amp;$C$42,raw_data!$G:$G,"GS Foundation",raw_data!$F:$F,"Not Interested")</f>
        <v>121</v>
      </c>
      <c r="G43" s="42">
        <f>sumifs(raw_data!$Z:$Z,raw_data!$T:$T,"&gt;="&amp;$B$42,raw_data!$T:$T,"&lt;="&amp;$C$42,raw_data!$U:$U,"Telephony",raw_data!$AA:$AA,"Not Interested")</f>
        <v>56</v>
      </c>
      <c r="H43" s="29">
        <f>sumifs(raw_data!$Z:$Z,raw_data!$T:$T,"&gt;="&amp;$B$42,raw_data!$T:$T,"&lt;="&amp;$C$42 ,raw_data!$U:$U,"Paid Ads",raw_data!$AA:$AA,"Not Interested")</f>
        <v>66</v>
      </c>
      <c r="I43" s="29"/>
      <c r="J43" s="29">
        <f>sumifs(raw_data!$Z:$Z,raw_data!$T:$T,"&gt;="&amp;$B$42,raw_data!$T:$T,"&lt;="&amp;$C$42,raw_data!$U:$U,"External Leads",raw_data!$AA:$AA,"Not Interested")</f>
        <v>98</v>
      </c>
      <c r="K43" s="79"/>
      <c r="L43" s="41">
        <f>SUMIFS(raw_data!$E:$E,raw_data!$A:$A,"&gt;="&amp;$B$42,raw_data!$A:$A,"&lt;="&amp;$C$42,raw_data!$F:$F,"Not Interested",raw_data!$C:$C,$L$1)</f>
        <v>158</v>
      </c>
      <c r="M43" s="29">
        <f>sumifs(raw_data!$E:$E,raw_data!$A:$A,"&gt;="&amp;$B$42,raw_data!$A:$A,"&lt;="&amp;$C$42,raw_data!$D:$D,"Primary_Walkin",raw_data!$F:$F,"Not Interested",raw_data!$C:$C,$L$1)</f>
        <v>147</v>
      </c>
      <c r="N43" s="29">
        <f>sumifs(raw_data!$E:$E,raw_data!$A:$A,"&gt;="&amp;$B$42,raw_data!$A:$A,"&lt;="&amp;$C$42,raw_data!$D:$D,"Secondary_Walkin",raw_data!$F:$F,"Not Interested",raw_data!$C:$C,$L$1)</f>
        <v>11</v>
      </c>
      <c r="O43" s="29">
        <f>sumifs(raw_data!$E:$E,raw_data!$A:$A,"&gt;="&amp;$B$42,raw_data!$A:$A,"&lt;="&amp;$C$42,raw_data!$G:$G,"GS Foundation",raw_data!$F:$F,"Not Interested",raw_data!$C:$C,$L$1)</f>
        <v>132</v>
      </c>
      <c r="P43" s="29">
        <f>SUMIFS(raw_data!$E:$E,raw_data!$A:$A,"&gt;="&amp;$B$42,raw_data!$A:$A,"&lt;="&amp;$C$42,raw_data!$F:$F,"Not Interested",raw_data!$C:$C,$L$1) - sumifs(raw_data!$E:$E,raw_data!$A:$A,"&gt;="&amp;$B$42,raw_data!$A:$A,"&lt;="&amp;$C$42,raw_data!$G:$G,"GS Foundation",raw_data!$F:$F,"Not Interested",raw_data!$C:$C,$L$1)</f>
        <v>26</v>
      </c>
      <c r="Q43" s="42">
        <f>sumifs(raw_data!$Z:$Z,raw_data!$T:$T,"&gt;="&amp;$B$42,raw_data!$T:$T,"&lt;="&amp;$C$42,raw_data!$U:$U,"Telephony",raw_data!$Y:$Y,$L$1,raw_data!$AA:$AA,"Not Interested")</f>
        <v>6</v>
      </c>
      <c r="R43" s="29">
        <f>sumifs(raw_data!$Z:$Z,raw_data!$T:$T,"&gt;="&amp;$B$42,raw_data!$T:$T,"&lt;="&amp;$C$42 ,raw_data!$U:$U,"Paid Ads",raw_data!$Y:$Y,$L$1,raw_data!$AA:$AA,"Not Interested")</f>
        <v>11</v>
      </c>
      <c r="S43" s="29"/>
      <c r="T43" s="29">
        <f>sumifs(raw_data!$Z:$Z,raw_data!$T:$T,"&gt;="&amp;$B$42,raw_data!$T:$T,"&lt;="&amp;$C$42,raw_data!$U:$U,"External Leads",raw_data!$Y:$Y,$L$1,raw_data!$AA:$AA,"Not Interested")</f>
        <v>0</v>
      </c>
      <c r="U43" s="70"/>
      <c r="V43" s="41">
        <f>SUMIFS(raw_data!$E:$E,raw_data!$A:$A,"&gt;="&amp;$B$42,raw_data!$A:$A,"&lt;="&amp;$C$42,raw_data!$F:$F,"Not Interested",raw_data!$C:$C,$V$1)</f>
        <v>52</v>
      </c>
      <c r="W43" s="29">
        <f>sumifs(raw_data!$E:$E,raw_data!$A:$A,"&gt;="&amp;$B$42,raw_data!$A:$A,"&lt;="&amp;$C$42,raw_data!$D:$D,"Primary_Walkin",raw_data!$F:$F,"Not Interested",raw_data!$C:$C,$V$1)</f>
        <v>48</v>
      </c>
      <c r="X43" s="29">
        <f>sumifs(raw_data!$E:$E,raw_data!$A:$A,"&gt;="&amp;$B$42,raw_data!$A:$A,"&lt;="&amp;$C$42,raw_data!$D:$D,"Secondary_Walkin",raw_data!$F:$F,"Not Interested",raw_data!$C:$C,$V$1)</f>
        <v>4</v>
      </c>
      <c r="Y43" s="29">
        <f>sumifs(raw_data!$E:$E,raw_data!$A:$A,"&gt;="&amp;$B$42,raw_data!$A:$A,"&lt;="&amp;$C$42,raw_data!$G:$G,"GS Foundation",raw_data!$F:$F,"Not Interested",raw_data!$C:$C,$V$1)</f>
        <v>14</v>
      </c>
      <c r="Z43" s="29">
        <f>SUMIFS(raw_data!$E:$E,raw_data!$A:$A,"&gt;="&amp;$B$42,raw_data!$A:$A,"&lt;="&amp;$C$42,raw_data!$F:$F,"Not Interested",raw_data!$C:$C,$V$1) - sumifs(raw_data!$E:$E,raw_data!$A:$A,"&gt;="&amp;$B$42,raw_data!$A:$A,"&lt;="&amp;$C$42,raw_data!$G:$G,"GS Foundation",raw_data!$F:$F,"Not Interested",raw_data!$C:$C,$V$1)</f>
        <v>38</v>
      </c>
      <c r="AA43" s="42">
        <f>sumifs(raw_data!$Z:$Z,raw_data!$T:$T,"&gt;="&amp;$B$42,raw_data!$T:$T,"&lt;="&amp;$C$42,raw_data!$U:$U,"Telephony",raw_data!$Y:$Y,$V$1,raw_data!$AA:$AA,"Not Interested")</f>
        <v>1</v>
      </c>
      <c r="AB43" s="29">
        <f>sumifs(raw_data!$Z:$Z,raw_data!$T:$T,"&gt;="&amp;$B$42,raw_data!$T:$T,"&lt;="&amp;$C$42 ,raw_data!$U:$U,"Paid Ads",raw_data!$Y:$Y,$V$1,raw_data!$AA:$AA,"Not Interested")</f>
        <v>0</v>
      </c>
      <c r="AC43" s="29"/>
      <c r="AD43" s="29">
        <f>sumifs(raw_data!$Z:$Z,raw_data!$T:$T,"&gt;="&amp;$B$42,raw_data!$T:$T,"&lt;="&amp;$C$42,raw_data!$U:$U,"External Leads",raw_data!$Y:$Y,$V$1,raw_data!$AA:$AA,"Not Interested")</f>
        <v>0</v>
      </c>
      <c r="AE43" s="79"/>
      <c r="AF43" s="41">
        <f>SUMIFS(raw_data!$E:$E,raw_data!$A:$A,"&gt;="&amp;$B$42,raw_data!$A:$A,"&lt;="&amp;$C$42,raw_data!$F:$F,"Not Interested",raw_data!$C:$C,$AF$1)</f>
        <v>14</v>
      </c>
      <c r="AG43" s="29">
        <f>sumifs(raw_data!$E:$E,raw_data!$A:$A,"&gt;="&amp;$B$42,raw_data!$A:$A,"&lt;="&amp;$C$42,raw_data!$D:$D,"Primary_Walkin",raw_data!$F:$F,"Not Interested",raw_data!$C:$C,$AF$1)</f>
        <v>9</v>
      </c>
      <c r="AH43" s="29">
        <f>sumifs(raw_data!$E:$E,raw_data!$A:$A,"&gt;="&amp;$B$42,raw_data!$A:$A,"&lt;="&amp;$C$42,raw_data!$D:$D,"Secondary_Walkin",raw_data!$F:$F,"Not Interested",raw_data!$C:$C,$AF$1)</f>
        <v>5</v>
      </c>
      <c r="AI43" s="29">
        <f>sumifs(raw_data!$E:$E,raw_data!$A:$A,"&gt;="&amp;$B$42,raw_data!$A:$A,"&lt;="&amp;$C$42,raw_data!$G:$G,"GS Foundation",raw_data!$F:$F,"Not Interested",raw_data!$C:$C,$AF$1)</f>
        <v>9</v>
      </c>
      <c r="AJ43" s="29">
        <f>SUMIFS(raw_data!$E:$E,raw_data!$A:$A,"&gt;="&amp;$B$42,raw_data!$A:$A,"&lt;="&amp;$C$42,raw_data!$F:$F,"Not Interested",raw_data!$C:$C,$AF$1) - sumifs(raw_data!$E:$E,raw_data!$A:$A,"&gt;="&amp;$B$42,raw_data!$A:$A,"&lt;="&amp;$C$42,raw_data!$G:$G,"GS Foundation",raw_data!$F:$F,"Not Interested",raw_data!$C:$C,$AF$1)</f>
        <v>5</v>
      </c>
      <c r="AK43" s="42">
        <f>sumifs(raw_data!$Z:$Z,raw_data!$T:$T,"&gt;="&amp;$B$42,raw_data!$T:$T,"&lt;="&amp;$C$42,raw_data!$U:$U,"Telephony",raw_data!$Y:$Y,$AF$1,raw_data!$AA:$AA,"Not Interested")</f>
        <v>2</v>
      </c>
      <c r="AL43" s="29">
        <f>sumifs(raw_data!$Z:$Z,raw_data!$T:$T,"&gt;="&amp;$B$42,raw_data!$T:$T,"&lt;="&amp;$C$42 ,raw_data!$U:$U,"Paid Ads",raw_data!$Y:$Y,$AF$1,raw_data!$AA:$AA,"Not Interested")</f>
        <v>34</v>
      </c>
      <c r="AM43" s="29"/>
      <c r="AN43" s="29">
        <f>sumifs(raw_data!$Z:$Z,raw_data!$T:$T,"&gt;="&amp;$B$42,raw_data!$T:$T,"&lt;="&amp;$C$42,raw_data!$U:$U,"External Leads",raw_data!$Y:$Y,$AF$1,raw_data!$AA:$AA,"Not Interested")</f>
        <v>89</v>
      </c>
      <c r="AO43" s="81"/>
      <c r="AP43" s="41">
        <f>SUMIFS(raw_data!$E:$E,raw_data!$A:$A,"&gt;="&amp;$B$42,raw_data!$A:$A,"&lt;="&amp;$C$42,raw_data!$F:$F,"Not Interested",raw_data!$C:$C,$AP$1)</f>
        <v>37</v>
      </c>
      <c r="AQ43" s="29">
        <f>sumifs(raw_data!$E:$E,raw_data!$A:$A,"&gt;="&amp;$B$42,raw_data!$A:$A,"&lt;="&amp;$C$42,raw_data!$D:$D,"Primary_Walkin",raw_data!$F:$F,"Not Interested",raw_data!$C:$C,$AP$1)</f>
        <v>34</v>
      </c>
      <c r="AR43" s="29">
        <f>sumifs(raw_data!$E:$E,raw_data!$A:$A,"&gt;="&amp;$B$42,raw_data!$A:$A,"&lt;="&amp;$C$42,raw_data!$D:$D,"Secondary_Walkin",raw_data!$F:$F,"Not Interested",raw_data!$C:$C,$AP$1)</f>
        <v>3</v>
      </c>
      <c r="AS43" s="29">
        <f>sumifs(raw_data!$E:$E,raw_data!$A:$A,"&gt;="&amp;$B$42,raw_data!$A:$A,"&lt;="&amp;$C$42,raw_data!$G:$G,"GS Foundation",raw_data!$F:$F,"Not Interested",raw_data!$C:$C,$AP$1)</f>
        <v>23</v>
      </c>
      <c r="AT43" s="29">
        <f>SUMIFS(raw_data!$E:$E,raw_data!$A:$A,"&gt;="&amp;$B$42,raw_data!$A:$A,"&lt;="&amp;$C$42,raw_data!$F:$F,"Not Interested",raw_data!$C:$C,$AP$1) - sumifs(raw_data!$E:$E,raw_data!$A:$A,"&gt;="&amp;$B$42,raw_data!$A:$A,"&lt;="&amp;$C$42,raw_data!$G:$G,"GS Foundation",raw_data!$F:$F,"Not Interested",raw_data!$C:$C,$AP$1)</f>
        <v>14</v>
      </c>
      <c r="AU43" s="42">
        <f>sumifs(raw_data!$Z:$Z,raw_data!$T:$T,"&gt;="&amp;$B$42,raw_data!$T:$T,"&lt;="&amp;$C$42,raw_data!$U:$U,"Telephony",raw_data!$Y:$Y,$AP$1,raw_data!$AA:$AA,"Not Interested")</f>
        <v>0</v>
      </c>
      <c r="AV43" s="29">
        <f>sumifs(raw_data!$Z:$Z,raw_data!$T:$T,"&gt;="&amp;$B$42,raw_data!$T:$T,"&lt;="&amp;$C$42 ,raw_data!$U:$U,"Paid Ads",raw_data!$Y:$Y,$AP$1,raw_data!$AA:$AA,"Not Interested")</f>
        <v>0</v>
      </c>
      <c r="AW43" s="29"/>
      <c r="AX43" s="29">
        <f>sumifs(raw_data!$Z:$Z,raw_data!$T:$T,"&gt;="&amp;$B$42,raw_data!$T:$T,"&lt;="&amp;$C$42,raw_data!$U:$U,"External Leads",raw_data!$Y:$Y,$AP$1,raw_data!$AA:$AA,"Not Interested")</f>
        <v>0</v>
      </c>
      <c r="AY43" s="81"/>
      <c r="AZ43" s="41">
        <f>SUMIFS(raw_data!$E:$E,raw_data!$A:$A,"&gt;="&amp;$B$42,raw_data!$A:$A,"&lt;="&amp;$C$42,raw_data!$F:$F,"Not Interested",raw_data!$C:$C,$AZ$1)</f>
        <v>53</v>
      </c>
      <c r="BA43" s="29">
        <f>sumifs(raw_data!$E:$E,raw_data!$A:$A,"&gt;="&amp;$B$42,raw_data!$A:$A,"&lt;="&amp;$C$42,raw_data!$D:$D,"Primary_Walkin",raw_data!$F:$F,"Not Interested",raw_data!$C:$C,$AZ$1)</f>
        <v>46</v>
      </c>
      <c r="BB43" s="29">
        <f>sumifs(raw_data!$E:$E,raw_data!$A:$A,"&gt;="&amp;$B$42,raw_data!$A:$A,"&lt;="&amp;$C$42,raw_data!$D:$D,"Secondary_Walkin",raw_data!$F:$F,"Not Interested",raw_data!$C:$C,$AZ$1)</f>
        <v>7</v>
      </c>
      <c r="BC43" s="29">
        <f>sumifs(raw_data!$E:$E,raw_data!$A:$A,"&gt;="&amp;$B$42,raw_data!$A:$A,"&lt;="&amp;$C$42,raw_data!$G:$G,"GS Foundation",raw_data!$F:$F,"Not Interested",raw_data!$C:$C,$AZ$1)</f>
        <v>15</v>
      </c>
      <c r="BD43" s="29">
        <f>SUMIFS(raw_data!$E:$E,raw_data!$A:$A,"&gt;="&amp;$B$42,raw_data!$A:$A,"&lt;="&amp;$C$42,raw_data!$F:$F,"Not Interested",raw_data!$C:$C,$AZ$1) - sumifs(raw_data!$E:$E,raw_data!$A:$A,"&gt;="&amp;$B$42,raw_data!$A:$A,"&lt;="&amp;$C$42,raw_data!$G:$G,"GS Foundation",raw_data!$F:$F,"Not Interested",raw_data!$C:$C,$AZ$1)</f>
        <v>38</v>
      </c>
      <c r="BE43" s="42">
        <f>sumifs(raw_data!$Z:$Z,raw_data!$T:$T,"&gt;="&amp;$B$42,raw_data!$T:$T,"&lt;="&amp;$C$42,raw_data!$U:$U,"Telephony",raw_data!$Y:$Y,$AZ$1,raw_data!$AA:$AA,"Not Interested")</f>
        <v>27</v>
      </c>
      <c r="BF43" s="29">
        <f>sumifs(raw_data!$Z:$Z,raw_data!$T:$T,"&gt;="&amp;$B$42,raw_data!$T:$T,"&lt;="&amp;$C$42 ,raw_data!$U:$U,"Paid Ads",raw_data!$Y:$Y,$AZ$1,raw_data!$AA:$AA,"Not Interested")</f>
        <v>21</v>
      </c>
      <c r="BG43" s="29"/>
      <c r="BH43" s="29">
        <f>sumifs(raw_data!$Z:$Z,raw_data!$T:$T,"&gt;="&amp;$B$42,raw_data!$T:$T,"&lt;="&amp;$C$42,raw_data!$U:$U,"External Leads",raw_data!$Y:$Y,$AZ$1,raw_data!$AA:$AA,"Not Interested")</f>
        <v>7</v>
      </c>
      <c r="BI43" s="82"/>
    </row>
    <row r="44">
      <c r="A44" s="40" t="s">
        <v>49</v>
      </c>
      <c r="B44" s="41">
        <f>SUMIFS(raw_data!$E:$E,raw_data!$A:$A,"&gt;="&amp;$B$42,raw_data!$A:$A,"&lt;="&amp;$C$42,raw_data!$F:$F,"Fake Lead")</f>
        <v>85</v>
      </c>
      <c r="C44" s="29">
        <f>sumifs(raw_data!$E:$E,raw_data!$A:$A,"&gt;="&amp;$B$42,raw_data!$A:$A,"&lt;="&amp;$C$42,raw_data!$D:$D,"Primary_Walkin",raw_data!$F:$F,"Fake Lead")</f>
        <v>83</v>
      </c>
      <c r="D44" s="29">
        <f>sumifs(raw_data!$E:$E,raw_data!$A:$A,"&gt;="&amp;$B$42,raw_data!$A:$A,"&lt;="&amp;$C$42,raw_data!$D:$D,"Secondary_Walkin",raw_data!$F:$F,"Fake Lead")</f>
        <v>2</v>
      </c>
      <c r="E44" s="29">
        <f>sumifs(raw_data!$E:$E,raw_data!$A:$A,"&gt;="&amp;$B$42,raw_data!$A:$A,"&lt;="&amp;$C$42,raw_data!$G:$G,"GS Foundation",raw_data!$F:$F,"Fake Lead")</f>
        <v>48</v>
      </c>
      <c r="F44" s="29">
        <f>SUMIFS(raw_data!$E:$E,raw_data!$A:$A,"&gt;="&amp;$B$42,raw_data!$A:$A,"&lt;="&amp;$C$42,raw_data!$F:$F,"Fake Lead") - sumifs(raw_data!$E:$E,raw_data!$A:$A,"&gt;="&amp;$B$42,raw_data!$A:$A,"&lt;="&amp;$C$42,raw_data!$G:$G,"GS Foundation",raw_data!$F:$F,"Fake Lead")</f>
        <v>37</v>
      </c>
      <c r="G44" s="42">
        <f>sumifs(raw_data!$Z:$Z,raw_data!$T:$T,"&gt;="&amp;$B$42,raw_data!$T:$T,"&lt;="&amp;$C$42,raw_data!$U:$U,"Telephony",raw_data!$AA:$AA,"Fake Lead")</f>
        <v>114</v>
      </c>
      <c r="H44" s="29">
        <f>sumifs(raw_data!$Z:$Z,raw_data!$T:$T,"&gt;="&amp;$B$42,raw_data!$T:$T,"&lt;="&amp;$C$42 ,raw_data!$U:$U,"Paid Ads",raw_data!$AA:$AA,"Fake Lead")</f>
        <v>15</v>
      </c>
      <c r="I44" s="29"/>
      <c r="J44" s="29">
        <f>sumifs(raw_data!$Z:$Z,raw_data!$T:$T,"&gt;="&amp;$B$42,raw_data!$T:$T,"&lt;="&amp;$C$42,raw_data!$U:$U,"External Leads",raw_data!$AA:$AA,"Fake Lead")</f>
        <v>18</v>
      </c>
      <c r="K44" s="79"/>
      <c r="L44" s="41">
        <f>SUMIFS(raw_data!$E:$E,raw_data!$A:$A,"&gt;="&amp;$B$42,raw_data!$A:$A,"&lt;="&amp;$C$42,raw_data!$F:$F,"Fake Lead",raw_data!$C:$C,$L$1)</f>
        <v>34</v>
      </c>
      <c r="M44" s="29">
        <f>sumifs(raw_data!$E:$E,raw_data!$A:$A,"&gt;="&amp;$B$42,raw_data!$A:$A,"&lt;="&amp;$C$42,raw_data!$D:$D,"Primary_Walkin",raw_data!$F:$F,"Fake Lead",raw_data!$C:$C,$L$1)</f>
        <v>33</v>
      </c>
      <c r="N44" s="29">
        <f>sumifs(raw_data!$E:$E,raw_data!$A:$A,"&gt;="&amp;$B$42,raw_data!$A:$A,"&lt;="&amp;$C$42,raw_data!$D:$D,"Secondary_Walkin",raw_data!$F:$F,"Fake Lead",raw_data!$C:$C,$L$1)</f>
        <v>1</v>
      </c>
      <c r="O44" s="29">
        <f>sumifs(raw_data!$E:$E,raw_data!$A:$A,"&gt;="&amp;$B$42,raw_data!$A:$A,"&lt;="&amp;$C$42,raw_data!$G:$G,"GS Foundation",raw_data!$F:$F,"Fake Lead",raw_data!$C:$C,$L$1)</f>
        <v>29</v>
      </c>
      <c r="P44" s="29">
        <f>SUMIFS(raw_data!$E:$E,raw_data!$A:$A,"&gt;="&amp;$B$42,raw_data!$A:$A,"&lt;="&amp;$C$42,raw_data!$F:$F,"Fake Lead",raw_data!$C:$C,$L$1) - sumifs(raw_data!$E:$E,raw_data!$A:$A,"&gt;="&amp;$B$42,raw_data!$A:$A,"&lt;="&amp;$C$42,raw_data!$G:$G,"GS Foundation",raw_data!$F:$F,"Fake Lead",raw_data!$C:$C,$L$1)</f>
        <v>5</v>
      </c>
      <c r="Q44" s="42">
        <f>sumifs(raw_data!$Z:$Z,raw_data!$T:$T,"&gt;="&amp;$B$42,raw_data!$T:$T,"&lt;="&amp;$C$42,raw_data!$U:$U,"Telephony",raw_data!$Y:$Y,$L$1,raw_data!$AA:$AA,"Fake Lead")</f>
        <v>14</v>
      </c>
      <c r="R44" s="29">
        <f>sumifs(raw_data!$Z:$Z,raw_data!$T:$T,"&gt;="&amp;$B$42,raw_data!$T:$T,"&lt;="&amp;$C$42 ,raw_data!$U:$U,"Paid Ads",raw_data!$Y:$Y,$L$1,raw_data!$AA:$AA,"Fake Lead")</f>
        <v>5</v>
      </c>
      <c r="S44" s="29"/>
      <c r="T44" s="29">
        <f>sumifs(raw_data!$Z:$Z,raw_data!$T:$T,"&gt;="&amp;$B$42,raw_data!$T:$T,"&lt;="&amp;$C$42,raw_data!$U:$U,"External Leads",raw_data!$Y:$Y,$L$1,raw_data!$AA:$AA,"Fake Lead")</f>
        <v>0</v>
      </c>
      <c r="U44" s="70"/>
      <c r="V44" s="41">
        <f>SUMIFS(raw_data!$E:$E,raw_data!$A:$A,"&gt;="&amp;$B$42,raw_data!$A:$A,"&lt;="&amp;$C$42,raw_data!$F:$F,"Fake Lead",raw_data!$C:$C,$V$1)</f>
        <v>41</v>
      </c>
      <c r="W44" s="29">
        <f>sumifs(raw_data!$E:$E,raw_data!$A:$A,"&gt;="&amp;$B$42,raw_data!$A:$A,"&lt;="&amp;$C$42,raw_data!$D:$D,"Primary_Walkin",raw_data!$F:$F,"Fake Lead",raw_data!$C:$C,$V$1)</f>
        <v>40</v>
      </c>
      <c r="X44" s="29">
        <f>sumifs(raw_data!$E:$E,raw_data!$A:$A,"&gt;="&amp;$B$42,raw_data!$A:$A,"&lt;="&amp;$C$42,raw_data!$D:$D,"Secondary_Walkin",raw_data!$F:$F,"Fake Lead",raw_data!$C:$C,$V$1)</f>
        <v>1</v>
      </c>
      <c r="Y44" s="29">
        <f>sumifs(raw_data!$E:$E,raw_data!$A:$A,"&gt;="&amp;$B$42,raw_data!$A:$A,"&lt;="&amp;$C$42,raw_data!$G:$G,"GS Foundation",raw_data!$F:$F,"Fake Lead",raw_data!$C:$C,$V$1)</f>
        <v>15</v>
      </c>
      <c r="Z44" s="29">
        <f>SUMIFS(raw_data!$E:$E,raw_data!$A:$A,"&gt;="&amp;$B$42,raw_data!$A:$A,"&lt;="&amp;$C$42,raw_data!$F:$F,"Fake Lead",raw_data!$C:$C,$V$1) - sumifs(raw_data!$E:$E,raw_data!$A:$A,"&gt;="&amp;$B$42,raw_data!$A:$A,"&lt;="&amp;$C$42,raw_data!$G:$G,"GS Foundation",raw_data!$F:$F,"Fake Lead",raw_data!$C:$C,$V$1)</f>
        <v>26</v>
      </c>
      <c r="AA44" s="42">
        <f>sumifs(raw_data!$Z:$Z,raw_data!$T:$T,"&gt;="&amp;$B$42,raw_data!$T:$T,"&lt;="&amp;$C$42,raw_data!$U:$U,"Telephony",raw_data!$Y:$Y,$V$1,raw_data!$AA:$AA,"Fake Lead")</f>
        <v>0</v>
      </c>
      <c r="AB44" s="29">
        <f>sumifs(raw_data!$Z:$Z,raw_data!$T:$T,"&gt;="&amp;$B$42,raw_data!$T:$T,"&lt;="&amp;$C$42 ,raw_data!$U:$U,"Paid Ads",raw_data!$Y:$Y,$V$1,raw_data!$AA:$AA,"Fake Lead")</f>
        <v>0</v>
      </c>
      <c r="AC44" s="29"/>
      <c r="AD44" s="29">
        <f>sumifs(raw_data!$Z:$Z,raw_data!$T:$T,"&gt;="&amp;$B$42,raw_data!$T:$T,"&lt;="&amp;$C$42,raw_data!$U:$U,"External Leads",raw_data!$Y:$Y,$V$1,raw_data!$AA:$AA,"Fake Lead")</f>
        <v>0</v>
      </c>
      <c r="AE44" s="79"/>
      <c r="AF44" s="41">
        <f>SUMIFS(raw_data!$E:$E,raw_data!$A:$A,"&gt;="&amp;$B$42,raw_data!$A:$A,"&lt;="&amp;$C$42,raw_data!$F:$F,"Fake Lead",raw_data!$C:$C,$AF$1)</f>
        <v>1</v>
      </c>
      <c r="AG44" s="29">
        <f>sumifs(raw_data!$E:$E,raw_data!$A:$A,"&gt;="&amp;$B$42,raw_data!$A:$A,"&lt;="&amp;$C$42,raw_data!$D:$D,"Primary_Walkin",raw_data!$F:$F,"Fake Lead",raw_data!$C:$C,$AF$1)</f>
        <v>1</v>
      </c>
      <c r="AH44" s="29">
        <f>sumifs(raw_data!$E:$E,raw_data!$A:$A,"&gt;="&amp;$B$42,raw_data!$A:$A,"&lt;="&amp;$C$42,raw_data!$D:$D,"Secondary_Walkin",raw_data!$F:$F,"Fake Lead",raw_data!$C:$C,$AF$1)</f>
        <v>0</v>
      </c>
      <c r="AI44" s="29">
        <f>sumifs(raw_data!$E:$E,raw_data!$A:$A,"&gt;="&amp;$B$42,raw_data!$A:$A,"&lt;="&amp;$C$42,raw_data!$G:$G,"GS Foundation",raw_data!$F:$F,"Fake Lead",raw_data!$C:$C,$AF$1)</f>
        <v>0</v>
      </c>
      <c r="AJ44" s="29">
        <f>SUMIFS(raw_data!$E:$E,raw_data!$A:$A,"&gt;="&amp;$B$42,raw_data!$A:$A,"&lt;="&amp;$C$42,raw_data!$F:$F,"Fake Lead",raw_data!$C:$C,$AF$1) - sumifs(raw_data!$E:$E,raw_data!$A:$A,"&gt;="&amp;$B$42,raw_data!$A:$A,"&lt;="&amp;$C$42,raw_data!$G:$G,"GS Foundation",raw_data!$F:$F,"Fake Lead",raw_data!$C:$C,$AF$1)</f>
        <v>1</v>
      </c>
      <c r="AK44" s="42">
        <f>sumifs(raw_data!$Z:$Z,raw_data!$T:$T,"&gt;="&amp;$B$42,raw_data!$T:$T,"&lt;="&amp;$C$42,raw_data!$U:$U,"Telephony",raw_data!$Y:$Y,$AF$1,raw_data!$AA:$AA,"Fake Lead")</f>
        <v>0</v>
      </c>
      <c r="AL44" s="29">
        <f>sumifs(raw_data!$Z:$Z,raw_data!$T:$T,"&gt;="&amp;$B$42,raw_data!$T:$T,"&lt;="&amp;$C$42 ,raw_data!$U:$U,"Paid Ads",raw_data!$Y:$Y,$AF$1,raw_data!$AA:$AA,"Fake Lead")</f>
        <v>8</v>
      </c>
      <c r="AM44" s="29"/>
      <c r="AN44" s="29">
        <f>sumifs(raw_data!$Z:$Z,raw_data!$T:$T,"&gt;="&amp;$B$42,raw_data!$T:$T,"&lt;="&amp;$C$42,raw_data!$U:$U,"External Leads",raw_data!$Y:$Y,$AF$1,raw_data!$AA:$AA,"Fake Lead")</f>
        <v>15</v>
      </c>
      <c r="AO44" s="81"/>
      <c r="AP44" s="41">
        <f>SUMIFS(raw_data!$E:$E,raw_data!$A:$A,"&gt;="&amp;$B$42,raw_data!$A:$A,"&lt;="&amp;$C$42,raw_data!$F:$F,"Fake Lead",raw_data!$C:$C,$AP$1)</f>
        <v>4</v>
      </c>
      <c r="AQ44" s="29">
        <f>sumifs(raw_data!$E:$E,raw_data!$A:$A,"&gt;="&amp;$B$42,raw_data!$A:$A,"&lt;="&amp;$C$42,raw_data!$D:$D,"Primary_Walkin",raw_data!$F:$F,"Fake Lead",raw_data!$C:$C,$AP$1)</f>
        <v>4</v>
      </c>
      <c r="AR44" s="29">
        <f>sumifs(raw_data!$E:$E,raw_data!$A:$A,"&gt;="&amp;$B$42,raw_data!$A:$A,"&lt;="&amp;$C$42,raw_data!$D:$D,"Secondary_Walkin",raw_data!$F:$F,"Fake Lead",raw_data!$C:$C,$AP$1)</f>
        <v>0</v>
      </c>
      <c r="AS44" s="29">
        <f>sumifs(raw_data!$E:$E,raw_data!$A:$A,"&gt;="&amp;$B$42,raw_data!$A:$A,"&lt;="&amp;$C$42,raw_data!$G:$G,"GS Foundation",raw_data!$F:$F,"Fake Lead",raw_data!$C:$C,$AP$1)</f>
        <v>3</v>
      </c>
      <c r="AT44" s="29">
        <f>SUMIFS(raw_data!$E:$E,raw_data!$A:$A,"&gt;="&amp;$B$42,raw_data!$A:$A,"&lt;="&amp;$C$42,raw_data!$F:$F,"Fake Lead",raw_data!$C:$C,$AP$1) - sumifs(raw_data!$E:$E,raw_data!$A:$A,"&gt;="&amp;$B$42,raw_data!$A:$A,"&lt;="&amp;$C$42,raw_data!$G:$G,"GS Foundation",raw_data!$F:$F,"Fake Lead",raw_data!$C:$C,$AP$1)</f>
        <v>1</v>
      </c>
      <c r="AU44" s="42">
        <f>sumifs(raw_data!$Z:$Z,raw_data!$T:$T,"&gt;="&amp;$B$42,raw_data!$T:$T,"&lt;="&amp;$C$42,raw_data!$U:$U,"Telephony",raw_data!$Y:$Y,$AP$1,raw_data!$AA:$AA,"Fake Lead")</f>
        <v>0</v>
      </c>
      <c r="AV44" s="29">
        <f>sumifs(raw_data!$Z:$Z,raw_data!$T:$T,"&gt;="&amp;$B$42,raw_data!$T:$T,"&lt;="&amp;$C$42 ,raw_data!$U:$U,"Paid Ads",raw_data!$Y:$Y,$AP$1,raw_data!$AA:$AA,"Fake Lead")</f>
        <v>0</v>
      </c>
      <c r="AW44" s="29"/>
      <c r="AX44" s="29">
        <f>sumifs(raw_data!$Z:$Z,raw_data!$T:$T,"&gt;="&amp;$B$42,raw_data!$T:$T,"&lt;="&amp;$C$42,raw_data!$U:$U,"External Leads",raw_data!$Y:$Y,$AP$1,raw_data!$AA:$AA,"Fake Lead")</f>
        <v>0</v>
      </c>
      <c r="AY44" s="81"/>
      <c r="AZ44" s="41">
        <f>SUMIFS(raw_data!$E:$E,raw_data!$A:$A,"&gt;="&amp;$B$42,raw_data!$A:$A,"&lt;="&amp;$C$42,raw_data!$F:$F,"Fake Lead",raw_data!$C:$C,$AZ$1)</f>
        <v>4</v>
      </c>
      <c r="BA44" s="29">
        <f>sumifs(raw_data!$E:$E,raw_data!$A:$A,"&gt;="&amp;$B$42,raw_data!$A:$A,"&lt;="&amp;$C$42,raw_data!$D:$D,"Primary_Walkin",raw_data!$F:$F,"Fake Lead",raw_data!$C:$C,$AZ$1)</f>
        <v>4</v>
      </c>
      <c r="BB44" s="29">
        <f>sumifs(raw_data!$E:$E,raw_data!$A:$A,"&gt;="&amp;$B$42,raw_data!$A:$A,"&lt;="&amp;$C$42,raw_data!$D:$D,"Secondary_Walkin",raw_data!$F:$F,"Fake Lead",raw_data!$C:$C,$AZ$1)</f>
        <v>0</v>
      </c>
      <c r="BC44" s="29">
        <f>sumifs(raw_data!$E:$E,raw_data!$A:$A,"&gt;="&amp;$B$42,raw_data!$A:$A,"&lt;="&amp;$C$42,raw_data!$G:$G,"GS Foundation",raw_data!$F:$F,"Fake Lead",raw_data!$C:$C,$AZ$1)</f>
        <v>1</v>
      </c>
      <c r="BD44" s="29">
        <f>SUMIFS(raw_data!$E:$E,raw_data!$A:$A,"&gt;="&amp;$B$42,raw_data!$A:$A,"&lt;="&amp;$C$42,raw_data!$F:$F,"Fake Lead",raw_data!$C:$C,$AZ$1) - sumifs(raw_data!$E:$E,raw_data!$A:$A,"&gt;="&amp;$B$42,raw_data!$A:$A,"&lt;="&amp;$C$42,raw_data!$G:$G,"GS Foundation",raw_data!$F:$F,"Fake Lead",raw_data!$C:$C,$AZ$1)</f>
        <v>3</v>
      </c>
      <c r="BE44" s="42">
        <f>sumifs(raw_data!$Z:$Z,raw_data!$T:$T,"&gt;="&amp;$B$42,raw_data!$T:$T,"&lt;="&amp;$C$42,raw_data!$U:$U,"Telephony",raw_data!$Y:$Y,$AZ$1,raw_data!$AA:$AA,"Fake Lead")</f>
        <v>20</v>
      </c>
      <c r="BF44" s="29">
        <f>sumifs(raw_data!$Z:$Z,raw_data!$T:$T,"&gt;="&amp;$B$42,raw_data!$T:$T,"&lt;="&amp;$C$42 ,raw_data!$U:$U,"Paid Ads",raw_data!$Y:$Y,$AZ$1,raw_data!$AA:$AA,"Fake Lead")</f>
        <v>2</v>
      </c>
      <c r="BG44" s="29"/>
      <c r="BH44" s="29">
        <f>sumifs(raw_data!$Z:$Z,raw_data!$T:$T,"&gt;="&amp;$B$42,raw_data!$T:$T,"&lt;="&amp;$C$42,raw_data!$U:$U,"External Leads",raw_data!$Y:$Y,$AZ$1,raw_data!$AA:$AA,"Fake Lead")</f>
        <v>0</v>
      </c>
      <c r="BI44" s="82"/>
    </row>
    <row r="45">
      <c r="A45" s="40" t="s">
        <v>50</v>
      </c>
      <c r="B45" s="41">
        <f>SUMIFS(raw_data!$E:$E,raw_data!$A:$A,"&gt;="&amp;$B$42,raw_data!$A:$A,"&lt;="&amp;$C$42,raw_data!$F:$F,"Cold")</f>
        <v>597</v>
      </c>
      <c r="C45" s="29">
        <f>sumifs(raw_data!$E:$E,raw_data!$A:$A,"&gt;="&amp;$B$42,raw_data!$A:$A,"&lt;="&amp;$C$42,raw_data!$D:$D,"Primary_Walkin",raw_data!$F:$F,"Cold")</f>
        <v>549</v>
      </c>
      <c r="D45" s="29">
        <f>sumifs(raw_data!$E:$E,raw_data!$A:$A,"&gt;="&amp;$B$42,raw_data!$A:$A,"&lt;="&amp;$C$42,raw_data!$D:$D,"Secondary_Walkin",raw_data!$F:$F,"Cold")</f>
        <v>48</v>
      </c>
      <c r="E45" s="29">
        <f>sumifs(raw_data!$E:$E,raw_data!$A:$A,"&gt;="&amp;$B$42,raw_data!$A:$A,"&lt;="&amp;$C$42,raw_data!$G:$G,"GS Foundation",raw_data!$F:$F,"Cold")</f>
        <v>308</v>
      </c>
      <c r="F45" s="29">
        <f>SUMIFS(raw_data!$E:$E,raw_data!$A:$A,"&gt;="&amp;$B$42,raw_data!$A:$A,"&lt;="&amp;$C$42,raw_data!$F:$F,"Cold") - sumifs(raw_data!$E:$E,raw_data!$A:$A,"&gt;="&amp;$B$42,raw_data!$A:$A,"&lt;="&amp;$C$42,raw_data!$G:$G,"GS Foundation",raw_data!$F:$F,"Cold")</f>
        <v>289</v>
      </c>
      <c r="G45" s="42">
        <f>sumifs(raw_data!$Z:$Z,raw_data!$T:$T,"&gt;="&amp;$B$42,raw_data!$T:$T,"&lt;="&amp;$C$42,raw_data!$U:$U,"Telephony",raw_data!$AA:$AA,"Cold")</f>
        <v>288</v>
      </c>
      <c r="H45" s="29">
        <f>sumifs(raw_data!$Z:$Z,raw_data!$T:$T,"&gt;="&amp;$B$42,raw_data!$T:$T,"&lt;="&amp;$C$42 ,raw_data!$U:$U,"Paid Ads",raw_data!$AA:$AA,"Cold")</f>
        <v>172</v>
      </c>
      <c r="I45" s="29"/>
      <c r="J45" s="29">
        <f>sumifs(raw_data!$Z:$Z,raw_data!$T:$T,"&gt;="&amp;$B$42,raw_data!$T:$T,"&lt;="&amp;$C$42,raw_data!$U:$U,"External Leads",raw_data!$AA:$AA,"Cold")</f>
        <v>572</v>
      </c>
      <c r="K45" s="79"/>
      <c r="L45" s="41">
        <f>SUMIFS(raw_data!$E:$E,raw_data!$A:$A,"&gt;="&amp;$B$42,raw_data!$A:$A,"&lt;="&amp;$C$42,raw_data!$F:$F,"Cold",raw_data!$C:$C,$L$1)</f>
        <v>163</v>
      </c>
      <c r="M45" s="29">
        <f>sumifs(raw_data!$E:$E,raw_data!$A:$A,"&gt;="&amp;$B$42,raw_data!$A:$A,"&lt;="&amp;$C$42,raw_data!$D:$D,"Primary_Walkin",raw_data!$F:$F,"Cold",raw_data!$C:$C,$L$1)</f>
        <v>151</v>
      </c>
      <c r="N45" s="29">
        <f>sumifs(raw_data!$E:$E,raw_data!$A:$A,"&gt;="&amp;$B$42,raw_data!$A:$A,"&lt;="&amp;$C$42,raw_data!$D:$D,"Secondary_Walkin",raw_data!$F:$F,"Cold",raw_data!$C:$C,$L$1)</f>
        <v>12</v>
      </c>
      <c r="O45" s="29">
        <f>sumifs(raw_data!$E:$E,raw_data!$A:$A,"&gt;="&amp;$B$42,raw_data!$A:$A,"&lt;="&amp;$C$42,raw_data!$G:$G,"GS Foundation",raw_data!$F:$F,"Cold",raw_data!$C:$C,$L$1)</f>
        <v>142</v>
      </c>
      <c r="P45" s="29">
        <f>SUMIFS(raw_data!$E:$E,raw_data!$A:$A,"&gt;="&amp;$B$42,raw_data!$A:$A,"&lt;="&amp;$C$42,raw_data!$F:$F,"Cold",raw_data!$C:$C,$L$1) - sumifs(raw_data!$E:$E,raw_data!$A:$A,"&gt;="&amp;$B$42,raw_data!$A:$A,"&lt;="&amp;$C$42,raw_data!$G:$G,"GS Foundation",raw_data!$F:$F,"Cold",raw_data!$C:$C,$L$1)</f>
        <v>21</v>
      </c>
      <c r="Q45" s="42">
        <f>sumifs(raw_data!$Z:$Z,raw_data!$T:$T,"&gt;="&amp;$B$42,raw_data!$T:$T,"&lt;="&amp;$C$42,raw_data!$U:$U,"Telephony",raw_data!$Y:$Y,$L$1,raw_data!$AA:$AA,"Cold")</f>
        <v>56</v>
      </c>
      <c r="R45" s="29">
        <f>sumifs(raw_data!$Z:$Z,raw_data!$T:$T,"&gt;="&amp;$B$42,raw_data!$T:$T,"&lt;="&amp;$C$42 ,raw_data!$U:$U,"Paid Ads",raw_data!$Y:$Y,$L$1,raw_data!$AA:$AA,"Cold")</f>
        <v>49</v>
      </c>
      <c r="S45" s="29"/>
      <c r="T45" s="29">
        <f>sumifs(raw_data!$Z:$Z,raw_data!$T:$T,"&gt;="&amp;$B$42,raw_data!$T:$T,"&lt;="&amp;$C$42,raw_data!$U:$U,"External Leads",raw_data!$Y:$Y,$L$1,raw_data!$AA:$AA,"Cold")</f>
        <v>156</v>
      </c>
      <c r="U45" s="70"/>
      <c r="V45" s="41">
        <f>SUMIFS(raw_data!$E:$E,raw_data!$A:$A,"&gt;="&amp;$B$42,raw_data!$A:$A,"&lt;="&amp;$C$42,raw_data!$F:$F,"Cold",raw_data!$C:$C,$V$1)</f>
        <v>170</v>
      </c>
      <c r="W45" s="29">
        <f>sumifs(raw_data!$E:$E,raw_data!$A:$A,"&gt;="&amp;$B$42,raw_data!$A:$A,"&lt;="&amp;$C$42,raw_data!$D:$D,"Primary_Walkin",raw_data!$F:$F,"Cold",raw_data!$C:$C,$V$1)</f>
        <v>160</v>
      </c>
      <c r="X45" s="29">
        <f>sumifs(raw_data!$E:$E,raw_data!$A:$A,"&gt;="&amp;$B$42,raw_data!$A:$A,"&lt;="&amp;$C$42,raw_data!$D:$D,"Secondary_Walkin",raw_data!$F:$F,"Cold",raw_data!$C:$C,$V$1)</f>
        <v>10</v>
      </c>
      <c r="Y45" s="29">
        <f>sumifs(raw_data!$E:$E,raw_data!$A:$A,"&gt;="&amp;$B$42,raw_data!$A:$A,"&lt;="&amp;$C$42,raw_data!$G:$G,"GS Foundation",raw_data!$F:$F,"Cold",raw_data!$C:$C,$V$1)</f>
        <v>53</v>
      </c>
      <c r="Z45" s="29">
        <f>SUMIFS(raw_data!$E:$E,raw_data!$A:$A,"&gt;="&amp;$B$42,raw_data!$A:$A,"&lt;="&amp;$C$42,raw_data!$F:$F,"Cold",raw_data!$C:$C,$V$1) - sumifs(raw_data!$E:$E,raw_data!$A:$A,"&gt;="&amp;$B$42,raw_data!$A:$A,"&lt;="&amp;$C$42,raw_data!$G:$G,"GS Foundation",raw_data!$F:$F,"Cold",raw_data!$C:$C,$V$1)</f>
        <v>117</v>
      </c>
      <c r="AA45" s="42">
        <f>sumifs(raw_data!$Z:$Z,raw_data!$T:$T,"&gt;="&amp;$B$42,raw_data!$T:$T,"&lt;="&amp;$C$42,raw_data!$U:$U,"Telephony",raw_data!$Y:$Y,$V$1,raw_data!$AA:$AA,"Cold")</f>
        <v>7</v>
      </c>
      <c r="AB45" s="29">
        <f>sumifs(raw_data!$Z:$Z,raw_data!$T:$T,"&gt;="&amp;$B$42,raw_data!$T:$T,"&lt;="&amp;$C$42 ,raw_data!$U:$U,"Paid Ads",raw_data!$Y:$Y,$V$1,raw_data!$AA:$AA,"Cold")</f>
        <v>0</v>
      </c>
      <c r="AC45" s="29"/>
      <c r="AD45" s="29">
        <f>sumifs(raw_data!$Z:$Z,raw_data!$T:$T,"&gt;="&amp;$B$42,raw_data!$T:$T,"&lt;="&amp;$C$42,raw_data!$U:$U,"External Leads",raw_data!$Y:$Y,$V$1,raw_data!$AA:$AA,"Cold")</f>
        <v>0</v>
      </c>
      <c r="AE45" s="79"/>
      <c r="AF45" s="41">
        <f>SUMIFS(raw_data!$E:$E,raw_data!$A:$A,"&gt;="&amp;$B$42,raw_data!$A:$A,"&lt;="&amp;$C$42,raw_data!$F:$F,"Cold",raw_data!$C:$C,$AF$1)</f>
        <v>50</v>
      </c>
      <c r="AG45" s="29">
        <f>sumifs(raw_data!$E:$E,raw_data!$A:$A,"&gt;="&amp;$B$42,raw_data!$A:$A,"&lt;="&amp;$C$42,raw_data!$D:$D,"Primary_Walkin",raw_data!$F:$F,"Cold",raw_data!$C:$C,$AF$1)</f>
        <v>45</v>
      </c>
      <c r="AH45" s="29">
        <f>sumifs(raw_data!$E:$E,raw_data!$A:$A,"&gt;="&amp;$B$42,raw_data!$A:$A,"&lt;="&amp;$C$42,raw_data!$D:$D,"Secondary_Walkin",raw_data!$F:$F,"Cold",raw_data!$C:$C,$AF$1)</f>
        <v>5</v>
      </c>
      <c r="AI45" s="29">
        <f>sumifs(raw_data!$E:$E,raw_data!$A:$A,"&gt;="&amp;$B$42,raw_data!$A:$A,"&lt;="&amp;$C$42,raw_data!$G:$G,"GS Foundation",raw_data!$F:$F,"Cold",raw_data!$C:$C,$AF$1)</f>
        <v>13</v>
      </c>
      <c r="AJ45" s="29">
        <f>SUMIFS(raw_data!$E:$E,raw_data!$A:$A,"&gt;="&amp;$B$42,raw_data!$A:$A,"&lt;="&amp;$C$42,raw_data!$F:$F,"Cold",raw_data!$C:$C,$AF$1) - sumifs(raw_data!$E:$E,raw_data!$A:$A,"&gt;="&amp;$B$42,raw_data!$A:$A,"&lt;="&amp;$C$42,raw_data!$G:$G,"GS Foundation",raw_data!$F:$F,"Cold",raw_data!$C:$C,$AF$1)</f>
        <v>37</v>
      </c>
      <c r="AK45" s="42">
        <f>sumifs(raw_data!$Z:$Z,raw_data!$T:$T,"&gt;="&amp;$B$42,raw_data!$T:$T,"&lt;="&amp;$C$42,raw_data!$U:$U,"Telephony",raw_data!$Y:$Y,$AF$1,raw_data!$AA:$AA,"Cold")</f>
        <v>0</v>
      </c>
      <c r="AL45" s="29">
        <f>sumifs(raw_data!$Z:$Z,raw_data!$T:$T,"&gt;="&amp;$B$42,raw_data!$T:$T,"&lt;="&amp;$C$42 ,raw_data!$U:$U,"Paid Ads",raw_data!$Y:$Y,$AF$1,raw_data!$AA:$AA,"Cold")</f>
        <v>102</v>
      </c>
      <c r="AM45" s="29"/>
      <c r="AN45" s="29">
        <f>sumifs(raw_data!$Z:$Z,raw_data!$T:$T,"&gt;="&amp;$B$42,raw_data!$T:$T,"&lt;="&amp;$C$42,raw_data!$U:$U,"External Leads",raw_data!$Y:$Y,$AF$1,raw_data!$AA:$AA,"Cold")</f>
        <v>391</v>
      </c>
      <c r="AO45" s="81"/>
      <c r="AP45" s="41">
        <f>SUMIFS(raw_data!$E:$E,raw_data!$A:$A,"&gt;="&amp;$B$42,raw_data!$A:$A,"&lt;="&amp;$C$42,raw_data!$F:$F,"Cold",raw_data!$C:$C,$AP$1)</f>
        <v>139</v>
      </c>
      <c r="AQ45" s="29">
        <f>sumifs(raw_data!$E:$E,raw_data!$A:$A,"&gt;="&amp;$B$42,raw_data!$A:$A,"&lt;="&amp;$C$42,raw_data!$D:$D,"Primary_Walkin",raw_data!$F:$F,"Cold",raw_data!$C:$C,$AP$1)</f>
        <v>125</v>
      </c>
      <c r="AR45" s="29">
        <f>sumifs(raw_data!$E:$E,raw_data!$A:$A,"&gt;="&amp;$B$42,raw_data!$A:$A,"&lt;="&amp;$C$42,raw_data!$D:$D,"Secondary_Walkin",raw_data!$F:$F,"Cold",raw_data!$C:$C,$AP$1)</f>
        <v>14</v>
      </c>
      <c r="AS45" s="29">
        <f>sumifs(raw_data!$E:$E,raw_data!$A:$A,"&gt;="&amp;$B$42,raw_data!$A:$A,"&lt;="&amp;$C$42,raw_data!$G:$G,"GS Foundation",raw_data!$F:$F,"Cold",raw_data!$C:$C,$AP$1)</f>
        <v>84</v>
      </c>
      <c r="AT45" s="29">
        <f>SUMIFS(raw_data!$E:$E,raw_data!$A:$A,"&gt;="&amp;$B$42,raw_data!$A:$A,"&lt;="&amp;$C$42,raw_data!$F:$F,"Cold",raw_data!$C:$C,$AP$1) - sumifs(raw_data!$E:$E,raw_data!$A:$A,"&gt;="&amp;$B$42,raw_data!$A:$A,"&lt;="&amp;$C$42,raw_data!$G:$G,"GS Foundation",raw_data!$F:$F,"Cold",raw_data!$C:$C,$AP$1)</f>
        <v>55</v>
      </c>
      <c r="AU45" s="42">
        <f>sumifs(raw_data!$Z:$Z,raw_data!$T:$T,"&gt;="&amp;$B$42,raw_data!$T:$T,"&lt;="&amp;$C$42,raw_data!$U:$U,"Telephony",raw_data!$Y:$Y,$AP$1,raw_data!$AA:$AA,"Cold")</f>
        <v>8</v>
      </c>
      <c r="AV45" s="29">
        <f>sumifs(raw_data!$Z:$Z,raw_data!$T:$T,"&gt;="&amp;$B$42,raw_data!$T:$T,"&lt;="&amp;$C$42 ,raw_data!$U:$U,"Paid Ads",raw_data!$Y:$Y,$AP$1,raw_data!$AA:$AA,"Cold")</f>
        <v>2</v>
      </c>
      <c r="AW45" s="29"/>
      <c r="AX45" s="29">
        <f>sumifs(raw_data!$Z:$Z,raw_data!$T:$T,"&gt;="&amp;$B$42,raw_data!$T:$T,"&lt;="&amp;$C$42,raw_data!$U:$U,"External Leads",raw_data!$Y:$Y,$AP$1,raw_data!$AA:$AA,"Cold")</f>
        <v>0</v>
      </c>
      <c r="AY45" s="81"/>
      <c r="AZ45" s="41">
        <f>SUMIFS(raw_data!$E:$E,raw_data!$A:$A,"&gt;="&amp;$B$42,raw_data!$A:$A,"&lt;="&amp;$C$42,raw_data!$F:$F,"Cold",raw_data!$C:$C,$AZ$1)</f>
        <v>71</v>
      </c>
      <c r="BA45" s="29">
        <f>sumifs(raw_data!$E:$E,raw_data!$A:$A,"&gt;="&amp;$B$42,raw_data!$A:$A,"&lt;="&amp;$C$42,raw_data!$D:$D,"Primary_Walkin",raw_data!$F:$F,"Cold",raw_data!$C:$C,$AZ$1)</f>
        <v>65</v>
      </c>
      <c r="BB45" s="29">
        <f>sumifs(raw_data!$E:$E,raw_data!$A:$A,"&gt;="&amp;$B$42,raw_data!$A:$A,"&lt;="&amp;$C$42,raw_data!$D:$D,"Secondary_Walkin",raw_data!$F:$F,"Cold",raw_data!$C:$C,$AZ$1)</f>
        <v>6</v>
      </c>
      <c r="BC45" s="29">
        <f>sumifs(raw_data!$E:$E,raw_data!$A:$A,"&gt;="&amp;$B$42,raw_data!$A:$A,"&lt;="&amp;$C$42,raw_data!$G:$G,"GS Foundation",raw_data!$F:$F,"Cold",raw_data!$C:$C,$AZ$1)</f>
        <v>15</v>
      </c>
      <c r="BD45" s="29">
        <f>SUMIFS(raw_data!$E:$E,raw_data!$A:$A,"&gt;="&amp;$B$42,raw_data!$A:$A,"&lt;="&amp;$C$42,raw_data!$F:$F,"Cold",raw_data!$C:$C,$AZ$1) - sumifs(raw_data!$E:$E,raw_data!$A:$A,"&gt;="&amp;$B$42,raw_data!$A:$A,"&lt;="&amp;$C$42,raw_data!$G:$G,"GS Foundation",raw_data!$F:$F,"Cold",raw_data!$C:$C,$AZ$1)</f>
        <v>56</v>
      </c>
      <c r="BE45" s="42">
        <f>sumifs(raw_data!$Z:$Z,raw_data!$T:$T,"&gt;="&amp;$B$42,raw_data!$T:$T,"&lt;="&amp;$C$42,raw_data!$U:$U,"Telephony",raw_data!$Y:$Y,$AZ$1,raw_data!$AA:$AA,"Cold")</f>
        <v>32</v>
      </c>
      <c r="BF45" s="29">
        <f>sumifs(raw_data!$Z:$Z,raw_data!$T:$T,"&gt;="&amp;$B$42,raw_data!$T:$T,"&lt;="&amp;$C$42 ,raw_data!$U:$U,"Paid Ads",raw_data!$Y:$Y,$AZ$1,raw_data!$AA:$AA,"Cold")</f>
        <v>19</v>
      </c>
      <c r="BG45" s="29"/>
      <c r="BH45" s="29">
        <f>sumifs(raw_data!$Z:$Z,raw_data!$T:$T,"&gt;="&amp;$B$42,raw_data!$T:$T,"&lt;="&amp;$C$42,raw_data!$U:$U,"External Leads",raw_data!$Y:$Y,$AZ$1,raw_data!$AA:$AA,"Cold")</f>
        <v>21</v>
      </c>
      <c r="BI45" s="82"/>
    </row>
    <row r="46">
      <c r="A46" s="40" t="s">
        <v>51</v>
      </c>
      <c r="B46" s="41">
        <f>SUMIFS(raw_data!$E:$E,raw_data!$A:$A,"&gt;="&amp;$B$42,raw_data!$A:$A,"&lt;="&amp;$C$42,raw_data!$F:$F,"Warm")</f>
        <v>79</v>
      </c>
      <c r="C46" s="29">
        <f>sumifs(raw_data!$E:$E,raw_data!$A:$A,"&gt;="&amp;$B$42,raw_data!$A:$A,"&lt;="&amp;$C$42,raw_data!$D:$D,"Primary_Walkin",raw_data!$F:$F,"Warm")</f>
        <v>72</v>
      </c>
      <c r="D46" s="29">
        <f>sumifs(raw_data!$E:$E,raw_data!$A:$A,"&gt;="&amp;$B$42,raw_data!$A:$A,"&lt;="&amp;$C$42,raw_data!$D:$D,"Secondary_Walkin",raw_data!$F:$F,"Warm")</f>
        <v>7</v>
      </c>
      <c r="E46" s="29">
        <f>sumifs(raw_data!$E:$E,raw_data!$A:$A,"&gt;="&amp;$B$42,raw_data!$A:$A,"&lt;="&amp;$C$42,raw_data!$G:$G,"GS Foundation",raw_data!$F:$F,"Warm")</f>
        <v>44</v>
      </c>
      <c r="F46" s="29">
        <f>SUMIFS(raw_data!$E:$E,raw_data!$A:$A,"&gt;="&amp;$B$42,raw_data!$A:$A,"&lt;="&amp;$C$42,raw_data!$F:$F,"Warm") - sumifs(raw_data!$E:$E,raw_data!$A:$A,"&gt;="&amp;$B$42,raw_data!$A:$A,"&lt;="&amp;$C$42,raw_data!$G:$G,"GS Foundation",raw_data!$F:$F,"Warm")</f>
        <v>35</v>
      </c>
      <c r="G46" s="42">
        <f>sumifs(raw_data!$Z:$Z,raw_data!$T:$T,"&gt;="&amp;$B$42,raw_data!$T:$T,"&lt;="&amp;$C$42,raw_data!$U:$U,"Telephony",raw_data!$AA:$AA,"Warm")</f>
        <v>9</v>
      </c>
      <c r="H46" s="29">
        <f>sumifs(raw_data!$Z:$Z,raw_data!$T:$T,"&gt;="&amp;$B$42,raw_data!$T:$T,"&lt;="&amp;$C$42 ,raw_data!$U:$U,"Paid Ads",raw_data!$AA:$AA,"Warm")</f>
        <v>0</v>
      </c>
      <c r="I46" s="29"/>
      <c r="J46" s="29">
        <f>sumifs(raw_data!$Z:$Z,raw_data!$T:$T,"&gt;="&amp;$B$42,raw_data!$T:$T,"&lt;="&amp;$C$42,raw_data!$U:$U,"External Leads",raw_data!$AA:$AA,"Warm")</f>
        <v>4</v>
      </c>
      <c r="K46" s="79"/>
      <c r="L46" s="41">
        <f>SUMIFS(raw_data!$E:$E,raw_data!$A:$A,"&gt;="&amp;$B$42,raw_data!$A:$A,"&lt;="&amp;$C$42,raw_data!$F:$F,"Warm",raw_data!$C:$C,$L$1)</f>
        <v>14</v>
      </c>
      <c r="M46" s="29">
        <f>sumifs(raw_data!$E:$E,raw_data!$A:$A,"&gt;="&amp;$B$42,raw_data!$A:$A,"&lt;="&amp;$C$42,raw_data!$D:$D,"Primary_Walkin",raw_data!$F:$F,"Warm",raw_data!$C:$C,$L$1)</f>
        <v>12</v>
      </c>
      <c r="N46" s="29">
        <f>sumifs(raw_data!$E:$E,raw_data!$A:$A,"&gt;="&amp;$B$42,raw_data!$A:$A,"&lt;="&amp;$C$42,raw_data!$D:$D,"Secondary_Walkin",raw_data!$F:$F,"Warm",raw_data!$C:$C,$L$1)</f>
        <v>2</v>
      </c>
      <c r="O46" s="29">
        <f>sumifs(raw_data!$E:$E,raw_data!$A:$A,"&gt;="&amp;$B$42,raw_data!$A:$A,"&lt;="&amp;$C$42,raw_data!$G:$G,"GS Foundation",raw_data!$F:$F,"Warm",raw_data!$C:$C,$L$1)</f>
        <v>14</v>
      </c>
      <c r="P46" s="29">
        <f>SUMIFS(raw_data!$E:$E,raw_data!$A:$A,"&gt;="&amp;$B$42,raw_data!$A:$A,"&lt;="&amp;$C$42,raw_data!$F:$F,"Warm",raw_data!$C:$C,$L$1) - sumifs(raw_data!$E:$E,raw_data!$A:$A,"&gt;="&amp;$B$42,raw_data!$A:$A,"&lt;="&amp;$C$42,raw_data!$G:$G,"GS Foundation",raw_data!$F:$F,"Warm",raw_data!$C:$C,$L$1)</f>
        <v>0</v>
      </c>
      <c r="Q46" s="42">
        <f>sumifs(raw_data!$Z:$Z,raw_data!$T:$T,"&gt;="&amp;$B$42,raw_data!$T:$T,"&lt;="&amp;$C$42,raw_data!$U:$U,"Telephony",raw_data!$Y:$Y,$L$1,raw_data!$AA:$AA,"Warm")</f>
        <v>4</v>
      </c>
      <c r="R46" s="29">
        <f>sumifs(raw_data!$Z:$Z,raw_data!$T:$T,"&gt;="&amp;$B$42,raw_data!$T:$T,"&lt;="&amp;$C$42 ,raw_data!$U:$U,"Paid Ads",raw_data!$Y:$Y,$L$1,raw_data!$AA:$AA,"Warm")</f>
        <v>0</v>
      </c>
      <c r="S46" s="29"/>
      <c r="T46" s="29">
        <f>sumifs(raw_data!$Z:$Z,raw_data!$T:$T,"&gt;="&amp;$B$42,raw_data!$T:$T,"&lt;="&amp;$C$42,raw_data!$U:$U,"External Leads",raw_data!$Y:$Y,$L$1,raw_data!$AA:$AA,"Warm")</f>
        <v>0</v>
      </c>
      <c r="U46" s="70"/>
      <c r="V46" s="41">
        <f>SUMIFS(raw_data!$E:$E,raw_data!$A:$A,"&gt;="&amp;$B$42,raw_data!$A:$A,"&lt;="&amp;$C$42,raw_data!$F:$F,"Warm",raw_data!$C:$C,$V$1)</f>
        <v>27</v>
      </c>
      <c r="W46" s="29">
        <f>sumifs(raw_data!$E:$E,raw_data!$A:$A,"&gt;="&amp;$B$42,raw_data!$A:$A,"&lt;="&amp;$C$42,raw_data!$D:$D,"Primary_Walkin",raw_data!$F:$F,"Warm",raw_data!$C:$C,$V$1)</f>
        <v>26</v>
      </c>
      <c r="X46" s="29">
        <f>sumifs(raw_data!$E:$E,raw_data!$A:$A,"&gt;="&amp;$B$42,raw_data!$A:$A,"&lt;="&amp;$C$42,raw_data!$D:$D,"Secondary_Walkin",raw_data!$F:$F,"Warm",raw_data!$C:$C,$V$1)</f>
        <v>1</v>
      </c>
      <c r="Y46" s="29">
        <f>sumifs(raw_data!$E:$E,raw_data!$A:$A,"&gt;="&amp;$B$42,raw_data!$A:$A,"&lt;="&amp;$C$42,raw_data!$G:$G,"GS Foundation",raw_data!$F:$F,"Warm",raw_data!$C:$C,$V$1)</f>
        <v>10</v>
      </c>
      <c r="Z46" s="29">
        <f>SUMIFS(raw_data!$E:$E,raw_data!$A:$A,"&gt;="&amp;$B$42,raw_data!$A:$A,"&lt;="&amp;$C$42,raw_data!$F:$F,"Warm",raw_data!$C:$C,$V$1) - sumifs(raw_data!$E:$E,raw_data!$A:$A,"&gt;="&amp;$B$42,raw_data!$A:$A,"&lt;="&amp;$C$42,raw_data!$G:$G,"GS Foundation",raw_data!$F:$F,"Warm",raw_data!$C:$C,$V$1)</f>
        <v>17</v>
      </c>
      <c r="AA46" s="42">
        <f>sumifs(raw_data!$Z:$Z,raw_data!$T:$T,"&gt;="&amp;$B$42,raw_data!$T:$T,"&lt;="&amp;$C$42,raw_data!$U:$U,"Telephony",raw_data!$Y:$Y,$V$1,raw_data!$AA:$AA,"Warm")</f>
        <v>2</v>
      </c>
      <c r="AB46" s="29">
        <f>sumifs(raw_data!$Z:$Z,raw_data!$T:$T,"&gt;="&amp;$B$42,raw_data!$T:$T,"&lt;="&amp;$C$42 ,raw_data!$U:$U,"Paid Ads",raw_data!$Y:$Y,$V$1,raw_data!$AA:$AA,"Warm")</f>
        <v>0</v>
      </c>
      <c r="AC46" s="29"/>
      <c r="AD46" s="29">
        <f>sumifs(raw_data!$Z:$Z,raw_data!$T:$T,"&gt;="&amp;$B$42,raw_data!$T:$T,"&lt;="&amp;$C$42,raw_data!$U:$U,"External Leads",raw_data!$Y:$Y,$V$1,raw_data!$AA:$AA,"Warm")</f>
        <v>0</v>
      </c>
      <c r="AE46" s="79"/>
      <c r="AF46" s="41">
        <f>SUMIFS(raw_data!$E:$E,raw_data!$A:$A,"&gt;="&amp;$B$42,raw_data!$A:$A,"&lt;="&amp;$C$42,raw_data!$F:$F,"Warm",raw_data!$C:$C,$AF$1)</f>
        <v>3</v>
      </c>
      <c r="AG46" s="29">
        <f>sumifs(raw_data!$E:$E,raw_data!$A:$A,"&gt;="&amp;$B$42,raw_data!$A:$A,"&lt;="&amp;$C$42,raw_data!$D:$D,"Primary_Walkin",raw_data!$F:$F,"Warm",raw_data!$C:$C,$AF$1)</f>
        <v>2</v>
      </c>
      <c r="AH46" s="29">
        <f>sumifs(raw_data!$E:$E,raw_data!$A:$A,"&gt;="&amp;$B$42,raw_data!$A:$A,"&lt;="&amp;$C$42,raw_data!$D:$D,"Secondary_Walkin",raw_data!$F:$F,"Warm",raw_data!$C:$C,$AF$1)</f>
        <v>1</v>
      </c>
      <c r="AI46" s="29">
        <f>sumifs(raw_data!$E:$E,raw_data!$A:$A,"&gt;="&amp;$B$42,raw_data!$A:$A,"&lt;="&amp;$C$42,raw_data!$G:$G,"GS Foundation",raw_data!$F:$F,"Warm",raw_data!$C:$C,$AF$1)</f>
        <v>2</v>
      </c>
      <c r="AJ46" s="29">
        <f>SUMIFS(raw_data!$E:$E,raw_data!$A:$A,"&gt;="&amp;$B$42,raw_data!$A:$A,"&lt;="&amp;$C$42,raw_data!$F:$F,"Warm",raw_data!$C:$C,$AF$1) - sumifs(raw_data!$E:$E,raw_data!$A:$A,"&gt;="&amp;$B$42,raw_data!$A:$A,"&lt;="&amp;$C$42,raw_data!$G:$G,"GS Foundation",raw_data!$F:$F,"Warm",raw_data!$C:$C,$AF$1)</f>
        <v>1</v>
      </c>
      <c r="AK46" s="42">
        <f>sumifs(raw_data!$Z:$Z,raw_data!$T:$T,"&gt;="&amp;$B$42,raw_data!$T:$T,"&lt;="&amp;$C$42,raw_data!$U:$U,"Telephony",raw_data!$Y:$Y,$AF$1,raw_data!$AA:$AA,"Warm")</f>
        <v>1</v>
      </c>
      <c r="AL46" s="29">
        <f>sumifs(raw_data!$Z:$Z,raw_data!$T:$T,"&gt;="&amp;$B$42,raw_data!$T:$T,"&lt;="&amp;$C$42 ,raw_data!$U:$U,"Paid Ads",raw_data!$Y:$Y,$AF$1,raw_data!$AA:$AA,"Warm")</f>
        <v>0</v>
      </c>
      <c r="AM46" s="29"/>
      <c r="AN46" s="29">
        <f>sumifs(raw_data!$Z:$Z,raw_data!$T:$T,"&gt;="&amp;$B$42,raw_data!$T:$T,"&lt;="&amp;$C$42,raw_data!$U:$U,"External Leads",raw_data!$Y:$Y,$AF$1,raw_data!$AA:$AA,"Warm")</f>
        <v>2</v>
      </c>
      <c r="AO46" s="81"/>
      <c r="AP46" s="41">
        <f>SUMIFS(raw_data!$E:$E,raw_data!$A:$A,"&gt;="&amp;$B$42,raw_data!$A:$A,"&lt;="&amp;$C$42,raw_data!$F:$F,"Warm",raw_data!$C:$C,$AP$1)</f>
        <v>26</v>
      </c>
      <c r="AQ46" s="29">
        <f>sumifs(raw_data!$E:$E,raw_data!$A:$A,"&gt;="&amp;$B$42,raw_data!$A:$A,"&lt;="&amp;$C$42,raw_data!$D:$D,"Primary_Walkin",raw_data!$F:$F,"Warm",raw_data!$C:$C,$AP$1)</f>
        <v>25</v>
      </c>
      <c r="AR46" s="29">
        <f>sumifs(raw_data!$E:$E,raw_data!$A:$A,"&gt;="&amp;$B$42,raw_data!$A:$A,"&lt;="&amp;$C$42,raw_data!$D:$D,"Secondary_Walkin",raw_data!$F:$F,"Warm",raw_data!$C:$C,$AP$1)</f>
        <v>1</v>
      </c>
      <c r="AS46" s="29">
        <f>sumifs(raw_data!$E:$E,raw_data!$A:$A,"&gt;="&amp;$B$42,raw_data!$A:$A,"&lt;="&amp;$C$42,raw_data!$G:$G,"GS Foundation",raw_data!$F:$F,"Warm",raw_data!$C:$C,$AP$1)</f>
        <v>17</v>
      </c>
      <c r="AT46" s="29">
        <f>SUMIFS(raw_data!$E:$E,raw_data!$A:$A,"&gt;="&amp;$B$42,raw_data!$A:$A,"&lt;="&amp;$C$42,raw_data!$F:$F,"Warm",raw_data!$C:$C,$AP$1) - sumifs(raw_data!$E:$E,raw_data!$A:$A,"&gt;="&amp;$B$42,raw_data!$A:$A,"&lt;="&amp;$C$42,raw_data!$G:$G,"GS Foundation",raw_data!$F:$F,"Warm",raw_data!$C:$C,$AP$1)</f>
        <v>9</v>
      </c>
      <c r="AU46" s="42">
        <f>sumifs(raw_data!$Z:$Z,raw_data!$T:$T,"&gt;="&amp;$B$42,raw_data!$T:$T,"&lt;="&amp;$C$42,raw_data!$U:$U,"Telephony",raw_data!$Y:$Y,$AP$1,raw_data!$AA:$AA,"Warm")</f>
        <v>0</v>
      </c>
      <c r="AV46" s="29">
        <f>sumifs(raw_data!$Z:$Z,raw_data!$T:$T,"&gt;="&amp;$B$42,raw_data!$T:$T,"&lt;="&amp;$C$42 ,raw_data!$U:$U,"Paid Ads",raw_data!$Y:$Y,$AP$1,raw_data!$AA:$AA,"Warm")</f>
        <v>0</v>
      </c>
      <c r="AW46" s="29"/>
      <c r="AX46" s="29">
        <f>sumifs(raw_data!$Z:$Z,raw_data!$T:$T,"&gt;="&amp;$B$42,raw_data!$T:$T,"&lt;="&amp;$C$42,raw_data!$U:$U,"External Leads",raw_data!$Y:$Y,$AP$1,raw_data!$AA:$AA,"Warm")</f>
        <v>2</v>
      </c>
      <c r="AY46" s="81"/>
      <c r="AZ46" s="41">
        <f>SUMIFS(raw_data!$E:$E,raw_data!$A:$A,"&gt;="&amp;$B$42,raw_data!$A:$A,"&lt;="&amp;$C$42,raw_data!$F:$F,"Warm",raw_data!$C:$C,$AZ$1)</f>
        <v>8</v>
      </c>
      <c r="BA46" s="29">
        <f>sumifs(raw_data!$E:$E,raw_data!$A:$A,"&gt;="&amp;$B$42,raw_data!$A:$A,"&lt;="&amp;$C$42,raw_data!$D:$D,"Primary_Walkin",raw_data!$F:$F,"Warm",raw_data!$C:$C,$AZ$1)</f>
        <v>6</v>
      </c>
      <c r="BB46" s="29">
        <f>sumifs(raw_data!$E:$E,raw_data!$A:$A,"&gt;="&amp;$B$42,raw_data!$A:$A,"&lt;="&amp;$C$42,raw_data!$D:$D,"Secondary_Walkin",raw_data!$F:$F,"Warm",raw_data!$C:$C,$AZ$1)</f>
        <v>2</v>
      </c>
      <c r="BC46" s="29">
        <f>sumifs(raw_data!$E:$E,raw_data!$A:$A,"&gt;="&amp;$B$42,raw_data!$A:$A,"&lt;="&amp;$C$42,raw_data!$G:$G,"GS Foundation",raw_data!$F:$F,"Warm",raw_data!$C:$C,$AZ$1)</f>
        <v>0</v>
      </c>
      <c r="BD46" s="29">
        <f>SUMIFS(raw_data!$E:$E,raw_data!$A:$A,"&gt;="&amp;$B$42,raw_data!$A:$A,"&lt;="&amp;$C$42,raw_data!$F:$F,"Warm",raw_data!$C:$C,$AZ$1) - sumifs(raw_data!$E:$E,raw_data!$A:$A,"&gt;="&amp;$B$42,raw_data!$A:$A,"&lt;="&amp;$C$42,raw_data!$G:$G,"GS Foundation",raw_data!$F:$F,"Warm",raw_data!$C:$C,$AZ$1)</f>
        <v>8</v>
      </c>
      <c r="BE46" s="42">
        <f>sumifs(raw_data!$Z:$Z,raw_data!$T:$T,"&gt;="&amp;$B$42,raw_data!$T:$T,"&lt;="&amp;$C$42,raw_data!$U:$U,"Telephony",raw_data!$Y:$Y,$AZ$1,raw_data!$AA:$AA,"Warm")</f>
        <v>2</v>
      </c>
      <c r="BF46" s="29">
        <f>sumifs(raw_data!$Z:$Z,raw_data!$T:$T,"&gt;="&amp;$B$42,raw_data!$T:$T,"&lt;="&amp;$C$42 ,raw_data!$U:$U,"Paid Ads",raw_data!$Y:$Y,$AZ$1,raw_data!$AA:$AA,"Warm")</f>
        <v>0</v>
      </c>
      <c r="BG46" s="29"/>
      <c r="BH46" s="29">
        <f>sumifs(raw_data!$Z:$Z,raw_data!$T:$T,"&gt;="&amp;$B$42,raw_data!$T:$T,"&lt;="&amp;$C$42,raw_data!$U:$U,"External Leads",raw_data!$Y:$Y,$AZ$1,raw_data!$AA:$AA,"Warm")</f>
        <v>0</v>
      </c>
      <c r="BI46" s="82"/>
    </row>
    <row r="47">
      <c r="A47" s="40" t="s">
        <v>52</v>
      </c>
      <c r="B47" s="41">
        <f>SUMIFS(raw_data!$E:$E,raw_data!$A:$A,"&gt;="&amp;$B$42,raw_data!$A:$A,"&lt;="&amp;$C$42,raw_data!$F:$F,"Engaged")</f>
        <v>8</v>
      </c>
      <c r="C47" s="29">
        <f>sumifs(raw_data!$E:$E,raw_data!$A:$A,"&gt;="&amp;$B$42,raw_data!$A:$A,"&lt;="&amp;$C$42,raw_data!$D:$D,"Primary_Walkin",raw_data!$F:$F,"Engaged")</f>
        <v>2</v>
      </c>
      <c r="D47" s="29">
        <f>sumifs(raw_data!$E:$E,raw_data!$A:$A,"&gt;="&amp;$B$42,raw_data!$A:$A,"&lt;="&amp;$C$42,raw_data!$D:$D,"Secondary_Walkin",raw_data!$F:$F,"Engaged")</f>
        <v>6</v>
      </c>
      <c r="E47" s="29">
        <f>sumifs(raw_data!$E:$E,raw_data!$A:$A,"&gt;="&amp;$B$42,raw_data!$A:$A,"&lt;="&amp;$C$42,raw_data!$G:$G,"GS Foundation",raw_data!$F:$F,"Engaged")</f>
        <v>7</v>
      </c>
      <c r="F47" s="29">
        <f>SUMIFS(raw_data!$E:$E,raw_data!$A:$A,"&gt;="&amp;$B$42,raw_data!$A:$A,"&lt;="&amp;$C$42,raw_data!$F:$F,"Engaged") - sumifs(raw_data!$E:$E,raw_data!$A:$A,"&gt;="&amp;$B$42,raw_data!$A:$A,"&lt;="&amp;$C$42,raw_data!$G:$G,"GS Foundation",raw_data!$F:$F,"Engaged")</f>
        <v>1</v>
      </c>
      <c r="G47" s="42">
        <f>sumifs(raw_data!$Z:$Z,raw_data!$T:$T,"&gt;="&amp;$B$42,raw_data!$T:$T,"&lt;="&amp;$C$42,raw_data!$U:$U,"Telephony",raw_data!$AA:$AA,"Engaged")</f>
        <v>0</v>
      </c>
      <c r="H47" s="29">
        <f>sumifs(raw_data!$Z:$Z,raw_data!$T:$T,"&gt;="&amp;$B$42,raw_data!$T:$T,"&lt;="&amp;$C$42 ,raw_data!$U:$U,"Paid Ads",raw_data!$AA:$AA,"Engaged")</f>
        <v>0</v>
      </c>
      <c r="I47" s="29"/>
      <c r="J47" s="29">
        <f>sumifs(raw_data!$Z:$Z,raw_data!$T:$T,"&gt;="&amp;$B$42,raw_data!$T:$T,"&lt;="&amp;$C$42,raw_data!$U:$U,"External Leads",raw_data!$AA:$AA,"Engaged")</f>
        <v>0</v>
      </c>
      <c r="K47" s="79"/>
      <c r="L47" s="41">
        <f>SUMIFS(raw_data!$E:$E,raw_data!$A:$A,"&gt;="&amp;$B$42,raw_data!$A:$A,"&lt;="&amp;$C$42,raw_data!$F:$F,"Engaged",raw_data!$C:$C,$L$1)</f>
        <v>6</v>
      </c>
      <c r="M47" s="29">
        <f>sumifs(raw_data!$E:$E,raw_data!$A:$A,"&gt;="&amp;$B$42,raw_data!$A:$A,"&lt;="&amp;$C$42,raw_data!$D:$D,"Primary_Walkin",raw_data!$F:$F,"Engaged",raw_data!$C:$C,$L$1)</f>
        <v>0</v>
      </c>
      <c r="N47" s="29">
        <f>sumifs(raw_data!$E:$E,raw_data!$A:$A,"&gt;="&amp;$B$42,raw_data!$A:$A,"&lt;="&amp;$C$42,raw_data!$D:$D,"Secondary_Walkin",raw_data!$F:$F,"Engaged",raw_data!$C:$C,$L$1)</f>
        <v>6</v>
      </c>
      <c r="O47" s="29">
        <f>sumifs(raw_data!$E:$E,raw_data!$A:$A,"&gt;="&amp;$B$42,raw_data!$A:$A,"&lt;="&amp;$C$42,raw_data!$G:$G,"GS Foundation",raw_data!$F:$F,"Engaged",raw_data!$C:$C,$L$1)</f>
        <v>5</v>
      </c>
      <c r="P47" s="29">
        <f>SUMIFS(raw_data!$E:$E,raw_data!$A:$A,"&gt;="&amp;$B$42,raw_data!$A:$A,"&lt;="&amp;$C$42,raw_data!$F:$F,"Engaged",raw_data!$C:$C,$L$1) - sumifs(raw_data!$E:$E,raw_data!$A:$A,"&gt;="&amp;$B$42,raw_data!$A:$A,"&lt;="&amp;$C$42,raw_data!$G:$G,"GS Foundation",raw_data!$F:$F,"Engaged",raw_data!$C:$C,$L$1)</f>
        <v>1</v>
      </c>
      <c r="Q47" s="42">
        <f>sumifs(raw_data!$Z:$Z,raw_data!$T:$T,"&gt;="&amp;$B$42,raw_data!$T:$T,"&lt;="&amp;$C$42,raw_data!$U:$U,"Telephony",raw_data!$Y:$Y,$L$1,raw_data!$AA:$AA,"Engaged")</f>
        <v>0</v>
      </c>
      <c r="R47" s="29">
        <f>sumifs(raw_data!$Z:$Z,raw_data!$T:$T,"&gt;="&amp;$B$42,raw_data!$T:$T,"&lt;="&amp;$C$42 ,raw_data!$U:$U,"Paid Ads",raw_data!$Y:$Y,$L$1,raw_data!$AA:$AA,"Engaged")</f>
        <v>0</v>
      </c>
      <c r="S47" s="29"/>
      <c r="T47" s="29">
        <f>sumifs(raw_data!$Z:$Z,raw_data!$T:$T,"&gt;="&amp;$B$42,raw_data!$T:$T,"&lt;="&amp;$C$42,raw_data!$U:$U,"External Leads",raw_data!$Y:$Y,$L$1,raw_data!$AA:$AA,"Engaged")</f>
        <v>0</v>
      </c>
      <c r="U47" s="70"/>
      <c r="V47" s="41">
        <f>SUMIFS(raw_data!$E:$E,raw_data!$A:$A,"&gt;="&amp;$B$42,raw_data!$A:$A,"&lt;="&amp;$C$42,raw_data!$F:$F,"Engaged",raw_data!$C:$C,$V$1)</f>
        <v>0</v>
      </c>
      <c r="W47" s="29">
        <f>sumifs(raw_data!$E:$E,raw_data!$A:$A,"&gt;="&amp;$B$42,raw_data!$A:$A,"&lt;="&amp;$C$42,raw_data!$D:$D,"Primary_Walkin",raw_data!$F:$F,"Engaged",raw_data!$C:$C,$V$1)</f>
        <v>0</v>
      </c>
      <c r="X47" s="29">
        <f>sumifs(raw_data!$E:$E,raw_data!$A:$A,"&gt;="&amp;$B$42,raw_data!$A:$A,"&lt;="&amp;$C$42,raw_data!$D:$D,"Secondary_Walkin",raw_data!$F:$F,"Engaged",raw_data!$C:$C,$V$1)</f>
        <v>0</v>
      </c>
      <c r="Y47" s="29">
        <f>sumifs(raw_data!$E:$E,raw_data!$A:$A,"&gt;="&amp;$B$42,raw_data!$A:$A,"&lt;="&amp;$C$42,raw_data!$G:$G,"GS Foundation",raw_data!$F:$F,"Engaged",raw_data!$C:$C,$V$1)</f>
        <v>0</v>
      </c>
      <c r="Z47" s="29">
        <f>SUMIFS(raw_data!$E:$E,raw_data!$A:$A,"&gt;="&amp;$B$42,raw_data!$A:$A,"&lt;="&amp;$C$42,raw_data!$F:$F,"Engaged",raw_data!$C:$C,$V$1) - sumifs(raw_data!$E:$E,raw_data!$A:$A,"&gt;="&amp;$B$42,raw_data!$A:$A,"&lt;="&amp;$C$42,raw_data!$G:$G,"GS Foundation",raw_data!$F:$F,"Engaged",raw_data!$C:$C,$V$1)</f>
        <v>0</v>
      </c>
      <c r="AA47" s="42">
        <f>sumifs(raw_data!$Z:$Z,raw_data!$T:$T,"&gt;="&amp;$B$42,raw_data!$T:$T,"&lt;="&amp;$C$42,raw_data!$U:$U,"Telephony",raw_data!$Y:$Y,$V$1,raw_data!$AA:$AA,"Engaged")</f>
        <v>0</v>
      </c>
      <c r="AB47" s="29">
        <f>sumifs(raw_data!$Z:$Z,raw_data!$T:$T,"&gt;="&amp;$B$42,raw_data!$T:$T,"&lt;="&amp;$C$42 ,raw_data!$U:$U,"Paid Ads",raw_data!$Y:$Y,$V$1,raw_data!$AA:$AA,"Engaged")</f>
        <v>0</v>
      </c>
      <c r="AC47" s="29"/>
      <c r="AD47" s="29">
        <f>sumifs(raw_data!$Z:$Z,raw_data!$T:$T,"&gt;="&amp;$B$42,raw_data!$T:$T,"&lt;="&amp;$C$42,raw_data!$U:$U,"External Leads",raw_data!$Y:$Y,$V$1,raw_data!$AA:$AA,"Engaged")</f>
        <v>0</v>
      </c>
      <c r="AE47" s="79"/>
      <c r="AF47" s="41">
        <f>SUMIFS(raw_data!$E:$E,raw_data!$A:$A,"&gt;="&amp;$B$42,raw_data!$A:$A,"&lt;="&amp;$C$42,raw_data!$F:$F,"Engaged",raw_data!$C:$C,$AF$1)</f>
        <v>2</v>
      </c>
      <c r="AG47" s="29">
        <f>sumifs(raw_data!$E:$E,raw_data!$A:$A,"&gt;="&amp;$B$42,raw_data!$A:$A,"&lt;="&amp;$C$42,raw_data!$D:$D,"Primary_Walkin",raw_data!$F:$F,"Engaged",raw_data!$C:$C,$AF$1)</f>
        <v>2</v>
      </c>
      <c r="AH47" s="29">
        <f>sumifs(raw_data!$E:$E,raw_data!$A:$A,"&gt;="&amp;$B$42,raw_data!$A:$A,"&lt;="&amp;$C$42,raw_data!$D:$D,"Secondary_Walkin",raw_data!$F:$F,"Engaged",raw_data!$C:$C,$AF$1)</f>
        <v>0</v>
      </c>
      <c r="AI47" s="29">
        <f>sumifs(raw_data!$E:$E,raw_data!$A:$A,"&gt;="&amp;$B$42,raw_data!$A:$A,"&lt;="&amp;$C$42,raw_data!$G:$G,"GS Foundation",raw_data!$F:$F,"Engaged",raw_data!$C:$C,$AF$1)</f>
        <v>2</v>
      </c>
      <c r="AJ47" s="29">
        <f>SUMIFS(raw_data!$E:$E,raw_data!$A:$A,"&gt;="&amp;$B$42,raw_data!$A:$A,"&lt;="&amp;$C$42,raw_data!$F:$F,"Engaged",raw_data!$C:$C,$AF$1) - sumifs(raw_data!$E:$E,raw_data!$A:$A,"&gt;="&amp;$B$42,raw_data!$A:$A,"&lt;="&amp;$C$42,raw_data!$G:$G,"GS Foundation",raw_data!$F:$F,"Engaged",raw_data!$C:$C,$AF$1)</f>
        <v>0</v>
      </c>
      <c r="AK47" s="42">
        <f>sumifs(raw_data!$Z:$Z,raw_data!$T:$T,"&gt;="&amp;$B$42,raw_data!$T:$T,"&lt;="&amp;$C$42,raw_data!$U:$U,"Telephony",raw_data!$Y:$Y,$AF$1,raw_data!$AA:$AA,"Engaged")</f>
        <v>0</v>
      </c>
      <c r="AL47" s="29">
        <f>sumifs(raw_data!$Z:$Z,raw_data!$T:$T,"&gt;="&amp;$B$42,raw_data!$T:$T,"&lt;="&amp;$C$42 ,raw_data!$U:$U,"Paid Ads",raw_data!$Y:$Y,$AF$1,raw_data!$AA:$AA,"Engaged")</f>
        <v>0</v>
      </c>
      <c r="AM47" s="29"/>
      <c r="AN47" s="29">
        <f>sumifs(raw_data!$Z:$Z,raw_data!$T:$T,"&gt;="&amp;$B$42,raw_data!$T:$T,"&lt;="&amp;$C$42,raw_data!$U:$U,"External Leads",raw_data!$Y:$Y,$AF$1,raw_data!$AA:$AA,"Engaged")</f>
        <v>0</v>
      </c>
      <c r="AO47" s="81"/>
      <c r="AP47" s="41">
        <f>SUMIFS(raw_data!$E:$E,raw_data!$A:$A,"&gt;="&amp;$B$42,raw_data!$A:$A,"&lt;="&amp;$C$42,raw_data!$F:$F,"Engaged",raw_data!$C:$C,$AP$1)</f>
        <v>0</v>
      </c>
      <c r="AQ47" s="29">
        <f>sumifs(raw_data!$E:$E,raw_data!$A:$A,"&gt;="&amp;$B$42,raw_data!$A:$A,"&lt;="&amp;$C$42,raw_data!$D:$D,"Primary_Walkin",raw_data!$F:$F,"Engaged",raw_data!$C:$C,$AP$1)</f>
        <v>0</v>
      </c>
      <c r="AR47" s="29">
        <f>sumifs(raw_data!$E:$E,raw_data!$A:$A,"&gt;="&amp;$B$42,raw_data!$A:$A,"&lt;="&amp;$C$42,raw_data!$D:$D,"Secondary_Walkin",raw_data!$F:$F,"Engaged",raw_data!$C:$C,$AP$1)</f>
        <v>0</v>
      </c>
      <c r="AS47" s="29">
        <f>sumifs(raw_data!$E:$E,raw_data!$A:$A,"&gt;="&amp;$B$42,raw_data!$A:$A,"&lt;="&amp;$C$42,raw_data!$G:$G,"GS Foundation",raw_data!$F:$F,"Engaged",raw_data!$C:$C,$AP$1)</f>
        <v>0</v>
      </c>
      <c r="AT47" s="29">
        <f>SUMIFS(raw_data!$E:$E,raw_data!$A:$A,"&gt;="&amp;$B$42,raw_data!$A:$A,"&lt;="&amp;$C$42,raw_data!$F:$F,"Engaged",raw_data!$C:$C,$AP$1) - sumifs(raw_data!$E:$E,raw_data!$A:$A,"&gt;="&amp;$B$42,raw_data!$A:$A,"&lt;="&amp;$C$42,raw_data!$G:$G,"GS Foundation",raw_data!$F:$F,"Engaged",raw_data!$C:$C,$AP$1)</f>
        <v>0</v>
      </c>
      <c r="AU47" s="42">
        <f>sumifs(raw_data!$Z:$Z,raw_data!$T:$T,"&gt;="&amp;$B$42,raw_data!$T:$T,"&lt;="&amp;$C$42,raw_data!$U:$U,"Telephony",raw_data!$Y:$Y,$AP$1,raw_data!$AA:$AA,"Engaged")</f>
        <v>0</v>
      </c>
      <c r="AV47" s="29">
        <f>sumifs(raw_data!$Z:$Z,raw_data!$T:$T,"&gt;="&amp;$B$42,raw_data!$T:$T,"&lt;="&amp;$C$42 ,raw_data!$U:$U,"Paid Ads",raw_data!$Y:$Y,$AP$1,raw_data!$AA:$AA,"Engaged")</f>
        <v>0</v>
      </c>
      <c r="AW47" s="29"/>
      <c r="AX47" s="29">
        <f>sumifs(raw_data!$Z:$Z,raw_data!$T:$T,"&gt;="&amp;$B$42,raw_data!$T:$T,"&lt;="&amp;$C$42,raw_data!$U:$U,"External Leads",raw_data!$Y:$Y,$AP$1,raw_data!$AA:$AA,"Engaged")</f>
        <v>0</v>
      </c>
      <c r="AY47" s="81"/>
      <c r="AZ47" s="41">
        <f>SUMIFS(raw_data!$E:$E,raw_data!$A:$A,"&gt;="&amp;$B$42,raw_data!$A:$A,"&lt;="&amp;$C$42,raw_data!$F:$F,"Engaged",raw_data!$C:$C,$AZ$1)</f>
        <v>0</v>
      </c>
      <c r="BA47" s="29">
        <f>sumifs(raw_data!$E:$E,raw_data!$A:$A,"&gt;="&amp;$B$42,raw_data!$A:$A,"&lt;="&amp;$C$42,raw_data!$D:$D,"Primary_Walkin",raw_data!$F:$F,"Engaged",raw_data!$C:$C,$AZ$1)</f>
        <v>0</v>
      </c>
      <c r="BB47" s="29">
        <f>sumifs(raw_data!$E:$E,raw_data!$A:$A,"&gt;="&amp;$B$42,raw_data!$A:$A,"&lt;="&amp;$C$42,raw_data!$D:$D,"Secondary_Walkin",raw_data!$F:$F,"Engaged",raw_data!$C:$C,$AZ$1)</f>
        <v>0</v>
      </c>
      <c r="BC47" s="29">
        <f>sumifs(raw_data!$E:$E,raw_data!$A:$A,"&gt;="&amp;$B$42,raw_data!$A:$A,"&lt;="&amp;$C$42,raw_data!$G:$G,"GS Foundation",raw_data!$F:$F,"Engaged",raw_data!$C:$C,$AZ$1)</f>
        <v>0</v>
      </c>
      <c r="BD47" s="29">
        <f>SUMIFS(raw_data!$E:$E,raw_data!$A:$A,"&gt;="&amp;$B$42,raw_data!$A:$A,"&lt;="&amp;$C$42,raw_data!$F:$F,"Engaged",raw_data!$C:$C,$AZ$1) - sumifs(raw_data!$E:$E,raw_data!$A:$A,"&gt;="&amp;$B$42,raw_data!$A:$A,"&lt;="&amp;$C$42,raw_data!$G:$G,"GS Foundation",raw_data!$F:$F,"Engaged",raw_data!$C:$C,$AZ$1)</f>
        <v>0</v>
      </c>
      <c r="BE47" s="42">
        <f>sumifs(raw_data!$Z:$Z,raw_data!$T:$T,"&gt;="&amp;$B$42,raw_data!$T:$T,"&lt;="&amp;$C$42,raw_data!$U:$U,"Telephony",raw_data!$Y:$Y,$AZ$1,raw_data!$AA:$AA,"Engaged")</f>
        <v>0</v>
      </c>
      <c r="BF47" s="29">
        <f>sumifs(raw_data!$Z:$Z,raw_data!$T:$T,"&gt;="&amp;$B$42,raw_data!$T:$T,"&lt;="&amp;$C$42 ,raw_data!$U:$U,"Paid Ads",raw_data!$Y:$Y,$AZ$1,raw_data!$AA:$AA,"Engaged")</f>
        <v>0</v>
      </c>
      <c r="BG47" s="29"/>
      <c r="BH47" s="29">
        <f>sumifs(raw_data!$Z:$Z,raw_data!$T:$T,"&gt;="&amp;$B$42,raw_data!$T:$T,"&lt;="&amp;$C$42,raw_data!$U:$U,"External Leads",raw_data!$Y:$Y,$AZ$1,raw_data!$AA:$AA,"Engaged")</f>
        <v>0</v>
      </c>
      <c r="BI47" s="82"/>
    </row>
    <row r="48">
      <c r="A48" s="40" t="s">
        <v>7</v>
      </c>
      <c r="B48" s="41">
        <f>SUMIFS(raw_data!$E:$E,raw_data!$A:$A,"&gt;="&amp;$B$42,raw_data!$A:$A,"&lt;="&amp;$C$42,raw_data!$F:$F,"Interested")</f>
        <v>7</v>
      </c>
      <c r="C48" s="29">
        <f>sumifs(raw_data!$E:$E,raw_data!$A:$A,"&gt;="&amp;$B$42,raw_data!$A:$A,"&lt;="&amp;$C$42,raw_data!$D:$D,"Primary_Walkin",raw_data!$F:$F,"Interested")</f>
        <v>6</v>
      </c>
      <c r="D48" s="29">
        <f>sumifs(raw_data!$E:$E,raw_data!$A:$A,"&gt;="&amp;$B$42,raw_data!$A:$A,"&lt;="&amp;$C$42,raw_data!$D:$D,"Secondary_Walkin",raw_data!$F:$F,"Interested")</f>
        <v>1</v>
      </c>
      <c r="E48" s="29">
        <f>sumifs(raw_data!$E:$E,raw_data!$A:$A,"&gt;="&amp;$B$42,raw_data!$A:$A,"&lt;="&amp;$C$42,raw_data!$G:$G,"GS Foundation",raw_data!$F:$F,"Interested")</f>
        <v>6</v>
      </c>
      <c r="F48" s="29">
        <f>SUMIFS(raw_data!$E:$E,raw_data!$A:$A,"&gt;="&amp;$B$42,raw_data!$A:$A,"&lt;="&amp;$C$42,raw_data!$F:$F,"Interested") - sumifs(raw_data!$E:$E,raw_data!$A:$A,"&gt;="&amp;$B$42,raw_data!$A:$A,"&lt;="&amp;$C$42,raw_data!$G:$G,"GS Foundation",raw_data!$F:$F,"Interested")</f>
        <v>1</v>
      </c>
      <c r="G48" s="42">
        <f>sumifs(raw_data!$Z:$Z,raw_data!$T:$T,"&gt;="&amp;$B$42,raw_data!$T:$T,"&lt;="&amp;$C$42,raw_data!$U:$U,"Telephony",raw_data!$AA:$AA,"Interested")</f>
        <v>0</v>
      </c>
      <c r="H48" s="29">
        <f>sumifs(raw_data!$Z:$Z,raw_data!$T:$T,"&gt;="&amp;$B$42,raw_data!$T:$T,"&lt;="&amp;$C$42 ,raw_data!$U:$U,"Paid Ads",raw_data!$AA:$AA,"Interested")</f>
        <v>0</v>
      </c>
      <c r="I48" s="29"/>
      <c r="J48" s="29">
        <f>sumifs(raw_data!$Z:$Z,raw_data!$T:$T,"&gt;="&amp;$B$42,raw_data!$T:$T,"&lt;="&amp;$C$42,raw_data!$U:$U,"External Leads",raw_data!$AA:$AA,"Interested")</f>
        <v>1</v>
      </c>
      <c r="K48" s="79"/>
      <c r="L48" s="41">
        <f>SUMIFS(raw_data!$E:$E,raw_data!$A:$A,"&gt;="&amp;$B$42,raw_data!$A:$A,"&lt;="&amp;$C$42,raw_data!$F:$F,"Interested",raw_data!$C:$C,$L$1)</f>
        <v>0</v>
      </c>
      <c r="M48" s="29">
        <f>sumifs(raw_data!$E:$E,raw_data!$A:$A,"&gt;="&amp;$B$42,raw_data!$A:$A,"&lt;="&amp;$C$42,raw_data!$D:$D,"Primary_Walkin",raw_data!$F:$F,"Interested",raw_data!$C:$C,$L$1)</f>
        <v>0</v>
      </c>
      <c r="N48" s="29">
        <f>sumifs(raw_data!$E:$E,raw_data!$A:$A,"&gt;="&amp;$B$42,raw_data!$A:$A,"&lt;="&amp;$C$42,raw_data!$D:$D,"Secondary_Walkin",raw_data!$F:$F,"Interested",raw_data!$C:$C,$L$1)</f>
        <v>0</v>
      </c>
      <c r="O48" s="29">
        <f>sumifs(raw_data!$E:$E,raw_data!$A:$A,"&gt;="&amp;$B$42,raw_data!$A:$A,"&lt;="&amp;$C$42,raw_data!$G:$G,"GS Foundation",raw_data!$F:$F,"Interested",raw_data!$C:$C,$L$1)</f>
        <v>0</v>
      </c>
      <c r="P48" s="29">
        <f>SUMIFS(raw_data!$E:$E,raw_data!$A:$A,"&gt;="&amp;$B$42,raw_data!$A:$A,"&lt;="&amp;$C$42,raw_data!$F:$F,"Interested",raw_data!$C:$C,$L$1) - sumifs(raw_data!$E:$E,raw_data!$A:$A,"&gt;="&amp;$B$42,raw_data!$A:$A,"&lt;="&amp;$C$42,raw_data!$G:$G,"GS Foundation",raw_data!$F:$F,"Interested",raw_data!$C:$C,$L$1)</f>
        <v>0</v>
      </c>
      <c r="Q48" s="42">
        <f>sumifs(raw_data!$Z:$Z,raw_data!$T:$T,"&gt;="&amp;$B$42,raw_data!$T:$T,"&lt;="&amp;$C$42,raw_data!$U:$U,"Telephony",raw_data!$Y:$Y,$L$1,raw_data!$AA:$AA,"Interested")</f>
        <v>0</v>
      </c>
      <c r="R48" s="29">
        <f>sumifs(raw_data!$Z:$Z,raw_data!$T:$T,"&gt;="&amp;$B$42,raw_data!$T:$T,"&lt;="&amp;$C$42 ,raw_data!$U:$U,"Paid Ads",raw_data!$Y:$Y,$L$1,raw_data!$AA:$AA,"Interested")</f>
        <v>0</v>
      </c>
      <c r="S48" s="29"/>
      <c r="T48" s="29">
        <f>sumifs(raw_data!$Z:$Z,raw_data!$T:$T,"&gt;="&amp;$B$42,raw_data!$T:$T,"&lt;="&amp;$C$42,raw_data!$U:$U,"External Leads",raw_data!$Y:$Y,$L$1,raw_data!$AA:$AA,"Interested")</f>
        <v>0</v>
      </c>
      <c r="U48" s="70"/>
      <c r="V48" s="41">
        <f>SUMIFS(raw_data!$E:$E,raw_data!$A:$A,"&gt;="&amp;$B$42,raw_data!$A:$A,"&lt;="&amp;$C$42,raw_data!$F:$F,"Interested",raw_data!$C:$C,$V$1)</f>
        <v>0</v>
      </c>
      <c r="W48" s="29">
        <f>sumifs(raw_data!$E:$E,raw_data!$A:$A,"&gt;="&amp;$B$42,raw_data!$A:$A,"&lt;="&amp;$C$42,raw_data!$D:$D,"Primary_Walkin",raw_data!$F:$F,"Interested",raw_data!$C:$C,$V$1)</f>
        <v>0</v>
      </c>
      <c r="X48" s="29">
        <f>sumifs(raw_data!$E:$E,raw_data!$A:$A,"&gt;="&amp;$B$42,raw_data!$A:$A,"&lt;="&amp;$C$42,raw_data!$D:$D,"Secondary_Walkin",raw_data!$F:$F,"Interested",raw_data!$C:$C,$V$1)</f>
        <v>0</v>
      </c>
      <c r="Y48" s="29">
        <f>sumifs(raw_data!$E:$E,raw_data!$A:$A,"&gt;="&amp;$B$42,raw_data!$A:$A,"&lt;="&amp;$C$42,raw_data!$G:$G,"GS Foundation",raw_data!$F:$F,"Interested",raw_data!$C:$C,$V$1)</f>
        <v>0</v>
      </c>
      <c r="Z48" s="29">
        <f>SUMIFS(raw_data!$E:$E,raw_data!$A:$A,"&gt;="&amp;$B$42,raw_data!$A:$A,"&lt;="&amp;$C$42,raw_data!$F:$F,"Interested",raw_data!$C:$C,$V$1) - sumifs(raw_data!$E:$E,raw_data!$A:$A,"&gt;="&amp;$B$42,raw_data!$A:$A,"&lt;="&amp;$C$42,raw_data!$G:$G,"GS Foundation",raw_data!$F:$F,"Interested",raw_data!$C:$C,$V$1)</f>
        <v>0</v>
      </c>
      <c r="AA48" s="42">
        <f>sumifs(raw_data!$Z:$Z,raw_data!$T:$T,"&gt;="&amp;$B$42,raw_data!$T:$T,"&lt;="&amp;$C$42,raw_data!$U:$U,"Telephony",raw_data!$Y:$Y,$V$1,raw_data!$AA:$AA,"Interested")</f>
        <v>0</v>
      </c>
      <c r="AB48" s="29">
        <f>sumifs(raw_data!$Z:$Z,raw_data!$T:$T,"&gt;="&amp;$B$42,raw_data!$T:$T,"&lt;="&amp;$C$42 ,raw_data!$U:$U,"Paid Ads",raw_data!$Y:$Y,$V$1,raw_data!$AA:$AA,"Interested")</f>
        <v>0</v>
      </c>
      <c r="AC48" s="29"/>
      <c r="AD48" s="29">
        <f>sumifs(raw_data!$Z:$Z,raw_data!$T:$T,"&gt;="&amp;$B$42,raw_data!$T:$T,"&lt;="&amp;$C$42,raw_data!$U:$U,"External Leads",raw_data!$Y:$Y,$V$1,raw_data!$AA:$AA,"Interested")</f>
        <v>0</v>
      </c>
      <c r="AE48" s="79"/>
      <c r="AF48" s="41">
        <f>SUMIFS(raw_data!$E:$E,raw_data!$A:$A,"&gt;="&amp;$B$42,raw_data!$A:$A,"&lt;="&amp;$C$42,raw_data!$F:$F,"Interested",raw_data!$C:$C,$AF$1)</f>
        <v>1</v>
      </c>
      <c r="AG48" s="29">
        <f>sumifs(raw_data!$E:$E,raw_data!$A:$A,"&gt;="&amp;$B$42,raw_data!$A:$A,"&lt;="&amp;$C$42,raw_data!$D:$D,"Primary_Walkin",raw_data!$F:$F,"Interested",raw_data!$C:$C,$AF$1)</f>
        <v>1</v>
      </c>
      <c r="AH48" s="29">
        <f>sumifs(raw_data!$E:$E,raw_data!$A:$A,"&gt;="&amp;$B$42,raw_data!$A:$A,"&lt;="&amp;$C$42,raw_data!$D:$D,"Secondary_Walkin",raw_data!$F:$F,"Interested",raw_data!$C:$C,$AF$1)</f>
        <v>0</v>
      </c>
      <c r="AI48" s="29">
        <f>sumifs(raw_data!$E:$E,raw_data!$A:$A,"&gt;="&amp;$B$42,raw_data!$A:$A,"&lt;="&amp;$C$42,raw_data!$G:$G,"GS Foundation",raw_data!$F:$F,"Interested",raw_data!$C:$C,$AF$1)</f>
        <v>1</v>
      </c>
      <c r="AJ48" s="29">
        <f>SUMIFS(raw_data!$E:$E,raw_data!$A:$A,"&gt;="&amp;$B$42,raw_data!$A:$A,"&lt;="&amp;$C$42,raw_data!$F:$F,"Interested",raw_data!$C:$C,$AF$1) - sumifs(raw_data!$E:$E,raw_data!$A:$A,"&gt;="&amp;$B$42,raw_data!$A:$A,"&lt;="&amp;$C$42,raw_data!$G:$G,"GS Foundation",raw_data!$F:$F,"Interested",raw_data!$C:$C,$AF$1)</f>
        <v>0</v>
      </c>
      <c r="AK48" s="42">
        <f>sumifs(raw_data!$Z:$Z,raw_data!$T:$T,"&gt;="&amp;$B$42,raw_data!$T:$T,"&lt;="&amp;$C$42,raw_data!$U:$U,"Telephony",raw_data!$Y:$Y,$AF$1,raw_data!$AA:$AA,"Interested")</f>
        <v>0</v>
      </c>
      <c r="AL48" s="29">
        <f>sumifs(raw_data!$Z:$Z,raw_data!$T:$T,"&gt;="&amp;$B$42,raw_data!$T:$T,"&lt;="&amp;$C$42 ,raw_data!$U:$U,"Paid Ads",raw_data!$Y:$Y,$AF$1,raw_data!$AA:$AA,"Interested")</f>
        <v>0</v>
      </c>
      <c r="AM48" s="29"/>
      <c r="AN48" s="29">
        <f>sumifs(raw_data!$Z:$Z,raw_data!$T:$T,"&gt;="&amp;$B$42,raw_data!$T:$T,"&lt;="&amp;$C$42,raw_data!$U:$U,"External Leads",raw_data!$Y:$Y,$AF$1,raw_data!$AA:$AA,"Interested")</f>
        <v>0</v>
      </c>
      <c r="AO48" s="81"/>
      <c r="AP48" s="41">
        <f>SUMIFS(raw_data!$E:$E,raw_data!$A:$A,"&gt;="&amp;$B$42,raw_data!$A:$A,"&lt;="&amp;$C$42,raw_data!$F:$F,"Interested",raw_data!$C:$C,$AP$1)</f>
        <v>4</v>
      </c>
      <c r="AQ48" s="29">
        <f>sumifs(raw_data!$E:$E,raw_data!$A:$A,"&gt;="&amp;$B$42,raw_data!$A:$A,"&lt;="&amp;$C$42,raw_data!$D:$D,"Primary_Walkin",raw_data!$F:$F,"Interested",raw_data!$C:$C,$AP$1)</f>
        <v>3</v>
      </c>
      <c r="AR48" s="29">
        <f>sumifs(raw_data!$E:$E,raw_data!$A:$A,"&gt;="&amp;$B$42,raw_data!$A:$A,"&lt;="&amp;$C$42,raw_data!$D:$D,"Secondary_Walkin",raw_data!$F:$F,"Interested",raw_data!$C:$C,$AP$1)</f>
        <v>1</v>
      </c>
      <c r="AS48" s="29">
        <f>sumifs(raw_data!$E:$E,raw_data!$A:$A,"&gt;="&amp;$B$42,raw_data!$A:$A,"&lt;="&amp;$C$42,raw_data!$G:$G,"GS Foundation",raw_data!$F:$F,"Interested",raw_data!$C:$C,$AP$1)</f>
        <v>4</v>
      </c>
      <c r="AT48" s="29">
        <f>SUMIFS(raw_data!$E:$E,raw_data!$A:$A,"&gt;="&amp;$B$42,raw_data!$A:$A,"&lt;="&amp;$C$42,raw_data!$F:$F,"Interested",raw_data!$C:$C,$AP$1) - sumifs(raw_data!$E:$E,raw_data!$A:$A,"&gt;="&amp;$B$42,raw_data!$A:$A,"&lt;="&amp;$C$42,raw_data!$G:$G,"GS Foundation",raw_data!$F:$F,"Interested",raw_data!$C:$C,$AP$1)</f>
        <v>0</v>
      </c>
      <c r="AU48" s="42">
        <f>sumifs(raw_data!$Z:$Z,raw_data!$T:$T,"&gt;="&amp;$B$42,raw_data!$T:$T,"&lt;="&amp;$C$42,raw_data!$U:$U,"Telephony",raw_data!$Y:$Y,$AP$1,raw_data!$AA:$AA,"Interested")</f>
        <v>0</v>
      </c>
      <c r="AV48" s="29">
        <f>sumifs(raw_data!$Z:$Z,raw_data!$T:$T,"&gt;="&amp;$B$42,raw_data!$T:$T,"&lt;="&amp;$C$42 ,raw_data!$U:$U,"Paid Ads",raw_data!$Y:$Y,$AP$1,raw_data!$AA:$AA,"Interested")</f>
        <v>0</v>
      </c>
      <c r="AW48" s="29"/>
      <c r="AX48" s="29">
        <f>sumifs(raw_data!$Z:$Z,raw_data!$T:$T,"&gt;="&amp;$B$42,raw_data!$T:$T,"&lt;="&amp;$C$42,raw_data!$U:$U,"External Leads",raw_data!$Y:$Y,$AP$1,raw_data!$AA:$AA,"Interested")</f>
        <v>0</v>
      </c>
      <c r="AY48" s="81"/>
      <c r="AZ48" s="41">
        <f>SUMIFS(raw_data!$E:$E,raw_data!$A:$A,"&gt;="&amp;$B$42,raw_data!$A:$A,"&lt;="&amp;$C$42,raw_data!$F:$F,"Interested",raw_data!$C:$C,$AZ$1)</f>
        <v>0</v>
      </c>
      <c r="BA48" s="29">
        <f>sumifs(raw_data!$E:$E,raw_data!$A:$A,"&gt;="&amp;$B$42,raw_data!$A:$A,"&lt;="&amp;$C$42,raw_data!$D:$D,"Primary_Walkin",raw_data!$F:$F,"Interested",raw_data!$C:$C,$AZ$1)</f>
        <v>0</v>
      </c>
      <c r="BB48" s="29">
        <f>sumifs(raw_data!$E:$E,raw_data!$A:$A,"&gt;="&amp;$B$42,raw_data!$A:$A,"&lt;="&amp;$C$42,raw_data!$D:$D,"Secondary_Walkin",raw_data!$F:$F,"Interested",raw_data!$C:$C,$AZ$1)</f>
        <v>0</v>
      </c>
      <c r="BC48" s="29">
        <f>sumifs(raw_data!$E:$E,raw_data!$A:$A,"&gt;="&amp;$B$42,raw_data!$A:$A,"&lt;="&amp;$C$42,raw_data!$G:$G,"GS Foundation",raw_data!$F:$F,"Interested",raw_data!$C:$C,$AZ$1)</f>
        <v>0</v>
      </c>
      <c r="BD48" s="29">
        <f>SUMIFS(raw_data!$E:$E,raw_data!$A:$A,"&gt;="&amp;$B$42,raw_data!$A:$A,"&lt;="&amp;$C$42,raw_data!$F:$F,"Interested",raw_data!$C:$C,$AZ$1) - sumifs(raw_data!$E:$E,raw_data!$A:$A,"&gt;="&amp;$B$42,raw_data!$A:$A,"&lt;="&amp;$C$42,raw_data!$G:$G,"GS Foundation",raw_data!$F:$F,"Interested",raw_data!$C:$C,$AZ$1)</f>
        <v>0</v>
      </c>
      <c r="BE48" s="42">
        <f>sumifs(raw_data!$Z:$Z,raw_data!$T:$T,"&gt;="&amp;$B$42,raw_data!$T:$T,"&lt;="&amp;$C$42,raw_data!$U:$U,"Telephony",raw_data!$Y:$Y,$AZ$1,raw_data!$AA:$AA,"Interested")</f>
        <v>0</v>
      </c>
      <c r="BF48" s="29">
        <f>sumifs(raw_data!$Z:$Z,raw_data!$T:$T,"&gt;="&amp;$B$42,raw_data!$T:$T,"&lt;="&amp;$C$42 ,raw_data!$U:$U,"Paid Ads",raw_data!$Y:$Y,$AZ$1,raw_data!$AA:$AA,"Interested")</f>
        <v>0</v>
      </c>
      <c r="BG48" s="29"/>
      <c r="BH48" s="29">
        <f>sumifs(raw_data!$Z:$Z,raw_data!$T:$T,"&gt;="&amp;$B$42,raw_data!$T:$T,"&lt;="&amp;$C$42,raw_data!$U:$U,"External Leads",raw_data!$Y:$Y,$AZ$1,raw_data!$AA:$AA,"Interested")</f>
        <v>0</v>
      </c>
      <c r="BI48" s="82"/>
    </row>
    <row r="49">
      <c r="A49" s="40" t="s">
        <v>53</v>
      </c>
      <c r="B49" s="41">
        <f>SUMIFS(raw_data!$E:$E,raw_data!$A:$A,"&gt;="&amp;$B$42,raw_data!$A:$A,"&lt;="&amp;$C$42,raw_data!$F:$F,"Future Prospects")</f>
        <v>196</v>
      </c>
      <c r="C49" s="29">
        <f>sumifs(raw_data!$E:$E,raw_data!$A:$A,"&gt;="&amp;$B$42,raw_data!$A:$A,"&lt;="&amp;$C$42,raw_data!$D:$D,"Primary_Walkin",raw_data!$F:$F,"Future Prospects")</f>
        <v>184</v>
      </c>
      <c r="D49" s="29">
        <f>sumifs(raw_data!$E:$E,raw_data!$A:$A,"&gt;="&amp;$B$42,raw_data!$A:$A,"&lt;="&amp;$C$42,raw_data!$D:$D,"Secondary_Walkin",raw_data!$F:$F,"Future Prospects")</f>
        <v>12</v>
      </c>
      <c r="E49" s="29">
        <f>sumifs(raw_data!$E:$E,raw_data!$A:$A,"&gt;="&amp;$B$42,raw_data!$A:$A,"&lt;="&amp;$C$42,raw_data!$G:$G,"GS Foundation",raw_data!$F:$F,"Future Prospects")</f>
        <v>133</v>
      </c>
      <c r="F49" s="29">
        <f>SUMIFS(raw_data!$E:$E,raw_data!$A:$A,"&gt;="&amp;$B$42,raw_data!$A:$A,"&lt;="&amp;$C$42,raw_data!$F:$F,"Future Prospects") - sumifs(raw_data!$E:$E,raw_data!$A:$A,"&gt;="&amp;$B$42,raw_data!$A:$A,"&lt;="&amp;$C$42,raw_data!$G:$G,"GS Foundation",raw_data!$F:$F,"Future Prospects")</f>
        <v>63</v>
      </c>
      <c r="G49" s="42">
        <f>sumifs(raw_data!$Z:$Z,raw_data!$T:$T,"&gt;="&amp;$B$42,raw_data!$T:$T,"&lt;="&amp;$C$42,raw_data!$U:$U,"Telephony",raw_data!$AA:$AA,"Future Prospects")</f>
        <v>15</v>
      </c>
      <c r="H49" s="29">
        <f>sumifs(raw_data!$Z:$Z,raw_data!$T:$T,"&gt;="&amp;$B$42,raw_data!$T:$T,"&lt;="&amp;$C$42 ,raw_data!$U:$U,"Paid Ads",raw_data!$AA:$AA,"Future Prospects")</f>
        <v>0</v>
      </c>
      <c r="I49" s="29"/>
      <c r="J49" s="29">
        <f>sumifs(raw_data!$Z:$Z,raw_data!$T:$T,"&gt;="&amp;$B$42,raw_data!$T:$T,"&lt;="&amp;$C$42,raw_data!$U:$U,"External Leads",raw_data!$AA:$AA,"Future Prospects")</f>
        <v>4</v>
      </c>
      <c r="K49" s="79"/>
      <c r="L49" s="41">
        <f>SUMIFS(raw_data!$E:$E,raw_data!$A:$A,"&gt;="&amp;$B$42,raw_data!$A:$A,"&lt;="&amp;$C$42,raw_data!$F:$F,"Future Prospects",raw_data!$C:$C,$L$1)</f>
        <v>63</v>
      </c>
      <c r="M49" s="29">
        <f>sumifs(raw_data!$E:$E,raw_data!$A:$A,"&gt;="&amp;$B$42,raw_data!$A:$A,"&lt;="&amp;$C$42,raw_data!$D:$D,"Primary_Walkin",raw_data!$F:$F,"Future Prospects",raw_data!$C:$C,$L$1)</f>
        <v>58</v>
      </c>
      <c r="N49" s="29">
        <f>sumifs(raw_data!$E:$E,raw_data!$A:$A,"&gt;="&amp;$B$42,raw_data!$A:$A,"&lt;="&amp;$C$42,raw_data!$D:$D,"Secondary_Walkin",raw_data!$F:$F,"Future Prospects",raw_data!$C:$C,$L$1)</f>
        <v>5</v>
      </c>
      <c r="O49" s="29">
        <f>sumifs(raw_data!$E:$E,raw_data!$A:$A,"&gt;="&amp;$B$42,raw_data!$A:$A,"&lt;="&amp;$C$42,raw_data!$G:$G,"GS Foundation",raw_data!$F:$F,"Future Prospects",raw_data!$C:$C,$L$1)</f>
        <v>58</v>
      </c>
      <c r="P49" s="29">
        <f>SUMIFS(raw_data!$E:$E,raw_data!$A:$A,"&gt;="&amp;$B$42,raw_data!$A:$A,"&lt;="&amp;$C$42,raw_data!$F:$F,"Future Prospects",raw_data!$C:$C,$L$1) - sumifs(raw_data!$E:$E,raw_data!$A:$A,"&gt;="&amp;$B$42,raw_data!$A:$A,"&lt;="&amp;$C$42,raw_data!$G:$G,"GS Foundation",raw_data!$F:$F,"Future Prospects",raw_data!$C:$C,$L$1)</f>
        <v>5</v>
      </c>
      <c r="Q49" s="42">
        <f>sumifs(raw_data!$Z:$Z,raw_data!$T:$T,"&gt;="&amp;$B$42,raw_data!$T:$T,"&lt;="&amp;$C$42,raw_data!$U:$U,"Telephony",raw_data!$Y:$Y,$L$1,raw_data!$AA:$AA,"Future Prospects")</f>
        <v>3</v>
      </c>
      <c r="R49" s="29">
        <f>sumifs(raw_data!$Z:$Z,raw_data!$T:$T,"&gt;="&amp;$B$42,raw_data!$T:$T,"&lt;="&amp;$C$42 ,raw_data!$U:$U,"Paid Ads",raw_data!$Y:$Y,$L$1,raw_data!$AA:$AA,"Future Prospects")</f>
        <v>0</v>
      </c>
      <c r="S49" s="29"/>
      <c r="T49" s="29">
        <f>sumifs(raw_data!$Z:$Z,raw_data!$T:$T,"&gt;="&amp;$B$42,raw_data!$T:$T,"&lt;="&amp;$C$42,raw_data!$U:$U,"External Leads",raw_data!$Y:$Y,$L$1,raw_data!$AA:$AA,"Future Prospects")</f>
        <v>0</v>
      </c>
      <c r="U49" s="70"/>
      <c r="V49" s="41">
        <f>SUMIFS(raw_data!$E:$E,raw_data!$A:$A,"&gt;="&amp;$B$42,raw_data!$A:$A,"&lt;="&amp;$C$42,raw_data!$F:$F,"Future Prospects",raw_data!$C:$C,$V$1)</f>
        <v>37</v>
      </c>
      <c r="W49" s="29">
        <f>sumifs(raw_data!$E:$E,raw_data!$A:$A,"&gt;="&amp;$B$42,raw_data!$A:$A,"&lt;="&amp;$C$42,raw_data!$D:$D,"Primary_Walkin",raw_data!$F:$F,"Future Prospects",raw_data!$C:$C,$V$1)</f>
        <v>37</v>
      </c>
      <c r="X49" s="29">
        <f>sumifs(raw_data!$E:$E,raw_data!$A:$A,"&gt;="&amp;$B$42,raw_data!$A:$A,"&lt;="&amp;$C$42,raw_data!$D:$D,"Secondary_Walkin",raw_data!$F:$F,"Future Prospects",raw_data!$C:$C,$V$1)</f>
        <v>0</v>
      </c>
      <c r="Y49" s="29">
        <f>sumifs(raw_data!$E:$E,raw_data!$A:$A,"&gt;="&amp;$B$42,raw_data!$A:$A,"&lt;="&amp;$C$42,raw_data!$G:$G,"GS Foundation",raw_data!$F:$F,"Future Prospects",raw_data!$C:$C,$V$1)</f>
        <v>15</v>
      </c>
      <c r="Z49" s="29">
        <f>SUMIFS(raw_data!$E:$E,raw_data!$A:$A,"&gt;="&amp;$B$42,raw_data!$A:$A,"&lt;="&amp;$C$42,raw_data!$F:$F,"Future Prospects",raw_data!$C:$C,$V$1) - sumifs(raw_data!$E:$E,raw_data!$A:$A,"&gt;="&amp;$B$42,raw_data!$A:$A,"&lt;="&amp;$C$42,raw_data!$G:$G,"GS Foundation",raw_data!$F:$F,"Future Prospects",raw_data!$C:$C,$V$1)</f>
        <v>22</v>
      </c>
      <c r="AA49" s="42">
        <f>sumifs(raw_data!$Z:$Z,raw_data!$T:$T,"&gt;="&amp;$B$42,raw_data!$T:$T,"&lt;="&amp;$C$42,raw_data!$U:$U,"Telephony",raw_data!$Y:$Y,$V$1,raw_data!$AA:$AA,"Future Prospects")</f>
        <v>2</v>
      </c>
      <c r="AB49" s="29">
        <f>sumifs(raw_data!$Z:$Z,raw_data!$T:$T,"&gt;="&amp;$B$42,raw_data!$T:$T,"&lt;="&amp;$C$42 ,raw_data!$U:$U,"Paid Ads",raw_data!$Y:$Y,$V$1,raw_data!$AA:$AA,"Future Prospects")</f>
        <v>0</v>
      </c>
      <c r="AC49" s="29"/>
      <c r="AD49" s="29">
        <f>sumifs(raw_data!$Z:$Z,raw_data!$T:$T,"&gt;="&amp;$B$42,raw_data!$T:$T,"&lt;="&amp;$C$42,raw_data!$U:$U,"External Leads",raw_data!$Y:$Y,$V$1,raw_data!$AA:$AA,"Future Prospects")</f>
        <v>0</v>
      </c>
      <c r="AE49" s="79"/>
      <c r="AF49" s="41">
        <f>SUMIFS(raw_data!$E:$E,raw_data!$A:$A,"&gt;="&amp;$B$42,raw_data!$A:$A,"&lt;="&amp;$C$42,raw_data!$F:$F,"Future Prospects",raw_data!$C:$C,$AF$1)</f>
        <v>7</v>
      </c>
      <c r="AG49" s="29">
        <f>sumifs(raw_data!$E:$E,raw_data!$A:$A,"&gt;="&amp;$B$42,raw_data!$A:$A,"&lt;="&amp;$C$42,raw_data!$D:$D,"Primary_Walkin",raw_data!$F:$F,"Future Prospects",raw_data!$C:$C,$AF$1)</f>
        <v>6</v>
      </c>
      <c r="AH49" s="29">
        <f>sumifs(raw_data!$E:$E,raw_data!$A:$A,"&gt;="&amp;$B$42,raw_data!$A:$A,"&lt;="&amp;$C$42,raw_data!$D:$D,"Secondary_Walkin",raw_data!$F:$F,"Future Prospects",raw_data!$C:$C,$AF$1)</f>
        <v>1</v>
      </c>
      <c r="AI49" s="29">
        <f>sumifs(raw_data!$E:$E,raw_data!$A:$A,"&gt;="&amp;$B$42,raw_data!$A:$A,"&lt;="&amp;$C$42,raw_data!$G:$G,"GS Foundation",raw_data!$F:$F,"Future Prospects",raw_data!$C:$C,$AF$1)</f>
        <v>6</v>
      </c>
      <c r="AJ49" s="29">
        <f>SUMIFS(raw_data!$E:$E,raw_data!$A:$A,"&gt;="&amp;$B$42,raw_data!$A:$A,"&lt;="&amp;$C$42,raw_data!$F:$F,"Future Prospects",raw_data!$C:$C,$AF$1) - sumifs(raw_data!$E:$E,raw_data!$A:$A,"&gt;="&amp;$B$42,raw_data!$A:$A,"&lt;="&amp;$C$42,raw_data!$G:$G,"GS Foundation",raw_data!$F:$F,"Future Prospects",raw_data!$C:$C,$AF$1)</f>
        <v>1</v>
      </c>
      <c r="AK49" s="42">
        <f>sumifs(raw_data!$Z:$Z,raw_data!$T:$T,"&gt;="&amp;$B$42,raw_data!$T:$T,"&lt;="&amp;$C$42,raw_data!$U:$U,"Telephony",raw_data!$Y:$Y,$AF$1,raw_data!$AA:$AA,"Future Prospects")</f>
        <v>0</v>
      </c>
      <c r="AL49" s="29">
        <f>sumifs(raw_data!$Z:$Z,raw_data!$T:$T,"&gt;="&amp;$B$42,raw_data!$T:$T,"&lt;="&amp;$C$42 ,raw_data!$U:$U,"Paid Ads",raw_data!$Y:$Y,$AF$1,raw_data!$AA:$AA,"Future Prospects")</f>
        <v>0</v>
      </c>
      <c r="AM49" s="29"/>
      <c r="AN49" s="29">
        <f>sumifs(raw_data!$Z:$Z,raw_data!$T:$T,"&gt;="&amp;$B$42,raw_data!$T:$T,"&lt;="&amp;$C$42,raw_data!$U:$U,"External Leads",raw_data!$Y:$Y,$AF$1,raw_data!$AA:$AA,"Future Prospects")</f>
        <v>4</v>
      </c>
      <c r="AO49" s="81"/>
      <c r="AP49" s="41">
        <f>SUMIFS(raw_data!$E:$E,raw_data!$A:$A,"&gt;="&amp;$B$42,raw_data!$A:$A,"&lt;="&amp;$C$42,raw_data!$F:$F,"Future Prospects",raw_data!$C:$C,$AP$1)</f>
        <v>54</v>
      </c>
      <c r="AQ49" s="29">
        <f>sumifs(raw_data!$E:$E,raw_data!$A:$A,"&gt;="&amp;$B$42,raw_data!$A:$A,"&lt;="&amp;$C$42,raw_data!$D:$D,"Primary_Walkin",raw_data!$F:$F,"Future Prospects",raw_data!$C:$C,$AP$1)</f>
        <v>51</v>
      </c>
      <c r="AR49" s="29">
        <f>sumifs(raw_data!$E:$E,raw_data!$A:$A,"&gt;="&amp;$B$42,raw_data!$A:$A,"&lt;="&amp;$C$42,raw_data!$D:$D,"Secondary_Walkin",raw_data!$F:$F,"Future Prospects",raw_data!$C:$C,$AP$1)</f>
        <v>3</v>
      </c>
      <c r="AS49" s="29">
        <f>sumifs(raw_data!$E:$E,raw_data!$A:$A,"&gt;="&amp;$B$42,raw_data!$A:$A,"&lt;="&amp;$C$42,raw_data!$G:$G,"GS Foundation",raw_data!$F:$F,"Future Prospects",raw_data!$C:$C,$AP$1)</f>
        <v>38</v>
      </c>
      <c r="AT49" s="29">
        <f>SUMIFS(raw_data!$E:$E,raw_data!$A:$A,"&gt;="&amp;$B$42,raw_data!$A:$A,"&lt;="&amp;$C$42,raw_data!$F:$F,"Future Prospects",raw_data!$C:$C,$AP$1) - sumifs(raw_data!$E:$E,raw_data!$A:$A,"&gt;="&amp;$B$42,raw_data!$A:$A,"&lt;="&amp;$C$42,raw_data!$G:$G,"GS Foundation",raw_data!$F:$F,"Future Prospects",raw_data!$C:$C,$AP$1)</f>
        <v>16</v>
      </c>
      <c r="AU49" s="42">
        <f>sumifs(raw_data!$Z:$Z,raw_data!$T:$T,"&gt;="&amp;$B$42,raw_data!$T:$T,"&lt;="&amp;$C$42,raw_data!$U:$U,"Telephony",raw_data!$Y:$Y,$AP$1,raw_data!$AA:$AA,"Future Prospects")</f>
        <v>1</v>
      </c>
      <c r="AV49" s="29">
        <f>sumifs(raw_data!$Z:$Z,raw_data!$T:$T,"&gt;="&amp;$B$42,raw_data!$T:$T,"&lt;="&amp;$C$42 ,raw_data!$U:$U,"Paid Ads",raw_data!$Y:$Y,$AP$1,raw_data!$AA:$AA,"Future Prospects")</f>
        <v>0</v>
      </c>
      <c r="AW49" s="29"/>
      <c r="AX49" s="29">
        <f>sumifs(raw_data!$Z:$Z,raw_data!$T:$T,"&gt;="&amp;$B$42,raw_data!$T:$T,"&lt;="&amp;$C$42,raw_data!$U:$U,"External Leads",raw_data!$Y:$Y,$AP$1,raw_data!$AA:$AA,"Future Prospects")</f>
        <v>0</v>
      </c>
      <c r="AY49" s="81"/>
      <c r="AZ49" s="41">
        <f>SUMIFS(raw_data!$E:$E,raw_data!$A:$A,"&gt;="&amp;$B$42,raw_data!$A:$A,"&lt;="&amp;$C$42,raw_data!$F:$F,"Future Prospects",raw_data!$C:$C,$AZ$1)</f>
        <v>34</v>
      </c>
      <c r="BA49" s="29">
        <f>sumifs(raw_data!$E:$E,raw_data!$A:$A,"&gt;="&amp;$B$42,raw_data!$A:$A,"&lt;="&amp;$C$42,raw_data!$D:$D,"Primary_Walkin",raw_data!$F:$F,"Future Prospects",raw_data!$C:$C,$AZ$1)</f>
        <v>31</v>
      </c>
      <c r="BB49" s="29">
        <f>sumifs(raw_data!$E:$E,raw_data!$A:$A,"&gt;="&amp;$B$42,raw_data!$A:$A,"&lt;="&amp;$C$42,raw_data!$D:$D,"Secondary_Walkin",raw_data!$F:$F,"Future Prospects",raw_data!$C:$C,$AZ$1)</f>
        <v>3</v>
      </c>
      <c r="BC49" s="29">
        <f>sumifs(raw_data!$E:$E,raw_data!$A:$A,"&gt;="&amp;$B$42,raw_data!$A:$A,"&lt;="&amp;$C$42,raw_data!$G:$G,"GS Foundation",raw_data!$F:$F,"Future Prospects",raw_data!$C:$C,$AZ$1)</f>
        <v>16</v>
      </c>
      <c r="BD49" s="29">
        <f>SUMIFS(raw_data!$E:$E,raw_data!$A:$A,"&gt;="&amp;$B$42,raw_data!$A:$A,"&lt;="&amp;$C$42,raw_data!$F:$F,"Future Prospects",raw_data!$C:$C,$AZ$1) - sumifs(raw_data!$E:$E,raw_data!$A:$A,"&gt;="&amp;$B$42,raw_data!$A:$A,"&lt;="&amp;$C$42,raw_data!$G:$G,"GS Foundation",raw_data!$F:$F,"Future Prospects",raw_data!$C:$C,$AZ$1)</f>
        <v>18</v>
      </c>
      <c r="BE49" s="42">
        <f>sumifs(raw_data!$Z:$Z,raw_data!$T:$T,"&gt;="&amp;$B$42,raw_data!$T:$T,"&lt;="&amp;$C$42,raw_data!$U:$U,"Telephony",raw_data!$Y:$Y,$AZ$1,raw_data!$AA:$AA,"Future Prospects")</f>
        <v>9</v>
      </c>
      <c r="BF49" s="29">
        <f>sumifs(raw_data!$Z:$Z,raw_data!$T:$T,"&gt;="&amp;$B$42,raw_data!$T:$T,"&lt;="&amp;$C$42 ,raw_data!$U:$U,"Paid Ads",raw_data!$Y:$Y,$AZ$1,raw_data!$AA:$AA,"Future Prospects")</f>
        <v>0</v>
      </c>
      <c r="BG49" s="29"/>
      <c r="BH49" s="29">
        <f>sumifs(raw_data!$Z:$Z,raw_data!$T:$T,"&gt;="&amp;$B$42,raw_data!$T:$T,"&lt;="&amp;$C$42,raw_data!$U:$U,"External Leads",raw_data!$Y:$Y,$AZ$1,raw_data!$AA:$AA,"Future Prospects")</f>
        <v>0</v>
      </c>
      <c r="BI49" s="82"/>
    </row>
    <row r="50">
      <c r="A50" s="40" t="s">
        <v>54</v>
      </c>
      <c r="B50" s="41">
        <f>SUMIFS(raw_data!$E:$E,raw_data!$A:$A,"&gt;="&amp;$B$42,raw_data!$A:$A,"&lt;="&amp;$C$42,raw_data!$F:$F,"Enrolled")</f>
        <v>175</v>
      </c>
      <c r="C50" s="29">
        <f>sumifs(raw_data!$E:$E,raw_data!$A:$A,"&gt;="&amp;$B$42,raw_data!$A:$A,"&lt;="&amp;$C$42,raw_data!$D:$D,"Primary_Walkin",raw_data!$F:$F,"Enrolled")</f>
        <v>153</v>
      </c>
      <c r="D50" s="29">
        <f>sumifs(raw_data!$E:$E,raw_data!$A:$A,"&gt;="&amp;$B$42,raw_data!$A:$A,"&lt;="&amp;$C$42,raw_data!$D:$D,"Secondary_Walkin",raw_data!$F:$F,"Enrolled")</f>
        <v>22</v>
      </c>
      <c r="E50" s="29">
        <f>sumifs(raw_data!$E:$E,raw_data!$A:$A,"&gt;="&amp;$B$42,raw_data!$A:$A,"&lt;="&amp;$C$42,raw_data!$G:$G,"GS Foundation",raw_data!$F:$F,"Enrolled")</f>
        <v>102</v>
      </c>
      <c r="F50" s="29">
        <f>SUMIFS(raw_data!$E:$E,raw_data!$A:$A,"&gt;="&amp;$B$42,raw_data!$A:$A,"&lt;="&amp;$C$42,raw_data!$F:$F,"Enrolled") - sumifs(raw_data!$E:$E,raw_data!$A:$A,"&gt;="&amp;$B$42,raw_data!$A:$A,"&lt;="&amp;$C$42,raw_data!$G:$G,"GS Foundation",raw_data!$F:$F,"Enrolled")</f>
        <v>73</v>
      </c>
      <c r="G50" s="42">
        <f>sumifs(raw_data!$Z:$Z,raw_data!$T:$T,"&gt;="&amp;$B$42,raw_data!$T:$T,"&lt;="&amp;$C$42,raw_data!$U:$U,"Telephony",raw_data!$AA:$AA,"Enrolled")</f>
        <v>15</v>
      </c>
      <c r="H50" s="29">
        <f>sumifs(raw_data!$Z:$Z,raw_data!$T:$T,"&gt;="&amp;$B$42,raw_data!$T:$T,"&lt;="&amp;$C$42 ,raw_data!$U:$U,"Paid Ads",raw_data!$AA:$AA,"Enrolled")</f>
        <v>2</v>
      </c>
      <c r="I50" s="29"/>
      <c r="J50" s="29">
        <f>sumifs(raw_data!$Z:$Z,raw_data!$T:$T,"&gt;="&amp;$B$42,raw_data!$T:$T,"&lt;="&amp;$C$42,raw_data!$U:$U,"External Leads",raw_data!$AA:$AA,"Enrolled")</f>
        <v>4</v>
      </c>
      <c r="K50" s="79"/>
      <c r="L50" s="41">
        <f>SUMIFS(raw_data!$E:$E,raw_data!$A:$A,"&gt;="&amp;$B$42,raw_data!$A:$A,"&lt;="&amp;$C$42,raw_data!$F:$F,"Enrolled",raw_data!$C:$C,$L$1)</f>
        <v>59</v>
      </c>
      <c r="M50" s="29">
        <f>sumifs(raw_data!$E:$E,raw_data!$A:$A,"&gt;="&amp;$B$42,raw_data!$A:$A,"&lt;="&amp;$C$42,raw_data!$D:$D,"Primary_Walkin",raw_data!$F:$F,"Enrolled",raw_data!$C:$C,$L$1)</f>
        <v>49</v>
      </c>
      <c r="N50" s="29">
        <f>sumifs(raw_data!$E:$E,raw_data!$A:$A,"&gt;="&amp;$B$42,raw_data!$A:$A,"&lt;="&amp;$C$42,raw_data!$D:$D,"Secondary_Walkin",raw_data!$F:$F,"Enrolled",raw_data!$C:$C,$L$1)</f>
        <v>10</v>
      </c>
      <c r="O50" s="29">
        <f>sumifs(raw_data!$E:$E,raw_data!$A:$A,"&gt;="&amp;$B$42,raw_data!$A:$A,"&lt;="&amp;$C$42,raw_data!$G:$G,"GS Foundation",raw_data!$F:$F,"Enrolled",raw_data!$C:$C,$L$1)</f>
        <v>52</v>
      </c>
      <c r="P50" s="29">
        <f>SUMIFS(raw_data!$E:$E,raw_data!$A:$A,"&gt;="&amp;$B$42,raw_data!$A:$A,"&lt;="&amp;$C$42,raw_data!$F:$F,"Enrolled",raw_data!$C:$C,$L$1) - sumifs(raw_data!$E:$E,raw_data!$A:$A,"&gt;="&amp;$B$42,raw_data!$A:$A,"&lt;="&amp;$C$42,raw_data!$G:$G,"GS Foundation",raw_data!$F:$F,"Enrolled",raw_data!$C:$C,$L$1)</f>
        <v>7</v>
      </c>
      <c r="Q50" s="42">
        <f>sumifs(raw_data!$Z:$Z,raw_data!$T:$T,"&gt;="&amp;$B$42,raw_data!$T:$T,"&lt;="&amp;$C$42,raw_data!$U:$U,"Telephony",raw_data!$Y:$Y,$L$1,raw_data!$AA:$AA,"Enrolled")</f>
        <v>7</v>
      </c>
      <c r="R50" s="29">
        <f>sumifs(raw_data!$Z:$Z,raw_data!$T:$T,"&gt;="&amp;$B$42,raw_data!$T:$T,"&lt;="&amp;$C$42 ,raw_data!$U:$U,"Paid Ads",raw_data!$Y:$Y,$L$1,raw_data!$AA:$AA,"Enrolled")</f>
        <v>0</v>
      </c>
      <c r="S50" s="29"/>
      <c r="T50" s="29">
        <f>sumifs(raw_data!$Z:$Z,raw_data!$T:$T,"&gt;="&amp;$B$42,raw_data!$T:$T,"&lt;="&amp;$C$42,raw_data!$U:$U,"External Leads",raw_data!$Y:$Y,$L$1,raw_data!$AA:$AA,"Enrolled")</f>
        <v>0</v>
      </c>
      <c r="U50" s="70"/>
      <c r="V50" s="41">
        <f>SUMIFS(raw_data!$E:$E,raw_data!$A:$A,"&gt;="&amp;$B$42,raw_data!$A:$A,"&lt;="&amp;$C$42,raw_data!$F:$F,"Enrolled",raw_data!$C:$C,$V$1)</f>
        <v>42</v>
      </c>
      <c r="W50" s="29">
        <f>sumifs(raw_data!$E:$E,raw_data!$A:$A,"&gt;="&amp;$B$42,raw_data!$A:$A,"&lt;="&amp;$C$42,raw_data!$D:$D,"Primary_Walkin",raw_data!$F:$F,"Enrolled",raw_data!$C:$C,$V$1)</f>
        <v>40</v>
      </c>
      <c r="X50" s="29">
        <f>sumifs(raw_data!$E:$E,raw_data!$A:$A,"&gt;="&amp;$B$42,raw_data!$A:$A,"&lt;="&amp;$C$42,raw_data!$D:$D,"Secondary_Walkin",raw_data!$F:$F,"Enrolled",raw_data!$C:$C,$V$1)</f>
        <v>2</v>
      </c>
      <c r="Y50" s="29">
        <f>sumifs(raw_data!$E:$E,raw_data!$A:$A,"&gt;="&amp;$B$42,raw_data!$A:$A,"&lt;="&amp;$C$42,raw_data!$G:$G,"GS Foundation",raw_data!$F:$F,"Enrolled",raw_data!$C:$C,$V$1)</f>
        <v>12</v>
      </c>
      <c r="Z50" s="29">
        <f>SUMIFS(raw_data!$E:$E,raw_data!$A:$A,"&gt;="&amp;$B$42,raw_data!$A:$A,"&lt;="&amp;$C$42,raw_data!$F:$F,"Enrolled",raw_data!$C:$C,$V$1) - sumifs(raw_data!$E:$E,raw_data!$A:$A,"&gt;="&amp;$B$42,raw_data!$A:$A,"&lt;="&amp;$C$42,raw_data!$G:$G,"GS Foundation",raw_data!$F:$F,"Enrolled",raw_data!$C:$C,$V$1)</f>
        <v>30</v>
      </c>
      <c r="AA50" s="42">
        <f>sumifs(raw_data!$Z:$Z,raw_data!$T:$T,"&gt;="&amp;$B$42,raw_data!$T:$T,"&lt;="&amp;$C$42,raw_data!$U:$U,"Telephony",raw_data!$Y:$Y,$V$1,raw_data!$AA:$AA,"Enrolled")</f>
        <v>1</v>
      </c>
      <c r="AB50" s="29">
        <f>sumifs(raw_data!$Z:$Z,raw_data!$T:$T,"&gt;="&amp;$B$42,raw_data!$T:$T,"&lt;="&amp;$C$42 ,raw_data!$U:$U,"Paid Ads",raw_data!$Y:$Y,$V$1,raw_data!$AA:$AA,"Enrolled")</f>
        <v>0</v>
      </c>
      <c r="AC50" s="29"/>
      <c r="AD50" s="29">
        <f>sumifs(raw_data!$Z:$Z,raw_data!$T:$T,"&gt;="&amp;$B$42,raw_data!$T:$T,"&lt;="&amp;$C$42,raw_data!$U:$U,"External Leads",raw_data!$Y:$Y,$V$1,raw_data!$AA:$AA,"Enrolled")</f>
        <v>0</v>
      </c>
      <c r="AE50" s="79"/>
      <c r="AF50" s="41">
        <f>SUMIFS(raw_data!$E:$E,raw_data!$A:$A,"&gt;="&amp;$B$42,raw_data!$A:$A,"&lt;="&amp;$C$42,raw_data!$F:$F,"Enrolled",raw_data!$C:$C,$AF$1)</f>
        <v>15</v>
      </c>
      <c r="AG50" s="29">
        <f>sumifs(raw_data!$E:$E,raw_data!$A:$A,"&gt;="&amp;$B$42,raw_data!$A:$A,"&lt;="&amp;$C$42,raw_data!$D:$D,"Primary_Walkin",raw_data!$F:$F,"Enrolled",raw_data!$C:$C,$AF$1)</f>
        <v>13</v>
      </c>
      <c r="AH50" s="29">
        <f>sumifs(raw_data!$E:$E,raw_data!$A:$A,"&gt;="&amp;$B$42,raw_data!$A:$A,"&lt;="&amp;$C$42,raw_data!$D:$D,"Secondary_Walkin",raw_data!$F:$F,"Enrolled",raw_data!$C:$C,$AF$1)</f>
        <v>2</v>
      </c>
      <c r="AI50" s="29">
        <f>sumifs(raw_data!$E:$E,raw_data!$A:$A,"&gt;="&amp;$B$42,raw_data!$A:$A,"&lt;="&amp;$C$42,raw_data!$G:$G,"GS Foundation",raw_data!$F:$F,"Enrolled",raw_data!$C:$C,$AF$1)</f>
        <v>8</v>
      </c>
      <c r="AJ50" s="29">
        <f>SUMIFS(raw_data!$E:$E,raw_data!$A:$A,"&gt;="&amp;$B$42,raw_data!$A:$A,"&lt;="&amp;$C$42,raw_data!$F:$F,"Enrolled",raw_data!$C:$C,$AF$1) - sumifs(raw_data!$E:$E,raw_data!$A:$A,"&gt;="&amp;$B$42,raw_data!$A:$A,"&lt;="&amp;$C$42,raw_data!$G:$G,"GS Foundation",raw_data!$F:$F,"Enrolled",raw_data!$C:$C,$AF$1)</f>
        <v>7</v>
      </c>
      <c r="AK50" s="42">
        <f>sumifs(raw_data!$Z:$Z,raw_data!$T:$T,"&gt;="&amp;$B$42,raw_data!$T:$T,"&lt;="&amp;$C$42,raw_data!$U:$U,"Telephony",raw_data!$Y:$Y,$AF$1,raw_data!$AA:$AA,"Enrolled")</f>
        <v>1</v>
      </c>
      <c r="AL50" s="29">
        <f>sumifs(raw_data!$Z:$Z,raw_data!$T:$T,"&gt;="&amp;$B$42,raw_data!$T:$T,"&lt;="&amp;$C$42 ,raw_data!$U:$U,"Paid Ads",raw_data!$Y:$Y,$AF$1,raw_data!$AA:$AA,"Enrolled")</f>
        <v>1</v>
      </c>
      <c r="AM50" s="29"/>
      <c r="AN50" s="29">
        <f>sumifs(raw_data!$Z:$Z,raw_data!$T:$T,"&gt;="&amp;$B$42,raw_data!$T:$T,"&lt;="&amp;$C$42,raw_data!$U:$U,"External Leads",raw_data!$Y:$Y,$AF$1,raw_data!$AA:$AA,"Enrolled")</f>
        <v>1</v>
      </c>
      <c r="AO50" s="81"/>
      <c r="AP50" s="41">
        <f>SUMIFS(raw_data!$E:$E,raw_data!$A:$A,"&gt;="&amp;$B$42,raw_data!$A:$A,"&lt;="&amp;$C$42,raw_data!$F:$F,"Enrolled",raw_data!$C:$C,$AP$1)</f>
        <v>29</v>
      </c>
      <c r="AQ50" s="29">
        <f>sumifs(raw_data!$E:$E,raw_data!$A:$A,"&gt;="&amp;$B$42,raw_data!$A:$A,"&lt;="&amp;$C$42,raw_data!$D:$D,"Primary_Walkin",raw_data!$F:$F,"Enrolled",raw_data!$C:$C,$AP$1)</f>
        <v>25</v>
      </c>
      <c r="AR50" s="29">
        <f>sumifs(raw_data!$E:$E,raw_data!$A:$A,"&gt;="&amp;$B$42,raw_data!$A:$A,"&lt;="&amp;$C$42,raw_data!$D:$D,"Secondary_Walkin",raw_data!$F:$F,"Enrolled",raw_data!$C:$C,$AP$1)</f>
        <v>4</v>
      </c>
      <c r="AS50" s="29">
        <f>sumifs(raw_data!$E:$E,raw_data!$A:$A,"&gt;="&amp;$B$42,raw_data!$A:$A,"&lt;="&amp;$C$42,raw_data!$G:$G,"GS Foundation",raw_data!$F:$F,"Enrolled",raw_data!$C:$C,$AP$1)</f>
        <v>18</v>
      </c>
      <c r="AT50" s="29">
        <f>SUMIFS(raw_data!$E:$E,raw_data!$A:$A,"&gt;="&amp;$B$42,raw_data!$A:$A,"&lt;="&amp;$C$42,raw_data!$F:$F,"Enrolled",raw_data!$C:$C,$AP$1) - sumifs(raw_data!$E:$E,raw_data!$A:$A,"&gt;="&amp;$B$42,raw_data!$A:$A,"&lt;="&amp;$C$42,raw_data!$G:$G,"GS Foundation",raw_data!$F:$F,"Enrolled",raw_data!$C:$C,$AP$1)</f>
        <v>11</v>
      </c>
      <c r="AU50" s="42">
        <f>sumifs(raw_data!$Z:$Z,raw_data!$T:$T,"&gt;="&amp;$B$42,raw_data!$T:$T,"&lt;="&amp;$C$42,raw_data!$U:$U,"Telephony",raw_data!$Y:$Y,$AP$1,raw_data!$AA:$AA,"Enrolled")</f>
        <v>3</v>
      </c>
      <c r="AV50" s="29">
        <f>sumifs(raw_data!$Z:$Z,raw_data!$T:$T,"&gt;="&amp;$B$42,raw_data!$T:$T,"&lt;="&amp;$C$42 ,raw_data!$U:$U,"Paid Ads",raw_data!$Y:$Y,$AP$1,raw_data!$AA:$AA,"Enrolled")</f>
        <v>0</v>
      </c>
      <c r="AW50" s="29"/>
      <c r="AX50" s="29">
        <f>sumifs(raw_data!$Z:$Z,raw_data!$T:$T,"&gt;="&amp;$B$42,raw_data!$T:$T,"&lt;="&amp;$C$42,raw_data!$U:$U,"External Leads",raw_data!$Y:$Y,$AP$1,raw_data!$AA:$AA,"Enrolled")</f>
        <v>0</v>
      </c>
      <c r="AY50" s="81"/>
      <c r="AZ50" s="41">
        <f>SUMIFS(raw_data!$E:$E,raw_data!$A:$A,"&gt;="&amp;$B$42,raw_data!$A:$A,"&lt;="&amp;$C$42,raw_data!$F:$F,"Enrolled",raw_data!$C:$C,$AZ$1)</f>
        <v>30</v>
      </c>
      <c r="BA50" s="29">
        <f>sumifs(raw_data!$E:$E,raw_data!$A:$A,"&gt;="&amp;$B$42,raw_data!$A:$A,"&lt;="&amp;$C$42,raw_data!$D:$D,"Primary_Walkin",raw_data!$F:$F,"Enrolled",raw_data!$C:$C,$AZ$1)</f>
        <v>26</v>
      </c>
      <c r="BB50" s="29">
        <f>sumifs(raw_data!$E:$E,raw_data!$A:$A,"&gt;="&amp;$B$42,raw_data!$A:$A,"&lt;="&amp;$C$42,raw_data!$D:$D,"Secondary_Walkin",raw_data!$F:$F,"Enrolled",raw_data!$C:$C,$AZ$1)</f>
        <v>4</v>
      </c>
      <c r="BC50" s="29">
        <f>sumifs(raw_data!$E:$E,raw_data!$A:$A,"&gt;="&amp;$B$42,raw_data!$A:$A,"&lt;="&amp;$C$42,raw_data!$G:$G,"GS Foundation",raw_data!$F:$F,"Enrolled",raw_data!$C:$C,$AZ$1)</f>
        <v>12</v>
      </c>
      <c r="BD50" s="29">
        <f>SUMIFS(raw_data!$E:$E,raw_data!$A:$A,"&gt;="&amp;$B$42,raw_data!$A:$A,"&lt;="&amp;$C$42,raw_data!$F:$F,"Enrolled",raw_data!$C:$C,$AZ$1) - sumifs(raw_data!$E:$E,raw_data!$A:$A,"&gt;="&amp;$B$42,raw_data!$A:$A,"&lt;="&amp;$C$42,raw_data!$G:$G,"GS Foundation",raw_data!$F:$F,"Enrolled",raw_data!$C:$C,$AZ$1)</f>
        <v>18</v>
      </c>
      <c r="BE50" s="42">
        <f>sumifs(raw_data!$Z:$Z,raw_data!$T:$T,"&gt;="&amp;$B$42,raw_data!$T:$T,"&lt;="&amp;$C$42,raw_data!$U:$U,"Telephony",raw_data!$Y:$Y,$AZ$1,raw_data!$AA:$AA,"Enrolled")</f>
        <v>3</v>
      </c>
      <c r="BF50" s="29">
        <f>sumifs(raw_data!$Z:$Z,raw_data!$T:$T,"&gt;="&amp;$B$42,raw_data!$T:$T,"&lt;="&amp;$C$42 ,raw_data!$U:$U,"Paid Ads",raw_data!$Y:$Y,$AZ$1,raw_data!$AA:$AA,"Enrolled")</f>
        <v>0</v>
      </c>
      <c r="BG50" s="29"/>
      <c r="BH50" s="29">
        <f>sumifs(raw_data!$Z:$Z,raw_data!$T:$T,"&gt;="&amp;$B$42,raw_data!$T:$T,"&lt;="&amp;$C$42,raw_data!$U:$U,"External Leads",raw_data!$Y:$Y,$AZ$1,raw_data!$AA:$AA,"Enrolled")</f>
        <v>0</v>
      </c>
      <c r="BI50" s="82"/>
    </row>
    <row r="51">
      <c r="K51" s="79"/>
      <c r="U51" s="79"/>
      <c r="AE51" s="79"/>
      <c r="AF51" s="82"/>
      <c r="AG51" s="82"/>
      <c r="AH51" s="82"/>
      <c r="AI51" s="82"/>
      <c r="AJ51" s="82"/>
      <c r="AK51" s="82"/>
      <c r="AL51" s="82"/>
      <c r="AM51" s="82"/>
      <c r="AN51" s="82"/>
      <c r="AO51" s="81"/>
      <c r="AP51" s="82"/>
      <c r="AQ51" s="82"/>
      <c r="AR51" s="82"/>
      <c r="AS51" s="82"/>
      <c r="AT51" s="82"/>
      <c r="AU51" s="82"/>
      <c r="AV51" s="82"/>
      <c r="AW51" s="82"/>
      <c r="AX51" s="82"/>
      <c r="AY51" s="81"/>
      <c r="AZ51" s="82"/>
      <c r="BA51" s="82"/>
      <c r="BB51" s="82"/>
      <c r="BC51" s="82"/>
      <c r="BD51" s="82"/>
      <c r="BE51" s="82"/>
      <c r="BF51" s="82"/>
      <c r="BG51" s="82"/>
      <c r="BH51" s="82"/>
      <c r="BI51" s="82"/>
    </row>
    <row r="52">
      <c r="K52" s="79"/>
      <c r="U52" s="79"/>
      <c r="AE52" s="79"/>
      <c r="AF52" s="82"/>
      <c r="AG52" s="82"/>
      <c r="AH52" s="82"/>
      <c r="AI52" s="82"/>
      <c r="AJ52" s="82"/>
      <c r="AK52" s="82"/>
      <c r="AL52" s="82"/>
      <c r="AM52" s="82"/>
      <c r="AN52" s="82"/>
      <c r="AO52" s="81"/>
      <c r="AP52" s="82"/>
      <c r="AQ52" s="82"/>
      <c r="AR52" s="82"/>
      <c r="AS52" s="82"/>
      <c r="AT52" s="82"/>
      <c r="AU52" s="82"/>
      <c r="AV52" s="82"/>
      <c r="AW52" s="82"/>
      <c r="AX52" s="82"/>
      <c r="AY52" s="81"/>
      <c r="AZ52" s="82"/>
      <c r="BA52" s="82"/>
      <c r="BB52" s="82"/>
      <c r="BC52" s="82"/>
      <c r="BD52" s="82"/>
      <c r="BE52" s="82"/>
      <c r="BF52" s="82"/>
      <c r="BG52" s="82"/>
      <c r="BH52" s="82"/>
      <c r="BI52" s="82"/>
    </row>
    <row r="53">
      <c r="K53" s="79"/>
      <c r="U53" s="79"/>
      <c r="AE53" s="79"/>
      <c r="AF53" s="82"/>
      <c r="AG53" s="82"/>
      <c r="AH53" s="82"/>
      <c r="AI53" s="82"/>
      <c r="AJ53" s="82"/>
      <c r="AK53" s="82"/>
      <c r="AL53" s="82"/>
      <c r="AM53" s="82"/>
      <c r="AN53" s="82"/>
      <c r="AO53" s="81"/>
      <c r="AP53" s="82"/>
      <c r="AQ53" s="82"/>
      <c r="AR53" s="82"/>
      <c r="AS53" s="82"/>
      <c r="AT53" s="82"/>
      <c r="AU53" s="82"/>
      <c r="AV53" s="82"/>
      <c r="AW53" s="82"/>
      <c r="AX53" s="82"/>
      <c r="AY53" s="81"/>
      <c r="AZ53" s="82"/>
      <c r="BA53" s="82"/>
      <c r="BB53" s="82"/>
      <c r="BC53" s="82"/>
      <c r="BD53" s="82"/>
      <c r="BE53" s="82"/>
      <c r="BF53" s="82"/>
      <c r="BG53" s="82"/>
      <c r="BH53" s="82"/>
      <c r="BI53" s="82"/>
    </row>
    <row r="54">
      <c r="K54" s="79"/>
      <c r="U54" s="79"/>
      <c r="AE54" s="79"/>
      <c r="AF54" s="82"/>
      <c r="AG54" s="82"/>
      <c r="AH54" s="82"/>
      <c r="AI54" s="82"/>
      <c r="AJ54" s="82"/>
      <c r="AK54" s="82"/>
      <c r="AL54" s="82"/>
      <c r="AM54" s="82"/>
      <c r="AN54" s="82"/>
      <c r="AO54" s="81"/>
      <c r="AP54" s="82"/>
      <c r="AQ54" s="82"/>
      <c r="AR54" s="82"/>
      <c r="AS54" s="82"/>
      <c r="AT54" s="82"/>
      <c r="AU54" s="82"/>
      <c r="AV54" s="82"/>
      <c r="AW54" s="82"/>
      <c r="AX54" s="82"/>
      <c r="AY54" s="81"/>
      <c r="AZ54" s="82"/>
      <c r="BA54" s="82"/>
      <c r="BB54" s="82"/>
      <c r="BC54" s="82"/>
      <c r="BD54" s="82"/>
      <c r="BE54" s="82"/>
      <c r="BF54" s="82"/>
      <c r="BG54" s="82"/>
      <c r="BH54" s="82"/>
      <c r="BI54" s="82"/>
    </row>
    <row r="55">
      <c r="K55" s="79"/>
      <c r="U55" s="79"/>
      <c r="AE55" s="79"/>
      <c r="AF55" s="82"/>
      <c r="AG55" s="82"/>
      <c r="AH55" s="82"/>
      <c r="AI55" s="82"/>
      <c r="AJ55" s="82"/>
      <c r="AK55" s="82"/>
      <c r="AL55" s="82"/>
      <c r="AM55" s="82"/>
      <c r="AN55" s="82"/>
      <c r="AO55" s="81"/>
      <c r="AP55" s="82"/>
      <c r="AQ55" s="82"/>
      <c r="AR55" s="82"/>
      <c r="AS55" s="82"/>
      <c r="AT55" s="82"/>
      <c r="AU55" s="82"/>
      <c r="AV55" s="82"/>
      <c r="AW55" s="82"/>
      <c r="AX55" s="82"/>
      <c r="AY55" s="81"/>
      <c r="AZ55" s="82"/>
      <c r="BA55" s="82"/>
      <c r="BB55" s="82"/>
      <c r="BC55" s="82"/>
      <c r="BD55" s="82"/>
      <c r="BE55" s="82"/>
      <c r="BF55" s="82"/>
      <c r="BG55" s="82"/>
      <c r="BH55" s="82"/>
      <c r="BI55" s="82"/>
    </row>
    <row r="56">
      <c r="K56" s="79"/>
      <c r="U56" s="79"/>
      <c r="AE56" s="79"/>
      <c r="AF56" s="82"/>
      <c r="AG56" s="82"/>
      <c r="AH56" s="82"/>
      <c r="AI56" s="82"/>
      <c r="AJ56" s="82"/>
      <c r="AK56" s="82"/>
      <c r="AL56" s="82"/>
      <c r="AM56" s="82"/>
      <c r="AN56" s="82"/>
      <c r="AO56" s="81"/>
      <c r="AP56" s="82"/>
      <c r="AQ56" s="82"/>
      <c r="AR56" s="82"/>
      <c r="AS56" s="82"/>
      <c r="AT56" s="82"/>
      <c r="AU56" s="82"/>
      <c r="AV56" s="82"/>
      <c r="AW56" s="82"/>
      <c r="AX56" s="82"/>
      <c r="AY56" s="81"/>
      <c r="AZ56" s="82"/>
      <c r="BA56" s="82"/>
      <c r="BB56" s="82"/>
      <c r="BC56" s="82"/>
      <c r="BD56" s="82"/>
      <c r="BE56" s="82"/>
      <c r="BF56" s="82"/>
      <c r="BG56" s="82"/>
      <c r="BH56" s="82"/>
      <c r="BI56" s="82"/>
    </row>
    <row r="57">
      <c r="K57" s="79"/>
      <c r="U57" s="79"/>
      <c r="AE57" s="79"/>
      <c r="AF57" s="82"/>
      <c r="AG57" s="82"/>
      <c r="AH57" s="82"/>
      <c r="AI57" s="82"/>
      <c r="AJ57" s="82"/>
      <c r="AK57" s="82"/>
      <c r="AL57" s="82"/>
      <c r="AM57" s="82"/>
      <c r="AN57" s="82"/>
      <c r="AO57" s="81"/>
      <c r="AP57" s="82"/>
      <c r="AQ57" s="82"/>
      <c r="AR57" s="82"/>
      <c r="AS57" s="82"/>
      <c r="AT57" s="82"/>
      <c r="AU57" s="82"/>
      <c r="AV57" s="82"/>
      <c r="AW57" s="82"/>
      <c r="AX57" s="82"/>
      <c r="AY57" s="81"/>
      <c r="AZ57" s="82"/>
      <c r="BA57" s="82"/>
      <c r="BB57" s="82"/>
      <c r="BC57" s="82"/>
      <c r="BD57" s="82"/>
      <c r="BE57" s="82"/>
      <c r="BF57" s="82"/>
      <c r="BG57" s="82"/>
      <c r="BH57" s="82"/>
      <c r="BI57" s="82"/>
    </row>
    <row r="58">
      <c r="K58" s="79"/>
      <c r="U58" s="79"/>
      <c r="AE58" s="79"/>
      <c r="AF58" s="82"/>
      <c r="AG58" s="82"/>
      <c r="AH58" s="82"/>
      <c r="AI58" s="82"/>
      <c r="AJ58" s="82"/>
      <c r="AK58" s="82"/>
      <c r="AL58" s="82"/>
      <c r="AM58" s="82"/>
      <c r="AN58" s="82"/>
      <c r="AO58" s="81"/>
      <c r="AP58" s="82"/>
      <c r="AQ58" s="82"/>
      <c r="AR58" s="82"/>
      <c r="AS58" s="82"/>
      <c r="AT58" s="82"/>
      <c r="AU58" s="82"/>
      <c r="AV58" s="82"/>
      <c r="AW58" s="82"/>
      <c r="AX58" s="82"/>
      <c r="AY58" s="81"/>
      <c r="AZ58" s="82"/>
      <c r="BA58" s="82"/>
      <c r="BB58" s="82"/>
      <c r="BC58" s="82"/>
      <c r="BD58" s="82"/>
      <c r="BE58" s="82"/>
      <c r="BF58" s="82"/>
      <c r="BG58" s="82"/>
      <c r="BH58" s="82"/>
      <c r="BI58" s="82"/>
    </row>
    <row r="59">
      <c r="K59" s="79"/>
      <c r="U59" s="79"/>
      <c r="AE59" s="79"/>
      <c r="AF59" s="82"/>
      <c r="AG59" s="82"/>
      <c r="AH59" s="82"/>
      <c r="AI59" s="82"/>
      <c r="AJ59" s="82"/>
      <c r="AK59" s="82"/>
      <c r="AL59" s="82"/>
      <c r="AM59" s="82"/>
      <c r="AN59" s="82"/>
      <c r="AO59" s="81"/>
      <c r="AP59" s="82"/>
      <c r="AQ59" s="82"/>
      <c r="AR59" s="82"/>
      <c r="AS59" s="82"/>
      <c r="AT59" s="82"/>
      <c r="AU59" s="82"/>
      <c r="AV59" s="82"/>
      <c r="AW59" s="82"/>
      <c r="AX59" s="82"/>
      <c r="AY59" s="81"/>
      <c r="AZ59" s="82"/>
      <c r="BA59" s="82"/>
      <c r="BB59" s="82"/>
      <c r="BC59" s="82"/>
      <c r="BD59" s="82"/>
      <c r="BE59" s="82"/>
      <c r="BF59" s="82"/>
      <c r="BG59" s="82"/>
      <c r="BH59" s="82"/>
      <c r="BI59" s="82"/>
    </row>
    <row r="60">
      <c r="K60" s="79"/>
      <c r="U60" s="79"/>
      <c r="AE60" s="79"/>
      <c r="AF60" s="82"/>
      <c r="AG60" s="82"/>
      <c r="AH60" s="82"/>
      <c r="AI60" s="82"/>
      <c r="AJ60" s="82"/>
      <c r="AK60" s="82"/>
      <c r="AL60" s="82"/>
      <c r="AM60" s="82"/>
      <c r="AN60" s="82"/>
      <c r="AO60" s="81"/>
      <c r="AP60" s="82"/>
      <c r="AQ60" s="82"/>
      <c r="AR60" s="82"/>
      <c r="AS60" s="82"/>
      <c r="AT60" s="82"/>
      <c r="AU60" s="82"/>
      <c r="AV60" s="82"/>
      <c r="AW60" s="82"/>
      <c r="AX60" s="82"/>
      <c r="AY60" s="81"/>
      <c r="AZ60" s="82"/>
      <c r="BA60" s="82"/>
      <c r="BB60" s="82"/>
      <c r="BC60" s="82"/>
      <c r="BD60" s="82"/>
      <c r="BE60" s="82"/>
      <c r="BF60" s="82"/>
      <c r="BG60" s="82"/>
      <c r="BH60" s="82"/>
      <c r="BI60" s="82"/>
    </row>
    <row r="61">
      <c r="K61" s="79"/>
      <c r="U61" s="79"/>
      <c r="AE61" s="79"/>
      <c r="AF61" s="82"/>
      <c r="AG61" s="82"/>
      <c r="AH61" s="82"/>
      <c r="AI61" s="82"/>
      <c r="AJ61" s="82"/>
      <c r="AK61" s="82"/>
      <c r="AL61" s="82"/>
      <c r="AM61" s="82"/>
      <c r="AN61" s="82"/>
      <c r="AO61" s="81"/>
      <c r="AP61" s="82"/>
      <c r="AQ61" s="82"/>
      <c r="AR61" s="82"/>
      <c r="AS61" s="82"/>
      <c r="AT61" s="82"/>
      <c r="AU61" s="82"/>
      <c r="AV61" s="82"/>
      <c r="AW61" s="82"/>
      <c r="AX61" s="82"/>
      <c r="AY61" s="81"/>
      <c r="AZ61" s="82"/>
      <c r="BA61" s="82"/>
      <c r="BB61" s="82"/>
      <c r="BC61" s="82"/>
      <c r="BD61" s="82"/>
      <c r="BE61" s="82"/>
      <c r="BF61" s="82"/>
      <c r="BG61" s="82"/>
      <c r="BH61" s="82"/>
      <c r="BI61" s="82"/>
    </row>
    <row r="62">
      <c r="K62" s="79"/>
      <c r="U62" s="79"/>
      <c r="AE62" s="79"/>
      <c r="AF62" s="82"/>
      <c r="AG62" s="82"/>
      <c r="AH62" s="82"/>
      <c r="AI62" s="82"/>
      <c r="AJ62" s="82"/>
      <c r="AK62" s="82"/>
      <c r="AL62" s="82"/>
      <c r="AM62" s="82"/>
      <c r="AN62" s="82"/>
      <c r="AO62" s="81"/>
      <c r="AP62" s="82"/>
      <c r="AQ62" s="82"/>
      <c r="AR62" s="82"/>
      <c r="AS62" s="82"/>
      <c r="AT62" s="82"/>
      <c r="AU62" s="82"/>
      <c r="AV62" s="82"/>
      <c r="AW62" s="82"/>
      <c r="AX62" s="82"/>
      <c r="AY62" s="81"/>
      <c r="AZ62" s="82"/>
      <c r="BA62" s="82"/>
      <c r="BB62" s="82"/>
      <c r="BC62" s="82"/>
      <c r="BD62" s="82"/>
      <c r="BE62" s="82"/>
      <c r="BF62" s="82"/>
      <c r="BG62" s="82"/>
      <c r="BH62" s="82"/>
      <c r="BI62" s="82"/>
    </row>
    <row r="63">
      <c r="K63" s="79"/>
      <c r="U63" s="79"/>
      <c r="AE63" s="79"/>
      <c r="AF63" s="82"/>
      <c r="AG63" s="82"/>
      <c r="AH63" s="82"/>
      <c r="AI63" s="82"/>
      <c r="AJ63" s="82"/>
      <c r="AK63" s="82"/>
      <c r="AL63" s="82"/>
      <c r="AM63" s="82"/>
      <c r="AN63" s="82"/>
      <c r="AO63" s="81"/>
      <c r="AP63" s="82"/>
      <c r="AQ63" s="82"/>
      <c r="AR63" s="82"/>
      <c r="AS63" s="82"/>
      <c r="AT63" s="82"/>
      <c r="AU63" s="82"/>
      <c r="AV63" s="82"/>
      <c r="AW63" s="82"/>
      <c r="AX63" s="82"/>
      <c r="AY63" s="81"/>
      <c r="AZ63" s="82"/>
      <c r="BA63" s="82"/>
      <c r="BB63" s="82"/>
      <c r="BC63" s="82"/>
      <c r="BD63" s="82"/>
      <c r="BE63" s="82"/>
      <c r="BF63" s="82"/>
      <c r="BG63" s="82"/>
      <c r="BH63" s="82"/>
      <c r="BI63" s="82"/>
    </row>
    <row r="64">
      <c r="K64" s="79"/>
      <c r="U64" s="79"/>
      <c r="AE64" s="79"/>
      <c r="AF64" s="82"/>
      <c r="AG64" s="82"/>
      <c r="AH64" s="82"/>
      <c r="AI64" s="82"/>
      <c r="AJ64" s="82"/>
      <c r="AK64" s="82"/>
      <c r="AL64" s="82"/>
      <c r="AM64" s="82"/>
      <c r="AN64" s="82"/>
      <c r="AO64" s="81"/>
      <c r="AP64" s="82"/>
      <c r="AQ64" s="82"/>
      <c r="AR64" s="82"/>
      <c r="AS64" s="82"/>
      <c r="AT64" s="82"/>
      <c r="AU64" s="82"/>
      <c r="AV64" s="82"/>
      <c r="AW64" s="82"/>
      <c r="AX64" s="82"/>
      <c r="AY64" s="81"/>
      <c r="AZ64" s="82"/>
      <c r="BA64" s="82"/>
      <c r="BB64" s="82"/>
      <c r="BC64" s="82"/>
      <c r="BD64" s="82"/>
      <c r="BE64" s="82"/>
      <c r="BF64" s="82"/>
      <c r="BG64" s="82"/>
      <c r="BH64" s="82"/>
      <c r="BI64" s="82"/>
    </row>
    <row r="65">
      <c r="K65" s="79"/>
      <c r="U65" s="79"/>
      <c r="AE65" s="79"/>
      <c r="AF65" s="82"/>
      <c r="AG65" s="82"/>
      <c r="AH65" s="82"/>
      <c r="AI65" s="82"/>
      <c r="AJ65" s="82"/>
      <c r="AK65" s="82"/>
      <c r="AL65" s="82"/>
      <c r="AM65" s="82"/>
      <c r="AN65" s="82"/>
      <c r="AO65" s="81"/>
      <c r="AP65" s="82"/>
      <c r="AQ65" s="82"/>
      <c r="AR65" s="82"/>
      <c r="AS65" s="82"/>
      <c r="AT65" s="82"/>
      <c r="AU65" s="82"/>
      <c r="AV65" s="82"/>
      <c r="AW65" s="82"/>
      <c r="AX65" s="82"/>
      <c r="AY65" s="81"/>
      <c r="AZ65" s="82"/>
      <c r="BA65" s="82"/>
      <c r="BB65" s="82"/>
      <c r="BC65" s="82"/>
      <c r="BD65" s="82"/>
      <c r="BE65" s="82"/>
      <c r="BF65" s="82"/>
      <c r="BG65" s="82"/>
      <c r="BH65" s="82"/>
      <c r="BI65" s="82"/>
    </row>
    <row r="66">
      <c r="K66" s="79"/>
      <c r="U66" s="79"/>
      <c r="AE66" s="79"/>
      <c r="AF66" s="82"/>
      <c r="AG66" s="82"/>
      <c r="AH66" s="82"/>
      <c r="AI66" s="82"/>
      <c r="AJ66" s="82"/>
      <c r="AK66" s="82"/>
      <c r="AL66" s="82"/>
      <c r="AM66" s="82"/>
      <c r="AN66" s="82"/>
      <c r="AO66" s="81"/>
      <c r="AP66" s="82"/>
      <c r="AQ66" s="82"/>
      <c r="AR66" s="82"/>
      <c r="AS66" s="82"/>
      <c r="AT66" s="82"/>
      <c r="AU66" s="82"/>
      <c r="AV66" s="82"/>
      <c r="AW66" s="82"/>
      <c r="AX66" s="82"/>
      <c r="AY66" s="81"/>
      <c r="AZ66" s="82"/>
      <c r="BA66" s="82"/>
      <c r="BB66" s="82"/>
      <c r="BC66" s="82"/>
      <c r="BD66" s="82"/>
      <c r="BE66" s="82"/>
      <c r="BF66" s="82"/>
      <c r="BG66" s="82"/>
      <c r="BH66" s="82"/>
      <c r="BI66" s="82"/>
    </row>
    <row r="67">
      <c r="K67" s="79"/>
      <c r="U67" s="79"/>
      <c r="AE67" s="79"/>
      <c r="AF67" s="82"/>
      <c r="AG67" s="82"/>
      <c r="AH67" s="82"/>
      <c r="AI67" s="82"/>
      <c r="AJ67" s="82"/>
      <c r="AK67" s="82"/>
      <c r="AL67" s="82"/>
      <c r="AM67" s="82"/>
      <c r="AN67" s="82"/>
      <c r="AO67" s="81"/>
      <c r="AP67" s="82"/>
      <c r="AQ67" s="82"/>
      <c r="AR67" s="82"/>
      <c r="AS67" s="82"/>
      <c r="AT67" s="82"/>
      <c r="AU67" s="82"/>
      <c r="AV67" s="82"/>
      <c r="AW67" s="82"/>
      <c r="AX67" s="82"/>
      <c r="AY67" s="81"/>
      <c r="AZ67" s="82"/>
      <c r="BA67" s="82"/>
      <c r="BB67" s="82"/>
      <c r="BC67" s="82"/>
      <c r="BD67" s="82"/>
      <c r="BE67" s="82"/>
      <c r="BF67" s="82"/>
      <c r="BG67" s="82"/>
      <c r="BH67" s="82"/>
      <c r="BI67" s="82"/>
    </row>
    <row r="68">
      <c r="K68" s="79"/>
      <c r="U68" s="79"/>
      <c r="AE68" s="79"/>
      <c r="AF68" s="82"/>
      <c r="AG68" s="82"/>
      <c r="AH68" s="82"/>
      <c r="AI68" s="82"/>
      <c r="AJ68" s="82"/>
      <c r="AK68" s="82"/>
      <c r="AL68" s="82"/>
      <c r="AM68" s="82"/>
      <c r="AN68" s="82"/>
      <c r="AO68" s="81"/>
      <c r="AP68" s="82"/>
      <c r="AQ68" s="82"/>
      <c r="AR68" s="82"/>
      <c r="AS68" s="82"/>
      <c r="AT68" s="82"/>
      <c r="AU68" s="82"/>
      <c r="AV68" s="82"/>
      <c r="AW68" s="82"/>
      <c r="AX68" s="82"/>
      <c r="AY68" s="81"/>
      <c r="AZ68" s="82"/>
      <c r="BA68" s="82"/>
      <c r="BB68" s="82"/>
      <c r="BC68" s="82"/>
      <c r="BD68" s="82"/>
      <c r="BE68" s="82"/>
      <c r="BF68" s="82"/>
      <c r="BG68" s="82"/>
      <c r="BH68" s="82"/>
      <c r="BI68" s="82"/>
    </row>
    <row r="69">
      <c r="K69" s="79"/>
      <c r="U69" s="79"/>
      <c r="AE69" s="79"/>
      <c r="AF69" s="82"/>
      <c r="AG69" s="82"/>
      <c r="AH69" s="82"/>
      <c r="AI69" s="82"/>
      <c r="AJ69" s="82"/>
      <c r="AK69" s="82"/>
      <c r="AL69" s="82"/>
      <c r="AM69" s="82"/>
      <c r="AN69" s="82"/>
      <c r="AO69" s="81"/>
      <c r="AP69" s="82"/>
      <c r="AQ69" s="82"/>
      <c r="AR69" s="82"/>
      <c r="AS69" s="82"/>
      <c r="AT69" s="82"/>
      <c r="AU69" s="82"/>
      <c r="AV69" s="82"/>
      <c r="AW69" s="82"/>
      <c r="AX69" s="82"/>
      <c r="AY69" s="81"/>
      <c r="AZ69" s="82"/>
      <c r="BA69" s="82"/>
      <c r="BB69" s="82"/>
      <c r="BC69" s="82"/>
      <c r="BD69" s="82"/>
      <c r="BE69" s="82"/>
      <c r="BF69" s="82"/>
      <c r="BG69" s="82"/>
      <c r="BH69" s="82"/>
      <c r="BI69" s="82"/>
    </row>
    <row r="70">
      <c r="K70" s="79"/>
      <c r="U70" s="79"/>
      <c r="AE70" s="79"/>
      <c r="AF70" s="82"/>
      <c r="AG70" s="82"/>
      <c r="AH70" s="82"/>
      <c r="AI70" s="82"/>
      <c r="AJ70" s="82"/>
      <c r="AK70" s="82"/>
      <c r="AL70" s="82"/>
      <c r="AM70" s="82"/>
      <c r="AN70" s="82"/>
      <c r="AO70" s="81"/>
      <c r="AP70" s="82"/>
      <c r="AQ70" s="82"/>
      <c r="AR70" s="82"/>
      <c r="AS70" s="82"/>
      <c r="AT70" s="82"/>
      <c r="AU70" s="82"/>
      <c r="AV70" s="82"/>
      <c r="AW70" s="82"/>
      <c r="AX70" s="82"/>
      <c r="AY70" s="81"/>
      <c r="AZ70" s="82"/>
      <c r="BA70" s="82"/>
      <c r="BB70" s="82"/>
      <c r="BC70" s="82"/>
      <c r="BD70" s="82"/>
      <c r="BE70" s="82"/>
      <c r="BF70" s="82"/>
      <c r="BG70" s="82"/>
      <c r="BH70" s="82"/>
      <c r="BI70" s="82"/>
    </row>
    <row r="71">
      <c r="K71" s="79"/>
      <c r="U71" s="79"/>
      <c r="AE71" s="79"/>
      <c r="AF71" s="82"/>
      <c r="AG71" s="82"/>
      <c r="AH71" s="82"/>
      <c r="AI71" s="82"/>
      <c r="AJ71" s="82"/>
      <c r="AK71" s="82"/>
      <c r="AL71" s="82"/>
      <c r="AM71" s="82"/>
      <c r="AN71" s="82"/>
      <c r="AO71" s="81"/>
      <c r="AP71" s="82"/>
      <c r="AQ71" s="82"/>
      <c r="AR71" s="82"/>
      <c r="AS71" s="82"/>
      <c r="AT71" s="82"/>
      <c r="AU71" s="82"/>
      <c r="AV71" s="82"/>
      <c r="AW71" s="82"/>
      <c r="AX71" s="82"/>
      <c r="AY71" s="81"/>
      <c r="AZ71" s="82"/>
      <c r="BA71" s="82"/>
      <c r="BB71" s="82"/>
      <c r="BC71" s="82"/>
      <c r="BD71" s="82"/>
      <c r="BE71" s="82"/>
      <c r="BF71" s="82"/>
      <c r="BG71" s="82"/>
      <c r="BH71" s="82"/>
      <c r="BI71" s="82"/>
    </row>
    <row r="72">
      <c r="K72" s="79"/>
      <c r="U72" s="79"/>
      <c r="AE72" s="79"/>
      <c r="AF72" s="82"/>
      <c r="AG72" s="82"/>
      <c r="AH72" s="82"/>
      <c r="AI72" s="82"/>
      <c r="AJ72" s="82"/>
      <c r="AK72" s="82"/>
      <c r="AL72" s="82"/>
      <c r="AM72" s="82"/>
      <c r="AN72" s="82"/>
      <c r="AO72" s="81"/>
      <c r="AP72" s="82"/>
      <c r="AQ72" s="82"/>
      <c r="AR72" s="82"/>
      <c r="AS72" s="82"/>
      <c r="AT72" s="82"/>
      <c r="AU72" s="82"/>
      <c r="AV72" s="82"/>
      <c r="AW72" s="82"/>
      <c r="AX72" s="82"/>
      <c r="AY72" s="81"/>
      <c r="AZ72" s="82"/>
      <c r="BA72" s="82"/>
      <c r="BB72" s="82"/>
      <c r="BC72" s="82"/>
      <c r="BD72" s="82"/>
      <c r="BE72" s="82"/>
      <c r="BF72" s="82"/>
      <c r="BG72" s="82"/>
      <c r="BH72" s="82"/>
      <c r="BI72" s="82"/>
    </row>
    <row r="73">
      <c r="K73" s="79"/>
      <c r="U73" s="79"/>
      <c r="AE73" s="79"/>
      <c r="AF73" s="82"/>
      <c r="AG73" s="82"/>
      <c r="AH73" s="82"/>
      <c r="AI73" s="82"/>
      <c r="AJ73" s="82"/>
      <c r="AK73" s="82"/>
      <c r="AL73" s="82"/>
      <c r="AM73" s="82"/>
      <c r="AN73" s="82"/>
      <c r="AO73" s="81"/>
      <c r="AP73" s="82"/>
      <c r="AQ73" s="82"/>
      <c r="AR73" s="82"/>
      <c r="AS73" s="82"/>
      <c r="AT73" s="82"/>
      <c r="AU73" s="82"/>
      <c r="AV73" s="82"/>
      <c r="AW73" s="82"/>
      <c r="AX73" s="82"/>
      <c r="AY73" s="81"/>
      <c r="AZ73" s="82"/>
      <c r="BA73" s="82"/>
      <c r="BB73" s="82"/>
      <c r="BC73" s="82"/>
      <c r="BD73" s="82"/>
      <c r="BE73" s="82"/>
      <c r="BF73" s="82"/>
      <c r="BG73" s="82"/>
      <c r="BH73" s="82"/>
      <c r="BI73" s="82"/>
    </row>
    <row r="74">
      <c r="K74" s="79"/>
      <c r="U74" s="79"/>
      <c r="AE74" s="79"/>
      <c r="AF74" s="82"/>
      <c r="AG74" s="82"/>
      <c r="AH74" s="82"/>
      <c r="AI74" s="82"/>
      <c r="AJ74" s="82"/>
      <c r="AK74" s="82"/>
      <c r="AL74" s="82"/>
      <c r="AM74" s="82"/>
      <c r="AN74" s="82"/>
      <c r="AO74" s="81"/>
      <c r="AP74" s="82"/>
      <c r="AQ74" s="82"/>
      <c r="AR74" s="82"/>
      <c r="AS74" s="82"/>
      <c r="AT74" s="82"/>
      <c r="AU74" s="82"/>
      <c r="AV74" s="82"/>
      <c r="AW74" s="82"/>
      <c r="AX74" s="82"/>
      <c r="AY74" s="81"/>
      <c r="AZ74" s="82"/>
      <c r="BA74" s="82"/>
      <c r="BB74" s="82"/>
      <c r="BC74" s="82"/>
      <c r="BD74" s="82"/>
      <c r="BE74" s="82"/>
      <c r="BF74" s="82"/>
      <c r="BG74" s="82"/>
      <c r="BH74" s="82"/>
      <c r="BI74" s="82"/>
    </row>
    <row r="75">
      <c r="K75" s="79"/>
      <c r="U75" s="79"/>
      <c r="AE75" s="79"/>
      <c r="AF75" s="82"/>
      <c r="AG75" s="82"/>
      <c r="AH75" s="82"/>
      <c r="AI75" s="82"/>
      <c r="AJ75" s="82"/>
      <c r="AK75" s="82"/>
      <c r="AL75" s="82"/>
      <c r="AM75" s="82"/>
      <c r="AN75" s="82"/>
      <c r="AO75" s="81"/>
      <c r="AP75" s="82"/>
      <c r="AQ75" s="82"/>
      <c r="AR75" s="82"/>
      <c r="AS75" s="82"/>
      <c r="AT75" s="82"/>
      <c r="AU75" s="82"/>
      <c r="AV75" s="82"/>
      <c r="AW75" s="82"/>
      <c r="AX75" s="82"/>
      <c r="AY75" s="81"/>
      <c r="AZ75" s="82"/>
      <c r="BA75" s="82"/>
      <c r="BB75" s="82"/>
      <c r="BC75" s="82"/>
      <c r="BD75" s="82"/>
      <c r="BE75" s="82"/>
      <c r="BF75" s="82"/>
      <c r="BG75" s="82"/>
      <c r="BH75" s="82"/>
      <c r="BI75" s="82"/>
    </row>
    <row r="76">
      <c r="K76" s="79"/>
      <c r="U76" s="79"/>
      <c r="AE76" s="79"/>
      <c r="AF76" s="82"/>
      <c r="AG76" s="82"/>
      <c r="AH76" s="82"/>
      <c r="AI76" s="82"/>
      <c r="AJ76" s="82"/>
      <c r="AK76" s="82"/>
      <c r="AL76" s="82"/>
      <c r="AM76" s="82"/>
      <c r="AN76" s="82"/>
      <c r="AO76" s="81"/>
      <c r="AP76" s="82"/>
      <c r="AQ76" s="82"/>
      <c r="AR76" s="82"/>
      <c r="AS76" s="82"/>
      <c r="AT76" s="82"/>
      <c r="AU76" s="82"/>
      <c r="AV76" s="82"/>
      <c r="AW76" s="82"/>
      <c r="AX76" s="82"/>
      <c r="AY76" s="81"/>
      <c r="AZ76" s="82"/>
      <c r="BA76" s="82"/>
      <c r="BB76" s="82"/>
      <c r="BC76" s="82"/>
      <c r="BD76" s="82"/>
      <c r="BE76" s="82"/>
      <c r="BF76" s="82"/>
      <c r="BG76" s="82"/>
      <c r="BH76" s="82"/>
      <c r="BI76" s="82"/>
    </row>
    <row r="77">
      <c r="K77" s="79"/>
      <c r="U77" s="79"/>
      <c r="AE77" s="79"/>
      <c r="AF77" s="82"/>
      <c r="AG77" s="82"/>
      <c r="AH77" s="82"/>
      <c r="AI77" s="82"/>
      <c r="AJ77" s="82"/>
      <c r="AK77" s="82"/>
      <c r="AL77" s="82"/>
      <c r="AM77" s="82"/>
      <c r="AN77" s="82"/>
      <c r="AO77" s="81"/>
      <c r="AP77" s="82"/>
      <c r="AQ77" s="82"/>
      <c r="AR77" s="82"/>
      <c r="AS77" s="82"/>
      <c r="AT77" s="82"/>
      <c r="AU77" s="82"/>
      <c r="AV77" s="82"/>
      <c r="AW77" s="82"/>
      <c r="AX77" s="82"/>
      <c r="AY77" s="81"/>
      <c r="AZ77" s="82"/>
      <c r="BA77" s="82"/>
      <c r="BB77" s="82"/>
      <c r="BC77" s="82"/>
      <c r="BD77" s="82"/>
      <c r="BE77" s="82"/>
      <c r="BF77" s="82"/>
      <c r="BG77" s="82"/>
      <c r="BH77" s="82"/>
      <c r="BI77" s="82"/>
    </row>
    <row r="78">
      <c r="K78" s="79"/>
      <c r="U78" s="79"/>
      <c r="AE78" s="79"/>
      <c r="AF78" s="82"/>
      <c r="AG78" s="82"/>
      <c r="AH78" s="82"/>
      <c r="AI78" s="82"/>
      <c r="AJ78" s="82"/>
      <c r="AK78" s="82"/>
      <c r="AL78" s="82"/>
      <c r="AM78" s="82"/>
      <c r="AN78" s="82"/>
      <c r="AO78" s="81"/>
      <c r="AP78" s="82"/>
      <c r="AQ78" s="82"/>
      <c r="AR78" s="82"/>
      <c r="AS78" s="82"/>
      <c r="AT78" s="82"/>
      <c r="AU78" s="82"/>
      <c r="AV78" s="82"/>
      <c r="AW78" s="82"/>
      <c r="AX78" s="82"/>
      <c r="AY78" s="81"/>
      <c r="AZ78" s="82"/>
      <c r="BA78" s="82"/>
      <c r="BB78" s="82"/>
      <c r="BC78" s="82"/>
      <c r="BD78" s="82"/>
      <c r="BE78" s="82"/>
      <c r="BF78" s="82"/>
      <c r="BG78" s="82"/>
      <c r="BH78" s="82"/>
      <c r="BI78" s="82"/>
    </row>
    <row r="79">
      <c r="K79" s="79"/>
      <c r="U79" s="79"/>
      <c r="AE79" s="79"/>
      <c r="AF79" s="82"/>
      <c r="AG79" s="82"/>
      <c r="AH79" s="82"/>
      <c r="AI79" s="82"/>
      <c r="AJ79" s="82"/>
      <c r="AK79" s="82"/>
      <c r="AL79" s="82"/>
      <c r="AM79" s="82"/>
      <c r="AN79" s="82"/>
      <c r="AO79" s="81"/>
      <c r="AP79" s="82"/>
      <c r="AQ79" s="82"/>
      <c r="AR79" s="82"/>
      <c r="AS79" s="82"/>
      <c r="AT79" s="82"/>
      <c r="AU79" s="82"/>
      <c r="AV79" s="82"/>
      <c r="AW79" s="82"/>
      <c r="AX79" s="82"/>
      <c r="AY79" s="81"/>
      <c r="AZ79" s="82"/>
      <c r="BA79" s="82"/>
      <c r="BB79" s="82"/>
      <c r="BC79" s="82"/>
      <c r="BD79" s="82"/>
      <c r="BE79" s="82"/>
      <c r="BF79" s="82"/>
      <c r="BG79" s="82"/>
      <c r="BH79" s="82"/>
      <c r="BI79" s="82"/>
    </row>
    <row r="80">
      <c r="K80" s="79"/>
      <c r="U80" s="79"/>
      <c r="AE80" s="79"/>
      <c r="AF80" s="82"/>
      <c r="AG80" s="82"/>
      <c r="AH80" s="82"/>
      <c r="AI80" s="82"/>
      <c r="AJ80" s="82"/>
      <c r="AK80" s="82"/>
      <c r="AL80" s="82"/>
      <c r="AM80" s="82"/>
      <c r="AN80" s="82"/>
      <c r="AO80" s="81"/>
      <c r="AP80" s="82"/>
      <c r="AQ80" s="82"/>
      <c r="AR80" s="82"/>
      <c r="AS80" s="82"/>
      <c r="AT80" s="82"/>
      <c r="AU80" s="82"/>
      <c r="AV80" s="82"/>
      <c r="AW80" s="82"/>
      <c r="AX80" s="82"/>
      <c r="AY80" s="81"/>
      <c r="AZ80" s="82"/>
      <c r="BA80" s="82"/>
      <c r="BB80" s="82"/>
      <c r="BC80" s="82"/>
      <c r="BD80" s="82"/>
      <c r="BE80" s="82"/>
      <c r="BF80" s="82"/>
      <c r="BG80" s="82"/>
      <c r="BH80" s="82"/>
      <c r="BI80" s="82"/>
    </row>
    <row r="81">
      <c r="K81" s="79"/>
      <c r="U81" s="79"/>
      <c r="AE81" s="79"/>
      <c r="AF81" s="82"/>
      <c r="AG81" s="82"/>
      <c r="AH81" s="82"/>
      <c r="AI81" s="82"/>
      <c r="AJ81" s="82"/>
      <c r="AK81" s="82"/>
      <c r="AL81" s="82"/>
      <c r="AM81" s="82"/>
      <c r="AN81" s="82"/>
      <c r="AO81" s="81"/>
      <c r="AP81" s="82"/>
      <c r="AQ81" s="82"/>
      <c r="AR81" s="82"/>
      <c r="AS81" s="82"/>
      <c r="AT81" s="82"/>
      <c r="AU81" s="82"/>
      <c r="AV81" s="82"/>
      <c r="AW81" s="82"/>
      <c r="AX81" s="82"/>
      <c r="AY81" s="81"/>
      <c r="AZ81" s="82"/>
      <c r="BA81" s="82"/>
      <c r="BB81" s="82"/>
      <c r="BC81" s="82"/>
      <c r="BD81" s="82"/>
      <c r="BE81" s="82"/>
      <c r="BF81" s="82"/>
      <c r="BG81" s="82"/>
      <c r="BH81" s="82"/>
      <c r="BI81" s="82"/>
    </row>
    <row r="82">
      <c r="K82" s="79"/>
      <c r="U82" s="79"/>
      <c r="AE82" s="79"/>
      <c r="AF82" s="82"/>
      <c r="AG82" s="82"/>
      <c r="AH82" s="82"/>
      <c r="AI82" s="82"/>
      <c r="AJ82" s="82"/>
      <c r="AK82" s="82"/>
      <c r="AL82" s="82"/>
      <c r="AM82" s="82"/>
      <c r="AN82" s="82"/>
      <c r="AO82" s="81"/>
      <c r="AP82" s="82"/>
      <c r="AQ82" s="82"/>
      <c r="AR82" s="82"/>
      <c r="AS82" s="82"/>
      <c r="AT82" s="82"/>
      <c r="AU82" s="82"/>
      <c r="AV82" s="82"/>
      <c r="AW82" s="82"/>
      <c r="AX82" s="82"/>
      <c r="AY82" s="81"/>
      <c r="AZ82" s="82"/>
      <c r="BA82" s="82"/>
      <c r="BB82" s="82"/>
      <c r="BC82" s="82"/>
      <c r="BD82" s="82"/>
      <c r="BE82" s="82"/>
      <c r="BF82" s="82"/>
      <c r="BG82" s="82"/>
      <c r="BH82" s="82"/>
      <c r="BI82" s="82"/>
    </row>
    <row r="83">
      <c r="K83" s="79"/>
      <c r="U83" s="79"/>
      <c r="AE83" s="79"/>
      <c r="AF83" s="82"/>
      <c r="AG83" s="82"/>
      <c r="AH83" s="82"/>
      <c r="AI83" s="82"/>
      <c r="AJ83" s="82"/>
      <c r="AK83" s="82"/>
      <c r="AL83" s="82"/>
      <c r="AM83" s="82"/>
      <c r="AN83" s="82"/>
      <c r="AO83" s="81"/>
      <c r="AP83" s="82"/>
      <c r="AQ83" s="82"/>
      <c r="AR83" s="82"/>
      <c r="AS83" s="82"/>
      <c r="AT83" s="82"/>
      <c r="AU83" s="82"/>
      <c r="AV83" s="82"/>
      <c r="AW83" s="82"/>
      <c r="AX83" s="82"/>
      <c r="AY83" s="81"/>
      <c r="AZ83" s="82"/>
      <c r="BA83" s="82"/>
      <c r="BB83" s="82"/>
      <c r="BC83" s="82"/>
      <c r="BD83" s="82"/>
      <c r="BE83" s="82"/>
      <c r="BF83" s="82"/>
      <c r="BG83" s="82"/>
      <c r="BH83" s="82"/>
      <c r="BI83" s="82"/>
    </row>
    <row r="84">
      <c r="K84" s="79"/>
      <c r="U84" s="79"/>
      <c r="AE84" s="79"/>
      <c r="AF84" s="82"/>
      <c r="AG84" s="82"/>
      <c r="AH84" s="82"/>
      <c r="AI84" s="82"/>
      <c r="AJ84" s="82"/>
      <c r="AK84" s="82"/>
      <c r="AL84" s="82"/>
      <c r="AM84" s="82"/>
      <c r="AN84" s="82"/>
      <c r="AO84" s="81"/>
      <c r="AP84" s="82"/>
      <c r="AQ84" s="82"/>
      <c r="AR84" s="82"/>
      <c r="AS84" s="82"/>
      <c r="AT84" s="82"/>
      <c r="AU84" s="82"/>
      <c r="AV84" s="82"/>
      <c r="AW84" s="82"/>
      <c r="AX84" s="82"/>
      <c r="AY84" s="81"/>
      <c r="AZ84" s="82"/>
      <c r="BA84" s="82"/>
      <c r="BB84" s="82"/>
      <c r="BC84" s="82"/>
      <c r="BD84" s="82"/>
      <c r="BE84" s="82"/>
      <c r="BF84" s="82"/>
      <c r="BG84" s="82"/>
      <c r="BH84" s="82"/>
      <c r="BI84" s="82"/>
    </row>
    <row r="85">
      <c r="K85" s="79"/>
      <c r="U85" s="79"/>
      <c r="AE85" s="79"/>
      <c r="AF85" s="82"/>
      <c r="AG85" s="82"/>
      <c r="AH85" s="82"/>
      <c r="AI85" s="82"/>
      <c r="AJ85" s="82"/>
      <c r="AK85" s="82"/>
      <c r="AL85" s="82"/>
      <c r="AM85" s="82"/>
      <c r="AN85" s="82"/>
      <c r="AO85" s="81"/>
      <c r="AP85" s="82"/>
      <c r="AQ85" s="82"/>
      <c r="AR85" s="82"/>
      <c r="AS85" s="82"/>
      <c r="AT85" s="82"/>
      <c r="AU85" s="82"/>
      <c r="AV85" s="82"/>
      <c r="AW85" s="82"/>
      <c r="AX85" s="82"/>
      <c r="AY85" s="81"/>
      <c r="AZ85" s="82"/>
      <c r="BA85" s="82"/>
      <c r="BB85" s="82"/>
      <c r="BC85" s="82"/>
      <c r="BD85" s="82"/>
      <c r="BE85" s="82"/>
      <c r="BF85" s="82"/>
      <c r="BG85" s="82"/>
      <c r="BH85" s="82"/>
      <c r="BI85" s="82"/>
    </row>
    <row r="86">
      <c r="K86" s="79"/>
      <c r="U86" s="79"/>
      <c r="AE86" s="79"/>
      <c r="AF86" s="82"/>
      <c r="AG86" s="82"/>
      <c r="AH86" s="82"/>
      <c r="AI86" s="82"/>
      <c r="AJ86" s="82"/>
      <c r="AK86" s="82"/>
      <c r="AL86" s="82"/>
      <c r="AM86" s="82"/>
      <c r="AN86" s="82"/>
      <c r="AO86" s="81"/>
      <c r="AP86" s="82"/>
      <c r="AQ86" s="82"/>
      <c r="AR86" s="82"/>
      <c r="AS86" s="82"/>
      <c r="AT86" s="82"/>
      <c r="AU86" s="82"/>
      <c r="AV86" s="82"/>
      <c r="AW86" s="82"/>
      <c r="AX86" s="82"/>
      <c r="AY86" s="81"/>
      <c r="AZ86" s="82"/>
      <c r="BA86" s="82"/>
      <c r="BB86" s="82"/>
      <c r="BC86" s="82"/>
      <c r="BD86" s="82"/>
      <c r="BE86" s="82"/>
      <c r="BF86" s="82"/>
      <c r="BG86" s="82"/>
      <c r="BH86" s="82"/>
      <c r="BI86" s="82"/>
    </row>
    <row r="87">
      <c r="K87" s="79"/>
      <c r="U87" s="79"/>
      <c r="AE87" s="79"/>
      <c r="AF87" s="82"/>
      <c r="AG87" s="82"/>
      <c r="AH87" s="82"/>
      <c r="AI87" s="82"/>
      <c r="AJ87" s="82"/>
      <c r="AK87" s="82"/>
      <c r="AL87" s="82"/>
      <c r="AM87" s="82"/>
      <c r="AN87" s="82"/>
      <c r="AO87" s="81"/>
      <c r="AP87" s="82"/>
      <c r="AQ87" s="82"/>
      <c r="AR87" s="82"/>
      <c r="AS87" s="82"/>
      <c r="AT87" s="82"/>
      <c r="AU87" s="82"/>
      <c r="AV87" s="82"/>
      <c r="AW87" s="82"/>
      <c r="AX87" s="82"/>
      <c r="AY87" s="81"/>
      <c r="AZ87" s="82"/>
      <c r="BA87" s="82"/>
      <c r="BB87" s="82"/>
      <c r="BC87" s="82"/>
      <c r="BD87" s="82"/>
      <c r="BE87" s="82"/>
      <c r="BF87" s="82"/>
      <c r="BG87" s="82"/>
      <c r="BH87" s="82"/>
      <c r="BI87" s="82"/>
    </row>
    <row r="88">
      <c r="K88" s="79"/>
      <c r="U88" s="79"/>
      <c r="AE88" s="79"/>
      <c r="AF88" s="82"/>
      <c r="AG88" s="82"/>
      <c r="AH88" s="82"/>
      <c r="AI88" s="82"/>
      <c r="AJ88" s="82"/>
      <c r="AK88" s="82"/>
      <c r="AL88" s="82"/>
      <c r="AM88" s="82"/>
      <c r="AN88" s="82"/>
      <c r="AO88" s="81"/>
      <c r="AP88" s="82"/>
      <c r="AQ88" s="82"/>
      <c r="AR88" s="82"/>
      <c r="AS88" s="82"/>
      <c r="AT88" s="82"/>
      <c r="AU88" s="82"/>
      <c r="AV88" s="82"/>
      <c r="AW88" s="82"/>
      <c r="AX88" s="82"/>
      <c r="AY88" s="81"/>
      <c r="AZ88" s="82"/>
      <c r="BA88" s="82"/>
      <c r="BB88" s="82"/>
      <c r="BC88" s="82"/>
      <c r="BD88" s="82"/>
      <c r="BE88" s="82"/>
      <c r="BF88" s="82"/>
      <c r="BG88" s="82"/>
      <c r="BH88" s="82"/>
      <c r="BI88" s="82"/>
    </row>
    <row r="89">
      <c r="K89" s="79"/>
      <c r="U89" s="79"/>
      <c r="AE89" s="79"/>
      <c r="AF89" s="82"/>
      <c r="AG89" s="82"/>
      <c r="AH89" s="82"/>
      <c r="AI89" s="82"/>
      <c r="AJ89" s="82"/>
      <c r="AK89" s="82"/>
      <c r="AL89" s="82"/>
      <c r="AM89" s="82"/>
      <c r="AN89" s="82"/>
      <c r="AO89" s="81"/>
      <c r="AP89" s="82"/>
      <c r="AQ89" s="82"/>
      <c r="AR89" s="82"/>
      <c r="AS89" s="82"/>
      <c r="AT89" s="82"/>
      <c r="AU89" s="82"/>
      <c r="AV89" s="82"/>
      <c r="AW89" s="82"/>
      <c r="AX89" s="82"/>
      <c r="AY89" s="81"/>
      <c r="AZ89" s="82"/>
      <c r="BA89" s="82"/>
      <c r="BB89" s="82"/>
      <c r="BC89" s="82"/>
      <c r="BD89" s="82"/>
      <c r="BE89" s="82"/>
      <c r="BF89" s="82"/>
      <c r="BG89" s="82"/>
      <c r="BH89" s="82"/>
      <c r="BI89" s="82"/>
    </row>
    <row r="90">
      <c r="K90" s="79"/>
      <c r="U90" s="79"/>
      <c r="AE90" s="79"/>
      <c r="AF90" s="82"/>
      <c r="AG90" s="82"/>
      <c r="AH90" s="82"/>
      <c r="AI90" s="82"/>
      <c r="AJ90" s="82"/>
      <c r="AK90" s="82"/>
      <c r="AL90" s="82"/>
      <c r="AM90" s="82"/>
      <c r="AN90" s="82"/>
      <c r="AO90" s="81"/>
      <c r="AP90" s="82"/>
      <c r="AQ90" s="82"/>
      <c r="AR90" s="82"/>
      <c r="AS90" s="82"/>
      <c r="AT90" s="82"/>
      <c r="AU90" s="82"/>
      <c r="AV90" s="82"/>
      <c r="AW90" s="82"/>
      <c r="AX90" s="82"/>
      <c r="AY90" s="81"/>
      <c r="AZ90" s="82"/>
      <c r="BA90" s="82"/>
      <c r="BB90" s="82"/>
      <c r="BC90" s="82"/>
      <c r="BD90" s="82"/>
      <c r="BE90" s="82"/>
      <c r="BF90" s="82"/>
      <c r="BG90" s="82"/>
      <c r="BH90" s="82"/>
      <c r="BI90" s="82"/>
    </row>
    <row r="91">
      <c r="K91" s="79"/>
      <c r="U91" s="79"/>
      <c r="AE91" s="79"/>
      <c r="AF91" s="82"/>
      <c r="AG91" s="82"/>
      <c r="AH91" s="82"/>
      <c r="AI91" s="82"/>
      <c r="AJ91" s="82"/>
      <c r="AK91" s="82"/>
      <c r="AL91" s="82"/>
      <c r="AM91" s="82"/>
      <c r="AN91" s="82"/>
      <c r="AO91" s="81"/>
      <c r="AP91" s="82"/>
      <c r="AQ91" s="82"/>
      <c r="AR91" s="82"/>
      <c r="AS91" s="82"/>
      <c r="AT91" s="82"/>
      <c r="AU91" s="82"/>
      <c r="AV91" s="82"/>
      <c r="AW91" s="82"/>
      <c r="AX91" s="82"/>
      <c r="AY91" s="81"/>
      <c r="AZ91" s="82"/>
      <c r="BA91" s="82"/>
      <c r="BB91" s="82"/>
      <c r="BC91" s="82"/>
      <c r="BD91" s="82"/>
      <c r="BE91" s="82"/>
      <c r="BF91" s="82"/>
      <c r="BG91" s="82"/>
      <c r="BH91" s="82"/>
      <c r="BI91" s="82"/>
    </row>
    <row r="92">
      <c r="K92" s="79"/>
      <c r="U92" s="79"/>
      <c r="AE92" s="79"/>
      <c r="AF92" s="82"/>
      <c r="AG92" s="82"/>
      <c r="AH92" s="82"/>
      <c r="AI92" s="82"/>
      <c r="AJ92" s="82"/>
      <c r="AK92" s="82"/>
      <c r="AL92" s="82"/>
      <c r="AM92" s="82"/>
      <c r="AN92" s="82"/>
      <c r="AO92" s="81"/>
      <c r="AP92" s="82"/>
      <c r="AQ92" s="82"/>
      <c r="AR92" s="82"/>
      <c r="AS92" s="82"/>
      <c r="AT92" s="82"/>
      <c r="AU92" s="82"/>
      <c r="AV92" s="82"/>
      <c r="AW92" s="82"/>
      <c r="AX92" s="82"/>
      <c r="AY92" s="81"/>
      <c r="AZ92" s="82"/>
      <c r="BA92" s="82"/>
      <c r="BB92" s="82"/>
      <c r="BC92" s="82"/>
      <c r="BD92" s="82"/>
      <c r="BE92" s="82"/>
      <c r="BF92" s="82"/>
      <c r="BG92" s="82"/>
      <c r="BH92" s="82"/>
      <c r="BI92" s="82"/>
    </row>
    <row r="93">
      <c r="K93" s="79"/>
      <c r="U93" s="79"/>
      <c r="AE93" s="79"/>
      <c r="AF93" s="82"/>
      <c r="AG93" s="82"/>
      <c r="AH93" s="82"/>
      <c r="AI93" s="82"/>
      <c r="AJ93" s="82"/>
      <c r="AK93" s="82"/>
      <c r="AL93" s="82"/>
      <c r="AM93" s="82"/>
      <c r="AN93" s="82"/>
      <c r="AO93" s="81"/>
      <c r="AP93" s="82"/>
      <c r="AQ93" s="82"/>
      <c r="AR93" s="82"/>
      <c r="AS93" s="82"/>
      <c r="AT93" s="82"/>
      <c r="AU93" s="82"/>
      <c r="AV93" s="82"/>
      <c r="AW93" s="82"/>
      <c r="AX93" s="82"/>
      <c r="AY93" s="81"/>
      <c r="AZ93" s="82"/>
      <c r="BA93" s="82"/>
      <c r="BB93" s="82"/>
      <c r="BC93" s="82"/>
      <c r="BD93" s="82"/>
      <c r="BE93" s="82"/>
      <c r="BF93" s="82"/>
      <c r="BG93" s="82"/>
      <c r="BH93" s="82"/>
      <c r="BI93" s="82"/>
    </row>
    <row r="94">
      <c r="K94" s="79"/>
      <c r="U94" s="79"/>
      <c r="AE94" s="79"/>
      <c r="AF94" s="82"/>
      <c r="AG94" s="82"/>
      <c r="AH94" s="82"/>
      <c r="AI94" s="82"/>
      <c r="AJ94" s="82"/>
      <c r="AK94" s="82"/>
      <c r="AL94" s="82"/>
      <c r="AM94" s="82"/>
      <c r="AN94" s="82"/>
      <c r="AO94" s="81"/>
      <c r="AP94" s="82"/>
      <c r="AQ94" s="82"/>
      <c r="AR94" s="82"/>
      <c r="AS94" s="82"/>
      <c r="AT94" s="82"/>
      <c r="AU94" s="82"/>
      <c r="AV94" s="82"/>
      <c r="AW94" s="82"/>
      <c r="AX94" s="82"/>
      <c r="AY94" s="81"/>
      <c r="AZ94" s="82"/>
      <c r="BA94" s="82"/>
      <c r="BB94" s="82"/>
      <c r="BC94" s="82"/>
      <c r="BD94" s="82"/>
      <c r="BE94" s="82"/>
      <c r="BF94" s="82"/>
      <c r="BG94" s="82"/>
      <c r="BH94" s="82"/>
      <c r="BI94" s="82"/>
    </row>
    <row r="95">
      <c r="K95" s="79"/>
      <c r="U95" s="79"/>
      <c r="AE95" s="79"/>
      <c r="AF95" s="82"/>
      <c r="AG95" s="82"/>
      <c r="AH95" s="82"/>
      <c r="AI95" s="82"/>
      <c r="AJ95" s="82"/>
      <c r="AK95" s="82"/>
      <c r="AL95" s="82"/>
      <c r="AM95" s="82"/>
      <c r="AN95" s="82"/>
      <c r="AO95" s="81"/>
      <c r="AP95" s="82"/>
      <c r="AQ95" s="82"/>
      <c r="AR95" s="82"/>
      <c r="AS95" s="82"/>
      <c r="AT95" s="82"/>
      <c r="AU95" s="82"/>
      <c r="AV95" s="82"/>
      <c r="AW95" s="82"/>
      <c r="AX95" s="82"/>
      <c r="AY95" s="81"/>
      <c r="AZ95" s="82"/>
      <c r="BA95" s="82"/>
      <c r="BB95" s="82"/>
      <c r="BC95" s="82"/>
      <c r="BD95" s="82"/>
      <c r="BE95" s="82"/>
      <c r="BF95" s="82"/>
      <c r="BG95" s="82"/>
      <c r="BH95" s="82"/>
      <c r="BI95" s="82"/>
    </row>
    <row r="96">
      <c r="K96" s="79"/>
      <c r="U96" s="79"/>
      <c r="AE96" s="79"/>
      <c r="AF96" s="82"/>
      <c r="AG96" s="82"/>
      <c r="AH96" s="82"/>
      <c r="AI96" s="82"/>
      <c r="AJ96" s="82"/>
      <c r="AK96" s="82"/>
      <c r="AL96" s="82"/>
      <c r="AM96" s="82"/>
      <c r="AN96" s="82"/>
      <c r="AO96" s="81"/>
      <c r="AP96" s="82"/>
      <c r="AQ96" s="82"/>
      <c r="AR96" s="82"/>
      <c r="AS96" s="82"/>
      <c r="AT96" s="82"/>
      <c r="AU96" s="82"/>
      <c r="AV96" s="82"/>
      <c r="AW96" s="82"/>
      <c r="AX96" s="82"/>
      <c r="AY96" s="81"/>
      <c r="AZ96" s="82"/>
      <c r="BA96" s="82"/>
      <c r="BB96" s="82"/>
      <c r="BC96" s="82"/>
      <c r="BD96" s="82"/>
      <c r="BE96" s="82"/>
      <c r="BF96" s="82"/>
      <c r="BG96" s="82"/>
      <c r="BH96" s="82"/>
      <c r="BI96" s="82"/>
    </row>
    <row r="97">
      <c r="K97" s="79"/>
      <c r="U97" s="79"/>
      <c r="AE97" s="79"/>
      <c r="AF97" s="82"/>
      <c r="AG97" s="82"/>
      <c r="AH97" s="82"/>
      <c r="AI97" s="82"/>
      <c r="AJ97" s="82"/>
      <c r="AK97" s="82"/>
      <c r="AL97" s="82"/>
      <c r="AM97" s="82"/>
      <c r="AN97" s="82"/>
      <c r="AO97" s="81"/>
      <c r="AP97" s="82"/>
      <c r="AQ97" s="82"/>
      <c r="AR97" s="82"/>
      <c r="AS97" s="82"/>
      <c r="AT97" s="82"/>
      <c r="AU97" s="82"/>
      <c r="AV97" s="82"/>
      <c r="AW97" s="82"/>
      <c r="AX97" s="82"/>
      <c r="AY97" s="81"/>
      <c r="AZ97" s="82"/>
      <c r="BA97" s="82"/>
      <c r="BB97" s="82"/>
      <c r="BC97" s="82"/>
      <c r="BD97" s="82"/>
      <c r="BE97" s="82"/>
      <c r="BF97" s="82"/>
      <c r="BG97" s="82"/>
      <c r="BH97" s="82"/>
      <c r="BI97" s="82"/>
    </row>
    <row r="98">
      <c r="K98" s="79"/>
      <c r="U98" s="79"/>
      <c r="AE98" s="79"/>
      <c r="AF98" s="82"/>
      <c r="AG98" s="82"/>
      <c r="AH98" s="82"/>
      <c r="AI98" s="82"/>
      <c r="AJ98" s="82"/>
      <c r="AK98" s="82"/>
      <c r="AL98" s="82"/>
      <c r="AM98" s="82"/>
      <c r="AN98" s="82"/>
      <c r="AO98" s="81"/>
      <c r="AP98" s="82"/>
      <c r="AQ98" s="82"/>
      <c r="AR98" s="82"/>
      <c r="AS98" s="82"/>
      <c r="AT98" s="82"/>
      <c r="AU98" s="82"/>
      <c r="AV98" s="82"/>
      <c r="AW98" s="82"/>
      <c r="AX98" s="82"/>
      <c r="AY98" s="81"/>
      <c r="AZ98" s="82"/>
      <c r="BA98" s="82"/>
      <c r="BB98" s="82"/>
      <c r="BC98" s="82"/>
      <c r="BD98" s="82"/>
      <c r="BE98" s="82"/>
      <c r="BF98" s="82"/>
      <c r="BG98" s="82"/>
      <c r="BH98" s="82"/>
      <c r="BI98" s="82"/>
    </row>
    <row r="99">
      <c r="K99" s="79"/>
      <c r="U99" s="79"/>
      <c r="AE99" s="79"/>
      <c r="AF99" s="82"/>
      <c r="AG99" s="82"/>
      <c r="AH99" s="82"/>
      <c r="AI99" s="82"/>
      <c r="AJ99" s="82"/>
      <c r="AK99" s="82"/>
      <c r="AL99" s="82"/>
      <c r="AM99" s="82"/>
      <c r="AN99" s="82"/>
      <c r="AO99" s="81"/>
      <c r="AP99" s="82"/>
      <c r="AQ99" s="82"/>
      <c r="AR99" s="82"/>
      <c r="AS99" s="82"/>
      <c r="AT99" s="82"/>
      <c r="AU99" s="82"/>
      <c r="AV99" s="82"/>
      <c r="AW99" s="82"/>
      <c r="AX99" s="82"/>
      <c r="AY99" s="81"/>
      <c r="AZ99" s="82"/>
      <c r="BA99" s="82"/>
      <c r="BB99" s="82"/>
      <c r="BC99" s="82"/>
      <c r="BD99" s="82"/>
      <c r="BE99" s="82"/>
      <c r="BF99" s="82"/>
      <c r="BG99" s="82"/>
      <c r="BH99" s="82"/>
      <c r="BI99" s="82"/>
    </row>
    <row r="100">
      <c r="K100" s="79"/>
      <c r="U100" s="79"/>
      <c r="AE100" s="79"/>
      <c r="AF100" s="82"/>
      <c r="AG100" s="82"/>
      <c r="AH100" s="82"/>
      <c r="AI100" s="82"/>
      <c r="AJ100" s="82"/>
      <c r="AK100" s="82"/>
      <c r="AL100" s="82"/>
      <c r="AM100" s="82"/>
      <c r="AN100" s="82"/>
      <c r="AO100" s="81"/>
      <c r="AP100" s="82"/>
      <c r="AQ100" s="82"/>
      <c r="AR100" s="82"/>
      <c r="AS100" s="82"/>
      <c r="AT100" s="82"/>
      <c r="AU100" s="82"/>
      <c r="AV100" s="82"/>
      <c r="AW100" s="82"/>
      <c r="AX100" s="82"/>
      <c r="AY100" s="81"/>
      <c r="AZ100" s="82"/>
      <c r="BA100" s="82"/>
      <c r="BB100" s="82"/>
      <c r="BC100" s="82"/>
      <c r="BD100" s="82"/>
      <c r="BE100" s="82"/>
      <c r="BF100" s="82"/>
      <c r="BG100" s="82"/>
      <c r="BH100" s="82"/>
      <c r="BI100" s="82"/>
    </row>
    <row r="101">
      <c r="K101" s="79"/>
      <c r="U101" s="79"/>
      <c r="AE101" s="79"/>
      <c r="AF101" s="82"/>
      <c r="AG101" s="82"/>
      <c r="AH101" s="82"/>
      <c r="AI101" s="82"/>
      <c r="AJ101" s="82"/>
      <c r="AK101" s="82"/>
      <c r="AL101" s="82"/>
      <c r="AM101" s="82"/>
      <c r="AN101" s="82"/>
      <c r="AO101" s="81"/>
      <c r="AP101" s="82"/>
      <c r="AQ101" s="82"/>
      <c r="AR101" s="82"/>
      <c r="AS101" s="82"/>
      <c r="AT101" s="82"/>
      <c r="AU101" s="82"/>
      <c r="AV101" s="82"/>
      <c r="AW101" s="82"/>
      <c r="AX101" s="82"/>
      <c r="AY101" s="81"/>
      <c r="AZ101" s="82"/>
      <c r="BA101" s="82"/>
      <c r="BB101" s="82"/>
      <c r="BC101" s="82"/>
      <c r="BD101" s="82"/>
      <c r="BE101" s="82"/>
      <c r="BF101" s="82"/>
      <c r="BG101" s="82"/>
      <c r="BH101" s="82"/>
      <c r="BI101" s="82"/>
    </row>
    <row r="102">
      <c r="K102" s="79"/>
      <c r="U102" s="79"/>
      <c r="AE102" s="79"/>
      <c r="AF102" s="82"/>
      <c r="AG102" s="82"/>
      <c r="AH102" s="82"/>
      <c r="AI102" s="82"/>
      <c r="AJ102" s="82"/>
      <c r="AK102" s="82"/>
      <c r="AL102" s="82"/>
      <c r="AM102" s="82"/>
      <c r="AN102" s="82"/>
      <c r="AO102" s="81"/>
      <c r="AP102" s="82"/>
      <c r="AQ102" s="82"/>
      <c r="AR102" s="82"/>
      <c r="AS102" s="82"/>
      <c r="AT102" s="82"/>
      <c r="AU102" s="82"/>
      <c r="AV102" s="82"/>
      <c r="AW102" s="82"/>
      <c r="AX102" s="82"/>
      <c r="AY102" s="81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</row>
    <row r="103">
      <c r="K103" s="79"/>
      <c r="U103" s="79"/>
      <c r="AE103" s="79"/>
      <c r="AF103" s="82"/>
      <c r="AG103" s="82"/>
      <c r="AH103" s="82"/>
      <c r="AI103" s="82"/>
      <c r="AJ103" s="82"/>
      <c r="AK103" s="82"/>
      <c r="AL103" s="82"/>
      <c r="AM103" s="82"/>
      <c r="AN103" s="82"/>
      <c r="AO103" s="81"/>
      <c r="AP103" s="82"/>
      <c r="AQ103" s="82"/>
      <c r="AR103" s="82"/>
      <c r="AS103" s="82"/>
      <c r="AT103" s="82"/>
      <c r="AU103" s="82"/>
      <c r="AV103" s="82"/>
      <c r="AW103" s="82"/>
      <c r="AX103" s="82"/>
      <c r="AY103" s="81"/>
      <c r="AZ103" s="82"/>
      <c r="BA103" s="82"/>
      <c r="BB103" s="82"/>
      <c r="BC103" s="82"/>
      <c r="BD103" s="82"/>
      <c r="BE103" s="82"/>
      <c r="BF103" s="82"/>
      <c r="BG103" s="82"/>
      <c r="BH103" s="82"/>
      <c r="BI103" s="82"/>
    </row>
    <row r="104">
      <c r="K104" s="79"/>
      <c r="U104" s="79"/>
      <c r="AE104" s="79"/>
      <c r="AF104" s="82"/>
      <c r="AG104" s="82"/>
      <c r="AH104" s="82"/>
      <c r="AI104" s="82"/>
      <c r="AJ104" s="82"/>
      <c r="AK104" s="82"/>
      <c r="AL104" s="82"/>
      <c r="AM104" s="82"/>
      <c r="AN104" s="82"/>
      <c r="AO104" s="81"/>
      <c r="AP104" s="82"/>
      <c r="AQ104" s="82"/>
      <c r="AR104" s="82"/>
      <c r="AS104" s="82"/>
      <c r="AT104" s="82"/>
      <c r="AU104" s="82"/>
      <c r="AV104" s="82"/>
      <c r="AW104" s="82"/>
      <c r="AX104" s="82"/>
      <c r="AY104" s="81"/>
      <c r="AZ104" s="82"/>
      <c r="BA104" s="82"/>
      <c r="BB104" s="82"/>
      <c r="BC104" s="82"/>
      <c r="BD104" s="82"/>
      <c r="BE104" s="82"/>
      <c r="BF104" s="82"/>
      <c r="BG104" s="82"/>
      <c r="BH104" s="82"/>
      <c r="BI104" s="82"/>
    </row>
    <row r="105">
      <c r="K105" s="79"/>
      <c r="U105" s="79"/>
      <c r="AE105" s="79"/>
      <c r="AF105" s="82"/>
      <c r="AG105" s="82"/>
      <c r="AH105" s="82"/>
      <c r="AI105" s="82"/>
      <c r="AJ105" s="82"/>
      <c r="AK105" s="82"/>
      <c r="AL105" s="82"/>
      <c r="AM105" s="82"/>
      <c r="AN105" s="82"/>
      <c r="AO105" s="81"/>
      <c r="AP105" s="82"/>
      <c r="AQ105" s="82"/>
      <c r="AR105" s="82"/>
      <c r="AS105" s="82"/>
      <c r="AT105" s="82"/>
      <c r="AU105" s="82"/>
      <c r="AV105" s="82"/>
      <c r="AW105" s="82"/>
      <c r="AX105" s="82"/>
      <c r="AY105" s="81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</row>
    <row r="106">
      <c r="K106" s="79"/>
      <c r="U106" s="79"/>
      <c r="AE106" s="79"/>
      <c r="AF106" s="82"/>
      <c r="AG106" s="82"/>
      <c r="AH106" s="82"/>
      <c r="AI106" s="82"/>
      <c r="AJ106" s="82"/>
      <c r="AK106" s="82"/>
      <c r="AL106" s="82"/>
      <c r="AM106" s="82"/>
      <c r="AN106" s="82"/>
      <c r="AO106" s="81"/>
      <c r="AP106" s="82"/>
      <c r="AQ106" s="82"/>
      <c r="AR106" s="82"/>
      <c r="AS106" s="82"/>
      <c r="AT106" s="82"/>
      <c r="AU106" s="82"/>
      <c r="AV106" s="82"/>
      <c r="AW106" s="82"/>
      <c r="AX106" s="82"/>
      <c r="AY106" s="81"/>
      <c r="AZ106" s="82"/>
      <c r="BA106" s="82"/>
      <c r="BB106" s="82"/>
      <c r="BC106" s="82"/>
      <c r="BD106" s="82"/>
      <c r="BE106" s="82"/>
      <c r="BF106" s="82"/>
      <c r="BG106" s="82"/>
      <c r="BH106" s="82"/>
      <c r="BI106" s="82"/>
    </row>
    <row r="107">
      <c r="K107" s="79"/>
      <c r="U107" s="79"/>
      <c r="AE107" s="79"/>
      <c r="AF107" s="82"/>
      <c r="AG107" s="82"/>
      <c r="AH107" s="82"/>
      <c r="AI107" s="82"/>
      <c r="AJ107" s="82"/>
      <c r="AK107" s="82"/>
      <c r="AL107" s="82"/>
      <c r="AM107" s="82"/>
      <c r="AN107" s="82"/>
      <c r="AO107" s="81"/>
      <c r="AP107" s="82"/>
      <c r="AQ107" s="82"/>
      <c r="AR107" s="82"/>
      <c r="AS107" s="82"/>
      <c r="AT107" s="82"/>
      <c r="AU107" s="82"/>
      <c r="AV107" s="82"/>
      <c r="AW107" s="82"/>
      <c r="AX107" s="82"/>
      <c r="AY107" s="81"/>
      <c r="AZ107" s="82"/>
      <c r="BA107" s="82"/>
      <c r="BB107" s="82"/>
      <c r="BC107" s="82"/>
      <c r="BD107" s="82"/>
      <c r="BE107" s="82"/>
      <c r="BF107" s="82"/>
      <c r="BG107" s="82"/>
      <c r="BH107" s="82"/>
      <c r="BI107" s="82"/>
    </row>
    <row r="108">
      <c r="K108" s="79"/>
      <c r="U108" s="79"/>
      <c r="AE108" s="79"/>
      <c r="AF108" s="82"/>
      <c r="AG108" s="82"/>
      <c r="AH108" s="82"/>
      <c r="AI108" s="82"/>
      <c r="AJ108" s="82"/>
      <c r="AK108" s="82"/>
      <c r="AL108" s="82"/>
      <c r="AM108" s="82"/>
      <c r="AN108" s="82"/>
      <c r="AO108" s="81"/>
      <c r="AP108" s="82"/>
      <c r="AQ108" s="82"/>
      <c r="AR108" s="82"/>
      <c r="AS108" s="82"/>
      <c r="AT108" s="82"/>
      <c r="AU108" s="82"/>
      <c r="AV108" s="82"/>
      <c r="AW108" s="82"/>
      <c r="AX108" s="82"/>
      <c r="AY108" s="81"/>
      <c r="AZ108" s="82"/>
      <c r="BA108" s="82"/>
      <c r="BB108" s="82"/>
      <c r="BC108" s="82"/>
      <c r="BD108" s="82"/>
      <c r="BE108" s="82"/>
      <c r="BF108" s="82"/>
      <c r="BG108" s="82"/>
      <c r="BH108" s="82"/>
      <c r="BI108" s="82"/>
    </row>
    <row r="109">
      <c r="K109" s="79"/>
      <c r="U109" s="79"/>
      <c r="AE109" s="79"/>
      <c r="AF109" s="82"/>
      <c r="AG109" s="82"/>
      <c r="AH109" s="82"/>
      <c r="AI109" s="82"/>
      <c r="AJ109" s="82"/>
      <c r="AK109" s="82"/>
      <c r="AL109" s="82"/>
      <c r="AM109" s="82"/>
      <c r="AN109" s="82"/>
      <c r="AO109" s="81"/>
      <c r="AP109" s="82"/>
      <c r="AQ109" s="82"/>
      <c r="AR109" s="82"/>
      <c r="AS109" s="82"/>
      <c r="AT109" s="82"/>
      <c r="AU109" s="82"/>
      <c r="AV109" s="82"/>
      <c r="AW109" s="82"/>
      <c r="AX109" s="82"/>
      <c r="AY109" s="81"/>
      <c r="AZ109" s="82"/>
      <c r="BA109" s="82"/>
      <c r="BB109" s="82"/>
      <c r="BC109" s="82"/>
      <c r="BD109" s="82"/>
      <c r="BE109" s="82"/>
      <c r="BF109" s="82"/>
      <c r="BG109" s="82"/>
      <c r="BH109" s="82"/>
      <c r="BI109" s="82"/>
    </row>
    <row r="110">
      <c r="K110" s="79"/>
      <c r="U110" s="79"/>
      <c r="AE110" s="79"/>
      <c r="AF110" s="82"/>
      <c r="AG110" s="82"/>
      <c r="AH110" s="82"/>
      <c r="AI110" s="82"/>
      <c r="AJ110" s="82"/>
      <c r="AK110" s="82"/>
      <c r="AL110" s="82"/>
      <c r="AM110" s="82"/>
      <c r="AN110" s="82"/>
      <c r="AO110" s="81"/>
      <c r="AP110" s="82"/>
      <c r="AQ110" s="82"/>
      <c r="AR110" s="82"/>
      <c r="AS110" s="82"/>
      <c r="AT110" s="82"/>
      <c r="AU110" s="82"/>
      <c r="AV110" s="82"/>
      <c r="AW110" s="82"/>
      <c r="AX110" s="82"/>
      <c r="AY110" s="81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</row>
    <row r="111">
      <c r="K111" s="79"/>
      <c r="U111" s="79"/>
      <c r="AE111" s="79"/>
      <c r="AF111" s="82"/>
      <c r="AG111" s="82"/>
      <c r="AH111" s="82"/>
      <c r="AI111" s="82"/>
      <c r="AJ111" s="82"/>
      <c r="AK111" s="82"/>
      <c r="AL111" s="82"/>
      <c r="AM111" s="82"/>
      <c r="AN111" s="82"/>
      <c r="AO111" s="81"/>
      <c r="AP111" s="82"/>
      <c r="AQ111" s="82"/>
      <c r="AR111" s="82"/>
      <c r="AS111" s="82"/>
      <c r="AT111" s="82"/>
      <c r="AU111" s="82"/>
      <c r="AV111" s="82"/>
      <c r="AW111" s="82"/>
      <c r="AX111" s="82"/>
      <c r="AY111" s="81"/>
      <c r="AZ111" s="82"/>
      <c r="BA111" s="82"/>
      <c r="BB111" s="82"/>
      <c r="BC111" s="82"/>
      <c r="BD111" s="82"/>
      <c r="BE111" s="82"/>
      <c r="BF111" s="82"/>
      <c r="BG111" s="82"/>
      <c r="BH111" s="82"/>
      <c r="BI111" s="82"/>
    </row>
    <row r="112">
      <c r="K112" s="79"/>
      <c r="U112" s="79"/>
      <c r="AE112" s="79"/>
      <c r="AF112" s="82"/>
      <c r="AG112" s="82"/>
      <c r="AH112" s="82"/>
      <c r="AI112" s="82"/>
      <c r="AJ112" s="82"/>
      <c r="AK112" s="82"/>
      <c r="AL112" s="82"/>
      <c r="AM112" s="82"/>
      <c r="AN112" s="82"/>
      <c r="AO112" s="81"/>
      <c r="AP112" s="82"/>
      <c r="AQ112" s="82"/>
      <c r="AR112" s="82"/>
      <c r="AS112" s="82"/>
      <c r="AT112" s="82"/>
      <c r="AU112" s="82"/>
      <c r="AV112" s="82"/>
      <c r="AW112" s="82"/>
      <c r="AX112" s="82"/>
      <c r="AY112" s="81"/>
      <c r="AZ112" s="82"/>
      <c r="BA112" s="82"/>
      <c r="BB112" s="82"/>
      <c r="BC112" s="82"/>
      <c r="BD112" s="82"/>
      <c r="BE112" s="82"/>
      <c r="BF112" s="82"/>
      <c r="BG112" s="82"/>
      <c r="BH112" s="82"/>
      <c r="BI112" s="82"/>
    </row>
    <row r="113">
      <c r="K113" s="79"/>
      <c r="U113" s="79"/>
      <c r="AE113" s="79"/>
      <c r="AF113" s="82"/>
      <c r="AG113" s="82"/>
      <c r="AH113" s="82"/>
      <c r="AI113" s="82"/>
      <c r="AJ113" s="82"/>
      <c r="AK113" s="82"/>
      <c r="AL113" s="82"/>
      <c r="AM113" s="82"/>
      <c r="AN113" s="82"/>
      <c r="AO113" s="81"/>
      <c r="AP113" s="82"/>
      <c r="AQ113" s="82"/>
      <c r="AR113" s="82"/>
      <c r="AS113" s="82"/>
      <c r="AT113" s="82"/>
      <c r="AU113" s="82"/>
      <c r="AV113" s="82"/>
      <c r="AW113" s="82"/>
      <c r="AX113" s="82"/>
      <c r="AY113" s="81"/>
      <c r="AZ113" s="82"/>
      <c r="BA113" s="82"/>
      <c r="BB113" s="82"/>
      <c r="BC113" s="82"/>
      <c r="BD113" s="82"/>
      <c r="BE113" s="82"/>
      <c r="BF113" s="82"/>
      <c r="BG113" s="82"/>
      <c r="BH113" s="82"/>
      <c r="BI113" s="82"/>
    </row>
    <row r="114">
      <c r="K114" s="79"/>
      <c r="U114" s="79"/>
      <c r="AE114" s="79"/>
      <c r="AF114" s="82"/>
      <c r="AG114" s="82"/>
      <c r="AH114" s="82"/>
      <c r="AI114" s="82"/>
      <c r="AJ114" s="82"/>
      <c r="AK114" s="82"/>
      <c r="AL114" s="82"/>
      <c r="AM114" s="82"/>
      <c r="AN114" s="82"/>
      <c r="AO114" s="81"/>
      <c r="AP114" s="82"/>
      <c r="AQ114" s="82"/>
      <c r="AR114" s="82"/>
      <c r="AS114" s="82"/>
      <c r="AT114" s="82"/>
      <c r="AU114" s="82"/>
      <c r="AV114" s="82"/>
      <c r="AW114" s="82"/>
      <c r="AX114" s="82"/>
      <c r="AY114" s="81"/>
      <c r="AZ114" s="82"/>
      <c r="BA114" s="82"/>
      <c r="BB114" s="82"/>
      <c r="BC114" s="82"/>
      <c r="BD114" s="82"/>
      <c r="BE114" s="82"/>
      <c r="BF114" s="82"/>
      <c r="BG114" s="82"/>
      <c r="BH114" s="82"/>
      <c r="BI114" s="82"/>
    </row>
    <row r="115">
      <c r="K115" s="79"/>
      <c r="U115" s="79"/>
      <c r="AE115" s="79"/>
      <c r="AF115" s="82"/>
      <c r="AG115" s="82"/>
      <c r="AH115" s="82"/>
      <c r="AI115" s="82"/>
      <c r="AJ115" s="82"/>
      <c r="AK115" s="82"/>
      <c r="AL115" s="82"/>
      <c r="AM115" s="82"/>
      <c r="AN115" s="82"/>
      <c r="AO115" s="81"/>
      <c r="AP115" s="82"/>
      <c r="AQ115" s="82"/>
      <c r="AR115" s="82"/>
      <c r="AS115" s="82"/>
      <c r="AT115" s="82"/>
      <c r="AU115" s="82"/>
      <c r="AV115" s="82"/>
      <c r="AW115" s="82"/>
      <c r="AX115" s="82"/>
      <c r="AY115" s="81"/>
      <c r="AZ115" s="82"/>
      <c r="BA115" s="82"/>
      <c r="BB115" s="82"/>
      <c r="BC115" s="82"/>
      <c r="BD115" s="82"/>
      <c r="BE115" s="82"/>
      <c r="BF115" s="82"/>
      <c r="BG115" s="82"/>
      <c r="BH115" s="82"/>
      <c r="BI115" s="82"/>
    </row>
    <row r="116">
      <c r="K116" s="79"/>
      <c r="U116" s="79"/>
      <c r="AE116" s="79"/>
      <c r="AF116" s="82"/>
      <c r="AG116" s="82"/>
      <c r="AH116" s="82"/>
      <c r="AI116" s="82"/>
      <c r="AJ116" s="82"/>
      <c r="AK116" s="82"/>
      <c r="AL116" s="82"/>
      <c r="AM116" s="82"/>
      <c r="AN116" s="82"/>
      <c r="AO116" s="81"/>
      <c r="AP116" s="82"/>
      <c r="AQ116" s="82"/>
      <c r="AR116" s="82"/>
      <c r="AS116" s="82"/>
      <c r="AT116" s="82"/>
      <c r="AU116" s="82"/>
      <c r="AV116" s="82"/>
      <c r="AW116" s="82"/>
      <c r="AX116" s="82"/>
      <c r="AY116" s="81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</row>
    <row r="117">
      <c r="K117" s="79"/>
      <c r="U117" s="79"/>
      <c r="AE117" s="79"/>
      <c r="AF117" s="82"/>
      <c r="AG117" s="82"/>
      <c r="AH117" s="82"/>
      <c r="AI117" s="82"/>
      <c r="AJ117" s="82"/>
      <c r="AK117" s="82"/>
      <c r="AL117" s="82"/>
      <c r="AM117" s="82"/>
      <c r="AN117" s="82"/>
      <c r="AO117" s="81"/>
      <c r="AP117" s="82"/>
      <c r="AQ117" s="82"/>
      <c r="AR117" s="82"/>
      <c r="AS117" s="82"/>
      <c r="AT117" s="82"/>
      <c r="AU117" s="82"/>
      <c r="AV117" s="82"/>
      <c r="AW117" s="82"/>
      <c r="AX117" s="82"/>
      <c r="AY117" s="81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</row>
    <row r="118">
      <c r="K118" s="79"/>
      <c r="U118" s="79"/>
      <c r="AE118" s="79"/>
      <c r="AF118" s="82"/>
      <c r="AG118" s="82"/>
      <c r="AH118" s="82"/>
      <c r="AI118" s="82"/>
      <c r="AJ118" s="82"/>
      <c r="AK118" s="82"/>
      <c r="AL118" s="82"/>
      <c r="AM118" s="82"/>
      <c r="AN118" s="82"/>
      <c r="AO118" s="81"/>
      <c r="AP118" s="82"/>
      <c r="AQ118" s="82"/>
      <c r="AR118" s="82"/>
      <c r="AS118" s="82"/>
      <c r="AT118" s="82"/>
      <c r="AU118" s="82"/>
      <c r="AV118" s="82"/>
      <c r="AW118" s="82"/>
      <c r="AX118" s="82"/>
      <c r="AY118" s="81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</row>
    <row r="119">
      <c r="K119" s="79"/>
      <c r="U119" s="79"/>
      <c r="AE119" s="79"/>
      <c r="AF119" s="82"/>
      <c r="AG119" s="82"/>
      <c r="AH119" s="82"/>
      <c r="AI119" s="82"/>
      <c r="AJ119" s="82"/>
      <c r="AK119" s="82"/>
      <c r="AL119" s="82"/>
      <c r="AM119" s="82"/>
      <c r="AN119" s="82"/>
      <c r="AO119" s="81"/>
      <c r="AP119" s="82"/>
      <c r="AQ119" s="82"/>
      <c r="AR119" s="82"/>
      <c r="AS119" s="82"/>
      <c r="AT119" s="82"/>
      <c r="AU119" s="82"/>
      <c r="AV119" s="82"/>
      <c r="AW119" s="82"/>
      <c r="AX119" s="82"/>
      <c r="AY119" s="81"/>
      <c r="AZ119" s="82"/>
      <c r="BA119" s="82"/>
      <c r="BB119" s="82"/>
      <c r="BC119" s="82"/>
      <c r="BD119" s="82"/>
      <c r="BE119" s="82"/>
      <c r="BF119" s="82"/>
      <c r="BG119" s="82"/>
      <c r="BH119" s="82"/>
      <c r="BI119" s="82"/>
    </row>
    <row r="120">
      <c r="K120" s="79"/>
      <c r="U120" s="79"/>
      <c r="AE120" s="79"/>
      <c r="AF120" s="82"/>
      <c r="AG120" s="82"/>
      <c r="AH120" s="82"/>
      <c r="AI120" s="82"/>
      <c r="AJ120" s="82"/>
      <c r="AK120" s="82"/>
      <c r="AL120" s="82"/>
      <c r="AM120" s="82"/>
      <c r="AN120" s="82"/>
      <c r="AO120" s="81"/>
      <c r="AP120" s="82"/>
      <c r="AQ120" s="82"/>
      <c r="AR120" s="82"/>
      <c r="AS120" s="82"/>
      <c r="AT120" s="82"/>
      <c r="AU120" s="82"/>
      <c r="AV120" s="82"/>
      <c r="AW120" s="82"/>
      <c r="AX120" s="82"/>
      <c r="AY120" s="81"/>
      <c r="AZ120" s="82"/>
      <c r="BA120" s="82"/>
      <c r="BB120" s="82"/>
      <c r="BC120" s="82"/>
      <c r="BD120" s="82"/>
      <c r="BE120" s="82"/>
      <c r="BF120" s="82"/>
      <c r="BG120" s="82"/>
      <c r="BH120" s="82"/>
      <c r="BI120" s="82"/>
    </row>
    <row r="121">
      <c r="K121" s="79"/>
      <c r="U121" s="79"/>
      <c r="AE121" s="79"/>
      <c r="AF121" s="82"/>
      <c r="AG121" s="82"/>
      <c r="AH121" s="82"/>
      <c r="AI121" s="82"/>
      <c r="AJ121" s="82"/>
      <c r="AK121" s="82"/>
      <c r="AL121" s="82"/>
      <c r="AM121" s="82"/>
      <c r="AN121" s="82"/>
      <c r="AO121" s="81"/>
      <c r="AP121" s="82"/>
      <c r="AQ121" s="82"/>
      <c r="AR121" s="82"/>
      <c r="AS121" s="82"/>
      <c r="AT121" s="82"/>
      <c r="AU121" s="82"/>
      <c r="AV121" s="82"/>
      <c r="AW121" s="82"/>
      <c r="AX121" s="82"/>
      <c r="AY121" s="81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</row>
    <row r="122">
      <c r="K122" s="79"/>
      <c r="U122" s="79"/>
      <c r="AE122" s="79"/>
      <c r="AF122" s="82"/>
      <c r="AG122" s="82"/>
      <c r="AH122" s="82"/>
      <c r="AI122" s="82"/>
      <c r="AJ122" s="82"/>
      <c r="AK122" s="82"/>
      <c r="AL122" s="82"/>
      <c r="AM122" s="82"/>
      <c r="AN122" s="82"/>
      <c r="AO122" s="81"/>
      <c r="AP122" s="82"/>
      <c r="AQ122" s="82"/>
      <c r="AR122" s="82"/>
      <c r="AS122" s="82"/>
      <c r="AT122" s="82"/>
      <c r="AU122" s="82"/>
      <c r="AV122" s="82"/>
      <c r="AW122" s="82"/>
      <c r="AX122" s="82"/>
      <c r="AY122" s="81"/>
      <c r="AZ122" s="82"/>
      <c r="BA122" s="82"/>
      <c r="BB122" s="82"/>
      <c r="BC122" s="82"/>
      <c r="BD122" s="82"/>
      <c r="BE122" s="82"/>
      <c r="BF122" s="82"/>
      <c r="BG122" s="82"/>
      <c r="BH122" s="82"/>
      <c r="BI122" s="82"/>
    </row>
    <row r="123">
      <c r="K123" s="79"/>
      <c r="U123" s="79"/>
      <c r="AE123" s="79"/>
      <c r="AF123" s="82"/>
      <c r="AG123" s="82"/>
      <c r="AH123" s="82"/>
      <c r="AI123" s="82"/>
      <c r="AJ123" s="82"/>
      <c r="AK123" s="82"/>
      <c r="AL123" s="82"/>
      <c r="AM123" s="82"/>
      <c r="AN123" s="82"/>
      <c r="AO123" s="81"/>
      <c r="AP123" s="82"/>
      <c r="AQ123" s="82"/>
      <c r="AR123" s="82"/>
      <c r="AS123" s="82"/>
      <c r="AT123" s="82"/>
      <c r="AU123" s="82"/>
      <c r="AV123" s="82"/>
      <c r="AW123" s="82"/>
      <c r="AX123" s="82"/>
      <c r="AY123" s="81"/>
      <c r="AZ123" s="82"/>
      <c r="BA123" s="82"/>
      <c r="BB123" s="82"/>
      <c r="BC123" s="82"/>
      <c r="BD123" s="82"/>
      <c r="BE123" s="82"/>
      <c r="BF123" s="82"/>
      <c r="BG123" s="82"/>
      <c r="BH123" s="82"/>
      <c r="BI123" s="82"/>
    </row>
    <row r="124">
      <c r="K124" s="79"/>
      <c r="U124" s="79"/>
      <c r="AE124" s="79"/>
      <c r="AF124" s="82"/>
      <c r="AG124" s="82"/>
      <c r="AH124" s="82"/>
      <c r="AI124" s="82"/>
      <c r="AJ124" s="82"/>
      <c r="AK124" s="82"/>
      <c r="AL124" s="82"/>
      <c r="AM124" s="82"/>
      <c r="AN124" s="82"/>
      <c r="AO124" s="81"/>
      <c r="AP124" s="82"/>
      <c r="AQ124" s="82"/>
      <c r="AR124" s="82"/>
      <c r="AS124" s="82"/>
      <c r="AT124" s="82"/>
      <c r="AU124" s="82"/>
      <c r="AV124" s="82"/>
      <c r="AW124" s="82"/>
      <c r="AX124" s="82"/>
      <c r="AY124" s="81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</row>
    <row r="125">
      <c r="K125" s="79"/>
      <c r="U125" s="79"/>
      <c r="AE125" s="79"/>
      <c r="AF125" s="82"/>
      <c r="AG125" s="82"/>
      <c r="AH125" s="82"/>
      <c r="AI125" s="82"/>
      <c r="AJ125" s="82"/>
      <c r="AK125" s="82"/>
      <c r="AL125" s="82"/>
      <c r="AM125" s="82"/>
      <c r="AN125" s="82"/>
      <c r="AO125" s="81"/>
      <c r="AP125" s="82"/>
      <c r="AQ125" s="82"/>
      <c r="AR125" s="82"/>
      <c r="AS125" s="82"/>
      <c r="AT125" s="82"/>
      <c r="AU125" s="82"/>
      <c r="AV125" s="82"/>
      <c r="AW125" s="82"/>
      <c r="AX125" s="82"/>
      <c r="AY125" s="81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</row>
    <row r="126">
      <c r="K126" s="79"/>
      <c r="U126" s="79"/>
      <c r="AE126" s="79"/>
      <c r="AF126" s="82"/>
      <c r="AG126" s="82"/>
      <c r="AH126" s="82"/>
      <c r="AI126" s="82"/>
      <c r="AJ126" s="82"/>
      <c r="AK126" s="82"/>
      <c r="AL126" s="82"/>
      <c r="AM126" s="82"/>
      <c r="AN126" s="82"/>
      <c r="AO126" s="81"/>
      <c r="AP126" s="82"/>
      <c r="AQ126" s="82"/>
      <c r="AR126" s="82"/>
      <c r="AS126" s="82"/>
      <c r="AT126" s="82"/>
      <c r="AU126" s="82"/>
      <c r="AV126" s="82"/>
      <c r="AW126" s="82"/>
      <c r="AX126" s="82"/>
      <c r="AY126" s="81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</row>
    <row r="127">
      <c r="K127" s="79"/>
      <c r="U127" s="79"/>
      <c r="AE127" s="79"/>
      <c r="AF127" s="82"/>
      <c r="AG127" s="82"/>
      <c r="AH127" s="82"/>
      <c r="AI127" s="82"/>
      <c r="AJ127" s="82"/>
      <c r="AK127" s="82"/>
      <c r="AL127" s="82"/>
      <c r="AM127" s="82"/>
      <c r="AN127" s="82"/>
      <c r="AO127" s="81"/>
      <c r="AP127" s="82"/>
      <c r="AQ127" s="82"/>
      <c r="AR127" s="82"/>
      <c r="AS127" s="82"/>
      <c r="AT127" s="82"/>
      <c r="AU127" s="82"/>
      <c r="AV127" s="82"/>
      <c r="AW127" s="82"/>
      <c r="AX127" s="82"/>
      <c r="AY127" s="81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</row>
    <row r="128">
      <c r="K128" s="79"/>
      <c r="U128" s="79"/>
      <c r="AE128" s="79"/>
      <c r="AF128" s="82"/>
      <c r="AG128" s="82"/>
      <c r="AH128" s="82"/>
      <c r="AI128" s="82"/>
      <c r="AJ128" s="82"/>
      <c r="AK128" s="82"/>
      <c r="AL128" s="82"/>
      <c r="AM128" s="82"/>
      <c r="AN128" s="82"/>
      <c r="AO128" s="81"/>
      <c r="AP128" s="82"/>
      <c r="AQ128" s="82"/>
      <c r="AR128" s="82"/>
      <c r="AS128" s="82"/>
      <c r="AT128" s="82"/>
      <c r="AU128" s="82"/>
      <c r="AV128" s="82"/>
      <c r="AW128" s="82"/>
      <c r="AX128" s="82"/>
      <c r="AY128" s="81"/>
      <c r="AZ128" s="82"/>
      <c r="BA128" s="82"/>
      <c r="BB128" s="82"/>
      <c r="BC128" s="82"/>
      <c r="BD128" s="82"/>
      <c r="BE128" s="82"/>
      <c r="BF128" s="82"/>
      <c r="BG128" s="82"/>
      <c r="BH128" s="82"/>
      <c r="BI128" s="82"/>
    </row>
    <row r="129">
      <c r="K129" s="79"/>
      <c r="U129" s="79"/>
      <c r="AE129" s="79"/>
      <c r="AF129" s="82"/>
      <c r="AG129" s="82"/>
      <c r="AH129" s="82"/>
      <c r="AI129" s="82"/>
      <c r="AJ129" s="82"/>
      <c r="AK129" s="82"/>
      <c r="AL129" s="82"/>
      <c r="AM129" s="82"/>
      <c r="AN129" s="82"/>
      <c r="AO129" s="81"/>
      <c r="AP129" s="82"/>
      <c r="AQ129" s="82"/>
      <c r="AR129" s="82"/>
      <c r="AS129" s="82"/>
      <c r="AT129" s="82"/>
      <c r="AU129" s="82"/>
      <c r="AV129" s="82"/>
      <c r="AW129" s="82"/>
      <c r="AX129" s="82"/>
      <c r="AY129" s="81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</row>
    <row r="130">
      <c r="K130" s="79"/>
      <c r="U130" s="79"/>
      <c r="AE130" s="79"/>
      <c r="AF130" s="82"/>
      <c r="AG130" s="82"/>
      <c r="AH130" s="82"/>
      <c r="AI130" s="82"/>
      <c r="AJ130" s="82"/>
      <c r="AK130" s="82"/>
      <c r="AL130" s="82"/>
      <c r="AM130" s="82"/>
      <c r="AN130" s="82"/>
      <c r="AO130" s="81"/>
      <c r="AP130" s="82"/>
      <c r="AQ130" s="82"/>
      <c r="AR130" s="82"/>
      <c r="AS130" s="82"/>
      <c r="AT130" s="82"/>
      <c r="AU130" s="82"/>
      <c r="AV130" s="82"/>
      <c r="AW130" s="82"/>
      <c r="AX130" s="82"/>
      <c r="AY130" s="81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</row>
    <row r="131">
      <c r="K131" s="79"/>
      <c r="U131" s="79"/>
      <c r="AE131" s="79"/>
      <c r="AF131" s="82"/>
      <c r="AG131" s="82"/>
      <c r="AH131" s="82"/>
      <c r="AI131" s="82"/>
      <c r="AJ131" s="82"/>
      <c r="AK131" s="82"/>
      <c r="AL131" s="82"/>
      <c r="AM131" s="82"/>
      <c r="AN131" s="82"/>
      <c r="AO131" s="81"/>
      <c r="AP131" s="82"/>
      <c r="AQ131" s="82"/>
      <c r="AR131" s="82"/>
      <c r="AS131" s="82"/>
      <c r="AT131" s="82"/>
      <c r="AU131" s="82"/>
      <c r="AV131" s="82"/>
      <c r="AW131" s="82"/>
      <c r="AX131" s="82"/>
      <c r="AY131" s="81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</row>
    <row r="132">
      <c r="K132" s="79"/>
      <c r="U132" s="79"/>
      <c r="AE132" s="79"/>
      <c r="AF132" s="82"/>
      <c r="AG132" s="82"/>
      <c r="AH132" s="82"/>
      <c r="AI132" s="82"/>
      <c r="AJ132" s="82"/>
      <c r="AK132" s="82"/>
      <c r="AL132" s="82"/>
      <c r="AM132" s="82"/>
      <c r="AN132" s="82"/>
      <c r="AO132" s="81"/>
      <c r="AP132" s="82"/>
      <c r="AQ132" s="82"/>
      <c r="AR132" s="82"/>
      <c r="AS132" s="82"/>
      <c r="AT132" s="82"/>
      <c r="AU132" s="82"/>
      <c r="AV132" s="82"/>
      <c r="AW132" s="82"/>
      <c r="AX132" s="82"/>
      <c r="AY132" s="81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</row>
    <row r="133">
      <c r="K133" s="79"/>
      <c r="U133" s="79"/>
      <c r="AE133" s="79"/>
      <c r="AF133" s="82"/>
      <c r="AG133" s="82"/>
      <c r="AH133" s="82"/>
      <c r="AI133" s="82"/>
      <c r="AJ133" s="82"/>
      <c r="AK133" s="82"/>
      <c r="AL133" s="82"/>
      <c r="AM133" s="82"/>
      <c r="AN133" s="82"/>
      <c r="AO133" s="81"/>
      <c r="AP133" s="82"/>
      <c r="AQ133" s="82"/>
      <c r="AR133" s="82"/>
      <c r="AS133" s="82"/>
      <c r="AT133" s="82"/>
      <c r="AU133" s="82"/>
      <c r="AV133" s="82"/>
      <c r="AW133" s="82"/>
      <c r="AX133" s="82"/>
      <c r="AY133" s="81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</row>
    <row r="134">
      <c r="K134" s="79"/>
      <c r="U134" s="79"/>
      <c r="AE134" s="79"/>
      <c r="AF134" s="82"/>
      <c r="AG134" s="82"/>
      <c r="AH134" s="82"/>
      <c r="AI134" s="82"/>
      <c r="AJ134" s="82"/>
      <c r="AK134" s="82"/>
      <c r="AL134" s="82"/>
      <c r="AM134" s="82"/>
      <c r="AN134" s="82"/>
      <c r="AO134" s="81"/>
      <c r="AP134" s="82"/>
      <c r="AQ134" s="82"/>
      <c r="AR134" s="82"/>
      <c r="AS134" s="82"/>
      <c r="AT134" s="82"/>
      <c r="AU134" s="82"/>
      <c r="AV134" s="82"/>
      <c r="AW134" s="82"/>
      <c r="AX134" s="82"/>
      <c r="AY134" s="81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</row>
    <row r="135">
      <c r="K135" s="79"/>
      <c r="U135" s="79"/>
      <c r="AE135" s="79"/>
      <c r="AF135" s="82"/>
      <c r="AG135" s="82"/>
      <c r="AH135" s="82"/>
      <c r="AI135" s="82"/>
      <c r="AJ135" s="82"/>
      <c r="AK135" s="82"/>
      <c r="AL135" s="82"/>
      <c r="AM135" s="82"/>
      <c r="AN135" s="82"/>
      <c r="AO135" s="81"/>
      <c r="AP135" s="82"/>
      <c r="AQ135" s="82"/>
      <c r="AR135" s="82"/>
      <c r="AS135" s="82"/>
      <c r="AT135" s="82"/>
      <c r="AU135" s="82"/>
      <c r="AV135" s="82"/>
      <c r="AW135" s="82"/>
      <c r="AX135" s="82"/>
      <c r="AY135" s="81"/>
      <c r="AZ135" s="82"/>
      <c r="BA135" s="82"/>
      <c r="BB135" s="82"/>
      <c r="BC135" s="82"/>
      <c r="BD135" s="82"/>
      <c r="BE135" s="82"/>
      <c r="BF135" s="82"/>
      <c r="BG135" s="82"/>
      <c r="BH135" s="82"/>
      <c r="BI135" s="82"/>
    </row>
    <row r="136">
      <c r="K136" s="79"/>
      <c r="U136" s="79"/>
      <c r="AE136" s="79"/>
      <c r="AF136" s="82"/>
      <c r="AG136" s="82"/>
      <c r="AH136" s="82"/>
      <c r="AI136" s="82"/>
      <c r="AJ136" s="82"/>
      <c r="AK136" s="82"/>
      <c r="AL136" s="82"/>
      <c r="AM136" s="82"/>
      <c r="AN136" s="82"/>
      <c r="AO136" s="81"/>
      <c r="AP136" s="82"/>
      <c r="AQ136" s="82"/>
      <c r="AR136" s="82"/>
      <c r="AS136" s="82"/>
      <c r="AT136" s="82"/>
      <c r="AU136" s="82"/>
      <c r="AV136" s="82"/>
      <c r="AW136" s="82"/>
      <c r="AX136" s="82"/>
      <c r="AY136" s="81"/>
      <c r="AZ136" s="82"/>
      <c r="BA136" s="82"/>
      <c r="BB136" s="82"/>
      <c r="BC136" s="82"/>
      <c r="BD136" s="82"/>
      <c r="BE136" s="82"/>
      <c r="BF136" s="82"/>
      <c r="BG136" s="82"/>
      <c r="BH136" s="82"/>
      <c r="BI136" s="82"/>
    </row>
    <row r="137">
      <c r="K137" s="79"/>
      <c r="U137" s="79"/>
      <c r="AE137" s="79"/>
      <c r="AF137" s="82"/>
      <c r="AG137" s="82"/>
      <c r="AH137" s="82"/>
      <c r="AI137" s="82"/>
      <c r="AJ137" s="82"/>
      <c r="AK137" s="82"/>
      <c r="AL137" s="82"/>
      <c r="AM137" s="82"/>
      <c r="AN137" s="82"/>
      <c r="AO137" s="81"/>
      <c r="AP137" s="82"/>
      <c r="AQ137" s="82"/>
      <c r="AR137" s="82"/>
      <c r="AS137" s="82"/>
      <c r="AT137" s="82"/>
      <c r="AU137" s="82"/>
      <c r="AV137" s="82"/>
      <c r="AW137" s="82"/>
      <c r="AX137" s="82"/>
      <c r="AY137" s="81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</row>
    <row r="138">
      <c r="K138" s="79"/>
      <c r="U138" s="79"/>
      <c r="AE138" s="79"/>
      <c r="AF138" s="82"/>
      <c r="AG138" s="82"/>
      <c r="AH138" s="82"/>
      <c r="AI138" s="82"/>
      <c r="AJ138" s="82"/>
      <c r="AK138" s="82"/>
      <c r="AL138" s="82"/>
      <c r="AM138" s="82"/>
      <c r="AN138" s="82"/>
      <c r="AO138" s="81"/>
      <c r="AP138" s="82"/>
      <c r="AQ138" s="82"/>
      <c r="AR138" s="82"/>
      <c r="AS138" s="82"/>
      <c r="AT138" s="82"/>
      <c r="AU138" s="82"/>
      <c r="AV138" s="82"/>
      <c r="AW138" s="82"/>
      <c r="AX138" s="82"/>
      <c r="AY138" s="81"/>
      <c r="AZ138" s="82"/>
      <c r="BA138" s="82"/>
      <c r="BB138" s="82"/>
      <c r="BC138" s="82"/>
      <c r="BD138" s="82"/>
      <c r="BE138" s="82"/>
      <c r="BF138" s="82"/>
      <c r="BG138" s="82"/>
      <c r="BH138" s="82"/>
      <c r="BI138" s="82"/>
    </row>
    <row r="139">
      <c r="K139" s="79"/>
      <c r="U139" s="79"/>
      <c r="AE139" s="79"/>
      <c r="AF139" s="82"/>
      <c r="AG139" s="82"/>
      <c r="AH139" s="82"/>
      <c r="AI139" s="82"/>
      <c r="AJ139" s="82"/>
      <c r="AK139" s="82"/>
      <c r="AL139" s="82"/>
      <c r="AM139" s="82"/>
      <c r="AN139" s="82"/>
      <c r="AO139" s="81"/>
      <c r="AP139" s="82"/>
      <c r="AQ139" s="82"/>
      <c r="AR139" s="82"/>
      <c r="AS139" s="82"/>
      <c r="AT139" s="82"/>
      <c r="AU139" s="82"/>
      <c r="AV139" s="82"/>
      <c r="AW139" s="82"/>
      <c r="AX139" s="82"/>
      <c r="AY139" s="81"/>
      <c r="AZ139" s="82"/>
      <c r="BA139" s="82"/>
      <c r="BB139" s="82"/>
      <c r="BC139" s="82"/>
      <c r="BD139" s="82"/>
      <c r="BE139" s="82"/>
      <c r="BF139" s="82"/>
      <c r="BG139" s="82"/>
      <c r="BH139" s="82"/>
      <c r="BI139" s="82"/>
    </row>
    <row r="140">
      <c r="K140" s="79"/>
      <c r="U140" s="79"/>
      <c r="AE140" s="79"/>
      <c r="AF140" s="82"/>
      <c r="AG140" s="82"/>
      <c r="AH140" s="82"/>
      <c r="AI140" s="82"/>
      <c r="AJ140" s="82"/>
      <c r="AK140" s="82"/>
      <c r="AL140" s="82"/>
      <c r="AM140" s="82"/>
      <c r="AN140" s="82"/>
      <c r="AO140" s="81"/>
      <c r="AP140" s="82"/>
      <c r="AQ140" s="82"/>
      <c r="AR140" s="82"/>
      <c r="AS140" s="82"/>
      <c r="AT140" s="82"/>
      <c r="AU140" s="82"/>
      <c r="AV140" s="82"/>
      <c r="AW140" s="82"/>
      <c r="AX140" s="82"/>
      <c r="AY140" s="81"/>
      <c r="AZ140" s="82"/>
      <c r="BA140" s="82"/>
      <c r="BB140" s="82"/>
      <c r="BC140" s="82"/>
      <c r="BD140" s="82"/>
      <c r="BE140" s="82"/>
      <c r="BF140" s="82"/>
      <c r="BG140" s="82"/>
      <c r="BH140" s="82"/>
      <c r="BI140" s="82"/>
    </row>
    <row r="141">
      <c r="K141" s="79"/>
      <c r="U141" s="79"/>
      <c r="AE141" s="79"/>
      <c r="AF141" s="82"/>
      <c r="AG141" s="82"/>
      <c r="AH141" s="82"/>
      <c r="AI141" s="82"/>
      <c r="AJ141" s="82"/>
      <c r="AK141" s="82"/>
      <c r="AL141" s="82"/>
      <c r="AM141" s="82"/>
      <c r="AN141" s="82"/>
      <c r="AO141" s="81"/>
      <c r="AP141" s="82"/>
      <c r="AQ141" s="82"/>
      <c r="AR141" s="82"/>
      <c r="AS141" s="82"/>
      <c r="AT141" s="82"/>
      <c r="AU141" s="82"/>
      <c r="AV141" s="82"/>
      <c r="AW141" s="82"/>
      <c r="AX141" s="82"/>
      <c r="AY141" s="81"/>
      <c r="AZ141" s="82"/>
      <c r="BA141" s="82"/>
      <c r="BB141" s="82"/>
      <c r="BC141" s="82"/>
      <c r="BD141" s="82"/>
      <c r="BE141" s="82"/>
      <c r="BF141" s="82"/>
      <c r="BG141" s="82"/>
      <c r="BH141" s="82"/>
      <c r="BI141" s="82"/>
    </row>
    <row r="142">
      <c r="K142" s="79"/>
      <c r="U142" s="79"/>
      <c r="AE142" s="79"/>
      <c r="AF142" s="82"/>
      <c r="AG142" s="82"/>
      <c r="AH142" s="82"/>
      <c r="AI142" s="82"/>
      <c r="AJ142" s="82"/>
      <c r="AK142" s="82"/>
      <c r="AL142" s="82"/>
      <c r="AM142" s="82"/>
      <c r="AN142" s="82"/>
      <c r="AO142" s="81"/>
      <c r="AP142" s="82"/>
      <c r="AQ142" s="82"/>
      <c r="AR142" s="82"/>
      <c r="AS142" s="82"/>
      <c r="AT142" s="82"/>
      <c r="AU142" s="82"/>
      <c r="AV142" s="82"/>
      <c r="AW142" s="82"/>
      <c r="AX142" s="82"/>
      <c r="AY142" s="81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</row>
    <row r="143">
      <c r="K143" s="79"/>
      <c r="U143" s="79"/>
      <c r="AE143" s="79"/>
      <c r="AF143" s="82"/>
      <c r="AG143" s="82"/>
      <c r="AH143" s="82"/>
      <c r="AI143" s="82"/>
      <c r="AJ143" s="82"/>
      <c r="AK143" s="82"/>
      <c r="AL143" s="82"/>
      <c r="AM143" s="82"/>
      <c r="AN143" s="82"/>
      <c r="AO143" s="81"/>
      <c r="AP143" s="82"/>
      <c r="AQ143" s="82"/>
      <c r="AR143" s="82"/>
      <c r="AS143" s="82"/>
      <c r="AT143" s="82"/>
      <c r="AU143" s="82"/>
      <c r="AV143" s="82"/>
      <c r="AW143" s="82"/>
      <c r="AX143" s="82"/>
      <c r="AY143" s="81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</row>
    <row r="144">
      <c r="K144" s="79"/>
      <c r="U144" s="79"/>
      <c r="AE144" s="79"/>
      <c r="AF144" s="82"/>
      <c r="AG144" s="82"/>
      <c r="AH144" s="82"/>
      <c r="AI144" s="82"/>
      <c r="AJ144" s="82"/>
      <c r="AK144" s="82"/>
      <c r="AL144" s="82"/>
      <c r="AM144" s="82"/>
      <c r="AN144" s="82"/>
      <c r="AO144" s="81"/>
      <c r="AP144" s="82"/>
      <c r="AQ144" s="82"/>
      <c r="AR144" s="82"/>
      <c r="AS144" s="82"/>
      <c r="AT144" s="82"/>
      <c r="AU144" s="82"/>
      <c r="AV144" s="82"/>
      <c r="AW144" s="82"/>
      <c r="AX144" s="82"/>
      <c r="AY144" s="81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</row>
    <row r="145">
      <c r="K145" s="79"/>
      <c r="U145" s="79"/>
      <c r="AE145" s="79"/>
      <c r="AF145" s="82"/>
      <c r="AG145" s="82"/>
      <c r="AH145" s="82"/>
      <c r="AI145" s="82"/>
      <c r="AJ145" s="82"/>
      <c r="AK145" s="82"/>
      <c r="AL145" s="82"/>
      <c r="AM145" s="82"/>
      <c r="AN145" s="82"/>
      <c r="AO145" s="81"/>
      <c r="AP145" s="82"/>
      <c r="AQ145" s="82"/>
      <c r="AR145" s="82"/>
      <c r="AS145" s="82"/>
      <c r="AT145" s="82"/>
      <c r="AU145" s="82"/>
      <c r="AV145" s="82"/>
      <c r="AW145" s="82"/>
      <c r="AX145" s="82"/>
      <c r="AY145" s="81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</row>
    <row r="146">
      <c r="K146" s="79"/>
      <c r="U146" s="79"/>
      <c r="AE146" s="79"/>
      <c r="AF146" s="82"/>
      <c r="AG146" s="82"/>
      <c r="AH146" s="82"/>
      <c r="AI146" s="82"/>
      <c r="AJ146" s="82"/>
      <c r="AK146" s="82"/>
      <c r="AL146" s="82"/>
      <c r="AM146" s="82"/>
      <c r="AN146" s="82"/>
      <c r="AO146" s="81"/>
      <c r="AP146" s="82"/>
      <c r="AQ146" s="82"/>
      <c r="AR146" s="82"/>
      <c r="AS146" s="82"/>
      <c r="AT146" s="82"/>
      <c r="AU146" s="82"/>
      <c r="AV146" s="82"/>
      <c r="AW146" s="82"/>
      <c r="AX146" s="82"/>
      <c r="AY146" s="81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</row>
    <row r="147">
      <c r="K147" s="79"/>
      <c r="U147" s="79"/>
      <c r="AE147" s="79"/>
      <c r="AF147" s="82"/>
      <c r="AG147" s="82"/>
      <c r="AH147" s="82"/>
      <c r="AI147" s="82"/>
      <c r="AJ147" s="82"/>
      <c r="AK147" s="82"/>
      <c r="AL147" s="82"/>
      <c r="AM147" s="82"/>
      <c r="AN147" s="82"/>
      <c r="AO147" s="81"/>
      <c r="AP147" s="82"/>
      <c r="AQ147" s="82"/>
      <c r="AR147" s="82"/>
      <c r="AS147" s="82"/>
      <c r="AT147" s="82"/>
      <c r="AU147" s="82"/>
      <c r="AV147" s="82"/>
      <c r="AW147" s="82"/>
      <c r="AX147" s="82"/>
      <c r="AY147" s="81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</row>
    <row r="148">
      <c r="K148" s="79"/>
      <c r="U148" s="79"/>
      <c r="AE148" s="79"/>
      <c r="AF148" s="82"/>
      <c r="AG148" s="82"/>
      <c r="AH148" s="82"/>
      <c r="AI148" s="82"/>
      <c r="AJ148" s="82"/>
      <c r="AK148" s="82"/>
      <c r="AL148" s="82"/>
      <c r="AM148" s="82"/>
      <c r="AN148" s="82"/>
      <c r="AO148" s="81"/>
      <c r="AP148" s="82"/>
      <c r="AQ148" s="82"/>
      <c r="AR148" s="82"/>
      <c r="AS148" s="82"/>
      <c r="AT148" s="82"/>
      <c r="AU148" s="82"/>
      <c r="AV148" s="82"/>
      <c r="AW148" s="82"/>
      <c r="AX148" s="82"/>
      <c r="AY148" s="81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</row>
    <row r="149">
      <c r="K149" s="79"/>
      <c r="U149" s="79"/>
      <c r="AE149" s="79"/>
      <c r="AF149" s="82"/>
      <c r="AG149" s="82"/>
      <c r="AH149" s="82"/>
      <c r="AI149" s="82"/>
      <c r="AJ149" s="82"/>
      <c r="AK149" s="82"/>
      <c r="AL149" s="82"/>
      <c r="AM149" s="82"/>
      <c r="AN149" s="82"/>
      <c r="AO149" s="81"/>
      <c r="AP149" s="82"/>
      <c r="AQ149" s="82"/>
      <c r="AR149" s="82"/>
      <c r="AS149" s="82"/>
      <c r="AT149" s="82"/>
      <c r="AU149" s="82"/>
      <c r="AV149" s="82"/>
      <c r="AW149" s="82"/>
      <c r="AX149" s="82"/>
      <c r="AY149" s="81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</row>
    <row r="150">
      <c r="K150" s="79"/>
      <c r="U150" s="79"/>
      <c r="AE150" s="79"/>
      <c r="AF150" s="82"/>
      <c r="AG150" s="82"/>
      <c r="AH150" s="82"/>
      <c r="AI150" s="82"/>
      <c r="AJ150" s="82"/>
      <c r="AK150" s="82"/>
      <c r="AL150" s="82"/>
      <c r="AM150" s="82"/>
      <c r="AN150" s="82"/>
      <c r="AO150" s="81"/>
      <c r="AP150" s="82"/>
      <c r="AQ150" s="82"/>
      <c r="AR150" s="82"/>
      <c r="AS150" s="82"/>
      <c r="AT150" s="82"/>
      <c r="AU150" s="82"/>
      <c r="AV150" s="82"/>
      <c r="AW150" s="82"/>
      <c r="AX150" s="82"/>
      <c r="AY150" s="81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</row>
    <row r="151">
      <c r="K151" s="79"/>
      <c r="U151" s="79"/>
      <c r="AE151" s="79"/>
      <c r="AF151" s="82"/>
      <c r="AG151" s="82"/>
      <c r="AH151" s="82"/>
      <c r="AI151" s="82"/>
      <c r="AJ151" s="82"/>
      <c r="AK151" s="82"/>
      <c r="AL151" s="82"/>
      <c r="AM151" s="82"/>
      <c r="AN151" s="82"/>
      <c r="AO151" s="81"/>
      <c r="AP151" s="82"/>
      <c r="AQ151" s="82"/>
      <c r="AR151" s="82"/>
      <c r="AS151" s="82"/>
      <c r="AT151" s="82"/>
      <c r="AU151" s="82"/>
      <c r="AV151" s="82"/>
      <c r="AW151" s="82"/>
      <c r="AX151" s="82"/>
      <c r="AY151" s="81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</row>
    <row r="152">
      <c r="K152" s="79"/>
      <c r="U152" s="79"/>
      <c r="AE152" s="79"/>
      <c r="AF152" s="82"/>
      <c r="AG152" s="82"/>
      <c r="AH152" s="82"/>
      <c r="AI152" s="82"/>
      <c r="AJ152" s="82"/>
      <c r="AK152" s="82"/>
      <c r="AL152" s="82"/>
      <c r="AM152" s="82"/>
      <c r="AN152" s="82"/>
      <c r="AO152" s="81"/>
      <c r="AP152" s="82"/>
      <c r="AQ152" s="82"/>
      <c r="AR152" s="82"/>
      <c r="AS152" s="82"/>
      <c r="AT152" s="82"/>
      <c r="AU152" s="82"/>
      <c r="AV152" s="82"/>
      <c r="AW152" s="82"/>
      <c r="AX152" s="82"/>
      <c r="AY152" s="81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</row>
    <row r="153">
      <c r="K153" s="79"/>
      <c r="U153" s="79"/>
      <c r="AE153" s="79"/>
      <c r="AF153" s="82"/>
      <c r="AG153" s="82"/>
      <c r="AH153" s="82"/>
      <c r="AI153" s="82"/>
      <c r="AJ153" s="82"/>
      <c r="AK153" s="82"/>
      <c r="AL153" s="82"/>
      <c r="AM153" s="82"/>
      <c r="AN153" s="82"/>
      <c r="AO153" s="81"/>
      <c r="AP153" s="82"/>
      <c r="AQ153" s="82"/>
      <c r="AR153" s="82"/>
      <c r="AS153" s="82"/>
      <c r="AT153" s="82"/>
      <c r="AU153" s="82"/>
      <c r="AV153" s="82"/>
      <c r="AW153" s="82"/>
      <c r="AX153" s="82"/>
      <c r="AY153" s="81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</row>
    <row r="154">
      <c r="K154" s="79"/>
      <c r="U154" s="79"/>
      <c r="AE154" s="79"/>
      <c r="AF154" s="82"/>
      <c r="AG154" s="82"/>
      <c r="AH154" s="82"/>
      <c r="AI154" s="82"/>
      <c r="AJ154" s="82"/>
      <c r="AK154" s="82"/>
      <c r="AL154" s="82"/>
      <c r="AM154" s="82"/>
      <c r="AN154" s="82"/>
      <c r="AO154" s="81"/>
      <c r="AP154" s="82"/>
      <c r="AQ154" s="82"/>
      <c r="AR154" s="82"/>
      <c r="AS154" s="82"/>
      <c r="AT154" s="82"/>
      <c r="AU154" s="82"/>
      <c r="AV154" s="82"/>
      <c r="AW154" s="82"/>
      <c r="AX154" s="82"/>
      <c r="AY154" s="81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</row>
    <row r="155">
      <c r="K155" s="79"/>
      <c r="U155" s="79"/>
      <c r="AE155" s="79"/>
      <c r="AF155" s="82"/>
      <c r="AG155" s="82"/>
      <c r="AH155" s="82"/>
      <c r="AI155" s="82"/>
      <c r="AJ155" s="82"/>
      <c r="AK155" s="82"/>
      <c r="AL155" s="82"/>
      <c r="AM155" s="82"/>
      <c r="AN155" s="82"/>
      <c r="AO155" s="81"/>
      <c r="AP155" s="82"/>
      <c r="AQ155" s="82"/>
      <c r="AR155" s="82"/>
      <c r="AS155" s="82"/>
      <c r="AT155" s="82"/>
      <c r="AU155" s="82"/>
      <c r="AV155" s="82"/>
      <c r="AW155" s="82"/>
      <c r="AX155" s="82"/>
      <c r="AY155" s="81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</row>
    <row r="156">
      <c r="K156" s="79"/>
      <c r="U156" s="79"/>
      <c r="AE156" s="79"/>
      <c r="AF156" s="82"/>
      <c r="AG156" s="82"/>
      <c r="AH156" s="82"/>
      <c r="AI156" s="82"/>
      <c r="AJ156" s="82"/>
      <c r="AK156" s="82"/>
      <c r="AL156" s="82"/>
      <c r="AM156" s="82"/>
      <c r="AN156" s="82"/>
      <c r="AO156" s="81"/>
      <c r="AP156" s="82"/>
      <c r="AQ156" s="82"/>
      <c r="AR156" s="82"/>
      <c r="AS156" s="82"/>
      <c r="AT156" s="82"/>
      <c r="AU156" s="82"/>
      <c r="AV156" s="82"/>
      <c r="AW156" s="82"/>
      <c r="AX156" s="82"/>
      <c r="AY156" s="81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</row>
    <row r="157">
      <c r="K157" s="79"/>
      <c r="U157" s="79"/>
      <c r="AE157" s="79"/>
      <c r="AF157" s="82"/>
      <c r="AG157" s="82"/>
      <c r="AH157" s="82"/>
      <c r="AI157" s="82"/>
      <c r="AJ157" s="82"/>
      <c r="AK157" s="82"/>
      <c r="AL157" s="82"/>
      <c r="AM157" s="82"/>
      <c r="AN157" s="82"/>
      <c r="AO157" s="81"/>
      <c r="AP157" s="82"/>
      <c r="AQ157" s="82"/>
      <c r="AR157" s="82"/>
      <c r="AS157" s="82"/>
      <c r="AT157" s="82"/>
      <c r="AU157" s="82"/>
      <c r="AV157" s="82"/>
      <c r="AW157" s="82"/>
      <c r="AX157" s="82"/>
      <c r="AY157" s="81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</row>
    <row r="158">
      <c r="K158" s="79"/>
      <c r="U158" s="79"/>
      <c r="AE158" s="79"/>
      <c r="AF158" s="82"/>
      <c r="AG158" s="82"/>
      <c r="AH158" s="82"/>
      <c r="AI158" s="82"/>
      <c r="AJ158" s="82"/>
      <c r="AK158" s="82"/>
      <c r="AL158" s="82"/>
      <c r="AM158" s="82"/>
      <c r="AN158" s="82"/>
      <c r="AO158" s="81"/>
      <c r="AP158" s="82"/>
      <c r="AQ158" s="82"/>
      <c r="AR158" s="82"/>
      <c r="AS158" s="82"/>
      <c r="AT158" s="82"/>
      <c r="AU158" s="82"/>
      <c r="AV158" s="82"/>
      <c r="AW158" s="82"/>
      <c r="AX158" s="82"/>
      <c r="AY158" s="81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</row>
    <row r="159">
      <c r="K159" s="79"/>
      <c r="U159" s="79"/>
      <c r="AE159" s="79"/>
      <c r="AF159" s="82"/>
      <c r="AG159" s="82"/>
      <c r="AH159" s="82"/>
      <c r="AI159" s="82"/>
      <c r="AJ159" s="82"/>
      <c r="AK159" s="82"/>
      <c r="AL159" s="82"/>
      <c r="AM159" s="82"/>
      <c r="AN159" s="82"/>
      <c r="AO159" s="81"/>
      <c r="AP159" s="82"/>
      <c r="AQ159" s="82"/>
      <c r="AR159" s="82"/>
      <c r="AS159" s="82"/>
      <c r="AT159" s="82"/>
      <c r="AU159" s="82"/>
      <c r="AV159" s="82"/>
      <c r="AW159" s="82"/>
      <c r="AX159" s="82"/>
      <c r="AY159" s="81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</row>
    <row r="160">
      <c r="K160" s="79"/>
      <c r="U160" s="79"/>
      <c r="AE160" s="79"/>
      <c r="AF160" s="82"/>
      <c r="AG160" s="82"/>
      <c r="AH160" s="82"/>
      <c r="AI160" s="82"/>
      <c r="AJ160" s="82"/>
      <c r="AK160" s="82"/>
      <c r="AL160" s="82"/>
      <c r="AM160" s="82"/>
      <c r="AN160" s="82"/>
      <c r="AO160" s="81"/>
      <c r="AP160" s="82"/>
      <c r="AQ160" s="82"/>
      <c r="AR160" s="82"/>
      <c r="AS160" s="82"/>
      <c r="AT160" s="82"/>
      <c r="AU160" s="82"/>
      <c r="AV160" s="82"/>
      <c r="AW160" s="82"/>
      <c r="AX160" s="82"/>
      <c r="AY160" s="81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</row>
    <row r="161">
      <c r="K161" s="79"/>
      <c r="U161" s="79"/>
      <c r="AE161" s="79"/>
      <c r="AF161" s="82"/>
      <c r="AG161" s="82"/>
      <c r="AH161" s="82"/>
      <c r="AI161" s="82"/>
      <c r="AJ161" s="82"/>
      <c r="AK161" s="82"/>
      <c r="AL161" s="82"/>
      <c r="AM161" s="82"/>
      <c r="AN161" s="82"/>
      <c r="AO161" s="81"/>
      <c r="AP161" s="82"/>
      <c r="AQ161" s="82"/>
      <c r="AR161" s="82"/>
      <c r="AS161" s="82"/>
      <c r="AT161" s="82"/>
      <c r="AU161" s="82"/>
      <c r="AV161" s="82"/>
      <c r="AW161" s="82"/>
      <c r="AX161" s="82"/>
      <c r="AY161" s="81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</row>
    <row r="162">
      <c r="K162" s="79"/>
      <c r="U162" s="79"/>
      <c r="AE162" s="79"/>
      <c r="AF162" s="82"/>
      <c r="AG162" s="82"/>
      <c r="AH162" s="82"/>
      <c r="AI162" s="82"/>
      <c r="AJ162" s="82"/>
      <c r="AK162" s="82"/>
      <c r="AL162" s="82"/>
      <c r="AM162" s="82"/>
      <c r="AN162" s="82"/>
      <c r="AO162" s="81"/>
      <c r="AP162" s="82"/>
      <c r="AQ162" s="82"/>
      <c r="AR162" s="82"/>
      <c r="AS162" s="82"/>
      <c r="AT162" s="82"/>
      <c r="AU162" s="82"/>
      <c r="AV162" s="82"/>
      <c r="AW162" s="82"/>
      <c r="AX162" s="82"/>
      <c r="AY162" s="81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</row>
    <row r="163">
      <c r="K163" s="79"/>
      <c r="U163" s="79"/>
      <c r="AE163" s="79"/>
      <c r="AF163" s="82"/>
      <c r="AG163" s="82"/>
      <c r="AH163" s="82"/>
      <c r="AI163" s="82"/>
      <c r="AJ163" s="82"/>
      <c r="AK163" s="82"/>
      <c r="AL163" s="82"/>
      <c r="AM163" s="82"/>
      <c r="AN163" s="82"/>
      <c r="AO163" s="81"/>
      <c r="AP163" s="82"/>
      <c r="AQ163" s="82"/>
      <c r="AR163" s="82"/>
      <c r="AS163" s="82"/>
      <c r="AT163" s="82"/>
      <c r="AU163" s="82"/>
      <c r="AV163" s="82"/>
      <c r="AW163" s="82"/>
      <c r="AX163" s="82"/>
      <c r="AY163" s="81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</row>
    <row r="164">
      <c r="K164" s="79"/>
      <c r="U164" s="79"/>
      <c r="AE164" s="79"/>
      <c r="AF164" s="82"/>
      <c r="AG164" s="82"/>
      <c r="AH164" s="82"/>
      <c r="AI164" s="82"/>
      <c r="AJ164" s="82"/>
      <c r="AK164" s="82"/>
      <c r="AL164" s="82"/>
      <c r="AM164" s="82"/>
      <c r="AN164" s="82"/>
      <c r="AO164" s="81"/>
      <c r="AP164" s="82"/>
      <c r="AQ164" s="82"/>
      <c r="AR164" s="82"/>
      <c r="AS164" s="82"/>
      <c r="AT164" s="82"/>
      <c r="AU164" s="82"/>
      <c r="AV164" s="82"/>
      <c r="AW164" s="82"/>
      <c r="AX164" s="82"/>
      <c r="AY164" s="81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</row>
    <row r="165">
      <c r="K165" s="79"/>
      <c r="U165" s="79"/>
      <c r="AE165" s="79"/>
      <c r="AF165" s="82"/>
      <c r="AG165" s="82"/>
      <c r="AH165" s="82"/>
      <c r="AI165" s="82"/>
      <c r="AJ165" s="82"/>
      <c r="AK165" s="82"/>
      <c r="AL165" s="82"/>
      <c r="AM165" s="82"/>
      <c r="AN165" s="82"/>
      <c r="AO165" s="81"/>
      <c r="AP165" s="82"/>
      <c r="AQ165" s="82"/>
      <c r="AR165" s="82"/>
      <c r="AS165" s="82"/>
      <c r="AT165" s="82"/>
      <c r="AU165" s="82"/>
      <c r="AV165" s="82"/>
      <c r="AW165" s="82"/>
      <c r="AX165" s="82"/>
      <c r="AY165" s="81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</row>
    <row r="166">
      <c r="K166" s="79"/>
      <c r="U166" s="79"/>
      <c r="AE166" s="79"/>
      <c r="AF166" s="82"/>
      <c r="AG166" s="82"/>
      <c r="AH166" s="82"/>
      <c r="AI166" s="82"/>
      <c r="AJ166" s="82"/>
      <c r="AK166" s="82"/>
      <c r="AL166" s="82"/>
      <c r="AM166" s="82"/>
      <c r="AN166" s="82"/>
      <c r="AO166" s="81"/>
      <c r="AP166" s="82"/>
      <c r="AQ166" s="82"/>
      <c r="AR166" s="82"/>
      <c r="AS166" s="82"/>
      <c r="AT166" s="82"/>
      <c r="AU166" s="82"/>
      <c r="AV166" s="82"/>
      <c r="AW166" s="82"/>
      <c r="AX166" s="82"/>
      <c r="AY166" s="81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</row>
    <row r="167">
      <c r="K167" s="79"/>
      <c r="U167" s="79"/>
      <c r="AE167" s="79"/>
      <c r="AF167" s="82"/>
      <c r="AG167" s="82"/>
      <c r="AH167" s="82"/>
      <c r="AI167" s="82"/>
      <c r="AJ167" s="82"/>
      <c r="AK167" s="82"/>
      <c r="AL167" s="82"/>
      <c r="AM167" s="82"/>
      <c r="AN167" s="82"/>
      <c r="AO167" s="81"/>
      <c r="AP167" s="82"/>
      <c r="AQ167" s="82"/>
      <c r="AR167" s="82"/>
      <c r="AS167" s="82"/>
      <c r="AT167" s="82"/>
      <c r="AU167" s="82"/>
      <c r="AV167" s="82"/>
      <c r="AW167" s="82"/>
      <c r="AX167" s="82"/>
      <c r="AY167" s="81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</row>
    <row r="168">
      <c r="K168" s="79"/>
      <c r="U168" s="79"/>
      <c r="AE168" s="79"/>
      <c r="AF168" s="82"/>
      <c r="AG168" s="82"/>
      <c r="AH168" s="82"/>
      <c r="AI168" s="82"/>
      <c r="AJ168" s="82"/>
      <c r="AK168" s="82"/>
      <c r="AL168" s="82"/>
      <c r="AM168" s="82"/>
      <c r="AN168" s="82"/>
      <c r="AO168" s="81"/>
      <c r="AP168" s="82"/>
      <c r="AQ168" s="82"/>
      <c r="AR168" s="82"/>
      <c r="AS168" s="82"/>
      <c r="AT168" s="82"/>
      <c r="AU168" s="82"/>
      <c r="AV168" s="82"/>
      <c r="AW168" s="82"/>
      <c r="AX168" s="82"/>
      <c r="AY168" s="81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</row>
    <row r="169">
      <c r="K169" s="79"/>
      <c r="U169" s="79"/>
      <c r="AE169" s="79"/>
      <c r="AF169" s="82"/>
      <c r="AG169" s="82"/>
      <c r="AH169" s="82"/>
      <c r="AI169" s="82"/>
      <c r="AJ169" s="82"/>
      <c r="AK169" s="82"/>
      <c r="AL169" s="82"/>
      <c r="AM169" s="82"/>
      <c r="AN169" s="82"/>
      <c r="AO169" s="81"/>
      <c r="AP169" s="82"/>
      <c r="AQ169" s="82"/>
      <c r="AR169" s="82"/>
      <c r="AS169" s="82"/>
      <c r="AT169" s="82"/>
      <c r="AU169" s="82"/>
      <c r="AV169" s="82"/>
      <c r="AW169" s="82"/>
      <c r="AX169" s="82"/>
      <c r="AY169" s="81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</row>
    <row r="170">
      <c r="K170" s="79"/>
      <c r="U170" s="79"/>
      <c r="AE170" s="79"/>
      <c r="AF170" s="82"/>
      <c r="AG170" s="82"/>
      <c r="AH170" s="82"/>
      <c r="AI170" s="82"/>
      <c r="AJ170" s="82"/>
      <c r="AK170" s="82"/>
      <c r="AL170" s="82"/>
      <c r="AM170" s="82"/>
      <c r="AN170" s="82"/>
      <c r="AO170" s="81"/>
      <c r="AP170" s="82"/>
      <c r="AQ170" s="82"/>
      <c r="AR170" s="82"/>
      <c r="AS170" s="82"/>
      <c r="AT170" s="82"/>
      <c r="AU170" s="82"/>
      <c r="AV170" s="82"/>
      <c r="AW170" s="82"/>
      <c r="AX170" s="82"/>
      <c r="AY170" s="81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</row>
    <row r="171">
      <c r="K171" s="79"/>
      <c r="U171" s="79"/>
      <c r="AE171" s="79"/>
      <c r="AF171" s="82"/>
      <c r="AG171" s="82"/>
      <c r="AH171" s="82"/>
      <c r="AI171" s="82"/>
      <c r="AJ171" s="82"/>
      <c r="AK171" s="82"/>
      <c r="AL171" s="82"/>
      <c r="AM171" s="82"/>
      <c r="AN171" s="82"/>
      <c r="AO171" s="81"/>
      <c r="AP171" s="82"/>
      <c r="AQ171" s="82"/>
      <c r="AR171" s="82"/>
      <c r="AS171" s="82"/>
      <c r="AT171" s="82"/>
      <c r="AU171" s="82"/>
      <c r="AV171" s="82"/>
      <c r="AW171" s="82"/>
      <c r="AX171" s="82"/>
      <c r="AY171" s="81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</row>
    <row r="172">
      <c r="K172" s="79"/>
      <c r="U172" s="79"/>
      <c r="AE172" s="79"/>
      <c r="AF172" s="82"/>
      <c r="AG172" s="82"/>
      <c r="AH172" s="82"/>
      <c r="AI172" s="82"/>
      <c r="AJ172" s="82"/>
      <c r="AK172" s="82"/>
      <c r="AL172" s="82"/>
      <c r="AM172" s="82"/>
      <c r="AN172" s="82"/>
      <c r="AO172" s="81"/>
      <c r="AP172" s="82"/>
      <c r="AQ172" s="82"/>
      <c r="AR172" s="82"/>
      <c r="AS172" s="82"/>
      <c r="AT172" s="82"/>
      <c r="AU172" s="82"/>
      <c r="AV172" s="82"/>
      <c r="AW172" s="82"/>
      <c r="AX172" s="82"/>
      <c r="AY172" s="81"/>
      <c r="AZ172" s="82"/>
      <c r="BA172" s="82"/>
      <c r="BB172" s="82"/>
      <c r="BC172" s="82"/>
      <c r="BD172" s="82"/>
      <c r="BE172" s="82"/>
      <c r="BF172" s="82"/>
      <c r="BG172" s="82"/>
      <c r="BH172" s="82"/>
      <c r="BI172" s="82"/>
    </row>
    <row r="173">
      <c r="K173" s="79"/>
      <c r="U173" s="79"/>
      <c r="AE173" s="79"/>
      <c r="AF173" s="82"/>
      <c r="AG173" s="82"/>
      <c r="AH173" s="82"/>
      <c r="AI173" s="82"/>
      <c r="AJ173" s="82"/>
      <c r="AK173" s="82"/>
      <c r="AL173" s="82"/>
      <c r="AM173" s="82"/>
      <c r="AN173" s="82"/>
      <c r="AO173" s="81"/>
      <c r="AP173" s="82"/>
      <c r="AQ173" s="82"/>
      <c r="AR173" s="82"/>
      <c r="AS173" s="82"/>
      <c r="AT173" s="82"/>
      <c r="AU173" s="82"/>
      <c r="AV173" s="82"/>
      <c r="AW173" s="82"/>
      <c r="AX173" s="82"/>
      <c r="AY173" s="81"/>
      <c r="AZ173" s="82"/>
      <c r="BA173" s="82"/>
      <c r="BB173" s="82"/>
      <c r="BC173" s="82"/>
      <c r="BD173" s="82"/>
      <c r="BE173" s="82"/>
      <c r="BF173" s="82"/>
      <c r="BG173" s="82"/>
      <c r="BH173" s="82"/>
      <c r="BI173" s="82"/>
    </row>
    <row r="174">
      <c r="K174" s="79"/>
      <c r="U174" s="79"/>
      <c r="AE174" s="79"/>
      <c r="AF174" s="82"/>
      <c r="AG174" s="82"/>
      <c r="AH174" s="82"/>
      <c r="AI174" s="82"/>
      <c r="AJ174" s="82"/>
      <c r="AK174" s="82"/>
      <c r="AL174" s="82"/>
      <c r="AM174" s="82"/>
      <c r="AN174" s="82"/>
      <c r="AO174" s="81"/>
      <c r="AP174" s="82"/>
      <c r="AQ174" s="82"/>
      <c r="AR174" s="82"/>
      <c r="AS174" s="82"/>
      <c r="AT174" s="82"/>
      <c r="AU174" s="82"/>
      <c r="AV174" s="82"/>
      <c r="AW174" s="82"/>
      <c r="AX174" s="82"/>
      <c r="AY174" s="81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</row>
    <row r="175">
      <c r="K175" s="79"/>
      <c r="U175" s="79"/>
      <c r="AE175" s="79"/>
      <c r="AF175" s="82"/>
      <c r="AG175" s="82"/>
      <c r="AH175" s="82"/>
      <c r="AI175" s="82"/>
      <c r="AJ175" s="82"/>
      <c r="AK175" s="82"/>
      <c r="AL175" s="82"/>
      <c r="AM175" s="82"/>
      <c r="AN175" s="82"/>
      <c r="AO175" s="81"/>
      <c r="AP175" s="82"/>
      <c r="AQ175" s="82"/>
      <c r="AR175" s="82"/>
      <c r="AS175" s="82"/>
      <c r="AT175" s="82"/>
      <c r="AU175" s="82"/>
      <c r="AV175" s="82"/>
      <c r="AW175" s="82"/>
      <c r="AX175" s="82"/>
      <c r="AY175" s="81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</row>
    <row r="176">
      <c r="K176" s="79"/>
      <c r="U176" s="79"/>
      <c r="AE176" s="79"/>
      <c r="AF176" s="82"/>
      <c r="AG176" s="82"/>
      <c r="AH176" s="82"/>
      <c r="AI176" s="82"/>
      <c r="AJ176" s="82"/>
      <c r="AK176" s="82"/>
      <c r="AL176" s="82"/>
      <c r="AM176" s="82"/>
      <c r="AN176" s="82"/>
      <c r="AO176" s="81"/>
      <c r="AP176" s="82"/>
      <c r="AQ176" s="82"/>
      <c r="AR176" s="82"/>
      <c r="AS176" s="82"/>
      <c r="AT176" s="82"/>
      <c r="AU176" s="82"/>
      <c r="AV176" s="82"/>
      <c r="AW176" s="82"/>
      <c r="AX176" s="82"/>
      <c r="AY176" s="81"/>
      <c r="AZ176" s="82"/>
      <c r="BA176" s="82"/>
      <c r="BB176" s="82"/>
      <c r="BC176" s="82"/>
      <c r="BD176" s="82"/>
      <c r="BE176" s="82"/>
      <c r="BF176" s="82"/>
      <c r="BG176" s="82"/>
      <c r="BH176" s="82"/>
      <c r="BI176" s="82"/>
    </row>
    <row r="177">
      <c r="K177" s="79"/>
      <c r="U177" s="79"/>
      <c r="AE177" s="79"/>
      <c r="AF177" s="82"/>
      <c r="AG177" s="82"/>
      <c r="AH177" s="82"/>
      <c r="AI177" s="82"/>
      <c r="AJ177" s="82"/>
      <c r="AK177" s="82"/>
      <c r="AL177" s="82"/>
      <c r="AM177" s="82"/>
      <c r="AN177" s="82"/>
      <c r="AO177" s="81"/>
      <c r="AP177" s="82"/>
      <c r="AQ177" s="82"/>
      <c r="AR177" s="82"/>
      <c r="AS177" s="82"/>
      <c r="AT177" s="82"/>
      <c r="AU177" s="82"/>
      <c r="AV177" s="82"/>
      <c r="AW177" s="82"/>
      <c r="AX177" s="82"/>
      <c r="AY177" s="81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</row>
    <row r="178">
      <c r="K178" s="79"/>
      <c r="U178" s="79"/>
      <c r="AE178" s="79"/>
      <c r="AF178" s="82"/>
      <c r="AG178" s="82"/>
      <c r="AH178" s="82"/>
      <c r="AI178" s="82"/>
      <c r="AJ178" s="82"/>
      <c r="AK178" s="82"/>
      <c r="AL178" s="82"/>
      <c r="AM178" s="82"/>
      <c r="AN178" s="82"/>
      <c r="AO178" s="81"/>
      <c r="AP178" s="82"/>
      <c r="AQ178" s="82"/>
      <c r="AR178" s="82"/>
      <c r="AS178" s="82"/>
      <c r="AT178" s="82"/>
      <c r="AU178" s="82"/>
      <c r="AV178" s="82"/>
      <c r="AW178" s="82"/>
      <c r="AX178" s="82"/>
      <c r="AY178" s="81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</row>
    <row r="179">
      <c r="K179" s="79"/>
      <c r="U179" s="79"/>
      <c r="AE179" s="79"/>
      <c r="AF179" s="82"/>
      <c r="AG179" s="82"/>
      <c r="AH179" s="82"/>
      <c r="AI179" s="82"/>
      <c r="AJ179" s="82"/>
      <c r="AK179" s="82"/>
      <c r="AL179" s="82"/>
      <c r="AM179" s="82"/>
      <c r="AN179" s="82"/>
      <c r="AO179" s="81"/>
      <c r="AP179" s="82"/>
      <c r="AQ179" s="82"/>
      <c r="AR179" s="82"/>
      <c r="AS179" s="82"/>
      <c r="AT179" s="82"/>
      <c r="AU179" s="82"/>
      <c r="AV179" s="82"/>
      <c r="AW179" s="82"/>
      <c r="AX179" s="82"/>
      <c r="AY179" s="81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</row>
    <row r="180">
      <c r="K180" s="79"/>
      <c r="U180" s="79"/>
      <c r="AE180" s="79"/>
      <c r="AF180" s="82"/>
      <c r="AG180" s="82"/>
      <c r="AH180" s="82"/>
      <c r="AI180" s="82"/>
      <c r="AJ180" s="82"/>
      <c r="AK180" s="82"/>
      <c r="AL180" s="82"/>
      <c r="AM180" s="82"/>
      <c r="AN180" s="82"/>
      <c r="AO180" s="81"/>
      <c r="AP180" s="82"/>
      <c r="AQ180" s="82"/>
      <c r="AR180" s="82"/>
      <c r="AS180" s="82"/>
      <c r="AT180" s="82"/>
      <c r="AU180" s="82"/>
      <c r="AV180" s="82"/>
      <c r="AW180" s="82"/>
      <c r="AX180" s="82"/>
      <c r="AY180" s="81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</row>
    <row r="181">
      <c r="K181" s="79"/>
      <c r="U181" s="79"/>
      <c r="AE181" s="79"/>
      <c r="AF181" s="82"/>
      <c r="AG181" s="82"/>
      <c r="AH181" s="82"/>
      <c r="AI181" s="82"/>
      <c r="AJ181" s="82"/>
      <c r="AK181" s="82"/>
      <c r="AL181" s="82"/>
      <c r="AM181" s="82"/>
      <c r="AN181" s="82"/>
      <c r="AO181" s="81"/>
      <c r="AP181" s="82"/>
      <c r="AQ181" s="82"/>
      <c r="AR181" s="82"/>
      <c r="AS181" s="82"/>
      <c r="AT181" s="82"/>
      <c r="AU181" s="82"/>
      <c r="AV181" s="82"/>
      <c r="AW181" s="82"/>
      <c r="AX181" s="82"/>
      <c r="AY181" s="81"/>
      <c r="AZ181" s="82"/>
      <c r="BA181" s="82"/>
      <c r="BB181" s="82"/>
      <c r="BC181" s="82"/>
      <c r="BD181" s="82"/>
      <c r="BE181" s="82"/>
      <c r="BF181" s="82"/>
      <c r="BG181" s="82"/>
      <c r="BH181" s="82"/>
      <c r="BI181" s="82"/>
    </row>
    <row r="182">
      <c r="K182" s="79"/>
      <c r="U182" s="79"/>
      <c r="AE182" s="79"/>
      <c r="AF182" s="82"/>
      <c r="AG182" s="82"/>
      <c r="AH182" s="82"/>
      <c r="AI182" s="82"/>
      <c r="AJ182" s="82"/>
      <c r="AK182" s="82"/>
      <c r="AL182" s="82"/>
      <c r="AM182" s="82"/>
      <c r="AN182" s="82"/>
      <c r="AO182" s="81"/>
      <c r="AP182" s="82"/>
      <c r="AQ182" s="82"/>
      <c r="AR182" s="82"/>
      <c r="AS182" s="82"/>
      <c r="AT182" s="82"/>
      <c r="AU182" s="82"/>
      <c r="AV182" s="82"/>
      <c r="AW182" s="82"/>
      <c r="AX182" s="82"/>
      <c r="AY182" s="81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</row>
    <row r="183">
      <c r="K183" s="79"/>
      <c r="U183" s="79"/>
      <c r="AE183" s="79"/>
      <c r="AF183" s="82"/>
      <c r="AG183" s="82"/>
      <c r="AH183" s="82"/>
      <c r="AI183" s="82"/>
      <c r="AJ183" s="82"/>
      <c r="AK183" s="82"/>
      <c r="AL183" s="82"/>
      <c r="AM183" s="82"/>
      <c r="AN183" s="82"/>
      <c r="AO183" s="81"/>
      <c r="AP183" s="82"/>
      <c r="AQ183" s="82"/>
      <c r="AR183" s="82"/>
      <c r="AS183" s="82"/>
      <c r="AT183" s="82"/>
      <c r="AU183" s="82"/>
      <c r="AV183" s="82"/>
      <c r="AW183" s="82"/>
      <c r="AX183" s="82"/>
      <c r="AY183" s="81"/>
      <c r="AZ183" s="82"/>
      <c r="BA183" s="82"/>
      <c r="BB183" s="82"/>
      <c r="BC183" s="82"/>
      <c r="BD183" s="82"/>
      <c r="BE183" s="82"/>
      <c r="BF183" s="82"/>
      <c r="BG183" s="82"/>
      <c r="BH183" s="82"/>
      <c r="BI183" s="82"/>
    </row>
    <row r="184">
      <c r="K184" s="79"/>
      <c r="U184" s="79"/>
      <c r="AE184" s="79"/>
      <c r="AF184" s="82"/>
      <c r="AG184" s="82"/>
      <c r="AH184" s="82"/>
      <c r="AI184" s="82"/>
      <c r="AJ184" s="82"/>
      <c r="AK184" s="82"/>
      <c r="AL184" s="82"/>
      <c r="AM184" s="82"/>
      <c r="AN184" s="82"/>
      <c r="AO184" s="81"/>
      <c r="AP184" s="82"/>
      <c r="AQ184" s="82"/>
      <c r="AR184" s="82"/>
      <c r="AS184" s="82"/>
      <c r="AT184" s="82"/>
      <c r="AU184" s="82"/>
      <c r="AV184" s="82"/>
      <c r="AW184" s="82"/>
      <c r="AX184" s="82"/>
      <c r="AY184" s="81"/>
      <c r="AZ184" s="82"/>
      <c r="BA184" s="82"/>
      <c r="BB184" s="82"/>
      <c r="BC184" s="82"/>
      <c r="BD184" s="82"/>
      <c r="BE184" s="82"/>
      <c r="BF184" s="82"/>
      <c r="BG184" s="82"/>
      <c r="BH184" s="82"/>
      <c r="BI184" s="82"/>
    </row>
    <row r="185">
      <c r="K185" s="79"/>
      <c r="U185" s="79"/>
      <c r="AE185" s="79"/>
      <c r="AF185" s="82"/>
      <c r="AG185" s="82"/>
      <c r="AH185" s="82"/>
      <c r="AI185" s="82"/>
      <c r="AJ185" s="82"/>
      <c r="AK185" s="82"/>
      <c r="AL185" s="82"/>
      <c r="AM185" s="82"/>
      <c r="AN185" s="82"/>
      <c r="AO185" s="81"/>
      <c r="AP185" s="82"/>
      <c r="AQ185" s="82"/>
      <c r="AR185" s="82"/>
      <c r="AS185" s="82"/>
      <c r="AT185" s="82"/>
      <c r="AU185" s="82"/>
      <c r="AV185" s="82"/>
      <c r="AW185" s="82"/>
      <c r="AX185" s="82"/>
      <c r="AY185" s="81"/>
      <c r="AZ185" s="82"/>
      <c r="BA185" s="82"/>
      <c r="BB185" s="82"/>
      <c r="BC185" s="82"/>
      <c r="BD185" s="82"/>
      <c r="BE185" s="82"/>
      <c r="BF185" s="82"/>
      <c r="BG185" s="82"/>
      <c r="BH185" s="82"/>
      <c r="BI185" s="82"/>
    </row>
    <row r="186">
      <c r="K186" s="79"/>
      <c r="U186" s="79"/>
      <c r="AE186" s="79"/>
      <c r="AF186" s="82"/>
      <c r="AG186" s="82"/>
      <c r="AH186" s="82"/>
      <c r="AI186" s="82"/>
      <c r="AJ186" s="82"/>
      <c r="AK186" s="82"/>
      <c r="AL186" s="82"/>
      <c r="AM186" s="82"/>
      <c r="AN186" s="82"/>
      <c r="AO186" s="81"/>
      <c r="AP186" s="82"/>
      <c r="AQ186" s="82"/>
      <c r="AR186" s="82"/>
      <c r="AS186" s="82"/>
      <c r="AT186" s="82"/>
      <c r="AU186" s="82"/>
      <c r="AV186" s="82"/>
      <c r="AW186" s="82"/>
      <c r="AX186" s="82"/>
      <c r="AY186" s="81"/>
      <c r="AZ186" s="82"/>
      <c r="BA186" s="82"/>
      <c r="BB186" s="82"/>
      <c r="BC186" s="82"/>
      <c r="BD186" s="82"/>
      <c r="BE186" s="82"/>
      <c r="BF186" s="82"/>
      <c r="BG186" s="82"/>
      <c r="BH186" s="82"/>
      <c r="BI186" s="82"/>
    </row>
    <row r="187">
      <c r="K187" s="79"/>
      <c r="U187" s="79"/>
      <c r="AE187" s="79"/>
      <c r="AF187" s="82"/>
      <c r="AG187" s="82"/>
      <c r="AH187" s="82"/>
      <c r="AI187" s="82"/>
      <c r="AJ187" s="82"/>
      <c r="AK187" s="82"/>
      <c r="AL187" s="82"/>
      <c r="AM187" s="82"/>
      <c r="AN187" s="82"/>
      <c r="AO187" s="81"/>
      <c r="AP187" s="82"/>
      <c r="AQ187" s="82"/>
      <c r="AR187" s="82"/>
      <c r="AS187" s="82"/>
      <c r="AT187" s="82"/>
      <c r="AU187" s="82"/>
      <c r="AV187" s="82"/>
      <c r="AW187" s="82"/>
      <c r="AX187" s="82"/>
      <c r="AY187" s="81"/>
      <c r="AZ187" s="82"/>
      <c r="BA187" s="82"/>
      <c r="BB187" s="82"/>
      <c r="BC187" s="82"/>
      <c r="BD187" s="82"/>
      <c r="BE187" s="82"/>
      <c r="BF187" s="82"/>
      <c r="BG187" s="82"/>
      <c r="BH187" s="82"/>
      <c r="BI187" s="82"/>
    </row>
    <row r="188">
      <c r="K188" s="79"/>
      <c r="U188" s="79"/>
      <c r="AE188" s="79"/>
      <c r="AF188" s="82"/>
      <c r="AG188" s="82"/>
      <c r="AH188" s="82"/>
      <c r="AI188" s="82"/>
      <c r="AJ188" s="82"/>
      <c r="AK188" s="82"/>
      <c r="AL188" s="82"/>
      <c r="AM188" s="82"/>
      <c r="AN188" s="82"/>
      <c r="AO188" s="81"/>
      <c r="AP188" s="82"/>
      <c r="AQ188" s="82"/>
      <c r="AR188" s="82"/>
      <c r="AS188" s="82"/>
      <c r="AT188" s="82"/>
      <c r="AU188" s="82"/>
      <c r="AV188" s="82"/>
      <c r="AW188" s="82"/>
      <c r="AX188" s="82"/>
      <c r="AY188" s="81"/>
      <c r="AZ188" s="82"/>
      <c r="BA188" s="82"/>
      <c r="BB188" s="82"/>
      <c r="BC188" s="82"/>
      <c r="BD188" s="82"/>
      <c r="BE188" s="82"/>
      <c r="BF188" s="82"/>
      <c r="BG188" s="82"/>
      <c r="BH188" s="82"/>
      <c r="BI188" s="82"/>
    </row>
    <row r="189">
      <c r="K189" s="79"/>
      <c r="U189" s="79"/>
      <c r="AE189" s="79"/>
      <c r="AF189" s="82"/>
      <c r="AG189" s="82"/>
      <c r="AH189" s="82"/>
      <c r="AI189" s="82"/>
      <c r="AJ189" s="82"/>
      <c r="AK189" s="82"/>
      <c r="AL189" s="82"/>
      <c r="AM189" s="82"/>
      <c r="AN189" s="82"/>
      <c r="AO189" s="81"/>
      <c r="AP189" s="82"/>
      <c r="AQ189" s="82"/>
      <c r="AR189" s="82"/>
      <c r="AS189" s="82"/>
      <c r="AT189" s="82"/>
      <c r="AU189" s="82"/>
      <c r="AV189" s="82"/>
      <c r="AW189" s="82"/>
      <c r="AX189" s="82"/>
      <c r="AY189" s="81"/>
      <c r="AZ189" s="82"/>
      <c r="BA189" s="82"/>
      <c r="BB189" s="82"/>
      <c r="BC189" s="82"/>
      <c r="BD189" s="82"/>
      <c r="BE189" s="82"/>
      <c r="BF189" s="82"/>
      <c r="BG189" s="82"/>
      <c r="BH189" s="82"/>
      <c r="BI189" s="82"/>
    </row>
    <row r="190">
      <c r="K190" s="79"/>
      <c r="U190" s="79"/>
      <c r="AE190" s="79"/>
      <c r="AF190" s="82"/>
      <c r="AG190" s="82"/>
      <c r="AH190" s="82"/>
      <c r="AI190" s="82"/>
      <c r="AJ190" s="82"/>
      <c r="AK190" s="82"/>
      <c r="AL190" s="82"/>
      <c r="AM190" s="82"/>
      <c r="AN190" s="82"/>
      <c r="AO190" s="81"/>
      <c r="AP190" s="82"/>
      <c r="AQ190" s="82"/>
      <c r="AR190" s="82"/>
      <c r="AS190" s="82"/>
      <c r="AT190" s="82"/>
      <c r="AU190" s="82"/>
      <c r="AV190" s="82"/>
      <c r="AW190" s="82"/>
      <c r="AX190" s="82"/>
      <c r="AY190" s="81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</row>
    <row r="191">
      <c r="K191" s="79"/>
      <c r="U191" s="79"/>
      <c r="AE191" s="79"/>
      <c r="AF191" s="82"/>
      <c r="AG191" s="82"/>
      <c r="AH191" s="82"/>
      <c r="AI191" s="82"/>
      <c r="AJ191" s="82"/>
      <c r="AK191" s="82"/>
      <c r="AL191" s="82"/>
      <c r="AM191" s="82"/>
      <c r="AN191" s="82"/>
      <c r="AO191" s="81"/>
      <c r="AP191" s="82"/>
      <c r="AQ191" s="82"/>
      <c r="AR191" s="82"/>
      <c r="AS191" s="82"/>
      <c r="AT191" s="82"/>
      <c r="AU191" s="82"/>
      <c r="AV191" s="82"/>
      <c r="AW191" s="82"/>
      <c r="AX191" s="82"/>
      <c r="AY191" s="81"/>
      <c r="AZ191" s="82"/>
      <c r="BA191" s="82"/>
      <c r="BB191" s="82"/>
      <c r="BC191" s="82"/>
      <c r="BD191" s="82"/>
      <c r="BE191" s="82"/>
      <c r="BF191" s="82"/>
      <c r="BG191" s="82"/>
      <c r="BH191" s="82"/>
      <c r="BI191" s="82"/>
    </row>
    <row r="192">
      <c r="K192" s="79"/>
      <c r="U192" s="79"/>
      <c r="AE192" s="79"/>
      <c r="AF192" s="82"/>
      <c r="AG192" s="82"/>
      <c r="AH192" s="82"/>
      <c r="AI192" s="82"/>
      <c r="AJ192" s="82"/>
      <c r="AK192" s="82"/>
      <c r="AL192" s="82"/>
      <c r="AM192" s="82"/>
      <c r="AN192" s="82"/>
      <c r="AO192" s="81"/>
      <c r="AP192" s="82"/>
      <c r="AQ192" s="82"/>
      <c r="AR192" s="82"/>
      <c r="AS192" s="82"/>
      <c r="AT192" s="82"/>
      <c r="AU192" s="82"/>
      <c r="AV192" s="82"/>
      <c r="AW192" s="82"/>
      <c r="AX192" s="82"/>
      <c r="AY192" s="81"/>
      <c r="AZ192" s="82"/>
      <c r="BA192" s="82"/>
      <c r="BB192" s="82"/>
      <c r="BC192" s="82"/>
      <c r="BD192" s="82"/>
      <c r="BE192" s="82"/>
      <c r="BF192" s="82"/>
      <c r="BG192" s="82"/>
      <c r="BH192" s="82"/>
      <c r="BI192" s="82"/>
    </row>
    <row r="193">
      <c r="K193" s="79"/>
      <c r="U193" s="79"/>
      <c r="AE193" s="79"/>
      <c r="AF193" s="82"/>
      <c r="AG193" s="82"/>
      <c r="AH193" s="82"/>
      <c r="AI193" s="82"/>
      <c r="AJ193" s="82"/>
      <c r="AK193" s="82"/>
      <c r="AL193" s="82"/>
      <c r="AM193" s="82"/>
      <c r="AN193" s="82"/>
      <c r="AO193" s="81"/>
      <c r="AP193" s="82"/>
      <c r="AQ193" s="82"/>
      <c r="AR193" s="82"/>
      <c r="AS193" s="82"/>
      <c r="AT193" s="82"/>
      <c r="AU193" s="82"/>
      <c r="AV193" s="82"/>
      <c r="AW193" s="82"/>
      <c r="AX193" s="82"/>
      <c r="AY193" s="81"/>
      <c r="AZ193" s="82"/>
      <c r="BA193" s="82"/>
      <c r="BB193" s="82"/>
      <c r="BC193" s="82"/>
      <c r="BD193" s="82"/>
      <c r="BE193" s="82"/>
      <c r="BF193" s="82"/>
      <c r="BG193" s="82"/>
      <c r="BH193" s="82"/>
      <c r="BI193" s="82"/>
    </row>
    <row r="194">
      <c r="K194" s="79"/>
      <c r="U194" s="79"/>
      <c r="AE194" s="79"/>
      <c r="AF194" s="82"/>
      <c r="AG194" s="82"/>
      <c r="AH194" s="82"/>
      <c r="AI194" s="82"/>
      <c r="AJ194" s="82"/>
      <c r="AK194" s="82"/>
      <c r="AL194" s="82"/>
      <c r="AM194" s="82"/>
      <c r="AN194" s="82"/>
      <c r="AO194" s="81"/>
      <c r="AP194" s="82"/>
      <c r="AQ194" s="82"/>
      <c r="AR194" s="82"/>
      <c r="AS194" s="82"/>
      <c r="AT194" s="82"/>
      <c r="AU194" s="82"/>
      <c r="AV194" s="82"/>
      <c r="AW194" s="82"/>
      <c r="AX194" s="82"/>
      <c r="AY194" s="81"/>
      <c r="AZ194" s="82"/>
      <c r="BA194" s="82"/>
      <c r="BB194" s="82"/>
      <c r="BC194" s="82"/>
      <c r="BD194" s="82"/>
      <c r="BE194" s="82"/>
      <c r="BF194" s="82"/>
      <c r="BG194" s="82"/>
      <c r="BH194" s="82"/>
      <c r="BI194" s="82"/>
    </row>
    <row r="195">
      <c r="K195" s="79"/>
      <c r="U195" s="79"/>
      <c r="AE195" s="79"/>
      <c r="AF195" s="82"/>
      <c r="AG195" s="82"/>
      <c r="AH195" s="82"/>
      <c r="AI195" s="82"/>
      <c r="AJ195" s="82"/>
      <c r="AK195" s="82"/>
      <c r="AL195" s="82"/>
      <c r="AM195" s="82"/>
      <c r="AN195" s="82"/>
      <c r="AO195" s="81"/>
      <c r="AP195" s="82"/>
      <c r="AQ195" s="82"/>
      <c r="AR195" s="82"/>
      <c r="AS195" s="82"/>
      <c r="AT195" s="82"/>
      <c r="AU195" s="82"/>
      <c r="AV195" s="82"/>
      <c r="AW195" s="82"/>
      <c r="AX195" s="82"/>
      <c r="AY195" s="81"/>
      <c r="AZ195" s="82"/>
      <c r="BA195" s="82"/>
      <c r="BB195" s="82"/>
      <c r="BC195" s="82"/>
      <c r="BD195" s="82"/>
      <c r="BE195" s="82"/>
      <c r="BF195" s="82"/>
      <c r="BG195" s="82"/>
      <c r="BH195" s="82"/>
      <c r="BI195" s="82"/>
    </row>
    <row r="196">
      <c r="K196" s="79"/>
      <c r="U196" s="79"/>
      <c r="AE196" s="79"/>
      <c r="AF196" s="82"/>
      <c r="AG196" s="82"/>
      <c r="AH196" s="82"/>
      <c r="AI196" s="82"/>
      <c r="AJ196" s="82"/>
      <c r="AK196" s="82"/>
      <c r="AL196" s="82"/>
      <c r="AM196" s="82"/>
      <c r="AN196" s="82"/>
      <c r="AO196" s="81"/>
      <c r="AP196" s="82"/>
      <c r="AQ196" s="82"/>
      <c r="AR196" s="82"/>
      <c r="AS196" s="82"/>
      <c r="AT196" s="82"/>
      <c r="AU196" s="82"/>
      <c r="AV196" s="82"/>
      <c r="AW196" s="82"/>
      <c r="AX196" s="82"/>
      <c r="AY196" s="81"/>
      <c r="AZ196" s="82"/>
      <c r="BA196" s="82"/>
      <c r="BB196" s="82"/>
      <c r="BC196" s="82"/>
      <c r="BD196" s="82"/>
      <c r="BE196" s="82"/>
      <c r="BF196" s="82"/>
      <c r="BG196" s="82"/>
      <c r="BH196" s="82"/>
      <c r="BI196" s="82"/>
    </row>
    <row r="197">
      <c r="K197" s="79"/>
      <c r="U197" s="79"/>
      <c r="AE197" s="79"/>
      <c r="AF197" s="82"/>
      <c r="AG197" s="82"/>
      <c r="AH197" s="82"/>
      <c r="AI197" s="82"/>
      <c r="AJ197" s="82"/>
      <c r="AK197" s="82"/>
      <c r="AL197" s="82"/>
      <c r="AM197" s="82"/>
      <c r="AN197" s="82"/>
      <c r="AO197" s="81"/>
      <c r="AP197" s="82"/>
      <c r="AQ197" s="82"/>
      <c r="AR197" s="82"/>
      <c r="AS197" s="82"/>
      <c r="AT197" s="82"/>
      <c r="AU197" s="82"/>
      <c r="AV197" s="82"/>
      <c r="AW197" s="82"/>
      <c r="AX197" s="82"/>
      <c r="AY197" s="81"/>
      <c r="AZ197" s="82"/>
      <c r="BA197" s="82"/>
      <c r="BB197" s="82"/>
      <c r="BC197" s="82"/>
      <c r="BD197" s="82"/>
      <c r="BE197" s="82"/>
      <c r="BF197" s="82"/>
      <c r="BG197" s="82"/>
      <c r="BH197" s="82"/>
      <c r="BI197" s="82"/>
    </row>
    <row r="198">
      <c r="K198" s="79"/>
      <c r="U198" s="79"/>
      <c r="AE198" s="79"/>
      <c r="AF198" s="82"/>
      <c r="AG198" s="82"/>
      <c r="AH198" s="82"/>
      <c r="AI198" s="82"/>
      <c r="AJ198" s="82"/>
      <c r="AK198" s="82"/>
      <c r="AL198" s="82"/>
      <c r="AM198" s="82"/>
      <c r="AN198" s="82"/>
      <c r="AO198" s="81"/>
      <c r="AP198" s="82"/>
      <c r="AQ198" s="82"/>
      <c r="AR198" s="82"/>
      <c r="AS198" s="82"/>
      <c r="AT198" s="82"/>
      <c r="AU198" s="82"/>
      <c r="AV198" s="82"/>
      <c r="AW198" s="82"/>
      <c r="AX198" s="82"/>
      <c r="AY198" s="81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</row>
    <row r="199">
      <c r="K199" s="79"/>
      <c r="U199" s="79"/>
      <c r="AE199" s="79"/>
      <c r="AF199" s="82"/>
      <c r="AG199" s="82"/>
      <c r="AH199" s="82"/>
      <c r="AI199" s="82"/>
      <c r="AJ199" s="82"/>
      <c r="AK199" s="82"/>
      <c r="AL199" s="82"/>
      <c r="AM199" s="82"/>
      <c r="AN199" s="82"/>
      <c r="AO199" s="81"/>
      <c r="AP199" s="82"/>
      <c r="AQ199" s="82"/>
      <c r="AR199" s="82"/>
      <c r="AS199" s="82"/>
      <c r="AT199" s="82"/>
      <c r="AU199" s="82"/>
      <c r="AV199" s="82"/>
      <c r="AW199" s="82"/>
      <c r="AX199" s="82"/>
      <c r="AY199" s="81"/>
      <c r="AZ199" s="82"/>
      <c r="BA199" s="82"/>
      <c r="BB199" s="82"/>
      <c r="BC199" s="82"/>
      <c r="BD199" s="82"/>
      <c r="BE199" s="82"/>
      <c r="BF199" s="82"/>
      <c r="BG199" s="82"/>
      <c r="BH199" s="82"/>
      <c r="BI199" s="82"/>
    </row>
    <row r="200">
      <c r="K200" s="79"/>
      <c r="U200" s="79"/>
      <c r="AE200" s="79"/>
      <c r="AF200" s="82"/>
      <c r="AG200" s="82"/>
      <c r="AH200" s="82"/>
      <c r="AI200" s="82"/>
      <c r="AJ200" s="82"/>
      <c r="AK200" s="82"/>
      <c r="AL200" s="82"/>
      <c r="AM200" s="82"/>
      <c r="AN200" s="82"/>
      <c r="AO200" s="81"/>
      <c r="AP200" s="82"/>
      <c r="AQ200" s="82"/>
      <c r="AR200" s="82"/>
      <c r="AS200" s="82"/>
      <c r="AT200" s="82"/>
      <c r="AU200" s="82"/>
      <c r="AV200" s="82"/>
      <c r="AW200" s="82"/>
      <c r="AX200" s="82"/>
      <c r="AY200" s="81"/>
      <c r="AZ200" s="82"/>
      <c r="BA200" s="82"/>
      <c r="BB200" s="82"/>
      <c r="BC200" s="82"/>
      <c r="BD200" s="82"/>
      <c r="BE200" s="82"/>
      <c r="BF200" s="82"/>
      <c r="BG200" s="82"/>
      <c r="BH200" s="82"/>
      <c r="BI200" s="82"/>
    </row>
    <row r="201">
      <c r="K201" s="79"/>
      <c r="U201" s="79"/>
      <c r="AE201" s="79"/>
      <c r="AF201" s="82"/>
      <c r="AG201" s="82"/>
      <c r="AH201" s="82"/>
      <c r="AI201" s="82"/>
      <c r="AJ201" s="82"/>
      <c r="AK201" s="82"/>
      <c r="AL201" s="82"/>
      <c r="AM201" s="82"/>
      <c r="AN201" s="82"/>
      <c r="AO201" s="81"/>
      <c r="AP201" s="82"/>
      <c r="AQ201" s="82"/>
      <c r="AR201" s="82"/>
      <c r="AS201" s="82"/>
      <c r="AT201" s="82"/>
      <c r="AU201" s="82"/>
      <c r="AV201" s="82"/>
      <c r="AW201" s="82"/>
      <c r="AX201" s="82"/>
      <c r="AY201" s="81"/>
      <c r="AZ201" s="82"/>
      <c r="BA201" s="82"/>
      <c r="BB201" s="82"/>
      <c r="BC201" s="82"/>
      <c r="BD201" s="82"/>
      <c r="BE201" s="82"/>
      <c r="BF201" s="82"/>
      <c r="BG201" s="82"/>
      <c r="BH201" s="82"/>
      <c r="BI201" s="82"/>
    </row>
    <row r="202">
      <c r="K202" s="79"/>
      <c r="U202" s="79"/>
      <c r="AE202" s="79"/>
      <c r="AF202" s="82"/>
      <c r="AG202" s="82"/>
      <c r="AH202" s="82"/>
      <c r="AI202" s="82"/>
      <c r="AJ202" s="82"/>
      <c r="AK202" s="82"/>
      <c r="AL202" s="82"/>
      <c r="AM202" s="82"/>
      <c r="AN202" s="82"/>
      <c r="AO202" s="81"/>
      <c r="AP202" s="82"/>
      <c r="AQ202" s="82"/>
      <c r="AR202" s="82"/>
      <c r="AS202" s="82"/>
      <c r="AT202" s="82"/>
      <c r="AU202" s="82"/>
      <c r="AV202" s="82"/>
      <c r="AW202" s="82"/>
      <c r="AX202" s="82"/>
      <c r="AY202" s="81"/>
      <c r="AZ202" s="82"/>
      <c r="BA202" s="82"/>
      <c r="BB202" s="82"/>
      <c r="BC202" s="82"/>
      <c r="BD202" s="82"/>
      <c r="BE202" s="82"/>
      <c r="BF202" s="82"/>
      <c r="BG202" s="82"/>
      <c r="BH202" s="82"/>
      <c r="BI202" s="82"/>
    </row>
    <row r="203">
      <c r="K203" s="79"/>
      <c r="U203" s="79"/>
      <c r="AE203" s="79"/>
      <c r="AF203" s="82"/>
      <c r="AG203" s="82"/>
      <c r="AH203" s="82"/>
      <c r="AI203" s="82"/>
      <c r="AJ203" s="82"/>
      <c r="AK203" s="82"/>
      <c r="AL203" s="82"/>
      <c r="AM203" s="82"/>
      <c r="AN203" s="82"/>
      <c r="AO203" s="81"/>
      <c r="AP203" s="82"/>
      <c r="AQ203" s="82"/>
      <c r="AR203" s="82"/>
      <c r="AS203" s="82"/>
      <c r="AT203" s="82"/>
      <c r="AU203" s="82"/>
      <c r="AV203" s="82"/>
      <c r="AW203" s="82"/>
      <c r="AX203" s="82"/>
      <c r="AY203" s="81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</row>
    <row r="204">
      <c r="K204" s="79"/>
      <c r="U204" s="79"/>
      <c r="AE204" s="79"/>
      <c r="AF204" s="82"/>
      <c r="AG204" s="82"/>
      <c r="AH204" s="82"/>
      <c r="AI204" s="82"/>
      <c r="AJ204" s="82"/>
      <c r="AK204" s="82"/>
      <c r="AL204" s="82"/>
      <c r="AM204" s="82"/>
      <c r="AN204" s="82"/>
      <c r="AO204" s="81"/>
      <c r="AP204" s="82"/>
      <c r="AQ204" s="82"/>
      <c r="AR204" s="82"/>
      <c r="AS204" s="82"/>
      <c r="AT204" s="82"/>
      <c r="AU204" s="82"/>
      <c r="AV204" s="82"/>
      <c r="AW204" s="82"/>
      <c r="AX204" s="82"/>
      <c r="AY204" s="81"/>
      <c r="AZ204" s="82"/>
      <c r="BA204" s="82"/>
      <c r="BB204" s="82"/>
      <c r="BC204" s="82"/>
      <c r="BD204" s="82"/>
      <c r="BE204" s="82"/>
      <c r="BF204" s="82"/>
      <c r="BG204" s="82"/>
      <c r="BH204" s="82"/>
      <c r="BI204" s="82"/>
    </row>
    <row r="205">
      <c r="K205" s="79"/>
      <c r="U205" s="79"/>
      <c r="AE205" s="79"/>
      <c r="AF205" s="82"/>
      <c r="AG205" s="82"/>
      <c r="AH205" s="82"/>
      <c r="AI205" s="82"/>
      <c r="AJ205" s="82"/>
      <c r="AK205" s="82"/>
      <c r="AL205" s="82"/>
      <c r="AM205" s="82"/>
      <c r="AN205" s="82"/>
      <c r="AO205" s="81"/>
      <c r="AP205" s="82"/>
      <c r="AQ205" s="82"/>
      <c r="AR205" s="82"/>
      <c r="AS205" s="82"/>
      <c r="AT205" s="82"/>
      <c r="AU205" s="82"/>
      <c r="AV205" s="82"/>
      <c r="AW205" s="82"/>
      <c r="AX205" s="82"/>
      <c r="AY205" s="81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</row>
    <row r="206">
      <c r="K206" s="79"/>
      <c r="U206" s="79"/>
      <c r="AE206" s="79"/>
      <c r="AF206" s="82"/>
      <c r="AG206" s="82"/>
      <c r="AH206" s="82"/>
      <c r="AI206" s="82"/>
      <c r="AJ206" s="82"/>
      <c r="AK206" s="82"/>
      <c r="AL206" s="82"/>
      <c r="AM206" s="82"/>
      <c r="AN206" s="82"/>
      <c r="AO206" s="81"/>
      <c r="AP206" s="82"/>
      <c r="AQ206" s="82"/>
      <c r="AR206" s="82"/>
      <c r="AS206" s="82"/>
      <c r="AT206" s="82"/>
      <c r="AU206" s="82"/>
      <c r="AV206" s="82"/>
      <c r="AW206" s="82"/>
      <c r="AX206" s="82"/>
      <c r="AY206" s="81"/>
      <c r="AZ206" s="82"/>
      <c r="BA206" s="82"/>
      <c r="BB206" s="82"/>
      <c r="BC206" s="82"/>
      <c r="BD206" s="82"/>
      <c r="BE206" s="82"/>
      <c r="BF206" s="82"/>
      <c r="BG206" s="82"/>
      <c r="BH206" s="82"/>
      <c r="BI206" s="82"/>
    </row>
    <row r="207">
      <c r="K207" s="79"/>
      <c r="U207" s="79"/>
      <c r="AE207" s="79"/>
      <c r="AF207" s="82"/>
      <c r="AG207" s="82"/>
      <c r="AH207" s="82"/>
      <c r="AI207" s="82"/>
      <c r="AJ207" s="82"/>
      <c r="AK207" s="82"/>
      <c r="AL207" s="82"/>
      <c r="AM207" s="82"/>
      <c r="AN207" s="82"/>
      <c r="AO207" s="81"/>
      <c r="AP207" s="82"/>
      <c r="AQ207" s="82"/>
      <c r="AR207" s="82"/>
      <c r="AS207" s="82"/>
      <c r="AT207" s="82"/>
      <c r="AU207" s="82"/>
      <c r="AV207" s="82"/>
      <c r="AW207" s="82"/>
      <c r="AX207" s="82"/>
      <c r="AY207" s="81"/>
      <c r="AZ207" s="82"/>
      <c r="BA207" s="82"/>
      <c r="BB207" s="82"/>
      <c r="BC207" s="82"/>
      <c r="BD207" s="82"/>
      <c r="BE207" s="82"/>
      <c r="BF207" s="82"/>
      <c r="BG207" s="82"/>
      <c r="BH207" s="82"/>
      <c r="BI207" s="82"/>
    </row>
    <row r="208">
      <c r="K208" s="79"/>
      <c r="U208" s="79"/>
      <c r="AE208" s="79"/>
      <c r="AF208" s="82"/>
      <c r="AG208" s="82"/>
      <c r="AH208" s="82"/>
      <c r="AI208" s="82"/>
      <c r="AJ208" s="82"/>
      <c r="AK208" s="82"/>
      <c r="AL208" s="82"/>
      <c r="AM208" s="82"/>
      <c r="AN208" s="82"/>
      <c r="AO208" s="81"/>
      <c r="AP208" s="82"/>
      <c r="AQ208" s="82"/>
      <c r="AR208" s="82"/>
      <c r="AS208" s="82"/>
      <c r="AT208" s="82"/>
      <c r="AU208" s="82"/>
      <c r="AV208" s="82"/>
      <c r="AW208" s="82"/>
      <c r="AX208" s="82"/>
      <c r="AY208" s="81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</row>
    <row r="209">
      <c r="K209" s="79"/>
      <c r="U209" s="79"/>
      <c r="AE209" s="79"/>
      <c r="AF209" s="82"/>
      <c r="AG209" s="82"/>
      <c r="AH209" s="82"/>
      <c r="AI209" s="82"/>
      <c r="AJ209" s="82"/>
      <c r="AK209" s="82"/>
      <c r="AL209" s="82"/>
      <c r="AM209" s="82"/>
      <c r="AN209" s="82"/>
      <c r="AO209" s="81"/>
      <c r="AP209" s="82"/>
      <c r="AQ209" s="82"/>
      <c r="AR209" s="82"/>
      <c r="AS209" s="82"/>
      <c r="AT209" s="82"/>
      <c r="AU209" s="82"/>
      <c r="AV209" s="82"/>
      <c r="AW209" s="82"/>
      <c r="AX209" s="82"/>
      <c r="AY209" s="81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</row>
    <row r="210">
      <c r="K210" s="79"/>
      <c r="U210" s="79"/>
      <c r="AE210" s="79"/>
      <c r="AF210" s="82"/>
      <c r="AG210" s="82"/>
      <c r="AH210" s="82"/>
      <c r="AI210" s="82"/>
      <c r="AJ210" s="82"/>
      <c r="AK210" s="82"/>
      <c r="AL210" s="82"/>
      <c r="AM210" s="82"/>
      <c r="AN210" s="82"/>
      <c r="AO210" s="81"/>
      <c r="AP210" s="82"/>
      <c r="AQ210" s="82"/>
      <c r="AR210" s="82"/>
      <c r="AS210" s="82"/>
      <c r="AT210" s="82"/>
      <c r="AU210" s="82"/>
      <c r="AV210" s="82"/>
      <c r="AW210" s="82"/>
      <c r="AX210" s="82"/>
      <c r="AY210" s="81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</row>
    <row r="211">
      <c r="K211" s="79"/>
      <c r="U211" s="79"/>
      <c r="AE211" s="79"/>
      <c r="AF211" s="82"/>
      <c r="AG211" s="82"/>
      <c r="AH211" s="82"/>
      <c r="AI211" s="82"/>
      <c r="AJ211" s="82"/>
      <c r="AK211" s="82"/>
      <c r="AL211" s="82"/>
      <c r="AM211" s="82"/>
      <c r="AN211" s="82"/>
      <c r="AO211" s="81"/>
      <c r="AP211" s="82"/>
      <c r="AQ211" s="82"/>
      <c r="AR211" s="82"/>
      <c r="AS211" s="82"/>
      <c r="AT211" s="82"/>
      <c r="AU211" s="82"/>
      <c r="AV211" s="82"/>
      <c r="AW211" s="82"/>
      <c r="AX211" s="82"/>
      <c r="AY211" s="81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</row>
    <row r="212">
      <c r="K212" s="79"/>
      <c r="U212" s="79"/>
      <c r="AE212" s="79"/>
      <c r="AF212" s="82"/>
      <c r="AG212" s="82"/>
      <c r="AH212" s="82"/>
      <c r="AI212" s="82"/>
      <c r="AJ212" s="82"/>
      <c r="AK212" s="82"/>
      <c r="AL212" s="82"/>
      <c r="AM212" s="82"/>
      <c r="AN212" s="82"/>
      <c r="AO212" s="81"/>
      <c r="AP212" s="82"/>
      <c r="AQ212" s="82"/>
      <c r="AR212" s="82"/>
      <c r="AS212" s="82"/>
      <c r="AT212" s="82"/>
      <c r="AU212" s="82"/>
      <c r="AV212" s="82"/>
      <c r="AW212" s="82"/>
      <c r="AX212" s="82"/>
      <c r="AY212" s="81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</row>
    <row r="213">
      <c r="K213" s="79"/>
      <c r="U213" s="79"/>
      <c r="AE213" s="79"/>
      <c r="AF213" s="82"/>
      <c r="AG213" s="82"/>
      <c r="AH213" s="82"/>
      <c r="AI213" s="82"/>
      <c r="AJ213" s="82"/>
      <c r="AK213" s="82"/>
      <c r="AL213" s="82"/>
      <c r="AM213" s="82"/>
      <c r="AN213" s="82"/>
      <c r="AO213" s="81"/>
      <c r="AP213" s="82"/>
      <c r="AQ213" s="82"/>
      <c r="AR213" s="82"/>
      <c r="AS213" s="82"/>
      <c r="AT213" s="82"/>
      <c r="AU213" s="82"/>
      <c r="AV213" s="82"/>
      <c r="AW213" s="82"/>
      <c r="AX213" s="82"/>
      <c r="AY213" s="81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</row>
    <row r="214">
      <c r="K214" s="79"/>
      <c r="U214" s="79"/>
      <c r="AE214" s="79"/>
      <c r="AF214" s="82"/>
      <c r="AG214" s="82"/>
      <c r="AH214" s="82"/>
      <c r="AI214" s="82"/>
      <c r="AJ214" s="82"/>
      <c r="AK214" s="82"/>
      <c r="AL214" s="82"/>
      <c r="AM214" s="82"/>
      <c r="AN214" s="82"/>
      <c r="AO214" s="81"/>
      <c r="AP214" s="82"/>
      <c r="AQ214" s="82"/>
      <c r="AR214" s="82"/>
      <c r="AS214" s="82"/>
      <c r="AT214" s="82"/>
      <c r="AU214" s="82"/>
      <c r="AV214" s="82"/>
      <c r="AW214" s="82"/>
      <c r="AX214" s="82"/>
      <c r="AY214" s="81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</row>
    <row r="215">
      <c r="K215" s="79"/>
      <c r="U215" s="79"/>
      <c r="AE215" s="79"/>
      <c r="AF215" s="82"/>
      <c r="AG215" s="82"/>
      <c r="AH215" s="82"/>
      <c r="AI215" s="82"/>
      <c r="AJ215" s="82"/>
      <c r="AK215" s="82"/>
      <c r="AL215" s="82"/>
      <c r="AM215" s="82"/>
      <c r="AN215" s="82"/>
      <c r="AO215" s="81"/>
      <c r="AP215" s="82"/>
      <c r="AQ215" s="82"/>
      <c r="AR215" s="82"/>
      <c r="AS215" s="82"/>
      <c r="AT215" s="82"/>
      <c r="AU215" s="82"/>
      <c r="AV215" s="82"/>
      <c r="AW215" s="82"/>
      <c r="AX215" s="82"/>
      <c r="AY215" s="81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</row>
    <row r="216">
      <c r="K216" s="79"/>
      <c r="U216" s="79"/>
      <c r="AE216" s="79"/>
      <c r="AF216" s="82"/>
      <c r="AG216" s="82"/>
      <c r="AH216" s="82"/>
      <c r="AI216" s="82"/>
      <c r="AJ216" s="82"/>
      <c r="AK216" s="82"/>
      <c r="AL216" s="82"/>
      <c r="AM216" s="82"/>
      <c r="AN216" s="82"/>
      <c r="AO216" s="81"/>
      <c r="AP216" s="82"/>
      <c r="AQ216" s="82"/>
      <c r="AR216" s="82"/>
      <c r="AS216" s="82"/>
      <c r="AT216" s="82"/>
      <c r="AU216" s="82"/>
      <c r="AV216" s="82"/>
      <c r="AW216" s="82"/>
      <c r="AX216" s="82"/>
      <c r="AY216" s="81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</row>
    <row r="217">
      <c r="K217" s="79"/>
      <c r="U217" s="79"/>
      <c r="AE217" s="79"/>
      <c r="AF217" s="82"/>
      <c r="AG217" s="82"/>
      <c r="AH217" s="82"/>
      <c r="AI217" s="82"/>
      <c r="AJ217" s="82"/>
      <c r="AK217" s="82"/>
      <c r="AL217" s="82"/>
      <c r="AM217" s="82"/>
      <c r="AN217" s="82"/>
      <c r="AO217" s="81"/>
      <c r="AP217" s="82"/>
      <c r="AQ217" s="82"/>
      <c r="AR217" s="82"/>
      <c r="AS217" s="82"/>
      <c r="AT217" s="82"/>
      <c r="AU217" s="82"/>
      <c r="AV217" s="82"/>
      <c r="AW217" s="82"/>
      <c r="AX217" s="82"/>
      <c r="AY217" s="81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</row>
    <row r="218">
      <c r="K218" s="79"/>
      <c r="U218" s="79"/>
      <c r="AE218" s="79"/>
      <c r="AF218" s="82"/>
      <c r="AG218" s="82"/>
      <c r="AH218" s="82"/>
      <c r="AI218" s="82"/>
      <c r="AJ218" s="82"/>
      <c r="AK218" s="82"/>
      <c r="AL218" s="82"/>
      <c r="AM218" s="82"/>
      <c r="AN218" s="82"/>
      <c r="AO218" s="81"/>
      <c r="AP218" s="82"/>
      <c r="AQ218" s="82"/>
      <c r="AR218" s="82"/>
      <c r="AS218" s="82"/>
      <c r="AT218" s="82"/>
      <c r="AU218" s="82"/>
      <c r="AV218" s="82"/>
      <c r="AW218" s="82"/>
      <c r="AX218" s="82"/>
      <c r="AY218" s="81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</row>
    <row r="219">
      <c r="K219" s="79"/>
      <c r="U219" s="79"/>
      <c r="AE219" s="79"/>
      <c r="AF219" s="82"/>
      <c r="AG219" s="82"/>
      <c r="AH219" s="82"/>
      <c r="AI219" s="82"/>
      <c r="AJ219" s="82"/>
      <c r="AK219" s="82"/>
      <c r="AL219" s="82"/>
      <c r="AM219" s="82"/>
      <c r="AN219" s="82"/>
      <c r="AO219" s="81"/>
      <c r="AP219" s="82"/>
      <c r="AQ219" s="82"/>
      <c r="AR219" s="82"/>
      <c r="AS219" s="82"/>
      <c r="AT219" s="82"/>
      <c r="AU219" s="82"/>
      <c r="AV219" s="82"/>
      <c r="AW219" s="82"/>
      <c r="AX219" s="82"/>
      <c r="AY219" s="81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</row>
    <row r="220">
      <c r="K220" s="79"/>
      <c r="U220" s="79"/>
      <c r="AE220" s="79"/>
      <c r="AF220" s="82"/>
      <c r="AG220" s="82"/>
      <c r="AH220" s="82"/>
      <c r="AI220" s="82"/>
      <c r="AJ220" s="82"/>
      <c r="AK220" s="82"/>
      <c r="AL220" s="82"/>
      <c r="AM220" s="82"/>
      <c r="AN220" s="82"/>
      <c r="AO220" s="81"/>
      <c r="AP220" s="82"/>
      <c r="AQ220" s="82"/>
      <c r="AR220" s="82"/>
      <c r="AS220" s="82"/>
      <c r="AT220" s="82"/>
      <c r="AU220" s="82"/>
      <c r="AV220" s="82"/>
      <c r="AW220" s="82"/>
      <c r="AX220" s="82"/>
      <c r="AY220" s="81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</row>
    <row r="221">
      <c r="K221" s="79"/>
      <c r="U221" s="79"/>
      <c r="AE221" s="79"/>
      <c r="AF221" s="82"/>
      <c r="AG221" s="82"/>
      <c r="AH221" s="82"/>
      <c r="AI221" s="82"/>
      <c r="AJ221" s="82"/>
      <c r="AK221" s="82"/>
      <c r="AL221" s="82"/>
      <c r="AM221" s="82"/>
      <c r="AN221" s="82"/>
      <c r="AO221" s="81"/>
      <c r="AP221" s="82"/>
      <c r="AQ221" s="82"/>
      <c r="AR221" s="82"/>
      <c r="AS221" s="82"/>
      <c r="AT221" s="82"/>
      <c r="AU221" s="82"/>
      <c r="AV221" s="82"/>
      <c r="AW221" s="82"/>
      <c r="AX221" s="82"/>
      <c r="AY221" s="81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</row>
    <row r="222">
      <c r="K222" s="79"/>
      <c r="U222" s="79"/>
      <c r="AE222" s="79"/>
      <c r="AF222" s="82"/>
      <c r="AG222" s="82"/>
      <c r="AH222" s="82"/>
      <c r="AI222" s="82"/>
      <c r="AJ222" s="82"/>
      <c r="AK222" s="82"/>
      <c r="AL222" s="82"/>
      <c r="AM222" s="82"/>
      <c r="AN222" s="82"/>
      <c r="AO222" s="81"/>
      <c r="AP222" s="82"/>
      <c r="AQ222" s="82"/>
      <c r="AR222" s="82"/>
      <c r="AS222" s="82"/>
      <c r="AT222" s="82"/>
      <c r="AU222" s="82"/>
      <c r="AV222" s="82"/>
      <c r="AW222" s="82"/>
      <c r="AX222" s="82"/>
      <c r="AY222" s="81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</row>
    <row r="223">
      <c r="K223" s="79"/>
      <c r="U223" s="79"/>
      <c r="AE223" s="79"/>
      <c r="AF223" s="82"/>
      <c r="AG223" s="82"/>
      <c r="AH223" s="82"/>
      <c r="AI223" s="82"/>
      <c r="AJ223" s="82"/>
      <c r="AK223" s="82"/>
      <c r="AL223" s="82"/>
      <c r="AM223" s="82"/>
      <c r="AN223" s="82"/>
      <c r="AO223" s="81"/>
      <c r="AP223" s="82"/>
      <c r="AQ223" s="82"/>
      <c r="AR223" s="82"/>
      <c r="AS223" s="82"/>
      <c r="AT223" s="82"/>
      <c r="AU223" s="82"/>
      <c r="AV223" s="82"/>
      <c r="AW223" s="82"/>
      <c r="AX223" s="82"/>
      <c r="AY223" s="81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</row>
    <row r="224">
      <c r="K224" s="79"/>
      <c r="U224" s="79"/>
      <c r="AE224" s="79"/>
      <c r="AF224" s="82"/>
      <c r="AG224" s="82"/>
      <c r="AH224" s="82"/>
      <c r="AI224" s="82"/>
      <c r="AJ224" s="82"/>
      <c r="AK224" s="82"/>
      <c r="AL224" s="82"/>
      <c r="AM224" s="82"/>
      <c r="AN224" s="82"/>
      <c r="AO224" s="81"/>
      <c r="AP224" s="82"/>
      <c r="AQ224" s="82"/>
      <c r="AR224" s="82"/>
      <c r="AS224" s="82"/>
      <c r="AT224" s="82"/>
      <c r="AU224" s="82"/>
      <c r="AV224" s="82"/>
      <c r="AW224" s="82"/>
      <c r="AX224" s="82"/>
      <c r="AY224" s="81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</row>
    <row r="225">
      <c r="K225" s="79"/>
      <c r="U225" s="79"/>
      <c r="AE225" s="79"/>
      <c r="AF225" s="82"/>
      <c r="AG225" s="82"/>
      <c r="AH225" s="82"/>
      <c r="AI225" s="82"/>
      <c r="AJ225" s="82"/>
      <c r="AK225" s="82"/>
      <c r="AL225" s="82"/>
      <c r="AM225" s="82"/>
      <c r="AN225" s="82"/>
      <c r="AO225" s="81"/>
      <c r="AP225" s="82"/>
      <c r="AQ225" s="82"/>
      <c r="AR225" s="82"/>
      <c r="AS225" s="82"/>
      <c r="AT225" s="82"/>
      <c r="AU225" s="82"/>
      <c r="AV225" s="82"/>
      <c r="AW225" s="82"/>
      <c r="AX225" s="82"/>
      <c r="AY225" s="81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</row>
    <row r="226">
      <c r="K226" s="79"/>
      <c r="U226" s="79"/>
      <c r="AE226" s="79"/>
      <c r="AF226" s="82"/>
      <c r="AG226" s="82"/>
      <c r="AH226" s="82"/>
      <c r="AI226" s="82"/>
      <c r="AJ226" s="82"/>
      <c r="AK226" s="82"/>
      <c r="AL226" s="82"/>
      <c r="AM226" s="82"/>
      <c r="AN226" s="82"/>
      <c r="AO226" s="81"/>
      <c r="AP226" s="82"/>
      <c r="AQ226" s="82"/>
      <c r="AR226" s="82"/>
      <c r="AS226" s="82"/>
      <c r="AT226" s="82"/>
      <c r="AU226" s="82"/>
      <c r="AV226" s="82"/>
      <c r="AW226" s="82"/>
      <c r="AX226" s="82"/>
      <c r="AY226" s="81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</row>
    <row r="227">
      <c r="K227" s="79"/>
      <c r="U227" s="79"/>
      <c r="AE227" s="79"/>
      <c r="AF227" s="82"/>
      <c r="AG227" s="82"/>
      <c r="AH227" s="82"/>
      <c r="AI227" s="82"/>
      <c r="AJ227" s="82"/>
      <c r="AK227" s="82"/>
      <c r="AL227" s="82"/>
      <c r="AM227" s="82"/>
      <c r="AN227" s="82"/>
      <c r="AO227" s="81"/>
      <c r="AP227" s="82"/>
      <c r="AQ227" s="82"/>
      <c r="AR227" s="82"/>
      <c r="AS227" s="82"/>
      <c r="AT227" s="82"/>
      <c r="AU227" s="82"/>
      <c r="AV227" s="82"/>
      <c r="AW227" s="82"/>
      <c r="AX227" s="82"/>
      <c r="AY227" s="81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</row>
    <row r="228">
      <c r="K228" s="79"/>
      <c r="U228" s="79"/>
      <c r="AE228" s="79"/>
      <c r="AF228" s="82"/>
      <c r="AG228" s="82"/>
      <c r="AH228" s="82"/>
      <c r="AI228" s="82"/>
      <c r="AJ228" s="82"/>
      <c r="AK228" s="82"/>
      <c r="AL228" s="82"/>
      <c r="AM228" s="82"/>
      <c r="AN228" s="82"/>
      <c r="AO228" s="81"/>
      <c r="AP228" s="82"/>
      <c r="AQ228" s="82"/>
      <c r="AR228" s="82"/>
      <c r="AS228" s="82"/>
      <c r="AT228" s="82"/>
      <c r="AU228" s="82"/>
      <c r="AV228" s="82"/>
      <c r="AW228" s="82"/>
      <c r="AX228" s="82"/>
      <c r="AY228" s="81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</row>
    <row r="229">
      <c r="K229" s="79"/>
      <c r="U229" s="79"/>
      <c r="AE229" s="79"/>
      <c r="AF229" s="82"/>
      <c r="AG229" s="82"/>
      <c r="AH229" s="82"/>
      <c r="AI229" s="82"/>
      <c r="AJ229" s="82"/>
      <c r="AK229" s="82"/>
      <c r="AL229" s="82"/>
      <c r="AM229" s="82"/>
      <c r="AN229" s="82"/>
      <c r="AO229" s="81"/>
      <c r="AP229" s="82"/>
      <c r="AQ229" s="82"/>
      <c r="AR229" s="82"/>
      <c r="AS229" s="82"/>
      <c r="AT229" s="82"/>
      <c r="AU229" s="82"/>
      <c r="AV229" s="82"/>
      <c r="AW229" s="82"/>
      <c r="AX229" s="82"/>
      <c r="AY229" s="81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</row>
    <row r="230">
      <c r="K230" s="79"/>
      <c r="U230" s="79"/>
      <c r="AE230" s="79"/>
      <c r="AF230" s="82"/>
      <c r="AG230" s="82"/>
      <c r="AH230" s="82"/>
      <c r="AI230" s="82"/>
      <c r="AJ230" s="82"/>
      <c r="AK230" s="82"/>
      <c r="AL230" s="82"/>
      <c r="AM230" s="82"/>
      <c r="AN230" s="82"/>
      <c r="AO230" s="81"/>
      <c r="AP230" s="82"/>
      <c r="AQ230" s="82"/>
      <c r="AR230" s="82"/>
      <c r="AS230" s="82"/>
      <c r="AT230" s="82"/>
      <c r="AU230" s="82"/>
      <c r="AV230" s="82"/>
      <c r="AW230" s="82"/>
      <c r="AX230" s="82"/>
      <c r="AY230" s="81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</row>
    <row r="231">
      <c r="K231" s="79"/>
      <c r="U231" s="79"/>
      <c r="AE231" s="79"/>
      <c r="AF231" s="82"/>
      <c r="AG231" s="82"/>
      <c r="AH231" s="82"/>
      <c r="AI231" s="82"/>
      <c r="AJ231" s="82"/>
      <c r="AK231" s="82"/>
      <c r="AL231" s="82"/>
      <c r="AM231" s="82"/>
      <c r="AN231" s="82"/>
      <c r="AO231" s="81"/>
      <c r="AP231" s="82"/>
      <c r="AQ231" s="82"/>
      <c r="AR231" s="82"/>
      <c r="AS231" s="82"/>
      <c r="AT231" s="82"/>
      <c r="AU231" s="82"/>
      <c r="AV231" s="82"/>
      <c r="AW231" s="82"/>
      <c r="AX231" s="82"/>
      <c r="AY231" s="81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</row>
    <row r="232">
      <c r="K232" s="79"/>
      <c r="U232" s="79"/>
      <c r="AE232" s="79"/>
      <c r="AF232" s="82"/>
      <c r="AG232" s="82"/>
      <c r="AH232" s="82"/>
      <c r="AI232" s="82"/>
      <c r="AJ232" s="82"/>
      <c r="AK232" s="82"/>
      <c r="AL232" s="82"/>
      <c r="AM232" s="82"/>
      <c r="AN232" s="82"/>
      <c r="AO232" s="81"/>
      <c r="AP232" s="82"/>
      <c r="AQ232" s="82"/>
      <c r="AR232" s="82"/>
      <c r="AS232" s="82"/>
      <c r="AT232" s="82"/>
      <c r="AU232" s="82"/>
      <c r="AV232" s="82"/>
      <c r="AW232" s="82"/>
      <c r="AX232" s="82"/>
      <c r="AY232" s="81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</row>
    <row r="233">
      <c r="K233" s="79"/>
      <c r="U233" s="79"/>
      <c r="AE233" s="79"/>
      <c r="AF233" s="82"/>
      <c r="AG233" s="82"/>
      <c r="AH233" s="82"/>
      <c r="AI233" s="82"/>
      <c r="AJ233" s="82"/>
      <c r="AK233" s="82"/>
      <c r="AL233" s="82"/>
      <c r="AM233" s="82"/>
      <c r="AN233" s="82"/>
      <c r="AO233" s="81"/>
      <c r="AP233" s="82"/>
      <c r="AQ233" s="82"/>
      <c r="AR233" s="82"/>
      <c r="AS233" s="82"/>
      <c r="AT233" s="82"/>
      <c r="AU233" s="82"/>
      <c r="AV233" s="82"/>
      <c r="AW233" s="82"/>
      <c r="AX233" s="82"/>
      <c r="AY233" s="81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</row>
    <row r="234">
      <c r="K234" s="79"/>
      <c r="U234" s="79"/>
      <c r="AE234" s="79"/>
      <c r="AF234" s="82"/>
      <c r="AG234" s="82"/>
      <c r="AH234" s="82"/>
      <c r="AI234" s="82"/>
      <c r="AJ234" s="82"/>
      <c r="AK234" s="82"/>
      <c r="AL234" s="82"/>
      <c r="AM234" s="82"/>
      <c r="AN234" s="82"/>
      <c r="AO234" s="81"/>
      <c r="AP234" s="82"/>
      <c r="AQ234" s="82"/>
      <c r="AR234" s="82"/>
      <c r="AS234" s="82"/>
      <c r="AT234" s="82"/>
      <c r="AU234" s="82"/>
      <c r="AV234" s="82"/>
      <c r="AW234" s="82"/>
      <c r="AX234" s="82"/>
      <c r="AY234" s="81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</row>
    <row r="235">
      <c r="K235" s="79"/>
      <c r="U235" s="79"/>
      <c r="AE235" s="79"/>
      <c r="AF235" s="82"/>
      <c r="AG235" s="82"/>
      <c r="AH235" s="82"/>
      <c r="AI235" s="82"/>
      <c r="AJ235" s="82"/>
      <c r="AK235" s="82"/>
      <c r="AL235" s="82"/>
      <c r="AM235" s="82"/>
      <c r="AN235" s="82"/>
      <c r="AO235" s="81"/>
      <c r="AP235" s="82"/>
      <c r="AQ235" s="82"/>
      <c r="AR235" s="82"/>
      <c r="AS235" s="82"/>
      <c r="AT235" s="82"/>
      <c r="AU235" s="82"/>
      <c r="AV235" s="82"/>
      <c r="AW235" s="82"/>
      <c r="AX235" s="82"/>
      <c r="AY235" s="81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</row>
    <row r="236">
      <c r="K236" s="79"/>
      <c r="U236" s="79"/>
      <c r="AE236" s="79"/>
      <c r="AF236" s="82"/>
      <c r="AG236" s="82"/>
      <c r="AH236" s="82"/>
      <c r="AI236" s="82"/>
      <c r="AJ236" s="82"/>
      <c r="AK236" s="82"/>
      <c r="AL236" s="82"/>
      <c r="AM236" s="82"/>
      <c r="AN236" s="82"/>
      <c r="AO236" s="81"/>
      <c r="AP236" s="82"/>
      <c r="AQ236" s="82"/>
      <c r="AR236" s="82"/>
      <c r="AS236" s="82"/>
      <c r="AT236" s="82"/>
      <c r="AU236" s="82"/>
      <c r="AV236" s="82"/>
      <c r="AW236" s="82"/>
      <c r="AX236" s="82"/>
      <c r="AY236" s="81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</row>
    <row r="237">
      <c r="K237" s="79"/>
      <c r="U237" s="79"/>
      <c r="AE237" s="79"/>
      <c r="AF237" s="82"/>
      <c r="AG237" s="82"/>
      <c r="AH237" s="82"/>
      <c r="AI237" s="82"/>
      <c r="AJ237" s="82"/>
      <c r="AK237" s="82"/>
      <c r="AL237" s="82"/>
      <c r="AM237" s="82"/>
      <c r="AN237" s="82"/>
      <c r="AO237" s="81"/>
      <c r="AP237" s="82"/>
      <c r="AQ237" s="82"/>
      <c r="AR237" s="82"/>
      <c r="AS237" s="82"/>
      <c r="AT237" s="82"/>
      <c r="AU237" s="82"/>
      <c r="AV237" s="82"/>
      <c r="AW237" s="82"/>
      <c r="AX237" s="82"/>
      <c r="AY237" s="81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</row>
    <row r="238">
      <c r="K238" s="79"/>
      <c r="U238" s="79"/>
      <c r="AE238" s="79"/>
      <c r="AF238" s="82"/>
      <c r="AG238" s="82"/>
      <c r="AH238" s="82"/>
      <c r="AI238" s="82"/>
      <c r="AJ238" s="82"/>
      <c r="AK238" s="82"/>
      <c r="AL238" s="82"/>
      <c r="AM238" s="82"/>
      <c r="AN238" s="82"/>
      <c r="AO238" s="81"/>
      <c r="AP238" s="82"/>
      <c r="AQ238" s="82"/>
      <c r="AR238" s="82"/>
      <c r="AS238" s="82"/>
      <c r="AT238" s="82"/>
      <c r="AU238" s="82"/>
      <c r="AV238" s="82"/>
      <c r="AW238" s="82"/>
      <c r="AX238" s="82"/>
      <c r="AY238" s="81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</row>
    <row r="239">
      <c r="K239" s="79"/>
      <c r="U239" s="79"/>
      <c r="AE239" s="79"/>
      <c r="AF239" s="82"/>
      <c r="AG239" s="82"/>
      <c r="AH239" s="82"/>
      <c r="AI239" s="82"/>
      <c r="AJ239" s="82"/>
      <c r="AK239" s="82"/>
      <c r="AL239" s="82"/>
      <c r="AM239" s="82"/>
      <c r="AN239" s="82"/>
      <c r="AO239" s="81"/>
      <c r="AP239" s="82"/>
      <c r="AQ239" s="82"/>
      <c r="AR239" s="82"/>
      <c r="AS239" s="82"/>
      <c r="AT239" s="82"/>
      <c r="AU239" s="82"/>
      <c r="AV239" s="82"/>
      <c r="AW239" s="82"/>
      <c r="AX239" s="82"/>
      <c r="AY239" s="81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</row>
    <row r="240">
      <c r="K240" s="79"/>
      <c r="U240" s="79"/>
      <c r="AE240" s="79"/>
      <c r="AF240" s="82"/>
      <c r="AG240" s="82"/>
      <c r="AH240" s="82"/>
      <c r="AI240" s="82"/>
      <c r="AJ240" s="82"/>
      <c r="AK240" s="82"/>
      <c r="AL240" s="82"/>
      <c r="AM240" s="82"/>
      <c r="AN240" s="82"/>
      <c r="AO240" s="81"/>
      <c r="AP240" s="82"/>
      <c r="AQ240" s="82"/>
      <c r="AR240" s="82"/>
      <c r="AS240" s="82"/>
      <c r="AT240" s="82"/>
      <c r="AU240" s="82"/>
      <c r="AV240" s="82"/>
      <c r="AW240" s="82"/>
      <c r="AX240" s="82"/>
      <c r="AY240" s="81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</row>
    <row r="241">
      <c r="K241" s="79"/>
      <c r="U241" s="79"/>
      <c r="AE241" s="79"/>
      <c r="AF241" s="82"/>
      <c r="AG241" s="82"/>
      <c r="AH241" s="82"/>
      <c r="AI241" s="82"/>
      <c r="AJ241" s="82"/>
      <c r="AK241" s="82"/>
      <c r="AL241" s="82"/>
      <c r="AM241" s="82"/>
      <c r="AN241" s="82"/>
      <c r="AO241" s="81"/>
      <c r="AP241" s="82"/>
      <c r="AQ241" s="82"/>
      <c r="AR241" s="82"/>
      <c r="AS241" s="82"/>
      <c r="AT241" s="82"/>
      <c r="AU241" s="82"/>
      <c r="AV241" s="82"/>
      <c r="AW241" s="82"/>
      <c r="AX241" s="82"/>
      <c r="AY241" s="81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</row>
    <row r="242">
      <c r="K242" s="79"/>
      <c r="U242" s="79"/>
      <c r="AE242" s="79"/>
      <c r="AF242" s="82"/>
      <c r="AG242" s="82"/>
      <c r="AH242" s="82"/>
      <c r="AI242" s="82"/>
      <c r="AJ242" s="82"/>
      <c r="AK242" s="82"/>
      <c r="AL242" s="82"/>
      <c r="AM242" s="82"/>
      <c r="AN242" s="82"/>
      <c r="AO242" s="81"/>
      <c r="AP242" s="82"/>
      <c r="AQ242" s="82"/>
      <c r="AR242" s="82"/>
      <c r="AS242" s="82"/>
      <c r="AT242" s="82"/>
      <c r="AU242" s="82"/>
      <c r="AV242" s="82"/>
      <c r="AW242" s="82"/>
      <c r="AX242" s="82"/>
      <c r="AY242" s="81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</row>
    <row r="243">
      <c r="K243" s="79"/>
      <c r="U243" s="79"/>
      <c r="AE243" s="79"/>
      <c r="AF243" s="82"/>
      <c r="AG243" s="82"/>
      <c r="AH243" s="82"/>
      <c r="AI243" s="82"/>
      <c r="AJ243" s="82"/>
      <c r="AK243" s="82"/>
      <c r="AL243" s="82"/>
      <c r="AM243" s="82"/>
      <c r="AN243" s="82"/>
      <c r="AO243" s="81"/>
      <c r="AP243" s="82"/>
      <c r="AQ243" s="82"/>
      <c r="AR243" s="82"/>
      <c r="AS243" s="82"/>
      <c r="AT243" s="82"/>
      <c r="AU243" s="82"/>
      <c r="AV243" s="82"/>
      <c r="AW243" s="82"/>
      <c r="AX243" s="82"/>
      <c r="AY243" s="81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</row>
    <row r="244">
      <c r="K244" s="79"/>
      <c r="U244" s="79"/>
      <c r="AE244" s="79"/>
      <c r="AF244" s="82"/>
      <c r="AG244" s="82"/>
      <c r="AH244" s="82"/>
      <c r="AI244" s="82"/>
      <c r="AJ244" s="82"/>
      <c r="AK244" s="82"/>
      <c r="AL244" s="82"/>
      <c r="AM244" s="82"/>
      <c r="AN244" s="82"/>
      <c r="AO244" s="81"/>
      <c r="AP244" s="82"/>
      <c r="AQ244" s="82"/>
      <c r="AR244" s="82"/>
      <c r="AS244" s="82"/>
      <c r="AT244" s="82"/>
      <c r="AU244" s="82"/>
      <c r="AV244" s="82"/>
      <c r="AW244" s="82"/>
      <c r="AX244" s="82"/>
      <c r="AY244" s="81"/>
      <c r="AZ244" s="82"/>
      <c r="BA244" s="82"/>
      <c r="BB244" s="82"/>
      <c r="BC244" s="82"/>
      <c r="BD244" s="82"/>
      <c r="BE244" s="82"/>
      <c r="BF244" s="82"/>
      <c r="BG244" s="82"/>
      <c r="BH244" s="82"/>
      <c r="BI244" s="82"/>
    </row>
    <row r="245">
      <c r="K245" s="79"/>
      <c r="U245" s="79"/>
      <c r="AE245" s="79"/>
      <c r="AF245" s="82"/>
      <c r="AG245" s="82"/>
      <c r="AH245" s="82"/>
      <c r="AI245" s="82"/>
      <c r="AJ245" s="82"/>
      <c r="AK245" s="82"/>
      <c r="AL245" s="82"/>
      <c r="AM245" s="82"/>
      <c r="AN245" s="82"/>
      <c r="AO245" s="81"/>
      <c r="AP245" s="82"/>
      <c r="AQ245" s="82"/>
      <c r="AR245" s="82"/>
      <c r="AS245" s="82"/>
      <c r="AT245" s="82"/>
      <c r="AU245" s="82"/>
      <c r="AV245" s="82"/>
      <c r="AW245" s="82"/>
      <c r="AX245" s="82"/>
      <c r="AY245" s="81"/>
      <c r="AZ245" s="82"/>
      <c r="BA245" s="82"/>
      <c r="BB245" s="82"/>
      <c r="BC245" s="82"/>
      <c r="BD245" s="82"/>
      <c r="BE245" s="82"/>
      <c r="BF245" s="82"/>
      <c r="BG245" s="82"/>
      <c r="BH245" s="82"/>
      <c r="BI245" s="82"/>
    </row>
    <row r="246">
      <c r="K246" s="79"/>
      <c r="U246" s="79"/>
      <c r="AE246" s="79"/>
      <c r="AF246" s="82"/>
      <c r="AG246" s="82"/>
      <c r="AH246" s="82"/>
      <c r="AI246" s="82"/>
      <c r="AJ246" s="82"/>
      <c r="AK246" s="82"/>
      <c r="AL246" s="82"/>
      <c r="AM246" s="82"/>
      <c r="AN246" s="82"/>
      <c r="AO246" s="81"/>
      <c r="AP246" s="82"/>
      <c r="AQ246" s="82"/>
      <c r="AR246" s="82"/>
      <c r="AS246" s="82"/>
      <c r="AT246" s="82"/>
      <c r="AU246" s="82"/>
      <c r="AV246" s="82"/>
      <c r="AW246" s="82"/>
      <c r="AX246" s="82"/>
      <c r="AY246" s="81"/>
      <c r="AZ246" s="82"/>
      <c r="BA246" s="82"/>
      <c r="BB246" s="82"/>
      <c r="BC246" s="82"/>
      <c r="BD246" s="82"/>
      <c r="BE246" s="82"/>
      <c r="BF246" s="82"/>
      <c r="BG246" s="82"/>
      <c r="BH246" s="82"/>
      <c r="BI246" s="82"/>
    </row>
    <row r="247">
      <c r="K247" s="79"/>
      <c r="U247" s="79"/>
      <c r="AE247" s="79"/>
      <c r="AF247" s="82"/>
      <c r="AG247" s="82"/>
      <c r="AH247" s="82"/>
      <c r="AI247" s="82"/>
      <c r="AJ247" s="82"/>
      <c r="AK247" s="82"/>
      <c r="AL247" s="82"/>
      <c r="AM247" s="82"/>
      <c r="AN247" s="82"/>
      <c r="AO247" s="81"/>
      <c r="AP247" s="82"/>
      <c r="AQ247" s="82"/>
      <c r="AR247" s="82"/>
      <c r="AS247" s="82"/>
      <c r="AT247" s="82"/>
      <c r="AU247" s="82"/>
      <c r="AV247" s="82"/>
      <c r="AW247" s="82"/>
      <c r="AX247" s="82"/>
      <c r="AY247" s="81"/>
      <c r="AZ247" s="82"/>
      <c r="BA247" s="82"/>
      <c r="BB247" s="82"/>
      <c r="BC247" s="82"/>
      <c r="BD247" s="82"/>
      <c r="BE247" s="82"/>
      <c r="BF247" s="82"/>
      <c r="BG247" s="82"/>
      <c r="BH247" s="82"/>
      <c r="BI247" s="82"/>
    </row>
    <row r="248">
      <c r="K248" s="79"/>
      <c r="U248" s="79"/>
      <c r="AE248" s="79"/>
      <c r="AF248" s="82"/>
      <c r="AG248" s="82"/>
      <c r="AH248" s="82"/>
      <c r="AI248" s="82"/>
      <c r="AJ248" s="82"/>
      <c r="AK248" s="82"/>
      <c r="AL248" s="82"/>
      <c r="AM248" s="82"/>
      <c r="AN248" s="82"/>
      <c r="AO248" s="81"/>
      <c r="AP248" s="82"/>
      <c r="AQ248" s="82"/>
      <c r="AR248" s="82"/>
      <c r="AS248" s="82"/>
      <c r="AT248" s="82"/>
      <c r="AU248" s="82"/>
      <c r="AV248" s="82"/>
      <c r="AW248" s="82"/>
      <c r="AX248" s="82"/>
      <c r="AY248" s="81"/>
      <c r="AZ248" s="82"/>
      <c r="BA248" s="82"/>
      <c r="BB248" s="82"/>
      <c r="BC248" s="82"/>
      <c r="BD248" s="82"/>
      <c r="BE248" s="82"/>
      <c r="BF248" s="82"/>
      <c r="BG248" s="82"/>
      <c r="BH248" s="82"/>
      <c r="BI248" s="82"/>
    </row>
    <row r="249">
      <c r="K249" s="79"/>
      <c r="U249" s="79"/>
      <c r="AE249" s="79"/>
      <c r="AF249" s="82"/>
      <c r="AG249" s="82"/>
      <c r="AH249" s="82"/>
      <c r="AI249" s="82"/>
      <c r="AJ249" s="82"/>
      <c r="AK249" s="82"/>
      <c r="AL249" s="82"/>
      <c r="AM249" s="82"/>
      <c r="AN249" s="82"/>
      <c r="AO249" s="81"/>
      <c r="AP249" s="82"/>
      <c r="AQ249" s="82"/>
      <c r="AR249" s="82"/>
      <c r="AS249" s="82"/>
      <c r="AT249" s="82"/>
      <c r="AU249" s="82"/>
      <c r="AV249" s="82"/>
      <c r="AW249" s="82"/>
      <c r="AX249" s="82"/>
      <c r="AY249" s="81"/>
      <c r="AZ249" s="82"/>
      <c r="BA249" s="82"/>
      <c r="BB249" s="82"/>
      <c r="BC249" s="82"/>
      <c r="BD249" s="82"/>
      <c r="BE249" s="82"/>
      <c r="BF249" s="82"/>
      <c r="BG249" s="82"/>
      <c r="BH249" s="82"/>
      <c r="BI249" s="82"/>
    </row>
    <row r="250">
      <c r="K250" s="79"/>
      <c r="U250" s="79"/>
      <c r="AE250" s="79"/>
      <c r="AF250" s="82"/>
      <c r="AG250" s="82"/>
      <c r="AH250" s="82"/>
      <c r="AI250" s="82"/>
      <c r="AJ250" s="82"/>
      <c r="AK250" s="82"/>
      <c r="AL250" s="82"/>
      <c r="AM250" s="82"/>
      <c r="AN250" s="82"/>
      <c r="AO250" s="81"/>
      <c r="AP250" s="82"/>
      <c r="AQ250" s="82"/>
      <c r="AR250" s="82"/>
      <c r="AS250" s="82"/>
      <c r="AT250" s="82"/>
      <c r="AU250" s="82"/>
      <c r="AV250" s="82"/>
      <c r="AW250" s="82"/>
      <c r="AX250" s="82"/>
      <c r="AY250" s="81"/>
      <c r="AZ250" s="82"/>
      <c r="BA250" s="82"/>
      <c r="BB250" s="82"/>
      <c r="BC250" s="82"/>
      <c r="BD250" s="82"/>
      <c r="BE250" s="82"/>
      <c r="BF250" s="82"/>
      <c r="BG250" s="82"/>
      <c r="BH250" s="82"/>
      <c r="BI250" s="82"/>
    </row>
    <row r="251">
      <c r="K251" s="79"/>
      <c r="U251" s="79"/>
      <c r="AE251" s="79"/>
      <c r="AF251" s="82"/>
      <c r="AG251" s="82"/>
      <c r="AH251" s="82"/>
      <c r="AI251" s="82"/>
      <c r="AJ251" s="82"/>
      <c r="AK251" s="82"/>
      <c r="AL251" s="82"/>
      <c r="AM251" s="82"/>
      <c r="AN251" s="82"/>
      <c r="AO251" s="81"/>
      <c r="AP251" s="82"/>
      <c r="AQ251" s="82"/>
      <c r="AR251" s="82"/>
      <c r="AS251" s="82"/>
      <c r="AT251" s="82"/>
      <c r="AU251" s="82"/>
      <c r="AV251" s="82"/>
      <c r="AW251" s="82"/>
      <c r="AX251" s="82"/>
      <c r="AY251" s="81"/>
      <c r="AZ251" s="82"/>
      <c r="BA251" s="82"/>
      <c r="BB251" s="82"/>
      <c r="BC251" s="82"/>
      <c r="BD251" s="82"/>
      <c r="BE251" s="82"/>
      <c r="BF251" s="82"/>
      <c r="BG251" s="82"/>
      <c r="BH251" s="82"/>
      <c r="BI251" s="82"/>
    </row>
    <row r="252">
      <c r="K252" s="79"/>
      <c r="U252" s="79"/>
      <c r="AE252" s="79"/>
      <c r="AF252" s="82"/>
      <c r="AG252" s="82"/>
      <c r="AH252" s="82"/>
      <c r="AI252" s="82"/>
      <c r="AJ252" s="82"/>
      <c r="AK252" s="82"/>
      <c r="AL252" s="82"/>
      <c r="AM252" s="82"/>
      <c r="AN252" s="82"/>
      <c r="AO252" s="81"/>
      <c r="AP252" s="82"/>
      <c r="AQ252" s="82"/>
      <c r="AR252" s="82"/>
      <c r="AS252" s="82"/>
      <c r="AT252" s="82"/>
      <c r="AU252" s="82"/>
      <c r="AV252" s="82"/>
      <c r="AW252" s="82"/>
      <c r="AX252" s="82"/>
      <c r="AY252" s="81"/>
      <c r="AZ252" s="82"/>
      <c r="BA252" s="82"/>
      <c r="BB252" s="82"/>
      <c r="BC252" s="82"/>
      <c r="BD252" s="82"/>
      <c r="BE252" s="82"/>
      <c r="BF252" s="82"/>
      <c r="BG252" s="82"/>
      <c r="BH252" s="82"/>
      <c r="BI252" s="82"/>
    </row>
    <row r="253">
      <c r="K253" s="79"/>
      <c r="U253" s="79"/>
      <c r="AE253" s="79"/>
      <c r="AF253" s="82"/>
      <c r="AG253" s="82"/>
      <c r="AH253" s="82"/>
      <c r="AI253" s="82"/>
      <c r="AJ253" s="82"/>
      <c r="AK253" s="82"/>
      <c r="AL253" s="82"/>
      <c r="AM253" s="82"/>
      <c r="AN253" s="82"/>
      <c r="AO253" s="81"/>
      <c r="AP253" s="82"/>
      <c r="AQ253" s="82"/>
      <c r="AR253" s="82"/>
      <c r="AS253" s="82"/>
      <c r="AT253" s="82"/>
      <c r="AU253" s="82"/>
      <c r="AV253" s="82"/>
      <c r="AW253" s="82"/>
      <c r="AX253" s="82"/>
      <c r="AY253" s="81"/>
      <c r="AZ253" s="82"/>
      <c r="BA253" s="82"/>
      <c r="BB253" s="82"/>
      <c r="BC253" s="82"/>
      <c r="BD253" s="82"/>
      <c r="BE253" s="82"/>
      <c r="BF253" s="82"/>
      <c r="BG253" s="82"/>
      <c r="BH253" s="82"/>
      <c r="BI253" s="82"/>
    </row>
    <row r="254">
      <c r="K254" s="79"/>
      <c r="U254" s="79"/>
      <c r="AE254" s="79"/>
      <c r="AF254" s="82"/>
      <c r="AG254" s="82"/>
      <c r="AH254" s="82"/>
      <c r="AI254" s="82"/>
      <c r="AJ254" s="82"/>
      <c r="AK254" s="82"/>
      <c r="AL254" s="82"/>
      <c r="AM254" s="82"/>
      <c r="AN254" s="82"/>
      <c r="AO254" s="81"/>
      <c r="AP254" s="82"/>
      <c r="AQ254" s="82"/>
      <c r="AR254" s="82"/>
      <c r="AS254" s="82"/>
      <c r="AT254" s="82"/>
      <c r="AU254" s="82"/>
      <c r="AV254" s="82"/>
      <c r="AW254" s="82"/>
      <c r="AX254" s="82"/>
      <c r="AY254" s="81"/>
      <c r="AZ254" s="82"/>
      <c r="BA254" s="82"/>
      <c r="BB254" s="82"/>
      <c r="BC254" s="82"/>
      <c r="BD254" s="82"/>
      <c r="BE254" s="82"/>
      <c r="BF254" s="82"/>
      <c r="BG254" s="82"/>
      <c r="BH254" s="82"/>
      <c r="BI254" s="82"/>
    </row>
    <row r="255">
      <c r="K255" s="79"/>
      <c r="U255" s="79"/>
      <c r="AE255" s="79"/>
      <c r="AF255" s="82"/>
      <c r="AG255" s="82"/>
      <c r="AH255" s="82"/>
      <c r="AI255" s="82"/>
      <c r="AJ255" s="82"/>
      <c r="AK255" s="82"/>
      <c r="AL255" s="82"/>
      <c r="AM255" s="82"/>
      <c r="AN255" s="82"/>
      <c r="AO255" s="81"/>
      <c r="AP255" s="82"/>
      <c r="AQ255" s="82"/>
      <c r="AR255" s="82"/>
      <c r="AS255" s="82"/>
      <c r="AT255" s="82"/>
      <c r="AU255" s="82"/>
      <c r="AV255" s="82"/>
      <c r="AW255" s="82"/>
      <c r="AX255" s="82"/>
      <c r="AY255" s="81"/>
      <c r="AZ255" s="82"/>
      <c r="BA255" s="82"/>
      <c r="BB255" s="82"/>
      <c r="BC255" s="82"/>
      <c r="BD255" s="82"/>
      <c r="BE255" s="82"/>
      <c r="BF255" s="82"/>
      <c r="BG255" s="82"/>
      <c r="BH255" s="82"/>
      <c r="BI255" s="82"/>
    </row>
    <row r="256">
      <c r="K256" s="79"/>
      <c r="U256" s="79"/>
      <c r="AE256" s="79"/>
      <c r="AF256" s="82"/>
      <c r="AG256" s="82"/>
      <c r="AH256" s="82"/>
      <c r="AI256" s="82"/>
      <c r="AJ256" s="82"/>
      <c r="AK256" s="82"/>
      <c r="AL256" s="82"/>
      <c r="AM256" s="82"/>
      <c r="AN256" s="82"/>
      <c r="AO256" s="81"/>
      <c r="AP256" s="82"/>
      <c r="AQ256" s="82"/>
      <c r="AR256" s="82"/>
      <c r="AS256" s="82"/>
      <c r="AT256" s="82"/>
      <c r="AU256" s="82"/>
      <c r="AV256" s="82"/>
      <c r="AW256" s="82"/>
      <c r="AX256" s="82"/>
      <c r="AY256" s="81"/>
      <c r="AZ256" s="82"/>
      <c r="BA256" s="82"/>
      <c r="BB256" s="82"/>
      <c r="BC256" s="82"/>
      <c r="BD256" s="82"/>
      <c r="BE256" s="82"/>
      <c r="BF256" s="82"/>
      <c r="BG256" s="82"/>
      <c r="BH256" s="82"/>
      <c r="BI256" s="82"/>
    </row>
    <row r="257">
      <c r="K257" s="79"/>
      <c r="U257" s="79"/>
      <c r="AE257" s="79"/>
      <c r="AF257" s="82"/>
      <c r="AG257" s="82"/>
      <c r="AH257" s="82"/>
      <c r="AI257" s="82"/>
      <c r="AJ257" s="82"/>
      <c r="AK257" s="82"/>
      <c r="AL257" s="82"/>
      <c r="AM257" s="82"/>
      <c r="AN257" s="82"/>
      <c r="AO257" s="81"/>
      <c r="AP257" s="82"/>
      <c r="AQ257" s="82"/>
      <c r="AR257" s="82"/>
      <c r="AS257" s="82"/>
      <c r="AT257" s="82"/>
      <c r="AU257" s="82"/>
      <c r="AV257" s="82"/>
      <c r="AW257" s="82"/>
      <c r="AX257" s="82"/>
      <c r="AY257" s="81"/>
      <c r="AZ257" s="82"/>
      <c r="BA257" s="82"/>
      <c r="BB257" s="82"/>
      <c r="BC257" s="82"/>
      <c r="BD257" s="82"/>
      <c r="BE257" s="82"/>
      <c r="BF257" s="82"/>
      <c r="BG257" s="82"/>
      <c r="BH257" s="82"/>
      <c r="BI257" s="82"/>
    </row>
    <row r="258">
      <c r="K258" s="79"/>
      <c r="U258" s="79"/>
      <c r="AE258" s="79"/>
      <c r="AF258" s="82"/>
      <c r="AG258" s="82"/>
      <c r="AH258" s="82"/>
      <c r="AI258" s="82"/>
      <c r="AJ258" s="82"/>
      <c r="AK258" s="82"/>
      <c r="AL258" s="82"/>
      <c r="AM258" s="82"/>
      <c r="AN258" s="82"/>
      <c r="AO258" s="81"/>
      <c r="AP258" s="82"/>
      <c r="AQ258" s="82"/>
      <c r="AR258" s="82"/>
      <c r="AS258" s="82"/>
      <c r="AT258" s="82"/>
      <c r="AU258" s="82"/>
      <c r="AV258" s="82"/>
      <c r="AW258" s="82"/>
      <c r="AX258" s="82"/>
      <c r="AY258" s="81"/>
      <c r="AZ258" s="82"/>
      <c r="BA258" s="82"/>
      <c r="BB258" s="82"/>
      <c r="BC258" s="82"/>
      <c r="BD258" s="82"/>
      <c r="BE258" s="82"/>
      <c r="BF258" s="82"/>
      <c r="BG258" s="82"/>
      <c r="BH258" s="82"/>
      <c r="BI258" s="82"/>
    </row>
    <row r="259">
      <c r="K259" s="79"/>
      <c r="U259" s="79"/>
      <c r="AE259" s="79"/>
      <c r="AF259" s="82"/>
      <c r="AG259" s="82"/>
      <c r="AH259" s="82"/>
      <c r="AI259" s="82"/>
      <c r="AJ259" s="82"/>
      <c r="AK259" s="82"/>
      <c r="AL259" s="82"/>
      <c r="AM259" s="82"/>
      <c r="AN259" s="82"/>
      <c r="AO259" s="81"/>
      <c r="AP259" s="82"/>
      <c r="AQ259" s="82"/>
      <c r="AR259" s="82"/>
      <c r="AS259" s="82"/>
      <c r="AT259" s="82"/>
      <c r="AU259" s="82"/>
      <c r="AV259" s="82"/>
      <c r="AW259" s="82"/>
      <c r="AX259" s="82"/>
      <c r="AY259" s="81"/>
      <c r="AZ259" s="82"/>
      <c r="BA259" s="82"/>
      <c r="BB259" s="82"/>
      <c r="BC259" s="82"/>
      <c r="BD259" s="82"/>
      <c r="BE259" s="82"/>
      <c r="BF259" s="82"/>
      <c r="BG259" s="82"/>
      <c r="BH259" s="82"/>
      <c r="BI259" s="82"/>
    </row>
    <row r="260">
      <c r="K260" s="79"/>
      <c r="U260" s="79"/>
      <c r="AE260" s="79"/>
      <c r="AF260" s="82"/>
      <c r="AG260" s="82"/>
      <c r="AH260" s="82"/>
      <c r="AI260" s="82"/>
      <c r="AJ260" s="82"/>
      <c r="AK260" s="82"/>
      <c r="AL260" s="82"/>
      <c r="AM260" s="82"/>
      <c r="AN260" s="82"/>
      <c r="AO260" s="81"/>
      <c r="AP260" s="82"/>
      <c r="AQ260" s="82"/>
      <c r="AR260" s="82"/>
      <c r="AS260" s="82"/>
      <c r="AT260" s="82"/>
      <c r="AU260" s="82"/>
      <c r="AV260" s="82"/>
      <c r="AW260" s="82"/>
      <c r="AX260" s="82"/>
      <c r="AY260" s="81"/>
      <c r="AZ260" s="82"/>
      <c r="BA260" s="82"/>
      <c r="BB260" s="82"/>
      <c r="BC260" s="82"/>
      <c r="BD260" s="82"/>
      <c r="BE260" s="82"/>
      <c r="BF260" s="82"/>
      <c r="BG260" s="82"/>
      <c r="BH260" s="82"/>
      <c r="BI260" s="82"/>
    </row>
    <row r="261">
      <c r="K261" s="79"/>
      <c r="U261" s="79"/>
      <c r="AE261" s="79"/>
      <c r="AF261" s="82"/>
      <c r="AG261" s="82"/>
      <c r="AH261" s="82"/>
      <c r="AI261" s="82"/>
      <c r="AJ261" s="82"/>
      <c r="AK261" s="82"/>
      <c r="AL261" s="82"/>
      <c r="AM261" s="82"/>
      <c r="AN261" s="82"/>
      <c r="AO261" s="81"/>
      <c r="AP261" s="82"/>
      <c r="AQ261" s="82"/>
      <c r="AR261" s="82"/>
      <c r="AS261" s="82"/>
      <c r="AT261" s="82"/>
      <c r="AU261" s="82"/>
      <c r="AV261" s="82"/>
      <c r="AW261" s="82"/>
      <c r="AX261" s="82"/>
      <c r="AY261" s="81"/>
      <c r="AZ261" s="82"/>
      <c r="BA261" s="82"/>
      <c r="BB261" s="82"/>
      <c r="BC261" s="82"/>
      <c r="BD261" s="82"/>
      <c r="BE261" s="82"/>
      <c r="BF261" s="82"/>
      <c r="BG261" s="82"/>
      <c r="BH261" s="82"/>
      <c r="BI261" s="82"/>
    </row>
    <row r="262">
      <c r="K262" s="79"/>
      <c r="U262" s="79"/>
      <c r="AE262" s="79"/>
      <c r="AF262" s="82"/>
      <c r="AG262" s="82"/>
      <c r="AH262" s="82"/>
      <c r="AI262" s="82"/>
      <c r="AJ262" s="82"/>
      <c r="AK262" s="82"/>
      <c r="AL262" s="82"/>
      <c r="AM262" s="82"/>
      <c r="AN262" s="82"/>
      <c r="AO262" s="81"/>
      <c r="AP262" s="82"/>
      <c r="AQ262" s="82"/>
      <c r="AR262" s="82"/>
      <c r="AS262" s="82"/>
      <c r="AT262" s="82"/>
      <c r="AU262" s="82"/>
      <c r="AV262" s="82"/>
      <c r="AW262" s="82"/>
      <c r="AX262" s="82"/>
      <c r="AY262" s="81"/>
      <c r="AZ262" s="82"/>
      <c r="BA262" s="82"/>
      <c r="BB262" s="82"/>
      <c r="BC262" s="82"/>
      <c r="BD262" s="82"/>
      <c r="BE262" s="82"/>
      <c r="BF262" s="82"/>
      <c r="BG262" s="82"/>
      <c r="BH262" s="82"/>
      <c r="BI262" s="82"/>
    </row>
    <row r="263">
      <c r="K263" s="79"/>
      <c r="U263" s="79"/>
      <c r="AE263" s="79"/>
      <c r="AF263" s="82"/>
      <c r="AG263" s="82"/>
      <c r="AH263" s="82"/>
      <c r="AI263" s="82"/>
      <c r="AJ263" s="82"/>
      <c r="AK263" s="82"/>
      <c r="AL263" s="82"/>
      <c r="AM263" s="82"/>
      <c r="AN263" s="82"/>
      <c r="AO263" s="81"/>
      <c r="AP263" s="82"/>
      <c r="AQ263" s="82"/>
      <c r="AR263" s="82"/>
      <c r="AS263" s="82"/>
      <c r="AT263" s="82"/>
      <c r="AU263" s="82"/>
      <c r="AV263" s="82"/>
      <c r="AW263" s="82"/>
      <c r="AX263" s="82"/>
      <c r="AY263" s="81"/>
      <c r="AZ263" s="82"/>
      <c r="BA263" s="82"/>
      <c r="BB263" s="82"/>
      <c r="BC263" s="82"/>
      <c r="BD263" s="82"/>
      <c r="BE263" s="82"/>
      <c r="BF263" s="82"/>
      <c r="BG263" s="82"/>
      <c r="BH263" s="82"/>
      <c r="BI263" s="82"/>
    </row>
    <row r="264">
      <c r="K264" s="79"/>
      <c r="U264" s="79"/>
      <c r="AE264" s="79"/>
      <c r="AF264" s="82"/>
      <c r="AG264" s="82"/>
      <c r="AH264" s="82"/>
      <c r="AI264" s="82"/>
      <c r="AJ264" s="82"/>
      <c r="AK264" s="82"/>
      <c r="AL264" s="82"/>
      <c r="AM264" s="82"/>
      <c r="AN264" s="82"/>
      <c r="AO264" s="81"/>
      <c r="AP264" s="82"/>
      <c r="AQ264" s="82"/>
      <c r="AR264" s="82"/>
      <c r="AS264" s="82"/>
      <c r="AT264" s="82"/>
      <c r="AU264" s="82"/>
      <c r="AV264" s="82"/>
      <c r="AW264" s="82"/>
      <c r="AX264" s="82"/>
      <c r="AY264" s="81"/>
      <c r="AZ264" s="82"/>
      <c r="BA264" s="82"/>
      <c r="BB264" s="82"/>
      <c r="BC264" s="82"/>
      <c r="BD264" s="82"/>
      <c r="BE264" s="82"/>
      <c r="BF264" s="82"/>
      <c r="BG264" s="82"/>
      <c r="BH264" s="82"/>
      <c r="BI264" s="82"/>
    </row>
    <row r="265">
      <c r="K265" s="79"/>
      <c r="U265" s="79"/>
      <c r="AE265" s="79"/>
      <c r="AF265" s="82"/>
      <c r="AG265" s="82"/>
      <c r="AH265" s="82"/>
      <c r="AI265" s="82"/>
      <c r="AJ265" s="82"/>
      <c r="AK265" s="82"/>
      <c r="AL265" s="82"/>
      <c r="AM265" s="82"/>
      <c r="AN265" s="82"/>
      <c r="AO265" s="81"/>
      <c r="AP265" s="82"/>
      <c r="AQ265" s="82"/>
      <c r="AR265" s="82"/>
      <c r="AS265" s="82"/>
      <c r="AT265" s="82"/>
      <c r="AU265" s="82"/>
      <c r="AV265" s="82"/>
      <c r="AW265" s="82"/>
      <c r="AX265" s="82"/>
      <c r="AY265" s="81"/>
      <c r="AZ265" s="82"/>
      <c r="BA265" s="82"/>
      <c r="BB265" s="82"/>
      <c r="BC265" s="82"/>
      <c r="BD265" s="82"/>
      <c r="BE265" s="82"/>
      <c r="BF265" s="82"/>
      <c r="BG265" s="82"/>
      <c r="BH265" s="82"/>
      <c r="BI265" s="82"/>
    </row>
    <row r="266">
      <c r="K266" s="79"/>
      <c r="U266" s="79"/>
      <c r="AE266" s="79"/>
      <c r="AF266" s="82"/>
      <c r="AG266" s="82"/>
      <c r="AH266" s="82"/>
      <c r="AI266" s="82"/>
      <c r="AJ266" s="82"/>
      <c r="AK266" s="82"/>
      <c r="AL266" s="82"/>
      <c r="AM266" s="82"/>
      <c r="AN266" s="82"/>
      <c r="AO266" s="81"/>
      <c r="AP266" s="82"/>
      <c r="AQ266" s="82"/>
      <c r="AR266" s="82"/>
      <c r="AS266" s="82"/>
      <c r="AT266" s="82"/>
      <c r="AU266" s="82"/>
      <c r="AV266" s="82"/>
      <c r="AW266" s="82"/>
      <c r="AX266" s="82"/>
      <c r="AY266" s="81"/>
      <c r="AZ266" s="82"/>
      <c r="BA266" s="82"/>
      <c r="BB266" s="82"/>
      <c r="BC266" s="82"/>
      <c r="BD266" s="82"/>
      <c r="BE266" s="82"/>
      <c r="BF266" s="82"/>
      <c r="BG266" s="82"/>
      <c r="BH266" s="82"/>
      <c r="BI266" s="82"/>
    </row>
    <row r="267">
      <c r="K267" s="79"/>
      <c r="U267" s="79"/>
      <c r="AE267" s="79"/>
      <c r="AF267" s="82"/>
      <c r="AG267" s="82"/>
      <c r="AH267" s="82"/>
      <c r="AI267" s="82"/>
      <c r="AJ267" s="82"/>
      <c r="AK267" s="82"/>
      <c r="AL267" s="82"/>
      <c r="AM267" s="82"/>
      <c r="AN267" s="82"/>
      <c r="AO267" s="81"/>
      <c r="AP267" s="82"/>
      <c r="AQ267" s="82"/>
      <c r="AR267" s="82"/>
      <c r="AS267" s="82"/>
      <c r="AT267" s="82"/>
      <c r="AU267" s="82"/>
      <c r="AV267" s="82"/>
      <c r="AW267" s="82"/>
      <c r="AX267" s="82"/>
      <c r="AY267" s="81"/>
      <c r="AZ267" s="82"/>
      <c r="BA267" s="82"/>
      <c r="BB267" s="82"/>
      <c r="BC267" s="82"/>
      <c r="BD267" s="82"/>
      <c r="BE267" s="82"/>
      <c r="BF267" s="82"/>
      <c r="BG267" s="82"/>
      <c r="BH267" s="82"/>
      <c r="BI267" s="82"/>
    </row>
    <row r="268">
      <c r="K268" s="79"/>
      <c r="U268" s="79"/>
      <c r="AE268" s="79"/>
      <c r="AF268" s="82"/>
      <c r="AG268" s="82"/>
      <c r="AH268" s="82"/>
      <c r="AI268" s="82"/>
      <c r="AJ268" s="82"/>
      <c r="AK268" s="82"/>
      <c r="AL268" s="82"/>
      <c r="AM268" s="82"/>
      <c r="AN268" s="82"/>
      <c r="AO268" s="81"/>
      <c r="AP268" s="82"/>
      <c r="AQ268" s="82"/>
      <c r="AR268" s="82"/>
      <c r="AS268" s="82"/>
      <c r="AT268" s="82"/>
      <c r="AU268" s="82"/>
      <c r="AV268" s="82"/>
      <c r="AW268" s="82"/>
      <c r="AX268" s="82"/>
      <c r="AY268" s="81"/>
      <c r="AZ268" s="82"/>
      <c r="BA268" s="82"/>
      <c r="BB268" s="82"/>
      <c r="BC268" s="82"/>
      <c r="BD268" s="82"/>
      <c r="BE268" s="82"/>
      <c r="BF268" s="82"/>
      <c r="BG268" s="82"/>
      <c r="BH268" s="82"/>
      <c r="BI268" s="82"/>
    </row>
    <row r="269">
      <c r="K269" s="79"/>
      <c r="U269" s="79"/>
      <c r="AE269" s="79"/>
      <c r="AF269" s="82"/>
      <c r="AG269" s="82"/>
      <c r="AH269" s="82"/>
      <c r="AI269" s="82"/>
      <c r="AJ269" s="82"/>
      <c r="AK269" s="82"/>
      <c r="AL269" s="82"/>
      <c r="AM269" s="82"/>
      <c r="AN269" s="82"/>
      <c r="AO269" s="81"/>
      <c r="AP269" s="82"/>
      <c r="AQ269" s="82"/>
      <c r="AR269" s="82"/>
      <c r="AS269" s="82"/>
      <c r="AT269" s="82"/>
      <c r="AU269" s="82"/>
      <c r="AV269" s="82"/>
      <c r="AW269" s="82"/>
      <c r="AX269" s="82"/>
      <c r="AY269" s="81"/>
      <c r="AZ269" s="82"/>
      <c r="BA269" s="82"/>
      <c r="BB269" s="82"/>
      <c r="BC269" s="82"/>
      <c r="BD269" s="82"/>
      <c r="BE269" s="82"/>
      <c r="BF269" s="82"/>
      <c r="BG269" s="82"/>
      <c r="BH269" s="82"/>
      <c r="BI269" s="82"/>
    </row>
    <row r="270">
      <c r="K270" s="79"/>
      <c r="U270" s="79"/>
      <c r="AE270" s="79"/>
      <c r="AF270" s="82"/>
      <c r="AG270" s="82"/>
      <c r="AH270" s="82"/>
      <c r="AI270" s="82"/>
      <c r="AJ270" s="82"/>
      <c r="AK270" s="82"/>
      <c r="AL270" s="82"/>
      <c r="AM270" s="82"/>
      <c r="AN270" s="82"/>
      <c r="AO270" s="81"/>
      <c r="AP270" s="82"/>
      <c r="AQ270" s="82"/>
      <c r="AR270" s="82"/>
      <c r="AS270" s="82"/>
      <c r="AT270" s="82"/>
      <c r="AU270" s="82"/>
      <c r="AV270" s="82"/>
      <c r="AW270" s="82"/>
      <c r="AX270" s="82"/>
      <c r="AY270" s="81"/>
      <c r="AZ270" s="82"/>
      <c r="BA270" s="82"/>
      <c r="BB270" s="82"/>
      <c r="BC270" s="82"/>
      <c r="BD270" s="82"/>
      <c r="BE270" s="82"/>
      <c r="BF270" s="82"/>
      <c r="BG270" s="82"/>
      <c r="BH270" s="82"/>
      <c r="BI270" s="82"/>
    </row>
    <row r="271">
      <c r="K271" s="79"/>
      <c r="U271" s="79"/>
      <c r="AE271" s="79"/>
      <c r="AF271" s="82"/>
      <c r="AG271" s="82"/>
      <c r="AH271" s="82"/>
      <c r="AI271" s="82"/>
      <c r="AJ271" s="82"/>
      <c r="AK271" s="82"/>
      <c r="AL271" s="82"/>
      <c r="AM271" s="82"/>
      <c r="AN271" s="82"/>
      <c r="AO271" s="81"/>
      <c r="AP271" s="82"/>
      <c r="AQ271" s="82"/>
      <c r="AR271" s="82"/>
      <c r="AS271" s="82"/>
      <c r="AT271" s="82"/>
      <c r="AU271" s="82"/>
      <c r="AV271" s="82"/>
      <c r="AW271" s="82"/>
      <c r="AX271" s="82"/>
      <c r="AY271" s="81"/>
      <c r="AZ271" s="82"/>
      <c r="BA271" s="82"/>
      <c r="BB271" s="82"/>
      <c r="BC271" s="82"/>
      <c r="BD271" s="82"/>
      <c r="BE271" s="82"/>
      <c r="BF271" s="82"/>
      <c r="BG271" s="82"/>
      <c r="BH271" s="82"/>
      <c r="BI271" s="82"/>
    </row>
    <row r="272">
      <c r="K272" s="79"/>
      <c r="U272" s="79"/>
      <c r="AE272" s="79"/>
      <c r="AF272" s="82"/>
      <c r="AG272" s="82"/>
      <c r="AH272" s="82"/>
      <c r="AI272" s="82"/>
      <c r="AJ272" s="82"/>
      <c r="AK272" s="82"/>
      <c r="AL272" s="82"/>
      <c r="AM272" s="82"/>
      <c r="AN272" s="82"/>
      <c r="AO272" s="81"/>
      <c r="AP272" s="82"/>
      <c r="AQ272" s="82"/>
      <c r="AR272" s="82"/>
      <c r="AS272" s="82"/>
      <c r="AT272" s="82"/>
      <c r="AU272" s="82"/>
      <c r="AV272" s="82"/>
      <c r="AW272" s="82"/>
      <c r="AX272" s="82"/>
      <c r="AY272" s="81"/>
      <c r="AZ272" s="82"/>
      <c r="BA272" s="82"/>
      <c r="BB272" s="82"/>
      <c r="BC272" s="82"/>
      <c r="BD272" s="82"/>
      <c r="BE272" s="82"/>
      <c r="BF272" s="82"/>
      <c r="BG272" s="82"/>
      <c r="BH272" s="82"/>
      <c r="BI272" s="82"/>
    </row>
    <row r="273">
      <c r="K273" s="79"/>
      <c r="U273" s="79"/>
      <c r="AE273" s="79"/>
      <c r="AF273" s="82"/>
      <c r="AG273" s="82"/>
      <c r="AH273" s="82"/>
      <c r="AI273" s="82"/>
      <c r="AJ273" s="82"/>
      <c r="AK273" s="82"/>
      <c r="AL273" s="82"/>
      <c r="AM273" s="82"/>
      <c r="AN273" s="82"/>
      <c r="AO273" s="81"/>
      <c r="AP273" s="82"/>
      <c r="AQ273" s="82"/>
      <c r="AR273" s="82"/>
      <c r="AS273" s="82"/>
      <c r="AT273" s="82"/>
      <c r="AU273" s="82"/>
      <c r="AV273" s="82"/>
      <c r="AW273" s="82"/>
      <c r="AX273" s="82"/>
      <c r="AY273" s="81"/>
      <c r="AZ273" s="82"/>
      <c r="BA273" s="82"/>
      <c r="BB273" s="82"/>
      <c r="BC273" s="82"/>
      <c r="BD273" s="82"/>
      <c r="BE273" s="82"/>
      <c r="BF273" s="82"/>
      <c r="BG273" s="82"/>
      <c r="BH273" s="82"/>
      <c r="BI273" s="82"/>
    </row>
    <row r="274">
      <c r="K274" s="79"/>
      <c r="U274" s="79"/>
      <c r="AE274" s="79"/>
      <c r="AF274" s="82"/>
      <c r="AG274" s="82"/>
      <c r="AH274" s="82"/>
      <c r="AI274" s="82"/>
      <c r="AJ274" s="82"/>
      <c r="AK274" s="82"/>
      <c r="AL274" s="82"/>
      <c r="AM274" s="82"/>
      <c r="AN274" s="82"/>
      <c r="AO274" s="81"/>
      <c r="AP274" s="82"/>
      <c r="AQ274" s="82"/>
      <c r="AR274" s="82"/>
      <c r="AS274" s="82"/>
      <c r="AT274" s="82"/>
      <c r="AU274" s="82"/>
      <c r="AV274" s="82"/>
      <c r="AW274" s="82"/>
      <c r="AX274" s="82"/>
      <c r="AY274" s="81"/>
      <c r="AZ274" s="82"/>
      <c r="BA274" s="82"/>
      <c r="BB274" s="82"/>
      <c r="BC274" s="82"/>
      <c r="BD274" s="82"/>
      <c r="BE274" s="82"/>
      <c r="BF274" s="82"/>
      <c r="BG274" s="82"/>
      <c r="BH274" s="82"/>
      <c r="BI274" s="82"/>
    </row>
    <row r="275">
      <c r="K275" s="79"/>
      <c r="U275" s="79"/>
      <c r="AE275" s="79"/>
      <c r="AF275" s="82"/>
      <c r="AG275" s="82"/>
      <c r="AH275" s="82"/>
      <c r="AI275" s="82"/>
      <c r="AJ275" s="82"/>
      <c r="AK275" s="82"/>
      <c r="AL275" s="82"/>
      <c r="AM275" s="82"/>
      <c r="AN275" s="82"/>
      <c r="AO275" s="81"/>
      <c r="AP275" s="82"/>
      <c r="AQ275" s="82"/>
      <c r="AR275" s="82"/>
      <c r="AS275" s="82"/>
      <c r="AT275" s="82"/>
      <c r="AU275" s="82"/>
      <c r="AV275" s="82"/>
      <c r="AW275" s="82"/>
      <c r="AX275" s="82"/>
      <c r="AY275" s="81"/>
      <c r="AZ275" s="82"/>
      <c r="BA275" s="82"/>
      <c r="BB275" s="82"/>
      <c r="BC275" s="82"/>
      <c r="BD275" s="82"/>
      <c r="BE275" s="82"/>
      <c r="BF275" s="82"/>
      <c r="BG275" s="82"/>
      <c r="BH275" s="82"/>
      <c r="BI275" s="82"/>
    </row>
    <row r="276">
      <c r="K276" s="79"/>
      <c r="U276" s="79"/>
      <c r="AE276" s="79"/>
      <c r="AF276" s="82"/>
      <c r="AG276" s="82"/>
      <c r="AH276" s="82"/>
      <c r="AI276" s="82"/>
      <c r="AJ276" s="82"/>
      <c r="AK276" s="82"/>
      <c r="AL276" s="82"/>
      <c r="AM276" s="82"/>
      <c r="AN276" s="82"/>
      <c r="AO276" s="81"/>
      <c r="AP276" s="82"/>
      <c r="AQ276" s="82"/>
      <c r="AR276" s="82"/>
      <c r="AS276" s="82"/>
      <c r="AT276" s="82"/>
      <c r="AU276" s="82"/>
      <c r="AV276" s="82"/>
      <c r="AW276" s="82"/>
      <c r="AX276" s="82"/>
      <c r="AY276" s="81"/>
      <c r="AZ276" s="82"/>
      <c r="BA276" s="82"/>
      <c r="BB276" s="82"/>
      <c r="BC276" s="82"/>
      <c r="BD276" s="82"/>
      <c r="BE276" s="82"/>
      <c r="BF276" s="82"/>
      <c r="BG276" s="82"/>
      <c r="BH276" s="82"/>
      <c r="BI276" s="82"/>
    </row>
    <row r="277">
      <c r="K277" s="79"/>
      <c r="U277" s="79"/>
      <c r="AE277" s="79"/>
      <c r="AF277" s="82"/>
      <c r="AG277" s="82"/>
      <c r="AH277" s="82"/>
      <c r="AI277" s="82"/>
      <c r="AJ277" s="82"/>
      <c r="AK277" s="82"/>
      <c r="AL277" s="82"/>
      <c r="AM277" s="82"/>
      <c r="AN277" s="82"/>
      <c r="AO277" s="81"/>
      <c r="AP277" s="82"/>
      <c r="AQ277" s="82"/>
      <c r="AR277" s="82"/>
      <c r="AS277" s="82"/>
      <c r="AT277" s="82"/>
      <c r="AU277" s="82"/>
      <c r="AV277" s="82"/>
      <c r="AW277" s="82"/>
      <c r="AX277" s="82"/>
      <c r="AY277" s="81"/>
      <c r="AZ277" s="82"/>
      <c r="BA277" s="82"/>
      <c r="BB277" s="82"/>
      <c r="BC277" s="82"/>
      <c r="BD277" s="82"/>
      <c r="BE277" s="82"/>
      <c r="BF277" s="82"/>
      <c r="BG277" s="82"/>
      <c r="BH277" s="82"/>
      <c r="BI277" s="82"/>
    </row>
    <row r="278">
      <c r="K278" s="79"/>
      <c r="U278" s="79"/>
      <c r="AE278" s="79"/>
      <c r="AF278" s="82"/>
      <c r="AG278" s="82"/>
      <c r="AH278" s="82"/>
      <c r="AI278" s="82"/>
      <c r="AJ278" s="82"/>
      <c r="AK278" s="82"/>
      <c r="AL278" s="82"/>
      <c r="AM278" s="82"/>
      <c r="AN278" s="82"/>
      <c r="AO278" s="81"/>
      <c r="AP278" s="82"/>
      <c r="AQ278" s="82"/>
      <c r="AR278" s="82"/>
      <c r="AS278" s="82"/>
      <c r="AT278" s="82"/>
      <c r="AU278" s="82"/>
      <c r="AV278" s="82"/>
      <c r="AW278" s="82"/>
      <c r="AX278" s="82"/>
      <c r="AY278" s="81"/>
      <c r="AZ278" s="82"/>
      <c r="BA278" s="82"/>
      <c r="BB278" s="82"/>
      <c r="BC278" s="82"/>
      <c r="BD278" s="82"/>
      <c r="BE278" s="82"/>
      <c r="BF278" s="82"/>
      <c r="BG278" s="82"/>
      <c r="BH278" s="82"/>
      <c r="BI278" s="82"/>
    </row>
    <row r="279">
      <c r="K279" s="79"/>
      <c r="U279" s="79"/>
      <c r="AE279" s="79"/>
      <c r="AF279" s="82"/>
      <c r="AG279" s="82"/>
      <c r="AH279" s="82"/>
      <c r="AI279" s="82"/>
      <c r="AJ279" s="82"/>
      <c r="AK279" s="82"/>
      <c r="AL279" s="82"/>
      <c r="AM279" s="82"/>
      <c r="AN279" s="82"/>
      <c r="AO279" s="81"/>
      <c r="AP279" s="82"/>
      <c r="AQ279" s="82"/>
      <c r="AR279" s="82"/>
      <c r="AS279" s="82"/>
      <c r="AT279" s="82"/>
      <c r="AU279" s="82"/>
      <c r="AV279" s="82"/>
      <c r="AW279" s="82"/>
      <c r="AX279" s="82"/>
      <c r="AY279" s="81"/>
      <c r="AZ279" s="82"/>
      <c r="BA279" s="82"/>
      <c r="BB279" s="82"/>
      <c r="BC279" s="82"/>
      <c r="BD279" s="82"/>
      <c r="BE279" s="82"/>
      <c r="BF279" s="82"/>
      <c r="BG279" s="82"/>
      <c r="BH279" s="82"/>
      <c r="BI279" s="82"/>
    </row>
    <row r="280">
      <c r="K280" s="79"/>
      <c r="U280" s="79"/>
      <c r="AE280" s="79"/>
      <c r="AF280" s="82"/>
      <c r="AG280" s="82"/>
      <c r="AH280" s="82"/>
      <c r="AI280" s="82"/>
      <c r="AJ280" s="82"/>
      <c r="AK280" s="82"/>
      <c r="AL280" s="82"/>
      <c r="AM280" s="82"/>
      <c r="AN280" s="82"/>
      <c r="AO280" s="81"/>
      <c r="AP280" s="82"/>
      <c r="AQ280" s="82"/>
      <c r="AR280" s="82"/>
      <c r="AS280" s="82"/>
      <c r="AT280" s="82"/>
      <c r="AU280" s="82"/>
      <c r="AV280" s="82"/>
      <c r="AW280" s="82"/>
      <c r="AX280" s="82"/>
      <c r="AY280" s="81"/>
      <c r="AZ280" s="82"/>
      <c r="BA280" s="82"/>
      <c r="BB280" s="82"/>
      <c r="BC280" s="82"/>
      <c r="BD280" s="82"/>
      <c r="BE280" s="82"/>
      <c r="BF280" s="82"/>
      <c r="BG280" s="82"/>
      <c r="BH280" s="82"/>
      <c r="BI280" s="82"/>
    </row>
    <row r="281">
      <c r="K281" s="79"/>
      <c r="U281" s="79"/>
      <c r="AE281" s="79"/>
      <c r="AF281" s="82"/>
      <c r="AG281" s="82"/>
      <c r="AH281" s="82"/>
      <c r="AI281" s="82"/>
      <c r="AJ281" s="82"/>
      <c r="AK281" s="82"/>
      <c r="AL281" s="82"/>
      <c r="AM281" s="82"/>
      <c r="AN281" s="82"/>
      <c r="AO281" s="81"/>
      <c r="AP281" s="82"/>
      <c r="AQ281" s="82"/>
      <c r="AR281" s="82"/>
      <c r="AS281" s="82"/>
      <c r="AT281" s="82"/>
      <c r="AU281" s="82"/>
      <c r="AV281" s="82"/>
      <c r="AW281" s="82"/>
      <c r="AX281" s="82"/>
      <c r="AY281" s="81"/>
      <c r="AZ281" s="82"/>
      <c r="BA281" s="82"/>
      <c r="BB281" s="82"/>
      <c r="BC281" s="82"/>
      <c r="BD281" s="82"/>
      <c r="BE281" s="82"/>
      <c r="BF281" s="82"/>
      <c r="BG281" s="82"/>
      <c r="BH281" s="82"/>
      <c r="BI281" s="82"/>
    </row>
    <row r="282">
      <c r="K282" s="79"/>
      <c r="U282" s="79"/>
      <c r="AE282" s="79"/>
      <c r="AF282" s="82"/>
      <c r="AG282" s="82"/>
      <c r="AH282" s="82"/>
      <c r="AI282" s="82"/>
      <c r="AJ282" s="82"/>
      <c r="AK282" s="82"/>
      <c r="AL282" s="82"/>
      <c r="AM282" s="82"/>
      <c r="AN282" s="82"/>
      <c r="AO282" s="81"/>
      <c r="AP282" s="82"/>
      <c r="AQ282" s="82"/>
      <c r="AR282" s="82"/>
      <c r="AS282" s="82"/>
      <c r="AT282" s="82"/>
      <c r="AU282" s="82"/>
      <c r="AV282" s="82"/>
      <c r="AW282" s="82"/>
      <c r="AX282" s="82"/>
      <c r="AY282" s="81"/>
      <c r="AZ282" s="82"/>
      <c r="BA282" s="82"/>
      <c r="BB282" s="82"/>
      <c r="BC282" s="82"/>
      <c r="BD282" s="82"/>
      <c r="BE282" s="82"/>
      <c r="BF282" s="82"/>
      <c r="BG282" s="82"/>
      <c r="BH282" s="82"/>
      <c r="BI282" s="82"/>
    </row>
    <row r="283">
      <c r="K283" s="79"/>
      <c r="U283" s="79"/>
      <c r="AE283" s="79"/>
      <c r="AF283" s="82"/>
      <c r="AG283" s="82"/>
      <c r="AH283" s="82"/>
      <c r="AI283" s="82"/>
      <c r="AJ283" s="82"/>
      <c r="AK283" s="82"/>
      <c r="AL283" s="82"/>
      <c r="AM283" s="82"/>
      <c r="AN283" s="82"/>
      <c r="AO283" s="81"/>
      <c r="AP283" s="82"/>
      <c r="AQ283" s="82"/>
      <c r="AR283" s="82"/>
      <c r="AS283" s="82"/>
      <c r="AT283" s="82"/>
      <c r="AU283" s="82"/>
      <c r="AV283" s="82"/>
      <c r="AW283" s="82"/>
      <c r="AX283" s="82"/>
      <c r="AY283" s="81"/>
      <c r="AZ283" s="82"/>
      <c r="BA283" s="82"/>
      <c r="BB283" s="82"/>
      <c r="BC283" s="82"/>
      <c r="BD283" s="82"/>
      <c r="BE283" s="82"/>
      <c r="BF283" s="82"/>
      <c r="BG283" s="82"/>
      <c r="BH283" s="82"/>
      <c r="BI283" s="82"/>
    </row>
    <row r="284">
      <c r="K284" s="79"/>
      <c r="U284" s="79"/>
      <c r="AE284" s="79"/>
      <c r="AF284" s="82"/>
      <c r="AG284" s="82"/>
      <c r="AH284" s="82"/>
      <c r="AI284" s="82"/>
      <c r="AJ284" s="82"/>
      <c r="AK284" s="82"/>
      <c r="AL284" s="82"/>
      <c r="AM284" s="82"/>
      <c r="AN284" s="82"/>
      <c r="AO284" s="81"/>
      <c r="AP284" s="82"/>
      <c r="AQ284" s="82"/>
      <c r="AR284" s="82"/>
      <c r="AS284" s="82"/>
      <c r="AT284" s="82"/>
      <c r="AU284" s="82"/>
      <c r="AV284" s="82"/>
      <c r="AW284" s="82"/>
      <c r="AX284" s="82"/>
      <c r="AY284" s="81"/>
      <c r="AZ284" s="82"/>
      <c r="BA284" s="82"/>
      <c r="BB284" s="82"/>
      <c r="BC284" s="82"/>
      <c r="BD284" s="82"/>
      <c r="BE284" s="82"/>
      <c r="BF284" s="82"/>
      <c r="BG284" s="82"/>
      <c r="BH284" s="82"/>
      <c r="BI284" s="82"/>
    </row>
    <row r="285">
      <c r="K285" s="79"/>
      <c r="U285" s="79"/>
      <c r="AE285" s="79"/>
      <c r="AF285" s="82"/>
      <c r="AG285" s="82"/>
      <c r="AH285" s="82"/>
      <c r="AI285" s="82"/>
      <c r="AJ285" s="82"/>
      <c r="AK285" s="82"/>
      <c r="AL285" s="82"/>
      <c r="AM285" s="82"/>
      <c r="AN285" s="82"/>
      <c r="AO285" s="81"/>
      <c r="AP285" s="82"/>
      <c r="AQ285" s="82"/>
      <c r="AR285" s="82"/>
      <c r="AS285" s="82"/>
      <c r="AT285" s="82"/>
      <c r="AU285" s="82"/>
      <c r="AV285" s="82"/>
      <c r="AW285" s="82"/>
      <c r="AX285" s="82"/>
      <c r="AY285" s="81"/>
      <c r="AZ285" s="82"/>
      <c r="BA285" s="82"/>
      <c r="BB285" s="82"/>
      <c r="BC285" s="82"/>
      <c r="BD285" s="82"/>
      <c r="BE285" s="82"/>
      <c r="BF285" s="82"/>
      <c r="BG285" s="82"/>
      <c r="BH285" s="82"/>
      <c r="BI285" s="82"/>
    </row>
    <row r="286">
      <c r="K286" s="79"/>
      <c r="U286" s="79"/>
      <c r="AE286" s="79"/>
      <c r="AF286" s="82"/>
      <c r="AG286" s="82"/>
      <c r="AH286" s="82"/>
      <c r="AI286" s="82"/>
      <c r="AJ286" s="82"/>
      <c r="AK286" s="82"/>
      <c r="AL286" s="82"/>
      <c r="AM286" s="82"/>
      <c r="AN286" s="82"/>
      <c r="AO286" s="81"/>
      <c r="AP286" s="82"/>
      <c r="AQ286" s="82"/>
      <c r="AR286" s="82"/>
      <c r="AS286" s="82"/>
      <c r="AT286" s="82"/>
      <c r="AU286" s="82"/>
      <c r="AV286" s="82"/>
      <c r="AW286" s="82"/>
      <c r="AX286" s="82"/>
      <c r="AY286" s="81"/>
      <c r="AZ286" s="82"/>
      <c r="BA286" s="82"/>
      <c r="BB286" s="82"/>
      <c r="BC286" s="82"/>
      <c r="BD286" s="82"/>
      <c r="BE286" s="82"/>
      <c r="BF286" s="82"/>
      <c r="BG286" s="82"/>
      <c r="BH286" s="82"/>
      <c r="BI286" s="82"/>
    </row>
    <row r="287">
      <c r="K287" s="79"/>
      <c r="U287" s="79"/>
      <c r="AE287" s="79"/>
      <c r="AF287" s="82"/>
      <c r="AG287" s="82"/>
      <c r="AH287" s="82"/>
      <c r="AI287" s="82"/>
      <c r="AJ287" s="82"/>
      <c r="AK287" s="82"/>
      <c r="AL287" s="82"/>
      <c r="AM287" s="82"/>
      <c r="AN287" s="82"/>
      <c r="AO287" s="81"/>
      <c r="AP287" s="82"/>
      <c r="AQ287" s="82"/>
      <c r="AR287" s="82"/>
      <c r="AS287" s="82"/>
      <c r="AT287" s="82"/>
      <c r="AU287" s="82"/>
      <c r="AV287" s="82"/>
      <c r="AW287" s="82"/>
      <c r="AX287" s="82"/>
      <c r="AY287" s="81"/>
      <c r="AZ287" s="82"/>
      <c r="BA287" s="82"/>
      <c r="BB287" s="82"/>
      <c r="BC287" s="82"/>
      <c r="BD287" s="82"/>
      <c r="BE287" s="82"/>
      <c r="BF287" s="82"/>
      <c r="BG287" s="82"/>
      <c r="BH287" s="82"/>
      <c r="BI287" s="82"/>
    </row>
    <row r="288">
      <c r="K288" s="79"/>
      <c r="U288" s="79"/>
      <c r="AE288" s="79"/>
      <c r="AF288" s="82"/>
      <c r="AG288" s="82"/>
      <c r="AH288" s="82"/>
      <c r="AI288" s="82"/>
      <c r="AJ288" s="82"/>
      <c r="AK288" s="82"/>
      <c r="AL288" s="82"/>
      <c r="AM288" s="82"/>
      <c r="AN288" s="82"/>
      <c r="AO288" s="81"/>
      <c r="AP288" s="82"/>
      <c r="AQ288" s="82"/>
      <c r="AR288" s="82"/>
      <c r="AS288" s="82"/>
      <c r="AT288" s="82"/>
      <c r="AU288" s="82"/>
      <c r="AV288" s="82"/>
      <c r="AW288" s="82"/>
      <c r="AX288" s="82"/>
      <c r="AY288" s="81"/>
      <c r="AZ288" s="82"/>
      <c r="BA288" s="82"/>
      <c r="BB288" s="82"/>
      <c r="BC288" s="82"/>
      <c r="BD288" s="82"/>
      <c r="BE288" s="82"/>
      <c r="BF288" s="82"/>
      <c r="BG288" s="82"/>
      <c r="BH288" s="82"/>
      <c r="BI288" s="82"/>
    </row>
    <row r="289">
      <c r="K289" s="79"/>
      <c r="U289" s="79"/>
      <c r="AE289" s="79"/>
      <c r="AF289" s="82"/>
      <c r="AG289" s="82"/>
      <c r="AH289" s="82"/>
      <c r="AI289" s="82"/>
      <c r="AJ289" s="82"/>
      <c r="AK289" s="82"/>
      <c r="AL289" s="82"/>
      <c r="AM289" s="82"/>
      <c r="AN289" s="82"/>
      <c r="AO289" s="81"/>
      <c r="AP289" s="82"/>
      <c r="AQ289" s="82"/>
      <c r="AR289" s="82"/>
      <c r="AS289" s="82"/>
      <c r="AT289" s="82"/>
      <c r="AU289" s="82"/>
      <c r="AV289" s="82"/>
      <c r="AW289" s="82"/>
      <c r="AX289" s="82"/>
      <c r="AY289" s="81"/>
      <c r="AZ289" s="82"/>
      <c r="BA289" s="82"/>
      <c r="BB289" s="82"/>
      <c r="BC289" s="82"/>
      <c r="BD289" s="82"/>
      <c r="BE289" s="82"/>
      <c r="BF289" s="82"/>
      <c r="BG289" s="82"/>
      <c r="BH289" s="82"/>
      <c r="BI289" s="82"/>
    </row>
    <row r="290">
      <c r="K290" s="79"/>
      <c r="U290" s="79"/>
      <c r="AE290" s="79"/>
      <c r="AF290" s="82"/>
      <c r="AG290" s="82"/>
      <c r="AH290" s="82"/>
      <c r="AI290" s="82"/>
      <c r="AJ290" s="82"/>
      <c r="AK290" s="82"/>
      <c r="AL290" s="82"/>
      <c r="AM290" s="82"/>
      <c r="AN290" s="82"/>
      <c r="AO290" s="81"/>
      <c r="AP290" s="82"/>
      <c r="AQ290" s="82"/>
      <c r="AR290" s="82"/>
      <c r="AS290" s="82"/>
      <c r="AT290" s="82"/>
      <c r="AU290" s="82"/>
      <c r="AV290" s="82"/>
      <c r="AW290" s="82"/>
      <c r="AX290" s="82"/>
      <c r="AY290" s="81"/>
      <c r="AZ290" s="82"/>
      <c r="BA290" s="82"/>
      <c r="BB290" s="82"/>
      <c r="BC290" s="82"/>
      <c r="BD290" s="82"/>
      <c r="BE290" s="82"/>
      <c r="BF290" s="82"/>
      <c r="BG290" s="82"/>
      <c r="BH290" s="82"/>
      <c r="BI290" s="82"/>
    </row>
    <row r="291">
      <c r="K291" s="79"/>
      <c r="U291" s="79"/>
      <c r="AE291" s="79"/>
      <c r="AF291" s="82"/>
      <c r="AG291" s="82"/>
      <c r="AH291" s="82"/>
      <c r="AI291" s="82"/>
      <c r="AJ291" s="82"/>
      <c r="AK291" s="82"/>
      <c r="AL291" s="82"/>
      <c r="AM291" s="82"/>
      <c r="AN291" s="82"/>
      <c r="AO291" s="81"/>
      <c r="AP291" s="82"/>
      <c r="AQ291" s="82"/>
      <c r="AR291" s="82"/>
      <c r="AS291" s="82"/>
      <c r="AT291" s="82"/>
      <c r="AU291" s="82"/>
      <c r="AV291" s="82"/>
      <c r="AW291" s="82"/>
      <c r="AX291" s="82"/>
      <c r="AY291" s="81"/>
      <c r="AZ291" s="82"/>
      <c r="BA291" s="82"/>
      <c r="BB291" s="82"/>
      <c r="BC291" s="82"/>
      <c r="BD291" s="82"/>
      <c r="BE291" s="82"/>
      <c r="BF291" s="82"/>
      <c r="BG291" s="82"/>
      <c r="BH291" s="82"/>
      <c r="BI291" s="82"/>
    </row>
    <row r="292">
      <c r="K292" s="79"/>
      <c r="U292" s="79"/>
      <c r="AE292" s="79"/>
      <c r="AF292" s="82"/>
      <c r="AG292" s="82"/>
      <c r="AH292" s="82"/>
      <c r="AI292" s="82"/>
      <c r="AJ292" s="82"/>
      <c r="AK292" s="82"/>
      <c r="AL292" s="82"/>
      <c r="AM292" s="82"/>
      <c r="AN292" s="82"/>
      <c r="AO292" s="81"/>
      <c r="AP292" s="82"/>
      <c r="AQ292" s="82"/>
      <c r="AR292" s="82"/>
      <c r="AS292" s="82"/>
      <c r="AT292" s="82"/>
      <c r="AU292" s="82"/>
      <c r="AV292" s="82"/>
      <c r="AW292" s="82"/>
      <c r="AX292" s="82"/>
      <c r="AY292" s="81"/>
      <c r="AZ292" s="82"/>
      <c r="BA292" s="82"/>
      <c r="BB292" s="82"/>
      <c r="BC292" s="82"/>
      <c r="BD292" s="82"/>
      <c r="BE292" s="82"/>
      <c r="BF292" s="82"/>
      <c r="BG292" s="82"/>
      <c r="BH292" s="82"/>
      <c r="BI292" s="82"/>
    </row>
    <row r="293">
      <c r="K293" s="79"/>
      <c r="U293" s="79"/>
      <c r="AE293" s="79"/>
      <c r="AF293" s="82"/>
      <c r="AG293" s="82"/>
      <c r="AH293" s="82"/>
      <c r="AI293" s="82"/>
      <c r="AJ293" s="82"/>
      <c r="AK293" s="82"/>
      <c r="AL293" s="82"/>
      <c r="AM293" s="82"/>
      <c r="AN293" s="82"/>
      <c r="AO293" s="81"/>
      <c r="AP293" s="82"/>
      <c r="AQ293" s="82"/>
      <c r="AR293" s="82"/>
      <c r="AS293" s="82"/>
      <c r="AT293" s="82"/>
      <c r="AU293" s="82"/>
      <c r="AV293" s="82"/>
      <c r="AW293" s="82"/>
      <c r="AX293" s="82"/>
      <c r="AY293" s="81"/>
      <c r="AZ293" s="82"/>
      <c r="BA293" s="82"/>
      <c r="BB293" s="82"/>
      <c r="BC293" s="82"/>
      <c r="BD293" s="82"/>
      <c r="BE293" s="82"/>
      <c r="BF293" s="82"/>
      <c r="BG293" s="82"/>
      <c r="BH293" s="82"/>
      <c r="BI293" s="82"/>
    </row>
    <row r="294">
      <c r="K294" s="79"/>
      <c r="U294" s="79"/>
      <c r="AE294" s="79"/>
      <c r="AF294" s="82"/>
      <c r="AG294" s="82"/>
      <c r="AH294" s="82"/>
      <c r="AI294" s="82"/>
      <c r="AJ294" s="82"/>
      <c r="AK294" s="82"/>
      <c r="AL294" s="82"/>
      <c r="AM294" s="82"/>
      <c r="AN294" s="82"/>
      <c r="AO294" s="81"/>
      <c r="AP294" s="82"/>
      <c r="AQ294" s="82"/>
      <c r="AR294" s="82"/>
      <c r="AS294" s="82"/>
      <c r="AT294" s="82"/>
      <c r="AU294" s="82"/>
      <c r="AV294" s="82"/>
      <c r="AW294" s="82"/>
      <c r="AX294" s="82"/>
      <c r="AY294" s="81"/>
      <c r="AZ294" s="82"/>
      <c r="BA294" s="82"/>
      <c r="BB294" s="82"/>
      <c r="BC294" s="82"/>
      <c r="BD294" s="82"/>
      <c r="BE294" s="82"/>
      <c r="BF294" s="82"/>
      <c r="BG294" s="82"/>
      <c r="BH294" s="82"/>
      <c r="BI294" s="82"/>
    </row>
    <row r="295">
      <c r="K295" s="79"/>
      <c r="U295" s="79"/>
      <c r="AE295" s="79"/>
      <c r="AF295" s="82"/>
      <c r="AG295" s="82"/>
      <c r="AH295" s="82"/>
      <c r="AI295" s="82"/>
      <c r="AJ295" s="82"/>
      <c r="AK295" s="82"/>
      <c r="AL295" s="82"/>
      <c r="AM295" s="82"/>
      <c r="AN295" s="82"/>
      <c r="AO295" s="81"/>
      <c r="AP295" s="82"/>
      <c r="AQ295" s="82"/>
      <c r="AR295" s="82"/>
      <c r="AS295" s="82"/>
      <c r="AT295" s="82"/>
      <c r="AU295" s="82"/>
      <c r="AV295" s="82"/>
      <c r="AW295" s="82"/>
      <c r="AX295" s="82"/>
      <c r="AY295" s="81"/>
      <c r="AZ295" s="82"/>
      <c r="BA295" s="82"/>
      <c r="BB295" s="82"/>
      <c r="BC295" s="82"/>
      <c r="BD295" s="82"/>
      <c r="BE295" s="82"/>
      <c r="BF295" s="82"/>
      <c r="BG295" s="82"/>
      <c r="BH295" s="82"/>
      <c r="BI295" s="82"/>
    </row>
    <row r="296">
      <c r="K296" s="79"/>
      <c r="U296" s="79"/>
      <c r="AE296" s="79"/>
      <c r="AF296" s="82"/>
      <c r="AG296" s="82"/>
      <c r="AH296" s="82"/>
      <c r="AI296" s="82"/>
      <c r="AJ296" s="82"/>
      <c r="AK296" s="82"/>
      <c r="AL296" s="82"/>
      <c r="AM296" s="82"/>
      <c r="AN296" s="82"/>
      <c r="AO296" s="81"/>
      <c r="AP296" s="82"/>
      <c r="AQ296" s="82"/>
      <c r="AR296" s="82"/>
      <c r="AS296" s="82"/>
      <c r="AT296" s="82"/>
      <c r="AU296" s="82"/>
      <c r="AV296" s="82"/>
      <c r="AW296" s="82"/>
      <c r="AX296" s="82"/>
      <c r="AY296" s="81"/>
      <c r="AZ296" s="82"/>
      <c r="BA296" s="82"/>
      <c r="BB296" s="82"/>
      <c r="BC296" s="82"/>
      <c r="BD296" s="82"/>
      <c r="BE296" s="82"/>
      <c r="BF296" s="82"/>
      <c r="BG296" s="82"/>
      <c r="BH296" s="82"/>
      <c r="BI296" s="82"/>
    </row>
    <row r="297">
      <c r="K297" s="79"/>
      <c r="U297" s="79"/>
      <c r="AE297" s="79"/>
      <c r="AF297" s="82"/>
      <c r="AG297" s="82"/>
      <c r="AH297" s="82"/>
      <c r="AI297" s="82"/>
      <c r="AJ297" s="82"/>
      <c r="AK297" s="82"/>
      <c r="AL297" s="82"/>
      <c r="AM297" s="82"/>
      <c r="AN297" s="82"/>
      <c r="AO297" s="81"/>
      <c r="AP297" s="82"/>
      <c r="AQ297" s="82"/>
      <c r="AR297" s="82"/>
      <c r="AS297" s="82"/>
      <c r="AT297" s="82"/>
      <c r="AU297" s="82"/>
      <c r="AV297" s="82"/>
      <c r="AW297" s="82"/>
      <c r="AX297" s="82"/>
      <c r="AY297" s="81"/>
      <c r="AZ297" s="82"/>
      <c r="BA297" s="82"/>
      <c r="BB297" s="82"/>
      <c r="BC297" s="82"/>
      <c r="BD297" s="82"/>
      <c r="BE297" s="82"/>
      <c r="BF297" s="82"/>
      <c r="BG297" s="82"/>
      <c r="BH297" s="82"/>
      <c r="BI297" s="82"/>
    </row>
    <row r="298">
      <c r="K298" s="79"/>
      <c r="U298" s="79"/>
      <c r="AE298" s="79"/>
      <c r="AF298" s="82"/>
      <c r="AG298" s="82"/>
      <c r="AH298" s="82"/>
      <c r="AI298" s="82"/>
      <c r="AJ298" s="82"/>
      <c r="AK298" s="82"/>
      <c r="AL298" s="82"/>
      <c r="AM298" s="82"/>
      <c r="AN298" s="82"/>
      <c r="AO298" s="81"/>
      <c r="AP298" s="82"/>
      <c r="AQ298" s="82"/>
      <c r="AR298" s="82"/>
      <c r="AS298" s="82"/>
      <c r="AT298" s="82"/>
      <c r="AU298" s="82"/>
      <c r="AV298" s="82"/>
      <c r="AW298" s="82"/>
      <c r="AX298" s="82"/>
      <c r="AY298" s="81"/>
      <c r="AZ298" s="82"/>
      <c r="BA298" s="82"/>
      <c r="BB298" s="82"/>
      <c r="BC298" s="82"/>
      <c r="BD298" s="82"/>
      <c r="BE298" s="82"/>
      <c r="BF298" s="82"/>
      <c r="BG298" s="82"/>
      <c r="BH298" s="82"/>
      <c r="BI298" s="82"/>
    </row>
    <row r="299">
      <c r="K299" s="79"/>
      <c r="U299" s="79"/>
      <c r="AE299" s="79"/>
      <c r="AF299" s="82"/>
      <c r="AG299" s="82"/>
      <c r="AH299" s="82"/>
      <c r="AI299" s="82"/>
      <c r="AJ299" s="82"/>
      <c r="AK299" s="82"/>
      <c r="AL299" s="82"/>
      <c r="AM299" s="82"/>
      <c r="AN299" s="82"/>
      <c r="AO299" s="81"/>
      <c r="AP299" s="82"/>
      <c r="AQ299" s="82"/>
      <c r="AR299" s="82"/>
      <c r="AS299" s="82"/>
      <c r="AT299" s="82"/>
      <c r="AU299" s="82"/>
      <c r="AV299" s="82"/>
      <c r="AW299" s="82"/>
      <c r="AX299" s="82"/>
      <c r="AY299" s="81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</row>
    <row r="300">
      <c r="K300" s="79"/>
      <c r="U300" s="79"/>
      <c r="AE300" s="79"/>
      <c r="AF300" s="82"/>
      <c r="AG300" s="82"/>
      <c r="AH300" s="82"/>
      <c r="AI300" s="82"/>
      <c r="AJ300" s="82"/>
      <c r="AK300" s="82"/>
      <c r="AL300" s="82"/>
      <c r="AM300" s="82"/>
      <c r="AN300" s="82"/>
      <c r="AO300" s="81"/>
      <c r="AP300" s="82"/>
      <c r="AQ300" s="82"/>
      <c r="AR300" s="82"/>
      <c r="AS300" s="82"/>
      <c r="AT300" s="82"/>
      <c r="AU300" s="82"/>
      <c r="AV300" s="82"/>
      <c r="AW300" s="82"/>
      <c r="AX300" s="82"/>
      <c r="AY300" s="81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</row>
    <row r="301">
      <c r="K301" s="79"/>
      <c r="U301" s="79"/>
      <c r="AE301" s="79"/>
      <c r="AF301" s="82"/>
      <c r="AG301" s="82"/>
      <c r="AH301" s="82"/>
      <c r="AI301" s="82"/>
      <c r="AJ301" s="82"/>
      <c r="AK301" s="82"/>
      <c r="AL301" s="82"/>
      <c r="AM301" s="82"/>
      <c r="AN301" s="82"/>
      <c r="AO301" s="81"/>
      <c r="AP301" s="82"/>
      <c r="AQ301" s="82"/>
      <c r="AR301" s="82"/>
      <c r="AS301" s="82"/>
      <c r="AT301" s="82"/>
      <c r="AU301" s="82"/>
      <c r="AV301" s="82"/>
      <c r="AW301" s="82"/>
      <c r="AX301" s="82"/>
      <c r="AY301" s="81"/>
      <c r="AZ301" s="82"/>
      <c r="BA301" s="82"/>
      <c r="BB301" s="82"/>
      <c r="BC301" s="82"/>
      <c r="BD301" s="82"/>
      <c r="BE301" s="82"/>
      <c r="BF301" s="82"/>
      <c r="BG301" s="82"/>
      <c r="BH301" s="82"/>
      <c r="BI301" s="82"/>
    </row>
    <row r="302">
      <c r="K302" s="79"/>
      <c r="U302" s="79"/>
      <c r="AE302" s="79"/>
      <c r="AF302" s="82"/>
      <c r="AG302" s="82"/>
      <c r="AH302" s="82"/>
      <c r="AI302" s="82"/>
      <c r="AJ302" s="82"/>
      <c r="AK302" s="82"/>
      <c r="AL302" s="82"/>
      <c r="AM302" s="82"/>
      <c r="AN302" s="82"/>
      <c r="AO302" s="81"/>
      <c r="AP302" s="82"/>
      <c r="AQ302" s="82"/>
      <c r="AR302" s="82"/>
      <c r="AS302" s="82"/>
      <c r="AT302" s="82"/>
      <c r="AU302" s="82"/>
      <c r="AV302" s="82"/>
      <c r="AW302" s="82"/>
      <c r="AX302" s="82"/>
      <c r="AY302" s="81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</row>
    <row r="303">
      <c r="K303" s="79"/>
      <c r="U303" s="79"/>
      <c r="AE303" s="79"/>
      <c r="AF303" s="82"/>
      <c r="AG303" s="82"/>
      <c r="AH303" s="82"/>
      <c r="AI303" s="82"/>
      <c r="AJ303" s="82"/>
      <c r="AK303" s="82"/>
      <c r="AL303" s="82"/>
      <c r="AM303" s="82"/>
      <c r="AN303" s="82"/>
      <c r="AO303" s="81"/>
      <c r="AP303" s="82"/>
      <c r="AQ303" s="82"/>
      <c r="AR303" s="82"/>
      <c r="AS303" s="82"/>
      <c r="AT303" s="82"/>
      <c r="AU303" s="82"/>
      <c r="AV303" s="82"/>
      <c r="AW303" s="82"/>
      <c r="AX303" s="82"/>
      <c r="AY303" s="81"/>
      <c r="AZ303" s="82"/>
      <c r="BA303" s="82"/>
      <c r="BB303" s="82"/>
      <c r="BC303" s="82"/>
      <c r="BD303" s="82"/>
      <c r="BE303" s="82"/>
      <c r="BF303" s="82"/>
      <c r="BG303" s="82"/>
      <c r="BH303" s="82"/>
      <c r="BI303" s="82"/>
    </row>
    <row r="304">
      <c r="K304" s="79"/>
      <c r="U304" s="79"/>
      <c r="AE304" s="79"/>
      <c r="AF304" s="82"/>
      <c r="AG304" s="82"/>
      <c r="AH304" s="82"/>
      <c r="AI304" s="82"/>
      <c r="AJ304" s="82"/>
      <c r="AK304" s="82"/>
      <c r="AL304" s="82"/>
      <c r="AM304" s="82"/>
      <c r="AN304" s="82"/>
      <c r="AO304" s="81"/>
      <c r="AP304" s="82"/>
      <c r="AQ304" s="82"/>
      <c r="AR304" s="82"/>
      <c r="AS304" s="82"/>
      <c r="AT304" s="82"/>
      <c r="AU304" s="82"/>
      <c r="AV304" s="82"/>
      <c r="AW304" s="82"/>
      <c r="AX304" s="82"/>
      <c r="AY304" s="81"/>
      <c r="AZ304" s="82"/>
      <c r="BA304" s="82"/>
      <c r="BB304" s="82"/>
      <c r="BC304" s="82"/>
      <c r="BD304" s="82"/>
      <c r="BE304" s="82"/>
      <c r="BF304" s="82"/>
      <c r="BG304" s="82"/>
      <c r="BH304" s="82"/>
      <c r="BI304" s="82"/>
    </row>
    <row r="305">
      <c r="K305" s="79"/>
      <c r="U305" s="79"/>
      <c r="AE305" s="79"/>
      <c r="AF305" s="82"/>
      <c r="AG305" s="82"/>
      <c r="AH305" s="82"/>
      <c r="AI305" s="82"/>
      <c r="AJ305" s="82"/>
      <c r="AK305" s="82"/>
      <c r="AL305" s="82"/>
      <c r="AM305" s="82"/>
      <c r="AN305" s="82"/>
      <c r="AO305" s="81"/>
      <c r="AP305" s="82"/>
      <c r="AQ305" s="82"/>
      <c r="AR305" s="82"/>
      <c r="AS305" s="82"/>
      <c r="AT305" s="82"/>
      <c r="AU305" s="82"/>
      <c r="AV305" s="82"/>
      <c r="AW305" s="82"/>
      <c r="AX305" s="82"/>
      <c r="AY305" s="81"/>
      <c r="AZ305" s="82"/>
      <c r="BA305" s="82"/>
      <c r="BB305" s="82"/>
      <c r="BC305" s="82"/>
      <c r="BD305" s="82"/>
      <c r="BE305" s="82"/>
      <c r="BF305" s="82"/>
      <c r="BG305" s="82"/>
      <c r="BH305" s="82"/>
      <c r="BI305" s="82"/>
    </row>
    <row r="306">
      <c r="K306" s="79"/>
      <c r="U306" s="79"/>
      <c r="AE306" s="79"/>
      <c r="AF306" s="82"/>
      <c r="AG306" s="82"/>
      <c r="AH306" s="82"/>
      <c r="AI306" s="82"/>
      <c r="AJ306" s="82"/>
      <c r="AK306" s="82"/>
      <c r="AL306" s="82"/>
      <c r="AM306" s="82"/>
      <c r="AN306" s="82"/>
      <c r="AO306" s="81"/>
      <c r="AP306" s="82"/>
      <c r="AQ306" s="82"/>
      <c r="AR306" s="82"/>
      <c r="AS306" s="82"/>
      <c r="AT306" s="82"/>
      <c r="AU306" s="82"/>
      <c r="AV306" s="82"/>
      <c r="AW306" s="82"/>
      <c r="AX306" s="82"/>
      <c r="AY306" s="81"/>
      <c r="AZ306" s="82"/>
      <c r="BA306" s="82"/>
      <c r="BB306" s="82"/>
      <c r="BC306" s="82"/>
      <c r="BD306" s="82"/>
      <c r="BE306" s="82"/>
      <c r="BF306" s="82"/>
      <c r="BG306" s="82"/>
      <c r="BH306" s="82"/>
      <c r="BI306" s="82"/>
    </row>
    <row r="307">
      <c r="K307" s="79"/>
      <c r="U307" s="79"/>
      <c r="AE307" s="79"/>
      <c r="AF307" s="82"/>
      <c r="AG307" s="82"/>
      <c r="AH307" s="82"/>
      <c r="AI307" s="82"/>
      <c r="AJ307" s="82"/>
      <c r="AK307" s="82"/>
      <c r="AL307" s="82"/>
      <c r="AM307" s="82"/>
      <c r="AN307" s="82"/>
      <c r="AO307" s="81"/>
      <c r="AP307" s="82"/>
      <c r="AQ307" s="82"/>
      <c r="AR307" s="82"/>
      <c r="AS307" s="82"/>
      <c r="AT307" s="82"/>
      <c r="AU307" s="82"/>
      <c r="AV307" s="82"/>
      <c r="AW307" s="82"/>
      <c r="AX307" s="82"/>
      <c r="AY307" s="81"/>
      <c r="AZ307" s="82"/>
      <c r="BA307" s="82"/>
      <c r="BB307" s="82"/>
      <c r="BC307" s="82"/>
      <c r="BD307" s="82"/>
      <c r="BE307" s="82"/>
      <c r="BF307" s="82"/>
      <c r="BG307" s="82"/>
      <c r="BH307" s="82"/>
      <c r="BI307" s="82"/>
    </row>
    <row r="308">
      <c r="K308" s="79"/>
      <c r="U308" s="79"/>
      <c r="AE308" s="79"/>
      <c r="AF308" s="82"/>
      <c r="AG308" s="82"/>
      <c r="AH308" s="82"/>
      <c r="AI308" s="82"/>
      <c r="AJ308" s="82"/>
      <c r="AK308" s="82"/>
      <c r="AL308" s="82"/>
      <c r="AM308" s="82"/>
      <c r="AN308" s="82"/>
      <c r="AO308" s="81"/>
      <c r="AP308" s="82"/>
      <c r="AQ308" s="82"/>
      <c r="AR308" s="82"/>
      <c r="AS308" s="82"/>
      <c r="AT308" s="82"/>
      <c r="AU308" s="82"/>
      <c r="AV308" s="82"/>
      <c r="AW308" s="82"/>
      <c r="AX308" s="82"/>
      <c r="AY308" s="81"/>
      <c r="AZ308" s="82"/>
      <c r="BA308" s="82"/>
      <c r="BB308" s="82"/>
      <c r="BC308" s="82"/>
      <c r="BD308" s="82"/>
      <c r="BE308" s="82"/>
      <c r="BF308" s="82"/>
      <c r="BG308" s="82"/>
      <c r="BH308" s="82"/>
      <c r="BI308" s="82"/>
    </row>
    <row r="309">
      <c r="K309" s="79"/>
      <c r="U309" s="79"/>
      <c r="AE309" s="79"/>
      <c r="AF309" s="82"/>
      <c r="AG309" s="82"/>
      <c r="AH309" s="82"/>
      <c r="AI309" s="82"/>
      <c r="AJ309" s="82"/>
      <c r="AK309" s="82"/>
      <c r="AL309" s="82"/>
      <c r="AM309" s="82"/>
      <c r="AN309" s="82"/>
      <c r="AO309" s="81"/>
      <c r="AP309" s="82"/>
      <c r="AQ309" s="82"/>
      <c r="AR309" s="82"/>
      <c r="AS309" s="82"/>
      <c r="AT309" s="82"/>
      <c r="AU309" s="82"/>
      <c r="AV309" s="82"/>
      <c r="AW309" s="82"/>
      <c r="AX309" s="82"/>
      <c r="AY309" s="81"/>
      <c r="AZ309" s="82"/>
      <c r="BA309" s="82"/>
      <c r="BB309" s="82"/>
      <c r="BC309" s="82"/>
      <c r="BD309" s="82"/>
      <c r="BE309" s="82"/>
      <c r="BF309" s="82"/>
      <c r="BG309" s="82"/>
      <c r="BH309" s="82"/>
      <c r="BI309" s="82"/>
    </row>
    <row r="310">
      <c r="K310" s="79"/>
      <c r="U310" s="79"/>
      <c r="AE310" s="79"/>
      <c r="AF310" s="82"/>
      <c r="AG310" s="82"/>
      <c r="AH310" s="82"/>
      <c r="AI310" s="82"/>
      <c r="AJ310" s="82"/>
      <c r="AK310" s="82"/>
      <c r="AL310" s="82"/>
      <c r="AM310" s="82"/>
      <c r="AN310" s="82"/>
      <c r="AO310" s="81"/>
      <c r="AP310" s="82"/>
      <c r="AQ310" s="82"/>
      <c r="AR310" s="82"/>
      <c r="AS310" s="82"/>
      <c r="AT310" s="82"/>
      <c r="AU310" s="82"/>
      <c r="AV310" s="82"/>
      <c r="AW310" s="82"/>
      <c r="AX310" s="82"/>
      <c r="AY310" s="81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</row>
    <row r="311">
      <c r="K311" s="79"/>
      <c r="U311" s="79"/>
      <c r="AE311" s="79"/>
      <c r="AF311" s="82"/>
      <c r="AG311" s="82"/>
      <c r="AH311" s="82"/>
      <c r="AI311" s="82"/>
      <c r="AJ311" s="82"/>
      <c r="AK311" s="82"/>
      <c r="AL311" s="82"/>
      <c r="AM311" s="82"/>
      <c r="AN311" s="82"/>
      <c r="AO311" s="81"/>
      <c r="AP311" s="82"/>
      <c r="AQ311" s="82"/>
      <c r="AR311" s="82"/>
      <c r="AS311" s="82"/>
      <c r="AT311" s="82"/>
      <c r="AU311" s="82"/>
      <c r="AV311" s="82"/>
      <c r="AW311" s="82"/>
      <c r="AX311" s="82"/>
      <c r="AY311" s="81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</row>
    <row r="312">
      <c r="K312" s="79"/>
      <c r="U312" s="79"/>
      <c r="AE312" s="79"/>
      <c r="AF312" s="82"/>
      <c r="AG312" s="82"/>
      <c r="AH312" s="82"/>
      <c r="AI312" s="82"/>
      <c r="AJ312" s="82"/>
      <c r="AK312" s="82"/>
      <c r="AL312" s="82"/>
      <c r="AM312" s="82"/>
      <c r="AN312" s="82"/>
      <c r="AO312" s="81"/>
      <c r="AP312" s="82"/>
      <c r="AQ312" s="82"/>
      <c r="AR312" s="82"/>
      <c r="AS312" s="82"/>
      <c r="AT312" s="82"/>
      <c r="AU312" s="82"/>
      <c r="AV312" s="82"/>
      <c r="AW312" s="82"/>
      <c r="AX312" s="82"/>
      <c r="AY312" s="81"/>
      <c r="AZ312" s="82"/>
      <c r="BA312" s="82"/>
      <c r="BB312" s="82"/>
      <c r="BC312" s="82"/>
      <c r="BD312" s="82"/>
      <c r="BE312" s="82"/>
      <c r="BF312" s="82"/>
      <c r="BG312" s="82"/>
      <c r="BH312" s="82"/>
      <c r="BI312" s="82"/>
    </row>
    <row r="313">
      <c r="K313" s="79"/>
      <c r="U313" s="79"/>
      <c r="AE313" s="79"/>
      <c r="AF313" s="82"/>
      <c r="AG313" s="82"/>
      <c r="AH313" s="82"/>
      <c r="AI313" s="82"/>
      <c r="AJ313" s="82"/>
      <c r="AK313" s="82"/>
      <c r="AL313" s="82"/>
      <c r="AM313" s="82"/>
      <c r="AN313" s="82"/>
      <c r="AO313" s="81"/>
      <c r="AP313" s="82"/>
      <c r="AQ313" s="82"/>
      <c r="AR313" s="82"/>
      <c r="AS313" s="82"/>
      <c r="AT313" s="82"/>
      <c r="AU313" s="82"/>
      <c r="AV313" s="82"/>
      <c r="AW313" s="82"/>
      <c r="AX313" s="82"/>
      <c r="AY313" s="81"/>
      <c r="AZ313" s="82"/>
      <c r="BA313" s="82"/>
      <c r="BB313" s="82"/>
      <c r="BC313" s="82"/>
      <c r="BD313" s="82"/>
      <c r="BE313" s="82"/>
      <c r="BF313" s="82"/>
      <c r="BG313" s="82"/>
      <c r="BH313" s="82"/>
      <c r="BI313" s="82"/>
    </row>
    <row r="314">
      <c r="K314" s="79"/>
      <c r="U314" s="79"/>
      <c r="AE314" s="79"/>
      <c r="AF314" s="82"/>
      <c r="AG314" s="82"/>
      <c r="AH314" s="82"/>
      <c r="AI314" s="82"/>
      <c r="AJ314" s="82"/>
      <c r="AK314" s="82"/>
      <c r="AL314" s="82"/>
      <c r="AM314" s="82"/>
      <c r="AN314" s="82"/>
      <c r="AO314" s="81"/>
      <c r="AP314" s="82"/>
      <c r="AQ314" s="82"/>
      <c r="AR314" s="82"/>
      <c r="AS314" s="82"/>
      <c r="AT314" s="82"/>
      <c r="AU314" s="82"/>
      <c r="AV314" s="82"/>
      <c r="AW314" s="82"/>
      <c r="AX314" s="82"/>
      <c r="AY314" s="81"/>
      <c r="AZ314" s="82"/>
      <c r="BA314" s="82"/>
      <c r="BB314" s="82"/>
      <c r="BC314" s="82"/>
      <c r="BD314" s="82"/>
      <c r="BE314" s="82"/>
      <c r="BF314" s="82"/>
      <c r="BG314" s="82"/>
      <c r="BH314" s="82"/>
      <c r="BI314" s="82"/>
    </row>
    <row r="315">
      <c r="K315" s="79"/>
      <c r="U315" s="79"/>
      <c r="AE315" s="79"/>
      <c r="AF315" s="82"/>
      <c r="AG315" s="82"/>
      <c r="AH315" s="82"/>
      <c r="AI315" s="82"/>
      <c r="AJ315" s="82"/>
      <c r="AK315" s="82"/>
      <c r="AL315" s="82"/>
      <c r="AM315" s="82"/>
      <c r="AN315" s="82"/>
      <c r="AO315" s="81"/>
      <c r="AP315" s="82"/>
      <c r="AQ315" s="82"/>
      <c r="AR315" s="82"/>
      <c r="AS315" s="82"/>
      <c r="AT315" s="82"/>
      <c r="AU315" s="82"/>
      <c r="AV315" s="82"/>
      <c r="AW315" s="82"/>
      <c r="AX315" s="82"/>
      <c r="AY315" s="81"/>
      <c r="AZ315" s="82"/>
      <c r="BA315" s="82"/>
      <c r="BB315" s="82"/>
      <c r="BC315" s="82"/>
      <c r="BD315" s="82"/>
      <c r="BE315" s="82"/>
      <c r="BF315" s="82"/>
      <c r="BG315" s="82"/>
      <c r="BH315" s="82"/>
      <c r="BI315" s="82"/>
    </row>
    <row r="316">
      <c r="K316" s="79"/>
      <c r="U316" s="79"/>
      <c r="AE316" s="79"/>
      <c r="AF316" s="82"/>
      <c r="AG316" s="82"/>
      <c r="AH316" s="82"/>
      <c r="AI316" s="82"/>
      <c r="AJ316" s="82"/>
      <c r="AK316" s="82"/>
      <c r="AL316" s="82"/>
      <c r="AM316" s="82"/>
      <c r="AN316" s="82"/>
      <c r="AO316" s="81"/>
      <c r="AP316" s="82"/>
      <c r="AQ316" s="82"/>
      <c r="AR316" s="82"/>
      <c r="AS316" s="82"/>
      <c r="AT316" s="82"/>
      <c r="AU316" s="82"/>
      <c r="AV316" s="82"/>
      <c r="AW316" s="82"/>
      <c r="AX316" s="82"/>
      <c r="AY316" s="81"/>
      <c r="AZ316" s="82"/>
      <c r="BA316" s="82"/>
      <c r="BB316" s="82"/>
      <c r="BC316" s="82"/>
      <c r="BD316" s="82"/>
      <c r="BE316" s="82"/>
      <c r="BF316" s="82"/>
      <c r="BG316" s="82"/>
      <c r="BH316" s="82"/>
      <c r="BI316" s="82"/>
    </row>
    <row r="317">
      <c r="K317" s="79"/>
      <c r="U317" s="79"/>
      <c r="AE317" s="79"/>
      <c r="AF317" s="82"/>
      <c r="AG317" s="82"/>
      <c r="AH317" s="82"/>
      <c r="AI317" s="82"/>
      <c r="AJ317" s="82"/>
      <c r="AK317" s="82"/>
      <c r="AL317" s="82"/>
      <c r="AM317" s="82"/>
      <c r="AN317" s="82"/>
      <c r="AO317" s="81"/>
      <c r="AP317" s="82"/>
      <c r="AQ317" s="82"/>
      <c r="AR317" s="82"/>
      <c r="AS317" s="82"/>
      <c r="AT317" s="82"/>
      <c r="AU317" s="82"/>
      <c r="AV317" s="82"/>
      <c r="AW317" s="82"/>
      <c r="AX317" s="82"/>
      <c r="AY317" s="81"/>
      <c r="AZ317" s="82"/>
      <c r="BA317" s="82"/>
      <c r="BB317" s="82"/>
      <c r="BC317" s="82"/>
      <c r="BD317" s="82"/>
      <c r="BE317" s="82"/>
      <c r="BF317" s="82"/>
      <c r="BG317" s="82"/>
      <c r="BH317" s="82"/>
      <c r="BI317" s="82"/>
    </row>
    <row r="318">
      <c r="K318" s="79"/>
      <c r="U318" s="79"/>
      <c r="AE318" s="79"/>
      <c r="AF318" s="82"/>
      <c r="AG318" s="82"/>
      <c r="AH318" s="82"/>
      <c r="AI318" s="82"/>
      <c r="AJ318" s="82"/>
      <c r="AK318" s="82"/>
      <c r="AL318" s="82"/>
      <c r="AM318" s="82"/>
      <c r="AN318" s="82"/>
      <c r="AO318" s="81"/>
      <c r="AP318" s="82"/>
      <c r="AQ318" s="82"/>
      <c r="AR318" s="82"/>
      <c r="AS318" s="82"/>
      <c r="AT318" s="82"/>
      <c r="AU318" s="82"/>
      <c r="AV318" s="82"/>
      <c r="AW318" s="82"/>
      <c r="AX318" s="82"/>
      <c r="AY318" s="81"/>
      <c r="AZ318" s="82"/>
      <c r="BA318" s="82"/>
      <c r="BB318" s="82"/>
      <c r="BC318" s="82"/>
      <c r="BD318" s="82"/>
      <c r="BE318" s="82"/>
      <c r="BF318" s="82"/>
      <c r="BG318" s="82"/>
      <c r="BH318" s="82"/>
      <c r="BI318" s="82"/>
    </row>
    <row r="319">
      <c r="K319" s="79"/>
      <c r="U319" s="79"/>
      <c r="AE319" s="79"/>
      <c r="AF319" s="82"/>
      <c r="AG319" s="82"/>
      <c r="AH319" s="82"/>
      <c r="AI319" s="82"/>
      <c r="AJ319" s="82"/>
      <c r="AK319" s="82"/>
      <c r="AL319" s="82"/>
      <c r="AM319" s="82"/>
      <c r="AN319" s="82"/>
      <c r="AO319" s="81"/>
      <c r="AP319" s="82"/>
      <c r="AQ319" s="82"/>
      <c r="AR319" s="82"/>
      <c r="AS319" s="82"/>
      <c r="AT319" s="82"/>
      <c r="AU319" s="82"/>
      <c r="AV319" s="82"/>
      <c r="AW319" s="82"/>
      <c r="AX319" s="82"/>
      <c r="AY319" s="81"/>
      <c r="AZ319" s="82"/>
      <c r="BA319" s="82"/>
      <c r="BB319" s="82"/>
      <c r="BC319" s="82"/>
      <c r="BD319" s="82"/>
      <c r="BE319" s="82"/>
      <c r="BF319" s="82"/>
      <c r="BG319" s="82"/>
      <c r="BH319" s="82"/>
      <c r="BI319" s="82"/>
    </row>
    <row r="320">
      <c r="K320" s="79"/>
      <c r="U320" s="79"/>
      <c r="AE320" s="79"/>
      <c r="AF320" s="82"/>
      <c r="AG320" s="82"/>
      <c r="AH320" s="82"/>
      <c r="AI320" s="82"/>
      <c r="AJ320" s="82"/>
      <c r="AK320" s="82"/>
      <c r="AL320" s="82"/>
      <c r="AM320" s="82"/>
      <c r="AN320" s="82"/>
      <c r="AO320" s="81"/>
      <c r="AP320" s="82"/>
      <c r="AQ320" s="82"/>
      <c r="AR320" s="82"/>
      <c r="AS320" s="82"/>
      <c r="AT320" s="82"/>
      <c r="AU320" s="82"/>
      <c r="AV320" s="82"/>
      <c r="AW320" s="82"/>
      <c r="AX320" s="82"/>
      <c r="AY320" s="81"/>
      <c r="AZ320" s="82"/>
      <c r="BA320" s="82"/>
      <c r="BB320" s="82"/>
      <c r="BC320" s="82"/>
      <c r="BD320" s="82"/>
      <c r="BE320" s="82"/>
      <c r="BF320" s="82"/>
      <c r="BG320" s="82"/>
      <c r="BH320" s="82"/>
      <c r="BI320" s="82"/>
    </row>
    <row r="321">
      <c r="K321" s="79"/>
      <c r="U321" s="79"/>
      <c r="AE321" s="79"/>
      <c r="AF321" s="82"/>
      <c r="AG321" s="82"/>
      <c r="AH321" s="82"/>
      <c r="AI321" s="82"/>
      <c r="AJ321" s="82"/>
      <c r="AK321" s="82"/>
      <c r="AL321" s="82"/>
      <c r="AM321" s="82"/>
      <c r="AN321" s="82"/>
      <c r="AO321" s="81"/>
      <c r="AP321" s="82"/>
      <c r="AQ321" s="82"/>
      <c r="AR321" s="82"/>
      <c r="AS321" s="82"/>
      <c r="AT321" s="82"/>
      <c r="AU321" s="82"/>
      <c r="AV321" s="82"/>
      <c r="AW321" s="82"/>
      <c r="AX321" s="82"/>
      <c r="AY321" s="81"/>
      <c r="AZ321" s="82"/>
      <c r="BA321" s="82"/>
      <c r="BB321" s="82"/>
      <c r="BC321" s="82"/>
      <c r="BD321" s="82"/>
      <c r="BE321" s="82"/>
      <c r="BF321" s="82"/>
      <c r="BG321" s="82"/>
      <c r="BH321" s="82"/>
      <c r="BI321" s="82"/>
    </row>
    <row r="322">
      <c r="K322" s="79"/>
      <c r="U322" s="79"/>
      <c r="AE322" s="79"/>
      <c r="AF322" s="82"/>
      <c r="AG322" s="82"/>
      <c r="AH322" s="82"/>
      <c r="AI322" s="82"/>
      <c r="AJ322" s="82"/>
      <c r="AK322" s="82"/>
      <c r="AL322" s="82"/>
      <c r="AM322" s="82"/>
      <c r="AN322" s="82"/>
      <c r="AO322" s="81"/>
      <c r="AP322" s="82"/>
      <c r="AQ322" s="82"/>
      <c r="AR322" s="82"/>
      <c r="AS322" s="82"/>
      <c r="AT322" s="82"/>
      <c r="AU322" s="82"/>
      <c r="AV322" s="82"/>
      <c r="AW322" s="82"/>
      <c r="AX322" s="82"/>
      <c r="AY322" s="81"/>
      <c r="AZ322" s="82"/>
      <c r="BA322" s="82"/>
      <c r="BB322" s="82"/>
      <c r="BC322" s="82"/>
      <c r="BD322" s="82"/>
      <c r="BE322" s="82"/>
      <c r="BF322" s="82"/>
      <c r="BG322" s="82"/>
      <c r="BH322" s="82"/>
      <c r="BI322" s="82"/>
    </row>
    <row r="323">
      <c r="K323" s="79"/>
      <c r="U323" s="79"/>
      <c r="AE323" s="79"/>
      <c r="AF323" s="82"/>
      <c r="AG323" s="82"/>
      <c r="AH323" s="82"/>
      <c r="AI323" s="82"/>
      <c r="AJ323" s="82"/>
      <c r="AK323" s="82"/>
      <c r="AL323" s="82"/>
      <c r="AM323" s="82"/>
      <c r="AN323" s="82"/>
      <c r="AO323" s="81"/>
      <c r="AP323" s="82"/>
      <c r="AQ323" s="82"/>
      <c r="AR323" s="82"/>
      <c r="AS323" s="82"/>
      <c r="AT323" s="82"/>
      <c r="AU323" s="82"/>
      <c r="AV323" s="82"/>
      <c r="AW323" s="82"/>
      <c r="AX323" s="82"/>
      <c r="AY323" s="81"/>
      <c r="AZ323" s="82"/>
      <c r="BA323" s="82"/>
      <c r="BB323" s="82"/>
      <c r="BC323" s="82"/>
      <c r="BD323" s="82"/>
      <c r="BE323" s="82"/>
      <c r="BF323" s="82"/>
      <c r="BG323" s="82"/>
      <c r="BH323" s="82"/>
      <c r="BI323" s="82"/>
    </row>
    <row r="324">
      <c r="K324" s="79"/>
      <c r="U324" s="79"/>
      <c r="AE324" s="79"/>
      <c r="AF324" s="82"/>
      <c r="AG324" s="82"/>
      <c r="AH324" s="82"/>
      <c r="AI324" s="82"/>
      <c r="AJ324" s="82"/>
      <c r="AK324" s="82"/>
      <c r="AL324" s="82"/>
      <c r="AM324" s="82"/>
      <c r="AN324" s="82"/>
      <c r="AO324" s="81"/>
      <c r="AP324" s="82"/>
      <c r="AQ324" s="82"/>
      <c r="AR324" s="82"/>
      <c r="AS324" s="82"/>
      <c r="AT324" s="82"/>
      <c r="AU324" s="82"/>
      <c r="AV324" s="82"/>
      <c r="AW324" s="82"/>
      <c r="AX324" s="82"/>
      <c r="AY324" s="81"/>
      <c r="AZ324" s="82"/>
      <c r="BA324" s="82"/>
      <c r="BB324" s="82"/>
      <c r="BC324" s="82"/>
      <c r="BD324" s="82"/>
      <c r="BE324" s="82"/>
      <c r="BF324" s="82"/>
      <c r="BG324" s="82"/>
      <c r="BH324" s="82"/>
      <c r="BI324" s="82"/>
    </row>
    <row r="325">
      <c r="K325" s="79"/>
      <c r="U325" s="79"/>
      <c r="AE325" s="79"/>
      <c r="AF325" s="82"/>
      <c r="AG325" s="82"/>
      <c r="AH325" s="82"/>
      <c r="AI325" s="82"/>
      <c r="AJ325" s="82"/>
      <c r="AK325" s="82"/>
      <c r="AL325" s="82"/>
      <c r="AM325" s="82"/>
      <c r="AN325" s="82"/>
      <c r="AO325" s="81"/>
      <c r="AP325" s="82"/>
      <c r="AQ325" s="82"/>
      <c r="AR325" s="82"/>
      <c r="AS325" s="82"/>
      <c r="AT325" s="82"/>
      <c r="AU325" s="82"/>
      <c r="AV325" s="82"/>
      <c r="AW325" s="82"/>
      <c r="AX325" s="82"/>
      <c r="AY325" s="81"/>
      <c r="AZ325" s="82"/>
      <c r="BA325" s="82"/>
      <c r="BB325" s="82"/>
      <c r="BC325" s="82"/>
      <c r="BD325" s="82"/>
      <c r="BE325" s="82"/>
      <c r="BF325" s="82"/>
      <c r="BG325" s="82"/>
      <c r="BH325" s="82"/>
      <c r="BI325" s="82"/>
    </row>
    <row r="326">
      <c r="K326" s="79"/>
      <c r="U326" s="79"/>
      <c r="AE326" s="79"/>
      <c r="AF326" s="82"/>
      <c r="AG326" s="82"/>
      <c r="AH326" s="82"/>
      <c r="AI326" s="82"/>
      <c r="AJ326" s="82"/>
      <c r="AK326" s="82"/>
      <c r="AL326" s="82"/>
      <c r="AM326" s="82"/>
      <c r="AN326" s="82"/>
      <c r="AO326" s="81"/>
      <c r="AP326" s="82"/>
      <c r="AQ326" s="82"/>
      <c r="AR326" s="82"/>
      <c r="AS326" s="82"/>
      <c r="AT326" s="82"/>
      <c r="AU326" s="82"/>
      <c r="AV326" s="82"/>
      <c r="AW326" s="82"/>
      <c r="AX326" s="82"/>
      <c r="AY326" s="81"/>
      <c r="AZ326" s="82"/>
      <c r="BA326" s="82"/>
      <c r="BB326" s="82"/>
      <c r="BC326" s="82"/>
      <c r="BD326" s="82"/>
      <c r="BE326" s="82"/>
      <c r="BF326" s="82"/>
      <c r="BG326" s="82"/>
      <c r="BH326" s="82"/>
      <c r="BI326" s="82"/>
    </row>
    <row r="327">
      <c r="K327" s="79"/>
      <c r="U327" s="79"/>
      <c r="AE327" s="79"/>
      <c r="AF327" s="82"/>
      <c r="AG327" s="82"/>
      <c r="AH327" s="82"/>
      <c r="AI327" s="82"/>
      <c r="AJ327" s="82"/>
      <c r="AK327" s="82"/>
      <c r="AL327" s="82"/>
      <c r="AM327" s="82"/>
      <c r="AN327" s="82"/>
      <c r="AO327" s="81"/>
      <c r="AP327" s="82"/>
      <c r="AQ327" s="82"/>
      <c r="AR327" s="82"/>
      <c r="AS327" s="82"/>
      <c r="AT327" s="82"/>
      <c r="AU327" s="82"/>
      <c r="AV327" s="82"/>
      <c r="AW327" s="82"/>
      <c r="AX327" s="82"/>
      <c r="AY327" s="81"/>
      <c r="AZ327" s="82"/>
      <c r="BA327" s="82"/>
      <c r="BB327" s="82"/>
      <c r="BC327" s="82"/>
      <c r="BD327" s="82"/>
      <c r="BE327" s="82"/>
      <c r="BF327" s="82"/>
      <c r="BG327" s="82"/>
      <c r="BH327" s="82"/>
      <c r="BI327" s="82"/>
    </row>
    <row r="328">
      <c r="K328" s="79"/>
      <c r="U328" s="79"/>
      <c r="AE328" s="79"/>
      <c r="AF328" s="82"/>
      <c r="AG328" s="82"/>
      <c r="AH328" s="82"/>
      <c r="AI328" s="82"/>
      <c r="AJ328" s="82"/>
      <c r="AK328" s="82"/>
      <c r="AL328" s="82"/>
      <c r="AM328" s="82"/>
      <c r="AN328" s="82"/>
      <c r="AO328" s="81"/>
      <c r="AP328" s="82"/>
      <c r="AQ328" s="82"/>
      <c r="AR328" s="82"/>
      <c r="AS328" s="82"/>
      <c r="AT328" s="82"/>
      <c r="AU328" s="82"/>
      <c r="AV328" s="82"/>
      <c r="AW328" s="82"/>
      <c r="AX328" s="82"/>
      <c r="AY328" s="81"/>
      <c r="AZ328" s="82"/>
      <c r="BA328" s="82"/>
      <c r="BB328" s="82"/>
      <c r="BC328" s="82"/>
      <c r="BD328" s="82"/>
      <c r="BE328" s="82"/>
      <c r="BF328" s="82"/>
      <c r="BG328" s="82"/>
      <c r="BH328" s="82"/>
      <c r="BI328" s="82"/>
    </row>
    <row r="329">
      <c r="K329" s="79"/>
      <c r="U329" s="79"/>
      <c r="AE329" s="79"/>
      <c r="AF329" s="82"/>
      <c r="AG329" s="82"/>
      <c r="AH329" s="82"/>
      <c r="AI329" s="82"/>
      <c r="AJ329" s="82"/>
      <c r="AK329" s="82"/>
      <c r="AL329" s="82"/>
      <c r="AM329" s="82"/>
      <c r="AN329" s="82"/>
      <c r="AO329" s="81"/>
      <c r="AP329" s="82"/>
      <c r="AQ329" s="82"/>
      <c r="AR329" s="82"/>
      <c r="AS329" s="82"/>
      <c r="AT329" s="82"/>
      <c r="AU329" s="82"/>
      <c r="AV329" s="82"/>
      <c r="AW329" s="82"/>
      <c r="AX329" s="82"/>
      <c r="AY329" s="81"/>
      <c r="AZ329" s="82"/>
      <c r="BA329" s="82"/>
      <c r="BB329" s="82"/>
      <c r="BC329" s="82"/>
      <c r="BD329" s="82"/>
      <c r="BE329" s="82"/>
      <c r="BF329" s="82"/>
      <c r="BG329" s="82"/>
      <c r="BH329" s="82"/>
      <c r="BI329" s="82"/>
    </row>
    <row r="330">
      <c r="K330" s="79"/>
      <c r="U330" s="79"/>
      <c r="AE330" s="79"/>
      <c r="AF330" s="82"/>
      <c r="AG330" s="82"/>
      <c r="AH330" s="82"/>
      <c r="AI330" s="82"/>
      <c r="AJ330" s="82"/>
      <c r="AK330" s="82"/>
      <c r="AL330" s="82"/>
      <c r="AM330" s="82"/>
      <c r="AN330" s="82"/>
      <c r="AO330" s="81"/>
      <c r="AP330" s="82"/>
      <c r="AQ330" s="82"/>
      <c r="AR330" s="82"/>
      <c r="AS330" s="82"/>
      <c r="AT330" s="82"/>
      <c r="AU330" s="82"/>
      <c r="AV330" s="82"/>
      <c r="AW330" s="82"/>
      <c r="AX330" s="82"/>
      <c r="AY330" s="81"/>
      <c r="AZ330" s="82"/>
      <c r="BA330" s="82"/>
      <c r="BB330" s="82"/>
      <c r="BC330" s="82"/>
      <c r="BD330" s="82"/>
      <c r="BE330" s="82"/>
      <c r="BF330" s="82"/>
      <c r="BG330" s="82"/>
      <c r="BH330" s="82"/>
      <c r="BI330" s="82"/>
    </row>
    <row r="331">
      <c r="K331" s="79"/>
      <c r="U331" s="79"/>
      <c r="AE331" s="79"/>
      <c r="AF331" s="82"/>
      <c r="AG331" s="82"/>
      <c r="AH331" s="82"/>
      <c r="AI331" s="82"/>
      <c r="AJ331" s="82"/>
      <c r="AK331" s="82"/>
      <c r="AL331" s="82"/>
      <c r="AM331" s="82"/>
      <c r="AN331" s="82"/>
      <c r="AO331" s="81"/>
      <c r="AP331" s="82"/>
      <c r="AQ331" s="82"/>
      <c r="AR331" s="82"/>
      <c r="AS331" s="82"/>
      <c r="AT331" s="82"/>
      <c r="AU331" s="82"/>
      <c r="AV331" s="82"/>
      <c r="AW331" s="82"/>
      <c r="AX331" s="82"/>
      <c r="AY331" s="81"/>
      <c r="AZ331" s="82"/>
      <c r="BA331" s="82"/>
      <c r="BB331" s="82"/>
      <c r="BC331" s="82"/>
      <c r="BD331" s="82"/>
      <c r="BE331" s="82"/>
      <c r="BF331" s="82"/>
      <c r="BG331" s="82"/>
      <c r="BH331" s="82"/>
      <c r="BI331" s="82"/>
    </row>
    <row r="332">
      <c r="K332" s="79"/>
      <c r="U332" s="79"/>
      <c r="AE332" s="79"/>
      <c r="AF332" s="82"/>
      <c r="AG332" s="82"/>
      <c r="AH332" s="82"/>
      <c r="AI332" s="82"/>
      <c r="AJ332" s="82"/>
      <c r="AK332" s="82"/>
      <c r="AL332" s="82"/>
      <c r="AM332" s="82"/>
      <c r="AN332" s="82"/>
      <c r="AO332" s="81"/>
      <c r="AP332" s="82"/>
      <c r="AQ332" s="82"/>
      <c r="AR332" s="82"/>
      <c r="AS332" s="82"/>
      <c r="AT332" s="82"/>
      <c r="AU332" s="82"/>
      <c r="AV332" s="82"/>
      <c r="AW332" s="82"/>
      <c r="AX332" s="82"/>
      <c r="AY332" s="81"/>
      <c r="AZ332" s="82"/>
      <c r="BA332" s="82"/>
      <c r="BB332" s="82"/>
      <c r="BC332" s="82"/>
      <c r="BD332" s="82"/>
      <c r="BE332" s="82"/>
      <c r="BF332" s="82"/>
      <c r="BG332" s="82"/>
      <c r="BH332" s="82"/>
      <c r="BI332" s="82"/>
    </row>
    <row r="333">
      <c r="K333" s="79"/>
      <c r="U333" s="79"/>
      <c r="AE333" s="79"/>
      <c r="AF333" s="82"/>
      <c r="AG333" s="82"/>
      <c r="AH333" s="82"/>
      <c r="AI333" s="82"/>
      <c r="AJ333" s="82"/>
      <c r="AK333" s="82"/>
      <c r="AL333" s="82"/>
      <c r="AM333" s="82"/>
      <c r="AN333" s="82"/>
      <c r="AO333" s="81"/>
      <c r="AP333" s="82"/>
      <c r="AQ333" s="82"/>
      <c r="AR333" s="82"/>
      <c r="AS333" s="82"/>
      <c r="AT333" s="82"/>
      <c r="AU333" s="82"/>
      <c r="AV333" s="82"/>
      <c r="AW333" s="82"/>
      <c r="AX333" s="82"/>
      <c r="AY333" s="81"/>
      <c r="AZ333" s="82"/>
      <c r="BA333" s="82"/>
      <c r="BB333" s="82"/>
      <c r="BC333" s="82"/>
      <c r="BD333" s="82"/>
      <c r="BE333" s="82"/>
      <c r="BF333" s="82"/>
      <c r="BG333" s="82"/>
      <c r="BH333" s="82"/>
      <c r="BI333" s="82"/>
    </row>
    <row r="334">
      <c r="K334" s="79"/>
      <c r="U334" s="79"/>
      <c r="AE334" s="79"/>
      <c r="AF334" s="82"/>
      <c r="AG334" s="82"/>
      <c r="AH334" s="82"/>
      <c r="AI334" s="82"/>
      <c r="AJ334" s="82"/>
      <c r="AK334" s="82"/>
      <c r="AL334" s="82"/>
      <c r="AM334" s="82"/>
      <c r="AN334" s="82"/>
      <c r="AO334" s="81"/>
      <c r="AP334" s="82"/>
      <c r="AQ334" s="82"/>
      <c r="AR334" s="82"/>
      <c r="AS334" s="82"/>
      <c r="AT334" s="82"/>
      <c r="AU334" s="82"/>
      <c r="AV334" s="82"/>
      <c r="AW334" s="82"/>
      <c r="AX334" s="82"/>
      <c r="AY334" s="81"/>
      <c r="AZ334" s="82"/>
      <c r="BA334" s="82"/>
      <c r="BB334" s="82"/>
      <c r="BC334" s="82"/>
      <c r="BD334" s="82"/>
      <c r="BE334" s="82"/>
      <c r="BF334" s="82"/>
      <c r="BG334" s="82"/>
      <c r="BH334" s="82"/>
      <c r="BI334" s="82"/>
    </row>
    <row r="335">
      <c r="K335" s="79"/>
      <c r="U335" s="79"/>
      <c r="AE335" s="79"/>
      <c r="AF335" s="82"/>
      <c r="AG335" s="82"/>
      <c r="AH335" s="82"/>
      <c r="AI335" s="82"/>
      <c r="AJ335" s="82"/>
      <c r="AK335" s="82"/>
      <c r="AL335" s="82"/>
      <c r="AM335" s="82"/>
      <c r="AN335" s="82"/>
      <c r="AO335" s="81"/>
      <c r="AP335" s="82"/>
      <c r="AQ335" s="82"/>
      <c r="AR335" s="82"/>
      <c r="AS335" s="82"/>
      <c r="AT335" s="82"/>
      <c r="AU335" s="82"/>
      <c r="AV335" s="82"/>
      <c r="AW335" s="82"/>
      <c r="AX335" s="82"/>
      <c r="AY335" s="81"/>
      <c r="AZ335" s="82"/>
      <c r="BA335" s="82"/>
      <c r="BB335" s="82"/>
      <c r="BC335" s="82"/>
      <c r="BD335" s="82"/>
      <c r="BE335" s="82"/>
      <c r="BF335" s="82"/>
      <c r="BG335" s="82"/>
      <c r="BH335" s="82"/>
      <c r="BI335" s="82"/>
    </row>
    <row r="336">
      <c r="K336" s="79"/>
      <c r="U336" s="79"/>
      <c r="AE336" s="79"/>
      <c r="AF336" s="82"/>
      <c r="AG336" s="82"/>
      <c r="AH336" s="82"/>
      <c r="AI336" s="82"/>
      <c r="AJ336" s="82"/>
      <c r="AK336" s="82"/>
      <c r="AL336" s="82"/>
      <c r="AM336" s="82"/>
      <c r="AN336" s="82"/>
      <c r="AO336" s="81"/>
      <c r="AP336" s="82"/>
      <c r="AQ336" s="82"/>
      <c r="AR336" s="82"/>
      <c r="AS336" s="82"/>
      <c r="AT336" s="82"/>
      <c r="AU336" s="82"/>
      <c r="AV336" s="82"/>
      <c r="AW336" s="82"/>
      <c r="AX336" s="82"/>
      <c r="AY336" s="81"/>
      <c r="AZ336" s="82"/>
      <c r="BA336" s="82"/>
      <c r="BB336" s="82"/>
      <c r="BC336" s="82"/>
      <c r="BD336" s="82"/>
      <c r="BE336" s="82"/>
      <c r="BF336" s="82"/>
      <c r="BG336" s="82"/>
      <c r="BH336" s="82"/>
      <c r="BI336" s="82"/>
    </row>
    <row r="337">
      <c r="K337" s="79"/>
      <c r="U337" s="79"/>
      <c r="AE337" s="79"/>
      <c r="AF337" s="82"/>
      <c r="AG337" s="82"/>
      <c r="AH337" s="82"/>
      <c r="AI337" s="82"/>
      <c r="AJ337" s="82"/>
      <c r="AK337" s="82"/>
      <c r="AL337" s="82"/>
      <c r="AM337" s="82"/>
      <c r="AN337" s="82"/>
      <c r="AO337" s="81"/>
      <c r="AP337" s="82"/>
      <c r="AQ337" s="82"/>
      <c r="AR337" s="82"/>
      <c r="AS337" s="82"/>
      <c r="AT337" s="82"/>
      <c r="AU337" s="82"/>
      <c r="AV337" s="82"/>
      <c r="AW337" s="82"/>
      <c r="AX337" s="82"/>
      <c r="AY337" s="81"/>
      <c r="AZ337" s="82"/>
      <c r="BA337" s="82"/>
      <c r="BB337" s="82"/>
      <c r="BC337" s="82"/>
      <c r="BD337" s="82"/>
      <c r="BE337" s="82"/>
      <c r="BF337" s="82"/>
      <c r="BG337" s="82"/>
      <c r="BH337" s="82"/>
      <c r="BI337" s="82"/>
    </row>
    <row r="338">
      <c r="K338" s="79"/>
      <c r="U338" s="79"/>
      <c r="AE338" s="79"/>
      <c r="AF338" s="82"/>
      <c r="AG338" s="82"/>
      <c r="AH338" s="82"/>
      <c r="AI338" s="82"/>
      <c r="AJ338" s="82"/>
      <c r="AK338" s="82"/>
      <c r="AL338" s="82"/>
      <c r="AM338" s="82"/>
      <c r="AN338" s="82"/>
      <c r="AO338" s="81"/>
      <c r="AP338" s="82"/>
      <c r="AQ338" s="82"/>
      <c r="AR338" s="82"/>
      <c r="AS338" s="82"/>
      <c r="AT338" s="82"/>
      <c r="AU338" s="82"/>
      <c r="AV338" s="82"/>
      <c r="AW338" s="82"/>
      <c r="AX338" s="82"/>
      <c r="AY338" s="81"/>
      <c r="AZ338" s="82"/>
      <c r="BA338" s="82"/>
      <c r="BB338" s="82"/>
      <c r="BC338" s="82"/>
      <c r="BD338" s="82"/>
      <c r="BE338" s="82"/>
      <c r="BF338" s="82"/>
      <c r="BG338" s="82"/>
      <c r="BH338" s="82"/>
      <c r="BI338" s="82"/>
    </row>
    <row r="339">
      <c r="K339" s="79"/>
      <c r="U339" s="79"/>
      <c r="AE339" s="79"/>
      <c r="AF339" s="82"/>
      <c r="AG339" s="82"/>
      <c r="AH339" s="82"/>
      <c r="AI339" s="82"/>
      <c r="AJ339" s="82"/>
      <c r="AK339" s="82"/>
      <c r="AL339" s="82"/>
      <c r="AM339" s="82"/>
      <c r="AN339" s="82"/>
      <c r="AO339" s="81"/>
      <c r="AP339" s="82"/>
      <c r="AQ339" s="82"/>
      <c r="AR339" s="82"/>
      <c r="AS339" s="82"/>
      <c r="AT339" s="82"/>
      <c r="AU339" s="82"/>
      <c r="AV339" s="82"/>
      <c r="AW339" s="82"/>
      <c r="AX339" s="82"/>
      <c r="AY339" s="81"/>
      <c r="AZ339" s="82"/>
      <c r="BA339" s="82"/>
      <c r="BB339" s="82"/>
      <c r="BC339" s="82"/>
      <c r="BD339" s="82"/>
      <c r="BE339" s="82"/>
      <c r="BF339" s="82"/>
      <c r="BG339" s="82"/>
      <c r="BH339" s="82"/>
      <c r="BI339" s="82"/>
    </row>
    <row r="340">
      <c r="K340" s="79"/>
      <c r="U340" s="79"/>
      <c r="AE340" s="79"/>
      <c r="AF340" s="82"/>
      <c r="AG340" s="82"/>
      <c r="AH340" s="82"/>
      <c r="AI340" s="82"/>
      <c r="AJ340" s="82"/>
      <c r="AK340" s="82"/>
      <c r="AL340" s="82"/>
      <c r="AM340" s="82"/>
      <c r="AN340" s="82"/>
      <c r="AO340" s="81"/>
      <c r="AP340" s="82"/>
      <c r="AQ340" s="82"/>
      <c r="AR340" s="82"/>
      <c r="AS340" s="82"/>
      <c r="AT340" s="82"/>
      <c r="AU340" s="82"/>
      <c r="AV340" s="82"/>
      <c r="AW340" s="82"/>
      <c r="AX340" s="82"/>
      <c r="AY340" s="81"/>
      <c r="AZ340" s="82"/>
      <c r="BA340" s="82"/>
      <c r="BB340" s="82"/>
      <c r="BC340" s="82"/>
      <c r="BD340" s="82"/>
      <c r="BE340" s="82"/>
      <c r="BF340" s="82"/>
      <c r="BG340" s="82"/>
      <c r="BH340" s="82"/>
      <c r="BI340" s="82"/>
    </row>
    <row r="341">
      <c r="K341" s="79"/>
      <c r="U341" s="79"/>
      <c r="AE341" s="79"/>
      <c r="AF341" s="82"/>
      <c r="AG341" s="82"/>
      <c r="AH341" s="82"/>
      <c r="AI341" s="82"/>
      <c r="AJ341" s="82"/>
      <c r="AK341" s="82"/>
      <c r="AL341" s="82"/>
      <c r="AM341" s="82"/>
      <c r="AN341" s="82"/>
      <c r="AO341" s="81"/>
      <c r="AP341" s="82"/>
      <c r="AQ341" s="82"/>
      <c r="AR341" s="82"/>
      <c r="AS341" s="82"/>
      <c r="AT341" s="82"/>
      <c r="AU341" s="82"/>
      <c r="AV341" s="82"/>
      <c r="AW341" s="82"/>
      <c r="AX341" s="82"/>
      <c r="AY341" s="81"/>
      <c r="AZ341" s="82"/>
      <c r="BA341" s="82"/>
      <c r="BB341" s="82"/>
      <c r="BC341" s="82"/>
      <c r="BD341" s="82"/>
      <c r="BE341" s="82"/>
      <c r="BF341" s="82"/>
      <c r="BG341" s="82"/>
      <c r="BH341" s="82"/>
      <c r="BI341" s="82"/>
    </row>
    <row r="342">
      <c r="K342" s="79"/>
      <c r="U342" s="79"/>
      <c r="AE342" s="79"/>
      <c r="AF342" s="82"/>
      <c r="AG342" s="82"/>
      <c r="AH342" s="82"/>
      <c r="AI342" s="82"/>
      <c r="AJ342" s="82"/>
      <c r="AK342" s="82"/>
      <c r="AL342" s="82"/>
      <c r="AM342" s="82"/>
      <c r="AN342" s="82"/>
      <c r="AO342" s="81"/>
      <c r="AP342" s="82"/>
      <c r="AQ342" s="82"/>
      <c r="AR342" s="82"/>
      <c r="AS342" s="82"/>
      <c r="AT342" s="82"/>
      <c r="AU342" s="82"/>
      <c r="AV342" s="82"/>
      <c r="AW342" s="82"/>
      <c r="AX342" s="82"/>
      <c r="AY342" s="81"/>
      <c r="AZ342" s="82"/>
      <c r="BA342" s="82"/>
      <c r="BB342" s="82"/>
      <c r="BC342" s="82"/>
      <c r="BD342" s="82"/>
      <c r="BE342" s="82"/>
      <c r="BF342" s="82"/>
      <c r="BG342" s="82"/>
      <c r="BH342" s="82"/>
      <c r="BI342" s="82"/>
    </row>
    <row r="343">
      <c r="K343" s="79"/>
      <c r="U343" s="79"/>
      <c r="AE343" s="79"/>
      <c r="AF343" s="82"/>
      <c r="AG343" s="82"/>
      <c r="AH343" s="82"/>
      <c r="AI343" s="82"/>
      <c r="AJ343" s="82"/>
      <c r="AK343" s="82"/>
      <c r="AL343" s="82"/>
      <c r="AM343" s="82"/>
      <c r="AN343" s="82"/>
      <c r="AO343" s="81"/>
      <c r="AP343" s="82"/>
      <c r="AQ343" s="82"/>
      <c r="AR343" s="82"/>
      <c r="AS343" s="82"/>
      <c r="AT343" s="82"/>
      <c r="AU343" s="82"/>
      <c r="AV343" s="82"/>
      <c r="AW343" s="82"/>
      <c r="AX343" s="82"/>
      <c r="AY343" s="81"/>
      <c r="AZ343" s="82"/>
      <c r="BA343" s="82"/>
      <c r="BB343" s="82"/>
      <c r="BC343" s="82"/>
      <c r="BD343" s="82"/>
      <c r="BE343" s="82"/>
      <c r="BF343" s="82"/>
      <c r="BG343" s="82"/>
      <c r="BH343" s="82"/>
      <c r="BI343" s="82"/>
    </row>
    <row r="344">
      <c r="K344" s="79"/>
      <c r="U344" s="79"/>
      <c r="AE344" s="79"/>
      <c r="AF344" s="82"/>
      <c r="AG344" s="82"/>
      <c r="AH344" s="82"/>
      <c r="AI344" s="82"/>
      <c r="AJ344" s="82"/>
      <c r="AK344" s="82"/>
      <c r="AL344" s="82"/>
      <c r="AM344" s="82"/>
      <c r="AN344" s="82"/>
      <c r="AO344" s="81"/>
      <c r="AP344" s="82"/>
      <c r="AQ344" s="82"/>
      <c r="AR344" s="82"/>
      <c r="AS344" s="82"/>
      <c r="AT344" s="82"/>
      <c r="AU344" s="82"/>
      <c r="AV344" s="82"/>
      <c r="AW344" s="82"/>
      <c r="AX344" s="82"/>
      <c r="AY344" s="81"/>
      <c r="AZ344" s="82"/>
      <c r="BA344" s="82"/>
      <c r="BB344" s="82"/>
      <c r="BC344" s="82"/>
      <c r="BD344" s="82"/>
      <c r="BE344" s="82"/>
      <c r="BF344" s="82"/>
      <c r="BG344" s="82"/>
      <c r="BH344" s="82"/>
      <c r="BI344" s="82"/>
    </row>
    <row r="345">
      <c r="K345" s="79"/>
      <c r="U345" s="79"/>
      <c r="AE345" s="79"/>
      <c r="AF345" s="82"/>
      <c r="AG345" s="82"/>
      <c r="AH345" s="82"/>
      <c r="AI345" s="82"/>
      <c r="AJ345" s="82"/>
      <c r="AK345" s="82"/>
      <c r="AL345" s="82"/>
      <c r="AM345" s="82"/>
      <c r="AN345" s="82"/>
      <c r="AO345" s="81"/>
      <c r="AP345" s="82"/>
      <c r="AQ345" s="82"/>
      <c r="AR345" s="82"/>
      <c r="AS345" s="82"/>
      <c r="AT345" s="82"/>
      <c r="AU345" s="82"/>
      <c r="AV345" s="82"/>
      <c r="AW345" s="82"/>
      <c r="AX345" s="82"/>
      <c r="AY345" s="81"/>
      <c r="AZ345" s="82"/>
      <c r="BA345" s="82"/>
      <c r="BB345" s="82"/>
      <c r="BC345" s="82"/>
      <c r="BD345" s="82"/>
      <c r="BE345" s="82"/>
      <c r="BF345" s="82"/>
      <c r="BG345" s="82"/>
      <c r="BH345" s="82"/>
      <c r="BI345" s="82"/>
    </row>
    <row r="346">
      <c r="K346" s="79"/>
      <c r="U346" s="79"/>
      <c r="AE346" s="79"/>
      <c r="AF346" s="82"/>
      <c r="AG346" s="82"/>
      <c r="AH346" s="82"/>
      <c r="AI346" s="82"/>
      <c r="AJ346" s="82"/>
      <c r="AK346" s="82"/>
      <c r="AL346" s="82"/>
      <c r="AM346" s="82"/>
      <c r="AN346" s="82"/>
      <c r="AO346" s="81"/>
      <c r="AP346" s="82"/>
      <c r="AQ346" s="82"/>
      <c r="AR346" s="82"/>
      <c r="AS346" s="82"/>
      <c r="AT346" s="82"/>
      <c r="AU346" s="82"/>
      <c r="AV346" s="82"/>
      <c r="AW346" s="82"/>
      <c r="AX346" s="82"/>
      <c r="AY346" s="81"/>
      <c r="AZ346" s="82"/>
      <c r="BA346" s="82"/>
      <c r="BB346" s="82"/>
      <c r="BC346" s="82"/>
      <c r="BD346" s="82"/>
      <c r="BE346" s="82"/>
      <c r="BF346" s="82"/>
      <c r="BG346" s="82"/>
      <c r="BH346" s="82"/>
      <c r="BI346" s="82"/>
    </row>
    <row r="347">
      <c r="K347" s="79"/>
      <c r="U347" s="79"/>
      <c r="AE347" s="79"/>
      <c r="AF347" s="82"/>
      <c r="AG347" s="82"/>
      <c r="AH347" s="82"/>
      <c r="AI347" s="82"/>
      <c r="AJ347" s="82"/>
      <c r="AK347" s="82"/>
      <c r="AL347" s="82"/>
      <c r="AM347" s="82"/>
      <c r="AN347" s="82"/>
      <c r="AO347" s="81"/>
      <c r="AP347" s="82"/>
      <c r="AQ347" s="82"/>
      <c r="AR347" s="82"/>
      <c r="AS347" s="82"/>
      <c r="AT347" s="82"/>
      <c r="AU347" s="82"/>
      <c r="AV347" s="82"/>
      <c r="AW347" s="82"/>
      <c r="AX347" s="82"/>
      <c r="AY347" s="81"/>
      <c r="AZ347" s="82"/>
      <c r="BA347" s="82"/>
      <c r="BB347" s="82"/>
      <c r="BC347" s="82"/>
      <c r="BD347" s="82"/>
      <c r="BE347" s="82"/>
      <c r="BF347" s="82"/>
      <c r="BG347" s="82"/>
      <c r="BH347" s="82"/>
      <c r="BI347" s="82"/>
    </row>
    <row r="348">
      <c r="K348" s="79"/>
      <c r="U348" s="79"/>
      <c r="AE348" s="79"/>
      <c r="AF348" s="82"/>
      <c r="AG348" s="82"/>
      <c r="AH348" s="82"/>
      <c r="AI348" s="82"/>
      <c r="AJ348" s="82"/>
      <c r="AK348" s="82"/>
      <c r="AL348" s="82"/>
      <c r="AM348" s="82"/>
      <c r="AN348" s="82"/>
      <c r="AO348" s="81"/>
      <c r="AP348" s="82"/>
      <c r="AQ348" s="82"/>
      <c r="AR348" s="82"/>
      <c r="AS348" s="82"/>
      <c r="AT348" s="82"/>
      <c r="AU348" s="82"/>
      <c r="AV348" s="82"/>
      <c r="AW348" s="82"/>
      <c r="AX348" s="82"/>
      <c r="AY348" s="81"/>
      <c r="AZ348" s="82"/>
      <c r="BA348" s="82"/>
      <c r="BB348" s="82"/>
      <c r="BC348" s="82"/>
      <c r="BD348" s="82"/>
      <c r="BE348" s="82"/>
      <c r="BF348" s="82"/>
      <c r="BG348" s="82"/>
      <c r="BH348" s="82"/>
      <c r="BI348" s="82"/>
    </row>
    <row r="349">
      <c r="K349" s="79"/>
      <c r="U349" s="79"/>
      <c r="AE349" s="79"/>
      <c r="AF349" s="82"/>
      <c r="AG349" s="82"/>
      <c r="AH349" s="82"/>
      <c r="AI349" s="82"/>
      <c r="AJ349" s="82"/>
      <c r="AK349" s="82"/>
      <c r="AL349" s="82"/>
      <c r="AM349" s="82"/>
      <c r="AN349" s="82"/>
      <c r="AO349" s="81"/>
      <c r="AP349" s="82"/>
      <c r="AQ349" s="82"/>
      <c r="AR349" s="82"/>
      <c r="AS349" s="82"/>
      <c r="AT349" s="82"/>
      <c r="AU349" s="82"/>
      <c r="AV349" s="82"/>
      <c r="AW349" s="82"/>
      <c r="AX349" s="82"/>
      <c r="AY349" s="81"/>
      <c r="AZ349" s="82"/>
      <c r="BA349" s="82"/>
      <c r="BB349" s="82"/>
      <c r="BC349" s="82"/>
      <c r="BD349" s="82"/>
      <c r="BE349" s="82"/>
      <c r="BF349" s="82"/>
      <c r="BG349" s="82"/>
      <c r="BH349" s="82"/>
      <c r="BI349" s="82"/>
    </row>
    <row r="350">
      <c r="K350" s="79"/>
      <c r="U350" s="79"/>
      <c r="AE350" s="79"/>
      <c r="AF350" s="82"/>
      <c r="AG350" s="82"/>
      <c r="AH350" s="82"/>
      <c r="AI350" s="82"/>
      <c r="AJ350" s="82"/>
      <c r="AK350" s="82"/>
      <c r="AL350" s="82"/>
      <c r="AM350" s="82"/>
      <c r="AN350" s="82"/>
      <c r="AO350" s="81"/>
      <c r="AP350" s="82"/>
      <c r="AQ350" s="82"/>
      <c r="AR350" s="82"/>
      <c r="AS350" s="82"/>
      <c r="AT350" s="82"/>
      <c r="AU350" s="82"/>
      <c r="AV350" s="82"/>
      <c r="AW350" s="82"/>
      <c r="AX350" s="82"/>
      <c r="AY350" s="81"/>
      <c r="AZ350" s="82"/>
      <c r="BA350" s="82"/>
      <c r="BB350" s="82"/>
      <c r="BC350" s="82"/>
      <c r="BD350" s="82"/>
      <c r="BE350" s="82"/>
      <c r="BF350" s="82"/>
      <c r="BG350" s="82"/>
      <c r="BH350" s="82"/>
      <c r="BI350" s="82"/>
    </row>
    <row r="351">
      <c r="K351" s="79"/>
      <c r="U351" s="79"/>
      <c r="AE351" s="79"/>
      <c r="AF351" s="82"/>
      <c r="AG351" s="82"/>
      <c r="AH351" s="82"/>
      <c r="AI351" s="82"/>
      <c r="AJ351" s="82"/>
      <c r="AK351" s="82"/>
      <c r="AL351" s="82"/>
      <c r="AM351" s="82"/>
      <c r="AN351" s="82"/>
      <c r="AO351" s="81"/>
      <c r="AP351" s="82"/>
      <c r="AQ351" s="82"/>
      <c r="AR351" s="82"/>
      <c r="AS351" s="82"/>
      <c r="AT351" s="82"/>
      <c r="AU351" s="82"/>
      <c r="AV351" s="82"/>
      <c r="AW351" s="82"/>
      <c r="AX351" s="82"/>
      <c r="AY351" s="81"/>
      <c r="AZ351" s="82"/>
      <c r="BA351" s="82"/>
      <c r="BB351" s="82"/>
      <c r="BC351" s="82"/>
      <c r="BD351" s="82"/>
      <c r="BE351" s="82"/>
      <c r="BF351" s="82"/>
      <c r="BG351" s="82"/>
      <c r="BH351" s="82"/>
      <c r="BI351" s="82"/>
    </row>
    <row r="352">
      <c r="K352" s="79"/>
      <c r="U352" s="79"/>
      <c r="AE352" s="79"/>
      <c r="AF352" s="82"/>
      <c r="AG352" s="82"/>
      <c r="AH352" s="82"/>
      <c r="AI352" s="82"/>
      <c r="AJ352" s="82"/>
      <c r="AK352" s="82"/>
      <c r="AL352" s="82"/>
      <c r="AM352" s="82"/>
      <c r="AN352" s="82"/>
      <c r="AO352" s="81"/>
      <c r="AP352" s="82"/>
      <c r="AQ352" s="82"/>
      <c r="AR352" s="82"/>
      <c r="AS352" s="82"/>
      <c r="AT352" s="82"/>
      <c r="AU352" s="82"/>
      <c r="AV352" s="82"/>
      <c r="AW352" s="82"/>
      <c r="AX352" s="82"/>
      <c r="AY352" s="81"/>
      <c r="AZ352" s="82"/>
      <c r="BA352" s="82"/>
      <c r="BB352" s="82"/>
      <c r="BC352" s="82"/>
      <c r="BD352" s="82"/>
      <c r="BE352" s="82"/>
      <c r="BF352" s="82"/>
      <c r="BG352" s="82"/>
      <c r="BH352" s="82"/>
      <c r="BI352" s="82"/>
    </row>
    <row r="353">
      <c r="K353" s="79"/>
      <c r="U353" s="79"/>
      <c r="AE353" s="79"/>
      <c r="AF353" s="82"/>
      <c r="AG353" s="82"/>
      <c r="AH353" s="82"/>
      <c r="AI353" s="82"/>
      <c r="AJ353" s="82"/>
      <c r="AK353" s="82"/>
      <c r="AL353" s="82"/>
      <c r="AM353" s="82"/>
      <c r="AN353" s="82"/>
      <c r="AO353" s="81"/>
      <c r="AP353" s="82"/>
      <c r="AQ353" s="82"/>
      <c r="AR353" s="82"/>
      <c r="AS353" s="82"/>
      <c r="AT353" s="82"/>
      <c r="AU353" s="82"/>
      <c r="AV353" s="82"/>
      <c r="AW353" s="82"/>
      <c r="AX353" s="82"/>
      <c r="AY353" s="81"/>
      <c r="AZ353" s="82"/>
      <c r="BA353" s="82"/>
      <c r="BB353" s="82"/>
      <c r="BC353" s="82"/>
      <c r="BD353" s="82"/>
      <c r="BE353" s="82"/>
      <c r="BF353" s="82"/>
      <c r="BG353" s="82"/>
      <c r="BH353" s="82"/>
      <c r="BI353" s="82"/>
    </row>
    <row r="354">
      <c r="K354" s="79"/>
      <c r="U354" s="79"/>
      <c r="AE354" s="79"/>
      <c r="AF354" s="82"/>
      <c r="AG354" s="82"/>
      <c r="AH354" s="82"/>
      <c r="AI354" s="82"/>
      <c r="AJ354" s="82"/>
      <c r="AK354" s="82"/>
      <c r="AL354" s="82"/>
      <c r="AM354" s="82"/>
      <c r="AN354" s="82"/>
      <c r="AO354" s="81"/>
      <c r="AP354" s="82"/>
      <c r="AQ354" s="82"/>
      <c r="AR354" s="82"/>
      <c r="AS354" s="82"/>
      <c r="AT354" s="82"/>
      <c r="AU354" s="82"/>
      <c r="AV354" s="82"/>
      <c r="AW354" s="82"/>
      <c r="AX354" s="82"/>
      <c r="AY354" s="81"/>
      <c r="AZ354" s="82"/>
      <c r="BA354" s="82"/>
      <c r="BB354" s="82"/>
      <c r="BC354" s="82"/>
      <c r="BD354" s="82"/>
      <c r="BE354" s="82"/>
      <c r="BF354" s="82"/>
      <c r="BG354" s="82"/>
      <c r="BH354" s="82"/>
      <c r="BI354" s="82"/>
    </row>
    <row r="355">
      <c r="K355" s="79"/>
      <c r="U355" s="79"/>
      <c r="AE355" s="79"/>
      <c r="AF355" s="82"/>
      <c r="AG355" s="82"/>
      <c r="AH355" s="82"/>
      <c r="AI355" s="82"/>
      <c r="AJ355" s="82"/>
      <c r="AK355" s="82"/>
      <c r="AL355" s="82"/>
      <c r="AM355" s="82"/>
      <c r="AN355" s="82"/>
      <c r="AO355" s="81"/>
      <c r="AP355" s="82"/>
      <c r="AQ355" s="82"/>
      <c r="AR355" s="82"/>
      <c r="AS355" s="82"/>
      <c r="AT355" s="82"/>
      <c r="AU355" s="82"/>
      <c r="AV355" s="82"/>
      <c r="AW355" s="82"/>
      <c r="AX355" s="82"/>
      <c r="AY355" s="81"/>
      <c r="AZ355" s="82"/>
      <c r="BA355" s="82"/>
      <c r="BB355" s="82"/>
      <c r="BC355" s="82"/>
      <c r="BD355" s="82"/>
      <c r="BE355" s="82"/>
      <c r="BF355" s="82"/>
      <c r="BG355" s="82"/>
      <c r="BH355" s="82"/>
      <c r="BI355" s="82"/>
    </row>
    <row r="356">
      <c r="K356" s="79"/>
      <c r="U356" s="79"/>
      <c r="AE356" s="79"/>
      <c r="AF356" s="82"/>
      <c r="AG356" s="82"/>
      <c r="AH356" s="82"/>
      <c r="AI356" s="82"/>
      <c r="AJ356" s="82"/>
      <c r="AK356" s="82"/>
      <c r="AL356" s="82"/>
      <c r="AM356" s="82"/>
      <c r="AN356" s="82"/>
      <c r="AO356" s="81"/>
      <c r="AP356" s="82"/>
      <c r="AQ356" s="82"/>
      <c r="AR356" s="82"/>
      <c r="AS356" s="82"/>
      <c r="AT356" s="82"/>
      <c r="AU356" s="82"/>
      <c r="AV356" s="82"/>
      <c r="AW356" s="82"/>
      <c r="AX356" s="82"/>
      <c r="AY356" s="81"/>
      <c r="AZ356" s="82"/>
      <c r="BA356" s="82"/>
      <c r="BB356" s="82"/>
      <c r="BC356" s="82"/>
      <c r="BD356" s="82"/>
      <c r="BE356" s="82"/>
      <c r="BF356" s="82"/>
      <c r="BG356" s="82"/>
      <c r="BH356" s="82"/>
      <c r="BI356" s="82"/>
    </row>
    <row r="357">
      <c r="K357" s="79"/>
      <c r="U357" s="79"/>
      <c r="AE357" s="79"/>
      <c r="AF357" s="82"/>
      <c r="AG357" s="82"/>
      <c r="AH357" s="82"/>
      <c r="AI357" s="82"/>
      <c r="AJ357" s="82"/>
      <c r="AK357" s="82"/>
      <c r="AL357" s="82"/>
      <c r="AM357" s="82"/>
      <c r="AN357" s="82"/>
      <c r="AO357" s="81"/>
      <c r="AP357" s="82"/>
      <c r="AQ357" s="82"/>
      <c r="AR357" s="82"/>
      <c r="AS357" s="82"/>
      <c r="AT357" s="82"/>
      <c r="AU357" s="82"/>
      <c r="AV357" s="82"/>
      <c r="AW357" s="82"/>
      <c r="AX357" s="82"/>
      <c r="AY357" s="81"/>
      <c r="AZ357" s="82"/>
      <c r="BA357" s="82"/>
      <c r="BB357" s="82"/>
      <c r="BC357" s="82"/>
      <c r="BD357" s="82"/>
      <c r="BE357" s="82"/>
      <c r="BF357" s="82"/>
      <c r="BG357" s="82"/>
      <c r="BH357" s="82"/>
      <c r="BI357" s="82"/>
    </row>
    <row r="358">
      <c r="K358" s="79"/>
      <c r="U358" s="79"/>
      <c r="AE358" s="79"/>
      <c r="AF358" s="82"/>
      <c r="AG358" s="82"/>
      <c r="AH358" s="82"/>
      <c r="AI358" s="82"/>
      <c r="AJ358" s="82"/>
      <c r="AK358" s="82"/>
      <c r="AL358" s="82"/>
      <c r="AM358" s="82"/>
      <c r="AN358" s="82"/>
      <c r="AO358" s="81"/>
      <c r="AP358" s="82"/>
      <c r="AQ358" s="82"/>
      <c r="AR358" s="82"/>
      <c r="AS358" s="82"/>
      <c r="AT358" s="82"/>
      <c r="AU358" s="82"/>
      <c r="AV358" s="82"/>
      <c r="AW358" s="82"/>
      <c r="AX358" s="82"/>
      <c r="AY358" s="81"/>
      <c r="AZ358" s="82"/>
      <c r="BA358" s="82"/>
      <c r="BB358" s="82"/>
      <c r="BC358" s="82"/>
      <c r="BD358" s="82"/>
      <c r="BE358" s="82"/>
      <c r="BF358" s="82"/>
      <c r="BG358" s="82"/>
      <c r="BH358" s="82"/>
      <c r="BI358" s="82"/>
    </row>
    <row r="359">
      <c r="K359" s="79"/>
      <c r="U359" s="79"/>
      <c r="AE359" s="79"/>
      <c r="AF359" s="82"/>
      <c r="AG359" s="82"/>
      <c r="AH359" s="82"/>
      <c r="AI359" s="82"/>
      <c r="AJ359" s="82"/>
      <c r="AK359" s="82"/>
      <c r="AL359" s="82"/>
      <c r="AM359" s="82"/>
      <c r="AN359" s="82"/>
      <c r="AO359" s="81"/>
      <c r="AP359" s="82"/>
      <c r="AQ359" s="82"/>
      <c r="AR359" s="82"/>
      <c r="AS359" s="82"/>
      <c r="AT359" s="82"/>
      <c r="AU359" s="82"/>
      <c r="AV359" s="82"/>
      <c r="AW359" s="82"/>
      <c r="AX359" s="82"/>
      <c r="AY359" s="81"/>
      <c r="AZ359" s="82"/>
      <c r="BA359" s="82"/>
      <c r="BB359" s="82"/>
      <c r="BC359" s="82"/>
      <c r="BD359" s="82"/>
      <c r="BE359" s="82"/>
      <c r="BF359" s="82"/>
      <c r="BG359" s="82"/>
      <c r="BH359" s="82"/>
      <c r="BI359" s="82"/>
    </row>
    <row r="360">
      <c r="K360" s="79"/>
      <c r="U360" s="79"/>
      <c r="AE360" s="79"/>
      <c r="AF360" s="82"/>
      <c r="AG360" s="82"/>
      <c r="AH360" s="82"/>
      <c r="AI360" s="82"/>
      <c r="AJ360" s="82"/>
      <c r="AK360" s="82"/>
      <c r="AL360" s="82"/>
      <c r="AM360" s="82"/>
      <c r="AN360" s="82"/>
      <c r="AO360" s="81"/>
      <c r="AP360" s="82"/>
      <c r="AQ360" s="82"/>
      <c r="AR360" s="82"/>
      <c r="AS360" s="82"/>
      <c r="AT360" s="82"/>
      <c r="AU360" s="82"/>
      <c r="AV360" s="82"/>
      <c r="AW360" s="82"/>
      <c r="AX360" s="82"/>
      <c r="AY360" s="81"/>
      <c r="AZ360" s="82"/>
      <c r="BA360" s="82"/>
      <c r="BB360" s="82"/>
      <c r="BC360" s="82"/>
      <c r="BD360" s="82"/>
      <c r="BE360" s="82"/>
      <c r="BF360" s="82"/>
      <c r="BG360" s="82"/>
      <c r="BH360" s="82"/>
      <c r="BI360" s="82"/>
    </row>
    <row r="361">
      <c r="K361" s="79"/>
      <c r="U361" s="79"/>
      <c r="AE361" s="79"/>
      <c r="AF361" s="82"/>
      <c r="AG361" s="82"/>
      <c r="AH361" s="82"/>
      <c r="AI361" s="82"/>
      <c r="AJ361" s="82"/>
      <c r="AK361" s="82"/>
      <c r="AL361" s="82"/>
      <c r="AM361" s="82"/>
      <c r="AN361" s="82"/>
      <c r="AO361" s="81"/>
      <c r="AP361" s="82"/>
      <c r="AQ361" s="82"/>
      <c r="AR361" s="82"/>
      <c r="AS361" s="82"/>
      <c r="AT361" s="82"/>
      <c r="AU361" s="82"/>
      <c r="AV361" s="82"/>
      <c r="AW361" s="82"/>
      <c r="AX361" s="82"/>
      <c r="AY361" s="81"/>
      <c r="AZ361" s="82"/>
      <c r="BA361" s="82"/>
      <c r="BB361" s="82"/>
      <c r="BC361" s="82"/>
      <c r="BD361" s="82"/>
      <c r="BE361" s="82"/>
      <c r="BF361" s="82"/>
      <c r="BG361" s="82"/>
      <c r="BH361" s="82"/>
      <c r="BI361" s="82"/>
    </row>
    <row r="362">
      <c r="K362" s="79"/>
      <c r="U362" s="79"/>
      <c r="AE362" s="79"/>
      <c r="AF362" s="82"/>
      <c r="AG362" s="82"/>
      <c r="AH362" s="82"/>
      <c r="AI362" s="82"/>
      <c r="AJ362" s="82"/>
      <c r="AK362" s="82"/>
      <c r="AL362" s="82"/>
      <c r="AM362" s="82"/>
      <c r="AN362" s="82"/>
      <c r="AO362" s="81"/>
      <c r="AP362" s="82"/>
      <c r="AQ362" s="82"/>
      <c r="AR362" s="82"/>
      <c r="AS362" s="82"/>
      <c r="AT362" s="82"/>
      <c r="AU362" s="82"/>
      <c r="AV362" s="82"/>
      <c r="AW362" s="82"/>
      <c r="AX362" s="82"/>
      <c r="AY362" s="81"/>
      <c r="AZ362" s="82"/>
      <c r="BA362" s="82"/>
      <c r="BB362" s="82"/>
      <c r="BC362" s="82"/>
      <c r="BD362" s="82"/>
      <c r="BE362" s="82"/>
      <c r="BF362" s="82"/>
      <c r="BG362" s="82"/>
      <c r="BH362" s="82"/>
      <c r="BI362" s="82"/>
    </row>
    <row r="363">
      <c r="K363" s="79"/>
      <c r="U363" s="79"/>
      <c r="AE363" s="79"/>
      <c r="AF363" s="82"/>
      <c r="AG363" s="82"/>
      <c r="AH363" s="82"/>
      <c r="AI363" s="82"/>
      <c r="AJ363" s="82"/>
      <c r="AK363" s="82"/>
      <c r="AL363" s="82"/>
      <c r="AM363" s="82"/>
      <c r="AN363" s="82"/>
      <c r="AO363" s="81"/>
      <c r="AP363" s="82"/>
      <c r="AQ363" s="82"/>
      <c r="AR363" s="82"/>
      <c r="AS363" s="82"/>
      <c r="AT363" s="82"/>
      <c r="AU363" s="82"/>
      <c r="AV363" s="82"/>
      <c r="AW363" s="82"/>
      <c r="AX363" s="82"/>
      <c r="AY363" s="81"/>
      <c r="AZ363" s="82"/>
      <c r="BA363" s="82"/>
      <c r="BB363" s="82"/>
      <c r="BC363" s="82"/>
      <c r="BD363" s="82"/>
      <c r="BE363" s="82"/>
      <c r="BF363" s="82"/>
      <c r="BG363" s="82"/>
      <c r="BH363" s="82"/>
      <c r="BI363" s="82"/>
    </row>
    <row r="364">
      <c r="K364" s="79"/>
      <c r="U364" s="79"/>
      <c r="AE364" s="79"/>
      <c r="AF364" s="82"/>
      <c r="AG364" s="82"/>
      <c r="AH364" s="82"/>
      <c r="AI364" s="82"/>
      <c r="AJ364" s="82"/>
      <c r="AK364" s="82"/>
      <c r="AL364" s="82"/>
      <c r="AM364" s="82"/>
      <c r="AN364" s="82"/>
      <c r="AO364" s="81"/>
      <c r="AP364" s="82"/>
      <c r="AQ364" s="82"/>
      <c r="AR364" s="82"/>
      <c r="AS364" s="82"/>
      <c r="AT364" s="82"/>
      <c r="AU364" s="82"/>
      <c r="AV364" s="82"/>
      <c r="AW364" s="82"/>
      <c r="AX364" s="82"/>
      <c r="AY364" s="81"/>
      <c r="AZ364" s="82"/>
      <c r="BA364" s="82"/>
      <c r="BB364" s="82"/>
      <c r="BC364" s="82"/>
      <c r="BD364" s="82"/>
      <c r="BE364" s="82"/>
      <c r="BF364" s="82"/>
      <c r="BG364" s="82"/>
      <c r="BH364" s="82"/>
      <c r="BI364" s="82"/>
    </row>
    <row r="365">
      <c r="K365" s="79"/>
      <c r="U365" s="79"/>
      <c r="AE365" s="79"/>
      <c r="AF365" s="82"/>
      <c r="AG365" s="82"/>
      <c r="AH365" s="82"/>
      <c r="AI365" s="82"/>
      <c r="AJ365" s="82"/>
      <c r="AK365" s="82"/>
      <c r="AL365" s="82"/>
      <c r="AM365" s="82"/>
      <c r="AN365" s="82"/>
      <c r="AO365" s="81"/>
      <c r="AP365" s="82"/>
      <c r="AQ365" s="82"/>
      <c r="AR365" s="82"/>
      <c r="AS365" s="82"/>
      <c r="AT365" s="82"/>
      <c r="AU365" s="82"/>
      <c r="AV365" s="82"/>
      <c r="AW365" s="82"/>
      <c r="AX365" s="82"/>
      <c r="AY365" s="81"/>
      <c r="AZ365" s="82"/>
      <c r="BA365" s="82"/>
      <c r="BB365" s="82"/>
      <c r="BC365" s="82"/>
      <c r="BD365" s="82"/>
      <c r="BE365" s="82"/>
      <c r="BF365" s="82"/>
      <c r="BG365" s="82"/>
      <c r="BH365" s="82"/>
      <c r="BI365" s="82"/>
    </row>
    <row r="366">
      <c r="K366" s="79"/>
      <c r="U366" s="79"/>
      <c r="AE366" s="79"/>
      <c r="AF366" s="82"/>
      <c r="AG366" s="82"/>
      <c r="AH366" s="82"/>
      <c r="AI366" s="82"/>
      <c r="AJ366" s="82"/>
      <c r="AK366" s="82"/>
      <c r="AL366" s="82"/>
      <c r="AM366" s="82"/>
      <c r="AN366" s="82"/>
      <c r="AO366" s="81"/>
      <c r="AP366" s="82"/>
      <c r="AQ366" s="82"/>
      <c r="AR366" s="82"/>
      <c r="AS366" s="82"/>
      <c r="AT366" s="82"/>
      <c r="AU366" s="82"/>
      <c r="AV366" s="82"/>
      <c r="AW366" s="82"/>
      <c r="AX366" s="82"/>
      <c r="AY366" s="81"/>
      <c r="AZ366" s="82"/>
      <c r="BA366" s="82"/>
      <c r="BB366" s="82"/>
      <c r="BC366" s="82"/>
      <c r="BD366" s="82"/>
      <c r="BE366" s="82"/>
      <c r="BF366" s="82"/>
      <c r="BG366" s="82"/>
      <c r="BH366" s="82"/>
      <c r="BI366" s="82"/>
    </row>
    <row r="367">
      <c r="K367" s="79"/>
      <c r="U367" s="79"/>
      <c r="AE367" s="79"/>
      <c r="AF367" s="82"/>
      <c r="AG367" s="82"/>
      <c r="AH367" s="82"/>
      <c r="AI367" s="82"/>
      <c r="AJ367" s="82"/>
      <c r="AK367" s="82"/>
      <c r="AL367" s="82"/>
      <c r="AM367" s="82"/>
      <c r="AN367" s="82"/>
      <c r="AO367" s="81"/>
      <c r="AP367" s="82"/>
      <c r="AQ367" s="82"/>
      <c r="AR367" s="82"/>
      <c r="AS367" s="82"/>
      <c r="AT367" s="82"/>
      <c r="AU367" s="82"/>
      <c r="AV367" s="82"/>
      <c r="AW367" s="82"/>
      <c r="AX367" s="82"/>
      <c r="AY367" s="81"/>
      <c r="AZ367" s="82"/>
      <c r="BA367" s="82"/>
      <c r="BB367" s="82"/>
      <c r="BC367" s="82"/>
      <c r="BD367" s="82"/>
      <c r="BE367" s="82"/>
      <c r="BF367" s="82"/>
      <c r="BG367" s="82"/>
      <c r="BH367" s="82"/>
      <c r="BI367" s="82"/>
    </row>
    <row r="368">
      <c r="K368" s="79"/>
      <c r="U368" s="79"/>
      <c r="AE368" s="79"/>
      <c r="AF368" s="82"/>
      <c r="AG368" s="82"/>
      <c r="AH368" s="82"/>
      <c r="AI368" s="82"/>
      <c r="AJ368" s="82"/>
      <c r="AK368" s="82"/>
      <c r="AL368" s="82"/>
      <c r="AM368" s="82"/>
      <c r="AN368" s="82"/>
      <c r="AO368" s="81"/>
      <c r="AP368" s="82"/>
      <c r="AQ368" s="82"/>
      <c r="AR368" s="82"/>
      <c r="AS368" s="82"/>
      <c r="AT368" s="82"/>
      <c r="AU368" s="82"/>
      <c r="AV368" s="82"/>
      <c r="AW368" s="82"/>
      <c r="AX368" s="82"/>
      <c r="AY368" s="81"/>
      <c r="AZ368" s="82"/>
      <c r="BA368" s="82"/>
      <c r="BB368" s="82"/>
      <c r="BC368" s="82"/>
      <c r="BD368" s="82"/>
      <c r="BE368" s="82"/>
      <c r="BF368" s="82"/>
      <c r="BG368" s="82"/>
      <c r="BH368" s="82"/>
      <c r="BI368" s="82"/>
    </row>
    <row r="369">
      <c r="K369" s="79"/>
      <c r="U369" s="79"/>
      <c r="AE369" s="79"/>
      <c r="AF369" s="82"/>
      <c r="AG369" s="82"/>
      <c r="AH369" s="82"/>
      <c r="AI369" s="82"/>
      <c r="AJ369" s="82"/>
      <c r="AK369" s="82"/>
      <c r="AL369" s="82"/>
      <c r="AM369" s="82"/>
      <c r="AN369" s="82"/>
      <c r="AO369" s="81"/>
      <c r="AP369" s="82"/>
      <c r="AQ369" s="82"/>
      <c r="AR369" s="82"/>
      <c r="AS369" s="82"/>
      <c r="AT369" s="82"/>
      <c r="AU369" s="82"/>
      <c r="AV369" s="82"/>
      <c r="AW369" s="82"/>
      <c r="AX369" s="82"/>
      <c r="AY369" s="81"/>
      <c r="AZ369" s="82"/>
      <c r="BA369" s="82"/>
      <c r="BB369" s="82"/>
      <c r="BC369" s="82"/>
      <c r="BD369" s="82"/>
      <c r="BE369" s="82"/>
      <c r="BF369" s="82"/>
      <c r="BG369" s="82"/>
      <c r="BH369" s="82"/>
      <c r="BI369" s="82"/>
    </row>
    <row r="370">
      <c r="K370" s="79"/>
      <c r="U370" s="79"/>
      <c r="AE370" s="79"/>
      <c r="AF370" s="82"/>
      <c r="AG370" s="82"/>
      <c r="AH370" s="82"/>
      <c r="AI370" s="82"/>
      <c r="AJ370" s="82"/>
      <c r="AK370" s="82"/>
      <c r="AL370" s="82"/>
      <c r="AM370" s="82"/>
      <c r="AN370" s="82"/>
      <c r="AO370" s="81"/>
      <c r="AP370" s="82"/>
      <c r="AQ370" s="82"/>
      <c r="AR370" s="82"/>
      <c r="AS370" s="82"/>
      <c r="AT370" s="82"/>
      <c r="AU370" s="82"/>
      <c r="AV370" s="82"/>
      <c r="AW370" s="82"/>
      <c r="AX370" s="82"/>
      <c r="AY370" s="81"/>
      <c r="AZ370" s="82"/>
      <c r="BA370" s="82"/>
      <c r="BB370" s="82"/>
      <c r="BC370" s="82"/>
      <c r="BD370" s="82"/>
      <c r="BE370" s="82"/>
      <c r="BF370" s="82"/>
      <c r="BG370" s="82"/>
      <c r="BH370" s="82"/>
      <c r="BI370" s="82"/>
    </row>
    <row r="371">
      <c r="K371" s="79"/>
      <c r="U371" s="79"/>
      <c r="AE371" s="79"/>
      <c r="AF371" s="82"/>
      <c r="AG371" s="82"/>
      <c r="AH371" s="82"/>
      <c r="AI371" s="82"/>
      <c r="AJ371" s="82"/>
      <c r="AK371" s="82"/>
      <c r="AL371" s="82"/>
      <c r="AM371" s="82"/>
      <c r="AN371" s="82"/>
      <c r="AO371" s="81"/>
      <c r="AP371" s="82"/>
      <c r="AQ371" s="82"/>
      <c r="AR371" s="82"/>
      <c r="AS371" s="82"/>
      <c r="AT371" s="82"/>
      <c r="AU371" s="82"/>
      <c r="AV371" s="82"/>
      <c r="AW371" s="82"/>
      <c r="AX371" s="82"/>
      <c r="AY371" s="81"/>
      <c r="AZ371" s="82"/>
      <c r="BA371" s="82"/>
      <c r="BB371" s="82"/>
      <c r="BC371" s="82"/>
      <c r="BD371" s="82"/>
      <c r="BE371" s="82"/>
      <c r="BF371" s="82"/>
      <c r="BG371" s="82"/>
      <c r="BH371" s="82"/>
      <c r="BI371" s="82"/>
    </row>
    <row r="372">
      <c r="K372" s="79"/>
      <c r="U372" s="79"/>
      <c r="AE372" s="79"/>
      <c r="AF372" s="82"/>
      <c r="AG372" s="82"/>
      <c r="AH372" s="82"/>
      <c r="AI372" s="82"/>
      <c r="AJ372" s="82"/>
      <c r="AK372" s="82"/>
      <c r="AL372" s="82"/>
      <c r="AM372" s="82"/>
      <c r="AN372" s="82"/>
      <c r="AO372" s="81"/>
      <c r="AP372" s="82"/>
      <c r="AQ372" s="82"/>
      <c r="AR372" s="82"/>
      <c r="AS372" s="82"/>
      <c r="AT372" s="82"/>
      <c r="AU372" s="82"/>
      <c r="AV372" s="82"/>
      <c r="AW372" s="82"/>
      <c r="AX372" s="82"/>
      <c r="AY372" s="81"/>
      <c r="AZ372" s="82"/>
      <c r="BA372" s="82"/>
      <c r="BB372" s="82"/>
      <c r="BC372" s="82"/>
      <c r="BD372" s="82"/>
      <c r="BE372" s="82"/>
      <c r="BF372" s="82"/>
      <c r="BG372" s="82"/>
      <c r="BH372" s="82"/>
      <c r="BI372" s="82"/>
    </row>
    <row r="373">
      <c r="K373" s="79"/>
      <c r="U373" s="79"/>
      <c r="AE373" s="79"/>
      <c r="AF373" s="82"/>
      <c r="AG373" s="82"/>
      <c r="AH373" s="82"/>
      <c r="AI373" s="82"/>
      <c r="AJ373" s="82"/>
      <c r="AK373" s="82"/>
      <c r="AL373" s="82"/>
      <c r="AM373" s="82"/>
      <c r="AN373" s="82"/>
      <c r="AO373" s="81"/>
      <c r="AP373" s="82"/>
      <c r="AQ373" s="82"/>
      <c r="AR373" s="82"/>
      <c r="AS373" s="82"/>
      <c r="AT373" s="82"/>
      <c r="AU373" s="82"/>
      <c r="AV373" s="82"/>
      <c r="AW373" s="82"/>
      <c r="AX373" s="82"/>
      <c r="AY373" s="81"/>
      <c r="AZ373" s="82"/>
      <c r="BA373" s="82"/>
      <c r="BB373" s="82"/>
      <c r="BC373" s="82"/>
      <c r="BD373" s="82"/>
      <c r="BE373" s="82"/>
      <c r="BF373" s="82"/>
      <c r="BG373" s="82"/>
      <c r="BH373" s="82"/>
      <c r="BI373" s="82"/>
    </row>
    <row r="374">
      <c r="K374" s="79"/>
      <c r="U374" s="79"/>
      <c r="AE374" s="79"/>
      <c r="AF374" s="82"/>
      <c r="AG374" s="82"/>
      <c r="AH374" s="82"/>
      <c r="AI374" s="82"/>
      <c r="AJ374" s="82"/>
      <c r="AK374" s="82"/>
      <c r="AL374" s="82"/>
      <c r="AM374" s="82"/>
      <c r="AN374" s="82"/>
      <c r="AO374" s="81"/>
      <c r="AP374" s="82"/>
      <c r="AQ374" s="82"/>
      <c r="AR374" s="82"/>
      <c r="AS374" s="82"/>
      <c r="AT374" s="82"/>
      <c r="AU374" s="82"/>
      <c r="AV374" s="82"/>
      <c r="AW374" s="82"/>
      <c r="AX374" s="82"/>
      <c r="AY374" s="81"/>
      <c r="AZ374" s="82"/>
      <c r="BA374" s="82"/>
      <c r="BB374" s="82"/>
      <c r="BC374" s="82"/>
      <c r="BD374" s="82"/>
      <c r="BE374" s="82"/>
      <c r="BF374" s="82"/>
      <c r="BG374" s="82"/>
      <c r="BH374" s="82"/>
      <c r="BI374" s="82"/>
    </row>
    <row r="375">
      <c r="K375" s="79"/>
      <c r="U375" s="79"/>
      <c r="AE375" s="79"/>
      <c r="AF375" s="82"/>
      <c r="AG375" s="82"/>
      <c r="AH375" s="82"/>
      <c r="AI375" s="82"/>
      <c r="AJ375" s="82"/>
      <c r="AK375" s="82"/>
      <c r="AL375" s="82"/>
      <c r="AM375" s="82"/>
      <c r="AN375" s="82"/>
      <c r="AO375" s="81"/>
      <c r="AP375" s="82"/>
      <c r="AQ375" s="82"/>
      <c r="AR375" s="82"/>
      <c r="AS375" s="82"/>
      <c r="AT375" s="82"/>
      <c r="AU375" s="82"/>
      <c r="AV375" s="82"/>
      <c r="AW375" s="82"/>
      <c r="AX375" s="82"/>
      <c r="AY375" s="81"/>
      <c r="AZ375" s="82"/>
      <c r="BA375" s="82"/>
      <c r="BB375" s="82"/>
      <c r="BC375" s="82"/>
      <c r="BD375" s="82"/>
      <c r="BE375" s="82"/>
      <c r="BF375" s="82"/>
      <c r="BG375" s="82"/>
      <c r="BH375" s="82"/>
      <c r="BI375" s="82"/>
    </row>
    <row r="376">
      <c r="K376" s="79"/>
      <c r="U376" s="79"/>
      <c r="AE376" s="79"/>
      <c r="AF376" s="82"/>
      <c r="AG376" s="82"/>
      <c r="AH376" s="82"/>
      <c r="AI376" s="82"/>
      <c r="AJ376" s="82"/>
      <c r="AK376" s="82"/>
      <c r="AL376" s="82"/>
      <c r="AM376" s="82"/>
      <c r="AN376" s="82"/>
      <c r="AO376" s="81"/>
      <c r="AP376" s="82"/>
      <c r="AQ376" s="82"/>
      <c r="AR376" s="82"/>
      <c r="AS376" s="82"/>
      <c r="AT376" s="82"/>
      <c r="AU376" s="82"/>
      <c r="AV376" s="82"/>
      <c r="AW376" s="82"/>
      <c r="AX376" s="82"/>
      <c r="AY376" s="81"/>
      <c r="AZ376" s="82"/>
      <c r="BA376" s="82"/>
      <c r="BB376" s="82"/>
      <c r="BC376" s="82"/>
      <c r="BD376" s="82"/>
      <c r="BE376" s="82"/>
      <c r="BF376" s="82"/>
      <c r="BG376" s="82"/>
      <c r="BH376" s="82"/>
      <c r="BI376" s="82"/>
    </row>
    <row r="377">
      <c r="K377" s="79"/>
      <c r="U377" s="79"/>
      <c r="AE377" s="79"/>
      <c r="AF377" s="82"/>
      <c r="AG377" s="82"/>
      <c r="AH377" s="82"/>
      <c r="AI377" s="82"/>
      <c r="AJ377" s="82"/>
      <c r="AK377" s="82"/>
      <c r="AL377" s="82"/>
      <c r="AM377" s="82"/>
      <c r="AN377" s="82"/>
      <c r="AO377" s="81"/>
      <c r="AP377" s="82"/>
      <c r="AQ377" s="82"/>
      <c r="AR377" s="82"/>
      <c r="AS377" s="82"/>
      <c r="AT377" s="82"/>
      <c r="AU377" s="82"/>
      <c r="AV377" s="82"/>
      <c r="AW377" s="82"/>
      <c r="AX377" s="82"/>
      <c r="AY377" s="81"/>
      <c r="AZ377" s="82"/>
      <c r="BA377" s="82"/>
      <c r="BB377" s="82"/>
      <c r="BC377" s="82"/>
      <c r="BD377" s="82"/>
      <c r="BE377" s="82"/>
      <c r="BF377" s="82"/>
      <c r="BG377" s="82"/>
      <c r="BH377" s="82"/>
      <c r="BI377" s="82"/>
    </row>
    <row r="378">
      <c r="K378" s="79"/>
      <c r="U378" s="79"/>
      <c r="AE378" s="79"/>
      <c r="AF378" s="82"/>
      <c r="AG378" s="82"/>
      <c r="AH378" s="82"/>
      <c r="AI378" s="82"/>
      <c r="AJ378" s="82"/>
      <c r="AK378" s="82"/>
      <c r="AL378" s="82"/>
      <c r="AM378" s="82"/>
      <c r="AN378" s="82"/>
      <c r="AO378" s="81"/>
      <c r="AP378" s="82"/>
      <c r="AQ378" s="82"/>
      <c r="AR378" s="82"/>
      <c r="AS378" s="82"/>
      <c r="AT378" s="82"/>
      <c r="AU378" s="82"/>
      <c r="AV378" s="82"/>
      <c r="AW378" s="82"/>
      <c r="AX378" s="82"/>
      <c r="AY378" s="81"/>
      <c r="AZ378" s="82"/>
      <c r="BA378" s="82"/>
      <c r="BB378" s="82"/>
      <c r="BC378" s="82"/>
      <c r="BD378" s="82"/>
      <c r="BE378" s="82"/>
      <c r="BF378" s="82"/>
      <c r="BG378" s="82"/>
      <c r="BH378" s="82"/>
      <c r="BI378" s="82"/>
    </row>
    <row r="379">
      <c r="K379" s="79"/>
      <c r="U379" s="79"/>
      <c r="AE379" s="79"/>
      <c r="AF379" s="82"/>
      <c r="AG379" s="82"/>
      <c r="AH379" s="82"/>
      <c r="AI379" s="82"/>
      <c r="AJ379" s="82"/>
      <c r="AK379" s="82"/>
      <c r="AL379" s="82"/>
      <c r="AM379" s="82"/>
      <c r="AN379" s="82"/>
      <c r="AO379" s="81"/>
      <c r="AP379" s="82"/>
      <c r="AQ379" s="82"/>
      <c r="AR379" s="82"/>
      <c r="AS379" s="82"/>
      <c r="AT379" s="82"/>
      <c r="AU379" s="82"/>
      <c r="AV379" s="82"/>
      <c r="AW379" s="82"/>
      <c r="AX379" s="82"/>
      <c r="AY379" s="81"/>
      <c r="AZ379" s="82"/>
      <c r="BA379" s="82"/>
      <c r="BB379" s="82"/>
      <c r="BC379" s="82"/>
      <c r="BD379" s="82"/>
      <c r="BE379" s="82"/>
      <c r="BF379" s="82"/>
      <c r="BG379" s="82"/>
      <c r="BH379" s="82"/>
      <c r="BI379" s="82"/>
    </row>
    <row r="380">
      <c r="K380" s="79"/>
      <c r="U380" s="79"/>
      <c r="AE380" s="79"/>
      <c r="AF380" s="82"/>
      <c r="AG380" s="82"/>
      <c r="AH380" s="82"/>
      <c r="AI380" s="82"/>
      <c r="AJ380" s="82"/>
      <c r="AK380" s="82"/>
      <c r="AL380" s="82"/>
      <c r="AM380" s="82"/>
      <c r="AN380" s="82"/>
      <c r="AO380" s="81"/>
      <c r="AP380" s="82"/>
      <c r="AQ380" s="82"/>
      <c r="AR380" s="82"/>
      <c r="AS380" s="82"/>
      <c r="AT380" s="82"/>
      <c r="AU380" s="82"/>
      <c r="AV380" s="82"/>
      <c r="AW380" s="82"/>
      <c r="AX380" s="82"/>
      <c r="AY380" s="81"/>
      <c r="AZ380" s="82"/>
      <c r="BA380" s="82"/>
      <c r="BB380" s="82"/>
      <c r="BC380" s="82"/>
      <c r="BD380" s="82"/>
      <c r="BE380" s="82"/>
      <c r="BF380" s="82"/>
      <c r="BG380" s="82"/>
      <c r="BH380" s="82"/>
      <c r="BI380" s="82"/>
    </row>
    <row r="381">
      <c r="K381" s="79"/>
      <c r="U381" s="79"/>
      <c r="AE381" s="79"/>
      <c r="AF381" s="82"/>
      <c r="AG381" s="82"/>
      <c r="AH381" s="82"/>
      <c r="AI381" s="82"/>
      <c r="AJ381" s="82"/>
      <c r="AK381" s="82"/>
      <c r="AL381" s="82"/>
      <c r="AM381" s="82"/>
      <c r="AN381" s="82"/>
      <c r="AO381" s="81"/>
      <c r="AP381" s="82"/>
      <c r="AQ381" s="82"/>
      <c r="AR381" s="82"/>
      <c r="AS381" s="82"/>
      <c r="AT381" s="82"/>
      <c r="AU381" s="82"/>
      <c r="AV381" s="82"/>
      <c r="AW381" s="82"/>
      <c r="AX381" s="82"/>
      <c r="AY381" s="81"/>
      <c r="AZ381" s="82"/>
      <c r="BA381" s="82"/>
      <c r="BB381" s="82"/>
      <c r="BC381" s="82"/>
      <c r="BD381" s="82"/>
      <c r="BE381" s="82"/>
      <c r="BF381" s="82"/>
      <c r="BG381" s="82"/>
      <c r="BH381" s="82"/>
      <c r="BI381" s="82"/>
    </row>
    <row r="382">
      <c r="K382" s="79"/>
      <c r="U382" s="79"/>
      <c r="AE382" s="79"/>
      <c r="AF382" s="82"/>
      <c r="AG382" s="82"/>
      <c r="AH382" s="82"/>
      <c r="AI382" s="82"/>
      <c r="AJ382" s="82"/>
      <c r="AK382" s="82"/>
      <c r="AL382" s="82"/>
      <c r="AM382" s="82"/>
      <c r="AN382" s="82"/>
      <c r="AO382" s="81"/>
      <c r="AP382" s="82"/>
      <c r="AQ382" s="82"/>
      <c r="AR382" s="82"/>
      <c r="AS382" s="82"/>
      <c r="AT382" s="82"/>
      <c r="AU382" s="82"/>
      <c r="AV382" s="82"/>
      <c r="AW382" s="82"/>
      <c r="AX382" s="82"/>
      <c r="AY382" s="81"/>
      <c r="AZ382" s="82"/>
      <c r="BA382" s="82"/>
      <c r="BB382" s="82"/>
      <c r="BC382" s="82"/>
      <c r="BD382" s="82"/>
      <c r="BE382" s="82"/>
      <c r="BF382" s="82"/>
      <c r="BG382" s="82"/>
      <c r="BH382" s="82"/>
      <c r="BI382" s="82"/>
    </row>
    <row r="383">
      <c r="K383" s="79"/>
      <c r="U383" s="79"/>
      <c r="AE383" s="79"/>
      <c r="AF383" s="82"/>
      <c r="AG383" s="82"/>
      <c r="AH383" s="82"/>
      <c r="AI383" s="82"/>
      <c r="AJ383" s="82"/>
      <c r="AK383" s="82"/>
      <c r="AL383" s="82"/>
      <c r="AM383" s="82"/>
      <c r="AN383" s="82"/>
      <c r="AO383" s="81"/>
      <c r="AP383" s="82"/>
      <c r="AQ383" s="82"/>
      <c r="AR383" s="82"/>
      <c r="AS383" s="82"/>
      <c r="AT383" s="82"/>
      <c r="AU383" s="82"/>
      <c r="AV383" s="82"/>
      <c r="AW383" s="82"/>
      <c r="AX383" s="82"/>
      <c r="AY383" s="81"/>
      <c r="AZ383" s="82"/>
      <c r="BA383" s="82"/>
      <c r="BB383" s="82"/>
      <c r="BC383" s="82"/>
      <c r="BD383" s="82"/>
      <c r="BE383" s="82"/>
      <c r="BF383" s="82"/>
      <c r="BG383" s="82"/>
      <c r="BH383" s="82"/>
      <c r="BI383" s="82"/>
    </row>
    <row r="384">
      <c r="K384" s="79"/>
      <c r="U384" s="79"/>
      <c r="AE384" s="79"/>
      <c r="AF384" s="82"/>
      <c r="AG384" s="82"/>
      <c r="AH384" s="82"/>
      <c r="AI384" s="82"/>
      <c r="AJ384" s="82"/>
      <c r="AK384" s="82"/>
      <c r="AL384" s="82"/>
      <c r="AM384" s="82"/>
      <c r="AN384" s="82"/>
      <c r="AO384" s="81"/>
      <c r="AP384" s="82"/>
      <c r="AQ384" s="82"/>
      <c r="AR384" s="82"/>
      <c r="AS384" s="82"/>
      <c r="AT384" s="82"/>
      <c r="AU384" s="82"/>
      <c r="AV384" s="82"/>
      <c r="AW384" s="82"/>
      <c r="AX384" s="82"/>
      <c r="AY384" s="81"/>
      <c r="AZ384" s="82"/>
      <c r="BA384" s="82"/>
      <c r="BB384" s="82"/>
      <c r="BC384" s="82"/>
      <c r="BD384" s="82"/>
      <c r="BE384" s="82"/>
      <c r="BF384" s="82"/>
      <c r="BG384" s="82"/>
      <c r="BH384" s="82"/>
      <c r="BI384" s="82"/>
    </row>
    <row r="385">
      <c r="K385" s="79"/>
      <c r="U385" s="79"/>
      <c r="AE385" s="79"/>
      <c r="AF385" s="82"/>
      <c r="AG385" s="82"/>
      <c r="AH385" s="82"/>
      <c r="AI385" s="82"/>
      <c r="AJ385" s="82"/>
      <c r="AK385" s="82"/>
      <c r="AL385" s="82"/>
      <c r="AM385" s="82"/>
      <c r="AN385" s="82"/>
      <c r="AO385" s="81"/>
      <c r="AP385" s="82"/>
      <c r="AQ385" s="82"/>
      <c r="AR385" s="82"/>
      <c r="AS385" s="82"/>
      <c r="AT385" s="82"/>
      <c r="AU385" s="82"/>
      <c r="AV385" s="82"/>
      <c r="AW385" s="82"/>
      <c r="AX385" s="82"/>
      <c r="AY385" s="81"/>
      <c r="AZ385" s="82"/>
      <c r="BA385" s="82"/>
      <c r="BB385" s="82"/>
      <c r="BC385" s="82"/>
      <c r="BD385" s="82"/>
      <c r="BE385" s="82"/>
      <c r="BF385" s="82"/>
      <c r="BG385" s="82"/>
      <c r="BH385" s="82"/>
      <c r="BI385" s="82"/>
    </row>
    <row r="386">
      <c r="K386" s="79"/>
      <c r="U386" s="79"/>
      <c r="AE386" s="79"/>
      <c r="AF386" s="82"/>
      <c r="AG386" s="82"/>
      <c r="AH386" s="82"/>
      <c r="AI386" s="82"/>
      <c r="AJ386" s="82"/>
      <c r="AK386" s="82"/>
      <c r="AL386" s="82"/>
      <c r="AM386" s="82"/>
      <c r="AN386" s="82"/>
      <c r="AO386" s="81"/>
      <c r="AP386" s="82"/>
      <c r="AQ386" s="82"/>
      <c r="AR386" s="82"/>
      <c r="AS386" s="82"/>
      <c r="AT386" s="82"/>
      <c r="AU386" s="82"/>
      <c r="AV386" s="82"/>
      <c r="AW386" s="82"/>
      <c r="AX386" s="82"/>
      <c r="AY386" s="81"/>
      <c r="AZ386" s="82"/>
      <c r="BA386" s="82"/>
      <c r="BB386" s="82"/>
      <c r="BC386" s="82"/>
      <c r="BD386" s="82"/>
      <c r="BE386" s="82"/>
      <c r="BF386" s="82"/>
      <c r="BG386" s="82"/>
      <c r="BH386" s="82"/>
      <c r="BI386" s="82"/>
    </row>
    <row r="387">
      <c r="K387" s="79"/>
      <c r="U387" s="79"/>
      <c r="AE387" s="79"/>
      <c r="AF387" s="82"/>
      <c r="AG387" s="82"/>
      <c r="AH387" s="82"/>
      <c r="AI387" s="82"/>
      <c r="AJ387" s="82"/>
      <c r="AK387" s="82"/>
      <c r="AL387" s="82"/>
      <c r="AM387" s="82"/>
      <c r="AN387" s="82"/>
      <c r="AO387" s="81"/>
      <c r="AP387" s="82"/>
      <c r="AQ387" s="82"/>
      <c r="AR387" s="82"/>
      <c r="AS387" s="82"/>
      <c r="AT387" s="82"/>
      <c r="AU387" s="82"/>
      <c r="AV387" s="82"/>
      <c r="AW387" s="82"/>
      <c r="AX387" s="82"/>
      <c r="AY387" s="81"/>
      <c r="AZ387" s="82"/>
      <c r="BA387" s="82"/>
      <c r="BB387" s="82"/>
      <c r="BC387" s="82"/>
      <c r="BD387" s="82"/>
      <c r="BE387" s="82"/>
      <c r="BF387" s="82"/>
      <c r="BG387" s="82"/>
      <c r="BH387" s="82"/>
      <c r="BI387" s="82"/>
    </row>
    <row r="388">
      <c r="K388" s="79"/>
      <c r="U388" s="79"/>
      <c r="AE388" s="79"/>
      <c r="AF388" s="82"/>
      <c r="AG388" s="82"/>
      <c r="AH388" s="82"/>
      <c r="AI388" s="82"/>
      <c r="AJ388" s="82"/>
      <c r="AK388" s="82"/>
      <c r="AL388" s="82"/>
      <c r="AM388" s="82"/>
      <c r="AN388" s="82"/>
      <c r="AO388" s="81"/>
      <c r="AP388" s="82"/>
      <c r="AQ388" s="82"/>
      <c r="AR388" s="82"/>
      <c r="AS388" s="82"/>
      <c r="AT388" s="82"/>
      <c r="AU388" s="82"/>
      <c r="AV388" s="82"/>
      <c r="AW388" s="82"/>
      <c r="AX388" s="82"/>
      <c r="AY388" s="81"/>
      <c r="AZ388" s="82"/>
      <c r="BA388" s="82"/>
      <c r="BB388" s="82"/>
      <c r="BC388" s="82"/>
      <c r="BD388" s="82"/>
      <c r="BE388" s="82"/>
      <c r="BF388" s="82"/>
      <c r="BG388" s="82"/>
      <c r="BH388" s="82"/>
      <c r="BI388" s="82"/>
    </row>
    <row r="389">
      <c r="K389" s="79"/>
      <c r="U389" s="79"/>
      <c r="AE389" s="79"/>
      <c r="AF389" s="82"/>
      <c r="AG389" s="82"/>
      <c r="AH389" s="82"/>
      <c r="AI389" s="82"/>
      <c r="AJ389" s="82"/>
      <c r="AK389" s="82"/>
      <c r="AL389" s="82"/>
      <c r="AM389" s="82"/>
      <c r="AN389" s="82"/>
      <c r="AO389" s="81"/>
      <c r="AP389" s="82"/>
      <c r="AQ389" s="82"/>
      <c r="AR389" s="82"/>
      <c r="AS389" s="82"/>
      <c r="AT389" s="82"/>
      <c r="AU389" s="82"/>
      <c r="AV389" s="82"/>
      <c r="AW389" s="82"/>
      <c r="AX389" s="82"/>
      <c r="AY389" s="81"/>
      <c r="AZ389" s="82"/>
      <c r="BA389" s="82"/>
      <c r="BB389" s="82"/>
      <c r="BC389" s="82"/>
      <c r="BD389" s="82"/>
      <c r="BE389" s="82"/>
      <c r="BF389" s="82"/>
      <c r="BG389" s="82"/>
      <c r="BH389" s="82"/>
      <c r="BI389" s="82"/>
    </row>
    <row r="390">
      <c r="K390" s="79"/>
      <c r="U390" s="79"/>
      <c r="AE390" s="79"/>
      <c r="AF390" s="82"/>
      <c r="AG390" s="82"/>
      <c r="AH390" s="82"/>
      <c r="AI390" s="82"/>
      <c r="AJ390" s="82"/>
      <c r="AK390" s="82"/>
      <c r="AL390" s="82"/>
      <c r="AM390" s="82"/>
      <c r="AN390" s="82"/>
      <c r="AO390" s="81"/>
      <c r="AP390" s="82"/>
      <c r="AQ390" s="82"/>
      <c r="AR390" s="82"/>
      <c r="AS390" s="82"/>
      <c r="AT390" s="82"/>
      <c r="AU390" s="82"/>
      <c r="AV390" s="82"/>
      <c r="AW390" s="82"/>
      <c r="AX390" s="82"/>
      <c r="AY390" s="81"/>
      <c r="AZ390" s="82"/>
      <c r="BA390" s="82"/>
      <c r="BB390" s="82"/>
      <c r="BC390" s="82"/>
      <c r="BD390" s="82"/>
      <c r="BE390" s="82"/>
      <c r="BF390" s="82"/>
      <c r="BG390" s="82"/>
      <c r="BH390" s="82"/>
      <c r="BI390" s="82"/>
    </row>
    <row r="391">
      <c r="K391" s="79"/>
      <c r="U391" s="79"/>
      <c r="AE391" s="79"/>
      <c r="AF391" s="82"/>
      <c r="AG391" s="82"/>
      <c r="AH391" s="82"/>
      <c r="AI391" s="82"/>
      <c r="AJ391" s="82"/>
      <c r="AK391" s="82"/>
      <c r="AL391" s="82"/>
      <c r="AM391" s="82"/>
      <c r="AN391" s="82"/>
      <c r="AO391" s="81"/>
      <c r="AP391" s="82"/>
      <c r="AQ391" s="82"/>
      <c r="AR391" s="82"/>
      <c r="AS391" s="82"/>
      <c r="AT391" s="82"/>
      <c r="AU391" s="82"/>
      <c r="AV391" s="82"/>
      <c r="AW391" s="82"/>
      <c r="AX391" s="82"/>
      <c r="AY391" s="81"/>
      <c r="AZ391" s="82"/>
      <c r="BA391" s="82"/>
      <c r="BB391" s="82"/>
      <c r="BC391" s="82"/>
      <c r="BD391" s="82"/>
      <c r="BE391" s="82"/>
      <c r="BF391" s="82"/>
      <c r="BG391" s="82"/>
      <c r="BH391" s="82"/>
      <c r="BI391" s="82"/>
    </row>
    <row r="392">
      <c r="K392" s="79"/>
      <c r="U392" s="79"/>
      <c r="AE392" s="79"/>
      <c r="AF392" s="82"/>
      <c r="AG392" s="82"/>
      <c r="AH392" s="82"/>
      <c r="AI392" s="82"/>
      <c r="AJ392" s="82"/>
      <c r="AK392" s="82"/>
      <c r="AL392" s="82"/>
      <c r="AM392" s="82"/>
      <c r="AN392" s="82"/>
      <c r="AO392" s="81"/>
      <c r="AP392" s="82"/>
      <c r="AQ392" s="82"/>
      <c r="AR392" s="82"/>
      <c r="AS392" s="82"/>
      <c r="AT392" s="82"/>
      <c r="AU392" s="82"/>
      <c r="AV392" s="82"/>
      <c r="AW392" s="82"/>
      <c r="AX392" s="82"/>
      <c r="AY392" s="81"/>
      <c r="AZ392" s="82"/>
      <c r="BA392" s="82"/>
      <c r="BB392" s="82"/>
      <c r="BC392" s="82"/>
      <c r="BD392" s="82"/>
      <c r="BE392" s="82"/>
      <c r="BF392" s="82"/>
      <c r="BG392" s="82"/>
      <c r="BH392" s="82"/>
      <c r="BI392" s="82"/>
    </row>
    <row r="393">
      <c r="K393" s="79"/>
      <c r="U393" s="79"/>
      <c r="AE393" s="79"/>
      <c r="AF393" s="82"/>
      <c r="AG393" s="82"/>
      <c r="AH393" s="82"/>
      <c r="AI393" s="82"/>
      <c r="AJ393" s="82"/>
      <c r="AK393" s="82"/>
      <c r="AL393" s="82"/>
      <c r="AM393" s="82"/>
      <c r="AN393" s="82"/>
      <c r="AO393" s="81"/>
      <c r="AP393" s="82"/>
      <c r="AQ393" s="82"/>
      <c r="AR393" s="82"/>
      <c r="AS393" s="82"/>
      <c r="AT393" s="82"/>
      <c r="AU393" s="82"/>
      <c r="AV393" s="82"/>
      <c r="AW393" s="82"/>
      <c r="AX393" s="82"/>
      <c r="AY393" s="81"/>
      <c r="AZ393" s="82"/>
      <c r="BA393" s="82"/>
      <c r="BB393" s="82"/>
      <c r="BC393" s="82"/>
      <c r="BD393" s="82"/>
      <c r="BE393" s="82"/>
      <c r="BF393" s="82"/>
      <c r="BG393" s="82"/>
      <c r="BH393" s="82"/>
      <c r="BI393" s="82"/>
    </row>
    <row r="394">
      <c r="K394" s="79"/>
      <c r="U394" s="79"/>
      <c r="AE394" s="79"/>
      <c r="AF394" s="82"/>
      <c r="AG394" s="82"/>
      <c r="AH394" s="82"/>
      <c r="AI394" s="82"/>
      <c r="AJ394" s="82"/>
      <c r="AK394" s="82"/>
      <c r="AL394" s="82"/>
      <c r="AM394" s="82"/>
      <c r="AN394" s="82"/>
      <c r="AO394" s="81"/>
      <c r="AP394" s="82"/>
      <c r="AQ394" s="82"/>
      <c r="AR394" s="82"/>
      <c r="AS394" s="82"/>
      <c r="AT394" s="82"/>
      <c r="AU394" s="82"/>
      <c r="AV394" s="82"/>
      <c r="AW394" s="82"/>
      <c r="AX394" s="82"/>
      <c r="AY394" s="81"/>
      <c r="AZ394" s="82"/>
      <c r="BA394" s="82"/>
      <c r="BB394" s="82"/>
      <c r="BC394" s="82"/>
      <c r="BD394" s="82"/>
      <c r="BE394" s="82"/>
      <c r="BF394" s="82"/>
      <c r="BG394" s="82"/>
      <c r="BH394" s="82"/>
      <c r="BI394" s="82"/>
    </row>
    <row r="395">
      <c r="K395" s="79"/>
      <c r="U395" s="79"/>
      <c r="AE395" s="79"/>
      <c r="AF395" s="82"/>
      <c r="AG395" s="82"/>
      <c r="AH395" s="82"/>
      <c r="AI395" s="82"/>
      <c r="AJ395" s="82"/>
      <c r="AK395" s="82"/>
      <c r="AL395" s="82"/>
      <c r="AM395" s="82"/>
      <c r="AN395" s="82"/>
      <c r="AO395" s="81"/>
      <c r="AP395" s="82"/>
      <c r="AQ395" s="82"/>
      <c r="AR395" s="82"/>
      <c r="AS395" s="82"/>
      <c r="AT395" s="82"/>
      <c r="AU395" s="82"/>
      <c r="AV395" s="82"/>
      <c r="AW395" s="82"/>
      <c r="AX395" s="82"/>
      <c r="AY395" s="81"/>
      <c r="AZ395" s="82"/>
      <c r="BA395" s="82"/>
      <c r="BB395" s="82"/>
      <c r="BC395" s="82"/>
      <c r="BD395" s="82"/>
      <c r="BE395" s="82"/>
      <c r="BF395" s="82"/>
      <c r="BG395" s="82"/>
      <c r="BH395" s="82"/>
      <c r="BI395" s="82"/>
    </row>
    <row r="396">
      <c r="K396" s="79"/>
      <c r="U396" s="79"/>
      <c r="AE396" s="79"/>
      <c r="AF396" s="82"/>
      <c r="AG396" s="82"/>
      <c r="AH396" s="82"/>
      <c r="AI396" s="82"/>
      <c r="AJ396" s="82"/>
      <c r="AK396" s="82"/>
      <c r="AL396" s="82"/>
      <c r="AM396" s="82"/>
      <c r="AN396" s="82"/>
      <c r="AO396" s="81"/>
      <c r="AP396" s="82"/>
      <c r="AQ396" s="82"/>
      <c r="AR396" s="82"/>
      <c r="AS396" s="82"/>
      <c r="AT396" s="82"/>
      <c r="AU396" s="82"/>
      <c r="AV396" s="82"/>
      <c r="AW396" s="82"/>
      <c r="AX396" s="82"/>
      <c r="AY396" s="81"/>
      <c r="AZ396" s="82"/>
      <c r="BA396" s="82"/>
      <c r="BB396" s="82"/>
      <c r="BC396" s="82"/>
      <c r="BD396" s="82"/>
      <c r="BE396" s="82"/>
      <c r="BF396" s="82"/>
      <c r="BG396" s="82"/>
      <c r="BH396" s="82"/>
      <c r="BI396" s="82"/>
    </row>
    <row r="397">
      <c r="K397" s="79"/>
      <c r="U397" s="79"/>
      <c r="AE397" s="79"/>
      <c r="AF397" s="82"/>
      <c r="AG397" s="82"/>
      <c r="AH397" s="82"/>
      <c r="AI397" s="82"/>
      <c r="AJ397" s="82"/>
      <c r="AK397" s="82"/>
      <c r="AL397" s="82"/>
      <c r="AM397" s="82"/>
      <c r="AN397" s="82"/>
      <c r="AO397" s="81"/>
      <c r="AP397" s="82"/>
      <c r="AQ397" s="82"/>
      <c r="AR397" s="82"/>
      <c r="AS397" s="82"/>
      <c r="AT397" s="82"/>
      <c r="AU397" s="82"/>
      <c r="AV397" s="82"/>
      <c r="AW397" s="82"/>
      <c r="AX397" s="82"/>
      <c r="AY397" s="81"/>
      <c r="AZ397" s="82"/>
      <c r="BA397" s="82"/>
      <c r="BB397" s="82"/>
      <c r="BC397" s="82"/>
      <c r="BD397" s="82"/>
      <c r="BE397" s="82"/>
      <c r="BF397" s="82"/>
      <c r="BG397" s="82"/>
      <c r="BH397" s="82"/>
      <c r="BI397" s="82"/>
    </row>
    <row r="398">
      <c r="K398" s="79"/>
      <c r="U398" s="79"/>
      <c r="AE398" s="79"/>
      <c r="AF398" s="82"/>
      <c r="AG398" s="82"/>
      <c r="AH398" s="82"/>
      <c r="AI398" s="82"/>
      <c r="AJ398" s="82"/>
      <c r="AK398" s="82"/>
      <c r="AL398" s="82"/>
      <c r="AM398" s="82"/>
      <c r="AN398" s="82"/>
      <c r="AO398" s="81"/>
      <c r="AP398" s="82"/>
      <c r="AQ398" s="82"/>
      <c r="AR398" s="82"/>
      <c r="AS398" s="82"/>
      <c r="AT398" s="82"/>
      <c r="AU398" s="82"/>
      <c r="AV398" s="82"/>
      <c r="AW398" s="82"/>
      <c r="AX398" s="82"/>
      <c r="AY398" s="81"/>
      <c r="AZ398" s="82"/>
      <c r="BA398" s="82"/>
      <c r="BB398" s="82"/>
      <c r="BC398" s="82"/>
      <c r="BD398" s="82"/>
      <c r="BE398" s="82"/>
      <c r="BF398" s="82"/>
      <c r="BG398" s="82"/>
      <c r="BH398" s="82"/>
      <c r="BI398" s="82"/>
    </row>
    <row r="399">
      <c r="K399" s="79"/>
      <c r="U399" s="79"/>
      <c r="AE399" s="79"/>
      <c r="AF399" s="82"/>
      <c r="AG399" s="82"/>
      <c r="AH399" s="82"/>
      <c r="AI399" s="82"/>
      <c r="AJ399" s="82"/>
      <c r="AK399" s="82"/>
      <c r="AL399" s="82"/>
      <c r="AM399" s="82"/>
      <c r="AN399" s="82"/>
      <c r="AO399" s="81"/>
      <c r="AP399" s="82"/>
      <c r="AQ399" s="82"/>
      <c r="AR399" s="82"/>
      <c r="AS399" s="82"/>
      <c r="AT399" s="82"/>
      <c r="AU399" s="82"/>
      <c r="AV399" s="82"/>
      <c r="AW399" s="82"/>
      <c r="AX399" s="82"/>
      <c r="AY399" s="81"/>
      <c r="AZ399" s="82"/>
      <c r="BA399" s="82"/>
      <c r="BB399" s="82"/>
      <c r="BC399" s="82"/>
      <c r="BD399" s="82"/>
      <c r="BE399" s="82"/>
      <c r="BF399" s="82"/>
      <c r="BG399" s="82"/>
      <c r="BH399" s="82"/>
      <c r="BI399" s="82"/>
    </row>
    <row r="400">
      <c r="K400" s="79"/>
      <c r="U400" s="79"/>
      <c r="AE400" s="79"/>
      <c r="AF400" s="82"/>
      <c r="AG400" s="82"/>
      <c r="AH400" s="82"/>
      <c r="AI400" s="82"/>
      <c r="AJ400" s="82"/>
      <c r="AK400" s="82"/>
      <c r="AL400" s="82"/>
      <c r="AM400" s="82"/>
      <c r="AN400" s="82"/>
      <c r="AO400" s="81"/>
      <c r="AP400" s="82"/>
      <c r="AQ400" s="82"/>
      <c r="AR400" s="82"/>
      <c r="AS400" s="82"/>
      <c r="AT400" s="82"/>
      <c r="AU400" s="82"/>
      <c r="AV400" s="82"/>
      <c r="AW400" s="82"/>
      <c r="AX400" s="82"/>
      <c r="AY400" s="81"/>
      <c r="AZ400" s="82"/>
      <c r="BA400" s="82"/>
      <c r="BB400" s="82"/>
      <c r="BC400" s="82"/>
      <c r="BD400" s="82"/>
      <c r="BE400" s="82"/>
      <c r="BF400" s="82"/>
      <c r="BG400" s="82"/>
      <c r="BH400" s="82"/>
      <c r="BI400" s="82"/>
    </row>
    <row r="401">
      <c r="K401" s="79"/>
      <c r="U401" s="79"/>
      <c r="AE401" s="79"/>
      <c r="AF401" s="82"/>
      <c r="AG401" s="82"/>
      <c r="AH401" s="82"/>
      <c r="AI401" s="82"/>
      <c r="AJ401" s="82"/>
      <c r="AK401" s="82"/>
      <c r="AL401" s="82"/>
      <c r="AM401" s="82"/>
      <c r="AN401" s="82"/>
      <c r="AO401" s="81"/>
      <c r="AP401" s="82"/>
      <c r="AQ401" s="82"/>
      <c r="AR401" s="82"/>
      <c r="AS401" s="82"/>
      <c r="AT401" s="82"/>
      <c r="AU401" s="82"/>
      <c r="AV401" s="82"/>
      <c r="AW401" s="82"/>
      <c r="AX401" s="82"/>
      <c r="AY401" s="81"/>
      <c r="AZ401" s="82"/>
      <c r="BA401" s="82"/>
      <c r="BB401" s="82"/>
      <c r="BC401" s="82"/>
      <c r="BD401" s="82"/>
      <c r="BE401" s="82"/>
      <c r="BF401" s="82"/>
      <c r="BG401" s="82"/>
      <c r="BH401" s="82"/>
      <c r="BI401" s="82"/>
    </row>
    <row r="402">
      <c r="K402" s="79"/>
      <c r="U402" s="79"/>
      <c r="AE402" s="79"/>
      <c r="AF402" s="82"/>
      <c r="AG402" s="82"/>
      <c r="AH402" s="82"/>
      <c r="AI402" s="82"/>
      <c r="AJ402" s="82"/>
      <c r="AK402" s="82"/>
      <c r="AL402" s="82"/>
      <c r="AM402" s="82"/>
      <c r="AN402" s="82"/>
      <c r="AO402" s="81"/>
      <c r="AP402" s="82"/>
      <c r="AQ402" s="82"/>
      <c r="AR402" s="82"/>
      <c r="AS402" s="82"/>
      <c r="AT402" s="82"/>
      <c r="AU402" s="82"/>
      <c r="AV402" s="82"/>
      <c r="AW402" s="82"/>
      <c r="AX402" s="82"/>
      <c r="AY402" s="81"/>
      <c r="AZ402" s="82"/>
      <c r="BA402" s="82"/>
      <c r="BB402" s="82"/>
      <c r="BC402" s="82"/>
      <c r="BD402" s="82"/>
      <c r="BE402" s="82"/>
      <c r="BF402" s="82"/>
      <c r="BG402" s="82"/>
      <c r="BH402" s="82"/>
      <c r="BI402" s="82"/>
    </row>
    <row r="403">
      <c r="K403" s="79"/>
      <c r="U403" s="79"/>
      <c r="AE403" s="79"/>
      <c r="AF403" s="82"/>
      <c r="AG403" s="82"/>
      <c r="AH403" s="82"/>
      <c r="AI403" s="82"/>
      <c r="AJ403" s="82"/>
      <c r="AK403" s="82"/>
      <c r="AL403" s="82"/>
      <c r="AM403" s="82"/>
      <c r="AN403" s="82"/>
      <c r="AO403" s="81"/>
      <c r="AP403" s="82"/>
      <c r="AQ403" s="82"/>
      <c r="AR403" s="82"/>
      <c r="AS403" s="82"/>
      <c r="AT403" s="82"/>
      <c r="AU403" s="82"/>
      <c r="AV403" s="82"/>
      <c r="AW403" s="82"/>
      <c r="AX403" s="82"/>
      <c r="AY403" s="81"/>
      <c r="AZ403" s="82"/>
      <c r="BA403" s="82"/>
      <c r="BB403" s="82"/>
      <c r="BC403" s="82"/>
      <c r="BD403" s="82"/>
      <c r="BE403" s="82"/>
      <c r="BF403" s="82"/>
      <c r="BG403" s="82"/>
      <c r="BH403" s="82"/>
      <c r="BI403" s="82"/>
    </row>
    <row r="404">
      <c r="K404" s="79"/>
      <c r="U404" s="79"/>
      <c r="AE404" s="79"/>
      <c r="AF404" s="82"/>
      <c r="AG404" s="82"/>
      <c r="AH404" s="82"/>
      <c r="AI404" s="82"/>
      <c r="AJ404" s="82"/>
      <c r="AK404" s="82"/>
      <c r="AL404" s="82"/>
      <c r="AM404" s="82"/>
      <c r="AN404" s="82"/>
      <c r="AO404" s="81"/>
      <c r="AP404" s="82"/>
      <c r="AQ404" s="82"/>
      <c r="AR404" s="82"/>
      <c r="AS404" s="82"/>
      <c r="AT404" s="82"/>
      <c r="AU404" s="82"/>
      <c r="AV404" s="82"/>
      <c r="AW404" s="82"/>
      <c r="AX404" s="82"/>
      <c r="AY404" s="81"/>
      <c r="AZ404" s="82"/>
      <c r="BA404" s="82"/>
      <c r="BB404" s="82"/>
      <c r="BC404" s="82"/>
      <c r="BD404" s="82"/>
      <c r="BE404" s="82"/>
      <c r="BF404" s="82"/>
      <c r="BG404" s="82"/>
      <c r="BH404" s="82"/>
      <c r="BI404" s="82"/>
    </row>
    <row r="405">
      <c r="K405" s="79"/>
      <c r="U405" s="79"/>
      <c r="AE405" s="79"/>
      <c r="AF405" s="82"/>
      <c r="AG405" s="82"/>
      <c r="AH405" s="82"/>
      <c r="AI405" s="82"/>
      <c r="AJ405" s="82"/>
      <c r="AK405" s="82"/>
      <c r="AL405" s="82"/>
      <c r="AM405" s="82"/>
      <c r="AN405" s="82"/>
      <c r="AO405" s="81"/>
      <c r="AP405" s="82"/>
      <c r="AQ405" s="82"/>
      <c r="AR405" s="82"/>
      <c r="AS405" s="82"/>
      <c r="AT405" s="82"/>
      <c r="AU405" s="82"/>
      <c r="AV405" s="82"/>
      <c r="AW405" s="82"/>
      <c r="AX405" s="82"/>
      <c r="AY405" s="81"/>
      <c r="AZ405" s="82"/>
      <c r="BA405" s="82"/>
      <c r="BB405" s="82"/>
      <c r="BC405" s="82"/>
      <c r="BD405" s="82"/>
      <c r="BE405" s="82"/>
      <c r="BF405" s="82"/>
      <c r="BG405" s="82"/>
      <c r="BH405" s="82"/>
      <c r="BI405" s="82"/>
    </row>
    <row r="406">
      <c r="K406" s="79"/>
      <c r="U406" s="79"/>
      <c r="AE406" s="79"/>
      <c r="AF406" s="82"/>
      <c r="AG406" s="82"/>
      <c r="AH406" s="82"/>
      <c r="AI406" s="82"/>
      <c r="AJ406" s="82"/>
      <c r="AK406" s="82"/>
      <c r="AL406" s="82"/>
      <c r="AM406" s="82"/>
      <c r="AN406" s="82"/>
      <c r="AO406" s="81"/>
      <c r="AP406" s="82"/>
      <c r="AQ406" s="82"/>
      <c r="AR406" s="82"/>
      <c r="AS406" s="82"/>
      <c r="AT406" s="82"/>
      <c r="AU406" s="82"/>
      <c r="AV406" s="82"/>
      <c r="AW406" s="82"/>
      <c r="AX406" s="82"/>
      <c r="AY406" s="81"/>
      <c r="AZ406" s="82"/>
      <c r="BA406" s="82"/>
      <c r="BB406" s="82"/>
      <c r="BC406" s="82"/>
      <c r="BD406" s="82"/>
      <c r="BE406" s="82"/>
      <c r="BF406" s="82"/>
      <c r="BG406" s="82"/>
      <c r="BH406" s="82"/>
      <c r="BI406" s="82"/>
    </row>
    <row r="407">
      <c r="K407" s="79"/>
      <c r="U407" s="79"/>
      <c r="AE407" s="79"/>
      <c r="AF407" s="82"/>
      <c r="AG407" s="82"/>
      <c r="AH407" s="82"/>
      <c r="AI407" s="82"/>
      <c r="AJ407" s="82"/>
      <c r="AK407" s="82"/>
      <c r="AL407" s="82"/>
      <c r="AM407" s="82"/>
      <c r="AN407" s="82"/>
      <c r="AO407" s="81"/>
      <c r="AP407" s="82"/>
      <c r="AQ407" s="82"/>
      <c r="AR407" s="82"/>
      <c r="AS407" s="82"/>
      <c r="AT407" s="82"/>
      <c r="AU407" s="82"/>
      <c r="AV407" s="82"/>
      <c r="AW407" s="82"/>
      <c r="AX407" s="82"/>
      <c r="AY407" s="81"/>
      <c r="AZ407" s="82"/>
      <c r="BA407" s="82"/>
      <c r="BB407" s="82"/>
      <c r="BC407" s="82"/>
      <c r="BD407" s="82"/>
      <c r="BE407" s="82"/>
      <c r="BF407" s="82"/>
      <c r="BG407" s="82"/>
      <c r="BH407" s="82"/>
      <c r="BI407" s="82"/>
    </row>
    <row r="408">
      <c r="K408" s="79"/>
      <c r="U408" s="79"/>
      <c r="AE408" s="79"/>
      <c r="AF408" s="82"/>
      <c r="AG408" s="82"/>
      <c r="AH408" s="82"/>
      <c r="AI408" s="82"/>
      <c r="AJ408" s="82"/>
      <c r="AK408" s="82"/>
      <c r="AL408" s="82"/>
      <c r="AM408" s="82"/>
      <c r="AN408" s="82"/>
      <c r="AO408" s="81"/>
      <c r="AP408" s="82"/>
      <c r="AQ408" s="82"/>
      <c r="AR408" s="82"/>
      <c r="AS408" s="82"/>
      <c r="AT408" s="82"/>
      <c r="AU408" s="82"/>
      <c r="AV408" s="82"/>
      <c r="AW408" s="82"/>
      <c r="AX408" s="82"/>
      <c r="AY408" s="81"/>
      <c r="AZ408" s="82"/>
      <c r="BA408" s="82"/>
      <c r="BB408" s="82"/>
      <c r="BC408" s="82"/>
      <c r="BD408" s="82"/>
      <c r="BE408" s="82"/>
      <c r="BF408" s="82"/>
      <c r="BG408" s="82"/>
      <c r="BH408" s="82"/>
      <c r="BI408" s="82"/>
    </row>
    <row r="409">
      <c r="K409" s="79"/>
      <c r="U409" s="79"/>
      <c r="AE409" s="79"/>
      <c r="AF409" s="82"/>
      <c r="AG409" s="82"/>
      <c r="AH409" s="82"/>
      <c r="AI409" s="82"/>
      <c r="AJ409" s="82"/>
      <c r="AK409" s="82"/>
      <c r="AL409" s="82"/>
      <c r="AM409" s="82"/>
      <c r="AN409" s="82"/>
      <c r="AO409" s="81"/>
      <c r="AP409" s="82"/>
      <c r="AQ409" s="82"/>
      <c r="AR409" s="82"/>
      <c r="AS409" s="82"/>
      <c r="AT409" s="82"/>
      <c r="AU409" s="82"/>
      <c r="AV409" s="82"/>
      <c r="AW409" s="82"/>
      <c r="AX409" s="82"/>
      <c r="AY409" s="81"/>
      <c r="AZ409" s="82"/>
      <c r="BA409" s="82"/>
      <c r="BB409" s="82"/>
      <c r="BC409" s="82"/>
      <c r="BD409" s="82"/>
      <c r="BE409" s="82"/>
      <c r="BF409" s="82"/>
      <c r="BG409" s="82"/>
      <c r="BH409" s="82"/>
      <c r="BI409" s="82"/>
    </row>
    <row r="410">
      <c r="K410" s="79"/>
      <c r="U410" s="79"/>
      <c r="AE410" s="79"/>
      <c r="AF410" s="82"/>
      <c r="AG410" s="82"/>
      <c r="AH410" s="82"/>
      <c r="AI410" s="82"/>
      <c r="AJ410" s="82"/>
      <c r="AK410" s="82"/>
      <c r="AL410" s="82"/>
      <c r="AM410" s="82"/>
      <c r="AN410" s="82"/>
      <c r="AO410" s="81"/>
      <c r="AP410" s="82"/>
      <c r="AQ410" s="82"/>
      <c r="AR410" s="82"/>
      <c r="AS410" s="82"/>
      <c r="AT410" s="82"/>
      <c r="AU410" s="82"/>
      <c r="AV410" s="82"/>
      <c r="AW410" s="82"/>
      <c r="AX410" s="82"/>
      <c r="AY410" s="81"/>
      <c r="AZ410" s="82"/>
      <c r="BA410" s="82"/>
      <c r="BB410" s="82"/>
      <c r="BC410" s="82"/>
      <c r="BD410" s="82"/>
      <c r="BE410" s="82"/>
      <c r="BF410" s="82"/>
      <c r="BG410" s="82"/>
      <c r="BH410" s="82"/>
      <c r="BI410" s="82"/>
    </row>
    <row r="411">
      <c r="K411" s="79"/>
      <c r="U411" s="79"/>
      <c r="AE411" s="79"/>
      <c r="AF411" s="82"/>
      <c r="AG411" s="82"/>
      <c r="AH411" s="82"/>
      <c r="AI411" s="82"/>
      <c r="AJ411" s="82"/>
      <c r="AK411" s="82"/>
      <c r="AL411" s="82"/>
      <c r="AM411" s="82"/>
      <c r="AN411" s="82"/>
      <c r="AO411" s="81"/>
      <c r="AP411" s="82"/>
      <c r="AQ411" s="82"/>
      <c r="AR411" s="82"/>
      <c r="AS411" s="82"/>
      <c r="AT411" s="82"/>
      <c r="AU411" s="82"/>
      <c r="AV411" s="82"/>
      <c r="AW411" s="82"/>
      <c r="AX411" s="82"/>
      <c r="AY411" s="81"/>
      <c r="AZ411" s="82"/>
      <c r="BA411" s="82"/>
      <c r="BB411" s="82"/>
      <c r="BC411" s="82"/>
      <c r="BD411" s="82"/>
      <c r="BE411" s="82"/>
      <c r="BF411" s="82"/>
      <c r="BG411" s="82"/>
      <c r="BH411" s="82"/>
      <c r="BI411" s="82"/>
    </row>
    <row r="412">
      <c r="K412" s="79"/>
      <c r="U412" s="79"/>
      <c r="AE412" s="79"/>
      <c r="AF412" s="82"/>
      <c r="AG412" s="82"/>
      <c r="AH412" s="82"/>
      <c r="AI412" s="82"/>
      <c r="AJ412" s="82"/>
      <c r="AK412" s="82"/>
      <c r="AL412" s="82"/>
      <c r="AM412" s="82"/>
      <c r="AN412" s="82"/>
      <c r="AO412" s="81"/>
      <c r="AP412" s="82"/>
      <c r="AQ412" s="82"/>
      <c r="AR412" s="82"/>
      <c r="AS412" s="82"/>
      <c r="AT412" s="82"/>
      <c r="AU412" s="82"/>
      <c r="AV412" s="82"/>
      <c r="AW412" s="82"/>
      <c r="AX412" s="82"/>
      <c r="AY412" s="81"/>
      <c r="AZ412" s="82"/>
      <c r="BA412" s="82"/>
      <c r="BB412" s="82"/>
      <c r="BC412" s="82"/>
      <c r="BD412" s="82"/>
      <c r="BE412" s="82"/>
      <c r="BF412" s="82"/>
      <c r="BG412" s="82"/>
      <c r="BH412" s="82"/>
      <c r="BI412" s="82"/>
    </row>
    <row r="413">
      <c r="K413" s="79"/>
      <c r="U413" s="79"/>
      <c r="AE413" s="79"/>
      <c r="AF413" s="82"/>
      <c r="AG413" s="82"/>
      <c r="AH413" s="82"/>
      <c r="AI413" s="82"/>
      <c r="AJ413" s="82"/>
      <c r="AK413" s="82"/>
      <c r="AL413" s="82"/>
      <c r="AM413" s="82"/>
      <c r="AN413" s="82"/>
      <c r="AO413" s="81"/>
      <c r="AP413" s="82"/>
      <c r="AQ413" s="82"/>
      <c r="AR413" s="82"/>
      <c r="AS413" s="82"/>
      <c r="AT413" s="82"/>
      <c r="AU413" s="82"/>
      <c r="AV413" s="82"/>
      <c r="AW413" s="82"/>
      <c r="AX413" s="82"/>
      <c r="AY413" s="81"/>
      <c r="AZ413" s="82"/>
      <c r="BA413" s="82"/>
      <c r="BB413" s="82"/>
      <c r="BC413" s="82"/>
      <c r="BD413" s="82"/>
      <c r="BE413" s="82"/>
      <c r="BF413" s="82"/>
      <c r="BG413" s="82"/>
      <c r="BH413" s="82"/>
      <c r="BI413" s="82"/>
    </row>
    <row r="414">
      <c r="K414" s="79"/>
      <c r="U414" s="79"/>
      <c r="AE414" s="79"/>
      <c r="AF414" s="82"/>
      <c r="AG414" s="82"/>
      <c r="AH414" s="82"/>
      <c r="AI414" s="82"/>
      <c r="AJ414" s="82"/>
      <c r="AK414" s="82"/>
      <c r="AL414" s="82"/>
      <c r="AM414" s="82"/>
      <c r="AN414" s="82"/>
      <c r="AO414" s="81"/>
      <c r="AP414" s="82"/>
      <c r="AQ414" s="82"/>
      <c r="AR414" s="82"/>
      <c r="AS414" s="82"/>
      <c r="AT414" s="82"/>
      <c r="AU414" s="82"/>
      <c r="AV414" s="82"/>
      <c r="AW414" s="82"/>
      <c r="AX414" s="82"/>
      <c r="AY414" s="81"/>
      <c r="AZ414" s="82"/>
      <c r="BA414" s="82"/>
      <c r="BB414" s="82"/>
      <c r="BC414" s="82"/>
      <c r="BD414" s="82"/>
      <c r="BE414" s="82"/>
      <c r="BF414" s="82"/>
      <c r="BG414" s="82"/>
      <c r="BH414" s="82"/>
      <c r="BI414" s="82"/>
    </row>
    <row r="415">
      <c r="K415" s="79"/>
      <c r="U415" s="79"/>
      <c r="AE415" s="79"/>
      <c r="AF415" s="82"/>
      <c r="AG415" s="82"/>
      <c r="AH415" s="82"/>
      <c r="AI415" s="82"/>
      <c r="AJ415" s="82"/>
      <c r="AK415" s="82"/>
      <c r="AL415" s="82"/>
      <c r="AM415" s="82"/>
      <c r="AN415" s="82"/>
      <c r="AO415" s="81"/>
      <c r="AP415" s="82"/>
      <c r="AQ415" s="82"/>
      <c r="AR415" s="82"/>
      <c r="AS415" s="82"/>
      <c r="AT415" s="82"/>
      <c r="AU415" s="82"/>
      <c r="AV415" s="82"/>
      <c r="AW415" s="82"/>
      <c r="AX415" s="82"/>
      <c r="AY415" s="81"/>
      <c r="AZ415" s="82"/>
      <c r="BA415" s="82"/>
      <c r="BB415" s="82"/>
      <c r="BC415" s="82"/>
      <c r="BD415" s="82"/>
      <c r="BE415" s="82"/>
      <c r="BF415" s="82"/>
      <c r="BG415" s="82"/>
      <c r="BH415" s="82"/>
      <c r="BI415" s="82"/>
    </row>
    <row r="416">
      <c r="K416" s="79"/>
      <c r="U416" s="79"/>
      <c r="AE416" s="79"/>
      <c r="AF416" s="82"/>
      <c r="AG416" s="82"/>
      <c r="AH416" s="82"/>
      <c r="AI416" s="82"/>
      <c r="AJ416" s="82"/>
      <c r="AK416" s="82"/>
      <c r="AL416" s="82"/>
      <c r="AM416" s="82"/>
      <c r="AN416" s="82"/>
      <c r="AO416" s="81"/>
      <c r="AP416" s="82"/>
      <c r="AQ416" s="82"/>
      <c r="AR416" s="82"/>
      <c r="AS416" s="82"/>
      <c r="AT416" s="82"/>
      <c r="AU416" s="82"/>
      <c r="AV416" s="82"/>
      <c r="AW416" s="82"/>
      <c r="AX416" s="82"/>
      <c r="AY416" s="81"/>
      <c r="AZ416" s="82"/>
      <c r="BA416" s="82"/>
      <c r="BB416" s="82"/>
      <c r="BC416" s="82"/>
      <c r="BD416" s="82"/>
      <c r="BE416" s="82"/>
      <c r="BF416" s="82"/>
      <c r="BG416" s="82"/>
      <c r="BH416" s="82"/>
      <c r="BI416" s="82"/>
    </row>
    <row r="417">
      <c r="K417" s="79"/>
      <c r="U417" s="79"/>
      <c r="AE417" s="79"/>
      <c r="AF417" s="82"/>
      <c r="AG417" s="82"/>
      <c r="AH417" s="82"/>
      <c r="AI417" s="82"/>
      <c r="AJ417" s="82"/>
      <c r="AK417" s="82"/>
      <c r="AL417" s="82"/>
      <c r="AM417" s="82"/>
      <c r="AN417" s="82"/>
      <c r="AO417" s="81"/>
      <c r="AP417" s="82"/>
      <c r="AQ417" s="82"/>
      <c r="AR417" s="82"/>
      <c r="AS417" s="82"/>
      <c r="AT417" s="82"/>
      <c r="AU417" s="82"/>
      <c r="AV417" s="82"/>
      <c r="AW417" s="82"/>
      <c r="AX417" s="82"/>
      <c r="AY417" s="81"/>
      <c r="AZ417" s="82"/>
      <c r="BA417" s="82"/>
      <c r="BB417" s="82"/>
      <c r="BC417" s="82"/>
      <c r="BD417" s="82"/>
      <c r="BE417" s="82"/>
      <c r="BF417" s="82"/>
      <c r="BG417" s="82"/>
      <c r="BH417" s="82"/>
      <c r="BI417" s="82"/>
    </row>
    <row r="418">
      <c r="K418" s="79"/>
      <c r="U418" s="79"/>
      <c r="AE418" s="79"/>
      <c r="AF418" s="82"/>
      <c r="AG418" s="82"/>
      <c r="AH418" s="82"/>
      <c r="AI418" s="82"/>
      <c r="AJ418" s="82"/>
      <c r="AK418" s="82"/>
      <c r="AL418" s="82"/>
      <c r="AM418" s="82"/>
      <c r="AN418" s="82"/>
      <c r="AO418" s="81"/>
      <c r="AP418" s="82"/>
      <c r="AQ418" s="82"/>
      <c r="AR418" s="82"/>
      <c r="AS418" s="82"/>
      <c r="AT418" s="82"/>
      <c r="AU418" s="82"/>
      <c r="AV418" s="82"/>
      <c r="AW418" s="82"/>
      <c r="AX418" s="82"/>
      <c r="AY418" s="81"/>
      <c r="AZ418" s="82"/>
      <c r="BA418" s="82"/>
      <c r="BB418" s="82"/>
      <c r="BC418" s="82"/>
      <c r="BD418" s="82"/>
      <c r="BE418" s="82"/>
      <c r="BF418" s="82"/>
      <c r="BG418" s="82"/>
      <c r="BH418" s="82"/>
      <c r="BI418" s="82"/>
    </row>
    <row r="419">
      <c r="K419" s="79"/>
      <c r="U419" s="79"/>
      <c r="AE419" s="79"/>
      <c r="AF419" s="82"/>
      <c r="AG419" s="82"/>
      <c r="AH419" s="82"/>
      <c r="AI419" s="82"/>
      <c r="AJ419" s="82"/>
      <c r="AK419" s="82"/>
      <c r="AL419" s="82"/>
      <c r="AM419" s="82"/>
      <c r="AN419" s="82"/>
      <c r="AO419" s="81"/>
      <c r="AP419" s="82"/>
      <c r="AQ419" s="82"/>
      <c r="AR419" s="82"/>
      <c r="AS419" s="82"/>
      <c r="AT419" s="82"/>
      <c r="AU419" s="82"/>
      <c r="AV419" s="82"/>
      <c r="AW419" s="82"/>
      <c r="AX419" s="82"/>
      <c r="AY419" s="81"/>
      <c r="AZ419" s="82"/>
      <c r="BA419" s="82"/>
      <c r="BB419" s="82"/>
      <c r="BC419" s="82"/>
      <c r="BD419" s="82"/>
      <c r="BE419" s="82"/>
      <c r="BF419" s="82"/>
      <c r="BG419" s="82"/>
      <c r="BH419" s="82"/>
      <c r="BI419" s="82"/>
    </row>
    <row r="420">
      <c r="K420" s="79"/>
      <c r="U420" s="79"/>
      <c r="AE420" s="79"/>
      <c r="AF420" s="82"/>
      <c r="AG420" s="82"/>
      <c r="AH420" s="82"/>
      <c r="AI420" s="82"/>
      <c r="AJ420" s="82"/>
      <c r="AK420" s="82"/>
      <c r="AL420" s="82"/>
      <c r="AM420" s="82"/>
      <c r="AN420" s="82"/>
      <c r="AO420" s="81"/>
      <c r="AP420" s="82"/>
      <c r="AQ420" s="82"/>
      <c r="AR420" s="82"/>
      <c r="AS420" s="82"/>
      <c r="AT420" s="82"/>
      <c r="AU420" s="82"/>
      <c r="AV420" s="82"/>
      <c r="AW420" s="82"/>
      <c r="AX420" s="82"/>
      <c r="AY420" s="81"/>
      <c r="AZ420" s="82"/>
      <c r="BA420" s="82"/>
      <c r="BB420" s="82"/>
      <c r="BC420" s="82"/>
      <c r="BD420" s="82"/>
      <c r="BE420" s="82"/>
      <c r="BF420" s="82"/>
      <c r="BG420" s="82"/>
      <c r="BH420" s="82"/>
      <c r="BI420" s="82"/>
    </row>
    <row r="421">
      <c r="K421" s="79"/>
      <c r="U421" s="79"/>
      <c r="AE421" s="79"/>
      <c r="AF421" s="82"/>
      <c r="AG421" s="82"/>
      <c r="AH421" s="82"/>
      <c r="AI421" s="82"/>
      <c r="AJ421" s="82"/>
      <c r="AK421" s="82"/>
      <c r="AL421" s="82"/>
      <c r="AM421" s="82"/>
      <c r="AN421" s="82"/>
      <c r="AO421" s="81"/>
      <c r="AP421" s="82"/>
      <c r="AQ421" s="82"/>
      <c r="AR421" s="82"/>
      <c r="AS421" s="82"/>
      <c r="AT421" s="82"/>
      <c r="AU421" s="82"/>
      <c r="AV421" s="82"/>
      <c r="AW421" s="82"/>
      <c r="AX421" s="82"/>
      <c r="AY421" s="81"/>
      <c r="AZ421" s="82"/>
      <c r="BA421" s="82"/>
      <c r="BB421" s="82"/>
      <c r="BC421" s="82"/>
      <c r="BD421" s="82"/>
      <c r="BE421" s="82"/>
      <c r="BF421" s="82"/>
      <c r="BG421" s="82"/>
      <c r="BH421" s="82"/>
      <c r="BI421" s="82"/>
    </row>
    <row r="422">
      <c r="K422" s="79"/>
      <c r="U422" s="79"/>
      <c r="AE422" s="79"/>
      <c r="AF422" s="82"/>
      <c r="AG422" s="82"/>
      <c r="AH422" s="82"/>
      <c r="AI422" s="82"/>
      <c r="AJ422" s="82"/>
      <c r="AK422" s="82"/>
      <c r="AL422" s="82"/>
      <c r="AM422" s="82"/>
      <c r="AN422" s="82"/>
      <c r="AO422" s="81"/>
      <c r="AP422" s="82"/>
      <c r="AQ422" s="82"/>
      <c r="AR422" s="82"/>
      <c r="AS422" s="82"/>
      <c r="AT422" s="82"/>
      <c r="AU422" s="82"/>
      <c r="AV422" s="82"/>
      <c r="AW422" s="82"/>
      <c r="AX422" s="82"/>
      <c r="AY422" s="81"/>
      <c r="AZ422" s="82"/>
      <c r="BA422" s="82"/>
      <c r="BB422" s="82"/>
      <c r="BC422" s="82"/>
      <c r="BD422" s="82"/>
      <c r="BE422" s="82"/>
      <c r="BF422" s="82"/>
      <c r="BG422" s="82"/>
      <c r="BH422" s="82"/>
      <c r="BI422" s="82"/>
    </row>
    <row r="423">
      <c r="K423" s="79"/>
      <c r="U423" s="79"/>
      <c r="AE423" s="79"/>
      <c r="AF423" s="82"/>
      <c r="AG423" s="82"/>
      <c r="AH423" s="82"/>
      <c r="AI423" s="82"/>
      <c r="AJ423" s="82"/>
      <c r="AK423" s="82"/>
      <c r="AL423" s="82"/>
      <c r="AM423" s="82"/>
      <c r="AN423" s="82"/>
      <c r="AO423" s="81"/>
      <c r="AP423" s="82"/>
      <c r="AQ423" s="82"/>
      <c r="AR423" s="82"/>
      <c r="AS423" s="82"/>
      <c r="AT423" s="82"/>
      <c r="AU423" s="82"/>
      <c r="AV423" s="82"/>
      <c r="AW423" s="82"/>
      <c r="AX423" s="82"/>
      <c r="AY423" s="81"/>
      <c r="AZ423" s="82"/>
      <c r="BA423" s="82"/>
      <c r="BB423" s="82"/>
      <c r="BC423" s="82"/>
      <c r="BD423" s="82"/>
      <c r="BE423" s="82"/>
      <c r="BF423" s="82"/>
      <c r="BG423" s="82"/>
      <c r="BH423" s="82"/>
      <c r="BI423" s="82"/>
    </row>
    <row r="424">
      <c r="K424" s="79"/>
      <c r="U424" s="79"/>
      <c r="AE424" s="79"/>
      <c r="AF424" s="82"/>
      <c r="AG424" s="82"/>
      <c r="AH424" s="82"/>
      <c r="AI424" s="82"/>
      <c r="AJ424" s="82"/>
      <c r="AK424" s="82"/>
      <c r="AL424" s="82"/>
      <c r="AM424" s="82"/>
      <c r="AN424" s="82"/>
      <c r="AO424" s="81"/>
      <c r="AP424" s="82"/>
      <c r="AQ424" s="82"/>
      <c r="AR424" s="82"/>
      <c r="AS424" s="82"/>
      <c r="AT424" s="82"/>
      <c r="AU424" s="82"/>
      <c r="AV424" s="82"/>
      <c r="AW424" s="82"/>
      <c r="AX424" s="82"/>
      <c r="AY424" s="81"/>
      <c r="AZ424" s="82"/>
      <c r="BA424" s="82"/>
      <c r="BB424" s="82"/>
      <c r="BC424" s="82"/>
      <c r="BD424" s="82"/>
      <c r="BE424" s="82"/>
      <c r="BF424" s="82"/>
      <c r="BG424" s="82"/>
      <c r="BH424" s="82"/>
      <c r="BI424" s="82"/>
    </row>
    <row r="425">
      <c r="K425" s="79"/>
      <c r="U425" s="79"/>
      <c r="AE425" s="79"/>
      <c r="AF425" s="82"/>
      <c r="AG425" s="82"/>
      <c r="AH425" s="82"/>
      <c r="AI425" s="82"/>
      <c r="AJ425" s="82"/>
      <c r="AK425" s="82"/>
      <c r="AL425" s="82"/>
      <c r="AM425" s="82"/>
      <c r="AN425" s="82"/>
      <c r="AO425" s="81"/>
      <c r="AP425" s="82"/>
      <c r="AQ425" s="82"/>
      <c r="AR425" s="82"/>
      <c r="AS425" s="82"/>
      <c r="AT425" s="82"/>
      <c r="AU425" s="82"/>
      <c r="AV425" s="82"/>
      <c r="AW425" s="82"/>
      <c r="AX425" s="82"/>
      <c r="AY425" s="81"/>
      <c r="AZ425" s="82"/>
      <c r="BA425" s="82"/>
      <c r="BB425" s="82"/>
      <c r="BC425" s="82"/>
      <c r="BD425" s="82"/>
      <c r="BE425" s="82"/>
      <c r="BF425" s="82"/>
      <c r="BG425" s="82"/>
      <c r="BH425" s="82"/>
      <c r="BI425" s="82"/>
    </row>
    <row r="426">
      <c r="K426" s="79"/>
      <c r="U426" s="79"/>
      <c r="AE426" s="79"/>
      <c r="AF426" s="82"/>
      <c r="AG426" s="82"/>
      <c r="AH426" s="82"/>
      <c r="AI426" s="82"/>
      <c r="AJ426" s="82"/>
      <c r="AK426" s="82"/>
      <c r="AL426" s="82"/>
      <c r="AM426" s="82"/>
      <c r="AN426" s="82"/>
      <c r="AO426" s="81"/>
      <c r="AP426" s="82"/>
      <c r="AQ426" s="82"/>
      <c r="AR426" s="82"/>
      <c r="AS426" s="82"/>
      <c r="AT426" s="82"/>
      <c r="AU426" s="82"/>
      <c r="AV426" s="82"/>
      <c r="AW426" s="82"/>
      <c r="AX426" s="82"/>
      <c r="AY426" s="81"/>
      <c r="AZ426" s="82"/>
      <c r="BA426" s="82"/>
      <c r="BB426" s="82"/>
      <c r="BC426" s="82"/>
      <c r="BD426" s="82"/>
      <c r="BE426" s="82"/>
      <c r="BF426" s="82"/>
      <c r="BG426" s="82"/>
      <c r="BH426" s="82"/>
      <c r="BI426" s="82"/>
    </row>
    <row r="427">
      <c r="K427" s="79"/>
      <c r="U427" s="79"/>
      <c r="AE427" s="79"/>
      <c r="AF427" s="82"/>
      <c r="AG427" s="82"/>
      <c r="AH427" s="82"/>
      <c r="AI427" s="82"/>
      <c r="AJ427" s="82"/>
      <c r="AK427" s="82"/>
      <c r="AL427" s="82"/>
      <c r="AM427" s="82"/>
      <c r="AN427" s="82"/>
      <c r="AO427" s="81"/>
      <c r="AP427" s="82"/>
      <c r="AQ427" s="82"/>
      <c r="AR427" s="82"/>
      <c r="AS427" s="82"/>
      <c r="AT427" s="82"/>
      <c r="AU427" s="82"/>
      <c r="AV427" s="82"/>
      <c r="AW427" s="82"/>
      <c r="AX427" s="82"/>
      <c r="AY427" s="81"/>
      <c r="AZ427" s="82"/>
      <c r="BA427" s="82"/>
      <c r="BB427" s="82"/>
      <c r="BC427" s="82"/>
      <c r="BD427" s="82"/>
      <c r="BE427" s="82"/>
      <c r="BF427" s="82"/>
      <c r="BG427" s="82"/>
      <c r="BH427" s="82"/>
      <c r="BI427" s="82"/>
    </row>
    <row r="428">
      <c r="K428" s="79"/>
      <c r="U428" s="79"/>
      <c r="AE428" s="79"/>
      <c r="AF428" s="82"/>
      <c r="AG428" s="82"/>
      <c r="AH428" s="82"/>
      <c r="AI428" s="82"/>
      <c r="AJ428" s="82"/>
      <c r="AK428" s="82"/>
      <c r="AL428" s="82"/>
      <c r="AM428" s="82"/>
      <c r="AN428" s="82"/>
      <c r="AO428" s="81"/>
      <c r="AP428" s="82"/>
      <c r="AQ428" s="82"/>
      <c r="AR428" s="82"/>
      <c r="AS428" s="82"/>
      <c r="AT428" s="82"/>
      <c r="AU428" s="82"/>
      <c r="AV428" s="82"/>
      <c r="AW428" s="82"/>
      <c r="AX428" s="82"/>
      <c r="AY428" s="81"/>
      <c r="AZ428" s="82"/>
      <c r="BA428" s="82"/>
      <c r="BB428" s="82"/>
      <c r="BC428" s="82"/>
      <c r="BD428" s="82"/>
      <c r="BE428" s="82"/>
      <c r="BF428" s="82"/>
      <c r="BG428" s="82"/>
      <c r="BH428" s="82"/>
      <c r="BI428" s="82"/>
    </row>
    <row r="429">
      <c r="K429" s="79"/>
      <c r="U429" s="79"/>
      <c r="AE429" s="79"/>
      <c r="AF429" s="82"/>
      <c r="AG429" s="82"/>
      <c r="AH429" s="82"/>
      <c r="AI429" s="82"/>
      <c r="AJ429" s="82"/>
      <c r="AK429" s="82"/>
      <c r="AL429" s="82"/>
      <c r="AM429" s="82"/>
      <c r="AN429" s="82"/>
      <c r="AO429" s="81"/>
      <c r="AP429" s="82"/>
      <c r="AQ429" s="82"/>
      <c r="AR429" s="82"/>
      <c r="AS429" s="82"/>
      <c r="AT429" s="82"/>
      <c r="AU429" s="82"/>
      <c r="AV429" s="82"/>
      <c r="AW429" s="82"/>
      <c r="AX429" s="82"/>
      <c r="AY429" s="81"/>
      <c r="AZ429" s="82"/>
      <c r="BA429" s="82"/>
      <c r="BB429" s="82"/>
      <c r="BC429" s="82"/>
      <c r="BD429" s="82"/>
      <c r="BE429" s="82"/>
      <c r="BF429" s="82"/>
      <c r="BG429" s="82"/>
      <c r="BH429" s="82"/>
      <c r="BI429" s="82"/>
    </row>
    <row r="430">
      <c r="K430" s="79"/>
      <c r="U430" s="79"/>
      <c r="AE430" s="79"/>
      <c r="AF430" s="82"/>
      <c r="AG430" s="82"/>
      <c r="AH430" s="82"/>
      <c r="AI430" s="82"/>
      <c r="AJ430" s="82"/>
      <c r="AK430" s="82"/>
      <c r="AL430" s="82"/>
      <c r="AM430" s="82"/>
      <c r="AN430" s="82"/>
      <c r="AO430" s="81"/>
      <c r="AP430" s="82"/>
      <c r="AQ430" s="82"/>
      <c r="AR430" s="82"/>
      <c r="AS430" s="82"/>
      <c r="AT430" s="82"/>
      <c r="AU430" s="82"/>
      <c r="AV430" s="82"/>
      <c r="AW430" s="82"/>
      <c r="AX430" s="82"/>
      <c r="AY430" s="81"/>
      <c r="AZ430" s="82"/>
      <c r="BA430" s="82"/>
      <c r="BB430" s="82"/>
      <c r="BC430" s="82"/>
      <c r="BD430" s="82"/>
      <c r="BE430" s="82"/>
      <c r="BF430" s="82"/>
      <c r="BG430" s="82"/>
      <c r="BH430" s="82"/>
      <c r="BI430" s="82"/>
    </row>
    <row r="431">
      <c r="K431" s="79"/>
      <c r="U431" s="79"/>
      <c r="AE431" s="79"/>
      <c r="AF431" s="82"/>
      <c r="AG431" s="82"/>
      <c r="AH431" s="82"/>
      <c r="AI431" s="82"/>
      <c r="AJ431" s="82"/>
      <c r="AK431" s="82"/>
      <c r="AL431" s="82"/>
      <c r="AM431" s="82"/>
      <c r="AN431" s="82"/>
      <c r="AO431" s="81"/>
      <c r="AP431" s="82"/>
      <c r="AQ431" s="82"/>
      <c r="AR431" s="82"/>
      <c r="AS431" s="82"/>
      <c r="AT431" s="82"/>
      <c r="AU431" s="82"/>
      <c r="AV431" s="82"/>
      <c r="AW431" s="82"/>
      <c r="AX431" s="82"/>
      <c r="AY431" s="81"/>
      <c r="AZ431" s="82"/>
      <c r="BA431" s="82"/>
      <c r="BB431" s="82"/>
      <c r="BC431" s="82"/>
      <c r="BD431" s="82"/>
      <c r="BE431" s="82"/>
      <c r="BF431" s="82"/>
      <c r="BG431" s="82"/>
      <c r="BH431" s="82"/>
      <c r="BI431" s="82"/>
    </row>
    <row r="432">
      <c r="K432" s="79"/>
      <c r="U432" s="79"/>
      <c r="AE432" s="79"/>
      <c r="AF432" s="82"/>
      <c r="AG432" s="82"/>
      <c r="AH432" s="82"/>
      <c r="AI432" s="82"/>
      <c r="AJ432" s="82"/>
      <c r="AK432" s="82"/>
      <c r="AL432" s="82"/>
      <c r="AM432" s="82"/>
      <c r="AN432" s="82"/>
      <c r="AO432" s="81"/>
      <c r="AP432" s="82"/>
      <c r="AQ432" s="82"/>
      <c r="AR432" s="82"/>
      <c r="AS432" s="82"/>
      <c r="AT432" s="82"/>
      <c r="AU432" s="82"/>
      <c r="AV432" s="82"/>
      <c r="AW432" s="82"/>
      <c r="AX432" s="82"/>
      <c r="AY432" s="81"/>
      <c r="AZ432" s="82"/>
      <c r="BA432" s="82"/>
      <c r="BB432" s="82"/>
      <c r="BC432" s="82"/>
      <c r="BD432" s="82"/>
      <c r="BE432" s="82"/>
      <c r="BF432" s="82"/>
      <c r="BG432" s="82"/>
      <c r="BH432" s="82"/>
      <c r="BI432" s="82"/>
    </row>
    <row r="433">
      <c r="K433" s="79"/>
      <c r="U433" s="79"/>
      <c r="AE433" s="79"/>
      <c r="AF433" s="82"/>
      <c r="AG433" s="82"/>
      <c r="AH433" s="82"/>
      <c r="AI433" s="82"/>
      <c r="AJ433" s="82"/>
      <c r="AK433" s="82"/>
      <c r="AL433" s="82"/>
      <c r="AM433" s="82"/>
      <c r="AN433" s="82"/>
      <c r="AO433" s="81"/>
      <c r="AP433" s="82"/>
      <c r="AQ433" s="82"/>
      <c r="AR433" s="82"/>
      <c r="AS433" s="82"/>
      <c r="AT433" s="82"/>
      <c r="AU433" s="82"/>
      <c r="AV433" s="82"/>
      <c r="AW433" s="82"/>
      <c r="AX433" s="82"/>
      <c r="AY433" s="81"/>
      <c r="AZ433" s="82"/>
      <c r="BA433" s="82"/>
      <c r="BB433" s="82"/>
      <c r="BC433" s="82"/>
      <c r="BD433" s="82"/>
      <c r="BE433" s="82"/>
      <c r="BF433" s="82"/>
      <c r="BG433" s="82"/>
      <c r="BH433" s="82"/>
      <c r="BI433" s="82"/>
    </row>
    <row r="434">
      <c r="K434" s="79"/>
      <c r="U434" s="79"/>
      <c r="AE434" s="79"/>
      <c r="AF434" s="82"/>
      <c r="AG434" s="82"/>
      <c r="AH434" s="82"/>
      <c r="AI434" s="82"/>
      <c r="AJ434" s="82"/>
      <c r="AK434" s="82"/>
      <c r="AL434" s="82"/>
      <c r="AM434" s="82"/>
      <c r="AN434" s="82"/>
      <c r="AO434" s="81"/>
      <c r="AP434" s="82"/>
      <c r="AQ434" s="82"/>
      <c r="AR434" s="82"/>
      <c r="AS434" s="82"/>
      <c r="AT434" s="82"/>
      <c r="AU434" s="82"/>
      <c r="AV434" s="82"/>
      <c r="AW434" s="82"/>
      <c r="AX434" s="82"/>
      <c r="AY434" s="81"/>
      <c r="AZ434" s="82"/>
      <c r="BA434" s="82"/>
      <c r="BB434" s="82"/>
      <c r="BC434" s="82"/>
      <c r="BD434" s="82"/>
      <c r="BE434" s="82"/>
      <c r="BF434" s="82"/>
      <c r="BG434" s="82"/>
      <c r="BH434" s="82"/>
      <c r="BI434" s="82"/>
    </row>
    <row r="435">
      <c r="K435" s="79"/>
      <c r="U435" s="79"/>
      <c r="AE435" s="79"/>
      <c r="AF435" s="82"/>
      <c r="AG435" s="82"/>
      <c r="AH435" s="82"/>
      <c r="AI435" s="82"/>
      <c r="AJ435" s="82"/>
      <c r="AK435" s="82"/>
      <c r="AL435" s="82"/>
      <c r="AM435" s="82"/>
      <c r="AN435" s="82"/>
      <c r="AO435" s="81"/>
      <c r="AP435" s="82"/>
      <c r="AQ435" s="82"/>
      <c r="AR435" s="82"/>
      <c r="AS435" s="82"/>
      <c r="AT435" s="82"/>
      <c r="AU435" s="82"/>
      <c r="AV435" s="82"/>
      <c r="AW435" s="82"/>
      <c r="AX435" s="82"/>
      <c r="AY435" s="81"/>
      <c r="AZ435" s="82"/>
      <c r="BA435" s="82"/>
      <c r="BB435" s="82"/>
      <c r="BC435" s="82"/>
      <c r="BD435" s="82"/>
      <c r="BE435" s="82"/>
      <c r="BF435" s="82"/>
      <c r="BG435" s="82"/>
      <c r="BH435" s="82"/>
      <c r="BI435" s="82"/>
    </row>
    <row r="436">
      <c r="K436" s="79"/>
      <c r="U436" s="79"/>
      <c r="AE436" s="79"/>
      <c r="AF436" s="82"/>
      <c r="AG436" s="82"/>
      <c r="AH436" s="82"/>
      <c r="AI436" s="82"/>
      <c r="AJ436" s="82"/>
      <c r="AK436" s="82"/>
      <c r="AL436" s="82"/>
      <c r="AM436" s="82"/>
      <c r="AN436" s="82"/>
      <c r="AO436" s="81"/>
      <c r="AP436" s="82"/>
      <c r="AQ436" s="82"/>
      <c r="AR436" s="82"/>
      <c r="AS436" s="82"/>
      <c r="AT436" s="82"/>
      <c r="AU436" s="82"/>
      <c r="AV436" s="82"/>
      <c r="AW436" s="82"/>
      <c r="AX436" s="82"/>
      <c r="AY436" s="81"/>
      <c r="AZ436" s="82"/>
      <c r="BA436" s="82"/>
      <c r="BB436" s="82"/>
      <c r="BC436" s="82"/>
      <c r="BD436" s="82"/>
      <c r="BE436" s="82"/>
      <c r="BF436" s="82"/>
      <c r="BG436" s="82"/>
      <c r="BH436" s="82"/>
      <c r="BI436" s="82"/>
    </row>
    <row r="437">
      <c r="K437" s="79"/>
      <c r="U437" s="79"/>
      <c r="AE437" s="79"/>
      <c r="AF437" s="82"/>
      <c r="AG437" s="82"/>
      <c r="AH437" s="82"/>
      <c r="AI437" s="82"/>
      <c r="AJ437" s="82"/>
      <c r="AK437" s="82"/>
      <c r="AL437" s="82"/>
      <c r="AM437" s="82"/>
      <c r="AN437" s="82"/>
      <c r="AO437" s="81"/>
      <c r="AP437" s="82"/>
      <c r="AQ437" s="82"/>
      <c r="AR437" s="82"/>
      <c r="AS437" s="82"/>
      <c r="AT437" s="82"/>
      <c r="AU437" s="82"/>
      <c r="AV437" s="82"/>
      <c r="AW437" s="82"/>
      <c r="AX437" s="82"/>
      <c r="AY437" s="81"/>
      <c r="AZ437" s="82"/>
      <c r="BA437" s="82"/>
      <c r="BB437" s="82"/>
      <c r="BC437" s="82"/>
      <c r="BD437" s="82"/>
      <c r="BE437" s="82"/>
      <c r="BF437" s="82"/>
      <c r="BG437" s="82"/>
      <c r="BH437" s="82"/>
      <c r="BI437" s="82"/>
    </row>
    <row r="438">
      <c r="K438" s="79"/>
      <c r="U438" s="79"/>
      <c r="AE438" s="79"/>
      <c r="AF438" s="82"/>
      <c r="AG438" s="82"/>
      <c r="AH438" s="82"/>
      <c r="AI438" s="82"/>
      <c r="AJ438" s="82"/>
      <c r="AK438" s="82"/>
      <c r="AL438" s="82"/>
      <c r="AM438" s="82"/>
      <c r="AN438" s="82"/>
      <c r="AO438" s="81"/>
      <c r="AP438" s="82"/>
      <c r="AQ438" s="82"/>
      <c r="AR438" s="82"/>
      <c r="AS438" s="82"/>
      <c r="AT438" s="82"/>
      <c r="AU438" s="82"/>
      <c r="AV438" s="82"/>
      <c r="AW438" s="82"/>
      <c r="AX438" s="82"/>
      <c r="AY438" s="81"/>
      <c r="AZ438" s="82"/>
      <c r="BA438" s="82"/>
      <c r="BB438" s="82"/>
      <c r="BC438" s="82"/>
      <c r="BD438" s="82"/>
      <c r="BE438" s="82"/>
      <c r="BF438" s="82"/>
      <c r="BG438" s="82"/>
      <c r="BH438" s="82"/>
      <c r="BI438" s="82"/>
    </row>
    <row r="439">
      <c r="K439" s="79"/>
      <c r="U439" s="79"/>
      <c r="AE439" s="79"/>
      <c r="AF439" s="82"/>
      <c r="AG439" s="82"/>
      <c r="AH439" s="82"/>
      <c r="AI439" s="82"/>
      <c r="AJ439" s="82"/>
      <c r="AK439" s="82"/>
      <c r="AL439" s="82"/>
      <c r="AM439" s="82"/>
      <c r="AN439" s="82"/>
      <c r="AO439" s="81"/>
      <c r="AP439" s="82"/>
      <c r="AQ439" s="82"/>
      <c r="AR439" s="82"/>
      <c r="AS439" s="82"/>
      <c r="AT439" s="82"/>
      <c r="AU439" s="82"/>
      <c r="AV439" s="82"/>
      <c r="AW439" s="82"/>
      <c r="AX439" s="82"/>
      <c r="AY439" s="81"/>
      <c r="AZ439" s="82"/>
      <c r="BA439" s="82"/>
      <c r="BB439" s="82"/>
      <c r="BC439" s="82"/>
      <c r="BD439" s="82"/>
      <c r="BE439" s="82"/>
      <c r="BF439" s="82"/>
      <c r="BG439" s="82"/>
      <c r="BH439" s="82"/>
      <c r="BI439" s="82"/>
    </row>
    <row r="440">
      <c r="K440" s="79"/>
      <c r="U440" s="79"/>
      <c r="AE440" s="79"/>
      <c r="AF440" s="82"/>
      <c r="AG440" s="82"/>
      <c r="AH440" s="82"/>
      <c r="AI440" s="82"/>
      <c r="AJ440" s="82"/>
      <c r="AK440" s="82"/>
      <c r="AL440" s="82"/>
      <c r="AM440" s="82"/>
      <c r="AN440" s="82"/>
      <c r="AO440" s="81"/>
      <c r="AP440" s="82"/>
      <c r="AQ440" s="82"/>
      <c r="AR440" s="82"/>
      <c r="AS440" s="82"/>
      <c r="AT440" s="82"/>
      <c r="AU440" s="82"/>
      <c r="AV440" s="82"/>
      <c r="AW440" s="82"/>
      <c r="AX440" s="82"/>
      <c r="AY440" s="81"/>
      <c r="AZ440" s="82"/>
      <c r="BA440" s="82"/>
      <c r="BB440" s="82"/>
      <c r="BC440" s="82"/>
      <c r="BD440" s="82"/>
      <c r="BE440" s="82"/>
      <c r="BF440" s="82"/>
      <c r="BG440" s="82"/>
      <c r="BH440" s="82"/>
      <c r="BI440" s="82"/>
    </row>
    <row r="441">
      <c r="K441" s="79"/>
      <c r="U441" s="79"/>
      <c r="AE441" s="79"/>
      <c r="AF441" s="82"/>
      <c r="AG441" s="82"/>
      <c r="AH441" s="82"/>
      <c r="AI441" s="82"/>
      <c r="AJ441" s="82"/>
      <c r="AK441" s="82"/>
      <c r="AL441" s="82"/>
      <c r="AM441" s="82"/>
      <c r="AN441" s="82"/>
      <c r="AO441" s="81"/>
      <c r="AP441" s="82"/>
      <c r="AQ441" s="82"/>
      <c r="AR441" s="82"/>
      <c r="AS441" s="82"/>
      <c r="AT441" s="82"/>
      <c r="AU441" s="82"/>
      <c r="AV441" s="82"/>
      <c r="AW441" s="82"/>
      <c r="AX441" s="82"/>
      <c r="AY441" s="81"/>
      <c r="AZ441" s="82"/>
      <c r="BA441" s="82"/>
      <c r="BB441" s="82"/>
      <c r="BC441" s="82"/>
      <c r="BD441" s="82"/>
      <c r="BE441" s="82"/>
      <c r="BF441" s="82"/>
      <c r="BG441" s="82"/>
      <c r="BH441" s="82"/>
      <c r="BI441" s="82"/>
    </row>
    <row r="442">
      <c r="K442" s="79"/>
      <c r="U442" s="79"/>
      <c r="AE442" s="79"/>
      <c r="AF442" s="82"/>
      <c r="AG442" s="82"/>
      <c r="AH442" s="82"/>
      <c r="AI442" s="82"/>
      <c r="AJ442" s="82"/>
      <c r="AK442" s="82"/>
      <c r="AL442" s="82"/>
      <c r="AM442" s="82"/>
      <c r="AN442" s="82"/>
      <c r="AO442" s="81"/>
      <c r="AP442" s="82"/>
      <c r="AQ442" s="82"/>
      <c r="AR442" s="82"/>
      <c r="AS442" s="82"/>
      <c r="AT442" s="82"/>
      <c r="AU442" s="82"/>
      <c r="AV442" s="82"/>
      <c r="AW442" s="82"/>
      <c r="AX442" s="82"/>
      <c r="AY442" s="81"/>
      <c r="AZ442" s="82"/>
      <c r="BA442" s="82"/>
      <c r="BB442" s="82"/>
      <c r="BC442" s="82"/>
      <c r="BD442" s="82"/>
      <c r="BE442" s="82"/>
      <c r="BF442" s="82"/>
      <c r="BG442" s="82"/>
      <c r="BH442" s="82"/>
      <c r="BI442" s="82"/>
    </row>
    <row r="443">
      <c r="K443" s="79"/>
      <c r="U443" s="79"/>
      <c r="AE443" s="79"/>
      <c r="AF443" s="82"/>
      <c r="AG443" s="82"/>
      <c r="AH443" s="82"/>
      <c r="AI443" s="82"/>
      <c r="AJ443" s="82"/>
      <c r="AK443" s="82"/>
      <c r="AL443" s="82"/>
      <c r="AM443" s="82"/>
      <c r="AN443" s="82"/>
      <c r="AO443" s="81"/>
      <c r="AP443" s="82"/>
      <c r="AQ443" s="82"/>
      <c r="AR443" s="82"/>
      <c r="AS443" s="82"/>
      <c r="AT443" s="82"/>
      <c r="AU443" s="82"/>
      <c r="AV443" s="82"/>
      <c r="AW443" s="82"/>
      <c r="AX443" s="82"/>
      <c r="AY443" s="81"/>
      <c r="AZ443" s="82"/>
      <c r="BA443" s="82"/>
      <c r="BB443" s="82"/>
      <c r="BC443" s="82"/>
      <c r="BD443" s="82"/>
      <c r="BE443" s="82"/>
      <c r="BF443" s="82"/>
      <c r="BG443" s="82"/>
      <c r="BH443" s="82"/>
      <c r="BI443" s="82"/>
    </row>
    <row r="444">
      <c r="K444" s="79"/>
      <c r="U444" s="79"/>
      <c r="AE444" s="79"/>
      <c r="AF444" s="82"/>
      <c r="AG444" s="82"/>
      <c r="AH444" s="82"/>
      <c r="AI444" s="82"/>
      <c r="AJ444" s="82"/>
      <c r="AK444" s="82"/>
      <c r="AL444" s="82"/>
      <c r="AM444" s="82"/>
      <c r="AN444" s="82"/>
      <c r="AO444" s="81"/>
      <c r="AP444" s="82"/>
      <c r="AQ444" s="82"/>
      <c r="AR444" s="82"/>
      <c r="AS444" s="82"/>
      <c r="AT444" s="82"/>
      <c r="AU444" s="82"/>
      <c r="AV444" s="82"/>
      <c r="AW444" s="82"/>
      <c r="AX444" s="82"/>
      <c r="AY444" s="81"/>
      <c r="AZ444" s="82"/>
      <c r="BA444" s="82"/>
      <c r="BB444" s="82"/>
      <c r="BC444" s="82"/>
      <c r="BD444" s="82"/>
      <c r="BE444" s="82"/>
      <c r="BF444" s="82"/>
      <c r="BG444" s="82"/>
      <c r="BH444" s="82"/>
      <c r="BI444" s="82"/>
    </row>
    <row r="445">
      <c r="K445" s="79"/>
      <c r="U445" s="79"/>
      <c r="AE445" s="79"/>
      <c r="AF445" s="82"/>
      <c r="AG445" s="82"/>
      <c r="AH445" s="82"/>
      <c r="AI445" s="82"/>
      <c r="AJ445" s="82"/>
      <c r="AK445" s="82"/>
      <c r="AL445" s="82"/>
      <c r="AM445" s="82"/>
      <c r="AN445" s="82"/>
      <c r="AO445" s="81"/>
      <c r="AP445" s="82"/>
      <c r="AQ445" s="82"/>
      <c r="AR445" s="82"/>
      <c r="AS445" s="82"/>
      <c r="AT445" s="82"/>
      <c r="AU445" s="82"/>
      <c r="AV445" s="82"/>
      <c r="AW445" s="82"/>
      <c r="AX445" s="82"/>
      <c r="AY445" s="81"/>
      <c r="AZ445" s="82"/>
      <c r="BA445" s="82"/>
      <c r="BB445" s="82"/>
      <c r="BC445" s="82"/>
      <c r="BD445" s="82"/>
      <c r="BE445" s="82"/>
      <c r="BF445" s="82"/>
      <c r="BG445" s="82"/>
      <c r="BH445" s="82"/>
      <c r="BI445" s="82"/>
    </row>
    <row r="446">
      <c r="K446" s="79"/>
      <c r="U446" s="79"/>
      <c r="AE446" s="79"/>
      <c r="AF446" s="82"/>
      <c r="AG446" s="82"/>
      <c r="AH446" s="82"/>
      <c r="AI446" s="82"/>
      <c r="AJ446" s="82"/>
      <c r="AK446" s="82"/>
      <c r="AL446" s="82"/>
      <c r="AM446" s="82"/>
      <c r="AN446" s="82"/>
      <c r="AO446" s="81"/>
      <c r="AP446" s="82"/>
      <c r="AQ446" s="82"/>
      <c r="AR446" s="82"/>
      <c r="AS446" s="82"/>
      <c r="AT446" s="82"/>
      <c r="AU446" s="82"/>
      <c r="AV446" s="82"/>
      <c r="AW446" s="82"/>
      <c r="AX446" s="82"/>
      <c r="AY446" s="81"/>
      <c r="AZ446" s="82"/>
      <c r="BA446" s="82"/>
      <c r="BB446" s="82"/>
      <c r="BC446" s="82"/>
      <c r="BD446" s="82"/>
      <c r="BE446" s="82"/>
      <c r="BF446" s="82"/>
      <c r="BG446" s="82"/>
      <c r="BH446" s="82"/>
      <c r="BI446" s="82"/>
    </row>
    <row r="447">
      <c r="K447" s="79"/>
      <c r="U447" s="79"/>
      <c r="AE447" s="79"/>
      <c r="AF447" s="82"/>
      <c r="AG447" s="82"/>
      <c r="AH447" s="82"/>
      <c r="AI447" s="82"/>
      <c r="AJ447" s="82"/>
      <c r="AK447" s="82"/>
      <c r="AL447" s="82"/>
      <c r="AM447" s="82"/>
      <c r="AN447" s="82"/>
      <c r="AO447" s="81"/>
      <c r="AP447" s="82"/>
      <c r="AQ447" s="82"/>
      <c r="AR447" s="82"/>
      <c r="AS447" s="82"/>
      <c r="AT447" s="82"/>
      <c r="AU447" s="82"/>
      <c r="AV447" s="82"/>
      <c r="AW447" s="82"/>
      <c r="AX447" s="82"/>
      <c r="AY447" s="81"/>
      <c r="AZ447" s="82"/>
      <c r="BA447" s="82"/>
      <c r="BB447" s="82"/>
      <c r="BC447" s="82"/>
      <c r="BD447" s="82"/>
      <c r="BE447" s="82"/>
      <c r="BF447" s="82"/>
      <c r="BG447" s="82"/>
      <c r="BH447" s="82"/>
      <c r="BI447" s="82"/>
    </row>
    <row r="448">
      <c r="K448" s="79"/>
      <c r="U448" s="79"/>
      <c r="AE448" s="79"/>
      <c r="AF448" s="82"/>
      <c r="AG448" s="82"/>
      <c r="AH448" s="82"/>
      <c r="AI448" s="82"/>
      <c r="AJ448" s="82"/>
      <c r="AK448" s="82"/>
      <c r="AL448" s="82"/>
      <c r="AM448" s="82"/>
      <c r="AN448" s="82"/>
      <c r="AO448" s="81"/>
      <c r="AP448" s="82"/>
      <c r="AQ448" s="82"/>
      <c r="AR448" s="82"/>
      <c r="AS448" s="82"/>
      <c r="AT448" s="82"/>
      <c r="AU448" s="82"/>
      <c r="AV448" s="82"/>
      <c r="AW448" s="82"/>
      <c r="AX448" s="82"/>
      <c r="AY448" s="81"/>
      <c r="AZ448" s="82"/>
      <c r="BA448" s="82"/>
      <c r="BB448" s="82"/>
      <c r="BC448" s="82"/>
      <c r="BD448" s="82"/>
      <c r="BE448" s="82"/>
      <c r="BF448" s="82"/>
      <c r="BG448" s="82"/>
      <c r="BH448" s="82"/>
      <c r="BI448" s="82"/>
    </row>
    <row r="449">
      <c r="K449" s="79"/>
      <c r="U449" s="79"/>
      <c r="AE449" s="79"/>
      <c r="AF449" s="82"/>
      <c r="AG449" s="82"/>
      <c r="AH449" s="82"/>
      <c r="AI449" s="82"/>
      <c r="AJ449" s="82"/>
      <c r="AK449" s="82"/>
      <c r="AL449" s="82"/>
      <c r="AM449" s="82"/>
      <c r="AN449" s="82"/>
      <c r="AO449" s="81"/>
      <c r="AP449" s="82"/>
      <c r="AQ449" s="82"/>
      <c r="AR449" s="82"/>
      <c r="AS449" s="82"/>
      <c r="AT449" s="82"/>
      <c r="AU449" s="82"/>
      <c r="AV449" s="82"/>
      <c r="AW449" s="82"/>
      <c r="AX449" s="82"/>
      <c r="AY449" s="81"/>
      <c r="AZ449" s="82"/>
      <c r="BA449" s="82"/>
      <c r="BB449" s="82"/>
      <c r="BC449" s="82"/>
      <c r="BD449" s="82"/>
      <c r="BE449" s="82"/>
      <c r="BF449" s="82"/>
      <c r="BG449" s="82"/>
      <c r="BH449" s="82"/>
      <c r="BI449" s="82"/>
    </row>
    <row r="450">
      <c r="K450" s="79"/>
      <c r="U450" s="79"/>
      <c r="AE450" s="79"/>
      <c r="AF450" s="82"/>
      <c r="AG450" s="82"/>
      <c r="AH450" s="82"/>
      <c r="AI450" s="82"/>
      <c r="AJ450" s="82"/>
      <c r="AK450" s="82"/>
      <c r="AL450" s="82"/>
      <c r="AM450" s="82"/>
      <c r="AN450" s="82"/>
      <c r="AO450" s="81"/>
      <c r="AP450" s="82"/>
      <c r="AQ450" s="82"/>
      <c r="AR450" s="82"/>
      <c r="AS450" s="82"/>
      <c r="AT450" s="82"/>
      <c r="AU450" s="82"/>
      <c r="AV450" s="82"/>
      <c r="AW450" s="82"/>
      <c r="AX450" s="82"/>
      <c r="AY450" s="81"/>
      <c r="AZ450" s="82"/>
      <c r="BA450" s="82"/>
      <c r="BB450" s="82"/>
      <c r="BC450" s="82"/>
      <c r="BD450" s="82"/>
      <c r="BE450" s="82"/>
      <c r="BF450" s="82"/>
      <c r="BG450" s="82"/>
      <c r="BH450" s="82"/>
      <c r="BI450" s="82"/>
    </row>
    <row r="451">
      <c r="K451" s="79"/>
      <c r="U451" s="79"/>
      <c r="AE451" s="79"/>
      <c r="AF451" s="82"/>
      <c r="AG451" s="82"/>
      <c r="AH451" s="82"/>
      <c r="AI451" s="82"/>
      <c r="AJ451" s="82"/>
      <c r="AK451" s="82"/>
      <c r="AL451" s="82"/>
      <c r="AM451" s="82"/>
      <c r="AN451" s="82"/>
      <c r="AO451" s="81"/>
      <c r="AP451" s="82"/>
      <c r="AQ451" s="82"/>
      <c r="AR451" s="82"/>
      <c r="AS451" s="82"/>
      <c r="AT451" s="82"/>
      <c r="AU451" s="82"/>
      <c r="AV451" s="82"/>
      <c r="AW451" s="82"/>
      <c r="AX451" s="82"/>
      <c r="AY451" s="81"/>
      <c r="AZ451" s="82"/>
      <c r="BA451" s="82"/>
      <c r="BB451" s="82"/>
      <c r="BC451" s="82"/>
      <c r="BD451" s="82"/>
      <c r="BE451" s="82"/>
      <c r="BF451" s="82"/>
      <c r="BG451" s="82"/>
      <c r="BH451" s="82"/>
      <c r="BI451" s="82"/>
    </row>
    <row r="452">
      <c r="K452" s="79"/>
      <c r="U452" s="79"/>
      <c r="AE452" s="79"/>
      <c r="AF452" s="82"/>
      <c r="AG452" s="82"/>
      <c r="AH452" s="82"/>
      <c r="AI452" s="82"/>
      <c r="AJ452" s="82"/>
      <c r="AK452" s="82"/>
      <c r="AL452" s="82"/>
      <c r="AM452" s="82"/>
      <c r="AN452" s="82"/>
      <c r="AO452" s="81"/>
      <c r="AP452" s="82"/>
      <c r="AQ452" s="82"/>
      <c r="AR452" s="82"/>
      <c r="AS452" s="82"/>
      <c r="AT452" s="82"/>
      <c r="AU452" s="82"/>
      <c r="AV452" s="82"/>
      <c r="AW452" s="82"/>
      <c r="AX452" s="82"/>
      <c r="AY452" s="81"/>
      <c r="AZ452" s="82"/>
      <c r="BA452" s="82"/>
      <c r="BB452" s="82"/>
      <c r="BC452" s="82"/>
      <c r="BD452" s="82"/>
      <c r="BE452" s="82"/>
      <c r="BF452" s="82"/>
      <c r="BG452" s="82"/>
      <c r="BH452" s="82"/>
      <c r="BI452" s="82"/>
    </row>
    <row r="453">
      <c r="K453" s="79"/>
      <c r="U453" s="79"/>
      <c r="AE453" s="79"/>
      <c r="AF453" s="82"/>
      <c r="AG453" s="82"/>
      <c r="AH453" s="82"/>
      <c r="AI453" s="82"/>
      <c r="AJ453" s="82"/>
      <c r="AK453" s="82"/>
      <c r="AL453" s="82"/>
      <c r="AM453" s="82"/>
      <c r="AN453" s="82"/>
      <c r="AO453" s="81"/>
      <c r="AP453" s="82"/>
      <c r="AQ453" s="82"/>
      <c r="AR453" s="82"/>
      <c r="AS453" s="82"/>
      <c r="AT453" s="82"/>
      <c r="AU453" s="82"/>
      <c r="AV453" s="82"/>
      <c r="AW453" s="82"/>
      <c r="AX453" s="82"/>
      <c r="AY453" s="81"/>
      <c r="AZ453" s="82"/>
      <c r="BA453" s="82"/>
      <c r="BB453" s="82"/>
      <c r="BC453" s="82"/>
      <c r="BD453" s="82"/>
      <c r="BE453" s="82"/>
      <c r="BF453" s="82"/>
      <c r="BG453" s="82"/>
      <c r="BH453" s="82"/>
      <c r="BI453" s="82"/>
    </row>
    <row r="454">
      <c r="K454" s="79"/>
      <c r="U454" s="79"/>
      <c r="AE454" s="79"/>
      <c r="AF454" s="82"/>
      <c r="AG454" s="82"/>
      <c r="AH454" s="82"/>
      <c r="AI454" s="82"/>
      <c r="AJ454" s="82"/>
      <c r="AK454" s="82"/>
      <c r="AL454" s="82"/>
      <c r="AM454" s="82"/>
      <c r="AN454" s="82"/>
      <c r="AO454" s="81"/>
      <c r="AP454" s="82"/>
      <c r="AQ454" s="82"/>
      <c r="AR454" s="82"/>
      <c r="AS454" s="82"/>
      <c r="AT454" s="82"/>
      <c r="AU454" s="82"/>
      <c r="AV454" s="82"/>
      <c r="AW454" s="82"/>
      <c r="AX454" s="82"/>
      <c r="AY454" s="81"/>
      <c r="AZ454" s="82"/>
      <c r="BA454" s="82"/>
      <c r="BB454" s="82"/>
      <c r="BC454" s="82"/>
      <c r="BD454" s="82"/>
      <c r="BE454" s="82"/>
      <c r="BF454" s="82"/>
      <c r="BG454" s="82"/>
      <c r="BH454" s="82"/>
      <c r="BI454" s="82"/>
    </row>
    <row r="455">
      <c r="K455" s="79"/>
      <c r="U455" s="79"/>
      <c r="AE455" s="79"/>
      <c r="AF455" s="82"/>
      <c r="AG455" s="82"/>
      <c r="AH455" s="82"/>
      <c r="AI455" s="82"/>
      <c r="AJ455" s="82"/>
      <c r="AK455" s="82"/>
      <c r="AL455" s="82"/>
      <c r="AM455" s="82"/>
      <c r="AN455" s="82"/>
      <c r="AO455" s="81"/>
      <c r="AP455" s="82"/>
      <c r="AQ455" s="82"/>
      <c r="AR455" s="82"/>
      <c r="AS455" s="82"/>
      <c r="AT455" s="82"/>
      <c r="AU455" s="82"/>
      <c r="AV455" s="82"/>
      <c r="AW455" s="82"/>
      <c r="AX455" s="82"/>
      <c r="AY455" s="81"/>
      <c r="AZ455" s="82"/>
      <c r="BA455" s="82"/>
      <c r="BB455" s="82"/>
      <c r="BC455" s="82"/>
      <c r="BD455" s="82"/>
      <c r="BE455" s="82"/>
      <c r="BF455" s="82"/>
      <c r="BG455" s="82"/>
      <c r="BH455" s="82"/>
      <c r="BI455" s="82"/>
    </row>
    <row r="456">
      <c r="K456" s="79"/>
      <c r="U456" s="79"/>
      <c r="AE456" s="79"/>
      <c r="AF456" s="82"/>
      <c r="AG456" s="82"/>
      <c r="AH456" s="82"/>
      <c r="AI456" s="82"/>
      <c r="AJ456" s="82"/>
      <c r="AK456" s="82"/>
      <c r="AL456" s="82"/>
      <c r="AM456" s="82"/>
      <c r="AN456" s="82"/>
      <c r="AO456" s="81"/>
      <c r="AP456" s="82"/>
      <c r="AQ456" s="82"/>
      <c r="AR456" s="82"/>
      <c r="AS456" s="82"/>
      <c r="AT456" s="82"/>
      <c r="AU456" s="82"/>
      <c r="AV456" s="82"/>
      <c r="AW456" s="82"/>
      <c r="AX456" s="82"/>
      <c r="AY456" s="81"/>
      <c r="AZ456" s="82"/>
      <c r="BA456" s="82"/>
      <c r="BB456" s="82"/>
      <c r="BC456" s="82"/>
      <c r="BD456" s="82"/>
      <c r="BE456" s="82"/>
      <c r="BF456" s="82"/>
      <c r="BG456" s="82"/>
      <c r="BH456" s="82"/>
      <c r="BI456" s="82"/>
    </row>
    <row r="457">
      <c r="K457" s="79"/>
      <c r="U457" s="79"/>
      <c r="AE457" s="79"/>
      <c r="AF457" s="82"/>
      <c r="AG457" s="82"/>
      <c r="AH457" s="82"/>
      <c r="AI457" s="82"/>
      <c r="AJ457" s="82"/>
      <c r="AK457" s="82"/>
      <c r="AL457" s="82"/>
      <c r="AM457" s="82"/>
      <c r="AN457" s="82"/>
      <c r="AO457" s="81"/>
      <c r="AP457" s="82"/>
      <c r="AQ457" s="82"/>
      <c r="AR457" s="82"/>
      <c r="AS457" s="82"/>
      <c r="AT457" s="82"/>
      <c r="AU457" s="82"/>
      <c r="AV457" s="82"/>
      <c r="AW457" s="82"/>
      <c r="AX457" s="82"/>
      <c r="AY457" s="81"/>
      <c r="AZ457" s="82"/>
      <c r="BA457" s="82"/>
      <c r="BB457" s="82"/>
      <c r="BC457" s="82"/>
      <c r="BD457" s="82"/>
      <c r="BE457" s="82"/>
      <c r="BF457" s="82"/>
      <c r="BG457" s="82"/>
      <c r="BH457" s="82"/>
      <c r="BI457" s="82"/>
    </row>
    <row r="458">
      <c r="K458" s="79"/>
      <c r="U458" s="79"/>
      <c r="AE458" s="79"/>
      <c r="AF458" s="82"/>
      <c r="AG458" s="82"/>
      <c r="AH458" s="82"/>
      <c r="AI458" s="82"/>
      <c r="AJ458" s="82"/>
      <c r="AK458" s="82"/>
      <c r="AL458" s="82"/>
      <c r="AM458" s="82"/>
      <c r="AN458" s="82"/>
      <c r="AO458" s="81"/>
      <c r="AP458" s="82"/>
      <c r="AQ458" s="82"/>
      <c r="AR458" s="82"/>
      <c r="AS458" s="82"/>
      <c r="AT458" s="82"/>
      <c r="AU458" s="82"/>
      <c r="AV458" s="82"/>
      <c r="AW458" s="82"/>
      <c r="AX458" s="82"/>
      <c r="AY458" s="81"/>
      <c r="AZ458" s="82"/>
      <c r="BA458" s="82"/>
      <c r="BB458" s="82"/>
      <c r="BC458" s="82"/>
      <c r="BD458" s="82"/>
      <c r="BE458" s="82"/>
      <c r="BF458" s="82"/>
      <c r="BG458" s="82"/>
      <c r="BH458" s="82"/>
      <c r="BI458" s="82"/>
    </row>
    <row r="459">
      <c r="K459" s="79"/>
      <c r="U459" s="79"/>
      <c r="AE459" s="79"/>
      <c r="AF459" s="82"/>
      <c r="AG459" s="82"/>
      <c r="AH459" s="82"/>
      <c r="AI459" s="82"/>
      <c r="AJ459" s="82"/>
      <c r="AK459" s="82"/>
      <c r="AL459" s="82"/>
      <c r="AM459" s="82"/>
      <c r="AN459" s="82"/>
      <c r="AO459" s="81"/>
      <c r="AP459" s="82"/>
      <c r="AQ459" s="82"/>
      <c r="AR459" s="82"/>
      <c r="AS459" s="82"/>
      <c r="AT459" s="82"/>
      <c r="AU459" s="82"/>
      <c r="AV459" s="82"/>
      <c r="AW459" s="82"/>
      <c r="AX459" s="82"/>
      <c r="AY459" s="81"/>
      <c r="AZ459" s="82"/>
      <c r="BA459" s="82"/>
      <c r="BB459" s="82"/>
      <c r="BC459" s="82"/>
      <c r="BD459" s="82"/>
      <c r="BE459" s="82"/>
      <c r="BF459" s="82"/>
      <c r="BG459" s="82"/>
      <c r="BH459" s="82"/>
      <c r="BI459" s="82"/>
    </row>
    <row r="460">
      <c r="K460" s="79"/>
      <c r="U460" s="79"/>
      <c r="AE460" s="79"/>
      <c r="AF460" s="82"/>
      <c r="AG460" s="82"/>
      <c r="AH460" s="82"/>
      <c r="AI460" s="82"/>
      <c r="AJ460" s="82"/>
      <c r="AK460" s="82"/>
      <c r="AL460" s="82"/>
      <c r="AM460" s="82"/>
      <c r="AN460" s="82"/>
      <c r="AO460" s="81"/>
      <c r="AP460" s="82"/>
      <c r="AQ460" s="82"/>
      <c r="AR460" s="82"/>
      <c r="AS460" s="82"/>
      <c r="AT460" s="82"/>
      <c r="AU460" s="82"/>
      <c r="AV460" s="82"/>
      <c r="AW460" s="82"/>
      <c r="AX460" s="82"/>
      <c r="AY460" s="81"/>
      <c r="AZ460" s="82"/>
      <c r="BA460" s="82"/>
      <c r="BB460" s="82"/>
      <c r="BC460" s="82"/>
      <c r="BD460" s="82"/>
      <c r="BE460" s="82"/>
      <c r="BF460" s="82"/>
      <c r="BG460" s="82"/>
      <c r="BH460" s="82"/>
      <c r="BI460" s="82"/>
    </row>
    <row r="461">
      <c r="K461" s="79"/>
      <c r="U461" s="79"/>
      <c r="AE461" s="79"/>
      <c r="AF461" s="82"/>
      <c r="AG461" s="82"/>
      <c r="AH461" s="82"/>
      <c r="AI461" s="82"/>
      <c r="AJ461" s="82"/>
      <c r="AK461" s="82"/>
      <c r="AL461" s="82"/>
      <c r="AM461" s="82"/>
      <c r="AN461" s="82"/>
      <c r="AO461" s="81"/>
      <c r="AP461" s="82"/>
      <c r="AQ461" s="82"/>
      <c r="AR461" s="82"/>
      <c r="AS461" s="82"/>
      <c r="AT461" s="82"/>
      <c r="AU461" s="82"/>
      <c r="AV461" s="82"/>
      <c r="AW461" s="82"/>
      <c r="AX461" s="82"/>
      <c r="AY461" s="81"/>
      <c r="AZ461" s="82"/>
      <c r="BA461" s="82"/>
      <c r="BB461" s="82"/>
      <c r="BC461" s="82"/>
      <c r="BD461" s="82"/>
      <c r="BE461" s="82"/>
      <c r="BF461" s="82"/>
      <c r="BG461" s="82"/>
      <c r="BH461" s="82"/>
      <c r="BI461" s="82"/>
    </row>
    <row r="462">
      <c r="K462" s="79"/>
      <c r="U462" s="79"/>
      <c r="AE462" s="79"/>
      <c r="AF462" s="82"/>
      <c r="AG462" s="82"/>
      <c r="AH462" s="82"/>
      <c r="AI462" s="82"/>
      <c r="AJ462" s="82"/>
      <c r="AK462" s="82"/>
      <c r="AL462" s="82"/>
      <c r="AM462" s="82"/>
      <c r="AN462" s="82"/>
      <c r="AO462" s="81"/>
      <c r="AP462" s="82"/>
      <c r="AQ462" s="82"/>
      <c r="AR462" s="82"/>
      <c r="AS462" s="82"/>
      <c r="AT462" s="82"/>
      <c r="AU462" s="82"/>
      <c r="AV462" s="82"/>
      <c r="AW462" s="82"/>
      <c r="AX462" s="82"/>
      <c r="AY462" s="81"/>
      <c r="AZ462" s="82"/>
      <c r="BA462" s="82"/>
      <c r="BB462" s="82"/>
      <c r="BC462" s="82"/>
      <c r="BD462" s="82"/>
      <c r="BE462" s="82"/>
      <c r="BF462" s="82"/>
      <c r="BG462" s="82"/>
      <c r="BH462" s="82"/>
      <c r="BI462" s="82"/>
    </row>
    <row r="463">
      <c r="K463" s="79"/>
      <c r="U463" s="79"/>
      <c r="AE463" s="79"/>
      <c r="AF463" s="82"/>
      <c r="AG463" s="82"/>
      <c r="AH463" s="82"/>
      <c r="AI463" s="82"/>
      <c r="AJ463" s="82"/>
      <c r="AK463" s="82"/>
      <c r="AL463" s="82"/>
      <c r="AM463" s="82"/>
      <c r="AN463" s="82"/>
      <c r="AO463" s="81"/>
      <c r="AP463" s="82"/>
      <c r="AQ463" s="82"/>
      <c r="AR463" s="82"/>
      <c r="AS463" s="82"/>
      <c r="AT463" s="82"/>
      <c r="AU463" s="82"/>
      <c r="AV463" s="82"/>
      <c r="AW463" s="82"/>
      <c r="AX463" s="82"/>
      <c r="AY463" s="81"/>
      <c r="AZ463" s="82"/>
      <c r="BA463" s="82"/>
      <c r="BB463" s="82"/>
      <c r="BC463" s="82"/>
      <c r="BD463" s="82"/>
      <c r="BE463" s="82"/>
      <c r="BF463" s="82"/>
      <c r="BG463" s="82"/>
      <c r="BH463" s="82"/>
      <c r="BI463" s="82"/>
    </row>
    <row r="464">
      <c r="K464" s="79"/>
      <c r="U464" s="79"/>
      <c r="AE464" s="79"/>
      <c r="AF464" s="82"/>
      <c r="AG464" s="82"/>
      <c r="AH464" s="82"/>
      <c r="AI464" s="82"/>
      <c r="AJ464" s="82"/>
      <c r="AK464" s="82"/>
      <c r="AL464" s="82"/>
      <c r="AM464" s="82"/>
      <c r="AN464" s="82"/>
      <c r="AO464" s="81"/>
      <c r="AP464" s="82"/>
      <c r="AQ464" s="82"/>
      <c r="AR464" s="82"/>
      <c r="AS464" s="82"/>
      <c r="AT464" s="82"/>
      <c r="AU464" s="82"/>
      <c r="AV464" s="82"/>
      <c r="AW464" s="82"/>
      <c r="AX464" s="82"/>
      <c r="AY464" s="81"/>
      <c r="AZ464" s="82"/>
      <c r="BA464" s="82"/>
      <c r="BB464" s="82"/>
      <c r="BC464" s="82"/>
      <c r="BD464" s="82"/>
      <c r="BE464" s="82"/>
      <c r="BF464" s="82"/>
      <c r="BG464" s="82"/>
      <c r="BH464" s="82"/>
      <c r="BI464" s="82"/>
    </row>
    <row r="465">
      <c r="K465" s="79"/>
      <c r="U465" s="79"/>
      <c r="AE465" s="79"/>
      <c r="AF465" s="82"/>
      <c r="AG465" s="82"/>
      <c r="AH465" s="82"/>
      <c r="AI465" s="82"/>
      <c r="AJ465" s="82"/>
      <c r="AK465" s="82"/>
      <c r="AL465" s="82"/>
      <c r="AM465" s="82"/>
      <c r="AN465" s="82"/>
      <c r="AO465" s="81"/>
      <c r="AP465" s="82"/>
      <c r="AQ465" s="82"/>
      <c r="AR465" s="82"/>
      <c r="AS465" s="82"/>
      <c r="AT465" s="82"/>
      <c r="AU465" s="82"/>
      <c r="AV465" s="82"/>
      <c r="AW465" s="82"/>
      <c r="AX465" s="82"/>
      <c r="AY465" s="81"/>
      <c r="AZ465" s="82"/>
      <c r="BA465" s="82"/>
      <c r="BB465" s="82"/>
      <c r="BC465" s="82"/>
      <c r="BD465" s="82"/>
      <c r="BE465" s="82"/>
      <c r="BF465" s="82"/>
      <c r="BG465" s="82"/>
      <c r="BH465" s="82"/>
      <c r="BI465" s="82"/>
    </row>
    <row r="466">
      <c r="K466" s="79"/>
      <c r="U466" s="79"/>
      <c r="AE466" s="79"/>
      <c r="AF466" s="82"/>
      <c r="AG466" s="82"/>
      <c r="AH466" s="82"/>
      <c r="AI466" s="82"/>
      <c r="AJ466" s="82"/>
      <c r="AK466" s="82"/>
      <c r="AL466" s="82"/>
      <c r="AM466" s="82"/>
      <c r="AN466" s="82"/>
      <c r="AO466" s="81"/>
      <c r="AP466" s="82"/>
      <c r="AQ466" s="82"/>
      <c r="AR466" s="82"/>
      <c r="AS466" s="82"/>
      <c r="AT466" s="82"/>
      <c r="AU466" s="82"/>
      <c r="AV466" s="82"/>
      <c r="AW466" s="82"/>
      <c r="AX466" s="82"/>
      <c r="AY466" s="81"/>
      <c r="AZ466" s="82"/>
      <c r="BA466" s="82"/>
      <c r="BB466" s="82"/>
      <c r="BC466" s="82"/>
      <c r="BD466" s="82"/>
      <c r="BE466" s="82"/>
      <c r="BF466" s="82"/>
      <c r="BG466" s="82"/>
      <c r="BH466" s="82"/>
      <c r="BI466" s="82"/>
    </row>
    <row r="467">
      <c r="K467" s="79"/>
      <c r="U467" s="79"/>
      <c r="AE467" s="79"/>
      <c r="AF467" s="82"/>
      <c r="AG467" s="82"/>
      <c r="AH467" s="82"/>
      <c r="AI467" s="82"/>
      <c r="AJ467" s="82"/>
      <c r="AK467" s="82"/>
      <c r="AL467" s="82"/>
      <c r="AM467" s="82"/>
      <c r="AN467" s="82"/>
      <c r="AO467" s="81"/>
      <c r="AP467" s="82"/>
      <c r="AQ467" s="82"/>
      <c r="AR467" s="82"/>
      <c r="AS467" s="82"/>
      <c r="AT467" s="82"/>
      <c r="AU467" s="82"/>
      <c r="AV467" s="82"/>
      <c r="AW467" s="82"/>
      <c r="AX467" s="82"/>
      <c r="AY467" s="81"/>
      <c r="AZ467" s="82"/>
      <c r="BA467" s="82"/>
      <c r="BB467" s="82"/>
      <c r="BC467" s="82"/>
      <c r="BD467" s="82"/>
      <c r="BE467" s="82"/>
      <c r="BF467" s="82"/>
      <c r="BG467" s="82"/>
      <c r="BH467" s="82"/>
      <c r="BI467" s="82"/>
    </row>
    <row r="468">
      <c r="K468" s="79"/>
      <c r="U468" s="79"/>
      <c r="AE468" s="79"/>
      <c r="AF468" s="82"/>
      <c r="AG468" s="82"/>
      <c r="AH468" s="82"/>
      <c r="AI468" s="82"/>
      <c r="AJ468" s="82"/>
      <c r="AK468" s="82"/>
      <c r="AL468" s="82"/>
      <c r="AM468" s="82"/>
      <c r="AN468" s="82"/>
      <c r="AO468" s="81"/>
      <c r="AP468" s="82"/>
      <c r="AQ468" s="82"/>
      <c r="AR468" s="82"/>
      <c r="AS468" s="82"/>
      <c r="AT468" s="82"/>
      <c r="AU468" s="82"/>
      <c r="AV468" s="82"/>
      <c r="AW468" s="82"/>
      <c r="AX468" s="82"/>
      <c r="AY468" s="81"/>
      <c r="AZ468" s="82"/>
      <c r="BA468" s="82"/>
      <c r="BB468" s="82"/>
      <c r="BC468" s="82"/>
      <c r="BD468" s="82"/>
      <c r="BE468" s="82"/>
      <c r="BF468" s="82"/>
      <c r="BG468" s="82"/>
      <c r="BH468" s="82"/>
      <c r="BI468" s="82"/>
    </row>
    <row r="469">
      <c r="K469" s="79"/>
      <c r="U469" s="79"/>
      <c r="AE469" s="79"/>
      <c r="AF469" s="82"/>
      <c r="AG469" s="82"/>
      <c r="AH469" s="82"/>
      <c r="AI469" s="82"/>
      <c r="AJ469" s="82"/>
      <c r="AK469" s="82"/>
      <c r="AL469" s="82"/>
      <c r="AM469" s="82"/>
      <c r="AN469" s="82"/>
      <c r="AO469" s="81"/>
      <c r="AP469" s="82"/>
      <c r="AQ469" s="82"/>
      <c r="AR469" s="82"/>
      <c r="AS469" s="82"/>
      <c r="AT469" s="82"/>
      <c r="AU469" s="82"/>
      <c r="AV469" s="82"/>
      <c r="AW469" s="82"/>
      <c r="AX469" s="82"/>
      <c r="AY469" s="81"/>
      <c r="AZ469" s="82"/>
      <c r="BA469" s="82"/>
      <c r="BB469" s="82"/>
      <c r="BC469" s="82"/>
      <c r="BD469" s="82"/>
      <c r="BE469" s="82"/>
      <c r="BF469" s="82"/>
      <c r="BG469" s="82"/>
      <c r="BH469" s="82"/>
      <c r="BI469" s="82"/>
    </row>
    <row r="470">
      <c r="K470" s="79"/>
      <c r="U470" s="79"/>
      <c r="AE470" s="79"/>
      <c r="AF470" s="82"/>
      <c r="AG470" s="82"/>
      <c r="AH470" s="82"/>
      <c r="AI470" s="82"/>
      <c r="AJ470" s="82"/>
      <c r="AK470" s="82"/>
      <c r="AL470" s="82"/>
      <c r="AM470" s="82"/>
      <c r="AN470" s="82"/>
      <c r="AO470" s="81"/>
      <c r="AP470" s="82"/>
      <c r="AQ470" s="82"/>
      <c r="AR470" s="82"/>
      <c r="AS470" s="82"/>
      <c r="AT470" s="82"/>
      <c r="AU470" s="82"/>
      <c r="AV470" s="82"/>
      <c r="AW470" s="82"/>
      <c r="AX470" s="82"/>
      <c r="AY470" s="81"/>
      <c r="AZ470" s="82"/>
      <c r="BA470" s="82"/>
      <c r="BB470" s="82"/>
      <c r="BC470" s="82"/>
      <c r="BD470" s="82"/>
      <c r="BE470" s="82"/>
      <c r="BF470" s="82"/>
      <c r="BG470" s="82"/>
      <c r="BH470" s="82"/>
      <c r="BI470" s="82"/>
    </row>
    <row r="471">
      <c r="K471" s="79"/>
      <c r="U471" s="79"/>
      <c r="AE471" s="79"/>
      <c r="AF471" s="82"/>
      <c r="AG471" s="82"/>
      <c r="AH471" s="82"/>
      <c r="AI471" s="82"/>
      <c r="AJ471" s="82"/>
      <c r="AK471" s="82"/>
      <c r="AL471" s="82"/>
      <c r="AM471" s="82"/>
      <c r="AN471" s="82"/>
      <c r="AO471" s="81"/>
      <c r="AP471" s="82"/>
      <c r="AQ471" s="82"/>
      <c r="AR471" s="82"/>
      <c r="AS471" s="82"/>
      <c r="AT471" s="82"/>
      <c r="AU471" s="82"/>
      <c r="AV471" s="82"/>
      <c r="AW471" s="82"/>
      <c r="AX471" s="82"/>
      <c r="AY471" s="81"/>
      <c r="AZ471" s="82"/>
      <c r="BA471" s="82"/>
      <c r="BB471" s="82"/>
      <c r="BC471" s="82"/>
      <c r="BD471" s="82"/>
      <c r="BE471" s="82"/>
      <c r="BF471" s="82"/>
      <c r="BG471" s="82"/>
      <c r="BH471" s="82"/>
      <c r="BI471" s="82"/>
    </row>
    <row r="472">
      <c r="K472" s="79"/>
      <c r="U472" s="79"/>
      <c r="AE472" s="79"/>
      <c r="AF472" s="82"/>
      <c r="AG472" s="82"/>
      <c r="AH472" s="82"/>
      <c r="AI472" s="82"/>
      <c r="AJ472" s="82"/>
      <c r="AK472" s="82"/>
      <c r="AL472" s="82"/>
      <c r="AM472" s="82"/>
      <c r="AN472" s="82"/>
      <c r="AO472" s="81"/>
      <c r="AP472" s="82"/>
      <c r="AQ472" s="82"/>
      <c r="AR472" s="82"/>
      <c r="AS472" s="82"/>
      <c r="AT472" s="82"/>
      <c r="AU472" s="82"/>
      <c r="AV472" s="82"/>
      <c r="AW472" s="82"/>
      <c r="AX472" s="82"/>
      <c r="AY472" s="81"/>
      <c r="AZ472" s="82"/>
      <c r="BA472" s="82"/>
      <c r="BB472" s="82"/>
      <c r="BC472" s="82"/>
      <c r="BD472" s="82"/>
      <c r="BE472" s="82"/>
      <c r="BF472" s="82"/>
      <c r="BG472" s="82"/>
      <c r="BH472" s="82"/>
      <c r="BI472" s="82"/>
    </row>
    <row r="473">
      <c r="K473" s="79"/>
      <c r="U473" s="79"/>
      <c r="AE473" s="79"/>
      <c r="AF473" s="82"/>
      <c r="AG473" s="82"/>
      <c r="AH473" s="82"/>
      <c r="AI473" s="82"/>
      <c r="AJ473" s="82"/>
      <c r="AK473" s="82"/>
      <c r="AL473" s="82"/>
      <c r="AM473" s="82"/>
      <c r="AN473" s="82"/>
      <c r="AO473" s="81"/>
      <c r="AP473" s="82"/>
      <c r="AQ473" s="82"/>
      <c r="AR473" s="82"/>
      <c r="AS473" s="82"/>
      <c r="AT473" s="82"/>
      <c r="AU473" s="82"/>
      <c r="AV473" s="82"/>
      <c r="AW473" s="82"/>
      <c r="AX473" s="82"/>
      <c r="AY473" s="81"/>
      <c r="AZ473" s="82"/>
      <c r="BA473" s="82"/>
      <c r="BB473" s="82"/>
      <c r="BC473" s="82"/>
      <c r="BD473" s="82"/>
      <c r="BE473" s="82"/>
      <c r="BF473" s="82"/>
      <c r="BG473" s="82"/>
      <c r="BH473" s="82"/>
      <c r="BI473" s="82"/>
    </row>
    <row r="474">
      <c r="K474" s="79"/>
      <c r="U474" s="79"/>
      <c r="AE474" s="79"/>
      <c r="AF474" s="82"/>
      <c r="AG474" s="82"/>
      <c r="AH474" s="82"/>
      <c r="AI474" s="82"/>
      <c r="AJ474" s="82"/>
      <c r="AK474" s="82"/>
      <c r="AL474" s="82"/>
      <c r="AM474" s="82"/>
      <c r="AN474" s="82"/>
      <c r="AO474" s="81"/>
      <c r="AP474" s="82"/>
      <c r="AQ474" s="82"/>
      <c r="AR474" s="82"/>
      <c r="AS474" s="82"/>
      <c r="AT474" s="82"/>
      <c r="AU474" s="82"/>
      <c r="AV474" s="82"/>
      <c r="AW474" s="82"/>
      <c r="AX474" s="82"/>
      <c r="AY474" s="81"/>
      <c r="AZ474" s="82"/>
      <c r="BA474" s="82"/>
      <c r="BB474" s="82"/>
      <c r="BC474" s="82"/>
      <c r="BD474" s="82"/>
      <c r="BE474" s="82"/>
      <c r="BF474" s="82"/>
      <c r="BG474" s="82"/>
      <c r="BH474" s="82"/>
      <c r="BI474" s="82"/>
    </row>
    <row r="475">
      <c r="K475" s="79"/>
      <c r="U475" s="79"/>
      <c r="AE475" s="79"/>
      <c r="AF475" s="82"/>
      <c r="AG475" s="82"/>
      <c r="AH475" s="82"/>
      <c r="AI475" s="82"/>
      <c r="AJ475" s="82"/>
      <c r="AK475" s="82"/>
      <c r="AL475" s="82"/>
      <c r="AM475" s="82"/>
      <c r="AN475" s="82"/>
      <c r="AO475" s="81"/>
      <c r="AP475" s="82"/>
      <c r="AQ475" s="82"/>
      <c r="AR475" s="82"/>
      <c r="AS475" s="82"/>
      <c r="AT475" s="82"/>
      <c r="AU475" s="82"/>
      <c r="AV475" s="82"/>
      <c r="AW475" s="82"/>
      <c r="AX475" s="82"/>
      <c r="AY475" s="81"/>
      <c r="AZ475" s="82"/>
      <c r="BA475" s="82"/>
      <c r="BB475" s="82"/>
      <c r="BC475" s="82"/>
      <c r="BD475" s="82"/>
      <c r="BE475" s="82"/>
      <c r="BF475" s="82"/>
      <c r="BG475" s="82"/>
      <c r="BH475" s="82"/>
      <c r="BI475" s="82"/>
    </row>
    <row r="476">
      <c r="K476" s="79"/>
      <c r="U476" s="79"/>
      <c r="AE476" s="79"/>
      <c r="AF476" s="82"/>
      <c r="AG476" s="82"/>
      <c r="AH476" s="82"/>
      <c r="AI476" s="82"/>
      <c r="AJ476" s="82"/>
      <c r="AK476" s="82"/>
      <c r="AL476" s="82"/>
      <c r="AM476" s="82"/>
      <c r="AN476" s="82"/>
      <c r="AO476" s="81"/>
      <c r="AP476" s="82"/>
      <c r="AQ476" s="82"/>
      <c r="AR476" s="82"/>
      <c r="AS476" s="82"/>
      <c r="AT476" s="82"/>
      <c r="AU476" s="82"/>
      <c r="AV476" s="82"/>
      <c r="AW476" s="82"/>
      <c r="AX476" s="82"/>
      <c r="AY476" s="81"/>
      <c r="AZ476" s="82"/>
      <c r="BA476" s="82"/>
      <c r="BB476" s="82"/>
      <c r="BC476" s="82"/>
      <c r="BD476" s="82"/>
      <c r="BE476" s="82"/>
      <c r="BF476" s="82"/>
      <c r="BG476" s="82"/>
      <c r="BH476" s="82"/>
      <c r="BI476" s="82"/>
    </row>
    <row r="477">
      <c r="K477" s="79"/>
      <c r="U477" s="79"/>
      <c r="AE477" s="79"/>
      <c r="AF477" s="82"/>
      <c r="AG477" s="82"/>
      <c r="AH477" s="82"/>
      <c r="AI477" s="82"/>
      <c r="AJ477" s="82"/>
      <c r="AK477" s="82"/>
      <c r="AL477" s="82"/>
      <c r="AM477" s="82"/>
      <c r="AN477" s="82"/>
      <c r="AO477" s="81"/>
      <c r="AP477" s="82"/>
      <c r="AQ477" s="82"/>
      <c r="AR477" s="82"/>
      <c r="AS477" s="82"/>
      <c r="AT477" s="82"/>
      <c r="AU477" s="82"/>
      <c r="AV477" s="82"/>
      <c r="AW477" s="82"/>
      <c r="AX477" s="82"/>
      <c r="AY477" s="81"/>
      <c r="AZ477" s="82"/>
      <c r="BA477" s="82"/>
      <c r="BB477" s="82"/>
      <c r="BC477" s="82"/>
      <c r="BD477" s="82"/>
      <c r="BE477" s="82"/>
      <c r="BF477" s="82"/>
      <c r="BG477" s="82"/>
      <c r="BH477" s="82"/>
      <c r="BI477" s="82"/>
    </row>
    <row r="478">
      <c r="K478" s="79"/>
      <c r="U478" s="79"/>
      <c r="AE478" s="79"/>
      <c r="AF478" s="82"/>
      <c r="AG478" s="82"/>
      <c r="AH478" s="82"/>
      <c r="AI478" s="82"/>
      <c r="AJ478" s="82"/>
      <c r="AK478" s="82"/>
      <c r="AL478" s="82"/>
      <c r="AM478" s="82"/>
      <c r="AN478" s="82"/>
      <c r="AO478" s="81"/>
      <c r="AP478" s="82"/>
      <c r="AQ478" s="82"/>
      <c r="AR478" s="82"/>
      <c r="AS478" s="82"/>
      <c r="AT478" s="82"/>
      <c r="AU478" s="82"/>
      <c r="AV478" s="82"/>
      <c r="AW478" s="82"/>
      <c r="AX478" s="82"/>
      <c r="AY478" s="81"/>
      <c r="AZ478" s="82"/>
      <c r="BA478" s="82"/>
      <c r="BB478" s="82"/>
      <c r="BC478" s="82"/>
      <c r="BD478" s="82"/>
      <c r="BE478" s="82"/>
      <c r="BF478" s="82"/>
      <c r="BG478" s="82"/>
      <c r="BH478" s="82"/>
      <c r="BI478" s="82"/>
    </row>
    <row r="479">
      <c r="K479" s="79"/>
      <c r="U479" s="79"/>
      <c r="AE479" s="79"/>
      <c r="AF479" s="82"/>
      <c r="AG479" s="82"/>
      <c r="AH479" s="82"/>
      <c r="AI479" s="82"/>
      <c r="AJ479" s="82"/>
      <c r="AK479" s="82"/>
      <c r="AL479" s="82"/>
      <c r="AM479" s="82"/>
      <c r="AN479" s="82"/>
      <c r="AO479" s="81"/>
      <c r="AP479" s="82"/>
      <c r="AQ479" s="82"/>
      <c r="AR479" s="82"/>
      <c r="AS479" s="82"/>
      <c r="AT479" s="82"/>
      <c r="AU479" s="82"/>
      <c r="AV479" s="82"/>
      <c r="AW479" s="82"/>
      <c r="AX479" s="82"/>
      <c r="AY479" s="81"/>
      <c r="AZ479" s="82"/>
      <c r="BA479" s="82"/>
      <c r="BB479" s="82"/>
      <c r="BC479" s="82"/>
      <c r="BD479" s="82"/>
      <c r="BE479" s="82"/>
      <c r="BF479" s="82"/>
      <c r="BG479" s="82"/>
      <c r="BH479" s="82"/>
      <c r="BI479" s="82"/>
    </row>
    <row r="480">
      <c r="K480" s="79"/>
      <c r="U480" s="79"/>
      <c r="AE480" s="79"/>
      <c r="AF480" s="82"/>
      <c r="AG480" s="82"/>
      <c r="AH480" s="82"/>
      <c r="AI480" s="82"/>
      <c r="AJ480" s="82"/>
      <c r="AK480" s="82"/>
      <c r="AL480" s="82"/>
      <c r="AM480" s="82"/>
      <c r="AN480" s="82"/>
      <c r="AO480" s="81"/>
      <c r="AP480" s="82"/>
      <c r="AQ480" s="82"/>
      <c r="AR480" s="82"/>
      <c r="AS480" s="82"/>
      <c r="AT480" s="82"/>
      <c r="AU480" s="82"/>
      <c r="AV480" s="82"/>
      <c r="AW480" s="82"/>
      <c r="AX480" s="82"/>
      <c r="AY480" s="81"/>
      <c r="AZ480" s="82"/>
      <c r="BA480" s="82"/>
      <c r="BB480" s="82"/>
      <c r="BC480" s="82"/>
      <c r="BD480" s="82"/>
      <c r="BE480" s="82"/>
      <c r="BF480" s="82"/>
      <c r="BG480" s="82"/>
      <c r="BH480" s="82"/>
      <c r="BI480" s="82"/>
    </row>
    <row r="481">
      <c r="K481" s="79"/>
      <c r="U481" s="79"/>
      <c r="AE481" s="79"/>
      <c r="AF481" s="82"/>
      <c r="AG481" s="82"/>
      <c r="AH481" s="82"/>
      <c r="AI481" s="82"/>
      <c r="AJ481" s="82"/>
      <c r="AK481" s="82"/>
      <c r="AL481" s="82"/>
      <c r="AM481" s="82"/>
      <c r="AN481" s="82"/>
      <c r="AO481" s="81"/>
      <c r="AP481" s="82"/>
      <c r="AQ481" s="82"/>
      <c r="AR481" s="82"/>
      <c r="AS481" s="82"/>
      <c r="AT481" s="82"/>
      <c r="AU481" s="82"/>
      <c r="AV481" s="82"/>
      <c r="AW481" s="82"/>
      <c r="AX481" s="82"/>
      <c r="AY481" s="81"/>
      <c r="AZ481" s="82"/>
      <c r="BA481" s="82"/>
      <c r="BB481" s="82"/>
      <c r="BC481" s="82"/>
      <c r="BD481" s="82"/>
      <c r="BE481" s="82"/>
      <c r="BF481" s="82"/>
      <c r="BG481" s="82"/>
      <c r="BH481" s="82"/>
      <c r="BI481" s="82"/>
    </row>
    <row r="482">
      <c r="K482" s="79"/>
      <c r="U482" s="79"/>
      <c r="AE482" s="79"/>
      <c r="AF482" s="82"/>
      <c r="AG482" s="82"/>
      <c r="AH482" s="82"/>
      <c r="AI482" s="82"/>
      <c r="AJ482" s="82"/>
      <c r="AK482" s="82"/>
      <c r="AL482" s="82"/>
      <c r="AM482" s="82"/>
      <c r="AN482" s="82"/>
      <c r="AO482" s="81"/>
      <c r="AP482" s="82"/>
      <c r="AQ482" s="82"/>
      <c r="AR482" s="82"/>
      <c r="AS482" s="82"/>
      <c r="AT482" s="82"/>
      <c r="AU482" s="82"/>
      <c r="AV482" s="82"/>
      <c r="AW482" s="82"/>
      <c r="AX482" s="82"/>
      <c r="AY482" s="81"/>
      <c r="AZ482" s="82"/>
      <c r="BA482" s="82"/>
      <c r="BB482" s="82"/>
      <c r="BC482" s="82"/>
      <c r="BD482" s="82"/>
      <c r="BE482" s="82"/>
      <c r="BF482" s="82"/>
      <c r="BG482" s="82"/>
      <c r="BH482" s="82"/>
      <c r="BI482" s="82"/>
    </row>
    <row r="483">
      <c r="K483" s="79"/>
      <c r="U483" s="79"/>
      <c r="AE483" s="79"/>
      <c r="AF483" s="82"/>
      <c r="AG483" s="82"/>
      <c r="AH483" s="82"/>
      <c r="AI483" s="82"/>
      <c r="AJ483" s="82"/>
      <c r="AK483" s="82"/>
      <c r="AL483" s="82"/>
      <c r="AM483" s="82"/>
      <c r="AN483" s="82"/>
      <c r="AO483" s="81"/>
      <c r="AP483" s="82"/>
      <c r="AQ483" s="82"/>
      <c r="AR483" s="82"/>
      <c r="AS483" s="82"/>
      <c r="AT483" s="82"/>
      <c r="AU483" s="82"/>
      <c r="AV483" s="82"/>
      <c r="AW483" s="82"/>
      <c r="AX483" s="82"/>
      <c r="AY483" s="81"/>
      <c r="AZ483" s="82"/>
      <c r="BA483" s="82"/>
      <c r="BB483" s="82"/>
      <c r="BC483" s="82"/>
      <c r="BD483" s="82"/>
      <c r="BE483" s="82"/>
      <c r="BF483" s="82"/>
      <c r="BG483" s="82"/>
      <c r="BH483" s="82"/>
      <c r="BI483" s="82"/>
    </row>
    <row r="484">
      <c r="K484" s="79"/>
      <c r="U484" s="79"/>
      <c r="AE484" s="79"/>
      <c r="AF484" s="82"/>
      <c r="AG484" s="82"/>
      <c r="AH484" s="82"/>
      <c r="AI484" s="82"/>
      <c r="AJ484" s="82"/>
      <c r="AK484" s="82"/>
      <c r="AL484" s="82"/>
      <c r="AM484" s="82"/>
      <c r="AN484" s="82"/>
      <c r="AO484" s="81"/>
      <c r="AP484" s="82"/>
      <c r="AQ484" s="82"/>
      <c r="AR484" s="82"/>
      <c r="AS484" s="82"/>
      <c r="AT484" s="82"/>
      <c r="AU484" s="82"/>
      <c r="AV484" s="82"/>
      <c r="AW484" s="82"/>
      <c r="AX484" s="82"/>
      <c r="AY484" s="81"/>
      <c r="AZ484" s="82"/>
      <c r="BA484" s="82"/>
      <c r="BB484" s="82"/>
      <c r="BC484" s="82"/>
      <c r="BD484" s="82"/>
      <c r="BE484" s="82"/>
      <c r="BF484" s="82"/>
      <c r="BG484" s="82"/>
      <c r="BH484" s="82"/>
      <c r="BI484" s="82"/>
    </row>
    <row r="485">
      <c r="K485" s="79"/>
      <c r="U485" s="79"/>
      <c r="AE485" s="79"/>
      <c r="AF485" s="82"/>
      <c r="AG485" s="82"/>
      <c r="AH485" s="82"/>
      <c r="AI485" s="82"/>
      <c r="AJ485" s="82"/>
      <c r="AK485" s="82"/>
      <c r="AL485" s="82"/>
      <c r="AM485" s="82"/>
      <c r="AN485" s="82"/>
      <c r="AO485" s="81"/>
      <c r="AP485" s="82"/>
      <c r="AQ485" s="82"/>
      <c r="AR485" s="82"/>
      <c r="AS485" s="82"/>
      <c r="AT485" s="82"/>
      <c r="AU485" s="82"/>
      <c r="AV485" s="82"/>
      <c r="AW485" s="82"/>
      <c r="AX485" s="82"/>
      <c r="AY485" s="81"/>
      <c r="AZ485" s="82"/>
      <c r="BA485" s="82"/>
      <c r="BB485" s="82"/>
      <c r="BC485" s="82"/>
      <c r="BD485" s="82"/>
      <c r="BE485" s="82"/>
      <c r="BF485" s="82"/>
      <c r="BG485" s="82"/>
      <c r="BH485" s="82"/>
      <c r="BI485" s="82"/>
    </row>
    <row r="486">
      <c r="K486" s="79"/>
      <c r="U486" s="79"/>
      <c r="AE486" s="79"/>
      <c r="AF486" s="82"/>
      <c r="AG486" s="82"/>
      <c r="AH486" s="82"/>
      <c r="AI486" s="82"/>
      <c r="AJ486" s="82"/>
      <c r="AK486" s="82"/>
      <c r="AL486" s="82"/>
      <c r="AM486" s="82"/>
      <c r="AN486" s="82"/>
      <c r="AO486" s="81"/>
      <c r="AP486" s="82"/>
      <c r="AQ486" s="82"/>
      <c r="AR486" s="82"/>
      <c r="AS486" s="82"/>
      <c r="AT486" s="82"/>
      <c r="AU486" s="82"/>
      <c r="AV486" s="82"/>
      <c r="AW486" s="82"/>
      <c r="AX486" s="82"/>
      <c r="AY486" s="81"/>
      <c r="AZ486" s="82"/>
      <c r="BA486" s="82"/>
      <c r="BB486" s="82"/>
      <c r="BC486" s="82"/>
      <c r="BD486" s="82"/>
      <c r="BE486" s="82"/>
      <c r="BF486" s="82"/>
      <c r="BG486" s="82"/>
      <c r="BH486" s="82"/>
      <c r="BI486" s="82"/>
    </row>
    <row r="487">
      <c r="K487" s="79"/>
      <c r="U487" s="79"/>
      <c r="AE487" s="79"/>
      <c r="AF487" s="82"/>
      <c r="AG487" s="82"/>
      <c r="AH487" s="82"/>
      <c r="AI487" s="82"/>
      <c r="AJ487" s="82"/>
      <c r="AK487" s="82"/>
      <c r="AL487" s="82"/>
      <c r="AM487" s="82"/>
      <c r="AN487" s="82"/>
      <c r="AO487" s="81"/>
      <c r="AP487" s="82"/>
      <c r="AQ487" s="82"/>
      <c r="AR487" s="82"/>
      <c r="AS487" s="82"/>
      <c r="AT487" s="82"/>
      <c r="AU487" s="82"/>
      <c r="AV487" s="82"/>
      <c r="AW487" s="82"/>
      <c r="AX487" s="82"/>
      <c r="AY487" s="81"/>
      <c r="AZ487" s="82"/>
      <c r="BA487" s="82"/>
      <c r="BB487" s="82"/>
      <c r="BC487" s="82"/>
      <c r="BD487" s="82"/>
      <c r="BE487" s="82"/>
      <c r="BF487" s="82"/>
      <c r="BG487" s="82"/>
      <c r="BH487" s="82"/>
      <c r="BI487" s="82"/>
    </row>
    <row r="488">
      <c r="K488" s="79"/>
      <c r="U488" s="79"/>
      <c r="AE488" s="79"/>
      <c r="AF488" s="82"/>
      <c r="AG488" s="82"/>
      <c r="AH488" s="82"/>
      <c r="AI488" s="82"/>
      <c r="AJ488" s="82"/>
      <c r="AK488" s="82"/>
      <c r="AL488" s="82"/>
      <c r="AM488" s="82"/>
      <c r="AN488" s="82"/>
      <c r="AO488" s="81"/>
      <c r="AP488" s="82"/>
      <c r="AQ488" s="82"/>
      <c r="AR488" s="82"/>
      <c r="AS488" s="82"/>
      <c r="AT488" s="82"/>
      <c r="AU488" s="82"/>
      <c r="AV488" s="82"/>
      <c r="AW488" s="82"/>
      <c r="AX488" s="82"/>
      <c r="AY488" s="81"/>
      <c r="AZ488" s="82"/>
      <c r="BA488" s="82"/>
      <c r="BB488" s="82"/>
      <c r="BC488" s="82"/>
      <c r="BD488" s="82"/>
      <c r="BE488" s="82"/>
      <c r="BF488" s="82"/>
      <c r="BG488" s="82"/>
      <c r="BH488" s="82"/>
      <c r="BI488" s="82"/>
    </row>
    <row r="489">
      <c r="K489" s="79"/>
      <c r="U489" s="79"/>
      <c r="AE489" s="79"/>
      <c r="AF489" s="82"/>
      <c r="AG489" s="82"/>
      <c r="AH489" s="82"/>
      <c r="AI489" s="82"/>
      <c r="AJ489" s="82"/>
      <c r="AK489" s="82"/>
      <c r="AL489" s="82"/>
      <c r="AM489" s="82"/>
      <c r="AN489" s="82"/>
      <c r="AO489" s="81"/>
      <c r="AP489" s="82"/>
      <c r="AQ489" s="82"/>
      <c r="AR489" s="82"/>
      <c r="AS489" s="82"/>
      <c r="AT489" s="82"/>
      <c r="AU489" s="82"/>
      <c r="AV489" s="82"/>
      <c r="AW489" s="82"/>
      <c r="AX489" s="82"/>
      <c r="AY489" s="81"/>
      <c r="AZ489" s="82"/>
      <c r="BA489" s="82"/>
      <c r="BB489" s="82"/>
      <c r="BC489" s="82"/>
      <c r="BD489" s="82"/>
      <c r="BE489" s="82"/>
      <c r="BF489" s="82"/>
      <c r="BG489" s="82"/>
      <c r="BH489" s="82"/>
      <c r="BI489" s="82"/>
    </row>
    <row r="490">
      <c r="K490" s="79"/>
      <c r="U490" s="79"/>
      <c r="AE490" s="79"/>
      <c r="AF490" s="82"/>
      <c r="AG490" s="82"/>
      <c r="AH490" s="82"/>
      <c r="AI490" s="82"/>
      <c r="AJ490" s="82"/>
      <c r="AK490" s="82"/>
      <c r="AL490" s="82"/>
      <c r="AM490" s="82"/>
      <c r="AN490" s="82"/>
      <c r="AO490" s="81"/>
      <c r="AP490" s="82"/>
      <c r="AQ490" s="82"/>
      <c r="AR490" s="82"/>
      <c r="AS490" s="82"/>
      <c r="AT490" s="82"/>
      <c r="AU490" s="82"/>
      <c r="AV490" s="82"/>
      <c r="AW490" s="82"/>
      <c r="AX490" s="82"/>
      <c r="AY490" s="81"/>
      <c r="AZ490" s="82"/>
      <c r="BA490" s="82"/>
      <c r="BB490" s="82"/>
      <c r="BC490" s="82"/>
      <c r="BD490" s="82"/>
      <c r="BE490" s="82"/>
      <c r="BF490" s="82"/>
      <c r="BG490" s="82"/>
      <c r="BH490" s="82"/>
      <c r="BI490" s="82"/>
    </row>
    <row r="491">
      <c r="K491" s="79"/>
      <c r="U491" s="79"/>
      <c r="AE491" s="79"/>
      <c r="AF491" s="82"/>
      <c r="AG491" s="82"/>
      <c r="AH491" s="82"/>
      <c r="AI491" s="82"/>
      <c r="AJ491" s="82"/>
      <c r="AK491" s="82"/>
      <c r="AL491" s="82"/>
      <c r="AM491" s="82"/>
      <c r="AN491" s="82"/>
      <c r="AO491" s="81"/>
      <c r="AP491" s="82"/>
      <c r="AQ491" s="82"/>
      <c r="AR491" s="82"/>
      <c r="AS491" s="82"/>
      <c r="AT491" s="82"/>
      <c r="AU491" s="82"/>
      <c r="AV491" s="82"/>
      <c r="AW491" s="82"/>
      <c r="AX491" s="82"/>
      <c r="AY491" s="81"/>
      <c r="AZ491" s="82"/>
      <c r="BA491" s="82"/>
      <c r="BB491" s="82"/>
      <c r="BC491" s="82"/>
      <c r="BD491" s="82"/>
      <c r="BE491" s="82"/>
      <c r="BF491" s="82"/>
      <c r="BG491" s="82"/>
      <c r="BH491" s="82"/>
      <c r="BI491" s="82"/>
    </row>
    <row r="492">
      <c r="K492" s="79"/>
      <c r="U492" s="79"/>
      <c r="AE492" s="79"/>
      <c r="AF492" s="82"/>
      <c r="AG492" s="82"/>
      <c r="AH492" s="82"/>
      <c r="AI492" s="82"/>
      <c r="AJ492" s="82"/>
      <c r="AK492" s="82"/>
      <c r="AL492" s="82"/>
      <c r="AM492" s="82"/>
      <c r="AN492" s="82"/>
      <c r="AO492" s="81"/>
      <c r="AP492" s="82"/>
      <c r="AQ492" s="82"/>
      <c r="AR492" s="82"/>
      <c r="AS492" s="82"/>
      <c r="AT492" s="82"/>
      <c r="AU492" s="82"/>
      <c r="AV492" s="82"/>
      <c r="AW492" s="82"/>
      <c r="AX492" s="82"/>
      <c r="AY492" s="81"/>
      <c r="AZ492" s="82"/>
      <c r="BA492" s="82"/>
      <c r="BB492" s="82"/>
      <c r="BC492" s="82"/>
      <c r="BD492" s="82"/>
      <c r="BE492" s="82"/>
      <c r="BF492" s="82"/>
      <c r="BG492" s="82"/>
      <c r="BH492" s="82"/>
      <c r="BI492" s="82"/>
    </row>
    <row r="493">
      <c r="K493" s="79"/>
      <c r="U493" s="79"/>
      <c r="AE493" s="79"/>
      <c r="AF493" s="82"/>
      <c r="AG493" s="82"/>
      <c r="AH493" s="82"/>
      <c r="AI493" s="82"/>
      <c r="AJ493" s="82"/>
      <c r="AK493" s="82"/>
      <c r="AL493" s="82"/>
      <c r="AM493" s="82"/>
      <c r="AN493" s="82"/>
      <c r="AO493" s="81"/>
      <c r="AP493" s="82"/>
      <c r="AQ493" s="82"/>
      <c r="AR493" s="82"/>
      <c r="AS493" s="82"/>
      <c r="AT493" s="82"/>
      <c r="AU493" s="82"/>
      <c r="AV493" s="82"/>
      <c r="AW493" s="82"/>
      <c r="AX493" s="82"/>
      <c r="AY493" s="81"/>
      <c r="AZ493" s="82"/>
      <c r="BA493" s="82"/>
      <c r="BB493" s="82"/>
      <c r="BC493" s="82"/>
      <c r="BD493" s="82"/>
      <c r="BE493" s="82"/>
      <c r="BF493" s="82"/>
      <c r="BG493" s="82"/>
      <c r="BH493" s="82"/>
      <c r="BI493" s="82"/>
    </row>
    <row r="494">
      <c r="K494" s="79"/>
      <c r="U494" s="79"/>
      <c r="AE494" s="79"/>
      <c r="AF494" s="82"/>
      <c r="AG494" s="82"/>
      <c r="AH494" s="82"/>
      <c r="AI494" s="82"/>
      <c r="AJ494" s="82"/>
      <c r="AK494" s="82"/>
      <c r="AL494" s="82"/>
      <c r="AM494" s="82"/>
      <c r="AN494" s="82"/>
      <c r="AO494" s="81"/>
      <c r="AP494" s="82"/>
      <c r="AQ494" s="82"/>
      <c r="AR494" s="82"/>
      <c r="AS494" s="82"/>
      <c r="AT494" s="82"/>
      <c r="AU494" s="82"/>
      <c r="AV494" s="82"/>
      <c r="AW494" s="82"/>
      <c r="AX494" s="82"/>
      <c r="AY494" s="81"/>
      <c r="AZ494" s="82"/>
      <c r="BA494" s="82"/>
      <c r="BB494" s="82"/>
      <c r="BC494" s="82"/>
      <c r="BD494" s="82"/>
      <c r="BE494" s="82"/>
      <c r="BF494" s="82"/>
      <c r="BG494" s="82"/>
      <c r="BH494" s="82"/>
      <c r="BI494" s="82"/>
    </row>
    <row r="495">
      <c r="K495" s="79"/>
      <c r="U495" s="79"/>
      <c r="AE495" s="79"/>
      <c r="AF495" s="82"/>
      <c r="AG495" s="82"/>
      <c r="AH495" s="82"/>
      <c r="AI495" s="82"/>
      <c r="AJ495" s="82"/>
      <c r="AK495" s="82"/>
      <c r="AL495" s="82"/>
      <c r="AM495" s="82"/>
      <c r="AN495" s="82"/>
      <c r="AO495" s="81"/>
      <c r="AP495" s="82"/>
      <c r="AQ495" s="82"/>
      <c r="AR495" s="82"/>
      <c r="AS495" s="82"/>
      <c r="AT495" s="82"/>
      <c r="AU495" s="82"/>
      <c r="AV495" s="82"/>
      <c r="AW495" s="82"/>
      <c r="AX495" s="82"/>
      <c r="AY495" s="81"/>
      <c r="AZ495" s="82"/>
      <c r="BA495" s="82"/>
      <c r="BB495" s="82"/>
      <c r="BC495" s="82"/>
      <c r="BD495" s="82"/>
      <c r="BE495" s="82"/>
      <c r="BF495" s="82"/>
      <c r="BG495" s="82"/>
      <c r="BH495" s="82"/>
      <c r="BI495" s="82"/>
    </row>
    <row r="496">
      <c r="K496" s="79"/>
      <c r="U496" s="79"/>
      <c r="AE496" s="79"/>
      <c r="AF496" s="82"/>
      <c r="AG496" s="82"/>
      <c r="AH496" s="82"/>
      <c r="AI496" s="82"/>
      <c r="AJ496" s="82"/>
      <c r="AK496" s="82"/>
      <c r="AL496" s="82"/>
      <c r="AM496" s="82"/>
      <c r="AN496" s="82"/>
      <c r="AO496" s="81"/>
      <c r="AP496" s="82"/>
      <c r="AQ496" s="82"/>
      <c r="AR496" s="82"/>
      <c r="AS496" s="82"/>
      <c r="AT496" s="82"/>
      <c r="AU496" s="82"/>
      <c r="AV496" s="82"/>
      <c r="AW496" s="82"/>
      <c r="AX496" s="82"/>
      <c r="AY496" s="81"/>
      <c r="AZ496" s="82"/>
      <c r="BA496" s="82"/>
      <c r="BB496" s="82"/>
      <c r="BC496" s="82"/>
      <c r="BD496" s="82"/>
      <c r="BE496" s="82"/>
      <c r="BF496" s="82"/>
      <c r="BG496" s="82"/>
      <c r="BH496" s="82"/>
      <c r="BI496" s="82"/>
    </row>
    <row r="497">
      <c r="K497" s="79"/>
      <c r="U497" s="79"/>
      <c r="AE497" s="79"/>
      <c r="AF497" s="82"/>
      <c r="AG497" s="82"/>
      <c r="AH497" s="82"/>
      <c r="AI497" s="82"/>
      <c r="AJ497" s="82"/>
      <c r="AK497" s="82"/>
      <c r="AL497" s="82"/>
      <c r="AM497" s="82"/>
      <c r="AN497" s="82"/>
      <c r="AO497" s="81"/>
      <c r="AP497" s="82"/>
      <c r="AQ497" s="82"/>
      <c r="AR497" s="82"/>
      <c r="AS497" s="82"/>
      <c r="AT497" s="82"/>
      <c r="AU497" s="82"/>
      <c r="AV497" s="82"/>
      <c r="AW497" s="82"/>
      <c r="AX497" s="82"/>
      <c r="AY497" s="81"/>
      <c r="AZ497" s="82"/>
      <c r="BA497" s="82"/>
      <c r="BB497" s="82"/>
      <c r="BC497" s="82"/>
      <c r="BD497" s="82"/>
      <c r="BE497" s="82"/>
      <c r="BF497" s="82"/>
      <c r="BG497" s="82"/>
      <c r="BH497" s="82"/>
      <c r="BI497" s="82"/>
    </row>
    <row r="498">
      <c r="K498" s="79"/>
      <c r="U498" s="79"/>
      <c r="AE498" s="79"/>
      <c r="AF498" s="82"/>
      <c r="AG498" s="82"/>
      <c r="AH498" s="82"/>
      <c r="AI498" s="82"/>
      <c r="AJ498" s="82"/>
      <c r="AK498" s="82"/>
      <c r="AL498" s="82"/>
      <c r="AM498" s="82"/>
      <c r="AN498" s="82"/>
      <c r="AO498" s="81"/>
      <c r="AP498" s="82"/>
      <c r="AQ498" s="82"/>
      <c r="AR498" s="82"/>
      <c r="AS498" s="82"/>
      <c r="AT498" s="82"/>
      <c r="AU498" s="82"/>
      <c r="AV498" s="82"/>
      <c r="AW498" s="82"/>
      <c r="AX498" s="82"/>
      <c r="AY498" s="81"/>
      <c r="AZ498" s="82"/>
      <c r="BA498" s="82"/>
      <c r="BB498" s="82"/>
      <c r="BC498" s="82"/>
      <c r="BD498" s="82"/>
      <c r="BE498" s="82"/>
      <c r="BF498" s="82"/>
      <c r="BG498" s="82"/>
      <c r="BH498" s="82"/>
      <c r="BI498" s="82"/>
    </row>
    <row r="499">
      <c r="K499" s="79"/>
      <c r="U499" s="79"/>
      <c r="AE499" s="79"/>
      <c r="AF499" s="82"/>
      <c r="AG499" s="82"/>
      <c r="AH499" s="82"/>
      <c r="AI499" s="82"/>
      <c r="AJ499" s="82"/>
      <c r="AK499" s="82"/>
      <c r="AL499" s="82"/>
      <c r="AM499" s="82"/>
      <c r="AN499" s="82"/>
      <c r="AO499" s="81"/>
      <c r="AP499" s="82"/>
      <c r="AQ499" s="82"/>
      <c r="AR499" s="82"/>
      <c r="AS499" s="82"/>
      <c r="AT499" s="82"/>
      <c r="AU499" s="82"/>
      <c r="AV499" s="82"/>
      <c r="AW499" s="82"/>
      <c r="AX499" s="82"/>
      <c r="AY499" s="81"/>
      <c r="AZ499" s="82"/>
      <c r="BA499" s="82"/>
      <c r="BB499" s="82"/>
      <c r="BC499" s="82"/>
      <c r="BD499" s="82"/>
      <c r="BE499" s="82"/>
      <c r="BF499" s="82"/>
      <c r="BG499" s="82"/>
      <c r="BH499" s="82"/>
      <c r="BI499" s="82"/>
    </row>
    <row r="500">
      <c r="K500" s="79"/>
      <c r="U500" s="79"/>
      <c r="AE500" s="79"/>
      <c r="AF500" s="82"/>
      <c r="AG500" s="82"/>
      <c r="AH500" s="82"/>
      <c r="AI500" s="82"/>
      <c r="AJ500" s="82"/>
      <c r="AK500" s="82"/>
      <c r="AL500" s="82"/>
      <c r="AM500" s="82"/>
      <c r="AN500" s="82"/>
      <c r="AO500" s="81"/>
      <c r="AP500" s="82"/>
      <c r="AQ500" s="82"/>
      <c r="AR500" s="82"/>
      <c r="AS500" s="82"/>
      <c r="AT500" s="82"/>
      <c r="AU500" s="82"/>
      <c r="AV500" s="82"/>
      <c r="AW500" s="82"/>
      <c r="AX500" s="82"/>
      <c r="AY500" s="81"/>
      <c r="AZ500" s="82"/>
      <c r="BA500" s="82"/>
      <c r="BB500" s="82"/>
      <c r="BC500" s="82"/>
      <c r="BD500" s="82"/>
      <c r="BE500" s="82"/>
      <c r="BF500" s="82"/>
      <c r="BG500" s="82"/>
      <c r="BH500" s="82"/>
      <c r="BI500" s="82"/>
    </row>
    <row r="501">
      <c r="K501" s="79"/>
      <c r="U501" s="79"/>
      <c r="AE501" s="79"/>
      <c r="AF501" s="82"/>
      <c r="AG501" s="82"/>
      <c r="AH501" s="82"/>
      <c r="AI501" s="82"/>
      <c r="AJ501" s="82"/>
      <c r="AK501" s="82"/>
      <c r="AL501" s="82"/>
      <c r="AM501" s="82"/>
      <c r="AN501" s="82"/>
      <c r="AO501" s="81"/>
      <c r="AP501" s="82"/>
      <c r="AQ501" s="82"/>
      <c r="AR501" s="82"/>
      <c r="AS501" s="82"/>
      <c r="AT501" s="82"/>
      <c r="AU501" s="82"/>
      <c r="AV501" s="82"/>
      <c r="AW501" s="82"/>
      <c r="AX501" s="82"/>
      <c r="AY501" s="81"/>
      <c r="AZ501" s="82"/>
      <c r="BA501" s="82"/>
      <c r="BB501" s="82"/>
      <c r="BC501" s="82"/>
      <c r="BD501" s="82"/>
      <c r="BE501" s="82"/>
      <c r="BF501" s="82"/>
      <c r="BG501" s="82"/>
      <c r="BH501" s="82"/>
      <c r="BI501" s="82"/>
    </row>
    <row r="502">
      <c r="K502" s="79"/>
      <c r="U502" s="79"/>
      <c r="AE502" s="79"/>
      <c r="AF502" s="82"/>
      <c r="AG502" s="82"/>
      <c r="AH502" s="82"/>
      <c r="AI502" s="82"/>
      <c r="AJ502" s="82"/>
      <c r="AK502" s="82"/>
      <c r="AL502" s="82"/>
      <c r="AM502" s="82"/>
      <c r="AN502" s="82"/>
      <c r="AO502" s="81"/>
      <c r="AP502" s="82"/>
      <c r="AQ502" s="82"/>
      <c r="AR502" s="82"/>
      <c r="AS502" s="82"/>
      <c r="AT502" s="82"/>
      <c r="AU502" s="82"/>
      <c r="AV502" s="82"/>
      <c r="AW502" s="82"/>
      <c r="AX502" s="82"/>
      <c r="AY502" s="81"/>
      <c r="AZ502" s="82"/>
      <c r="BA502" s="82"/>
      <c r="BB502" s="82"/>
      <c r="BC502" s="82"/>
      <c r="BD502" s="82"/>
      <c r="BE502" s="82"/>
      <c r="BF502" s="82"/>
      <c r="BG502" s="82"/>
      <c r="BH502" s="82"/>
      <c r="BI502" s="82"/>
    </row>
    <row r="503">
      <c r="K503" s="79"/>
      <c r="U503" s="79"/>
      <c r="AE503" s="79"/>
      <c r="AF503" s="82"/>
      <c r="AG503" s="82"/>
      <c r="AH503" s="82"/>
      <c r="AI503" s="82"/>
      <c r="AJ503" s="82"/>
      <c r="AK503" s="82"/>
      <c r="AL503" s="82"/>
      <c r="AM503" s="82"/>
      <c r="AN503" s="82"/>
      <c r="AO503" s="81"/>
      <c r="AP503" s="82"/>
      <c r="AQ503" s="82"/>
      <c r="AR503" s="82"/>
      <c r="AS503" s="82"/>
      <c r="AT503" s="82"/>
      <c r="AU503" s="82"/>
      <c r="AV503" s="82"/>
      <c r="AW503" s="82"/>
      <c r="AX503" s="82"/>
      <c r="AY503" s="81"/>
      <c r="AZ503" s="82"/>
      <c r="BA503" s="82"/>
      <c r="BB503" s="82"/>
      <c r="BC503" s="82"/>
      <c r="BD503" s="82"/>
      <c r="BE503" s="82"/>
      <c r="BF503" s="82"/>
      <c r="BG503" s="82"/>
      <c r="BH503" s="82"/>
      <c r="BI503" s="82"/>
    </row>
    <row r="504">
      <c r="K504" s="79"/>
      <c r="U504" s="79"/>
      <c r="AE504" s="79"/>
      <c r="AF504" s="82"/>
      <c r="AG504" s="82"/>
      <c r="AH504" s="82"/>
      <c r="AI504" s="82"/>
      <c r="AJ504" s="82"/>
      <c r="AK504" s="82"/>
      <c r="AL504" s="82"/>
      <c r="AM504" s="82"/>
      <c r="AN504" s="82"/>
      <c r="AO504" s="81"/>
      <c r="AP504" s="82"/>
      <c r="AQ504" s="82"/>
      <c r="AR504" s="82"/>
      <c r="AS504" s="82"/>
      <c r="AT504" s="82"/>
      <c r="AU504" s="82"/>
      <c r="AV504" s="82"/>
      <c r="AW504" s="82"/>
      <c r="AX504" s="82"/>
      <c r="AY504" s="81"/>
      <c r="AZ504" s="82"/>
      <c r="BA504" s="82"/>
      <c r="BB504" s="82"/>
      <c r="BC504" s="82"/>
      <c r="BD504" s="82"/>
      <c r="BE504" s="82"/>
      <c r="BF504" s="82"/>
      <c r="BG504" s="82"/>
      <c r="BH504" s="82"/>
      <c r="BI504" s="82"/>
    </row>
    <row r="505">
      <c r="K505" s="79"/>
      <c r="U505" s="79"/>
      <c r="AE505" s="79"/>
      <c r="AF505" s="82"/>
      <c r="AG505" s="82"/>
      <c r="AH505" s="82"/>
      <c r="AI505" s="82"/>
      <c r="AJ505" s="82"/>
      <c r="AK505" s="82"/>
      <c r="AL505" s="82"/>
      <c r="AM505" s="82"/>
      <c r="AN505" s="82"/>
      <c r="AO505" s="81"/>
      <c r="AP505" s="82"/>
      <c r="AQ505" s="82"/>
      <c r="AR505" s="82"/>
      <c r="AS505" s="82"/>
      <c r="AT505" s="82"/>
      <c r="AU505" s="82"/>
      <c r="AV505" s="82"/>
      <c r="AW505" s="82"/>
      <c r="AX505" s="82"/>
      <c r="AY505" s="81"/>
      <c r="AZ505" s="82"/>
      <c r="BA505" s="82"/>
      <c r="BB505" s="82"/>
      <c r="BC505" s="82"/>
      <c r="BD505" s="82"/>
      <c r="BE505" s="82"/>
      <c r="BF505" s="82"/>
      <c r="BG505" s="82"/>
      <c r="BH505" s="82"/>
      <c r="BI505" s="82"/>
    </row>
    <row r="506">
      <c r="K506" s="79"/>
      <c r="U506" s="79"/>
      <c r="AE506" s="79"/>
      <c r="AF506" s="82"/>
      <c r="AG506" s="82"/>
      <c r="AH506" s="82"/>
      <c r="AI506" s="82"/>
      <c r="AJ506" s="82"/>
      <c r="AK506" s="82"/>
      <c r="AL506" s="82"/>
      <c r="AM506" s="82"/>
      <c r="AN506" s="82"/>
      <c r="AO506" s="81"/>
      <c r="AP506" s="82"/>
      <c r="AQ506" s="82"/>
      <c r="AR506" s="82"/>
      <c r="AS506" s="82"/>
      <c r="AT506" s="82"/>
      <c r="AU506" s="82"/>
      <c r="AV506" s="82"/>
      <c r="AW506" s="82"/>
      <c r="AX506" s="82"/>
      <c r="AY506" s="81"/>
      <c r="AZ506" s="82"/>
      <c r="BA506" s="82"/>
      <c r="BB506" s="82"/>
      <c r="BC506" s="82"/>
      <c r="BD506" s="82"/>
      <c r="BE506" s="82"/>
      <c r="BF506" s="82"/>
      <c r="BG506" s="82"/>
      <c r="BH506" s="82"/>
      <c r="BI506" s="82"/>
    </row>
    <row r="507">
      <c r="K507" s="79"/>
      <c r="U507" s="79"/>
      <c r="AE507" s="79"/>
      <c r="AF507" s="82"/>
      <c r="AG507" s="82"/>
      <c r="AH507" s="82"/>
      <c r="AI507" s="82"/>
      <c r="AJ507" s="82"/>
      <c r="AK507" s="82"/>
      <c r="AL507" s="82"/>
      <c r="AM507" s="82"/>
      <c r="AN507" s="82"/>
      <c r="AO507" s="81"/>
      <c r="AP507" s="82"/>
      <c r="AQ507" s="82"/>
      <c r="AR507" s="82"/>
      <c r="AS507" s="82"/>
      <c r="AT507" s="82"/>
      <c r="AU507" s="82"/>
      <c r="AV507" s="82"/>
      <c r="AW507" s="82"/>
      <c r="AX507" s="82"/>
      <c r="AY507" s="81"/>
      <c r="AZ507" s="82"/>
      <c r="BA507" s="82"/>
      <c r="BB507" s="82"/>
      <c r="BC507" s="82"/>
      <c r="BD507" s="82"/>
      <c r="BE507" s="82"/>
      <c r="BF507" s="82"/>
      <c r="BG507" s="82"/>
      <c r="BH507" s="82"/>
      <c r="BI507" s="82"/>
    </row>
    <row r="508">
      <c r="K508" s="79"/>
      <c r="U508" s="79"/>
      <c r="AE508" s="79"/>
      <c r="AF508" s="82"/>
      <c r="AG508" s="82"/>
      <c r="AH508" s="82"/>
      <c r="AI508" s="82"/>
      <c r="AJ508" s="82"/>
      <c r="AK508" s="82"/>
      <c r="AL508" s="82"/>
      <c r="AM508" s="82"/>
      <c r="AN508" s="82"/>
      <c r="AO508" s="81"/>
      <c r="AP508" s="82"/>
      <c r="AQ508" s="82"/>
      <c r="AR508" s="82"/>
      <c r="AS508" s="82"/>
      <c r="AT508" s="82"/>
      <c r="AU508" s="82"/>
      <c r="AV508" s="82"/>
      <c r="AW508" s="82"/>
      <c r="AX508" s="82"/>
      <c r="AY508" s="81"/>
      <c r="AZ508" s="82"/>
      <c r="BA508" s="82"/>
      <c r="BB508" s="82"/>
      <c r="BC508" s="82"/>
      <c r="BD508" s="82"/>
      <c r="BE508" s="82"/>
      <c r="BF508" s="82"/>
      <c r="BG508" s="82"/>
      <c r="BH508" s="82"/>
      <c r="BI508" s="82"/>
    </row>
    <row r="509">
      <c r="K509" s="79"/>
      <c r="U509" s="79"/>
      <c r="AE509" s="79"/>
      <c r="AF509" s="82"/>
      <c r="AG509" s="82"/>
      <c r="AH509" s="82"/>
      <c r="AI509" s="82"/>
      <c r="AJ509" s="82"/>
      <c r="AK509" s="82"/>
      <c r="AL509" s="82"/>
      <c r="AM509" s="82"/>
      <c r="AN509" s="82"/>
      <c r="AO509" s="81"/>
      <c r="AP509" s="82"/>
      <c r="AQ509" s="82"/>
      <c r="AR509" s="82"/>
      <c r="AS509" s="82"/>
      <c r="AT509" s="82"/>
      <c r="AU509" s="82"/>
      <c r="AV509" s="82"/>
      <c r="AW509" s="82"/>
      <c r="AX509" s="82"/>
      <c r="AY509" s="81"/>
      <c r="AZ509" s="82"/>
      <c r="BA509" s="82"/>
      <c r="BB509" s="82"/>
      <c r="BC509" s="82"/>
      <c r="BD509" s="82"/>
      <c r="BE509" s="82"/>
      <c r="BF509" s="82"/>
      <c r="BG509" s="82"/>
      <c r="BH509" s="82"/>
      <c r="BI509" s="82"/>
    </row>
    <row r="510">
      <c r="K510" s="79"/>
      <c r="U510" s="79"/>
      <c r="AE510" s="79"/>
      <c r="AF510" s="82"/>
      <c r="AG510" s="82"/>
      <c r="AH510" s="82"/>
      <c r="AI510" s="82"/>
      <c r="AJ510" s="82"/>
      <c r="AK510" s="82"/>
      <c r="AL510" s="82"/>
      <c r="AM510" s="82"/>
      <c r="AN510" s="82"/>
      <c r="AO510" s="81"/>
      <c r="AP510" s="82"/>
      <c r="AQ510" s="82"/>
      <c r="AR510" s="82"/>
      <c r="AS510" s="82"/>
      <c r="AT510" s="82"/>
      <c r="AU510" s="82"/>
      <c r="AV510" s="82"/>
      <c r="AW510" s="82"/>
      <c r="AX510" s="82"/>
      <c r="AY510" s="81"/>
      <c r="AZ510" s="82"/>
      <c r="BA510" s="82"/>
      <c r="BB510" s="82"/>
      <c r="BC510" s="82"/>
      <c r="BD510" s="82"/>
      <c r="BE510" s="82"/>
      <c r="BF510" s="82"/>
      <c r="BG510" s="82"/>
      <c r="BH510" s="82"/>
      <c r="BI510" s="82"/>
    </row>
    <row r="511">
      <c r="K511" s="79"/>
      <c r="U511" s="79"/>
      <c r="AE511" s="79"/>
      <c r="AF511" s="82"/>
      <c r="AG511" s="82"/>
      <c r="AH511" s="82"/>
      <c r="AI511" s="82"/>
      <c r="AJ511" s="82"/>
      <c r="AK511" s="82"/>
      <c r="AL511" s="82"/>
      <c r="AM511" s="82"/>
      <c r="AN511" s="82"/>
      <c r="AO511" s="81"/>
      <c r="AP511" s="82"/>
      <c r="AQ511" s="82"/>
      <c r="AR511" s="82"/>
      <c r="AS511" s="82"/>
      <c r="AT511" s="82"/>
      <c r="AU511" s="82"/>
      <c r="AV511" s="82"/>
      <c r="AW511" s="82"/>
      <c r="AX511" s="82"/>
      <c r="AY511" s="81"/>
      <c r="AZ511" s="82"/>
      <c r="BA511" s="82"/>
      <c r="BB511" s="82"/>
      <c r="BC511" s="82"/>
      <c r="BD511" s="82"/>
      <c r="BE511" s="82"/>
      <c r="BF511" s="82"/>
      <c r="BG511" s="82"/>
      <c r="BH511" s="82"/>
      <c r="BI511" s="82"/>
    </row>
    <row r="512">
      <c r="K512" s="79"/>
      <c r="U512" s="79"/>
      <c r="AE512" s="79"/>
      <c r="AF512" s="82"/>
      <c r="AG512" s="82"/>
      <c r="AH512" s="82"/>
      <c r="AI512" s="82"/>
      <c r="AJ512" s="82"/>
      <c r="AK512" s="82"/>
      <c r="AL512" s="82"/>
      <c r="AM512" s="82"/>
      <c r="AN512" s="82"/>
      <c r="AO512" s="81"/>
      <c r="AP512" s="82"/>
      <c r="AQ512" s="82"/>
      <c r="AR512" s="82"/>
      <c r="AS512" s="82"/>
      <c r="AT512" s="82"/>
      <c r="AU512" s="82"/>
      <c r="AV512" s="82"/>
      <c r="AW512" s="82"/>
      <c r="AX512" s="82"/>
      <c r="AY512" s="81"/>
      <c r="AZ512" s="82"/>
      <c r="BA512" s="82"/>
      <c r="BB512" s="82"/>
      <c r="BC512" s="82"/>
      <c r="BD512" s="82"/>
      <c r="BE512" s="82"/>
      <c r="BF512" s="82"/>
      <c r="BG512" s="82"/>
      <c r="BH512" s="82"/>
      <c r="BI512" s="82"/>
    </row>
    <row r="513">
      <c r="K513" s="79"/>
      <c r="U513" s="79"/>
      <c r="AE513" s="79"/>
      <c r="AF513" s="82"/>
      <c r="AG513" s="82"/>
      <c r="AH513" s="82"/>
      <c r="AI513" s="82"/>
      <c r="AJ513" s="82"/>
      <c r="AK513" s="82"/>
      <c r="AL513" s="82"/>
      <c r="AM513" s="82"/>
      <c r="AN513" s="82"/>
      <c r="AO513" s="81"/>
      <c r="AP513" s="82"/>
      <c r="AQ513" s="82"/>
      <c r="AR513" s="82"/>
      <c r="AS513" s="82"/>
      <c r="AT513" s="82"/>
      <c r="AU513" s="82"/>
      <c r="AV513" s="82"/>
      <c r="AW513" s="82"/>
      <c r="AX513" s="82"/>
      <c r="AY513" s="81"/>
      <c r="AZ513" s="82"/>
      <c r="BA513" s="82"/>
      <c r="BB513" s="82"/>
      <c r="BC513" s="82"/>
      <c r="BD513" s="82"/>
      <c r="BE513" s="82"/>
      <c r="BF513" s="82"/>
      <c r="BG513" s="82"/>
      <c r="BH513" s="82"/>
      <c r="BI513" s="82"/>
    </row>
    <row r="514">
      <c r="K514" s="79"/>
      <c r="U514" s="79"/>
      <c r="AE514" s="79"/>
      <c r="AF514" s="82"/>
      <c r="AG514" s="82"/>
      <c r="AH514" s="82"/>
      <c r="AI514" s="82"/>
      <c r="AJ514" s="82"/>
      <c r="AK514" s="82"/>
      <c r="AL514" s="82"/>
      <c r="AM514" s="82"/>
      <c r="AN514" s="82"/>
      <c r="AO514" s="81"/>
      <c r="AP514" s="82"/>
      <c r="AQ514" s="82"/>
      <c r="AR514" s="82"/>
      <c r="AS514" s="82"/>
      <c r="AT514" s="82"/>
      <c r="AU514" s="82"/>
      <c r="AV514" s="82"/>
      <c r="AW514" s="82"/>
      <c r="AX514" s="82"/>
      <c r="AY514" s="81"/>
      <c r="AZ514" s="82"/>
      <c r="BA514" s="82"/>
      <c r="BB514" s="82"/>
      <c r="BC514" s="82"/>
      <c r="BD514" s="82"/>
      <c r="BE514" s="82"/>
      <c r="BF514" s="82"/>
      <c r="BG514" s="82"/>
      <c r="BH514" s="82"/>
      <c r="BI514" s="82"/>
    </row>
    <row r="515">
      <c r="K515" s="79"/>
      <c r="U515" s="79"/>
      <c r="AE515" s="79"/>
      <c r="AF515" s="82"/>
      <c r="AG515" s="82"/>
      <c r="AH515" s="82"/>
      <c r="AI515" s="82"/>
      <c r="AJ515" s="82"/>
      <c r="AK515" s="82"/>
      <c r="AL515" s="82"/>
      <c r="AM515" s="82"/>
      <c r="AN515" s="82"/>
      <c r="AO515" s="81"/>
      <c r="AP515" s="82"/>
      <c r="AQ515" s="82"/>
      <c r="AR515" s="82"/>
      <c r="AS515" s="82"/>
      <c r="AT515" s="82"/>
      <c r="AU515" s="82"/>
      <c r="AV515" s="82"/>
      <c r="AW515" s="82"/>
      <c r="AX515" s="82"/>
      <c r="AY515" s="81"/>
      <c r="AZ515" s="82"/>
      <c r="BA515" s="82"/>
      <c r="BB515" s="82"/>
      <c r="BC515" s="82"/>
      <c r="BD515" s="82"/>
      <c r="BE515" s="82"/>
      <c r="BF515" s="82"/>
      <c r="BG515" s="82"/>
      <c r="BH515" s="82"/>
      <c r="BI515" s="82"/>
    </row>
    <row r="516">
      <c r="K516" s="79"/>
      <c r="U516" s="79"/>
      <c r="AE516" s="79"/>
      <c r="AF516" s="82"/>
      <c r="AG516" s="82"/>
      <c r="AH516" s="82"/>
      <c r="AI516" s="82"/>
      <c r="AJ516" s="82"/>
      <c r="AK516" s="82"/>
      <c r="AL516" s="82"/>
      <c r="AM516" s="82"/>
      <c r="AN516" s="82"/>
      <c r="AO516" s="81"/>
      <c r="AP516" s="82"/>
      <c r="AQ516" s="82"/>
      <c r="AR516" s="82"/>
      <c r="AS516" s="82"/>
      <c r="AT516" s="82"/>
      <c r="AU516" s="82"/>
      <c r="AV516" s="82"/>
      <c r="AW516" s="82"/>
      <c r="AX516" s="82"/>
      <c r="AY516" s="81"/>
      <c r="AZ516" s="82"/>
      <c r="BA516" s="82"/>
      <c r="BB516" s="82"/>
      <c r="BC516" s="82"/>
      <c r="BD516" s="82"/>
      <c r="BE516" s="82"/>
      <c r="BF516" s="82"/>
      <c r="BG516" s="82"/>
      <c r="BH516" s="82"/>
      <c r="BI516" s="82"/>
    </row>
    <row r="517">
      <c r="K517" s="79"/>
      <c r="U517" s="79"/>
      <c r="AE517" s="79"/>
      <c r="AF517" s="82"/>
      <c r="AG517" s="82"/>
      <c r="AH517" s="82"/>
      <c r="AI517" s="82"/>
      <c r="AJ517" s="82"/>
      <c r="AK517" s="82"/>
      <c r="AL517" s="82"/>
      <c r="AM517" s="82"/>
      <c r="AN517" s="82"/>
      <c r="AO517" s="81"/>
      <c r="AP517" s="82"/>
      <c r="AQ517" s="82"/>
      <c r="AR517" s="82"/>
      <c r="AS517" s="82"/>
      <c r="AT517" s="82"/>
      <c r="AU517" s="82"/>
      <c r="AV517" s="82"/>
      <c r="AW517" s="82"/>
      <c r="AX517" s="82"/>
      <c r="AY517" s="81"/>
      <c r="AZ517" s="82"/>
      <c r="BA517" s="82"/>
      <c r="BB517" s="82"/>
      <c r="BC517" s="82"/>
      <c r="BD517" s="82"/>
      <c r="BE517" s="82"/>
      <c r="BF517" s="82"/>
      <c r="BG517" s="82"/>
      <c r="BH517" s="82"/>
      <c r="BI517" s="82"/>
    </row>
    <row r="518">
      <c r="K518" s="79"/>
      <c r="U518" s="79"/>
      <c r="AE518" s="79"/>
      <c r="AF518" s="82"/>
      <c r="AG518" s="82"/>
      <c r="AH518" s="82"/>
      <c r="AI518" s="82"/>
      <c r="AJ518" s="82"/>
      <c r="AK518" s="82"/>
      <c r="AL518" s="82"/>
      <c r="AM518" s="82"/>
      <c r="AN518" s="82"/>
      <c r="AO518" s="81"/>
      <c r="AP518" s="82"/>
      <c r="AQ518" s="82"/>
      <c r="AR518" s="82"/>
      <c r="AS518" s="82"/>
      <c r="AT518" s="82"/>
      <c r="AU518" s="82"/>
      <c r="AV518" s="82"/>
      <c r="AW518" s="82"/>
      <c r="AX518" s="82"/>
      <c r="AY518" s="81"/>
      <c r="AZ518" s="82"/>
      <c r="BA518" s="82"/>
      <c r="BB518" s="82"/>
      <c r="BC518" s="82"/>
      <c r="BD518" s="82"/>
      <c r="BE518" s="82"/>
      <c r="BF518" s="82"/>
      <c r="BG518" s="82"/>
      <c r="BH518" s="82"/>
      <c r="BI518" s="82"/>
    </row>
    <row r="519">
      <c r="K519" s="79"/>
      <c r="U519" s="79"/>
      <c r="AE519" s="79"/>
      <c r="AF519" s="82"/>
      <c r="AG519" s="82"/>
      <c r="AH519" s="82"/>
      <c r="AI519" s="82"/>
      <c r="AJ519" s="82"/>
      <c r="AK519" s="82"/>
      <c r="AL519" s="82"/>
      <c r="AM519" s="82"/>
      <c r="AN519" s="82"/>
      <c r="AO519" s="81"/>
      <c r="AP519" s="82"/>
      <c r="AQ519" s="82"/>
      <c r="AR519" s="82"/>
      <c r="AS519" s="82"/>
      <c r="AT519" s="82"/>
      <c r="AU519" s="82"/>
      <c r="AV519" s="82"/>
      <c r="AW519" s="82"/>
      <c r="AX519" s="82"/>
      <c r="AY519" s="81"/>
      <c r="AZ519" s="82"/>
      <c r="BA519" s="82"/>
      <c r="BB519" s="82"/>
      <c r="BC519" s="82"/>
      <c r="BD519" s="82"/>
      <c r="BE519" s="82"/>
      <c r="BF519" s="82"/>
      <c r="BG519" s="82"/>
      <c r="BH519" s="82"/>
      <c r="BI519" s="82"/>
    </row>
    <row r="520">
      <c r="K520" s="79"/>
      <c r="U520" s="79"/>
      <c r="AE520" s="79"/>
      <c r="AF520" s="82"/>
      <c r="AG520" s="82"/>
      <c r="AH520" s="82"/>
      <c r="AI520" s="82"/>
      <c r="AJ520" s="82"/>
      <c r="AK520" s="82"/>
      <c r="AL520" s="82"/>
      <c r="AM520" s="82"/>
      <c r="AN520" s="82"/>
      <c r="AO520" s="81"/>
      <c r="AP520" s="82"/>
      <c r="AQ520" s="82"/>
      <c r="AR520" s="82"/>
      <c r="AS520" s="82"/>
      <c r="AT520" s="82"/>
      <c r="AU520" s="82"/>
      <c r="AV520" s="82"/>
      <c r="AW520" s="82"/>
      <c r="AX520" s="82"/>
      <c r="AY520" s="81"/>
      <c r="AZ520" s="82"/>
      <c r="BA520" s="82"/>
      <c r="BB520" s="82"/>
      <c r="BC520" s="82"/>
      <c r="BD520" s="82"/>
      <c r="BE520" s="82"/>
      <c r="BF520" s="82"/>
      <c r="BG520" s="82"/>
      <c r="BH520" s="82"/>
      <c r="BI520" s="82"/>
    </row>
    <row r="521">
      <c r="K521" s="79"/>
      <c r="U521" s="79"/>
      <c r="AE521" s="79"/>
      <c r="AF521" s="82"/>
      <c r="AG521" s="82"/>
      <c r="AH521" s="82"/>
      <c r="AI521" s="82"/>
      <c r="AJ521" s="82"/>
      <c r="AK521" s="82"/>
      <c r="AL521" s="82"/>
      <c r="AM521" s="82"/>
      <c r="AN521" s="82"/>
      <c r="AO521" s="81"/>
      <c r="AP521" s="82"/>
      <c r="AQ521" s="82"/>
      <c r="AR521" s="82"/>
      <c r="AS521" s="82"/>
      <c r="AT521" s="82"/>
      <c r="AU521" s="82"/>
      <c r="AV521" s="82"/>
      <c r="AW521" s="82"/>
      <c r="AX521" s="82"/>
      <c r="AY521" s="81"/>
      <c r="AZ521" s="82"/>
      <c r="BA521" s="82"/>
      <c r="BB521" s="82"/>
      <c r="BC521" s="82"/>
      <c r="BD521" s="82"/>
      <c r="BE521" s="82"/>
      <c r="BF521" s="82"/>
      <c r="BG521" s="82"/>
      <c r="BH521" s="82"/>
      <c r="BI521" s="82"/>
    </row>
    <row r="522">
      <c r="K522" s="79"/>
      <c r="U522" s="79"/>
      <c r="AE522" s="79"/>
      <c r="AF522" s="82"/>
      <c r="AG522" s="82"/>
      <c r="AH522" s="82"/>
      <c r="AI522" s="82"/>
      <c r="AJ522" s="82"/>
      <c r="AK522" s="82"/>
      <c r="AL522" s="82"/>
      <c r="AM522" s="82"/>
      <c r="AN522" s="82"/>
      <c r="AO522" s="81"/>
      <c r="AP522" s="82"/>
      <c r="AQ522" s="82"/>
      <c r="AR522" s="82"/>
      <c r="AS522" s="82"/>
      <c r="AT522" s="82"/>
      <c r="AU522" s="82"/>
      <c r="AV522" s="82"/>
      <c r="AW522" s="82"/>
      <c r="AX522" s="82"/>
      <c r="AY522" s="81"/>
      <c r="AZ522" s="82"/>
      <c r="BA522" s="82"/>
      <c r="BB522" s="82"/>
      <c r="BC522" s="82"/>
      <c r="BD522" s="82"/>
      <c r="BE522" s="82"/>
      <c r="BF522" s="82"/>
      <c r="BG522" s="82"/>
      <c r="BH522" s="82"/>
      <c r="BI522" s="82"/>
    </row>
    <row r="523">
      <c r="K523" s="79"/>
      <c r="U523" s="79"/>
      <c r="AE523" s="79"/>
      <c r="AF523" s="82"/>
      <c r="AG523" s="82"/>
      <c r="AH523" s="82"/>
      <c r="AI523" s="82"/>
      <c r="AJ523" s="82"/>
      <c r="AK523" s="82"/>
      <c r="AL523" s="82"/>
      <c r="AM523" s="82"/>
      <c r="AN523" s="82"/>
      <c r="AO523" s="81"/>
      <c r="AP523" s="82"/>
      <c r="AQ523" s="82"/>
      <c r="AR523" s="82"/>
      <c r="AS523" s="82"/>
      <c r="AT523" s="82"/>
      <c r="AU523" s="82"/>
      <c r="AV523" s="82"/>
      <c r="AW523" s="82"/>
      <c r="AX523" s="82"/>
      <c r="AY523" s="81"/>
      <c r="AZ523" s="82"/>
      <c r="BA523" s="82"/>
      <c r="BB523" s="82"/>
      <c r="BC523" s="82"/>
      <c r="BD523" s="82"/>
      <c r="BE523" s="82"/>
      <c r="BF523" s="82"/>
      <c r="BG523" s="82"/>
      <c r="BH523" s="82"/>
      <c r="BI523" s="82"/>
    </row>
    <row r="524">
      <c r="K524" s="79"/>
      <c r="U524" s="79"/>
      <c r="AE524" s="79"/>
      <c r="AF524" s="82"/>
      <c r="AG524" s="82"/>
      <c r="AH524" s="82"/>
      <c r="AI524" s="82"/>
      <c r="AJ524" s="82"/>
      <c r="AK524" s="82"/>
      <c r="AL524" s="82"/>
      <c r="AM524" s="82"/>
      <c r="AN524" s="82"/>
      <c r="AO524" s="81"/>
      <c r="AP524" s="82"/>
      <c r="AQ524" s="82"/>
      <c r="AR524" s="82"/>
      <c r="AS524" s="82"/>
      <c r="AT524" s="82"/>
      <c r="AU524" s="82"/>
      <c r="AV524" s="82"/>
      <c r="AW524" s="82"/>
      <c r="AX524" s="82"/>
      <c r="AY524" s="81"/>
      <c r="AZ524" s="82"/>
      <c r="BA524" s="82"/>
      <c r="BB524" s="82"/>
      <c r="BC524" s="82"/>
      <c r="BD524" s="82"/>
      <c r="BE524" s="82"/>
      <c r="BF524" s="82"/>
      <c r="BG524" s="82"/>
      <c r="BH524" s="82"/>
      <c r="BI524" s="82"/>
    </row>
    <row r="525">
      <c r="K525" s="79"/>
      <c r="U525" s="79"/>
      <c r="AE525" s="79"/>
      <c r="AF525" s="82"/>
      <c r="AG525" s="82"/>
      <c r="AH525" s="82"/>
      <c r="AI525" s="82"/>
      <c r="AJ525" s="82"/>
      <c r="AK525" s="82"/>
      <c r="AL525" s="82"/>
      <c r="AM525" s="82"/>
      <c r="AN525" s="82"/>
      <c r="AO525" s="81"/>
      <c r="AP525" s="82"/>
      <c r="AQ525" s="82"/>
      <c r="AR525" s="82"/>
      <c r="AS525" s="82"/>
      <c r="AT525" s="82"/>
      <c r="AU525" s="82"/>
      <c r="AV525" s="82"/>
      <c r="AW525" s="82"/>
      <c r="AX525" s="82"/>
      <c r="AY525" s="81"/>
      <c r="AZ525" s="82"/>
      <c r="BA525" s="82"/>
      <c r="BB525" s="82"/>
      <c r="BC525" s="82"/>
      <c r="BD525" s="82"/>
      <c r="BE525" s="82"/>
      <c r="BF525" s="82"/>
      <c r="BG525" s="82"/>
      <c r="BH525" s="82"/>
      <c r="BI525" s="82"/>
    </row>
    <row r="526">
      <c r="K526" s="79"/>
      <c r="U526" s="79"/>
      <c r="AE526" s="79"/>
      <c r="AF526" s="82"/>
      <c r="AG526" s="82"/>
      <c r="AH526" s="82"/>
      <c r="AI526" s="82"/>
      <c r="AJ526" s="82"/>
      <c r="AK526" s="82"/>
      <c r="AL526" s="82"/>
      <c r="AM526" s="82"/>
      <c r="AN526" s="82"/>
      <c r="AO526" s="81"/>
      <c r="AP526" s="82"/>
      <c r="AQ526" s="82"/>
      <c r="AR526" s="82"/>
      <c r="AS526" s="82"/>
      <c r="AT526" s="82"/>
      <c r="AU526" s="82"/>
      <c r="AV526" s="82"/>
      <c r="AW526" s="82"/>
      <c r="AX526" s="82"/>
      <c r="AY526" s="81"/>
      <c r="AZ526" s="82"/>
      <c r="BA526" s="82"/>
      <c r="BB526" s="82"/>
      <c r="BC526" s="82"/>
      <c r="BD526" s="82"/>
      <c r="BE526" s="82"/>
      <c r="BF526" s="82"/>
      <c r="BG526" s="82"/>
      <c r="BH526" s="82"/>
      <c r="BI526" s="82"/>
    </row>
    <row r="527">
      <c r="K527" s="79"/>
      <c r="U527" s="79"/>
      <c r="AE527" s="79"/>
      <c r="AF527" s="82"/>
      <c r="AG527" s="82"/>
      <c r="AH527" s="82"/>
      <c r="AI527" s="82"/>
      <c r="AJ527" s="82"/>
      <c r="AK527" s="82"/>
      <c r="AL527" s="82"/>
      <c r="AM527" s="82"/>
      <c r="AN527" s="82"/>
      <c r="AO527" s="81"/>
      <c r="AP527" s="82"/>
      <c r="AQ527" s="82"/>
      <c r="AR527" s="82"/>
      <c r="AS527" s="82"/>
      <c r="AT527" s="82"/>
      <c r="AU527" s="82"/>
      <c r="AV527" s="82"/>
      <c r="AW527" s="82"/>
      <c r="AX527" s="82"/>
      <c r="AY527" s="81"/>
      <c r="AZ527" s="82"/>
      <c r="BA527" s="82"/>
      <c r="BB527" s="82"/>
      <c r="BC527" s="82"/>
      <c r="BD527" s="82"/>
      <c r="BE527" s="82"/>
      <c r="BF527" s="82"/>
      <c r="BG527" s="82"/>
      <c r="BH527" s="82"/>
      <c r="BI527" s="82"/>
    </row>
    <row r="528">
      <c r="K528" s="79"/>
      <c r="U528" s="79"/>
      <c r="AE528" s="79"/>
      <c r="AF528" s="82"/>
      <c r="AG528" s="82"/>
      <c r="AH528" s="82"/>
      <c r="AI528" s="82"/>
      <c r="AJ528" s="82"/>
      <c r="AK528" s="82"/>
      <c r="AL528" s="82"/>
      <c r="AM528" s="82"/>
      <c r="AN528" s="82"/>
      <c r="AO528" s="81"/>
      <c r="AP528" s="82"/>
      <c r="AQ528" s="82"/>
      <c r="AR528" s="82"/>
      <c r="AS528" s="82"/>
      <c r="AT528" s="82"/>
      <c r="AU528" s="82"/>
      <c r="AV528" s="82"/>
      <c r="AW528" s="82"/>
      <c r="AX528" s="82"/>
      <c r="AY528" s="81"/>
      <c r="AZ528" s="82"/>
      <c r="BA528" s="82"/>
      <c r="BB528" s="82"/>
      <c r="BC528" s="82"/>
      <c r="BD528" s="82"/>
      <c r="BE528" s="82"/>
      <c r="BF528" s="82"/>
      <c r="BG528" s="82"/>
      <c r="BH528" s="82"/>
      <c r="BI528" s="82"/>
    </row>
    <row r="529">
      <c r="K529" s="79"/>
      <c r="U529" s="79"/>
      <c r="AE529" s="79"/>
      <c r="AF529" s="82"/>
      <c r="AG529" s="82"/>
      <c r="AH529" s="82"/>
      <c r="AI529" s="82"/>
      <c r="AJ529" s="82"/>
      <c r="AK529" s="82"/>
      <c r="AL529" s="82"/>
      <c r="AM529" s="82"/>
      <c r="AN529" s="82"/>
      <c r="AO529" s="81"/>
      <c r="AP529" s="82"/>
      <c r="AQ529" s="82"/>
      <c r="AR529" s="82"/>
      <c r="AS529" s="82"/>
      <c r="AT529" s="82"/>
      <c r="AU529" s="82"/>
      <c r="AV529" s="82"/>
      <c r="AW529" s="82"/>
      <c r="AX529" s="82"/>
      <c r="AY529" s="81"/>
      <c r="AZ529" s="82"/>
      <c r="BA529" s="82"/>
      <c r="BB529" s="82"/>
      <c r="BC529" s="82"/>
      <c r="BD529" s="82"/>
      <c r="BE529" s="82"/>
      <c r="BF529" s="82"/>
      <c r="BG529" s="82"/>
      <c r="BH529" s="82"/>
      <c r="BI529" s="82"/>
    </row>
    <row r="530">
      <c r="K530" s="79"/>
      <c r="U530" s="79"/>
      <c r="AE530" s="79"/>
      <c r="AF530" s="82"/>
      <c r="AG530" s="82"/>
      <c r="AH530" s="82"/>
      <c r="AI530" s="82"/>
      <c r="AJ530" s="82"/>
      <c r="AK530" s="82"/>
      <c r="AL530" s="82"/>
      <c r="AM530" s="82"/>
      <c r="AN530" s="82"/>
      <c r="AO530" s="81"/>
      <c r="AP530" s="82"/>
      <c r="AQ530" s="82"/>
      <c r="AR530" s="82"/>
      <c r="AS530" s="82"/>
      <c r="AT530" s="82"/>
      <c r="AU530" s="82"/>
      <c r="AV530" s="82"/>
      <c r="AW530" s="82"/>
      <c r="AX530" s="82"/>
      <c r="AY530" s="81"/>
      <c r="AZ530" s="82"/>
      <c r="BA530" s="82"/>
      <c r="BB530" s="82"/>
      <c r="BC530" s="82"/>
      <c r="BD530" s="82"/>
      <c r="BE530" s="82"/>
      <c r="BF530" s="82"/>
      <c r="BG530" s="82"/>
      <c r="BH530" s="82"/>
      <c r="BI530" s="82"/>
    </row>
    <row r="531">
      <c r="K531" s="79"/>
      <c r="U531" s="79"/>
      <c r="AE531" s="79"/>
      <c r="AF531" s="82"/>
      <c r="AG531" s="82"/>
      <c r="AH531" s="82"/>
      <c r="AI531" s="82"/>
      <c r="AJ531" s="82"/>
      <c r="AK531" s="82"/>
      <c r="AL531" s="82"/>
      <c r="AM531" s="82"/>
      <c r="AN531" s="82"/>
      <c r="AO531" s="81"/>
      <c r="AP531" s="82"/>
      <c r="AQ531" s="82"/>
      <c r="AR531" s="82"/>
      <c r="AS531" s="82"/>
      <c r="AT531" s="82"/>
      <c r="AU531" s="82"/>
      <c r="AV531" s="82"/>
      <c r="AW531" s="82"/>
      <c r="AX531" s="82"/>
      <c r="AY531" s="81"/>
      <c r="AZ531" s="82"/>
      <c r="BA531" s="82"/>
      <c r="BB531" s="82"/>
      <c r="BC531" s="82"/>
      <c r="BD531" s="82"/>
      <c r="BE531" s="82"/>
      <c r="BF531" s="82"/>
      <c r="BG531" s="82"/>
      <c r="BH531" s="82"/>
      <c r="BI531" s="82"/>
    </row>
    <row r="532">
      <c r="K532" s="79"/>
      <c r="U532" s="79"/>
      <c r="AE532" s="79"/>
      <c r="AF532" s="82"/>
      <c r="AG532" s="82"/>
      <c r="AH532" s="82"/>
      <c r="AI532" s="82"/>
      <c r="AJ532" s="82"/>
      <c r="AK532" s="82"/>
      <c r="AL532" s="82"/>
      <c r="AM532" s="82"/>
      <c r="AN532" s="82"/>
      <c r="AO532" s="81"/>
      <c r="AP532" s="82"/>
      <c r="AQ532" s="82"/>
      <c r="AR532" s="82"/>
      <c r="AS532" s="82"/>
      <c r="AT532" s="82"/>
      <c r="AU532" s="82"/>
      <c r="AV532" s="82"/>
      <c r="AW532" s="82"/>
      <c r="AX532" s="82"/>
      <c r="AY532" s="81"/>
      <c r="AZ532" s="82"/>
      <c r="BA532" s="82"/>
      <c r="BB532" s="82"/>
      <c r="BC532" s="82"/>
      <c r="BD532" s="82"/>
      <c r="BE532" s="82"/>
      <c r="BF532" s="82"/>
      <c r="BG532" s="82"/>
      <c r="BH532" s="82"/>
      <c r="BI532" s="82"/>
    </row>
    <row r="533">
      <c r="K533" s="79"/>
      <c r="U533" s="79"/>
      <c r="AE533" s="79"/>
      <c r="AF533" s="82"/>
      <c r="AG533" s="82"/>
      <c r="AH533" s="82"/>
      <c r="AI533" s="82"/>
      <c r="AJ533" s="82"/>
      <c r="AK533" s="82"/>
      <c r="AL533" s="82"/>
      <c r="AM533" s="82"/>
      <c r="AN533" s="82"/>
      <c r="AO533" s="81"/>
      <c r="AP533" s="82"/>
      <c r="AQ533" s="82"/>
      <c r="AR533" s="82"/>
      <c r="AS533" s="82"/>
      <c r="AT533" s="82"/>
      <c r="AU533" s="82"/>
      <c r="AV533" s="82"/>
      <c r="AW533" s="82"/>
      <c r="AX533" s="82"/>
      <c r="AY533" s="81"/>
      <c r="AZ533" s="82"/>
      <c r="BA533" s="82"/>
      <c r="BB533" s="82"/>
      <c r="BC533" s="82"/>
      <c r="BD533" s="82"/>
      <c r="BE533" s="82"/>
      <c r="BF533" s="82"/>
      <c r="BG533" s="82"/>
      <c r="BH533" s="82"/>
      <c r="BI533" s="82"/>
    </row>
    <row r="534">
      <c r="K534" s="79"/>
      <c r="U534" s="79"/>
      <c r="AE534" s="79"/>
      <c r="AF534" s="82"/>
      <c r="AG534" s="82"/>
      <c r="AH534" s="82"/>
      <c r="AI534" s="82"/>
      <c r="AJ534" s="82"/>
      <c r="AK534" s="82"/>
      <c r="AL534" s="82"/>
      <c r="AM534" s="82"/>
      <c r="AN534" s="82"/>
      <c r="AO534" s="81"/>
      <c r="AP534" s="82"/>
      <c r="AQ534" s="82"/>
      <c r="AR534" s="82"/>
      <c r="AS534" s="82"/>
      <c r="AT534" s="82"/>
      <c r="AU534" s="82"/>
      <c r="AV534" s="82"/>
      <c r="AW534" s="82"/>
      <c r="AX534" s="82"/>
      <c r="AY534" s="81"/>
      <c r="AZ534" s="82"/>
      <c r="BA534" s="82"/>
      <c r="BB534" s="82"/>
      <c r="BC534" s="82"/>
      <c r="BD534" s="82"/>
      <c r="BE534" s="82"/>
      <c r="BF534" s="82"/>
      <c r="BG534" s="82"/>
      <c r="BH534" s="82"/>
      <c r="BI534" s="82"/>
    </row>
    <row r="535">
      <c r="K535" s="79"/>
      <c r="U535" s="79"/>
      <c r="AE535" s="79"/>
      <c r="AF535" s="82"/>
      <c r="AG535" s="82"/>
      <c r="AH535" s="82"/>
      <c r="AI535" s="82"/>
      <c r="AJ535" s="82"/>
      <c r="AK535" s="82"/>
      <c r="AL535" s="82"/>
      <c r="AM535" s="82"/>
      <c r="AN535" s="82"/>
      <c r="AO535" s="81"/>
      <c r="AP535" s="82"/>
      <c r="AQ535" s="82"/>
      <c r="AR535" s="82"/>
      <c r="AS535" s="82"/>
      <c r="AT535" s="82"/>
      <c r="AU535" s="82"/>
      <c r="AV535" s="82"/>
      <c r="AW535" s="82"/>
      <c r="AX535" s="82"/>
      <c r="AY535" s="81"/>
      <c r="AZ535" s="82"/>
      <c r="BA535" s="82"/>
      <c r="BB535" s="82"/>
      <c r="BC535" s="82"/>
      <c r="BD535" s="82"/>
      <c r="BE535" s="82"/>
      <c r="BF535" s="82"/>
      <c r="BG535" s="82"/>
      <c r="BH535" s="82"/>
      <c r="BI535" s="82"/>
    </row>
    <row r="536">
      <c r="K536" s="79"/>
      <c r="U536" s="79"/>
      <c r="AE536" s="79"/>
      <c r="AF536" s="82"/>
      <c r="AG536" s="82"/>
      <c r="AH536" s="82"/>
      <c r="AI536" s="82"/>
      <c r="AJ536" s="82"/>
      <c r="AK536" s="82"/>
      <c r="AL536" s="82"/>
      <c r="AM536" s="82"/>
      <c r="AN536" s="82"/>
      <c r="AO536" s="81"/>
      <c r="AP536" s="82"/>
      <c r="AQ536" s="82"/>
      <c r="AR536" s="82"/>
      <c r="AS536" s="82"/>
      <c r="AT536" s="82"/>
      <c r="AU536" s="82"/>
      <c r="AV536" s="82"/>
      <c r="AW536" s="82"/>
      <c r="AX536" s="82"/>
      <c r="AY536" s="81"/>
      <c r="AZ536" s="82"/>
      <c r="BA536" s="82"/>
      <c r="BB536" s="82"/>
      <c r="BC536" s="82"/>
      <c r="BD536" s="82"/>
      <c r="BE536" s="82"/>
      <c r="BF536" s="82"/>
      <c r="BG536" s="82"/>
      <c r="BH536" s="82"/>
      <c r="BI536" s="82"/>
    </row>
    <row r="537">
      <c r="K537" s="79"/>
      <c r="U537" s="79"/>
      <c r="AE537" s="79"/>
      <c r="AF537" s="82"/>
      <c r="AG537" s="82"/>
      <c r="AH537" s="82"/>
      <c r="AI537" s="82"/>
      <c r="AJ537" s="82"/>
      <c r="AK537" s="82"/>
      <c r="AL537" s="82"/>
      <c r="AM537" s="82"/>
      <c r="AN537" s="82"/>
      <c r="AO537" s="81"/>
      <c r="AP537" s="82"/>
      <c r="AQ537" s="82"/>
      <c r="AR537" s="82"/>
      <c r="AS537" s="82"/>
      <c r="AT537" s="82"/>
      <c r="AU537" s="82"/>
      <c r="AV537" s="82"/>
      <c r="AW537" s="82"/>
      <c r="AX537" s="82"/>
      <c r="AY537" s="81"/>
      <c r="AZ537" s="82"/>
      <c r="BA537" s="82"/>
      <c r="BB537" s="82"/>
      <c r="BC537" s="82"/>
      <c r="BD537" s="82"/>
      <c r="BE537" s="82"/>
      <c r="BF537" s="82"/>
      <c r="BG537" s="82"/>
      <c r="BH537" s="82"/>
      <c r="BI537" s="82"/>
    </row>
    <row r="538">
      <c r="K538" s="79"/>
      <c r="U538" s="79"/>
      <c r="AE538" s="79"/>
      <c r="AF538" s="82"/>
      <c r="AG538" s="82"/>
      <c r="AH538" s="82"/>
      <c r="AI538" s="82"/>
      <c r="AJ538" s="82"/>
      <c r="AK538" s="82"/>
      <c r="AL538" s="82"/>
      <c r="AM538" s="82"/>
      <c r="AN538" s="82"/>
      <c r="AO538" s="81"/>
      <c r="AP538" s="82"/>
      <c r="AQ538" s="82"/>
      <c r="AR538" s="82"/>
      <c r="AS538" s="82"/>
      <c r="AT538" s="82"/>
      <c r="AU538" s="82"/>
      <c r="AV538" s="82"/>
      <c r="AW538" s="82"/>
      <c r="AX538" s="82"/>
      <c r="AY538" s="81"/>
      <c r="AZ538" s="82"/>
      <c r="BA538" s="82"/>
      <c r="BB538" s="82"/>
      <c r="BC538" s="82"/>
      <c r="BD538" s="82"/>
      <c r="BE538" s="82"/>
      <c r="BF538" s="82"/>
      <c r="BG538" s="82"/>
      <c r="BH538" s="82"/>
      <c r="BI538" s="82"/>
    </row>
    <row r="539">
      <c r="K539" s="79"/>
      <c r="U539" s="79"/>
      <c r="AE539" s="79"/>
      <c r="AF539" s="82"/>
      <c r="AG539" s="82"/>
      <c r="AH539" s="82"/>
      <c r="AI539" s="82"/>
      <c r="AJ539" s="82"/>
      <c r="AK539" s="82"/>
      <c r="AL539" s="82"/>
      <c r="AM539" s="82"/>
      <c r="AN539" s="82"/>
      <c r="AO539" s="81"/>
      <c r="AP539" s="82"/>
      <c r="AQ539" s="82"/>
      <c r="AR539" s="82"/>
      <c r="AS539" s="82"/>
      <c r="AT539" s="82"/>
      <c r="AU539" s="82"/>
      <c r="AV539" s="82"/>
      <c r="AW539" s="82"/>
      <c r="AX539" s="82"/>
      <c r="AY539" s="81"/>
      <c r="AZ539" s="82"/>
      <c r="BA539" s="82"/>
      <c r="BB539" s="82"/>
      <c r="BC539" s="82"/>
      <c r="BD539" s="82"/>
      <c r="BE539" s="82"/>
      <c r="BF539" s="82"/>
      <c r="BG539" s="82"/>
      <c r="BH539" s="82"/>
      <c r="BI539" s="82"/>
    </row>
    <row r="540">
      <c r="K540" s="79"/>
      <c r="U540" s="79"/>
      <c r="AE540" s="79"/>
      <c r="AF540" s="82"/>
      <c r="AG540" s="82"/>
      <c r="AH540" s="82"/>
      <c r="AI540" s="82"/>
      <c r="AJ540" s="82"/>
      <c r="AK540" s="82"/>
      <c r="AL540" s="82"/>
      <c r="AM540" s="82"/>
      <c r="AN540" s="82"/>
      <c r="AO540" s="81"/>
      <c r="AP540" s="82"/>
      <c r="AQ540" s="82"/>
      <c r="AR540" s="82"/>
      <c r="AS540" s="82"/>
      <c r="AT540" s="82"/>
      <c r="AU540" s="82"/>
      <c r="AV540" s="82"/>
      <c r="AW540" s="82"/>
      <c r="AX540" s="82"/>
      <c r="AY540" s="81"/>
      <c r="AZ540" s="82"/>
      <c r="BA540" s="82"/>
      <c r="BB540" s="82"/>
      <c r="BC540" s="82"/>
      <c r="BD540" s="82"/>
      <c r="BE540" s="82"/>
      <c r="BF540" s="82"/>
      <c r="BG540" s="82"/>
      <c r="BH540" s="82"/>
      <c r="BI540" s="82"/>
    </row>
    <row r="541">
      <c r="K541" s="79"/>
      <c r="U541" s="79"/>
      <c r="AE541" s="79"/>
      <c r="AF541" s="82"/>
      <c r="AG541" s="82"/>
      <c r="AH541" s="82"/>
      <c r="AI541" s="82"/>
      <c r="AJ541" s="82"/>
      <c r="AK541" s="82"/>
      <c r="AL541" s="82"/>
      <c r="AM541" s="82"/>
      <c r="AN541" s="82"/>
      <c r="AO541" s="81"/>
      <c r="AP541" s="82"/>
      <c r="AQ541" s="82"/>
      <c r="AR541" s="82"/>
      <c r="AS541" s="82"/>
      <c r="AT541" s="82"/>
      <c r="AU541" s="82"/>
      <c r="AV541" s="82"/>
      <c r="AW541" s="82"/>
      <c r="AX541" s="82"/>
      <c r="AY541" s="81"/>
      <c r="AZ541" s="82"/>
      <c r="BA541" s="82"/>
      <c r="BB541" s="82"/>
      <c r="BC541" s="82"/>
      <c r="BD541" s="82"/>
      <c r="BE541" s="82"/>
      <c r="BF541" s="82"/>
      <c r="BG541" s="82"/>
      <c r="BH541" s="82"/>
      <c r="BI541" s="82"/>
    </row>
    <row r="542">
      <c r="K542" s="79"/>
      <c r="U542" s="79"/>
      <c r="AE542" s="79"/>
      <c r="AF542" s="82"/>
      <c r="AG542" s="82"/>
      <c r="AH542" s="82"/>
      <c r="AI542" s="82"/>
      <c r="AJ542" s="82"/>
      <c r="AK542" s="82"/>
      <c r="AL542" s="82"/>
      <c r="AM542" s="82"/>
      <c r="AN542" s="82"/>
      <c r="AO542" s="81"/>
      <c r="AP542" s="82"/>
      <c r="AQ542" s="82"/>
      <c r="AR542" s="82"/>
      <c r="AS542" s="82"/>
      <c r="AT542" s="82"/>
      <c r="AU542" s="82"/>
      <c r="AV542" s="82"/>
      <c r="AW542" s="82"/>
      <c r="AX542" s="82"/>
      <c r="AY542" s="81"/>
      <c r="AZ542" s="82"/>
      <c r="BA542" s="82"/>
      <c r="BB542" s="82"/>
      <c r="BC542" s="82"/>
      <c r="BD542" s="82"/>
      <c r="BE542" s="82"/>
      <c r="BF542" s="82"/>
      <c r="BG542" s="82"/>
      <c r="BH542" s="82"/>
      <c r="BI542" s="82"/>
    </row>
    <row r="543">
      <c r="K543" s="79"/>
      <c r="U543" s="79"/>
      <c r="AE543" s="79"/>
      <c r="AF543" s="82"/>
      <c r="AG543" s="82"/>
      <c r="AH543" s="82"/>
      <c r="AI543" s="82"/>
      <c r="AJ543" s="82"/>
      <c r="AK543" s="82"/>
      <c r="AL543" s="82"/>
      <c r="AM543" s="82"/>
      <c r="AN543" s="82"/>
      <c r="AO543" s="81"/>
      <c r="AP543" s="82"/>
      <c r="AQ543" s="82"/>
      <c r="AR543" s="82"/>
      <c r="AS543" s="82"/>
      <c r="AT543" s="82"/>
      <c r="AU543" s="82"/>
      <c r="AV543" s="82"/>
      <c r="AW543" s="82"/>
      <c r="AX543" s="82"/>
      <c r="AY543" s="81"/>
      <c r="AZ543" s="82"/>
      <c r="BA543" s="82"/>
      <c r="BB543" s="82"/>
      <c r="BC543" s="82"/>
      <c r="BD543" s="82"/>
      <c r="BE543" s="82"/>
      <c r="BF543" s="82"/>
      <c r="BG543" s="82"/>
      <c r="BH543" s="82"/>
      <c r="BI543" s="82"/>
    </row>
    <row r="544">
      <c r="K544" s="79"/>
      <c r="U544" s="79"/>
      <c r="AE544" s="79"/>
      <c r="AF544" s="82"/>
      <c r="AG544" s="82"/>
      <c r="AH544" s="82"/>
      <c r="AI544" s="82"/>
      <c r="AJ544" s="82"/>
      <c r="AK544" s="82"/>
      <c r="AL544" s="82"/>
      <c r="AM544" s="82"/>
      <c r="AN544" s="82"/>
      <c r="AO544" s="81"/>
      <c r="AP544" s="82"/>
      <c r="AQ544" s="82"/>
      <c r="AR544" s="82"/>
      <c r="AS544" s="82"/>
      <c r="AT544" s="82"/>
      <c r="AU544" s="82"/>
      <c r="AV544" s="82"/>
      <c r="AW544" s="82"/>
      <c r="AX544" s="82"/>
      <c r="AY544" s="81"/>
      <c r="AZ544" s="82"/>
      <c r="BA544" s="82"/>
      <c r="BB544" s="82"/>
      <c r="BC544" s="82"/>
      <c r="BD544" s="82"/>
      <c r="BE544" s="82"/>
      <c r="BF544" s="82"/>
      <c r="BG544" s="82"/>
      <c r="BH544" s="82"/>
      <c r="BI544" s="82"/>
    </row>
    <row r="545">
      <c r="K545" s="79"/>
      <c r="U545" s="79"/>
      <c r="AE545" s="79"/>
      <c r="AF545" s="82"/>
      <c r="AG545" s="82"/>
      <c r="AH545" s="82"/>
      <c r="AI545" s="82"/>
      <c r="AJ545" s="82"/>
      <c r="AK545" s="82"/>
      <c r="AL545" s="82"/>
      <c r="AM545" s="82"/>
      <c r="AN545" s="82"/>
      <c r="AO545" s="81"/>
      <c r="AP545" s="82"/>
      <c r="AQ545" s="82"/>
      <c r="AR545" s="82"/>
      <c r="AS545" s="82"/>
      <c r="AT545" s="82"/>
      <c r="AU545" s="82"/>
      <c r="AV545" s="82"/>
      <c r="AW545" s="82"/>
      <c r="AX545" s="82"/>
      <c r="AY545" s="81"/>
      <c r="AZ545" s="82"/>
      <c r="BA545" s="82"/>
      <c r="BB545" s="82"/>
      <c r="BC545" s="82"/>
      <c r="BD545" s="82"/>
      <c r="BE545" s="82"/>
      <c r="BF545" s="82"/>
      <c r="BG545" s="82"/>
      <c r="BH545" s="82"/>
      <c r="BI545" s="82"/>
    </row>
    <row r="546">
      <c r="K546" s="79"/>
      <c r="U546" s="79"/>
      <c r="AE546" s="79"/>
      <c r="AF546" s="82"/>
      <c r="AG546" s="82"/>
      <c r="AH546" s="82"/>
      <c r="AI546" s="82"/>
      <c r="AJ546" s="82"/>
      <c r="AK546" s="82"/>
      <c r="AL546" s="82"/>
      <c r="AM546" s="82"/>
      <c r="AN546" s="82"/>
      <c r="AO546" s="81"/>
      <c r="AP546" s="82"/>
      <c r="AQ546" s="82"/>
      <c r="AR546" s="82"/>
      <c r="AS546" s="82"/>
      <c r="AT546" s="82"/>
      <c r="AU546" s="82"/>
      <c r="AV546" s="82"/>
      <c r="AW546" s="82"/>
      <c r="AX546" s="82"/>
      <c r="AY546" s="81"/>
      <c r="AZ546" s="82"/>
      <c r="BA546" s="82"/>
      <c r="BB546" s="82"/>
      <c r="BC546" s="82"/>
      <c r="BD546" s="82"/>
      <c r="BE546" s="82"/>
      <c r="BF546" s="82"/>
      <c r="BG546" s="82"/>
      <c r="BH546" s="82"/>
      <c r="BI546" s="82"/>
    </row>
    <row r="547">
      <c r="K547" s="79"/>
      <c r="U547" s="79"/>
      <c r="AE547" s="79"/>
      <c r="AF547" s="82"/>
      <c r="AG547" s="82"/>
      <c r="AH547" s="82"/>
      <c r="AI547" s="82"/>
      <c r="AJ547" s="82"/>
      <c r="AK547" s="82"/>
      <c r="AL547" s="82"/>
      <c r="AM547" s="82"/>
      <c r="AN547" s="82"/>
      <c r="AO547" s="81"/>
      <c r="AP547" s="82"/>
      <c r="AQ547" s="82"/>
      <c r="AR547" s="82"/>
      <c r="AS547" s="82"/>
      <c r="AT547" s="82"/>
      <c r="AU547" s="82"/>
      <c r="AV547" s="82"/>
      <c r="AW547" s="82"/>
      <c r="AX547" s="82"/>
      <c r="AY547" s="81"/>
      <c r="AZ547" s="82"/>
      <c r="BA547" s="82"/>
      <c r="BB547" s="82"/>
      <c r="BC547" s="82"/>
      <c r="BD547" s="82"/>
      <c r="BE547" s="82"/>
      <c r="BF547" s="82"/>
      <c r="BG547" s="82"/>
      <c r="BH547" s="82"/>
      <c r="BI547" s="82"/>
    </row>
    <row r="548">
      <c r="K548" s="79"/>
      <c r="U548" s="79"/>
      <c r="AE548" s="79"/>
      <c r="AF548" s="82"/>
      <c r="AG548" s="82"/>
      <c r="AH548" s="82"/>
      <c r="AI548" s="82"/>
      <c r="AJ548" s="82"/>
      <c r="AK548" s="82"/>
      <c r="AL548" s="82"/>
      <c r="AM548" s="82"/>
      <c r="AN548" s="82"/>
      <c r="AO548" s="81"/>
      <c r="AP548" s="82"/>
      <c r="AQ548" s="82"/>
      <c r="AR548" s="82"/>
      <c r="AS548" s="82"/>
      <c r="AT548" s="82"/>
      <c r="AU548" s="82"/>
      <c r="AV548" s="82"/>
      <c r="AW548" s="82"/>
      <c r="AX548" s="82"/>
      <c r="AY548" s="81"/>
      <c r="AZ548" s="82"/>
      <c r="BA548" s="82"/>
      <c r="BB548" s="82"/>
      <c r="BC548" s="82"/>
      <c r="BD548" s="82"/>
      <c r="BE548" s="82"/>
      <c r="BF548" s="82"/>
      <c r="BG548" s="82"/>
      <c r="BH548" s="82"/>
      <c r="BI548" s="82"/>
    </row>
    <row r="549">
      <c r="K549" s="79"/>
      <c r="U549" s="79"/>
      <c r="AE549" s="79"/>
      <c r="AF549" s="82"/>
      <c r="AG549" s="82"/>
      <c r="AH549" s="82"/>
      <c r="AI549" s="82"/>
      <c r="AJ549" s="82"/>
      <c r="AK549" s="82"/>
      <c r="AL549" s="82"/>
      <c r="AM549" s="82"/>
      <c r="AN549" s="82"/>
      <c r="AO549" s="81"/>
      <c r="AP549" s="82"/>
      <c r="AQ549" s="82"/>
      <c r="AR549" s="82"/>
      <c r="AS549" s="82"/>
      <c r="AT549" s="82"/>
      <c r="AU549" s="82"/>
      <c r="AV549" s="82"/>
      <c r="AW549" s="82"/>
      <c r="AX549" s="82"/>
      <c r="AY549" s="81"/>
      <c r="AZ549" s="82"/>
      <c r="BA549" s="82"/>
      <c r="BB549" s="82"/>
      <c r="BC549" s="82"/>
      <c r="BD549" s="82"/>
      <c r="BE549" s="82"/>
      <c r="BF549" s="82"/>
      <c r="BG549" s="82"/>
      <c r="BH549" s="82"/>
      <c r="BI549" s="82"/>
    </row>
    <row r="550">
      <c r="K550" s="79"/>
      <c r="U550" s="79"/>
      <c r="AE550" s="79"/>
      <c r="AF550" s="82"/>
      <c r="AG550" s="82"/>
      <c r="AH550" s="82"/>
      <c r="AI550" s="82"/>
      <c r="AJ550" s="82"/>
      <c r="AK550" s="82"/>
      <c r="AL550" s="82"/>
      <c r="AM550" s="82"/>
      <c r="AN550" s="82"/>
      <c r="AO550" s="81"/>
      <c r="AP550" s="82"/>
      <c r="AQ550" s="82"/>
      <c r="AR550" s="82"/>
      <c r="AS550" s="82"/>
      <c r="AT550" s="82"/>
      <c r="AU550" s="82"/>
      <c r="AV550" s="82"/>
      <c r="AW550" s="82"/>
      <c r="AX550" s="82"/>
      <c r="AY550" s="81"/>
      <c r="AZ550" s="82"/>
      <c r="BA550" s="82"/>
      <c r="BB550" s="82"/>
      <c r="BC550" s="82"/>
      <c r="BD550" s="82"/>
      <c r="BE550" s="82"/>
      <c r="BF550" s="82"/>
      <c r="BG550" s="82"/>
      <c r="BH550" s="82"/>
      <c r="BI550" s="82"/>
    </row>
    <row r="551">
      <c r="K551" s="79"/>
      <c r="U551" s="79"/>
      <c r="AE551" s="79"/>
      <c r="AF551" s="82"/>
      <c r="AG551" s="82"/>
      <c r="AH551" s="82"/>
      <c r="AI551" s="82"/>
      <c r="AJ551" s="82"/>
      <c r="AK551" s="82"/>
      <c r="AL551" s="82"/>
      <c r="AM551" s="82"/>
      <c r="AN551" s="82"/>
      <c r="AO551" s="81"/>
      <c r="AP551" s="82"/>
      <c r="AQ551" s="82"/>
      <c r="AR551" s="82"/>
      <c r="AS551" s="82"/>
      <c r="AT551" s="82"/>
      <c r="AU551" s="82"/>
      <c r="AV551" s="82"/>
      <c r="AW551" s="82"/>
      <c r="AX551" s="82"/>
      <c r="AY551" s="81"/>
      <c r="AZ551" s="82"/>
      <c r="BA551" s="82"/>
      <c r="BB551" s="82"/>
      <c r="BC551" s="82"/>
      <c r="BD551" s="82"/>
      <c r="BE551" s="82"/>
      <c r="BF551" s="82"/>
      <c r="BG551" s="82"/>
      <c r="BH551" s="82"/>
      <c r="BI551" s="82"/>
    </row>
    <row r="552">
      <c r="K552" s="79"/>
      <c r="U552" s="79"/>
      <c r="AE552" s="79"/>
      <c r="AF552" s="82"/>
      <c r="AG552" s="82"/>
      <c r="AH552" s="82"/>
      <c r="AI552" s="82"/>
      <c r="AJ552" s="82"/>
      <c r="AK552" s="82"/>
      <c r="AL552" s="82"/>
      <c r="AM552" s="82"/>
      <c r="AN552" s="82"/>
      <c r="AO552" s="81"/>
      <c r="AP552" s="82"/>
      <c r="AQ552" s="82"/>
      <c r="AR552" s="82"/>
      <c r="AS552" s="82"/>
      <c r="AT552" s="82"/>
      <c r="AU552" s="82"/>
      <c r="AV552" s="82"/>
      <c r="AW552" s="82"/>
      <c r="AX552" s="82"/>
      <c r="AY552" s="81"/>
      <c r="AZ552" s="82"/>
      <c r="BA552" s="82"/>
      <c r="BB552" s="82"/>
      <c r="BC552" s="82"/>
      <c r="BD552" s="82"/>
      <c r="BE552" s="82"/>
      <c r="BF552" s="82"/>
      <c r="BG552" s="82"/>
      <c r="BH552" s="82"/>
      <c r="BI552" s="82"/>
    </row>
    <row r="553">
      <c r="K553" s="79"/>
      <c r="U553" s="79"/>
      <c r="AE553" s="79"/>
      <c r="AF553" s="82"/>
      <c r="AG553" s="82"/>
      <c r="AH553" s="82"/>
      <c r="AI553" s="82"/>
      <c r="AJ553" s="82"/>
      <c r="AK553" s="82"/>
      <c r="AL553" s="82"/>
      <c r="AM553" s="82"/>
      <c r="AN553" s="82"/>
      <c r="AO553" s="81"/>
      <c r="AP553" s="82"/>
      <c r="AQ553" s="82"/>
      <c r="AR553" s="82"/>
      <c r="AS553" s="82"/>
      <c r="AT553" s="82"/>
      <c r="AU553" s="82"/>
      <c r="AV553" s="82"/>
      <c r="AW553" s="82"/>
      <c r="AX553" s="82"/>
      <c r="AY553" s="81"/>
      <c r="AZ553" s="82"/>
      <c r="BA553" s="82"/>
      <c r="BB553" s="82"/>
      <c r="BC553" s="82"/>
      <c r="BD553" s="82"/>
      <c r="BE553" s="82"/>
      <c r="BF553" s="82"/>
      <c r="BG553" s="82"/>
      <c r="BH553" s="82"/>
      <c r="BI553" s="82"/>
    </row>
    <row r="554">
      <c r="K554" s="79"/>
      <c r="U554" s="79"/>
      <c r="AE554" s="79"/>
      <c r="AF554" s="82"/>
      <c r="AG554" s="82"/>
      <c r="AH554" s="82"/>
      <c r="AI554" s="82"/>
      <c r="AJ554" s="82"/>
      <c r="AK554" s="82"/>
      <c r="AL554" s="82"/>
      <c r="AM554" s="82"/>
      <c r="AN554" s="82"/>
      <c r="AO554" s="81"/>
      <c r="AP554" s="82"/>
      <c r="AQ554" s="82"/>
      <c r="AR554" s="82"/>
      <c r="AS554" s="82"/>
      <c r="AT554" s="82"/>
      <c r="AU554" s="82"/>
      <c r="AV554" s="82"/>
      <c r="AW554" s="82"/>
      <c r="AX554" s="82"/>
      <c r="AY554" s="81"/>
      <c r="AZ554" s="82"/>
      <c r="BA554" s="82"/>
      <c r="BB554" s="82"/>
      <c r="BC554" s="82"/>
      <c r="BD554" s="82"/>
      <c r="BE554" s="82"/>
      <c r="BF554" s="82"/>
      <c r="BG554" s="82"/>
      <c r="BH554" s="82"/>
      <c r="BI554" s="82"/>
    </row>
    <row r="555">
      <c r="K555" s="79"/>
      <c r="U555" s="79"/>
      <c r="AE555" s="79"/>
      <c r="AF555" s="82"/>
      <c r="AG555" s="82"/>
      <c r="AH555" s="82"/>
      <c r="AI555" s="82"/>
      <c r="AJ555" s="82"/>
      <c r="AK555" s="82"/>
      <c r="AL555" s="82"/>
      <c r="AM555" s="82"/>
      <c r="AN555" s="82"/>
      <c r="AO555" s="81"/>
      <c r="AP555" s="82"/>
      <c r="AQ555" s="82"/>
      <c r="AR555" s="82"/>
      <c r="AS555" s="82"/>
      <c r="AT555" s="82"/>
      <c r="AU555" s="82"/>
      <c r="AV555" s="82"/>
      <c r="AW555" s="82"/>
      <c r="AX555" s="82"/>
      <c r="AY555" s="81"/>
      <c r="AZ555" s="82"/>
      <c r="BA555" s="82"/>
      <c r="BB555" s="82"/>
      <c r="BC555" s="82"/>
      <c r="BD555" s="82"/>
      <c r="BE555" s="82"/>
      <c r="BF555" s="82"/>
      <c r="BG555" s="82"/>
      <c r="BH555" s="82"/>
      <c r="BI555" s="82"/>
    </row>
    <row r="556">
      <c r="K556" s="79"/>
      <c r="U556" s="79"/>
      <c r="AE556" s="79"/>
      <c r="AF556" s="82"/>
      <c r="AG556" s="82"/>
      <c r="AH556" s="82"/>
      <c r="AI556" s="82"/>
      <c r="AJ556" s="82"/>
      <c r="AK556" s="82"/>
      <c r="AL556" s="82"/>
      <c r="AM556" s="82"/>
      <c r="AN556" s="82"/>
      <c r="AO556" s="81"/>
      <c r="AP556" s="82"/>
      <c r="AQ556" s="82"/>
      <c r="AR556" s="82"/>
      <c r="AS556" s="82"/>
      <c r="AT556" s="82"/>
      <c r="AU556" s="82"/>
      <c r="AV556" s="82"/>
      <c r="AW556" s="82"/>
      <c r="AX556" s="82"/>
      <c r="AY556" s="81"/>
      <c r="AZ556" s="82"/>
      <c r="BA556" s="82"/>
      <c r="BB556" s="82"/>
      <c r="BC556" s="82"/>
      <c r="BD556" s="82"/>
      <c r="BE556" s="82"/>
      <c r="BF556" s="82"/>
      <c r="BG556" s="82"/>
      <c r="BH556" s="82"/>
      <c r="BI556" s="82"/>
    </row>
    <row r="557">
      <c r="K557" s="79"/>
      <c r="U557" s="79"/>
      <c r="AE557" s="79"/>
      <c r="AF557" s="82"/>
      <c r="AG557" s="82"/>
      <c r="AH557" s="82"/>
      <c r="AI557" s="82"/>
      <c r="AJ557" s="82"/>
      <c r="AK557" s="82"/>
      <c r="AL557" s="82"/>
      <c r="AM557" s="82"/>
      <c r="AN557" s="82"/>
      <c r="AO557" s="81"/>
      <c r="AP557" s="82"/>
      <c r="AQ557" s="82"/>
      <c r="AR557" s="82"/>
      <c r="AS557" s="82"/>
      <c r="AT557" s="82"/>
      <c r="AU557" s="82"/>
      <c r="AV557" s="82"/>
      <c r="AW557" s="82"/>
      <c r="AX557" s="82"/>
      <c r="AY557" s="81"/>
      <c r="AZ557" s="82"/>
      <c r="BA557" s="82"/>
      <c r="BB557" s="82"/>
      <c r="BC557" s="82"/>
      <c r="BD557" s="82"/>
      <c r="BE557" s="82"/>
      <c r="BF557" s="82"/>
      <c r="BG557" s="82"/>
      <c r="BH557" s="82"/>
      <c r="BI557" s="82"/>
    </row>
    <row r="558">
      <c r="K558" s="79"/>
      <c r="U558" s="79"/>
      <c r="AE558" s="79"/>
      <c r="AF558" s="82"/>
      <c r="AG558" s="82"/>
      <c r="AH558" s="82"/>
      <c r="AI558" s="82"/>
      <c r="AJ558" s="82"/>
      <c r="AK558" s="82"/>
      <c r="AL558" s="82"/>
      <c r="AM558" s="82"/>
      <c r="AN558" s="82"/>
      <c r="AO558" s="81"/>
      <c r="AP558" s="82"/>
      <c r="AQ558" s="82"/>
      <c r="AR558" s="82"/>
      <c r="AS558" s="82"/>
      <c r="AT558" s="82"/>
      <c r="AU558" s="82"/>
      <c r="AV558" s="82"/>
      <c r="AW558" s="82"/>
      <c r="AX558" s="82"/>
      <c r="AY558" s="81"/>
      <c r="AZ558" s="82"/>
      <c r="BA558" s="82"/>
      <c r="BB558" s="82"/>
      <c r="BC558" s="82"/>
      <c r="BD558" s="82"/>
      <c r="BE558" s="82"/>
      <c r="BF558" s="82"/>
      <c r="BG558" s="82"/>
      <c r="BH558" s="82"/>
      <c r="BI558" s="82"/>
    </row>
    <row r="559">
      <c r="K559" s="79"/>
      <c r="U559" s="79"/>
      <c r="AE559" s="79"/>
      <c r="AF559" s="82"/>
      <c r="AG559" s="82"/>
      <c r="AH559" s="82"/>
      <c r="AI559" s="82"/>
      <c r="AJ559" s="82"/>
      <c r="AK559" s="82"/>
      <c r="AL559" s="82"/>
      <c r="AM559" s="82"/>
      <c r="AN559" s="82"/>
      <c r="AO559" s="81"/>
      <c r="AP559" s="82"/>
      <c r="AQ559" s="82"/>
      <c r="AR559" s="82"/>
      <c r="AS559" s="82"/>
      <c r="AT559" s="82"/>
      <c r="AU559" s="82"/>
      <c r="AV559" s="82"/>
      <c r="AW559" s="82"/>
      <c r="AX559" s="82"/>
      <c r="AY559" s="81"/>
      <c r="AZ559" s="82"/>
      <c r="BA559" s="82"/>
      <c r="BB559" s="82"/>
      <c r="BC559" s="82"/>
      <c r="BD559" s="82"/>
      <c r="BE559" s="82"/>
      <c r="BF559" s="82"/>
      <c r="BG559" s="82"/>
      <c r="BH559" s="82"/>
      <c r="BI559" s="82"/>
    </row>
    <row r="560">
      <c r="K560" s="79"/>
      <c r="U560" s="79"/>
      <c r="AE560" s="79"/>
      <c r="AF560" s="82"/>
      <c r="AG560" s="82"/>
      <c r="AH560" s="82"/>
      <c r="AI560" s="82"/>
      <c r="AJ560" s="82"/>
      <c r="AK560" s="82"/>
      <c r="AL560" s="82"/>
      <c r="AM560" s="82"/>
      <c r="AN560" s="82"/>
      <c r="AO560" s="81"/>
      <c r="AP560" s="82"/>
      <c r="AQ560" s="82"/>
      <c r="AR560" s="82"/>
      <c r="AS560" s="82"/>
      <c r="AT560" s="82"/>
      <c r="AU560" s="82"/>
      <c r="AV560" s="82"/>
      <c r="AW560" s="82"/>
      <c r="AX560" s="82"/>
      <c r="AY560" s="81"/>
      <c r="AZ560" s="82"/>
      <c r="BA560" s="82"/>
      <c r="BB560" s="82"/>
      <c r="BC560" s="82"/>
      <c r="BD560" s="82"/>
      <c r="BE560" s="82"/>
      <c r="BF560" s="82"/>
      <c r="BG560" s="82"/>
      <c r="BH560" s="82"/>
      <c r="BI560" s="82"/>
    </row>
    <row r="561">
      <c r="K561" s="79"/>
      <c r="U561" s="79"/>
      <c r="AE561" s="79"/>
      <c r="AF561" s="82"/>
      <c r="AG561" s="82"/>
      <c r="AH561" s="82"/>
      <c r="AI561" s="82"/>
      <c r="AJ561" s="82"/>
      <c r="AK561" s="82"/>
      <c r="AL561" s="82"/>
      <c r="AM561" s="82"/>
      <c r="AN561" s="82"/>
      <c r="AO561" s="81"/>
      <c r="AP561" s="82"/>
      <c r="AQ561" s="82"/>
      <c r="AR561" s="82"/>
      <c r="AS561" s="82"/>
      <c r="AT561" s="82"/>
      <c r="AU561" s="82"/>
      <c r="AV561" s="82"/>
      <c r="AW561" s="82"/>
      <c r="AX561" s="82"/>
      <c r="AY561" s="81"/>
      <c r="AZ561" s="82"/>
      <c r="BA561" s="82"/>
      <c r="BB561" s="82"/>
      <c r="BC561" s="82"/>
      <c r="BD561" s="82"/>
      <c r="BE561" s="82"/>
      <c r="BF561" s="82"/>
      <c r="BG561" s="82"/>
      <c r="BH561" s="82"/>
      <c r="BI561" s="82"/>
    </row>
    <row r="562">
      <c r="K562" s="79"/>
      <c r="U562" s="79"/>
      <c r="AE562" s="79"/>
      <c r="AF562" s="82"/>
      <c r="AG562" s="82"/>
      <c r="AH562" s="82"/>
      <c r="AI562" s="82"/>
      <c r="AJ562" s="82"/>
      <c r="AK562" s="82"/>
      <c r="AL562" s="82"/>
      <c r="AM562" s="82"/>
      <c r="AN562" s="82"/>
      <c r="AO562" s="81"/>
      <c r="AP562" s="82"/>
      <c r="AQ562" s="82"/>
      <c r="AR562" s="82"/>
      <c r="AS562" s="82"/>
      <c r="AT562" s="82"/>
      <c r="AU562" s="82"/>
      <c r="AV562" s="82"/>
      <c r="AW562" s="82"/>
      <c r="AX562" s="82"/>
      <c r="AY562" s="81"/>
      <c r="AZ562" s="82"/>
      <c r="BA562" s="82"/>
      <c r="BB562" s="82"/>
      <c r="BC562" s="82"/>
      <c r="BD562" s="82"/>
      <c r="BE562" s="82"/>
      <c r="BF562" s="82"/>
      <c r="BG562" s="82"/>
      <c r="BH562" s="82"/>
      <c r="BI562" s="82"/>
    </row>
    <row r="563">
      <c r="K563" s="79"/>
      <c r="U563" s="79"/>
      <c r="AE563" s="79"/>
      <c r="AF563" s="82"/>
      <c r="AG563" s="82"/>
      <c r="AH563" s="82"/>
      <c r="AI563" s="82"/>
      <c r="AJ563" s="82"/>
      <c r="AK563" s="82"/>
      <c r="AL563" s="82"/>
      <c r="AM563" s="82"/>
      <c r="AN563" s="82"/>
      <c r="AO563" s="81"/>
      <c r="AP563" s="82"/>
      <c r="AQ563" s="82"/>
      <c r="AR563" s="82"/>
      <c r="AS563" s="82"/>
      <c r="AT563" s="82"/>
      <c r="AU563" s="82"/>
      <c r="AV563" s="82"/>
      <c r="AW563" s="82"/>
      <c r="AX563" s="82"/>
      <c r="AY563" s="81"/>
      <c r="AZ563" s="82"/>
      <c r="BA563" s="82"/>
      <c r="BB563" s="82"/>
      <c r="BC563" s="82"/>
      <c r="BD563" s="82"/>
      <c r="BE563" s="82"/>
      <c r="BF563" s="82"/>
      <c r="BG563" s="82"/>
      <c r="BH563" s="82"/>
      <c r="BI563" s="82"/>
    </row>
    <row r="564">
      <c r="K564" s="79"/>
      <c r="U564" s="79"/>
      <c r="AE564" s="79"/>
      <c r="AF564" s="82"/>
      <c r="AG564" s="82"/>
      <c r="AH564" s="82"/>
      <c r="AI564" s="82"/>
      <c r="AJ564" s="82"/>
      <c r="AK564" s="82"/>
      <c r="AL564" s="82"/>
      <c r="AM564" s="82"/>
      <c r="AN564" s="82"/>
      <c r="AO564" s="81"/>
      <c r="AP564" s="82"/>
      <c r="AQ564" s="82"/>
      <c r="AR564" s="82"/>
      <c r="AS564" s="82"/>
      <c r="AT564" s="82"/>
      <c r="AU564" s="82"/>
      <c r="AV564" s="82"/>
      <c r="AW564" s="82"/>
      <c r="AX564" s="82"/>
      <c r="AY564" s="81"/>
      <c r="AZ564" s="82"/>
      <c r="BA564" s="82"/>
      <c r="BB564" s="82"/>
      <c r="BC564" s="82"/>
      <c r="BD564" s="82"/>
      <c r="BE564" s="82"/>
      <c r="BF564" s="82"/>
      <c r="BG564" s="82"/>
      <c r="BH564" s="82"/>
      <c r="BI564" s="82"/>
    </row>
    <row r="565">
      <c r="K565" s="79"/>
      <c r="U565" s="79"/>
      <c r="AE565" s="79"/>
      <c r="AF565" s="82"/>
      <c r="AG565" s="82"/>
      <c r="AH565" s="82"/>
      <c r="AI565" s="82"/>
      <c r="AJ565" s="82"/>
      <c r="AK565" s="82"/>
      <c r="AL565" s="82"/>
      <c r="AM565" s="82"/>
      <c r="AN565" s="82"/>
      <c r="AO565" s="81"/>
      <c r="AP565" s="82"/>
      <c r="AQ565" s="82"/>
      <c r="AR565" s="82"/>
      <c r="AS565" s="82"/>
      <c r="AT565" s="82"/>
      <c r="AU565" s="82"/>
      <c r="AV565" s="82"/>
      <c r="AW565" s="82"/>
      <c r="AX565" s="82"/>
      <c r="AY565" s="81"/>
      <c r="AZ565" s="82"/>
      <c r="BA565" s="82"/>
      <c r="BB565" s="82"/>
      <c r="BC565" s="82"/>
      <c r="BD565" s="82"/>
      <c r="BE565" s="82"/>
      <c r="BF565" s="82"/>
      <c r="BG565" s="82"/>
      <c r="BH565" s="82"/>
      <c r="BI565" s="82"/>
    </row>
    <row r="566">
      <c r="K566" s="79"/>
      <c r="U566" s="79"/>
      <c r="AE566" s="79"/>
      <c r="AF566" s="82"/>
      <c r="AG566" s="82"/>
      <c r="AH566" s="82"/>
      <c r="AI566" s="82"/>
      <c r="AJ566" s="82"/>
      <c r="AK566" s="82"/>
      <c r="AL566" s="82"/>
      <c r="AM566" s="82"/>
      <c r="AN566" s="82"/>
      <c r="AO566" s="81"/>
      <c r="AP566" s="82"/>
      <c r="AQ566" s="82"/>
      <c r="AR566" s="82"/>
      <c r="AS566" s="82"/>
      <c r="AT566" s="82"/>
      <c r="AU566" s="82"/>
      <c r="AV566" s="82"/>
      <c r="AW566" s="82"/>
      <c r="AX566" s="82"/>
      <c r="AY566" s="81"/>
      <c r="AZ566" s="82"/>
      <c r="BA566" s="82"/>
      <c r="BB566" s="82"/>
      <c r="BC566" s="82"/>
      <c r="BD566" s="82"/>
      <c r="BE566" s="82"/>
      <c r="BF566" s="82"/>
      <c r="BG566" s="82"/>
      <c r="BH566" s="82"/>
      <c r="BI566" s="82"/>
    </row>
    <row r="567">
      <c r="K567" s="79"/>
      <c r="U567" s="79"/>
      <c r="AE567" s="79"/>
      <c r="AF567" s="82"/>
      <c r="AG567" s="82"/>
      <c r="AH567" s="82"/>
      <c r="AI567" s="82"/>
      <c r="AJ567" s="82"/>
      <c r="AK567" s="82"/>
      <c r="AL567" s="82"/>
      <c r="AM567" s="82"/>
      <c r="AN567" s="82"/>
      <c r="AO567" s="81"/>
      <c r="AP567" s="82"/>
      <c r="AQ567" s="82"/>
      <c r="AR567" s="82"/>
      <c r="AS567" s="82"/>
      <c r="AT567" s="82"/>
      <c r="AU567" s="82"/>
      <c r="AV567" s="82"/>
      <c r="AW567" s="82"/>
      <c r="AX567" s="82"/>
      <c r="AY567" s="81"/>
      <c r="AZ567" s="82"/>
      <c r="BA567" s="82"/>
      <c r="BB567" s="82"/>
      <c r="BC567" s="82"/>
      <c r="BD567" s="82"/>
      <c r="BE567" s="82"/>
      <c r="BF567" s="82"/>
      <c r="BG567" s="82"/>
      <c r="BH567" s="82"/>
      <c r="BI567" s="82"/>
    </row>
    <row r="568">
      <c r="K568" s="79"/>
      <c r="U568" s="79"/>
      <c r="AE568" s="79"/>
      <c r="AF568" s="82"/>
      <c r="AG568" s="82"/>
      <c r="AH568" s="82"/>
      <c r="AI568" s="82"/>
      <c r="AJ568" s="82"/>
      <c r="AK568" s="82"/>
      <c r="AL568" s="82"/>
      <c r="AM568" s="82"/>
      <c r="AN568" s="82"/>
      <c r="AO568" s="81"/>
      <c r="AP568" s="82"/>
      <c r="AQ568" s="82"/>
      <c r="AR568" s="82"/>
      <c r="AS568" s="82"/>
      <c r="AT568" s="82"/>
      <c r="AU568" s="82"/>
      <c r="AV568" s="82"/>
      <c r="AW568" s="82"/>
      <c r="AX568" s="82"/>
      <c r="AY568" s="81"/>
      <c r="AZ568" s="82"/>
      <c r="BA568" s="82"/>
      <c r="BB568" s="82"/>
      <c r="BC568" s="82"/>
      <c r="BD568" s="82"/>
      <c r="BE568" s="82"/>
      <c r="BF568" s="82"/>
      <c r="BG568" s="82"/>
      <c r="BH568" s="82"/>
      <c r="BI568" s="82"/>
    </row>
    <row r="569">
      <c r="K569" s="79"/>
      <c r="U569" s="79"/>
      <c r="AE569" s="79"/>
      <c r="AF569" s="82"/>
      <c r="AG569" s="82"/>
      <c r="AH569" s="82"/>
      <c r="AI569" s="82"/>
      <c r="AJ569" s="82"/>
      <c r="AK569" s="82"/>
      <c r="AL569" s="82"/>
      <c r="AM569" s="82"/>
      <c r="AN569" s="82"/>
      <c r="AO569" s="81"/>
      <c r="AP569" s="82"/>
      <c r="AQ569" s="82"/>
      <c r="AR569" s="82"/>
      <c r="AS569" s="82"/>
      <c r="AT569" s="82"/>
      <c r="AU569" s="82"/>
      <c r="AV569" s="82"/>
      <c r="AW569" s="82"/>
      <c r="AX569" s="82"/>
      <c r="AY569" s="81"/>
      <c r="AZ569" s="82"/>
      <c r="BA569" s="82"/>
      <c r="BB569" s="82"/>
      <c r="BC569" s="82"/>
      <c r="BD569" s="82"/>
      <c r="BE569" s="82"/>
      <c r="BF569" s="82"/>
      <c r="BG569" s="82"/>
      <c r="BH569" s="82"/>
      <c r="BI569" s="82"/>
    </row>
    <row r="570">
      <c r="K570" s="79"/>
      <c r="U570" s="79"/>
      <c r="AE570" s="79"/>
      <c r="AF570" s="82"/>
      <c r="AG570" s="82"/>
      <c r="AH570" s="82"/>
      <c r="AI570" s="82"/>
      <c r="AJ570" s="82"/>
      <c r="AK570" s="82"/>
      <c r="AL570" s="82"/>
      <c r="AM570" s="82"/>
      <c r="AN570" s="82"/>
      <c r="AO570" s="81"/>
      <c r="AP570" s="82"/>
      <c r="AQ570" s="82"/>
      <c r="AR570" s="82"/>
      <c r="AS570" s="82"/>
      <c r="AT570" s="82"/>
      <c r="AU570" s="82"/>
      <c r="AV570" s="82"/>
      <c r="AW570" s="82"/>
      <c r="AX570" s="82"/>
      <c r="AY570" s="81"/>
      <c r="AZ570" s="82"/>
      <c r="BA570" s="82"/>
      <c r="BB570" s="82"/>
      <c r="BC570" s="82"/>
      <c r="BD570" s="82"/>
      <c r="BE570" s="82"/>
      <c r="BF570" s="82"/>
      <c r="BG570" s="82"/>
      <c r="BH570" s="82"/>
      <c r="BI570" s="82"/>
    </row>
    <row r="571">
      <c r="K571" s="79"/>
      <c r="U571" s="79"/>
      <c r="AE571" s="79"/>
      <c r="AF571" s="82"/>
      <c r="AG571" s="82"/>
      <c r="AH571" s="82"/>
      <c r="AI571" s="82"/>
      <c r="AJ571" s="82"/>
      <c r="AK571" s="82"/>
      <c r="AL571" s="82"/>
      <c r="AM571" s="82"/>
      <c r="AN571" s="82"/>
      <c r="AO571" s="81"/>
      <c r="AP571" s="82"/>
      <c r="AQ571" s="82"/>
      <c r="AR571" s="82"/>
      <c r="AS571" s="82"/>
      <c r="AT571" s="82"/>
      <c r="AU571" s="82"/>
      <c r="AV571" s="82"/>
      <c r="AW571" s="82"/>
      <c r="AX571" s="82"/>
      <c r="AY571" s="81"/>
      <c r="AZ571" s="82"/>
      <c r="BA571" s="82"/>
      <c r="BB571" s="82"/>
      <c r="BC571" s="82"/>
      <c r="BD571" s="82"/>
      <c r="BE571" s="82"/>
      <c r="BF571" s="82"/>
      <c r="BG571" s="82"/>
      <c r="BH571" s="82"/>
      <c r="BI571" s="82"/>
    </row>
    <row r="572">
      <c r="K572" s="79"/>
      <c r="U572" s="79"/>
      <c r="AE572" s="79"/>
      <c r="AF572" s="82"/>
      <c r="AG572" s="82"/>
      <c r="AH572" s="82"/>
      <c r="AI572" s="82"/>
      <c r="AJ572" s="82"/>
      <c r="AK572" s="82"/>
      <c r="AL572" s="82"/>
      <c r="AM572" s="82"/>
      <c r="AN572" s="82"/>
      <c r="AO572" s="81"/>
      <c r="AP572" s="82"/>
      <c r="AQ572" s="82"/>
      <c r="AR572" s="82"/>
      <c r="AS572" s="82"/>
      <c r="AT572" s="82"/>
      <c r="AU572" s="82"/>
      <c r="AV572" s="82"/>
      <c r="AW572" s="82"/>
      <c r="AX572" s="82"/>
      <c r="AY572" s="81"/>
      <c r="AZ572" s="82"/>
      <c r="BA572" s="82"/>
      <c r="BB572" s="82"/>
      <c r="BC572" s="82"/>
      <c r="BD572" s="82"/>
      <c r="BE572" s="82"/>
      <c r="BF572" s="82"/>
      <c r="BG572" s="82"/>
      <c r="BH572" s="82"/>
      <c r="BI572" s="82"/>
    </row>
    <row r="573">
      <c r="K573" s="79"/>
      <c r="U573" s="79"/>
      <c r="AE573" s="79"/>
      <c r="AF573" s="82"/>
      <c r="AG573" s="82"/>
      <c r="AH573" s="82"/>
      <c r="AI573" s="82"/>
      <c r="AJ573" s="82"/>
      <c r="AK573" s="82"/>
      <c r="AL573" s="82"/>
      <c r="AM573" s="82"/>
      <c r="AN573" s="82"/>
      <c r="AO573" s="81"/>
      <c r="AP573" s="82"/>
      <c r="AQ573" s="82"/>
      <c r="AR573" s="82"/>
      <c r="AS573" s="82"/>
      <c r="AT573" s="82"/>
      <c r="AU573" s="82"/>
      <c r="AV573" s="82"/>
      <c r="AW573" s="82"/>
      <c r="AX573" s="82"/>
      <c r="AY573" s="81"/>
      <c r="AZ573" s="82"/>
      <c r="BA573" s="82"/>
      <c r="BB573" s="82"/>
      <c r="BC573" s="82"/>
      <c r="BD573" s="82"/>
      <c r="BE573" s="82"/>
      <c r="BF573" s="82"/>
      <c r="BG573" s="82"/>
      <c r="BH573" s="82"/>
      <c r="BI573" s="82"/>
    </row>
    <row r="574">
      <c r="K574" s="79"/>
      <c r="U574" s="79"/>
      <c r="AE574" s="79"/>
      <c r="AF574" s="82"/>
      <c r="AG574" s="82"/>
      <c r="AH574" s="82"/>
      <c r="AI574" s="82"/>
      <c r="AJ574" s="82"/>
      <c r="AK574" s="82"/>
      <c r="AL574" s="82"/>
      <c r="AM574" s="82"/>
      <c r="AN574" s="82"/>
      <c r="AO574" s="81"/>
      <c r="AP574" s="82"/>
      <c r="AQ574" s="82"/>
      <c r="AR574" s="82"/>
      <c r="AS574" s="82"/>
      <c r="AT574" s="82"/>
      <c r="AU574" s="82"/>
      <c r="AV574" s="82"/>
      <c r="AW574" s="82"/>
      <c r="AX574" s="82"/>
      <c r="AY574" s="81"/>
      <c r="AZ574" s="82"/>
      <c r="BA574" s="82"/>
      <c r="BB574" s="82"/>
      <c r="BC574" s="82"/>
      <c r="BD574" s="82"/>
      <c r="BE574" s="82"/>
      <c r="BF574" s="82"/>
      <c r="BG574" s="82"/>
      <c r="BH574" s="82"/>
      <c r="BI574" s="82"/>
    </row>
    <row r="575">
      <c r="K575" s="79"/>
      <c r="U575" s="79"/>
      <c r="AE575" s="79"/>
      <c r="AF575" s="82"/>
      <c r="AG575" s="82"/>
      <c r="AH575" s="82"/>
      <c r="AI575" s="82"/>
      <c r="AJ575" s="82"/>
      <c r="AK575" s="82"/>
      <c r="AL575" s="82"/>
      <c r="AM575" s="82"/>
      <c r="AN575" s="82"/>
      <c r="AO575" s="81"/>
      <c r="AP575" s="82"/>
      <c r="AQ575" s="82"/>
      <c r="AR575" s="82"/>
      <c r="AS575" s="82"/>
      <c r="AT575" s="82"/>
      <c r="AU575" s="82"/>
      <c r="AV575" s="82"/>
      <c r="AW575" s="82"/>
      <c r="AX575" s="82"/>
      <c r="AY575" s="81"/>
      <c r="AZ575" s="82"/>
      <c r="BA575" s="82"/>
      <c r="BB575" s="82"/>
      <c r="BC575" s="82"/>
      <c r="BD575" s="82"/>
      <c r="BE575" s="82"/>
      <c r="BF575" s="82"/>
      <c r="BG575" s="82"/>
      <c r="BH575" s="82"/>
      <c r="BI575" s="82"/>
    </row>
    <row r="576">
      <c r="K576" s="79"/>
      <c r="U576" s="79"/>
      <c r="AE576" s="79"/>
      <c r="AF576" s="82"/>
      <c r="AG576" s="82"/>
      <c r="AH576" s="82"/>
      <c r="AI576" s="82"/>
      <c r="AJ576" s="82"/>
      <c r="AK576" s="82"/>
      <c r="AL576" s="82"/>
      <c r="AM576" s="82"/>
      <c r="AN576" s="82"/>
      <c r="AO576" s="81"/>
      <c r="AP576" s="82"/>
      <c r="AQ576" s="82"/>
      <c r="AR576" s="82"/>
      <c r="AS576" s="82"/>
      <c r="AT576" s="82"/>
      <c r="AU576" s="82"/>
      <c r="AV576" s="82"/>
      <c r="AW576" s="82"/>
      <c r="AX576" s="82"/>
      <c r="AY576" s="81"/>
      <c r="AZ576" s="82"/>
      <c r="BA576" s="82"/>
      <c r="BB576" s="82"/>
      <c r="BC576" s="82"/>
      <c r="BD576" s="82"/>
      <c r="BE576" s="82"/>
      <c r="BF576" s="82"/>
      <c r="BG576" s="82"/>
      <c r="BH576" s="82"/>
      <c r="BI576" s="82"/>
    </row>
    <row r="577">
      <c r="K577" s="79"/>
      <c r="U577" s="79"/>
      <c r="AE577" s="79"/>
      <c r="AF577" s="82"/>
      <c r="AG577" s="82"/>
      <c r="AH577" s="82"/>
      <c r="AI577" s="82"/>
      <c r="AJ577" s="82"/>
      <c r="AK577" s="82"/>
      <c r="AL577" s="82"/>
      <c r="AM577" s="82"/>
      <c r="AN577" s="82"/>
      <c r="AO577" s="81"/>
      <c r="AP577" s="82"/>
      <c r="AQ577" s="82"/>
      <c r="AR577" s="82"/>
      <c r="AS577" s="82"/>
      <c r="AT577" s="82"/>
      <c r="AU577" s="82"/>
      <c r="AV577" s="82"/>
      <c r="AW577" s="82"/>
      <c r="AX577" s="82"/>
      <c r="AY577" s="81"/>
      <c r="AZ577" s="82"/>
      <c r="BA577" s="82"/>
      <c r="BB577" s="82"/>
      <c r="BC577" s="82"/>
      <c r="BD577" s="82"/>
      <c r="BE577" s="82"/>
      <c r="BF577" s="82"/>
      <c r="BG577" s="82"/>
      <c r="BH577" s="82"/>
      <c r="BI577" s="82"/>
    </row>
    <row r="578">
      <c r="K578" s="79"/>
      <c r="U578" s="79"/>
      <c r="AE578" s="79"/>
      <c r="AF578" s="82"/>
      <c r="AG578" s="82"/>
      <c r="AH578" s="82"/>
      <c r="AI578" s="82"/>
      <c r="AJ578" s="82"/>
      <c r="AK578" s="82"/>
      <c r="AL578" s="82"/>
      <c r="AM578" s="82"/>
      <c r="AN578" s="82"/>
      <c r="AO578" s="81"/>
      <c r="AP578" s="82"/>
      <c r="AQ578" s="82"/>
      <c r="AR578" s="82"/>
      <c r="AS578" s="82"/>
      <c r="AT578" s="82"/>
      <c r="AU578" s="82"/>
      <c r="AV578" s="82"/>
      <c r="AW578" s="82"/>
      <c r="AX578" s="82"/>
      <c r="AY578" s="81"/>
      <c r="AZ578" s="82"/>
      <c r="BA578" s="82"/>
      <c r="BB578" s="82"/>
      <c r="BC578" s="82"/>
      <c r="BD578" s="82"/>
      <c r="BE578" s="82"/>
      <c r="BF578" s="82"/>
      <c r="BG578" s="82"/>
      <c r="BH578" s="82"/>
      <c r="BI578" s="82"/>
    </row>
    <row r="579">
      <c r="K579" s="79"/>
      <c r="U579" s="79"/>
      <c r="AE579" s="79"/>
      <c r="AF579" s="82"/>
      <c r="AG579" s="82"/>
      <c r="AH579" s="82"/>
      <c r="AI579" s="82"/>
      <c r="AJ579" s="82"/>
      <c r="AK579" s="82"/>
      <c r="AL579" s="82"/>
      <c r="AM579" s="82"/>
      <c r="AN579" s="82"/>
      <c r="AO579" s="81"/>
      <c r="AP579" s="82"/>
      <c r="AQ579" s="82"/>
      <c r="AR579" s="82"/>
      <c r="AS579" s="82"/>
      <c r="AT579" s="82"/>
      <c r="AU579" s="82"/>
      <c r="AV579" s="82"/>
      <c r="AW579" s="82"/>
      <c r="AX579" s="82"/>
      <c r="AY579" s="81"/>
      <c r="AZ579" s="82"/>
      <c r="BA579" s="82"/>
      <c r="BB579" s="82"/>
      <c r="BC579" s="82"/>
      <c r="BD579" s="82"/>
      <c r="BE579" s="82"/>
      <c r="BF579" s="82"/>
      <c r="BG579" s="82"/>
      <c r="BH579" s="82"/>
      <c r="BI579" s="82"/>
    </row>
    <row r="580">
      <c r="K580" s="79"/>
      <c r="U580" s="79"/>
      <c r="AE580" s="79"/>
      <c r="AF580" s="82"/>
      <c r="AG580" s="82"/>
      <c r="AH580" s="82"/>
      <c r="AI580" s="82"/>
      <c r="AJ580" s="82"/>
      <c r="AK580" s="82"/>
      <c r="AL580" s="82"/>
      <c r="AM580" s="82"/>
      <c r="AN580" s="82"/>
      <c r="AO580" s="81"/>
      <c r="AP580" s="82"/>
      <c r="AQ580" s="82"/>
      <c r="AR580" s="82"/>
      <c r="AS580" s="82"/>
      <c r="AT580" s="82"/>
      <c r="AU580" s="82"/>
      <c r="AV580" s="82"/>
      <c r="AW580" s="82"/>
      <c r="AX580" s="82"/>
      <c r="AY580" s="81"/>
      <c r="AZ580" s="82"/>
      <c r="BA580" s="82"/>
      <c r="BB580" s="82"/>
      <c r="BC580" s="82"/>
      <c r="BD580" s="82"/>
      <c r="BE580" s="82"/>
      <c r="BF580" s="82"/>
      <c r="BG580" s="82"/>
      <c r="BH580" s="82"/>
      <c r="BI580" s="82"/>
    </row>
    <row r="581">
      <c r="K581" s="79"/>
      <c r="U581" s="79"/>
      <c r="AE581" s="79"/>
      <c r="AF581" s="82"/>
      <c r="AG581" s="82"/>
      <c r="AH581" s="82"/>
      <c r="AI581" s="82"/>
      <c r="AJ581" s="82"/>
      <c r="AK581" s="82"/>
      <c r="AL581" s="82"/>
      <c r="AM581" s="82"/>
      <c r="AN581" s="82"/>
      <c r="AO581" s="81"/>
      <c r="AP581" s="82"/>
      <c r="AQ581" s="82"/>
      <c r="AR581" s="82"/>
      <c r="AS581" s="82"/>
      <c r="AT581" s="82"/>
      <c r="AU581" s="82"/>
      <c r="AV581" s="82"/>
      <c r="AW581" s="82"/>
      <c r="AX581" s="82"/>
      <c r="AY581" s="81"/>
      <c r="AZ581" s="82"/>
      <c r="BA581" s="82"/>
      <c r="BB581" s="82"/>
      <c r="BC581" s="82"/>
      <c r="BD581" s="82"/>
      <c r="BE581" s="82"/>
      <c r="BF581" s="82"/>
      <c r="BG581" s="82"/>
      <c r="BH581" s="82"/>
      <c r="BI581" s="82"/>
    </row>
    <row r="582">
      <c r="K582" s="79"/>
      <c r="U582" s="79"/>
      <c r="AE582" s="79"/>
      <c r="AF582" s="82"/>
      <c r="AG582" s="82"/>
      <c r="AH582" s="82"/>
      <c r="AI582" s="82"/>
      <c r="AJ582" s="82"/>
      <c r="AK582" s="82"/>
      <c r="AL582" s="82"/>
      <c r="AM582" s="82"/>
      <c r="AN582" s="82"/>
      <c r="AO582" s="81"/>
      <c r="AP582" s="82"/>
      <c r="AQ582" s="82"/>
      <c r="AR582" s="82"/>
      <c r="AS582" s="82"/>
      <c r="AT582" s="82"/>
      <c r="AU582" s="82"/>
      <c r="AV582" s="82"/>
      <c r="AW582" s="82"/>
      <c r="AX582" s="82"/>
      <c r="AY582" s="81"/>
      <c r="AZ582" s="82"/>
      <c r="BA582" s="82"/>
      <c r="BB582" s="82"/>
      <c r="BC582" s="82"/>
      <c r="BD582" s="82"/>
      <c r="BE582" s="82"/>
      <c r="BF582" s="82"/>
      <c r="BG582" s="82"/>
      <c r="BH582" s="82"/>
      <c r="BI582" s="82"/>
    </row>
    <row r="583">
      <c r="K583" s="79"/>
      <c r="U583" s="79"/>
      <c r="AE583" s="79"/>
      <c r="AF583" s="82"/>
      <c r="AG583" s="82"/>
      <c r="AH583" s="82"/>
      <c r="AI583" s="82"/>
      <c r="AJ583" s="82"/>
      <c r="AK583" s="82"/>
      <c r="AL583" s="82"/>
      <c r="AM583" s="82"/>
      <c r="AN583" s="82"/>
      <c r="AO583" s="81"/>
      <c r="AP583" s="82"/>
      <c r="AQ583" s="82"/>
      <c r="AR583" s="82"/>
      <c r="AS583" s="82"/>
      <c r="AT583" s="82"/>
      <c r="AU583" s="82"/>
      <c r="AV583" s="82"/>
      <c r="AW583" s="82"/>
      <c r="AX583" s="82"/>
      <c r="AY583" s="81"/>
      <c r="AZ583" s="82"/>
      <c r="BA583" s="82"/>
      <c r="BB583" s="82"/>
      <c r="BC583" s="82"/>
      <c r="BD583" s="82"/>
      <c r="BE583" s="82"/>
      <c r="BF583" s="82"/>
      <c r="BG583" s="82"/>
      <c r="BH583" s="82"/>
      <c r="BI583" s="82"/>
    </row>
    <row r="584">
      <c r="K584" s="79"/>
      <c r="U584" s="79"/>
      <c r="AE584" s="79"/>
      <c r="AF584" s="82"/>
      <c r="AG584" s="82"/>
      <c r="AH584" s="82"/>
      <c r="AI584" s="82"/>
      <c r="AJ584" s="82"/>
      <c r="AK584" s="82"/>
      <c r="AL584" s="82"/>
      <c r="AM584" s="82"/>
      <c r="AN584" s="82"/>
      <c r="AO584" s="81"/>
      <c r="AP584" s="82"/>
      <c r="AQ584" s="82"/>
      <c r="AR584" s="82"/>
      <c r="AS584" s="82"/>
      <c r="AT584" s="82"/>
      <c r="AU584" s="82"/>
      <c r="AV584" s="82"/>
      <c r="AW584" s="82"/>
      <c r="AX584" s="82"/>
      <c r="AY584" s="81"/>
      <c r="AZ584" s="82"/>
      <c r="BA584" s="82"/>
      <c r="BB584" s="82"/>
      <c r="BC584" s="82"/>
      <c r="BD584" s="82"/>
      <c r="BE584" s="82"/>
      <c r="BF584" s="82"/>
      <c r="BG584" s="82"/>
      <c r="BH584" s="82"/>
      <c r="BI584" s="82"/>
    </row>
    <row r="585">
      <c r="K585" s="79"/>
      <c r="U585" s="79"/>
      <c r="AE585" s="79"/>
      <c r="AF585" s="82"/>
      <c r="AG585" s="82"/>
      <c r="AH585" s="82"/>
      <c r="AI585" s="82"/>
      <c r="AJ585" s="82"/>
      <c r="AK585" s="82"/>
      <c r="AL585" s="82"/>
      <c r="AM585" s="82"/>
      <c r="AN585" s="82"/>
      <c r="AO585" s="81"/>
      <c r="AP585" s="82"/>
      <c r="AQ585" s="82"/>
      <c r="AR585" s="82"/>
      <c r="AS585" s="82"/>
      <c r="AT585" s="82"/>
      <c r="AU585" s="82"/>
      <c r="AV585" s="82"/>
      <c r="AW585" s="82"/>
      <c r="AX585" s="82"/>
      <c r="AY585" s="81"/>
      <c r="AZ585" s="82"/>
      <c r="BA585" s="82"/>
      <c r="BB585" s="82"/>
      <c r="BC585" s="82"/>
      <c r="BD585" s="82"/>
      <c r="BE585" s="82"/>
      <c r="BF585" s="82"/>
      <c r="BG585" s="82"/>
      <c r="BH585" s="82"/>
      <c r="BI585" s="82"/>
    </row>
    <row r="586">
      <c r="K586" s="79"/>
      <c r="U586" s="79"/>
      <c r="AE586" s="79"/>
      <c r="AF586" s="82"/>
      <c r="AG586" s="82"/>
      <c r="AH586" s="82"/>
      <c r="AI586" s="82"/>
      <c r="AJ586" s="82"/>
      <c r="AK586" s="82"/>
      <c r="AL586" s="82"/>
      <c r="AM586" s="82"/>
      <c r="AN586" s="82"/>
      <c r="AO586" s="81"/>
      <c r="AP586" s="82"/>
      <c r="AQ586" s="82"/>
      <c r="AR586" s="82"/>
      <c r="AS586" s="82"/>
      <c r="AT586" s="82"/>
      <c r="AU586" s="82"/>
      <c r="AV586" s="82"/>
      <c r="AW586" s="82"/>
      <c r="AX586" s="82"/>
      <c r="AY586" s="81"/>
      <c r="AZ586" s="82"/>
      <c r="BA586" s="82"/>
      <c r="BB586" s="82"/>
      <c r="BC586" s="82"/>
      <c r="BD586" s="82"/>
      <c r="BE586" s="82"/>
      <c r="BF586" s="82"/>
      <c r="BG586" s="82"/>
      <c r="BH586" s="82"/>
      <c r="BI586" s="82"/>
    </row>
    <row r="587">
      <c r="K587" s="79"/>
      <c r="U587" s="79"/>
      <c r="AE587" s="79"/>
      <c r="AF587" s="82"/>
      <c r="AG587" s="82"/>
      <c r="AH587" s="82"/>
      <c r="AI587" s="82"/>
      <c r="AJ587" s="82"/>
      <c r="AK587" s="82"/>
      <c r="AL587" s="82"/>
      <c r="AM587" s="82"/>
      <c r="AN587" s="82"/>
      <c r="AO587" s="81"/>
      <c r="AP587" s="82"/>
      <c r="AQ587" s="82"/>
      <c r="AR587" s="82"/>
      <c r="AS587" s="82"/>
      <c r="AT587" s="82"/>
      <c r="AU587" s="82"/>
      <c r="AV587" s="82"/>
      <c r="AW587" s="82"/>
      <c r="AX587" s="82"/>
      <c r="AY587" s="81"/>
      <c r="AZ587" s="82"/>
      <c r="BA587" s="82"/>
      <c r="BB587" s="82"/>
      <c r="BC587" s="82"/>
      <c r="BD587" s="82"/>
      <c r="BE587" s="82"/>
      <c r="BF587" s="82"/>
      <c r="BG587" s="82"/>
      <c r="BH587" s="82"/>
      <c r="BI587" s="82"/>
    </row>
    <row r="588">
      <c r="K588" s="79"/>
      <c r="U588" s="79"/>
      <c r="AE588" s="79"/>
      <c r="AF588" s="82"/>
      <c r="AG588" s="82"/>
      <c r="AH588" s="82"/>
      <c r="AI588" s="82"/>
      <c r="AJ588" s="82"/>
      <c r="AK588" s="82"/>
      <c r="AL588" s="82"/>
      <c r="AM588" s="82"/>
      <c r="AN588" s="82"/>
      <c r="AO588" s="81"/>
      <c r="AP588" s="82"/>
      <c r="AQ588" s="82"/>
      <c r="AR588" s="82"/>
      <c r="AS588" s="82"/>
      <c r="AT588" s="82"/>
      <c r="AU588" s="82"/>
      <c r="AV588" s="82"/>
      <c r="AW588" s="82"/>
      <c r="AX588" s="82"/>
      <c r="AY588" s="81"/>
      <c r="AZ588" s="82"/>
      <c r="BA588" s="82"/>
      <c r="BB588" s="82"/>
      <c r="BC588" s="82"/>
      <c r="BD588" s="82"/>
      <c r="BE588" s="82"/>
      <c r="BF588" s="82"/>
      <c r="BG588" s="82"/>
      <c r="BH588" s="82"/>
      <c r="BI588" s="82"/>
    </row>
    <row r="589">
      <c r="K589" s="79"/>
      <c r="U589" s="79"/>
      <c r="AE589" s="79"/>
      <c r="AF589" s="82"/>
      <c r="AG589" s="82"/>
      <c r="AH589" s="82"/>
      <c r="AI589" s="82"/>
      <c r="AJ589" s="82"/>
      <c r="AK589" s="82"/>
      <c r="AL589" s="82"/>
      <c r="AM589" s="82"/>
      <c r="AN589" s="82"/>
      <c r="AO589" s="81"/>
      <c r="AP589" s="82"/>
      <c r="AQ589" s="82"/>
      <c r="AR589" s="82"/>
      <c r="AS589" s="82"/>
      <c r="AT589" s="82"/>
      <c r="AU589" s="82"/>
      <c r="AV589" s="82"/>
      <c r="AW589" s="82"/>
      <c r="AX589" s="82"/>
      <c r="AY589" s="81"/>
      <c r="AZ589" s="82"/>
      <c r="BA589" s="82"/>
      <c r="BB589" s="82"/>
      <c r="BC589" s="82"/>
      <c r="BD589" s="82"/>
      <c r="BE589" s="82"/>
      <c r="BF589" s="82"/>
      <c r="BG589" s="82"/>
      <c r="BH589" s="82"/>
      <c r="BI589" s="82"/>
    </row>
    <row r="590">
      <c r="K590" s="79"/>
      <c r="U590" s="79"/>
      <c r="AE590" s="79"/>
      <c r="AF590" s="82"/>
      <c r="AG590" s="82"/>
      <c r="AH590" s="82"/>
      <c r="AI590" s="82"/>
      <c r="AJ590" s="82"/>
      <c r="AK590" s="82"/>
      <c r="AL590" s="82"/>
      <c r="AM590" s="82"/>
      <c r="AN590" s="82"/>
      <c r="AO590" s="81"/>
      <c r="AP590" s="82"/>
      <c r="AQ590" s="82"/>
      <c r="AR590" s="82"/>
      <c r="AS590" s="82"/>
      <c r="AT590" s="82"/>
      <c r="AU590" s="82"/>
      <c r="AV590" s="82"/>
      <c r="AW590" s="82"/>
      <c r="AX590" s="82"/>
      <c r="AY590" s="81"/>
      <c r="AZ590" s="82"/>
      <c r="BA590" s="82"/>
      <c r="BB590" s="82"/>
      <c r="BC590" s="82"/>
      <c r="BD590" s="82"/>
      <c r="BE590" s="82"/>
      <c r="BF590" s="82"/>
      <c r="BG590" s="82"/>
      <c r="BH590" s="82"/>
      <c r="BI590" s="82"/>
    </row>
    <row r="591">
      <c r="K591" s="79"/>
      <c r="U591" s="79"/>
      <c r="AE591" s="79"/>
      <c r="AF591" s="82"/>
      <c r="AG591" s="82"/>
      <c r="AH591" s="82"/>
      <c r="AI591" s="82"/>
      <c r="AJ591" s="82"/>
      <c r="AK591" s="82"/>
      <c r="AL591" s="82"/>
      <c r="AM591" s="82"/>
      <c r="AN591" s="82"/>
      <c r="AO591" s="81"/>
      <c r="AP591" s="82"/>
      <c r="AQ591" s="82"/>
      <c r="AR591" s="82"/>
      <c r="AS591" s="82"/>
      <c r="AT591" s="82"/>
      <c r="AU591" s="82"/>
      <c r="AV591" s="82"/>
      <c r="AW591" s="82"/>
      <c r="AX591" s="82"/>
      <c r="AY591" s="81"/>
      <c r="AZ591" s="82"/>
      <c r="BA591" s="82"/>
      <c r="BB591" s="82"/>
      <c r="BC591" s="82"/>
      <c r="BD591" s="82"/>
      <c r="BE591" s="82"/>
      <c r="BF591" s="82"/>
      <c r="BG591" s="82"/>
      <c r="BH591" s="82"/>
      <c r="BI591" s="82"/>
    </row>
    <row r="592">
      <c r="K592" s="79"/>
      <c r="U592" s="79"/>
      <c r="AE592" s="79"/>
      <c r="AF592" s="82"/>
      <c r="AG592" s="82"/>
      <c r="AH592" s="82"/>
      <c r="AI592" s="82"/>
      <c r="AJ592" s="82"/>
      <c r="AK592" s="82"/>
      <c r="AL592" s="82"/>
      <c r="AM592" s="82"/>
      <c r="AN592" s="82"/>
      <c r="AO592" s="81"/>
      <c r="AP592" s="82"/>
      <c r="AQ592" s="82"/>
      <c r="AR592" s="82"/>
      <c r="AS592" s="82"/>
      <c r="AT592" s="82"/>
      <c r="AU592" s="82"/>
      <c r="AV592" s="82"/>
      <c r="AW592" s="82"/>
      <c r="AX592" s="82"/>
      <c r="AY592" s="81"/>
      <c r="AZ592" s="82"/>
      <c r="BA592" s="82"/>
      <c r="BB592" s="82"/>
      <c r="BC592" s="82"/>
      <c r="BD592" s="82"/>
      <c r="BE592" s="82"/>
      <c r="BF592" s="82"/>
      <c r="BG592" s="82"/>
      <c r="BH592" s="82"/>
      <c r="BI592" s="82"/>
    </row>
    <row r="593">
      <c r="K593" s="79"/>
      <c r="U593" s="79"/>
      <c r="AE593" s="79"/>
      <c r="AF593" s="82"/>
      <c r="AG593" s="82"/>
      <c r="AH593" s="82"/>
      <c r="AI593" s="82"/>
      <c r="AJ593" s="82"/>
      <c r="AK593" s="82"/>
      <c r="AL593" s="82"/>
      <c r="AM593" s="82"/>
      <c r="AN593" s="82"/>
      <c r="AO593" s="81"/>
      <c r="AP593" s="82"/>
      <c r="AQ593" s="82"/>
      <c r="AR593" s="82"/>
      <c r="AS593" s="82"/>
      <c r="AT593" s="82"/>
      <c r="AU593" s="82"/>
      <c r="AV593" s="82"/>
      <c r="AW593" s="82"/>
      <c r="AX593" s="82"/>
      <c r="AY593" s="81"/>
      <c r="AZ593" s="82"/>
      <c r="BA593" s="82"/>
      <c r="BB593" s="82"/>
      <c r="BC593" s="82"/>
      <c r="BD593" s="82"/>
      <c r="BE593" s="82"/>
      <c r="BF593" s="82"/>
      <c r="BG593" s="82"/>
      <c r="BH593" s="82"/>
      <c r="BI593" s="82"/>
    </row>
    <row r="594">
      <c r="K594" s="79"/>
      <c r="U594" s="79"/>
      <c r="AE594" s="79"/>
      <c r="AF594" s="82"/>
      <c r="AG594" s="82"/>
      <c r="AH594" s="82"/>
      <c r="AI594" s="82"/>
      <c r="AJ594" s="82"/>
      <c r="AK594" s="82"/>
      <c r="AL594" s="82"/>
      <c r="AM594" s="82"/>
      <c r="AN594" s="82"/>
      <c r="AO594" s="81"/>
      <c r="AP594" s="82"/>
      <c r="AQ594" s="82"/>
      <c r="AR594" s="82"/>
      <c r="AS594" s="82"/>
      <c r="AT594" s="82"/>
      <c r="AU594" s="82"/>
      <c r="AV594" s="82"/>
      <c r="AW594" s="82"/>
      <c r="AX594" s="82"/>
      <c r="AY594" s="81"/>
      <c r="AZ594" s="82"/>
      <c r="BA594" s="82"/>
      <c r="BB594" s="82"/>
      <c r="BC594" s="82"/>
      <c r="BD594" s="82"/>
      <c r="BE594" s="82"/>
      <c r="BF594" s="82"/>
      <c r="BG594" s="82"/>
      <c r="BH594" s="82"/>
      <c r="BI594" s="82"/>
    </row>
    <row r="595">
      <c r="K595" s="79"/>
      <c r="U595" s="79"/>
      <c r="AE595" s="79"/>
      <c r="AF595" s="82"/>
      <c r="AG595" s="82"/>
      <c r="AH595" s="82"/>
      <c r="AI595" s="82"/>
      <c r="AJ595" s="82"/>
      <c r="AK595" s="82"/>
      <c r="AL595" s="82"/>
      <c r="AM595" s="82"/>
      <c r="AN595" s="82"/>
      <c r="AO595" s="81"/>
      <c r="AP595" s="82"/>
      <c r="AQ595" s="82"/>
      <c r="AR595" s="82"/>
      <c r="AS595" s="82"/>
      <c r="AT595" s="82"/>
      <c r="AU595" s="82"/>
      <c r="AV595" s="82"/>
      <c r="AW595" s="82"/>
      <c r="AX595" s="82"/>
      <c r="AY595" s="81"/>
      <c r="AZ595" s="82"/>
      <c r="BA595" s="82"/>
      <c r="BB595" s="82"/>
      <c r="BC595" s="82"/>
      <c r="BD595" s="82"/>
      <c r="BE595" s="82"/>
      <c r="BF595" s="82"/>
      <c r="BG595" s="82"/>
      <c r="BH595" s="82"/>
      <c r="BI595" s="82"/>
    </row>
    <row r="596">
      <c r="K596" s="79"/>
      <c r="U596" s="79"/>
      <c r="AE596" s="79"/>
      <c r="AF596" s="82"/>
      <c r="AG596" s="82"/>
      <c r="AH596" s="82"/>
      <c r="AI596" s="82"/>
      <c r="AJ596" s="82"/>
      <c r="AK596" s="82"/>
      <c r="AL596" s="82"/>
      <c r="AM596" s="82"/>
      <c r="AN596" s="82"/>
      <c r="AO596" s="81"/>
      <c r="AP596" s="82"/>
      <c r="AQ596" s="82"/>
      <c r="AR596" s="82"/>
      <c r="AS596" s="82"/>
      <c r="AT596" s="82"/>
      <c r="AU596" s="82"/>
      <c r="AV596" s="82"/>
      <c r="AW596" s="82"/>
      <c r="AX596" s="82"/>
      <c r="AY596" s="81"/>
      <c r="AZ596" s="82"/>
      <c r="BA596" s="82"/>
      <c r="BB596" s="82"/>
      <c r="BC596" s="82"/>
      <c r="BD596" s="82"/>
      <c r="BE596" s="82"/>
      <c r="BF596" s="82"/>
      <c r="BG596" s="82"/>
      <c r="BH596" s="82"/>
      <c r="BI596" s="82"/>
    </row>
    <row r="597">
      <c r="K597" s="79"/>
      <c r="U597" s="79"/>
      <c r="AE597" s="79"/>
      <c r="AF597" s="82"/>
      <c r="AG597" s="82"/>
      <c r="AH597" s="82"/>
      <c r="AI597" s="82"/>
      <c r="AJ597" s="82"/>
      <c r="AK597" s="82"/>
      <c r="AL597" s="82"/>
      <c r="AM597" s="82"/>
      <c r="AN597" s="82"/>
      <c r="AO597" s="81"/>
      <c r="AP597" s="82"/>
      <c r="AQ597" s="82"/>
      <c r="AR597" s="82"/>
      <c r="AS597" s="82"/>
      <c r="AT597" s="82"/>
      <c r="AU597" s="82"/>
      <c r="AV597" s="82"/>
      <c r="AW597" s="82"/>
      <c r="AX597" s="82"/>
      <c r="AY597" s="81"/>
      <c r="AZ597" s="82"/>
      <c r="BA597" s="82"/>
      <c r="BB597" s="82"/>
      <c r="BC597" s="82"/>
      <c r="BD597" s="82"/>
      <c r="BE597" s="82"/>
      <c r="BF597" s="82"/>
      <c r="BG597" s="82"/>
      <c r="BH597" s="82"/>
      <c r="BI597" s="82"/>
    </row>
    <row r="598">
      <c r="K598" s="79"/>
      <c r="U598" s="79"/>
      <c r="AE598" s="79"/>
      <c r="AF598" s="82"/>
      <c r="AG598" s="82"/>
      <c r="AH598" s="82"/>
      <c r="AI598" s="82"/>
      <c r="AJ598" s="82"/>
      <c r="AK598" s="82"/>
      <c r="AL598" s="82"/>
      <c r="AM598" s="82"/>
      <c r="AN598" s="82"/>
      <c r="AO598" s="81"/>
      <c r="AP598" s="82"/>
      <c r="AQ598" s="82"/>
      <c r="AR598" s="82"/>
      <c r="AS598" s="82"/>
      <c r="AT598" s="82"/>
      <c r="AU598" s="82"/>
      <c r="AV598" s="82"/>
      <c r="AW598" s="82"/>
      <c r="AX598" s="82"/>
      <c r="AY598" s="81"/>
      <c r="AZ598" s="82"/>
      <c r="BA598" s="82"/>
      <c r="BB598" s="82"/>
      <c r="BC598" s="82"/>
      <c r="BD598" s="82"/>
      <c r="BE598" s="82"/>
      <c r="BF598" s="82"/>
      <c r="BG598" s="82"/>
      <c r="BH598" s="82"/>
      <c r="BI598" s="82"/>
    </row>
    <row r="599">
      <c r="K599" s="79"/>
      <c r="U599" s="79"/>
      <c r="AE599" s="79"/>
      <c r="AF599" s="82"/>
      <c r="AG599" s="82"/>
      <c r="AH599" s="82"/>
      <c r="AI599" s="82"/>
      <c r="AJ599" s="82"/>
      <c r="AK599" s="82"/>
      <c r="AL599" s="82"/>
      <c r="AM599" s="82"/>
      <c r="AN599" s="82"/>
      <c r="AO599" s="81"/>
      <c r="AP599" s="82"/>
      <c r="AQ599" s="82"/>
      <c r="AR599" s="82"/>
      <c r="AS599" s="82"/>
      <c r="AT599" s="82"/>
      <c r="AU599" s="82"/>
      <c r="AV599" s="82"/>
      <c r="AW599" s="82"/>
      <c r="AX599" s="82"/>
      <c r="AY599" s="81"/>
      <c r="AZ599" s="82"/>
      <c r="BA599" s="82"/>
      <c r="BB599" s="82"/>
      <c r="BC599" s="82"/>
      <c r="BD599" s="82"/>
      <c r="BE599" s="82"/>
      <c r="BF599" s="82"/>
      <c r="BG599" s="82"/>
      <c r="BH599" s="82"/>
      <c r="BI599" s="82"/>
    </row>
    <row r="600">
      <c r="K600" s="79"/>
      <c r="U600" s="79"/>
      <c r="AE600" s="79"/>
      <c r="AF600" s="82"/>
      <c r="AG600" s="82"/>
      <c r="AH600" s="82"/>
      <c r="AI600" s="82"/>
      <c r="AJ600" s="82"/>
      <c r="AK600" s="82"/>
      <c r="AL600" s="82"/>
      <c r="AM600" s="82"/>
      <c r="AN600" s="82"/>
      <c r="AO600" s="81"/>
      <c r="AP600" s="82"/>
      <c r="AQ600" s="82"/>
      <c r="AR600" s="82"/>
      <c r="AS600" s="82"/>
      <c r="AT600" s="82"/>
      <c r="AU600" s="82"/>
      <c r="AV600" s="82"/>
      <c r="AW600" s="82"/>
      <c r="AX600" s="82"/>
      <c r="AY600" s="81"/>
      <c r="AZ600" s="82"/>
      <c r="BA600" s="82"/>
      <c r="BB600" s="82"/>
      <c r="BC600" s="82"/>
      <c r="BD600" s="82"/>
      <c r="BE600" s="82"/>
      <c r="BF600" s="82"/>
      <c r="BG600" s="82"/>
      <c r="BH600" s="82"/>
      <c r="BI600" s="82"/>
    </row>
    <row r="601">
      <c r="K601" s="79"/>
      <c r="U601" s="79"/>
      <c r="AE601" s="79"/>
      <c r="AF601" s="82"/>
      <c r="AG601" s="82"/>
      <c r="AH601" s="82"/>
      <c r="AI601" s="82"/>
      <c r="AJ601" s="82"/>
      <c r="AK601" s="82"/>
      <c r="AL601" s="82"/>
      <c r="AM601" s="82"/>
      <c r="AN601" s="82"/>
      <c r="AO601" s="81"/>
      <c r="AP601" s="82"/>
      <c r="AQ601" s="82"/>
      <c r="AR601" s="82"/>
      <c r="AS601" s="82"/>
      <c r="AT601" s="82"/>
      <c r="AU601" s="82"/>
      <c r="AV601" s="82"/>
      <c r="AW601" s="82"/>
      <c r="AX601" s="82"/>
      <c r="AY601" s="81"/>
      <c r="AZ601" s="82"/>
      <c r="BA601" s="82"/>
      <c r="BB601" s="82"/>
      <c r="BC601" s="82"/>
      <c r="BD601" s="82"/>
      <c r="BE601" s="82"/>
      <c r="BF601" s="82"/>
      <c r="BG601" s="82"/>
      <c r="BH601" s="82"/>
      <c r="BI601" s="82"/>
    </row>
    <row r="602">
      <c r="K602" s="79"/>
      <c r="U602" s="79"/>
      <c r="AE602" s="79"/>
      <c r="AF602" s="82"/>
      <c r="AG602" s="82"/>
      <c r="AH602" s="82"/>
      <c r="AI602" s="82"/>
      <c r="AJ602" s="82"/>
      <c r="AK602" s="82"/>
      <c r="AL602" s="82"/>
      <c r="AM602" s="82"/>
      <c r="AN602" s="82"/>
      <c r="AO602" s="81"/>
      <c r="AP602" s="82"/>
      <c r="AQ602" s="82"/>
      <c r="AR602" s="82"/>
      <c r="AS602" s="82"/>
      <c r="AT602" s="82"/>
      <c r="AU602" s="82"/>
      <c r="AV602" s="82"/>
      <c r="AW602" s="82"/>
      <c r="AX602" s="82"/>
      <c r="AY602" s="81"/>
      <c r="AZ602" s="82"/>
      <c r="BA602" s="82"/>
      <c r="BB602" s="82"/>
      <c r="BC602" s="82"/>
      <c r="BD602" s="82"/>
      <c r="BE602" s="82"/>
      <c r="BF602" s="82"/>
      <c r="BG602" s="82"/>
      <c r="BH602" s="82"/>
      <c r="BI602" s="82"/>
    </row>
    <row r="603">
      <c r="K603" s="79"/>
      <c r="U603" s="79"/>
      <c r="AE603" s="79"/>
      <c r="AF603" s="82"/>
      <c r="AG603" s="82"/>
      <c r="AH603" s="82"/>
      <c r="AI603" s="82"/>
      <c r="AJ603" s="82"/>
      <c r="AK603" s="82"/>
      <c r="AL603" s="82"/>
      <c r="AM603" s="82"/>
      <c r="AN603" s="82"/>
      <c r="AO603" s="81"/>
      <c r="AP603" s="82"/>
      <c r="AQ603" s="82"/>
      <c r="AR603" s="82"/>
      <c r="AS603" s="82"/>
      <c r="AT603" s="82"/>
      <c r="AU603" s="82"/>
      <c r="AV603" s="82"/>
      <c r="AW603" s="82"/>
      <c r="AX603" s="82"/>
      <c r="AY603" s="81"/>
      <c r="AZ603" s="82"/>
      <c r="BA603" s="82"/>
      <c r="BB603" s="82"/>
      <c r="BC603" s="82"/>
      <c r="BD603" s="82"/>
      <c r="BE603" s="82"/>
      <c r="BF603" s="82"/>
      <c r="BG603" s="82"/>
      <c r="BH603" s="82"/>
      <c r="BI603" s="82"/>
    </row>
    <row r="604">
      <c r="K604" s="79"/>
      <c r="U604" s="79"/>
      <c r="AE604" s="79"/>
      <c r="AF604" s="82"/>
      <c r="AG604" s="82"/>
      <c r="AH604" s="82"/>
      <c r="AI604" s="82"/>
      <c r="AJ604" s="82"/>
      <c r="AK604" s="82"/>
      <c r="AL604" s="82"/>
      <c r="AM604" s="82"/>
      <c r="AN604" s="82"/>
      <c r="AO604" s="81"/>
      <c r="AP604" s="82"/>
      <c r="AQ604" s="82"/>
      <c r="AR604" s="82"/>
      <c r="AS604" s="82"/>
      <c r="AT604" s="82"/>
      <c r="AU604" s="82"/>
      <c r="AV604" s="82"/>
      <c r="AW604" s="82"/>
      <c r="AX604" s="82"/>
      <c r="AY604" s="81"/>
      <c r="AZ604" s="82"/>
      <c r="BA604" s="82"/>
      <c r="BB604" s="82"/>
      <c r="BC604" s="82"/>
      <c r="BD604" s="82"/>
      <c r="BE604" s="82"/>
      <c r="BF604" s="82"/>
      <c r="BG604" s="82"/>
      <c r="BH604" s="82"/>
      <c r="BI604" s="82"/>
    </row>
    <row r="605">
      <c r="K605" s="79"/>
      <c r="U605" s="79"/>
      <c r="AE605" s="79"/>
      <c r="AF605" s="82"/>
      <c r="AG605" s="82"/>
      <c r="AH605" s="82"/>
      <c r="AI605" s="82"/>
      <c r="AJ605" s="82"/>
      <c r="AK605" s="82"/>
      <c r="AL605" s="82"/>
      <c r="AM605" s="82"/>
      <c r="AN605" s="82"/>
      <c r="AO605" s="81"/>
      <c r="AP605" s="82"/>
      <c r="AQ605" s="82"/>
      <c r="AR605" s="82"/>
      <c r="AS605" s="82"/>
      <c r="AT605" s="82"/>
      <c r="AU605" s="82"/>
      <c r="AV605" s="82"/>
      <c r="AW605" s="82"/>
      <c r="AX605" s="82"/>
      <c r="AY605" s="81"/>
      <c r="AZ605" s="82"/>
      <c r="BA605" s="82"/>
      <c r="BB605" s="82"/>
      <c r="BC605" s="82"/>
      <c r="BD605" s="82"/>
      <c r="BE605" s="82"/>
      <c r="BF605" s="82"/>
      <c r="BG605" s="82"/>
      <c r="BH605" s="82"/>
      <c r="BI605" s="82"/>
    </row>
    <row r="606">
      <c r="K606" s="79"/>
      <c r="U606" s="79"/>
      <c r="AE606" s="79"/>
      <c r="AF606" s="82"/>
      <c r="AG606" s="82"/>
      <c r="AH606" s="82"/>
      <c r="AI606" s="82"/>
      <c r="AJ606" s="82"/>
      <c r="AK606" s="82"/>
      <c r="AL606" s="82"/>
      <c r="AM606" s="82"/>
      <c r="AN606" s="82"/>
      <c r="AO606" s="81"/>
      <c r="AP606" s="82"/>
      <c r="AQ606" s="82"/>
      <c r="AR606" s="82"/>
      <c r="AS606" s="82"/>
      <c r="AT606" s="82"/>
      <c r="AU606" s="82"/>
      <c r="AV606" s="82"/>
      <c r="AW606" s="82"/>
      <c r="AX606" s="82"/>
      <c r="AY606" s="81"/>
      <c r="AZ606" s="82"/>
      <c r="BA606" s="82"/>
      <c r="BB606" s="82"/>
      <c r="BC606" s="82"/>
      <c r="BD606" s="82"/>
      <c r="BE606" s="82"/>
      <c r="BF606" s="82"/>
      <c r="BG606" s="82"/>
      <c r="BH606" s="82"/>
      <c r="BI606" s="82"/>
    </row>
    <row r="607">
      <c r="K607" s="79"/>
      <c r="U607" s="79"/>
      <c r="AE607" s="79"/>
      <c r="AF607" s="82"/>
      <c r="AG607" s="82"/>
      <c r="AH607" s="82"/>
      <c r="AI607" s="82"/>
      <c r="AJ607" s="82"/>
      <c r="AK607" s="82"/>
      <c r="AL607" s="82"/>
      <c r="AM607" s="82"/>
      <c r="AN607" s="82"/>
      <c r="AO607" s="81"/>
      <c r="AP607" s="82"/>
      <c r="AQ607" s="82"/>
      <c r="AR607" s="82"/>
      <c r="AS607" s="82"/>
      <c r="AT607" s="82"/>
      <c r="AU607" s="82"/>
      <c r="AV607" s="82"/>
      <c r="AW607" s="82"/>
      <c r="AX607" s="82"/>
      <c r="AY607" s="81"/>
      <c r="AZ607" s="82"/>
      <c r="BA607" s="82"/>
      <c r="BB607" s="82"/>
      <c r="BC607" s="82"/>
      <c r="BD607" s="82"/>
      <c r="BE607" s="82"/>
      <c r="BF607" s="82"/>
      <c r="BG607" s="82"/>
      <c r="BH607" s="82"/>
      <c r="BI607" s="82"/>
    </row>
    <row r="608">
      <c r="K608" s="79"/>
      <c r="U608" s="79"/>
      <c r="AE608" s="79"/>
      <c r="AF608" s="82"/>
      <c r="AG608" s="82"/>
      <c r="AH608" s="82"/>
      <c r="AI608" s="82"/>
      <c r="AJ608" s="82"/>
      <c r="AK608" s="82"/>
      <c r="AL608" s="82"/>
      <c r="AM608" s="82"/>
      <c r="AN608" s="82"/>
      <c r="AO608" s="81"/>
      <c r="AP608" s="82"/>
      <c r="AQ608" s="82"/>
      <c r="AR608" s="82"/>
      <c r="AS608" s="82"/>
      <c r="AT608" s="82"/>
      <c r="AU608" s="82"/>
      <c r="AV608" s="82"/>
      <c r="AW608" s="82"/>
      <c r="AX608" s="82"/>
      <c r="AY608" s="81"/>
      <c r="AZ608" s="82"/>
      <c r="BA608" s="82"/>
      <c r="BB608" s="82"/>
      <c r="BC608" s="82"/>
      <c r="BD608" s="82"/>
      <c r="BE608" s="82"/>
      <c r="BF608" s="82"/>
      <c r="BG608" s="82"/>
      <c r="BH608" s="82"/>
      <c r="BI608" s="82"/>
    </row>
    <row r="609">
      <c r="K609" s="79"/>
      <c r="U609" s="79"/>
      <c r="AE609" s="79"/>
      <c r="AF609" s="82"/>
      <c r="AG609" s="82"/>
      <c r="AH609" s="82"/>
      <c r="AI609" s="82"/>
      <c r="AJ609" s="82"/>
      <c r="AK609" s="82"/>
      <c r="AL609" s="82"/>
      <c r="AM609" s="82"/>
      <c r="AN609" s="82"/>
      <c r="AO609" s="81"/>
      <c r="AP609" s="82"/>
      <c r="AQ609" s="82"/>
      <c r="AR609" s="82"/>
      <c r="AS609" s="82"/>
      <c r="AT609" s="82"/>
      <c r="AU609" s="82"/>
      <c r="AV609" s="82"/>
      <c r="AW609" s="82"/>
      <c r="AX609" s="82"/>
      <c r="AY609" s="81"/>
      <c r="AZ609" s="82"/>
      <c r="BA609" s="82"/>
      <c r="BB609" s="82"/>
      <c r="BC609" s="82"/>
      <c r="BD609" s="82"/>
      <c r="BE609" s="82"/>
      <c r="BF609" s="82"/>
      <c r="BG609" s="82"/>
      <c r="BH609" s="82"/>
      <c r="BI609" s="82"/>
    </row>
    <row r="610">
      <c r="K610" s="79"/>
      <c r="U610" s="79"/>
      <c r="AE610" s="79"/>
      <c r="AF610" s="82"/>
      <c r="AG610" s="82"/>
      <c r="AH610" s="82"/>
      <c r="AI610" s="82"/>
      <c r="AJ610" s="82"/>
      <c r="AK610" s="82"/>
      <c r="AL610" s="82"/>
      <c r="AM610" s="82"/>
      <c r="AN610" s="82"/>
      <c r="AO610" s="81"/>
      <c r="AP610" s="82"/>
      <c r="AQ610" s="82"/>
      <c r="AR610" s="82"/>
      <c r="AS610" s="82"/>
      <c r="AT610" s="82"/>
      <c r="AU610" s="82"/>
      <c r="AV610" s="82"/>
      <c r="AW610" s="82"/>
      <c r="AX610" s="82"/>
      <c r="AY610" s="81"/>
      <c r="AZ610" s="82"/>
      <c r="BA610" s="82"/>
      <c r="BB610" s="82"/>
      <c r="BC610" s="82"/>
      <c r="BD610" s="82"/>
      <c r="BE610" s="82"/>
      <c r="BF610" s="82"/>
      <c r="BG610" s="82"/>
      <c r="BH610" s="82"/>
      <c r="BI610" s="82"/>
    </row>
    <row r="611">
      <c r="K611" s="79"/>
      <c r="U611" s="79"/>
      <c r="AE611" s="79"/>
      <c r="AF611" s="82"/>
      <c r="AG611" s="82"/>
      <c r="AH611" s="82"/>
      <c r="AI611" s="82"/>
      <c r="AJ611" s="82"/>
      <c r="AK611" s="82"/>
      <c r="AL611" s="82"/>
      <c r="AM611" s="82"/>
      <c r="AN611" s="82"/>
      <c r="AO611" s="81"/>
      <c r="AP611" s="82"/>
      <c r="AQ611" s="82"/>
      <c r="AR611" s="82"/>
      <c r="AS611" s="82"/>
      <c r="AT611" s="82"/>
      <c r="AU611" s="82"/>
      <c r="AV611" s="82"/>
      <c r="AW611" s="82"/>
      <c r="AX611" s="82"/>
      <c r="AY611" s="81"/>
      <c r="AZ611" s="82"/>
      <c r="BA611" s="82"/>
      <c r="BB611" s="82"/>
      <c r="BC611" s="82"/>
      <c r="BD611" s="82"/>
      <c r="BE611" s="82"/>
      <c r="BF611" s="82"/>
      <c r="BG611" s="82"/>
      <c r="BH611" s="82"/>
      <c r="BI611" s="82"/>
    </row>
    <row r="612">
      <c r="K612" s="79"/>
      <c r="U612" s="79"/>
      <c r="AE612" s="79"/>
      <c r="AF612" s="82"/>
      <c r="AG612" s="82"/>
      <c r="AH612" s="82"/>
      <c r="AI612" s="82"/>
      <c r="AJ612" s="82"/>
      <c r="AK612" s="82"/>
      <c r="AL612" s="82"/>
      <c r="AM612" s="82"/>
      <c r="AN612" s="82"/>
      <c r="AO612" s="81"/>
      <c r="AP612" s="82"/>
      <c r="AQ612" s="82"/>
      <c r="AR612" s="82"/>
      <c r="AS612" s="82"/>
      <c r="AT612" s="82"/>
      <c r="AU612" s="82"/>
      <c r="AV612" s="82"/>
      <c r="AW612" s="82"/>
      <c r="AX612" s="82"/>
      <c r="AY612" s="81"/>
      <c r="AZ612" s="82"/>
      <c r="BA612" s="82"/>
      <c r="BB612" s="82"/>
      <c r="BC612" s="82"/>
      <c r="BD612" s="82"/>
      <c r="BE612" s="82"/>
      <c r="BF612" s="82"/>
      <c r="BG612" s="82"/>
      <c r="BH612" s="82"/>
      <c r="BI612" s="82"/>
    </row>
    <row r="613">
      <c r="K613" s="79"/>
      <c r="U613" s="79"/>
      <c r="AE613" s="79"/>
      <c r="AF613" s="82"/>
      <c r="AG613" s="82"/>
      <c r="AH613" s="82"/>
      <c r="AI613" s="82"/>
      <c r="AJ613" s="82"/>
      <c r="AK613" s="82"/>
      <c r="AL613" s="82"/>
      <c r="AM613" s="82"/>
      <c r="AN613" s="82"/>
      <c r="AO613" s="81"/>
      <c r="AP613" s="82"/>
      <c r="AQ613" s="82"/>
      <c r="AR613" s="82"/>
      <c r="AS613" s="82"/>
      <c r="AT613" s="82"/>
      <c r="AU613" s="82"/>
      <c r="AV613" s="82"/>
      <c r="AW613" s="82"/>
      <c r="AX613" s="82"/>
      <c r="AY613" s="81"/>
      <c r="AZ613" s="82"/>
      <c r="BA613" s="82"/>
      <c r="BB613" s="82"/>
      <c r="BC613" s="82"/>
      <c r="BD613" s="82"/>
      <c r="BE613" s="82"/>
      <c r="BF613" s="82"/>
      <c r="BG613" s="82"/>
      <c r="BH613" s="82"/>
      <c r="BI613" s="82"/>
    </row>
    <row r="614">
      <c r="K614" s="79"/>
      <c r="U614" s="79"/>
      <c r="AE614" s="79"/>
      <c r="AF614" s="82"/>
      <c r="AG614" s="82"/>
      <c r="AH614" s="82"/>
      <c r="AI614" s="82"/>
      <c r="AJ614" s="82"/>
      <c r="AK614" s="82"/>
      <c r="AL614" s="82"/>
      <c r="AM614" s="82"/>
      <c r="AN614" s="82"/>
      <c r="AO614" s="81"/>
      <c r="AP614" s="82"/>
      <c r="AQ614" s="82"/>
      <c r="AR614" s="82"/>
      <c r="AS614" s="82"/>
      <c r="AT614" s="82"/>
      <c r="AU614" s="82"/>
      <c r="AV614" s="82"/>
      <c r="AW614" s="82"/>
      <c r="AX614" s="82"/>
      <c r="AY614" s="81"/>
      <c r="AZ614" s="82"/>
      <c r="BA614" s="82"/>
      <c r="BB614" s="82"/>
      <c r="BC614" s="82"/>
      <c r="BD614" s="82"/>
      <c r="BE614" s="82"/>
      <c r="BF614" s="82"/>
      <c r="BG614" s="82"/>
      <c r="BH614" s="82"/>
      <c r="BI614" s="82"/>
    </row>
    <row r="615">
      <c r="K615" s="79"/>
      <c r="U615" s="79"/>
      <c r="AE615" s="79"/>
      <c r="AF615" s="82"/>
      <c r="AG615" s="82"/>
      <c r="AH615" s="82"/>
      <c r="AI615" s="82"/>
      <c r="AJ615" s="82"/>
      <c r="AK615" s="82"/>
      <c r="AL615" s="82"/>
      <c r="AM615" s="82"/>
      <c r="AN615" s="82"/>
      <c r="AO615" s="81"/>
      <c r="AP615" s="82"/>
      <c r="AQ615" s="82"/>
      <c r="AR615" s="82"/>
      <c r="AS615" s="82"/>
      <c r="AT615" s="82"/>
      <c r="AU615" s="82"/>
      <c r="AV615" s="82"/>
      <c r="AW615" s="82"/>
      <c r="AX615" s="82"/>
      <c r="AY615" s="81"/>
      <c r="AZ615" s="82"/>
      <c r="BA615" s="82"/>
      <c r="BB615" s="82"/>
      <c r="BC615" s="82"/>
      <c r="BD615" s="82"/>
      <c r="BE615" s="82"/>
      <c r="BF615" s="82"/>
      <c r="BG615" s="82"/>
      <c r="BH615" s="82"/>
      <c r="BI615" s="82"/>
    </row>
    <row r="616">
      <c r="K616" s="79"/>
      <c r="U616" s="79"/>
      <c r="AE616" s="79"/>
      <c r="AF616" s="82"/>
      <c r="AG616" s="82"/>
      <c r="AH616" s="82"/>
      <c r="AI616" s="82"/>
      <c r="AJ616" s="82"/>
      <c r="AK616" s="82"/>
      <c r="AL616" s="82"/>
      <c r="AM616" s="82"/>
      <c r="AN616" s="82"/>
      <c r="AO616" s="81"/>
      <c r="AP616" s="82"/>
      <c r="AQ616" s="82"/>
      <c r="AR616" s="82"/>
      <c r="AS616" s="82"/>
      <c r="AT616" s="82"/>
      <c r="AU616" s="82"/>
      <c r="AV616" s="82"/>
      <c r="AW616" s="82"/>
      <c r="AX616" s="82"/>
      <c r="AY616" s="81"/>
      <c r="AZ616" s="82"/>
      <c r="BA616" s="82"/>
      <c r="BB616" s="82"/>
      <c r="BC616" s="82"/>
      <c r="BD616" s="82"/>
      <c r="BE616" s="82"/>
      <c r="BF616" s="82"/>
      <c r="BG616" s="82"/>
      <c r="BH616" s="82"/>
      <c r="BI616" s="82"/>
    </row>
    <row r="617">
      <c r="K617" s="79"/>
      <c r="U617" s="79"/>
      <c r="AE617" s="79"/>
      <c r="AF617" s="82"/>
      <c r="AG617" s="82"/>
      <c r="AH617" s="82"/>
      <c r="AI617" s="82"/>
      <c r="AJ617" s="82"/>
      <c r="AK617" s="82"/>
      <c r="AL617" s="82"/>
      <c r="AM617" s="82"/>
      <c r="AN617" s="82"/>
      <c r="AO617" s="81"/>
      <c r="AP617" s="82"/>
      <c r="AQ617" s="82"/>
      <c r="AR617" s="82"/>
      <c r="AS617" s="82"/>
      <c r="AT617" s="82"/>
      <c r="AU617" s="82"/>
      <c r="AV617" s="82"/>
      <c r="AW617" s="82"/>
      <c r="AX617" s="82"/>
      <c r="AY617" s="81"/>
      <c r="AZ617" s="82"/>
      <c r="BA617" s="82"/>
      <c r="BB617" s="82"/>
      <c r="BC617" s="82"/>
      <c r="BD617" s="82"/>
      <c r="BE617" s="82"/>
      <c r="BF617" s="82"/>
      <c r="BG617" s="82"/>
      <c r="BH617" s="82"/>
      <c r="BI617" s="82"/>
    </row>
    <row r="618">
      <c r="K618" s="79"/>
      <c r="U618" s="79"/>
      <c r="AE618" s="79"/>
      <c r="AF618" s="82"/>
      <c r="AG618" s="82"/>
      <c r="AH618" s="82"/>
      <c r="AI618" s="82"/>
      <c r="AJ618" s="82"/>
      <c r="AK618" s="82"/>
      <c r="AL618" s="82"/>
      <c r="AM618" s="82"/>
      <c r="AN618" s="82"/>
      <c r="AO618" s="81"/>
      <c r="AP618" s="82"/>
      <c r="AQ618" s="82"/>
      <c r="AR618" s="82"/>
      <c r="AS618" s="82"/>
      <c r="AT618" s="82"/>
      <c r="AU618" s="82"/>
      <c r="AV618" s="82"/>
      <c r="AW618" s="82"/>
      <c r="AX618" s="82"/>
      <c r="AY618" s="81"/>
      <c r="AZ618" s="82"/>
      <c r="BA618" s="82"/>
      <c r="BB618" s="82"/>
      <c r="BC618" s="82"/>
      <c r="BD618" s="82"/>
      <c r="BE618" s="82"/>
      <c r="BF618" s="82"/>
      <c r="BG618" s="82"/>
      <c r="BH618" s="82"/>
      <c r="BI618" s="82"/>
    </row>
    <row r="619">
      <c r="K619" s="79"/>
      <c r="U619" s="79"/>
      <c r="AE619" s="79"/>
      <c r="AF619" s="82"/>
      <c r="AG619" s="82"/>
      <c r="AH619" s="82"/>
      <c r="AI619" s="82"/>
      <c r="AJ619" s="82"/>
      <c r="AK619" s="82"/>
      <c r="AL619" s="82"/>
      <c r="AM619" s="82"/>
      <c r="AN619" s="82"/>
      <c r="AO619" s="81"/>
      <c r="AP619" s="82"/>
      <c r="AQ619" s="82"/>
      <c r="AR619" s="82"/>
      <c r="AS619" s="82"/>
      <c r="AT619" s="82"/>
      <c r="AU619" s="82"/>
      <c r="AV619" s="82"/>
      <c r="AW619" s="82"/>
      <c r="AX619" s="82"/>
      <c r="AY619" s="81"/>
      <c r="AZ619" s="82"/>
      <c r="BA619" s="82"/>
      <c r="BB619" s="82"/>
      <c r="BC619" s="82"/>
      <c r="BD619" s="82"/>
      <c r="BE619" s="82"/>
      <c r="BF619" s="82"/>
      <c r="BG619" s="82"/>
      <c r="BH619" s="82"/>
      <c r="BI619" s="82"/>
    </row>
    <row r="620">
      <c r="K620" s="79"/>
      <c r="U620" s="79"/>
      <c r="AE620" s="79"/>
      <c r="AF620" s="82"/>
      <c r="AG620" s="82"/>
      <c r="AH620" s="82"/>
      <c r="AI620" s="82"/>
      <c r="AJ620" s="82"/>
      <c r="AK620" s="82"/>
      <c r="AL620" s="82"/>
      <c r="AM620" s="82"/>
      <c r="AN620" s="82"/>
      <c r="AO620" s="81"/>
      <c r="AP620" s="82"/>
      <c r="AQ620" s="82"/>
      <c r="AR620" s="82"/>
      <c r="AS620" s="82"/>
      <c r="AT620" s="82"/>
      <c r="AU620" s="82"/>
      <c r="AV620" s="82"/>
      <c r="AW620" s="82"/>
      <c r="AX620" s="82"/>
      <c r="AY620" s="81"/>
      <c r="AZ620" s="82"/>
      <c r="BA620" s="82"/>
      <c r="BB620" s="82"/>
      <c r="BC620" s="82"/>
      <c r="BD620" s="82"/>
      <c r="BE620" s="82"/>
      <c r="BF620" s="82"/>
      <c r="BG620" s="82"/>
      <c r="BH620" s="82"/>
      <c r="BI620" s="82"/>
    </row>
    <row r="621">
      <c r="K621" s="79"/>
      <c r="U621" s="79"/>
      <c r="AE621" s="79"/>
      <c r="AF621" s="82"/>
      <c r="AG621" s="82"/>
      <c r="AH621" s="82"/>
      <c r="AI621" s="82"/>
      <c r="AJ621" s="82"/>
      <c r="AK621" s="82"/>
      <c r="AL621" s="82"/>
      <c r="AM621" s="82"/>
      <c r="AN621" s="82"/>
      <c r="AO621" s="81"/>
      <c r="AP621" s="82"/>
      <c r="AQ621" s="82"/>
      <c r="AR621" s="82"/>
      <c r="AS621" s="82"/>
      <c r="AT621" s="82"/>
      <c r="AU621" s="82"/>
      <c r="AV621" s="82"/>
      <c r="AW621" s="82"/>
      <c r="AX621" s="82"/>
      <c r="AY621" s="81"/>
      <c r="AZ621" s="82"/>
      <c r="BA621" s="82"/>
      <c r="BB621" s="82"/>
      <c r="BC621" s="82"/>
      <c r="BD621" s="82"/>
      <c r="BE621" s="82"/>
      <c r="BF621" s="82"/>
      <c r="BG621" s="82"/>
      <c r="BH621" s="82"/>
      <c r="BI621" s="82"/>
    </row>
    <row r="622">
      <c r="K622" s="79"/>
      <c r="U622" s="79"/>
      <c r="AE622" s="79"/>
      <c r="AF622" s="82"/>
      <c r="AG622" s="82"/>
      <c r="AH622" s="82"/>
      <c r="AI622" s="82"/>
      <c r="AJ622" s="82"/>
      <c r="AK622" s="82"/>
      <c r="AL622" s="82"/>
      <c r="AM622" s="82"/>
      <c r="AN622" s="82"/>
      <c r="AO622" s="81"/>
      <c r="AP622" s="82"/>
      <c r="AQ622" s="82"/>
      <c r="AR622" s="82"/>
      <c r="AS622" s="82"/>
      <c r="AT622" s="82"/>
      <c r="AU622" s="82"/>
      <c r="AV622" s="82"/>
      <c r="AW622" s="82"/>
      <c r="AX622" s="82"/>
      <c r="AY622" s="81"/>
      <c r="AZ622" s="82"/>
      <c r="BA622" s="82"/>
      <c r="BB622" s="82"/>
      <c r="BC622" s="82"/>
      <c r="BD622" s="82"/>
      <c r="BE622" s="82"/>
      <c r="BF622" s="82"/>
      <c r="BG622" s="82"/>
      <c r="BH622" s="82"/>
      <c r="BI622" s="82"/>
    </row>
    <row r="623">
      <c r="K623" s="79"/>
      <c r="U623" s="79"/>
      <c r="AE623" s="79"/>
      <c r="AF623" s="82"/>
      <c r="AG623" s="82"/>
      <c r="AH623" s="82"/>
      <c r="AI623" s="82"/>
      <c r="AJ623" s="82"/>
      <c r="AK623" s="82"/>
      <c r="AL623" s="82"/>
      <c r="AM623" s="82"/>
      <c r="AN623" s="82"/>
      <c r="AO623" s="81"/>
      <c r="AP623" s="82"/>
      <c r="AQ623" s="82"/>
      <c r="AR623" s="82"/>
      <c r="AS623" s="82"/>
      <c r="AT623" s="82"/>
      <c r="AU623" s="82"/>
      <c r="AV623" s="82"/>
      <c r="AW623" s="82"/>
      <c r="AX623" s="82"/>
      <c r="AY623" s="81"/>
      <c r="AZ623" s="82"/>
      <c r="BA623" s="82"/>
      <c r="BB623" s="82"/>
      <c r="BC623" s="82"/>
      <c r="BD623" s="82"/>
      <c r="BE623" s="82"/>
      <c r="BF623" s="82"/>
      <c r="BG623" s="82"/>
      <c r="BH623" s="82"/>
      <c r="BI623" s="82"/>
    </row>
    <row r="624">
      <c r="K624" s="79"/>
      <c r="U624" s="79"/>
      <c r="AE624" s="79"/>
      <c r="AF624" s="82"/>
      <c r="AG624" s="82"/>
      <c r="AH624" s="82"/>
      <c r="AI624" s="82"/>
      <c r="AJ624" s="82"/>
      <c r="AK624" s="82"/>
      <c r="AL624" s="82"/>
      <c r="AM624" s="82"/>
      <c r="AN624" s="82"/>
      <c r="AO624" s="81"/>
      <c r="AP624" s="82"/>
      <c r="AQ624" s="82"/>
      <c r="AR624" s="82"/>
      <c r="AS624" s="82"/>
      <c r="AT624" s="82"/>
      <c r="AU624" s="82"/>
      <c r="AV624" s="82"/>
      <c r="AW624" s="82"/>
      <c r="AX624" s="82"/>
      <c r="AY624" s="81"/>
      <c r="AZ624" s="82"/>
      <c r="BA624" s="82"/>
      <c r="BB624" s="82"/>
      <c r="BC624" s="82"/>
      <c r="BD624" s="82"/>
      <c r="BE624" s="82"/>
      <c r="BF624" s="82"/>
      <c r="BG624" s="82"/>
      <c r="BH624" s="82"/>
      <c r="BI624" s="82"/>
    </row>
    <row r="625">
      <c r="K625" s="79"/>
      <c r="U625" s="79"/>
      <c r="AE625" s="79"/>
      <c r="AF625" s="82"/>
      <c r="AG625" s="82"/>
      <c r="AH625" s="82"/>
      <c r="AI625" s="82"/>
      <c r="AJ625" s="82"/>
      <c r="AK625" s="82"/>
      <c r="AL625" s="82"/>
      <c r="AM625" s="82"/>
      <c r="AN625" s="82"/>
      <c r="AO625" s="81"/>
      <c r="AP625" s="82"/>
      <c r="AQ625" s="82"/>
      <c r="AR625" s="82"/>
      <c r="AS625" s="82"/>
      <c r="AT625" s="82"/>
      <c r="AU625" s="82"/>
      <c r="AV625" s="82"/>
      <c r="AW625" s="82"/>
      <c r="AX625" s="82"/>
      <c r="AY625" s="81"/>
      <c r="AZ625" s="82"/>
      <c r="BA625" s="82"/>
      <c r="BB625" s="82"/>
      <c r="BC625" s="82"/>
      <c r="BD625" s="82"/>
      <c r="BE625" s="82"/>
      <c r="BF625" s="82"/>
      <c r="BG625" s="82"/>
      <c r="BH625" s="82"/>
      <c r="BI625" s="82"/>
    </row>
    <row r="626">
      <c r="K626" s="79"/>
      <c r="U626" s="79"/>
      <c r="AE626" s="79"/>
      <c r="AF626" s="82"/>
      <c r="AG626" s="82"/>
      <c r="AH626" s="82"/>
      <c r="AI626" s="82"/>
      <c r="AJ626" s="82"/>
      <c r="AK626" s="82"/>
      <c r="AL626" s="82"/>
      <c r="AM626" s="82"/>
      <c r="AN626" s="82"/>
      <c r="AO626" s="81"/>
      <c r="AP626" s="82"/>
      <c r="AQ626" s="82"/>
      <c r="AR626" s="82"/>
      <c r="AS626" s="82"/>
      <c r="AT626" s="82"/>
      <c r="AU626" s="82"/>
      <c r="AV626" s="82"/>
      <c r="AW626" s="82"/>
      <c r="AX626" s="82"/>
      <c r="AY626" s="81"/>
      <c r="AZ626" s="82"/>
      <c r="BA626" s="82"/>
      <c r="BB626" s="82"/>
      <c r="BC626" s="82"/>
      <c r="BD626" s="82"/>
      <c r="BE626" s="82"/>
      <c r="BF626" s="82"/>
      <c r="BG626" s="82"/>
      <c r="BH626" s="82"/>
      <c r="BI626" s="82"/>
    </row>
    <row r="627">
      <c r="K627" s="79"/>
      <c r="U627" s="79"/>
      <c r="AE627" s="79"/>
      <c r="AF627" s="82"/>
      <c r="AG627" s="82"/>
      <c r="AH627" s="82"/>
      <c r="AI627" s="82"/>
      <c r="AJ627" s="82"/>
      <c r="AK627" s="82"/>
      <c r="AL627" s="82"/>
      <c r="AM627" s="82"/>
      <c r="AN627" s="82"/>
      <c r="AO627" s="81"/>
      <c r="AP627" s="82"/>
      <c r="AQ627" s="82"/>
      <c r="AR627" s="82"/>
      <c r="AS627" s="82"/>
      <c r="AT627" s="82"/>
      <c r="AU627" s="82"/>
      <c r="AV627" s="82"/>
      <c r="AW627" s="82"/>
      <c r="AX627" s="82"/>
      <c r="AY627" s="81"/>
      <c r="AZ627" s="82"/>
      <c r="BA627" s="82"/>
      <c r="BB627" s="82"/>
      <c r="BC627" s="82"/>
      <c r="BD627" s="82"/>
      <c r="BE627" s="82"/>
      <c r="BF627" s="82"/>
      <c r="BG627" s="82"/>
      <c r="BH627" s="82"/>
      <c r="BI627" s="82"/>
    </row>
    <row r="628">
      <c r="K628" s="79"/>
      <c r="U628" s="79"/>
      <c r="AE628" s="79"/>
      <c r="AF628" s="82"/>
      <c r="AG628" s="82"/>
      <c r="AH628" s="82"/>
      <c r="AI628" s="82"/>
      <c r="AJ628" s="82"/>
      <c r="AK628" s="82"/>
      <c r="AL628" s="82"/>
      <c r="AM628" s="82"/>
      <c r="AN628" s="82"/>
      <c r="AO628" s="81"/>
      <c r="AP628" s="82"/>
      <c r="AQ628" s="82"/>
      <c r="AR628" s="82"/>
      <c r="AS628" s="82"/>
      <c r="AT628" s="82"/>
      <c r="AU628" s="82"/>
      <c r="AV628" s="82"/>
      <c r="AW628" s="82"/>
      <c r="AX628" s="82"/>
      <c r="AY628" s="81"/>
      <c r="AZ628" s="82"/>
      <c r="BA628" s="82"/>
      <c r="BB628" s="82"/>
      <c r="BC628" s="82"/>
      <c r="BD628" s="82"/>
      <c r="BE628" s="82"/>
      <c r="BF628" s="82"/>
      <c r="BG628" s="82"/>
      <c r="BH628" s="82"/>
      <c r="BI628" s="82"/>
    </row>
    <row r="629">
      <c r="K629" s="79"/>
      <c r="U629" s="79"/>
      <c r="AE629" s="79"/>
      <c r="AF629" s="82"/>
      <c r="AG629" s="82"/>
      <c r="AH629" s="82"/>
      <c r="AI629" s="82"/>
      <c r="AJ629" s="82"/>
      <c r="AK629" s="82"/>
      <c r="AL629" s="82"/>
      <c r="AM629" s="82"/>
      <c r="AN629" s="82"/>
      <c r="AO629" s="81"/>
      <c r="AP629" s="82"/>
      <c r="AQ629" s="82"/>
      <c r="AR629" s="82"/>
      <c r="AS629" s="82"/>
      <c r="AT629" s="82"/>
      <c r="AU629" s="82"/>
      <c r="AV629" s="82"/>
      <c r="AW629" s="82"/>
      <c r="AX629" s="82"/>
      <c r="AY629" s="81"/>
      <c r="AZ629" s="82"/>
      <c r="BA629" s="82"/>
      <c r="BB629" s="82"/>
      <c r="BC629" s="82"/>
      <c r="BD629" s="82"/>
      <c r="BE629" s="82"/>
      <c r="BF629" s="82"/>
      <c r="BG629" s="82"/>
      <c r="BH629" s="82"/>
      <c r="BI629" s="82"/>
    </row>
    <row r="630">
      <c r="K630" s="79"/>
      <c r="U630" s="79"/>
      <c r="AE630" s="79"/>
      <c r="AF630" s="82"/>
      <c r="AG630" s="82"/>
      <c r="AH630" s="82"/>
      <c r="AI630" s="82"/>
      <c r="AJ630" s="82"/>
      <c r="AK630" s="82"/>
      <c r="AL630" s="82"/>
      <c r="AM630" s="82"/>
      <c r="AN630" s="82"/>
      <c r="AO630" s="81"/>
      <c r="AP630" s="82"/>
      <c r="AQ630" s="82"/>
      <c r="AR630" s="82"/>
      <c r="AS630" s="82"/>
      <c r="AT630" s="82"/>
      <c r="AU630" s="82"/>
      <c r="AV630" s="82"/>
      <c r="AW630" s="82"/>
      <c r="AX630" s="82"/>
      <c r="AY630" s="81"/>
      <c r="AZ630" s="82"/>
      <c r="BA630" s="82"/>
      <c r="BB630" s="82"/>
      <c r="BC630" s="82"/>
      <c r="BD630" s="82"/>
      <c r="BE630" s="82"/>
      <c r="BF630" s="82"/>
      <c r="BG630" s="82"/>
      <c r="BH630" s="82"/>
      <c r="BI630" s="82"/>
    </row>
    <row r="631">
      <c r="K631" s="79"/>
      <c r="U631" s="79"/>
      <c r="AE631" s="79"/>
      <c r="AF631" s="82"/>
      <c r="AG631" s="82"/>
      <c r="AH631" s="82"/>
      <c r="AI631" s="82"/>
      <c r="AJ631" s="82"/>
      <c r="AK631" s="82"/>
      <c r="AL631" s="82"/>
      <c r="AM631" s="82"/>
      <c r="AN631" s="82"/>
      <c r="AO631" s="81"/>
      <c r="AP631" s="82"/>
      <c r="AQ631" s="82"/>
      <c r="AR631" s="82"/>
      <c r="AS631" s="82"/>
      <c r="AT631" s="82"/>
      <c r="AU631" s="82"/>
      <c r="AV631" s="82"/>
      <c r="AW631" s="82"/>
      <c r="AX631" s="82"/>
      <c r="AY631" s="81"/>
      <c r="AZ631" s="82"/>
      <c r="BA631" s="82"/>
      <c r="BB631" s="82"/>
      <c r="BC631" s="82"/>
      <c r="BD631" s="82"/>
      <c r="BE631" s="82"/>
      <c r="BF631" s="82"/>
      <c r="BG631" s="82"/>
      <c r="BH631" s="82"/>
      <c r="BI631" s="82"/>
    </row>
    <row r="632">
      <c r="K632" s="79"/>
      <c r="U632" s="79"/>
      <c r="AE632" s="79"/>
      <c r="AF632" s="82"/>
      <c r="AG632" s="82"/>
      <c r="AH632" s="82"/>
      <c r="AI632" s="82"/>
      <c r="AJ632" s="82"/>
      <c r="AK632" s="82"/>
      <c r="AL632" s="82"/>
      <c r="AM632" s="82"/>
      <c r="AN632" s="82"/>
      <c r="AO632" s="81"/>
      <c r="AP632" s="82"/>
      <c r="AQ632" s="82"/>
      <c r="AR632" s="82"/>
      <c r="AS632" s="82"/>
      <c r="AT632" s="82"/>
      <c r="AU632" s="82"/>
      <c r="AV632" s="82"/>
      <c r="AW632" s="82"/>
      <c r="AX632" s="82"/>
      <c r="AY632" s="81"/>
      <c r="AZ632" s="82"/>
      <c r="BA632" s="82"/>
      <c r="BB632" s="82"/>
      <c r="BC632" s="82"/>
      <c r="BD632" s="82"/>
      <c r="BE632" s="82"/>
      <c r="BF632" s="82"/>
      <c r="BG632" s="82"/>
      <c r="BH632" s="82"/>
      <c r="BI632" s="82"/>
    </row>
    <row r="633">
      <c r="K633" s="79"/>
      <c r="U633" s="79"/>
      <c r="AE633" s="79"/>
      <c r="AF633" s="82"/>
      <c r="AG633" s="82"/>
      <c r="AH633" s="82"/>
      <c r="AI633" s="82"/>
      <c r="AJ633" s="82"/>
      <c r="AK633" s="82"/>
      <c r="AL633" s="82"/>
      <c r="AM633" s="82"/>
      <c r="AN633" s="82"/>
      <c r="AO633" s="81"/>
      <c r="AP633" s="82"/>
      <c r="AQ633" s="82"/>
      <c r="AR633" s="82"/>
      <c r="AS633" s="82"/>
      <c r="AT633" s="82"/>
      <c r="AU633" s="82"/>
      <c r="AV633" s="82"/>
      <c r="AW633" s="82"/>
      <c r="AX633" s="82"/>
      <c r="AY633" s="81"/>
      <c r="AZ633" s="82"/>
      <c r="BA633" s="82"/>
      <c r="BB633" s="82"/>
      <c r="BC633" s="82"/>
      <c r="BD633" s="82"/>
      <c r="BE633" s="82"/>
      <c r="BF633" s="82"/>
      <c r="BG633" s="82"/>
      <c r="BH633" s="82"/>
      <c r="BI633" s="82"/>
    </row>
    <row r="634">
      <c r="K634" s="79"/>
      <c r="U634" s="79"/>
      <c r="AE634" s="79"/>
      <c r="AF634" s="82"/>
      <c r="AG634" s="82"/>
      <c r="AH634" s="82"/>
      <c r="AI634" s="82"/>
      <c r="AJ634" s="82"/>
      <c r="AK634" s="82"/>
      <c r="AL634" s="82"/>
      <c r="AM634" s="82"/>
      <c r="AN634" s="82"/>
      <c r="AO634" s="81"/>
      <c r="AP634" s="82"/>
      <c r="AQ634" s="82"/>
      <c r="AR634" s="82"/>
      <c r="AS634" s="82"/>
      <c r="AT634" s="82"/>
      <c r="AU634" s="82"/>
      <c r="AV634" s="82"/>
      <c r="AW634" s="82"/>
      <c r="AX634" s="82"/>
      <c r="AY634" s="81"/>
      <c r="AZ634" s="82"/>
      <c r="BA634" s="82"/>
      <c r="BB634" s="82"/>
      <c r="BC634" s="82"/>
      <c r="BD634" s="82"/>
      <c r="BE634" s="82"/>
      <c r="BF634" s="82"/>
      <c r="BG634" s="82"/>
      <c r="BH634" s="82"/>
      <c r="BI634" s="82"/>
    </row>
    <row r="635">
      <c r="K635" s="79"/>
      <c r="U635" s="79"/>
      <c r="AE635" s="79"/>
      <c r="AF635" s="82"/>
      <c r="AG635" s="82"/>
      <c r="AH635" s="82"/>
      <c r="AI635" s="82"/>
      <c r="AJ635" s="82"/>
      <c r="AK635" s="82"/>
      <c r="AL635" s="82"/>
      <c r="AM635" s="82"/>
      <c r="AN635" s="82"/>
      <c r="AO635" s="81"/>
      <c r="AP635" s="82"/>
      <c r="AQ635" s="82"/>
      <c r="AR635" s="82"/>
      <c r="AS635" s="82"/>
      <c r="AT635" s="82"/>
      <c r="AU635" s="82"/>
      <c r="AV635" s="82"/>
      <c r="AW635" s="82"/>
      <c r="AX635" s="82"/>
      <c r="AY635" s="81"/>
      <c r="AZ635" s="82"/>
      <c r="BA635" s="82"/>
      <c r="BB635" s="82"/>
      <c r="BC635" s="82"/>
      <c r="BD635" s="82"/>
      <c r="BE635" s="82"/>
      <c r="BF635" s="82"/>
      <c r="BG635" s="82"/>
      <c r="BH635" s="82"/>
      <c r="BI635" s="82"/>
    </row>
    <row r="636">
      <c r="K636" s="79"/>
      <c r="U636" s="79"/>
      <c r="AE636" s="79"/>
      <c r="AF636" s="82"/>
      <c r="AG636" s="82"/>
      <c r="AH636" s="82"/>
      <c r="AI636" s="82"/>
      <c r="AJ636" s="82"/>
      <c r="AK636" s="82"/>
      <c r="AL636" s="82"/>
      <c r="AM636" s="82"/>
      <c r="AN636" s="82"/>
      <c r="AO636" s="81"/>
      <c r="AP636" s="82"/>
      <c r="AQ636" s="82"/>
      <c r="AR636" s="82"/>
      <c r="AS636" s="82"/>
      <c r="AT636" s="82"/>
      <c r="AU636" s="82"/>
      <c r="AV636" s="82"/>
      <c r="AW636" s="82"/>
      <c r="AX636" s="82"/>
      <c r="AY636" s="81"/>
      <c r="AZ636" s="82"/>
      <c r="BA636" s="82"/>
      <c r="BB636" s="82"/>
      <c r="BC636" s="82"/>
      <c r="BD636" s="82"/>
      <c r="BE636" s="82"/>
      <c r="BF636" s="82"/>
      <c r="BG636" s="82"/>
      <c r="BH636" s="82"/>
      <c r="BI636" s="82"/>
    </row>
    <row r="637">
      <c r="K637" s="79"/>
      <c r="U637" s="79"/>
      <c r="AE637" s="79"/>
      <c r="AF637" s="82"/>
      <c r="AG637" s="82"/>
      <c r="AH637" s="82"/>
      <c r="AI637" s="82"/>
      <c r="AJ637" s="82"/>
      <c r="AK637" s="82"/>
      <c r="AL637" s="82"/>
      <c r="AM637" s="82"/>
      <c r="AN637" s="82"/>
      <c r="AO637" s="81"/>
      <c r="AP637" s="82"/>
      <c r="AQ637" s="82"/>
      <c r="AR637" s="82"/>
      <c r="AS637" s="82"/>
      <c r="AT637" s="82"/>
      <c r="AU637" s="82"/>
      <c r="AV637" s="82"/>
      <c r="AW637" s="82"/>
      <c r="AX637" s="82"/>
      <c r="AY637" s="81"/>
      <c r="AZ637" s="82"/>
      <c r="BA637" s="82"/>
      <c r="BB637" s="82"/>
      <c r="BC637" s="82"/>
      <c r="BD637" s="82"/>
      <c r="BE637" s="82"/>
      <c r="BF637" s="82"/>
      <c r="BG637" s="82"/>
      <c r="BH637" s="82"/>
      <c r="BI637" s="82"/>
    </row>
    <row r="638">
      <c r="K638" s="79"/>
      <c r="U638" s="79"/>
      <c r="AE638" s="79"/>
      <c r="AF638" s="82"/>
      <c r="AG638" s="82"/>
      <c r="AH638" s="82"/>
      <c r="AI638" s="82"/>
      <c r="AJ638" s="82"/>
      <c r="AK638" s="82"/>
      <c r="AL638" s="82"/>
      <c r="AM638" s="82"/>
      <c r="AN638" s="82"/>
      <c r="AO638" s="81"/>
      <c r="AP638" s="82"/>
      <c r="AQ638" s="82"/>
      <c r="AR638" s="82"/>
      <c r="AS638" s="82"/>
      <c r="AT638" s="82"/>
      <c r="AU638" s="82"/>
      <c r="AV638" s="82"/>
      <c r="AW638" s="82"/>
      <c r="AX638" s="82"/>
      <c r="AY638" s="81"/>
      <c r="AZ638" s="82"/>
      <c r="BA638" s="82"/>
      <c r="BB638" s="82"/>
      <c r="BC638" s="82"/>
      <c r="BD638" s="82"/>
      <c r="BE638" s="82"/>
      <c r="BF638" s="82"/>
      <c r="BG638" s="82"/>
      <c r="BH638" s="82"/>
      <c r="BI638" s="82"/>
    </row>
    <row r="639">
      <c r="K639" s="79"/>
      <c r="U639" s="79"/>
      <c r="AE639" s="79"/>
      <c r="AF639" s="82"/>
      <c r="AG639" s="82"/>
      <c r="AH639" s="82"/>
      <c r="AI639" s="82"/>
      <c r="AJ639" s="82"/>
      <c r="AK639" s="82"/>
      <c r="AL639" s="82"/>
      <c r="AM639" s="82"/>
      <c r="AN639" s="82"/>
      <c r="AO639" s="81"/>
      <c r="AP639" s="82"/>
      <c r="AQ639" s="82"/>
      <c r="AR639" s="82"/>
      <c r="AS639" s="82"/>
      <c r="AT639" s="82"/>
      <c r="AU639" s="82"/>
      <c r="AV639" s="82"/>
      <c r="AW639" s="82"/>
      <c r="AX639" s="82"/>
      <c r="AY639" s="81"/>
      <c r="AZ639" s="82"/>
      <c r="BA639" s="82"/>
      <c r="BB639" s="82"/>
      <c r="BC639" s="82"/>
      <c r="BD639" s="82"/>
      <c r="BE639" s="82"/>
      <c r="BF639" s="82"/>
      <c r="BG639" s="82"/>
      <c r="BH639" s="82"/>
      <c r="BI639" s="82"/>
    </row>
    <row r="640">
      <c r="K640" s="79"/>
      <c r="U640" s="79"/>
      <c r="AE640" s="79"/>
      <c r="AF640" s="82"/>
      <c r="AG640" s="82"/>
      <c r="AH640" s="82"/>
      <c r="AI640" s="82"/>
      <c r="AJ640" s="82"/>
      <c r="AK640" s="82"/>
      <c r="AL640" s="82"/>
      <c r="AM640" s="82"/>
      <c r="AN640" s="82"/>
      <c r="AO640" s="81"/>
      <c r="AP640" s="82"/>
      <c r="AQ640" s="82"/>
      <c r="AR640" s="82"/>
      <c r="AS640" s="82"/>
      <c r="AT640" s="82"/>
      <c r="AU640" s="82"/>
      <c r="AV640" s="82"/>
      <c r="AW640" s="82"/>
      <c r="AX640" s="82"/>
      <c r="AY640" s="81"/>
      <c r="AZ640" s="82"/>
      <c r="BA640" s="82"/>
      <c r="BB640" s="82"/>
      <c r="BC640" s="82"/>
      <c r="BD640" s="82"/>
      <c r="BE640" s="82"/>
      <c r="BF640" s="82"/>
      <c r="BG640" s="82"/>
      <c r="BH640" s="82"/>
      <c r="BI640" s="82"/>
    </row>
    <row r="641">
      <c r="K641" s="79"/>
      <c r="U641" s="79"/>
      <c r="AE641" s="79"/>
      <c r="AF641" s="82"/>
      <c r="AG641" s="82"/>
      <c r="AH641" s="82"/>
      <c r="AI641" s="82"/>
      <c r="AJ641" s="82"/>
      <c r="AK641" s="82"/>
      <c r="AL641" s="82"/>
      <c r="AM641" s="82"/>
      <c r="AN641" s="82"/>
      <c r="AO641" s="81"/>
      <c r="AP641" s="82"/>
      <c r="AQ641" s="82"/>
      <c r="AR641" s="82"/>
      <c r="AS641" s="82"/>
      <c r="AT641" s="82"/>
      <c r="AU641" s="82"/>
      <c r="AV641" s="82"/>
      <c r="AW641" s="82"/>
      <c r="AX641" s="82"/>
      <c r="AY641" s="81"/>
      <c r="AZ641" s="82"/>
      <c r="BA641" s="82"/>
      <c r="BB641" s="82"/>
      <c r="BC641" s="82"/>
      <c r="BD641" s="82"/>
      <c r="BE641" s="82"/>
      <c r="BF641" s="82"/>
      <c r="BG641" s="82"/>
      <c r="BH641" s="82"/>
      <c r="BI641" s="82"/>
    </row>
    <row r="642">
      <c r="K642" s="79"/>
      <c r="U642" s="79"/>
      <c r="AE642" s="79"/>
      <c r="AF642" s="82"/>
      <c r="AG642" s="82"/>
      <c r="AH642" s="82"/>
      <c r="AI642" s="82"/>
      <c r="AJ642" s="82"/>
      <c r="AK642" s="82"/>
      <c r="AL642" s="82"/>
      <c r="AM642" s="82"/>
      <c r="AN642" s="82"/>
      <c r="AO642" s="81"/>
      <c r="AP642" s="82"/>
      <c r="AQ642" s="82"/>
      <c r="AR642" s="82"/>
      <c r="AS642" s="82"/>
      <c r="AT642" s="82"/>
      <c r="AU642" s="82"/>
      <c r="AV642" s="82"/>
      <c r="AW642" s="82"/>
      <c r="AX642" s="82"/>
      <c r="AY642" s="81"/>
      <c r="AZ642" s="82"/>
      <c r="BA642" s="82"/>
      <c r="BB642" s="82"/>
      <c r="BC642" s="82"/>
      <c r="BD642" s="82"/>
      <c r="BE642" s="82"/>
      <c r="BF642" s="82"/>
      <c r="BG642" s="82"/>
      <c r="BH642" s="82"/>
      <c r="BI642" s="82"/>
    </row>
    <row r="643">
      <c r="K643" s="79"/>
      <c r="U643" s="79"/>
      <c r="AE643" s="79"/>
      <c r="AF643" s="82"/>
      <c r="AG643" s="82"/>
      <c r="AH643" s="82"/>
      <c r="AI643" s="82"/>
      <c r="AJ643" s="82"/>
      <c r="AK643" s="82"/>
      <c r="AL643" s="82"/>
      <c r="AM643" s="82"/>
      <c r="AN643" s="82"/>
      <c r="AO643" s="81"/>
      <c r="AP643" s="82"/>
      <c r="AQ643" s="82"/>
      <c r="AR643" s="82"/>
      <c r="AS643" s="82"/>
      <c r="AT643" s="82"/>
      <c r="AU643" s="82"/>
      <c r="AV643" s="82"/>
      <c r="AW643" s="82"/>
      <c r="AX643" s="82"/>
      <c r="AY643" s="81"/>
      <c r="AZ643" s="82"/>
      <c r="BA643" s="82"/>
      <c r="BB643" s="82"/>
      <c r="BC643" s="82"/>
      <c r="BD643" s="82"/>
      <c r="BE643" s="82"/>
      <c r="BF643" s="82"/>
      <c r="BG643" s="82"/>
      <c r="BH643" s="82"/>
      <c r="BI643" s="82"/>
    </row>
    <row r="644">
      <c r="K644" s="79"/>
      <c r="U644" s="79"/>
      <c r="AE644" s="79"/>
      <c r="AF644" s="82"/>
      <c r="AG644" s="82"/>
      <c r="AH644" s="82"/>
      <c r="AI644" s="82"/>
      <c r="AJ644" s="82"/>
      <c r="AK644" s="82"/>
      <c r="AL644" s="82"/>
      <c r="AM644" s="82"/>
      <c r="AN644" s="82"/>
      <c r="AO644" s="81"/>
      <c r="AP644" s="82"/>
      <c r="AQ644" s="82"/>
      <c r="AR644" s="82"/>
      <c r="AS644" s="82"/>
      <c r="AT644" s="82"/>
      <c r="AU644" s="82"/>
      <c r="AV644" s="82"/>
      <c r="AW644" s="82"/>
      <c r="AX644" s="82"/>
      <c r="AY644" s="81"/>
      <c r="AZ644" s="82"/>
      <c r="BA644" s="82"/>
      <c r="BB644" s="82"/>
      <c r="BC644" s="82"/>
      <c r="BD644" s="82"/>
      <c r="BE644" s="82"/>
      <c r="BF644" s="82"/>
      <c r="BG644" s="82"/>
      <c r="BH644" s="82"/>
      <c r="BI644" s="82"/>
    </row>
    <row r="645">
      <c r="K645" s="79"/>
      <c r="U645" s="79"/>
      <c r="AE645" s="79"/>
      <c r="AF645" s="82"/>
      <c r="AG645" s="82"/>
      <c r="AH645" s="82"/>
      <c r="AI645" s="82"/>
      <c r="AJ645" s="82"/>
      <c r="AK645" s="82"/>
      <c r="AL645" s="82"/>
      <c r="AM645" s="82"/>
      <c r="AN645" s="82"/>
      <c r="AO645" s="81"/>
      <c r="AP645" s="82"/>
      <c r="AQ645" s="82"/>
      <c r="AR645" s="82"/>
      <c r="AS645" s="82"/>
      <c r="AT645" s="82"/>
      <c r="AU645" s="82"/>
      <c r="AV645" s="82"/>
      <c r="AW645" s="82"/>
      <c r="AX645" s="82"/>
      <c r="AY645" s="81"/>
      <c r="AZ645" s="82"/>
      <c r="BA645" s="82"/>
      <c r="BB645" s="82"/>
      <c r="BC645" s="82"/>
      <c r="BD645" s="82"/>
      <c r="BE645" s="82"/>
      <c r="BF645" s="82"/>
      <c r="BG645" s="82"/>
      <c r="BH645" s="82"/>
      <c r="BI645" s="82"/>
    </row>
    <row r="646">
      <c r="K646" s="79"/>
      <c r="U646" s="79"/>
      <c r="AE646" s="79"/>
      <c r="AF646" s="82"/>
      <c r="AG646" s="82"/>
      <c r="AH646" s="82"/>
      <c r="AI646" s="82"/>
      <c r="AJ646" s="82"/>
      <c r="AK646" s="82"/>
      <c r="AL646" s="82"/>
      <c r="AM646" s="82"/>
      <c r="AN646" s="82"/>
      <c r="AO646" s="81"/>
      <c r="AP646" s="82"/>
      <c r="AQ646" s="82"/>
      <c r="AR646" s="82"/>
      <c r="AS646" s="82"/>
      <c r="AT646" s="82"/>
      <c r="AU646" s="82"/>
      <c r="AV646" s="82"/>
      <c r="AW646" s="82"/>
      <c r="AX646" s="82"/>
      <c r="AY646" s="81"/>
      <c r="AZ646" s="82"/>
      <c r="BA646" s="82"/>
      <c r="BB646" s="82"/>
      <c r="BC646" s="82"/>
      <c r="BD646" s="82"/>
      <c r="BE646" s="82"/>
      <c r="BF646" s="82"/>
      <c r="BG646" s="82"/>
      <c r="BH646" s="82"/>
      <c r="BI646" s="82"/>
    </row>
    <row r="647">
      <c r="K647" s="79"/>
      <c r="U647" s="79"/>
      <c r="AE647" s="79"/>
      <c r="AF647" s="82"/>
      <c r="AG647" s="82"/>
      <c r="AH647" s="82"/>
      <c r="AI647" s="82"/>
      <c r="AJ647" s="82"/>
      <c r="AK647" s="82"/>
      <c r="AL647" s="82"/>
      <c r="AM647" s="82"/>
      <c r="AN647" s="82"/>
      <c r="AO647" s="81"/>
      <c r="AP647" s="82"/>
      <c r="AQ647" s="82"/>
      <c r="AR647" s="82"/>
      <c r="AS647" s="82"/>
      <c r="AT647" s="82"/>
      <c r="AU647" s="82"/>
      <c r="AV647" s="82"/>
      <c r="AW647" s="82"/>
      <c r="AX647" s="82"/>
      <c r="AY647" s="81"/>
      <c r="AZ647" s="82"/>
      <c r="BA647" s="82"/>
      <c r="BB647" s="82"/>
      <c r="BC647" s="82"/>
      <c r="BD647" s="82"/>
      <c r="BE647" s="82"/>
      <c r="BF647" s="82"/>
      <c r="BG647" s="82"/>
      <c r="BH647" s="82"/>
      <c r="BI647" s="82"/>
    </row>
    <row r="648">
      <c r="K648" s="79"/>
      <c r="U648" s="79"/>
      <c r="AE648" s="79"/>
      <c r="AF648" s="82"/>
      <c r="AG648" s="82"/>
      <c r="AH648" s="82"/>
      <c r="AI648" s="82"/>
      <c r="AJ648" s="82"/>
      <c r="AK648" s="82"/>
      <c r="AL648" s="82"/>
      <c r="AM648" s="82"/>
      <c r="AN648" s="82"/>
      <c r="AO648" s="81"/>
      <c r="AP648" s="82"/>
      <c r="AQ648" s="82"/>
      <c r="AR648" s="82"/>
      <c r="AS648" s="82"/>
      <c r="AT648" s="82"/>
      <c r="AU648" s="82"/>
      <c r="AV648" s="82"/>
      <c r="AW648" s="82"/>
      <c r="AX648" s="82"/>
      <c r="AY648" s="81"/>
      <c r="AZ648" s="82"/>
      <c r="BA648" s="82"/>
      <c r="BB648" s="82"/>
      <c r="BC648" s="82"/>
      <c r="BD648" s="82"/>
      <c r="BE648" s="82"/>
      <c r="BF648" s="82"/>
      <c r="BG648" s="82"/>
      <c r="BH648" s="82"/>
      <c r="BI648" s="82"/>
    </row>
    <row r="649">
      <c r="K649" s="79"/>
      <c r="U649" s="79"/>
      <c r="AE649" s="79"/>
      <c r="AF649" s="82"/>
      <c r="AG649" s="82"/>
      <c r="AH649" s="82"/>
      <c r="AI649" s="82"/>
      <c r="AJ649" s="82"/>
      <c r="AK649" s="82"/>
      <c r="AL649" s="82"/>
      <c r="AM649" s="82"/>
      <c r="AN649" s="82"/>
      <c r="AO649" s="81"/>
      <c r="AP649" s="82"/>
      <c r="AQ649" s="82"/>
      <c r="AR649" s="82"/>
      <c r="AS649" s="82"/>
      <c r="AT649" s="82"/>
      <c r="AU649" s="82"/>
      <c r="AV649" s="82"/>
      <c r="AW649" s="82"/>
      <c r="AX649" s="82"/>
      <c r="AY649" s="81"/>
      <c r="AZ649" s="82"/>
      <c r="BA649" s="82"/>
      <c r="BB649" s="82"/>
      <c r="BC649" s="82"/>
      <c r="BD649" s="82"/>
      <c r="BE649" s="82"/>
      <c r="BF649" s="82"/>
      <c r="BG649" s="82"/>
      <c r="BH649" s="82"/>
      <c r="BI649" s="82"/>
    </row>
    <row r="650">
      <c r="K650" s="79"/>
      <c r="U650" s="79"/>
      <c r="AE650" s="79"/>
      <c r="AF650" s="82"/>
      <c r="AG650" s="82"/>
      <c r="AH650" s="82"/>
      <c r="AI650" s="82"/>
      <c r="AJ650" s="82"/>
      <c r="AK650" s="82"/>
      <c r="AL650" s="82"/>
      <c r="AM650" s="82"/>
      <c r="AN650" s="82"/>
      <c r="AO650" s="81"/>
      <c r="AP650" s="82"/>
      <c r="AQ650" s="82"/>
      <c r="AR650" s="82"/>
      <c r="AS650" s="82"/>
      <c r="AT650" s="82"/>
      <c r="AU650" s="82"/>
      <c r="AV650" s="82"/>
      <c r="AW650" s="82"/>
      <c r="AX650" s="82"/>
      <c r="AY650" s="81"/>
      <c r="AZ650" s="82"/>
      <c r="BA650" s="82"/>
      <c r="BB650" s="82"/>
      <c r="BC650" s="82"/>
      <c r="BD650" s="82"/>
      <c r="BE650" s="82"/>
      <c r="BF650" s="82"/>
      <c r="BG650" s="82"/>
      <c r="BH650" s="82"/>
      <c r="BI650" s="82"/>
    </row>
    <row r="651">
      <c r="K651" s="79"/>
      <c r="U651" s="79"/>
      <c r="AE651" s="79"/>
      <c r="AF651" s="82"/>
      <c r="AG651" s="82"/>
      <c r="AH651" s="82"/>
      <c r="AI651" s="82"/>
      <c r="AJ651" s="82"/>
      <c r="AK651" s="82"/>
      <c r="AL651" s="82"/>
      <c r="AM651" s="82"/>
      <c r="AN651" s="82"/>
      <c r="AO651" s="81"/>
      <c r="AP651" s="82"/>
      <c r="AQ651" s="82"/>
      <c r="AR651" s="82"/>
      <c r="AS651" s="82"/>
      <c r="AT651" s="82"/>
      <c r="AU651" s="82"/>
      <c r="AV651" s="82"/>
      <c r="AW651" s="82"/>
      <c r="AX651" s="82"/>
      <c r="AY651" s="81"/>
      <c r="AZ651" s="82"/>
      <c r="BA651" s="82"/>
      <c r="BB651" s="82"/>
      <c r="BC651" s="82"/>
      <c r="BD651" s="82"/>
      <c r="BE651" s="82"/>
      <c r="BF651" s="82"/>
      <c r="BG651" s="82"/>
      <c r="BH651" s="82"/>
      <c r="BI651" s="82"/>
    </row>
    <row r="652">
      <c r="K652" s="79"/>
      <c r="U652" s="79"/>
      <c r="AE652" s="79"/>
      <c r="AF652" s="82"/>
      <c r="AG652" s="82"/>
      <c r="AH652" s="82"/>
      <c r="AI652" s="82"/>
      <c r="AJ652" s="82"/>
      <c r="AK652" s="82"/>
      <c r="AL652" s="82"/>
      <c r="AM652" s="82"/>
      <c r="AN652" s="82"/>
      <c r="AO652" s="81"/>
      <c r="AP652" s="82"/>
      <c r="AQ652" s="82"/>
      <c r="AR652" s="82"/>
      <c r="AS652" s="82"/>
      <c r="AT652" s="82"/>
      <c r="AU652" s="82"/>
      <c r="AV652" s="82"/>
      <c r="AW652" s="82"/>
      <c r="AX652" s="82"/>
      <c r="AY652" s="81"/>
      <c r="AZ652" s="82"/>
      <c r="BA652" s="82"/>
      <c r="BB652" s="82"/>
      <c r="BC652" s="82"/>
      <c r="BD652" s="82"/>
      <c r="BE652" s="82"/>
      <c r="BF652" s="82"/>
      <c r="BG652" s="82"/>
      <c r="BH652" s="82"/>
      <c r="BI652" s="82"/>
    </row>
    <row r="653">
      <c r="K653" s="79"/>
      <c r="U653" s="79"/>
      <c r="AE653" s="79"/>
      <c r="AF653" s="82"/>
      <c r="AG653" s="82"/>
      <c r="AH653" s="82"/>
      <c r="AI653" s="82"/>
      <c r="AJ653" s="82"/>
      <c r="AK653" s="82"/>
      <c r="AL653" s="82"/>
      <c r="AM653" s="82"/>
      <c r="AN653" s="82"/>
      <c r="AO653" s="81"/>
      <c r="AP653" s="82"/>
      <c r="AQ653" s="82"/>
      <c r="AR653" s="82"/>
      <c r="AS653" s="82"/>
      <c r="AT653" s="82"/>
      <c r="AU653" s="82"/>
      <c r="AV653" s="82"/>
      <c r="AW653" s="82"/>
      <c r="AX653" s="82"/>
      <c r="AY653" s="81"/>
      <c r="AZ653" s="82"/>
      <c r="BA653" s="82"/>
      <c r="BB653" s="82"/>
      <c r="BC653" s="82"/>
      <c r="BD653" s="82"/>
      <c r="BE653" s="82"/>
      <c r="BF653" s="82"/>
      <c r="BG653" s="82"/>
      <c r="BH653" s="82"/>
      <c r="BI653" s="82"/>
    </row>
    <row r="654">
      <c r="K654" s="79"/>
      <c r="U654" s="79"/>
      <c r="AE654" s="79"/>
      <c r="AF654" s="82"/>
      <c r="AG654" s="82"/>
      <c r="AH654" s="82"/>
      <c r="AI654" s="82"/>
      <c r="AJ654" s="82"/>
      <c r="AK654" s="82"/>
      <c r="AL654" s="82"/>
      <c r="AM654" s="82"/>
      <c r="AN654" s="82"/>
      <c r="AO654" s="81"/>
      <c r="AP654" s="82"/>
      <c r="AQ654" s="82"/>
      <c r="AR654" s="82"/>
      <c r="AS654" s="82"/>
      <c r="AT654" s="82"/>
      <c r="AU654" s="82"/>
      <c r="AV654" s="82"/>
      <c r="AW654" s="82"/>
      <c r="AX654" s="82"/>
      <c r="AY654" s="81"/>
      <c r="AZ654" s="82"/>
      <c r="BA654" s="82"/>
      <c r="BB654" s="82"/>
      <c r="BC654" s="82"/>
      <c r="BD654" s="82"/>
      <c r="BE654" s="82"/>
      <c r="BF654" s="82"/>
      <c r="BG654" s="82"/>
      <c r="BH654" s="82"/>
      <c r="BI654" s="82"/>
    </row>
    <row r="655">
      <c r="K655" s="79"/>
      <c r="U655" s="79"/>
      <c r="AE655" s="79"/>
      <c r="AF655" s="82"/>
      <c r="AG655" s="82"/>
      <c r="AH655" s="82"/>
      <c r="AI655" s="82"/>
      <c r="AJ655" s="82"/>
      <c r="AK655" s="82"/>
      <c r="AL655" s="82"/>
      <c r="AM655" s="82"/>
      <c r="AN655" s="82"/>
      <c r="AO655" s="81"/>
      <c r="AP655" s="82"/>
      <c r="AQ655" s="82"/>
      <c r="AR655" s="82"/>
      <c r="AS655" s="82"/>
      <c r="AT655" s="82"/>
      <c r="AU655" s="82"/>
      <c r="AV655" s="82"/>
      <c r="AW655" s="82"/>
      <c r="AX655" s="82"/>
      <c r="AY655" s="81"/>
      <c r="AZ655" s="82"/>
      <c r="BA655" s="82"/>
      <c r="BB655" s="82"/>
      <c r="BC655" s="82"/>
      <c r="BD655" s="82"/>
      <c r="BE655" s="82"/>
      <c r="BF655" s="82"/>
      <c r="BG655" s="82"/>
      <c r="BH655" s="82"/>
      <c r="BI655" s="82"/>
    </row>
    <row r="656">
      <c r="K656" s="79"/>
      <c r="U656" s="79"/>
      <c r="AE656" s="79"/>
      <c r="AF656" s="82"/>
      <c r="AG656" s="82"/>
      <c r="AH656" s="82"/>
      <c r="AI656" s="82"/>
      <c r="AJ656" s="82"/>
      <c r="AK656" s="82"/>
      <c r="AL656" s="82"/>
      <c r="AM656" s="82"/>
      <c r="AN656" s="82"/>
      <c r="AO656" s="81"/>
      <c r="AP656" s="82"/>
      <c r="AQ656" s="82"/>
      <c r="AR656" s="82"/>
      <c r="AS656" s="82"/>
      <c r="AT656" s="82"/>
      <c r="AU656" s="82"/>
      <c r="AV656" s="82"/>
      <c r="AW656" s="82"/>
      <c r="AX656" s="82"/>
      <c r="AY656" s="81"/>
      <c r="AZ656" s="82"/>
      <c r="BA656" s="82"/>
      <c r="BB656" s="82"/>
      <c r="BC656" s="82"/>
      <c r="BD656" s="82"/>
      <c r="BE656" s="82"/>
      <c r="BF656" s="82"/>
      <c r="BG656" s="82"/>
      <c r="BH656" s="82"/>
      <c r="BI656" s="82"/>
    </row>
    <row r="657">
      <c r="K657" s="79"/>
      <c r="U657" s="79"/>
      <c r="AE657" s="79"/>
      <c r="AF657" s="82"/>
      <c r="AG657" s="82"/>
      <c r="AH657" s="82"/>
      <c r="AI657" s="82"/>
      <c r="AJ657" s="82"/>
      <c r="AK657" s="82"/>
      <c r="AL657" s="82"/>
      <c r="AM657" s="82"/>
      <c r="AN657" s="82"/>
      <c r="AO657" s="81"/>
      <c r="AP657" s="82"/>
      <c r="AQ657" s="82"/>
      <c r="AR657" s="82"/>
      <c r="AS657" s="82"/>
      <c r="AT657" s="82"/>
      <c r="AU657" s="82"/>
      <c r="AV657" s="82"/>
      <c r="AW657" s="82"/>
      <c r="AX657" s="82"/>
      <c r="AY657" s="81"/>
      <c r="AZ657" s="82"/>
      <c r="BA657" s="82"/>
      <c r="BB657" s="82"/>
      <c r="BC657" s="82"/>
      <c r="BD657" s="82"/>
      <c r="BE657" s="82"/>
      <c r="BF657" s="82"/>
      <c r="BG657" s="82"/>
      <c r="BH657" s="82"/>
      <c r="BI657" s="82"/>
    </row>
    <row r="658">
      <c r="K658" s="79"/>
      <c r="U658" s="79"/>
      <c r="AE658" s="79"/>
      <c r="AF658" s="82"/>
      <c r="AG658" s="82"/>
      <c r="AH658" s="82"/>
      <c r="AI658" s="82"/>
      <c r="AJ658" s="82"/>
      <c r="AK658" s="82"/>
      <c r="AL658" s="82"/>
      <c r="AM658" s="82"/>
      <c r="AN658" s="82"/>
      <c r="AO658" s="81"/>
      <c r="AP658" s="82"/>
      <c r="AQ658" s="82"/>
      <c r="AR658" s="82"/>
      <c r="AS658" s="82"/>
      <c r="AT658" s="82"/>
      <c r="AU658" s="82"/>
      <c r="AV658" s="82"/>
      <c r="AW658" s="82"/>
      <c r="AX658" s="82"/>
      <c r="AY658" s="81"/>
      <c r="AZ658" s="82"/>
      <c r="BA658" s="82"/>
      <c r="BB658" s="82"/>
      <c r="BC658" s="82"/>
      <c r="BD658" s="82"/>
      <c r="BE658" s="82"/>
      <c r="BF658" s="82"/>
      <c r="BG658" s="82"/>
      <c r="BH658" s="82"/>
      <c r="BI658" s="82"/>
    </row>
    <row r="659">
      <c r="K659" s="79"/>
      <c r="U659" s="79"/>
      <c r="AE659" s="79"/>
      <c r="AF659" s="82"/>
      <c r="AG659" s="82"/>
      <c r="AH659" s="82"/>
      <c r="AI659" s="82"/>
      <c r="AJ659" s="82"/>
      <c r="AK659" s="82"/>
      <c r="AL659" s="82"/>
      <c r="AM659" s="82"/>
      <c r="AN659" s="82"/>
      <c r="AO659" s="81"/>
      <c r="AP659" s="82"/>
      <c r="AQ659" s="82"/>
      <c r="AR659" s="82"/>
      <c r="AS659" s="82"/>
      <c r="AT659" s="82"/>
      <c r="AU659" s="82"/>
      <c r="AV659" s="82"/>
      <c r="AW659" s="82"/>
      <c r="AX659" s="82"/>
      <c r="AY659" s="81"/>
      <c r="AZ659" s="82"/>
      <c r="BA659" s="82"/>
      <c r="BB659" s="82"/>
      <c r="BC659" s="82"/>
      <c r="BD659" s="82"/>
      <c r="BE659" s="82"/>
      <c r="BF659" s="82"/>
      <c r="BG659" s="82"/>
      <c r="BH659" s="82"/>
      <c r="BI659" s="82"/>
    </row>
    <row r="660">
      <c r="K660" s="79"/>
      <c r="U660" s="79"/>
      <c r="AE660" s="79"/>
      <c r="AF660" s="82"/>
      <c r="AG660" s="82"/>
      <c r="AH660" s="82"/>
      <c r="AI660" s="82"/>
      <c r="AJ660" s="82"/>
      <c r="AK660" s="82"/>
      <c r="AL660" s="82"/>
      <c r="AM660" s="82"/>
      <c r="AN660" s="82"/>
      <c r="AO660" s="81"/>
      <c r="AP660" s="82"/>
      <c r="AQ660" s="82"/>
      <c r="AR660" s="82"/>
      <c r="AS660" s="82"/>
      <c r="AT660" s="82"/>
      <c r="AU660" s="82"/>
      <c r="AV660" s="82"/>
      <c r="AW660" s="82"/>
      <c r="AX660" s="82"/>
      <c r="AY660" s="81"/>
      <c r="AZ660" s="82"/>
      <c r="BA660" s="82"/>
      <c r="BB660" s="82"/>
      <c r="BC660" s="82"/>
      <c r="BD660" s="82"/>
      <c r="BE660" s="82"/>
      <c r="BF660" s="82"/>
      <c r="BG660" s="82"/>
      <c r="BH660" s="82"/>
      <c r="BI660" s="82"/>
    </row>
    <row r="661">
      <c r="K661" s="79"/>
      <c r="U661" s="79"/>
      <c r="AE661" s="79"/>
      <c r="AF661" s="82"/>
      <c r="AG661" s="82"/>
      <c r="AH661" s="82"/>
      <c r="AI661" s="82"/>
      <c r="AJ661" s="82"/>
      <c r="AK661" s="82"/>
      <c r="AL661" s="82"/>
      <c r="AM661" s="82"/>
      <c r="AN661" s="82"/>
      <c r="AO661" s="81"/>
      <c r="AP661" s="82"/>
      <c r="AQ661" s="82"/>
      <c r="AR661" s="82"/>
      <c r="AS661" s="82"/>
      <c r="AT661" s="82"/>
      <c r="AU661" s="82"/>
      <c r="AV661" s="82"/>
      <c r="AW661" s="82"/>
      <c r="AX661" s="82"/>
      <c r="AY661" s="81"/>
      <c r="AZ661" s="82"/>
      <c r="BA661" s="82"/>
      <c r="BB661" s="82"/>
      <c r="BC661" s="82"/>
      <c r="BD661" s="82"/>
      <c r="BE661" s="82"/>
      <c r="BF661" s="82"/>
      <c r="BG661" s="82"/>
      <c r="BH661" s="82"/>
      <c r="BI661" s="82"/>
    </row>
    <row r="662">
      <c r="K662" s="79"/>
      <c r="U662" s="79"/>
      <c r="AE662" s="79"/>
      <c r="AF662" s="82"/>
      <c r="AG662" s="82"/>
      <c r="AH662" s="82"/>
      <c r="AI662" s="82"/>
      <c r="AJ662" s="82"/>
      <c r="AK662" s="82"/>
      <c r="AL662" s="82"/>
      <c r="AM662" s="82"/>
      <c r="AN662" s="82"/>
      <c r="AO662" s="81"/>
      <c r="AP662" s="82"/>
      <c r="AQ662" s="82"/>
      <c r="AR662" s="82"/>
      <c r="AS662" s="82"/>
      <c r="AT662" s="82"/>
      <c r="AU662" s="82"/>
      <c r="AV662" s="82"/>
      <c r="AW662" s="82"/>
      <c r="AX662" s="82"/>
      <c r="AY662" s="81"/>
      <c r="AZ662" s="82"/>
      <c r="BA662" s="82"/>
      <c r="BB662" s="82"/>
      <c r="BC662" s="82"/>
      <c r="BD662" s="82"/>
      <c r="BE662" s="82"/>
      <c r="BF662" s="82"/>
      <c r="BG662" s="82"/>
      <c r="BH662" s="82"/>
      <c r="BI662" s="82"/>
    </row>
    <row r="663">
      <c r="K663" s="79"/>
      <c r="U663" s="79"/>
      <c r="AE663" s="79"/>
      <c r="AF663" s="82"/>
      <c r="AG663" s="82"/>
      <c r="AH663" s="82"/>
      <c r="AI663" s="82"/>
      <c r="AJ663" s="82"/>
      <c r="AK663" s="82"/>
      <c r="AL663" s="82"/>
      <c r="AM663" s="82"/>
      <c r="AN663" s="82"/>
      <c r="AO663" s="81"/>
      <c r="AP663" s="82"/>
      <c r="AQ663" s="82"/>
      <c r="AR663" s="82"/>
      <c r="AS663" s="82"/>
      <c r="AT663" s="82"/>
      <c r="AU663" s="82"/>
      <c r="AV663" s="82"/>
      <c r="AW663" s="82"/>
      <c r="AX663" s="82"/>
      <c r="AY663" s="81"/>
      <c r="AZ663" s="82"/>
      <c r="BA663" s="82"/>
      <c r="BB663" s="82"/>
      <c r="BC663" s="82"/>
      <c r="BD663" s="82"/>
      <c r="BE663" s="82"/>
      <c r="BF663" s="82"/>
      <c r="BG663" s="82"/>
      <c r="BH663" s="82"/>
      <c r="BI663" s="82"/>
    </row>
    <row r="664">
      <c r="K664" s="79"/>
      <c r="U664" s="79"/>
      <c r="AE664" s="79"/>
      <c r="AF664" s="82"/>
      <c r="AG664" s="82"/>
      <c r="AH664" s="82"/>
      <c r="AI664" s="82"/>
      <c r="AJ664" s="82"/>
      <c r="AK664" s="82"/>
      <c r="AL664" s="82"/>
      <c r="AM664" s="82"/>
      <c r="AN664" s="82"/>
      <c r="AO664" s="81"/>
      <c r="AP664" s="82"/>
      <c r="AQ664" s="82"/>
      <c r="AR664" s="82"/>
      <c r="AS664" s="82"/>
      <c r="AT664" s="82"/>
      <c r="AU664" s="82"/>
      <c r="AV664" s="82"/>
      <c r="AW664" s="82"/>
      <c r="AX664" s="82"/>
      <c r="AY664" s="81"/>
      <c r="AZ664" s="82"/>
      <c r="BA664" s="82"/>
      <c r="BB664" s="82"/>
      <c r="BC664" s="82"/>
      <c r="BD664" s="82"/>
      <c r="BE664" s="82"/>
      <c r="BF664" s="82"/>
      <c r="BG664" s="82"/>
      <c r="BH664" s="82"/>
      <c r="BI664" s="82"/>
    </row>
    <row r="665">
      <c r="K665" s="79"/>
      <c r="U665" s="79"/>
      <c r="AE665" s="79"/>
      <c r="AF665" s="82"/>
      <c r="AG665" s="82"/>
      <c r="AH665" s="82"/>
      <c r="AI665" s="82"/>
      <c r="AJ665" s="82"/>
      <c r="AK665" s="82"/>
      <c r="AL665" s="82"/>
      <c r="AM665" s="82"/>
      <c r="AN665" s="82"/>
      <c r="AO665" s="81"/>
      <c r="AP665" s="82"/>
      <c r="AQ665" s="82"/>
      <c r="AR665" s="82"/>
      <c r="AS665" s="82"/>
      <c r="AT665" s="82"/>
      <c r="AU665" s="82"/>
      <c r="AV665" s="82"/>
      <c r="AW665" s="82"/>
      <c r="AX665" s="82"/>
      <c r="AY665" s="81"/>
      <c r="AZ665" s="82"/>
      <c r="BA665" s="82"/>
      <c r="BB665" s="82"/>
      <c r="BC665" s="82"/>
      <c r="BD665" s="82"/>
      <c r="BE665" s="82"/>
      <c r="BF665" s="82"/>
      <c r="BG665" s="82"/>
      <c r="BH665" s="82"/>
      <c r="BI665" s="82"/>
    </row>
    <row r="666">
      <c r="K666" s="79"/>
      <c r="U666" s="79"/>
      <c r="AE666" s="79"/>
      <c r="AF666" s="82"/>
      <c r="AG666" s="82"/>
      <c r="AH666" s="82"/>
      <c r="AI666" s="82"/>
      <c r="AJ666" s="82"/>
      <c r="AK666" s="82"/>
      <c r="AL666" s="82"/>
      <c r="AM666" s="82"/>
      <c r="AN666" s="82"/>
      <c r="AO666" s="81"/>
      <c r="AP666" s="82"/>
      <c r="AQ666" s="82"/>
      <c r="AR666" s="82"/>
      <c r="AS666" s="82"/>
      <c r="AT666" s="82"/>
      <c r="AU666" s="82"/>
      <c r="AV666" s="82"/>
      <c r="AW666" s="82"/>
      <c r="AX666" s="82"/>
      <c r="AY666" s="81"/>
      <c r="AZ666" s="82"/>
      <c r="BA666" s="82"/>
      <c r="BB666" s="82"/>
      <c r="BC666" s="82"/>
      <c r="BD666" s="82"/>
      <c r="BE666" s="82"/>
      <c r="BF666" s="82"/>
      <c r="BG666" s="82"/>
      <c r="BH666" s="82"/>
      <c r="BI666" s="82"/>
    </row>
    <row r="667">
      <c r="K667" s="79"/>
      <c r="U667" s="79"/>
      <c r="AE667" s="79"/>
      <c r="AF667" s="82"/>
      <c r="AG667" s="82"/>
      <c r="AH667" s="82"/>
      <c r="AI667" s="82"/>
      <c r="AJ667" s="82"/>
      <c r="AK667" s="82"/>
      <c r="AL667" s="82"/>
      <c r="AM667" s="82"/>
      <c r="AN667" s="82"/>
      <c r="AO667" s="81"/>
      <c r="AP667" s="82"/>
      <c r="AQ667" s="82"/>
      <c r="AR667" s="82"/>
      <c r="AS667" s="82"/>
      <c r="AT667" s="82"/>
      <c r="AU667" s="82"/>
      <c r="AV667" s="82"/>
      <c r="AW667" s="82"/>
      <c r="AX667" s="82"/>
      <c r="AY667" s="81"/>
      <c r="AZ667" s="82"/>
      <c r="BA667" s="82"/>
      <c r="BB667" s="82"/>
      <c r="BC667" s="82"/>
      <c r="BD667" s="82"/>
      <c r="BE667" s="82"/>
      <c r="BF667" s="82"/>
      <c r="BG667" s="82"/>
      <c r="BH667" s="82"/>
      <c r="BI667" s="82"/>
    </row>
    <row r="668">
      <c r="K668" s="79"/>
      <c r="U668" s="79"/>
      <c r="AE668" s="79"/>
      <c r="AF668" s="82"/>
      <c r="AG668" s="82"/>
      <c r="AH668" s="82"/>
      <c r="AI668" s="82"/>
      <c r="AJ668" s="82"/>
      <c r="AK668" s="82"/>
      <c r="AL668" s="82"/>
      <c r="AM668" s="82"/>
      <c r="AN668" s="82"/>
      <c r="AO668" s="81"/>
      <c r="AP668" s="82"/>
      <c r="AQ668" s="82"/>
      <c r="AR668" s="82"/>
      <c r="AS668" s="82"/>
      <c r="AT668" s="82"/>
      <c r="AU668" s="82"/>
      <c r="AV668" s="82"/>
      <c r="AW668" s="82"/>
      <c r="AX668" s="82"/>
      <c r="AY668" s="81"/>
      <c r="AZ668" s="82"/>
      <c r="BA668" s="82"/>
      <c r="BB668" s="82"/>
      <c r="BC668" s="82"/>
      <c r="BD668" s="82"/>
      <c r="BE668" s="82"/>
      <c r="BF668" s="82"/>
      <c r="BG668" s="82"/>
      <c r="BH668" s="82"/>
      <c r="BI668" s="82"/>
    </row>
    <row r="669">
      <c r="K669" s="79"/>
      <c r="U669" s="79"/>
      <c r="AE669" s="79"/>
      <c r="AF669" s="82"/>
      <c r="AG669" s="82"/>
      <c r="AH669" s="82"/>
      <c r="AI669" s="82"/>
      <c r="AJ669" s="82"/>
      <c r="AK669" s="82"/>
      <c r="AL669" s="82"/>
      <c r="AM669" s="82"/>
      <c r="AN669" s="82"/>
      <c r="AO669" s="81"/>
      <c r="AP669" s="82"/>
      <c r="AQ669" s="82"/>
      <c r="AR669" s="82"/>
      <c r="AS669" s="82"/>
      <c r="AT669" s="82"/>
      <c r="AU669" s="82"/>
      <c r="AV669" s="82"/>
      <c r="AW669" s="82"/>
      <c r="AX669" s="82"/>
      <c r="AY669" s="81"/>
      <c r="AZ669" s="82"/>
      <c r="BA669" s="82"/>
      <c r="BB669" s="82"/>
      <c r="BC669" s="82"/>
      <c r="BD669" s="82"/>
      <c r="BE669" s="82"/>
      <c r="BF669" s="82"/>
      <c r="BG669" s="82"/>
      <c r="BH669" s="82"/>
      <c r="BI669" s="82"/>
    </row>
    <row r="670">
      <c r="K670" s="79"/>
      <c r="U670" s="79"/>
      <c r="AE670" s="79"/>
      <c r="AF670" s="82"/>
      <c r="AG670" s="82"/>
      <c r="AH670" s="82"/>
      <c r="AI670" s="82"/>
      <c r="AJ670" s="82"/>
      <c r="AK670" s="82"/>
      <c r="AL670" s="82"/>
      <c r="AM670" s="82"/>
      <c r="AN670" s="82"/>
      <c r="AO670" s="81"/>
      <c r="AP670" s="82"/>
      <c r="AQ670" s="82"/>
      <c r="AR670" s="82"/>
      <c r="AS670" s="82"/>
      <c r="AT670" s="82"/>
      <c r="AU670" s="82"/>
      <c r="AV670" s="82"/>
      <c r="AW670" s="82"/>
      <c r="AX670" s="82"/>
      <c r="AY670" s="81"/>
      <c r="AZ670" s="82"/>
      <c r="BA670" s="82"/>
      <c r="BB670" s="82"/>
      <c r="BC670" s="82"/>
      <c r="BD670" s="82"/>
      <c r="BE670" s="82"/>
      <c r="BF670" s="82"/>
      <c r="BG670" s="82"/>
      <c r="BH670" s="82"/>
      <c r="BI670" s="82"/>
    </row>
    <row r="671">
      <c r="K671" s="79"/>
      <c r="U671" s="79"/>
      <c r="AE671" s="79"/>
      <c r="AF671" s="82"/>
      <c r="AG671" s="82"/>
      <c r="AH671" s="82"/>
      <c r="AI671" s="82"/>
      <c r="AJ671" s="82"/>
      <c r="AK671" s="82"/>
      <c r="AL671" s="82"/>
      <c r="AM671" s="82"/>
      <c r="AN671" s="82"/>
      <c r="AO671" s="81"/>
      <c r="AP671" s="82"/>
      <c r="AQ671" s="82"/>
      <c r="AR671" s="82"/>
      <c r="AS671" s="82"/>
      <c r="AT671" s="82"/>
      <c r="AU671" s="82"/>
      <c r="AV671" s="82"/>
      <c r="AW671" s="82"/>
      <c r="AX671" s="82"/>
      <c r="AY671" s="81"/>
      <c r="AZ671" s="82"/>
      <c r="BA671" s="82"/>
      <c r="BB671" s="82"/>
      <c r="BC671" s="82"/>
      <c r="BD671" s="82"/>
      <c r="BE671" s="82"/>
      <c r="BF671" s="82"/>
      <c r="BG671" s="82"/>
      <c r="BH671" s="82"/>
      <c r="BI671" s="82"/>
    </row>
    <row r="672">
      <c r="K672" s="79"/>
      <c r="U672" s="79"/>
      <c r="AE672" s="79"/>
      <c r="AF672" s="82"/>
      <c r="AG672" s="82"/>
      <c r="AH672" s="82"/>
      <c r="AI672" s="82"/>
      <c r="AJ672" s="82"/>
      <c r="AK672" s="82"/>
      <c r="AL672" s="82"/>
      <c r="AM672" s="82"/>
      <c r="AN672" s="82"/>
      <c r="AO672" s="81"/>
      <c r="AP672" s="82"/>
      <c r="AQ672" s="82"/>
      <c r="AR672" s="82"/>
      <c r="AS672" s="82"/>
      <c r="AT672" s="82"/>
      <c r="AU672" s="82"/>
      <c r="AV672" s="82"/>
      <c r="AW672" s="82"/>
      <c r="AX672" s="82"/>
      <c r="AY672" s="81"/>
      <c r="AZ672" s="82"/>
      <c r="BA672" s="82"/>
      <c r="BB672" s="82"/>
      <c r="BC672" s="82"/>
      <c r="BD672" s="82"/>
      <c r="BE672" s="82"/>
      <c r="BF672" s="82"/>
      <c r="BG672" s="82"/>
      <c r="BH672" s="82"/>
      <c r="BI672" s="82"/>
    </row>
    <row r="673">
      <c r="K673" s="79"/>
      <c r="U673" s="79"/>
      <c r="AE673" s="79"/>
      <c r="AF673" s="82"/>
      <c r="AG673" s="82"/>
      <c r="AH673" s="82"/>
      <c r="AI673" s="82"/>
      <c r="AJ673" s="82"/>
      <c r="AK673" s="82"/>
      <c r="AL673" s="82"/>
      <c r="AM673" s="82"/>
      <c r="AN673" s="82"/>
      <c r="AO673" s="81"/>
      <c r="AP673" s="82"/>
      <c r="AQ673" s="82"/>
      <c r="AR673" s="82"/>
      <c r="AS673" s="82"/>
      <c r="AT673" s="82"/>
      <c r="AU673" s="82"/>
      <c r="AV673" s="82"/>
      <c r="AW673" s="82"/>
      <c r="AX673" s="82"/>
      <c r="AY673" s="81"/>
      <c r="AZ673" s="82"/>
      <c r="BA673" s="82"/>
      <c r="BB673" s="82"/>
      <c r="BC673" s="82"/>
      <c r="BD673" s="82"/>
      <c r="BE673" s="82"/>
      <c r="BF673" s="82"/>
      <c r="BG673" s="82"/>
      <c r="BH673" s="82"/>
      <c r="BI673" s="82"/>
    </row>
    <row r="674">
      <c r="K674" s="79"/>
      <c r="U674" s="79"/>
      <c r="AE674" s="79"/>
      <c r="AF674" s="82"/>
      <c r="AG674" s="82"/>
      <c r="AH674" s="82"/>
      <c r="AI674" s="82"/>
      <c r="AJ674" s="82"/>
      <c r="AK674" s="82"/>
      <c r="AL674" s="82"/>
      <c r="AM674" s="82"/>
      <c r="AN674" s="82"/>
      <c r="AO674" s="81"/>
      <c r="AP674" s="82"/>
      <c r="AQ674" s="82"/>
      <c r="AR674" s="82"/>
      <c r="AS674" s="82"/>
      <c r="AT674" s="82"/>
      <c r="AU674" s="82"/>
      <c r="AV674" s="82"/>
      <c r="AW674" s="82"/>
      <c r="AX674" s="82"/>
      <c r="AY674" s="81"/>
      <c r="AZ674" s="82"/>
      <c r="BA674" s="82"/>
      <c r="BB674" s="82"/>
      <c r="BC674" s="82"/>
      <c r="BD674" s="82"/>
      <c r="BE674" s="82"/>
      <c r="BF674" s="82"/>
      <c r="BG674" s="82"/>
      <c r="BH674" s="82"/>
      <c r="BI674" s="82"/>
    </row>
    <row r="675">
      <c r="K675" s="79"/>
      <c r="U675" s="79"/>
      <c r="AE675" s="79"/>
      <c r="AF675" s="82"/>
      <c r="AG675" s="82"/>
      <c r="AH675" s="82"/>
      <c r="AI675" s="82"/>
      <c r="AJ675" s="82"/>
      <c r="AK675" s="82"/>
      <c r="AL675" s="82"/>
      <c r="AM675" s="82"/>
      <c r="AN675" s="82"/>
      <c r="AO675" s="81"/>
      <c r="AP675" s="82"/>
      <c r="AQ675" s="82"/>
      <c r="AR675" s="82"/>
      <c r="AS675" s="82"/>
      <c r="AT675" s="82"/>
      <c r="AU675" s="82"/>
      <c r="AV675" s="82"/>
      <c r="AW675" s="82"/>
      <c r="AX675" s="82"/>
      <c r="AY675" s="81"/>
      <c r="AZ675" s="82"/>
      <c r="BA675" s="82"/>
      <c r="BB675" s="82"/>
      <c r="BC675" s="82"/>
      <c r="BD675" s="82"/>
      <c r="BE675" s="82"/>
      <c r="BF675" s="82"/>
      <c r="BG675" s="82"/>
      <c r="BH675" s="82"/>
      <c r="BI675" s="82"/>
    </row>
    <row r="676">
      <c r="K676" s="79"/>
      <c r="U676" s="79"/>
      <c r="AE676" s="79"/>
      <c r="AF676" s="82"/>
      <c r="AG676" s="82"/>
      <c r="AH676" s="82"/>
      <c r="AI676" s="82"/>
      <c r="AJ676" s="82"/>
      <c r="AK676" s="82"/>
      <c r="AL676" s="82"/>
      <c r="AM676" s="82"/>
      <c r="AN676" s="82"/>
      <c r="AO676" s="81"/>
      <c r="AP676" s="82"/>
      <c r="AQ676" s="82"/>
      <c r="AR676" s="82"/>
      <c r="AS676" s="82"/>
      <c r="AT676" s="82"/>
      <c r="AU676" s="82"/>
      <c r="AV676" s="82"/>
      <c r="AW676" s="82"/>
      <c r="AX676" s="82"/>
      <c r="AY676" s="81"/>
      <c r="AZ676" s="82"/>
      <c r="BA676" s="82"/>
      <c r="BB676" s="82"/>
      <c r="BC676" s="82"/>
      <c r="BD676" s="82"/>
      <c r="BE676" s="82"/>
      <c r="BF676" s="82"/>
      <c r="BG676" s="82"/>
      <c r="BH676" s="82"/>
      <c r="BI676" s="82"/>
    </row>
    <row r="677">
      <c r="K677" s="79"/>
      <c r="U677" s="79"/>
      <c r="AE677" s="79"/>
      <c r="AF677" s="82"/>
      <c r="AG677" s="82"/>
      <c r="AH677" s="82"/>
      <c r="AI677" s="82"/>
      <c r="AJ677" s="82"/>
      <c r="AK677" s="82"/>
      <c r="AL677" s="82"/>
      <c r="AM677" s="82"/>
      <c r="AN677" s="82"/>
      <c r="AO677" s="81"/>
      <c r="AP677" s="82"/>
      <c r="AQ677" s="82"/>
      <c r="AR677" s="82"/>
      <c r="AS677" s="82"/>
      <c r="AT677" s="82"/>
      <c r="AU677" s="82"/>
      <c r="AV677" s="82"/>
      <c r="AW677" s="82"/>
      <c r="AX677" s="82"/>
      <c r="AY677" s="81"/>
      <c r="AZ677" s="82"/>
      <c r="BA677" s="82"/>
      <c r="BB677" s="82"/>
      <c r="BC677" s="82"/>
      <c r="BD677" s="82"/>
      <c r="BE677" s="82"/>
      <c r="BF677" s="82"/>
      <c r="BG677" s="82"/>
      <c r="BH677" s="82"/>
      <c r="BI677" s="82"/>
    </row>
    <row r="678">
      <c r="K678" s="79"/>
      <c r="U678" s="79"/>
      <c r="AE678" s="79"/>
      <c r="AF678" s="82"/>
      <c r="AG678" s="82"/>
      <c r="AH678" s="82"/>
      <c r="AI678" s="82"/>
      <c r="AJ678" s="82"/>
      <c r="AK678" s="82"/>
      <c r="AL678" s="82"/>
      <c r="AM678" s="82"/>
      <c r="AN678" s="82"/>
      <c r="AO678" s="81"/>
      <c r="AP678" s="82"/>
      <c r="AQ678" s="82"/>
      <c r="AR678" s="82"/>
      <c r="AS678" s="82"/>
      <c r="AT678" s="82"/>
      <c r="AU678" s="82"/>
      <c r="AV678" s="82"/>
      <c r="AW678" s="82"/>
      <c r="AX678" s="82"/>
      <c r="AY678" s="81"/>
      <c r="AZ678" s="82"/>
      <c r="BA678" s="82"/>
      <c r="BB678" s="82"/>
      <c r="BC678" s="82"/>
      <c r="BD678" s="82"/>
      <c r="BE678" s="82"/>
      <c r="BF678" s="82"/>
      <c r="BG678" s="82"/>
      <c r="BH678" s="82"/>
      <c r="BI678" s="82"/>
    </row>
    <row r="679">
      <c r="K679" s="79"/>
      <c r="U679" s="79"/>
      <c r="AE679" s="79"/>
      <c r="AF679" s="82"/>
      <c r="AG679" s="82"/>
      <c r="AH679" s="82"/>
      <c r="AI679" s="82"/>
      <c r="AJ679" s="82"/>
      <c r="AK679" s="82"/>
      <c r="AL679" s="82"/>
      <c r="AM679" s="82"/>
      <c r="AN679" s="82"/>
      <c r="AO679" s="81"/>
      <c r="AP679" s="82"/>
      <c r="AQ679" s="82"/>
      <c r="AR679" s="82"/>
      <c r="AS679" s="82"/>
      <c r="AT679" s="82"/>
      <c r="AU679" s="82"/>
      <c r="AV679" s="82"/>
      <c r="AW679" s="82"/>
      <c r="AX679" s="82"/>
      <c r="AY679" s="81"/>
      <c r="AZ679" s="82"/>
      <c r="BA679" s="82"/>
      <c r="BB679" s="82"/>
      <c r="BC679" s="82"/>
      <c r="BD679" s="82"/>
      <c r="BE679" s="82"/>
      <c r="BF679" s="82"/>
      <c r="BG679" s="82"/>
      <c r="BH679" s="82"/>
      <c r="BI679" s="82"/>
    </row>
    <row r="680">
      <c r="K680" s="79"/>
      <c r="U680" s="79"/>
      <c r="AE680" s="79"/>
      <c r="AF680" s="82"/>
      <c r="AG680" s="82"/>
      <c r="AH680" s="82"/>
      <c r="AI680" s="82"/>
      <c r="AJ680" s="82"/>
      <c r="AK680" s="82"/>
      <c r="AL680" s="82"/>
      <c r="AM680" s="82"/>
      <c r="AN680" s="82"/>
      <c r="AO680" s="81"/>
      <c r="AP680" s="82"/>
      <c r="AQ680" s="82"/>
      <c r="AR680" s="82"/>
      <c r="AS680" s="82"/>
      <c r="AT680" s="82"/>
      <c r="AU680" s="82"/>
      <c r="AV680" s="82"/>
      <c r="AW680" s="82"/>
      <c r="AX680" s="82"/>
      <c r="AY680" s="81"/>
      <c r="AZ680" s="82"/>
      <c r="BA680" s="82"/>
      <c r="BB680" s="82"/>
      <c r="BC680" s="82"/>
      <c r="BD680" s="82"/>
      <c r="BE680" s="82"/>
      <c r="BF680" s="82"/>
      <c r="BG680" s="82"/>
      <c r="BH680" s="82"/>
      <c r="BI680" s="82"/>
    </row>
    <row r="681">
      <c r="K681" s="79"/>
      <c r="U681" s="79"/>
      <c r="AE681" s="79"/>
      <c r="AF681" s="82"/>
      <c r="AG681" s="82"/>
      <c r="AH681" s="82"/>
      <c r="AI681" s="82"/>
      <c r="AJ681" s="82"/>
      <c r="AK681" s="82"/>
      <c r="AL681" s="82"/>
      <c r="AM681" s="82"/>
      <c r="AN681" s="82"/>
      <c r="AO681" s="81"/>
      <c r="AP681" s="82"/>
      <c r="AQ681" s="82"/>
      <c r="AR681" s="82"/>
      <c r="AS681" s="82"/>
      <c r="AT681" s="82"/>
      <c r="AU681" s="82"/>
      <c r="AV681" s="82"/>
      <c r="AW681" s="82"/>
      <c r="AX681" s="82"/>
      <c r="AY681" s="81"/>
      <c r="AZ681" s="82"/>
      <c r="BA681" s="82"/>
      <c r="BB681" s="82"/>
      <c r="BC681" s="82"/>
      <c r="BD681" s="82"/>
      <c r="BE681" s="82"/>
      <c r="BF681" s="82"/>
      <c r="BG681" s="82"/>
      <c r="BH681" s="82"/>
      <c r="BI681" s="82"/>
    </row>
    <row r="682">
      <c r="K682" s="79"/>
      <c r="U682" s="79"/>
      <c r="AE682" s="79"/>
      <c r="AF682" s="82"/>
      <c r="AG682" s="82"/>
      <c r="AH682" s="82"/>
      <c r="AI682" s="82"/>
      <c r="AJ682" s="82"/>
      <c r="AK682" s="82"/>
      <c r="AL682" s="82"/>
      <c r="AM682" s="82"/>
      <c r="AN682" s="82"/>
      <c r="AO682" s="81"/>
      <c r="AP682" s="82"/>
      <c r="AQ682" s="82"/>
      <c r="AR682" s="82"/>
      <c r="AS682" s="82"/>
      <c r="AT682" s="82"/>
      <c r="AU682" s="82"/>
      <c r="AV682" s="82"/>
      <c r="AW682" s="82"/>
      <c r="AX682" s="82"/>
      <c r="AY682" s="81"/>
      <c r="AZ682" s="82"/>
      <c r="BA682" s="82"/>
      <c r="BB682" s="82"/>
      <c r="BC682" s="82"/>
      <c r="BD682" s="82"/>
      <c r="BE682" s="82"/>
      <c r="BF682" s="82"/>
      <c r="BG682" s="82"/>
      <c r="BH682" s="82"/>
      <c r="BI682" s="82"/>
    </row>
    <row r="683">
      <c r="K683" s="79"/>
      <c r="U683" s="79"/>
      <c r="AE683" s="79"/>
      <c r="AF683" s="82"/>
      <c r="AG683" s="82"/>
      <c r="AH683" s="82"/>
      <c r="AI683" s="82"/>
      <c r="AJ683" s="82"/>
      <c r="AK683" s="82"/>
      <c r="AL683" s="82"/>
      <c r="AM683" s="82"/>
      <c r="AN683" s="82"/>
      <c r="AO683" s="81"/>
      <c r="AP683" s="82"/>
      <c r="AQ683" s="82"/>
      <c r="AR683" s="82"/>
      <c r="AS683" s="82"/>
      <c r="AT683" s="82"/>
      <c r="AU683" s="82"/>
      <c r="AV683" s="82"/>
      <c r="AW683" s="82"/>
      <c r="AX683" s="82"/>
      <c r="AY683" s="81"/>
      <c r="AZ683" s="82"/>
      <c r="BA683" s="82"/>
      <c r="BB683" s="82"/>
      <c r="BC683" s="82"/>
      <c r="BD683" s="82"/>
      <c r="BE683" s="82"/>
      <c r="BF683" s="82"/>
      <c r="BG683" s="82"/>
      <c r="BH683" s="82"/>
      <c r="BI683" s="82"/>
    </row>
    <row r="684">
      <c r="K684" s="79"/>
      <c r="U684" s="79"/>
      <c r="AE684" s="79"/>
      <c r="AF684" s="82"/>
      <c r="AG684" s="82"/>
      <c r="AH684" s="82"/>
      <c r="AI684" s="82"/>
      <c r="AJ684" s="82"/>
      <c r="AK684" s="82"/>
      <c r="AL684" s="82"/>
      <c r="AM684" s="82"/>
      <c r="AN684" s="82"/>
      <c r="AO684" s="81"/>
      <c r="AP684" s="82"/>
      <c r="AQ684" s="82"/>
      <c r="AR684" s="82"/>
      <c r="AS684" s="82"/>
      <c r="AT684" s="82"/>
      <c r="AU684" s="82"/>
      <c r="AV684" s="82"/>
      <c r="AW684" s="82"/>
      <c r="AX684" s="82"/>
      <c r="AY684" s="81"/>
      <c r="AZ684" s="82"/>
      <c r="BA684" s="82"/>
      <c r="BB684" s="82"/>
      <c r="BC684" s="82"/>
      <c r="BD684" s="82"/>
      <c r="BE684" s="82"/>
      <c r="BF684" s="82"/>
      <c r="BG684" s="82"/>
      <c r="BH684" s="82"/>
      <c r="BI684" s="82"/>
    </row>
    <row r="685">
      <c r="K685" s="79"/>
      <c r="U685" s="79"/>
      <c r="AE685" s="79"/>
      <c r="AF685" s="82"/>
      <c r="AG685" s="82"/>
      <c r="AH685" s="82"/>
      <c r="AI685" s="82"/>
      <c r="AJ685" s="82"/>
      <c r="AK685" s="82"/>
      <c r="AL685" s="82"/>
      <c r="AM685" s="82"/>
      <c r="AN685" s="82"/>
      <c r="AO685" s="81"/>
      <c r="AP685" s="82"/>
      <c r="AQ685" s="82"/>
      <c r="AR685" s="82"/>
      <c r="AS685" s="82"/>
      <c r="AT685" s="82"/>
      <c r="AU685" s="82"/>
      <c r="AV685" s="82"/>
      <c r="AW685" s="82"/>
      <c r="AX685" s="82"/>
      <c r="AY685" s="81"/>
      <c r="AZ685" s="82"/>
      <c r="BA685" s="82"/>
      <c r="BB685" s="82"/>
      <c r="BC685" s="82"/>
      <c r="BD685" s="82"/>
      <c r="BE685" s="82"/>
      <c r="BF685" s="82"/>
      <c r="BG685" s="82"/>
      <c r="BH685" s="82"/>
      <c r="BI685" s="82"/>
    </row>
    <row r="686">
      <c r="K686" s="79"/>
      <c r="U686" s="79"/>
      <c r="AE686" s="79"/>
      <c r="AF686" s="82"/>
      <c r="AG686" s="82"/>
      <c r="AH686" s="82"/>
      <c r="AI686" s="82"/>
      <c r="AJ686" s="82"/>
      <c r="AK686" s="82"/>
      <c r="AL686" s="82"/>
      <c r="AM686" s="82"/>
      <c r="AN686" s="82"/>
      <c r="AO686" s="81"/>
      <c r="AP686" s="82"/>
      <c r="AQ686" s="82"/>
      <c r="AR686" s="82"/>
      <c r="AS686" s="82"/>
      <c r="AT686" s="82"/>
      <c r="AU686" s="82"/>
      <c r="AV686" s="82"/>
      <c r="AW686" s="82"/>
      <c r="AX686" s="82"/>
      <c r="AY686" s="81"/>
      <c r="AZ686" s="82"/>
      <c r="BA686" s="82"/>
      <c r="BB686" s="82"/>
      <c r="BC686" s="82"/>
      <c r="BD686" s="82"/>
      <c r="BE686" s="82"/>
      <c r="BF686" s="82"/>
      <c r="BG686" s="82"/>
      <c r="BH686" s="82"/>
      <c r="BI686" s="82"/>
    </row>
    <row r="687">
      <c r="K687" s="79"/>
      <c r="U687" s="79"/>
      <c r="AE687" s="79"/>
      <c r="AF687" s="82"/>
      <c r="AG687" s="82"/>
      <c r="AH687" s="82"/>
      <c r="AI687" s="82"/>
      <c r="AJ687" s="82"/>
      <c r="AK687" s="82"/>
      <c r="AL687" s="82"/>
      <c r="AM687" s="82"/>
      <c r="AN687" s="82"/>
      <c r="AO687" s="81"/>
      <c r="AP687" s="82"/>
      <c r="AQ687" s="82"/>
      <c r="AR687" s="82"/>
      <c r="AS687" s="82"/>
      <c r="AT687" s="82"/>
      <c r="AU687" s="82"/>
      <c r="AV687" s="82"/>
      <c r="AW687" s="82"/>
      <c r="AX687" s="82"/>
      <c r="AY687" s="81"/>
      <c r="AZ687" s="82"/>
      <c r="BA687" s="82"/>
      <c r="BB687" s="82"/>
      <c r="BC687" s="82"/>
      <c r="BD687" s="82"/>
      <c r="BE687" s="82"/>
      <c r="BF687" s="82"/>
      <c r="BG687" s="82"/>
      <c r="BH687" s="82"/>
      <c r="BI687" s="82"/>
    </row>
    <row r="688">
      <c r="K688" s="79"/>
      <c r="U688" s="79"/>
      <c r="AE688" s="79"/>
      <c r="AF688" s="82"/>
      <c r="AG688" s="82"/>
      <c r="AH688" s="82"/>
      <c r="AI688" s="82"/>
      <c r="AJ688" s="82"/>
      <c r="AK688" s="82"/>
      <c r="AL688" s="82"/>
      <c r="AM688" s="82"/>
      <c r="AN688" s="82"/>
      <c r="AO688" s="81"/>
      <c r="AP688" s="82"/>
      <c r="AQ688" s="82"/>
      <c r="AR688" s="82"/>
      <c r="AS688" s="82"/>
      <c r="AT688" s="82"/>
      <c r="AU688" s="82"/>
      <c r="AV688" s="82"/>
      <c r="AW688" s="82"/>
      <c r="AX688" s="82"/>
      <c r="AY688" s="81"/>
      <c r="AZ688" s="82"/>
      <c r="BA688" s="82"/>
      <c r="BB688" s="82"/>
      <c r="BC688" s="82"/>
      <c r="BD688" s="82"/>
      <c r="BE688" s="82"/>
      <c r="BF688" s="82"/>
      <c r="BG688" s="82"/>
      <c r="BH688" s="82"/>
      <c r="BI688" s="82"/>
    </row>
    <row r="689">
      <c r="K689" s="79"/>
      <c r="U689" s="79"/>
      <c r="AE689" s="79"/>
      <c r="AF689" s="82"/>
      <c r="AG689" s="82"/>
      <c r="AH689" s="82"/>
      <c r="AI689" s="82"/>
      <c r="AJ689" s="82"/>
      <c r="AK689" s="82"/>
      <c r="AL689" s="82"/>
      <c r="AM689" s="82"/>
      <c r="AN689" s="82"/>
      <c r="AO689" s="81"/>
      <c r="AP689" s="82"/>
      <c r="AQ689" s="82"/>
      <c r="AR689" s="82"/>
      <c r="AS689" s="82"/>
      <c r="AT689" s="82"/>
      <c r="AU689" s="82"/>
      <c r="AV689" s="82"/>
      <c r="AW689" s="82"/>
      <c r="AX689" s="82"/>
      <c r="AY689" s="81"/>
      <c r="AZ689" s="82"/>
      <c r="BA689" s="82"/>
      <c r="BB689" s="82"/>
      <c r="BC689" s="82"/>
      <c r="BD689" s="82"/>
      <c r="BE689" s="82"/>
      <c r="BF689" s="82"/>
      <c r="BG689" s="82"/>
      <c r="BH689" s="82"/>
      <c r="BI689" s="82"/>
    </row>
    <row r="690">
      <c r="K690" s="79"/>
      <c r="U690" s="79"/>
      <c r="AE690" s="79"/>
      <c r="AF690" s="82"/>
      <c r="AG690" s="82"/>
      <c r="AH690" s="82"/>
      <c r="AI690" s="82"/>
      <c r="AJ690" s="82"/>
      <c r="AK690" s="82"/>
      <c r="AL690" s="82"/>
      <c r="AM690" s="82"/>
      <c r="AN690" s="82"/>
      <c r="AO690" s="81"/>
      <c r="AP690" s="82"/>
      <c r="AQ690" s="82"/>
      <c r="AR690" s="82"/>
      <c r="AS690" s="82"/>
      <c r="AT690" s="82"/>
      <c r="AU690" s="82"/>
      <c r="AV690" s="82"/>
      <c r="AW690" s="82"/>
      <c r="AX690" s="82"/>
      <c r="AY690" s="81"/>
      <c r="AZ690" s="82"/>
      <c r="BA690" s="82"/>
      <c r="BB690" s="82"/>
      <c r="BC690" s="82"/>
      <c r="BD690" s="82"/>
      <c r="BE690" s="82"/>
      <c r="BF690" s="82"/>
      <c r="BG690" s="82"/>
      <c r="BH690" s="82"/>
      <c r="BI690" s="82"/>
    </row>
    <row r="691">
      <c r="K691" s="79"/>
      <c r="U691" s="79"/>
      <c r="AE691" s="79"/>
      <c r="AF691" s="82"/>
      <c r="AG691" s="82"/>
      <c r="AH691" s="82"/>
      <c r="AI691" s="82"/>
      <c r="AJ691" s="82"/>
      <c r="AK691" s="82"/>
      <c r="AL691" s="82"/>
      <c r="AM691" s="82"/>
      <c r="AN691" s="82"/>
      <c r="AO691" s="81"/>
      <c r="AP691" s="82"/>
      <c r="AQ691" s="82"/>
      <c r="AR691" s="82"/>
      <c r="AS691" s="82"/>
      <c r="AT691" s="82"/>
      <c r="AU691" s="82"/>
      <c r="AV691" s="82"/>
      <c r="AW691" s="82"/>
      <c r="AX691" s="82"/>
      <c r="AY691" s="81"/>
      <c r="AZ691" s="82"/>
      <c r="BA691" s="82"/>
      <c r="BB691" s="82"/>
      <c r="BC691" s="82"/>
      <c r="BD691" s="82"/>
      <c r="BE691" s="82"/>
      <c r="BF691" s="82"/>
      <c r="BG691" s="82"/>
      <c r="BH691" s="82"/>
      <c r="BI691" s="82"/>
    </row>
    <row r="692">
      <c r="K692" s="79"/>
      <c r="U692" s="79"/>
      <c r="AE692" s="79"/>
      <c r="AF692" s="82"/>
      <c r="AG692" s="82"/>
      <c r="AH692" s="82"/>
      <c r="AI692" s="82"/>
      <c r="AJ692" s="82"/>
      <c r="AK692" s="82"/>
      <c r="AL692" s="82"/>
      <c r="AM692" s="82"/>
      <c r="AN692" s="82"/>
      <c r="AO692" s="81"/>
      <c r="AP692" s="82"/>
      <c r="AQ692" s="82"/>
      <c r="AR692" s="82"/>
      <c r="AS692" s="82"/>
      <c r="AT692" s="82"/>
      <c r="AU692" s="82"/>
      <c r="AV692" s="82"/>
      <c r="AW692" s="82"/>
      <c r="AX692" s="82"/>
      <c r="AY692" s="81"/>
      <c r="AZ692" s="82"/>
      <c r="BA692" s="82"/>
      <c r="BB692" s="82"/>
      <c r="BC692" s="82"/>
      <c r="BD692" s="82"/>
      <c r="BE692" s="82"/>
      <c r="BF692" s="82"/>
      <c r="BG692" s="82"/>
      <c r="BH692" s="82"/>
      <c r="BI692" s="82"/>
    </row>
    <row r="693">
      <c r="K693" s="79"/>
      <c r="U693" s="79"/>
      <c r="AE693" s="79"/>
      <c r="AF693" s="82"/>
      <c r="AG693" s="82"/>
      <c r="AH693" s="82"/>
      <c r="AI693" s="82"/>
      <c r="AJ693" s="82"/>
      <c r="AK693" s="82"/>
      <c r="AL693" s="82"/>
      <c r="AM693" s="82"/>
      <c r="AN693" s="82"/>
      <c r="AO693" s="81"/>
      <c r="AP693" s="82"/>
      <c r="AQ693" s="82"/>
      <c r="AR693" s="82"/>
      <c r="AS693" s="82"/>
      <c r="AT693" s="82"/>
      <c r="AU693" s="82"/>
      <c r="AV693" s="82"/>
      <c r="AW693" s="82"/>
      <c r="AX693" s="82"/>
      <c r="AY693" s="81"/>
      <c r="AZ693" s="82"/>
      <c r="BA693" s="82"/>
      <c r="BB693" s="82"/>
      <c r="BC693" s="82"/>
      <c r="BD693" s="82"/>
      <c r="BE693" s="82"/>
      <c r="BF693" s="82"/>
      <c r="BG693" s="82"/>
      <c r="BH693" s="82"/>
      <c r="BI693" s="82"/>
    </row>
    <row r="694">
      <c r="K694" s="79"/>
      <c r="U694" s="79"/>
      <c r="AE694" s="79"/>
      <c r="AF694" s="82"/>
      <c r="AG694" s="82"/>
      <c r="AH694" s="82"/>
      <c r="AI694" s="82"/>
      <c r="AJ694" s="82"/>
      <c r="AK694" s="82"/>
      <c r="AL694" s="82"/>
      <c r="AM694" s="82"/>
      <c r="AN694" s="82"/>
      <c r="AO694" s="81"/>
      <c r="AP694" s="82"/>
      <c r="AQ694" s="82"/>
      <c r="AR694" s="82"/>
      <c r="AS694" s="82"/>
      <c r="AT694" s="82"/>
      <c r="AU694" s="82"/>
      <c r="AV694" s="82"/>
      <c r="AW694" s="82"/>
      <c r="AX694" s="82"/>
      <c r="AY694" s="81"/>
      <c r="AZ694" s="82"/>
      <c r="BA694" s="82"/>
      <c r="BB694" s="82"/>
      <c r="BC694" s="82"/>
      <c r="BD694" s="82"/>
      <c r="BE694" s="82"/>
      <c r="BF694" s="82"/>
      <c r="BG694" s="82"/>
      <c r="BH694" s="82"/>
      <c r="BI694" s="82"/>
    </row>
    <row r="695">
      <c r="K695" s="79"/>
      <c r="U695" s="79"/>
      <c r="AE695" s="79"/>
      <c r="AF695" s="82"/>
      <c r="AG695" s="82"/>
      <c r="AH695" s="82"/>
      <c r="AI695" s="82"/>
      <c r="AJ695" s="82"/>
      <c r="AK695" s="82"/>
      <c r="AL695" s="82"/>
      <c r="AM695" s="82"/>
      <c r="AN695" s="82"/>
      <c r="AO695" s="81"/>
      <c r="AP695" s="82"/>
      <c r="AQ695" s="82"/>
      <c r="AR695" s="82"/>
      <c r="AS695" s="82"/>
      <c r="AT695" s="82"/>
      <c r="AU695" s="82"/>
      <c r="AV695" s="82"/>
      <c r="AW695" s="82"/>
      <c r="AX695" s="82"/>
      <c r="AY695" s="81"/>
      <c r="AZ695" s="82"/>
      <c r="BA695" s="82"/>
      <c r="BB695" s="82"/>
      <c r="BC695" s="82"/>
      <c r="BD695" s="82"/>
      <c r="BE695" s="82"/>
      <c r="BF695" s="82"/>
      <c r="BG695" s="82"/>
      <c r="BH695" s="82"/>
      <c r="BI695" s="82"/>
    </row>
    <row r="696">
      <c r="K696" s="79"/>
      <c r="U696" s="79"/>
      <c r="AE696" s="79"/>
      <c r="AF696" s="82"/>
      <c r="AG696" s="82"/>
      <c r="AH696" s="82"/>
      <c r="AI696" s="82"/>
      <c r="AJ696" s="82"/>
      <c r="AK696" s="82"/>
      <c r="AL696" s="82"/>
      <c r="AM696" s="82"/>
      <c r="AN696" s="82"/>
      <c r="AO696" s="81"/>
      <c r="AP696" s="82"/>
      <c r="AQ696" s="82"/>
      <c r="AR696" s="82"/>
      <c r="AS696" s="82"/>
      <c r="AT696" s="82"/>
      <c r="AU696" s="82"/>
      <c r="AV696" s="82"/>
      <c r="AW696" s="82"/>
      <c r="AX696" s="82"/>
      <c r="AY696" s="81"/>
      <c r="AZ696" s="82"/>
      <c r="BA696" s="82"/>
      <c r="BB696" s="82"/>
      <c r="BC696" s="82"/>
      <c r="BD696" s="82"/>
      <c r="BE696" s="82"/>
      <c r="BF696" s="82"/>
      <c r="BG696" s="82"/>
      <c r="BH696" s="82"/>
      <c r="BI696" s="82"/>
    </row>
    <row r="697">
      <c r="K697" s="79"/>
      <c r="U697" s="79"/>
      <c r="AE697" s="79"/>
      <c r="AF697" s="82"/>
      <c r="AG697" s="82"/>
      <c r="AH697" s="82"/>
      <c r="AI697" s="82"/>
      <c r="AJ697" s="82"/>
      <c r="AK697" s="82"/>
      <c r="AL697" s="82"/>
      <c r="AM697" s="82"/>
      <c r="AN697" s="82"/>
      <c r="AO697" s="81"/>
      <c r="AP697" s="82"/>
      <c r="AQ697" s="82"/>
      <c r="AR697" s="82"/>
      <c r="AS697" s="82"/>
      <c r="AT697" s="82"/>
      <c r="AU697" s="82"/>
      <c r="AV697" s="82"/>
      <c r="AW697" s="82"/>
      <c r="AX697" s="82"/>
      <c r="AY697" s="81"/>
      <c r="AZ697" s="82"/>
      <c r="BA697" s="82"/>
      <c r="BB697" s="82"/>
      <c r="BC697" s="82"/>
      <c r="BD697" s="82"/>
      <c r="BE697" s="82"/>
      <c r="BF697" s="82"/>
      <c r="BG697" s="82"/>
      <c r="BH697" s="82"/>
      <c r="BI697" s="82"/>
    </row>
    <row r="698">
      <c r="K698" s="79"/>
      <c r="U698" s="79"/>
      <c r="AE698" s="79"/>
      <c r="AF698" s="82"/>
      <c r="AG698" s="82"/>
      <c r="AH698" s="82"/>
      <c r="AI698" s="82"/>
      <c r="AJ698" s="82"/>
      <c r="AK698" s="82"/>
      <c r="AL698" s="82"/>
      <c r="AM698" s="82"/>
      <c r="AN698" s="82"/>
      <c r="AO698" s="81"/>
      <c r="AP698" s="82"/>
      <c r="AQ698" s="82"/>
      <c r="AR698" s="82"/>
      <c r="AS698" s="82"/>
      <c r="AT698" s="82"/>
      <c r="AU698" s="82"/>
      <c r="AV698" s="82"/>
      <c r="AW698" s="82"/>
      <c r="AX698" s="82"/>
      <c r="AY698" s="81"/>
      <c r="AZ698" s="82"/>
      <c r="BA698" s="82"/>
      <c r="BB698" s="82"/>
      <c r="BC698" s="82"/>
      <c r="BD698" s="82"/>
      <c r="BE698" s="82"/>
      <c r="BF698" s="82"/>
      <c r="BG698" s="82"/>
      <c r="BH698" s="82"/>
      <c r="BI698" s="82"/>
    </row>
    <row r="699">
      <c r="K699" s="79"/>
      <c r="U699" s="79"/>
      <c r="AE699" s="79"/>
      <c r="AF699" s="82"/>
      <c r="AG699" s="82"/>
      <c r="AH699" s="82"/>
      <c r="AI699" s="82"/>
      <c r="AJ699" s="82"/>
      <c r="AK699" s="82"/>
      <c r="AL699" s="82"/>
      <c r="AM699" s="82"/>
      <c r="AN699" s="82"/>
      <c r="AO699" s="81"/>
      <c r="AP699" s="82"/>
      <c r="AQ699" s="82"/>
      <c r="AR699" s="82"/>
      <c r="AS699" s="82"/>
      <c r="AT699" s="82"/>
      <c r="AU699" s="82"/>
      <c r="AV699" s="82"/>
      <c r="AW699" s="82"/>
      <c r="AX699" s="82"/>
      <c r="AY699" s="81"/>
      <c r="AZ699" s="82"/>
      <c r="BA699" s="82"/>
      <c r="BB699" s="82"/>
      <c r="BC699" s="82"/>
      <c r="BD699" s="82"/>
      <c r="BE699" s="82"/>
      <c r="BF699" s="82"/>
      <c r="BG699" s="82"/>
      <c r="BH699" s="82"/>
      <c r="BI699" s="82"/>
    </row>
    <row r="700">
      <c r="K700" s="79"/>
      <c r="U700" s="79"/>
      <c r="AE700" s="79"/>
      <c r="AF700" s="82"/>
      <c r="AG700" s="82"/>
      <c r="AH700" s="82"/>
      <c r="AI700" s="82"/>
      <c r="AJ700" s="82"/>
      <c r="AK700" s="82"/>
      <c r="AL700" s="82"/>
      <c r="AM700" s="82"/>
      <c r="AN700" s="82"/>
      <c r="AO700" s="81"/>
      <c r="AP700" s="82"/>
      <c r="AQ700" s="82"/>
      <c r="AR700" s="82"/>
      <c r="AS700" s="82"/>
      <c r="AT700" s="82"/>
      <c r="AU700" s="82"/>
      <c r="AV700" s="82"/>
      <c r="AW700" s="82"/>
      <c r="AX700" s="82"/>
      <c r="AY700" s="81"/>
      <c r="AZ700" s="82"/>
      <c r="BA700" s="82"/>
      <c r="BB700" s="82"/>
      <c r="BC700" s="82"/>
      <c r="BD700" s="82"/>
      <c r="BE700" s="82"/>
      <c r="BF700" s="82"/>
      <c r="BG700" s="82"/>
      <c r="BH700" s="82"/>
      <c r="BI700" s="82"/>
    </row>
    <row r="701">
      <c r="K701" s="79"/>
      <c r="U701" s="79"/>
      <c r="AE701" s="79"/>
      <c r="AF701" s="82"/>
      <c r="AG701" s="82"/>
      <c r="AH701" s="82"/>
      <c r="AI701" s="82"/>
      <c r="AJ701" s="82"/>
      <c r="AK701" s="82"/>
      <c r="AL701" s="82"/>
      <c r="AM701" s="82"/>
      <c r="AN701" s="82"/>
      <c r="AO701" s="81"/>
      <c r="AP701" s="82"/>
      <c r="AQ701" s="82"/>
      <c r="AR701" s="82"/>
      <c r="AS701" s="82"/>
      <c r="AT701" s="82"/>
      <c r="AU701" s="82"/>
      <c r="AV701" s="82"/>
      <c r="AW701" s="82"/>
      <c r="AX701" s="82"/>
      <c r="AY701" s="81"/>
      <c r="AZ701" s="82"/>
      <c r="BA701" s="82"/>
      <c r="BB701" s="82"/>
      <c r="BC701" s="82"/>
      <c r="BD701" s="82"/>
      <c r="BE701" s="82"/>
      <c r="BF701" s="82"/>
      <c r="BG701" s="82"/>
      <c r="BH701" s="82"/>
      <c r="BI701" s="82"/>
    </row>
    <row r="702">
      <c r="K702" s="79"/>
      <c r="U702" s="79"/>
      <c r="AE702" s="79"/>
      <c r="AF702" s="82"/>
      <c r="AG702" s="82"/>
      <c r="AH702" s="82"/>
      <c r="AI702" s="82"/>
      <c r="AJ702" s="82"/>
      <c r="AK702" s="82"/>
      <c r="AL702" s="82"/>
      <c r="AM702" s="82"/>
      <c r="AN702" s="82"/>
      <c r="AO702" s="81"/>
      <c r="AP702" s="82"/>
      <c r="AQ702" s="82"/>
      <c r="AR702" s="82"/>
      <c r="AS702" s="82"/>
      <c r="AT702" s="82"/>
      <c r="AU702" s="82"/>
      <c r="AV702" s="82"/>
      <c r="AW702" s="82"/>
      <c r="AX702" s="82"/>
      <c r="AY702" s="81"/>
      <c r="AZ702" s="82"/>
      <c r="BA702" s="82"/>
      <c r="BB702" s="82"/>
      <c r="BC702" s="82"/>
      <c r="BD702" s="82"/>
      <c r="BE702" s="82"/>
      <c r="BF702" s="82"/>
      <c r="BG702" s="82"/>
      <c r="BH702" s="82"/>
      <c r="BI702" s="82"/>
    </row>
    <row r="703">
      <c r="K703" s="79"/>
      <c r="U703" s="79"/>
      <c r="AE703" s="79"/>
      <c r="AF703" s="82"/>
      <c r="AG703" s="82"/>
      <c r="AH703" s="82"/>
      <c r="AI703" s="82"/>
      <c r="AJ703" s="82"/>
      <c r="AK703" s="82"/>
      <c r="AL703" s="82"/>
      <c r="AM703" s="82"/>
      <c r="AN703" s="82"/>
      <c r="AO703" s="81"/>
      <c r="AP703" s="82"/>
      <c r="AQ703" s="82"/>
      <c r="AR703" s="82"/>
      <c r="AS703" s="82"/>
      <c r="AT703" s="82"/>
      <c r="AU703" s="82"/>
      <c r="AV703" s="82"/>
      <c r="AW703" s="82"/>
      <c r="AX703" s="82"/>
      <c r="AY703" s="81"/>
      <c r="AZ703" s="82"/>
      <c r="BA703" s="82"/>
      <c r="BB703" s="82"/>
      <c r="BC703" s="82"/>
      <c r="BD703" s="82"/>
      <c r="BE703" s="82"/>
      <c r="BF703" s="82"/>
      <c r="BG703" s="82"/>
      <c r="BH703" s="82"/>
      <c r="BI703" s="82"/>
    </row>
    <row r="704">
      <c r="K704" s="79"/>
      <c r="U704" s="79"/>
      <c r="AE704" s="79"/>
      <c r="AF704" s="82"/>
      <c r="AG704" s="82"/>
      <c r="AH704" s="82"/>
      <c r="AI704" s="82"/>
      <c r="AJ704" s="82"/>
      <c r="AK704" s="82"/>
      <c r="AL704" s="82"/>
      <c r="AM704" s="82"/>
      <c r="AN704" s="82"/>
      <c r="AO704" s="81"/>
      <c r="AP704" s="82"/>
      <c r="AQ704" s="82"/>
      <c r="AR704" s="82"/>
      <c r="AS704" s="82"/>
      <c r="AT704" s="82"/>
      <c r="AU704" s="82"/>
      <c r="AV704" s="82"/>
      <c r="AW704" s="82"/>
      <c r="AX704" s="82"/>
      <c r="AY704" s="81"/>
      <c r="AZ704" s="82"/>
      <c r="BA704" s="82"/>
      <c r="BB704" s="82"/>
      <c r="BC704" s="82"/>
      <c r="BD704" s="82"/>
      <c r="BE704" s="82"/>
      <c r="BF704" s="82"/>
      <c r="BG704" s="82"/>
      <c r="BH704" s="82"/>
      <c r="BI704" s="82"/>
    </row>
    <row r="705">
      <c r="K705" s="79"/>
      <c r="U705" s="79"/>
      <c r="AE705" s="79"/>
      <c r="AF705" s="82"/>
      <c r="AG705" s="82"/>
      <c r="AH705" s="82"/>
      <c r="AI705" s="82"/>
      <c r="AJ705" s="82"/>
      <c r="AK705" s="82"/>
      <c r="AL705" s="82"/>
      <c r="AM705" s="82"/>
      <c r="AN705" s="82"/>
      <c r="AO705" s="81"/>
      <c r="AP705" s="82"/>
      <c r="AQ705" s="82"/>
      <c r="AR705" s="82"/>
      <c r="AS705" s="82"/>
      <c r="AT705" s="82"/>
      <c r="AU705" s="82"/>
      <c r="AV705" s="82"/>
      <c r="AW705" s="82"/>
      <c r="AX705" s="82"/>
      <c r="AY705" s="81"/>
      <c r="AZ705" s="82"/>
      <c r="BA705" s="82"/>
      <c r="BB705" s="82"/>
      <c r="BC705" s="82"/>
      <c r="BD705" s="82"/>
      <c r="BE705" s="82"/>
      <c r="BF705" s="82"/>
      <c r="BG705" s="82"/>
      <c r="BH705" s="82"/>
      <c r="BI705" s="82"/>
    </row>
    <row r="706">
      <c r="K706" s="79"/>
      <c r="U706" s="79"/>
      <c r="AE706" s="79"/>
      <c r="AF706" s="82"/>
      <c r="AG706" s="82"/>
      <c r="AH706" s="82"/>
      <c r="AI706" s="82"/>
      <c r="AJ706" s="82"/>
      <c r="AK706" s="82"/>
      <c r="AL706" s="82"/>
      <c r="AM706" s="82"/>
      <c r="AN706" s="82"/>
      <c r="AO706" s="81"/>
      <c r="AP706" s="82"/>
      <c r="AQ706" s="82"/>
      <c r="AR706" s="82"/>
      <c r="AS706" s="82"/>
      <c r="AT706" s="82"/>
      <c r="AU706" s="82"/>
      <c r="AV706" s="82"/>
      <c r="AW706" s="82"/>
      <c r="AX706" s="82"/>
      <c r="AY706" s="81"/>
      <c r="AZ706" s="82"/>
      <c r="BA706" s="82"/>
      <c r="BB706" s="82"/>
      <c r="BC706" s="82"/>
      <c r="BD706" s="82"/>
      <c r="BE706" s="82"/>
      <c r="BF706" s="82"/>
      <c r="BG706" s="82"/>
      <c r="BH706" s="82"/>
      <c r="BI706" s="82"/>
    </row>
    <row r="707">
      <c r="K707" s="79"/>
      <c r="U707" s="79"/>
      <c r="AE707" s="79"/>
      <c r="AF707" s="82"/>
      <c r="AG707" s="82"/>
      <c r="AH707" s="82"/>
      <c r="AI707" s="82"/>
      <c r="AJ707" s="82"/>
      <c r="AK707" s="82"/>
      <c r="AL707" s="82"/>
      <c r="AM707" s="82"/>
      <c r="AN707" s="82"/>
      <c r="AO707" s="81"/>
      <c r="AP707" s="82"/>
      <c r="AQ707" s="82"/>
      <c r="AR707" s="82"/>
      <c r="AS707" s="82"/>
      <c r="AT707" s="82"/>
      <c r="AU707" s="82"/>
      <c r="AV707" s="82"/>
      <c r="AW707" s="82"/>
      <c r="AX707" s="82"/>
      <c r="AY707" s="81"/>
      <c r="AZ707" s="82"/>
      <c r="BA707" s="82"/>
      <c r="BB707" s="82"/>
      <c r="BC707" s="82"/>
      <c r="BD707" s="82"/>
      <c r="BE707" s="82"/>
      <c r="BF707" s="82"/>
      <c r="BG707" s="82"/>
      <c r="BH707" s="82"/>
      <c r="BI707" s="82"/>
    </row>
    <row r="708">
      <c r="K708" s="79"/>
      <c r="U708" s="79"/>
      <c r="AE708" s="79"/>
      <c r="AF708" s="82"/>
      <c r="AG708" s="82"/>
      <c r="AH708" s="82"/>
      <c r="AI708" s="82"/>
      <c r="AJ708" s="82"/>
      <c r="AK708" s="82"/>
      <c r="AL708" s="82"/>
      <c r="AM708" s="82"/>
      <c r="AN708" s="82"/>
      <c r="AO708" s="81"/>
      <c r="AP708" s="82"/>
      <c r="AQ708" s="82"/>
      <c r="AR708" s="82"/>
      <c r="AS708" s="82"/>
      <c r="AT708" s="82"/>
      <c r="AU708" s="82"/>
      <c r="AV708" s="82"/>
      <c r="AW708" s="82"/>
      <c r="AX708" s="82"/>
      <c r="AY708" s="81"/>
      <c r="AZ708" s="82"/>
      <c r="BA708" s="82"/>
      <c r="BB708" s="82"/>
      <c r="BC708" s="82"/>
      <c r="BD708" s="82"/>
      <c r="BE708" s="82"/>
      <c r="BF708" s="82"/>
      <c r="BG708" s="82"/>
      <c r="BH708" s="82"/>
      <c r="BI708" s="82"/>
    </row>
    <row r="709">
      <c r="K709" s="79"/>
      <c r="U709" s="79"/>
      <c r="AE709" s="79"/>
      <c r="AF709" s="82"/>
      <c r="AG709" s="82"/>
      <c r="AH709" s="82"/>
      <c r="AI709" s="82"/>
      <c r="AJ709" s="82"/>
      <c r="AK709" s="82"/>
      <c r="AL709" s="82"/>
      <c r="AM709" s="82"/>
      <c r="AN709" s="82"/>
      <c r="AO709" s="81"/>
      <c r="AP709" s="82"/>
      <c r="AQ709" s="82"/>
      <c r="AR709" s="82"/>
      <c r="AS709" s="82"/>
      <c r="AT709" s="82"/>
      <c r="AU709" s="82"/>
      <c r="AV709" s="82"/>
      <c r="AW709" s="82"/>
      <c r="AX709" s="82"/>
      <c r="AY709" s="81"/>
      <c r="AZ709" s="82"/>
      <c r="BA709" s="82"/>
      <c r="BB709" s="82"/>
      <c r="BC709" s="82"/>
      <c r="BD709" s="82"/>
      <c r="BE709" s="82"/>
      <c r="BF709" s="82"/>
      <c r="BG709" s="82"/>
      <c r="BH709" s="82"/>
      <c r="BI709" s="82"/>
    </row>
    <row r="710">
      <c r="K710" s="79"/>
      <c r="U710" s="79"/>
      <c r="AE710" s="79"/>
      <c r="AF710" s="82"/>
      <c r="AG710" s="82"/>
      <c r="AH710" s="82"/>
      <c r="AI710" s="82"/>
      <c r="AJ710" s="82"/>
      <c r="AK710" s="82"/>
      <c r="AL710" s="82"/>
      <c r="AM710" s="82"/>
      <c r="AN710" s="82"/>
      <c r="AO710" s="81"/>
      <c r="AP710" s="82"/>
      <c r="AQ710" s="82"/>
      <c r="AR710" s="82"/>
      <c r="AS710" s="82"/>
      <c r="AT710" s="82"/>
      <c r="AU710" s="82"/>
      <c r="AV710" s="82"/>
      <c r="AW710" s="82"/>
      <c r="AX710" s="82"/>
      <c r="AY710" s="81"/>
      <c r="AZ710" s="82"/>
      <c r="BA710" s="82"/>
      <c r="BB710" s="82"/>
      <c r="BC710" s="82"/>
      <c r="BD710" s="82"/>
      <c r="BE710" s="82"/>
      <c r="BF710" s="82"/>
      <c r="BG710" s="82"/>
      <c r="BH710" s="82"/>
      <c r="BI710" s="82"/>
    </row>
    <row r="711">
      <c r="K711" s="79"/>
      <c r="U711" s="79"/>
      <c r="AE711" s="79"/>
      <c r="AF711" s="82"/>
      <c r="AG711" s="82"/>
      <c r="AH711" s="82"/>
      <c r="AI711" s="82"/>
      <c r="AJ711" s="82"/>
      <c r="AK711" s="82"/>
      <c r="AL711" s="82"/>
      <c r="AM711" s="82"/>
      <c r="AN711" s="82"/>
      <c r="AO711" s="81"/>
      <c r="AP711" s="82"/>
      <c r="AQ711" s="82"/>
      <c r="AR711" s="82"/>
      <c r="AS711" s="82"/>
      <c r="AT711" s="82"/>
      <c r="AU711" s="82"/>
      <c r="AV711" s="82"/>
      <c r="AW711" s="82"/>
      <c r="AX711" s="82"/>
      <c r="AY711" s="81"/>
      <c r="AZ711" s="82"/>
      <c r="BA711" s="82"/>
      <c r="BB711" s="82"/>
      <c r="BC711" s="82"/>
      <c r="BD711" s="82"/>
      <c r="BE711" s="82"/>
      <c r="BF711" s="82"/>
      <c r="BG711" s="82"/>
      <c r="BH711" s="82"/>
      <c r="BI711" s="82"/>
    </row>
    <row r="712">
      <c r="K712" s="79"/>
      <c r="U712" s="79"/>
      <c r="AE712" s="79"/>
      <c r="AF712" s="82"/>
      <c r="AG712" s="82"/>
      <c r="AH712" s="82"/>
      <c r="AI712" s="82"/>
      <c r="AJ712" s="82"/>
      <c r="AK712" s="82"/>
      <c r="AL712" s="82"/>
      <c r="AM712" s="82"/>
      <c r="AN712" s="82"/>
      <c r="AO712" s="81"/>
      <c r="AP712" s="82"/>
      <c r="AQ712" s="82"/>
      <c r="AR712" s="82"/>
      <c r="AS712" s="82"/>
      <c r="AT712" s="82"/>
      <c r="AU712" s="82"/>
      <c r="AV712" s="82"/>
      <c r="AW712" s="82"/>
      <c r="AX712" s="82"/>
      <c r="AY712" s="81"/>
      <c r="AZ712" s="82"/>
      <c r="BA712" s="82"/>
      <c r="BB712" s="82"/>
      <c r="BC712" s="82"/>
      <c r="BD712" s="82"/>
      <c r="BE712" s="82"/>
      <c r="BF712" s="82"/>
      <c r="BG712" s="82"/>
      <c r="BH712" s="82"/>
      <c r="BI712" s="82"/>
    </row>
    <row r="713">
      <c r="K713" s="79"/>
      <c r="U713" s="79"/>
      <c r="AE713" s="79"/>
      <c r="AF713" s="82"/>
      <c r="AG713" s="82"/>
      <c r="AH713" s="82"/>
      <c r="AI713" s="82"/>
      <c r="AJ713" s="82"/>
      <c r="AK713" s="82"/>
      <c r="AL713" s="82"/>
      <c r="AM713" s="82"/>
      <c r="AN713" s="82"/>
      <c r="AO713" s="81"/>
      <c r="AP713" s="82"/>
      <c r="AQ713" s="82"/>
      <c r="AR713" s="82"/>
      <c r="AS713" s="82"/>
      <c r="AT713" s="82"/>
      <c r="AU713" s="82"/>
      <c r="AV713" s="82"/>
      <c r="AW713" s="82"/>
      <c r="AX713" s="82"/>
      <c r="AY713" s="81"/>
      <c r="AZ713" s="82"/>
      <c r="BA713" s="82"/>
      <c r="BB713" s="82"/>
      <c r="BC713" s="82"/>
      <c r="BD713" s="82"/>
      <c r="BE713" s="82"/>
      <c r="BF713" s="82"/>
      <c r="BG713" s="82"/>
      <c r="BH713" s="82"/>
      <c r="BI713" s="82"/>
    </row>
    <row r="714">
      <c r="K714" s="79"/>
      <c r="U714" s="79"/>
      <c r="AE714" s="79"/>
      <c r="AF714" s="82"/>
      <c r="AG714" s="82"/>
      <c r="AH714" s="82"/>
      <c r="AI714" s="82"/>
      <c r="AJ714" s="82"/>
      <c r="AK714" s="82"/>
      <c r="AL714" s="82"/>
      <c r="AM714" s="82"/>
      <c r="AN714" s="82"/>
      <c r="AO714" s="81"/>
      <c r="AP714" s="82"/>
      <c r="AQ714" s="82"/>
      <c r="AR714" s="82"/>
      <c r="AS714" s="82"/>
      <c r="AT714" s="82"/>
      <c r="AU714" s="82"/>
      <c r="AV714" s="82"/>
      <c r="AW714" s="82"/>
      <c r="AX714" s="82"/>
      <c r="AY714" s="81"/>
      <c r="AZ714" s="82"/>
      <c r="BA714" s="82"/>
      <c r="BB714" s="82"/>
      <c r="BC714" s="82"/>
      <c r="BD714" s="82"/>
      <c r="BE714" s="82"/>
      <c r="BF714" s="82"/>
      <c r="BG714" s="82"/>
      <c r="BH714" s="82"/>
      <c r="BI714" s="82"/>
    </row>
    <row r="715">
      <c r="K715" s="79"/>
      <c r="U715" s="79"/>
      <c r="AE715" s="79"/>
      <c r="AF715" s="82"/>
      <c r="AG715" s="82"/>
      <c r="AH715" s="82"/>
      <c r="AI715" s="82"/>
      <c r="AJ715" s="82"/>
      <c r="AK715" s="82"/>
      <c r="AL715" s="82"/>
      <c r="AM715" s="82"/>
      <c r="AN715" s="82"/>
      <c r="AO715" s="81"/>
      <c r="AP715" s="82"/>
      <c r="AQ715" s="82"/>
      <c r="AR715" s="82"/>
      <c r="AS715" s="82"/>
      <c r="AT715" s="82"/>
      <c r="AU715" s="82"/>
      <c r="AV715" s="82"/>
      <c r="AW715" s="82"/>
      <c r="AX715" s="82"/>
      <c r="AY715" s="81"/>
      <c r="AZ715" s="82"/>
      <c r="BA715" s="82"/>
      <c r="BB715" s="82"/>
      <c r="BC715" s="82"/>
      <c r="BD715" s="82"/>
      <c r="BE715" s="82"/>
      <c r="BF715" s="82"/>
      <c r="BG715" s="82"/>
      <c r="BH715" s="82"/>
      <c r="BI715" s="82"/>
    </row>
    <row r="716">
      <c r="K716" s="79"/>
      <c r="U716" s="79"/>
      <c r="AE716" s="79"/>
      <c r="AF716" s="82"/>
      <c r="AG716" s="82"/>
      <c r="AH716" s="82"/>
      <c r="AI716" s="82"/>
      <c r="AJ716" s="82"/>
      <c r="AK716" s="82"/>
      <c r="AL716" s="82"/>
      <c r="AM716" s="82"/>
      <c r="AN716" s="82"/>
      <c r="AO716" s="81"/>
      <c r="AP716" s="82"/>
      <c r="AQ716" s="82"/>
      <c r="AR716" s="82"/>
      <c r="AS716" s="82"/>
      <c r="AT716" s="82"/>
      <c r="AU716" s="82"/>
      <c r="AV716" s="82"/>
      <c r="AW716" s="82"/>
      <c r="AX716" s="82"/>
      <c r="AY716" s="81"/>
      <c r="AZ716" s="82"/>
      <c r="BA716" s="82"/>
      <c r="BB716" s="82"/>
      <c r="BC716" s="82"/>
      <c r="BD716" s="82"/>
      <c r="BE716" s="82"/>
      <c r="BF716" s="82"/>
      <c r="BG716" s="82"/>
      <c r="BH716" s="82"/>
      <c r="BI716" s="82"/>
    </row>
    <row r="717">
      <c r="K717" s="79"/>
      <c r="U717" s="79"/>
      <c r="AE717" s="79"/>
      <c r="AF717" s="82"/>
      <c r="AG717" s="82"/>
      <c r="AH717" s="82"/>
      <c r="AI717" s="82"/>
      <c r="AJ717" s="82"/>
      <c r="AK717" s="82"/>
      <c r="AL717" s="82"/>
      <c r="AM717" s="82"/>
      <c r="AN717" s="82"/>
      <c r="AO717" s="81"/>
      <c r="AP717" s="82"/>
      <c r="AQ717" s="82"/>
      <c r="AR717" s="82"/>
      <c r="AS717" s="82"/>
      <c r="AT717" s="82"/>
      <c r="AU717" s="82"/>
      <c r="AV717" s="82"/>
      <c r="AW717" s="82"/>
      <c r="AX717" s="82"/>
      <c r="AY717" s="81"/>
      <c r="AZ717" s="82"/>
      <c r="BA717" s="82"/>
      <c r="BB717" s="82"/>
      <c r="BC717" s="82"/>
      <c r="BD717" s="82"/>
      <c r="BE717" s="82"/>
      <c r="BF717" s="82"/>
      <c r="BG717" s="82"/>
      <c r="BH717" s="82"/>
      <c r="BI717" s="82"/>
    </row>
    <row r="718">
      <c r="K718" s="79"/>
      <c r="U718" s="79"/>
      <c r="AE718" s="79"/>
      <c r="AF718" s="82"/>
      <c r="AG718" s="82"/>
      <c r="AH718" s="82"/>
      <c r="AI718" s="82"/>
      <c r="AJ718" s="82"/>
      <c r="AK718" s="82"/>
      <c r="AL718" s="82"/>
      <c r="AM718" s="82"/>
      <c r="AN718" s="82"/>
      <c r="AO718" s="81"/>
      <c r="AP718" s="82"/>
      <c r="AQ718" s="82"/>
      <c r="AR718" s="82"/>
      <c r="AS718" s="82"/>
      <c r="AT718" s="82"/>
      <c r="AU718" s="82"/>
      <c r="AV718" s="82"/>
      <c r="AW718" s="82"/>
      <c r="AX718" s="82"/>
      <c r="AY718" s="81"/>
      <c r="AZ718" s="82"/>
      <c r="BA718" s="82"/>
      <c r="BB718" s="82"/>
      <c r="BC718" s="82"/>
      <c r="BD718" s="82"/>
      <c r="BE718" s="82"/>
      <c r="BF718" s="82"/>
      <c r="BG718" s="82"/>
      <c r="BH718" s="82"/>
      <c r="BI718" s="82"/>
    </row>
    <row r="719">
      <c r="K719" s="79"/>
      <c r="U719" s="79"/>
      <c r="AE719" s="79"/>
      <c r="AF719" s="82"/>
      <c r="AG719" s="82"/>
      <c r="AH719" s="82"/>
      <c r="AI719" s="82"/>
      <c r="AJ719" s="82"/>
      <c r="AK719" s="82"/>
      <c r="AL719" s="82"/>
      <c r="AM719" s="82"/>
      <c r="AN719" s="82"/>
      <c r="AO719" s="81"/>
      <c r="AP719" s="82"/>
      <c r="AQ719" s="82"/>
      <c r="AR719" s="82"/>
      <c r="AS719" s="82"/>
      <c r="AT719" s="82"/>
      <c r="AU719" s="82"/>
      <c r="AV719" s="82"/>
      <c r="AW719" s="82"/>
      <c r="AX719" s="82"/>
      <c r="AY719" s="81"/>
      <c r="AZ719" s="82"/>
      <c r="BA719" s="82"/>
      <c r="BB719" s="82"/>
      <c r="BC719" s="82"/>
      <c r="BD719" s="82"/>
      <c r="BE719" s="82"/>
      <c r="BF719" s="82"/>
      <c r="BG719" s="82"/>
      <c r="BH719" s="82"/>
      <c r="BI719" s="82"/>
    </row>
    <row r="720">
      <c r="K720" s="79"/>
      <c r="U720" s="79"/>
      <c r="AE720" s="79"/>
      <c r="AF720" s="82"/>
      <c r="AG720" s="82"/>
      <c r="AH720" s="82"/>
      <c r="AI720" s="82"/>
      <c r="AJ720" s="82"/>
      <c r="AK720" s="82"/>
      <c r="AL720" s="82"/>
      <c r="AM720" s="82"/>
      <c r="AN720" s="82"/>
      <c r="AO720" s="81"/>
      <c r="AP720" s="82"/>
      <c r="AQ720" s="82"/>
      <c r="AR720" s="82"/>
      <c r="AS720" s="82"/>
      <c r="AT720" s="82"/>
      <c r="AU720" s="82"/>
      <c r="AV720" s="82"/>
      <c r="AW720" s="82"/>
      <c r="AX720" s="82"/>
      <c r="AY720" s="81"/>
      <c r="AZ720" s="82"/>
      <c r="BA720" s="82"/>
      <c r="BB720" s="82"/>
      <c r="BC720" s="82"/>
      <c r="BD720" s="82"/>
      <c r="BE720" s="82"/>
      <c r="BF720" s="82"/>
      <c r="BG720" s="82"/>
      <c r="BH720" s="82"/>
      <c r="BI720" s="82"/>
    </row>
    <row r="721">
      <c r="K721" s="79"/>
      <c r="U721" s="79"/>
      <c r="AE721" s="79"/>
      <c r="AF721" s="82"/>
      <c r="AG721" s="82"/>
      <c r="AH721" s="82"/>
      <c r="AI721" s="82"/>
      <c r="AJ721" s="82"/>
      <c r="AK721" s="82"/>
      <c r="AL721" s="82"/>
      <c r="AM721" s="82"/>
      <c r="AN721" s="82"/>
      <c r="AO721" s="81"/>
      <c r="AP721" s="82"/>
      <c r="AQ721" s="82"/>
      <c r="AR721" s="82"/>
      <c r="AS721" s="82"/>
      <c r="AT721" s="82"/>
      <c r="AU721" s="82"/>
      <c r="AV721" s="82"/>
      <c r="AW721" s="82"/>
      <c r="AX721" s="82"/>
      <c r="AY721" s="81"/>
      <c r="AZ721" s="82"/>
      <c r="BA721" s="82"/>
      <c r="BB721" s="82"/>
      <c r="BC721" s="82"/>
      <c r="BD721" s="82"/>
      <c r="BE721" s="82"/>
      <c r="BF721" s="82"/>
      <c r="BG721" s="82"/>
      <c r="BH721" s="82"/>
      <c r="BI721" s="82"/>
    </row>
    <row r="722">
      <c r="K722" s="79"/>
      <c r="U722" s="79"/>
      <c r="AE722" s="79"/>
      <c r="AF722" s="82"/>
      <c r="AG722" s="82"/>
      <c r="AH722" s="82"/>
      <c r="AI722" s="82"/>
      <c r="AJ722" s="82"/>
      <c r="AK722" s="82"/>
      <c r="AL722" s="82"/>
      <c r="AM722" s="82"/>
      <c r="AN722" s="82"/>
      <c r="AO722" s="81"/>
      <c r="AP722" s="82"/>
      <c r="AQ722" s="82"/>
      <c r="AR722" s="82"/>
      <c r="AS722" s="82"/>
      <c r="AT722" s="82"/>
      <c r="AU722" s="82"/>
      <c r="AV722" s="82"/>
      <c r="AW722" s="82"/>
      <c r="AX722" s="82"/>
      <c r="AY722" s="81"/>
      <c r="AZ722" s="82"/>
      <c r="BA722" s="82"/>
      <c r="BB722" s="82"/>
      <c r="BC722" s="82"/>
      <c r="BD722" s="82"/>
      <c r="BE722" s="82"/>
      <c r="BF722" s="82"/>
      <c r="BG722" s="82"/>
      <c r="BH722" s="82"/>
      <c r="BI722" s="82"/>
    </row>
    <row r="723">
      <c r="K723" s="79"/>
      <c r="U723" s="79"/>
      <c r="AE723" s="79"/>
      <c r="AF723" s="82"/>
      <c r="AG723" s="82"/>
      <c r="AH723" s="82"/>
      <c r="AI723" s="82"/>
      <c r="AJ723" s="82"/>
      <c r="AK723" s="82"/>
      <c r="AL723" s="82"/>
      <c r="AM723" s="82"/>
      <c r="AN723" s="82"/>
      <c r="AO723" s="81"/>
      <c r="AP723" s="82"/>
      <c r="AQ723" s="82"/>
      <c r="AR723" s="82"/>
      <c r="AS723" s="82"/>
      <c r="AT723" s="82"/>
      <c r="AU723" s="82"/>
      <c r="AV723" s="82"/>
      <c r="AW723" s="82"/>
      <c r="AX723" s="82"/>
      <c r="AY723" s="81"/>
      <c r="AZ723" s="82"/>
      <c r="BA723" s="82"/>
      <c r="BB723" s="82"/>
      <c r="BC723" s="82"/>
      <c r="BD723" s="82"/>
      <c r="BE723" s="82"/>
      <c r="BF723" s="82"/>
      <c r="BG723" s="82"/>
      <c r="BH723" s="82"/>
      <c r="BI723" s="82"/>
    </row>
    <row r="724">
      <c r="K724" s="79"/>
      <c r="U724" s="79"/>
      <c r="AE724" s="79"/>
      <c r="AF724" s="82"/>
      <c r="AG724" s="82"/>
      <c r="AH724" s="82"/>
      <c r="AI724" s="82"/>
      <c r="AJ724" s="82"/>
      <c r="AK724" s="82"/>
      <c r="AL724" s="82"/>
      <c r="AM724" s="82"/>
      <c r="AN724" s="82"/>
      <c r="AO724" s="81"/>
      <c r="AP724" s="82"/>
      <c r="AQ724" s="82"/>
      <c r="AR724" s="82"/>
      <c r="AS724" s="82"/>
      <c r="AT724" s="82"/>
      <c r="AU724" s="82"/>
      <c r="AV724" s="82"/>
      <c r="AW724" s="82"/>
      <c r="AX724" s="82"/>
      <c r="AY724" s="81"/>
      <c r="AZ724" s="82"/>
      <c r="BA724" s="82"/>
      <c r="BB724" s="82"/>
      <c r="BC724" s="82"/>
      <c r="BD724" s="82"/>
      <c r="BE724" s="82"/>
      <c r="BF724" s="82"/>
      <c r="BG724" s="82"/>
      <c r="BH724" s="82"/>
      <c r="BI724" s="82"/>
    </row>
    <row r="725">
      <c r="K725" s="79"/>
      <c r="U725" s="79"/>
      <c r="AE725" s="79"/>
      <c r="AF725" s="82"/>
      <c r="AG725" s="82"/>
      <c r="AH725" s="82"/>
      <c r="AI725" s="82"/>
      <c r="AJ725" s="82"/>
      <c r="AK725" s="82"/>
      <c r="AL725" s="82"/>
      <c r="AM725" s="82"/>
      <c r="AN725" s="82"/>
      <c r="AO725" s="81"/>
      <c r="AP725" s="82"/>
      <c r="AQ725" s="82"/>
      <c r="AR725" s="82"/>
      <c r="AS725" s="82"/>
      <c r="AT725" s="82"/>
      <c r="AU725" s="82"/>
      <c r="AV725" s="82"/>
      <c r="AW725" s="82"/>
      <c r="AX725" s="82"/>
      <c r="AY725" s="81"/>
      <c r="AZ725" s="82"/>
      <c r="BA725" s="82"/>
      <c r="BB725" s="82"/>
      <c r="BC725" s="82"/>
      <c r="BD725" s="82"/>
      <c r="BE725" s="82"/>
      <c r="BF725" s="82"/>
      <c r="BG725" s="82"/>
      <c r="BH725" s="82"/>
      <c r="BI725" s="82"/>
    </row>
    <row r="726">
      <c r="K726" s="79"/>
      <c r="U726" s="79"/>
      <c r="AE726" s="79"/>
      <c r="AF726" s="82"/>
      <c r="AG726" s="82"/>
      <c r="AH726" s="82"/>
      <c r="AI726" s="82"/>
      <c r="AJ726" s="82"/>
      <c r="AK726" s="82"/>
      <c r="AL726" s="82"/>
      <c r="AM726" s="82"/>
      <c r="AN726" s="82"/>
      <c r="AO726" s="81"/>
      <c r="AP726" s="82"/>
      <c r="AQ726" s="82"/>
      <c r="AR726" s="82"/>
      <c r="AS726" s="82"/>
      <c r="AT726" s="82"/>
      <c r="AU726" s="82"/>
      <c r="AV726" s="82"/>
      <c r="AW726" s="82"/>
      <c r="AX726" s="82"/>
      <c r="AY726" s="81"/>
      <c r="AZ726" s="82"/>
      <c r="BA726" s="82"/>
      <c r="BB726" s="82"/>
      <c r="BC726" s="82"/>
      <c r="BD726" s="82"/>
      <c r="BE726" s="82"/>
      <c r="BF726" s="82"/>
      <c r="BG726" s="82"/>
      <c r="BH726" s="82"/>
      <c r="BI726" s="82"/>
    </row>
    <row r="727">
      <c r="K727" s="79"/>
      <c r="U727" s="79"/>
      <c r="AE727" s="79"/>
      <c r="AF727" s="82"/>
      <c r="AG727" s="82"/>
      <c r="AH727" s="82"/>
      <c r="AI727" s="82"/>
      <c r="AJ727" s="82"/>
      <c r="AK727" s="82"/>
      <c r="AL727" s="82"/>
      <c r="AM727" s="82"/>
      <c r="AN727" s="82"/>
      <c r="AO727" s="81"/>
      <c r="AP727" s="82"/>
      <c r="AQ727" s="82"/>
      <c r="AR727" s="82"/>
      <c r="AS727" s="82"/>
      <c r="AT727" s="82"/>
      <c r="AU727" s="82"/>
      <c r="AV727" s="82"/>
      <c r="AW727" s="82"/>
      <c r="AX727" s="82"/>
      <c r="AY727" s="81"/>
      <c r="AZ727" s="82"/>
      <c r="BA727" s="82"/>
      <c r="BB727" s="82"/>
      <c r="BC727" s="82"/>
      <c r="BD727" s="82"/>
      <c r="BE727" s="82"/>
      <c r="BF727" s="82"/>
      <c r="BG727" s="82"/>
      <c r="BH727" s="82"/>
      <c r="BI727" s="82"/>
    </row>
    <row r="728">
      <c r="K728" s="79"/>
      <c r="U728" s="79"/>
      <c r="AE728" s="79"/>
      <c r="AF728" s="82"/>
      <c r="AG728" s="82"/>
      <c r="AH728" s="82"/>
      <c r="AI728" s="82"/>
      <c r="AJ728" s="82"/>
      <c r="AK728" s="82"/>
      <c r="AL728" s="82"/>
      <c r="AM728" s="82"/>
      <c r="AN728" s="82"/>
      <c r="AO728" s="81"/>
      <c r="AP728" s="82"/>
      <c r="AQ728" s="82"/>
      <c r="AR728" s="82"/>
      <c r="AS728" s="82"/>
      <c r="AT728" s="82"/>
      <c r="AU728" s="82"/>
      <c r="AV728" s="82"/>
      <c r="AW728" s="82"/>
      <c r="AX728" s="82"/>
      <c r="AY728" s="81"/>
      <c r="AZ728" s="82"/>
      <c r="BA728" s="82"/>
      <c r="BB728" s="82"/>
      <c r="BC728" s="82"/>
      <c r="BD728" s="82"/>
      <c r="BE728" s="82"/>
      <c r="BF728" s="82"/>
      <c r="BG728" s="82"/>
      <c r="BH728" s="82"/>
      <c r="BI728" s="82"/>
    </row>
    <row r="729">
      <c r="K729" s="79"/>
      <c r="U729" s="79"/>
      <c r="AE729" s="79"/>
      <c r="AF729" s="82"/>
      <c r="AG729" s="82"/>
      <c r="AH729" s="82"/>
      <c r="AI729" s="82"/>
      <c r="AJ729" s="82"/>
      <c r="AK729" s="82"/>
      <c r="AL729" s="82"/>
      <c r="AM729" s="82"/>
      <c r="AN729" s="82"/>
      <c r="AO729" s="81"/>
      <c r="AP729" s="82"/>
      <c r="AQ729" s="82"/>
      <c r="AR729" s="82"/>
      <c r="AS729" s="82"/>
      <c r="AT729" s="82"/>
      <c r="AU729" s="82"/>
      <c r="AV729" s="82"/>
      <c r="AW729" s="82"/>
      <c r="AX729" s="82"/>
      <c r="AY729" s="81"/>
      <c r="AZ729" s="82"/>
      <c r="BA729" s="82"/>
      <c r="BB729" s="82"/>
      <c r="BC729" s="82"/>
      <c r="BD729" s="82"/>
      <c r="BE729" s="82"/>
      <c r="BF729" s="82"/>
      <c r="BG729" s="82"/>
      <c r="BH729" s="82"/>
      <c r="BI729" s="82"/>
    </row>
    <row r="730">
      <c r="K730" s="79"/>
      <c r="U730" s="79"/>
      <c r="AE730" s="79"/>
      <c r="AF730" s="82"/>
      <c r="AG730" s="82"/>
      <c r="AH730" s="82"/>
      <c r="AI730" s="82"/>
      <c r="AJ730" s="82"/>
      <c r="AK730" s="82"/>
      <c r="AL730" s="82"/>
      <c r="AM730" s="82"/>
      <c r="AN730" s="82"/>
      <c r="AO730" s="81"/>
      <c r="AP730" s="82"/>
      <c r="AQ730" s="82"/>
      <c r="AR730" s="82"/>
      <c r="AS730" s="82"/>
      <c r="AT730" s="82"/>
      <c r="AU730" s="82"/>
      <c r="AV730" s="82"/>
      <c r="AW730" s="82"/>
      <c r="AX730" s="82"/>
      <c r="AY730" s="81"/>
      <c r="AZ730" s="82"/>
      <c r="BA730" s="82"/>
      <c r="BB730" s="82"/>
      <c r="BC730" s="82"/>
      <c r="BD730" s="82"/>
      <c r="BE730" s="82"/>
      <c r="BF730" s="82"/>
      <c r="BG730" s="82"/>
      <c r="BH730" s="82"/>
      <c r="BI730" s="82"/>
    </row>
    <row r="731">
      <c r="K731" s="79"/>
      <c r="U731" s="79"/>
      <c r="AE731" s="79"/>
      <c r="AF731" s="82"/>
      <c r="AG731" s="82"/>
      <c r="AH731" s="82"/>
      <c r="AI731" s="82"/>
      <c r="AJ731" s="82"/>
      <c r="AK731" s="82"/>
      <c r="AL731" s="82"/>
      <c r="AM731" s="82"/>
      <c r="AN731" s="82"/>
      <c r="AO731" s="81"/>
      <c r="AP731" s="82"/>
      <c r="AQ731" s="82"/>
      <c r="AR731" s="82"/>
      <c r="AS731" s="82"/>
      <c r="AT731" s="82"/>
      <c r="AU731" s="82"/>
      <c r="AV731" s="82"/>
      <c r="AW731" s="82"/>
      <c r="AX731" s="82"/>
      <c r="AY731" s="81"/>
      <c r="AZ731" s="82"/>
      <c r="BA731" s="82"/>
      <c r="BB731" s="82"/>
      <c r="BC731" s="82"/>
      <c r="BD731" s="82"/>
      <c r="BE731" s="82"/>
      <c r="BF731" s="82"/>
      <c r="BG731" s="82"/>
      <c r="BH731" s="82"/>
      <c r="BI731" s="82"/>
    </row>
    <row r="732">
      <c r="K732" s="79"/>
      <c r="U732" s="79"/>
      <c r="AE732" s="79"/>
      <c r="AF732" s="82"/>
      <c r="AG732" s="82"/>
      <c r="AH732" s="82"/>
      <c r="AI732" s="82"/>
      <c r="AJ732" s="82"/>
      <c r="AK732" s="82"/>
      <c r="AL732" s="82"/>
      <c r="AM732" s="82"/>
      <c r="AN732" s="82"/>
      <c r="AO732" s="81"/>
      <c r="AP732" s="82"/>
      <c r="AQ732" s="82"/>
      <c r="AR732" s="82"/>
      <c r="AS732" s="82"/>
      <c r="AT732" s="82"/>
      <c r="AU732" s="82"/>
      <c r="AV732" s="82"/>
      <c r="AW732" s="82"/>
      <c r="AX732" s="82"/>
      <c r="AY732" s="81"/>
      <c r="AZ732" s="82"/>
      <c r="BA732" s="82"/>
      <c r="BB732" s="82"/>
      <c r="BC732" s="82"/>
      <c r="BD732" s="82"/>
      <c r="BE732" s="82"/>
      <c r="BF732" s="82"/>
      <c r="BG732" s="82"/>
      <c r="BH732" s="82"/>
      <c r="BI732" s="82"/>
    </row>
    <row r="733">
      <c r="K733" s="79"/>
      <c r="U733" s="79"/>
      <c r="AE733" s="79"/>
      <c r="AF733" s="82"/>
      <c r="AG733" s="82"/>
      <c r="AH733" s="82"/>
      <c r="AI733" s="82"/>
      <c r="AJ733" s="82"/>
      <c r="AK733" s="82"/>
      <c r="AL733" s="82"/>
      <c r="AM733" s="82"/>
      <c r="AN733" s="82"/>
      <c r="AO733" s="81"/>
      <c r="AP733" s="82"/>
      <c r="AQ733" s="82"/>
      <c r="AR733" s="82"/>
      <c r="AS733" s="82"/>
      <c r="AT733" s="82"/>
      <c r="AU733" s="82"/>
      <c r="AV733" s="82"/>
      <c r="AW733" s="82"/>
      <c r="AX733" s="82"/>
      <c r="AY733" s="81"/>
      <c r="AZ733" s="82"/>
      <c r="BA733" s="82"/>
      <c r="BB733" s="82"/>
      <c r="BC733" s="82"/>
      <c r="BD733" s="82"/>
      <c r="BE733" s="82"/>
      <c r="BF733" s="82"/>
      <c r="BG733" s="82"/>
      <c r="BH733" s="82"/>
      <c r="BI733" s="82"/>
    </row>
    <row r="734">
      <c r="K734" s="79"/>
      <c r="U734" s="79"/>
      <c r="AE734" s="79"/>
      <c r="AF734" s="82"/>
      <c r="AG734" s="82"/>
      <c r="AH734" s="82"/>
      <c r="AI734" s="82"/>
      <c r="AJ734" s="82"/>
      <c r="AK734" s="82"/>
      <c r="AL734" s="82"/>
      <c r="AM734" s="82"/>
      <c r="AN734" s="82"/>
      <c r="AO734" s="81"/>
      <c r="AP734" s="82"/>
      <c r="AQ734" s="82"/>
      <c r="AR734" s="82"/>
      <c r="AS734" s="82"/>
      <c r="AT734" s="82"/>
      <c r="AU734" s="82"/>
      <c r="AV734" s="82"/>
      <c r="AW734" s="82"/>
      <c r="AX734" s="82"/>
      <c r="AY734" s="81"/>
      <c r="AZ734" s="82"/>
      <c r="BA734" s="82"/>
      <c r="BB734" s="82"/>
      <c r="BC734" s="82"/>
      <c r="BD734" s="82"/>
      <c r="BE734" s="82"/>
      <c r="BF734" s="82"/>
      <c r="BG734" s="82"/>
      <c r="BH734" s="82"/>
      <c r="BI734" s="82"/>
    </row>
    <row r="735">
      <c r="K735" s="79"/>
      <c r="U735" s="79"/>
      <c r="AE735" s="79"/>
      <c r="AF735" s="82"/>
      <c r="AG735" s="82"/>
      <c r="AH735" s="82"/>
      <c r="AI735" s="82"/>
      <c r="AJ735" s="82"/>
      <c r="AK735" s="82"/>
      <c r="AL735" s="82"/>
      <c r="AM735" s="82"/>
      <c r="AN735" s="82"/>
      <c r="AO735" s="81"/>
      <c r="AP735" s="82"/>
      <c r="AQ735" s="82"/>
      <c r="AR735" s="82"/>
      <c r="AS735" s="82"/>
      <c r="AT735" s="82"/>
      <c r="AU735" s="82"/>
      <c r="AV735" s="82"/>
      <c r="AW735" s="82"/>
      <c r="AX735" s="82"/>
      <c r="AY735" s="81"/>
      <c r="AZ735" s="82"/>
      <c r="BA735" s="82"/>
      <c r="BB735" s="82"/>
      <c r="BC735" s="82"/>
      <c r="BD735" s="82"/>
      <c r="BE735" s="82"/>
      <c r="BF735" s="82"/>
      <c r="BG735" s="82"/>
      <c r="BH735" s="82"/>
      <c r="BI735" s="82"/>
    </row>
    <row r="736">
      <c r="K736" s="79"/>
      <c r="U736" s="79"/>
      <c r="AE736" s="79"/>
      <c r="AF736" s="82"/>
      <c r="AG736" s="82"/>
      <c r="AH736" s="82"/>
      <c r="AI736" s="82"/>
      <c r="AJ736" s="82"/>
      <c r="AK736" s="82"/>
      <c r="AL736" s="82"/>
      <c r="AM736" s="82"/>
      <c r="AN736" s="82"/>
      <c r="AO736" s="81"/>
      <c r="AP736" s="82"/>
      <c r="AQ736" s="82"/>
      <c r="AR736" s="82"/>
      <c r="AS736" s="82"/>
      <c r="AT736" s="82"/>
      <c r="AU736" s="82"/>
      <c r="AV736" s="82"/>
      <c r="AW736" s="82"/>
      <c r="AX736" s="82"/>
      <c r="AY736" s="81"/>
      <c r="AZ736" s="82"/>
      <c r="BA736" s="82"/>
      <c r="BB736" s="82"/>
      <c r="BC736" s="82"/>
      <c r="BD736" s="82"/>
      <c r="BE736" s="82"/>
      <c r="BF736" s="82"/>
      <c r="BG736" s="82"/>
      <c r="BH736" s="82"/>
      <c r="BI736" s="82"/>
    </row>
    <row r="737">
      <c r="K737" s="79"/>
      <c r="U737" s="79"/>
      <c r="AE737" s="79"/>
      <c r="AF737" s="82"/>
      <c r="AG737" s="82"/>
      <c r="AH737" s="82"/>
      <c r="AI737" s="82"/>
      <c r="AJ737" s="82"/>
      <c r="AK737" s="82"/>
      <c r="AL737" s="82"/>
      <c r="AM737" s="82"/>
      <c r="AN737" s="82"/>
      <c r="AO737" s="81"/>
      <c r="AP737" s="82"/>
      <c r="AQ737" s="82"/>
      <c r="AR737" s="82"/>
      <c r="AS737" s="82"/>
      <c r="AT737" s="82"/>
      <c r="AU737" s="82"/>
      <c r="AV737" s="82"/>
      <c r="AW737" s="82"/>
      <c r="AX737" s="82"/>
      <c r="AY737" s="81"/>
      <c r="AZ737" s="82"/>
      <c r="BA737" s="82"/>
      <c r="BB737" s="82"/>
      <c r="BC737" s="82"/>
      <c r="BD737" s="82"/>
      <c r="BE737" s="82"/>
      <c r="BF737" s="82"/>
      <c r="BG737" s="82"/>
      <c r="BH737" s="82"/>
      <c r="BI737" s="82"/>
    </row>
    <row r="738">
      <c r="K738" s="79"/>
      <c r="U738" s="79"/>
      <c r="AE738" s="79"/>
      <c r="AF738" s="82"/>
      <c r="AG738" s="82"/>
      <c r="AH738" s="82"/>
      <c r="AI738" s="82"/>
      <c r="AJ738" s="82"/>
      <c r="AK738" s="82"/>
      <c r="AL738" s="82"/>
      <c r="AM738" s="82"/>
      <c r="AN738" s="82"/>
      <c r="AO738" s="81"/>
      <c r="AP738" s="82"/>
      <c r="AQ738" s="82"/>
      <c r="AR738" s="82"/>
      <c r="AS738" s="82"/>
      <c r="AT738" s="82"/>
      <c r="AU738" s="82"/>
      <c r="AV738" s="82"/>
      <c r="AW738" s="82"/>
      <c r="AX738" s="82"/>
      <c r="AY738" s="81"/>
      <c r="AZ738" s="82"/>
      <c r="BA738" s="82"/>
      <c r="BB738" s="82"/>
      <c r="BC738" s="82"/>
      <c r="BD738" s="82"/>
      <c r="BE738" s="82"/>
      <c r="BF738" s="82"/>
      <c r="BG738" s="82"/>
      <c r="BH738" s="82"/>
      <c r="BI738" s="82"/>
    </row>
    <row r="739">
      <c r="K739" s="79"/>
      <c r="U739" s="79"/>
      <c r="AE739" s="79"/>
      <c r="AF739" s="82"/>
      <c r="AG739" s="82"/>
      <c r="AH739" s="82"/>
      <c r="AI739" s="82"/>
      <c r="AJ739" s="82"/>
      <c r="AK739" s="82"/>
      <c r="AL739" s="82"/>
      <c r="AM739" s="82"/>
      <c r="AN739" s="82"/>
      <c r="AO739" s="81"/>
      <c r="AP739" s="82"/>
      <c r="AQ739" s="82"/>
      <c r="AR739" s="82"/>
      <c r="AS739" s="82"/>
      <c r="AT739" s="82"/>
      <c r="AU739" s="82"/>
      <c r="AV739" s="82"/>
      <c r="AW739" s="82"/>
      <c r="AX739" s="82"/>
      <c r="AY739" s="81"/>
      <c r="AZ739" s="82"/>
      <c r="BA739" s="82"/>
      <c r="BB739" s="82"/>
      <c r="BC739" s="82"/>
      <c r="BD739" s="82"/>
      <c r="BE739" s="82"/>
      <c r="BF739" s="82"/>
      <c r="BG739" s="82"/>
      <c r="BH739" s="82"/>
      <c r="BI739" s="82"/>
    </row>
    <row r="740">
      <c r="K740" s="79"/>
      <c r="U740" s="79"/>
      <c r="AE740" s="79"/>
      <c r="AF740" s="82"/>
      <c r="AG740" s="82"/>
      <c r="AH740" s="82"/>
      <c r="AI740" s="82"/>
      <c r="AJ740" s="82"/>
      <c r="AK740" s="82"/>
      <c r="AL740" s="82"/>
      <c r="AM740" s="82"/>
      <c r="AN740" s="82"/>
      <c r="AO740" s="81"/>
      <c r="AP740" s="82"/>
      <c r="AQ740" s="82"/>
      <c r="AR740" s="82"/>
      <c r="AS740" s="82"/>
      <c r="AT740" s="82"/>
      <c r="AU740" s="82"/>
      <c r="AV740" s="82"/>
      <c r="AW740" s="82"/>
      <c r="AX740" s="82"/>
      <c r="AY740" s="81"/>
      <c r="AZ740" s="82"/>
      <c r="BA740" s="82"/>
      <c r="BB740" s="82"/>
      <c r="BC740" s="82"/>
      <c r="BD740" s="82"/>
      <c r="BE740" s="82"/>
      <c r="BF740" s="82"/>
      <c r="BG740" s="82"/>
      <c r="BH740" s="82"/>
      <c r="BI740" s="82"/>
    </row>
    <row r="741">
      <c r="K741" s="79"/>
      <c r="U741" s="79"/>
      <c r="AE741" s="79"/>
      <c r="AF741" s="82"/>
      <c r="AG741" s="82"/>
      <c r="AH741" s="82"/>
      <c r="AI741" s="82"/>
      <c r="AJ741" s="82"/>
      <c r="AK741" s="82"/>
      <c r="AL741" s="82"/>
      <c r="AM741" s="82"/>
      <c r="AN741" s="82"/>
      <c r="AO741" s="81"/>
      <c r="AP741" s="82"/>
      <c r="AQ741" s="82"/>
      <c r="AR741" s="82"/>
      <c r="AS741" s="82"/>
      <c r="AT741" s="82"/>
      <c r="AU741" s="82"/>
      <c r="AV741" s="82"/>
      <c r="AW741" s="82"/>
      <c r="AX741" s="82"/>
      <c r="AY741" s="81"/>
      <c r="AZ741" s="82"/>
      <c r="BA741" s="82"/>
      <c r="BB741" s="82"/>
      <c r="BC741" s="82"/>
      <c r="BD741" s="82"/>
      <c r="BE741" s="82"/>
      <c r="BF741" s="82"/>
      <c r="BG741" s="82"/>
      <c r="BH741" s="82"/>
      <c r="BI741" s="82"/>
    </row>
    <row r="742">
      <c r="K742" s="79"/>
      <c r="U742" s="79"/>
      <c r="AE742" s="79"/>
      <c r="AF742" s="82"/>
      <c r="AG742" s="82"/>
      <c r="AH742" s="82"/>
      <c r="AI742" s="82"/>
      <c r="AJ742" s="82"/>
      <c r="AK742" s="82"/>
      <c r="AL742" s="82"/>
      <c r="AM742" s="82"/>
      <c r="AN742" s="82"/>
      <c r="AO742" s="81"/>
      <c r="AP742" s="82"/>
      <c r="AQ742" s="82"/>
      <c r="AR742" s="82"/>
      <c r="AS742" s="82"/>
      <c r="AT742" s="82"/>
      <c r="AU742" s="82"/>
      <c r="AV742" s="82"/>
      <c r="AW742" s="82"/>
      <c r="AX742" s="82"/>
      <c r="AY742" s="81"/>
      <c r="AZ742" s="82"/>
      <c r="BA742" s="82"/>
      <c r="BB742" s="82"/>
      <c r="BC742" s="82"/>
      <c r="BD742" s="82"/>
      <c r="BE742" s="82"/>
      <c r="BF742" s="82"/>
      <c r="BG742" s="82"/>
      <c r="BH742" s="82"/>
      <c r="BI742" s="82"/>
    </row>
    <row r="743">
      <c r="K743" s="79"/>
      <c r="U743" s="79"/>
      <c r="AE743" s="79"/>
      <c r="AF743" s="82"/>
      <c r="AG743" s="82"/>
      <c r="AH743" s="82"/>
      <c r="AI743" s="82"/>
      <c r="AJ743" s="82"/>
      <c r="AK743" s="82"/>
      <c r="AL743" s="82"/>
      <c r="AM743" s="82"/>
      <c r="AN743" s="82"/>
      <c r="AO743" s="81"/>
      <c r="AP743" s="82"/>
      <c r="AQ743" s="82"/>
      <c r="AR743" s="82"/>
      <c r="AS743" s="82"/>
      <c r="AT743" s="82"/>
      <c r="AU743" s="82"/>
      <c r="AV743" s="82"/>
      <c r="AW743" s="82"/>
      <c r="AX743" s="82"/>
      <c r="AY743" s="81"/>
      <c r="AZ743" s="82"/>
      <c r="BA743" s="82"/>
      <c r="BB743" s="82"/>
      <c r="BC743" s="82"/>
      <c r="BD743" s="82"/>
      <c r="BE743" s="82"/>
      <c r="BF743" s="82"/>
      <c r="BG743" s="82"/>
      <c r="BH743" s="82"/>
      <c r="BI743" s="82"/>
    </row>
    <row r="744">
      <c r="K744" s="79"/>
      <c r="U744" s="79"/>
      <c r="AE744" s="79"/>
      <c r="AF744" s="82"/>
      <c r="AG744" s="82"/>
      <c r="AH744" s="82"/>
      <c r="AI744" s="82"/>
      <c r="AJ744" s="82"/>
      <c r="AK744" s="82"/>
      <c r="AL744" s="82"/>
      <c r="AM744" s="82"/>
      <c r="AN744" s="82"/>
      <c r="AO744" s="81"/>
      <c r="AP744" s="82"/>
      <c r="AQ744" s="82"/>
      <c r="AR744" s="82"/>
      <c r="AS744" s="82"/>
      <c r="AT744" s="82"/>
      <c r="AU744" s="82"/>
      <c r="AV744" s="82"/>
      <c r="AW744" s="82"/>
      <c r="AX744" s="82"/>
      <c r="AY744" s="81"/>
      <c r="AZ744" s="82"/>
      <c r="BA744" s="82"/>
      <c r="BB744" s="82"/>
      <c r="BC744" s="82"/>
      <c r="BD744" s="82"/>
      <c r="BE744" s="82"/>
      <c r="BF744" s="82"/>
      <c r="BG744" s="82"/>
      <c r="BH744" s="82"/>
      <c r="BI744" s="82"/>
    </row>
    <row r="745">
      <c r="K745" s="79"/>
      <c r="U745" s="79"/>
      <c r="AE745" s="79"/>
      <c r="AF745" s="82"/>
      <c r="AG745" s="82"/>
      <c r="AH745" s="82"/>
      <c r="AI745" s="82"/>
      <c r="AJ745" s="82"/>
      <c r="AK745" s="82"/>
      <c r="AL745" s="82"/>
      <c r="AM745" s="82"/>
      <c r="AN745" s="82"/>
      <c r="AO745" s="81"/>
      <c r="AP745" s="82"/>
      <c r="AQ745" s="82"/>
      <c r="AR745" s="82"/>
      <c r="AS745" s="82"/>
      <c r="AT745" s="82"/>
      <c r="AU745" s="82"/>
      <c r="AV745" s="82"/>
      <c r="AW745" s="82"/>
      <c r="AX745" s="82"/>
      <c r="AY745" s="81"/>
      <c r="AZ745" s="82"/>
      <c r="BA745" s="82"/>
      <c r="BB745" s="82"/>
      <c r="BC745" s="82"/>
      <c r="BD745" s="82"/>
      <c r="BE745" s="82"/>
      <c r="BF745" s="82"/>
      <c r="BG745" s="82"/>
      <c r="BH745" s="82"/>
      <c r="BI745" s="82"/>
    </row>
    <row r="746">
      <c r="K746" s="79"/>
      <c r="U746" s="79"/>
      <c r="AE746" s="79"/>
      <c r="AF746" s="82"/>
      <c r="AG746" s="82"/>
      <c r="AH746" s="82"/>
      <c r="AI746" s="82"/>
      <c r="AJ746" s="82"/>
      <c r="AK746" s="82"/>
      <c r="AL746" s="82"/>
      <c r="AM746" s="82"/>
      <c r="AN746" s="82"/>
      <c r="AO746" s="81"/>
      <c r="AP746" s="82"/>
      <c r="AQ746" s="82"/>
      <c r="AR746" s="82"/>
      <c r="AS746" s="82"/>
      <c r="AT746" s="82"/>
      <c r="AU746" s="82"/>
      <c r="AV746" s="82"/>
      <c r="AW746" s="82"/>
      <c r="AX746" s="82"/>
      <c r="AY746" s="81"/>
      <c r="AZ746" s="82"/>
      <c r="BA746" s="82"/>
      <c r="BB746" s="82"/>
      <c r="BC746" s="82"/>
      <c r="BD746" s="82"/>
      <c r="BE746" s="82"/>
      <c r="BF746" s="82"/>
      <c r="BG746" s="82"/>
      <c r="BH746" s="82"/>
      <c r="BI746" s="82"/>
    </row>
    <row r="747">
      <c r="K747" s="79"/>
      <c r="U747" s="79"/>
      <c r="AE747" s="79"/>
      <c r="AF747" s="82"/>
      <c r="AG747" s="82"/>
      <c r="AH747" s="82"/>
      <c r="AI747" s="82"/>
      <c r="AJ747" s="82"/>
      <c r="AK747" s="82"/>
      <c r="AL747" s="82"/>
      <c r="AM747" s="82"/>
      <c r="AN747" s="82"/>
      <c r="AO747" s="81"/>
      <c r="AP747" s="82"/>
      <c r="AQ747" s="82"/>
      <c r="AR747" s="82"/>
      <c r="AS747" s="82"/>
      <c r="AT747" s="82"/>
      <c r="AU747" s="82"/>
      <c r="AV747" s="82"/>
      <c r="AW747" s="82"/>
      <c r="AX747" s="82"/>
      <c r="AY747" s="81"/>
      <c r="AZ747" s="82"/>
      <c r="BA747" s="82"/>
      <c r="BB747" s="82"/>
      <c r="BC747" s="82"/>
      <c r="BD747" s="82"/>
      <c r="BE747" s="82"/>
      <c r="BF747" s="82"/>
      <c r="BG747" s="82"/>
      <c r="BH747" s="82"/>
      <c r="BI747" s="82"/>
    </row>
    <row r="748">
      <c r="K748" s="79"/>
      <c r="U748" s="79"/>
      <c r="AE748" s="79"/>
      <c r="AF748" s="82"/>
      <c r="AG748" s="82"/>
      <c r="AH748" s="82"/>
      <c r="AI748" s="82"/>
      <c r="AJ748" s="82"/>
      <c r="AK748" s="82"/>
      <c r="AL748" s="82"/>
      <c r="AM748" s="82"/>
      <c r="AN748" s="82"/>
      <c r="AO748" s="81"/>
      <c r="AP748" s="82"/>
      <c r="AQ748" s="82"/>
      <c r="AR748" s="82"/>
      <c r="AS748" s="82"/>
      <c r="AT748" s="82"/>
      <c r="AU748" s="82"/>
      <c r="AV748" s="82"/>
      <c r="AW748" s="82"/>
      <c r="AX748" s="82"/>
      <c r="AY748" s="81"/>
      <c r="AZ748" s="82"/>
      <c r="BA748" s="82"/>
      <c r="BB748" s="82"/>
      <c r="BC748" s="82"/>
      <c r="BD748" s="82"/>
      <c r="BE748" s="82"/>
      <c r="BF748" s="82"/>
      <c r="BG748" s="82"/>
      <c r="BH748" s="82"/>
      <c r="BI748" s="82"/>
    </row>
    <row r="749">
      <c r="K749" s="79"/>
      <c r="U749" s="79"/>
      <c r="AE749" s="79"/>
      <c r="AF749" s="82"/>
      <c r="AG749" s="82"/>
      <c r="AH749" s="82"/>
      <c r="AI749" s="82"/>
      <c r="AJ749" s="82"/>
      <c r="AK749" s="82"/>
      <c r="AL749" s="82"/>
      <c r="AM749" s="82"/>
      <c r="AN749" s="82"/>
      <c r="AO749" s="81"/>
      <c r="AP749" s="82"/>
      <c r="AQ749" s="82"/>
      <c r="AR749" s="82"/>
      <c r="AS749" s="82"/>
      <c r="AT749" s="82"/>
      <c r="AU749" s="82"/>
      <c r="AV749" s="82"/>
      <c r="AW749" s="82"/>
      <c r="AX749" s="82"/>
      <c r="AY749" s="81"/>
      <c r="AZ749" s="82"/>
      <c r="BA749" s="82"/>
      <c r="BB749" s="82"/>
      <c r="BC749" s="82"/>
      <c r="BD749" s="82"/>
      <c r="BE749" s="82"/>
      <c r="BF749" s="82"/>
      <c r="BG749" s="82"/>
      <c r="BH749" s="82"/>
      <c r="BI749" s="82"/>
    </row>
    <row r="750">
      <c r="K750" s="79"/>
      <c r="U750" s="79"/>
      <c r="AE750" s="79"/>
      <c r="AF750" s="82"/>
      <c r="AG750" s="82"/>
      <c r="AH750" s="82"/>
      <c r="AI750" s="82"/>
      <c r="AJ750" s="82"/>
      <c r="AK750" s="82"/>
      <c r="AL750" s="82"/>
      <c r="AM750" s="82"/>
      <c r="AN750" s="82"/>
      <c r="AO750" s="81"/>
      <c r="AP750" s="82"/>
      <c r="AQ750" s="82"/>
      <c r="AR750" s="82"/>
      <c r="AS750" s="82"/>
      <c r="AT750" s="82"/>
      <c r="AU750" s="82"/>
      <c r="AV750" s="82"/>
      <c r="AW750" s="82"/>
      <c r="AX750" s="82"/>
      <c r="AY750" s="81"/>
      <c r="AZ750" s="82"/>
      <c r="BA750" s="82"/>
      <c r="BB750" s="82"/>
      <c r="BC750" s="82"/>
      <c r="BD750" s="82"/>
      <c r="BE750" s="82"/>
      <c r="BF750" s="82"/>
      <c r="BG750" s="82"/>
      <c r="BH750" s="82"/>
      <c r="BI750" s="82"/>
    </row>
    <row r="751">
      <c r="K751" s="79"/>
      <c r="U751" s="79"/>
      <c r="AE751" s="79"/>
      <c r="AF751" s="82"/>
      <c r="AG751" s="82"/>
      <c r="AH751" s="82"/>
      <c r="AI751" s="82"/>
      <c r="AJ751" s="82"/>
      <c r="AK751" s="82"/>
      <c r="AL751" s="82"/>
      <c r="AM751" s="82"/>
      <c r="AN751" s="82"/>
      <c r="AO751" s="81"/>
      <c r="AP751" s="82"/>
      <c r="AQ751" s="82"/>
      <c r="AR751" s="82"/>
      <c r="AS751" s="82"/>
      <c r="AT751" s="82"/>
      <c r="AU751" s="82"/>
      <c r="AV751" s="82"/>
      <c r="AW751" s="82"/>
      <c r="AX751" s="82"/>
      <c r="AY751" s="81"/>
      <c r="AZ751" s="82"/>
      <c r="BA751" s="82"/>
      <c r="BB751" s="82"/>
      <c r="BC751" s="82"/>
      <c r="BD751" s="82"/>
      <c r="BE751" s="82"/>
      <c r="BF751" s="82"/>
      <c r="BG751" s="82"/>
      <c r="BH751" s="82"/>
      <c r="BI751" s="82"/>
    </row>
    <row r="752">
      <c r="K752" s="79"/>
      <c r="U752" s="79"/>
      <c r="AE752" s="79"/>
      <c r="AF752" s="82"/>
      <c r="AG752" s="82"/>
      <c r="AH752" s="82"/>
      <c r="AI752" s="82"/>
      <c r="AJ752" s="82"/>
      <c r="AK752" s="82"/>
      <c r="AL752" s="82"/>
      <c r="AM752" s="82"/>
      <c r="AN752" s="82"/>
      <c r="AO752" s="81"/>
      <c r="AP752" s="82"/>
      <c r="AQ752" s="82"/>
      <c r="AR752" s="82"/>
      <c r="AS752" s="82"/>
      <c r="AT752" s="82"/>
      <c r="AU752" s="82"/>
      <c r="AV752" s="82"/>
      <c r="AW752" s="82"/>
      <c r="AX752" s="82"/>
      <c r="AY752" s="81"/>
      <c r="AZ752" s="82"/>
      <c r="BA752" s="82"/>
      <c r="BB752" s="82"/>
      <c r="BC752" s="82"/>
      <c r="BD752" s="82"/>
      <c r="BE752" s="82"/>
      <c r="BF752" s="82"/>
      <c r="BG752" s="82"/>
      <c r="BH752" s="82"/>
      <c r="BI752" s="82"/>
    </row>
    <row r="753">
      <c r="K753" s="79"/>
      <c r="U753" s="79"/>
      <c r="AE753" s="79"/>
      <c r="AF753" s="82"/>
      <c r="AG753" s="82"/>
      <c r="AH753" s="82"/>
      <c r="AI753" s="82"/>
      <c r="AJ753" s="82"/>
      <c r="AK753" s="82"/>
      <c r="AL753" s="82"/>
      <c r="AM753" s="82"/>
      <c r="AN753" s="82"/>
      <c r="AO753" s="81"/>
      <c r="AP753" s="82"/>
      <c r="AQ753" s="82"/>
      <c r="AR753" s="82"/>
      <c r="AS753" s="82"/>
      <c r="AT753" s="82"/>
      <c r="AU753" s="82"/>
      <c r="AV753" s="82"/>
      <c r="AW753" s="82"/>
      <c r="AX753" s="82"/>
      <c r="AY753" s="81"/>
      <c r="AZ753" s="82"/>
      <c r="BA753" s="82"/>
      <c r="BB753" s="82"/>
      <c r="BC753" s="82"/>
      <c r="BD753" s="82"/>
      <c r="BE753" s="82"/>
      <c r="BF753" s="82"/>
      <c r="BG753" s="82"/>
      <c r="BH753" s="82"/>
      <c r="BI753" s="82"/>
    </row>
    <row r="754">
      <c r="K754" s="79"/>
      <c r="U754" s="79"/>
      <c r="AE754" s="79"/>
      <c r="AF754" s="82"/>
      <c r="AG754" s="82"/>
      <c r="AH754" s="82"/>
      <c r="AI754" s="82"/>
      <c r="AJ754" s="82"/>
      <c r="AK754" s="82"/>
      <c r="AL754" s="82"/>
      <c r="AM754" s="82"/>
      <c r="AN754" s="82"/>
      <c r="AO754" s="81"/>
      <c r="AP754" s="82"/>
      <c r="AQ754" s="82"/>
      <c r="AR754" s="82"/>
      <c r="AS754" s="82"/>
      <c r="AT754" s="82"/>
      <c r="AU754" s="82"/>
      <c r="AV754" s="82"/>
      <c r="AW754" s="82"/>
      <c r="AX754" s="82"/>
      <c r="AY754" s="81"/>
      <c r="AZ754" s="82"/>
      <c r="BA754" s="82"/>
      <c r="BB754" s="82"/>
      <c r="BC754" s="82"/>
      <c r="BD754" s="82"/>
      <c r="BE754" s="82"/>
      <c r="BF754" s="82"/>
      <c r="BG754" s="82"/>
      <c r="BH754" s="82"/>
      <c r="BI754" s="82"/>
    </row>
    <row r="755">
      <c r="K755" s="79"/>
      <c r="U755" s="79"/>
      <c r="AE755" s="79"/>
      <c r="AF755" s="82"/>
      <c r="AG755" s="82"/>
      <c r="AH755" s="82"/>
      <c r="AI755" s="82"/>
      <c r="AJ755" s="82"/>
      <c r="AK755" s="82"/>
      <c r="AL755" s="82"/>
      <c r="AM755" s="82"/>
      <c r="AN755" s="82"/>
      <c r="AO755" s="81"/>
      <c r="AP755" s="82"/>
      <c r="AQ755" s="82"/>
      <c r="AR755" s="82"/>
      <c r="AS755" s="82"/>
      <c r="AT755" s="82"/>
      <c r="AU755" s="82"/>
      <c r="AV755" s="82"/>
      <c r="AW755" s="82"/>
      <c r="AX755" s="82"/>
      <c r="AY755" s="81"/>
      <c r="AZ755" s="82"/>
      <c r="BA755" s="82"/>
      <c r="BB755" s="82"/>
      <c r="BC755" s="82"/>
      <c r="BD755" s="82"/>
      <c r="BE755" s="82"/>
      <c r="BF755" s="82"/>
      <c r="BG755" s="82"/>
      <c r="BH755" s="82"/>
      <c r="BI755" s="82"/>
    </row>
    <row r="756">
      <c r="K756" s="79"/>
      <c r="U756" s="79"/>
      <c r="AE756" s="79"/>
      <c r="AF756" s="82"/>
      <c r="AG756" s="82"/>
      <c r="AH756" s="82"/>
      <c r="AI756" s="82"/>
      <c r="AJ756" s="82"/>
      <c r="AK756" s="82"/>
      <c r="AL756" s="82"/>
      <c r="AM756" s="82"/>
      <c r="AN756" s="82"/>
      <c r="AO756" s="81"/>
      <c r="AP756" s="82"/>
      <c r="AQ756" s="82"/>
      <c r="AR756" s="82"/>
      <c r="AS756" s="82"/>
      <c r="AT756" s="82"/>
      <c r="AU756" s="82"/>
      <c r="AV756" s="82"/>
      <c r="AW756" s="82"/>
      <c r="AX756" s="82"/>
      <c r="AY756" s="81"/>
      <c r="AZ756" s="82"/>
      <c r="BA756" s="82"/>
      <c r="BB756" s="82"/>
      <c r="BC756" s="82"/>
      <c r="BD756" s="82"/>
      <c r="BE756" s="82"/>
      <c r="BF756" s="82"/>
      <c r="BG756" s="82"/>
      <c r="BH756" s="82"/>
      <c r="BI756" s="82"/>
    </row>
    <row r="757">
      <c r="K757" s="79"/>
      <c r="U757" s="79"/>
      <c r="AE757" s="79"/>
      <c r="AF757" s="82"/>
      <c r="AG757" s="82"/>
      <c r="AH757" s="82"/>
      <c r="AI757" s="82"/>
      <c r="AJ757" s="82"/>
      <c r="AK757" s="82"/>
      <c r="AL757" s="82"/>
      <c r="AM757" s="82"/>
      <c r="AN757" s="82"/>
      <c r="AO757" s="81"/>
      <c r="AP757" s="82"/>
      <c r="AQ757" s="82"/>
      <c r="AR757" s="82"/>
      <c r="AS757" s="82"/>
      <c r="AT757" s="82"/>
      <c r="AU757" s="82"/>
      <c r="AV757" s="82"/>
      <c r="AW757" s="82"/>
      <c r="AX757" s="82"/>
      <c r="AY757" s="81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</row>
    <row r="758">
      <c r="K758" s="79"/>
      <c r="U758" s="79"/>
      <c r="AE758" s="79"/>
      <c r="AF758" s="82"/>
      <c r="AG758" s="82"/>
      <c r="AH758" s="82"/>
      <c r="AI758" s="82"/>
      <c r="AJ758" s="82"/>
      <c r="AK758" s="82"/>
      <c r="AL758" s="82"/>
      <c r="AM758" s="82"/>
      <c r="AN758" s="82"/>
      <c r="AO758" s="81"/>
      <c r="AP758" s="82"/>
      <c r="AQ758" s="82"/>
      <c r="AR758" s="82"/>
      <c r="AS758" s="82"/>
      <c r="AT758" s="82"/>
      <c r="AU758" s="82"/>
      <c r="AV758" s="82"/>
      <c r="AW758" s="82"/>
      <c r="AX758" s="82"/>
      <c r="AY758" s="81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</row>
    <row r="759">
      <c r="K759" s="79"/>
      <c r="U759" s="79"/>
      <c r="AE759" s="79"/>
      <c r="AF759" s="82"/>
      <c r="AG759" s="82"/>
      <c r="AH759" s="82"/>
      <c r="AI759" s="82"/>
      <c r="AJ759" s="82"/>
      <c r="AK759" s="82"/>
      <c r="AL759" s="82"/>
      <c r="AM759" s="82"/>
      <c r="AN759" s="82"/>
      <c r="AO759" s="81"/>
      <c r="AP759" s="82"/>
      <c r="AQ759" s="82"/>
      <c r="AR759" s="82"/>
      <c r="AS759" s="82"/>
      <c r="AT759" s="82"/>
      <c r="AU759" s="82"/>
      <c r="AV759" s="82"/>
      <c r="AW759" s="82"/>
      <c r="AX759" s="82"/>
      <c r="AY759" s="81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</row>
    <row r="760">
      <c r="K760" s="79"/>
      <c r="U760" s="79"/>
      <c r="AE760" s="79"/>
      <c r="AF760" s="82"/>
      <c r="AG760" s="82"/>
      <c r="AH760" s="82"/>
      <c r="AI760" s="82"/>
      <c r="AJ760" s="82"/>
      <c r="AK760" s="82"/>
      <c r="AL760" s="82"/>
      <c r="AM760" s="82"/>
      <c r="AN760" s="82"/>
      <c r="AO760" s="81"/>
      <c r="AP760" s="82"/>
      <c r="AQ760" s="82"/>
      <c r="AR760" s="82"/>
      <c r="AS760" s="82"/>
      <c r="AT760" s="82"/>
      <c r="AU760" s="82"/>
      <c r="AV760" s="82"/>
      <c r="AW760" s="82"/>
      <c r="AX760" s="82"/>
      <c r="AY760" s="81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</row>
    <row r="761">
      <c r="K761" s="79"/>
      <c r="U761" s="79"/>
      <c r="AE761" s="79"/>
      <c r="AF761" s="82"/>
      <c r="AG761" s="82"/>
      <c r="AH761" s="82"/>
      <c r="AI761" s="82"/>
      <c r="AJ761" s="82"/>
      <c r="AK761" s="82"/>
      <c r="AL761" s="82"/>
      <c r="AM761" s="82"/>
      <c r="AN761" s="82"/>
      <c r="AO761" s="81"/>
      <c r="AP761" s="82"/>
      <c r="AQ761" s="82"/>
      <c r="AR761" s="82"/>
      <c r="AS761" s="82"/>
      <c r="AT761" s="82"/>
      <c r="AU761" s="82"/>
      <c r="AV761" s="82"/>
      <c r="AW761" s="82"/>
      <c r="AX761" s="82"/>
      <c r="AY761" s="81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</row>
    <row r="762">
      <c r="K762" s="79"/>
      <c r="U762" s="79"/>
      <c r="AE762" s="79"/>
      <c r="AF762" s="82"/>
      <c r="AG762" s="82"/>
      <c r="AH762" s="82"/>
      <c r="AI762" s="82"/>
      <c r="AJ762" s="82"/>
      <c r="AK762" s="82"/>
      <c r="AL762" s="82"/>
      <c r="AM762" s="82"/>
      <c r="AN762" s="82"/>
      <c r="AO762" s="81"/>
      <c r="AP762" s="82"/>
      <c r="AQ762" s="82"/>
      <c r="AR762" s="82"/>
      <c r="AS762" s="82"/>
      <c r="AT762" s="82"/>
      <c r="AU762" s="82"/>
      <c r="AV762" s="82"/>
      <c r="AW762" s="82"/>
      <c r="AX762" s="82"/>
      <c r="AY762" s="81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</row>
    <row r="763">
      <c r="K763" s="79"/>
      <c r="U763" s="79"/>
      <c r="AE763" s="79"/>
      <c r="AF763" s="82"/>
      <c r="AG763" s="82"/>
      <c r="AH763" s="82"/>
      <c r="AI763" s="82"/>
      <c r="AJ763" s="82"/>
      <c r="AK763" s="82"/>
      <c r="AL763" s="82"/>
      <c r="AM763" s="82"/>
      <c r="AN763" s="82"/>
      <c r="AO763" s="81"/>
      <c r="AP763" s="82"/>
      <c r="AQ763" s="82"/>
      <c r="AR763" s="82"/>
      <c r="AS763" s="82"/>
      <c r="AT763" s="82"/>
      <c r="AU763" s="82"/>
      <c r="AV763" s="82"/>
      <c r="AW763" s="82"/>
      <c r="AX763" s="82"/>
      <c r="AY763" s="81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</row>
    <row r="764">
      <c r="K764" s="79"/>
      <c r="U764" s="79"/>
      <c r="AE764" s="79"/>
      <c r="AF764" s="82"/>
      <c r="AG764" s="82"/>
      <c r="AH764" s="82"/>
      <c r="AI764" s="82"/>
      <c r="AJ764" s="82"/>
      <c r="AK764" s="82"/>
      <c r="AL764" s="82"/>
      <c r="AM764" s="82"/>
      <c r="AN764" s="82"/>
      <c r="AO764" s="81"/>
      <c r="AP764" s="82"/>
      <c r="AQ764" s="82"/>
      <c r="AR764" s="82"/>
      <c r="AS764" s="82"/>
      <c r="AT764" s="82"/>
      <c r="AU764" s="82"/>
      <c r="AV764" s="82"/>
      <c r="AW764" s="82"/>
      <c r="AX764" s="82"/>
      <c r="AY764" s="81"/>
      <c r="AZ764" s="82"/>
      <c r="BA764" s="82"/>
      <c r="BB764" s="82"/>
      <c r="BC764" s="82"/>
      <c r="BD764" s="82"/>
      <c r="BE764" s="82"/>
      <c r="BF764" s="82"/>
      <c r="BG764" s="82"/>
      <c r="BH764" s="82"/>
      <c r="BI764" s="82"/>
    </row>
    <row r="765">
      <c r="K765" s="79"/>
      <c r="U765" s="79"/>
      <c r="AE765" s="79"/>
      <c r="AF765" s="82"/>
      <c r="AG765" s="82"/>
      <c r="AH765" s="82"/>
      <c r="AI765" s="82"/>
      <c r="AJ765" s="82"/>
      <c r="AK765" s="82"/>
      <c r="AL765" s="82"/>
      <c r="AM765" s="82"/>
      <c r="AN765" s="82"/>
      <c r="AO765" s="81"/>
      <c r="AP765" s="82"/>
      <c r="AQ765" s="82"/>
      <c r="AR765" s="82"/>
      <c r="AS765" s="82"/>
      <c r="AT765" s="82"/>
      <c r="AU765" s="82"/>
      <c r="AV765" s="82"/>
      <c r="AW765" s="82"/>
      <c r="AX765" s="82"/>
      <c r="AY765" s="81"/>
      <c r="AZ765" s="82"/>
      <c r="BA765" s="82"/>
      <c r="BB765" s="82"/>
      <c r="BC765" s="82"/>
      <c r="BD765" s="82"/>
      <c r="BE765" s="82"/>
      <c r="BF765" s="82"/>
      <c r="BG765" s="82"/>
      <c r="BH765" s="82"/>
      <c r="BI765" s="82"/>
    </row>
    <row r="766">
      <c r="K766" s="79"/>
      <c r="U766" s="79"/>
      <c r="AE766" s="79"/>
      <c r="AF766" s="82"/>
      <c r="AG766" s="82"/>
      <c r="AH766" s="82"/>
      <c r="AI766" s="82"/>
      <c r="AJ766" s="82"/>
      <c r="AK766" s="82"/>
      <c r="AL766" s="82"/>
      <c r="AM766" s="82"/>
      <c r="AN766" s="82"/>
      <c r="AO766" s="81"/>
      <c r="AP766" s="82"/>
      <c r="AQ766" s="82"/>
      <c r="AR766" s="82"/>
      <c r="AS766" s="82"/>
      <c r="AT766" s="82"/>
      <c r="AU766" s="82"/>
      <c r="AV766" s="82"/>
      <c r="AW766" s="82"/>
      <c r="AX766" s="82"/>
      <c r="AY766" s="81"/>
      <c r="AZ766" s="82"/>
      <c r="BA766" s="82"/>
      <c r="BB766" s="82"/>
      <c r="BC766" s="82"/>
      <c r="BD766" s="82"/>
      <c r="BE766" s="82"/>
      <c r="BF766" s="82"/>
      <c r="BG766" s="82"/>
      <c r="BH766" s="82"/>
      <c r="BI766" s="82"/>
    </row>
    <row r="767">
      <c r="K767" s="79"/>
      <c r="U767" s="79"/>
      <c r="AE767" s="79"/>
      <c r="AF767" s="82"/>
      <c r="AG767" s="82"/>
      <c r="AH767" s="82"/>
      <c r="AI767" s="82"/>
      <c r="AJ767" s="82"/>
      <c r="AK767" s="82"/>
      <c r="AL767" s="82"/>
      <c r="AM767" s="82"/>
      <c r="AN767" s="82"/>
      <c r="AO767" s="81"/>
      <c r="AP767" s="82"/>
      <c r="AQ767" s="82"/>
      <c r="AR767" s="82"/>
      <c r="AS767" s="82"/>
      <c r="AT767" s="82"/>
      <c r="AU767" s="82"/>
      <c r="AV767" s="82"/>
      <c r="AW767" s="82"/>
      <c r="AX767" s="82"/>
      <c r="AY767" s="81"/>
      <c r="AZ767" s="82"/>
      <c r="BA767" s="82"/>
      <c r="BB767" s="82"/>
      <c r="BC767" s="82"/>
      <c r="BD767" s="82"/>
      <c r="BE767" s="82"/>
      <c r="BF767" s="82"/>
      <c r="BG767" s="82"/>
      <c r="BH767" s="82"/>
      <c r="BI767" s="82"/>
    </row>
    <row r="768">
      <c r="K768" s="79"/>
      <c r="U768" s="79"/>
      <c r="AE768" s="79"/>
      <c r="AF768" s="82"/>
      <c r="AG768" s="82"/>
      <c r="AH768" s="82"/>
      <c r="AI768" s="82"/>
      <c r="AJ768" s="82"/>
      <c r="AK768" s="82"/>
      <c r="AL768" s="82"/>
      <c r="AM768" s="82"/>
      <c r="AN768" s="82"/>
      <c r="AO768" s="81"/>
      <c r="AP768" s="82"/>
      <c r="AQ768" s="82"/>
      <c r="AR768" s="82"/>
      <c r="AS768" s="82"/>
      <c r="AT768" s="82"/>
      <c r="AU768" s="82"/>
      <c r="AV768" s="82"/>
      <c r="AW768" s="82"/>
      <c r="AX768" s="82"/>
      <c r="AY768" s="81"/>
      <c r="AZ768" s="82"/>
      <c r="BA768" s="82"/>
      <c r="BB768" s="82"/>
      <c r="BC768" s="82"/>
      <c r="BD768" s="82"/>
      <c r="BE768" s="82"/>
      <c r="BF768" s="82"/>
      <c r="BG768" s="82"/>
      <c r="BH768" s="82"/>
      <c r="BI768" s="82"/>
    </row>
    <row r="769">
      <c r="K769" s="79"/>
      <c r="U769" s="79"/>
      <c r="AE769" s="79"/>
      <c r="AF769" s="82"/>
      <c r="AG769" s="82"/>
      <c r="AH769" s="82"/>
      <c r="AI769" s="82"/>
      <c r="AJ769" s="82"/>
      <c r="AK769" s="82"/>
      <c r="AL769" s="82"/>
      <c r="AM769" s="82"/>
      <c r="AN769" s="82"/>
      <c r="AO769" s="81"/>
      <c r="AP769" s="82"/>
      <c r="AQ769" s="82"/>
      <c r="AR769" s="82"/>
      <c r="AS769" s="82"/>
      <c r="AT769" s="82"/>
      <c r="AU769" s="82"/>
      <c r="AV769" s="82"/>
      <c r="AW769" s="82"/>
      <c r="AX769" s="82"/>
      <c r="AY769" s="81"/>
      <c r="AZ769" s="82"/>
      <c r="BA769" s="82"/>
      <c r="BB769" s="82"/>
      <c r="BC769" s="82"/>
      <c r="BD769" s="82"/>
      <c r="BE769" s="82"/>
      <c r="BF769" s="82"/>
      <c r="BG769" s="82"/>
      <c r="BH769" s="82"/>
      <c r="BI769" s="82"/>
    </row>
    <row r="770">
      <c r="K770" s="79"/>
      <c r="U770" s="79"/>
      <c r="AE770" s="79"/>
      <c r="AF770" s="82"/>
      <c r="AG770" s="82"/>
      <c r="AH770" s="82"/>
      <c r="AI770" s="82"/>
      <c r="AJ770" s="82"/>
      <c r="AK770" s="82"/>
      <c r="AL770" s="82"/>
      <c r="AM770" s="82"/>
      <c r="AN770" s="82"/>
      <c r="AO770" s="81"/>
      <c r="AP770" s="82"/>
      <c r="AQ770" s="82"/>
      <c r="AR770" s="82"/>
      <c r="AS770" s="82"/>
      <c r="AT770" s="82"/>
      <c r="AU770" s="82"/>
      <c r="AV770" s="82"/>
      <c r="AW770" s="82"/>
      <c r="AX770" s="82"/>
      <c r="AY770" s="81"/>
      <c r="AZ770" s="82"/>
      <c r="BA770" s="82"/>
      <c r="BB770" s="82"/>
      <c r="BC770" s="82"/>
      <c r="BD770" s="82"/>
      <c r="BE770" s="82"/>
      <c r="BF770" s="82"/>
      <c r="BG770" s="82"/>
      <c r="BH770" s="82"/>
      <c r="BI770" s="82"/>
    </row>
    <row r="771">
      <c r="K771" s="79"/>
      <c r="U771" s="79"/>
      <c r="AE771" s="79"/>
      <c r="AF771" s="82"/>
      <c r="AG771" s="82"/>
      <c r="AH771" s="82"/>
      <c r="AI771" s="82"/>
      <c r="AJ771" s="82"/>
      <c r="AK771" s="82"/>
      <c r="AL771" s="82"/>
      <c r="AM771" s="82"/>
      <c r="AN771" s="82"/>
      <c r="AO771" s="81"/>
      <c r="AP771" s="82"/>
      <c r="AQ771" s="82"/>
      <c r="AR771" s="82"/>
      <c r="AS771" s="82"/>
      <c r="AT771" s="82"/>
      <c r="AU771" s="82"/>
      <c r="AV771" s="82"/>
      <c r="AW771" s="82"/>
      <c r="AX771" s="82"/>
      <c r="AY771" s="81"/>
      <c r="AZ771" s="82"/>
      <c r="BA771" s="82"/>
      <c r="BB771" s="82"/>
      <c r="BC771" s="82"/>
      <c r="BD771" s="82"/>
      <c r="BE771" s="82"/>
      <c r="BF771" s="82"/>
      <c r="BG771" s="82"/>
      <c r="BH771" s="82"/>
      <c r="BI771" s="82"/>
    </row>
    <row r="772">
      <c r="K772" s="79"/>
      <c r="U772" s="79"/>
      <c r="AE772" s="79"/>
      <c r="AF772" s="82"/>
      <c r="AG772" s="82"/>
      <c r="AH772" s="82"/>
      <c r="AI772" s="82"/>
      <c r="AJ772" s="82"/>
      <c r="AK772" s="82"/>
      <c r="AL772" s="82"/>
      <c r="AM772" s="82"/>
      <c r="AN772" s="82"/>
      <c r="AO772" s="81"/>
      <c r="AP772" s="82"/>
      <c r="AQ772" s="82"/>
      <c r="AR772" s="82"/>
      <c r="AS772" s="82"/>
      <c r="AT772" s="82"/>
      <c r="AU772" s="82"/>
      <c r="AV772" s="82"/>
      <c r="AW772" s="82"/>
      <c r="AX772" s="82"/>
      <c r="AY772" s="81"/>
      <c r="AZ772" s="82"/>
      <c r="BA772" s="82"/>
      <c r="BB772" s="82"/>
      <c r="BC772" s="82"/>
      <c r="BD772" s="82"/>
      <c r="BE772" s="82"/>
      <c r="BF772" s="82"/>
      <c r="BG772" s="82"/>
      <c r="BH772" s="82"/>
      <c r="BI772" s="82"/>
    </row>
    <row r="773">
      <c r="K773" s="79"/>
      <c r="U773" s="79"/>
      <c r="AE773" s="79"/>
      <c r="AF773" s="82"/>
      <c r="AG773" s="82"/>
      <c r="AH773" s="82"/>
      <c r="AI773" s="82"/>
      <c r="AJ773" s="82"/>
      <c r="AK773" s="82"/>
      <c r="AL773" s="82"/>
      <c r="AM773" s="82"/>
      <c r="AN773" s="82"/>
      <c r="AO773" s="81"/>
      <c r="AP773" s="82"/>
      <c r="AQ773" s="82"/>
      <c r="AR773" s="82"/>
      <c r="AS773" s="82"/>
      <c r="AT773" s="82"/>
      <c r="AU773" s="82"/>
      <c r="AV773" s="82"/>
      <c r="AW773" s="82"/>
      <c r="AX773" s="82"/>
      <c r="AY773" s="81"/>
      <c r="AZ773" s="82"/>
      <c r="BA773" s="82"/>
      <c r="BB773" s="82"/>
      <c r="BC773" s="82"/>
      <c r="BD773" s="82"/>
      <c r="BE773" s="82"/>
      <c r="BF773" s="82"/>
      <c r="BG773" s="82"/>
      <c r="BH773" s="82"/>
      <c r="BI773" s="82"/>
    </row>
    <row r="774">
      <c r="K774" s="79"/>
      <c r="U774" s="79"/>
      <c r="AE774" s="79"/>
      <c r="AF774" s="82"/>
      <c r="AG774" s="82"/>
      <c r="AH774" s="82"/>
      <c r="AI774" s="82"/>
      <c r="AJ774" s="82"/>
      <c r="AK774" s="82"/>
      <c r="AL774" s="82"/>
      <c r="AM774" s="82"/>
      <c r="AN774" s="82"/>
      <c r="AO774" s="81"/>
      <c r="AP774" s="82"/>
      <c r="AQ774" s="82"/>
      <c r="AR774" s="82"/>
      <c r="AS774" s="82"/>
      <c r="AT774" s="82"/>
      <c r="AU774" s="82"/>
      <c r="AV774" s="82"/>
      <c r="AW774" s="82"/>
      <c r="AX774" s="82"/>
      <c r="AY774" s="81"/>
      <c r="AZ774" s="82"/>
      <c r="BA774" s="82"/>
      <c r="BB774" s="82"/>
      <c r="BC774" s="82"/>
      <c r="BD774" s="82"/>
      <c r="BE774" s="82"/>
      <c r="BF774" s="82"/>
      <c r="BG774" s="82"/>
      <c r="BH774" s="82"/>
      <c r="BI774" s="82"/>
    </row>
    <row r="775">
      <c r="K775" s="79"/>
      <c r="U775" s="79"/>
      <c r="AE775" s="79"/>
      <c r="AF775" s="82"/>
      <c r="AG775" s="82"/>
      <c r="AH775" s="82"/>
      <c r="AI775" s="82"/>
      <c r="AJ775" s="82"/>
      <c r="AK775" s="82"/>
      <c r="AL775" s="82"/>
      <c r="AM775" s="82"/>
      <c r="AN775" s="82"/>
      <c r="AO775" s="81"/>
      <c r="AP775" s="82"/>
      <c r="AQ775" s="82"/>
      <c r="AR775" s="82"/>
      <c r="AS775" s="82"/>
      <c r="AT775" s="82"/>
      <c r="AU775" s="82"/>
      <c r="AV775" s="82"/>
      <c r="AW775" s="82"/>
      <c r="AX775" s="82"/>
      <c r="AY775" s="81"/>
      <c r="AZ775" s="82"/>
      <c r="BA775" s="82"/>
      <c r="BB775" s="82"/>
      <c r="BC775" s="82"/>
      <c r="BD775" s="82"/>
      <c r="BE775" s="82"/>
      <c r="BF775" s="82"/>
      <c r="BG775" s="82"/>
      <c r="BH775" s="82"/>
      <c r="BI775" s="82"/>
    </row>
    <row r="776">
      <c r="K776" s="79"/>
      <c r="U776" s="79"/>
      <c r="AE776" s="79"/>
      <c r="AF776" s="82"/>
      <c r="AG776" s="82"/>
      <c r="AH776" s="82"/>
      <c r="AI776" s="82"/>
      <c r="AJ776" s="82"/>
      <c r="AK776" s="82"/>
      <c r="AL776" s="82"/>
      <c r="AM776" s="82"/>
      <c r="AN776" s="82"/>
      <c r="AO776" s="81"/>
      <c r="AP776" s="82"/>
      <c r="AQ776" s="82"/>
      <c r="AR776" s="82"/>
      <c r="AS776" s="82"/>
      <c r="AT776" s="82"/>
      <c r="AU776" s="82"/>
      <c r="AV776" s="82"/>
      <c r="AW776" s="82"/>
      <c r="AX776" s="82"/>
      <c r="AY776" s="81"/>
      <c r="AZ776" s="82"/>
      <c r="BA776" s="82"/>
      <c r="BB776" s="82"/>
      <c r="BC776" s="82"/>
      <c r="BD776" s="82"/>
      <c r="BE776" s="82"/>
      <c r="BF776" s="82"/>
      <c r="BG776" s="82"/>
      <c r="BH776" s="82"/>
      <c r="BI776" s="82"/>
    </row>
    <row r="777">
      <c r="K777" s="79"/>
      <c r="U777" s="79"/>
      <c r="AE777" s="79"/>
      <c r="AF777" s="82"/>
      <c r="AG777" s="82"/>
      <c r="AH777" s="82"/>
      <c r="AI777" s="82"/>
      <c r="AJ777" s="82"/>
      <c r="AK777" s="82"/>
      <c r="AL777" s="82"/>
      <c r="AM777" s="82"/>
      <c r="AN777" s="82"/>
      <c r="AO777" s="81"/>
      <c r="AP777" s="82"/>
      <c r="AQ777" s="82"/>
      <c r="AR777" s="82"/>
      <c r="AS777" s="82"/>
      <c r="AT777" s="82"/>
      <c r="AU777" s="82"/>
      <c r="AV777" s="82"/>
      <c r="AW777" s="82"/>
      <c r="AX777" s="82"/>
      <c r="AY777" s="81"/>
      <c r="AZ777" s="82"/>
      <c r="BA777" s="82"/>
      <c r="BB777" s="82"/>
      <c r="BC777" s="82"/>
      <c r="BD777" s="82"/>
      <c r="BE777" s="82"/>
      <c r="BF777" s="82"/>
      <c r="BG777" s="82"/>
      <c r="BH777" s="82"/>
      <c r="BI777" s="82"/>
    </row>
    <row r="778">
      <c r="K778" s="79"/>
      <c r="U778" s="79"/>
      <c r="AE778" s="79"/>
      <c r="AF778" s="82"/>
      <c r="AG778" s="82"/>
      <c r="AH778" s="82"/>
      <c r="AI778" s="82"/>
      <c r="AJ778" s="82"/>
      <c r="AK778" s="82"/>
      <c r="AL778" s="82"/>
      <c r="AM778" s="82"/>
      <c r="AN778" s="82"/>
      <c r="AO778" s="81"/>
      <c r="AP778" s="82"/>
      <c r="AQ778" s="82"/>
      <c r="AR778" s="82"/>
      <c r="AS778" s="82"/>
      <c r="AT778" s="82"/>
      <c r="AU778" s="82"/>
      <c r="AV778" s="82"/>
      <c r="AW778" s="82"/>
      <c r="AX778" s="82"/>
      <c r="AY778" s="81"/>
      <c r="AZ778" s="82"/>
      <c r="BA778" s="82"/>
      <c r="BB778" s="82"/>
      <c r="BC778" s="82"/>
      <c r="BD778" s="82"/>
      <c r="BE778" s="82"/>
      <c r="BF778" s="82"/>
      <c r="BG778" s="82"/>
      <c r="BH778" s="82"/>
      <c r="BI778" s="82"/>
    </row>
    <row r="779">
      <c r="K779" s="79"/>
      <c r="U779" s="79"/>
      <c r="AE779" s="79"/>
      <c r="AF779" s="82"/>
      <c r="AG779" s="82"/>
      <c r="AH779" s="82"/>
      <c r="AI779" s="82"/>
      <c r="AJ779" s="82"/>
      <c r="AK779" s="82"/>
      <c r="AL779" s="82"/>
      <c r="AM779" s="82"/>
      <c r="AN779" s="82"/>
      <c r="AO779" s="81"/>
      <c r="AP779" s="82"/>
      <c r="AQ779" s="82"/>
      <c r="AR779" s="82"/>
      <c r="AS779" s="82"/>
      <c r="AT779" s="82"/>
      <c r="AU779" s="82"/>
      <c r="AV779" s="82"/>
      <c r="AW779" s="82"/>
      <c r="AX779" s="82"/>
      <c r="AY779" s="81"/>
      <c r="AZ779" s="82"/>
      <c r="BA779" s="82"/>
      <c r="BB779" s="82"/>
      <c r="BC779" s="82"/>
      <c r="BD779" s="82"/>
      <c r="BE779" s="82"/>
      <c r="BF779" s="82"/>
      <c r="BG779" s="82"/>
      <c r="BH779" s="82"/>
      <c r="BI779" s="82"/>
    </row>
    <row r="780">
      <c r="K780" s="79"/>
      <c r="U780" s="79"/>
      <c r="AE780" s="79"/>
      <c r="AF780" s="82"/>
      <c r="AG780" s="82"/>
      <c r="AH780" s="82"/>
      <c r="AI780" s="82"/>
      <c r="AJ780" s="82"/>
      <c r="AK780" s="82"/>
      <c r="AL780" s="82"/>
      <c r="AM780" s="82"/>
      <c r="AN780" s="82"/>
      <c r="AO780" s="81"/>
      <c r="AP780" s="82"/>
      <c r="AQ780" s="82"/>
      <c r="AR780" s="82"/>
      <c r="AS780" s="82"/>
      <c r="AT780" s="82"/>
      <c r="AU780" s="82"/>
      <c r="AV780" s="82"/>
      <c r="AW780" s="82"/>
      <c r="AX780" s="82"/>
      <c r="AY780" s="81"/>
      <c r="AZ780" s="82"/>
      <c r="BA780" s="82"/>
      <c r="BB780" s="82"/>
      <c r="BC780" s="82"/>
      <c r="BD780" s="82"/>
      <c r="BE780" s="82"/>
      <c r="BF780" s="82"/>
      <c r="BG780" s="82"/>
      <c r="BH780" s="82"/>
      <c r="BI780" s="82"/>
    </row>
    <row r="781">
      <c r="K781" s="79"/>
      <c r="U781" s="79"/>
      <c r="AE781" s="79"/>
      <c r="AF781" s="82"/>
      <c r="AG781" s="82"/>
      <c r="AH781" s="82"/>
      <c r="AI781" s="82"/>
      <c r="AJ781" s="82"/>
      <c r="AK781" s="82"/>
      <c r="AL781" s="82"/>
      <c r="AM781" s="82"/>
      <c r="AN781" s="82"/>
      <c r="AO781" s="81"/>
      <c r="AP781" s="82"/>
      <c r="AQ781" s="82"/>
      <c r="AR781" s="82"/>
      <c r="AS781" s="82"/>
      <c r="AT781" s="82"/>
      <c r="AU781" s="82"/>
      <c r="AV781" s="82"/>
      <c r="AW781" s="82"/>
      <c r="AX781" s="82"/>
      <c r="AY781" s="81"/>
      <c r="AZ781" s="82"/>
      <c r="BA781" s="82"/>
      <c r="BB781" s="82"/>
      <c r="BC781" s="82"/>
      <c r="BD781" s="82"/>
      <c r="BE781" s="82"/>
      <c r="BF781" s="82"/>
      <c r="BG781" s="82"/>
      <c r="BH781" s="82"/>
      <c r="BI781" s="82"/>
    </row>
    <row r="782">
      <c r="K782" s="79"/>
      <c r="U782" s="79"/>
      <c r="AE782" s="79"/>
      <c r="AF782" s="82"/>
      <c r="AG782" s="82"/>
      <c r="AH782" s="82"/>
      <c r="AI782" s="82"/>
      <c r="AJ782" s="82"/>
      <c r="AK782" s="82"/>
      <c r="AL782" s="82"/>
      <c r="AM782" s="82"/>
      <c r="AN782" s="82"/>
      <c r="AO782" s="81"/>
      <c r="AP782" s="82"/>
      <c r="AQ782" s="82"/>
      <c r="AR782" s="82"/>
      <c r="AS782" s="82"/>
      <c r="AT782" s="82"/>
      <c r="AU782" s="82"/>
      <c r="AV782" s="82"/>
      <c r="AW782" s="82"/>
      <c r="AX782" s="82"/>
      <c r="AY782" s="81"/>
      <c r="AZ782" s="82"/>
      <c r="BA782" s="82"/>
      <c r="BB782" s="82"/>
      <c r="BC782" s="82"/>
      <c r="BD782" s="82"/>
      <c r="BE782" s="82"/>
      <c r="BF782" s="82"/>
      <c r="BG782" s="82"/>
      <c r="BH782" s="82"/>
      <c r="BI782" s="82"/>
    </row>
    <row r="783">
      <c r="K783" s="79"/>
      <c r="U783" s="79"/>
      <c r="AE783" s="79"/>
      <c r="AF783" s="82"/>
      <c r="AG783" s="82"/>
      <c r="AH783" s="82"/>
      <c r="AI783" s="82"/>
      <c r="AJ783" s="82"/>
      <c r="AK783" s="82"/>
      <c r="AL783" s="82"/>
      <c r="AM783" s="82"/>
      <c r="AN783" s="82"/>
      <c r="AO783" s="81"/>
      <c r="AP783" s="82"/>
      <c r="AQ783" s="82"/>
      <c r="AR783" s="82"/>
      <c r="AS783" s="82"/>
      <c r="AT783" s="82"/>
      <c r="AU783" s="82"/>
      <c r="AV783" s="82"/>
      <c r="AW783" s="82"/>
      <c r="AX783" s="82"/>
      <c r="AY783" s="81"/>
      <c r="AZ783" s="82"/>
      <c r="BA783" s="82"/>
      <c r="BB783" s="82"/>
      <c r="BC783" s="82"/>
      <c r="BD783" s="82"/>
      <c r="BE783" s="82"/>
      <c r="BF783" s="82"/>
      <c r="BG783" s="82"/>
      <c r="BH783" s="82"/>
      <c r="BI783" s="82"/>
    </row>
    <row r="784">
      <c r="K784" s="79"/>
      <c r="U784" s="79"/>
      <c r="AE784" s="79"/>
      <c r="AF784" s="82"/>
      <c r="AG784" s="82"/>
      <c r="AH784" s="82"/>
      <c r="AI784" s="82"/>
      <c r="AJ784" s="82"/>
      <c r="AK784" s="82"/>
      <c r="AL784" s="82"/>
      <c r="AM784" s="82"/>
      <c r="AN784" s="82"/>
      <c r="AO784" s="81"/>
      <c r="AP784" s="82"/>
      <c r="AQ784" s="82"/>
      <c r="AR784" s="82"/>
      <c r="AS784" s="82"/>
      <c r="AT784" s="82"/>
      <c r="AU784" s="82"/>
      <c r="AV784" s="82"/>
      <c r="AW784" s="82"/>
      <c r="AX784" s="82"/>
      <c r="AY784" s="81"/>
      <c r="AZ784" s="82"/>
      <c r="BA784" s="82"/>
      <c r="BB784" s="82"/>
      <c r="BC784" s="82"/>
      <c r="BD784" s="82"/>
      <c r="BE784" s="82"/>
      <c r="BF784" s="82"/>
      <c r="BG784" s="82"/>
      <c r="BH784" s="82"/>
      <c r="BI784" s="82"/>
    </row>
    <row r="785">
      <c r="K785" s="79"/>
      <c r="U785" s="79"/>
      <c r="AE785" s="79"/>
      <c r="AF785" s="82"/>
      <c r="AG785" s="82"/>
      <c r="AH785" s="82"/>
      <c r="AI785" s="82"/>
      <c r="AJ785" s="82"/>
      <c r="AK785" s="82"/>
      <c r="AL785" s="82"/>
      <c r="AM785" s="82"/>
      <c r="AN785" s="82"/>
      <c r="AO785" s="81"/>
      <c r="AP785" s="82"/>
      <c r="AQ785" s="82"/>
      <c r="AR785" s="82"/>
      <c r="AS785" s="82"/>
      <c r="AT785" s="82"/>
      <c r="AU785" s="82"/>
      <c r="AV785" s="82"/>
      <c r="AW785" s="82"/>
      <c r="AX785" s="82"/>
      <c r="AY785" s="81"/>
      <c r="AZ785" s="82"/>
      <c r="BA785" s="82"/>
      <c r="BB785" s="82"/>
      <c r="BC785" s="82"/>
      <c r="BD785" s="82"/>
      <c r="BE785" s="82"/>
      <c r="BF785" s="82"/>
      <c r="BG785" s="82"/>
      <c r="BH785" s="82"/>
      <c r="BI785" s="82"/>
    </row>
    <row r="786">
      <c r="K786" s="79"/>
      <c r="U786" s="79"/>
      <c r="AE786" s="79"/>
      <c r="AF786" s="82"/>
      <c r="AG786" s="82"/>
      <c r="AH786" s="82"/>
      <c r="AI786" s="82"/>
      <c r="AJ786" s="82"/>
      <c r="AK786" s="82"/>
      <c r="AL786" s="82"/>
      <c r="AM786" s="82"/>
      <c r="AN786" s="82"/>
      <c r="AO786" s="81"/>
      <c r="AP786" s="82"/>
      <c r="AQ786" s="82"/>
      <c r="AR786" s="82"/>
      <c r="AS786" s="82"/>
      <c r="AT786" s="82"/>
      <c r="AU786" s="82"/>
      <c r="AV786" s="82"/>
      <c r="AW786" s="82"/>
      <c r="AX786" s="82"/>
      <c r="AY786" s="81"/>
      <c r="AZ786" s="82"/>
      <c r="BA786" s="82"/>
      <c r="BB786" s="82"/>
      <c r="BC786" s="82"/>
      <c r="BD786" s="82"/>
      <c r="BE786" s="82"/>
      <c r="BF786" s="82"/>
      <c r="BG786" s="82"/>
      <c r="BH786" s="82"/>
      <c r="BI786" s="82"/>
    </row>
    <row r="787">
      <c r="K787" s="79"/>
      <c r="U787" s="79"/>
      <c r="AE787" s="79"/>
      <c r="AF787" s="82"/>
      <c r="AG787" s="82"/>
      <c r="AH787" s="82"/>
      <c r="AI787" s="82"/>
      <c r="AJ787" s="82"/>
      <c r="AK787" s="82"/>
      <c r="AL787" s="82"/>
      <c r="AM787" s="82"/>
      <c r="AN787" s="82"/>
      <c r="AO787" s="81"/>
      <c r="AP787" s="82"/>
      <c r="AQ787" s="82"/>
      <c r="AR787" s="82"/>
      <c r="AS787" s="82"/>
      <c r="AT787" s="82"/>
      <c r="AU787" s="82"/>
      <c r="AV787" s="82"/>
      <c r="AW787" s="82"/>
      <c r="AX787" s="82"/>
      <c r="AY787" s="81"/>
      <c r="AZ787" s="82"/>
      <c r="BA787" s="82"/>
      <c r="BB787" s="82"/>
      <c r="BC787" s="82"/>
      <c r="BD787" s="82"/>
      <c r="BE787" s="82"/>
      <c r="BF787" s="82"/>
      <c r="BG787" s="82"/>
      <c r="BH787" s="82"/>
      <c r="BI787" s="82"/>
    </row>
    <row r="788">
      <c r="K788" s="79"/>
      <c r="U788" s="79"/>
      <c r="AE788" s="79"/>
      <c r="AF788" s="82"/>
      <c r="AG788" s="82"/>
      <c r="AH788" s="82"/>
      <c r="AI788" s="82"/>
      <c r="AJ788" s="82"/>
      <c r="AK788" s="82"/>
      <c r="AL788" s="82"/>
      <c r="AM788" s="82"/>
      <c r="AN788" s="82"/>
      <c r="AO788" s="81"/>
      <c r="AP788" s="82"/>
      <c r="AQ788" s="82"/>
      <c r="AR788" s="82"/>
      <c r="AS788" s="82"/>
      <c r="AT788" s="82"/>
      <c r="AU788" s="82"/>
      <c r="AV788" s="82"/>
      <c r="AW788" s="82"/>
      <c r="AX788" s="82"/>
      <c r="AY788" s="81"/>
      <c r="AZ788" s="82"/>
      <c r="BA788" s="82"/>
      <c r="BB788" s="82"/>
      <c r="BC788" s="82"/>
      <c r="BD788" s="82"/>
      <c r="BE788" s="82"/>
      <c r="BF788" s="82"/>
      <c r="BG788" s="82"/>
      <c r="BH788" s="82"/>
      <c r="BI788" s="82"/>
    </row>
    <row r="789">
      <c r="K789" s="79"/>
      <c r="U789" s="79"/>
      <c r="AE789" s="79"/>
      <c r="AF789" s="82"/>
      <c r="AG789" s="82"/>
      <c r="AH789" s="82"/>
      <c r="AI789" s="82"/>
      <c r="AJ789" s="82"/>
      <c r="AK789" s="82"/>
      <c r="AL789" s="82"/>
      <c r="AM789" s="82"/>
      <c r="AN789" s="82"/>
      <c r="AO789" s="81"/>
      <c r="AP789" s="82"/>
      <c r="AQ789" s="82"/>
      <c r="AR789" s="82"/>
      <c r="AS789" s="82"/>
      <c r="AT789" s="82"/>
      <c r="AU789" s="82"/>
      <c r="AV789" s="82"/>
      <c r="AW789" s="82"/>
      <c r="AX789" s="82"/>
      <c r="AY789" s="81"/>
      <c r="AZ789" s="82"/>
      <c r="BA789" s="82"/>
      <c r="BB789" s="82"/>
      <c r="BC789" s="82"/>
      <c r="BD789" s="82"/>
      <c r="BE789" s="82"/>
      <c r="BF789" s="82"/>
      <c r="BG789" s="82"/>
      <c r="BH789" s="82"/>
      <c r="BI789" s="82"/>
    </row>
    <row r="790">
      <c r="K790" s="79"/>
      <c r="U790" s="79"/>
      <c r="AE790" s="79"/>
      <c r="AF790" s="82"/>
      <c r="AG790" s="82"/>
      <c r="AH790" s="82"/>
      <c r="AI790" s="82"/>
      <c r="AJ790" s="82"/>
      <c r="AK790" s="82"/>
      <c r="AL790" s="82"/>
      <c r="AM790" s="82"/>
      <c r="AN790" s="82"/>
      <c r="AO790" s="81"/>
      <c r="AP790" s="82"/>
      <c r="AQ790" s="82"/>
      <c r="AR790" s="82"/>
      <c r="AS790" s="82"/>
      <c r="AT790" s="82"/>
      <c r="AU790" s="82"/>
      <c r="AV790" s="82"/>
      <c r="AW790" s="82"/>
      <c r="AX790" s="82"/>
      <c r="AY790" s="81"/>
      <c r="AZ790" s="82"/>
      <c r="BA790" s="82"/>
      <c r="BB790" s="82"/>
      <c r="BC790" s="82"/>
      <c r="BD790" s="82"/>
      <c r="BE790" s="82"/>
      <c r="BF790" s="82"/>
      <c r="BG790" s="82"/>
      <c r="BH790" s="82"/>
      <c r="BI790" s="82"/>
    </row>
    <row r="791">
      <c r="K791" s="79"/>
      <c r="U791" s="79"/>
      <c r="AE791" s="79"/>
      <c r="AF791" s="82"/>
      <c r="AG791" s="82"/>
      <c r="AH791" s="82"/>
      <c r="AI791" s="82"/>
      <c r="AJ791" s="82"/>
      <c r="AK791" s="82"/>
      <c r="AL791" s="82"/>
      <c r="AM791" s="82"/>
      <c r="AN791" s="82"/>
      <c r="AO791" s="81"/>
      <c r="AP791" s="82"/>
      <c r="AQ791" s="82"/>
      <c r="AR791" s="82"/>
      <c r="AS791" s="82"/>
      <c r="AT791" s="82"/>
      <c r="AU791" s="82"/>
      <c r="AV791" s="82"/>
      <c r="AW791" s="82"/>
      <c r="AX791" s="82"/>
      <c r="AY791" s="81"/>
      <c r="AZ791" s="82"/>
      <c r="BA791" s="82"/>
      <c r="BB791" s="82"/>
      <c r="BC791" s="82"/>
      <c r="BD791" s="82"/>
      <c r="BE791" s="82"/>
      <c r="BF791" s="82"/>
      <c r="BG791" s="82"/>
      <c r="BH791" s="82"/>
      <c r="BI791" s="82"/>
    </row>
    <row r="792">
      <c r="K792" s="79"/>
      <c r="U792" s="79"/>
      <c r="AE792" s="79"/>
      <c r="AF792" s="82"/>
      <c r="AG792" s="82"/>
      <c r="AH792" s="82"/>
      <c r="AI792" s="82"/>
      <c r="AJ792" s="82"/>
      <c r="AK792" s="82"/>
      <c r="AL792" s="82"/>
      <c r="AM792" s="82"/>
      <c r="AN792" s="82"/>
      <c r="AO792" s="81"/>
      <c r="AP792" s="82"/>
      <c r="AQ792" s="82"/>
      <c r="AR792" s="82"/>
      <c r="AS792" s="82"/>
      <c r="AT792" s="82"/>
      <c r="AU792" s="82"/>
      <c r="AV792" s="82"/>
      <c r="AW792" s="82"/>
      <c r="AX792" s="82"/>
      <c r="AY792" s="81"/>
      <c r="AZ792" s="82"/>
      <c r="BA792" s="82"/>
      <c r="BB792" s="82"/>
      <c r="BC792" s="82"/>
      <c r="BD792" s="82"/>
      <c r="BE792" s="82"/>
      <c r="BF792" s="82"/>
      <c r="BG792" s="82"/>
      <c r="BH792" s="82"/>
      <c r="BI792" s="82"/>
    </row>
    <row r="793">
      <c r="K793" s="79"/>
      <c r="U793" s="79"/>
      <c r="AE793" s="79"/>
      <c r="AF793" s="82"/>
      <c r="AG793" s="82"/>
      <c r="AH793" s="82"/>
      <c r="AI793" s="82"/>
      <c r="AJ793" s="82"/>
      <c r="AK793" s="82"/>
      <c r="AL793" s="82"/>
      <c r="AM793" s="82"/>
      <c r="AN793" s="82"/>
      <c r="AO793" s="81"/>
      <c r="AP793" s="82"/>
      <c r="AQ793" s="82"/>
      <c r="AR793" s="82"/>
      <c r="AS793" s="82"/>
      <c r="AT793" s="82"/>
      <c r="AU793" s="82"/>
      <c r="AV793" s="82"/>
      <c r="AW793" s="82"/>
      <c r="AX793" s="82"/>
      <c r="AY793" s="81"/>
      <c r="AZ793" s="82"/>
      <c r="BA793" s="82"/>
      <c r="BB793" s="82"/>
      <c r="BC793" s="82"/>
      <c r="BD793" s="82"/>
      <c r="BE793" s="82"/>
      <c r="BF793" s="82"/>
      <c r="BG793" s="82"/>
      <c r="BH793" s="82"/>
      <c r="BI793" s="82"/>
    </row>
    <row r="794">
      <c r="K794" s="79"/>
      <c r="U794" s="79"/>
      <c r="AE794" s="79"/>
      <c r="AF794" s="82"/>
      <c r="AG794" s="82"/>
      <c r="AH794" s="82"/>
      <c r="AI794" s="82"/>
      <c r="AJ794" s="82"/>
      <c r="AK794" s="82"/>
      <c r="AL794" s="82"/>
      <c r="AM794" s="82"/>
      <c r="AN794" s="82"/>
      <c r="AO794" s="81"/>
      <c r="AP794" s="82"/>
      <c r="AQ794" s="82"/>
      <c r="AR794" s="82"/>
      <c r="AS794" s="82"/>
      <c r="AT794" s="82"/>
      <c r="AU794" s="82"/>
      <c r="AV794" s="82"/>
      <c r="AW794" s="82"/>
      <c r="AX794" s="82"/>
      <c r="AY794" s="81"/>
      <c r="AZ794" s="82"/>
      <c r="BA794" s="82"/>
      <c r="BB794" s="82"/>
      <c r="BC794" s="82"/>
      <c r="BD794" s="82"/>
      <c r="BE794" s="82"/>
      <c r="BF794" s="82"/>
      <c r="BG794" s="82"/>
      <c r="BH794" s="82"/>
      <c r="BI794" s="82"/>
    </row>
    <row r="795">
      <c r="K795" s="79"/>
      <c r="U795" s="79"/>
      <c r="AE795" s="79"/>
      <c r="AF795" s="82"/>
      <c r="AG795" s="82"/>
      <c r="AH795" s="82"/>
      <c r="AI795" s="82"/>
      <c r="AJ795" s="82"/>
      <c r="AK795" s="82"/>
      <c r="AL795" s="82"/>
      <c r="AM795" s="82"/>
      <c r="AN795" s="82"/>
      <c r="AO795" s="81"/>
      <c r="AP795" s="82"/>
      <c r="AQ795" s="82"/>
      <c r="AR795" s="82"/>
      <c r="AS795" s="82"/>
      <c r="AT795" s="82"/>
      <c r="AU795" s="82"/>
      <c r="AV795" s="82"/>
      <c r="AW795" s="82"/>
      <c r="AX795" s="82"/>
      <c r="AY795" s="81"/>
      <c r="AZ795" s="82"/>
      <c r="BA795" s="82"/>
      <c r="BB795" s="82"/>
      <c r="BC795" s="82"/>
      <c r="BD795" s="82"/>
      <c r="BE795" s="82"/>
      <c r="BF795" s="82"/>
      <c r="BG795" s="82"/>
      <c r="BH795" s="82"/>
      <c r="BI795" s="82"/>
    </row>
    <row r="796">
      <c r="K796" s="79"/>
      <c r="U796" s="79"/>
      <c r="AE796" s="79"/>
      <c r="AF796" s="82"/>
      <c r="AG796" s="82"/>
      <c r="AH796" s="82"/>
      <c r="AI796" s="82"/>
      <c r="AJ796" s="82"/>
      <c r="AK796" s="82"/>
      <c r="AL796" s="82"/>
      <c r="AM796" s="82"/>
      <c r="AN796" s="82"/>
      <c r="AO796" s="81"/>
      <c r="AP796" s="82"/>
      <c r="AQ796" s="82"/>
      <c r="AR796" s="82"/>
      <c r="AS796" s="82"/>
      <c r="AT796" s="82"/>
      <c r="AU796" s="82"/>
      <c r="AV796" s="82"/>
      <c r="AW796" s="82"/>
      <c r="AX796" s="82"/>
      <c r="AY796" s="81"/>
      <c r="AZ796" s="82"/>
      <c r="BA796" s="82"/>
      <c r="BB796" s="82"/>
      <c r="BC796" s="82"/>
      <c r="BD796" s="82"/>
      <c r="BE796" s="82"/>
      <c r="BF796" s="82"/>
      <c r="BG796" s="82"/>
      <c r="BH796" s="82"/>
      <c r="BI796" s="82"/>
    </row>
    <row r="797">
      <c r="K797" s="79"/>
      <c r="U797" s="79"/>
      <c r="AE797" s="79"/>
      <c r="AF797" s="82"/>
      <c r="AG797" s="82"/>
      <c r="AH797" s="82"/>
      <c r="AI797" s="82"/>
      <c r="AJ797" s="82"/>
      <c r="AK797" s="82"/>
      <c r="AL797" s="82"/>
      <c r="AM797" s="82"/>
      <c r="AN797" s="82"/>
      <c r="AO797" s="81"/>
      <c r="AP797" s="82"/>
      <c r="AQ797" s="82"/>
      <c r="AR797" s="82"/>
      <c r="AS797" s="82"/>
      <c r="AT797" s="82"/>
      <c r="AU797" s="82"/>
      <c r="AV797" s="82"/>
      <c r="AW797" s="82"/>
      <c r="AX797" s="82"/>
      <c r="AY797" s="81"/>
      <c r="AZ797" s="82"/>
      <c r="BA797" s="82"/>
      <c r="BB797" s="82"/>
      <c r="BC797" s="82"/>
      <c r="BD797" s="82"/>
      <c r="BE797" s="82"/>
      <c r="BF797" s="82"/>
      <c r="BG797" s="82"/>
      <c r="BH797" s="82"/>
      <c r="BI797" s="82"/>
    </row>
    <row r="798">
      <c r="K798" s="79"/>
      <c r="U798" s="79"/>
      <c r="AE798" s="79"/>
      <c r="AF798" s="82"/>
      <c r="AG798" s="82"/>
      <c r="AH798" s="82"/>
      <c r="AI798" s="82"/>
      <c r="AJ798" s="82"/>
      <c r="AK798" s="82"/>
      <c r="AL798" s="82"/>
      <c r="AM798" s="82"/>
      <c r="AN798" s="82"/>
      <c r="AO798" s="81"/>
      <c r="AP798" s="82"/>
      <c r="AQ798" s="82"/>
      <c r="AR798" s="82"/>
      <c r="AS798" s="82"/>
      <c r="AT798" s="82"/>
      <c r="AU798" s="82"/>
      <c r="AV798" s="82"/>
      <c r="AW798" s="82"/>
      <c r="AX798" s="82"/>
      <c r="AY798" s="81"/>
      <c r="AZ798" s="82"/>
      <c r="BA798" s="82"/>
      <c r="BB798" s="82"/>
      <c r="BC798" s="82"/>
      <c r="BD798" s="82"/>
      <c r="BE798" s="82"/>
      <c r="BF798" s="82"/>
      <c r="BG798" s="82"/>
      <c r="BH798" s="82"/>
      <c r="BI798" s="82"/>
    </row>
    <row r="799">
      <c r="K799" s="79"/>
      <c r="U799" s="79"/>
      <c r="AE799" s="79"/>
      <c r="AF799" s="82"/>
      <c r="AG799" s="82"/>
      <c r="AH799" s="82"/>
      <c r="AI799" s="82"/>
      <c r="AJ799" s="82"/>
      <c r="AK799" s="82"/>
      <c r="AL799" s="82"/>
      <c r="AM799" s="82"/>
      <c r="AN799" s="82"/>
      <c r="AO799" s="81"/>
      <c r="AP799" s="82"/>
      <c r="AQ799" s="82"/>
      <c r="AR799" s="82"/>
      <c r="AS799" s="82"/>
      <c r="AT799" s="82"/>
      <c r="AU799" s="82"/>
      <c r="AV799" s="82"/>
      <c r="AW799" s="82"/>
      <c r="AX799" s="82"/>
      <c r="AY799" s="81"/>
      <c r="AZ799" s="82"/>
      <c r="BA799" s="82"/>
      <c r="BB799" s="82"/>
      <c r="BC799" s="82"/>
      <c r="BD799" s="82"/>
      <c r="BE799" s="82"/>
      <c r="BF799" s="82"/>
      <c r="BG799" s="82"/>
      <c r="BH799" s="82"/>
      <c r="BI799" s="82"/>
    </row>
    <row r="800">
      <c r="K800" s="79"/>
      <c r="U800" s="79"/>
      <c r="AE800" s="79"/>
      <c r="AF800" s="82"/>
      <c r="AG800" s="82"/>
      <c r="AH800" s="82"/>
      <c r="AI800" s="82"/>
      <c r="AJ800" s="82"/>
      <c r="AK800" s="82"/>
      <c r="AL800" s="82"/>
      <c r="AM800" s="82"/>
      <c r="AN800" s="82"/>
      <c r="AO800" s="81"/>
      <c r="AP800" s="82"/>
      <c r="AQ800" s="82"/>
      <c r="AR800" s="82"/>
      <c r="AS800" s="82"/>
      <c r="AT800" s="82"/>
      <c r="AU800" s="82"/>
      <c r="AV800" s="82"/>
      <c r="AW800" s="82"/>
      <c r="AX800" s="82"/>
      <c r="AY800" s="81"/>
      <c r="AZ800" s="82"/>
      <c r="BA800" s="82"/>
      <c r="BB800" s="82"/>
      <c r="BC800" s="82"/>
      <c r="BD800" s="82"/>
      <c r="BE800" s="82"/>
      <c r="BF800" s="82"/>
      <c r="BG800" s="82"/>
      <c r="BH800" s="82"/>
      <c r="BI800" s="82"/>
    </row>
    <row r="801">
      <c r="K801" s="79"/>
      <c r="U801" s="79"/>
      <c r="AE801" s="79"/>
      <c r="AF801" s="82"/>
      <c r="AG801" s="82"/>
      <c r="AH801" s="82"/>
      <c r="AI801" s="82"/>
      <c r="AJ801" s="82"/>
      <c r="AK801" s="82"/>
      <c r="AL801" s="82"/>
      <c r="AM801" s="82"/>
      <c r="AN801" s="82"/>
      <c r="AO801" s="81"/>
      <c r="AP801" s="82"/>
      <c r="AQ801" s="82"/>
      <c r="AR801" s="82"/>
      <c r="AS801" s="82"/>
      <c r="AT801" s="82"/>
      <c r="AU801" s="82"/>
      <c r="AV801" s="82"/>
      <c r="AW801" s="82"/>
      <c r="AX801" s="82"/>
      <c r="AY801" s="81"/>
      <c r="AZ801" s="82"/>
      <c r="BA801" s="82"/>
      <c r="BB801" s="82"/>
      <c r="BC801" s="82"/>
      <c r="BD801" s="82"/>
      <c r="BE801" s="82"/>
      <c r="BF801" s="82"/>
      <c r="BG801" s="82"/>
      <c r="BH801" s="82"/>
      <c r="BI801" s="82"/>
    </row>
    <row r="802">
      <c r="K802" s="79"/>
      <c r="U802" s="79"/>
      <c r="AE802" s="79"/>
      <c r="AF802" s="82"/>
      <c r="AG802" s="82"/>
      <c r="AH802" s="82"/>
      <c r="AI802" s="82"/>
      <c r="AJ802" s="82"/>
      <c r="AK802" s="82"/>
      <c r="AL802" s="82"/>
      <c r="AM802" s="82"/>
      <c r="AN802" s="82"/>
      <c r="AO802" s="81"/>
      <c r="AP802" s="82"/>
      <c r="AQ802" s="82"/>
      <c r="AR802" s="82"/>
      <c r="AS802" s="82"/>
      <c r="AT802" s="82"/>
      <c r="AU802" s="82"/>
      <c r="AV802" s="82"/>
      <c r="AW802" s="82"/>
      <c r="AX802" s="82"/>
      <c r="AY802" s="81"/>
      <c r="AZ802" s="82"/>
      <c r="BA802" s="82"/>
      <c r="BB802" s="82"/>
      <c r="BC802" s="82"/>
      <c r="BD802" s="82"/>
      <c r="BE802" s="82"/>
      <c r="BF802" s="82"/>
      <c r="BG802" s="82"/>
      <c r="BH802" s="82"/>
      <c r="BI802" s="82"/>
    </row>
    <row r="803">
      <c r="K803" s="79"/>
      <c r="U803" s="79"/>
      <c r="AE803" s="79"/>
      <c r="AF803" s="82"/>
      <c r="AG803" s="82"/>
      <c r="AH803" s="82"/>
      <c r="AI803" s="82"/>
      <c r="AJ803" s="82"/>
      <c r="AK803" s="82"/>
      <c r="AL803" s="82"/>
      <c r="AM803" s="82"/>
      <c r="AN803" s="82"/>
      <c r="AO803" s="81"/>
      <c r="AP803" s="82"/>
      <c r="AQ803" s="82"/>
      <c r="AR803" s="82"/>
      <c r="AS803" s="82"/>
      <c r="AT803" s="82"/>
      <c r="AU803" s="82"/>
      <c r="AV803" s="82"/>
      <c r="AW803" s="82"/>
      <c r="AX803" s="82"/>
      <c r="AY803" s="81"/>
      <c r="AZ803" s="82"/>
      <c r="BA803" s="82"/>
      <c r="BB803" s="82"/>
      <c r="BC803" s="82"/>
      <c r="BD803" s="82"/>
      <c r="BE803" s="82"/>
      <c r="BF803" s="82"/>
      <c r="BG803" s="82"/>
      <c r="BH803" s="82"/>
      <c r="BI803" s="82"/>
    </row>
    <row r="804">
      <c r="K804" s="79"/>
      <c r="U804" s="79"/>
      <c r="AE804" s="79"/>
      <c r="AF804" s="82"/>
      <c r="AG804" s="82"/>
      <c r="AH804" s="82"/>
      <c r="AI804" s="82"/>
      <c r="AJ804" s="82"/>
      <c r="AK804" s="82"/>
      <c r="AL804" s="82"/>
      <c r="AM804" s="82"/>
      <c r="AN804" s="82"/>
      <c r="AO804" s="81"/>
      <c r="AP804" s="82"/>
      <c r="AQ804" s="82"/>
      <c r="AR804" s="82"/>
      <c r="AS804" s="82"/>
      <c r="AT804" s="82"/>
      <c r="AU804" s="82"/>
      <c r="AV804" s="82"/>
      <c r="AW804" s="82"/>
      <c r="AX804" s="82"/>
      <c r="AY804" s="81"/>
      <c r="AZ804" s="82"/>
      <c r="BA804" s="82"/>
      <c r="BB804" s="82"/>
      <c r="BC804" s="82"/>
      <c r="BD804" s="82"/>
      <c r="BE804" s="82"/>
      <c r="BF804" s="82"/>
      <c r="BG804" s="82"/>
      <c r="BH804" s="82"/>
      <c r="BI804" s="82"/>
    </row>
    <row r="805">
      <c r="K805" s="79"/>
      <c r="U805" s="79"/>
      <c r="AE805" s="79"/>
      <c r="AF805" s="82"/>
      <c r="AG805" s="82"/>
      <c r="AH805" s="82"/>
      <c r="AI805" s="82"/>
      <c r="AJ805" s="82"/>
      <c r="AK805" s="82"/>
      <c r="AL805" s="82"/>
      <c r="AM805" s="82"/>
      <c r="AN805" s="82"/>
      <c r="AO805" s="81"/>
      <c r="AP805" s="82"/>
      <c r="AQ805" s="82"/>
      <c r="AR805" s="82"/>
      <c r="AS805" s="82"/>
      <c r="AT805" s="82"/>
      <c r="AU805" s="82"/>
      <c r="AV805" s="82"/>
      <c r="AW805" s="82"/>
      <c r="AX805" s="82"/>
      <c r="AY805" s="81"/>
      <c r="AZ805" s="82"/>
      <c r="BA805" s="82"/>
      <c r="BB805" s="82"/>
      <c r="BC805" s="82"/>
      <c r="BD805" s="82"/>
      <c r="BE805" s="82"/>
      <c r="BF805" s="82"/>
      <c r="BG805" s="82"/>
      <c r="BH805" s="82"/>
      <c r="BI805" s="82"/>
    </row>
    <row r="806">
      <c r="K806" s="79"/>
      <c r="U806" s="79"/>
      <c r="AE806" s="79"/>
      <c r="AF806" s="82"/>
      <c r="AG806" s="82"/>
      <c r="AH806" s="82"/>
      <c r="AI806" s="82"/>
      <c r="AJ806" s="82"/>
      <c r="AK806" s="82"/>
      <c r="AL806" s="82"/>
      <c r="AM806" s="82"/>
      <c r="AN806" s="82"/>
      <c r="AO806" s="81"/>
      <c r="AP806" s="82"/>
      <c r="AQ806" s="82"/>
      <c r="AR806" s="82"/>
      <c r="AS806" s="82"/>
      <c r="AT806" s="82"/>
      <c r="AU806" s="82"/>
      <c r="AV806" s="82"/>
      <c r="AW806" s="82"/>
      <c r="AX806" s="82"/>
      <c r="AY806" s="81"/>
      <c r="AZ806" s="82"/>
      <c r="BA806" s="82"/>
      <c r="BB806" s="82"/>
      <c r="BC806" s="82"/>
      <c r="BD806" s="82"/>
      <c r="BE806" s="82"/>
      <c r="BF806" s="82"/>
      <c r="BG806" s="82"/>
      <c r="BH806" s="82"/>
      <c r="BI806" s="82"/>
    </row>
    <row r="807">
      <c r="K807" s="79"/>
      <c r="U807" s="79"/>
      <c r="AE807" s="79"/>
      <c r="AF807" s="82"/>
      <c r="AG807" s="82"/>
      <c r="AH807" s="82"/>
      <c r="AI807" s="82"/>
      <c r="AJ807" s="82"/>
      <c r="AK807" s="82"/>
      <c r="AL807" s="82"/>
      <c r="AM807" s="82"/>
      <c r="AN807" s="82"/>
      <c r="AO807" s="81"/>
      <c r="AP807" s="82"/>
      <c r="AQ807" s="82"/>
      <c r="AR807" s="82"/>
      <c r="AS807" s="82"/>
      <c r="AT807" s="82"/>
      <c r="AU807" s="82"/>
      <c r="AV807" s="82"/>
      <c r="AW807" s="82"/>
      <c r="AX807" s="82"/>
      <c r="AY807" s="81"/>
      <c r="AZ807" s="82"/>
      <c r="BA807" s="82"/>
      <c r="BB807" s="82"/>
      <c r="BC807" s="82"/>
      <c r="BD807" s="82"/>
      <c r="BE807" s="82"/>
      <c r="BF807" s="82"/>
      <c r="BG807" s="82"/>
      <c r="BH807" s="82"/>
      <c r="BI807" s="82"/>
    </row>
    <row r="808">
      <c r="K808" s="79"/>
      <c r="U808" s="79"/>
      <c r="AE808" s="79"/>
      <c r="AF808" s="82"/>
      <c r="AG808" s="82"/>
      <c r="AH808" s="82"/>
      <c r="AI808" s="82"/>
      <c r="AJ808" s="82"/>
      <c r="AK808" s="82"/>
      <c r="AL808" s="82"/>
      <c r="AM808" s="82"/>
      <c r="AN808" s="82"/>
      <c r="AO808" s="81"/>
      <c r="AP808" s="82"/>
      <c r="AQ808" s="82"/>
      <c r="AR808" s="82"/>
      <c r="AS808" s="82"/>
      <c r="AT808" s="82"/>
      <c r="AU808" s="82"/>
      <c r="AV808" s="82"/>
      <c r="AW808" s="82"/>
      <c r="AX808" s="82"/>
      <c r="AY808" s="81"/>
      <c r="AZ808" s="82"/>
      <c r="BA808" s="82"/>
      <c r="BB808" s="82"/>
      <c r="BC808" s="82"/>
      <c r="BD808" s="82"/>
      <c r="BE808" s="82"/>
      <c r="BF808" s="82"/>
      <c r="BG808" s="82"/>
      <c r="BH808" s="82"/>
      <c r="BI808" s="82"/>
    </row>
    <row r="809">
      <c r="K809" s="79"/>
      <c r="U809" s="79"/>
      <c r="AE809" s="79"/>
      <c r="AF809" s="82"/>
      <c r="AG809" s="82"/>
      <c r="AH809" s="82"/>
      <c r="AI809" s="82"/>
      <c r="AJ809" s="82"/>
      <c r="AK809" s="82"/>
      <c r="AL809" s="82"/>
      <c r="AM809" s="82"/>
      <c r="AN809" s="82"/>
      <c r="AO809" s="81"/>
      <c r="AP809" s="82"/>
      <c r="AQ809" s="82"/>
      <c r="AR809" s="82"/>
      <c r="AS809" s="82"/>
      <c r="AT809" s="82"/>
      <c r="AU809" s="82"/>
      <c r="AV809" s="82"/>
      <c r="AW809" s="82"/>
      <c r="AX809" s="82"/>
      <c r="AY809" s="81"/>
      <c r="AZ809" s="82"/>
      <c r="BA809" s="82"/>
      <c r="BB809" s="82"/>
      <c r="BC809" s="82"/>
      <c r="BD809" s="82"/>
      <c r="BE809" s="82"/>
      <c r="BF809" s="82"/>
      <c r="BG809" s="82"/>
      <c r="BH809" s="82"/>
      <c r="BI809" s="82"/>
    </row>
    <row r="810">
      <c r="K810" s="79"/>
      <c r="U810" s="79"/>
      <c r="AE810" s="79"/>
      <c r="AF810" s="82"/>
      <c r="AG810" s="82"/>
      <c r="AH810" s="82"/>
      <c r="AI810" s="82"/>
      <c r="AJ810" s="82"/>
      <c r="AK810" s="82"/>
      <c r="AL810" s="82"/>
      <c r="AM810" s="82"/>
      <c r="AN810" s="82"/>
      <c r="AO810" s="81"/>
      <c r="AP810" s="82"/>
      <c r="AQ810" s="82"/>
      <c r="AR810" s="82"/>
      <c r="AS810" s="82"/>
      <c r="AT810" s="82"/>
      <c r="AU810" s="82"/>
      <c r="AV810" s="82"/>
      <c r="AW810" s="82"/>
      <c r="AX810" s="82"/>
      <c r="AY810" s="81"/>
      <c r="AZ810" s="82"/>
      <c r="BA810" s="82"/>
      <c r="BB810" s="82"/>
      <c r="BC810" s="82"/>
      <c r="BD810" s="82"/>
      <c r="BE810" s="82"/>
      <c r="BF810" s="82"/>
      <c r="BG810" s="82"/>
      <c r="BH810" s="82"/>
      <c r="BI810" s="82"/>
    </row>
    <row r="811">
      <c r="K811" s="79"/>
      <c r="U811" s="79"/>
      <c r="AE811" s="79"/>
      <c r="AF811" s="82"/>
      <c r="AG811" s="82"/>
      <c r="AH811" s="82"/>
      <c r="AI811" s="82"/>
      <c r="AJ811" s="82"/>
      <c r="AK811" s="82"/>
      <c r="AL811" s="82"/>
      <c r="AM811" s="82"/>
      <c r="AN811" s="82"/>
      <c r="AO811" s="81"/>
      <c r="AP811" s="82"/>
      <c r="AQ811" s="82"/>
      <c r="AR811" s="82"/>
      <c r="AS811" s="82"/>
      <c r="AT811" s="82"/>
      <c r="AU811" s="82"/>
      <c r="AV811" s="82"/>
      <c r="AW811" s="82"/>
      <c r="AX811" s="82"/>
      <c r="AY811" s="81"/>
      <c r="AZ811" s="82"/>
      <c r="BA811" s="82"/>
      <c r="BB811" s="82"/>
      <c r="BC811" s="82"/>
      <c r="BD811" s="82"/>
      <c r="BE811" s="82"/>
      <c r="BF811" s="82"/>
      <c r="BG811" s="82"/>
      <c r="BH811" s="82"/>
      <c r="BI811" s="82"/>
    </row>
    <row r="812">
      <c r="K812" s="79"/>
      <c r="U812" s="79"/>
      <c r="AE812" s="79"/>
      <c r="AF812" s="82"/>
      <c r="AG812" s="82"/>
      <c r="AH812" s="82"/>
      <c r="AI812" s="82"/>
      <c r="AJ812" s="82"/>
      <c r="AK812" s="82"/>
      <c r="AL812" s="82"/>
      <c r="AM812" s="82"/>
      <c r="AN812" s="82"/>
      <c r="AO812" s="81"/>
      <c r="AP812" s="82"/>
      <c r="AQ812" s="82"/>
      <c r="AR812" s="82"/>
      <c r="AS812" s="82"/>
      <c r="AT812" s="82"/>
      <c r="AU812" s="82"/>
      <c r="AV812" s="82"/>
      <c r="AW812" s="82"/>
      <c r="AX812" s="82"/>
      <c r="AY812" s="81"/>
      <c r="AZ812" s="82"/>
      <c r="BA812" s="82"/>
      <c r="BB812" s="82"/>
      <c r="BC812" s="82"/>
      <c r="BD812" s="82"/>
      <c r="BE812" s="82"/>
      <c r="BF812" s="82"/>
      <c r="BG812" s="82"/>
      <c r="BH812" s="82"/>
      <c r="BI812" s="82"/>
    </row>
    <row r="813">
      <c r="K813" s="79"/>
      <c r="U813" s="79"/>
      <c r="AE813" s="79"/>
      <c r="AF813" s="82"/>
      <c r="AG813" s="82"/>
      <c r="AH813" s="82"/>
      <c r="AI813" s="82"/>
      <c r="AJ813" s="82"/>
      <c r="AK813" s="82"/>
      <c r="AL813" s="82"/>
      <c r="AM813" s="82"/>
      <c r="AN813" s="82"/>
      <c r="AO813" s="81"/>
      <c r="AP813" s="82"/>
      <c r="AQ813" s="82"/>
      <c r="AR813" s="82"/>
      <c r="AS813" s="82"/>
      <c r="AT813" s="82"/>
      <c r="AU813" s="82"/>
      <c r="AV813" s="82"/>
      <c r="AW813" s="82"/>
      <c r="AX813" s="82"/>
      <c r="AY813" s="81"/>
      <c r="AZ813" s="82"/>
      <c r="BA813" s="82"/>
      <c r="BB813" s="82"/>
      <c r="BC813" s="82"/>
      <c r="BD813" s="82"/>
      <c r="BE813" s="82"/>
      <c r="BF813" s="82"/>
      <c r="BG813" s="82"/>
      <c r="BH813" s="82"/>
      <c r="BI813" s="82"/>
    </row>
    <row r="814">
      <c r="K814" s="79"/>
      <c r="U814" s="79"/>
      <c r="AE814" s="79"/>
      <c r="AF814" s="82"/>
      <c r="AG814" s="82"/>
      <c r="AH814" s="82"/>
      <c r="AI814" s="82"/>
      <c r="AJ814" s="82"/>
      <c r="AK814" s="82"/>
      <c r="AL814" s="82"/>
      <c r="AM814" s="82"/>
      <c r="AN814" s="82"/>
      <c r="AO814" s="81"/>
      <c r="AP814" s="82"/>
      <c r="AQ814" s="82"/>
      <c r="AR814" s="82"/>
      <c r="AS814" s="82"/>
      <c r="AT814" s="82"/>
      <c r="AU814" s="82"/>
      <c r="AV814" s="82"/>
      <c r="AW814" s="82"/>
      <c r="AX814" s="82"/>
      <c r="AY814" s="81"/>
      <c r="AZ814" s="82"/>
      <c r="BA814" s="82"/>
      <c r="BB814" s="82"/>
      <c r="BC814" s="82"/>
      <c r="BD814" s="82"/>
      <c r="BE814" s="82"/>
      <c r="BF814" s="82"/>
      <c r="BG814" s="82"/>
      <c r="BH814" s="82"/>
      <c r="BI814" s="82"/>
    </row>
    <row r="815">
      <c r="K815" s="79"/>
      <c r="U815" s="79"/>
      <c r="AE815" s="79"/>
      <c r="AF815" s="82"/>
      <c r="AG815" s="82"/>
      <c r="AH815" s="82"/>
      <c r="AI815" s="82"/>
      <c r="AJ815" s="82"/>
      <c r="AK815" s="82"/>
      <c r="AL815" s="82"/>
      <c r="AM815" s="82"/>
      <c r="AN815" s="82"/>
      <c r="AO815" s="81"/>
      <c r="AP815" s="82"/>
      <c r="AQ815" s="82"/>
      <c r="AR815" s="82"/>
      <c r="AS815" s="82"/>
      <c r="AT815" s="82"/>
      <c r="AU815" s="82"/>
      <c r="AV815" s="82"/>
      <c r="AW815" s="82"/>
      <c r="AX815" s="82"/>
      <c r="AY815" s="81"/>
      <c r="AZ815" s="82"/>
      <c r="BA815" s="82"/>
      <c r="BB815" s="82"/>
      <c r="BC815" s="82"/>
      <c r="BD815" s="82"/>
      <c r="BE815" s="82"/>
      <c r="BF815" s="82"/>
      <c r="BG815" s="82"/>
      <c r="BH815" s="82"/>
      <c r="BI815" s="82"/>
    </row>
    <row r="816">
      <c r="K816" s="79"/>
      <c r="U816" s="79"/>
      <c r="AE816" s="79"/>
      <c r="AF816" s="82"/>
      <c r="AG816" s="82"/>
      <c r="AH816" s="82"/>
      <c r="AI816" s="82"/>
      <c r="AJ816" s="82"/>
      <c r="AK816" s="82"/>
      <c r="AL816" s="82"/>
      <c r="AM816" s="82"/>
      <c r="AN816" s="82"/>
      <c r="AO816" s="81"/>
      <c r="AP816" s="82"/>
      <c r="AQ816" s="82"/>
      <c r="AR816" s="82"/>
      <c r="AS816" s="82"/>
      <c r="AT816" s="82"/>
      <c r="AU816" s="82"/>
      <c r="AV816" s="82"/>
      <c r="AW816" s="82"/>
      <c r="AX816" s="82"/>
      <c r="AY816" s="81"/>
      <c r="AZ816" s="82"/>
      <c r="BA816" s="82"/>
      <c r="BB816" s="82"/>
      <c r="BC816" s="82"/>
      <c r="BD816" s="82"/>
      <c r="BE816" s="82"/>
      <c r="BF816" s="82"/>
      <c r="BG816" s="82"/>
      <c r="BH816" s="82"/>
      <c r="BI816" s="82"/>
    </row>
    <row r="817">
      <c r="K817" s="79"/>
      <c r="U817" s="79"/>
      <c r="AE817" s="79"/>
      <c r="AF817" s="82"/>
      <c r="AG817" s="82"/>
      <c r="AH817" s="82"/>
      <c r="AI817" s="82"/>
      <c r="AJ817" s="82"/>
      <c r="AK817" s="82"/>
      <c r="AL817" s="82"/>
      <c r="AM817" s="82"/>
      <c r="AN817" s="82"/>
      <c r="AO817" s="81"/>
      <c r="AP817" s="82"/>
      <c r="AQ817" s="82"/>
      <c r="AR817" s="82"/>
      <c r="AS817" s="82"/>
      <c r="AT817" s="82"/>
      <c r="AU817" s="82"/>
      <c r="AV817" s="82"/>
      <c r="AW817" s="82"/>
      <c r="AX817" s="82"/>
      <c r="AY817" s="81"/>
      <c r="AZ817" s="82"/>
      <c r="BA817" s="82"/>
      <c r="BB817" s="82"/>
      <c r="BC817" s="82"/>
      <c r="BD817" s="82"/>
      <c r="BE817" s="82"/>
      <c r="BF817" s="82"/>
      <c r="BG817" s="82"/>
      <c r="BH817" s="82"/>
      <c r="BI817" s="82"/>
    </row>
    <row r="818">
      <c r="K818" s="79"/>
      <c r="U818" s="79"/>
      <c r="AE818" s="79"/>
      <c r="AF818" s="82"/>
      <c r="AG818" s="82"/>
      <c r="AH818" s="82"/>
      <c r="AI818" s="82"/>
      <c r="AJ818" s="82"/>
      <c r="AK818" s="82"/>
      <c r="AL818" s="82"/>
      <c r="AM818" s="82"/>
      <c r="AN818" s="82"/>
      <c r="AO818" s="81"/>
      <c r="AP818" s="82"/>
      <c r="AQ818" s="82"/>
      <c r="AR818" s="82"/>
      <c r="AS818" s="82"/>
      <c r="AT818" s="82"/>
      <c r="AU818" s="82"/>
      <c r="AV818" s="82"/>
      <c r="AW818" s="82"/>
      <c r="AX818" s="82"/>
      <c r="AY818" s="81"/>
      <c r="AZ818" s="82"/>
      <c r="BA818" s="82"/>
      <c r="BB818" s="82"/>
      <c r="BC818" s="82"/>
      <c r="BD818" s="82"/>
      <c r="BE818" s="82"/>
      <c r="BF818" s="82"/>
      <c r="BG818" s="82"/>
      <c r="BH818" s="82"/>
      <c r="BI818" s="82"/>
    </row>
    <row r="819">
      <c r="K819" s="79"/>
      <c r="U819" s="79"/>
      <c r="AE819" s="79"/>
      <c r="AF819" s="82"/>
      <c r="AG819" s="82"/>
      <c r="AH819" s="82"/>
      <c r="AI819" s="82"/>
      <c r="AJ819" s="82"/>
      <c r="AK819" s="82"/>
      <c r="AL819" s="82"/>
      <c r="AM819" s="82"/>
      <c r="AN819" s="82"/>
      <c r="AO819" s="81"/>
      <c r="AP819" s="82"/>
      <c r="AQ819" s="82"/>
      <c r="AR819" s="82"/>
      <c r="AS819" s="82"/>
      <c r="AT819" s="82"/>
      <c r="AU819" s="82"/>
      <c r="AV819" s="82"/>
      <c r="AW819" s="82"/>
      <c r="AX819" s="82"/>
      <c r="AY819" s="81"/>
      <c r="AZ819" s="82"/>
      <c r="BA819" s="82"/>
      <c r="BB819" s="82"/>
      <c r="BC819" s="82"/>
      <c r="BD819" s="82"/>
      <c r="BE819" s="82"/>
      <c r="BF819" s="82"/>
      <c r="BG819" s="82"/>
      <c r="BH819" s="82"/>
      <c r="BI819" s="82"/>
    </row>
    <row r="820">
      <c r="K820" s="79"/>
      <c r="U820" s="79"/>
      <c r="AE820" s="79"/>
      <c r="AF820" s="82"/>
      <c r="AG820" s="82"/>
      <c r="AH820" s="82"/>
      <c r="AI820" s="82"/>
      <c r="AJ820" s="82"/>
      <c r="AK820" s="82"/>
      <c r="AL820" s="82"/>
      <c r="AM820" s="82"/>
      <c r="AN820" s="82"/>
      <c r="AO820" s="81"/>
      <c r="AP820" s="82"/>
      <c r="AQ820" s="82"/>
      <c r="AR820" s="82"/>
      <c r="AS820" s="82"/>
      <c r="AT820" s="82"/>
      <c r="AU820" s="82"/>
      <c r="AV820" s="82"/>
      <c r="AW820" s="82"/>
      <c r="AX820" s="82"/>
      <c r="AY820" s="81"/>
      <c r="AZ820" s="82"/>
      <c r="BA820" s="82"/>
      <c r="BB820" s="82"/>
      <c r="BC820" s="82"/>
      <c r="BD820" s="82"/>
      <c r="BE820" s="82"/>
      <c r="BF820" s="82"/>
      <c r="BG820" s="82"/>
      <c r="BH820" s="82"/>
      <c r="BI820" s="82"/>
    </row>
    <row r="821">
      <c r="K821" s="79"/>
      <c r="U821" s="79"/>
      <c r="AE821" s="79"/>
      <c r="AF821" s="82"/>
      <c r="AG821" s="82"/>
      <c r="AH821" s="82"/>
      <c r="AI821" s="82"/>
      <c r="AJ821" s="82"/>
      <c r="AK821" s="82"/>
      <c r="AL821" s="82"/>
      <c r="AM821" s="82"/>
      <c r="AN821" s="82"/>
      <c r="AO821" s="81"/>
      <c r="AP821" s="82"/>
      <c r="AQ821" s="82"/>
      <c r="AR821" s="82"/>
      <c r="AS821" s="82"/>
      <c r="AT821" s="82"/>
      <c r="AU821" s="82"/>
      <c r="AV821" s="82"/>
      <c r="AW821" s="82"/>
      <c r="AX821" s="82"/>
      <c r="AY821" s="81"/>
      <c r="AZ821" s="82"/>
      <c r="BA821" s="82"/>
      <c r="BB821" s="82"/>
      <c r="BC821" s="82"/>
      <c r="BD821" s="82"/>
      <c r="BE821" s="82"/>
      <c r="BF821" s="82"/>
      <c r="BG821" s="82"/>
      <c r="BH821" s="82"/>
      <c r="BI821" s="82"/>
    </row>
    <row r="822">
      <c r="K822" s="79"/>
      <c r="U822" s="79"/>
      <c r="AE822" s="79"/>
      <c r="AF822" s="82"/>
      <c r="AG822" s="82"/>
      <c r="AH822" s="82"/>
      <c r="AI822" s="82"/>
      <c r="AJ822" s="82"/>
      <c r="AK822" s="82"/>
      <c r="AL822" s="82"/>
      <c r="AM822" s="82"/>
      <c r="AN822" s="82"/>
      <c r="AO822" s="81"/>
      <c r="AP822" s="82"/>
      <c r="AQ822" s="82"/>
      <c r="AR822" s="82"/>
      <c r="AS822" s="82"/>
      <c r="AT822" s="82"/>
      <c r="AU822" s="82"/>
      <c r="AV822" s="82"/>
      <c r="AW822" s="82"/>
      <c r="AX822" s="82"/>
      <c r="AY822" s="81"/>
      <c r="AZ822" s="82"/>
      <c r="BA822" s="82"/>
      <c r="BB822" s="82"/>
      <c r="BC822" s="82"/>
      <c r="BD822" s="82"/>
      <c r="BE822" s="82"/>
      <c r="BF822" s="82"/>
      <c r="BG822" s="82"/>
      <c r="BH822" s="82"/>
      <c r="BI822" s="82"/>
    </row>
    <row r="823">
      <c r="K823" s="79"/>
      <c r="U823" s="79"/>
      <c r="AE823" s="79"/>
      <c r="AF823" s="82"/>
      <c r="AG823" s="82"/>
      <c r="AH823" s="82"/>
      <c r="AI823" s="82"/>
      <c r="AJ823" s="82"/>
      <c r="AK823" s="82"/>
      <c r="AL823" s="82"/>
      <c r="AM823" s="82"/>
      <c r="AN823" s="82"/>
      <c r="AO823" s="81"/>
      <c r="AP823" s="82"/>
      <c r="AQ823" s="82"/>
      <c r="AR823" s="82"/>
      <c r="AS823" s="82"/>
      <c r="AT823" s="82"/>
      <c r="AU823" s="82"/>
      <c r="AV823" s="82"/>
      <c r="AW823" s="82"/>
      <c r="AX823" s="82"/>
      <c r="AY823" s="81"/>
      <c r="AZ823" s="82"/>
      <c r="BA823" s="82"/>
      <c r="BB823" s="82"/>
      <c r="BC823" s="82"/>
      <c r="BD823" s="82"/>
      <c r="BE823" s="82"/>
      <c r="BF823" s="82"/>
      <c r="BG823" s="82"/>
      <c r="BH823" s="82"/>
      <c r="BI823" s="82"/>
    </row>
    <row r="824">
      <c r="K824" s="79"/>
      <c r="U824" s="79"/>
      <c r="AE824" s="79"/>
      <c r="AF824" s="82"/>
      <c r="AG824" s="82"/>
      <c r="AH824" s="82"/>
      <c r="AI824" s="82"/>
      <c r="AJ824" s="82"/>
      <c r="AK824" s="82"/>
      <c r="AL824" s="82"/>
      <c r="AM824" s="82"/>
      <c r="AN824" s="82"/>
      <c r="AO824" s="81"/>
      <c r="AP824" s="82"/>
      <c r="AQ824" s="82"/>
      <c r="AR824" s="82"/>
      <c r="AS824" s="82"/>
      <c r="AT824" s="82"/>
      <c r="AU824" s="82"/>
      <c r="AV824" s="82"/>
      <c r="AW824" s="82"/>
      <c r="AX824" s="82"/>
      <c r="AY824" s="81"/>
      <c r="AZ824" s="82"/>
      <c r="BA824" s="82"/>
      <c r="BB824" s="82"/>
      <c r="BC824" s="82"/>
      <c r="BD824" s="82"/>
      <c r="BE824" s="82"/>
      <c r="BF824" s="82"/>
      <c r="BG824" s="82"/>
      <c r="BH824" s="82"/>
      <c r="BI824" s="82"/>
    </row>
    <row r="825">
      <c r="K825" s="79"/>
      <c r="U825" s="79"/>
      <c r="AE825" s="79"/>
      <c r="AF825" s="82"/>
      <c r="AG825" s="82"/>
      <c r="AH825" s="82"/>
      <c r="AI825" s="82"/>
      <c r="AJ825" s="82"/>
      <c r="AK825" s="82"/>
      <c r="AL825" s="82"/>
      <c r="AM825" s="82"/>
      <c r="AN825" s="82"/>
      <c r="AO825" s="81"/>
      <c r="AP825" s="82"/>
      <c r="AQ825" s="82"/>
      <c r="AR825" s="82"/>
      <c r="AS825" s="82"/>
      <c r="AT825" s="82"/>
      <c r="AU825" s="82"/>
      <c r="AV825" s="82"/>
      <c r="AW825" s="82"/>
      <c r="AX825" s="82"/>
      <c r="AY825" s="81"/>
      <c r="AZ825" s="82"/>
      <c r="BA825" s="82"/>
      <c r="BB825" s="82"/>
      <c r="BC825" s="82"/>
      <c r="BD825" s="82"/>
      <c r="BE825" s="82"/>
      <c r="BF825" s="82"/>
      <c r="BG825" s="82"/>
      <c r="BH825" s="82"/>
      <c r="BI825" s="82"/>
    </row>
    <row r="826">
      <c r="K826" s="79"/>
      <c r="U826" s="79"/>
      <c r="AE826" s="79"/>
      <c r="AF826" s="82"/>
      <c r="AG826" s="82"/>
      <c r="AH826" s="82"/>
      <c r="AI826" s="82"/>
      <c r="AJ826" s="82"/>
      <c r="AK826" s="82"/>
      <c r="AL826" s="82"/>
      <c r="AM826" s="82"/>
      <c r="AN826" s="82"/>
      <c r="AO826" s="81"/>
      <c r="AP826" s="82"/>
      <c r="AQ826" s="82"/>
      <c r="AR826" s="82"/>
      <c r="AS826" s="82"/>
      <c r="AT826" s="82"/>
      <c r="AU826" s="82"/>
      <c r="AV826" s="82"/>
      <c r="AW826" s="82"/>
      <c r="AX826" s="82"/>
      <c r="AY826" s="81"/>
      <c r="AZ826" s="82"/>
      <c r="BA826" s="82"/>
      <c r="BB826" s="82"/>
      <c r="BC826" s="82"/>
      <c r="BD826" s="82"/>
      <c r="BE826" s="82"/>
      <c r="BF826" s="82"/>
      <c r="BG826" s="82"/>
      <c r="BH826" s="82"/>
      <c r="BI826" s="82"/>
    </row>
    <row r="827">
      <c r="K827" s="79"/>
      <c r="U827" s="79"/>
      <c r="AE827" s="79"/>
      <c r="AF827" s="82"/>
      <c r="AG827" s="82"/>
      <c r="AH827" s="82"/>
      <c r="AI827" s="82"/>
      <c r="AJ827" s="82"/>
      <c r="AK827" s="82"/>
      <c r="AL827" s="82"/>
      <c r="AM827" s="82"/>
      <c r="AN827" s="82"/>
      <c r="AO827" s="81"/>
      <c r="AP827" s="82"/>
      <c r="AQ827" s="82"/>
      <c r="AR827" s="82"/>
      <c r="AS827" s="82"/>
      <c r="AT827" s="82"/>
      <c r="AU827" s="82"/>
      <c r="AV827" s="82"/>
      <c r="AW827" s="82"/>
      <c r="AX827" s="82"/>
      <c r="AY827" s="81"/>
      <c r="AZ827" s="82"/>
      <c r="BA827" s="82"/>
      <c r="BB827" s="82"/>
      <c r="BC827" s="82"/>
      <c r="BD827" s="82"/>
      <c r="BE827" s="82"/>
      <c r="BF827" s="82"/>
      <c r="BG827" s="82"/>
      <c r="BH827" s="82"/>
      <c r="BI827" s="82"/>
    </row>
    <row r="828">
      <c r="K828" s="79"/>
      <c r="U828" s="79"/>
      <c r="AE828" s="79"/>
      <c r="AF828" s="82"/>
      <c r="AG828" s="82"/>
      <c r="AH828" s="82"/>
      <c r="AI828" s="82"/>
      <c r="AJ828" s="82"/>
      <c r="AK828" s="82"/>
      <c r="AL828" s="82"/>
      <c r="AM828" s="82"/>
      <c r="AN828" s="82"/>
      <c r="AO828" s="81"/>
      <c r="AP828" s="82"/>
      <c r="AQ828" s="82"/>
      <c r="AR828" s="82"/>
      <c r="AS828" s="82"/>
      <c r="AT828" s="82"/>
      <c r="AU828" s="82"/>
      <c r="AV828" s="82"/>
      <c r="AW828" s="82"/>
      <c r="AX828" s="82"/>
      <c r="AY828" s="81"/>
      <c r="AZ828" s="82"/>
      <c r="BA828" s="82"/>
      <c r="BB828" s="82"/>
      <c r="BC828" s="82"/>
      <c r="BD828" s="82"/>
      <c r="BE828" s="82"/>
      <c r="BF828" s="82"/>
      <c r="BG828" s="82"/>
      <c r="BH828" s="82"/>
      <c r="BI828" s="82"/>
    </row>
    <row r="829">
      <c r="K829" s="79"/>
      <c r="U829" s="79"/>
      <c r="AE829" s="79"/>
      <c r="AF829" s="82"/>
      <c r="AG829" s="82"/>
      <c r="AH829" s="82"/>
      <c r="AI829" s="82"/>
      <c r="AJ829" s="82"/>
      <c r="AK829" s="82"/>
      <c r="AL829" s="82"/>
      <c r="AM829" s="82"/>
      <c r="AN829" s="82"/>
      <c r="AO829" s="81"/>
      <c r="AP829" s="82"/>
      <c r="AQ829" s="82"/>
      <c r="AR829" s="82"/>
      <c r="AS829" s="82"/>
      <c r="AT829" s="82"/>
      <c r="AU829" s="82"/>
      <c r="AV829" s="82"/>
      <c r="AW829" s="82"/>
      <c r="AX829" s="82"/>
      <c r="AY829" s="81"/>
      <c r="AZ829" s="82"/>
      <c r="BA829" s="82"/>
      <c r="BB829" s="82"/>
      <c r="BC829" s="82"/>
      <c r="BD829" s="82"/>
      <c r="BE829" s="82"/>
      <c r="BF829" s="82"/>
      <c r="BG829" s="82"/>
      <c r="BH829" s="82"/>
      <c r="BI829" s="82"/>
    </row>
    <row r="830">
      <c r="K830" s="79"/>
      <c r="U830" s="79"/>
      <c r="AE830" s="79"/>
      <c r="AF830" s="82"/>
      <c r="AG830" s="82"/>
      <c r="AH830" s="82"/>
      <c r="AI830" s="82"/>
      <c r="AJ830" s="82"/>
      <c r="AK830" s="82"/>
      <c r="AL830" s="82"/>
      <c r="AM830" s="82"/>
      <c r="AN830" s="82"/>
      <c r="AO830" s="81"/>
      <c r="AP830" s="82"/>
      <c r="AQ830" s="82"/>
      <c r="AR830" s="82"/>
      <c r="AS830" s="82"/>
      <c r="AT830" s="82"/>
      <c r="AU830" s="82"/>
      <c r="AV830" s="82"/>
      <c r="AW830" s="82"/>
      <c r="AX830" s="82"/>
      <c r="AY830" s="81"/>
      <c r="AZ830" s="82"/>
      <c r="BA830" s="82"/>
      <c r="BB830" s="82"/>
      <c r="BC830" s="82"/>
      <c r="BD830" s="82"/>
      <c r="BE830" s="82"/>
      <c r="BF830" s="82"/>
      <c r="BG830" s="82"/>
      <c r="BH830" s="82"/>
      <c r="BI830" s="82"/>
    </row>
    <row r="831">
      <c r="K831" s="79"/>
      <c r="U831" s="79"/>
      <c r="AE831" s="79"/>
      <c r="AF831" s="82"/>
      <c r="AG831" s="82"/>
      <c r="AH831" s="82"/>
      <c r="AI831" s="82"/>
      <c r="AJ831" s="82"/>
      <c r="AK831" s="82"/>
      <c r="AL831" s="82"/>
      <c r="AM831" s="82"/>
      <c r="AN831" s="82"/>
      <c r="AO831" s="81"/>
      <c r="AP831" s="82"/>
      <c r="AQ831" s="82"/>
      <c r="AR831" s="82"/>
      <c r="AS831" s="82"/>
      <c r="AT831" s="82"/>
      <c r="AU831" s="82"/>
      <c r="AV831" s="82"/>
      <c r="AW831" s="82"/>
      <c r="AX831" s="82"/>
      <c r="AY831" s="81"/>
      <c r="AZ831" s="82"/>
      <c r="BA831" s="82"/>
      <c r="BB831" s="82"/>
      <c r="BC831" s="82"/>
      <c r="BD831" s="82"/>
      <c r="BE831" s="82"/>
      <c r="BF831" s="82"/>
      <c r="BG831" s="82"/>
      <c r="BH831" s="82"/>
      <c r="BI831" s="82"/>
    </row>
    <row r="832">
      <c r="K832" s="79"/>
      <c r="U832" s="79"/>
      <c r="AE832" s="79"/>
      <c r="AF832" s="82"/>
      <c r="AG832" s="82"/>
      <c r="AH832" s="82"/>
      <c r="AI832" s="82"/>
      <c r="AJ832" s="82"/>
      <c r="AK832" s="82"/>
      <c r="AL832" s="82"/>
      <c r="AM832" s="82"/>
      <c r="AN832" s="82"/>
      <c r="AO832" s="81"/>
      <c r="AP832" s="82"/>
      <c r="AQ832" s="82"/>
      <c r="AR832" s="82"/>
      <c r="AS832" s="82"/>
      <c r="AT832" s="82"/>
      <c r="AU832" s="82"/>
      <c r="AV832" s="82"/>
      <c r="AW832" s="82"/>
      <c r="AX832" s="82"/>
      <c r="AY832" s="81"/>
      <c r="AZ832" s="82"/>
      <c r="BA832" s="82"/>
      <c r="BB832" s="82"/>
      <c r="BC832" s="82"/>
      <c r="BD832" s="82"/>
      <c r="BE832" s="82"/>
      <c r="BF832" s="82"/>
      <c r="BG832" s="82"/>
      <c r="BH832" s="82"/>
      <c r="BI832" s="82"/>
    </row>
    <row r="833">
      <c r="K833" s="79"/>
      <c r="U833" s="79"/>
      <c r="AE833" s="79"/>
      <c r="AF833" s="82"/>
      <c r="AG833" s="82"/>
      <c r="AH833" s="82"/>
      <c r="AI833" s="82"/>
      <c r="AJ833" s="82"/>
      <c r="AK833" s="82"/>
      <c r="AL833" s="82"/>
      <c r="AM833" s="82"/>
      <c r="AN833" s="82"/>
      <c r="AO833" s="81"/>
      <c r="AP833" s="82"/>
      <c r="AQ833" s="82"/>
      <c r="AR833" s="82"/>
      <c r="AS833" s="82"/>
      <c r="AT833" s="82"/>
      <c r="AU833" s="82"/>
      <c r="AV833" s="82"/>
      <c r="AW833" s="82"/>
      <c r="AX833" s="82"/>
      <c r="AY833" s="81"/>
      <c r="AZ833" s="82"/>
      <c r="BA833" s="82"/>
      <c r="BB833" s="82"/>
      <c r="BC833" s="82"/>
      <c r="BD833" s="82"/>
      <c r="BE833" s="82"/>
      <c r="BF833" s="82"/>
      <c r="BG833" s="82"/>
      <c r="BH833" s="82"/>
      <c r="BI833" s="82"/>
    </row>
    <row r="834">
      <c r="K834" s="79"/>
      <c r="U834" s="79"/>
      <c r="AE834" s="79"/>
      <c r="AF834" s="82"/>
      <c r="AG834" s="82"/>
      <c r="AH834" s="82"/>
      <c r="AI834" s="82"/>
      <c r="AJ834" s="82"/>
      <c r="AK834" s="82"/>
      <c r="AL834" s="82"/>
      <c r="AM834" s="82"/>
      <c r="AN834" s="82"/>
      <c r="AO834" s="81"/>
      <c r="AP834" s="82"/>
      <c r="AQ834" s="82"/>
      <c r="AR834" s="82"/>
      <c r="AS834" s="82"/>
      <c r="AT834" s="82"/>
      <c r="AU834" s="82"/>
      <c r="AV834" s="82"/>
      <c r="AW834" s="82"/>
      <c r="AX834" s="82"/>
      <c r="AY834" s="81"/>
      <c r="AZ834" s="82"/>
      <c r="BA834" s="82"/>
      <c r="BB834" s="82"/>
      <c r="BC834" s="82"/>
      <c r="BD834" s="82"/>
      <c r="BE834" s="82"/>
      <c r="BF834" s="82"/>
      <c r="BG834" s="82"/>
      <c r="BH834" s="82"/>
      <c r="BI834" s="82"/>
    </row>
    <row r="835">
      <c r="K835" s="79"/>
      <c r="U835" s="79"/>
      <c r="AE835" s="79"/>
      <c r="AF835" s="82"/>
      <c r="AG835" s="82"/>
      <c r="AH835" s="82"/>
      <c r="AI835" s="82"/>
      <c r="AJ835" s="82"/>
      <c r="AK835" s="82"/>
      <c r="AL835" s="82"/>
      <c r="AM835" s="82"/>
      <c r="AN835" s="82"/>
      <c r="AO835" s="81"/>
      <c r="AP835" s="82"/>
      <c r="AQ835" s="82"/>
      <c r="AR835" s="82"/>
      <c r="AS835" s="82"/>
      <c r="AT835" s="82"/>
      <c r="AU835" s="82"/>
      <c r="AV835" s="82"/>
      <c r="AW835" s="82"/>
      <c r="AX835" s="82"/>
      <c r="AY835" s="81"/>
      <c r="AZ835" s="82"/>
      <c r="BA835" s="82"/>
      <c r="BB835" s="82"/>
      <c r="BC835" s="82"/>
      <c r="BD835" s="82"/>
      <c r="BE835" s="82"/>
      <c r="BF835" s="82"/>
      <c r="BG835" s="82"/>
      <c r="BH835" s="82"/>
      <c r="BI835" s="82"/>
    </row>
    <row r="836">
      <c r="K836" s="79"/>
      <c r="U836" s="79"/>
      <c r="AE836" s="79"/>
      <c r="AF836" s="82"/>
      <c r="AG836" s="82"/>
      <c r="AH836" s="82"/>
      <c r="AI836" s="82"/>
      <c r="AJ836" s="82"/>
      <c r="AK836" s="82"/>
      <c r="AL836" s="82"/>
      <c r="AM836" s="82"/>
      <c r="AN836" s="82"/>
      <c r="AO836" s="81"/>
      <c r="AP836" s="82"/>
      <c r="AQ836" s="82"/>
      <c r="AR836" s="82"/>
      <c r="AS836" s="82"/>
      <c r="AT836" s="82"/>
      <c r="AU836" s="82"/>
      <c r="AV836" s="82"/>
      <c r="AW836" s="82"/>
      <c r="AX836" s="82"/>
      <c r="AY836" s="81"/>
      <c r="AZ836" s="82"/>
      <c r="BA836" s="82"/>
      <c r="BB836" s="82"/>
      <c r="BC836" s="82"/>
      <c r="BD836" s="82"/>
      <c r="BE836" s="82"/>
      <c r="BF836" s="82"/>
      <c r="BG836" s="82"/>
      <c r="BH836" s="82"/>
      <c r="BI836" s="82"/>
    </row>
    <row r="837">
      <c r="K837" s="79"/>
      <c r="U837" s="79"/>
      <c r="AE837" s="79"/>
      <c r="AF837" s="82"/>
      <c r="AG837" s="82"/>
      <c r="AH837" s="82"/>
      <c r="AI837" s="82"/>
      <c r="AJ837" s="82"/>
      <c r="AK837" s="82"/>
      <c r="AL837" s="82"/>
      <c r="AM837" s="82"/>
      <c r="AN837" s="82"/>
      <c r="AO837" s="81"/>
      <c r="AP837" s="82"/>
      <c r="AQ837" s="82"/>
      <c r="AR837" s="82"/>
      <c r="AS837" s="82"/>
      <c r="AT837" s="82"/>
      <c r="AU837" s="82"/>
      <c r="AV837" s="82"/>
      <c r="AW837" s="82"/>
      <c r="AX837" s="82"/>
      <c r="AY837" s="81"/>
      <c r="AZ837" s="82"/>
      <c r="BA837" s="82"/>
      <c r="BB837" s="82"/>
      <c r="BC837" s="82"/>
      <c r="BD837" s="82"/>
      <c r="BE837" s="82"/>
      <c r="BF837" s="82"/>
      <c r="BG837" s="82"/>
      <c r="BH837" s="82"/>
      <c r="BI837" s="82"/>
    </row>
    <row r="838">
      <c r="K838" s="79"/>
      <c r="U838" s="79"/>
      <c r="AE838" s="79"/>
      <c r="AF838" s="82"/>
      <c r="AG838" s="82"/>
      <c r="AH838" s="82"/>
      <c r="AI838" s="82"/>
      <c r="AJ838" s="82"/>
      <c r="AK838" s="82"/>
      <c r="AL838" s="82"/>
      <c r="AM838" s="82"/>
      <c r="AN838" s="82"/>
      <c r="AO838" s="81"/>
      <c r="AP838" s="82"/>
      <c r="AQ838" s="82"/>
      <c r="AR838" s="82"/>
      <c r="AS838" s="82"/>
      <c r="AT838" s="82"/>
      <c r="AU838" s="82"/>
      <c r="AV838" s="82"/>
      <c r="AW838" s="82"/>
      <c r="AX838" s="82"/>
      <c r="AY838" s="81"/>
      <c r="AZ838" s="82"/>
      <c r="BA838" s="82"/>
      <c r="BB838" s="82"/>
      <c r="BC838" s="82"/>
      <c r="BD838" s="82"/>
      <c r="BE838" s="82"/>
      <c r="BF838" s="82"/>
      <c r="BG838" s="82"/>
      <c r="BH838" s="82"/>
      <c r="BI838" s="82"/>
    </row>
    <row r="839">
      <c r="K839" s="79"/>
      <c r="U839" s="79"/>
      <c r="AE839" s="79"/>
      <c r="AF839" s="82"/>
      <c r="AG839" s="82"/>
      <c r="AH839" s="82"/>
      <c r="AI839" s="82"/>
      <c r="AJ839" s="82"/>
      <c r="AK839" s="82"/>
      <c r="AL839" s="82"/>
      <c r="AM839" s="82"/>
      <c r="AN839" s="82"/>
      <c r="AO839" s="81"/>
      <c r="AP839" s="82"/>
      <c r="AQ839" s="82"/>
      <c r="AR839" s="82"/>
      <c r="AS839" s="82"/>
      <c r="AT839" s="82"/>
      <c r="AU839" s="82"/>
      <c r="AV839" s="82"/>
      <c r="AW839" s="82"/>
      <c r="AX839" s="82"/>
      <c r="AY839" s="81"/>
      <c r="AZ839" s="82"/>
      <c r="BA839" s="82"/>
      <c r="BB839" s="82"/>
      <c r="BC839" s="82"/>
      <c r="BD839" s="82"/>
      <c r="BE839" s="82"/>
      <c r="BF839" s="82"/>
      <c r="BG839" s="82"/>
      <c r="BH839" s="82"/>
      <c r="BI839" s="82"/>
    </row>
    <row r="840">
      <c r="K840" s="79"/>
      <c r="U840" s="79"/>
      <c r="AE840" s="79"/>
      <c r="AF840" s="82"/>
      <c r="AG840" s="82"/>
      <c r="AH840" s="82"/>
      <c r="AI840" s="82"/>
      <c r="AJ840" s="82"/>
      <c r="AK840" s="82"/>
      <c r="AL840" s="82"/>
      <c r="AM840" s="82"/>
      <c r="AN840" s="82"/>
      <c r="AO840" s="81"/>
      <c r="AP840" s="82"/>
      <c r="AQ840" s="82"/>
      <c r="AR840" s="82"/>
      <c r="AS840" s="82"/>
      <c r="AT840" s="82"/>
      <c r="AU840" s="82"/>
      <c r="AV840" s="82"/>
      <c r="AW840" s="82"/>
      <c r="AX840" s="82"/>
      <c r="AY840" s="81"/>
      <c r="AZ840" s="82"/>
      <c r="BA840" s="82"/>
      <c r="BB840" s="82"/>
      <c r="BC840" s="82"/>
      <c r="BD840" s="82"/>
      <c r="BE840" s="82"/>
      <c r="BF840" s="82"/>
      <c r="BG840" s="82"/>
      <c r="BH840" s="82"/>
      <c r="BI840" s="82"/>
    </row>
    <row r="841">
      <c r="K841" s="79"/>
      <c r="U841" s="79"/>
      <c r="AE841" s="79"/>
      <c r="AF841" s="82"/>
      <c r="AG841" s="82"/>
      <c r="AH841" s="82"/>
      <c r="AI841" s="82"/>
      <c r="AJ841" s="82"/>
      <c r="AK841" s="82"/>
      <c r="AL841" s="82"/>
      <c r="AM841" s="82"/>
      <c r="AN841" s="82"/>
      <c r="AO841" s="81"/>
      <c r="AP841" s="82"/>
      <c r="AQ841" s="82"/>
      <c r="AR841" s="82"/>
      <c r="AS841" s="82"/>
      <c r="AT841" s="82"/>
      <c r="AU841" s="82"/>
      <c r="AV841" s="82"/>
      <c r="AW841" s="82"/>
      <c r="AX841" s="82"/>
      <c r="AY841" s="81"/>
      <c r="AZ841" s="82"/>
      <c r="BA841" s="82"/>
      <c r="BB841" s="82"/>
      <c r="BC841" s="82"/>
      <c r="BD841" s="82"/>
      <c r="BE841" s="82"/>
      <c r="BF841" s="82"/>
      <c r="BG841" s="82"/>
      <c r="BH841" s="82"/>
      <c r="BI841" s="82"/>
    </row>
    <row r="842">
      <c r="K842" s="79"/>
      <c r="U842" s="79"/>
      <c r="AE842" s="79"/>
      <c r="AF842" s="82"/>
      <c r="AG842" s="82"/>
      <c r="AH842" s="82"/>
      <c r="AI842" s="82"/>
      <c r="AJ842" s="82"/>
      <c r="AK842" s="82"/>
      <c r="AL842" s="82"/>
      <c r="AM842" s="82"/>
      <c r="AN842" s="82"/>
      <c r="AO842" s="81"/>
      <c r="AP842" s="82"/>
      <c r="AQ842" s="82"/>
      <c r="AR842" s="82"/>
      <c r="AS842" s="82"/>
      <c r="AT842" s="82"/>
      <c r="AU842" s="82"/>
      <c r="AV842" s="82"/>
      <c r="AW842" s="82"/>
      <c r="AX842" s="82"/>
      <c r="AY842" s="81"/>
      <c r="AZ842" s="82"/>
      <c r="BA842" s="82"/>
      <c r="BB842" s="82"/>
      <c r="BC842" s="82"/>
      <c r="BD842" s="82"/>
      <c r="BE842" s="82"/>
      <c r="BF842" s="82"/>
      <c r="BG842" s="82"/>
      <c r="BH842" s="82"/>
      <c r="BI842" s="82"/>
    </row>
    <row r="843">
      <c r="K843" s="79"/>
      <c r="U843" s="79"/>
      <c r="AE843" s="79"/>
      <c r="AF843" s="82"/>
      <c r="AG843" s="82"/>
      <c r="AH843" s="82"/>
      <c r="AI843" s="82"/>
      <c r="AJ843" s="82"/>
      <c r="AK843" s="82"/>
      <c r="AL843" s="82"/>
      <c r="AM843" s="82"/>
      <c r="AN843" s="82"/>
      <c r="AO843" s="81"/>
      <c r="AP843" s="82"/>
      <c r="AQ843" s="82"/>
      <c r="AR843" s="82"/>
      <c r="AS843" s="82"/>
      <c r="AT843" s="82"/>
      <c r="AU843" s="82"/>
      <c r="AV843" s="82"/>
      <c r="AW843" s="82"/>
      <c r="AX843" s="82"/>
      <c r="AY843" s="81"/>
      <c r="AZ843" s="82"/>
      <c r="BA843" s="82"/>
      <c r="BB843" s="82"/>
      <c r="BC843" s="82"/>
      <c r="BD843" s="82"/>
      <c r="BE843" s="82"/>
      <c r="BF843" s="82"/>
      <c r="BG843" s="82"/>
      <c r="BH843" s="82"/>
      <c r="BI843" s="82"/>
    </row>
    <row r="844">
      <c r="K844" s="79"/>
      <c r="U844" s="79"/>
      <c r="AE844" s="79"/>
      <c r="AF844" s="82"/>
      <c r="AG844" s="82"/>
      <c r="AH844" s="82"/>
      <c r="AI844" s="82"/>
      <c r="AJ844" s="82"/>
      <c r="AK844" s="82"/>
      <c r="AL844" s="82"/>
      <c r="AM844" s="82"/>
      <c r="AN844" s="82"/>
      <c r="AO844" s="81"/>
      <c r="AP844" s="82"/>
      <c r="AQ844" s="82"/>
      <c r="AR844" s="82"/>
      <c r="AS844" s="82"/>
      <c r="AT844" s="82"/>
      <c r="AU844" s="82"/>
      <c r="AV844" s="82"/>
      <c r="AW844" s="82"/>
      <c r="AX844" s="82"/>
      <c r="AY844" s="81"/>
      <c r="AZ844" s="82"/>
      <c r="BA844" s="82"/>
      <c r="BB844" s="82"/>
      <c r="BC844" s="82"/>
      <c r="BD844" s="82"/>
      <c r="BE844" s="82"/>
      <c r="BF844" s="82"/>
      <c r="BG844" s="82"/>
      <c r="BH844" s="82"/>
      <c r="BI844" s="82"/>
    </row>
    <row r="845">
      <c r="K845" s="79"/>
      <c r="U845" s="79"/>
      <c r="AE845" s="79"/>
      <c r="AF845" s="82"/>
      <c r="AG845" s="82"/>
      <c r="AH845" s="82"/>
      <c r="AI845" s="82"/>
      <c r="AJ845" s="82"/>
      <c r="AK845" s="82"/>
      <c r="AL845" s="82"/>
      <c r="AM845" s="82"/>
      <c r="AN845" s="82"/>
      <c r="AO845" s="81"/>
      <c r="AP845" s="82"/>
      <c r="AQ845" s="82"/>
      <c r="AR845" s="82"/>
      <c r="AS845" s="82"/>
      <c r="AT845" s="82"/>
      <c r="AU845" s="82"/>
      <c r="AV845" s="82"/>
      <c r="AW845" s="82"/>
      <c r="AX845" s="82"/>
      <c r="AY845" s="81"/>
      <c r="AZ845" s="82"/>
      <c r="BA845" s="82"/>
      <c r="BB845" s="82"/>
      <c r="BC845" s="82"/>
      <c r="BD845" s="82"/>
      <c r="BE845" s="82"/>
      <c r="BF845" s="82"/>
      <c r="BG845" s="82"/>
      <c r="BH845" s="82"/>
      <c r="BI845" s="82"/>
    </row>
    <row r="846">
      <c r="K846" s="79"/>
      <c r="U846" s="79"/>
      <c r="AE846" s="79"/>
      <c r="AF846" s="82"/>
      <c r="AG846" s="82"/>
      <c r="AH846" s="82"/>
      <c r="AI846" s="82"/>
      <c r="AJ846" s="82"/>
      <c r="AK846" s="82"/>
      <c r="AL846" s="82"/>
      <c r="AM846" s="82"/>
      <c r="AN846" s="82"/>
      <c r="AO846" s="81"/>
      <c r="AP846" s="82"/>
      <c r="AQ846" s="82"/>
      <c r="AR846" s="82"/>
      <c r="AS846" s="82"/>
      <c r="AT846" s="82"/>
      <c r="AU846" s="82"/>
      <c r="AV846" s="82"/>
      <c r="AW846" s="82"/>
      <c r="AX846" s="82"/>
      <c r="AY846" s="81"/>
      <c r="AZ846" s="82"/>
      <c r="BA846" s="82"/>
      <c r="BB846" s="82"/>
      <c r="BC846" s="82"/>
      <c r="BD846" s="82"/>
      <c r="BE846" s="82"/>
      <c r="BF846" s="82"/>
      <c r="BG846" s="82"/>
      <c r="BH846" s="82"/>
      <c r="BI846" s="82"/>
    </row>
    <row r="847">
      <c r="K847" s="79"/>
      <c r="U847" s="79"/>
      <c r="AE847" s="79"/>
      <c r="AF847" s="82"/>
      <c r="AG847" s="82"/>
      <c r="AH847" s="82"/>
      <c r="AI847" s="82"/>
      <c r="AJ847" s="82"/>
      <c r="AK847" s="82"/>
      <c r="AL847" s="82"/>
      <c r="AM847" s="82"/>
      <c r="AN847" s="82"/>
      <c r="AO847" s="81"/>
      <c r="AP847" s="82"/>
      <c r="AQ847" s="82"/>
      <c r="AR847" s="82"/>
      <c r="AS847" s="82"/>
      <c r="AT847" s="82"/>
      <c r="AU847" s="82"/>
      <c r="AV847" s="82"/>
      <c r="AW847" s="82"/>
      <c r="AX847" s="82"/>
      <c r="AY847" s="81"/>
      <c r="AZ847" s="82"/>
      <c r="BA847" s="82"/>
      <c r="BB847" s="82"/>
      <c r="BC847" s="82"/>
      <c r="BD847" s="82"/>
      <c r="BE847" s="82"/>
      <c r="BF847" s="82"/>
      <c r="BG847" s="82"/>
      <c r="BH847" s="82"/>
      <c r="BI847" s="82"/>
    </row>
    <row r="848">
      <c r="K848" s="79"/>
      <c r="U848" s="79"/>
      <c r="AE848" s="79"/>
      <c r="AF848" s="82"/>
      <c r="AG848" s="82"/>
      <c r="AH848" s="82"/>
      <c r="AI848" s="82"/>
      <c r="AJ848" s="82"/>
      <c r="AK848" s="82"/>
      <c r="AL848" s="82"/>
      <c r="AM848" s="82"/>
      <c r="AN848" s="82"/>
      <c r="AO848" s="81"/>
      <c r="AP848" s="82"/>
      <c r="AQ848" s="82"/>
      <c r="AR848" s="82"/>
      <c r="AS848" s="82"/>
      <c r="AT848" s="82"/>
      <c r="AU848" s="82"/>
      <c r="AV848" s="82"/>
      <c r="AW848" s="82"/>
      <c r="AX848" s="82"/>
      <c r="AY848" s="81"/>
      <c r="AZ848" s="82"/>
      <c r="BA848" s="82"/>
      <c r="BB848" s="82"/>
      <c r="BC848" s="82"/>
      <c r="BD848" s="82"/>
      <c r="BE848" s="82"/>
      <c r="BF848" s="82"/>
      <c r="BG848" s="82"/>
      <c r="BH848" s="82"/>
      <c r="BI848" s="82"/>
    </row>
    <row r="849">
      <c r="K849" s="79"/>
      <c r="U849" s="79"/>
      <c r="AE849" s="79"/>
      <c r="AF849" s="82"/>
      <c r="AG849" s="82"/>
      <c r="AH849" s="82"/>
      <c r="AI849" s="82"/>
      <c r="AJ849" s="82"/>
      <c r="AK849" s="82"/>
      <c r="AL849" s="82"/>
      <c r="AM849" s="82"/>
      <c r="AN849" s="82"/>
      <c r="AO849" s="81"/>
      <c r="AP849" s="82"/>
      <c r="AQ849" s="82"/>
      <c r="AR849" s="82"/>
      <c r="AS849" s="82"/>
      <c r="AT849" s="82"/>
      <c r="AU849" s="82"/>
      <c r="AV849" s="82"/>
      <c r="AW849" s="82"/>
      <c r="AX849" s="82"/>
      <c r="AY849" s="81"/>
      <c r="AZ849" s="82"/>
      <c r="BA849" s="82"/>
      <c r="BB849" s="82"/>
      <c r="BC849" s="82"/>
      <c r="BD849" s="82"/>
      <c r="BE849" s="82"/>
      <c r="BF849" s="82"/>
      <c r="BG849" s="82"/>
      <c r="BH849" s="82"/>
      <c r="BI849" s="82"/>
    </row>
    <row r="850">
      <c r="K850" s="79"/>
      <c r="U850" s="79"/>
      <c r="AE850" s="79"/>
      <c r="AF850" s="82"/>
      <c r="AG850" s="82"/>
      <c r="AH850" s="82"/>
      <c r="AI850" s="82"/>
      <c r="AJ850" s="82"/>
      <c r="AK850" s="82"/>
      <c r="AL850" s="82"/>
      <c r="AM850" s="82"/>
      <c r="AN850" s="82"/>
      <c r="AO850" s="81"/>
      <c r="AP850" s="82"/>
      <c r="AQ850" s="82"/>
      <c r="AR850" s="82"/>
      <c r="AS850" s="82"/>
      <c r="AT850" s="82"/>
      <c r="AU850" s="82"/>
      <c r="AV850" s="82"/>
      <c r="AW850" s="82"/>
      <c r="AX850" s="82"/>
      <c r="AY850" s="81"/>
      <c r="AZ850" s="82"/>
      <c r="BA850" s="82"/>
      <c r="BB850" s="82"/>
      <c r="BC850" s="82"/>
      <c r="BD850" s="82"/>
      <c r="BE850" s="82"/>
      <c r="BF850" s="82"/>
      <c r="BG850" s="82"/>
      <c r="BH850" s="82"/>
      <c r="BI850" s="82"/>
    </row>
    <row r="851">
      <c r="K851" s="79"/>
      <c r="U851" s="79"/>
      <c r="AE851" s="79"/>
      <c r="AF851" s="82"/>
      <c r="AG851" s="82"/>
      <c r="AH851" s="82"/>
      <c r="AI851" s="82"/>
      <c r="AJ851" s="82"/>
      <c r="AK851" s="82"/>
      <c r="AL851" s="82"/>
      <c r="AM851" s="82"/>
      <c r="AN851" s="82"/>
      <c r="AO851" s="81"/>
      <c r="AP851" s="82"/>
      <c r="AQ851" s="82"/>
      <c r="AR851" s="82"/>
      <c r="AS851" s="82"/>
      <c r="AT851" s="82"/>
      <c r="AU851" s="82"/>
      <c r="AV851" s="82"/>
      <c r="AW851" s="82"/>
      <c r="AX851" s="82"/>
      <c r="AY851" s="81"/>
      <c r="AZ851" s="82"/>
      <c r="BA851" s="82"/>
      <c r="BB851" s="82"/>
      <c r="BC851" s="82"/>
      <c r="BD851" s="82"/>
      <c r="BE851" s="82"/>
      <c r="BF851" s="82"/>
      <c r="BG851" s="82"/>
      <c r="BH851" s="82"/>
      <c r="BI851" s="82"/>
    </row>
    <row r="852">
      <c r="K852" s="79"/>
      <c r="U852" s="79"/>
      <c r="AE852" s="79"/>
      <c r="AF852" s="82"/>
      <c r="AG852" s="82"/>
      <c r="AH852" s="82"/>
      <c r="AI852" s="82"/>
      <c r="AJ852" s="82"/>
      <c r="AK852" s="82"/>
      <c r="AL852" s="82"/>
      <c r="AM852" s="82"/>
      <c r="AN852" s="82"/>
      <c r="AO852" s="81"/>
      <c r="AP852" s="82"/>
      <c r="AQ852" s="82"/>
      <c r="AR852" s="82"/>
      <c r="AS852" s="82"/>
      <c r="AT852" s="82"/>
      <c r="AU852" s="82"/>
      <c r="AV852" s="82"/>
      <c r="AW852" s="82"/>
      <c r="AX852" s="82"/>
      <c r="AY852" s="81"/>
      <c r="AZ852" s="82"/>
      <c r="BA852" s="82"/>
      <c r="BB852" s="82"/>
      <c r="BC852" s="82"/>
      <c r="BD852" s="82"/>
      <c r="BE852" s="82"/>
      <c r="BF852" s="82"/>
      <c r="BG852" s="82"/>
      <c r="BH852" s="82"/>
      <c r="BI852" s="82"/>
    </row>
    <row r="853">
      <c r="K853" s="79"/>
      <c r="U853" s="79"/>
      <c r="AE853" s="79"/>
      <c r="AF853" s="82"/>
      <c r="AG853" s="82"/>
      <c r="AH853" s="82"/>
      <c r="AI853" s="82"/>
      <c r="AJ853" s="82"/>
      <c r="AK853" s="82"/>
      <c r="AL853" s="82"/>
      <c r="AM853" s="82"/>
      <c r="AN853" s="82"/>
      <c r="AO853" s="81"/>
      <c r="AP853" s="82"/>
      <c r="AQ853" s="82"/>
      <c r="AR853" s="82"/>
      <c r="AS853" s="82"/>
      <c r="AT853" s="82"/>
      <c r="AU853" s="82"/>
      <c r="AV853" s="82"/>
      <c r="AW853" s="82"/>
      <c r="AX853" s="82"/>
      <c r="AY853" s="81"/>
      <c r="AZ853" s="82"/>
      <c r="BA853" s="82"/>
      <c r="BB853" s="82"/>
      <c r="BC853" s="82"/>
      <c r="BD853" s="82"/>
      <c r="BE853" s="82"/>
      <c r="BF853" s="82"/>
      <c r="BG853" s="82"/>
      <c r="BH853" s="82"/>
      <c r="BI853" s="82"/>
    </row>
    <row r="854">
      <c r="K854" s="79"/>
      <c r="U854" s="79"/>
      <c r="AE854" s="79"/>
      <c r="AF854" s="82"/>
      <c r="AG854" s="82"/>
      <c r="AH854" s="82"/>
      <c r="AI854" s="82"/>
      <c r="AJ854" s="82"/>
      <c r="AK854" s="82"/>
      <c r="AL854" s="82"/>
      <c r="AM854" s="82"/>
      <c r="AN854" s="82"/>
      <c r="AO854" s="81"/>
      <c r="AP854" s="82"/>
      <c r="AQ854" s="82"/>
      <c r="AR854" s="82"/>
      <c r="AS854" s="82"/>
      <c r="AT854" s="82"/>
      <c r="AU854" s="82"/>
      <c r="AV854" s="82"/>
      <c r="AW854" s="82"/>
      <c r="AX854" s="82"/>
      <c r="AY854" s="81"/>
      <c r="AZ854" s="82"/>
      <c r="BA854" s="82"/>
      <c r="BB854" s="82"/>
      <c r="BC854" s="82"/>
      <c r="BD854" s="82"/>
      <c r="BE854" s="82"/>
      <c r="BF854" s="82"/>
      <c r="BG854" s="82"/>
      <c r="BH854" s="82"/>
      <c r="BI854" s="82"/>
    </row>
    <row r="855">
      <c r="K855" s="79"/>
      <c r="U855" s="79"/>
      <c r="AE855" s="79"/>
      <c r="AF855" s="82"/>
      <c r="AG855" s="82"/>
      <c r="AH855" s="82"/>
      <c r="AI855" s="82"/>
      <c r="AJ855" s="82"/>
      <c r="AK855" s="82"/>
      <c r="AL855" s="82"/>
      <c r="AM855" s="82"/>
      <c r="AN855" s="82"/>
      <c r="AO855" s="81"/>
      <c r="AP855" s="82"/>
      <c r="AQ855" s="82"/>
      <c r="AR855" s="82"/>
      <c r="AS855" s="82"/>
      <c r="AT855" s="82"/>
      <c r="AU855" s="82"/>
      <c r="AV855" s="82"/>
      <c r="AW855" s="82"/>
      <c r="AX855" s="82"/>
      <c r="AY855" s="81"/>
      <c r="AZ855" s="82"/>
      <c r="BA855" s="82"/>
      <c r="BB855" s="82"/>
      <c r="BC855" s="82"/>
      <c r="BD855" s="82"/>
      <c r="BE855" s="82"/>
      <c r="BF855" s="82"/>
      <c r="BG855" s="82"/>
      <c r="BH855" s="82"/>
      <c r="BI855" s="82"/>
    </row>
    <row r="856">
      <c r="K856" s="79"/>
      <c r="U856" s="79"/>
      <c r="AE856" s="79"/>
      <c r="AF856" s="82"/>
      <c r="AG856" s="82"/>
      <c r="AH856" s="82"/>
      <c r="AI856" s="82"/>
      <c r="AJ856" s="82"/>
      <c r="AK856" s="82"/>
      <c r="AL856" s="82"/>
      <c r="AM856" s="82"/>
      <c r="AN856" s="82"/>
      <c r="AO856" s="81"/>
      <c r="AP856" s="82"/>
      <c r="AQ856" s="82"/>
      <c r="AR856" s="82"/>
      <c r="AS856" s="82"/>
      <c r="AT856" s="82"/>
      <c r="AU856" s="82"/>
      <c r="AV856" s="82"/>
      <c r="AW856" s="82"/>
      <c r="AX856" s="82"/>
      <c r="AY856" s="81"/>
      <c r="AZ856" s="82"/>
      <c r="BA856" s="82"/>
      <c r="BB856" s="82"/>
      <c r="BC856" s="82"/>
      <c r="BD856" s="82"/>
      <c r="BE856" s="82"/>
      <c r="BF856" s="82"/>
      <c r="BG856" s="82"/>
      <c r="BH856" s="82"/>
      <c r="BI856" s="82"/>
    </row>
    <row r="857">
      <c r="K857" s="79"/>
      <c r="U857" s="79"/>
      <c r="AE857" s="79"/>
      <c r="AF857" s="82"/>
      <c r="AG857" s="82"/>
      <c r="AH857" s="82"/>
      <c r="AI857" s="82"/>
      <c r="AJ857" s="82"/>
      <c r="AK857" s="82"/>
      <c r="AL857" s="82"/>
      <c r="AM857" s="82"/>
      <c r="AN857" s="82"/>
      <c r="AO857" s="81"/>
      <c r="AP857" s="82"/>
      <c r="AQ857" s="82"/>
      <c r="AR857" s="82"/>
      <c r="AS857" s="82"/>
      <c r="AT857" s="82"/>
      <c r="AU857" s="82"/>
      <c r="AV857" s="82"/>
      <c r="AW857" s="82"/>
      <c r="AX857" s="82"/>
      <c r="AY857" s="81"/>
      <c r="AZ857" s="82"/>
      <c r="BA857" s="82"/>
      <c r="BB857" s="82"/>
      <c r="BC857" s="82"/>
      <c r="BD857" s="82"/>
      <c r="BE857" s="82"/>
      <c r="BF857" s="82"/>
      <c r="BG857" s="82"/>
      <c r="BH857" s="82"/>
      <c r="BI857" s="82"/>
    </row>
    <row r="858">
      <c r="K858" s="79"/>
      <c r="U858" s="79"/>
      <c r="AE858" s="79"/>
      <c r="AF858" s="82"/>
      <c r="AG858" s="82"/>
      <c r="AH858" s="82"/>
      <c r="AI858" s="82"/>
      <c r="AJ858" s="82"/>
      <c r="AK858" s="82"/>
      <c r="AL858" s="82"/>
      <c r="AM858" s="82"/>
      <c r="AN858" s="82"/>
      <c r="AO858" s="81"/>
      <c r="AP858" s="82"/>
      <c r="AQ858" s="82"/>
      <c r="AR858" s="82"/>
      <c r="AS858" s="82"/>
      <c r="AT858" s="82"/>
      <c r="AU858" s="82"/>
      <c r="AV858" s="82"/>
      <c r="AW858" s="82"/>
      <c r="AX858" s="82"/>
      <c r="AY858" s="81"/>
      <c r="AZ858" s="82"/>
      <c r="BA858" s="82"/>
      <c r="BB858" s="82"/>
      <c r="BC858" s="82"/>
      <c r="BD858" s="82"/>
      <c r="BE858" s="82"/>
      <c r="BF858" s="82"/>
      <c r="BG858" s="82"/>
      <c r="BH858" s="82"/>
      <c r="BI858" s="82"/>
    </row>
    <row r="859">
      <c r="K859" s="79"/>
      <c r="U859" s="79"/>
      <c r="AE859" s="79"/>
      <c r="AF859" s="82"/>
      <c r="AG859" s="82"/>
      <c r="AH859" s="82"/>
      <c r="AI859" s="82"/>
      <c r="AJ859" s="82"/>
      <c r="AK859" s="82"/>
      <c r="AL859" s="82"/>
      <c r="AM859" s="82"/>
      <c r="AN859" s="82"/>
      <c r="AO859" s="81"/>
      <c r="AP859" s="82"/>
      <c r="AQ859" s="82"/>
      <c r="AR859" s="82"/>
      <c r="AS859" s="82"/>
      <c r="AT859" s="82"/>
      <c r="AU859" s="82"/>
      <c r="AV859" s="82"/>
      <c r="AW859" s="82"/>
      <c r="AX859" s="82"/>
      <c r="AY859" s="81"/>
      <c r="AZ859" s="82"/>
      <c r="BA859" s="82"/>
      <c r="BB859" s="82"/>
      <c r="BC859" s="82"/>
      <c r="BD859" s="82"/>
      <c r="BE859" s="82"/>
      <c r="BF859" s="82"/>
      <c r="BG859" s="82"/>
      <c r="BH859" s="82"/>
      <c r="BI859" s="82"/>
    </row>
    <row r="860">
      <c r="K860" s="79"/>
      <c r="U860" s="79"/>
      <c r="AE860" s="79"/>
      <c r="AF860" s="82"/>
      <c r="AG860" s="82"/>
      <c r="AH860" s="82"/>
      <c r="AI860" s="82"/>
      <c r="AJ860" s="82"/>
      <c r="AK860" s="82"/>
      <c r="AL860" s="82"/>
      <c r="AM860" s="82"/>
      <c r="AN860" s="82"/>
      <c r="AO860" s="81"/>
      <c r="AP860" s="82"/>
      <c r="AQ860" s="82"/>
      <c r="AR860" s="82"/>
      <c r="AS860" s="82"/>
      <c r="AT860" s="82"/>
      <c r="AU860" s="82"/>
      <c r="AV860" s="82"/>
      <c r="AW860" s="82"/>
      <c r="AX860" s="82"/>
      <c r="AY860" s="81"/>
      <c r="AZ860" s="82"/>
      <c r="BA860" s="82"/>
      <c r="BB860" s="82"/>
      <c r="BC860" s="82"/>
      <c r="BD860" s="82"/>
      <c r="BE860" s="82"/>
      <c r="BF860" s="82"/>
      <c r="BG860" s="82"/>
      <c r="BH860" s="82"/>
      <c r="BI860" s="82"/>
    </row>
    <row r="861">
      <c r="K861" s="79"/>
      <c r="U861" s="79"/>
      <c r="AE861" s="79"/>
      <c r="AF861" s="82"/>
      <c r="AG861" s="82"/>
      <c r="AH861" s="82"/>
      <c r="AI861" s="82"/>
      <c r="AJ861" s="82"/>
      <c r="AK861" s="82"/>
      <c r="AL861" s="82"/>
      <c r="AM861" s="82"/>
      <c r="AN861" s="82"/>
      <c r="AO861" s="81"/>
      <c r="AP861" s="82"/>
      <c r="AQ861" s="82"/>
      <c r="AR861" s="82"/>
      <c r="AS861" s="82"/>
      <c r="AT861" s="82"/>
      <c r="AU861" s="82"/>
      <c r="AV861" s="82"/>
      <c r="AW861" s="82"/>
      <c r="AX861" s="82"/>
      <c r="AY861" s="81"/>
      <c r="AZ861" s="82"/>
      <c r="BA861" s="82"/>
      <c r="BB861" s="82"/>
      <c r="BC861" s="82"/>
      <c r="BD861" s="82"/>
      <c r="BE861" s="82"/>
      <c r="BF861" s="82"/>
      <c r="BG861" s="82"/>
      <c r="BH861" s="82"/>
      <c r="BI861" s="82"/>
    </row>
    <row r="862">
      <c r="K862" s="79"/>
      <c r="U862" s="79"/>
      <c r="AE862" s="79"/>
      <c r="AF862" s="82"/>
      <c r="AG862" s="82"/>
      <c r="AH862" s="82"/>
      <c r="AI862" s="82"/>
      <c r="AJ862" s="82"/>
      <c r="AK862" s="82"/>
      <c r="AL862" s="82"/>
      <c r="AM862" s="82"/>
      <c r="AN862" s="82"/>
      <c r="AO862" s="81"/>
      <c r="AP862" s="82"/>
      <c r="AQ862" s="82"/>
      <c r="AR862" s="82"/>
      <c r="AS862" s="82"/>
      <c r="AT862" s="82"/>
      <c r="AU862" s="82"/>
      <c r="AV862" s="82"/>
      <c r="AW862" s="82"/>
      <c r="AX862" s="82"/>
      <c r="AY862" s="81"/>
      <c r="AZ862" s="82"/>
      <c r="BA862" s="82"/>
      <c r="BB862" s="82"/>
      <c r="BC862" s="82"/>
      <c r="BD862" s="82"/>
      <c r="BE862" s="82"/>
      <c r="BF862" s="82"/>
      <c r="BG862" s="82"/>
      <c r="BH862" s="82"/>
      <c r="BI862" s="82"/>
    </row>
    <row r="863">
      <c r="K863" s="79"/>
      <c r="U863" s="79"/>
      <c r="AE863" s="79"/>
      <c r="AF863" s="82"/>
      <c r="AG863" s="82"/>
      <c r="AH863" s="82"/>
      <c r="AI863" s="82"/>
      <c r="AJ863" s="82"/>
      <c r="AK863" s="82"/>
      <c r="AL863" s="82"/>
      <c r="AM863" s="82"/>
      <c r="AN863" s="82"/>
      <c r="AO863" s="81"/>
      <c r="AP863" s="82"/>
      <c r="AQ863" s="82"/>
      <c r="AR863" s="82"/>
      <c r="AS863" s="82"/>
      <c r="AT863" s="82"/>
      <c r="AU863" s="82"/>
      <c r="AV863" s="82"/>
      <c r="AW863" s="82"/>
      <c r="AX863" s="82"/>
      <c r="AY863" s="81"/>
      <c r="AZ863" s="82"/>
      <c r="BA863" s="82"/>
      <c r="BB863" s="82"/>
      <c r="BC863" s="82"/>
      <c r="BD863" s="82"/>
      <c r="BE863" s="82"/>
      <c r="BF863" s="82"/>
      <c r="BG863" s="82"/>
      <c r="BH863" s="82"/>
      <c r="BI863" s="82"/>
    </row>
    <row r="864">
      <c r="K864" s="79"/>
      <c r="U864" s="79"/>
      <c r="AE864" s="79"/>
      <c r="AF864" s="82"/>
      <c r="AG864" s="82"/>
      <c r="AH864" s="82"/>
      <c r="AI864" s="82"/>
      <c r="AJ864" s="82"/>
      <c r="AK864" s="82"/>
      <c r="AL864" s="82"/>
      <c r="AM864" s="82"/>
      <c r="AN864" s="82"/>
      <c r="AO864" s="81"/>
      <c r="AP864" s="82"/>
      <c r="AQ864" s="82"/>
      <c r="AR864" s="82"/>
      <c r="AS864" s="82"/>
      <c r="AT864" s="82"/>
      <c r="AU864" s="82"/>
      <c r="AV864" s="82"/>
      <c r="AW864" s="82"/>
      <c r="AX864" s="82"/>
      <c r="AY864" s="81"/>
      <c r="AZ864" s="82"/>
      <c r="BA864" s="82"/>
      <c r="BB864" s="82"/>
      <c r="BC864" s="82"/>
      <c r="BD864" s="82"/>
      <c r="BE864" s="82"/>
      <c r="BF864" s="82"/>
      <c r="BG864" s="82"/>
      <c r="BH864" s="82"/>
      <c r="BI864" s="82"/>
    </row>
    <row r="865">
      <c r="K865" s="79"/>
      <c r="U865" s="79"/>
      <c r="AE865" s="79"/>
      <c r="AF865" s="82"/>
      <c r="AG865" s="82"/>
      <c r="AH865" s="82"/>
      <c r="AI865" s="82"/>
      <c r="AJ865" s="82"/>
      <c r="AK865" s="82"/>
      <c r="AL865" s="82"/>
      <c r="AM865" s="82"/>
      <c r="AN865" s="82"/>
      <c r="AO865" s="81"/>
      <c r="AP865" s="82"/>
      <c r="AQ865" s="82"/>
      <c r="AR865" s="82"/>
      <c r="AS865" s="82"/>
      <c r="AT865" s="82"/>
      <c r="AU865" s="82"/>
      <c r="AV865" s="82"/>
      <c r="AW865" s="82"/>
      <c r="AX865" s="82"/>
      <c r="AY865" s="81"/>
      <c r="AZ865" s="82"/>
      <c r="BA865" s="82"/>
      <c r="BB865" s="82"/>
      <c r="BC865" s="82"/>
      <c r="BD865" s="82"/>
      <c r="BE865" s="82"/>
      <c r="BF865" s="82"/>
      <c r="BG865" s="82"/>
      <c r="BH865" s="82"/>
      <c r="BI865" s="82"/>
    </row>
    <row r="866">
      <c r="K866" s="79"/>
      <c r="U866" s="79"/>
      <c r="AE866" s="79"/>
      <c r="AF866" s="82"/>
      <c r="AG866" s="82"/>
      <c r="AH866" s="82"/>
      <c r="AI866" s="82"/>
      <c r="AJ866" s="82"/>
      <c r="AK866" s="82"/>
      <c r="AL866" s="82"/>
      <c r="AM866" s="82"/>
      <c r="AN866" s="82"/>
      <c r="AO866" s="81"/>
      <c r="AP866" s="82"/>
      <c r="AQ866" s="82"/>
      <c r="AR866" s="82"/>
      <c r="AS866" s="82"/>
      <c r="AT866" s="82"/>
      <c r="AU866" s="82"/>
      <c r="AV866" s="82"/>
      <c r="AW866" s="82"/>
      <c r="AX866" s="82"/>
      <c r="AY866" s="81"/>
      <c r="AZ866" s="82"/>
      <c r="BA866" s="82"/>
      <c r="BB866" s="82"/>
      <c r="BC866" s="82"/>
      <c r="BD866" s="82"/>
      <c r="BE866" s="82"/>
      <c r="BF866" s="82"/>
      <c r="BG866" s="82"/>
      <c r="BH866" s="82"/>
      <c r="BI866" s="82"/>
    </row>
    <row r="867">
      <c r="K867" s="79"/>
      <c r="U867" s="79"/>
      <c r="AE867" s="79"/>
      <c r="AF867" s="82"/>
      <c r="AG867" s="82"/>
      <c r="AH867" s="82"/>
      <c r="AI867" s="82"/>
      <c r="AJ867" s="82"/>
      <c r="AK867" s="82"/>
      <c r="AL867" s="82"/>
      <c r="AM867" s="82"/>
      <c r="AN867" s="82"/>
      <c r="AO867" s="81"/>
      <c r="AP867" s="82"/>
      <c r="AQ867" s="82"/>
      <c r="AR867" s="82"/>
      <c r="AS867" s="82"/>
      <c r="AT867" s="82"/>
      <c r="AU867" s="82"/>
      <c r="AV867" s="82"/>
      <c r="AW867" s="82"/>
      <c r="AX867" s="82"/>
      <c r="AY867" s="81"/>
      <c r="AZ867" s="82"/>
      <c r="BA867" s="82"/>
      <c r="BB867" s="82"/>
      <c r="BC867" s="82"/>
      <c r="BD867" s="82"/>
      <c r="BE867" s="82"/>
      <c r="BF867" s="82"/>
      <c r="BG867" s="82"/>
      <c r="BH867" s="82"/>
      <c r="BI867" s="82"/>
    </row>
    <row r="868">
      <c r="K868" s="79"/>
      <c r="U868" s="79"/>
      <c r="AE868" s="79"/>
      <c r="AF868" s="82"/>
      <c r="AG868" s="82"/>
      <c r="AH868" s="82"/>
      <c r="AI868" s="82"/>
      <c r="AJ868" s="82"/>
      <c r="AK868" s="82"/>
      <c r="AL868" s="82"/>
      <c r="AM868" s="82"/>
      <c r="AN868" s="82"/>
      <c r="AO868" s="81"/>
      <c r="AP868" s="82"/>
      <c r="AQ868" s="82"/>
      <c r="AR868" s="82"/>
      <c r="AS868" s="82"/>
      <c r="AT868" s="82"/>
      <c r="AU868" s="82"/>
      <c r="AV868" s="82"/>
      <c r="AW868" s="82"/>
      <c r="AX868" s="82"/>
      <c r="AY868" s="81"/>
      <c r="AZ868" s="82"/>
      <c r="BA868" s="82"/>
      <c r="BB868" s="82"/>
      <c r="BC868" s="82"/>
      <c r="BD868" s="82"/>
      <c r="BE868" s="82"/>
      <c r="BF868" s="82"/>
      <c r="BG868" s="82"/>
      <c r="BH868" s="82"/>
      <c r="BI868" s="82"/>
    </row>
    <row r="869">
      <c r="K869" s="79"/>
      <c r="U869" s="79"/>
      <c r="AE869" s="79"/>
      <c r="AF869" s="82"/>
      <c r="AG869" s="82"/>
      <c r="AH869" s="82"/>
      <c r="AI869" s="82"/>
      <c r="AJ869" s="82"/>
      <c r="AK869" s="82"/>
      <c r="AL869" s="82"/>
      <c r="AM869" s="82"/>
      <c r="AN869" s="82"/>
      <c r="AO869" s="81"/>
      <c r="AP869" s="82"/>
      <c r="AQ869" s="82"/>
      <c r="AR869" s="82"/>
      <c r="AS869" s="82"/>
      <c r="AT869" s="82"/>
      <c r="AU869" s="82"/>
      <c r="AV869" s="82"/>
      <c r="AW869" s="82"/>
      <c r="AX869" s="82"/>
      <c r="AY869" s="81"/>
      <c r="AZ869" s="82"/>
      <c r="BA869" s="82"/>
      <c r="BB869" s="82"/>
      <c r="BC869" s="82"/>
      <c r="BD869" s="82"/>
      <c r="BE869" s="82"/>
      <c r="BF869" s="82"/>
      <c r="BG869" s="82"/>
      <c r="BH869" s="82"/>
      <c r="BI869" s="82"/>
    </row>
    <row r="870">
      <c r="K870" s="79"/>
      <c r="U870" s="79"/>
      <c r="AE870" s="79"/>
      <c r="AF870" s="82"/>
      <c r="AG870" s="82"/>
      <c r="AH870" s="82"/>
      <c r="AI870" s="82"/>
      <c r="AJ870" s="82"/>
      <c r="AK870" s="82"/>
      <c r="AL870" s="82"/>
      <c r="AM870" s="82"/>
      <c r="AN870" s="82"/>
      <c r="AO870" s="81"/>
      <c r="AP870" s="82"/>
      <c r="AQ870" s="82"/>
      <c r="AR870" s="82"/>
      <c r="AS870" s="82"/>
      <c r="AT870" s="82"/>
      <c r="AU870" s="82"/>
      <c r="AV870" s="82"/>
      <c r="AW870" s="82"/>
      <c r="AX870" s="82"/>
      <c r="AY870" s="81"/>
      <c r="AZ870" s="82"/>
      <c r="BA870" s="82"/>
      <c r="BB870" s="82"/>
      <c r="BC870" s="82"/>
      <c r="BD870" s="82"/>
      <c r="BE870" s="82"/>
      <c r="BF870" s="82"/>
      <c r="BG870" s="82"/>
      <c r="BH870" s="82"/>
      <c r="BI870" s="82"/>
    </row>
    <row r="871">
      <c r="K871" s="79"/>
      <c r="U871" s="79"/>
      <c r="AE871" s="79"/>
      <c r="AF871" s="82"/>
      <c r="AG871" s="82"/>
      <c r="AH871" s="82"/>
      <c r="AI871" s="82"/>
      <c r="AJ871" s="82"/>
      <c r="AK871" s="82"/>
      <c r="AL871" s="82"/>
      <c r="AM871" s="82"/>
      <c r="AN871" s="82"/>
      <c r="AO871" s="81"/>
      <c r="AP871" s="82"/>
      <c r="AQ871" s="82"/>
      <c r="AR871" s="82"/>
      <c r="AS871" s="82"/>
      <c r="AT871" s="82"/>
      <c r="AU871" s="82"/>
      <c r="AV871" s="82"/>
      <c r="AW871" s="82"/>
      <c r="AX871" s="82"/>
      <c r="AY871" s="81"/>
      <c r="AZ871" s="82"/>
      <c r="BA871" s="82"/>
      <c r="BB871" s="82"/>
      <c r="BC871" s="82"/>
      <c r="BD871" s="82"/>
      <c r="BE871" s="82"/>
      <c r="BF871" s="82"/>
      <c r="BG871" s="82"/>
      <c r="BH871" s="82"/>
      <c r="BI871" s="82"/>
    </row>
    <row r="872">
      <c r="K872" s="79"/>
      <c r="U872" s="79"/>
      <c r="AE872" s="79"/>
      <c r="AF872" s="82"/>
      <c r="AG872" s="82"/>
      <c r="AH872" s="82"/>
      <c r="AI872" s="82"/>
      <c r="AJ872" s="82"/>
      <c r="AK872" s="82"/>
      <c r="AL872" s="82"/>
      <c r="AM872" s="82"/>
      <c r="AN872" s="82"/>
      <c r="AO872" s="81"/>
      <c r="AP872" s="82"/>
      <c r="AQ872" s="82"/>
      <c r="AR872" s="82"/>
      <c r="AS872" s="82"/>
      <c r="AT872" s="82"/>
      <c r="AU872" s="82"/>
      <c r="AV872" s="82"/>
      <c r="AW872" s="82"/>
      <c r="AX872" s="82"/>
      <c r="AY872" s="81"/>
      <c r="AZ872" s="82"/>
      <c r="BA872" s="82"/>
      <c r="BB872" s="82"/>
      <c r="BC872" s="82"/>
      <c r="BD872" s="82"/>
      <c r="BE872" s="82"/>
      <c r="BF872" s="82"/>
      <c r="BG872" s="82"/>
      <c r="BH872" s="82"/>
      <c r="BI872" s="82"/>
    </row>
    <row r="873">
      <c r="K873" s="79"/>
      <c r="U873" s="79"/>
      <c r="AE873" s="79"/>
      <c r="AF873" s="82"/>
      <c r="AG873" s="82"/>
      <c r="AH873" s="82"/>
      <c r="AI873" s="82"/>
      <c r="AJ873" s="82"/>
      <c r="AK873" s="82"/>
      <c r="AL873" s="82"/>
      <c r="AM873" s="82"/>
      <c r="AN873" s="82"/>
      <c r="AO873" s="81"/>
      <c r="AP873" s="82"/>
      <c r="AQ873" s="82"/>
      <c r="AR873" s="82"/>
      <c r="AS873" s="82"/>
      <c r="AT873" s="82"/>
      <c r="AU873" s="82"/>
      <c r="AV873" s="82"/>
      <c r="AW873" s="82"/>
      <c r="AX873" s="82"/>
      <c r="AY873" s="81"/>
      <c r="AZ873" s="82"/>
      <c r="BA873" s="82"/>
      <c r="BB873" s="82"/>
      <c r="BC873" s="82"/>
      <c r="BD873" s="82"/>
      <c r="BE873" s="82"/>
      <c r="BF873" s="82"/>
      <c r="BG873" s="82"/>
      <c r="BH873" s="82"/>
      <c r="BI873" s="82"/>
    </row>
    <row r="874">
      <c r="K874" s="79"/>
      <c r="U874" s="79"/>
      <c r="AE874" s="79"/>
      <c r="AF874" s="82"/>
      <c r="AG874" s="82"/>
      <c r="AH874" s="82"/>
      <c r="AI874" s="82"/>
      <c r="AJ874" s="82"/>
      <c r="AK874" s="82"/>
      <c r="AL874" s="82"/>
      <c r="AM874" s="82"/>
      <c r="AN874" s="82"/>
      <c r="AO874" s="81"/>
      <c r="AP874" s="82"/>
      <c r="AQ874" s="82"/>
      <c r="AR874" s="82"/>
      <c r="AS874" s="82"/>
      <c r="AT874" s="82"/>
      <c r="AU874" s="82"/>
      <c r="AV874" s="82"/>
      <c r="AW874" s="82"/>
      <c r="AX874" s="82"/>
      <c r="AY874" s="81"/>
      <c r="AZ874" s="82"/>
      <c r="BA874" s="82"/>
      <c r="BB874" s="82"/>
      <c r="BC874" s="82"/>
      <c r="BD874" s="82"/>
      <c r="BE874" s="82"/>
      <c r="BF874" s="82"/>
      <c r="BG874" s="82"/>
      <c r="BH874" s="82"/>
      <c r="BI874" s="82"/>
    </row>
    <row r="875">
      <c r="K875" s="79"/>
      <c r="U875" s="79"/>
      <c r="AE875" s="79"/>
      <c r="AF875" s="82"/>
      <c r="AG875" s="82"/>
      <c r="AH875" s="82"/>
      <c r="AI875" s="82"/>
      <c r="AJ875" s="82"/>
      <c r="AK875" s="82"/>
      <c r="AL875" s="82"/>
      <c r="AM875" s="82"/>
      <c r="AN875" s="82"/>
      <c r="AO875" s="81"/>
      <c r="AP875" s="82"/>
      <c r="AQ875" s="82"/>
      <c r="AR875" s="82"/>
      <c r="AS875" s="82"/>
      <c r="AT875" s="82"/>
      <c r="AU875" s="82"/>
      <c r="AV875" s="82"/>
      <c r="AW875" s="82"/>
      <c r="AX875" s="82"/>
      <c r="AY875" s="81"/>
      <c r="AZ875" s="82"/>
      <c r="BA875" s="82"/>
      <c r="BB875" s="82"/>
      <c r="BC875" s="82"/>
      <c r="BD875" s="82"/>
      <c r="BE875" s="82"/>
      <c r="BF875" s="82"/>
      <c r="BG875" s="82"/>
      <c r="BH875" s="82"/>
      <c r="BI875" s="82"/>
    </row>
    <row r="876">
      <c r="K876" s="79"/>
      <c r="U876" s="79"/>
      <c r="AE876" s="79"/>
      <c r="AF876" s="82"/>
      <c r="AG876" s="82"/>
      <c r="AH876" s="82"/>
      <c r="AI876" s="82"/>
      <c r="AJ876" s="82"/>
      <c r="AK876" s="82"/>
      <c r="AL876" s="82"/>
      <c r="AM876" s="82"/>
      <c r="AN876" s="82"/>
      <c r="AO876" s="81"/>
      <c r="AP876" s="82"/>
      <c r="AQ876" s="82"/>
      <c r="AR876" s="82"/>
      <c r="AS876" s="82"/>
      <c r="AT876" s="82"/>
      <c r="AU876" s="82"/>
      <c r="AV876" s="82"/>
      <c r="AW876" s="82"/>
      <c r="AX876" s="82"/>
      <c r="AY876" s="81"/>
      <c r="AZ876" s="82"/>
      <c r="BA876" s="82"/>
      <c r="BB876" s="82"/>
      <c r="BC876" s="82"/>
      <c r="BD876" s="82"/>
      <c r="BE876" s="82"/>
      <c r="BF876" s="82"/>
      <c r="BG876" s="82"/>
      <c r="BH876" s="82"/>
      <c r="BI876" s="82"/>
    </row>
    <row r="877">
      <c r="K877" s="79"/>
      <c r="U877" s="79"/>
      <c r="AE877" s="79"/>
      <c r="AF877" s="82"/>
      <c r="AG877" s="82"/>
      <c r="AH877" s="82"/>
      <c r="AI877" s="82"/>
      <c r="AJ877" s="82"/>
      <c r="AK877" s="82"/>
      <c r="AL877" s="82"/>
      <c r="AM877" s="82"/>
      <c r="AN877" s="82"/>
      <c r="AO877" s="81"/>
      <c r="AP877" s="82"/>
      <c r="AQ877" s="82"/>
      <c r="AR877" s="82"/>
      <c r="AS877" s="82"/>
      <c r="AT877" s="82"/>
      <c r="AU877" s="82"/>
      <c r="AV877" s="82"/>
      <c r="AW877" s="82"/>
      <c r="AX877" s="82"/>
      <c r="AY877" s="81"/>
      <c r="AZ877" s="82"/>
      <c r="BA877" s="82"/>
      <c r="BB877" s="82"/>
      <c r="BC877" s="82"/>
      <c r="BD877" s="82"/>
      <c r="BE877" s="82"/>
      <c r="BF877" s="82"/>
      <c r="BG877" s="82"/>
      <c r="BH877" s="82"/>
      <c r="BI877" s="82"/>
    </row>
    <row r="878">
      <c r="K878" s="79"/>
      <c r="U878" s="79"/>
      <c r="AE878" s="79"/>
      <c r="AF878" s="82"/>
      <c r="AG878" s="82"/>
      <c r="AH878" s="82"/>
      <c r="AI878" s="82"/>
      <c r="AJ878" s="82"/>
      <c r="AK878" s="82"/>
      <c r="AL878" s="82"/>
      <c r="AM878" s="82"/>
      <c r="AN878" s="82"/>
      <c r="AO878" s="81"/>
      <c r="AP878" s="82"/>
      <c r="AQ878" s="82"/>
      <c r="AR878" s="82"/>
      <c r="AS878" s="82"/>
      <c r="AT878" s="82"/>
      <c r="AU878" s="82"/>
      <c r="AV878" s="82"/>
      <c r="AW878" s="82"/>
      <c r="AX878" s="82"/>
      <c r="AY878" s="81"/>
      <c r="AZ878" s="82"/>
      <c r="BA878" s="82"/>
      <c r="BB878" s="82"/>
      <c r="BC878" s="82"/>
      <c r="BD878" s="82"/>
      <c r="BE878" s="82"/>
      <c r="BF878" s="82"/>
      <c r="BG878" s="82"/>
      <c r="BH878" s="82"/>
      <c r="BI878" s="82"/>
    </row>
    <row r="879">
      <c r="K879" s="79"/>
      <c r="U879" s="79"/>
      <c r="AE879" s="79"/>
      <c r="AF879" s="82"/>
      <c r="AG879" s="82"/>
      <c r="AH879" s="82"/>
      <c r="AI879" s="82"/>
      <c r="AJ879" s="82"/>
      <c r="AK879" s="82"/>
      <c r="AL879" s="82"/>
      <c r="AM879" s="82"/>
      <c r="AN879" s="82"/>
      <c r="AO879" s="81"/>
      <c r="AP879" s="82"/>
      <c r="AQ879" s="82"/>
      <c r="AR879" s="82"/>
      <c r="AS879" s="82"/>
      <c r="AT879" s="82"/>
      <c r="AU879" s="82"/>
      <c r="AV879" s="82"/>
      <c r="AW879" s="82"/>
      <c r="AX879" s="82"/>
      <c r="AY879" s="81"/>
      <c r="AZ879" s="82"/>
      <c r="BA879" s="82"/>
      <c r="BB879" s="82"/>
      <c r="BC879" s="82"/>
      <c r="BD879" s="82"/>
      <c r="BE879" s="82"/>
      <c r="BF879" s="82"/>
      <c r="BG879" s="82"/>
      <c r="BH879" s="82"/>
      <c r="BI879" s="82"/>
    </row>
    <row r="880">
      <c r="K880" s="79"/>
      <c r="U880" s="79"/>
      <c r="AE880" s="79"/>
      <c r="AF880" s="82"/>
      <c r="AG880" s="82"/>
      <c r="AH880" s="82"/>
      <c r="AI880" s="82"/>
      <c r="AJ880" s="82"/>
      <c r="AK880" s="82"/>
      <c r="AL880" s="82"/>
      <c r="AM880" s="82"/>
      <c r="AN880" s="82"/>
      <c r="AO880" s="81"/>
      <c r="AP880" s="82"/>
      <c r="AQ880" s="82"/>
      <c r="AR880" s="82"/>
      <c r="AS880" s="82"/>
      <c r="AT880" s="82"/>
      <c r="AU880" s="82"/>
      <c r="AV880" s="82"/>
      <c r="AW880" s="82"/>
      <c r="AX880" s="82"/>
      <c r="AY880" s="81"/>
      <c r="AZ880" s="82"/>
      <c r="BA880" s="82"/>
      <c r="BB880" s="82"/>
      <c r="BC880" s="82"/>
      <c r="BD880" s="82"/>
      <c r="BE880" s="82"/>
      <c r="BF880" s="82"/>
      <c r="BG880" s="82"/>
      <c r="BH880" s="82"/>
      <c r="BI880" s="82"/>
    </row>
    <row r="881">
      <c r="K881" s="79"/>
      <c r="U881" s="79"/>
      <c r="AE881" s="79"/>
      <c r="AF881" s="82"/>
      <c r="AG881" s="82"/>
      <c r="AH881" s="82"/>
      <c r="AI881" s="82"/>
      <c r="AJ881" s="82"/>
      <c r="AK881" s="82"/>
      <c r="AL881" s="82"/>
      <c r="AM881" s="82"/>
      <c r="AN881" s="82"/>
      <c r="AO881" s="81"/>
      <c r="AP881" s="82"/>
      <c r="AQ881" s="82"/>
      <c r="AR881" s="82"/>
      <c r="AS881" s="82"/>
      <c r="AT881" s="82"/>
      <c r="AU881" s="82"/>
      <c r="AV881" s="82"/>
      <c r="AW881" s="82"/>
      <c r="AX881" s="82"/>
      <c r="AY881" s="81"/>
      <c r="AZ881" s="82"/>
      <c r="BA881" s="82"/>
      <c r="BB881" s="82"/>
      <c r="BC881" s="82"/>
      <c r="BD881" s="82"/>
      <c r="BE881" s="82"/>
      <c r="BF881" s="82"/>
      <c r="BG881" s="82"/>
      <c r="BH881" s="82"/>
      <c r="BI881" s="82"/>
    </row>
    <row r="882">
      <c r="K882" s="79"/>
      <c r="U882" s="79"/>
      <c r="AE882" s="79"/>
      <c r="AF882" s="82"/>
      <c r="AG882" s="82"/>
      <c r="AH882" s="82"/>
      <c r="AI882" s="82"/>
      <c r="AJ882" s="82"/>
      <c r="AK882" s="82"/>
      <c r="AL882" s="82"/>
      <c r="AM882" s="82"/>
      <c r="AN882" s="82"/>
      <c r="AO882" s="81"/>
      <c r="AP882" s="82"/>
      <c r="AQ882" s="82"/>
      <c r="AR882" s="82"/>
      <c r="AS882" s="82"/>
      <c r="AT882" s="82"/>
      <c r="AU882" s="82"/>
      <c r="AV882" s="82"/>
      <c r="AW882" s="82"/>
      <c r="AX882" s="82"/>
      <c r="AY882" s="81"/>
      <c r="AZ882" s="82"/>
      <c r="BA882" s="82"/>
      <c r="BB882" s="82"/>
      <c r="BC882" s="82"/>
      <c r="BD882" s="82"/>
      <c r="BE882" s="82"/>
      <c r="BF882" s="82"/>
      <c r="BG882" s="82"/>
      <c r="BH882" s="82"/>
      <c r="BI882" s="82"/>
    </row>
    <row r="883">
      <c r="K883" s="79"/>
      <c r="U883" s="79"/>
      <c r="AE883" s="79"/>
      <c r="AF883" s="82"/>
      <c r="AG883" s="82"/>
      <c r="AH883" s="82"/>
      <c r="AI883" s="82"/>
      <c r="AJ883" s="82"/>
      <c r="AK883" s="82"/>
      <c r="AL883" s="82"/>
      <c r="AM883" s="82"/>
      <c r="AN883" s="82"/>
      <c r="AO883" s="81"/>
      <c r="AP883" s="82"/>
      <c r="AQ883" s="82"/>
      <c r="AR883" s="82"/>
      <c r="AS883" s="82"/>
      <c r="AT883" s="82"/>
      <c r="AU883" s="82"/>
      <c r="AV883" s="82"/>
      <c r="AW883" s="82"/>
      <c r="AX883" s="82"/>
      <c r="AY883" s="81"/>
      <c r="AZ883" s="82"/>
      <c r="BA883" s="82"/>
      <c r="BB883" s="82"/>
      <c r="BC883" s="82"/>
      <c r="BD883" s="82"/>
      <c r="BE883" s="82"/>
      <c r="BF883" s="82"/>
      <c r="BG883" s="82"/>
      <c r="BH883" s="82"/>
      <c r="BI883" s="82"/>
    </row>
    <row r="884">
      <c r="K884" s="79"/>
      <c r="U884" s="79"/>
      <c r="AE884" s="79"/>
      <c r="AF884" s="82"/>
      <c r="AG884" s="82"/>
      <c r="AH884" s="82"/>
      <c r="AI884" s="82"/>
      <c r="AJ884" s="82"/>
      <c r="AK884" s="82"/>
      <c r="AL884" s="82"/>
      <c r="AM884" s="82"/>
      <c r="AN884" s="82"/>
      <c r="AO884" s="81"/>
      <c r="AP884" s="82"/>
      <c r="AQ884" s="82"/>
      <c r="AR884" s="82"/>
      <c r="AS884" s="82"/>
      <c r="AT884" s="82"/>
      <c r="AU884" s="82"/>
      <c r="AV884" s="82"/>
      <c r="AW884" s="82"/>
      <c r="AX884" s="82"/>
      <c r="AY884" s="81"/>
      <c r="AZ884" s="82"/>
      <c r="BA884" s="82"/>
      <c r="BB884" s="82"/>
      <c r="BC884" s="82"/>
      <c r="BD884" s="82"/>
      <c r="BE884" s="82"/>
      <c r="BF884" s="82"/>
      <c r="BG884" s="82"/>
      <c r="BH884" s="82"/>
      <c r="BI884" s="82"/>
    </row>
    <row r="885">
      <c r="K885" s="79"/>
      <c r="U885" s="79"/>
      <c r="AE885" s="79"/>
      <c r="AF885" s="82"/>
      <c r="AG885" s="82"/>
      <c r="AH885" s="82"/>
      <c r="AI885" s="82"/>
      <c r="AJ885" s="82"/>
      <c r="AK885" s="82"/>
      <c r="AL885" s="82"/>
      <c r="AM885" s="82"/>
      <c r="AN885" s="82"/>
      <c r="AO885" s="81"/>
      <c r="AP885" s="82"/>
      <c r="AQ885" s="82"/>
      <c r="AR885" s="82"/>
      <c r="AS885" s="82"/>
      <c r="AT885" s="82"/>
      <c r="AU885" s="82"/>
      <c r="AV885" s="82"/>
      <c r="AW885" s="82"/>
      <c r="AX885" s="82"/>
      <c r="AY885" s="81"/>
      <c r="AZ885" s="82"/>
      <c r="BA885" s="82"/>
      <c r="BB885" s="82"/>
      <c r="BC885" s="82"/>
      <c r="BD885" s="82"/>
      <c r="BE885" s="82"/>
      <c r="BF885" s="82"/>
      <c r="BG885" s="82"/>
      <c r="BH885" s="82"/>
      <c r="BI885" s="82"/>
    </row>
    <row r="886">
      <c r="K886" s="79"/>
      <c r="U886" s="79"/>
      <c r="AE886" s="79"/>
      <c r="AF886" s="82"/>
      <c r="AG886" s="82"/>
      <c r="AH886" s="82"/>
      <c r="AI886" s="82"/>
      <c r="AJ886" s="82"/>
      <c r="AK886" s="82"/>
      <c r="AL886" s="82"/>
      <c r="AM886" s="82"/>
      <c r="AN886" s="82"/>
      <c r="AO886" s="81"/>
      <c r="AP886" s="82"/>
      <c r="AQ886" s="82"/>
      <c r="AR886" s="82"/>
      <c r="AS886" s="82"/>
      <c r="AT886" s="82"/>
      <c r="AU886" s="82"/>
      <c r="AV886" s="82"/>
      <c r="AW886" s="82"/>
      <c r="AX886" s="82"/>
      <c r="AY886" s="81"/>
      <c r="AZ886" s="82"/>
      <c r="BA886" s="82"/>
      <c r="BB886" s="82"/>
      <c r="BC886" s="82"/>
      <c r="BD886" s="82"/>
      <c r="BE886" s="82"/>
      <c r="BF886" s="82"/>
      <c r="BG886" s="82"/>
      <c r="BH886" s="82"/>
      <c r="BI886" s="82"/>
    </row>
    <row r="887">
      <c r="K887" s="79"/>
      <c r="U887" s="79"/>
      <c r="AE887" s="79"/>
      <c r="AF887" s="82"/>
      <c r="AG887" s="82"/>
      <c r="AH887" s="82"/>
      <c r="AI887" s="82"/>
      <c r="AJ887" s="82"/>
      <c r="AK887" s="82"/>
      <c r="AL887" s="82"/>
      <c r="AM887" s="82"/>
      <c r="AN887" s="82"/>
      <c r="AO887" s="81"/>
      <c r="AP887" s="82"/>
      <c r="AQ887" s="82"/>
      <c r="AR887" s="82"/>
      <c r="AS887" s="82"/>
      <c r="AT887" s="82"/>
      <c r="AU887" s="82"/>
      <c r="AV887" s="82"/>
      <c r="AW887" s="82"/>
      <c r="AX887" s="82"/>
      <c r="AY887" s="81"/>
      <c r="AZ887" s="82"/>
      <c r="BA887" s="82"/>
      <c r="BB887" s="82"/>
      <c r="BC887" s="82"/>
      <c r="BD887" s="82"/>
      <c r="BE887" s="82"/>
      <c r="BF887" s="82"/>
      <c r="BG887" s="82"/>
      <c r="BH887" s="82"/>
      <c r="BI887" s="82"/>
    </row>
    <row r="888">
      <c r="K888" s="79"/>
      <c r="U888" s="79"/>
      <c r="AE888" s="79"/>
      <c r="AF888" s="82"/>
      <c r="AG888" s="82"/>
      <c r="AH888" s="82"/>
      <c r="AI888" s="82"/>
      <c r="AJ888" s="82"/>
      <c r="AK888" s="82"/>
      <c r="AL888" s="82"/>
      <c r="AM888" s="82"/>
      <c r="AN888" s="82"/>
      <c r="AO888" s="81"/>
      <c r="AP888" s="82"/>
      <c r="AQ888" s="82"/>
      <c r="AR888" s="82"/>
      <c r="AS888" s="82"/>
      <c r="AT888" s="82"/>
      <c r="AU888" s="82"/>
      <c r="AV888" s="82"/>
      <c r="AW888" s="82"/>
      <c r="AX888" s="82"/>
      <c r="AY888" s="81"/>
      <c r="AZ888" s="82"/>
      <c r="BA888" s="82"/>
      <c r="BB888" s="82"/>
      <c r="BC888" s="82"/>
      <c r="BD888" s="82"/>
      <c r="BE888" s="82"/>
      <c r="BF888" s="82"/>
      <c r="BG888" s="82"/>
      <c r="BH888" s="82"/>
      <c r="BI888" s="82"/>
    </row>
    <row r="889">
      <c r="K889" s="79"/>
      <c r="U889" s="79"/>
      <c r="AE889" s="79"/>
      <c r="AF889" s="82"/>
      <c r="AG889" s="82"/>
      <c r="AH889" s="82"/>
      <c r="AI889" s="82"/>
      <c r="AJ889" s="82"/>
      <c r="AK889" s="82"/>
      <c r="AL889" s="82"/>
      <c r="AM889" s="82"/>
      <c r="AN889" s="82"/>
      <c r="AO889" s="81"/>
      <c r="AP889" s="82"/>
      <c r="AQ889" s="82"/>
      <c r="AR889" s="82"/>
      <c r="AS889" s="82"/>
      <c r="AT889" s="82"/>
      <c r="AU889" s="82"/>
      <c r="AV889" s="82"/>
      <c r="AW889" s="82"/>
      <c r="AX889" s="82"/>
      <c r="AY889" s="81"/>
      <c r="AZ889" s="82"/>
      <c r="BA889" s="82"/>
      <c r="BB889" s="82"/>
      <c r="BC889" s="82"/>
      <c r="BD889" s="82"/>
      <c r="BE889" s="82"/>
      <c r="BF889" s="82"/>
      <c r="BG889" s="82"/>
      <c r="BH889" s="82"/>
      <c r="BI889" s="82"/>
    </row>
    <row r="890">
      <c r="K890" s="79"/>
      <c r="U890" s="79"/>
      <c r="AE890" s="79"/>
      <c r="AF890" s="82"/>
      <c r="AG890" s="82"/>
      <c r="AH890" s="82"/>
      <c r="AI890" s="82"/>
      <c r="AJ890" s="82"/>
      <c r="AK890" s="82"/>
      <c r="AL890" s="82"/>
      <c r="AM890" s="82"/>
      <c r="AN890" s="82"/>
      <c r="AO890" s="81"/>
      <c r="AP890" s="82"/>
      <c r="AQ890" s="82"/>
      <c r="AR890" s="82"/>
      <c r="AS890" s="82"/>
      <c r="AT890" s="82"/>
      <c r="AU890" s="82"/>
      <c r="AV890" s="82"/>
      <c r="AW890" s="82"/>
      <c r="AX890" s="82"/>
      <c r="AY890" s="81"/>
      <c r="AZ890" s="82"/>
      <c r="BA890" s="82"/>
      <c r="BB890" s="82"/>
      <c r="BC890" s="82"/>
      <c r="BD890" s="82"/>
      <c r="BE890" s="82"/>
      <c r="BF890" s="82"/>
      <c r="BG890" s="82"/>
      <c r="BH890" s="82"/>
      <c r="BI890" s="82"/>
    </row>
    <row r="891">
      <c r="K891" s="79"/>
      <c r="U891" s="79"/>
      <c r="AE891" s="79"/>
      <c r="AF891" s="82"/>
      <c r="AG891" s="82"/>
      <c r="AH891" s="82"/>
      <c r="AI891" s="82"/>
      <c r="AJ891" s="82"/>
      <c r="AK891" s="82"/>
      <c r="AL891" s="82"/>
      <c r="AM891" s="82"/>
      <c r="AN891" s="82"/>
      <c r="AO891" s="81"/>
      <c r="AP891" s="82"/>
      <c r="AQ891" s="82"/>
      <c r="AR891" s="82"/>
      <c r="AS891" s="82"/>
      <c r="AT891" s="82"/>
      <c r="AU891" s="82"/>
      <c r="AV891" s="82"/>
      <c r="AW891" s="82"/>
      <c r="AX891" s="82"/>
      <c r="AY891" s="81"/>
      <c r="AZ891" s="82"/>
      <c r="BA891" s="82"/>
      <c r="BB891" s="82"/>
      <c r="BC891" s="82"/>
      <c r="BD891" s="82"/>
      <c r="BE891" s="82"/>
      <c r="BF891" s="82"/>
      <c r="BG891" s="82"/>
      <c r="BH891" s="82"/>
      <c r="BI891" s="82"/>
    </row>
    <row r="892">
      <c r="K892" s="79"/>
      <c r="U892" s="79"/>
      <c r="AE892" s="79"/>
      <c r="AF892" s="82"/>
      <c r="AG892" s="82"/>
      <c r="AH892" s="82"/>
      <c r="AI892" s="82"/>
      <c r="AJ892" s="82"/>
      <c r="AK892" s="82"/>
      <c r="AL892" s="82"/>
      <c r="AM892" s="82"/>
      <c r="AN892" s="82"/>
      <c r="AO892" s="81"/>
      <c r="AP892" s="82"/>
      <c r="AQ892" s="82"/>
      <c r="AR892" s="82"/>
      <c r="AS892" s="82"/>
      <c r="AT892" s="82"/>
      <c r="AU892" s="82"/>
      <c r="AV892" s="82"/>
      <c r="AW892" s="82"/>
      <c r="AX892" s="82"/>
      <c r="AY892" s="81"/>
      <c r="AZ892" s="82"/>
      <c r="BA892" s="82"/>
      <c r="BB892" s="82"/>
      <c r="BC892" s="82"/>
      <c r="BD892" s="82"/>
      <c r="BE892" s="82"/>
      <c r="BF892" s="82"/>
      <c r="BG892" s="82"/>
      <c r="BH892" s="82"/>
      <c r="BI892" s="82"/>
    </row>
    <row r="893">
      <c r="K893" s="79"/>
      <c r="U893" s="79"/>
      <c r="AE893" s="79"/>
      <c r="AF893" s="82"/>
      <c r="AG893" s="82"/>
      <c r="AH893" s="82"/>
      <c r="AI893" s="82"/>
      <c r="AJ893" s="82"/>
      <c r="AK893" s="82"/>
      <c r="AL893" s="82"/>
      <c r="AM893" s="82"/>
      <c r="AN893" s="82"/>
      <c r="AO893" s="81"/>
      <c r="AP893" s="82"/>
      <c r="AQ893" s="82"/>
      <c r="AR893" s="82"/>
      <c r="AS893" s="82"/>
      <c r="AT893" s="82"/>
      <c r="AU893" s="82"/>
      <c r="AV893" s="82"/>
      <c r="AW893" s="82"/>
      <c r="AX893" s="82"/>
      <c r="AY893" s="81"/>
      <c r="AZ893" s="82"/>
      <c r="BA893" s="82"/>
      <c r="BB893" s="82"/>
      <c r="BC893" s="82"/>
      <c r="BD893" s="82"/>
      <c r="BE893" s="82"/>
      <c r="BF893" s="82"/>
      <c r="BG893" s="82"/>
      <c r="BH893" s="82"/>
      <c r="BI893" s="82"/>
    </row>
    <row r="894">
      <c r="K894" s="79"/>
      <c r="U894" s="79"/>
      <c r="AE894" s="79"/>
      <c r="AF894" s="82"/>
      <c r="AG894" s="82"/>
      <c r="AH894" s="82"/>
      <c r="AI894" s="82"/>
      <c r="AJ894" s="82"/>
      <c r="AK894" s="82"/>
      <c r="AL894" s="82"/>
      <c r="AM894" s="82"/>
      <c r="AN894" s="82"/>
      <c r="AO894" s="81"/>
      <c r="AP894" s="82"/>
      <c r="AQ894" s="82"/>
      <c r="AR894" s="82"/>
      <c r="AS894" s="82"/>
      <c r="AT894" s="82"/>
      <c r="AU894" s="82"/>
      <c r="AV894" s="82"/>
      <c r="AW894" s="82"/>
      <c r="AX894" s="82"/>
      <c r="AY894" s="81"/>
      <c r="AZ894" s="82"/>
      <c r="BA894" s="82"/>
      <c r="BB894" s="82"/>
      <c r="BC894" s="82"/>
      <c r="BD894" s="82"/>
      <c r="BE894" s="82"/>
      <c r="BF894" s="82"/>
      <c r="BG894" s="82"/>
      <c r="BH894" s="82"/>
      <c r="BI894" s="82"/>
    </row>
    <row r="895">
      <c r="K895" s="79"/>
      <c r="U895" s="79"/>
      <c r="AE895" s="79"/>
      <c r="AF895" s="82"/>
      <c r="AG895" s="82"/>
      <c r="AH895" s="82"/>
      <c r="AI895" s="82"/>
      <c r="AJ895" s="82"/>
      <c r="AK895" s="82"/>
      <c r="AL895" s="82"/>
      <c r="AM895" s="82"/>
      <c r="AN895" s="82"/>
      <c r="AO895" s="81"/>
      <c r="AP895" s="82"/>
      <c r="AQ895" s="82"/>
      <c r="AR895" s="82"/>
      <c r="AS895" s="82"/>
      <c r="AT895" s="82"/>
      <c r="AU895" s="82"/>
      <c r="AV895" s="82"/>
      <c r="AW895" s="82"/>
      <c r="AX895" s="82"/>
      <c r="AY895" s="81"/>
      <c r="AZ895" s="82"/>
      <c r="BA895" s="82"/>
      <c r="BB895" s="82"/>
      <c r="BC895" s="82"/>
      <c r="BD895" s="82"/>
      <c r="BE895" s="82"/>
      <c r="BF895" s="82"/>
      <c r="BG895" s="82"/>
      <c r="BH895" s="82"/>
      <c r="BI895" s="82"/>
    </row>
    <row r="896">
      <c r="K896" s="79"/>
      <c r="U896" s="79"/>
      <c r="AE896" s="79"/>
      <c r="AF896" s="82"/>
      <c r="AG896" s="82"/>
      <c r="AH896" s="82"/>
      <c r="AI896" s="82"/>
      <c r="AJ896" s="82"/>
      <c r="AK896" s="82"/>
      <c r="AL896" s="82"/>
      <c r="AM896" s="82"/>
      <c r="AN896" s="82"/>
      <c r="AO896" s="81"/>
      <c r="AP896" s="82"/>
      <c r="AQ896" s="82"/>
      <c r="AR896" s="82"/>
      <c r="AS896" s="82"/>
      <c r="AT896" s="82"/>
      <c r="AU896" s="82"/>
      <c r="AV896" s="82"/>
      <c r="AW896" s="82"/>
      <c r="AX896" s="82"/>
      <c r="AY896" s="81"/>
      <c r="AZ896" s="82"/>
      <c r="BA896" s="82"/>
      <c r="BB896" s="82"/>
      <c r="BC896" s="82"/>
      <c r="BD896" s="82"/>
      <c r="BE896" s="82"/>
      <c r="BF896" s="82"/>
      <c r="BG896" s="82"/>
      <c r="BH896" s="82"/>
      <c r="BI896" s="82"/>
    </row>
    <row r="897">
      <c r="K897" s="79"/>
      <c r="U897" s="79"/>
      <c r="AE897" s="79"/>
      <c r="AF897" s="82"/>
      <c r="AG897" s="82"/>
      <c r="AH897" s="82"/>
      <c r="AI897" s="82"/>
      <c r="AJ897" s="82"/>
      <c r="AK897" s="82"/>
      <c r="AL897" s="82"/>
      <c r="AM897" s="82"/>
      <c r="AN897" s="82"/>
      <c r="AO897" s="81"/>
      <c r="AP897" s="82"/>
      <c r="AQ897" s="82"/>
      <c r="AR897" s="82"/>
      <c r="AS897" s="82"/>
      <c r="AT897" s="82"/>
      <c r="AU897" s="82"/>
      <c r="AV897" s="82"/>
      <c r="AW897" s="82"/>
      <c r="AX897" s="82"/>
      <c r="AY897" s="81"/>
      <c r="AZ897" s="82"/>
      <c r="BA897" s="82"/>
      <c r="BB897" s="82"/>
      <c r="BC897" s="82"/>
      <c r="BD897" s="82"/>
      <c r="BE897" s="82"/>
      <c r="BF897" s="82"/>
      <c r="BG897" s="82"/>
      <c r="BH897" s="82"/>
      <c r="BI897" s="82"/>
    </row>
    <row r="898">
      <c r="K898" s="79"/>
      <c r="U898" s="79"/>
      <c r="AE898" s="79"/>
      <c r="AF898" s="82"/>
      <c r="AG898" s="82"/>
      <c r="AH898" s="82"/>
      <c r="AI898" s="82"/>
      <c r="AJ898" s="82"/>
      <c r="AK898" s="82"/>
      <c r="AL898" s="82"/>
      <c r="AM898" s="82"/>
      <c r="AN898" s="82"/>
      <c r="AO898" s="81"/>
      <c r="AP898" s="82"/>
      <c r="AQ898" s="82"/>
      <c r="AR898" s="82"/>
      <c r="AS898" s="82"/>
      <c r="AT898" s="82"/>
      <c r="AU898" s="82"/>
      <c r="AV898" s="82"/>
      <c r="AW898" s="82"/>
      <c r="AX898" s="82"/>
      <c r="AY898" s="81"/>
      <c r="AZ898" s="82"/>
      <c r="BA898" s="82"/>
      <c r="BB898" s="82"/>
      <c r="BC898" s="82"/>
      <c r="BD898" s="82"/>
      <c r="BE898" s="82"/>
      <c r="BF898" s="82"/>
      <c r="BG898" s="82"/>
      <c r="BH898" s="82"/>
      <c r="BI898" s="82"/>
    </row>
    <row r="899">
      <c r="K899" s="79"/>
      <c r="U899" s="79"/>
      <c r="AE899" s="79"/>
      <c r="AF899" s="82"/>
      <c r="AG899" s="82"/>
      <c r="AH899" s="82"/>
      <c r="AI899" s="82"/>
      <c r="AJ899" s="82"/>
      <c r="AK899" s="82"/>
      <c r="AL899" s="82"/>
      <c r="AM899" s="82"/>
      <c r="AN899" s="82"/>
      <c r="AO899" s="81"/>
      <c r="AP899" s="82"/>
      <c r="AQ899" s="82"/>
      <c r="AR899" s="82"/>
      <c r="AS899" s="82"/>
      <c r="AT899" s="82"/>
      <c r="AU899" s="82"/>
      <c r="AV899" s="82"/>
      <c r="AW899" s="82"/>
      <c r="AX899" s="82"/>
      <c r="AY899" s="81"/>
      <c r="AZ899" s="82"/>
      <c r="BA899" s="82"/>
      <c r="BB899" s="82"/>
      <c r="BC899" s="82"/>
      <c r="BD899" s="82"/>
      <c r="BE899" s="82"/>
      <c r="BF899" s="82"/>
      <c r="BG899" s="82"/>
      <c r="BH899" s="82"/>
      <c r="BI899" s="82"/>
    </row>
    <row r="900">
      <c r="K900" s="79"/>
      <c r="U900" s="79"/>
      <c r="AE900" s="79"/>
      <c r="AF900" s="82"/>
      <c r="AG900" s="82"/>
      <c r="AH900" s="82"/>
      <c r="AI900" s="82"/>
      <c r="AJ900" s="82"/>
      <c r="AK900" s="82"/>
      <c r="AL900" s="82"/>
      <c r="AM900" s="82"/>
      <c r="AN900" s="82"/>
      <c r="AO900" s="81"/>
      <c r="AP900" s="82"/>
      <c r="AQ900" s="82"/>
      <c r="AR900" s="82"/>
      <c r="AS900" s="82"/>
      <c r="AT900" s="82"/>
      <c r="AU900" s="82"/>
      <c r="AV900" s="82"/>
      <c r="AW900" s="82"/>
      <c r="AX900" s="82"/>
      <c r="AY900" s="81"/>
      <c r="AZ900" s="82"/>
      <c r="BA900" s="82"/>
      <c r="BB900" s="82"/>
      <c r="BC900" s="82"/>
      <c r="BD900" s="82"/>
      <c r="BE900" s="82"/>
      <c r="BF900" s="82"/>
      <c r="BG900" s="82"/>
      <c r="BH900" s="82"/>
      <c r="BI900" s="82"/>
    </row>
    <row r="901">
      <c r="K901" s="79"/>
      <c r="U901" s="79"/>
      <c r="AE901" s="79"/>
      <c r="AF901" s="82"/>
      <c r="AG901" s="82"/>
      <c r="AH901" s="82"/>
      <c r="AI901" s="82"/>
      <c r="AJ901" s="82"/>
      <c r="AK901" s="82"/>
      <c r="AL901" s="82"/>
      <c r="AM901" s="82"/>
      <c r="AN901" s="82"/>
      <c r="AO901" s="81"/>
      <c r="AP901" s="82"/>
      <c r="AQ901" s="82"/>
      <c r="AR901" s="82"/>
      <c r="AS901" s="82"/>
      <c r="AT901" s="82"/>
      <c r="AU901" s="82"/>
      <c r="AV901" s="82"/>
      <c r="AW901" s="82"/>
      <c r="AX901" s="82"/>
      <c r="AY901" s="81"/>
      <c r="AZ901" s="82"/>
      <c r="BA901" s="82"/>
      <c r="BB901" s="82"/>
      <c r="BC901" s="82"/>
      <c r="BD901" s="82"/>
      <c r="BE901" s="82"/>
      <c r="BF901" s="82"/>
      <c r="BG901" s="82"/>
      <c r="BH901" s="82"/>
      <c r="BI901" s="82"/>
    </row>
    <row r="902">
      <c r="K902" s="79"/>
      <c r="U902" s="79"/>
      <c r="AE902" s="79"/>
      <c r="AF902" s="82"/>
      <c r="AG902" s="82"/>
      <c r="AH902" s="82"/>
      <c r="AI902" s="82"/>
      <c r="AJ902" s="82"/>
      <c r="AK902" s="82"/>
      <c r="AL902" s="82"/>
      <c r="AM902" s="82"/>
      <c r="AN902" s="82"/>
      <c r="AO902" s="81"/>
      <c r="AP902" s="82"/>
      <c r="AQ902" s="82"/>
      <c r="AR902" s="82"/>
      <c r="AS902" s="82"/>
      <c r="AT902" s="82"/>
      <c r="AU902" s="82"/>
      <c r="AV902" s="82"/>
      <c r="AW902" s="82"/>
      <c r="AX902" s="82"/>
      <c r="AY902" s="81"/>
      <c r="AZ902" s="82"/>
      <c r="BA902" s="82"/>
      <c r="BB902" s="82"/>
      <c r="BC902" s="82"/>
      <c r="BD902" s="82"/>
      <c r="BE902" s="82"/>
      <c r="BF902" s="82"/>
      <c r="BG902" s="82"/>
      <c r="BH902" s="82"/>
      <c r="BI902" s="82"/>
    </row>
    <row r="903">
      <c r="K903" s="79"/>
      <c r="U903" s="79"/>
      <c r="AE903" s="79"/>
      <c r="AF903" s="82"/>
      <c r="AG903" s="82"/>
      <c r="AH903" s="82"/>
      <c r="AI903" s="82"/>
      <c r="AJ903" s="82"/>
      <c r="AK903" s="82"/>
      <c r="AL903" s="82"/>
      <c r="AM903" s="82"/>
      <c r="AN903" s="82"/>
      <c r="AO903" s="81"/>
      <c r="AP903" s="82"/>
      <c r="AQ903" s="82"/>
      <c r="AR903" s="82"/>
      <c r="AS903" s="82"/>
      <c r="AT903" s="82"/>
      <c r="AU903" s="82"/>
      <c r="AV903" s="82"/>
      <c r="AW903" s="82"/>
      <c r="AX903" s="82"/>
      <c r="AY903" s="81"/>
      <c r="AZ903" s="82"/>
      <c r="BA903" s="82"/>
      <c r="BB903" s="82"/>
      <c r="BC903" s="82"/>
      <c r="BD903" s="82"/>
      <c r="BE903" s="82"/>
      <c r="BF903" s="82"/>
      <c r="BG903" s="82"/>
      <c r="BH903" s="82"/>
      <c r="BI903" s="82"/>
    </row>
    <row r="904">
      <c r="K904" s="79"/>
      <c r="U904" s="79"/>
      <c r="AE904" s="79"/>
      <c r="AF904" s="82"/>
      <c r="AG904" s="82"/>
      <c r="AH904" s="82"/>
      <c r="AI904" s="82"/>
      <c r="AJ904" s="82"/>
      <c r="AK904" s="82"/>
      <c r="AL904" s="82"/>
      <c r="AM904" s="82"/>
      <c r="AN904" s="82"/>
      <c r="AO904" s="81"/>
      <c r="AP904" s="82"/>
      <c r="AQ904" s="82"/>
      <c r="AR904" s="82"/>
      <c r="AS904" s="82"/>
      <c r="AT904" s="82"/>
      <c r="AU904" s="82"/>
      <c r="AV904" s="82"/>
      <c r="AW904" s="82"/>
      <c r="AX904" s="82"/>
      <c r="AY904" s="81"/>
      <c r="AZ904" s="82"/>
      <c r="BA904" s="82"/>
      <c r="BB904" s="82"/>
      <c r="BC904" s="82"/>
      <c r="BD904" s="82"/>
      <c r="BE904" s="82"/>
      <c r="BF904" s="82"/>
      <c r="BG904" s="82"/>
      <c r="BH904" s="82"/>
      <c r="BI904" s="82"/>
    </row>
    <row r="905">
      <c r="K905" s="79"/>
      <c r="U905" s="79"/>
      <c r="AE905" s="79"/>
      <c r="AF905" s="82"/>
      <c r="AG905" s="82"/>
      <c r="AH905" s="82"/>
      <c r="AI905" s="82"/>
      <c r="AJ905" s="82"/>
      <c r="AK905" s="82"/>
      <c r="AL905" s="82"/>
      <c r="AM905" s="82"/>
      <c r="AN905" s="82"/>
      <c r="AO905" s="81"/>
      <c r="AP905" s="82"/>
      <c r="AQ905" s="82"/>
      <c r="AR905" s="82"/>
      <c r="AS905" s="82"/>
      <c r="AT905" s="82"/>
      <c r="AU905" s="82"/>
      <c r="AV905" s="82"/>
      <c r="AW905" s="82"/>
      <c r="AX905" s="82"/>
      <c r="AY905" s="81"/>
      <c r="AZ905" s="82"/>
      <c r="BA905" s="82"/>
      <c r="BB905" s="82"/>
      <c r="BC905" s="82"/>
      <c r="BD905" s="82"/>
      <c r="BE905" s="82"/>
      <c r="BF905" s="82"/>
      <c r="BG905" s="82"/>
      <c r="BH905" s="82"/>
      <c r="BI905" s="82"/>
    </row>
    <row r="906">
      <c r="K906" s="79"/>
      <c r="U906" s="79"/>
      <c r="AE906" s="79"/>
      <c r="AF906" s="82"/>
      <c r="AG906" s="82"/>
      <c r="AH906" s="82"/>
      <c r="AI906" s="82"/>
      <c r="AJ906" s="82"/>
      <c r="AK906" s="82"/>
      <c r="AL906" s="82"/>
      <c r="AM906" s="82"/>
      <c r="AN906" s="82"/>
      <c r="AO906" s="81"/>
      <c r="AP906" s="82"/>
      <c r="AQ906" s="82"/>
      <c r="AR906" s="82"/>
      <c r="AS906" s="82"/>
      <c r="AT906" s="82"/>
      <c r="AU906" s="82"/>
      <c r="AV906" s="82"/>
      <c r="AW906" s="82"/>
      <c r="AX906" s="82"/>
      <c r="AY906" s="81"/>
      <c r="AZ906" s="82"/>
      <c r="BA906" s="82"/>
      <c r="BB906" s="82"/>
      <c r="BC906" s="82"/>
      <c r="BD906" s="82"/>
      <c r="BE906" s="82"/>
      <c r="BF906" s="82"/>
      <c r="BG906" s="82"/>
      <c r="BH906" s="82"/>
      <c r="BI906" s="82"/>
    </row>
    <row r="907">
      <c r="K907" s="79"/>
      <c r="U907" s="79"/>
      <c r="AE907" s="79"/>
      <c r="AF907" s="82"/>
      <c r="AG907" s="82"/>
      <c r="AH907" s="82"/>
      <c r="AI907" s="82"/>
      <c r="AJ907" s="82"/>
      <c r="AK907" s="82"/>
      <c r="AL907" s="82"/>
      <c r="AM907" s="82"/>
      <c r="AN907" s="82"/>
      <c r="AO907" s="81"/>
      <c r="AP907" s="82"/>
      <c r="AQ907" s="82"/>
      <c r="AR907" s="82"/>
      <c r="AS907" s="82"/>
      <c r="AT907" s="82"/>
      <c r="AU907" s="82"/>
      <c r="AV907" s="82"/>
      <c r="AW907" s="82"/>
      <c r="AX907" s="82"/>
      <c r="AY907" s="81"/>
      <c r="AZ907" s="82"/>
      <c r="BA907" s="82"/>
      <c r="BB907" s="82"/>
      <c r="BC907" s="82"/>
      <c r="BD907" s="82"/>
      <c r="BE907" s="82"/>
      <c r="BF907" s="82"/>
      <c r="BG907" s="82"/>
      <c r="BH907" s="82"/>
      <c r="BI907" s="82"/>
    </row>
    <row r="908">
      <c r="K908" s="79"/>
      <c r="U908" s="79"/>
      <c r="AE908" s="79"/>
      <c r="AF908" s="82"/>
      <c r="AG908" s="82"/>
      <c r="AH908" s="82"/>
      <c r="AI908" s="82"/>
      <c r="AJ908" s="82"/>
      <c r="AK908" s="82"/>
      <c r="AL908" s="82"/>
      <c r="AM908" s="82"/>
      <c r="AN908" s="82"/>
      <c r="AO908" s="81"/>
      <c r="AP908" s="82"/>
      <c r="AQ908" s="82"/>
      <c r="AR908" s="82"/>
      <c r="AS908" s="82"/>
      <c r="AT908" s="82"/>
      <c r="AU908" s="82"/>
      <c r="AV908" s="82"/>
      <c r="AW908" s="82"/>
      <c r="AX908" s="82"/>
      <c r="AY908" s="81"/>
      <c r="AZ908" s="82"/>
      <c r="BA908" s="82"/>
      <c r="BB908" s="82"/>
      <c r="BC908" s="82"/>
      <c r="BD908" s="82"/>
      <c r="BE908" s="82"/>
      <c r="BF908" s="82"/>
      <c r="BG908" s="82"/>
      <c r="BH908" s="82"/>
      <c r="BI908" s="82"/>
    </row>
    <row r="909">
      <c r="K909" s="79"/>
      <c r="U909" s="79"/>
      <c r="AE909" s="79"/>
      <c r="AF909" s="82"/>
      <c r="AG909" s="82"/>
      <c r="AH909" s="82"/>
      <c r="AI909" s="82"/>
      <c r="AJ909" s="82"/>
      <c r="AK909" s="82"/>
      <c r="AL909" s="82"/>
      <c r="AM909" s="82"/>
      <c r="AN909" s="82"/>
      <c r="AO909" s="81"/>
      <c r="AP909" s="82"/>
      <c r="AQ909" s="82"/>
      <c r="AR909" s="82"/>
      <c r="AS909" s="82"/>
      <c r="AT909" s="82"/>
      <c r="AU909" s="82"/>
      <c r="AV909" s="82"/>
      <c r="AW909" s="82"/>
      <c r="AX909" s="82"/>
      <c r="AY909" s="81"/>
      <c r="AZ909" s="82"/>
      <c r="BA909" s="82"/>
      <c r="BB909" s="82"/>
      <c r="BC909" s="82"/>
      <c r="BD909" s="82"/>
      <c r="BE909" s="82"/>
      <c r="BF909" s="82"/>
      <c r="BG909" s="82"/>
      <c r="BH909" s="82"/>
      <c r="BI909" s="82"/>
    </row>
    <row r="910">
      <c r="K910" s="79"/>
      <c r="U910" s="79"/>
      <c r="AE910" s="79"/>
      <c r="AF910" s="82"/>
      <c r="AG910" s="82"/>
      <c r="AH910" s="82"/>
      <c r="AI910" s="82"/>
      <c r="AJ910" s="82"/>
      <c r="AK910" s="82"/>
      <c r="AL910" s="82"/>
      <c r="AM910" s="82"/>
      <c r="AN910" s="82"/>
      <c r="AO910" s="81"/>
      <c r="AP910" s="82"/>
      <c r="AQ910" s="82"/>
      <c r="AR910" s="82"/>
      <c r="AS910" s="82"/>
      <c r="AT910" s="82"/>
      <c r="AU910" s="82"/>
      <c r="AV910" s="82"/>
      <c r="AW910" s="82"/>
      <c r="AX910" s="82"/>
      <c r="AY910" s="81"/>
      <c r="AZ910" s="82"/>
      <c r="BA910" s="82"/>
      <c r="BB910" s="82"/>
      <c r="BC910" s="82"/>
      <c r="BD910" s="82"/>
      <c r="BE910" s="82"/>
      <c r="BF910" s="82"/>
      <c r="BG910" s="82"/>
      <c r="BH910" s="82"/>
      <c r="BI910" s="82"/>
    </row>
    <row r="911">
      <c r="K911" s="79"/>
      <c r="U911" s="79"/>
      <c r="AE911" s="79"/>
      <c r="AF911" s="82"/>
      <c r="AG911" s="82"/>
      <c r="AH911" s="82"/>
      <c r="AI911" s="82"/>
      <c r="AJ911" s="82"/>
      <c r="AK911" s="82"/>
      <c r="AL911" s="82"/>
      <c r="AM911" s="82"/>
      <c r="AN911" s="82"/>
      <c r="AO911" s="81"/>
      <c r="AP911" s="82"/>
      <c r="AQ911" s="82"/>
      <c r="AR911" s="82"/>
      <c r="AS911" s="82"/>
      <c r="AT911" s="82"/>
      <c r="AU911" s="82"/>
      <c r="AV911" s="82"/>
      <c r="AW911" s="82"/>
      <c r="AX911" s="82"/>
      <c r="AY911" s="81"/>
      <c r="AZ911" s="82"/>
      <c r="BA911" s="82"/>
      <c r="BB911" s="82"/>
      <c r="BC911" s="82"/>
      <c r="BD911" s="82"/>
      <c r="BE911" s="82"/>
      <c r="BF911" s="82"/>
      <c r="BG911" s="82"/>
      <c r="BH911" s="82"/>
      <c r="BI911" s="82"/>
    </row>
    <row r="912">
      <c r="K912" s="79"/>
      <c r="U912" s="79"/>
      <c r="AE912" s="79"/>
      <c r="AF912" s="82"/>
      <c r="AG912" s="82"/>
      <c r="AH912" s="82"/>
      <c r="AI912" s="82"/>
      <c r="AJ912" s="82"/>
      <c r="AK912" s="82"/>
      <c r="AL912" s="82"/>
      <c r="AM912" s="82"/>
      <c r="AN912" s="82"/>
      <c r="AO912" s="81"/>
      <c r="AP912" s="82"/>
      <c r="AQ912" s="82"/>
      <c r="AR912" s="82"/>
      <c r="AS912" s="82"/>
      <c r="AT912" s="82"/>
      <c r="AU912" s="82"/>
      <c r="AV912" s="82"/>
      <c r="AW912" s="82"/>
      <c r="AX912" s="82"/>
      <c r="AY912" s="81"/>
      <c r="AZ912" s="82"/>
      <c r="BA912" s="82"/>
      <c r="BB912" s="82"/>
      <c r="BC912" s="82"/>
      <c r="BD912" s="82"/>
      <c r="BE912" s="82"/>
      <c r="BF912" s="82"/>
      <c r="BG912" s="82"/>
      <c r="BH912" s="82"/>
      <c r="BI912" s="82"/>
    </row>
    <row r="913">
      <c r="K913" s="79"/>
      <c r="U913" s="79"/>
      <c r="AE913" s="79"/>
      <c r="AF913" s="82"/>
      <c r="AG913" s="82"/>
      <c r="AH913" s="82"/>
      <c r="AI913" s="82"/>
      <c r="AJ913" s="82"/>
      <c r="AK913" s="82"/>
      <c r="AL913" s="82"/>
      <c r="AM913" s="82"/>
      <c r="AN913" s="82"/>
      <c r="AO913" s="81"/>
      <c r="AP913" s="82"/>
      <c r="AQ913" s="82"/>
      <c r="AR913" s="82"/>
      <c r="AS913" s="82"/>
      <c r="AT913" s="82"/>
      <c r="AU913" s="82"/>
      <c r="AV913" s="82"/>
      <c r="AW913" s="82"/>
      <c r="AX913" s="82"/>
      <c r="AY913" s="81"/>
      <c r="AZ913" s="82"/>
      <c r="BA913" s="82"/>
      <c r="BB913" s="82"/>
      <c r="BC913" s="82"/>
      <c r="BD913" s="82"/>
      <c r="BE913" s="82"/>
      <c r="BF913" s="82"/>
      <c r="BG913" s="82"/>
      <c r="BH913" s="82"/>
      <c r="BI913" s="82"/>
    </row>
    <row r="914">
      <c r="K914" s="79"/>
      <c r="U914" s="79"/>
      <c r="AE914" s="79"/>
      <c r="AF914" s="82"/>
      <c r="AG914" s="82"/>
      <c r="AH914" s="82"/>
      <c r="AI914" s="82"/>
      <c r="AJ914" s="82"/>
      <c r="AK914" s="82"/>
      <c r="AL914" s="82"/>
      <c r="AM914" s="82"/>
      <c r="AN914" s="82"/>
      <c r="AO914" s="81"/>
      <c r="AP914" s="82"/>
      <c r="AQ914" s="82"/>
      <c r="AR914" s="82"/>
      <c r="AS914" s="82"/>
      <c r="AT914" s="82"/>
      <c r="AU914" s="82"/>
      <c r="AV914" s="82"/>
      <c r="AW914" s="82"/>
      <c r="AX914" s="82"/>
      <c r="AY914" s="81"/>
      <c r="AZ914" s="82"/>
      <c r="BA914" s="82"/>
      <c r="BB914" s="82"/>
      <c r="BC914" s="82"/>
      <c r="BD914" s="82"/>
      <c r="BE914" s="82"/>
      <c r="BF914" s="82"/>
      <c r="BG914" s="82"/>
      <c r="BH914" s="82"/>
      <c r="BI914" s="82"/>
    </row>
    <row r="915">
      <c r="K915" s="79"/>
      <c r="U915" s="79"/>
      <c r="AE915" s="79"/>
      <c r="AF915" s="82"/>
      <c r="AG915" s="82"/>
      <c r="AH915" s="82"/>
      <c r="AI915" s="82"/>
      <c r="AJ915" s="82"/>
      <c r="AK915" s="82"/>
      <c r="AL915" s="82"/>
      <c r="AM915" s="82"/>
      <c r="AN915" s="82"/>
      <c r="AO915" s="81"/>
      <c r="AP915" s="82"/>
      <c r="AQ915" s="82"/>
      <c r="AR915" s="82"/>
      <c r="AS915" s="82"/>
      <c r="AT915" s="82"/>
      <c r="AU915" s="82"/>
      <c r="AV915" s="82"/>
      <c r="AW915" s="82"/>
      <c r="AX915" s="82"/>
      <c r="AY915" s="81"/>
      <c r="AZ915" s="82"/>
      <c r="BA915" s="82"/>
      <c r="BB915" s="82"/>
      <c r="BC915" s="82"/>
      <c r="BD915" s="82"/>
      <c r="BE915" s="82"/>
      <c r="BF915" s="82"/>
      <c r="BG915" s="82"/>
      <c r="BH915" s="82"/>
      <c r="BI915" s="82"/>
    </row>
    <row r="916">
      <c r="K916" s="79"/>
      <c r="U916" s="79"/>
      <c r="AE916" s="79"/>
      <c r="AF916" s="82"/>
      <c r="AG916" s="82"/>
      <c r="AH916" s="82"/>
      <c r="AI916" s="82"/>
      <c r="AJ916" s="82"/>
      <c r="AK916" s="82"/>
      <c r="AL916" s="82"/>
      <c r="AM916" s="82"/>
      <c r="AN916" s="82"/>
      <c r="AO916" s="81"/>
      <c r="AP916" s="82"/>
      <c r="AQ916" s="82"/>
      <c r="AR916" s="82"/>
      <c r="AS916" s="82"/>
      <c r="AT916" s="82"/>
      <c r="AU916" s="82"/>
      <c r="AV916" s="82"/>
      <c r="AW916" s="82"/>
      <c r="AX916" s="82"/>
      <c r="AY916" s="81"/>
      <c r="AZ916" s="82"/>
      <c r="BA916" s="82"/>
      <c r="BB916" s="82"/>
      <c r="BC916" s="82"/>
      <c r="BD916" s="82"/>
      <c r="BE916" s="82"/>
      <c r="BF916" s="82"/>
      <c r="BG916" s="82"/>
      <c r="BH916" s="82"/>
      <c r="BI916" s="82"/>
    </row>
    <row r="917">
      <c r="K917" s="79"/>
      <c r="U917" s="79"/>
      <c r="AE917" s="79"/>
      <c r="AF917" s="82"/>
      <c r="AG917" s="82"/>
      <c r="AH917" s="82"/>
      <c r="AI917" s="82"/>
      <c r="AJ917" s="82"/>
      <c r="AK917" s="82"/>
      <c r="AL917" s="82"/>
      <c r="AM917" s="82"/>
      <c r="AN917" s="82"/>
      <c r="AO917" s="81"/>
      <c r="AP917" s="82"/>
      <c r="AQ917" s="82"/>
      <c r="AR917" s="82"/>
      <c r="AS917" s="82"/>
      <c r="AT917" s="82"/>
      <c r="AU917" s="82"/>
      <c r="AV917" s="82"/>
      <c r="AW917" s="82"/>
      <c r="AX917" s="82"/>
      <c r="AY917" s="81"/>
      <c r="AZ917" s="82"/>
      <c r="BA917" s="82"/>
      <c r="BB917" s="82"/>
      <c r="BC917" s="82"/>
      <c r="BD917" s="82"/>
      <c r="BE917" s="82"/>
      <c r="BF917" s="82"/>
      <c r="BG917" s="82"/>
      <c r="BH917" s="82"/>
      <c r="BI917" s="82"/>
    </row>
    <row r="918">
      <c r="K918" s="79"/>
      <c r="U918" s="79"/>
      <c r="AE918" s="79"/>
      <c r="AF918" s="82"/>
      <c r="AG918" s="82"/>
      <c r="AH918" s="82"/>
      <c r="AI918" s="82"/>
      <c r="AJ918" s="82"/>
      <c r="AK918" s="82"/>
      <c r="AL918" s="82"/>
      <c r="AM918" s="82"/>
      <c r="AN918" s="82"/>
      <c r="AO918" s="81"/>
      <c r="AP918" s="82"/>
      <c r="AQ918" s="82"/>
      <c r="AR918" s="82"/>
      <c r="AS918" s="82"/>
      <c r="AT918" s="82"/>
      <c r="AU918" s="82"/>
      <c r="AV918" s="82"/>
      <c r="AW918" s="82"/>
      <c r="AX918" s="82"/>
      <c r="AY918" s="81"/>
      <c r="AZ918" s="82"/>
      <c r="BA918" s="82"/>
      <c r="BB918" s="82"/>
      <c r="BC918" s="82"/>
      <c r="BD918" s="82"/>
      <c r="BE918" s="82"/>
      <c r="BF918" s="82"/>
      <c r="BG918" s="82"/>
      <c r="BH918" s="82"/>
      <c r="BI918" s="82"/>
    </row>
    <row r="919">
      <c r="K919" s="79"/>
      <c r="U919" s="79"/>
      <c r="AE919" s="79"/>
      <c r="AF919" s="82"/>
      <c r="AG919" s="82"/>
      <c r="AH919" s="82"/>
      <c r="AI919" s="82"/>
      <c r="AJ919" s="82"/>
      <c r="AK919" s="82"/>
      <c r="AL919" s="82"/>
      <c r="AM919" s="82"/>
      <c r="AN919" s="82"/>
      <c r="AO919" s="81"/>
      <c r="AP919" s="82"/>
      <c r="AQ919" s="82"/>
      <c r="AR919" s="82"/>
      <c r="AS919" s="82"/>
      <c r="AT919" s="82"/>
      <c r="AU919" s="82"/>
      <c r="AV919" s="82"/>
      <c r="AW919" s="82"/>
      <c r="AX919" s="82"/>
      <c r="AY919" s="81"/>
      <c r="AZ919" s="82"/>
      <c r="BA919" s="82"/>
      <c r="BB919" s="82"/>
      <c r="BC919" s="82"/>
      <c r="BD919" s="82"/>
      <c r="BE919" s="82"/>
      <c r="BF919" s="82"/>
      <c r="BG919" s="82"/>
      <c r="BH919" s="82"/>
      <c r="BI919" s="82"/>
    </row>
    <row r="920">
      <c r="K920" s="79"/>
      <c r="U920" s="79"/>
      <c r="AE920" s="79"/>
      <c r="AF920" s="82"/>
      <c r="AG920" s="82"/>
      <c r="AH920" s="82"/>
      <c r="AI920" s="82"/>
      <c r="AJ920" s="82"/>
      <c r="AK920" s="82"/>
      <c r="AL920" s="82"/>
      <c r="AM920" s="82"/>
      <c r="AN920" s="82"/>
      <c r="AO920" s="81"/>
      <c r="AP920" s="82"/>
      <c r="AQ920" s="82"/>
      <c r="AR920" s="82"/>
      <c r="AS920" s="82"/>
      <c r="AT920" s="82"/>
      <c r="AU920" s="82"/>
      <c r="AV920" s="82"/>
      <c r="AW920" s="82"/>
      <c r="AX920" s="82"/>
      <c r="AY920" s="81"/>
      <c r="AZ920" s="82"/>
      <c r="BA920" s="82"/>
      <c r="BB920" s="82"/>
      <c r="BC920" s="82"/>
      <c r="BD920" s="82"/>
      <c r="BE920" s="82"/>
      <c r="BF920" s="82"/>
      <c r="BG920" s="82"/>
      <c r="BH920" s="82"/>
      <c r="BI920" s="82"/>
    </row>
    <row r="921">
      <c r="K921" s="79"/>
      <c r="U921" s="79"/>
      <c r="AE921" s="79"/>
      <c r="AF921" s="82"/>
      <c r="AG921" s="82"/>
      <c r="AH921" s="82"/>
      <c r="AI921" s="82"/>
      <c r="AJ921" s="82"/>
      <c r="AK921" s="82"/>
      <c r="AL921" s="82"/>
      <c r="AM921" s="82"/>
      <c r="AN921" s="82"/>
      <c r="AO921" s="81"/>
      <c r="AP921" s="82"/>
      <c r="AQ921" s="82"/>
      <c r="AR921" s="82"/>
      <c r="AS921" s="82"/>
      <c r="AT921" s="82"/>
      <c r="AU921" s="82"/>
      <c r="AV921" s="82"/>
      <c r="AW921" s="82"/>
      <c r="AX921" s="82"/>
      <c r="AY921" s="81"/>
      <c r="AZ921" s="82"/>
      <c r="BA921" s="82"/>
      <c r="BB921" s="82"/>
      <c r="BC921" s="82"/>
      <c r="BD921" s="82"/>
      <c r="BE921" s="82"/>
      <c r="BF921" s="82"/>
      <c r="BG921" s="82"/>
      <c r="BH921" s="82"/>
      <c r="BI921" s="82"/>
    </row>
    <row r="922">
      <c r="K922" s="79"/>
      <c r="U922" s="79"/>
      <c r="AE922" s="79"/>
      <c r="AF922" s="82"/>
      <c r="AG922" s="82"/>
      <c r="AH922" s="82"/>
      <c r="AI922" s="82"/>
      <c r="AJ922" s="82"/>
      <c r="AK922" s="82"/>
      <c r="AL922" s="82"/>
      <c r="AM922" s="82"/>
      <c r="AN922" s="82"/>
      <c r="AO922" s="81"/>
      <c r="AP922" s="82"/>
      <c r="AQ922" s="82"/>
      <c r="AR922" s="82"/>
      <c r="AS922" s="82"/>
      <c r="AT922" s="82"/>
      <c r="AU922" s="82"/>
      <c r="AV922" s="82"/>
      <c r="AW922" s="82"/>
      <c r="AX922" s="82"/>
      <c r="AY922" s="81"/>
      <c r="AZ922" s="82"/>
      <c r="BA922" s="82"/>
      <c r="BB922" s="82"/>
      <c r="BC922" s="82"/>
      <c r="BD922" s="82"/>
      <c r="BE922" s="82"/>
      <c r="BF922" s="82"/>
      <c r="BG922" s="82"/>
      <c r="BH922" s="82"/>
      <c r="BI922" s="82"/>
    </row>
    <row r="923">
      <c r="K923" s="79"/>
      <c r="U923" s="79"/>
      <c r="AE923" s="79"/>
      <c r="AF923" s="82"/>
      <c r="AG923" s="82"/>
      <c r="AH923" s="82"/>
      <c r="AI923" s="82"/>
      <c r="AJ923" s="82"/>
      <c r="AK923" s="82"/>
      <c r="AL923" s="82"/>
      <c r="AM923" s="82"/>
      <c r="AN923" s="82"/>
      <c r="AO923" s="81"/>
      <c r="AP923" s="82"/>
      <c r="AQ923" s="82"/>
      <c r="AR923" s="82"/>
      <c r="AS923" s="82"/>
      <c r="AT923" s="82"/>
      <c r="AU923" s="82"/>
      <c r="AV923" s="82"/>
      <c r="AW923" s="82"/>
      <c r="AX923" s="82"/>
      <c r="AY923" s="81"/>
      <c r="AZ923" s="82"/>
      <c r="BA923" s="82"/>
      <c r="BB923" s="82"/>
      <c r="BC923" s="82"/>
      <c r="BD923" s="82"/>
      <c r="BE923" s="82"/>
      <c r="BF923" s="82"/>
      <c r="BG923" s="82"/>
      <c r="BH923" s="82"/>
      <c r="BI923" s="82"/>
    </row>
    <row r="924">
      <c r="K924" s="79"/>
      <c r="U924" s="79"/>
      <c r="AE924" s="79"/>
      <c r="AF924" s="82"/>
      <c r="AG924" s="82"/>
      <c r="AH924" s="82"/>
      <c r="AI924" s="82"/>
      <c r="AJ924" s="82"/>
      <c r="AK924" s="82"/>
      <c r="AL924" s="82"/>
      <c r="AM924" s="82"/>
      <c r="AN924" s="82"/>
      <c r="AO924" s="81"/>
      <c r="AP924" s="82"/>
      <c r="AQ924" s="82"/>
      <c r="AR924" s="82"/>
      <c r="AS924" s="82"/>
      <c r="AT924" s="82"/>
      <c r="AU924" s="82"/>
      <c r="AV924" s="82"/>
      <c r="AW924" s="82"/>
      <c r="AX924" s="82"/>
      <c r="AY924" s="81"/>
      <c r="AZ924" s="82"/>
      <c r="BA924" s="82"/>
      <c r="BB924" s="82"/>
      <c r="BC924" s="82"/>
      <c r="BD924" s="82"/>
      <c r="BE924" s="82"/>
      <c r="BF924" s="82"/>
      <c r="BG924" s="82"/>
      <c r="BH924" s="82"/>
      <c r="BI924" s="82"/>
    </row>
    <row r="925">
      <c r="K925" s="79"/>
      <c r="U925" s="79"/>
      <c r="AE925" s="79"/>
      <c r="AF925" s="82"/>
      <c r="AG925" s="82"/>
      <c r="AH925" s="82"/>
      <c r="AI925" s="82"/>
      <c r="AJ925" s="82"/>
      <c r="AK925" s="82"/>
      <c r="AL925" s="82"/>
      <c r="AM925" s="82"/>
      <c r="AN925" s="82"/>
      <c r="AO925" s="81"/>
      <c r="AP925" s="82"/>
      <c r="AQ925" s="82"/>
      <c r="AR925" s="82"/>
      <c r="AS925" s="82"/>
      <c r="AT925" s="82"/>
      <c r="AU925" s="82"/>
      <c r="AV925" s="82"/>
      <c r="AW925" s="82"/>
      <c r="AX925" s="82"/>
      <c r="AY925" s="81"/>
      <c r="AZ925" s="82"/>
      <c r="BA925" s="82"/>
      <c r="BB925" s="82"/>
      <c r="BC925" s="82"/>
      <c r="BD925" s="82"/>
      <c r="BE925" s="82"/>
      <c r="BF925" s="82"/>
      <c r="BG925" s="82"/>
      <c r="BH925" s="82"/>
      <c r="BI925" s="82"/>
    </row>
    <row r="926">
      <c r="K926" s="79"/>
      <c r="U926" s="79"/>
      <c r="AE926" s="79"/>
      <c r="AF926" s="82"/>
      <c r="AG926" s="82"/>
      <c r="AH926" s="82"/>
      <c r="AI926" s="82"/>
      <c r="AJ926" s="82"/>
      <c r="AK926" s="82"/>
      <c r="AL926" s="82"/>
      <c r="AM926" s="82"/>
      <c r="AN926" s="82"/>
      <c r="AO926" s="81"/>
      <c r="AP926" s="82"/>
      <c r="AQ926" s="82"/>
      <c r="AR926" s="82"/>
      <c r="AS926" s="82"/>
      <c r="AT926" s="82"/>
      <c r="AU926" s="82"/>
      <c r="AV926" s="82"/>
      <c r="AW926" s="82"/>
      <c r="AX926" s="82"/>
      <c r="AY926" s="81"/>
      <c r="AZ926" s="82"/>
      <c r="BA926" s="82"/>
      <c r="BB926" s="82"/>
      <c r="BC926" s="82"/>
      <c r="BD926" s="82"/>
      <c r="BE926" s="82"/>
      <c r="BF926" s="82"/>
      <c r="BG926" s="82"/>
      <c r="BH926" s="82"/>
      <c r="BI926" s="82"/>
    </row>
    <row r="927">
      <c r="K927" s="79"/>
      <c r="U927" s="79"/>
      <c r="AE927" s="79"/>
      <c r="AF927" s="82"/>
      <c r="AG927" s="82"/>
      <c r="AH927" s="82"/>
      <c r="AI927" s="82"/>
      <c r="AJ927" s="82"/>
      <c r="AK927" s="82"/>
      <c r="AL927" s="82"/>
      <c r="AM927" s="82"/>
      <c r="AN927" s="82"/>
      <c r="AO927" s="81"/>
      <c r="AP927" s="82"/>
      <c r="AQ927" s="82"/>
      <c r="AR927" s="82"/>
      <c r="AS927" s="82"/>
      <c r="AT927" s="82"/>
      <c r="AU927" s="82"/>
      <c r="AV927" s="82"/>
      <c r="AW927" s="82"/>
      <c r="AX927" s="82"/>
      <c r="AY927" s="81"/>
      <c r="AZ927" s="82"/>
      <c r="BA927" s="82"/>
      <c r="BB927" s="82"/>
      <c r="BC927" s="82"/>
      <c r="BD927" s="82"/>
      <c r="BE927" s="82"/>
      <c r="BF927" s="82"/>
      <c r="BG927" s="82"/>
      <c r="BH927" s="82"/>
      <c r="BI927" s="82"/>
    </row>
    <row r="928">
      <c r="K928" s="79"/>
      <c r="U928" s="79"/>
      <c r="AE928" s="79"/>
      <c r="AF928" s="82"/>
      <c r="AG928" s="82"/>
      <c r="AH928" s="82"/>
      <c r="AI928" s="82"/>
      <c r="AJ928" s="82"/>
      <c r="AK928" s="82"/>
      <c r="AL928" s="82"/>
      <c r="AM928" s="82"/>
      <c r="AN928" s="82"/>
      <c r="AO928" s="81"/>
      <c r="AP928" s="82"/>
      <c r="AQ928" s="82"/>
      <c r="AR928" s="82"/>
      <c r="AS928" s="82"/>
      <c r="AT928" s="82"/>
      <c r="AU928" s="82"/>
      <c r="AV928" s="82"/>
      <c r="AW928" s="82"/>
      <c r="AX928" s="82"/>
      <c r="AY928" s="81"/>
      <c r="AZ928" s="82"/>
      <c r="BA928" s="82"/>
      <c r="BB928" s="82"/>
      <c r="BC928" s="82"/>
      <c r="BD928" s="82"/>
      <c r="BE928" s="82"/>
      <c r="BF928" s="82"/>
      <c r="BG928" s="82"/>
      <c r="BH928" s="82"/>
      <c r="BI928" s="82"/>
    </row>
    <row r="929">
      <c r="K929" s="79"/>
      <c r="U929" s="79"/>
      <c r="AE929" s="79"/>
      <c r="AF929" s="82"/>
      <c r="AG929" s="82"/>
      <c r="AH929" s="82"/>
      <c r="AI929" s="82"/>
      <c r="AJ929" s="82"/>
      <c r="AK929" s="82"/>
      <c r="AL929" s="82"/>
      <c r="AM929" s="82"/>
      <c r="AN929" s="82"/>
      <c r="AO929" s="81"/>
      <c r="AP929" s="82"/>
      <c r="AQ929" s="82"/>
      <c r="AR929" s="82"/>
      <c r="AS929" s="82"/>
      <c r="AT929" s="82"/>
      <c r="AU929" s="82"/>
      <c r="AV929" s="82"/>
      <c r="AW929" s="82"/>
      <c r="AX929" s="82"/>
      <c r="AY929" s="81"/>
      <c r="AZ929" s="82"/>
      <c r="BA929" s="82"/>
      <c r="BB929" s="82"/>
      <c r="BC929" s="82"/>
      <c r="BD929" s="82"/>
      <c r="BE929" s="82"/>
      <c r="BF929" s="82"/>
      <c r="BG929" s="82"/>
      <c r="BH929" s="82"/>
      <c r="BI929" s="82"/>
    </row>
    <row r="930">
      <c r="K930" s="79"/>
      <c r="U930" s="79"/>
      <c r="AE930" s="79"/>
      <c r="AF930" s="82"/>
      <c r="AG930" s="82"/>
      <c r="AH930" s="82"/>
      <c r="AI930" s="82"/>
      <c r="AJ930" s="82"/>
      <c r="AK930" s="82"/>
      <c r="AL930" s="82"/>
      <c r="AM930" s="82"/>
      <c r="AN930" s="82"/>
      <c r="AO930" s="81"/>
      <c r="AP930" s="82"/>
      <c r="AQ930" s="82"/>
      <c r="AR930" s="82"/>
      <c r="AS930" s="82"/>
      <c r="AT930" s="82"/>
      <c r="AU930" s="82"/>
      <c r="AV930" s="82"/>
      <c r="AW930" s="82"/>
      <c r="AX930" s="82"/>
      <c r="AY930" s="81"/>
      <c r="AZ930" s="82"/>
      <c r="BA930" s="82"/>
      <c r="BB930" s="82"/>
      <c r="BC930" s="82"/>
      <c r="BD930" s="82"/>
      <c r="BE930" s="82"/>
      <c r="BF930" s="82"/>
      <c r="BG930" s="82"/>
      <c r="BH930" s="82"/>
      <c r="BI930" s="82"/>
    </row>
    <row r="931">
      <c r="K931" s="79"/>
      <c r="U931" s="79"/>
      <c r="AE931" s="79"/>
      <c r="AF931" s="82"/>
      <c r="AG931" s="82"/>
      <c r="AH931" s="82"/>
      <c r="AI931" s="82"/>
      <c r="AJ931" s="82"/>
      <c r="AK931" s="82"/>
      <c r="AL931" s="82"/>
      <c r="AM931" s="82"/>
      <c r="AN931" s="82"/>
      <c r="AO931" s="81"/>
      <c r="AP931" s="82"/>
      <c r="AQ931" s="82"/>
      <c r="AR931" s="82"/>
      <c r="AS931" s="82"/>
      <c r="AT931" s="82"/>
      <c r="AU931" s="82"/>
      <c r="AV931" s="82"/>
      <c r="AW931" s="82"/>
      <c r="AX931" s="82"/>
      <c r="AY931" s="81"/>
      <c r="AZ931" s="82"/>
      <c r="BA931" s="82"/>
      <c r="BB931" s="82"/>
      <c r="BC931" s="82"/>
      <c r="BD931" s="82"/>
      <c r="BE931" s="82"/>
      <c r="BF931" s="82"/>
      <c r="BG931" s="82"/>
      <c r="BH931" s="82"/>
      <c r="BI931" s="82"/>
    </row>
    <row r="932">
      <c r="K932" s="79"/>
      <c r="U932" s="79"/>
      <c r="AE932" s="79"/>
      <c r="AF932" s="82"/>
      <c r="AG932" s="82"/>
      <c r="AH932" s="82"/>
      <c r="AI932" s="82"/>
      <c r="AJ932" s="82"/>
      <c r="AK932" s="82"/>
      <c r="AL932" s="82"/>
      <c r="AM932" s="82"/>
      <c r="AN932" s="82"/>
      <c r="AO932" s="81"/>
      <c r="AP932" s="82"/>
      <c r="AQ932" s="82"/>
      <c r="AR932" s="82"/>
      <c r="AS932" s="82"/>
      <c r="AT932" s="82"/>
      <c r="AU932" s="82"/>
      <c r="AV932" s="82"/>
      <c r="AW932" s="82"/>
      <c r="AX932" s="82"/>
      <c r="AY932" s="81"/>
      <c r="AZ932" s="82"/>
      <c r="BA932" s="82"/>
      <c r="BB932" s="82"/>
      <c r="BC932" s="82"/>
      <c r="BD932" s="82"/>
      <c r="BE932" s="82"/>
      <c r="BF932" s="82"/>
      <c r="BG932" s="82"/>
      <c r="BH932" s="82"/>
      <c r="BI932" s="82"/>
    </row>
    <row r="933">
      <c r="K933" s="79"/>
      <c r="U933" s="79"/>
      <c r="AE933" s="79"/>
      <c r="AF933" s="82"/>
      <c r="AG933" s="82"/>
      <c r="AH933" s="82"/>
      <c r="AI933" s="82"/>
      <c r="AJ933" s="82"/>
      <c r="AK933" s="82"/>
      <c r="AL933" s="82"/>
      <c r="AM933" s="82"/>
      <c r="AN933" s="82"/>
      <c r="AO933" s="81"/>
      <c r="AP933" s="82"/>
      <c r="AQ933" s="82"/>
      <c r="AR933" s="82"/>
      <c r="AS933" s="82"/>
      <c r="AT933" s="82"/>
      <c r="AU933" s="82"/>
      <c r="AV933" s="82"/>
      <c r="AW933" s="82"/>
      <c r="AX933" s="82"/>
      <c r="AY933" s="81"/>
      <c r="AZ933" s="82"/>
      <c r="BA933" s="82"/>
      <c r="BB933" s="82"/>
      <c r="BC933" s="82"/>
      <c r="BD933" s="82"/>
      <c r="BE933" s="82"/>
      <c r="BF933" s="82"/>
      <c r="BG933" s="82"/>
      <c r="BH933" s="82"/>
      <c r="BI933" s="82"/>
    </row>
    <row r="934">
      <c r="K934" s="79"/>
      <c r="U934" s="79"/>
      <c r="AE934" s="79"/>
      <c r="AF934" s="82"/>
      <c r="AG934" s="82"/>
      <c r="AH934" s="82"/>
      <c r="AI934" s="82"/>
      <c r="AJ934" s="82"/>
      <c r="AK934" s="82"/>
      <c r="AL934" s="82"/>
      <c r="AM934" s="82"/>
      <c r="AN934" s="82"/>
      <c r="AO934" s="81"/>
      <c r="AP934" s="82"/>
      <c r="AQ934" s="82"/>
      <c r="AR934" s="82"/>
      <c r="AS934" s="82"/>
      <c r="AT934" s="82"/>
      <c r="AU934" s="82"/>
      <c r="AV934" s="82"/>
      <c r="AW934" s="82"/>
      <c r="AX934" s="82"/>
      <c r="AY934" s="81"/>
      <c r="AZ934" s="82"/>
      <c r="BA934" s="82"/>
      <c r="BB934" s="82"/>
      <c r="BC934" s="82"/>
      <c r="BD934" s="82"/>
      <c r="BE934" s="82"/>
      <c r="BF934" s="82"/>
      <c r="BG934" s="82"/>
      <c r="BH934" s="82"/>
      <c r="BI934" s="82"/>
    </row>
    <row r="935">
      <c r="K935" s="79"/>
      <c r="U935" s="79"/>
      <c r="AE935" s="79"/>
      <c r="AF935" s="82"/>
      <c r="AG935" s="82"/>
      <c r="AH935" s="82"/>
      <c r="AI935" s="82"/>
      <c r="AJ935" s="82"/>
      <c r="AK935" s="82"/>
      <c r="AL935" s="82"/>
      <c r="AM935" s="82"/>
      <c r="AN935" s="82"/>
      <c r="AO935" s="81"/>
      <c r="AP935" s="82"/>
      <c r="AQ935" s="82"/>
      <c r="AR935" s="82"/>
      <c r="AS935" s="82"/>
      <c r="AT935" s="82"/>
      <c r="AU935" s="82"/>
      <c r="AV935" s="82"/>
      <c r="AW935" s="82"/>
      <c r="AX935" s="82"/>
      <c r="AY935" s="81"/>
      <c r="AZ935" s="82"/>
      <c r="BA935" s="82"/>
      <c r="BB935" s="82"/>
      <c r="BC935" s="82"/>
      <c r="BD935" s="82"/>
      <c r="BE935" s="82"/>
      <c r="BF935" s="82"/>
      <c r="BG935" s="82"/>
      <c r="BH935" s="82"/>
      <c r="BI935" s="82"/>
    </row>
    <row r="936">
      <c r="K936" s="79"/>
      <c r="U936" s="79"/>
      <c r="AE936" s="79"/>
      <c r="AF936" s="82"/>
      <c r="AG936" s="82"/>
      <c r="AH936" s="82"/>
      <c r="AI936" s="82"/>
      <c r="AJ936" s="82"/>
      <c r="AK936" s="82"/>
      <c r="AL936" s="82"/>
      <c r="AM936" s="82"/>
      <c r="AN936" s="82"/>
      <c r="AO936" s="81"/>
      <c r="AP936" s="82"/>
      <c r="AQ936" s="82"/>
      <c r="AR936" s="82"/>
      <c r="AS936" s="82"/>
      <c r="AT936" s="82"/>
      <c r="AU936" s="82"/>
      <c r="AV936" s="82"/>
      <c r="AW936" s="82"/>
      <c r="AX936" s="82"/>
      <c r="AY936" s="81"/>
      <c r="AZ936" s="82"/>
      <c r="BA936" s="82"/>
      <c r="BB936" s="82"/>
      <c r="BC936" s="82"/>
      <c r="BD936" s="82"/>
      <c r="BE936" s="82"/>
      <c r="BF936" s="82"/>
      <c r="BG936" s="82"/>
      <c r="BH936" s="82"/>
      <c r="BI936" s="82"/>
    </row>
    <row r="937">
      <c r="K937" s="79"/>
      <c r="U937" s="79"/>
      <c r="AE937" s="79"/>
      <c r="AF937" s="82"/>
      <c r="AG937" s="82"/>
      <c r="AH937" s="82"/>
      <c r="AI937" s="82"/>
      <c r="AJ937" s="82"/>
      <c r="AK937" s="82"/>
      <c r="AL937" s="82"/>
      <c r="AM937" s="82"/>
      <c r="AN937" s="82"/>
      <c r="AO937" s="81"/>
      <c r="AP937" s="82"/>
      <c r="AQ937" s="82"/>
      <c r="AR937" s="82"/>
      <c r="AS937" s="82"/>
      <c r="AT937" s="82"/>
      <c r="AU937" s="82"/>
      <c r="AV937" s="82"/>
      <c r="AW937" s="82"/>
      <c r="AX937" s="82"/>
      <c r="AY937" s="81"/>
      <c r="AZ937" s="82"/>
      <c r="BA937" s="82"/>
      <c r="BB937" s="82"/>
      <c r="BC937" s="82"/>
      <c r="BD937" s="82"/>
      <c r="BE937" s="82"/>
      <c r="BF937" s="82"/>
      <c r="BG937" s="82"/>
      <c r="BH937" s="82"/>
      <c r="BI937" s="82"/>
    </row>
    <row r="938">
      <c r="K938" s="79"/>
      <c r="U938" s="79"/>
      <c r="AE938" s="79"/>
      <c r="AF938" s="82"/>
      <c r="AG938" s="82"/>
      <c r="AH938" s="82"/>
      <c r="AI938" s="82"/>
      <c r="AJ938" s="82"/>
      <c r="AK938" s="82"/>
      <c r="AL938" s="82"/>
      <c r="AM938" s="82"/>
      <c r="AN938" s="82"/>
      <c r="AO938" s="81"/>
      <c r="AP938" s="82"/>
      <c r="AQ938" s="82"/>
      <c r="AR938" s="82"/>
      <c r="AS938" s="82"/>
      <c r="AT938" s="82"/>
      <c r="AU938" s="82"/>
      <c r="AV938" s="82"/>
      <c r="AW938" s="82"/>
      <c r="AX938" s="82"/>
      <c r="AY938" s="81"/>
      <c r="AZ938" s="82"/>
      <c r="BA938" s="82"/>
      <c r="BB938" s="82"/>
      <c r="BC938" s="82"/>
      <c r="BD938" s="82"/>
      <c r="BE938" s="82"/>
      <c r="BF938" s="82"/>
      <c r="BG938" s="82"/>
      <c r="BH938" s="82"/>
      <c r="BI938" s="82"/>
    </row>
    <row r="939">
      <c r="K939" s="79"/>
      <c r="U939" s="79"/>
      <c r="AE939" s="79"/>
      <c r="AF939" s="82"/>
      <c r="AG939" s="82"/>
      <c r="AH939" s="82"/>
      <c r="AI939" s="82"/>
      <c r="AJ939" s="82"/>
      <c r="AK939" s="82"/>
      <c r="AL939" s="82"/>
      <c r="AM939" s="82"/>
      <c r="AN939" s="82"/>
      <c r="AO939" s="81"/>
      <c r="AP939" s="82"/>
      <c r="AQ939" s="82"/>
      <c r="AR939" s="82"/>
      <c r="AS939" s="82"/>
      <c r="AT939" s="82"/>
      <c r="AU939" s="82"/>
      <c r="AV939" s="82"/>
      <c r="AW939" s="82"/>
      <c r="AX939" s="82"/>
      <c r="AY939" s="81"/>
      <c r="AZ939" s="82"/>
      <c r="BA939" s="82"/>
      <c r="BB939" s="82"/>
      <c r="BC939" s="82"/>
      <c r="BD939" s="82"/>
      <c r="BE939" s="82"/>
      <c r="BF939" s="82"/>
      <c r="BG939" s="82"/>
      <c r="BH939" s="82"/>
      <c r="BI939" s="82"/>
    </row>
    <row r="940">
      <c r="K940" s="79"/>
      <c r="U940" s="79"/>
      <c r="AE940" s="79"/>
      <c r="AF940" s="82"/>
      <c r="AG940" s="82"/>
      <c r="AH940" s="82"/>
      <c r="AI940" s="82"/>
      <c r="AJ940" s="82"/>
      <c r="AK940" s="82"/>
      <c r="AL940" s="82"/>
      <c r="AM940" s="82"/>
      <c r="AN940" s="82"/>
      <c r="AO940" s="81"/>
      <c r="AP940" s="82"/>
      <c r="AQ940" s="82"/>
      <c r="AR940" s="82"/>
      <c r="AS940" s="82"/>
      <c r="AT940" s="82"/>
      <c r="AU940" s="82"/>
      <c r="AV940" s="82"/>
      <c r="AW940" s="82"/>
      <c r="AX940" s="82"/>
      <c r="AY940" s="81"/>
      <c r="AZ940" s="82"/>
      <c r="BA940" s="82"/>
      <c r="BB940" s="82"/>
      <c r="BC940" s="82"/>
      <c r="BD940" s="82"/>
      <c r="BE940" s="82"/>
      <c r="BF940" s="82"/>
      <c r="BG940" s="82"/>
      <c r="BH940" s="82"/>
      <c r="BI940" s="82"/>
    </row>
    <row r="941">
      <c r="K941" s="79"/>
      <c r="U941" s="79"/>
      <c r="AE941" s="79"/>
      <c r="AF941" s="82"/>
      <c r="AG941" s="82"/>
      <c r="AH941" s="82"/>
      <c r="AI941" s="82"/>
      <c r="AJ941" s="82"/>
      <c r="AK941" s="82"/>
      <c r="AL941" s="82"/>
      <c r="AM941" s="82"/>
      <c r="AN941" s="82"/>
      <c r="AO941" s="81"/>
      <c r="AP941" s="82"/>
      <c r="AQ941" s="82"/>
      <c r="AR941" s="82"/>
      <c r="AS941" s="82"/>
      <c r="AT941" s="82"/>
      <c r="AU941" s="82"/>
      <c r="AV941" s="82"/>
      <c r="AW941" s="82"/>
      <c r="AX941" s="82"/>
      <c r="AY941" s="81"/>
      <c r="AZ941" s="82"/>
      <c r="BA941" s="82"/>
      <c r="BB941" s="82"/>
      <c r="BC941" s="82"/>
      <c r="BD941" s="82"/>
      <c r="BE941" s="82"/>
      <c r="BF941" s="82"/>
      <c r="BG941" s="82"/>
      <c r="BH941" s="82"/>
      <c r="BI941" s="82"/>
    </row>
    <row r="942">
      <c r="K942" s="79"/>
      <c r="U942" s="79"/>
      <c r="AE942" s="79"/>
      <c r="AF942" s="82"/>
      <c r="AG942" s="82"/>
      <c r="AH942" s="82"/>
      <c r="AI942" s="82"/>
      <c r="AJ942" s="82"/>
      <c r="AK942" s="82"/>
      <c r="AL942" s="82"/>
      <c r="AM942" s="82"/>
      <c r="AN942" s="82"/>
      <c r="AO942" s="81"/>
      <c r="AP942" s="82"/>
      <c r="AQ942" s="82"/>
      <c r="AR942" s="82"/>
      <c r="AS942" s="82"/>
      <c r="AT942" s="82"/>
      <c r="AU942" s="82"/>
      <c r="AV942" s="82"/>
      <c r="AW942" s="82"/>
      <c r="AX942" s="82"/>
      <c r="AY942" s="81"/>
      <c r="AZ942" s="82"/>
      <c r="BA942" s="82"/>
      <c r="BB942" s="82"/>
      <c r="BC942" s="82"/>
      <c r="BD942" s="82"/>
      <c r="BE942" s="82"/>
      <c r="BF942" s="82"/>
      <c r="BG942" s="82"/>
      <c r="BH942" s="82"/>
      <c r="BI942" s="82"/>
    </row>
    <row r="943">
      <c r="K943" s="79"/>
      <c r="U943" s="79"/>
      <c r="AE943" s="79"/>
      <c r="AF943" s="82"/>
      <c r="AG943" s="82"/>
      <c r="AH943" s="82"/>
      <c r="AI943" s="82"/>
      <c r="AJ943" s="82"/>
      <c r="AK943" s="82"/>
      <c r="AL943" s="82"/>
      <c r="AM943" s="82"/>
      <c r="AN943" s="82"/>
      <c r="AO943" s="81"/>
      <c r="AP943" s="82"/>
      <c r="AQ943" s="82"/>
      <c r="AR943" s="82"/>
      <c r="AS943" s="82"/>
      <c r="AT943" s="82"/>
      <c r="AU943" s="82"/>
      <c r="AV943" s="82"/>
      <c r="AW943" s="82"/>
      <c r="AX943" s="82"/>
      <c r="AY943" s="81"/>
      <c r="AZ943" s="82"/>
      <c r="BA943" s="82"/>
      <c r="BB943" s="82"/>
      <c r="BC943" s="82"/>
      <c r="BD943" s="82"/>
      <c r="BE943" s="82"/>
      <c r="BF943" s="82"/>
      <c r="BG943" s="82"/>
      <c r="BH943" s="82"/>
      <c r="BI943" s="82"/>
    </row>
    <row r="944">
      <c r="K944" s="79"/>
      <c r="U944" s="79"/>
      <c r="AE944" s="79"/>
      <c r="AF944" s="82"/>
      <c r="AG944" s="82"/>
      <c r="AH944" s="82"/>
      <c r="AI944" s="82"/>
      <c r="AJ944" s="82"/>
      <c r="AK944" s="82"/>
      <c r="AL944" s="82"/>
      <c r="AM944" s="82"/>
      <c r="AN944" s="82"/>
      <c r="AO944" s="81"/>
      <c r="AP944" s="82"/>
      <c r="AQ944" s="82"/>
      <c r="AR944" s="82"/>
      <c r="AS944" s="82"/>
      <c r="AT944" s="82"/>
      <c r="AU944" s="82"/>
      <c r="AV944" s="82"/>
      <c r="AW944" s="82"/>
      <c r="AX944" s="82"/>
      <c r="AY944" s="81"/>
      <c r="AZ944" s="82"/>
      <c r="BA944" s="82"/>
      <c r="BB944" s="82"/>
      <c r="BC944" s="82"/>
      <c r="BD944" s="82"/>
      <c r="BE944" s="82"/>
      <c r="BF944" s="82"/>
      <c r="BG944" s="82"/>
      <c r="BH944" s="82"/>
      <c r="BI944" s="82"/>
    </row>
    <row r="945">
      <c r="K945" s="79"/>
      <c r="U945" s="79"/>
      <c r="AE945" s="79"/>
      <c r="AF945" s="82"/>
      <c r="AG945" s="82"/>
      <c r="AH945" s="82"/>
      <c r="AI945" s="82"/>
      <c r="AJ945" s="82"/>
      <c r="AK945" s="82"/>
      <c r="AL945" s="82"/>
      <c r="AM945" s="82"/>
      <c r="AN945" s="82"/>
      <c r="AO945" s="81"/>
      <c r="AP945" s="82"/>
      <c r="AQ945" s="82"/>
      <c r="AR945" s="82"/>
      <c r="AS945" s="82"/>
      <c r="AT945" s="82"/>
      <c r="AU945" s="82"/>
      <c r="AV945" s="82"/>
      <c r="AW945" s="82"/>
      <c r="AX945" s="82"/>
      <c r="AY945" s="81"/>
      <c r="AZ945" s="82"/>
      <c r="BA945" s="82"/>
      <c r="BB945" s="82"/>
      <c r="BC945" s="82"/>
      <c r="BD945" s="82"/>
      <c r="BE945" s="82"/>
      <c r="BF945" s="82"/>
      <c r="BG945" s="82"/>
      <c r="BH945" s="82"/>
      <c r="BI945" s="82"/>
    </row>
    <row r="946">
      <c r="K946" s="79"/>
      <c r="U946" s="79"/>
      <c r="AE946" s="79"/>
      <c r="AF946" s="82"/>
      <c r="AG946" s="82"/>
      <c r="AH946" s="82"/>
      <c r="AI946" s="82"/>
      <c r="AJ946" s="82"/>
      <c r="AK946" s="82"/>
      <c r="AL946" s="82"/>
      <c r="AM946" s="82"/>
      <c r="AN946" s="82"/>
      <c r="AO946" s="81"/>
      <c r="AP946" s="82"/>
      <c r="AQ946" s="82"/>
      <c r="AR946" s="82"/>
      <c r="AS946" s="82"/>
      <c r="AT946" s="82"/>
      <c r="AU946" s="82"/>
      <c r="AV946" s="82"/>
      <c r="AW946" s="82"/>
      <c r="AX946" s="82"/>
      <c r="AY946" s="81"/>
      <c r="AZ946" s="82"/>
      <c r="BA946" s="82"/>
      <c r="BB946" s="82"/>
      <c r="BC946" s="82"/>
      <c r="BD946" s="82"/>
      <c r="BE946" s="82"/>
      <c r="BF946" s="82"/>
      <c r="BG946" s="82"/>
      <c r="BH946" s="82"/>
      <c r="BI946" s="82"/>
    </row>
    <row r="947">
      <c r="K947" s="79"/>
      <c r="U947" s="79"/>
      <c r="AE947" s="79"/>
      <c r="AF947" s="82"/>
      <c r="AG947" s="82"/>
      <c r="AH947" s="82"/>
      <c r="AI947" s="82"/>
      <c r="AJ947" s="82"/>
      <c r="AK947" s="82"/>
      <c r="AL947" s="82"/>
      <c r="AM947" s="82"/>
      <c r="AN947" s="82"/>
      <c r="AO947" s="81"/>
      <c r="AP947" s="82"/>
      <c r="AQ947" s="82"/>
      <c r="AR947" s="82"/>
      <c r="AS947" s="82"/>
      <c r="AT947" s="82"/>
      <c r="AU947" s="82"/>
      <c r="AV947" s="82"/>
      <c r="AW947" s="82"/>
      <c r="AX947" s="82"/>
      <c r="AY947" s="81"/>
      <c r="AZ947" s="82"/>
      <c r="BA947" s="82"/>
      <c r="BB947" s="82"/>
      <c r="BC947" s="82"/>
      <c r="BD947" s="82"/>
      <c r="BE947" s="82"/>
      <c r="BF947" s="82"/>
      <c r="BG947" s="82"/>
      <c r="BH947" s="82"/>
      <c r="BI947" s="82"/>
    </row>
    <row r="948">
      <c r="K948" s="79"/>
      <c r="U948" s="79"/>
      <c r="AE948" s="79"/>
      <c r="AF948" s="82"/>
      <c r="AG948" s="82"/>
      <c r="AH948" s="82"/>
      <c r="AI948" s="82"/>
      <c r="AJ948" s="82"/>
      <c r="AK948" s="82"/>
      <c r="AL948" s="82"/>
      <c r="AM948" s="82"/>
      <c r="AN948" s="82"/>
      <c r="AO948" s="81"/>
      <c r="AP948" s="82"/>
      <c r="AQ948" s="82"/>
      <c r="AR948" s="82"/>
      <c r="AS948" s="82"/>
      <c r="AT948" s="82"/>
      <c r="AU948" s="82"/>
      <c r="AV948" s="82"/>
      <c r="AW948" s="82"/>
      <c r="AX948" s="82"/>
      <c r="AY948" s="81"/>
      <c r="AZ948" s="82"/>
      <c r="BA948" s="82"/>
      <c r="BB948" s="82"/>
      <c r="BC948" s="82"/>
      <c r="BD948" s="82"/>
      <c r="BE948" s="82"/>
      <c r="BF948" s="82"/>
      <c r="BG948" s="82"/>
      <c r="BH948" s="82"/>
      <c r="BI948" s="82"/>
    </row>
    <row r="949">
      <c r="K949" s="79"/>
      <c r="U949" s="79"/>
      <c r="AE949" s="79"/>
      <c r="AF949" s="82"/>
      <c r="AG949" s="82"/>
      <c r="AH949" s="82"/>
      <c r="AI949" s="82"/>
      <c r="AJ949" s="82"/>
      <c r="AK949" s="82"/>
      <c r="AL949" s="82"/>
      <c r="AM949" s="82"/>
      <c r="AN949" s="82"/>
      <c r="AO949" s="81"/>
      <c r="AP949" s="82"/>
      <c r="AQ949" s="82"/>
      <c r="AR949" s="82"/>
      <c r="AS949" s="82"/>
      <c r="AT949" s="82"/>
      <c r="AU949" s="82"/>
      <c r="AV949" s="82"/>
      <c r="AW949" s="82"/>
      <c r="AX949" s="82"/>
      <c r="AY949" s="81"/>
      <c r="AZ949" s="82"/>
      <c r="BA949" s="82"/>
      <c r="BB949" s="82"/>
      <c r="BC949" s="82"/>
      <c r="BD949" s="82"/>
      <c r="BE949" s="82"/>
      <c r="BF949" s="82"/>
      <c r="BG949" s="82"/>
      <c r="BH949" s="82"/>
      <c r="BI949" s="82"/>
    </row>
    <row r="950">
      <c r="K950" s="79"/>
      <c r="U950" s="79"/>
      <c r="AE950" s="79"/>
      <c r="AF950" s="82"/>
      <c r="AG950" s="82"/>
      <c r="AH950" s="82"/>
      <c r="AI950" s="82"/>
      <c r="AJ950" s="82"/>
      <c r="AK950" s="82"/>
      <c r="AL950" s="82"/>
      <c r="AM950" s="82"/>
      <c r="AN950" s="82"/>
      <c r="AO950" s="81"/>
      <c r="AP950" s="82"/>
      <c r="AQ950" s="82"/>
      <c r="AR950" s="82"/>
      <c r="AS950" s="82"/>
      <c r="AT950" s="82"/>
      <c r="AU950" s="82"/>
      <c r="AV950" s="82"/>
      <c r="AW950" s="82"/>
      <c r="AX950" s="82"/>
      <c r="AY950" s="81"/>
      <c r="AZ950" s="82"/>
      <c r="BA950" s="82"/>
      <c r="BB950" s="82"/>
      <c r="BC950" s="82"/>
      <c r="BD950" s="82"/>
      <c r="BE950" s="82"/>
      <c r="BF950" s="82"/>
      <c r="BG950" s="82"/>
      <c r="BH950" s="82"/>
      <c r="BI950" s="82"/>
    </row>
    <row r="951">
      <c r="K951" s="79"/>
      <c r="U951" s="79"/>
      <c r="AE951" s="79"/>
      <c r="AF951" s="82"/>
      <c r="AG951" s="82"/>
      <c r="AH951" s="82"/>
      <c r="AI951" s="82"/>
      <c r="AJ951" s="82"/>
      <c r="AK951" s="82"/>
      <c r="AL951" s="82"/>
      <c r="AM951" s="82"/>
      <c r="AN951" s="82"/>
      <c r="AO951" s="81"/>
      <c r="AP951" s="82"/>
      <c r="AQ951" s="82"/>
      <c r="AR951" s="82"/>
      <c r="AS951" s="82"/>
      <c r="AT951" s="82"/>
      <c r="AU951" s="82"/>
      <c r="AV951" s="82"/>
      <c r="AW951" s="82"/>
      <c r="AX951" s="82"/>
      <c r="AY951" s="81"/>
      <c r="AZ951" s="82"/>
      <c r="BA951" s="82"/>
      <c r="BB951" s="82"/>
      <c r="BC951" s="82"/>
      <c r="BD951" s="82"/>
      <c r="BE951" s="82"/>
      <c r="BF951" s="82"/>
      <c r="BG951" s="82"/>
      <c r="BH951" s="82"/>
      <c r="BI951" s="82"/>
    </row>
    <row r="952">
      <c r="K952" s="79"/>
      <c r="U952" s="79"/>
      <c r="AE952" s="79"/>
      <c r="AF952" s="82"/>
      <c r="AG952" s="82"/>
      <c r="AH952" s="82"/>
      <c r="AI952" s="82"/>
      <c r="AJ952" s="82"/>
      <c r="AK952" s="82"/>
      <c r="AL952" s="82"/>
      <c r="AM952" s="82"/>
      <c r="AN952" s="82"/>
      <c r="AO952" s="81"/>
      <c r="AP952" s="82"/>
      <c r="AQ952" s="82"/>
      <c r="AR952" s="82"/>
      <c r="AS952" s="82"/>
      <c r="AT952" s="82"/>
      <c r="AU952" s="82"/>
      <c r="AV952" s="82"/>
      <c r="AW952" s="82"/>
      <c r="AX952" s="82"/>
      <c r="AY952" s="81"/>
      <c r="AZ952" s="82"/>
      <c r="BA952" s="82"/>
      <c r="BB952" s="82"/>
      <c r="BC952" s="82"/>
      <c r="BD952" s="82"/>
      <c r="BE952" s="82"/>
      <c r="BF952" s="82"/>
      <c r="BG952" s="82"/>
      <c r="BH952" s="82"/>
      <c r="BI952" s="82"/>
    </row>
    <row r="953">
      <c r="K953" s="79"/>
      <c r="U953" s="79"/>
      <c r="AE953" s="79"/>
      <c r="AF953" s="82"/>
      <c r="AG953" s="82"/>
      <c r="AH953" s="82"/>
      <c r="AI953" s="82"/>
      <c r="AJ953" s="82"/>
      <c r="AK953" s="82"/>
      <c r="AL953" s="82"/>
      <c r="AM953" s="82"/>
      <c r="AN953" s="82"/>
      <c r="AO953" s="81"/>
      <c r="AP953" s="82"/>
      <c r="AQ953" s="82"/>
      <c r="AR953" s="82"/>
      <c r="AS953" s="82"/>
      <c r="AT953" s="82"/>
      <c r="AU953" s="82"/>
      <c r="AV953" s="82"/>
      <c r="AW953" s="82"/>
      <c r="AX953" s="82"/>
      <c r="AY953" s="81"/>
      <c r="AZ953" s="82"/>
      <c r="BA953" s="82"/>
      <c r="BB953" s="82"/>
      <c r="BC953" s="82"/>
      <c r="BD953" s="82"/>
      <c r="BE953" s="82"/>
      <c r="BF953" s="82"/>
      <c r="BG953" s="82"/>
      <c r="BH953" s="82"/>
      <c r="BI953" s="82"/>
    </row>
    <row r="954">
      <c r="K954" s="79"/>
      <c r="U954" s="79"/>
      <c r="AE954" s="79"/>
      <c r="AF954" s="82"/>
      <c r="AG954" s="82"/>
      <c r="AH954" s="82"/>
      <c r="AI954" s="82"/>
      <c r="AJ954" s="82"/>
      <c r="AK954" s="82"/>
      <c r="AL954" s="82"/>
      <c r="AM954" s="82"/>
      <c r="AN954" s="82"/>
      <c r="AO954" s="81"/>
      <c r="AP954" s="82"/>
      <c r="AQ954" s="82"/>
      <c r="AR954" s="82"/>
      <c r="AS954" s="82"/>
      <c r="AT954" s="82"/>
      <c r="AU954" s="82"/>
      <c r="AV954" s="82"/>
      <c r="AW954" s="82"/>
      <c r="AX954" s="82"/>
      <c r="AY954" s="81"/>
      <c r="AZ954" s="82"/>
      <c r="BA954" s="82"/>
      <c r="BB954" s="82"/>
      <c r="BC954" s="82"/>
      <c r="BD954" s="82"/>
      <c r="BE954" s="82"/>
      <c r="BF954" s="82"/>
      <c r="BG954" s="82"/>
      <c r="BH954" s="82"/>
      <c r="BI954" s="82"/>
    </row>
    <row r="955">
      <c r="K955" s="79"/>
      <c r="U955" s="79"/>
      <c r="AE955" s="79"/>
      <c r="AF955" s="82"/>
      <c r="AG955" s="82"/>
      <c r="AH955" s="82"/>
      <c r="AI955" s="82"/>
      <c r="AJ955" s="82"/>
      <c r="AK955" s="82"/>
      <c r="AL955" s="82"/>
      <c r="AM955" s="82"/>
      <c r="AN955" s="82"/>
      <c r="AO955" s="81"/>
      <c r="AP955" s="82"/>
      <c r="AQ955" s="82"/>
      <c r="AR955" s="82"/>
      <c r="AS955" s="82"/>
      <c r="AT955" s="82"/>
      <c r="AU955" s="82"/>
      <c r="AV955" s="82"/>
      <c r="AW955" s="82"/>
      <c r="AX955" s="82"/>
      <c r="AY955" s="81"/>
      <c r="AZ955" s="82"/>
      <c r="BA955" s="82"/>
      <c r="BB955" s="82"/>
      <c r="BC955" s="82"/>
      <c r="BD955" s="82"/>
      <c r="BE955" s="82"/>
      <c r="BF955" s="82"/>
      <c r="BG955" s="82"/>
      <c r="BH955" s="82"/>
      <c r="BI955" s="82"/>
    </row>
    <row r="956">
      <c r="K956" s="79"/>
      <c r="U956" s="79"/>
      <c r="AE956" s="79"/>
      <c r="AF956" s="82"/>
      <c r="AG956" s="82"/>
      <c r="AH956" s="82"/>
      <c r="AI956" s="82"/>
      <c r="AJ956" s="82"/>
      <c r="AK956" s="82"/>
      <c r="AL956" s="82"/>
      <c r="AM956" s="82"/>
      <c r="AN956" s="82"/>
      <c r="AO956" s="81"/>
      <c r="AP956" s="82"/>
      <c r="AQ956" s="82"/>
      <c r="AR956" s="82"/>
      <c r="AS956" s="82"/>
      <c r="AT956" s="82"/>
      <c r="AU956" s="82"/>
      <c r="AV956" s="82"/>
      <c r="AW956" s="82"/>
      <c r="AX956" s="82"/>
      <c r="AY956" s="81"/>
      <c r="AZ956" s="82"/>
      <c r="BA956" s="82"/>
      <c r="BB956" s="82"/>
      <c r="BC956" s="82"/>
      <c r="BD956" s="82"/>
      <c r="BE956" s="82"/>
      <c r="BF956" s="82"/>
      <c r="BG956" s="82"/>
      <c r="BH956" s="82"/>
      <c r="BI956" s="82"/>
    </row>
    <row r="957">
      <c r="K957" s="79"/>
      <c r="U957" s="79"/>
      <c r="AE957" s="79"/>
      <c r="AF957" s="82"/>
      <c r="AG957" s="82"/>
      <c r="AH957" s="82"/>
      <c r="AI957" s="82"/>
      <c r="AJ957" s="82"/>
      <c r="AK957" s="82"/>
      <c r="AL957" s="82"/>
      <c r="AM957" s="82"/>
      <c r="AN957" s="82"/>
      <c r="AO957" s="81"/>
      <c r="AP957" s="82"/>
      <c r="AQ957" s="82"/>
      <c r="AR957" s="82"/>
      <c r="AS957" s="82"/>
      <c r="AT957" s="82"/>
      <c r="AU957" s="82"/>
      <c r="AV957" s="82"/>
      <c r="AW957" s="82"/>
      <c r="AX957" s="82"/>
      <c r="AY957" s="81"/>
      <c r="AZ957" s="82"/>
      <c r="BA957" s="82"/>
      <c r="BB957" s="82"/>
      <c r="BC957" s="82"/>
      <c r="BD957" s="82"/>
      <c r="BE957" s="82"/>
      <c r="BF957" s="82"/>
      <c r="BG957" s="82"/>
      <c r="BH957" s="82"/>
      <c r="BI957" s="82"/>
    </row>
    <row r="958">
      <c r="K958" s="79"/>
      <c r="U958" s="79"/>
      <c r="AE958" s="79"/>
      <c r="AF958" s="82"/>
      <c r="AG958" s="82"/>
      <c r="AH958" s="82"/>
      <c r="AI958" s="82"/>
      <c r="AJ958" s="82"/>
      <c r="AK958" s="82"/>
      <c r="AL958" s="82"/>
      <c r="AM958" s="82"/>
      <c r="AN958" s="82"/>
      <c r="AO958" s="81"/>
      <c r="AP958" s="82"/>
      <c r="AQ958" s="82"/>
      <c r="AR958" s="82"/>
      <c r="AS958" s="82"/>
      <c r="AT958" s="82"/>
      <c r="AU958" s="82"/>
      <c r="AV958" s="82"/>
      <c r="AW958" s="82"/>
      <c r="AX958" s="82"/>
      <c r="AY958" s="81"/>
      <c r="AZ958" s="82"/>
      <c r="BA958" s="82"/>
      <c r="BB958" s="82"/>
      <c r="BC958" s="82"/>
      <c r="BD958" s="82"/>
      <c r="BE958" s="82"/>
      <c r="BF958" s="82"/>
      <c r="BG958" s="82"/>
      <c r="BH958" s="82"/>
      <c r="BI958" s="82"/>
    </row>
    <row r="959">
      <c r="K959" s="79"/>
      <c r="U959" s="79"/>
      <c r="AE959" s="79"/>
      <c r="AF959" s="82"/>
      <c r="AG959" s="82"/>
      <c r="AH959" s="82"/>
      <c r="AI959" s="82"/>
      <c r="AJ959" s="82"/>
      <c r="AK959" s="82"/>
      <c r="AL959" s="82"/>
      <c r="AM959" s="82"/>
      <c r="AN959" s="82"/>
      <c r="AO959" s="81"/>
      <c r="AP959" s="82"/>
      <c r="AQ959" s="82"/>
      <c r="AR959" s="82"/>
      <c r="AS959" s="82"/>
      <c r="AT959" s="82"/>
      <c r="AU959" s="82"/>
      <c r="AV959" s="82"/>
      <c r="AW959" s="82"/>
      <c r="AX959" s="82"/>
      <c r="AY959" s="81"/>
      <c r="AZ959" s="82"/>
      <c r="BA959" s="82"/>
      <c r="BB959" s="82"/>
      <c r="BC959" s="82"/>
      <c r="BD959" s="82"/>
      <c r="BE959" s="82"/>
      <c r="BF959" s="82"/>
      <c r="BG959" s="82"/>
      <c r="BH959" s="82"/>
      <c r="BI959" s="82"/>
    </row>
    <row r="960">
      <c r="K960" s="79"/>
      <c r="U960" s="79"/>
      <c r="AE960" s="79"/>
      <c r="AF960" s="82"/>
      <c r="AG960" s="82"/>
      <c r="AH960" s="82"/>
      <c r="AI960" s="82"/>
      <c r="AJ960" s="82"/>
      <c r="AK960" s="82"/>
      <c r="AL960" s="82"/>
      <c r="AM960" s="82"/>
      <c r="AN960" s="82"/>
      <c r="AO960" s="81"/>
      <c r="AP960" s="82"/>
      <c r="AQ960" s="82"/>
      <c r="AR960" s="82"/>
      <c r="AS960" s="82"/>
      <c r="AT960" s="82"/>
      <c r="AU960" s="82"/>
      <c r="AV960" s="82"/>
      <c r="AW960" s="82"/>
      <c r="AX960" s="82"/>
      <c r="AY960" s="81"/>
      <c r="AZ960" s="82"/>
      <c r="BA960" s="82"/>
      <c r="BB960" s="82"/>
      <c r="BC960" s="82"/>
      <c r="BD960" s="82"/>
      <c r="BE960" s="82"/>
      <c r="BF960" s="82"/>
      <c r="BG960" s="82"/>
      <c r="BH960" s="82"/>
      <c r="BI960" s="82"/>
    </row>
    <row r="961">
      <c r="K961" s="79"/>
      <c r="U961" s="79"/>
      <c r="AE961" s="79"/>
      <c r="AF961" s="82"/>
      <c r="AG961" s="82"/>
      <c r="AH961" s="82"/>
      <c r="AI961" s="82"/>
      <c r="AJ961" s="82"/>
      <c r="AK961" s="82"/>
      <c r="AL961" s="82"/>
      <c r="AM961" s="82"/>
      <c r="AN961" s="82"/>
      <c r="AO961" s="81"/>
      <c r="AP961" s="82"/>
      <c r="AQ961" s="82"/>
      <c r="AR961" s="82"/>
      <c r="AS961" s="82"/>
      <c r="AT961" s="82"/>
      <c r="AU961" s="82"/>
      <c r="AV961" s="82"/>
      <c r="AW961" s="82"/>
      <c r="AX961" s="82"/>
      <c r="AY961" s="81"/>
      <c r="AZ961" s="82"/>
      <c r="BA961" s="82"/>
      <c r="BB961" s="82"/>
      <c r="BC961" s="82"/>
      <c r="BD961" s="82"/>
      <c r="BE961" s="82"/>
      <c r="BF961" s="82"/>
      <c r="BG961" s="82"/>
      <c r="BH961" s="82"/>
      <c r="BI961" s="82"/>
    </row>
    <row r="962">
      <c r="K962" s="79"/>
      <c r="U962" s="79"/>
      <c r="AE962" s="79"/>
      <c r="AF962" s="82"/>
      <c r="AG962" s="82"/>
      <c r="AH962" s="82"/>
      <c r="AI962" s="82"/>
      <c r="AJ962" s="82"/>
      <c r="AK962" s="82"/>
      <c r="AL962" s="82"/>
      <c r="AM962" s="82"/>
      <c r="AN962" s="82"/>
      <c r="AO962" s="81"/>
      <c r="AP962" s="82"/>
      <c r="AQ962" s="82"/>
      <c r="AR962" s="82"/>
      <c r="AS962" s="82"/>
      <c r="AT962" s="82"/>
      <c r="AU962" s="82"/>
      <c r="AV962" s="82"/>
      <c r="AW962" s="82"/>
      <c r="AX962" s="82"/>
      <c r="AY962" s="81"/>
      <c r="AZ962" s="82"/>
      <c r="BA962" s="82"/>
      <c r="BB962" s="82"/>
      <c r="BC962" s="82"/>
      <c r="BD962" s="82"/>
      <c r="BE962" s="82"/>
      <c r="BF962" s="82"/>
      <c r="BG962" s="82"/>
      <c r="BH962" s="82"/>
      <c r="BI962" s="82"/>
    </row>
    <row r="963">
      <c r="K963" s="79"/>
      <c r="U963" s="79"/>
      <c r="AE963" s="79"/>
      <c r="AF963" s="82"/>
      <c r="AG963" s="82"/>
      <c r="AH963" s="82"/>
      <c r="AI963" s="82"/>
      <c r="AJ963" s="82"/>
      <c r="AK963" s="82"/>
      <c r="AL963" s="82"/>
      <c r="AM963" s="82"/>
      <c r="AN963" s="82"/>
      <c r="AO963" s="81"/>
      <c r="AP963" s="82"/>
      <c r="AQ963" s="82"/>
      <c r="AR963" s="82"/>
      <c r="AS963" s="82"/>
      <c r="AT963" s="82"/>
      <c r="AU963" s="82"/>
      <c r="AV963" s="82"/>
      <c r="AW963" s="82"/>
      <c r="AX963" s="82"/>
      <c r="AY963" s="81"/>
      <c r="AZ963" s="82"/>
      <c r="BA963" s="82"/>
      <c r="BB963" s="82"/>
      <c r="BC963" s="82"/>
      <c r="BD963" s="82"/>
      <c r="BE963" s="82"/>
      <c r="BF963" s="82"/>
      <c r="BG963" s="82"/>
      <c r="BH963" s="82"/>
      <c r="BI963" s="82"/>
    </row>
    <row r="964">
      <c r="K964" s="79"/>
      <c r="U964" s="79"/>
      <c r="AE964" s="79"/>
      <c r="AF964" s="82"/>
      <c r="AG964" s="82"/>
      <c r="AH964" s="82"/>
      <c r="AI964" s="82"/>
      <c r="AJ964" s="82"/>
      <c r="AK964" s="82"/>
      <c r="AL964" s="82"/>
      <c r="AM964" s="82"/>
      <c r="AN964" s="82"/>
      <c r="AO964" s="81"/>
      <c r="AP964" s="82"/>
      <c r="AQ964" s="82"/>
      <c r="AR964" s="82"/>
      <c r="AS964" s="82"/>
      <c r="AT964" s="82"/>
      <c r="AU964" s="82"/>
      <c r="AV964" s="82"/>
      <c r="AW964" s="82"/>
      <c r="AX964" s="82"/>
      <c r="AY964" s="81"/>
      <c r="AZ964" s="82"/>
      <c r="BA964" s="82"/>
      <c r="BB964" s="82"/>
      <c r="BC964" s="82"/>
      <c r="BD964" s="82"/>
      <c r="BE964" s="82"/>
      <c r="BF964" s="82"/>
      <c r="BG964" s="82"/>
      <c r="BH964" s="82"/>
      <c r="BI964" s="82"/>
    </row>
    <row r="965">
      <c r="K965" s="79"/>
      <c r="U965" s="79"/>
      <c r="AE965" s="79"/>
      <c r="AF965" s="82"/>
      <c r="AG965" s="82"/>
      <c r="AH965" s="82"/>
      <c r="AI965" s="82"/>
      <c r="AJ965" s="82"/>
      <c r="AK965" s="82"/>
      <c r="AL965" s="82"/>
      <c r="AM965" s="82"/>
      <c r="AN965" s="82"/>
      <c r="AO965" s="81"/>
      <c r="AP965" s="82"/>
      <c r="AQ965" s="82"/>
      <c r="AR965" s="82"/>
      <c r="AS965" s="82"/>
      <c r="AT965" s="82"/>
      <c r="AU965" s="82"/>
      <c r="AV965" s="82"/>
      <c r="AW965" s="82"/>
      <c r="AX965" s="82"/>
      <c r="AY965" s="81"/>
      <c r="AZ965" s="82"/>
      <c r="BA965" s="82"/>
      <c r="BB965" s="82"/>
      <c r="BC965" s="82"/>
      <c r="BD965" s="82"/>
      <c r="BE965" s="82"/>
      <c r="BF965" s="82"/>
      <c r="BG965" s="82"/>
      <c r="BH965" s="82"/>
      <c r="BI965" s="82"/>
    </row>
    <row r="966">
      <c r="K966" s="79"/>
      <c r="U966" s="79"/>
      <c r="AE966" s="79"/>
      <c r="AF966" s="82"/>
      <c r="AG966" s="82"/>
      <c r="AH966" s="82"/>
      <c r="AI966" s="82"/>
      <c r="AJ966" s="82"/>
      <c r="AK966" s="82"/>
      <c r="AL966" s="82"/>
      <c r="AM966" s="82"/>
      <c r="AN966" s="82"/>
      <c r="AO966" s="81"/>
      <c r="AP966" s="82"/>
      <c r="AQ966" s="82"/>
      <c r="AR966" s="82"/>
      <c r="AS966" s="82"/>
      <c r="AT966" s="82"/>
      <c r="AU966" s="82"/>
      <c r="AV966" s="82"/>
      <c r="AW966" s="82"/>
      <c r="AX966" s="82"/>
      <c r="AY966" s="81"/>
      <c r="AZ966" s="82"/>
      <c r="BA966" s="82"/>
      <c r="BB966" s="82"/>
      <c r="BC966" s="82"/>
      <c r="BD966" s="82"/>
      <c r="BE966" s="82"/>
      <c r="BF966" s="82"/>
      <c r="BG966" s="82"/>
      <c r="BH966" s="82"/>
      <c r="BI966" s="82"/>
    </row>
    <row r="967">
      <c r="K967" s="79"/>
      <c r="U967" s="79"/>
      <c r="AE967" s="79"/>
      <c r="AF967" s="82"/>
      <c r="AG967" s="82"/>
      <c r="AH967" s="82"/>
      <c r="AI967" s="82"/>
      <c r="AJ967" s="82"/>
      <c r="AK967" s="82"/>
      <c r="AL967" s="82"/>
      <c r="AM967" s="82"/>
      <c r="AN967" s="82"/>
      <c r="AO967" s="81"/>
      <c r="AP967" s="82"/>
      <c r="AQ967" s="82"/>
      <c r="AR967" s="82"/>
      <c r="AS967" s="82"/>
      <c r="AT967" s="82"/>
      <c r="AU967" s="82"/>
      <c r="AV967" s="82"/>
      <c r="AW967" s="82"/>
      <c r="AX967" s="82"/>
      <c r="AY967" s="81"/>
      <c r="AZ967" s="82"/>
      <c r="BA967" s="82"/>
      <c r="BB967" s="82"/>
      <c r="BC967" s="82"/>
      <c r="BD967" s="82"/>
      <c r="BE967" s="82"/>
      <c r="BF967" s="82"/>
      <c r="BG967" s="82"/>
      <c r="BH967" s="82"/>
      <c r="BI967" s="82"/>
    </row>
    <row r="968">
      <c r="K968" s="79"/>
      <c r="U968" s="79"/>
      <c r="AE968" s="79"/>
      <c r="AF968" s="82"/>
      <c r="AG968" s="82"/>
      <c r="AH968" s="82"/>
      <c r="AI968" s="82"/>
      <c r="AJ968" s="82"/>
      <c r="AK968" s="82"/>
      <c r="AL968" s="82"/>
      <c r="AM968" s="82"/>
      <c r="AN968" s="82"/>
      <c r="AO968" s="81"/>
      <c r="AP968" s="82"/>
      <c r="AQ968" s="82"/>
      <c r="AR968" s="82"/>
      <c r="AS968" s="82"/>
      <c r="AT968" s="82"/>
      <c r="AU968" s="82"/>
      <c r="AV968" s="82"/>
      <c r="AW968" s="82"/>
      <c r="AX968" s="82"/>
      <c r="AY968" s="81"/>
      <c r="AZ968" s="82"/>
      <c r="BA968" s="82"/>
      <c r="BB968" s="82"/>
      <c r="BC968" s="82"/>
      <c r="BD968" s="82"/>
      <c r="BE968" s="82"/>
      <c r="BF968" s="82"/>
      <c r="BG968" s="82"/>
      <c r="BH968" s="82"/>
      <c r="BI968" s="82"/>
    </row>
    <row r="969">
      <c r="K969" s="79"/>
      <c r="U969" s="79"/>
      <c r="AE969" s="79"/>
      <c r="AF969" s="82"/>
      <c r="AG969" s="82"/>
      <c r="AH969" s="82"/>
      <c r="AI969" s="82"/>
      <c r="AJ969" s="82"/>
      <c r="AK969" s="82"/>
      <c r="AL969" s="82"/>
      <c r="AM969" s="82"/>
      <c r="AN969" s="82"/>
      <c r="AO969" s="81"/>
      <c r="AP969" s="82"/>
      <c r="AQ969" s="82"/>
      <c r="AR969" s="82"/>
      <c r="AS969" s="82"/>
      <c r="AT969" s="82"/>
      <c r="AU969" s="82"/>
      <c r="AV969" s="82"/>
      <c r="AW969" s="82"/>
      <c r="AX969" s="82"/>
      <c r="AY969" s="81"/>
      <c r="AZ969" s="82"/>
      <c r="BA969" s="82"/>
      <c r="BB969" s="82"/>
      <c r="BC969" s="82"/>
      <c r="BD969" s="82"/>
      <c r="BE969" s="82"/>
      <c r="BF969" s="82"/>
      <c r="BG969" s="82"/>
      <c r="BH969" s="82"/>
      <c r="BI969" s="82"/>
    </row>
    <row r="970">
      <c r="K970" s="79"/>
      <c r="U970" s="79"/>
      <c r="AE970" s="79"/>
      <c r="AF970" s="82"/>
      <c r="AG970" s="82"/>
      <c r="AH970" s="82"/>
      <c r="AI970" s="82"/>
      <c r="AJ970" s="82"/>
      <c r="AK970" s="82"/>
      <c r="AL970" s="82"/>
      <c r="AM970" s="82"/>
      <c r="AN970" s="82"/>
      <c r="AO970" s="81"/>
      <c r="AP970" s="82"/>
      <c r="AQ970" s="82"/>
      <c r="AR970" s="82"/>
      <c r="AS970" s="82"/>
      <c r="AT970" s="82"/>
      <c r="AU970" s="82"/>
      <c r="AV970" s="82"/>
      <c r="AW970" s="82"/>
      <c r="AX970" s="82"/>
      <c r="AY970" s="81"/>
      <c r="AZ970" s="82"/>
      <c r="BA970" s="82"/>
      <c r="BB970" s="82"/>
      <c r="BC970" s="82"/>
      <c r="BD970" s="82"/>
      <c r="BE970" s="82"/>
      <c r="BF970" s="82"/>
      <c r="BG970" s="82"/>
      <c r="BH970" s="82"/>
      <c r="BI970" s="82"/>
    </row>
    <row r="971">
      <c r="K971" s="79"/>
      <c r="U971" s="79"/>
      <c r="AE971" s="79"/>
      <c r="AF971" s="82"/>
      <c r="AG971" s="82"/>
      <c r="AH971" s="82"/>
      <c r="AI971" s="82"/>
      <c r="AJ971" s="82"/>
      <c r="AK971" s="82"/>
      <c r="AL971" s="82"/>
      <c r="AM971" s="82"/>
      <c r="AN971" s="82"/>
      <c r="AO971" s="81"/>
      <c r="AP971" s="82"/>
      <c r="AQ971" s="82"/>
      <c r="AR971" s="82"/>
      <c r="AS971" s="82"/>
      <c r="AT971" s="82"/>
      <c r="AU971" s="82"/>
      <c r="AV971" s="82"/>
      <c r="AW971" s="82"/>
      <c r="AX971" s="82"/>
      <c r="AY971" s="81"/>
      <c r="AZ971" s="82"/>
      <c r="BA971" s="82"/>
      <c r="BB971" s="82"/>
      <c r="BC971" s="82"/>
      <c r="BD971" s="82"/>
      <c r="BE971" s="82"/>
      <c r="BF971" s="82"/>
      <c r="BG971" s="82"/>
      <c r="BH971" s="82"/>
      <c r="BI971" s="82"/>
    </row>
    <row r="972">
      <c r="K972" s="79"/>
      <c r="U972" s="79"/>
      <c r="AE972" s="79"/>
      <c r="AF972" s="82"/>
      <c r="AG972" s="82"/>
      <c r="AH972" s="82"/>
      <c r="AI972" s="82"/>
      <c r="AJ972" s="82"/>
      <c r="AK972" s="82"/>
      <c r="AL972" s="82"/>
      <c r="AM972" s="82"/>
      <c r="AN972" s="82"/>
      <c r="AO972" s="81"/>
      <c r="AP972" s="82"/>
      <c r="AQ972" s="82"/>
      <c r="AR972" s="82"/>
      <c r="AS972" s="82"/>
      <c r="AT972" s="82"/>
      <c r="AU972" s="82"/>
      <c r="AV972" s="82"/>
      <c r="AW972" s="82"/>
      <c r="AX972" s="82"/>
      <c r="AY972" s="81"/>
      <c r="AZ972" s="82"/>
      <c r="BA972" s="82"/>
      <c r="BB972" s="82"/>
      <c r="BC972" s="82"/>
      <c r="BD972" s="82"/>
      <c r="BE972" s="82"/>
      <c r="BF972" s="82"/>
      <c r="BG972" s="82"/>
      <c r="BH972" s="82"/>
      <c r="BI972" s="82"/>
    </row>
    <row r="973">
      <c r="K973" s="79"/>
      <c r="U973" s="79"/>
      <c r="AE973" s="79"/>
      <c r="AF973" s="82"/>
      <c r="AG973" s="82"/>
      <c r="AH973" s="82"/>
      <c r="AI973" s="82"/>
      <c r="AJ973" s="82"/>
      <c r="AK973" s="82"/>
      <c r="AL973" s="82"/>
      <c r="AM973" s="82"/>
      <c r="AN973" s="82"/>
      <c r="AO973" s="81"/>
      <c r="AP973" s="82"/>
      <c r="AQ973" s="82"/>
      <c r="AR973" s="82"/>
      <c r="AS973" s="82"/>
      <c r="AT973" s="82"/>
      <c r="AU973" s="82"/>
      <c r="AV973" s="82"/>
      <c r="AW973" s="82"/>
      <c r="AX973" s="82"/>
      <c r="AY973" s="81"/>
      <c r="AZ973" s="82"/>
      <c r="BA973" s="82"/>
      <c r="BB973" s="82"/>
      <c r="BC973" s="82"/>
      <c r="BD973" s="82"/>
      <c r="BE973" s="82"/>
      <c r="BF973" s="82"/>
      <c r="BG973" s="82"/>
      <c r="BH973" s="82"/>
      <c r="BI973" s="82"/>
    </row>
    <row r="974">
      <c r="K974" s="79"/>
      <c r="U974" s="79"/>
      <c r="AE974" s="79"/>
      <c r="AF974" s="82"/>
      <c r="AG974" s="82"/>
      <c r="AH974" s="82"/>
      <c r="AI974" s="82"/>
      <c r="AJ974" s="82"/>
      <c r="AK974" s="82"/>
      <c r="AL974" s="82"/>
      <c r="AM974" s="82"/>
      <c r="AN974" s="82"/>
      <c r="AO974" s="81"/>
      <c r="AP974" s="82"/>
      <c r="AQ974" s="82"/>
      <c r="AR974" s="82"/>
      <c r="AS974" s="82"/>
      <c r="AT974" s="82"/>
      <c r="AU974" s="82"/>
      <c r="AV974" s="82"/>
      <c r="AW974" s="82"/>
      <c r="AX974" s="82"/>
      <c r="AY974" s="81"/>
      <c r="AZ974" s="82"/>
      <c r="BA974" s="82"/>
      <c r="BB974" s="82"/>
      <c r="BC974" s="82"/>
      <c r="BD974" s="82"/>
      <c r="BE974" s="82"/>
      <c r="BF974" s="82"/>
      <c r="BG974" s="82"/>
      <c r="BH974" s="82"/>
      <c r="BI974" s="82"/>
    </row>
    <row r="975">
      <c r="K975" s="79"/>
      <c r="U975" s="79"/>
      <c r="AE975" s="79"/>
      <c r="AF975" s="82"/>
      <c r="AG975" s="82"/>
      <c r="AH975" s="82"/>
      <c r="AI975" s="82"/>
      <c r="AJ975" s="82"/>
      <c r="AK975" s="82"/>
      <c r="AL975" s="82"/>
      <c r="AM975" s="82"/>
      <c r="AN975" s="82"/>
      <c r="AO975" s="81"/>
      <c r="AP975" s="82"/>
      <c r="AQ975" s="82"/>
      <c r="AR975" s="82"/>
      <c r="AS975" s="82"/>
      <c r="AT975" s="82"/>
      <c r="AU975" s="82"/>
      <c r="AV975" s="82"/>
      <c r="AW975" s="82"/>
      <c r="AX975" s="82"/>
      <c r="AY975" s="81"/>
      <c r="AZ975" s="82"/>
      <c r="BA975" s="82"/>
      <c r="BB975" s="82"/>
      <c r="BC975" s="82"/>
      <c r="BD975" s="82"/>
      <c r="BE975" s="82"/>
      <c r="BF975" s="82"/>
      <c r="BG975" s="82"/>
      <c r="BH975" s="82"/>
      <c r="BI975" s="82"/>
    </row>
    <row r="976">
      <c r="K976" s="79"/>
      <c r="U976" s="79"/>
      <c r="AE976" s="79"/>
      <c r="AF976" s="82"/>
      <c r="AG976" s="82"/>
      <c r="AH976" s="82"/>
      <c r="AI976" s="82"/>
      <c r="AJ976" s="82"/>
      <c r="AK976" s="82"/>
      <c r="AL976" s="82"/>
      <c r="AM976" s="82"/>
      <c r="AN976" s="82"/>
      <c r="AO976" s="81"/>
      <c r="AP976" s="82"/>
      <c r="AQ976" s="82"/>
      <c r="AR976" s="82"/>
      <c r="AS976" s="82"/>
      <c r="AT976" s="82"/>
      <c r="AU976" s="82"/>
      <c r="AV976" s="82"/>
      <c r="AW976" s="82"/>
      <c r="AX976" s="82"/>
      <c r="AY976" s="81"/>
      <c r="AZ976" s="82"/>
      <c r="BA976" s="82"/>
      <c r="BB976" s="82"/>
      <c r="BC976" s="82"/>
      <c r="BD976" s="82"/>
      <c r="BE976" s="82"/>
      <c r="BF976" s="82"/>
      <c r="BG976" s="82"/>
      <c r="BH976" s="82"/>
      <c r="BI976" s="82"/>
    </row>
    <row r="977">
      <c r="K977" s="79"/>
      <c r="U977" s="79"/>
      <c r="AE977" s="79"/>
      <c r="AF977" s="82"/>
      <c r="AG977" s="82"/>
      <c r="AH977" s="82"/>
      <c r="AI977" s="82"/>
      <c r="AJ977" s="82"/>
      <c r="AK977" s="82"/>
      <c r="AL977" s="82"/>
      <c r="AM977" s="82"/>
      <c r="AN977" s="82"/>
      <c r="AO977" s="81"/>
      <c r="AP977" s="82"/>
      <c r="AQ977" s="82"/>
      <c r="AR977" s="82"/>
      <c r="AS977" s="82"/>
      <c r="AT977" s="82"/>
      <c r="AU977" s="82"/>
      <c r="AV977" s="82"/>
      <c r="AW977" s="82"/>
      <c r="AX977" s="82"/>
      <c r="AY977" s="81"/>
      <c r="AZ977" s="82"/>
      <c r="BA977" s="82"/>
      <c r="BB977" s="82"/>
      <c r="BC977" s="82"/>
      <c r="BD977" s="82"/>
      <c r="BE977" s="82"/>
      <c r="BF977" s="82"/>
      <c r="BG977" s="82"/>
      <c r="BH977" s="82"/>
      <c r="BI977" s="82"/>
    </row>
    <row r="978">
      <c r="K978" s="79"/>
      <c r="U978" s="79"/>
      <c r="AE978" s="79"/>
      <c r="AF978" s="82"/>
      <c r="AG978" s="82"/>
      <c r="AH978" s="82"/>
      <c r="AI978" s="82"/>
      <c r="AJ978" s="82"/>
      <c r="AK978" s="82"/>
      <c r="AL978" s="82"/>
      <c r="AM978" s="82"/>
      <c r="AN978" s="82"/>
      <c r="AO978" s="81"/>
      <c r="AP978" s="82"/>
      <c r="AQ978" s="82"/>
      <c r="AR978" s="82"/>
      <c r="AS978" s="82"/>
      <c r="AT978" s="82"/>
      <c r="AU978" s="82"/>
      <c r="AV978" s="82"/>
      <c r="AW978" s="82"/>
      <c r="AX978" s="82"/>
      <c r="AY978" s="81"/>
      <c r="AZ978" s="82"/>
      <c r="BA978" s="82"/>
      <c r="BB978" s="82"/>
      <c r="BC978" s="82"/>
      <c r="BD978" s="82"/>
      <c r="BE978" s="82"/>
      <c r="BF978" s="82"/>
      <c r="BG978" s="82"/>
      <c r="BH978" s="82"/>
      <c r="BI978" s="82"/>
    </row>
    <row r="979">
      <c r="K979" s="79"/>
      <c r="U979" s="79"/>
      <c r="AE979" s="79"/>
      <c r="AF979" s="82"/>
      <c r="AG979" s="82"/>
      <c r="AH979" s="82"/>
      <c r="AI979" s="82"/>
      <c r="AJ979" s="82"/>
      <c r="AK979" s="82"/>
      <c r="AL979" s="82"/>
      <c r="AM979" s="82"/>
      <c r="AN979" s="82"/>
      <c r="AO979" s="81"/>
      <c r="AP979" s="82"/>
      <c r="AQ979" s="82"/>
      <c r="AR979" s="82"/>
      <c r="AS979" s="82"/>
      <c r="AT979" s="82"/>
      <c r="AU979" s="82"/>
      <c r="AV979" s="82"/>
      <c r="AW979" s="82"/>
      <c r="AX979" s="82"/>
      <c r="AY979" s="81"/>
      <c r="AZ979" s="82"/>
      <c r="BA979" s="82"/>
      <c r="BB979" s="82"/>
      <c r="BC979" s="82"/>
      <c r="BD979" s="82"/>
      <c r="BE979" s="82"/>
      <c r="BF979" s="82"/>
      <c r="BG979" s="82"/>
      <c r="BH979" s="82"/>
      <c r="BI979" s="82"/>
    </row>
    <row r="980">
      <c r="K980" s="79"/>
      <c r="U980" s="79"/>
      <c r="AE980" s="79"/>
      <c r="AF980" s="82"/>
      <c r="AG980" s="82"/>
      <c r="AH980" s="82"/>
      <c r="AI980" s="82"/>
      <c r="AJ980" s="82"/>
      <c r="AK980" s="82"/>
      <c r="AL980" s="82"/>
      <c r="AM980" s="82"/>
      <c r="AN980" s="82"/>
      <c r="AO980" s="81"/>
      <c r="AP980" s="82"/>
      <c r="AQ980" s="82"/>
      <c r="AR980" s="82"/>
      <c r="AS980" s="82"/>
      <c r="AT980" s="82"/>
      <c r="AU980" s="82"/>
      <c r="AV980" s="82"/>
      <c r="AW980" s="82"/>
      <c r="AX980" s="82"/>
      <c r="AY980" s="81"/>
      <c r="AZ980" s="82"/>
      <c r="BA980" s="82"/>
      <c r="BB980" s="82"/>
      <c r="BC980" s="82"/>
      <c r="BD980" s="82"/>
      <c r="BE980" s="82"/>
      <c r="BF980" s="82"/>
      <c r="BG980" s="82"/>
      <c r="BH980" s="82"/>
      <c r="BI980" s="82"/>
    </row>
    <row r="981">
      <c r="K981" s="79"/>
      <c r="U981" s="79"/>
      <c r="AE981" s="79"/>
      <c r="AF981" s="82"/>
      <c r="AG981" s="82"/>
      <c r="AH981" s="82"/>
      <c r="AI981" s="82"/>
      <c r="AJ981" s="82"/>
      <c r="AK981" s="82"/>
      <c r="AL981" s="82"/>
      <c r="AM981" s="82"/>
      <c r="AN981" s="82"/>
      <c r="AO981" s="81"/>
      <c r="AP981" s="82"/>
      <c r="AQ981" s="82"/>
      <c r="AR981" s="82"/>
      <c r="AS981" s="82"/>
      <c r="AT981" s="82"/>
      <c r="AU981" s="82"/>
      <c r="AV981" s="82"/>
      <c r="AW981" s="82"/>
      <c r="AX981" s="82"/>
      <c r="AY981" s="81"/>
      <c r="AZ981" s="82"/>
      <c r="BA981" s="82"/>
      <c r="BB981" s="82"/>
      <c r="BC981" s="82"/>
      <c r="BD981" s="82"/>
      <c r="BE981" s="82"/>
      <c r="BF981" s="82"/>
      <c r="BG981" s="82"/>
      <c r="BH981" s="82"/>
      <c r="BI981" s="82"/>
    </row>
    <row r="982">
      <c r="K982" s="79"/>
      <c r="U982" s="79"/>
      <c r="AE982" s="79"/>
      <c r="AF982" s="82"/>
      <c r="AG982" s="82"/>
      <c r="AH982" s="82"/>
      <c r="AI982" s="82"/>
      <c r="AJ982" s="82"/>
      <c r="AK982" s="82"/>
      <c r="AL982" s="82"/>
      <c r="AM982" s="82"/>
      <c r="AN982" s="82"/>
      <c r="AO982" s="81"/>
      <c r="AP982" s="82"/>
      <c r="AQ982" s="82"/>
      <c r="AR982" s="82"/>
      <c r="AS982" s="82"/>
      <c r="AT982" s="82"/>
      <c r="AU982" s="82"/>
      <c r="AV982" s="82"/>
      <c r="AW982" s="82"/>
      <c r="AX982" s="82"/>
      <c r="AY982" s="81"/>
      <c r="AZ982" s="82"/>
      <c r="BA982" s="82"/>
      <c r="BB982" s="82"/>
      <c r="BC982" s="82"/>
      <c r="BD982" s="82"/>
      <c r="BE982" s="82"/>
      <c r="BF982" s="82"/>
      <c r="BG982" s="82"/>
      <c r="BH982" s="82"/>
      <c r="BI982" s="82"/>
    </row>
    <row r="983">
      <c r="K983" s="79"/>
      <c r="U983" s="79"/>
      <c r="AE983" s="79"/>
      <c r="AF983" s="82"/>
      <c r="AG983" s="82"/>
      <c r="AH983" s="82"/>
      <c r="AI983" s="82"/>
      <c r="AJ983" s="82"/>
      <c r="AK983" s="82"/>
      <c r="AL983" s="82"/>
      <c r="AM983" s="82"/>
      <c r="AN983" s="82"/>
      <c r="AO983" s="81"/>
      <c r="AP983" s="82"/>
      <c r="AQ983" s="82"/>
      <c r="AR983" s="82"/>
      <c r="AS983" s="82"/>
      <c r="AT983" s="82"/>
      <c r="AU983" s="82"/>
      <c r="AV983" s="82"/>
      <c r="AW983" s="82"/>
      <c r="AX983" s="82"/>
      <c r="AY983" s="81"/>
      <c r="AZ983" s="82"/>
      <c r="BA983" s="82"/>
      <c r="BB983" s="82"/>
      <c r="BC983" s="82"/>
      <c r="BD983" s="82"/>
      <c r="BE983" s="82"/>
      <c r="BF983" s="82"/>
      <c r="BG983" s="82"/>
      <c r="BH983" s="82"/>
      <c r="BI983" s="82"/>
    </row>
    <row r="984">
      <c r="K984" s="79"/>
      <c r="U984" s="79"/>
      <c r="AE984" s="79"/>
      <c r="AF984" s="82"/>
      <c r="AG984" s="82"/>
      <c r="AH984" s="82"/>
      <c r="AI984" s="82"/>
      <c r="AJ984" s="82"/>
      <c r="AK984" s="82"/>
      <c r="AL984" s="82"/>
      <c r="AM984" s="82"/>
      <c r="AN984" s="82"/>
      <c r="AO984" s="81"/>
      <c r="AP984" s="82"/>
      <c r="AQ984" s="82"/>
      <c r="AR984" s="82"/>
      <c r="AS984" s="82"/>
      <c r="AT984" s="82"/>
      <c r="AU984" s="82"/>
      <c r="AV984" s="82"/>
      <c r="AW984" s="82"/>
      <c r="AX984" s="82"/>
      <c r="AY984" s="81"/>
      <c r="AZ984" s="82"/>
      <c r="BA984" s="82"/>
      <c r="BB984" s="82"/>
      <c r="BC984" s="82"/>
      <c r="BD984" s="82"/>
      <c r="BE984" s="82"/>
      <c r="BF984" s="82"/>
      <c r="BG984" s="82"/>
      <c r="BH984" s="82"/>
      <c r="BI984" s="82"/>
    </row>
    <row r="985">
      <c r="K985" s="79"/>
      <c r="U985" s="79"/>
      <c r="AE985" s="79"/>
      <c r="AF985" s="82"/>
      <c r="AG985" s="82"/>
      <c r="AH985" s="82"/>
      <c r="AI985" s="82"/>
      <c r="AJ985" s="82"/>
      <c r="AK985" s="82"/>
      <c r="AL985" s="82"/>
      <c r="AM985" s="82"/>
      <c r="AN985" s="82"/>
      <c r="AO985" s="81"/>
      <c r="AP985" s="82"/>
      <c r="AQ985" s="82"/>
      <c r="AR985" s="82"/>
      <c r="AS985" s="82"/>
      <c r="AT985" s="82"/>
      <c r="AU985" s="82"/>
      <c r="AV985" s="82"/>
      <c r="AW985" s="82"/>
      <c r="AX985" s="82"/>
      <c r="AY985" s="81"/>
      <c r="AZ985" s="82"/>
      <c r="BA985" s="82"/>
      <c r="BB985" s="82"/>
      <c r="BC985" s="82"/>
      <c r="BD985" s="82"/>
      <c r="BE985" s="82"/>
      <c r="BF985" s="82"/>
      <c r="BG985" s="82"/>
      <c r="BH985" s="82"/>
      <c r="BI985" s="82"/>
    </row>
    <row r="986">
      <c r="K986" s="79"/>
      <c r="U986" s="79"/>
      <c r="AE986" s="79"/>
      <c r="AF986" s="82"/>
      <c r="AG986" s="82"/>
      <c r="AH986" s="82"/>
      <c r="AI986" s="82"/>
      <c r="AJ986" s="82"/>
      <c r="AK986" s="82"/>
      <c r="AL986" s="82"/>
      <c r="AM986" s="82"/>
      <c r="AN986" s="82"/>
      <c r="AO986" s="81"/>
      <c r="AP986" s="82"/>
      <c r="AQ986" s="82"/>
      <c r="AR986" s="82"/>
      <c r="AS986" s="82"/>
      <c r="AT986" s="82"/>
      <c r="AU986" s="82"/>
      <c r="AV986" s="82"/>
      <c r="AW986" s="82"/>
      <c r="AX986" s="82"/>
      <c r="AY986" s="81"/>
      <c r="AZ986" s="82"/>
      <c r="BA986" s="82"/>
      <c r="BB986" s="82"/>
      <c r="BC986" s="82"/>
      <c r="BD986" s="82"/>
      <c r="BE986" s="82"/>
      <c r="BF986" s="82"/>
      <c r="BG986" s="82"/>
      <c r="BH986" s="82"/>
      <c r="BI986" s="82"/>
    </row>
    <row r="987">
      <c r="K987" s="79"/>
      <c r="U987" s="79"/>
      <c r="AE987" s="79"/>
      <c r="AF987" s="82"/>
      <c r="AG987" s="82"/>
      <c r="AH987" s="82"/>
      <c r="AI987" s="82"/>
      <c r="AJ987" s="82"/>
      <c r="AK987" s="82"/>
      <c r="AL987" s="82"/>
      <c r="AM987" s="82"/>
      <c r="AN987" s="82"/>
      <c r="AO987" s="81"/>
      <c r="AP987" s="82"/>
      <c r="AQ987" s="82"/>
      <c r="AR987" s="82"/>
      <c r="AS987" s="82"/>
      <c r="AT987" s="82"/>
      <c r="AU987" s="82"/>
      <c r="AV987" s="82"/>
      <c r="AW987" s="82"/>
      <c r="AX987" s="82"/>
      <c r="AY987" s="81"/>
      <c r="AZ987" s="82"/>
      <c r="BA987" s="82"/>
      <c r="BB987" s="82"/>
      <c r="BC987" s="82"/>
      <c r="BD987" s="82"/>
      <c r="BE987" s="82"/>
      <c r="BF987" s="82"/>
      <c r="BG987" s="82"/>
      <c r="BH987" s="82"/>
      <c r="BI987" s="82"/>
    </row>
    <row r="988">
      <c r="K988" s="79"/>
      <c r="U988" s="79"/>
      <c r="AE988" s="79"/>
      <c r="AF988" s="82"/>
      <c r="AG988" s="82"/>
      <c r="AH988" s="82"/>
      <c r="AI988" s="82"/>
      <c r="AJ988" s="82"/>
      <c r="AK988" s="82"/>
      <c r="AL988" s="82"/>
      <c r="AM988" s="82"/>
      <c r="AN988" s="82"/>
      <c r="AO988" s="81"/>
      <c r="AP988" s="82"/>
      <c r="AQ988" s="82"/>
      <c r="AR988" s="82"/>
      <c r="AS988" s="82"/>
      <c r="AT988" s="82"/>
      <c r="AU988" s="82"/>
      <c r="AV988" s="82"/>
      <c r="AW988" s="82"/>
      <c r="AX988" s="82"/>
      <c r="AY988" s="81"/>
      <c r="AZ988" s="82"/>
      <c r="BA988" s="82"/>
      <c r="BB988" s="82"/>
      <c r="BC988" s="82"/>
      <c r="BD988" s="82"/>
      <c r="BE988" s="82"/>
      <c r="BF988" s="82"/>
      <c r="BG988" s="82"/>
      <c r="BH988" s="82"/>
      <c r="BI988" s="82"/>
    </row>
    <row r="989">
      <c r="K989" s="79"/>
      <c r="U989" s="79"/>
      <c r="AE989" s="79"/>
      <c r="AF989" s="82"/>
      <c r="AG989" s="82"/>
      <c r="AH989" s="82"/>
      <c r="AI989" s="82"/>
      <c r="AJ989" s="82"/>
      <c r="AK989" s="82"/>
      <c r="AL989" s="82"/>
      <c r="AM989" s="82"/>
      <c r="AN989" s="82"/>
      <c r="AO989" s="81"/>
      <c r="AP989" s="82"/>
      <c r="AQ989" s="82"/>
      <c r="AR989" s="82"/>
      <c r="AS989" s="82"/>
      <c r="AT989" s="82"/>
      <c r="AU989" s="82"/>
      <c r="AV989" s="82"/>
      <c r="AW989" s="82"/>
      <c r="AX989" s="82"/>
      <c r="AY989" s="81"/>
      <c r="AZ989" s="82"/>
      <c r="BA989" s="82"/>
      <c r="BB989" s="82"/>
      <c r="BC989" s="82"/>
      <c r="BD989" s="82"/>
      <c r="BE989" s="82"/>
      <c r="BF989" s="82"/>
      <c r="BG989" s="82"/>
      <c r="BH989" s="82"/>
      <c r="BI989" s="82"/>
    </row>
    <row r="990">
      <c r="K990" s="79"/>
      <c r="U990" s="79"/>
      <c r="AE990" s="79"/>
      <c r="AF990" s="82"/>
      <c r="AG990" s="82"/>
      <c r="AH990" s="82"/>
      <c r="AI990" s="82"/>
      <c r="AJ990" s="82"/>
      <c r="AK990" s="82"/>
      <c r="AL990" s="82"/>
      <c r="AM990" s="82"/>
      <c r="AN990" s="82"/>
      <c r="AO990" s="81"/>
      <c r="AP990" s="82"/>
      <c r="AQ990" s="82"/>
      <c r="AR990" s="82"/>
      <c r="AS990" s="82"/>
      <c r="AT990" s="82"/>
      <c r="AU990" s="82"/>
      <c r="AV990" s="82"/>
      <c r="AW990" s="82"/>
      <c r="AX990" s="82"/>
      <c r="AY990" s="81"/>
      <c r="AZ990" s="82"/>
      <c r="BA990" s="82"/>
      <c r="BB990" s="82"/>
      <c r="BC990" s="82"/>
      <c r="BD990" s="82"/>
      <c r="BE990" s="82"/>
      <c r="BF990" s="82"/>
      <c r="BG990" s="82"/>
      <c r="BH990" s="82"/>
      <c r="BI990" s="82"/>
    </row>
    <row r="991">
      <c r="K991" s="79"/>
      <c r="U991" s="79"/>
      <c r="AE991" s="79"/>
      <c r="AF991" s="82"/>
      <c r="AG991" s="82"/>
      <c r="AH991" s="82"/>
      <c r="AI991" s="82"/>
      <c r="AJ991" s="82"/>
      <c r="AK991" s="82"/>
      <c r="AL991" s="82"/>
      <c r="AM991" s="82"/>
      <c r="AN991" s="82"/>
      <c r="AO991" s="81"/>
      <c r="AP991" s="82"/>
      <c r="AQ991" s="82"/>
      <c r="AR991" s="82"/>
      <c r="AS991" s="82"/>
      <c r="AT991" s="82"/>
      <c r="AU991" s="82"/>
      <c r="AV991" s="82"/>
      <c r="AW991" s="82"/>
      <c r="AX991" s="82"/>
      <c r="AY991" s="81"/>
      <c r="AZ991" s="82"/>
      <c r="BA991" s="82"/>
      <c r="BB991" s="82"/>
      <c r="BC991" s="82"/>
      <c r="BD991" s="82"/>
      <c r="BE991" s="82"/>
      <c r="BF991" s="82"/>
      <c r="BG991" s="82"/>
      <c r="BH991" s="82"/>
      <c r="BI991" s="82"/>
    </row>
    <row r="992">
      <c r="K992" s="79"/>
      <c r="U992" s="79"/>
      <c r="AE992" s="79"/>
      <c r="AF992" s="82"/>
      <c r="AG992" s="82"/>
      <c r="AH992" s="82"/>
      <c r="AI992" s="82"/>
      <c r="AJ992" s="82"/>
      <c r="AK992" s="82"/>
      <c r="AL992" s="82"/>
      <c r="AM992" s="82"/>
      <c r="AN992" s="82"/>
      <c r="AO992" s="81"/>
      <c r="AP992" s="82"/>
      <c r="AQ992" s="82"/>
      <c r="AR992" s="82"/>
      <c r="AS992" s="82"/>
      <c r="AT992" s="82"/>
      <c r="AU992" s="82"/>
      <c r="AV992" s="82"/>
      <c r="AW992" s="82"/>
      <c r="AX992" s="82"/>
      <c r="AY992" s="81"/>
      <c r="AZ992" s="82"/>
      <c r="BA992" s="82"/>
      <c r="BB992" s="82"/>
      <c r="BC992" s="82"/>
      <c r="BD992" s="82"/>
      <c r="BE992" s="82"/>
      <c r="BF992" s="82"/>
      <c r="BG992" s="82"/>
      <c r="BH992" s="82"/>
      <c r="BI992" s="82"/>
    </row>
    <row r="993">
      <c r="K993" s="79"/>
      <c r="U993" s="79"/>
      <c r="AE993" s="79"/>
      <c r="AF993" s="82"/>
      <c r="AG993" s="82"/>
      <c r="AH993" s="82"/>
      <c r="AI993" s="82"/>
      <c r="AJ993" s="82"/>
      <c r="AK993" s="82"/>
      <c r="AL993" s="82"/>
      <c r="AM993" s="82"/>
      <c r="AN993" s="82"/>
      <c r="AO993" s="81"/>
      <c r="AP993" s="82"/>
      <c r="AQ993" s="82"/>
      <c r="AR993" s="82"/>
      <c r="AS993" s="82"/>
      <c r="AT993" s="82"/>
      <c r="AU993" s="82"/>
      <c r="AV993" s="82"/>
      <c r="AW993" s="82"/>
      <c r="AX993" s="82"/>
      <c r="AY993" s="81"/>
      <c r="AZ993" s="82"/>
      <c r="BA993" s="82"/>
      <c r="BB993" s="82"/>
      <c r="BC993" s="82"/>
      <c r="BD993" s="82"/>
      <c r="BE993" s="82"/>
      <c r="BF993" s="82"/>
      <c r="BG993" s="82"/>
      <c r="BH993" s="82"/>
      <c r="BI993" s="82"/>
    </row>
    <row r="994">
      <c r="K994" s="79"/>
      <c r="U994" s="79"/>
      <c r="AE994" s="79"/>
      <c r="AF994" s="82"/>
      <c r="AG994" s="82"/>
      <c r="AH994" s="82"/>
      <c r="AI994" s="82"/>
      <c r="AJ994" s="82"/>
      <c r="AK994" s="82"/>
      <c r="AL994" s="82"/>
      <c r="AM994" s="82"/>
      <c r="AN994" s="82"/>
      <c r="AO994" s="81"/>
      <c r="AP994" s="82"/>
      <c r="AQ994" s="82"/>
      <c r="AR994" s="82"/>
      <c r="AS994" s="82"/>
      <c r="AT994" s="82"/>
      <c r="AU994" s="82"/>
      <c r="AV994" s="82"/>
      <c r="AW994" s="82"/>
      <c r="AX994" s="82"/>
      <c r="AY994" s="81"/>
      <c r="AZ994" s="82"/>
      <c r="BA994" s="82"/>
      <c r="BB994" s="82"/>
      <c r="BC994" s="82"/>
      <c r="BD994" s="82"/>
      <c r="BE994" s="82"/>
      <c r="BF994" s="82"/>
      <c r="BG994" s="82"/>
      <c r="BH994" s="82"/>
      <c r="BI994" s="82"/>
    </row>
    <row r="995">
      <c r="K995" s="79"/>
      <c r="U995" s="79"/>
      <c r="AE995" s="79"/>
      <c r="AF995" s="82"/>
      <c r="AG995" s="82"/>
      <c r="AH995" s="82"/>
      <c r="AI995" s="82"/>
      <c r="AJ995" s="82"/>
      <c r="AK995" s="82"/>
      <c r="AL995" s="82"/>
      <c r="AM995" s="82"/>
      <c r="AN995" s="82"/>
      <c r="AO995" s="81"/>
      <c r="AP995" s="82"/>
      <c r="AQ995" s="82"/>
      <c r="AR995" s="82"/>
      <c r="AS995" s="82"/>
      <c r="AT995" s="82"/>
      <c r="AU995" s="82"/>
      <c r="AV995" s="82"/>
      <c r="AW995" s="82"/>
      <c r="AX995" s="82"/>
      <c r="AY995" s="81"/>
      <c r="AZ995" s="82"/>
      <c r="BA995" s="82"/>
      <c r="BB995" s="82"/>
      <c r="BC995" s="82"/>
      <c r="BD995" s="82"/>
      <c r="BE995" s="82"/>
      <c r="BF995" s="82"/>
      <c r="BG995" s="82"/>
      <c r="BH995" s="82"/>
      <c r="BI995" s="82"/>
    </row>
    <row r="996">
      <c r="K996" s="79"/>
      <c r="U996" s="79"/>
      <c r="AE996" s="79"/>
      <c r="AF996" s="82"/>
      <c r="AG996" s="82"/>
      <c r="AH996" s="82"/>
      <c r="AI996" s="82"/>
      <c r="AJ996" s="82"/>
      <c r="AK996" s="82"/>
      <c r="AL996" s="82"/>
      <c r="AM996" s="82"/>
      <c r="AN996" s="82"/>
      <c r="AO996" s="81"/>
      <c r="AP996" s="82"/>
      <c r="AQ996" s="82"/>
      <c r="AR996" s="82"/>
      <c r="AS996" s="82"/>
      <c r="AT996" s="82"/>
      <c r="AU996" s="82"/>
      <c r="AV996" s="82"/>
      <c r="AW996" s="82"/>
      <c r="AX996" s="82"/>
      <c r="AY996" s="81"/>
      <c r="AZ996" s="82"/>
      <c r="BA996" s="82"/>
      <c r="BB996" s="82"/>
      <c r="BC996" s="82"/>
      <c r="BD996" s="82"/>
      <c r="BE996" s="82"/>
      <c r="BF996" s="82"/>
      <c r="BG996" s="82"/>
      <c r="BH996" s="82"/>
      <c r="BI996" s="82"/>
    </row>
    <row r="997">
      <c r="K997" s="79"/>
      <c r="U997" s="79"/>
      <c r="AE997" s="79"/>
      <c r="AF997" s="82"/>
      <c r="AG997" s="82"/>
      <c r="AH997" s="82"/>
      <c r="AI997" s="82"/>
      <c r="AJ997" s="82"/>
      <c r="AK997" s="82"/>
      <c r="AL997" s="82"/>
      <c r="AM997" s="82"/>
      <c r="AN997" s="82"/>
      <c r="AO997" s="81"/>
      <c r="AP997" s="82"/>
      <c r="AQ997" s="82"/>
      <c r="AR997" s="82"/>
      <c r="AS997" s="82"/>
      <c r="AT997" s="82"/>
      <c r="AU997" s="82"/>
      <c r="AV997" s="82"/>
      <c r="AW997" s="82"/>
      <c r="AX997" s="82"/>
      <c r="AY997" s="81"/>
      <c r="AZ997" s="82"/>
      <c r="BA997" s="82"/>
      <c r="BB997" s="82"/>
      <c r="BC997" s="82"/>
      <c r="BD997" s="82"/>
      <c r="BE997" s="82"/>
      <c r="BF997" s="82"/>
      <c r="BG997" s="82"/>
      <c r="BH997" s="82"/>
      <c r="BI997" s="82"/>
    </row>
    <row r="998">
      <c r="K998" s="79"/>
      <c r="U998" s="79"/>
      <c r="AE998" s="79"/>
      <c r="AF998" s="82"/>
      <c r="AG998" s="82"/>
      <c r="AH998" s="82"/>
      <c r="AI998" s="82"/>
      <c r="AJ998" s="82"/>
      <c r="AK998" s="82"/>
      <c r="AL998" s="82"/>
      <c r="AM998" s="82"/>
      <c r="AN998" s="82"/>
      <c r="AO998" s="81"/>
      <c r="AP998" s="82"/>
      <c r="AQ998" s="82"/>
      <c r="AR998" s="82"/>
      <c r="AS998" s="82"/>
      <c r="AT998" s="82"/>
      <c r="AU998" s="82"/>
      <c r="AV998" s="82"/>
      <c r="AW998" s="82"/>
      <c r="AX998" s="82"/>
      <c r="AY998" s="81"/>
      <c r="AZ998" s="82"/>
      <c r="BA998" s="82"/>
      <c r="BB998" s="82"/>
      <c r="BC998" s="82"/>
      <c r="BD998" s="82"/>
      <c r="BE998" s="82"/>
      <c r="BF998" s="82"/>
      <c r="BG998" s="82"/>
      <c r="BH998" s="82"/>
      <c r="BI998" s="82"/>
    </row>
    <row r="999">
      <c r="K999" s="79"/>
      <c r="U999" s="79"/>
      <c r="AE999" s="79"/>
      <c r="AF999" s="82"/>
      <c r="AG999" s="82"/>
      <c r="AH999" s="82"/>
      <c r="AI999" s="82"/>
      <c r="AJ999" s="82"/>
      <c r="AK999" s="82"/>
      <c r="AL999" s="82"/>
      <c r="AM999" s="82"/>
      <c r="AN999" s="82"/>
      <c r="AO999" s="81"/>
      <c r="AP999" s="82"/>
      <c r="AQ999" s="82"/>
      <c r="AR999" s="82"/>
      <c r="AS999" s="82"/>
      <c r="AT999" s="82"/>
      <c r="AU999" s="82"/>
      <c r="AV999" s="82"/>
      <c r="AW999" s="82"/>
      <c r="AX999" s="82"/>
      <c r="AY999" s="81"/>
      <c r="AZ999" s="82"/>
      <c r="BA999" s="82"/>
      <c r="BB999" s="82"/>
      <c r="BC999" s="82"/>
      <c r="BD999" s="82"/>
      <c r="BE999" s="82"/>
      <c r="BF999" s="82"/>
      <c r="BG999" s="82"/>
      <c r="BH999" s="82"/>
      <c r="BI999" s="82"/>
    </row>
    <row r="1000">
      <c r="K1000" s="79"/>
      <c r="U1000" s="79"/>
      <c r="AE1000" s="79"/>
      <c r="AF1000" s="82"/>
      <c r="AG1000" s="82"/>
      <c r="AH1000" s="82"/>
      <c r="AI1000" s="82"/>
      <c r="AJ1000" s="82"/>
      <c r="AK1000" s="82"/>
      <c r="AL1000" s="82"/>
      <c r="AM1000" s="82"/>
      <c r="AN1000" s="82"/>
      <c r="AO1000" s="81"/>
      <c r="AP1000" s="82"/>
      <c r="AQ1000" s="82"/>
      <c r="AR1000" s="82"/>
      <c r="AS1000" s="82"/>
      <c r="AT1000" s="82"/>
      <c r="AU1000" s="82"/>
      <c r="AV1000" s="82"/>
      <c r="AW1000" s="82"/>
      <c r="AX1000" s="82"/>
      <c r="AY1000" s="81"/>
      <c r="AZ1000" s="82"/>
      <c r="BA1000" s="82"/>
      <c r="BB1000" s="82"/>
      <c r="BC1000" s="82"/>
      <c r="BD1000" s="82"/>
      <c r="BE1000" s="82"/>
      <c r="BF1000" s="82"/>
      <c r="BG1000" s="82"/>
      <c r="BH1000" s="82"/>
      <c r="BI1000" s="82"/>
    </row>
    <row r="1001">
      <c r="K1001" s="79"/>
      <c r="U1001" s="79"/>
      <c r="AE1001" s="79"/>
      <c r="AF1001" s="82"/>
      <c r="AG1001" s="82"/>
      <c r="AH1001" s="82"/>
      <c r="AI1001" s="82"/>
      <c r="AJ1001" s="82"/>
      <c r="AK1001" s="82"/>
      <c r="AL1001" s="82"/>
      <c r="AM1001" s="82"/>
      <c r="AN1001" s="82"/>
      <c r="AO1001" s="81"/>
      <c r="AP1001" s="82"/>
      <c r="AQ1001" s="82"/>
      <c r="AR1001" s="82"/>
      <c r="AS1001" s="82"/>
      <c r="AT1001" s="82"/>
      <c r="AU1001" s="82"/>
      <c r="AV1001" s="82"/>
      <c r="AW1001" s="82"/>
      <c r="AX1001" s="82"/>
      <c r="AY1001" s="81"/>
      <c r="AZ1001" s="82"/>
      <c r="BA1001" s="82"/>
      <c r="BB1001" s="82"/>
      <c r="BC1001" s="82"/>
      <c r="BD1001" s="82"/>
      <c r="BE1001" s="82"/>
      <c r="BF1001" s="82"/>
      <c r="BG1001" s="82"/>
      <c r="BH1001" s="82"/>
      <c r="BI1001" s="82"/>
    </row>
    <row r="1002">
      <c r="K1002" s="79"/>
      <c r="U1002" s="79"/>
      <c r="AE1002" s="79"/>
      <c r="AF1002" s="82"/>
      <c r="AG1002" s="82"/>
      <c r="AH1002" s="82"/>
      <c r="AI1002" s="82"/>
      <c r="AJ1002" s="82"/>
      <c r="AK1002" s="82"/>
      <c r="AL1002" s="82"/>
      <c r="AM1002" s="82"/>
      <c r="AN1002" s="82"/>
      <c r="AO1002" s="81"/>
      <c r="AP1002" s="82"/>
      <c r="AQ1002" s="82"/>
      <c r="AR1002" s="82"/>
      <c r="AS1002" s="82"/>
      <c r="AT1002" s="82"/>
      <c r="AU1002" s="82"/>
      <c r="AV1002" s="82"/>
      <c r="AW1002" s="82"/>
      <c r="AX1002" s="82"/>
      <c r="AY1002" s="81"/>
      <c r="AZ1002" s="82"/>
      <c r="BA1002" s="82"/>
      <c r="BB1002" s="82"/>
      <c r="BC1002" s="82"/>
      <c r="BD1002" s="82"/>
      <c r="BE1002" s="82"/>
      <c r="BF1002" s="82"/>
      <c r="BG1002" s="82"/>
      <c r="BH1002" s="82"/>
      <c r="BI1002" s="82"/>
    </row>
    <row r="1003">
      <c r="K1003" s="79"/>
      <c r="U1003" s="79"/>
      <c r="AE1003" s="79"/>
      <c r="AF1003" s="82"/>
      <c r="AG1003" s="82"/>
      <c r="AH1003" s="82"/>
      <c r="AI1003" s="82"/>
      <c r="AJ1003" s="82"/>
      <c r="AK1003" s="82"/>
      <c r="AL1003" s="82"/>
      <c r="AM1003" s="82"/>
      <c r="AN1003" s="82"/>
      <c r="AO1003" s="81"/>
      <c r="AP1003" s="82"/>
      <c r="AQ1003" s="82"/>
      <c r="AR1003" s="82"/>
      <c r="AS1003" s="82"/>
      <c r="AT1003" s="82"/>
      <c r="AU1003" s="82"/>
      <c r="AV1003" s="82"/>
      <c r="AW1003" s="82"/>
      <c r="AX1003" s="82"/>
      <c r="AY1003" s="81"/>
      <c r="AZ1003" s="82"/>
      <c r="BA1003" s="82"/>
      <c r="BB1003" s="82"/>
      <c r="BC1003" s="82"/>
      <c r="BD1003" s="82"/>
      <c r="BE1003" s="82"/>
      <c r="BF1003" s="82"/>
      <c r="BG1003" s="82"/>
      <c r="BH1003" s="82"/>
      <c r="BI1003" s="82"/>
    </row>
  </sheetData>
  <mergeCells count="24">
    <mergeCell ref="AK2:AO2"/>
    <mergeCell ref="AQ2:AR2"/>
    <mergeCell ref="B1:K1"/>
    <mergeCell ref="L1:U1"/>
    <mergeCell ref="V1:AE1"/>
    <mergeCell ref="AF1:AO1"/>
    <mergeCell ref="AP1:AY1"/>
    <mergeCell ref="AZ1:BI1"/>
    <mergeCell ref="C2:D2"/>
    <mergeCell ref="BE2:BI2"/>
    <mergeCell ref="E2:F2"/>
    <mergeCell ref="G2:K2"/>
    <mergeCell ref="M2:N2"/>
    <mergeCell ref="O2:P2"/>
    <mergeCell ref="Q2:U2"/>
    <mergeCell ref="W2:X2"/>
    <mergeCell ref="Y2:Z2"/>
    <mergeCell ref="AA2:AE2"/>
    <mergeCell ref="AG2:AH2"/>
    <mergeCell ref="AI2:AJ2"/>
    <mergeCell ref="AS2:AT2"/>
    <mergeCell ref="AU2:AY2"/>
    <mergeCell ref="BA2:BB2"/>
    <mergeCell ref="BC2:BD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3" width="11.5"/>
  </cols>
  <sheetData>
    <row r="1">
      <c r="A1" s="85" t="s">
        <v>29</v>
      </c>
      <c r="B1" s="86" t="s">
        <v>59</v>
      </c>
      <c r="C1" s="51"/>
      <c r="D1" s="51"/>
      <c r="E1" s="51"/>
      <c r="F1" s="51"/>
      <c r="G1" s="51"/>
      <c r="H1" s="52"/>
      <c r="I1" s="86" t="s">
        <v>22</v>
      </c>
      <c r="J1" s="51"/>
      <c r="K1" s="51"/>
      <c r="L1" s="51"/>
      <c r="M1" s="51"/>
      <c r="N1" s="51"/>
      <c r="O1" s="52"/>
      <c r="P1" s="86" t="s">
        <v>60</v>
      </c>
      <c r="Q1" s="51"/>
      <c r="R1" s="51"/>
      <c r="S1" s="51"/>
      <c r="T1" s="51"/>
      <c r="U1" s="51"/>
      <c r="V1" s="52"/>
      <c r="W1" s="86" t="s">
        <v>61</v>
      </c>
      <c r="X1" s="51"/>
      <c r="Y1" s="51"/>
      <c r="Z1" s="51"/>
      <c r="AA1" s="51"/>
      <c r="AB1" s="51"/>
      <c r="AC1" s="52"/>
      <c r="AD1" s="86" t="s">
        <v>64</v>
      </c>
      <c r="AE1" s="51"/>
      <c r="AF1" s="51"/>
      <c r="AG1" s="51"/>
      <c r="AH1" s="51"/>
      <c r="AI1" s="51"/>
      <c r="AJ1" s="52"/>
      <c r="AK1" s="86" t="s">
        <v>63</v>
      </c>
      <c r="AL1" s="51"/>
      <c r="AM1" s="51"/>
      <c r="AN1" s="51"/>
      <c r="AO1" s="51"/>
      <c r="AP1" s="51"/>
      <c r="AQ1" s="52"/>
    </row>
    <row r="2" ht="46.5" customHeight="1">
      <c r="A2" s="23"/>
      <c r="B2" s="87" t="s">
        <v>65</v>
      </c>
      <c r="C2" s="58"/>
      <c r="D2" s="58"/>
      <c r="E2" s="55"/>
      <c r="F2" s="88" t="s">
        <v>55</v>
      </c>
      <c r="G2" s="58"/>
      <c r="H2" s="55"/>
      <c r="I2" s="89" t="s">
        <v>65</v>
      </c>
      <c r="J2" s="58"/>
      <c r="K2" s="58"/>
      <c r="L2" s="55"/>
      <c r="M2" s="88" t="s">
        <v>55</v>
      </c>
      <c r="N2" s="58"/>
      <c r="O2" s="55"/>
      <c r="P2" s="89" t="s">
        <v>65</v>
      </c>
      <c r="Q2" s="58"/>
      <c r="R2" s="58"/>
      <c r="S2" s="55"/>
      <c r="T2" s="88" t="s">
        <v>55</v>
      </c>
      <c r="U2" s="58"/>
      <c r="V2" s="55"/>
      <c r="W2" s="89" t="s">
        <v>65</v>
      </c>
      <c r="X2" s="58"/>
      <c r="Y2" s="58"/>
      <c r="Z2" s="55"/>
      <c r="AA2" s="88" t="s">
        <v>55</v>
      </c>
      <c r="AB2" s="58"/>
      <c r="AC2" s="55"/>
      <c r="AD2" s="89" t="s">
        <v>65</v>
      </c>
      <c r="AE2" s="58"/>
      <c r="AF2" s="58"/>
      <c r="AG2" s="55"/>
      <c r="AH2" s="88" t="s">
        <v>55</v>
      </c>
      <c r="AI2" s="58"/>
      <c r="AJ2" s="55"/>
      <c r="AK2" s="89" t="s">
        <v>65</v>
      </c>
      <c r="AL2" s="58"/>
      <c r="AM2" s="58"/>
      <c r="AN2" s="55"/>
      <c r="AO2" s="88" t="s">
        <v>55</v>
      </c>
      <c r="AP2" s="58"/>
      <c r="AQ2" s="55"/>
    </row>
    <row r="3" ht="46.5" customHeight="1">
      <c r="A3" s="23" t="s">
        <v>33</v>
      </c>
      <c r="B3" s="24" t="s">
        <v>66</v>
      </c>
      <c r="C3" s="90" t="s">
        <v>67</v>
      </c>
      <c r="D3" s="24" t="s">
        <v>68</v>
      </c>
      <c r="E3" s="90" t="s">
        <v>69</v>
      </c>
      <c r="F3" s="91" t="s">
        <v>70</v>
      </c>
      <c r="G3" s="91" t="s">
        <v>71</v>
      </c>
      <c r="H3" s="92" t="s">
        <v>72</v>
      </c>
      <c r="I3" s="93" t="s">
        <v>66</v>
      </c>
      <c r="J3" s="90" t="s">
        <v>67</v>
      </c>
      <c r="K3" s="24" t="s">
        <v>68</v>
      </c>
      <c r="L3" s="90" t="s">
        <v>69</v>
      </c>
      <c r="M3" s="91" t="s">
        <v>70</v>
      </c>
      <c r="N3" s="91" t="s">
        <v>71</v>
      </c>
      <c r="O3" s="92" t="s">
        <v>72</v>
      </c>
      <c r="P3" s="93" t="s">
        <v>66</v>
      </c>
      <c r="Q3" s="90" t="s">
        <v>67</v>
      </c>
      <c r="R3" s="24" t="s">
        <v>68</v>
      </c>
      <c r="S3" s="90" t="s">
        <v>69</v>
      </c>
      <c r="T3" s="91" t="s">
        <v>70</v>
      </c>
      <c r="U3" s="91" t="s">
        <v>71</v>
      </c>
      <c r="V3" s="92" t="s">
        <v>72</v>
      </c>
      <c r="W3" s="93" t="s">
        <v>66</v>
      </c>
      <c r="X3" s="90" t="s">
        <v>67</v>
      </c>
      <c r="Y3" s="24" t="s">
        <v>68</v>
      </c>
      <c r="Z3" s="90" t="s">
        <v>69</v>
      </c>
      <c r="AA3" s="91" t="s">
        <v>70</v>
      </c>
      <c r="AB3" s="91" t="s">
        <v>71</v>
      </c>
      <c r="AC3" s="92" t="s">
        <v>72</v>
      </c>
      <c r="AD3" s="93" t="s">
        <v>66</v>
      </c>
      <c r="AE3" s="90" t="s">
        <v>67</v>
      </c>
      <c r="AF3" s="24" t="s">
        <v>68</v>
      </c>
      <c r="AG3" s="90" t="s">
        <v>69</v>
      </c>
      <c r="AH3" s="91" t="s">
        <v>70</v>
      </c>
      <c r="AI3" s="91" t="s">
        <v>71</v>
      </c>
      <c r="AJ3" s="92" t="s">
        <v>72</v>
      </c>
      <c r="AK3" s="93" t="s">
        <v>66</v>
      </c>
      <c r="AL3" s="90" t="s">
        <v>67</v>
      </c>
      <c r="AM3" s="24" t="s">
        <v>68</v>
      </c>
      <c r="AN3" s="90" t="s">
        <v>69</v>
      </c>
      <c r="AO3" s="91" t="s">
        <v>70</v>
      </c>
      <c r="AP3" s="91" t="s">
        <v>71</v>
      </c>
      <c r="AQ3" s="91" t="s">
        <v>72</v>
      </c>
    </row>
    <row r="4">
      <c r="A4" s="29"/>
      <c r="B4" s="30"/>
      <c r="C4" s="29"/>
      <c r="D4" s="29"/>
      <c r="E4" s="29"/>
      <c r="F4" s="29"/>
      <c r="G4" s="29"/>
      <c r="H4" s="94"/>
      <c r="I4" s="95"/>
      <c r="J4" s="29"/>
      <c r="K4" s="29"/>
      <c r="L4" s="29"/>
      <c r="M4" s="29"/>
      <c r="N4" s="29"/>
      <c r="O4" s="94"/>
      <c r="P4" s="77"/>
      <c r="Q4" s="29"/>
      <c r="R4" s="29"/>
      <c r="S4" s="29"/>
      <c r="T4" s="29"/>
      <c r="U4" s="29"/>
      <c r="V4" s="94"/>
      <c r="W4" s="77"/>
      <c r="X4" s="29"/>
      <c r="Y4" s="29"/>
      <c r="Z4" s="29"/>
      <c r="AA4" s="29"/>
      <c r="AB4" s="29"/>
      <c r="AC4" s="94"/>
      <c r="AD4" s="77"/>
      <c r="AE4" s="29"/>
      <c r="AF4" s="29"/>
      <c r="AG4" s="29"/>
      <c r="AH4" s="29"/>
      <c r="AI4" s="29"/>
      <c r="AJ4" s="94"/>
      <c r="AK4" s="77"/>
      <c r="AL4" s="29"/>
      <c r="AM4" s="29"/>
      <c r="AN4" s="29"/>
      <c r="AO4" s="29"/>
      <c r="AP4" s="29"/>
      <c r="AQ4" s="29"/>
    </row>
    <row r="5">
      <c r="A5" s="29"/>
      <c r="B5" s="30"/>
      <c r="C5" s="29"/>
      <c r="D5" s="29"/>
      <c r="E5" s="29"/>
      <c r="F5" s="29"/>
      <c r="G5" s="29"/>
      <c r="H5" s="94"/>
      <c r="I5" s="95"/>
      <c r="J5" s="29"/>
      <c r="K5" s="29"/>
      <c r="L5" s="29"/>
      <c r="M5" s="29"/>
      <c r="N5" s="29"/>
      <c r="O5" s="94"/>
      <c r="P5" s="77"/>
      <c r="Q5" s="29"/>
      <c r="R5" s="29"/>
      <c r="S5" s="29"/>
      <c r="T5" s="29"/>
      <c r="U5" s="29"/>
      <c r="V5" s="94"/>
      <c r="W5" s="77"/>
      <c r="X5" s="29"/>
      <c r="Y5" s="29"/>
      <c r="Z5" s="29"/>
      <c r="AA5" s="29"/>
      <c r="AB5" s="29"/>
      <c r="AC5" s="94"/>
      <c r="AD5" s="77"/>
      <c r="AE5" s="29"/>
      <c r="AF5" s="29"/>
      <c r="AG5" s="29"/>
      <c r="AH5" s="29"/>
      <c r="AI5" s="29"/>
      <c r="AJ5" s="94"/>
      <c r="AK5" s="77"/>
      <c r="AL5" s="29"/>
      <c r="AM5" s="29"/>
      <c r="AN5" s="29"/>
      <c r="AO5" s="29"/>
      <c r="AP5" s="29"/>
      <c r="AQ5" s="29"/>
    </row>
    <row r="6">
      <c r="A6" s="33">
        <v>46054.0</v>
      </c>
      <c r="B6" s="29"/>
      <c r="C6" s="29">
        <f>IFERROR(__xludf.DUMMYFUNCTION("COUNTUNIQUEIFS(collexo_data!$P:$P,collexo_data!$B:$B,A6,collexo_data!$R:$R,""GS Foundation Course"")"),2.0)</f>
        <v>2</v>
      </c>
      <c r="D6" s="29"/>
      <c r="E6" s="29">
        <f>IFERROR(__xludf.DUMMYFUNCTION("COUNTUNIQUEIFS(collexo_data!$P:$P,collexo_data!$B:$B,A6) - COUNTUNIQUEIFS(collexo_data!$P:$P,collexo_data!$B:$B,A6,collexo_data!$R:$R,""GS Foundation Course"")"),0.0)</f>
        <v>0</v>
      </c>
      <c r="F6" s="96"/>
      <c r="G6" s="96">
        <f>sumifs(collexo_data!$G:$G,collexo_data!$B:$B,A6,collexo_data!R:R,"GS Foundation Course")</f>
        <v>115000</v>
      </c>
      <c r="H6" s="97">
        <f>sumifs(collexo_data!$G:$G,collexo_data!$B:$B,A6) - sumifs(collexo_data!$G:$G,collexo_data!$B:$B,A6,collexo_data!$R:$R,"GS Foundation Course")</f>
        <v>0</v>
      </c>
      <c r="I6" s="77"/>
      <c r="J6" s="29">
        <f>IFERROR(__xludf.DUMMYFUNCTION("COUNTUNIQUEIFS(collexo_data!$P:$P,collexo_data!$B:$B,A6,collexo_data!$M:$M,""New Delhi"",collexo_data!$R:$R,""GS Foundation Course"")"),2.0)</f>
        <v>2</v>
      </c>
      <c r="K6" s="29"/>
      <c r="L6" s="29">
        <f>IFERROR(__xludf.DUMMYFUNCTION("COUNTUNIQUEIFS(collexo_data!$P:$P,collexo_data!$B:$B,A6,collexo_data!$M:$M,""New Delhi"") - COUNTUNIQUEIFS(collexo_data!$P:$P,collexo_data!$B:$B,A6,collexo_data!$M:$M,""New Delhi"",collexo_data!$R:$R,""GS Foundation Course"")"),0.0)</f>
        <v>0</v>
      </c>
      <c r="M6" s="96"/>
      <c r="N6" s="96">
        <f>sumifs(collexo_data!$G:$G,collexo_data!$B:$B,A6,collexo_data!$M:$M,"New Delhi",collexo_data!$R:$R,"GS Foundation Course")</f>
        <v>115000</v>
      </c>
      <c r="O6" s="97">
        <f>sumifs(collexo_data!$G:$G,collexo_data!$B:$B,A6,collexo_data!$M:$M,"New Delhi") - sumifs(collexo_data!$G:$G,collexo_data!$B:$B,A6,collexo_data!$M:$M,"New Delhi",collexo_data!$R:$R,"GS Foundation Course")</f>
        <v>0</v>
      </c>
      <c r="P6" s="98"/>
      <c r="Q6" s="29">
        <f>IFERROR(__xludf.DUMMYFUNCTION("COUNTUNIQUEIFS(collexo_data!$P:$P,collexo_data!$B:$B,A6,collexo_data!$M:$M,""Patna"",collexo_data!$R:$R,""GS Foundation Course"")"),0.0)</f>
        <v>0</v>
      </c>
      <c r="R6" s="29"/>
      <c r="S6" s="29">
        <f>IFERROR(__xludf.DUMMYFUNCTION("COUNTUNIQUEIFS(collexo_data!$P:$P,collexo_data!$B:$B,A6,collexo_data!$M:$M,""Patna"") - COUNTUNIQUEIFS(collexo_data!$P:$P,collexo_data!$B:$B,H6,collexo_data!$M:$M,""New Delhi"",collexo_data!$R:$R,""GS Foundation Course"")"),0.0)</f>
        <v>0</v>
      </c>
      <c r="T6" s="96"/>
      <c r="U6" s="96">
        <f>sumifs(collexo_data!$G:$G,collexo_data!$B:$B,A6,collexo_data!$M:$M,"Patna",collexo_data!$R:$R,"GS Foundation Course")</f>
        <v>0</v>
      </c>
      <c r="V6" s="97">
        <f>sumifs(collexo_data!$G:$G,collexo_data!$B:$B,$A6,collexo_data!$M:$M,"Patna") - sumifs(collexo_data!$G:$G,collexo_data!$B:$B,$A6,collexo_data!$M:$M,"Patna",collexo_data!$R:$R,"GS Foundation Course")</f>
        <v>0</v>
      </c>
      <c r="W6" s="98"/>
      <c r="X6" s="29">
        <f>IFERROR(__xludf.DUMMYFUNCTION("COUNTUNIQUEIFS(collexo_data!$P:$P,collexo_data!$B:$B,A6,collexo_data!$M:$M,""Lucknow"",collexo_data!$R:$R,""GS Foundation Course"")"),0.0)</f>
        <v>0</v>
      </c>
      <c r="Y6" s="29"/>
      <c r="Z6" s="29">
        <f>IFERROR(__xludf.DUMMYFUNCTION("COUNTUNIQUEIFS(collexo_data!$P:$P,collexo_data!$B:$B,A6,collexo_data!$M:$M,""Lucknow"") - COUNTUNIQUEIFS(collexo_data!$P:$P,collexo_data!$B:$B,A6,collexo_data!$M:$M,""Lucknow"",collexo_data!$R:$R,""GS Foundation Course"")"),0.0)</f>
        <v>0</v>
      </c>
      <c r="AA6" s="96"/>
      <c r="AB6" s="96">
        <f>sumifs(collexo_data!$G:$G,collexo_data!$B:$B,A6,collexo_data!$M:$M,"Lucknow",collexo_data!$R:$R,"GS Foundation Course")</f>
        <v>0</v>
      </c>
      <c r="AC6" s="97">
        <f>sumifs(collexo_data!$G:$G,collexo_data!$B:$B,A6,collexo_data!$M:$M,"Lucknow") - sumifs(collexo_data!$G:$G,collexo_data!$B:$B,A6,collexo_data!$M:$M,"Lucknow",collexo_data!$R:$R,"GS Foundation Course")</f>
        <v>0</v>
      </c>
      <c r="AD6" s="98"/>
      <c r="AE6" s="29">
        <f>IFERROR(__xludf.DUMMYFUNCTION("COUNTUNIQUEIFS(collexo_data!$P:$P,collexo_data!$B:$B,A6,collexo_data!$M:$M,""Prayagraj"",collexo_data!$R:$R,""GS Foundation Course"")"),0.0)</f>
        <v>0</v>
      </c>
      <c r="AF6" s="29"/>
      <c r="AG6" s="29">
        <f>IFERROR(__xludf.DUMMYFUNCTION("COUNTUNIQUEIFS(collexo_data!$P:$P,collexo_data!$B:$B,A6,collexo_data!$M:$M,""Prayagraj"") - COUNTUNIQUEIFS(collexo_data!$P:$P,collexo_data!$B:$B,A6,collexo_data!$M:$M,""Prayagraj"",collexo_data!$R:$R,""GS Foundation Course"")"),0.0)</f>
        <v>0</v>
      </c>
      <c r="AH6" s="96"/>
      <c r="AI6" s="96">
        <f>sumifs(collexo_data!$G:$G,collexo_data!$B:$B,A6,collexo_data!$M:$M,"Prayagraj",collexo_data!$R:$R,"GS Foundation Course")</f>
        <v>0</v>
      </c>
      <c r="AJ6" s="97">
        <f>sumifs(collexo_data!$G:$G,collexo_data!$B:$B,A6,collexo_data!$M:$M,"Prayagraj") - sumifs(collexo_data!$G:$G,collexo_data!$B:$B,A6,collexo_data!$M:$M,"Prayagraj",collexo_data!$R:$R,"GS Foundation Course")</f>
        <v>0</v>
      </c>
      <c r="AK6" s="98"/>
      <c r="AL6" s="29">
        <f>IFERROR(__xludf.DUMMYFUNCTION("COUNTUNIQUEIFS(collexo_data!$P:$P,collexo_data!$B:$B,A6,collexo_data!$M:$M,""Indore"",collexo_data!$R:$R,""GS Foundation Course"")"),0.0)</f>
        <v>0</v>
      </c>
      <c r="AM6" s="29"/>
      <c r="AN6" s="29">
        <f>IFERROR(__xludf.DUMMYFUNCTION("COUNTUNIQUEIFS(collexo_data!$P:$P,collexo_data!$B:$B,A6,collexo_data!$M:$M,""Indore"") - COUNTUNIQUEIFS(collexo_data!$P:$P,collexo_data!$B:$B,A6,collexo_data!$M:$M,""Indore"",collexo_data!$R:$R,""GS Foundation Course"")"),0.0)</f>
        <v>0</v>
      </c>
      <c r="AO6" s="96"/>
      <c r="AP6" s="96">
        <f>sumifs(collexo_data!$G:$G,collexo_data!$B:$B,A6,collexo_data!$M:$M,"Indore",collexo_data!$R:$R,"GS Foundation Course")</f>
        <v>0</v>
      </c>
      <c r="AQ6" s="96">
        <f>sumifs(collexo_data!$G:$G,collexo_data!$B:$B,A6,collexo_data!$M:$M,"Indore") - sumifs(collexo_data!$G:$G,collexo_data!$B:$B,A6,collexo_data!$M:$M,"Indore",collexo_data!$R:$R,"GS Foundation Course")</f>
        <v>0</v>
      </c>
    </row>
    <row r="7">
      <c r="A7" s="33">
        <v>46055.0</v>
      </c>
      <c r="B7" s="29"/>
      <c r="C7" s="29">
        <f>IFERROR(__xludf.DUMMYFUNCTION("COUNTUNIQUEIFS(collexo_data!$P:$P,collexo_data!$B:$B,A7,collexo_data!$R:$R,""GS Foundation Course"")"),4.0)</f>
        <v>4</v>
      </c>
      <c r="D7" s="29"/>
      <c r="E7" s="29">
        <f>IFERROR(__xludf.DUMMYFUNCTION("COUNTUNIQUEIFS(collexo_data!$P:$P,collexo_data!$B:$B,A7) - COUNTUNIQUEIFS(collexo_data!$P:$P,collexo_data!$B:$B,A7,collexo_data!$R:$R,""GS Foundation Course"")"),0.0)</f>
        <v>0</v>
      </c>
      <c r="F7" s="96"/>
      <c r="G7" s="96">
        <f>sumifs(collexo_data!$G:$G,collexo_data!$B:$B,A7,collexo_data!R:R,"GS Foundation Course")</f>
        <v>115767</v>
      </c>
      <c r="H7" s="97">
        <f>sumifs(collexo_data!$G:$G,collexo_data!$B:$B,A7) - sumifs(collexo_data!$G:$G,collexo_data!$B:$B,A7,collexo_data!$R:$R,"GS Foundation Course")</f>
        <v>0</v>
      </c>
      <c r="I7" s="77"/>
      <c r="J7" s="29">
        <f>IFERROR(__xludf.DUMMYFUNCTION("COUNTUNIQUEIFS(collexo_data!$P:$P,collexo_data!$B:$B,A7,collexo_data!$M:$M,""New Delhi"",collexo_data!$R:$R,""GS Foundation Course"")"),3.0)</f>
        <v>3</v>
      </c>
      <c r="K7" s="29"/>
      <c r="L7" s="29">
        <f>IFERROR(__xludf.DUMMYFUNCTION("COUNTUNIQUEIFS(collexo_data!$P:$P,collexo_data!$B:$B,A7,collexo_data!$M:$M,""New Delhi"") - COUNTUNIQUEIFS(collexo_data!$P:$P,collexo_data!$B:$B,A7,collexo_data!$M:$M,""New Delhi"",collexo_data!$R:$R,""GS Foundation Course"")"),0.0)</f>
        <v>0</v>
      </c>
      <c r="M7" s="96"/>
      <c r="N7" s="96">
        <f>sumifs(collexo_data!$G:$G,collexo_data!$B:$B,A7,collexo_data!$M:$M,"New Delhi",collexo_data!$R:$R,"GS Foundation Course")</f>
        <v>110000</v>
      </c>
      <c r="O7" s="97">
        <f>sumifs(collexo_data!$G:$G,collexo_data!$B:$B,A7,collexo_data!$M:$M,"New Delhi") - sumifs(collexo_data!$G:$G,collexo_data!$B:$B,A7,collexo_data!$M:$M,"New Delhi",collexo_data!$R:$R,"GS Foundation Course")</f>
        <v>0</v>
      </c>
      <c r="P7" s="98"/>
      <c r="Q7" s="29">
        <f>IFERROR(__xludf.DUMMYFUNCTION("COUNTUNIQUEIFS(collexo_data!$P:$P,collexo_data!$B:$B,A7,collexo_data!$M:$M,""Patna"",collexo_data!$R:$R,""GS Foundation Course"")"),0.0)</f>
        <v>0</v>
      </c>
      <c r="R7" s="29"/>
      <c r="S7" s="29">
        <f>IFERROR(__xludf.DUMMYFUNCTION("COUNTUNIQUEIFS(collexo_data!$P:$P,collexo_data!$B:$B,A7,collexo_data!$M:$M,""Patna"") - COUNTUNIQUEIFS(collexo_data!$P:$P,collexo_data!$B:$B,H7,collexo_data!$M:$M,""New Delhi"",collexo_data!$R:$R,""GS Foundation Course"")"),0.0)</f>
        <v>0</v>
      </c>
      <c r="T7" s="96"/>
      <c r="U7" s="96">
        <f>sumifs(collexo_data!$G:$G,collexo_data!$B:$B,A7,collexo_data!$M:$M,"Patna",collexo_data!$R:$R,"GS Foundation Course")</f>
        <v>0</v>
      </c>
      <c r="V7" s="97">
        <f>sumifs(collexo_data!$G:$G,collexo_data!$B:$B,$A7,collexo_data!$M:$M,"Patna") - sumifs(collexo_data!$G:$G,collexo_data!$B:$B,$A7,collexo_data!$M:$M,"Patna",collexo_data!$R:$R,"GS Foundation Course")</f>
        <v>0</v>
      </c>
      <c r="W7" s="98"/>
      <c r="X7" s="29">
        <f>IFERROR(__xludf.DUMMYFUNCTION("COUNTUNIQUEIFS(collexo_data!$P:$P,collexo_data!$B:$B,A7,collexo_data!$M:$M,""Lucknow"",collexo_data!$R:$R,""GS Foundation Course"")"),1.0)</f>
        <v>1</v>
      </c>
      <c r="Y7" s="29"/>
      <c r="Z7" s="29">
        <f>IFERROR(__xludf.DUMMYFUNCTION("COUNTUNIQUEIFS(collexo_data!$P:$P,collexo_data!$B:$B,A7,collexo_data!$M:$M,""Lucknow"") - COUNTUNIQUEIFS(collexo_data!$P:$P,collexo_data!$B:$B,A7,collexo_data!$M:$M,""Lucknow"",collexo_data!$R:$R,""GS Foundation Course"")"),0.0)</f>
        <v>0</v>
      </c>
      <c r="AA7" s="96"/>
      <c r="AB7" s="96">
        <f>sumifs(collexo_data!$G:$G,collexo_data!$B:$B,A7,collexo_data!$M:$M,"Lucknow",collexo_data!$R:$R,"GS Foundation Course")</f>
        <v>5767</v>
      </c>
      <c r="AC7" s="97">
        <f>sumifs(collexo_data!$G:$G,collexo_data!$B:$B,A7,collexo_data!$M:$M,"Lucknow") - sumifs(collexo_data!$G:$G,collexo_data!$B:$B,A7,collexo_data!$M:$M,"Lucknow",collexo_data!$R:$R,"GS Foundation Course")</f>
        <v>0</v>
      </c>
      <c r="AD7" s="98"/>
      <c r="AE7" s="29">
        <f>IFERROR(__xludf.DUMMYFUNCTION("COUNTUNIQUEIFS(collexo_data!$P:$P,collexo_data!$B:$B,A7,collexo_data!$M:$M,""Prayagraj"",collexo_data!$R:$R,""GS Foundation Course"")"),0.0)</f>
        <v>0</v>
      </c>
      <c r="AF7" s="29"/>
      <c r="AG7" s="29">
        <f>IFERROR(__xludf.DUMMYFUNCTION("COUNTUNIQUEIFS(collexo_data!$P:$P,collexo_data!$B:$B,A7,collexo_data!$M:$M,""Prayagraj"") - COUNTUNIQUEIFS(collexo_data!$P:$P,collexo_data!$B:$B,A7,collexo_data!$M:$M,""Prayagraj"",collexo_data!$R:$R,""GS Foundation Course"")"),0.0)</f>
        <v>0</v>
      </c>
      <c r="AH7" s="96"/>
      <c r="AI7" s="96">
        <f>sumifs(collexo_data!$G:$G,collexo_data!$B:$B,A7,collexo_data!$M:$M,"Prayagraj",collexo_data!$R:$R,"GS Foundation Course")</f>
        <v>0</v>
      </c>
      <c r="AJ7" s="97">
        <f>sumifs(collexo_data!$G:$G,collexo_data!$B:$B,A7,collexo_data!$M:$M,"Prayagraj") - sumifs(collexo_data!$G:$G,collexo_data!$B:$B,A7,collexo_data!$M:$M,"Prayagraj",collexo_data!$R:$R,"GS Foundation Course")</f>
        <v>0</v>
      </c>
      <c r="AK7" s="98"/>
      <c r="AL7" s="29">
        <f>IFERROR(__xludf.DUMMYFUNCTION("COUNTUNIQUEIFS(collexo_data!$P:$P,collexo_data!$B:$B,A7,collexo_data!$M:$M,""Indore"",collexo_data!$R:$R,""GS Foundation Course"")"),0.0)</f>
        <v>0</v>
      </c>
      <c r="AM7" s="29"/>
      <c r="AN7" s="29">
        <f>IFERROR(__xludf.DUMMYFUNCTION("COUNTUNIQUEIFS(collexo_data!$P:$P,collexo_data!$B:$B,A7,collexo_data!$M:$M,""Indore"") - COUNTUNIQUEIFS(collexo_data!$P:$P,collexo_data!$B:$B,A7,collexo_data!$M:$M,""Indore"",collexo_data!$R:$R,""GS Foundation Course"")"),0.0)</f>
        <v>0</v>
      </c>
      <c r="AO7" s="96"/>
      <c r="AP7" s="96">
        <f>sumifs(collexo_data!$G:$G,collexo_data!$B:$B,A7,collexo_data!$M:$M,"Indore",collexo_data!$R:$R,"GS Foundation Course")</f>
        <v>0</v>
      </c>
      <c r="AQ7" s="96">
        <f>sumifs(collexo_data!$G:$G,collexo_data!$B:$B,A7,collexo_data!$M:$M,"Indore") - sumifs(collexo_data!$G:$G,collexo_data!$B:$B,A7,collexo_data!$M:$M,"Indore",collexo_data!$R:$R,"GS Foundation Course")</f>
        <v>0</v>
      </c>
    </row>
    <row r="8">
      <c r="A8" s="33">
        <v>46056.0</v>
      </c>
      <c r="B8" s="29"/>
      <c r="C8" s="29">
        <f>IFERROR(__xludf.DUMMYFUNCTION("COUNTUNIQUEIFS(collexo_data!$P:$P,collexo_data!$B:$B,A8,collexo_data!$R:$R,""GS Foundation Course"")"),4.0)</f>
        <v>4</v>
      </c>
      <c r="D8" s="29"/>
      <c r="E8" s="29">
        <f>IFERROR(__xludf.DUMMYFUNCTION("COUNTUNIQUEIFS(collexo_data!$P:$P,collexo_data!$B:$B,A8) - COUNTUNIQUEIFS(collexo_data!$P:$P,collexo_data!$B:$B,A8,collexo_data!$R:$R,""GS Foundation Course"")"),0.0)</f>
        <v>0</v>
      </c>
      <c r="F8" s="96"/>
      <c r="G8" s="96">
        <f>sumifs(collexo_data!$G:$G,collexo_data!$B:$B,A8,collexo_data!R:R,"GS Foundation Course")</f>
        <v>279233</v>
      </c>
      <c r="H8" s="97">
        <f>sumifs(collexo_data!$G:$G,collexo_data!$B:$B,A8) - sumifs(collexo_data!$G:$G,collexo_data!$B:$B,A8,collexo_data!$R:$R,"GS Foundation Course")</f>
        <v>0</v>
      </c>
      <c r="I8" s="77"/>
      <c r="J8" s="29">
        <f>IFERROR(__xludf.DUMMYFUNCTION("COUNTUNIQUEIFS(collexo_data!$P:$P,collexo_data!$B:$B,A8,collexo_data!$M:$M,""New Delhi"",collexo_data!$R:$R,""GS Foundation Course"")"),3.0)</f>
        <v>3</v>
      </c>
      <c r="K8" s="29"/>
      <c r="L8" s="29">
        <f>IFERROR(__xludf.DUMMYFUNCTION("COUNTUNIQUEIFS(collexo_data!$P:$P,collexo_data!$B:$B,A8,collexo_data!$M:$M,""New Delhi"") - COUNTUNIQUEIFS(collexo_data!$P:$P,collexo_data!$B:$B,A8,collexo_data!$M:$M,""New Delhi"",collexo_data!$R:$R,""GS Foundation Course"")"),0.0)</f>
        <v>0</v>
      </c>
      <c r="M8" s="96"/>
      <c r="N8" s="96">
        <f>sumifs(collexo_data!$G:$G,collexo_data!$B:$B,A8,collexo_data!$M:$M,"New Delhi",collexo_data!$R:$R,"GS Foundation Course")</f>
        <v>235000</v>
      </c>
      <c r="O8" s="97">
        <f>sumifs(collexo_data!$G:$G,collexo_data!$B:$B,A8,collexo_data!$M:$M,"New Delhi") - sumifs(collexo_data!$G:$G,collexo_data!$B:$B,A8,collexo_data!$M:$M,"New Delhi",collexo_data!$R:$R,"GS Foundation Course")</f>
        <v>0</v>
      </c>
      <c r="P8" s="98"/>
      <c r="Q8" s="29">
        <f>IFERROR(__xludf.DUMMYFUNCTION("COUNTUNIQUEIFS(collexo_data!$P:$P,collexo_data!$B:$B,A8,collexo_data!$M:$M,""Patna"",collexo_data!$R:$R,""GS Foundation Course"")"),0.0)</f>
        <v>0</v>
      </c>
      <c r="R8" s="29"/>
      <c r="S8" s="29">
        <f>IFERROR(__xludf.DUMMYFUNCTION("COUNTUNIQUEIFS(collexo_data!$P:$P,collexo_data!$B:$B,A8,collexo_data!$M:$M,""Patna"") - COUNTUNIQUEIFS(collexo_data!$P:$P,collexo_data!$B:$B,H8,collexo_data!$M:$M,""New Delhi"",collexo_data!$R:$R,""GS Foundation Course"")"),0.0)</f>
        <v>0</v>
      </c>
      <c r="T8" s="96"/>
      <c r="U8" s="96">
        <f>sumifs(collexo_data!$G:$G,collexo_data!$B:$B,A8,collexo_data!$M:$M,"Patna",collexo_data!$R:$R,"GS Foundation Course")</f>
        <v>0</v>
      </c>
      <c r="V8" s="97">
        <f>sumifs(collexo_data!$G:$G,collexo_data!$B:$B,$A8,collexo_data!$M:$M,"Patna") - sumifs(collexo_data!$G:$G,collexo_data!$B:$B,$A8,collexo_data!$M:$M,"Patna",collexo_data!$R:$R,"GS Foundation Course")</f>
        <v>0</v>
      </c>
      <c r="W8" s="98"/>
      <c r="X8" s="29">
        <f>IFERROR(__xludf.DUMMYFUNCTION("COUNTUNIQUEIFS(collexo_data!$P:$P,collexo_data!$B:$B,A8,collexo_data!$M:$M,""Lucknow"",collexo_data!$R:$R,""GS Foundation Course"")"),1.0)</f>
        <v>1</v>
      </c>
      <c r="Y8" s="29"/>
      <c r="Z8" s="29">
        <f>IFERROR(__xludf.DUMMYFUNCTION("COUNTUNIQUEIFS(collexo_data!$P:$P,collexo_data!$B:$B,A8,collexo_data!$M:$M,""Lucknow"") - COUNTUNIQUEIFS(collexo_data!$P:$P,collexo_data!$B:$B,A8,collexo_data!$M:$M,""Lucknow"",collexo_data!$R:$R,""GS Foundation Course"")"),0.0)</f>
        <v>0</v>
      </c>
      <c r="AA8" s="96"/>
      <c r="AB8" s="96">
        <f>sumifs(collexo_data!$G:$G,collexo_data!$B:$B,A8,collexo_data!$M:$M,"Lucknow",collexo_data!$R:$R,"GS Foundation Course")</f>
        <v>44233</v>
      </c>
      <c r="AC8" s="97">
        <f>sumifs(collexo_data!$G:$G,collexo_data!$B:$B,A8,collexo_data!$M:$M,"Lucknow") - sumifs(collexo_data!$G:$G,collexo_data!$B:$B,A8,collexo_data!$M:$M,"Lucknow",collexo_data!$R:$R,"GS Foundation Course")</f>
        <v>0</v>
      </c>
      <c r="AD8" s="98"/>
      <c r="AE8" s="29">
        <f>IFERROR(__xludf.DUMMYFUNCTION("COUNTUNIQUEIFS(collexo_data!$P:$P,collexo_data!$B:$B,A8,collexo_data!$M:$M,""Prayagraj"",collexo_data!$R:$R,""GS Foundation Course"")"),0.0)</f>
        <v>0</v>
      </c>
      <c r="AF8" s="29"/>
      <c r="AG8" s="29">
        <f>IFERROR(__xludf.DUMMYFUNCTION("COUNTUNIQUEIFS(collexo_data!$P:$P,collexo_data!$B:$B,A8,collexo_data!$M:$M,""Prayagraj"") - COUNTUNIQUEIFS(collexo_data!$P:$P,collexo_data!$B:$B,A8,collexo_data!$M:$M,""Prayagraj"",collexo_data!$R:$R,""GS Foundation Course"")"),0.0)</f>
        <v>0</v>
      </c>
      <c r="AH8" s="96"/>
      <c r="AI8" s="96">
        <f>sumifs(collexo_data!$G:$G,collexo_data!$B:$B,A8,collexo_data!$M:$M,"Prayagraj",collexo_data!$R:$R,"GS Foundation Course")</f>
        <v>0</v>
      </c>
      <c r="AJ8" s="97">
        <f>sumifs(collexo_data!$G:$G,collexo_data!$B:$B,A8,collexo_data!$M:$M,"Prayagraj") - sumifs(collexo_data!$G:$G,collexo_data!$B:$B,A8,collexo_data!$M:$M,"Prayagraj",collexo_data!$R:$R,"GS Foundation Course")</f>
        <v>0</v>
      </c>
      <c r="AK8" s="98"/>
      <c r="AL8" s="29">
        <f>IFERROR(__xludf.DUMMYFUNCTION("COUNTUNIQUEIFS(collexo_data!$P:$P,collexo_data!$B:$B,A8,collexo_data!$M:$M,""Indore"",collexo_data!$R:$R,""GS Foundation Course"")"),0.0)</f>
        <v>0</v>
      </c>
      <c r="AM8" s="29"/>
      <c r="AN8" s="29">
        <f>IFERROR(__xludf.DUMMYFUNCTION("COUNTUNIQUEIFS(collexo_data!$P:$P,collexo_data!$B:$B,A8,collexo_data!$M:$M,""Indore"") - COUNTUNIQUEIFS(collexo_data!$P:$P,collexo_data!$B:$B,A8,collexo_data!$M:$M,""Indore"",collexo_data!$R:$R,""GS Foundation Course"")"),0.0)</f>
        <v>0</v>
      </c>
      <c r="AO8" s="96"/>
      <c r="AP8" s="96">
        <f>sumifs(collexo_data!$G:$G,collexo_data!$B:$B,A8,collexo_data!$M:$M,"Indore",collexo_data!$R:$R,"GS Foundation Course")</f>
        <v>0</v>
      </c>
      <c r="AQ8" s="96">
        <f>sumifs(collexo_data!$G:$G,collexo_data!$B:$B,A8,collexo_data!$M:$M,"Indore") - sumifs(collexo_data!$G:$G,collexo_data!$B:$B,A8,collexo_data!$M:$M,"Indore",collexo_data!$R:$R,"GS Foundation Course")</f>
        <v>0</v>
      </c>
    </row>
    <row r="9">
      <c r="A9" s="33">
        <v>46057.0</v>
      </c>
      <c r="B9" s="29"/>
      <c r="C9" s="29">
        <f>IFERROR(__xludf.DUMMYFUNCTION("COUNTUNIQUEIFS(collexo_data!$P:$P,collexo_data!$B:$B,A9,collexo_data!$R:$R,""GS Foundation Course"")"),3.0)</f>
        <v>3</v>
      </c>
      <c r="D9" s="29"/>
      <c r="E9" s="29">
        <f>IFERROR(__xludf.DUMMYFUNCTION("COUNTUNIQUEIFS(collexo_data!$P:$P,collexo_data!$B:$B,A9) - COUNTUNIQUEIFS(collexo_data!$P:$P,collexo_data!$B:$B,A9,collexo_data!$R:$R,""GS Foundation Course"")"),0.0)</f>
        <v>0</v>
      </c>
      <c r="F9" s="96"/>
      <c r="G9" s="96">
        <f>sumifs(collexo_data!$G:$G,collexo_data!$B:$B,A9,collexo_data!R:R,"GS Foundation Course")</f>
        <v>18944</v>
      </c>
      <c r="H9" s="97">
        <f>sumifs(collexo_data!$G:$G,collexo_data!$B:$B,A9) - sumifs(collexo_data!$G:$G,collexo_data!$B:$B,A9,collexo_data!$R:$R,"GS Foundation Course")</f>
        <v>0</v>
      </c>
      <c r="I9" s="77"/>
      <c r="J9" s="29">
        <f>IFERROR(__xludf.DUMMYFUNCTION("COUNTUNIQUEIFS(collexo_data!$P:$P,collexo_data!$B:$B,A9,collexo_data!$M:$M,""New Delhi"",collexo_data!$R:$R,""GS Foundation Course"")"),2.0)</f>
        <v>2</v>
      </c>
      <c r="K9" s="29"/>
      <c r="L9" s="29">
        <f>IFERROR(__xludf.DUMMYFUNCTION("COUNTUNIQUEIFS(collexo_data!$P:$P,collexo_data!$B:$B,A9,collexo_data!$M:$M,""New Delhi"") - COUNTUNIQUEIFS(collexo_data!$P:$P,collexo_data!$B:$B,A9,collexo_data!$M:$M,""New Delhi"",collexo_data!$R:$R,""GS Foundation Course"")"),0.0)</f>
        <v>0</v>
      </c>
      <c r="M9" s="96"/>
      <c r="N9" s="96">
        <f>sumifs(collexo_data!$G:$G,collexo_data!$B:$B,A9,collexo_data!$M:$M,"New Delhi",collexo_data!$R:$R,"GS Foundation Course")</f>
        <v>10000</v>
      </c>
      <c r="O9" s="97">
        <f>sumifs(collexo_data!$G:$G,collexo_data!$B:$B,A9,collexo_data!$M:$M,"New Delhi") - sumifs(collexo_data!$G:$G,collexo_data!$B:$B,A9,collexo_data!$M:$M,"New Delhi",collexo_data!$R:$R,"GS Foundation Course")</f>
        <v>0</v>
      </c>
      <c r="P9" s="98"/>
      <c r="Q9" s="29">
        <f>IFERROR(__xludf.DUMMYFUNCTION("COUNTUNIQUEIFS(collexo_data!$P:$P,collexo_data!$B:$B,A9,collexo_data!$M:$M,""Patna"",collexo_data!$R:$R,""GS Foundation Course"")"),0.0)</f>
        <v>0</v>
      </c>
      <c r="R9" s="29"/>
      <c r="S9" s="29">
        <f>IFERROR(__xludf.DUMMYFUNCTION("COUNTUNIQUEIFS(collexo_data!$P:$P,collexo_data!$B:$B,A9,collexo_data!$M:$M,""Patna"") - COUNTUNIQUEIFS(collexo_data!$P:$P,collexo_data!$B:$B,H9,collexo_data!$M:$M,""New Delhi"",collexo_data!$R:$R,""GS Foundation Course"")"),0.0)</f>
        <v>0</v>
      </c>
      <c r="T9" s="96"/>
      <c r="U9" s="96">
        <f>sumifs(collexo_data!$G:$G,collexo_data!$B:$B,A9,collexo_data!$M:$M,"Patna",collexo_data!$R:$R,"GS Foundation Course")</f>
        <v>0</v>
      </c>
      <c r="V9" s="97">
        <f>sumifs(collexo_data!$G:$G,collexo_data!$B:$B,$A9,collexo_data!$M:$M,"Patna") - sumifs(collexo_data!$G:$G,collexo_data!$B:$B,$A9,collexo_data!$M:$M,"Patna",collexo_data!$R:$R,"GS Foundation Course")</f>
        <v>0</v>
      </c>
      <c r="W9" s="98"/>
      <c r="X9" s="29">
        <f>IFERROR(__xludf.DUMMYFUNCTION("COUNTUNIQUEIFS(collexo_data!$P:$P,collexo_data!$B:$B,A9,collexo_data!$M:$M,""Lucknow"",collexo_data!$R:$R,""GS Foundation Course"")"),1.0)</f>
        <v>1</v>
      </c>
      <c r="Y9" s="29"/>
      <c r="Z9" s="29">
        <f>IFERROR(__xludf.DUMMYFUNCTION("COUNTUNIQUEIFS(collexo_data!$P:$P,collexo_data!$B:$B,A9,collexo_data!$M:$M,""Lucknow"") - COUNTUNIQUEIFS(collexo_data!$P:$P,collexo_data!$B:$B,A9,collexo_data!$M:$M,""Lucknow"",collexo_data!$R:$R,""GS Foundation Course"")"),0.0)</f>
        <v>0</v>
      </c>
      <c r="AA9" s="96"/>
      <c r="AB9" s="96">
        <f>sumifs(collexo_data!$G:$G,collexo_data!$B:$B,A9,collexo_data!$M:$M,"Lucknow",collexo_data!$R:$R,"GS Foundation Course")</f>
        <v>8944</v>
      </c>
      <c r="AC9" s="97">
        <f>sumifs(collexo_data!$G:$G,collexo_data!$B:$B,A9,collexo_data!$M:$M,"Lucknow") - sumifs(collexo_data!$G:$G,collexo_data!$B:$B,A9,collexo_data!$M:$M,"Lucknow",collexo_data!$R:$R,"GS Foundation Course")</f>
        <v>0</v>
      </c>
      <c r="AD9" s="98"/>
      <c r="AE9" s="29">
        <f>IFERROR(__xludf.DUMMYFUNCTION("COUNTUNIQUEIFS(collexo_data!$P:$P,collexo_data!$B:$B,A9,collexo_data!$M:$M,""Prayagraj"",collexo_data!$R:$R,""GS Foundation Course"")"),0.0)</f>
        <v>0</v>
      </c>
      <c r="AF9" s="29"/>
      <c r="AG9" s="29">
        <f>IFERROR(__xludf.DUMMYFUNCTION("COUNTUNIQUEIFS(collexo_data!$P:$P,collexo_data!$B:$B,A9,collexo_data!$M:$M,""Prayagraj"") - COUNTUNIQUEIFS(collexo_data!$P:$P,collexo_data!$B:$B,A9,collexo_data!$M:$M,""Prayagraj"",collexo_data!$R:$R,""GS Foundation Course"")"),0.0)</f>
        <v>0</v>
      </c>
      <c r="AH9" s="96"/>
      <c r="AI9" s="96">
        <f>sumifs(collexo_data!$G:$G,collexo_data!$B:$B,A9,collexo_data!$M:$M,"Prayagraj",collexo_data!$R:$R,"GS Foundation Course")</f>
        <v>0</v>
      </c>
      <c r="AJ9" s="97">
        <f>sumifs(collexo_data!$G:$G,collexo_data!$B:$B,A9,collexo_data!$M:$M,"Prayagraj") - sumifs(collexo_data!$G:$G,collexo_data!$B:$B,A9,collexo_data!$M:$M,"Prayagraj",collexo_data!$R:$R,"GS Foundation Course")</f>
        <v>0</v>
      </c>
      <c r="AK9" s="98"/>
      <c r="AL9" s="29">
        <f>IFERROR(__xludf.DUMMYFUNCTION("COUNTUNIQUEIFS(collexo_data!$P:$P,collexo_data!$B:$B,A9,collexo_data!$M:$M,""Indore"",collexo_data!$R:$R,""GS Foundation Course"")"),0.0)</f>
        <v>0</v>
      </c>
      <c r="AM9" s="29"/>
      <c r="AN9" s="29">
        <f>IFERROR(__xludf.DUMMYFUNCTION("COUNTUNIQUEIFS(collexo_data!$P:$P,collexo_data!$B:$B,A9,collexo_data!$M:$M,""Indore"") - COUNTUNIQUEIFS(collexo_data!$P:$P,collexo_data!$B:$B,A9,collexo_data!$M:$M,""Indore"",collexo_data!$R:$R,""GS Foundation Course"")"),0.0)</f>
        <v>0</v>
      </c>
      <c r="AO9" s="96"/>
      <c r="AP9" s="96">
        <f>sumifs(collexo_data!$G:$G,collexo_data!$B:$B,A9,collexo_data!$M:$M,"Indore",collexo_data!$R:$R,"GS Foundation Course")</f>
        <v>0</v>
      </c>
      <c r="AQ9" s="96">
        <f>sumifs(collexo_data!$G:$G,collexo_data!$B:$B,A9,collexo_data!$M:$M,"Indore") - sumifs(collexo_data!$G:$G,collexo_data!$B:$B,A9,collexo_data!$M:$M,"Indore",collexo_data!$R:$R,"GS Foundation Course")</f>
        <v>0</v>
      </c>
    </row>
    <row r="10">
      <c r="A10" s="33">
        <v>46058.0</v>
      </c>
      <c r="B10" s="29"/>
      <c r="C10" s="29">
        <f>IFERROR(__xludf.DUMMYFUNCTION("COUNTUNIQUEIFS(collexo_data!$P:$P,collexo_data!$B:$B,A10,collexo_data!$R:$R,""GS Foundation Course"")"),7.0)</f>
        <v>7</v>
      </c>
      <c r="D10" s="29"/>
      <c r="E10" s="29">
        <f>IFERROR(__xludf.DUMMYFUNCTION("COUNTUNIQUEIFS(collexo_data!$P:$P,collexo_data!$B:$B,A10) - COUNTUNIQUEIFS(collexo_data!$P:$P,collexo_data!$B:$B,A10,collexo_data!$R:$R,""GS Foundation Course"")"),0.0)</f>
        <v>0</v>
      </c>
      <c r="F10" s="96"/>
      <c r="G10" s="96">
        <f>sumifs(collexo_data!$G:$G,collexo_data!$B:$B,A10,collexo_data!R:R,"GS Foundation Course")</f>
        <v>159806</v>
      </c>
      <c r="H10" s="97">
        <f>sumifs(collexo_data!$G:$G,collexo_data!$B:$B,A10) - sumifs(collexo_data!$G:$G,collexo_data!$B:$B,A10,collexo_data!$R:$R,"GS Foundation Course")</f>
        <v>0</v>
      </c>
      <c r="I10" s="77"/>
      <c r="J10" s="29">
        <f>IFERROR(__xludf.DUMMYFUNCTION("COUNTUNIQUEIFS(collexo_data!$P:$P,collexo_data!$B:$B,A10,collexo_data!$M:$M,""New Delhi"",collexo_data!$R:$R,""GS Foundation Course"")"),6.0)</f>
        <v>6</v>
      </c>
      <c r="K10" s="29"/>
      <c r="L10" s="29">
        <f>IFERROR(__xludf.DUMMYFUNCTION("COUNTUNIQUEIFS(collexo_data!$P:$P,collexo_data!$B:$B,A10,collexo_data!$M:$M,""New Delhi"") - COUNTUNIQUEIFS(collexo_data!$P:$P,collexo_data!$B:$B,A10,collexo_data!$M:$M,""New Delhi"",collexo_data!$R:$R,""GS Foundation Course"")"),0.0)</f>
        <v>0</v>
      </c>
      <c r="M10" s="96"/>
      <c r="N10" s="96">
        <f>sumifs(collexo_data!$G:$G,collexo_data!$B:$B,A10,collexo_data!$M:$M,"New Delhi",collexo_data!$R:$R,"GS Foundation Course")</f>
        <v>113750</v>
      </c>
      <c r="O10" s="97">
        <f>sumifs(collexo_data!$G:$G,collexo_data!$B:$B,A10,collexo_data!$M:$M,"New Delhi") - sumifs(collexo_data!$G:$G,collexo_data!$B:$B,A10,collexo_data!$M:$M,"New Delhi",collexo_data!$R:$R,"GS Foundation Course")</f>
        <v>0</v>
      </c>
      <c r="P10" s="98"/>
      <c r="Q10" s="29">
        <f>IFERROR(__xludf.DUMMYFUNCTION("COUNTUNIQUEIFS(collexo_data!$P:$P,collexo_data!$B:$B,A10,collexo_data!$M:$M,""Patna"",collexo_data!$R:$R,""GS Foundation Course"")"),0.0)</f>
        <v>0</v>
      </c>
      <c r="R10" s="29"/>
      <c r="S10" s="29">
        <f>IFERROR(__xludf.DUMMYFUNCTION("COUNTUNIQUEIFS(collexo_data!$P:$P,collexo_data!$B:$B,A10,collexo_data!$M:$M,""Patna"") - COUNTUNIQUEIFS(collexo_data!$P:$P,collexo_data!$B:$B,H10,collexo_data!$M:$M,""New Delhi"",collexo_data!$R:$R,""GS Foundation Course"")"),0.0)</f>
        <v>0</v>
      </c>
      <c r="T10" s="96"/>
      <c r="U10" s="96">
        <f>sumifs(collexo_data!$G:$G,collexo_data!$B:$B,A10,collexo_data!$M:$M,"Patna",collexo_data!$R:$R,"GS Foundation Course")</f>
        <v>0</v>
      </c>
      <c r="V10" s="97">
        <f>sumifs(collexo_data!$G:$G,collexo_data!$B:$B,$A10,collexo_data!$M:$M,"Patna") - sumifs(collexo_data!$G:$G,collexo_data!$B:$B,$A10,collexo_data!$M:$M,"Patna",collexo_data!$R:$R,"GS Foundation Course")</f>
        <v>0</v>
      </c>
      <c r="W10" s="98"/>
      <c r="X10" s="29">
        <f>IFERROR(__xludf.DUMMYFUNCTION("COUNTUNIQUEIFS(collexo_data!$P:$P,collexo_data!$B:$B,A10,collexo_data!$M:$M,""Lucknow"",collexo_data!$R:$R,""GS Foundation Course"")"),1.0)</f>
        <v>1</v>
      </c>
      <c r="Y10" s="29"/>
      <c r="Z10" s="29">
        <f>IFERROR(__xludf.DUMMYFUNCTION("COUNTUNIQUEIFS(collexo_data!$P:$P,collexo_data!$B:$B,A10,collexo_data!$M:$M,""Lucknow"") - COUNTUNIQUEIFS(collexo_data!$P:$P,collexo_data!$B:$B,A10,collexo_data!$M:$M,""Lucknow"",collexo_data!$R:$R,""GS Foundation Course"")"),0.0)</f>
        <v>0</v>
      </c>
      <c r="AA10" s="96"/>
      <c r="AB10" s="96">
        <f>sumifs(collexo_data!$G:$G,collexo_data!$B:$B,A10,collexo_data!$M:$M,"Lucknow",collexo_data!$R:$R,"GS Foundation Course")</f>
        <v>46056</v>
      </c>
      <c r="AC10" s="97">
        <f>sumifs(collexo_data!$G:$G,collexo_data!$B:$B,A10,collexo_data!$M:$M,"Lucknow") - sumifs(collexo_data!$G:$G,collexo_data!$B:$B,A10,collexo_data!$M:$M,"Lucknow",collexo_data!$R:$R,"GS Foundation Course")</f>
        <v>0</v>
      </c>
      <c r="AD10" s="98"/>
      <c r="AE10" s="29">
        <f>IFERROR(__xludf.DUMMYFUNCTION("COUNTUNIQUEIFS(collexo_data!$P:$P,collexo_data!$B:$B,A10,collexo_data!$M:$M,""Prayagraj"",collexo_data!$R:$R,""GS Foundation Course"")"),0.0)</f>
        <v>0</v>
      </c>
      <c r="AF10" s="29"/>
      <c r="AG10" s="29">
        <f>IFERROR(__xludf.DUMMYFUNCTION("COUNTUNIQUEIFS(collexo_data!$P:$P,collexo_data!$B:$B,A10,collexo_data!$M:$M,""Prayagraj"") - COUNTUNIQUEIFS(collexo_data!$P:$P,collexo_data!$B:$B,A10,collexo_data!$M:$M,""Prayagraj"",collexo_data!$R:$R,""GS Foundation Course"")"),0.0)</f>
        <v>0</v>
      </c>
      <c r="AH10" s="96"/>
      <c r="AI10" s="96">
        <f>sumifs(collexo_data!$G:$G,collexo_data!$B:$B,A10,collexo_data!$M:$M,"Prayagraj",collexo_data!$R:$R,"GS Foundation Course")</f>
        <v>0</v>
      </c>
      <c r="AJ10" s="97">
        <f>sumifs(collexo_data!$G:$G,collexo_data!$B:$B,A10,collexo_data!$M:$M,"Prayagraj") - sumifs(collexo_data!$G:$G,collexo_data!$B:$B,A10,collexo_data!$M:$M,"Prayagraj",collexo_data!$R:$R,"GS Foundation Course")</f>
        <v>0</v>
      </c>
      <c r="AK10" s="98"/>
      <c r="AL10" s="29">
        <f>IFERROR(__xludf.DUMMYFUNCTION("COUNTUNIQUEIFS(collexo_data!$P:$P,collexo_data!$B:$B,A10,collexo_data!$M:$M,""Indore"",collexo_data!$R:$R,""GS Foundation Course"")"),0.0)</f>
        <v>0</v>
      </c>
      <c r="AM10" s="29"/>
      <c r="AN10" s="29">
        <f>IFERROR(__xludf.DUMMYFUNCTION("COUNTUNIQUEIFS(collexo_data!$P:$P,collexo_data!$B:$B,A10,collexo_data!$M:$M,""Indore"") - COUNTUNIQUEIFS(collexo_data!$P:$P,collexo_data!$B:$B,A10,collexo_data!$M:$M,""Indore"",collexo_data!$R:$R,""GS Foundation Course"")"),0.0)</f>
        <v>0</v>
      </c>
      <c r="AO10" s="96"/>
      <c r="AP10" s="96">
        <f>sumifs(collexo_data!$G:$G,collexo_data!$B:$B,A10,collexo_data!$M:$M,"Indore",collexo_data!$R:$R,"GS Foundation Course")</f>
        <v>0</v>
      </c>
      <c r="AQ10" s="96">
        <f>sumifs(collexo_data!$G:$G,collexo_data!$B:$B,A10,collexo_data!$M:$M,"Indore") - sumifs(collexo_data!$G:$G,collexo_data!$B:$B,A10,collexo_data!$M:$M,"Indore",collexo_data!$R:$R,"GS Foundation Course")</f>
        <v>0</v>
      </c>
    </row>
    <row r="11">
      <c r="A11" s="33">
        <v>46059.0</v>
      </c>
      <c r="B11" s="29"/>
      <c r="C11" s="29">
        <f>IFERROR(__xludf.DUMMYFUNCTION("COUNTUNIQUEIFS(collexo_data!$P:$P,collexo_data!$B:$B,A11,collexo_data!$R:$R,""GS Foundation Course"")"),2.0)</f>
        <v>2</v>
      </c>
      <c r="D11" s="29"/>
      <c r="E11" s="29">
        <f>IFERROR(__xludf.DUMMYFUNCTION("COUNTUNIQUEIFS(collexo_data!$P:$P,collexo_data!$B:$B,A11) - COUNTUNIQUEIFS(collexo_data!$P:$P,collexo_data!$B:$B,A11,collexo_data!$R:$R,""GS Foundation Course"")"),0.0)</f>
        <v>0</v>
      </c>
      <c r="F11" s="96"/>
      <c r="G11" s="96">
        <f>sumifs(collexo_data!$G:$G,collexo_data!$B:$B,A11,collexo_data!R:R,"GS Foundation Course")</f>
        <v>120000</v>
      </c>
      <c r="H11" s="97">
        <f>sumifs(collexo_data!$G:$G,collexo_data!$B:$B,A11) - sumifs(collexo_data!$G:$G,collexo_data!$B:$B,A11,collexo_data!$R:$R,"GS Foundation Course")</f>
        <v>0</v>
      </c>
      <c r="I11" s="77"/>
      <c r="J11" s="29">
        <f>IFERROR(__xludf.DUMMYFUNCTION("COUNTUNIQUEIFS(collexo_data!$P:$P,collexo_data!$B:$B,A11,collexo_data!$M:$M,""New Delhi"",collexo_data!$R:$R,""GS Foundation Course"")"),2.0)</f>
        <v>2</v>
      </c>
      <c r="K11" s="29"/>
      <c r="L11" s="29">
        <f>IFERROR(__xludf.DUMMYFUNCTION("COUNTUNIQUEIFS(collexo_data!$P:$P,collexo_data!$B:$B,A11,collexo_data!$M:$M,""New Delhi"") - COUNTUNIQUEIFS(collexo_data!$P:$P,collexo_data!$B:$B,A11,collexo_data!$M:$M,""New Delhi"",collexo_data!$R:$R,""GS Foundation Course"")"),0.0)</f>
        <v>0</v>
      </c>
      <c r="M11" s="96"/>
      <c r="N11" s="96">
        <f>sumifs(collexo_data!$G:$G,collexo_data!$B:$B,A11,collexo_data!$M:$M,"New Delhi",collexo_data!$R:$R,"GS Foundation Course")</f>
        <v>120000</v>
      </c>
      <c r="O11" s="97">
        <f>sumifs(collexo_data!$G:$G,collexo_data!$B:$B,A11,collexo_data!$M:$M,"New Delhi") - sumifs(collexo_data!$G:$G,collexo_data!$B:$B,A11,collexo_data!$M:$M,"New Delhi",collexo_data!$R:$R,"GS Foundation Course")</f>
        <v>0</v>
      </c>
      <c r="P11" s="98"/>
      <c r="Q11" s="29">
        <f>IFERROR(__xludf.DUMMYFUNCTION("COUNTUNIQUEIFS(collexo_data!$P:$P,collexo_data!$B:$B,A11,collexo_data!$M:$M,""Patna"",collexo_data!$R:$R,""GS Foundation Course"")"),0.0)</f>
        <v>0</v>
      </c>
      <c r="R11" s="29"/>
      <c r="S11" s="29">
        <f>IFERROR(__xludf.DUMMYFUNCTION("COUNTUNIQUEIFS(collexo_data!$P:$P,collexo_data!$B:$B,A11,collexo_data!$M:$M,""Patna"") - COUNTUNIQUEIFS(collexo_data!$P:$P,collexo_data!$B:$B,H11,collexo_data!$M:$M,""New Delhi"",collexo_data!$R:$R,""GS Foundation Course"")"),0.0)</f>
        <v>0</v>
      </c>
      <c r="T11" s="96"/>
      <c r="U11" s="96">
        <f>sumifs(collexo_data!$G:$G,collexo_data!$B:$B,A11,collexo_data!$M:$M,"Patna",collexo_data!$R:$R,"GS Foundation Course")</f>
        <v>0</v>
      </c>
      <c r="V11" s="97">
        <f>sumifs(collexo_data!$G:$G,collexo_data!$B:$B,$A11,collexo_data!$M:$M,"Patna") - sumifs(collexo_data!$G:$G,collexo_data!$B:$B,$A11,collexo_data!$M:$M,"Patna",collexo_data!$R:$R,"GS Foundation Course")</f>
        <v>0</v>
      </c>
      <c r="W11" s="98"/>
      <c r="X11" s="29">
        <f>IFERROR(__xludf.DUMMYFUNCTION("COUNTUNIQUEIFS(collexo_data!$P:$P,collexo_data!$B:$B,A11,collexo_data!$M:$M,""Lucknow"",collexo_data!$R:$R,""GS Foundation Course"")"),0.0)</f>
        <v>0</v>
      </c>
      <c r="Y11" s="29"/>
      <c r="Z11" s="29">
        <f>IFERROR(__xludf.DUMMYFUNCTION("COUNTUNIQUEIFS(collexo_data!$P:$P,collexo_data!$B:$B,A11,collexo_data!$M:$M,""Lucknow"") - COUNTUNIQUEIFS(collexo_data!$P:$P,collexo_data!$B:$B,A11,collexo_data!$M:$M,""Lucknow"",collexo_data!$R:$R,""GS Foundation Course"")"),0.0)</f>
        <v>0</v>
      </c>
      <c r="AA11" s="96"/>
      <c r="AB11" s="96">
        <f>sumifs(collexo_data!$G:$G,collexo_data!$B:$B,A11,collexo_data!$M:$M,"Lucknow",collexo_data!$R:$R,"GS Foundation Course")</f>
        <v>0</v>
      </c>
      <c r="AC11" s="97">
        <f>sumifs(collexo_data!$G:$G,collexo_data!$B:$B,A11,collexo_data!$M:$M,"Lucknow") - sumifs(collexo_data!$G:$G,collexo_data!$B:$B,A11,collexo_data!$M:$M,"Lucknow",collexo_data!$R:$R,"GS Foundation Course")</f>
        <v>0</v>
      </c>
      <c r="AD11" s="98"/>
      <c r="AE11" s="29">
        <f>IFERROR(__xludf.DUMMYFUNCTION("COUNTUNIQUEIFS(collexo_data!$P:$P,collexo_data!$B:$B,A11,collexo_data!$M:$M,""Prayagraj"",collexo_data!$R:$R,""GS Foundation Course"")"),0.0)</f>
        <v>0</v>
      </c>
      <c r="AF11" s="29"/>
      <c r="AG11" s="29">
        <f>IFERROR(__xludf.DUMMYFUNCTION("COUNTUNIQUEIFS(collexo_data!$P:$P,collexo_data!$B:$B,A11,collexo_data!$M:$M,""Prayagraj"") - COUNTUNIQUEIFS(collexo_data!$P:$P,collexo_data!$B:$B,A11,collexo_data!$M:$M,""Prayagraj"",collexo_data!$R:$R,""GS Foundation Course"")"),0.0)</f>
        <v>0</v>
      </c>
      <c r="AH11" s="96"/>
      <c r="AI11" s="96">
        <f>sumifs(collexo_data!$G:$G,collexo_data!$B:$B,A11,collexo_data!$M:$M,"Prayagraj",collexo_data!$R:$R,"GS Foundation Course")</f>
        <v>0</v>
      </c>
      <c r="AJ11" s="97">
        <f>sumifs(collexo_data!$G:$G,collexo_data!$B:$B,A11,collexo_data!$M:$M,"Prayagraj") - sumifs(collexo_data!$G:$G,collexo_data!$B:$B,A11,collexo_data!$M:$M,"Prayagraj",collexo_data!$R:$R,"GS Foundation Course")</f>
        <v>0</v>
      </c>
      <c r="AK11" s="98"/>
      <c r="AL11" s="29">
        <f>IFERROR(__xludf.DUMMYFUNCTION("COUNTUNIQUEIFS(collexo_data!$P:$P,collexo_data!$B:$B,A11,collexo_data!$M:$M,""Indore"",collexo_data!$R:$R,""GS Foundation Course"")"),0.0)</f>
        <v>0</v>
      </c>
      <c r="AM11" s="29"/>
      <c r="AN11" s="29">
        <f>IFERROR(__xludf.DUMMYFUNCTION("COUNTUNIQUEIFS(collexo_data!$P:$P,collexo_data!$B:$B,A11,collexo_data!$M:$M,""Indore"") - COUNTUNIQUEIFS(collexo_data!$P:$P,collexo_data!$B:$B,A11,collexo_data!$M:$M,""Indore"",collexo_data!$R:$R,""GS Foundation Course"")"),0.0)</f>
        <v>0</v>
      </c>
      <c r="AO11" s="96"/>
      <c r="AP11" s="96">
        <f>sumifs(collexo_data!$G:$G,collexo_data!$B:$B,A11,collexo_data!$M:$M,"Indore",collexo_data!$R:$R,"GS Foundation Course")</f>
        <v>0</v>
      </c>
      <c r="AQ11" s="96">
        <f>sumifs(collexo_data!$G:$G,collexo_data!$B:$B,A11,collexo_data!$M:$M,"Indore") - sumifs(collexo_data!$G:$G,collexo_data!$B:$B,A11,collexo_data!$M:$M,"Indore",collexo_data!$R:$R,"GS Foundation Course")</f>
        <v>0</v>
      </c>
    </row>
    <row r="12">
      <c r="A12" s="33">
        <v>46060.0</v>
      </c>
      <c r="B12" s="29"/>
      <c r="C12" s="29">
        <f>IFERROR(__xludf.DUMMYFUNCTION("COUNTUNIQUEIFS(collexo_data!$P:$P,collexo_data!$B:$B,A12,collexo_data!$R:$R,""GS Foundation Course"")"),2.0)</f>
        <v>2</v>
      </c>
      <c r="D12" s="29"/>
      <c r="E12" s="29">
        <f>IFERROR(__xludf.DUMMYFUNCTION("COUNTUNIQUEIFS(collexo_data!$P:$P,collexo_data!$B:$B,A12) - COUNTUNIQUEIFS(collexo_data!$P:$P,collexo_data!$B:$B,A12,collexo_data!$R:$R,""GS Foundation Course"")"),0.0)</f>
        <v>0</v>
      </c>
      <c r="F12" s="96"/>
      <c r="G12" s="96">
        <f>sumifs(collexo_data!$G:$G,collexo_data!$B:$B,A12,collexo_data!R:R,"GS Foundation Course")</f>
        <v>130000</v>
      </c>
      <c r="H12" s="97">
        <f>sumifs(collexo_data!$G:$G,collexo_data!$B:$B,A12) - sumifs(collexo_data!$G:$G,collexo_data!$B:$B,A12,collexo_data!$R:$R,"GS Foundation Course")</f>
        <v>0</v>
      </c>
      <c r="I12" s="77"/>
      <c r="J12" s="29">
        <f>IFERROR(__xludf.DUMMYFUNCTION("COUNTUNIQUEIFS(collexo_data!$P:$P,collexo_data!$B:$B,A12,collexo_data!$M:$M,""New Delhi"",collexo_data!$R:$R,""GS Foundation Course"")"),2.0)</f>
        <v>2</v>
      </c>
      <c r="K12" s="29"/>
      <c r="L12" s="29">
        <f>IFERROR(__xludf.DUMMYFUNCTION("COUNTUNIQUEIFS(collexo_data!$P:$P,collexo_data!$B:$B,A12,collexo_data!$M:$M,""New Delhi"") - COUNTUNIQUEIFS(collexo_data!$P:$P,collexo_data!$B:$B,A12,collexo_data!$M:$M,""New Delhi"",collexo_data!$R:$R,""GS Foundation Course"")"),0.0)</f>
        <v>0</v>
      </c>
      <c r="M12" s="96"/>
      <c r="N12" s="96">
        <f>sumifs(collexo_data!$G:$G,collexo_data!$B:$B,A12,collexo_data!$M:$M,"New Delhi",collexo_data!$R:$R,"GS Foundation Course")</f>
        <v>130000</v>
      </c>
      <c r="O12" s="97">
        <f>sumifs(collexo_data!$G:$G,collexo_data!$B:$B,A12,collexo_data!$M:$M,"New Delhi") - sumifs(collexo_data!$G:$G,collexo_data!$B:$B,A12,collexo_data!$M:$M,"New Delhi",collexo_data!$R:$R,"GS Foundation Course")</f>
        <v>0</v>
      </c>
      <c r="P12" s="98"/>
      <c r="Q12" s="29">
        <f>IFERROR(__xludf.DUMMYFUNCTION("COUNTUNIQUEIFS(collexo_data!$P:$P,collexo_data!$B:$B,A12,collexo_data!$M:$M,""Patna"",collexo_data!$R:$R,""GS Foundation Course"")"),0.0)</f>
        <v>0</v>
      </c>
      <c r="R12" s="29"/>
      <c r="S12" s="29">
        <f>IFERROR(__xludf.DUMMYFUNCTION("COUNTUNIQUEIFS(collexo_data!$P:$P,collexo_data!$B:$B,A12,collexo_data!$M:$M,""Patna"") - COUNTUNIQUEIFS(collexo_data!$P:$P,collexo_data!$B:$B,H12,collexo_data!$M:$M,""New Delhi"",collexo_data!$R:$R,""GS Foundation Course"")"),0.0)</f>
        <v>0</v>
      </c>
      <c r="T12" s="96"/>
      <c r="U12" s="96">
        <f>sumifs(collexo_data!$G:$G,collexo_data!$B:$B,A12,collexo_data!$M:$M,"Patna",collexo_data!$R:$R,"GS Foundation Course")</f>
        <v>0</v>
      </c>
      <c r="V12" s="97">
        <f>sumifs(collexo_data!$G:$G,collexo_data!$B:$B,$A12,collexo_data!$M:$M,"Patna") - sumifs(collexo_data!$G:$G,collexo_data!$B:$B,$A12,collexo_data!$M:$M,"Patna",collexo_data!$R:$R,"GS Foundation Course")</f>
        <v>0</v>
      </c>
      <c r="W12" s="98"/>
      <c r="X12" s="29">
        <f>IFERROR(__xludf.DUMMYFUNCTION("COUNTUNIQUEIFS(collexo_data!$P:$P,collexo_data!$B:$B,A12,collexo_data!$M:$M,""Lucknow"",collexo_data!$R:$R,""GS Foundation Course"")"),0.0)</f>
        <v>0</v>
      </c>
      <c r="Y12" s="29"/>
      <c r="Z12" s="29">
        <f>IFERROR(__xludf.DUMMYFUNCTION("COUNTUNIQUEIFS(collexo_data!$P:$P,collexo_data!$B:$B,A12,collexo_data!$M:$M,""Lucknow"") - COUNTUNIQUEIFS(collexo_data!$P:$P,collexo_data!$B:$B,A12,collexo_data!$M:$M,""Lucknow"",collexo_data!$R:$R,""GS Foundation Course"")"),0.0)</f>
        <v>0</v>
      </c>
      <c r="AA12" s="96"/>
      <c r="AB12" s="96">
        <f>sumifs(collexo_data!$G:$G,collexo_data!$B:$B,A12,collexo_data!$M:$M,"Lucknow",collexo_data!$R:$R,"GS Foundation Course")</f>
        <v>0</v>
      </c>
      <c r="AC12" s="97">
        <f>sumifs(collexo_data!$G:$G,collexo_data!$B:$B,A12,collexo_data!$M:$M,"Lucknow") - sumifs(collexo_data!$G:$G,collexo_data!$B:$B,A12,collexo_data!$M:$M,"Lucknow",collexo_data!$R:$R,"GS Foundation Course")</f>
        <v>0</v>
      </c>
      <c r="AD12" s="98"/>
      <c r="AE12" s="29">
        <f>IFERROR(__xludf.DUMMYFUNCTION("COUNTUNIQUEIFS(collexo_data!$P:$P,collexo_data!$B:$B,A12,collexo_data!$M:$M,""Prayagraj"",collexo_data!$R:$R,""GS Foundation Course"")"),0.0)</f>
        <v>0</v>
      </c>
      <c r="AF12" s="29"/>
      <c r="AG12" s="29">
        <f>IFERROR(__xludf.DUMMYFUNCTION("COUNTUNIQUEIFS(collexo_data!$P:$P,collexo_data!$B:$B,A12,collexo_data!$M:$M,""Prayagraj"") - COUNTUNIQUEIFS(collexo_data!$P:$P,collexo_data!$B:$B,A12,collexo_data!$M:$M,""Prayagraj"",collexo_data!$R:$R,""GS Foundation Course"")"),0.0)</f>
        <v>0</v>
      </c>
      <c r="AH12" s="96"/>
      <c r="AI12" s="96">
        <f>sumifs(collexo_data!$G:$G,collexo_data!$B:$B,A12,collexo_data!$M:$M,"Prayagraj",collexo_data!$R:$R,"GS Foundation Course")</f>
        <v>0</v>
      </c>
      <c r="AJ12" s="97">
        <f>sumifs(collexo_data!$G:$G,collexo_data!$B:$B,A12,collexo_data!$M:$M,"Prayagraj") - sumifs(collexo_data!$G:$G,collexo_data!$B:$B,A12,collexo_data!$M:$M,"Prayagraj",collexo_data!$R:$R,"GS Foundation Course")</f>
        <v>0</v>
      </c>
      <c r="AK12" s="98"/>
      <c r="AL12" s="29">
        <f>IFERROR(__xludf.DUMMYFUNCTION("COUNTUNIQUEIFS(collexo_data!$P:$P,collexo_data!$B:$B,A12,collexo_data!$M:$M,""Indore"",collexo_data!$R:$R,""GS Foundation Course"")"),0.0)</f>
        <v>0</v>
      </c>
      <c r="AM12" s="29"/>
      <c r="AN12" s="29">
        <f>IFERROR(__xludf.DUMMYFUNCTION("COUNTUNIQUEIFS(collexo_data!$P:$P,collexo_data!$B:$B,A12,collexo_data!$M:$M,""Indore"") - COUNTUNIQUEIFS(collexo_data!$P:$P,collexo_data!$B:$B,A12,collexo_data!$M:$M,""Indore"",collexo_data!$R:$R,""GS Foundation Course"")"),0.0)</f>
        <v>0</v>
      </c>
      <c r="AO12" s="96"/>
      <c r="AP12" s="96">
        <f>sumifs(collexo_data!$G:$G,collexo_data!$B:$B,A12,collexo_data!$M:$M,"Indore",collexo_data!$R:$R,"GS Foundation Course")</f>
        <v>0</v>
      </c>
      <c r="AQ12" s="96">
        <f>sumifs(collexo_data!$G:$G,collexo_data!$B:$B,A12,collexo_data!$M:$M,"Indore") - sumifs(collexo_data!$G:$G,collexo_data!$B:$B,A12,collexo_data!$M:$M,"Indore",collexo_data!$R:$R,"GS Foundation Course")</f>
        <v>0</v>
      </c>
    </row>
    <row r="13">
      <c r="A13" s="33">
        <v>46061.0</v>
      </c>
      <c r="B13" s="29"/>
      <c r="C13" s="29">
        <f>IFERROR(__xludf.DUMMYFUNCTION("COUNTUNIQUEIFS(collexo_data!$P:$P,collexo_data!$B:$B,A13,collexo_data!$R:$R,""GS Foundation Course"")"),4.0)</f>
        <v>4</v>
      </c>
      <c r="D13" s="29"/>
      <c r="E13" s="29">
        <f>IFERROR(__xludf.DUMMYFUNCTION("COUNTUNIQUEIFS(collexo_data!$P:$P,collexo_data!$B:$B,A13) - COUNTUNIQUEIFS(collexo_data!$P:$P,collexo_data!$B:$B,A13,collexo_data!$R:$R,""GS Foundation Course"")"),0.0)</f>
        <v>0</v>
      </c>
      <c r="F13" s="96"/>
      <c r="G13" s="96">
        <f>sumifs(collexo_data!$G:$G,collexo_data!$B:$B,A13,collexo_data!R:R,"GS Foundation Course")</f>
        <v>42000</v>
      </c>
      <c r="H13" s="97">
        <f>sumifs(collexo_data!$G:$G,collexo_data!$B:$B,A13) - sumifs(collexo_data!$G:$G,collexo_data!$B:$B,A13,collexo_data!$R:$R,"GS Foundation Course")</f>
        <v>0</v>
      </c>
      <c r="I13" s="77"/>
      <c r="J13" s="29">
        <f>IFERROR(__xludf.DUMMYFUNCTION("COUNTUNIQUEIFS(collexo_data!$P:$P,collexo_data!$B:$B,A13,collexo_data!$M:$M,""New Delhi"",collexo_data!$R:$R,""GS Foundation Course"")"),4.0)</f>
        <v>4</v>
      </c>
      <c r="K13" s="29"/>
      <c r="L13" s="29">
        <f>IFERROR(__xludf.DUMMYFUNCTION("COUNTUNIQUEIFS(collexo_data!$P:$P,collexo_data!$B:$B,A13,collexo_data!$M:$M,""New Delhi"") - COUNTUNIQUEIFS(collexo_data!$P:$P,collexo_data!$B:$B,A13,collexo_data!$M:$M,""New Delhi"",collexo_data!$R:$R,""GS Foundation Course"")"),0.0)</f>
        <v>0</v>
      </c>
      <c r="M13" s="96"/>
      <c r="N13" s="96">
        <f>sumifs(collexo_data!$G:$G,collexo_data!$B:$B,A13,collexo_data!$M:$M,"New Delhi",collexo_data!$R:$R,"GS Foundation Course")</f>
        <v>42000</v>
      </c>
      <c r="O13" s="97">
        <f>sumifs(collexo_data!$G:$G,collexo_data!$B:$B,A13,collexo_data!$M:$M,"New Delhi") - sumifs(collexo_data!$G:$G,collexo_data!$B:$B,A13,collexo_data!$M:$M,"New Delhi",collexo_data!$R:$R,"GS Foundation Course")</f>
        <v>0</v>
      </c>
      <c r="P13" s="98"/>
      <c r="Q13" s="29">
        <f>IFERROR(__xludf.DUMMYFUNCTION("COUNTUNIQUEIFS(collexo_data!$P:$P,collexo_data!$B:$B,A13,collexo_data!$M:$M,""Patna"",collexo_data!$R:$R,""GS Foundation Course"")"),0.0)</f>
        <v>0</v>
      </c>
      <c r="R13" s="29"/>
      <c r="S13" s="29">
        <f>IFERROR(__xludf.DUMMYFUNCTION("COUNTUNIQUEIFS(collexo_data!$P:$P,collexo_data!$B:$B,A13,collexo_data!$M:$M,""Patna"") - COUNTUNIQUEIFS(collexo_data!$P:$P,collexo_data!$B:$B,H13,collexo_data!$M:$M,""New Delhi"",collexo_data!$R:$R,""GS Foundation Course"")"),0.0)</f>
        <v>0</v>
      </c>
      <c r="T13" s="96"/>
      <c r="U13" s="96">
        <f>sumifs(collexo_data!$G:$G,collexo_data!$B:$B,A13,collexo_data!$M:$M,"Patna",collexo_data!$R:$R,"GS Foundation Course")</f>
        <v>0</v>
      </c>
      <c r="V13" s="97">
        <f>sumifs(collexo_data!$G:$G,collexo_data!$B:$B,$A13,collexo_data!$M:$M,"Patna") - sumifs(collexo_data!$G:$G,collexo_data!$B:$B,$A13,collexo_data!$M:$M,"Patna",collexo_data!$R:$R,"GS Foundation Course")</f>
        <v>0</v>
      </c>
      <c r="W13" s="98"/>
      <c r="X13" s="29">
        <f>IFERROR(__xludf.DUMMYFUNCTION("COUNTUNIQUEIFS(collexo_data!$P:$P,collexo_data!$B:$B,A13,collexo_data!$M:$M,""Lucknow"",collexo_data!$R:$R,""GS Foundation Course"")"),0.0)</f>
        <v>0</v>
      </c>
      <c r="Y13" s="29"/>
      <c r="Z13" s="29">
        <f>IFERROR(__xludf.DUMMYFUNCTION("COUNTUNIQUEIFS(collexo_data!$P:$P,collexo_data!$B:$B,A13,collexo_data!$M:$M,""Lucknow"") - COUNTUNIQUEIFS(collexo_data!$P:$P,collexo_data!$B:$B,A13,collexo_data!$M:$M,""Lucknow"",collexo_data!$R:$R,""GS Foundation Course"")"),0.0)</f>
        <v>0</v>
      </c>
      <c r="AA13" s="96"/>
      <c r="AB13" s="96">
        <f>sumifs(collexo_data!$G:$G,collexo_data!$B:$B,A13,collexo_data!$M:$M,"Lucknow",collexo_data!$R:$R,"GS Foundation Course")</f>
        <v>0</v>
      </c>
      <c r="AC13" s="97">
        <f>sumifs(collexo_data!$G:$G,collexo_data!$B:$B,A13,collexo_data!$M:$M,"Lucknow") - sumifs(collexo_data!$G:$G,collexo_data!$B:$B,A13,collexo_data!$M:$M,"Lucknow",collexo_data!$R:$R,"GS Foundation Course")</f>
        <v>0</v>
      </c>
      <c r="AD13" s="98"/>
      <c r="AE13" s="29">
        <f>IFERROR(__xludf.DUMMYFUNCTION("COUNTUNIQUEIFS(collexo_data!$P:$P,collexo_data!$B:$B,A13,collexo_data!$M:$M,""Prayagraj"",collexo_data!$R:$R,""GS Foundation Course"")"),0.0)</f>
        <v>0</v>
      </c>
      <c r="AF13" s="29"/>
      <c r="AG13" s="29">
        <f>IFERROR(__xludf.DUMMYFUNCTION("COUNTUNIQUEIFS(collexo_data!$P:$P,collexo_data!$B:$B,A13,collexo_data!$M:$M,""Prayagraj"") - COUNTUNIQUEIFS(collexo_data!$P:$P,collexo_data!$B:$B,A13,collexo_data!$M:$M,""Prayagraj"",collexo_data!$R:$R,""GS Foundation Course"")"),0.0)</f>
        <v>0</v>
      </c>
      <c r="AH13" s="96"/>
      <c r="AI13" s="96">
        <f>sumifs(collexo_data!$G:$G,collexo_data!$B:$B,A13,collexo_data!$M:$M,"Prayagraj",collexo_data!$R:$R,"GS Foundation Course")</f>
        <v>0</v>
      </c>
      <c r="AJ13" s="97">
        <f>sumifs(collexo_data!$G:$G,collexo_data!$B:$B,A13,collexo_data!$M:$M,"Prayagraj") - sumifs(collexo_data!$G:$G,collexo_data!$B:$B,A13,collexo_data!$M:$M,"Prayagraj",collexo_data!$R:$R,"GS Foundation Course")</f>
        <v>0</v>
      </c>
      <c r="AK13" s="98"/>
      <c r="AL13" s="29">
        <f>IFERROR(__xludf.DUMMYFUNCTION("COUNTUNIQUEIFS(collexo_data!$P:$P,collexo_data!$B:$B,A13,collexo_data!$M:$M,""Indore"",collexo_data!$R:$R,""GS Foundation Course"")"),0.0)</f>
        <v>0</v>
      </c>
      <c r="AM13" s="29"/>
      <c r="AN13" s="29">
        <f>IFERROR(__xludf.DUMMYFUNCTION("COUNTUNIQUEIFS(collexo_data!$P:$P,collexo_data!$B:$B,A13,collexo_data!$M:$M,""Indore"") - COUNTUNIQUEIFS(collexo_data!$P:$P,collexo_data!$B:$B,A13,collexo_data!$M:$M,""Indore"",collexo_data!$R:$R,""GS Foundation Course"")"),0.0)</f>
        <v>0</v>
      </c>
      <c r="AO13" s="96"/>
      <c r="AP13" s="96">
        <f>sumifs(collexo_data!$G:$G,collexo_data!$B:$B,A13,collexo_data!$M:$M,"Indore",collexo_data!$R:$R,"GS Foundation Course")</f>
        <v>0</v>
      </c>
      <c r="AQ13" s="96">
        <f>sumifs(collexo_data!$G:$G,collexo_data!$B:$B,A13,collexo_data!$M:$M,"Indore") - sumifs(collexo_data!$G:$G,collexo_data!$B:$B,A13,collexo_data!$M:$M,"Indore",collexo_data!$R:$R,"GS Foundation Course")</f>
        <v>0</v>
      </c>
    </row>
    <row r="14">
      <c r="A14" s="33">
        <v>46062.0</v>
      </c>
      <c r="B14" s="29"/>
      <c r="C14" s="29">
        <f>IFERROR(__xludf.DUMMYFUNCTION("COUNTUNIQUEIFS(collexo_data!$P:$P,collexo_data!$B:$B,A14,collexo_data!$R:$R,""GS Foundation Course"")"),6.0)</f>
        <v>6</v>
      </c>
      <c r="D14" s="29"/>
      <c r="E14" s="29">
        <f>IFERROR(__xludf.DUMMYFUNCTION("COUNTUNIQUEIFS(collexo_data!$P:$P,collexo_data!$B:$B,A14) - COUNTUNIQUEIFS(collexo_data!$P:$P,collexo_data!$B:$B,A14,collexo_data!$R:$R,""GS Foundation Course"")"),1.0)</f>
        <v>1</v>
      </c>
      <c r="F14" s="96"/>
      <c r="G14" s="96">
        <f>sumifs(collexo_data!$G:$G,collexo_data!$B:$B,A14,collexo_data!R:R,"GS Foundation Course")</f>
        <v>290000</v>
      </c>
      <c r="H14" s="97">
        <f>sumifs(collexo_data!$G:$G,collexo_data!$B:$B,A14) - sumifs(collexo_data!$G:$G,collexo_data!$B:$B,A14,collexo_data!$R:$R,"GS Foundation Course")</f>
        <v>39600</v>
      </c>
      <c r="I14" s="77"/>
      <c r="J14" s="29">
        <f>IFERROR(__xludf.DUMMYFUNCTION("COUNTUNIQUEIFS(collexo_data!$P:$P,collexo_data!$B:$B,A14,collexo_data!$M:$M,""New Delhi"",collexo_data!$R:$R,""GS Foundation Course"")"),6.0)</f>
        <v>6</v>
      </c>
      <c r="K14" s="29"/>
      <c r="L14" s="29">
        <f>IFERROR(__xludf.DUMMYFUNCTION("COUNTUNIQUEIFS(collexo_data!$P:$P,collexo_data!$B:$B,A14,collexo_data!$M:$M,""New Delhi"") - COUNTUNIQUEIFS(collexo_data!$P:$P,collexo_data!$B:$B,A14,collexo_data!$M:$M,""New Delhi"",collexo_data!$R:$R,""GS Foundation Course"")"),0.0)</f>
        <v>0</v>
      </c>
      <c r="M14" s="96"/>
      <c r="N14" s="96">
        <f>sumifs(collexo_data!$G:$G,collexo_data!$B:$B,A14,collexo_data!$M:$M,"New Delhi",collexo_data!$R:$R,"GS Foundation Course")</f>
        <v>290000</v>
      </c>
      <c r="O14" s="97">
        <f>sumifs(collexo_data!$G:$G,collexo_data!$B:$B,A14,collexo_data!$M:$M,"New Delhi") - sumifs(collexo_data!$G:$G,collexo_data!$B:$B,A14,collexo_data!$M:$M,"New Delhi",collexo_data!$R:$R,"GS Foundation Course")</f>
        <v>0</v>
      </c>
      <c r="P14" s="98"/>
      <c r="Q14" s="29">
        <f>IFERROR(__xludf.DUMMYFUNCTION("COUNTUNIQUEIFS(collexo_data!$P:$P,collexo_data!$B:$B,A14,collexo_data!$M:$M,""Patna"",collexo_data!$R:$R,""GS Foundation Course"")"),0.0)</f>
        <v>0</v>
      </c>
      <c r="R14" s="29"/>
      <c r="S14" s="29">
        <f>IFERROR(__xludf.DUMMYFUNCTION("COUNTUNIQUEIFS(collexo_data!$P:$P,collexo_data!$B:$B,A14,collexo_data!$M:$M,""Patna"") - COUNTUNIQUEIFS(collexo_data!$P:$P,collexo_data!$B:$B,H14,collexo_data!$M:$M,""New Delhi"",collexo_data!$R:$R,""GS Foundation Course"")"),0.0)</f>
        <v>0</v>
      </c>
      <c r="T14" s="96"/>
      <c r="U14" s="96">
        <f>sumifs(collexo_data!$G:$G,collexo_data!$B:$B,A14,collexo_data!$M:$M,"Patna",collexo_data!$R:$R,"GS Foundation Course")</f>
        <v>0</v>
      </c>
      <c r="V14" s="97">
        <f>sumifs(collexo_data!$G:$G,collexo_data!$B:$B,$A14,collexo_data!$M:$M,"Patna") - sumifs(collexo_data!$G:$G,collexo_data!$B:$B,$A14,collexo_data!$M:$M,"Patna",collexo_data!$R:$R,"GS Foundation Course")</f>
        <v>0</v>
      </c>
      <c r="W14" s="98"/>
      <c r="X14" s="29">
        <f>IFERROR(__xludf.DUMMYFUNCTION("COUNTUNIQUEIFS(collexo_data!$P:$P,collexo_data!$B:$B,A14,collexo_data!$M:$M,""Lucknow"",collexo_data!$R:$R,""GS Foundation Course"")"),0.0)</f>
        <v>0</v>
      </c>
      <c r="Y14" s="29"/>
      <c r="Z14" s="29">
        <f>IFERROR(__xludf.DUMMYFUNCTION("COUNTUNIQUEIFS(collexo_data!$P:$P,collexo_data!$B:$B,A14,collexo_data!$M:$M,""Lucknow"") - COUNTUNIQUEIFS(collexo_data!$P:$P,collexo_data!$B:$B,A14,collexo_data!$M:$M,""Lucknow"",collexo_data!$R:$R,""GS Foundation Course"")"),1.0)</f>
        <v>1</v>
      </c>
      <c r="AA14" s="96"/>
      <c r="AB14" s="96">
        <f>sumifs(collexo_data!$G:$G,collexo_data!$B:$B,A14,collexo_data!$M:$M,"Lucknow",collexo_data!$R:$R,"GS Foundation Course")</f>
        <v>0</v>
      </c>
      <c r="AC14" s="97">
        <f>sumifs(collexo_data!$G:$G,collexo_data!$B:$B,A14,collexo_data!$M:$M,"Lucknow") - sumifs(collexo_data!$G:$G,collexo_data!$B:$B,A14,collexo_data!$M:$M,"Lucknow",collexo_data!$R:$R,"GS Foundation Course")</f>
        <v>39600</v>
      </c>
      <c r="AD14" s="98"/>
      <c r="AE14" s="29">
        <f>IFERROR(__xludf.DUMMYFUNCTION("COUNTUNIQUEIFS(collexo_data!$P:$P,collexo_data!$B:$B,A14,collexo_data!$M:$M,""Prayagraj"",collexo_data!$R:$R,""GS Foundation Course"")"),0.0)</f>
        <v>0</v>
      </c>
      <c r="AF14" s="29"/>
      <c r="AG14" s="29">
        <f>IFERROR(__xludf.DUMMYFUNCTION("COUNTUNIQUEIFS(collexo_data!$P:$P,collexo_data!$B:$B,A14,collexo_data!$M:$M,""Prayagraj"") - COUNTUNIQUEIFS(collexo_data!$P:$P,collexo_data!$B:$B,A14,collexo_data!$M:$M,""Prayagraj"",collexo_data!$R:$R,""GS Foundation Course"")"),0.0)</f>
        <v>0</v>
      </c>
      <c r="AH14" s="96"/>
      <c r="AI14" s="96">
        <f>sumifs(collexo_data!$G:$G,collexo_data!$B:$B,A14,collexo_data!$M:$M,"Prayagraj",collexo_data!$R:$R,"GS Foundation Course")</f>
        <v>0</v>
      </c>
      <c r="AJ14" s="97">
        <f>sumifs(collexo_data!$G:$G,collexo_data!$B:$B,A14,collexo_data!$M:$M,"Prayagraj") - sumifs(collexo_data!$G:$G,collexo_data!$B:$B,A14,collexo_data!$M:$M,"Prayagraj",collexo_data!$R:$R,"GS Foundation Course")</f>
        <v>0</v>
      </c>
      <c r="AK14" s="98"/>
      <c r="AL14" s="29">
        <f>IFERROR(__xludf.DUMMYFUNCTION("COUNTUNIQUEIFS(collexo_data!$P:$P,collexo_data!$B:$B,A14,collexo_data!$M:$M,""Indore"",collexo_data!$R:$R,""GS Foundation Course"")"),0.0)</f>
        <v>0</v>
      </c>
      <c r="AM14" s="29"/>
      <c r="AN14" s="29">
        <f>IFERROR(__xludf.DUMMYFUNCTION("COUNTUNIQUEIFS(collexo_data!$P:$P,collexo_data!$B:$B,A14,collexo_data!$M:$M,""Indore"") - COUNTUNIQUEIFS(collexo_data!$P:$P,collexo_data!$B:$B,A14,collexo_data!$M:$M,""Indore"",collexo_data!$R:$R,""GS Foundation Course"")"),0.0)</f>
        <v>0</v>
      </c>
      <c r="AO14" s="96"/>
      <c r="AP14" s="96">
        <f>sumifs(collexo_data!$G:$G,collexo_data!$B:$B,A14,collexo_data!$M:$M,"Indore",collexo_data!$R:$R,"GS Foundation Course")</f>
        <v>0</v>
      </c>
      <c r="AQ14" s="96">
        <f>sumifs(collexo_data!$G:$G,collexo_data!$B:$B,A14,collexo_data!$M:$M,"Indore") - sumifs(collexo_data!$G:$G,collexo_data!$B:$B,A14,collexo_data!$M:$M,"Indore",collexo_data!$R:$R,"GS Foundation Course")</f>
        <v>0</v>
      </c>
    </row>
    <row r="15">
      <c r="A15" s="33">
        <v>46063.0</v>
      </c>
      <c r="B15" s="29"/>
      <c r="C15" s="29">
        <f>IFERROR(__xludf.DUMMYFUNCTION("COUNTUNIQUEIFS(collexo_data!$P:$P,collexo_data!$B:$B,A15,collexo_data!$R:$R,""GS Foundation Course"")"),2.0)</f>
        <v>2</v>
      </c>
      <c r="D15" s="29"/>
      <c r="E15" s="29">
        <f>IFERROR(__xludf.DUMMYFUNCTION("COUNTUNIQUEIFS(collexo_data!$P:$P,collexo_data!$B:$B,A15) - COUNTUNIQUEIFS(collexo_data!$P:$P,collexo_data!$B:$B,A15,collexo_data!$R:$R,""GS Foundation Course"")"),0.0)</f>
        <v>0</v>
      </c>
      <c r="F15" s="96"/>
      <c r="G15" s="96">
        <f>sumifs(collexo_data!$G:$G,collexo_data!$B:$B,A15,collexo_data!R:R,"GS Foundation Course")</f>
        <v>105000</v>
      </c>
      <c r="H15" s="97">
        <f>sumifs(collexo_data!$G:$G,collexo_data!$B:$B,A15) - sumifs(collexo_data!$G:$G,collexo_data!$B:$B,A15,collexo_data!$R:$R,"GS Foundation Course")</f>
        <v>0</v>
      </c>
      <c r="I15" s="77"/>
      <c r="J15" s="29">
        <f>IFERROR(__xludf.DUMMYFUNCTION("COUNTUNIQUEIFS(collexo_data!$P:$P,collexo_data!$B:$B,A15,collexo_data!$M:$M,""New Delhi"",collexo_data!$R:$R,""GS Foundation Course"")"),2.0)</f>
        <v>2</v>
      </c>
      <c r="K15" s="29"/>
      <c r="L15" s="29">
        <f>IFERROR(__xludf.DUMMYFUNCTION("COUNTUNIQUEIFS(collexo_data!$P:$P,collexo_data!$B:$B,A15,collexo_data!$M:$M,""New Delhi"") - COUNTUNIQUEIFS(collexo_data!$P:$P,collexo_data!$B:$B,A15,collexo_data!$M:$M,""New Delhi"",collexo_data!$R:$R,""GS Foundation Course"")"),0.0)</f>
        <v>0</v>
      </c>
      <c r="M15" s="96"/>
      <c r="N15" s="96">
        <f>sumifs(collexo_data!$G:$G,collexo_data!$B:$B,A15,collexo_data!$M:$M,"New Delhi",collexo_data!$R:$R,"GS Foundation Course")</f>
        <v>105000</v>
      </c>
      <c r="O15" s="97">
        <f>sumifs(collexo_data!$G:$G,collexo_data!$B:$B,A15,collexo_data!$M:$M,"New Delhi") - sumifs(collexo_data!$G:$G,collexo_data!$B:$B,A15,collexo_data!$M:$M,"New Delhi",collexo_data!$R:$R,"GS Foundation Course")</f>
        <v>0</v>
      </c>
      <c r="P15" s="98"/>
      <c r="Q15" s="29">
        <f>IFERROR(__xludf.DUMMYFUNCTION("COUNTUNIQUEIFS(collexo_data!$P:$P,collexo_data!$B:$B,A15,collexo_data!$M:$M,""Patna"",collexo_data!$R:$R,""GS Foundation Course"")"),0.0)</f>
        <v>0</v>
      </c>
      <c r="R15" s="29"/>
      <c r="S15" s="29">
        <f>IFERROR(__xludf.DUMMYFUNCTION("COUNTUNIQUEIFS(collexo_data!$P:$P,collexo_data!$B:$B,A15,collexo_data!$M:$M,""Patna"") - COUNTUNIQUEIFS(collexo_data!$P:$P,collexo_data!$B:$B,H15,collexo_data!$M:$M,""New Delhi"",collexo_data!$R:$R,""GS Foundation Course"")"),0.0)</f>
        <v>0</v>
      </c>
      <c r="T15" s="96"/>
      <c r="U15" s="96">
        <f>sumifs(collexo_data!$G:$G,collexo_data!$B:$B,A15,collexo_data!$M:$M,"Patna",collexo_data!$R:$R,"GS Foundation Course")</f>
        <v>0</v>
      </c>
      <c r="V15" s="97">
        <f>sumifs(collexo_data!$G:$G,collexo_data!$B:$B,$A15,collexo_data!$M:$M,"Patna") - sumifs(collexo_data!$G:$G,collexo_data!$B:$B,$A15,collexo_data!$M:$M,"Patna",collexo_data!$R:$R,"GS Foundation Course")</f>
        <v>0</v>
      </c>
      <c r="W15" s="98"/>
      <c r="X15" s="29">
        <f>IFERROR(__xludf.DUMMYFUNCTION("COUNTUNIQUEIFS(collexo_data!$P:$P,collexo_data!$B:$B,A15,collexo_data!$M:$M,""Lucknow"",collexo_data!$R:$R,""GS Foundation Course"")"),0.0)</f>
        <v>0</v>
      </c>
      <c r="Y15" s="29"/>
      <c r="Z15" s="29">
        <f>IFERROR(__xludf.DUMMYFUNCTION("COUNTUNIQUEIFS(collexo_data!$P:$P,collexo_data!$B:$B,A15,collexo_data!$M:$M,""Lucknow"") - COUNTUNIQUEIFS(collexo_data!$P:$P,collexo_data!$B:$B,A15,collexo_data!$M:$M,""Lucknow"",collexo_data!$R:$R,""GS Foundation Course"")"),0.0)</f>
        <v>0</v>
      </c>
      <c r="AA15" s="96"/>
      <c r="AB15" s="96">
        <f>sumifs(collexo_data!$G:$G,collexo_data!$B:$B,A15,collexo_data!$M:$M,"Lucknow",collexo_data!$R:$R,"GS Foundation Course")</f>
        <v>0</v>
      </c>
      <c r="AC15" s="97">
        <f>sumifs(collexo_data!$G:$G,collexo_data!$B:$B,A15,collexo_data!$M:$M,"Lucknow") - sumifs(collexo_data!$G:$G,collexo_data!$B:$B,A15,collexo_data!$M:$M,"Lucknow",collexo_data!$R:$R,"GS Foundation Course")</f>
        <v>0</v>
      </c>
      <c r="AD15" s="98"/>
      <c r="AE15" s="29">
        <f>IFERROR(__xludf.DUMMYFUNCTION("COUNTUNIQUEIFS(collexo_data!$P:$P,collexo_data!$B:$B,A15,collexo_data!$M:$M,""Prayagraj"",collexo_data!$R:$R,""GS Foundation Course"")"),0.0)</f>
        <v>0</v>
      </c>
      <c r="AF15" s="29"/>
      <c r="AG15" s="29">
        <f>IFERROR(__xludf.DUMMYFUNCTION("COUNTUNIQUEIFS(collexo_data!$P:$P,collexo_data!$B:$B,A15,collexo_data!$M:$M,""Prayagraj"") - COUNTUNIQUEIFS(collexo_data!$P:$P,collexo_data!$B:$B,A15,collexo_data!$M:$M,""Prayagraj"",collexo_data!$R:$R,""GS Foundation Course"")"),0.0)</f>
        <v>0</v>
      </c>
      <c r="AH15" s="96"/>
      <c r="AI15" s="96">
        <f>sumifs(collexo_data!$G:$G,collexo_data!$B:$B,A15,collexo_data!$M:$M,"Prayagraj",collexo_data!$R:$R,"GS Foundation Course")</f>
        <v>0</v>
      </c>
      <c r="AJ15" s="97">
        <f>sumifs(collexo_data!$G:$G,collexo_data!$B:$B,A15,collexo_data!$M:$M,"Prayagraj") - sumifs(collexo_data!$G:$G,collexo_data!$B:$B,A15,collexo_data!$M:$M,"Prayagraj",collexo_data!$R:$R,"GS Foundation Course")</f>
        <v>0</v>
      </c>
      <c r="AK15" s="98"/>
      <c r="AL15" s="29">
        <f>IFERROR(__xludf.DUMMYFUNCTION("COUNTUNIQUEIFS(collexo_data!$P:$P,collexo_data!$B:$B,A15,collexo_data!$M:$M,""Indore"",collexo_data!$R:$R,""GS Foundation Course"")"),0.0)</f>
        <v>0</v>
      </c>
      <c r="AM15" s="29"/>
      <c r="AN15" s="29">
        <f>IFERROR(__xludf.DUMMYFUNCTION("COUNTUNIQUEIFS(collexo_data!$P:$P,collexo_data!$B:$B,A15,collexo_data!$M:$M,""Indore"") - COUNTUNIQUEIFS(collexo_data!$P:$P,collexo_data!$B:$B,A15,collexo_data!$M:$M,""Indore"",collexo_data!$R:$R,""GS Foundation Course"")"),0.0)</f>
        <v>0</v>
      </c>
      <c r="AO15" s="96"/>
      <c r="AP15" s="96">
        <f>sumifs(collexo_data!$G:$G,collexo_data!$B:$B,A15,collexo_data!$M:$M,"Indore",collexo_data!$R:$R,"GS Foundation Course")</f>
        <v>0</v>
      </c>
      <c r="AQ15" s="96">
        <f>sumifs(collexo_data!$G:$G,collexo_data!$B:$B,A15,collexo_data!$M:$M,"Indore") - sumifs(collexo_data!$G:$G,collexo_data!$B:$B,A15,collexo_data!$M:$M,"Indore",collexo_data!$R:$R,"GS Foundation Course")</f>
        <v>0</v>
      </c>
    </row>
    <row r="16">
      <c r="A16" s="33">
        <v>46064.0</v>
      </c>
      <c r="B16" s="29"/>
      <c r="C16" s="29">
        <f>IFERROR(__xludf.DUMMYFUNCTION("COUNTUNIQUEIFS(collexo_data!$P:$P,collexo_data!$B:$B,A16,collexo_data!$R:$R,""GS Foundation Course"")"),4.0)</f>
        <v>4</v>
      </c>
      <c r="D16" s="29"/>
      <c r="E16" s="29">
        <f>IFERROR(__xludf.DUMMYFUNCTION("COUNTUNIQUEIFS(collexo_data!$P:$P,collexo_data!$B:$B,A16) - COUNTUNIQUEIFS(collexo_data!$P:$P,collexo_data!$B:$B,A16,collexo_data!$R:$R,""GS Foundation Course"")"),0.0)</f>
        <v>0</v>
      </c>
      <c r="F16" s="96"/>
      <c r="G16" s="96">
        <f>sumifs(collexo_data!$G:$G,collexo_data!$B:$B,A16,collexo_data!R:R,"GS Foundation Course")</f>
        <v>205000</v>
      </c>
      <c r="H16" s="97">
        <f>sumifs(collexo_data!$G:$G,collexo_data!$B:$B,A16) - sumifs(collexo_data!$G:$G,collexo_data!$B:$B,A16,collexo_data!$R:$R,"GS Foundation Course")</f>
        <v>0</v>
      </c>
      <c r="I16" s="77"/>
      <c r="J16" s="29">
        <f>IFERROR(__xludf.DUMMYFUNCTION("COUNTUNIQUEIFS(collexo_data!$P:$P,collexo_data!$B:$B,A16,collexo_data!$M:$M,""New Delhi"",collexo_data!$R:$R,""GS Foundation Course"")"),2.0)</f>
        <v>2</v>
      </c>
      <c r="K16" s="29"/>
      <c r="L16" s="29">
        <f>IFERROR(__xludf.DUMMYFUNCTION("COUNTUNIQUEIFS(collexo_data!$P:$P,collexo_data!$B:$B,A16,collexo_data!$M:$M,""New Delhi"") - COUNTUNIQUEIFS(collexo_data!$P:$P,collexo_data!$B:$B,A16,collexo_data!$M:$M,""New Delhi"",collexo_data!$R:$R,""GS Foundation Course"")"),0.0)</f>
        <v>0</v>
      </c>
      <c r="M16" s="96"/>
      <c r="N16" s="96">
        <f>sumifs(collexo_data!$G:$G,collexo_data!$B:$B,A16,collexo_data!$M:$M,"New Delhi",collexo_data!$R:$R,"GS Foundation Course")</f>
        <v>150000</v>
      </c>
      <c r="O16" s="97">
        <f>sumifs(collexo_data!$G:$G,collexo_data!$B:$B,A16,collexo_data!$M:$M,"New Delhi") - sumifs(collexo_data!$G:$G,collexo_data!$B:$B,A16,collexo_data!$M:$M,"New Delhi",collexo_data!$R:$R,"GS Foundation Course")</f>
        <v>0</v>
      </c>
      <c r="P16" s="98"/>
      <c r="Q16" s="29">
        <f>IFERROR(__xludf.DUMMYFUNCTION("COUNTUNIQUEIFS(collexo_data!$P:$P,collexo_data!$B:$B,A16,collexo_data!$M:$M,""Patna"",collexo_data!$R:$R,""GS Foundation Course"")"),0.0)</f>
        <v>0</v>
      </c>
      <c r="R16" s="29"/>
      <c r="S16" s="29">
        <f>IFERROR(__xludf.DUMMYFUNCTION("COUNTUNIQUEIFS(collexo_data!$P:$P,collexo_data!$B:$B,A16,collexo_data!$M:$M,""Patna"") - COUNTUNIQUEIFS(collexo_data!$P:$P,collexo_data!$B:$B,H16,collexo_data!$M:$M,""New Delhi"",collexo_data!$R:$R,""GS Foundation Course"")"),0.0)</f>
        <v>0</v>
      </c>
      <c r="T16" s="96"/>
      <c r="U16" s="96">
        <f>sumifs(collexo_data!$G:$G,collexo_data!$B:$B,A16,collexo_data!$M:$M,"Patna",collexo_data!$R:$R,"GS Foundation Course")</f>
        <v>0</v>
      </c>
      <c r="V16" s="97">
        <f>sumifs(collexo_data!$G:$G,collexo_data!$B:$B,$A16,collexo_data!$M:$M,"Patna") - sumifs(collexo_data!$G:$G,collexo_data!$B:$B,$A16,collexo_data!$M:$M,"Patna",collexo_data!$R:$R,"GS Foundation Course")</f>
        <v>0</v>
      </c>
      <c r="W16" s="98"/>
      <c r="X16" s="29">
        <f>IFERROR(__xludf.DUMMYFUNCTION("COUNTUNIQUEIFS(collexo_data!$P:$P,collexo_data!$B:$B,A16,collexo_data!$M:$M,""Lucknow"",collexo_data!$R:$R,""GS Foundation Course"")"),2.0)</f>
        <v>2</v>
      </c>
      <c r="Y16" s="29"/>
      <c r="Z16" s="29">
        <f>IFERROR(__xludf.DUMMYFUNCTION("COUNTUNIQUEIFS(collexo_data!$P:$P,collexo_data!$B:$B,A16,collexo_data!$M:$M,""Lucknow"") - COUNTUNIQUEIFS(collexo_data!$P:$P,collexo_data!$B:$B,A16,collexo_data!$M:$M,""Lucknow"",collexo_data!$R:$R,""GS Foundation Course"")"),0.0)</f>
        <v>0</v>
      </c>
      <c r="AA16" s="96"/>
      <c r="AB16" s="96">
        <f>sumifs(collexo_data!$G:$G,collexo_data!$B:$B,A16,collexo_data!$M:$M,"Lucknow",collexo_data!$R:$R,"GS Foundation Course")</f>
        <v>55000</v>
      </c>
      <c r="AC16" s="97">
        <f>sumifs(collexo_data!$G:$G,collexo_data!$B:$B,A16,collexo_data!$M:$M,"Lucknow") - sumifs(collexo_data!$G:$G,collexo_data!$B:$B,A16,collexo_data!$M:$M,"Lucknow",collexo_data!$R:$R,"GS Foundation Course")</f>
        <v>0</v>
      </c>
      <c r="AD16" s="98"/>
      <c r="AE16" s="29">
        <f>IFERROR(__xludf.DUMMYFUNCTION("COUNTUNIQUEIFS(collexo_data!$P:$P,collexo_data!$B:$B,A16,collexo_data!$M:$M,""Prayagraj"",collexo_data!$R:$R,""GS Foundation Course"")"),0.0)</f>
        <v>0</v>
      </c>
      <c r="AF16" s="29"/>
      <c r="AG16" s="29">
        <f>IFERROR(__xludf.DUMMYFUNCTION("COUNTUNIQUEIFS(collexo_data!$P:$P,collexo_data!$B:$B,A16,collexo_data!$M:$M,""Prayagraj"") - COUNTUNIQUEIFS(collexo_data!$P:$P,collexo_data!$B:$B,A16,collexo_data!$M:$M,""Prayagraj"",collexo_data!$R:$R,""GS Foundation Course"")"),0.0)</f>
        <v>0</v>
      </c>
      <c r="AH16" s="96"/>
      <c r="AI16" s="96">
        <f>sumifs(collexo_data!$G:$G,collexo_data!$B:$B,A16,collexo_data!$M:$M,"Prayagraj",collexo_data!$R:$R,"GS Foundation Course")</f>
        <v>0</v>
      </c>
      <c r="AJ16" s="97">
        <f>sumifs(collexo_data!$G:$G,collexo_data!$B:$B,A16,collexo_data!$M:$M,"Prayagraj") - sumifs(collexo_data!$G:$G,collexo_data!$B:$B,A16,collexo_data!$M:$M,"Prayagraj",collexo_data!$R:$R,"GS Foundation Course")</f>
        <v>0</v>
      </c>
      <c r="AK16" s="98"/>
      <c r="AL16" s="29">
        <f>IFERROR(__xludf.DUMMYFUNCTION("COUNTUNIQUEIFS(collexo_data!$P:$P,collexo_data!$B:$B,A16,collexo_data!$M:$M,""Indore"",collexo_data!$R:$R,""GS Foundation Course"")"),0.0)</f>
        <v>0</v>
      </c>
      <c r="AM16" s="29"/>
      <c r="AN16" s="29">
        <f>IFERROR(__xludf.DUMMYFUNCTION("COUNTUNIQUEIFS(collexo_data!$P:$P,collexo_data!$B:$B,A16,collexo_data!$M:$M,""Indore"") - COUNTUNIQUEIFS(collexo_data!$P:$P,collexo_data!$B:$B,A16,collexo_data!$M:$M,""Indore"",collexo_data!$R:$R,""GS Foundation Course"")"),0.0)</f>
        <v>0</v>
      </c>
      <c r="AO16" s="96"/>
      <c r="AP16" s="96">
        <f>sumifs(collexo_data!$G:$G,collexo_data!$B:$B,A16,collexo_data!$M:$M,"Indore",collexo_data!$R:$R,"GS Foundation Course")</f>
        <v>0</v>
      </c>
      <c r="AQ16" s="96">
        <f>sumifs(collexo_data!$G:$G,collexo_data!$B:$B,A16,collexo_data!$M:$M,"Indore") - sumifs(collexo_data!$G:$G,collexo_data!$B:$B,A16,collexo_data!$M:$M,"Indore",collexo_data!$R:$R,"GS Foundation Course")</f>
        <v>0</v>
      </c>
    </row>
    <row r="17">
      <c r="A17" s="33">
        <v>46065.0</v>
      </c>
      <c r="B17" s="29"/>
      <c r="C17" s="29">
        <f>IFERROR(__xludf.DUMMYFUNCTION("COUNTUNIQUEIFS(collexo_data!$P:$P,collexo_data!$B:$B,A17,collexo_data!$R:$R,""GS Foundation Course"")"),1.0)</f>
        <v>1</v>
      </c>
      <c r="D17" s="29"/>
      <c r="E17" s="29">
        <f>IFERROR(__xludf.DUMMYFUNCTION("COUNTUNIQUEIFS(collexo_data!$P:$P,collexo_data!$B:$B,A17) - COUNTUNIQUEIFS(collexo_data!$P:$P,collexo_data!$B:$B,A17,collexo_data!$R:$R,""GS Foundation Course"")"),2.0)</f>
        <v>2</v>
      </c>
      <c r="F17" s="96"/>
      <c r="G17" s="96">
        <f>sumifs(collexo_data!$G:$G,collexo_data!$B:$B,A17,collexo_data!R:R,"GS Foundation Course")</f>
        <v>140000</v>
      </c>
      <c r="H17" s="97">
        <f>sumifs(collexo_data!$G:$G,collexo_data!$B:$B,A17) - sumifs(collexo_data!$G:$G,collexo_data!$B:$B,A17,collexo_data!$R:$R,"GS Foundation Course")</f>
        <v>8000</v>
      </c>
      <c r="I17" s="77"/>
      <c r="J17" s="29">
        <f>IFERROR(__xludf.DUMMYFUNCTION("COUNTUNIQUEIFS(collexo_data!$P:$P,collexo_data!$B:$B,A17,collexo_data!$M:$M,""New Delhi"",collexo_data!$R:$R,""GS Foundation Course"")"),1.0)</f>
        <v>1</v>
      </c>
      <c r="K17" s="29"/>
      <c r="L17" s="29">
        <f>IFERROR(__xludf.DUMMYFUNCTION("COUNTUNIQUEIFS(collexo_data!$P:$P,collexo_data!$B:$B,A17,collexo_data!$M:$M,""New Delhi"") - COUNTUNIQUEIFS(collexo_data!$P:$P,collexo_data!$B:$B,A17,collexo_data!$M:$M,""New Delhi"",collexo_data!$R:$R,""GS Foundation Course"")"),0.0)</f>
        <v>0</v>
      </c>
      <c r="M17" s="96"/>
      <c r="N17" s="96">
        <f>sumifs(collexo_data!$G:$G,collexo_data!$B:$B,A17,collexo_data!$M:$M,"New Delhi",collexo_data!$R:$R,"GS Foundation Course")</f>
        <v>140000</v>
      </c>
      <c r="O17" s="97">
        <f>sumifs(collexo_data!$G:$G,collexo_data!$B:$B,A17,collexo_data!$M:$M,"New Delhi") - sumifs(collexo_data!$G:$G,collexo_data!$B:$B,A17,collexo_data!$M:$M,"New Delhi",collexo_data!$R:$R,"GS Foundation Course")</f>
        <v>0</v>
      </c>
      <c r="P17" s="98"/>
      <c r="Q17" s="29">
        <f>IFERROR(__xludf.DUMMYFUNCTION("COUNTUNIQUEIFS(collexo_data!$P:$P,collexo_data!$B:$B,A17,collexo_data!$M:$M,""Patna"",collexo_data!$R:$R,""GS Foundation Course"")"),0.0)</f>
        <v>0</v>
      </c>
      <c r="R17" s="29"/>
      <c r="S17" s="29">
        <f>IFERROR(__xludf.DUMMYFUNCTION("COUNTUNIQUEIFS(collexo_data!$P:$P,collexo_data!$B:$B,A17,collexo_data!$M:$M,""Patna"") - COUNTUNIQUEIFS(collexo_data!$P:$P,collexo_data!$B:$B,H17,collexo_data!$M:$M,""New Delhi"",collexo_data!$R:$R,""GS Foundation Course"")"),1.0)</f>
        <v>1</v>
      </c>
      <c r="T17" s="96"/>
      <c r="U17" s="96">
        <f>sumifs(collexo_data!$G:$G,collexo_data!$B:$B,A17,collexo_data!$M:$M,"Patna",collexo_data!$R:$R,"GS Foundation Course")</f>
        <v>0</v>
      </c>
      <c r="V17" s="97">
        <f>sumifs(collexo_data!$G:$G,collexo_data!$B:$B,$A17,collexo_data!$M:$M,"Patna") - sumifs(collexo_data!$G:$G,collexo_data!$B:$B,$A17,collexo_data!$M:$M,"Patna",collexo_data!$R:$R,"GS Foundation Course")</f>
        <v>5000</v>
      </c>
      <c r="W17" s="98"/>
      <c r="X17" s="29">
        <f>IFERROR(__xludf.DUMMYFUNCTION("COUNTUNIQUEIFS(collexo_data!$P:$P,collexo_data!$B:$B,A17,collexo_data!$M:$M,""Lucknow"",collexo_data!$R:$R,""GS Foundation Course"")"),0.0)</f>
        <v>0</v>
      </c>
      <c r="Y17" s="29"/>
      <c r="Z17" s="29">
        <f>IFERROR(__xludf.DUMMYFUNCTION("COUNTUNIQUEIFS(collexo_data!$P:$P,collexo_data!$B:$B,A17,collexo_data!$M:$M,""Lucknow"") - COUNTUNIQUEIFS(collexo_data!$P:$P,collexo_data!$B:$B,A17,collexo_data!$M:$M,""Lucknow"",collexo_data!$R:$R,""GS Foundation Course"")"),1.0)</f>
        <v>1</v>
      </c>
      <c r="AA17" s="96"/>
      <c r="AB17" s="96">
        <f>sumifs(collexo_data!$G:$G,collexo_data!$B:$B,A17,collexo_data!$M:$M,"Lucknow",collexo_data!$R:$R,"GS Foundation Course")</f>
        <v>0</v>
      </c>
      <c r="AC17" s="97">
        <f>sumifs(collexo_data!$G:$G,collexo_data!$B:$B,A17,collexo_data!$M:$M,"Lucknow") - sumifs(collexo_data!$G:$G,collexo_data!$B:$B,A17,collexo_data!$M:$M,"Lucknow",collexo_data!$R:$R,"GS Foundation Course")</f>
        <v>3000</v>
      </c>
      <c r="AD17" s="98"/>
      <c r="AE17" s="29">
        <f>IFERROR(__xludf.DUMMYFUNCTION("COUNTUNIQUEIFS(collexo_data!$P:$P,collexo_data!$B:$B,A17,collexo_data!$M:$M,""Prayagraj"",collexo_data!$R:$R,""GS Foundation Course"")"),0.0)</f>
        <v>0</v>
      </c>
      <c r="AF17" s="29"/>
      <c r="AG17" s="29">
        <f>IFERROR(__xludf.DUMMYFUNCTION("COUNTUNIQUEIFS(collexo_data!$P:$P,collexo_data!$B:$B,A17,collexo_data!$M:$M,""Prayagraj"") - COUNTUNIQUEIFS(collexo_data!$P:$P,collexo_data!$B:$B,A17,collexo_data!$M:$M,""Prayagraj"",collexo_data!$R:$R,""GS Foundation Course"")"),0.0)</f>
        <v>0</v>
      </c>
      <c r="AH17" s="96"/>
      <c r="AI17" s="96">
        <f>sumifs(collexo_data!$G:$G,collexo_data!$B:$B,A17,collexo_data!$M:$M,"Prayagraj",collexo_data!$R:$R,"GS Foundation Course")</f>
        <v>0</v>
      </c>
      <c r="AJ17" s="97">
        <f>sumifs(collexo_data!$G:$G,collexo_data!$B:$B,A17,collexo_data!$M:$M,"Prayagraj") - sumifs(collexo_data!$G:$G,collexo_data!$B:$B,A17,collexo_data!$M:$M,"Prayagraj",collexo_data!$R:$R,"GS Foundation Course")</f>
        <v>0</v>
      </c>
      <c r="AK17" s="98"/>
      <c r="AL17" s="29">
        <f>IFERROR(__xludf.DUMMYFUNCTION("COUNTUNIQUEIFS(collexo_data!$P:$P,collexo_data!$B:$B,A17,collexo_data!$M:$M,""Indore"",collexo_data!$R:$R,""GS Foundation Course"")"),0.0)</f>
        <v>0</v>
      </c>
      <c r="AM17" s="29"/>
      <c r="AN17" s="29">
        <f>IFERROR(__xludf.DUMMYFUNCTION("COUNTUNIQUEIFS(collexo_data!$P:$P,collexo_data!$B:$B,A17,collexo_data!$M:$M,""Indore"") - COUNTUNIQUEIFS(collexo_data!$P:$P,collexo_data!$B:$B,A17,collexo_data!$M:$M,""Indore"",collexo_data!$R:$R,""GS Foundation Course"")"),0.0)</f>
        <v>0</v>
      </c>
      <c r="AO17" s="96"/>
      <c r="AP17" s="96">
        <f>sumifs(collexo_data!$G:$G,collexo_data!$B:$B,A17,collexo_data!$M:$M,"Indore",collexo_data!$R:$R,"GS Foundation Course")</f>
        <v>0</v>
      </c>
      <c r="AQ17" s="96">
        <f>sumifs(collexo_data!$G:$G,collexo_data!$B:$B,A17,collexo_data!$M:$M,"Indore") - sumifs(collexo_data!$G:$G,collexo_data!$B:$B,A17,collexo_data!$M:$M,"Indore",collexo_data!$R:$R,"GS Foundation Course")</f>
        <v>0</v>
      </c>
    </row>
    <row r="18">
      <c r="A18" s="33">
        <v>46066.0</v>
      </c>
      <c r="B18" s="29"/>
      <c r="C18" s="29">
        <f>IFERROR(__xludf.DUMMYFUNCTION("COUNTUNIQUEIFS(collexo_data!$P:$P,collexo_data!$B:$B,A18,collexo_data!$R:$R,""GS Foundation Course"")"),4.0)</f>
        <v>4</v>
      </c>
      <c r="D18" s="29"/>
      <c r="E18" s="29">
        <f>IFERROR(__xludf.DUMMYFUNCTION("COUNTUNIQUEIFS(collexo_data!$P:$P,collexo_data!$B:$B,A18) - COUNTUNIQUEIFS(collexo_data!$P:$P,collexo_data!$B:$B,A18,collexo_data!$R:$R,""GS Foundation Course"")"),1.0)</f>
        <v>1</v>
      </c>
      <c r="F18" s="96"/>
      <c r="G18" s="96">
        <f>sumifs(collexo_data!$G:$G,collexo_data!$B:$B,A18,collexo_data!R:R,"GS Foundation Course")</f>
        <v>120000</v>
      </c>
      <c r="H18" s="97">
        <f>sumifs(collexo_data!$G:$G,collexo_data!$B:$B,A18) - sumifs(collexo_data!$G:$G,collexo_data!$B:$B,A18,collexo_data!$R:$R,"GS Foundation Course")</f>
        <v>2000</v>
      </c>
      <c r="I18" s="77"/>
      <c r="J18" s="29">
        <f>IFERROR(__xludf.DUMMYFUNCTION("COUNTUNIQUEIFS(collexo_data!$P:$P,collexo_data!$B:$B,A18,collexo_data!$M:$M,""New Delhi"",collexo_data!$R:$R,""GS Foundation Course"")"),4.0)</f>
        <v>4</v>
      </c>
      <c r="K18" s="29"/>
      <c r="L18" s="29">
        <f>IFERROR(__xludf.DUMMYFUNCTION("COUNTUNIQUEIFS(collexo_data!$P:$P,collexo_data!$B:$B,A18,collexo_data!$M:$M,""New Delhi"") - COUNTUNIQUEIFS(collexo_data!$P:$P,collexo_data!$B:$B,A18,collexo_data!$M:$M,""New Delhi"",collexo_data!$R:$R,""GS Foundation Course"")"),0.0)</f>
        <v>0</v>
      </c>
      <c r="M18" s="96"/>
      <c r="N18" s="96">
        <f>sumifs(collexo_data!$G:$G,collexo_data!$B:$B,A18,collexo_data!$M:$M,"New Delhi",collexo_data!$R:$R,"GS Foundation Course")</f>
        <v>120000</v>
      </c>
      <c r="O18" s="97">
        <f>sumifs(collexo_data!$G:$G,collexo_data!$B:$B,A18,collexo_data!$M:$M,"New Delhi") - sumifs(collexo_data!$G:$G,collexo_data!$B:$B,A18,collexo_data!$M:$M,"New Delhi",collexo_data!$R:$R,"GS Foundation Course")</f>
        <v>0</v>
      </c>
      <c r="P18" s="98"/>
      <c r="Q18" s="29">
        <f>IFERROR(__xludf.DUMMYFUNCTION("COUNTUNIQUEIFS(collexo_data!$P:$P,collexo_data!$B:$B,A18,collexo_data!$M:$M,""Patna"",collexo_data!$R:$R,""GS Foundation Course"")"),0.0)</f>
        <v>0</v>
      </c>
      <c r="R18" s="29"/>
      <c r="S18" s="29">
        <f>IFERROR(__xludf.DUMMYFUNCTION("COUNTUNIQUEIFS(collexo_data!$P:$P,collexo_data!$B:$B,A18,collexo_data!$M:$M,""Patna"") - COUNTUNIQUEIFS(collexo_data!$P:$P,collexo_data!$B:$B,H18,collexo_data!$M:$M,""New Delhi"",collexo_data!$R:$R,""GS Foundation Course"")"),0.0)</f>
        <v>0</v>
      </c>
      <c r="T18" s="96"/>
      <c r="U18" s="96">
        <f>sumifs(collexo_data!$G:$G,collexo_data!$B:$B,A18,collexo_data!$M:$M,"Patna",collexo_data!$R:$R,"GS Foundation Course")</f>
        <v>0</v>
      </c>
      <c r="V18" s="97">
        <f>sumifs(collexo_data!$G:$G,collexo_data!$B:$B,$A18,collexo_data!$M:$M,"Patna") - sumifs(collexo_data!$G:$G,collexo_data!$B:$B,$A18,collexo_data!$M:$M,"Patna",collexo_data!$R:$R,"GS Foundation Course")</f>
        <v>0</v>
      </c>
      <c r="W18" s="98"/>
      <c r="X18" s="29">
        <f>IFERROR(__xludf.DUMMYFUNCTION("COUNTUNIQUEIFS(collexo_data!$P:$P,collexo_data!$B:$B,A18,collexo_data!$M:$M,""Lucknow"",collexo_data!$R:$R,""GS Foundation Course"")"),0.0)</f>
        <v>0</v>
      </c>
      <c r="Y18" s="29"/>
      <c r="Z18" s="29">
        <f>IFERROR(__xludf.DUMMYFUNCTION("COUNTUNIQUEIFS(collexo_data!$P:$P,collexo_data!$B:$B,A18,collexo_data!$M:$M,""Lucknow"") - COUNTUNIQUEIFS(collexo_data!$P:$P,collexo_data!$B:$B,A18,collexo_data!$M:$M,""Lucknow"",collexo_data!$R:$R,""GS Foundation Course"")"),0.0)</f>
        <v>0</v>
      </c>
      <c r="AA18" s="96"/>
      <c r="AB18" s="96">
        <f>sumifs(collexo_data!$G:$G,collexo_data!$B:$B,A18,collexo_data!$M:$M,"Lucknow",collexo_data!$R:$R,"GS Foundation Course")</f>
        <v>0</v>
      </c>
      <c r="AC18" s="97">
        <f>sumifs(collexo_data!$G:$G,collexo_data!$B:$B,A18,collexo_data!$M:$M,"Lucknow") - sumifs(collexo_data!$G:$G,collexo_data!$B:$B,A18,collexo_data!$M:$M,"Lucknow",collexo_data!$R:$R,"GS Foundation Course")</f>
        <v>0</v>
      </c>
      <c r="AD18" s="98"/>
      <c r="AE18" s="29">
        <f>IFERROR(__xludf.DUMMYFUNCTION("COUNTUNIQUEIFS(collexo_data!$P:$P,collexo_data!$B:$B,A18,collexo_data!$M:$M,""Prayagraj"",collexo_data!$R:$R,""GS Foundation Course"")"),0.0)</f>
        <v>0</v>
      </c>
      <c r="AF18" s="29"/>
      <c r="AG18" s="29">
        <f>IFERROR(__xludf.DUMMYFUNCTION("COUNTUNIQUEIFS(collexo_data!$P:$P,collexo_data!$B:$B,A18,collexo_data!$M:$M,""Prayagraj"") - COUNTUNIQUEIFS(collexo_data!$P:$P,collexo_data!$B:$B,A18,collexo_data!$M:$M,""Prayagraj"",collexo_data!$R:$R,""GS Foundation Course"")"),0.0)</f>
        <v>0</v>
      </c>
      <c r="AH18" s="96"/>
      <c r="AI18" s="96">
        <f>sumifs(collexo_data!$G:$G,collexo_data!$B:$B,A18,collexo_data!$M:$M,"Prayagraj",collexo_data!$R:$R,"GS Foundation Course")</f>
        <v>0</v>
      </c>
      <c r="AJ18" s="97">
        <f>sumifs(collexo_data!$G:$G,collexo_data!$B:$B,A18,collexo_data!$M:$M,"Prayagraj") - sumifs(collexo_data!$G:$G,collexo_data!$B:$B,A18,collexo_data!$M:$M,"Prayagraj",collexo_data!$R:$R,"GS Foundation Course")</f>
        <v>0</v>
      </c>
      <c r="AK18" s="98"/>
      <c r="AL18" s="29">
        <f>IFERROR(__xludf.DUMMYFUNCTION("COUNTUNIQUEIFS(collexo_data!$P:$P,collexo_data!$B:$B,A18,collexo_data!$M:$M,""Indore"",collexo_data!$R:$R,""GS Foundation Course"")"),0.0)</f>
        <v>0</v>
      </c>
      <c r="AM18" s="29"/>
      <c r="AN18" s="29">
        <f>IFERROR(__xludf.DUMMYFUNCTION("COUNTUNIQUEIFS(collexo_data!$P:$P,collexo_data!$B:$B,A18,collexo_data!$M:$M,""Indore"") - COUNTUNIQUEIFS(collexo_data!$P:$P,collexo_data!$B:$B,A18,collexo_data!$M:$M,""Indore"",collexo_data!$R:$R,""GS Foundation Course"")"),1.0)</f>
        <v>1</v>
      </c>
      <c r="AO18" s="96"/>
      <c r="AP18" s="96">
        <f>sumifs(collexo_data!$G:$G,collexo_data!$B:$B,A18,collexo_data!$M:$M,"Indore",collexo_data!$R:$R,"GS Foundation Course")</f>
        <v>0</v>
      </c>
      <c r="AQ18" s="96">
        <f>sumifs(collexo_data!$G:$G,collexo_data!$B:$B,A18,collexo_data!$M:$M,"Indore") - sumifs(collexo_data!$G:$G,collexo_data!$B:$B,A18,collexo_data!$M:$M,"Indore",collexo_data!$R:$R,"GS Foundation Course")</f>
        <v>2000</v>
      </c>
    </row>
    <row r="19">
      <c r="A19" s="33">
        <v>46067.0</v>
      </c>
      <c r="B19" s="29"/>
      <c r="C19" s="29">
        <f>IFERROR(__xludf.DUMMYFUNCTION("COUNTUNIQUEIFS(collexo_data!$P:$P,collexo_data!$B:$B,A19,collexo_data!$R:$R,""GS Foundation Course"")"),8.0)</f>
        <v>8</v>
      </c>
      <c r="D19" s="29"/>
      <c r="E19" s="29">
        <f>IFERROR(__xludf.DUMMYFUNCTION("COUNTUNIQUEIFS(collexo_data!$P:$P,collexo_data!$B:$B,A19) - COUNTUNIQUEIFS(collexo_data!$P:$P,collexo_data!$B:$B,A19,collexo_data!$R:$R,""GS Foundation Course"")"),0.0)</f>
        <v>0</v>
      </c>
      <c r="F19" s="96"/>
      <c r="G19" s="96">
        <f>sumifs(collexo_data!$G:$G,collexo_data!$B:$B,A19,collexo_data!R:R,"GS Foundation Course")</f>
        <v>193000</v>
      </c>
      <c r="H19" s="97">
        <f>sumifs(collexo_data!$G:$G,collexo_data!$B:$B,A19) - sumifs(collexo_data!$G:$G,collexo_data!$B:$B,A19,collexo_data!$R:$R,"GS Foundation Course")</f>
        <v>0</v>
      </c>
      <c r="I19" s="77"/>
      <c r="J19" s="29">
        <f>IFERROR(__xludf.DUMMYFUNCTION("COUNTUNIQUEIFS(collexo_data!$P:$P,collexo_data!$B:$B,A19,collexo_data!$M:$M,""New Delhi"",collexo_data!$R:$R,""GS Foundation Course"")"),6.0)</f>
        <v>6</v>
      </c>
      <c r="K19" s="29"/>
      <c r="L19" s="29">
        <f>IFERROR(__xludf.DUMMYFUNCTION("COUNTUNIQUEIFS(collexo_data!$P:$P,collexo_data!$B:$B,A19,collexo_data!$M:$M,""New Delhi"") - COUNTUNIQUEIFS(collexo_data!$P:$P,collexo_data!$B:$B,A19,collexo_data!$M:$M,""New Delhi"",collexo_data!$R:$R,""GS Foundation Course"")"),0.0)</f>
        <v>0</v>
      </c>
      <c r="M19" s="96"/>
      <c r="N19" s="96">
        <f>sumifs(collexo_data!$G:$G,collexo_data!$B:$B,A19,collexo_data!$M:$M,"New Delhi",collexo_data!$R:$R,"GS Foundation Course")</f>
        <v>187000</v>
      </c>
      <c r="O19" s="97">
        <f>sumifs(collexo_data!$G:$G,collexo_data!$B:$B,A19,collexo_data!$M:$M,"New Delhi") - sumifs(collexo_data!$G:$G,collexo_data!$B:$B,A19,collexo_data!$M:$M,"New Delhi",collexo_data!$R:$R,"GS Foundation Course")</f>
        <v>0</v>
      </c>
      <c r="P19" s="98"/>
      <c r="Q19" s="29">
        <f>IFERROR(__xludf.DUMMYFUNCTION("COUNTUNIQUEIFS(collexo_data!$P:$P,collexo_data!$B:$B,A19,collexo_data!$M:$M,""Patna"",collexo_data!$R:$R,""GS Foundation Course"")"),0.0)</f>
        <v>0</v>
      </c>
      <c r="R19" s="29"/>
      <c r="S19" s="29">
        <f>IFERROR(__xludf.DUMMYFUNCTION("COUNTUNIQUEIFS(collexo_data!$P:$P,collexo_data!$B:$B,A19,collexo_data!$M:$M,""Patna"") - COUNTUNIQUEIFS(collexo_data!$P:$P,collexo_data!$B:$B,H19,collexo_data!$M:$M,""New Delhi"",collexo_data!$R:$R,""GS Foundation Course"")"),0.0)</f>
        <v>0</v>
      </c>
      <c r="T19" s="96"/>
      <c r="U19" s="96">
        <f>sumifs(collexo_data!$G:$G,collexo_data!$B:$B,A19,collexo_data!$M:$M,"Patna",collexo_data!$R:$R,"GS Foundation Course")</f>
        <v>0</v>
      </c>
      <c r="V19" s="97">
        <f>sumifs(collexo_data!$G:$G,collexo_data!$B:$B,$A19,collexo_data!$M:$M,"Patna") - sumifs(collexo_data!$G:$G,collexo_data!$B:$B,$A19,collexo_data!$M:$M,"Patna",collexo_data!$R:$R,"GS Foundation Course")</f>
        <v>0</v>
      </c>
      <c r="W19" s="98"/>
      <c r="X19" s="29">
        <f>IFERROR(__xludf.DUMMYFUNCTION("COUNTUNIQUEIFS(collexo_data!$P:$P,collexo_data!$B:$B,A19,collexo_data!$M:$M,""Lucknow"",collexo_data!$R:$R,""GS Foundation Course"")"),0.0)</f>
        <v>0</v>
      </c>
      <c r="Y19" s="29"/>
      <c r="Z19" s="29">
        <f>IFERROR(__xludf.DUMMYFUNCTION("COUNTUNIQUEIFS(collexo_data!$P:$P,collexo_data!$B:$B,A19,collexo_data!$M:$M,""Lucknow"") - COUNTUNIQUEIFS(collexo_data!$P:$P,collexo_data!$B:$B,A19,collexo_data!$M:$M,""Lucknow"",collexo_data!$R:$R,""GS Foundation Course"")"),0.0)</f>
        <v>0</v>
      </c>
      <c r="AA19" s="96"/>
      <c r="AB19" s="96">
        <f>sumifs(collexo_data!$G:$G,collexo_data!$B:$B,A19,collexo_data!$M:$M,"Lucknow",collexo_data!$R:$R,"GS Foundation Course")</f>
        <v>0</v>
      </c>
      <c r="AC19" s="97">
        <f>sumifs(collexo_data!$G:$G,collexo_data!$B:$B,A19,collexo_data!$M:$M,"Lucknow") - sumifs(collexo_data!$G:$G,collexo_data!$B:$B,A19,collexo_data!$M:$M,"Lucknow",collexo_data!$R:$R,"GS Foundation Course")</f>
        <v>0</v>
      </c>
      <c r="AD19" s="98"/>
      <c r="AE19" s="29">
        <f>IFERROR(__xludf.DUMMYFUNCTION("COUNTUNIQUEIFS(collexo_data!$P:$P,collexo_data!$B:$B,A19,collexo_data!$M:$M,""Prayagraj"",collexo_data!$R:$R,""GS Foundation Course"")"),0.0)</f>
        <v>0</v>
      </c>
      <c r="AF19" s="29"/>
      <c r="AG19" s="29">
        <f>IFERROR(__xludf.DUMMYFUNCTION("COUNTUNIQUEIFS(collexo_data!$P:$P,collexo_data!$B:$B,A19,collexo_data!$M:$M,""Prayagraj"") - COUNTUNIQUEIFS(collexo_data!$P:$P,collexo_data!$B:$B,A19,collexo_data!$M:$M,""Prayagraj"",collexo_data!$R:$R,""GS Foundation Course"")"),0.0)</f>
        <v>0</v>
      </c>
      <c r="AH19" s="96"/>
      <c r="AI19" s="96">
        <f>sumifs(collexo_data!$G:$G,collexo_data!$B:$B,A19,collexo_data!$M:$M,"Prayagraj",collexo_data!$R:$R,"GS Foundation Course")</f>
        <v>0</v>
      </c>
      <c r="AJ19" s="97">
        <f>sumifs(collexo_data!$G:$G,collexo_data!$B:$B,A19,collexo_data!$M:$M,"Prayagraj") - sumifs(collexo_data!$G:$G,collexo_data!$B:$B,A19,collexo_data!$M:$M,"Prayagraj",collexo_data!$R:$R,"GS Foundation Course")</f>
        <v>0</v>
      </c>
      <c r="AK19" s="98"/>
      <c r="AL19" s="29">
        <f>IFERROR(__xludf.DUMMYFUNCTION("COUNTUNIQUEIFS(collexo_data!$P:$P,collexo_data!$B:$B,A19,collexo_data!$M:$M,""Indore"",collexo_data!$R:$R,""GS Foundation Course"")"),2.0)</f>
        <v>2</v>
      </c>
      <c r="AM19" s="29"/>
      <c r="AN19" s="29">
        <f>IFERROR(__xludf.DUMMYFUNCTION("COUNTUNIQUEIFS(collexo_data!$P:$P,collexo_data!$B:$B,A19,collexo_data!$M:$M,""Indore"") - COUNTUNIQUEIFS(collexo_data!$P:$P,collexo_data!$B:$B,A19,collexo_data!$M:$M,""Indore"",collexo_data!$R:$R,""GS Foundation Course"")"),0.0)</f>
        <v>0</v>
      </c>
      <c r="AO19" s="96"/>
      <c r="AP19" s="96">
        <f>sumifs(collexo_data!$G:$G,collexo_data!$B:$B,A19,collexo_data!$M:$M,"Indore",collexo_data!$R:$R,"GS Foundation Course")</f>
        <v>6000</v>
      </c>
      <c r="AQ19" s="96">
        <f>sumifs(collexo_data!$G:$G,collexo_data!$B:$B,A19,collexo_data!$M:$M,"Indore") - sumifs(collexo_data!$G:$G,collexo_data!$B:$B,A19,collexo_data!$M:$M,"Indore",collexo_data!$R:$R,"GS Foundation Course")</f>
        <v>0</v>
      </c>
    </row>
    <row r="20">
      <c r="A20" s="33">
        <v>46068.0</v>
      </c>
      <c r="B20" s="29"/>
      <c r="C20" s="29">
        <f>IFERROR(__xludf.DUMMYFUNCTION("COUNTUNIQUEIFS(collexo_data!$P:$P,collexo_data!$B:$B,A20,collexo_data!$R:$R,""GS Foundation Course"")"),5.0)</f>
        <v>5</v>
      </c>
      <c r="D20" s="29"/>
      <c r="E20" s="29">
        <f>IFERROR(__xludf.DUMMYFUNCTION("COUNTUNIQUEIFS(collexo_data!$P:$P,collexo_data!$B:$B,A20) - COUNTUNIQUEIFS(collexo_data!$P:$P,collexo_data!$B:$B,A20,collexo_data!$R:$R,""GS Foundation Course"")"),0.0)</f>
        <v>0</v>
      </c>
      <c r="F20" s="96"/>
      <c r="G20" s="96">
        <f>sumifs(collexo_data!$G:$G,collexo_data!$B:$B,A20,collexo_data!R:R,"GS Foundation Course")</f>
        <v>290000</v>
      </c>
      <c r="H20" s="97">
        <f>sumifs(collexo_data!$G:$G,collexo_data!$B:$B,A20) - sumifs(collexo_data!$G:$G,collexo_data!$B:$B,A20,collexo_data!$R:$R,"GS Foundation Course")</f>
        <v>0</v>
      </c>
      <c r="I20" s="77"/>
      <c r="J20" s="29">
        <f>IFERROR(__xludf.DUMMYFUNCTION("COUNTUNIQUEIFS(collexo_data!$P:$P,collexo_data!$B:$B,A20,collexo_data!$M:$M,""New Delhi"",collexo_data!$R:$R,""GS Foundation Course"")"),1.0)</f>
        <v>1</v>
      </c>
      <c r="K20" s="29"/>
      <c r="L20" s="29">
        <f>IFERROR(__xludf.DUMMYFUNCTION("COUNTUNIQUEIFS(collexo_data!$P:$P,collexo_data!$B:$B,A20,collexo_data!$M:$M,""New Delhi"") - COUNTUNIQUEIFS(collexo_data!$P:$P,collexo_data!$B:$B,A20,collexo_data!$M:$M,""New Delhi"",collexo_data!$R:$R,""GS Foundation Course"")"),0.0)</f>
        <v>0</v>
      </c>
      <c r="M20" s="96"/>
      <c r="N20" s="96">
        <f>sumifs(collexo_data!$G:$G,collexo_data!$B:$B,A20,collexo_data!$M:$M,"New Delhi",collexo_data!$R:$R,"GS Foundation Course")</f>
        <v>105000</v>
      </c>
      <c r="O20" s="97">
        <f>sumifs(collexo_data!$G:$G,collexo_data!$B:$B,A20,collexo_data!$M:$M,"New Delhi") - sumifs(collexo_data!$G:$G,collexo_data!$B:$B,A20,collexo_data!$M:$M,"New Delhi",collexo_data!$R:$R,"GS Foundation Course")</f>
        <v>0</v>
      </c>
      <c r="P20" s="98"/>
      <c r="Q20" s="29">
        <f>IFERROR(__xludf.DUMMYFUNCTION("COUNTUNIQUEIFS(collexo_data!$P:$P,collexo_data!$B:$B,A20,collexo_data!$M:$M,""Patna"",collexo_data!$R:$R,""GS Foundation Course"")"),0.0)</f>
        <v>0</v>
      </c>
      <c r="R20" s="29"/>
      <c r="S20" s="29">
        <f>IFERROR(__xludf.DUMMYFUNCTION("COUNTUNIQUEIFS(collexo_data!$P:$P,collexo_data!$B:$B,A20,collexo_data!$M:$M,""Patna"") - COUNTUNIQUEIFS(collexo_data!$P:$P,collexo_data!$B:$B,H20,collexo_data!$M:$M,""New Delhi"",collexo_data!$R:$R,""GS Foundation Course"")"),0.0)</f>
        <v>0</v>
      </c>
      <c r="T20" s="96"/>
      <c r="U20" s="96">
        <f>sumifs(collexo_data!$G:$G,collexo_data!$B:$B,A20,collexo_data!$M:$M,"Patna",collexo_data!$R:$R,"GS Foundation Course")</f>
        <v>0</v>
      </c>
      <c r="V20" s="97">
        <f>sumifs(collexo_data!$G:$G,collexo_data!$B:$B,$A20,collexo_data!$M:$M,"Patna") - sumifs(collexo_data!$G:$G,collexo_data!$B:$B,$A20,collexo_data!$M:$M,"Patna",collexo_data!$R:$R,"GS Foundation Course")</f>
        <v>0</v>
      </c>
      <c r="W20" s="98"/>
      <c r="X20" s="29">
        <f>IFERROR(__xludf.DUMMYFUNCTION("COUNTUNIQUEIFS(collexo_data!$P:$P,collexo_data!$B:$B,A20,collexo_data!$M:$M,""Lucknow"",collexo_data!$R:$R,""GS Foundation Course"")"),0.0)</f>
        <v>0</v>
      </c>
      <c r="Y20" s="29"/>
      <c r="Z20" s="29">
        <f>IFERROR(__xludf.DUMMYFUNCTION("COUNTUNIQUEIFS(collexo_data!$P:$P,collexo_data!$B:$B,A20,collexo_data!$M:$M,""Lucknow"") - COUNTUNIQUEIFS(collexo_data!$P:$P,collexo_data!$B:$B,A20,collexo_data!$M:$M,""Lucknow"",collexo_data!$R:$R,""GS Foundation Course"")"),0.0)</f>
        <v>0</v>
      </c>
      <c r="AA20" s="96"/>
      <c r="AB20" s="96">
        <f>sumifs(collexo_data!$G:$G,collexo_data!$B:$B,A20,collexo_data!$M:$M,"Lucknow",collexo_data!$R:$R,"GS Foundation Course")</f>
        <v>0</v>
      </c>
      <c r="AC20" s="97">
        <f>sumifs(collexo_data!$G:$G,collexo_data!$B:$B,A20,collexo_data!$M:$M,"Lucknow") - sumifs(collexo_data!$G:$G,collexo_data!$B:$B,A20,collexo_data!$M:$M,"Lucknow",collexo_data!$R:$R,"GS Foundation Course")</f>
        <v>0</v>
      </c>
      <c r="AD20" s="98"/>
      <c r="AE20" s="29">
        <f>IFERROR(__xludf.DUMMYFUNCTION("COUNTUNIQUEIFS(collexo_data!$P:$P,collexo_data!$B:$B,A20,collexo_data!$M:$M,""Prayagraj"",collexo_data!$R:$R,""GS Foundation Course"")"),2.0)</f>
        <v>2</v>
      </c>
      <c r="AF20" s="29"/>
      <c r="AG20" s="29">
        <f>IFERROR(__xludf.DUMMYFUNCTION("COUNTUNIQUEIFS(collexo_data!$P:$P,collexo_data!$B:$B,A20,collexo_data!$M:$M,""Prayagraj"") - COUNTUNIQUEIFS(collexo_data!$P:$P,collexo_data!$B:$B,A20,collexo_data!$M:$M,""Prayagraj"",collexo_data!$R:$R,""GS Foundation Course"")"),0.0)</f>
        <v>0</v>
      </c>
      <c r="AH20" s="96"/>
      <c r="AI20" s="96">
        <f>sumifs(collexo_data!$G:$G,collexo_data!$B:$B,A20,collexo_data!$M:$M,"Prayagraj",collexo_data!$R:$R,"GS Foundation Course")</f>
        <v>85000</v>
      </c>
      <c r="AJ20" s="97">
        <f>sumifs(collexo_data!$G:$G,collexo_data!$B:$B,A20,collexo_data!$M:$M,"Prayagraj") - sumifs(collexo_data!$G:$G,collexo_data!$B:$B,A20,collexo_data!$M:$M,"Prayagraj",collexo_data!$R:$R,"GS Foundation Course")</f>
        <v>0</v>
      </c>
      <c r="AK20" s="98"/>
      <c r="AL20" s="29">
        <f>IFERROR(__xludf.DUMMYFUNCTION("COUNTUNIQUEIFS(collexo_data!$P:$P,collexo_data!$B:$B,A20,collexo_data!$M:$M,""Indore"",collexo_data!$R:$R,""GS Foundation Course"")"),2.0)</f>
        <v>2</v>
      </c>
      <c r="AM20" s="29"/>
      <c r="AN20" s="29">
        <f>IFERROR(__xludf.DUMMYFUNCTION("COUNTUNIQUEIFS(collexo_data!$P:$P,collexo_data!$B:$B,A20,collexo_data!$M:$M,""Indore"") - COUNTUNIQUEIFS(collexo_data!$P:$P,collexo_data!$B:$B,A20,collexo_data!$M:$M,""Indore"",collexo_data!$R:$R,""GS Foundation Course"")"),0.0)</f>
        <v>0</v>
      </c>
      <c r="AO20" s="96"/>
      <c r="AP20" s="96">
        <f>sumifs(collexo_data!$G:$G,collexo_data!$B:$B,A20,collexo_data!$M:$M,"Indore",collexo_data!$R:$R,"GS Foundation Course")</f>
        <v>100000</v>
      </c>
      <c r="AQ20" s="96">
        <f>sumifs(collexo_data!$G:$G,collexo_data!$B:$B,A20,collexo_data!$M:$M,"Indore") - sumifs(collexo_data!$G:$G,collexo_data!$B:$B,A20,collexo_data!$M:$M,"Indore",collexo_data!$R:$R,"GS Foundation Course")</f>
        <v>0</v>
      </c>
    </row>
    <row r="21">
      <c r="A21" s="33">
        <v>46069.0</v>
      </c>
      <c r="B21" s="29"/>
      <c r="C21" s="29">
        <f>IFERROR(__xludf.DUMMYFUNCTION("COUNTUNIQUEIFS(collexo_data!$P:$P,collexo_data!$B:$B,A21,collexo_data!$R:$R,""GS Foundation Course"")"),10.0)</f>
        <v>10</v>
      </c>
      <c r="D21" s="29"/>
      <c r="E21" s="29">
        <f>IFERROR(__xludf.DUMMYFUNCTION("COUNTUNIQUEIFS(collexo_data!$P:$P,collexo_data!$B:$B,A21) - COUNTUNIQUEIFS(collexo_data!$P:$P,collexo_data!$B:$B,A21,collexo_data!$R:$R,""GS Foundation Course"")"),3.0)</f>
        <v>3</v>
      </c>
      <c r="F21" s="96"/>
      <c r="G21" s="96">
        <f>sumifs(collexo_data!$G:$G,collexo_data!$B:$B,A21,collexo_data!R:R,"GS Foundation Course")</f>
        <v>199295</v>
      </c>
      <c r="H21" s="97">
        <f>sumifs(collexo_data!$G:$G,collexo_data!$B:$B,A21) - sumifs(collexo_data!$G:$G,collexo_data!$B:$B,A21,collexo_data!$R:$R,"GS Foundation Course")</f>
        <v>12801</v>
      </c>
      <c r="I21" s="77"/>
      <c r="J21" s="29">
        <f>IFERROR(__xludf.DUMMYFUNCTION("COUNTUNIQUEIFS(collexo_data!$P:$P,collexo_data!$B:$B,A21,collexo_data!$M:$M,""New Delhi"",collexo_data!$R:$R,""GS Foundation Course"")"),5.0)</f>
        <v>5</v>
      </c>
      <c r="K21" s="29"/>
      <c r="L21" s="29">
        <f>IFERROR(__xludf.DUMMYFUNCTION("COUNTUNIQUEIFS(collexo_data!$P:$P,collexo_data!$B:$B,A21,collexo_data!$M:$M,""New Delhi"") - COUNTUNIQUEIFS(collexo_data!$P:$P,collexo_data!$B:$B,A21,collexo_data!$M:$M,""New Delhi"",collexo_data!$R:$R,""GS Foundation Course"")"),0.0)</f>
        <v>0</v>
      </c>
      <c r="M21" s="96"/>
      <c r="N21" s="96">
        <f>sumifs(collexo_data!$G:$G,collexo_data!$B:$B,A21,collexo_data!$M:$M,"New Delhi",collexo_data!$R:$R,"GS Foundation Course")</f>
        <v>143000</v>
      </c>
      <c r="O21" s="97">
        <f>sumifs(collexo_data!$G:$G,collexo_data!$B:$B,A21,collexo_data!$M:$M,"New Delhi") - sumifs(collexo_data!$G:$G,collexo_data!$B:$B,A21,collexo_data!$M:$M,"New Delhi",collexo_data!$R:$R,"GS Foundation Course")</f>
        <v>0</v>
      </c>
      <c r="P21" s="98"/>
      <c r="Q21" s="29">
        <f>IFERROR(__xludf.DUMMYFUNCTION("COUNTUNIQUEIFS(collexo_data!$P:$P,collexo_data!$B:$B,A21,collexo_data!$M:$M,""Patna"",collexo_data!$R:$R,""GS Foundation Course"")"),0.0)</f>
        <v>0</v>
      </c>
      <c r="R21" s="29"/>
      <c r="S21" s="29">
        <f>IFERROR(__xludf.DUMMYFUNCTION("COUNTUNIQUEIFS(collexo_data!$P:$P,collexo_data!$B:$B,A21,collexo_data!$M:$M,""Patna"") - COUNTUNIQUEIFS(collexo_data!$P:$P,collexo_data!$B:$B,H21,collexo_data!$M:$M,""New Delhi"",collexo_data!$R:$R,""GS Foundation Course"")"),0.0)</f>
        <v>0</v>
      </c>
      <c r="T21" s="96"/>
      <c r="U21" s="96">
        <f>sumifs(collexo_data!$G:$G,collexo_data!$B:$B,A21,collexo_data!$M:$M,"Patna",collexo_data!$R:$R,"GS Foundation Course")</f>
        <v>0</v>
      </c>
      <c r="V21" s="97">
        <f>sumifs(collexo_data!$G:$G,collexo_data!$B:$B,$A21,collexo_data!$M:$M,"Patna") - sumifs(collexo_data!$G:$G,collexo_data!$B:$B,$A21,collexo_data!$M:$M,"Patna",collexo_data!$R:$R,"GS Foundation Course")</f>
        <v>0</v>
      </c>
      <c r="W21" s="98"/>
      <c r="X21" s="29">
        <f>IFERROR(__xludf.DUMMYFUNCTION("COUNTUNIQUEIFS(collexo_data!$P:$P,collexo_data!$B:$B,A21,collexo_data!$M:$M,""Lucknow"",collexo_data!$R:$R,""GS Foundation Course"")"),1.0)</f>
        <v>1</v>
      </c>
      <c r="Y21" s="29"/>
      <c r="Z21" s="29">
        <f>IFERROR(__xludf.DUMMYFUNCTION("COUNTUNIQUEIFS(collexo_data!$P:$P,collexo_data!$B:$B,A21,collexo_data!$M:$M,""Lucknow"") - COUNTUNIQUEIFS(collexo_data!$P:$P,collexo_data!$B:$B,A21,collexo_data!$M:$M,""Lucknow"",collexo_data!$R:$R,""GS Foundation Course"")"),1.0)</f>
        <v>1</v>
      </c>
      <c r="AA21" s="96"/>
      <c r="AB21" s="96">
        <f>sumifs(collexo_data!$G:$G,collexo_data!$B:$B,A21,collexo_data!$M:$M,"Lucknow",collexo_data!$R:$R,"GS Foundation Course")</f>
        <v>8895</v>
      </c>
      <c r="AC21" s="97">
        <f>sumifs(collexo_data!$G:$G,collexo_data!$B:$B,A21,collexo_data!$M:$M,"Lucknow") - sumifs(collexo_data!$G:$G,collexo_data!$B:$B,A21,collexo_data!$M:$M,"Lucknow",collexo_data!$R:$R,"GS Foundation Course")</f>
        <v>6801</v>
      </c>
      <c r="AD21" s="98"/>
      <c r="AE21" s="29">
        <f>IFERROR(__xludf.DUMMYFUNCTION("COUNTUNIQUEIFS(collexo_data!$P:$P,collexo_data!$B:$B,A21,collexo_data!$M:$M,""Prayagraj"",collexo_data!$R:$R,""GS Foundation Course"")"),1.0)</f>
        <v>1</v>
      </c>
      <c r="AF21" s="29"/>
      <c r="AG21" s="29">
        <f>IFERROR(__xludf.DUMMYFUNCTION("COUNTUNIQUEIFS(collexo_data!$P:$P,collexo_data!$B:$B,A21,collexo_data!$M:$M,""Prayagraj"") - COUNTUNIQUEIFS(collexo_data!$P:$P,collexo_data!$B:$B,A21,collexo_data!$M:$M,""Prayagraj"",collexo_data!$R:$R,""GS Foundation Course"")"),1.0)</f>
        <v>1</v>
      </c>
      <c r="AH21" s="96"/>
      <c r="AI21" s="96">
        <f>sumifs(collexo_data!$G:$G,collexo_data!$B:$B,A21,collexo_data!$M:$M,"Prayagraj",collexo_data!$R:$R,"GS Foundation Course")</f>
        <v>44400</v>
      </c>
      <c r="AJ21" s="97">
        <f>sumifs(collexo_data!$G:$G,collexo_data!$B:$B,A21,collexo_data!$M:$M,"Prayagraj") - sumifs(collexo_data!$G:$G,collexo_data!$B:$B,A21,collexo_data!$M:$M,"Prayagraj",collexo_data!$R:$R,"GS Foundation Course")</f>
        <v>5000</v>
      </c>
      <c r="AK21" s="98"/>
      <c r="AL21" s="29">
        <f>IFERROR(__xludf.DUMMYFUNCTION("COUNTUNIQUEIFS(collexo_data!$P:$P,collexo_data!$B:$B,A21,collexo_data!$M:$M,""Indore"",collexo_data!$R:$R,""GS Foundation Course"")"),3.0)</f>
        <v>3</v>
      </c>
      <c r="AM21" s="29"/>
      <c r="AN21" s="29">
        <f>IFERROR(__xludf.DUMMYFUNCTION("COUNTUNIQUEIFS(collexo_data!$P:$P,collexo_data!$B:$B,A21,collexo_data!$M:$M,""Indore"") - COUNTUNIQUEIFS(collexo_data!$P:$P,collexo_data!$B:$B,A21,collexo_data!$M:$M,""Indore"",collexo_data!$R:$R,""GS Foundation Course"")"),1.0)</f>
        <v>1</v>
      </c>
      <c r="AO21" s="96"/>
      <c r="AP21" s="96">
        <f>sumifs(collexo_data!$G:$G,collexo_data!$B:$B,A21,collexo_data!$M:$M,"Indore",collexo_data!$R:$R,"GS Foundation Course")</f>
        <v>3000</v>
      </c>
      <c r="AQ21" s="96">
        <f>sumifs(collexo_data!$G:$G,collexo_data!$B:$B,A21,collexo_data!$M:$M,"Indore") - sumifs(collexo_data!$G:$G,collexo_data!$B:$B,A21,collexo_data!$M:$M,"Indore",collexo_data!$R:$R,"GS Foundation Course")</f>
        <v>1000</v>
      </c>
    </row>
    <row r="22">
      <c r="A22" s="33">
        <v>46070.0</v>
      </c>
      <c r="B22" s="29"/>
      <c r="C22" s="29">
        <f>IFERROR(__xludf.DUMMYFUNCTION("COUNTUNIQUEIFS(collexo_data!$P:$P,collexo_data!$B:$B,A22,collexo_data!$R:$R,""GS Foundation Course"")"),5.0)</f>
        <v>5</v>
      </c>
      <c r="D22" s="29"/>
      <c r="E22" s="29">
        <f>IFERROR(__xludf.DUMMYFUNCTION("COUNTUNIQUEIFS(collexo_data!$P:$P,collexo_data!$B:$B,A22) - COUNTUNIQUEIFS(collexo_data!$P:$P,collexo_data!$B:$B,A22,collexo_data!$R:$R,""GS Foundation Course"")"),4.0)</f>
        <v>4</v>
      </c>
      <c r="F22" s="96"/>
      <c r="G22" s="96">
        <f>sumifs(collexo_data!$G:$G,collexo_data!$B:$B,A22,collexo_data!R:R,"GS Foundation Course")</f>
        <v>86000</v>
      </c>
      <c r="H22" s="97">
        <f>sumifs(collexo_data!$G:$G,collexo_data!$B:$B,A22) - sumifs(collexo_data!$G:$G,collexo_data!$B:$B,A22,collexo_data!$R:$R,"GS Foundation Course")</f>
        <v>96000</v>
      </c>
      <c r="I22" s="77"/>
      <c r="J22" s="29">
        <f>IFERROR(__xludf.DUMMYFUNCTION("COUNTUNIQUEIFS(collexo_data!$P:$P,collexo_data!$B:$B,A22,collexo_data!$M:$M,""New Delhi"",collexo_data!$R:$R,""GS Foundation Course"")"),4.0)</f>
        <v>4</v>
      </c>
      <c r="K22" s="29"/>
      <c r="L22" s="29">
        <f>IFERROR(__xludf.DUMMYFUNCTION("COUNTUNIQUEIFS(collexo_data!$P:$P,collexo_data!$B:$B,A22,collexo_data!$M:$M,""New Delhi"") - COUNTUNIQUEIFS(collexo_data!$P:$P,collexo_data!$B:$B,A22,collexo_data!$M:$M,""New Delhi"",collexo_data!$R:$R,""GS Foundation Course"")"),0.0)</f>
        <v>0</v>
      </c>
      <c r="M22" s="96"/>
      <c r="N22" s="96">
        <f>sumifs(collexo_data!$G:$G,collexo_data!$B:$B,A22,collexo_data!$M:$M,"New Delhi",collexo_data!$R:$R,"GS Foundation Course")</f>
        <v>51000</v>
      </c>
      <c r="O22" s="97">
        <f>sumifs(collexo_data!$G:$G,collexo_data!$B:$B,A22,collexo_data!$M:$M,"New Delhi") - sumifs(collexo_data!$G:$G,collexo_data!$B:$B,A22,collexo_data!$M:$M,"New Delhi",collexo_data!$R:$R,"GS Foundation Course")</f>
        <v>0</v>
      </c>
      <c r="P22" s="98"/>
      <c r="Q22" s="29">
        <f>IFERROR(__xludf.DUMMYFUNCTION("COUNTUNIQUEIFS(collexo_data!$P:$P,collexo_data!$B:$B,A22,collexo_data!$M:$M,""Patna"",collexo_data!$R:$R,""GS Foundation Course"")"),0.0)</f>
        <v>0</v>
      </c>
      <c r="R22" s="29"/>
      <c r="S22" s="29">
        <f>IFERROR(__xludf.DUMMYFUNCTION("COUNTUNIQUEIFS(collexo_data!$P:$P,collexo_data!$B:$B,A22,collexo_data!$M:$M,""Patna"") - COUNTUNIQUEIFS(collexo_data!$P:$P,collexo_data!$B:$B,H22,collexo_data!$M:$M,""New Delhi"",collexo_data!$R:$R,""GS Foundation Course"")"),0.0)</f>
        <v>0</v>
      </c>
      <c r="T22" s="96"/>
      <c r="U22" s="96">
        <f>sumifs(collexo_data!$G:$G,collexo_data!$B:$B,A22,collexo_data!$M:$M,"Patna",collexo_data!$R:$R,"GS Foundation Course")</f>
        <v>0</v>
      </c>
      <c r="V22" s="97">
        <f>sumifs(collexo_data!$G:$G,collexo_data!$B:$B,$A22,collexo_data!$M:$M,"Patna") - sumifs(collexo_data!$G:$G,collexo_data!$B:$B,$A22,collexo_data!$M:$M,"Patna",collexo_data!$R:$R,"GS Foundation Course")</f>
        <v>0</v>
      </c>
      <c r="W22" s="98"/>
      <c r="X22" s="29">
        <f>IFERROR(__xludf.DUMMYFUNCTION("COUNTUNIQUEIFS(collexo_data!$P:$P,collexo_data!$B:$B,A22,collexo_data!$M:$M,""Lucknow"",collexo_data!$R:$R,""GS Foundation Course"")"),0.0)</f>
        <v>0</v>
      </c>
      <c r="Y22" s="29"/>
      <c r="Z22" s="29">
        <f>IFERROR(__xludf.DUMMYFUNCTION("COUNTUNIQUEIFS(collexo_data!$P:$P,collexo_data!$B:$B,A22,collexo_data!$M:$M,""Lucknow"") - COUNTUNIQUEIFS(collexo_data!$P:$P,collexo_data!$B:$B,A22,collexo_data!$M:$M,""Lucknow"",collexo_data!$R:$R,""GS Foundation Course"")"),2.0)</f>
        <v>2</v>
      </c>
      <c r="AA22" s="96"/>
      <c r="AB22" s="96">
        <f>sumifs(collexo_data!$G:$G,collexo_data!$B:$B,A22,collexo_data!$M:$M,"Lucknow",collexo_data!$R:$R,"GS Foundation Course")</f>
        <v>0</v>
      </c>
      <c r="AC22" s="97">
        <f>sumifs(collexo_data!$G:$G,collexo_data!$B:$B,A22,collexo_data!$M:$M,"Lucknow") - sumifs(collexo_data!$G:$G,collexo_data!$B:$B,A22,collexo_data!$M:$M,"Lucknow",collexo_data!$R:$R,"GS Foundation Course")</f>
        <v>55000</v>
      </c>
      <c r="AD22" s="98"/>
      <c r="AE22" s="29">
        <f>IFERROR(__xludf.DUMMYFUNCTION("COUNTUNIQUEIFS(collexo_data!$P:$P,collexo_data!$B:$B,A22,collexo_data!$M:$M,""Prayagraj"",collexo_data!$R:$R,""GS Foundation Course"")"),1.0)</f>
        <v>1</v>
      </c>
      <c r="AF22" s="29"/>
      <c r="AG22" s="29">
        <f>IFERROR(__xludf.DUMMYFUNCTION("COUNTUNIQUEIFS(collexo_data!$P:$P,collexo_data!$B:$B,A22,collexo_data!$M:$M,""Prayagraj"") - COUNTUNIQUEIFS(collexo_data!$P:$P,collexo_data!$B:$B,A22,collexo_data!$M:$M,""Prayagraj"",collexo_data!$R:$R,""GS Foundation Course"")"),0.0)</f>
        <v>0</v>
      </c>
      <c r="AH22" s="96"/>
      <c r="AI22" s="96">
        <f>sumifs(collexo_data!$G:$G,collexo_data!$B:$B,A22,collexo_data!$M:$M,"Prayagraj",collexo_data!$R:$R,"GS Foundation Course")</f>
        <v>35000</v>
      </c>
      <c r="AJ22" s="97">
        <f>sumifs(collexo_data!$G:$G,collexo_data!$B:$B,A22,collexo_data!$M:$M,"Prayagraj") - sumifs(collexo_data!$G:$G,collexo_data!$B:$B,A22,collexo_data!$M:$M,"Prayagraj",collexo_data!$R:$R,"GS Foundation Course")</f>
        <v>0</v>
      </c>
      <c r="AK22" s="98"/>
      <c r="AL22" s="29">
        <f>IFERROR(__xludf.DUMMYFUNCTION("COUNTUNIQUEIFS(collexo_data!$P:$P,collexo_data!$B:$B,A22,collexo_data!$M:$M,""Indore"",collexo_data!$R:$R,""GS Foundation Course"")"),0.0)</f>
        <v>0</v>
      </c>
      <c r="AM22" s="29"/>
      <c r="AN22" s="29">
        <f>IFERROR(__xludf.DUMMYFUNCTION("COUNTUNIQUEIFS(collexo_data!$P:$P,collexo_data!$B:$B,A22,collexo_data!$M:$M,""Indore"") - COUNTUNIQUEIFS(collexo_data!$P:$P,collexo_data!$B:$B,A22,collexo_data!$M:$M,""Indore"",collexo_data!$R:$R,""GS Foundation Course"")"),2.0)</f>
        <v>2</v>
      </c>
      <c r="AO22" s="96"/>
      <c r="AP22" s="96">
        <f>sumifs(collexo_data!$G:$G,collexo_data!$B:$B,A22,collexo_data!$M:$M,"Indore",collexo_data!$R:$R,"GS Foundation Course")</f>
        <v>0</v>
      </c>
      <c r="AQ22" s="96">
        <f>sumifs(collexo_data!$G:$G,collexo_data!$B:$B,A22,collexo_data!$M:$M,"Indore") - sumifs(collexo_data!$G:$G,collexo_data!$B:$B,A22,collexo_data!$M:$M,"Indore",collexo_data!$R:$R,"GS Foundation Course")</f>
        <v>41000</v>
      </c>
    </row>
    <row r="23">
      <c r="A23" s="33">
        <v>46071.0</v>
      </c>
      <c r="B23" s="29"/>
      <c r="C23" s="29">
        <f>IFERROR(__xludf.DUMMYFUNCTION("COUNTUNIQUEIFS(collexo_data!$P:$P,collexo_data!$B:$B,A23,collexo_data!$R:$R,""GS Foundation Course"")"),5.0)</f>
        <v>5</v>
      </c>
      <c r="D23" s="29"/>
      <c r="E23" s="29">
        <f>IFERROR(__xludf.DUMMYFUNCTION("COUNTUNIQUEIFS(collexo_data!$P:$P,collexo_data!$B:$B,A23) - COUNTUNIQUEIFS(collexo_data!$P:$P,collexo_data!$B:$B,A23,collexo_data!$R:$R,""GS Foundation Course"")"),2.0)</f>
        <v>2</v>
      </c>
      <c r="F23" s="96"/>
      <c r="G23" s="96">
        <f>sumifs(collexo_data!$G:$G,collexo_data!$B:$B,A23,collexo_data!R:R,"GS Foundation Course")</f>
        <v>171087</v>
      </c>
      <c r="H23" s="97">
        <f>sumifs(collexo_data!$G:$G,collexo_data!$B:$B,A23) - sumifs(collexo_data!$G:$G,collexo_data!$B:$B,A23,collexo_data!$R:$R,"GS Foundation Course")</f>
        <v>35199</v>
      </c>
      <c r="I23" s="77"/>
      <c r="J23" s="29">
        <f>IFERROR(__xludf.DUMMYFUNCTION("COUNTUNIQUEIFS(collexo_data!$P:$P,collexo_data!$B:$B,A23,collexo_data!$M:$M,""New Delhi"",collexo_data!$R:$R,""GS Foundation Course"")"),4.0)</f>
        <v>4</v>
      </c>
      <c r="K23" s="29"/>
      <c r="L23" s="29">
        <f>IFERROR(__xludf.DUMMYFUNCTION("COUNTUNIQUEIFS(collexo_data!$P:$P,collexo_data!$B:$B,A23,collexo_data!$M:$M,""New Delhi"") - COUNTUNIQUEIFS(collexo_data!$P:$P,collexo_data!$B:$B,A23,collexo_data!$M:$M,""New Delhi"",collexo_data!$R:$R,""GS Foundation Course"")"),0.0)</f>
        <v>0</v>
      </c>
      <c r="M23" s="96"/>
      <c r="N23" s="96">
        <f>sumifs(collexo_data!$G:$G,collexo_data!$B:$B,A23,collexo_data!$M:$M,"New Delhi",collexo_data!$R:$R,"GS Foundation Course")</f>
        <v>165000</v>
      </c>
      <c r="O23" s="97">
        <f>sumifs(collexo_data!$G:$G,collexo_data!$B:$B,A23,collexo_data!$M:$M,"New Delhi") - sumifs(collexo_data!$G:$G,collexo_data!$B:$B,A23,collexo_data!$M:$M,"New Delhi",collexo_data!$R:$R,"GS Foundation Course")</f>
        <v>0</v>
      </c>
      <c r="P23" s="98"/>
      <c r="Q23" s="29">
        <f>IFERROR(__xludf.DUMMYFUNCTION("COUNTUNIQUEIFS(collexo_data!$P:$P,collexo_data!$B:$B,A23,collexo_data!$M:$M,""Patna"",collexo_data!$R:$R,""GS Foundation Course"")"),0.0)</f>
        <v>0</v>
      </c>
      <c r="R23" s="29"/>
      <c r="S23" s="29">
        <f>IFERROR(__xludf.DUMMYFUNCTION("COUNTUNIQUEIFS(collexo_data!$P:$P,collexo_data!$B:$B,A23,collexo_data!$M:$M,""Patna"") - COUNTUNIQUEIFS(collexo_data!$P:$P,collexo_data!$B:$B,H23,collexo_data!$M:$M,""New Delhi"",collexo_data!$R:$R,""GS Foundation Course"")"),0.0)</f>
        <v>0</v>
      </c>
      <c r="T23" s="96"/>
      <c r="U23" s="96">
        <f>sumifs(collexo_data!$G:$G,collexo_data!$B:$B,A23,collexo_data!$M:$M,"Patna",collexo_data!$R:$R,"GS Foundation Course")</f>
        <v>0</v>
      </c>
      <c r="V23" s="97">
        <f>sumifs(collexo_data!$G:$G,collexo_data!$B:$B,$A23,collexo_data!$M:$M,"Patna") - sumifs(collexo_data!$G:$G,collexo_data!$B:$B,$A23,collexo_data!$M:$M,"Patna",collexo_data!$R:$R,"GS Foundation Course")</f>
        <v>0</v>
      </c>
      <c r="W23" s="98"/>
      <c r="X23" s="29">
        <f>IFERROR(__xludf.DUMMYFUNCTION("COUNTUNIQUEIFS(collexo_data!$P:$P,collexo_data!$B:$B,A23,collexo_data!$M:$M,""Lucknow"",collexo_data!$R:$R,""GS Foundation Course"")"),1.0)</f>
        <v>1</v>
      </c>
      <c r="Y23" s="29"/>
      <c r="Z23" s="29">
        <f>IFERROR(__xludf.DUMMYFUNCTION("COUNTUNIQUEIFS(collexo_data!$P:$P,collexo_data!$B:$B,A23,collexo_data!$M:$M,""Lucknow"") - COUNTUNIQUEIFS(collexo_data!$P:$P,collexo_data!$B:$B,A23,collexo_data!$M:$M,""Lucknow"",collexo_data!$R:$R,""GS Foundation Course"")"),1.0)</f>
        <v>1</v>
      </c>
      <c r="AA23" s="96"/>
      <c r="AB23" s="96">
        <f>sumifs(collexo_data!$G:$G,collexo_data!$B:$B,A23,collexo_data!$M:$M,"Lucknow",collexo_data!$R:$R,"GS Foundation Course")</f>
        <v>6087</v>
      </c>
      <c r="AC23" s="97">
        <f>sumifs(collexo_data!$G:$G,collexo_data!$B:$B,A23,collexo_data!$M:$M,"Lucknow") - sumifs(collexo_data!$G:$G,collexo_data!$B:$B,A23,collexo_data!$M:$M,"Lucknow",collexo_data!$R:$R,"GS Foundation Course")</f>
        <v>33199</v>
      </c>
      <c r="AD23" s="98"/>
      <c r="AE23" s="29">
        <f>IFERROR(__xludf.DUMMYFUNCTION("COUNTUNIQUEIFS(collexo_data!$P:$P,collexo_data!$B:$B,A23,collexo_data!$M:$M,""Prayagraj"",collexo_data!$R:$R,""GS Foundation Course"")"),0.0)</f>
        <v>0</v>
      </c>
      <c r="AF23" s="29"/>
      <c r="AG23" s="29">
        <f>IFERROR(__xludf.DUMMYFUNCTION("COUNTUNIQUEIFS(collexo_data!$P:$P,collexo_data!$B:$B,A23,collexo_data!$M:$M,""Prayagraj"") - COUNTUNIQUEIFS(collexo_data!$P:$P,collexo_data!$B:$B,A23,collexo_data!$M:$M,""Prayagraj"",collexo_data!$R:$R,""GS Foundation Course"")"),0.0)</f>
        <v>0</v>
      </c>
      <c r="AH23" s="96"/>
      <c r="AI23" s="96">
        <f>sumifs(collexo_data!$G:$G,collexo_data!$B:$B,A23,collexo_data!$M:$M,"Prayagraj",collexo_data!$R:$R,"GS Foundation Course")</f>
        <v>0</v>
      </c>
      <c r="AJ23" s="97">
        <f>sumifs(collexo_data!$G:$G,collexo_data!$B:$B,A23,collexo_data!$M:$M,"Prayagraj") - sumifs(collexo_data!$G:$G,collexo_data!$B:$B,A23,collexo_data!$M:$M,"Prayagraj",collexo_data!$R:$R,"GS Foundation Course")</f>
        <v>0</v>
      </c>
      <c r="AK23" s="98"/>
      <c r="AL23" s="29">
        <f>IFERROR(__xludf.DUMMYFUNCTION("COUNTUNIQUEIFS(collexo_data!$P:$P,collexo_data!$B:$B,A23,collexo_data!$M:$M,""Indore"",collexo_data!$R:$R,""GS Foundation Course"")"),0.0)</f>
        <v>0</v>
      </c>
      <c r="AM23" s="29"/>
      <c r="AN23" s="29">
        <f>IFERROR(__xludf.DUMMYFUNCTION("COUNTUNIQUEIFS(collexo_data!$P:$P,collexo_data!$B:$B,A23,collexo_data!$M:$M,""Indore"") - COUNTUNIQUEIFS(collexo_data!$P:$P,collexo_data!$B:$B,A23,collexo_data!$M:$M,""Indore"",collexo_data!$R:$R,""GS Foundation Course"")"),1.0)</f>
        <v>1</v>
      </c>
      <c r="AO23" s="96"/>
      <c r="AP23" s="96">
        <f>sumifs(collexo_data!$G:$G,collexo_data!$B:$B,A23,collexo_data!$M:$M,"Indore",collexo_data!$R:$R,"GS Foundation Course")</f>
        <v>0</v>
      </c>
      <c r="AQ23" s="96">
        <f>sumifs(collexo_data!$G:$G,collexo_data!$B:$B,A23,collexo_data!$M:$M,"Indore") - sumifs(collexo_data!$G:$G,collexo_data!$B:$B,A23,collexo_data!$M:$M,"Indore",collexo_data!$R:$R,"GS Foundation Course")</f>
        <v>2000</v>
      </c>
    </row>
    <row r="24">
      <c r="A24" s="33">
        <v>46072.0</v>
      </c>
      <c r="B24" s="29"/>
      <c r="C24" s="29">
        <f>IFERROR(__xludf.DUMMYFUNCTION("COUNTUNIQUEIFS(collexo_data!$P:$P,collexo_data!$B:$B,A24,collexo_data!$R:$R,""GS Foundation Course"")"),10.0)</f>
        <v>10</v>
      </c>
      <c r="D24" s="29"/>
      <c r="E24" s="29">
        <f>IFERROR(__xludf.DUMMYFUNCTION("COUNTUNIQUEIFS(collexo_data!$P:$P,collexo_data!$B:$B,A24) - COUNTUNIQUEIFS(collexo_data!$P:$P,collexo_data!$B:$B,A24,collexo_data!$R:$R,""GS Foundation Course"")"),0.0)</f>
        <v>0</v>
      </c>
      <c r="F24" s="96"/>
      <c r="G24" s="96">
        <f>sumifs(collexo_data!$G:$G,collexo_data!$B:$B,A24,collexo_data!R:R,"GS Foundation Course")</f>
        <v>312921</v>
      </c>
      <c r="H24" s="97">
        <f>sumifs(collexo_data!$G:$G,collexo_data!$B:$B,A24) - sumifs(collexo_data!$G:$G,collexo_data!$B:$B,A24,collexo_data!$R:$R,"GS Foundation Course")</f>
        <v>0</v>
      </c>
      <c r="I24" s="77"/>
      <c r="J24" s="29">
        <f>IFERROR(__xludf.DUMMYFUNCTION("COUNTUNIQUEIFS(collexo_data!$P:$P,collexo_data!$B:$B,A24,collexo_data!$M:$M,""New Delhi"",collexo_data!$R:$R,""GS Foundation Course"")"),8.0)</f>
        <v>8</v>
      </c>
      <c r="K24" s="29"/>
      <c r="L24" s="29">
        <f>IFERROR(__xludf.DUMMYFUNCTION("COUNTUNIQUEIFS(collexo_data!$P:$P,collexo_data!$B:$B,A24,collexo_data!$M:$M,""New Delhi"") - COUNTUNIQUEIFS(collexo_data!$P:$P,collexo_data!$B:$B,A24,collexo_data!$M:$M,""New Delhi"",collexo_data!$R:$R,""GS Foundation Course"")"),0.0)</f>
        <v>0</v>
      </c>
      <c r="M24" s="96"/>
      <c r="N24" s="96">
        <f>sumifs(collexo_data!$G:$G,collexo_data!$B:$B,A24,collexo_data!$M:$M,"New Delhi",collexo_data!$R:$R,"GS Foundation Course")</f>
        <v>264008</v>
      </c>
      <c r="O24" s="97">
        <f>sumifs(collexo_data!$G:$G,collexo_data!$B:$B,A24,collexo_data!$M:$M,"New Delhi") - sumifs(collexo_data!$G:$G,collexo_data!$B:$B,A24,collexo_data!$M:$M,"New Delhi",collexo_data!$R:$R,"GS Foundation Course")</f>
        <v>0</v>
      </c>
      <c r="P24" s="98"/>
      <c r="Q24" s="29">
        <f>IFERROR(__xludf.DUMMYFUNCTION("COUNTUNIQUEIFS(collexo_data!$P:$P,collexo_data!$B:$B,A24,collexo_data!$M:$M,""Patna"",collexo_data!$R:$R,""GS Foundation Course"")"),0.0)</f>
        <v>0</v>
      </c>
      <c r="R24" s="29"/>
      <c r="S24" s="29">
        <f>IFERROR(__xludf.DUMMYFUNCTION("COUNTUNIQUEIFS(collexo_data!$P:$P,collexo_data!$B:$B,A24,collexo_data!$M:$M,""Patna"") - COUNTUNIQUEIFS(collexo_data!$P:$P,collexo_data!$B:$B,H24,collexo_data!$M:$M,""New Delhi"",collexo_data!$R:$R,""GS Foundation Course"")"),0.0)</f>
        <v>0</v>
      </c>
      <c r="T24" s="96"/>
      <c r="U24" s="96">
        <f>sumifs(collexo_data!$G:$G,collexo_data!$B:$B,A24,collexo_data!$M:$M,"Patna",collexo_data!$R:$R,"GS Foundation Course")</f>
        <v>0</v>
      </c>
      <c r="V24" s="97">
        <f>sumifs(collexo_data!$G:$G,collexo_data!$B:$B,$A24,collexo_data!$M:$M,"Patna") - sumifs(collexo_data!$G:$G,collexo_data!$B:$B,$A24,collexo_data!$M:$M,"Patna",collexo_data!$R:$R,"GS Foundation Course")</f>
        <v>0</v>
      </c>
      <c r="W24" s="98"/>
      <c r="X24" s="29">
        <f>IFERROR(__xludf.DUMMYFUNCTION("COUNTUNIQUEIFS(collexo_data!$P:$P,collexo_data!$B:$B,A24,collexo_data!$M:$M,""Lucknow"",collexo_data!$R:$R,""GS Foundation Course"")"),1.0)</f>
        <v>1</v>
      </c>
      <c r="Y24" s="29"/>
      <c r="Z24" s="29">
        <f>IFERROR(__xludf.DUMMYFUNCTION("COUNTUNIQUEIFS(collexo_data!$P:$P,collexo_data!$B:$B,A24,collexo_data!$M:$M,""Lucknow"") - COUNTUNIQUEIFS(collexo_data!$P:$P,collexo_data!$B:$B,A24,collexo_data!$M:$M,""Lucknow"",collexo_data!$R:$R,""GS Foundation Course"")"),0.0)</f>
        <v>0</v>
      </c>
      <c r="AA24" s="96"/>
      <c r="AB24" s="96">
        <f>sumifs(collexo_data!$G:$G,collexo_data!$B:$B,A24,collexo_data!$M:$M,"Lucknow",collexo_data!$R:$R,"GS Foundation Course")</f>
        <v>43913</v>
      </c>
      <c r="AC24" s="97">
        <f>sumifs(collexo_data!$G:$G,collexo_data!$B:$B,A24,collexo_data!$M:$M,"Lucknow") - sumifs(collexo_data!$G:$G,collexo_data!$B:$B,A24,collexo_data!$M:$M,"Lucknow",collexo_data!$R:$R,"GS Foundation Course")</f>
        <v>0</v>
      </c>
      <c r="AD24" s="98"/>
      <c r="AE24" s="29">
        <f>IFERROR(__xludf.DUMMYFUNCTION("COUNTUNIQUEIFS(collexo_data!$P:$P,collexo_data!$B:$B,A24,collexo_data!$M:$M,""Prayagraj"",collexo_data!$R:$R,""GS Foundation Course"")"),0.0)</f>
        <v>0</v>
      </c>
      <c r="AF24" s="29"/>
      <c r="AG24" s="29">
        <f>IFERROR(__xludf.DUMMYFUNCTION("COUNTUNIQUEIFS(collexo_data!$P:$P,collexo_data!$B:$B,A24,collexo_data!$M:$M,""Prayagraj"") - COUNTUNIQUEIFS(collexo_data!$P:$P,collexo_data!$B:$B,A24,collexo_data!$M:$M,""Prayagraj"",collexo_data!$R:$R,""GS Foundation Course"")"),0.0)</f>
        <v>0</v>
      </c>
      <c r="AH24" s="96"/>
      <c r="AI24" s="96">
        <f>sumifs(collexo_data!$G:$G,collexo_data!$B:$B,A24,collexo_data!$M:$M,"Prayagraj",collexo_data!$R:$R,"GS Foundation Course")</f>
        <v>0</v>
      </c>
      <c r="AJ24" s="97">
        <f>sumifs(collexo_data!$G:$G,collexo_data!$B:$B,A24,collexo_data!$M:$M,"Prayagraj") - sumifs(collexo_data!$G:$G,collexo_data!$B:$B,A24,collexo_data!$M:$M,"Prayagraj",collexo_data!$R:$R,"GS Foundation Course")</f>
        <v>0</v>
      </c>
      <c r="AK24" s="98"/>
      <c r="AL24" s="29">
        <f>IFERROR(__xludf.DUMMYFUNCTION("COUNTUNIQUEIFS(collexo_data!$P:$P,collexo_data!$B:$B,A24,collexo_data!$M:$M,""Indore"",collexo_data!$R:$R,""GS Foundation Course"")"),1.0)</f>
        <v>1</v>
      </c>
      <c r="AM24" s="29"/>
      <c r="AN24" s="29">
        <f>IFERROR(__xludf.DUMMYFUNCTION("COUNTUNIQUEIFS(collexo_data!$P:$P,collexo_data!$B:$B,A24,collexo_data!$M:$M,""Indore"") - COUNTUNIQUEIFS(collexo_data!$P:$P,collexo_data!$B:$B,A24,collexo_data!$M:$M,""Indore"",collexo_data!$R:$R,""GS Foundation Course"")"),0.0)</f>
        <v>0</v>
      </c>
      <c r="AO24" s="96"/>
      <c r="AP24" s="96">
        <f>sumifs(collexo_data!$G:$G,collexo_data!$B:$B,A24,collexo_data!$M:$M,"Indore",collexo_data!$R:$R,"GS Foundation Course")</f>
        <v>5000</v>
      </c>
      <c r="AQ24" s="96">
        <f>sumifs(collexo_data!$G:$G,collexo_data!$B:$B,A24,collexo_data!$M:$M,"Indore") - sumifs(collexo_data!$G:$G,collexo_data!$B:$B,A24,collexo_data!$M:$M,"Indore",collexo_data!$R:$R,"GS Foundation Course")</f>
        <v>0</v>
      </c>
    </row>
    <row r="25">
      <c r="A25" s="33">
        <v>46073.0</v>
      </c>
      <c r="B25" s="29"/>
      <c r="C25" s="29">
        <f>IFERROR(__xludf.DUMMYFUNCTION("COUNTUNIQUEIFS(collexo_data!$P:$P,collexo_data!$B:$B,A25,collexo_data!$R:$R,""GS Foundation Course"")"),10.0)</f>
        <v>10</v>
      </c>
      <c r="D25" s="29"/>
      <c r="E25" s="29">
        <f>IFERROR(__xludf.DUMMYFUNCTION("COUNTUNIQUEIFS(collexo_data!$P:$P,collexo_data!$B:$B,A25) - COUNTUNIQUEIFS(collexo_data!$P:$P,collexo_data!$B:$B,A25,collexo_data!$R:$R,""GS Foundation Course"")"),1.0)</f>
        <v>1</v>
      </c>
      <c r="F25" s="96"/>
      <c r="G25" s="96">
        <f>sumifs(collexo_data!$G:$G,collexo_data!$B:$B,A25,collexo_data!R:R,"GS Foundation Course")</f>
        <v>272005</v>
      </c>
      <c r="H25" s="97">
        <f>sumifs(collexo_data!$G:$G,collexo_data!$B:$B,A25) - sumifs(collexo_data!$G:$G,collexo_data!$B:$B,A25,collexo_data!$R:$R,"GS Foundation Course")</f>
        <v>25000</v>
      </c>
      <c r="I25" s="77"/>
      <c r="J25" s="29">
        <f>IFERROR(__xludf.DUMMYFUNCTION("COUNTUNIQUEIFS(collexo_data!$P:$P,collexo_data!$B:$B,A25,collexo_data!$M:$M,""New Delhi"",collexo_data!$R:$R,""GS Foundation Course"")"),7.0)</f>
        <v>7</v>
      </c>
      <c r="K25" s="29"/>
      <c r="L25" s="29">
        <f>IFERROR(__xludf.DUMMYFUNCTION("COUNTUNIQUEIFS(collexo_data!$P:$P,collexo_data!$B:$B,A25,collexo_data!$M:$M,""New Delhi"") - COUNTUNIQUEIFS(collexo_data!$P:$P,collexo_data!$B:$B,A25,collexo_data!$M:$M,""New Delhi"",collexo_data!$R:$R,""GS Foundation Course"")"),0.0)</f>
        <v>0</v>
      </c>
      <c r="M25" s="96"/>
      <c r="N25" s="96">
        <f>sumifs(collexo_data!$G:$G,collexo_data!$B:$B,A25,collexo_data!$M:$M,"New Delhi",collexo_data!$R:$R,"GS Foundation Course")</f>
        <v>132005</v>
      </c>
      <c r="O25" s="97">
        <f>sumifs(collexo_data!$G:$G,collexo_data!$B:$B,A25,collexo_data!$M:$M,"New Delhi") - sumifs(collexo_data!$G:$G,collexo_data!$B:$B,A25,collexo_data!$M:$M,"New Delhi",collexo_data!$R:$R,"GS Foundation Course")</f>
        <v>0</v>
      </c>
      <c r="P25" s="98"/>
      <c r="Q25" s="29">
        <f>IFERROR(__xludf.DUMMYFUNCTION("COUNTUNIQUEIFS(collexo_data!$P:$P,collexo_data!$B:$B,A25,collexo_data!$M:$M,""Patna"",collexo_data!$R:$R,""GS Foundation Course"")"),0.0)</f>
        <v>0</v>
      </c>
      <c r="R25" s="29"/>
      <c r="S25" s="29">
        <f>IFERROR(__xludf.DUMMYFUNCTION("COUNTUNIQUEIFS(collexo_data!$P:$P,collexo_data!$B:$B,A25,collexo_data!$M:$M,""Patna"") - COUNTUNIQUEIFS(collexo_data!$P:$P,collexo_data!$B:$B,H25,collexo_data!$M:$M,""New Delhi"",collexo_data!$R:$R,""GS Foundation Course"")"),0.0)</f>
        <v>0</v>
      </c>
      <c r="T25" s="96"/>
      <c r="U25" s="96">
        <f>sumifs(collexo_data!$G:$G,collexo_data!$B:$B,A25,collexo_data!$M:$M,"Patna",collexo_data!$R:$R,"GS Foundation Course")</f>
        <v>0</v>
      </c>
      <c r="V25" s="97">
        <f>sumifs(collexo_data!$G:$G,collexo_data!$B:$B,$A25,collexo_data!$M:$M,"Patna") - sumifs(collexo_data!$G:$G,collexo_data!$B:$B,$A25,collexo_data!$M:$M,"Patna",collexo_data!$R:$R,"GS Foundation Course")</f>
        <v>0</v>
      </c>
      <c r="W25" s="98"/>
      <c r="X25" s="29">
        <f>IFERROR(__xludf.DUMMYFUNCTION("COUNTUNIQUEIFS(collexo_data!$P:$P,collexo_data!$B:$B,A25,collexo_data!$M:$M,""Lucknow"",collexo_data!$R:$R,""GS Foundation Course"")"),1.0)</f>
        <v>1</v>
      </c>
      <c r="Y25" s="29"/>
      <c r="Z25" s="29">
        <f>IFERROR(__xludf.DUMMYFUNCTION("COUNTUNIQUEIFS(collexo_data!$P:$P,collexo_data!$B:$B,A25,collexo_data!$M:$M,""Lucknow"") - COUNTUNIQUEIFS(collexo_data!$P:$P,collexo_data!$B:$B,A25,collexo_data!$M:$M,""Lucknow"",collexo_data!$R:$R,""GS Foundation Course"")"),0.0)</f>
        <v>0</v>
      </c>
      <c r="AA25" s="96"/>
      <c r="AB25" s="96">
        <f>sumifs(collexo_data!$G:$G,collexo_data!$B:$B,A25,collexo_data!$M:$M,"Lucknow",collexo_data!$R:$R,"GS Foundation Course")</f>
        <v>25000</v>
      </c>
      <c r="AC25" s="97">
        <f>sumifs(collexo_data!$G:$G,collexo_data!$B:$B,A25,collexo_data!$M:$M,"Lucknow") - sumifs(collexo_data!$G:$G,collexo_data!$B:$B,A25,collexo_data!$M:$M,"Lucknow",collexo_data!$R:$R,"GS Foundation Course")</f>
        <v>0</v>
      </c>
      <c r="AD25" s="98"/>
      <c r="AE25" s="29">
        <f>IFERROR(__xludf.DUMMYFUNCTION("COUNTUNIQUEIFS(collexo_data!$P:$P,collexo_data!$B:$B,A25,collexo_data!$M:$M,""Prayagraj"",collexo_data!$R:$R,""GS Foundation Course"")"),2.0)</f>
        <v>2</v>
      </c>
      <c r="AF25" s="29"/>
      <c r="AG25" s="29">
        <f>IFERROR(__xludf.DUMMYFUNCTION("COUNTUNIQUEIFS(collexo_data!$P:$P,collexo_data!$B:$B,A25,collexo_data!$M:$M,""Prayagraj"") - COUNTUNIQUEIFS(collexo_data!$P:$P,collexo_data!$B:$B,A25,collexo_data!$M:$M,""Prayagraj"",collexo_data!$R:$R,""GS Foundation Course"")"),1.0)</f>
        <v>1</v>
      </c>
      <c r="AH25" s="96"/>
      <c r="AI25" s="96">
        <f>sumifs(collexo_data!$G:$G,collexo_data!$B:$B,A25,collexo_data!$M:$M,"Prayagraj",collexo_data!$R:$R,"GS Foundation Course")</f>
        <v>115000</v>
      </c>
      <c r="AJ25" s="97">
        <f>sumifs(collexo_data!$G:$G,collexo_data!$B:$B,A25,collexo_data!$M:$M,"Prayagraj") - sumifs(collexo_data!$G:$G,collexo_data!$B:$B,A25,collexo_data!$M:$M,"Prayagraj",collexo_data!$R:$R,"GS Foundation Course")</f>
        <v>25000</v>
      </c>
      <c r="AK25" s="98"/>
      <c r="AL25" s="29">
        <f>IFERROR(__xludf.DUMMYFUNCTION("COUNTUNIQUEIFS(collexo_data!$P:$P,collexo_data!$B:$B,A25,collexo_data!$M:$M,""Indore"",collexo_data!$R:$R,""GS Foundation Course"")"),0.0)</f>
        <v>0</v>
      </c>
      <c r="AM25" s="29"/>
      <c r="AN25" s="29">
        <f>IFERROR(__xludf.DUMMYFUNCTION("COUNTUNIQUEIFS(collexo_data!$P:$P,collexo_data!$B:$B,A25,collexo_data!$M:$M,""Indore"") - COUNTUNIQUEIFS(collexo_data!$P:$P,collexo_data!$B:$B,A25,collexo_data!$M:$M,""Indore"",collexo_data!$R:$R,""GS Foundation Course"")"),0.0)</f>
        <v>0</v>
      </c>
      <c r="AO25" s="96"/>
      <c r="AP25" s="96">
        <f>sumifs(collexo_data!$G:$G,collexo_data!$B:$B,A25,collexo_data!$M:$M,"Indore",collexo_data!$R:$R,"GS Foundation Course")</f>
        <v>0</v>
      </c>
      <c r="AQ25" s="96">
        <f>sumifs(collexo_data!$G:$G,collexo_data!$B:$B,A25,collexo_data!$M:$M,"Indore") - sumifs(collexo_data!$G:$G,collexo_data!$B:$B,A25,collexo_data!$M:$M,"Indore",collexo_data!$R:$R,"GS Foundation Course")</f>
        <v>0</v>
      </c>
    </row>
    <row r="26">
      <c r="A26" s="33">
        <v>46074.0</v>
      </c>
      <c r="B26" s="29"/>
      <c r="C26" s="29">
        <f>IFERROR(__xludf.DUMMYFUNCTION("COUNTUNIQUEIFS(collexo_data!$P:$P,collexo_data!$B:$B,A26,collexo_data!$R:$R,""GS Foundation Course"")"),7.0)</f>
        <v>7</v>
      </c>
      <c r="D26" s="29"/>
      <c r="E26" s="29">
        <f>IFERROR(__xludf.DUMMYFUNCTION("COUNTUNIQUEIFS(collexo_data!$P:$P,collexo_data!$B:$B,A26) - COUNTUNIQUEIFS(collexo_data!$P:$P,collexo_data!$B:$B,A26,collexo_data!$R:$R,""GS Foundation Course"")"),0.0)</f>
        <v>0</v>
      </c>
      <c r="F26" s="96"/>
      <c r="G26" s="96">
        <f>sumifs(collexo_data!$G:$G,collexo_data!$B:$B,A26,collexo_data!R:R,"GS Foundation Course")</f>
        <v>392000</v>
      </c>
      <c r="H26" s="97">
        <f>sumifs(collexo_data!$G:$G,collexo_data!$B:$B,A26) - sumifs(collexo_data!$G:$G,collexo_data!$B:$B,A26,collexo_data!$R:$R,"GS Foundation Course")</f>
        <v>0</v>
      </c>
      <c r="I26" s="77"/>
      <c r="J26" s="29">
        <f>IFERROR(__xludf.DUMMYFUNCTION("COUNTUNIQUEIFS(collexo_data!$P:$P,collexo_data!$B:$B,A26,collexo_data!$M:$M,""New Delhi"",collexo_data!$R:$R,""GS Foundation Course"")"),2.0)</f>
        <v>2</v>
      </c>
      <c r="K26" s="29"/>
      <c r="L26" s="29">
        <f>IFERROR(__xludf.DUMMYFUNCTION("COUNTUNIQUEIFS(collexo_data!$P:$P,collexo_data!$B:$B,A26,collexo_data!$M:$M,""New Delhi"") - COUNTUNIQUEIFS(collexo_data!$P:$P,collexo_data!$B:$B,A26,collexo_data!$M:$M,""New Delhi"",collexo_data!$R:$R,""GS Foundation Course"")"),0.0)</f>
        <v>0</v>
      </c>
      <c r="M26" s="96"/>
      <c r="N26" s="96">
        <f>sumifs(collexo_data!$G:$G,collexo_data!$B:$B,A26,collexo_data!$M:$M,"New Delhi",collexo_data!$R:$R,"GS Foundation Course")</f>
        <v>168000</v>
      </c>
      <c r="O26" s="97">
        <f>sumifs(collexo_data!$G:$G,collexo_data!$B:$B,A26,collexo_data!$M:$M,"New Delhi") - sumifs(collexo_data!$G:$G,collexo_data!$B:$B,A26,collexo_data!$M:$M,"New Delhi",collexo_data!$R:$R,"GS Foundation Course")</f>
        <v>0</v>
      </c>
      <c r="P26" s="98"/>
      <c r="Q26" s="29">
        <f>IFERROR(__xludf.DUMMYFUNCTION("COUNTUNIQUEIFS(collexo_data!$P:$P,collexo_data!$B:$B,A26,collexo_data!$M:$M,""Patna"",collexo_data!$R:$R,""GS Foundation Course"")"),0.0)</f>
        <v>0</v>
      </c>
      <c r="R26" s="29"/>
      <c r="S26" s="29">
        <f>IFERROR(__xludf.DUMMYFUNCTION("COUNTUNIQUEIFS(collexo_data!$P:$P,collexo_data!$B:$B,A26,collexo_data!$M:$M,""Patna"") - COUNTUNIQUEIFS(collexo_data!$P:$P,collexo_data!$B:$B,H26,collexo_data!$M:$M,""New Delhi"",collexo_data!$R:$R,""GS Foundation Course"")"),0.0)</f>
        <v>0</v>
      </c>
      <c r="T26" s="96"/>
      <c r="U26" s="96">
        <f>sumifs(collexo_data!$G:$G,collexo_data!$B:$B,A26,collexo_data!$M:$M,"Patna",collexo_data!$R:$R,"GS Foundation Course")</f>
        <v>0</v>
      </c>
      <c r="V26" s="97">
        <f>sumifs(collexo_data!$G:$G,collexo_data!$B:$B,$A26,collexo_data!$M:$M,"Patna") - sumifs(collexo_data!$G:$G,collexo_data!$B:$B,$A26,collexo_data!$M:$M,"Patna",collexo_data!$R:$R,"GS Foundation Course")</f>
        <v>0</v>
      </c>
      <c r="W26" s="98"/>
      <c r="X26" s="29">
        <f>IFERROR(__xludf.DUMMYFUNCTION("COUNTUNIQUEIFS(collexo_data!$P:$P,collexo_data!$B:$B,A26,collexo_data!$M:$M,""Lucknow"",collexo_data!$R:$R,""GS Foundation Course"")"),2.0)</f>
        <v>2</v>
      </c>
      <c r="Y26" s="29"/>
      <c r="Z26" s="29">
        <f>IFERROR(__xludf.DUMMYFUNCTION("COUNTUNIQUEIFS(collexo_data!$P:$P,collexo_data!$B:$B,A26,collexo_data!$M:$M,""Lucknow"") - COUNTUNIQUEIFS(collexo_data!$P:$P,collexo_data!$B:$B,A26,collexo_data!$M:$M,""Lucknow"",collexo_data!$R:$R,""GS Foundation Course"")"),0.0)</f>
        <v>0</v>
      </c>
      <c r="AA26" s="96"/>
      <c r="AB26" s="96">
        <f>sumifs(collexo_data!$G:$G,collexo_data!$B:$B,A26,collexo_data!$M:$M,"Lucknow",collexo_data!$R:$R,"GS Foundation Course")</f>
        <v>40000</v>
      </c>
      <c r="AC26" s="97">
        <f>sumifs(collexo_data!$G:$G,collexo_data!$B:$B,A26,collexo_data!$M:$M,"Lucknow") - sumifs(collexo_data!$G:$G,collexo_data!$B:$B,A26,collexo_data!$M:$M,"Lucknow",collexo_data!$R:$R,"GS Foundation Course")</f>
        <v>0</v>
      </c>
      <c r="AD26" s="98"/>
      <c r="AE26" s="29">
        <f>IFERROR(__xludf.DUMMYFUNCTION("COUNTUNIQUEIFS(collexo_data!$P:$P,collexo_data!$B:$B,A26,collexo_data!$M:$M,""Prayagraj"",collexo_data!$R:$R,""GS Foundation Course"")"),1.0)</f>
        <v>1</v>
      </c>
      <c r="AF26" s="29"/>
      <c r="AG26" s="29">
        <f>IFERROR(__xludf.DUMMYFUNCTION("COUNTUNIQUEIFS(collexo_data!$P:$P,collexo_data!$B:$B,A26,collexo_data!$M:$M,""Prayagraj"") - COUNTUNIQUEIFS(collexo_data!$P:$P,collexo_data!$B:$B,A26,collexo_data!$M:$M,""Prayagraj"",collexo_data!$R:$R,""GS Foundation Course"")"),0.0)</f>
        <v>0</v>
      </c>
      <c r="AH26" s="96"/>
      <c r="AI26" s="96">
        <f>sumifs(collexo_data!$G:$G,collexo_data!$B:$B,A26,collexo_data!$M:$M,"Prayagraj",collexo_data!$R:$R,"GS Foundation Course")</f>
        <v>50000</v>
      </c>
      <c r="AJ26" s="97">
        <f>sumifs(collexo_data!$G:$G,collexo_data!$B:$B,A26,collexo_data!$M:$M,"Prayagraj") - sumifs(collexo_data!$G:$G,collexo_data!$B:$B,A26,collexo_data!$M:$M,"Prayagraj",collexo_data!$R:$R,"GS Foundation Course")</f>
        <v>0</v>
      </c>
      <c r="AK26" s="98"/>
      <c r="AL26" s="29">
        <f>IFERROR(__xludf.DUMMYFUNCTION("COUNTUNIQUEIFS(collexo_data!$P:$P,collexo_data!$B:$B,A26,collexo_data!$M:$M,""Indore"",collexo_data!$R:$R,""GS Foundation Course"")"),2.0)</f>
        <v>2</v>
      </c>
      <c r="AM26" s="29"/>
      <c r="AN26" s="29">
        <f>IFERROR(__xludf.DUMMYFUNCTION("COUNTUNIQUEIFS(collexo_data!$P:$P,collexo_data!$B:$B,A26,collexo_data!$M:$M,""Indore"") - COUNTUNIQUEIFS(collexo_data!$P:$P,collexo_data!$B:$B,A26,collexo_data!$M:$M,""Indore"",collexo_data!$R:$R,""GS Foundation Course"")"),0.0)</f>
        <v>0</v>
      </c>
      <c r="AO26" s="96"/>
      <c r="AP26" s="96">
        <f>sumifs(collexo_data!$G:$G,collexo_data!$B:$B,A26,collexo_data!$M:$M,"Indore",collexo_data!$R:$R,"GS Foundation Course")</f>
        <v>134000</v>
      </c>
      <c r="AQ26" s="96">
        <f>sumifs(collexo_data!$G:$G,collexo_data!$B:$B,A26,collexo_data!$M:$M,"Indore") - sumifs(collexo_data!$G:$G,collexo_data!$B:$B,A26,collexo_data!$M:$M,"Indore",collexo_data!$R:$R,"GS Foundation Course")</f>
        <v>0</v>
      </c>
    </row>
    <row r="27">
      <c r="A27" s="33">
        <v>46075.0</v>
      </c>
      <c r="B27" s="29"/>
      <c r="C27" s="29">
        <f>IFERROR(__xludf.DUMMYFUNCTION("COUNTUNIQUEIFS(collexo_data!$P:$P,collexo_data!$B:$B,A27,collexo_data!$R:$R,""GS Foundation Course"")"),7.0)</f>
        <v>7</v>
      </c>
      <c r="D27" s="29"/>
      <c r="E27" s="29">
        <f>IFERROR(__xludf.DUMMYFUNCTION("COUNTUNIQUEIFS(collexo_data!$P:$P,collexo_data!$B:$B,A27) - COUNTUNIQUEIFS(collexo_data!$P:$P,collexo_data!$B:$B,A27,collexo_data!$R:$R,""GS Foundation Course"")"),1.0)</f>
        <v>1</v>
      </c>
      <c r="F27" s="96"/>
      <c r="G27" s="96">
        <f>sumifs(collexo_data!$G:$G,collexo_data!$B:$B,A27,collexo_data!R:R,"GS Foundation Course")</f>
        <v>173270</v>
      </c>
      <c r="H27" s="97">
        <f>sumifs(collexo_data!$G:$G,collexo_data!$B:$B,A27) - sumifs(collexo_data!$G:$G,collexo_data!$B:$B,A27,collexo_data!$R:$R,"GS Foundation Course")</f>
        <v>43000</v>
      </c>
      <c r="I27" s="77"/>
      <c r="J27" s="29">
        <f>IFERROR(__xludf.DUMMYFUNCTION("COUNTUNIQUEIFS(collexo_data!$P:$P,collexo_data!$B:$B,A27,collexo_data!$M:$M,""New Delhi"",collexo_data!$R:$R,""GS Foundation Course"")"),4.0)</f>
        <v>4</v>
      </c>
      <c r="K27" s="29"/>
      <c r="L27" s="29">
        <f>IFERROR(__xludf.DUMMYFUNCTION("COUNTUNIQUEIFS(collexo_data!$P:$P,collexo_data!$B:$B,A27,collexo_data!$M:$M,""New Delhi"") - COUNTUNIQUEIFS(collexo_data!$P:$P,collexo_data!$B:$B,A27,collexo_data!$M:$M,""New Delhi"",collexo_data!$R:$R,""GS Foundation Course"")"),0.0)</f>
        <v>0</v>
      </c>
      <c r="M27" s="96"/>
      <c r="N27" s="96">
        <f>sumifs(collexo_data!$G:$G,collexo_data!$B:$B,A27,collexo_data!$M:$M,"New Delhi",collexo_data!$R:$R,"GS Foundation Course")</f>
        <v>149003</v>
      </c>
      <c r="O27" s="97">
        <f>sumifs(collexo_data!$G:$G,collexo_data!$B:$B,A27,collexo_data!$M:$M,"New Delhi") - sumifs(collexo_data!$G:$G,collexo_data!$B:$B,A27,collexo_data!$M:$M,"New Delhi",collexo_data!$R:$R,"GS Foundation Course")</f>
        <v>0</v>
      </c>
      <c r="P27" s="98"/>
      <c r="Q27" s="29">
        <f>IFERROR(__xludf.DUMMYFUNCTION("COUNTUNIQUEIFS(collexo_data!$P:$P,collexo_data!$B:$B,A27,collexo_data!$M:$M,""Patna"",collexo_data!$R:$R,""GS Foundation Course"")"),1.0)</f>
        <v>1</v>
      </c>
      <c r="R27" s="29"/>
      <c r="S27" s="29">
        <f>IFERROR(__xludf.DUMMYFUNCTION("COUNTUNIQUEIFS(collexo_data!$P:$P,collexo_data!$B:$B,A27,collexo_data!$M:$M,""Patna"") - COUNTUNIQUEIFS(collexo_data!$P:$P,collexo_data!$B:$B,H27,collexo_data!$M:$M,""New Delhi"",collexo_data!$R:$R,""GS Foundation Course"")"),1.0)</f>
        <v>1</v>
      </c>
      <c r="T27" s="96"/>
      <c r="U27" s="96">
        <f>sumifs(collexo_data!$G:$G,collexo_data!$B:$B,A27,collexo_data!$M:$M,"Patna",collexo_data!$R:$R,"GS Foundation Course")</f>
        <v>8767</v>
      </c>
      <c r="V27" s="97">
        <f>sumifs(collexo_data!$G:$G,collexo_data!$B:$B,$A27,collexo_data!$M:$M,"Patna") - sumifs(collexo_data!$G:$G,collexo_data!$B:$B,$A27,collexo_data!$M:$M,"Patna",collexo_data!$R:$R,"GS Foundation Course")</f>
        <v>0</v>
      </c>
      <c r="W27" s="98"/>
      <c r="X27" s="29">
        <f>IFERROR(__xludf.DUMMYFUNCTION("COUNTUNIQUEIFS(collexo_data!$P:$P,collexo_data!$B:$B,A27,collexo_data!$M:$M,""Lucknow"",collexo_data!$R:$R,""GS Foundation Course"")"),1.0)</f>
        <v>1</v>
      </c>
      <c r="Y27" s="29"/>
      <c r="Z27" s="29">
        <f>IFERROR(__xludf.DUMMYFUNCTION("COUNTUNIQUEIFS(collexo_data!$P:$P,collexo_data!$B:$B,A27,collexo_data!$M:$M,""Lucknow"") - COUNTUNIQUEIFS(collexo_data!$P:$P,collexo_data!$B:$B,A27,collexo_data!$M:$M,""Lucknow"",collexo_data!$R:$R,""GS Foundation Course"")"),0.0)</f>
        <v>0</v>
      </c>
      <c r="AA27" s="96"/>
      <c r="AB27" s="96">
        <f>sumifs(collexo_data!$G:$G,collexo_data!$B:$B,A27,collexo_data!$M:$M,"Lucknow",collexo_data!$R:$R,"GS Foundation Course")</f>
        <v>12500</v>
      </c>
      <c r="AC27" s="97">
        <f>sumifs(collexo_data!$G:$G,collexo_data!$B:$B,A27,collexo_data!$M:$M,"Lucknow") - sumifs(collexo_data!$G:$G,collexo_data!$B:$B,A27,collexo_data!$M:$M,"Lucknow",collexo_data!$R:$R,"GS Foundation Course")</f>
        <v>0</v>
      </c>
      <c r="AD27" s="98"/>
      <c r="AE27" s="29">
        <f>IFERROR(__xludf.DUMMYFUNCTION("COUNTUNIQUEIFS(collexo_data!$P:$P,collexo_data!$B:$B,A27,collexo_data!$M:$M,""Prayagraj"",collexo_data!$R:$R,""GS Foundation Course"")"),1.0)</f>
        <v>1</v>
      </c>
      <c r="AF27" s="29"/>
      <c r="AG27" s="29">
        <f>IFERROR(__xludf.DUMMYFUNCTION("COUNTUNIQUEIFS(collexo_data!$P:$P,collexo_data!$B:$B,A27,collexo_data!$M:$M,""Prayagraj"") - COUNTUNIQUEIFS(collexo_data!$P:$P,collexo_data!$B:$B,A27,collexo_data!$M:$M,""Prayagraj"",collexo_data!$R:$R,""GS Foundation Course"")"),0.0)</f>
        <v>0</v>
      </c>
      <c r="AH27" s="96"/>
      <c r="AI27" s="96">
        <f>sumifs(collexo_data!$G:$G,collexo_data!$B:$B,A27,collexo_data!$M:$M,"Prayagraj",collexo_data!$R:$R,"GS Foundation Course")</f>
        <v>3000</v>
      </c>
      <c r="AJ27" s="97">
        <f>sumifs(collexo_data!$G:$G,collexo_data!$B:$B,A27,collexo_data!$M:$M,"Prayagraj") - sumifs(collexo_data!$G:$G,collexo_data!$B:$B,A27,collexo_data!$M:$M,"Prayagraj",collexo_data!$R:$R,"GS Foundation Course")</f>
        <v>0</v>
      </c>
      <c r="AK27" s="98"/>
      <c r="AL27" s="29">
        <f>IFERROR(__xludf.DUMMYFUNCTION("COUNTUNIQUEIFS(collexo_data!$P:$P,collexo_data!$B:$B,A27,collexo_data!$M:$M,""Indore"",collexo_data!$R:$R,""GS Foundation Course"")"),0.0)</f>
        <v>0</v>
      </c>
      <c r="AM27" s="29"/>
      <c r="AN27" s="29">
        <f>IFERROR(__xludf.DUMMYFUNCTION("COUNTUNIQUEIFS(collexo_data!$P:$P,collexo_data!$B:$B,A27,collexo_data!$M:$M,""Indore"") - COUNTUNIQUEIFS(collexo_data!$P:$P,collexo_data!$B:$B,A27,collexo_data!$M:$M,""Indore"",collexo_data!$R:$R,""GS Foundation Course"")"),1.0)</f>
        <v>1</v>
      </c>
      <c r="AO27" s="96"/>
      <c r="AP27" s="96">
        <f>sumifs(collexo_data!$G:$G,collexo_data!$B:$B,A27,collexo_data!$M:$M,"Indore",collexo_data!$R:$R,"GS Foundation Course")</f>
        <v>0</v>
      </c>
      <c r="AQ27" s="96">
        <f>sumifs(collexo_data!$G:$G,collexo_data!$B:$B,A27,collexo_data!$M:$M,"Indore") - sumifs(collexo_data!$G:$G,collexo_data!$B:$B,A27,collexo_data!$M:$M,"Indore",collexo_data!$R:$R,"GS Foundation Course")</f>
        <v>43000</v>
      </c>
    </row>
    <row r="28">
      <c r="A28" s="33">
        <v>46076.0</v>
      </c>
      <c r="B28" s="29"/>
      <c r="C28" s="29">
        <f>IFERROR(__xludf.DUMMYFUNCTION("COUNTUNIQUEIFS(collexo_data!$P:$P,collexo_data!$B:$B,A28,collexo_data!$R:$R,""GS Foundation Course"")"),7.0)</f>
        <v>7</v>
      </c>
      <c r="D28" s="29"/>
      <c r="E28" s="29">
        <f>IFERROR(__xludf.DUMMYFUNCTION("COUNTUNIQUEIFS(collexo_data!$P:$P,collexo_data!$B:$B,A28) - COUNTUNIQUEIFS(collexo_data!$P:$P,collexo_data!$B:$B,A28,collexo_data!$R:$R,""GS Foundation Course"")"),1.0)</f>
        <v>1</v>
      </c>
      <c r="F28" s="96"/>
      <c r="G28" s="96">
        <f>sumifs(collexo_data!$G:$G,collexo_data!$B:$B,A28,collexo_data!R:R,"GS Foundation Course")</f>
        <v>183667</v>
      </c>
      <c r="H28" s="97">
        <f>sumifs(collexo_data!$G:$G,collexo_data!$B:$B,A28) - sumifs(collexo_data!$G:$G,collexo_data!$B:$B,A28,collexo_data!$R:$R,"GS Foundation Course")</f>
        <v>4516</v>
      </c>
      <c r="I28" s="77"/>
      <c r="J28" s="29">
        <f>IFERROR(__xludf.DUMMYFUNCTION("COUNTUNIQUEIFS(collexo_data!$P:$P,collexo_data!$B:$B,A28,collexo_data!$M:$M,""New Delhi"",collexo_data!$R:$R,""GS Foundation Course"")"),4.0)</f>
        <v>4</v>
      </c>
      <c r="K28" s="29"/>
      <c r="L28" s="29">
        <f>IFERROR(__xludf.DUMMYFUNCTION("COUNTUNIQUEIFS(collexo_data!$P:$P,collexo_data!$B:$B,A28,collexo_data!$M:$M,""New Delhi"") - COUNTUNIQUEIFS(collexo_data!$P:$P,collexo_data!$B:$B,A28,collexo_data!$M:$M,""New Delhi"",collexo_data!$R:$R,""GS Foundation Course"")"),0.0)</f>
        <v>0</v>
      </c>
      <c r="M28" s="96"/>
      <c r="N28" s="96">
        <f>sumifs(collexo_data!$G:$G,collexo_data!$B:$B,A28,collexo_data!$M:$M,"New Delhi",collexo_data!$R:$R,"GS Foundation Course")</f>
        <v>146667</v>
      </c>
      <c r="O28" s="97">
        <f>sumifs(collexo_data!$G:$G,collexo_data!$B:$B,A28,collexo_data!$M:$M,"New Delhi") - sumifs(collexo_data!$G:$G,collexo_data!$B:$B,A28,collexo_data!$M:$M,"New Delhi",collexo_data!$R:$R,"GS Foundation Course")</f>
        <v>0</v>
      </c>
      <c r="P28" s="98"/>
      <c r="Q28" s="29">
        <f>IFERROR(__xludf.DUMMYFUNCTION("COUNTUNIQUEIFS(collexo_data!$P:$P,collexo_data!$B:$B,A28,collexo_data!$M:$M,""Patna"",collexo_data!$R:$R,""GS Foundation Course"")"),0.0)</f>
        <v>0</v>
      </c>
      <c r="R28" s="29"/>
      <c r="S28" s="29">
        <f>IFERROR(__xludf.DUMMYFUNCTION("COUNTUNIQUEIFS(collexo_data!$P:$P,collexo_data!$B:$B,A28,collexo_data!$M:$M,""Patna"") - COUNTUNIQUEIFS(collexo_data!$P:$P,collexo_data!$B:$B,H28,collexo_data!$M:$M,""New Delhi"",collexo_data!$R:$R,""GS Foundation Course"")"),0.0)</f>
        <v>0</v>
      </c>
      <c r="T28" s="96"/>
      <c r="U28" s="96">
        <f>sumifs(collexo_data!$G:$G,collexo_data!$B:$B,A28,collexo_data!$M:$M,"Patna",collexo_data!$R:$R,"GS Foundation Course")</f>
        <v>0</v>
      </c>
      <c r="V28" s="97">
        <f>sumifs(collexo_data!$G:$G,collexo_data!$B:$B,$A28,collexo_data!$M:$M,"Patna") - sumifs(collexo_data!$G:$G,collexo_data!$B:$B,$A28,collexo_data!$M:$M,"Patna",collexo_data!$R:$R,"GS Foundation Course")</f>
        <v>0</v>
      </c>
      <c r="W28" s="98"/>
      <c r="X28" s="29">
        <f>IFERROR(__xludf.DUMMYFUNCTION("COUNTUNIQUEIFS(collexo_data!$P:$P,collexo_data!$B:$B,A28,collexo_data!$M:$M,""Lucknow"",collexo_data!$R:$R,""GS Foundation Course"")"),1.0)</f>
        <v>1</v>
      </c>
      <c r="Y28" s="29"/>
      <c r="Z28" s="29">
        <f>IFERROR(__xludf.DUMMYFUNCTION("COUNTUNIQUEIFS(collexo_data!$P:$P,collexo_data!$B:$B,A28,collexo_data!$M:$M,""Lucknow"") - COUNTUNIQUEIFS(collexo_data!$P:$P,collexo_data!$B:$B,A28,collexo_data!$M:$M,""Lucknow"",collexo_data!$R:$R,""GS Foundation Course"")"),1.0)</f>
        <v>1</v>
      </c>
      <c r="AA28" s="96"/>
      <c r="AB28" s="96">
        <f>sumifs(collexo_data!$G:$G,collexo_data!$B:$B,A28,collexo_data!$M:$M,"Lucknow",collexo_data!$R:$R,"GS Foundation Course")</f>
        <v>35000</v>
      </c>
      <c r="AC28" s="97">
        <f>sumifs(collexo_data!$G:$G,collexo_data!$B:$B,A28,collexo_data!$M:$M,"Lucknow") - sumifs(collexo_data!$G:$G,collexo_data!$B:$B,A28,collexo_data!$M:$M,"Lucknow",collexo_data!$R:$R,"GS Foundation Course")</f>
        <v>4516</v>
      </c>
      <c r="AD28" s="98"/>
      <c r="AE28" s="29">
        <f>IFERROR(__xludf.DUMMYFUNCTION("COUNTUNIQUEIFS(collexo_data!$P:$P,collexo_data!$B:$B,A28,collexo_data!$M:$M,""Prayagraj"",collexo_data!$R:$R,""GS Foundation Course"")"),0.0)</f>
        <v>0</v>
      </c>
      <c r="AF28" s="29"/>
      <c r="AG28" s="29">
        <f>IFERROR(__xludf.DUMMYFUNCTION("COUNTUNIQUEIFS(collexo_data!$P:$P,collexo_data!$B:$B,A28,collexo_data!$M:$M,""Prayagraj"") - COUNTUNIQUEIFS(collexo_data!$P:$P,collexo_data!$B:$B,A28,collexo_data!$M:$M,""Prayagraj"",collexo_data!$R:$R,""GS Foundation Course"")"),0.0)</f>
        <v>0</v>
      </c>
      <c r="AH28" s="96"/>
      <c r="AI28" s="96">
        <f>sumifs(collexo_data!$G:$G,collexo_data!$B:$B,A28,collexo_data!$M:$M,"Prayagraj",collexo_data!$R:$R,"GS Foundation Course")</f>
        <v>0</v>
      </c>
      <c r="AJ28" s="97">
        <f>sumifs(collexo_data!$G:$G,collexo_data!$B:$B,A28,collexo_data!$M:$M,"Prayagraj") - sumifs(collexo_data!$G:$G,collexo_data!$B:$B,A28,collexo_data!$M:$M,"Prayagraj",collexo_data!$R:$R,"GS Foundation Course")</f>
        <v>0</v>
      </c>
      <c r="AK28" s="98"/>
      <c r="AL28" s="29">
        <f>IFERROR(__xludf.DUMMYFUNCTION("COUNTUNIQUEIFS(collexo_data!$P:$P,collexo_data!$B:$B,A28,collexo_data!$M:$M,""Indore"",collexo_data!$R:$R,""GS Foundation Course"")"),2.0)</f>
        <v>2</v>
      </c>
      <c r="AM28" s="29"/>
      <c r="AN28" s="29">
        <f>IFERROR(__xludf.DUMMYFUNCTION("COUNTUNIQUEIFS(collexo_data!$P:$P,collexo_data!$B:$B,A28,collexo_data!$M:$M,""Indore"") - COUNTUNIQUEIFS(collexo_data!$P:$P,collexo_data!$B:$B,A28,collexo_data!$M:$M,""Indore"",collexo_data!$R:$R,""GS Foundation Course"")"),0.0)</f>
        <v>0</v>
      </c>
      <c r="AO28" s="96"/>
      <c r="AP28" s="96">
        <f>sumifs(collexo_data!$G:$G,collexo_data!$B:$B,A28,collexo_data!$M:$M,"Indore",collexo_data!$R:$R,"GS Foundation Course")</f>
        <v>2000</v>
      </c>
      <c r="AQ28" s="96">
        <f>sumifs(collexo_data!$G:$G,collexo_data!$B:$B,A28,collexo_data!$M:$M,"Indore") - sumifs(collexo_data!$G:$G,collexo_data!$B:$B,A28,collexo_data!$M:$M,"Indore",collexo_data!$R:$R,"GS Foundation Course")</f>
        <v>0</v>
      </c>
    </row>
    <row r="29">
      <c r="A29" s="33">
        <v>46077.0</v>
      </c>
      <c r="B29" s="29"/>
      <c r="C29" s="29">
        <f>IFERROR(__xludf.DUMMYFUNCTION("COUNTUNIQUEIFS(collexo_data!$P:$P,collexo_data!$B:$B,A29,collexo_data!$R:$R,""GS Foundation Course"")"),6.0)</f>
        <v>6</v>
      </c>
      <c r="D29" s="29"/>
      <c r="E29" s="29">
        <f>IFERROR(__xludf.DUMMYFUNCTION("COUNTUNIQUEIFS(collexo_data!$P:$P,collexo_data!$B:$B,A29) - COUNTUNIQUEIFS(collexo_data!$P:$P,collexo_data!$B:$B,A29,collexo_data!$R:$R,""GS Foundation Course"")"),3.0)</f>
        <v>3</v>
      </c>
      <c r="F29" s="96"/>
      <c r="G29" s="96">
        <f>sumifs(collexo_data!$G:$G,collexo_data!$B:$B,A29,collexo_data!R:R,"GS Foundation Course")</f>
        <v>314001</v>
      </c>
      <c r="H29" s="97">
        <f>sumifs(collexo_data!$G:$G,collexo_data!$B:$B,A29) - sumifs(collexo_data!$G:$G,collexo_data!$B:$B,A29,collexo_data!$R:$R,"GS Foundation Course")</f>
        <v>76484</v>
      </c>
      <c r="I29" s="77"/>
      <c r="J29" s="29">
        <f>IFERROR(__xludf.DUMMYFUNCTION("COUNTUNIQUEIFS(collexo_data!$P:$P,collexo_data!$B:$B,A29,collexo_data!$M:$M,""New Delhi"",collexo_data!$R:$R,""GS Foundation Course"")"),3.0)</f>
        <v>3</v>
      </c>
      <c r="K29" s="29"/>
      <c r="L29" s="29">
        <f>IFERROR(__xludf.DUMMYFUNCTION("COUNTUNIQUEIFS(collexo_data!$P:$P,collexo_data!$B:$B,A29,collexo_data!$M:$M,""New Delhi"") - COUNTUNIQUEIFS(collexo_data!$P:$P,collexo_data!$B:$B,A29,collexo_data!$M:$M,""New Delhi"",collexo_data!$R:$R,""GS Foundation Course"")"),0.0)</f>
        <v>0</v>
      </c>
      <c r="M29" s="96"/>
      <c r="N29" s="96">
        <f>sumifs(collexo_data!$G:$G,collexo_data!$B:$B,A29,collexo_data!$M:$M,"New Delhi",collexo_data!$R:$R,"GS Foundation Course")</f>
        <v>200001</v>
      </c>
      <c r="O29" s="97">
        <f>sumifs(collexo_data!$G:$G,collexo_data!$B:$B,A29,collexo_data!$M:$M,"New Delhi") - sumifs(collexo_data!$G:$G,collexo_data!$B:$B,A29,collexo_data!$M:$M,"New Delhi",collexo_data!$R:$R,"GS Foundation Course")</f>
        <v>0</v>
      </c>
      <c r="P29" s="98"/>
      <c r="Q29" s="29">
        <f>IFERROR(__xludf.DUMMYFUNCTION("COUNTUNIQUEIFS(collexo_data!$P:$P,collexo_data!$B:$B,A29,collexo_data!$M:$M,""Patna"",collexo_data!$R:$R,""GS Foundation Course"")"),2.0)</f>
        <v>2</v>
      </c>
      <c r="R29" s="29"/>
      <c r="S29" s="29">
        <f>IFERROR(__xludf.DUMMYFUNCTION("COUNTUNIQUEIFS(collexo_data!$P:$P,collexo_data!$B:$B,A29,collexo_data!$M:$M,""Patna"") - COUNTUNIQUEIFS(collexo_data!$P:$P,collexo_data!$B:$B,H29,collexo_data!$M:$M,""New Delhi"",collexo_data!$R:$R,""GS Foundation Course"")"),3.0)</f>
        <v>3</v>
      </c>
      <c r="T29" s="96"/>
      <c r="U29" s="96">
        <f>sumifs(collexo_data!$G:$G,collexo_data!$B:$B,A29,collexo_data!$M:$M,"Patna",collexo_data!$R:$R,"GS Foundation Course")</f>
        <v>112000</v>
      </c>
      <c r="V29" s="97">
        <f>sumifs(collexo_data!$G:$G,collexo_data!$B:$B,$A29,collexo_data!$M:$M,"Patna") - sumifs(collexo_data!$G:$G,collexo_data!$B:$B,$A29,collexo_data!$M:$M,"Patna",collexo_data!$R:$R,"GS Foundation Course")</f>
        <v>55000</v>
      </c>
      <c r="W29" s="98"/>
      <c r="X29" s="29">
        <f>IFERROR(__xludf.DUMMYFUNCTION("COUNTUNIQUEIFS(collexo_data!$P:$P,collexo_data!$B:$B,A29,collexo_data!$M:$M,""Lucknow"",collexo_data!$R:$R,""GS Foundation Course"")"),0.0)</f>
        <v>0</v>
      </c>
      <c r="Y29" s="29"/>
      <c r="Z29" s="29">
        <f>IFERROR(__xludf.DUMMYFUNCTION("COUNTUNIQUEIFS(collexo_data!$P:$P,collexo_data!$B:$B,A29,collexo_data!$M:$M,""Lucknow"") - COUNTUNIQUEIFS(collexo_data!$P:$P,collexo_data!$B:$B,A29,collexo_data!$M:$M,""Lucknow"",collexo_data!$R:$R,""GS Foundation Course"")"),1.0)</f>
        <v>1</v>
      </c>
      <c r="AA29" s="96"/>
      <c r="AB29" s="96">
        <f>sumifs(collexo_data!$G:$G,collexo_data!$B:$B,A29,collexo_data!$M:$M,"Lucknow",collexo_data!$R:$R,"GS Foundation Course")</f>
        <v>0</v>
      </c>
      <c r="AC29" s="97">
        <f>sumifs(collexo_data!$G:$G,collexo_data!$B:$B,A29,collexo_data!$M:$M,"Lucknow") - sumifs(collexo_data!$G:$G,collexo_data!$B:$B,A29,collexo_data!$M:$M,"Lucknow",collexo_data!$R:$R,"GS Foundation Course")</f>
        <v>19484</v>
      </c>
      <c r="AD29" s="98"/>
      <c r="AE29" s="29">
        <f>IFERROR(__xludf.DUMMYFUNCTION("COUNTUNIQUEIFS(collexo_data!$P:$P,collexo_data!$B:$B,A29,collexo_data!$M:$M,""Prayagraj"",collexo_data!$R:$R,""GS Foundation Course"")"),0.0)</f>
        <v>0</v>
      </c>
      <c r="AF29" s="29"/>
      <c r="AG29" s="29">
        <f>IFERROR(__xludf.DUMMYFUNCTION("COUNTUNIQUEIFS(collexo_data!$P:$P,collexo_data!$B:$B,A29,collexo_data!$M:$M,""Prayagraj"") - COUNTUNIQUEIFS(collexo_data!$P:$P,collexo_data!$B:$B,A29,collexo_data!$M:$M,""Prayagraj"",collexo_data!$R:$R,""GS Foundation Course"")"),0.0)</f>
        <v>0</v>
      </c>
      <c r="AH29" s="96"/>
      <c r="AI29" s="96">
        <f>sumifs(collexo_data!$G:$G,collexo_data!$B:$B,A29,collexo_data!$M:$M,"Prayagraj",collexo_data!$R:$R,"GS Foundation Course")</f>
        <v>0</v>
      </c>
      <c r="AJ29" s="97">
        <f>sumifs(collexo_data!$G:$G,collexo_data!$B:$B,A29,collexo_data!$M:$M,"Prayagraj") - sumifs(collexo_data!$G:$G,collexo_data!$B:$B,A29,collexo_data!$M:$M,"Prayagraj",collexo_data!$R:$R,"GS Foundation Course")</f>
        <v>0</v>
      </c>
      <c r="AK29" s="98"/>
      <c r="AL29" s="29">
        <f>IFERROR(__xludf.DUMMYFUNCTION("COUNTUNIQUEIFS(collexo_data!$P:$P,collexo_data!$B:$B,A29,collexo_data!$M:$M,""Indore"",collexo_data!$R:$R,""GS Foundation Course"")"),1.0)</f>
        <v>1</v>
      </c>
      <c r="AM29" s="29"/>
      <c r="AN29" s="29">
        <f>IFERROR(__xludf.DUMMYFUNCTION("COUNTUNIQUEIFS(collexo_data!$P:$P,collexo_data!$B:$B,A29,collexo_data!$M:$M,""Indore"") - COUNTUNIQUEIFS(collexo_data!$P:$P,collexo_data!$B:$B,A29,collexo_data!$M:$M,""Indore"",collexo_data!$R:$R,""GS Foundation Course"")"),1.0)</f>
        <v>1</v>
      </c>
      <c r="AO29" s="96"/>
      <c r="AP29" s="96">
        <f>sumifs(collexo_data!$G:$G,collexo_data!$B:$B,A29,collexo_data!$M:$M,"Indore",collexo_data!$R:$R,"GS Foundation Course")</f>
        <v>2000</v>
      </c>
      <c r="AQ29" s="96">
        <f>sumifs(collexo_data!$G:$G,collexo_data!$B:$B,A29,collexo_data!$M:$M,"Indore") - sumifs(collexo_data!$G:$G,collexo_data!$B:$B,A29,collexo_data!$M:$M,"Indore",collexo_data!$R:$R,"GS Foundation Course")</f>
        <v>2000</v>
      </c>
    </row>
    <row r="30">
      <c r="A30" s="33">
        <v>46078.0</v>
      </c>
      <c r="B30" s="29"/>
      <c r="C30" s="29">
        <f>IFERROR(__xludf.DUMMYFUNCTION("COUNTUNIQUEIFS(collexo_data!$P:$P,collexo_data!$B:$B,A30,collexo_data!$R:$R,""GS Foundation Course"")"),8.0)</f>
        <v>8</v>
      </c>
      <c r="D30" s="29"/>
      <c r="E30" s="29">
        <f>IFERROR(__xludf.DUMMYFUNCTION("COUNTUNIQUEIFS(collexo_data!$P:$P,collexo_data!$B:$B,A30) - COUNTUNIQUEIFS(collexo_data!$P:$P,collexo_data!$B:$B,A30,collexo_data!$R:$R,""GS Foundation Course"")"),0.0)</f>
        <v>0</v>
      </c>
      <c r="F30" s="96"/>
      <c r="G30" s="96">
        <f>sumifs(collexo_data!$G:$G,collexo_data!$B:$B,A30,collexo_data!R:R,"GS Foundation Course")</f>
        <v>304678</v>
      </c>
      <c r="H30" s="97">
        <f>sumifs(collexo_data!$G:$G,collexo_data!$B:$B,A30) - sumifs(collexo_data!$G:$G,collexo_data!$B:$B,A30,collexo_data!$R:$R,"GS Foundation Course")</f>
        <v>0</v>
      </c>
      <c r="I30" s="77"/>
      <c r="J30" s="29">
        <f>IFERROR(__xludf.DUMMYFUNCTION("COUNTUNIQUEIFS(collexo_data!$P:$P,collexo_data!$B:$B,A30,collexo_data!$M:$M,""New Delhi"",collexo_data!$R:$R,""GS Foundation Course"")"),4.0)</f>
        <v>4</v>
      </c>
      <c r="K30" s="29"/>
      <c r="L30" s="29">
        <f>IFERROR(__xludf.DUMMYFUNCTION("COUNTUNIQUEIFS(collexo_data!$P:$P,collexo_data!$B:$B,A30,collexo_data!$M:$M,""New Delhi"") - COUNTUNIQUEIFS(collexo_data!$P:$P,collexo_data!$B:$B,A30,collexo_data!$M:$M,""New Delhi"",collexo_data!$R:$R,""GS Foundation Course"")"),0.0)</f>
        <v>0</v>
      </c>
      <c r="M30" s="96"/>
      <c r="N30" s="96">
        <f>sumifs(collexo_data!$G:$G,collexo_data!$B:$B,A30,collexo_data!$M:$M,"New Delhi",collexo_data!$R:$R,"GS Foundation Course")</f>
        <v>195001</v>
      </c>
      <c r="O30" s="97">
        <f>sumifs(collexo_data!$G:$G,collexo_data!$B:$B,A30,collexo_data!$M:$M,"New Delhi") - sumifs(collexo_data!$G:$G,collexo_data!$B:$B,A30,collexo_data!$M:$M,"New Delhi",collexo_data!$R:$R,"GS Foundation Course")</f>
        <v>0</v>
      </c>
      <c r="P30" s="98"/>
      <c r="Q30" s="29">
        <f>IFERROR(__xludf.DUMMYFUNCTION("COUNTUNIQUEIFS(collexo_data!$P:$P,collexo_data!$B:$B,A30,collexo_data!$M:$M,""Patna"",collexo_data!$R:$R,""GS Foundation Course"")"),0.0)</f>
        <v>0</v>
      </c>
      <c r="R30" s="29"/>
      <c r="S30" s="29">
        <f>IFERROR(__xludf.DUMMYFUNCTION("COUNTUNIQUEIFS(collexo_data!$P:$P,collexo_data!$B:$B,A30,collexo_data!$M:$M,""Patna"") - COUNTUNIQUEIFS(collexo_data!$P:$P,collexo_data!$B:$B,H30,collexo_data!$M:$M,""New Delhi"",collexo_data!$R:$R,""GS Foundation Course"")"),0.0)</f>
        <v>0</v>
      </c>
      <c r="T30" s="96"/>
      <c r="U30" s="96">
        <f>sumifs(collexo_data!$G:$G,collexo_data!$B:$B,A30,collexo_data!$M:$M,"Patna",collexo_data!$R:$R,"GS Foundation Course")</f>
        <v>0</v>
      </c>
      <c r="V30" s="97">
        <f>sumifs(collexo_data!$G:$G,collexo_data!$B:$B,$A30,collexo_data!$M:$M,"Patna") - sumifs(collexo_data!$G:$G,collexo_data!$B:$B,$A30,collexo_data!$M:$M,"Patna",collexo_data!$R:$R,"GS Foundation Course")</f>
        <v>0</v>
      </c>
      <c r="W30" s="98"/>
      <c r="X30" s="29">
        <f>IFERROR(__xludf.DUMMYFUNCTION("COUNTUNIQUEIFS(collexo_data!$P:$P,collexo_data!$B:$B,A30,collexo_data!$M:$M,""Lucknow"",collexo_data!$R:$R,""GS Foundation Course"")"),2.0)</f>
        <v>2</v>
      </c>
      <c r="Y30" s="29"/>
      <c r="Z30" s="29">
        <f>IFERROR(__xludf.DUMMYFUNCTION("COUNTUNIQUEIFS(collexo_data!$P:$P,collexo_data!$B:$B,A30,collexo_data!$M:$M,""Lucknow"") - COUNTUNIQUEIFS(collexo_data!$P:$P,collexo_data!$B:$B,A30,collexo_data!$M:$M,""Lucknow"",collexo_data!$R:$R,""GS Foundation Course"")"),0.0)</f>
        <v>0</v>
      </c>
      <c r="AA30" s="96"/>
      <c r="AB30" s="96">
        <f>sumifs(collexo_data!$G:$G,collexo_data!$B:$B,A30,collexo_data!$M:$M,"Lucknow",collexo_data!$R:$R,"GS Foundation Course")</f>
        <v>56105</v>
      </c>
      <c r="AC30" s="97">
        <f>sumifs(collexo_data!$G:$G,collexo_data!$B:$B,A30,collexo_data!$M:$M,"Lucknow") - sumifs(collexo_data!$G:$G,collexo_data!$B:$B,A30,collexo_data!$M:$M,"Lucknow",collexo_data!$R:$R,"GS Foundation Course")</f>
        <v>0</v>
      </c>
      <c r="AD30" s="98"/>
      <c r="AE30" s="29">
        <f>IFERROR(__xludf.DUMMYFUNCTION("COUNTUNIQUEIFS(collexo_data!$P:$P,collexo_data!$B:$B,A30,collexo_data!$M:$M,""Prayagraj"",collexo_data!$R:$R,""GS Foundation Course"")"),2.0)</f>
        <v>2</v>
      </c>
      <c r="AF30" s="29"/>
      <c r="AG30" s="29">
        <f>IFERROR(__xludf.DUMMYFUNCTION("COUNTUNIQUEIFS(collexo_data!$P:$P,collexo_data!$B:$B,A30,collexo_data!$M:$M,""Prayagraj"") - COUNTUNIQUEIFS(collexo_data!$P:$P,collexo_data!$B:$B,A30,collexo_data!$M:$M,""Prayagraj"",collexo_data!$R:$R,""GS Foundation Course"")"),0.0)</f>
        <v>0</v>
      </c>
      <c r="AH30" s="96"/>
      <c r="AI30" s="96">
        <f>sumifs(collexo_data!$G:$G,collexo_data!$B:$B,A30,collexo_data!$M:$M,"Prayagraj",collexo_data!$R:$R,"GS Foundation Course")</f>
        <v>53572</v>
      </c>
      <c r="AJ30" s="97">
        <f>sumifs(collexo_data!$G:$G,collexo_data!$B:$B,A30,collexo_data!$M:$M,"Prayagraj") - sumifs(collexo_data!$G:$G,collexo_data!$B:$B,A30,collexo_data!$M:$M,"Prayagraj",collexo_data!$R:$R,"GS Foundation Course")</f>
        <v>0</v>
      </c>
      <c r="AK30" s="98"/>
      <c r="AL30" s="29">
        <f>IFERROR(__xludf.DUMMYFUNCTION("COUNTUNIQUEIFS(collexo_data!$P:$P,collexo_data!$B:$B,A30,collexo_data!$M:$M,""Indore"",collexo_data!$R:$R,""GS Foundation Course"")"),0.0)</f>
        <v>0</v>
      </c>
      <c r="AM30" s="29"/>
      <c r="AN30" s="29">
        <f>IFERROR(__xludf.DUMMYFUNCTION("COUNTUNIQUEIFS(collexo_data!$P:$P,collexo_data!$B:$B,A30,collexo_data!$M:$M,""Indore"") - COUNTUNIQUEIFS(collexo_data!$P:$P,collexo_data!$B:$B,A30,collexo_data!$M:$M,""Indore"",collexo_data!$R:$R,""GS Foundation Course"")"),0.0)</f>
        <v>0</v>
      </c>
      <c r="AO30" s="96"/>
      <c r="AP30" s="96">
        <f>sumifs(collexo_data!$G:$G,collexo_data!$B:$B,A30,collexo_data!$M:$M,"Indore",collexo_data!$R:$R,"GS Foundation Course")</f>
        <v>0</v>
      </c>
      <c r="AQ30" s="96">
        <f>sumifs(collexo_data!$G:$G,collexo_data!$B:$B,A30,collexo_data!$M:$M,"Indore") - sumifs(collexo_data!$G:$G,collexo_data!$B:$B,A30,collexo_data!$M:$M,"Indore",collexo_data!$R:$R,"GS Foundation Course")</f>
        <v>0</v>
      </c>
    </row>
    <row r="31">
      <c r="A31" s="33">
        <v>46079.0</v>
      </c>
      <c r="B31" s="29"/>
      <c r="C31" s="29">
        <f>IFERROR(__xludf.DUMMYFUNCTION("COUNTUNIQUEIFS(collexo_data!$P:$P,collexo_data!$B:$B,A31,collexo_data!$R:$R,""GS Foundation Course"")"),10.0)</f>
        <v>10</v>
      </c>
      <c r="D31" s="29"/>
      <c r="E31" s="29">
        <f>IFERROR(__xludf.DUMMYFUNCTION("COUNTUNIQUEIFS(collexo_data!$P:$P,collexo_data!$B:$B,A31) - COUNTUNIQUEIFS(collexo_data!$P:$P,collexo_data!$B:$B,A31,collexo_data!$R:$R,""GS Foundation Course"")"),1.0)</f>
        <v>1</v>
      </c>
      <c r="F31" s="96"/>
      <c r="G31" s="96">
        <f>sumifs(collexo_data!$G:$G,collexo_data!$B:$B,A31,collexo_data!R:R,"GS Foundation Course")</f>
        <v>422181</v>
      </c>
      <c r="H31" s="97">
        <f>sumifs(collexo_data!$G:$G,collexo_data!$B:$B,A31) - sumifs(collexo_data!$G:$G,collexo_data!$B:$B,A31,collexo_data!$R:$R,"GS Foundation Course")</f>
        <v>6000</v>
      </c>
      <c r="I31" s="77"/>
      <c r="J31" s="29">
        <f>IFERROR(__xludf.DUMMYFUNCTION("COUNTUNIQUEIFS(collexo_data!$P:$P,collexo_data!$B:$B,A31,collexo_data!$M:$M,""New Delhi"",collexo_data!$R:$R,""GS Foundation Course"")"),4.0)</f>
        <v>4</v>
      </c>
      <c r="K31" s="29"/>
      <c r="L31" s="29">
        <f>IFERROR(__xludf.DUMMYFUNCTION("COUNTUNIQUEIFS(collexo_data!$P:$P,collexo_data!$B:$B,A31,collexo_data!$M:$M,""New Delhi"") - COUNTUNIQUEIFS(collexo_data!$P:$P,collexo_data!$B:$B,A31,collexo_data!$M:$M,""New Delhi"",collexo_data!$R:$R,""GS Foundation Course"")"),0.0)</f>
        <v>0</v>
      </c>
      <c r="M31" s="96"/>
      <c r="N31" s="96">
        <f>sumifs(collexo_data!$G:$G,collexo_data!$B:$B,A31,collexo_data!$M:$M,"New Delhi",collexo_data!$R:$R,"GS Foundation Course")</f>
        <v>153753</v>
      </c>
      <c r="O31" s="97">
        <f>sumifs(collexo_data!$G:$G,collexo_data!$B:$B,A31,collexo_data!$M:$M,"New Delhi") - sumifs(collexo_data!$G:$G,collexo_data!$B:$B,A31,collexo_data!$M:$M,"New Delhi",collexo_data!$R:$R,"GS Foundation Course")</f>
        <v>0</v>
      </c>
      <c r="P31" s="98"/>
      <c r="Q31" s="29">
        <f>IFERROR(__xludf.DUMMYFUNCTION("COUNTUNIQUEIFS(collexo_data!$P:$P,collexo_data!$B:$B,A31,collexo_data!$M:$M,""Patna"",collexo_data!$R:$R,""GS Foundation Course"")"),0.0)</f>
        <v>0</v>
      </c>
      <c r="R31" s="29"/>
      <c r="S31" s="29">
        <f>IFERROR(__xludf.DUMMYFUNCTION("COUNTUNIQUEIFS(collexo_data!$P:$P,collexo_data!$B:$B,A31,collexo_data!$M:$M,""Patna"") - COUNTUNIQUEIFS(collexo_data!$P:$P,collexo_data!$B:$B,H31,collexo_data!$M:$M,""New Delhi"",collexo_data!$R:$R,""GS Foundation Course"")"),0.0)</f>
        <v>0</v>
      </c>
      <c r="T31" s="96"/>
      <c r="U31" s="96">
        <f>sumifs(collexo_data!$G:$G,collexo_data!$B:$B,A31,collexo_data!$M:$M,"Patna",collexo_data!$R:$R,"GS Foundation Course")</f>
        <v>0</v>
      </c>
      <c r="V31" s="97">
        <f>sumifs(collexo_data!$G:$G,collexo_data!$B:$B,$A31,collexo_data!$M:$M,"Patna") - sumifs(collexo_data!$G:$G,collexo_data!$B:$B,$A31,collexo_data!$M:$M,"Patna",collexo_data!$R:$R,"GS Foundation Course")</f>
        <v>0</v>
      </c>
      <c r="W31" s="98"/>
      <c r="X31" s="29">
        <f>IFERROR(__xludf.DUMMYFUNCTION("COUNTUNIQUEIFS(collexo_data!$P:$P,collexo_data!$B:$B,A31,collexo_data!$M:$M,""Lucknow"",collexo_data!$R:$R,""GS Foundation Course"")"),0.0)</f>
        <v>0</v>
      </c>
      <c r="Y31" s="29"/>
      <c r="Z31" s="29">
        <f>IFERROR(__xludf.DUMMYFUNCTION("COUNTUNIQUEIFS(collexo_data!$P:$P,collexo_data!$B:$B,A31,collexo_data!$M:$M,""Lucknow"") - COUNTUNIQUEIFS(collexo_data!$P:$P,collexo_data!$B:$B,A31,collexo_data!$M:$M,""Lucknow"",collexo_data!$R:$R,""GS Foundation Course"")"),0.0)</f>
        <v>0</v>
      </c>
      <c r="AA31" s="96"/>
      <c r="AB31" s="96">
        <f>sumifs(collexo_data!$G:$G,collexo_data!$B:$B,A31,collexo_data!$M:$M,"Lucknow",collexo_data!$R:$R,"GS Foundation Course")</f>
        <v>0</v>
      </c>
      <c r="AC31" s="97">
        <f>sumifs(collexo_data!$G:$G,collexo_data!$B:$B,A31,collexo_data!$M:$M,"Lucknow") - sumifs(collexo_data!$G:$G,collexo_data!$B:$B,A31,collexo_data!$M:$M,"Lucknow",collexo_data!$R:$R,"GS Foundation Course")</f>
        <v>0</v>
      </c>
      <c r="AD31" s="98"/>
      <c r="AE31" s="29">
        <f>IFERROR(__xludf.DUMMYFUNCTION("COUNTUNIQUEIFS(collexo_data!$P:$P,collexo_data!$B:$B,A31,collexo_data!$M:$M,""Prayagraj"",collexo_data!$R:$R,""GS Foundation Course"")"),3.0)</f>
        <v>3</v>
      </c>
      <c r="AF31" s="29"/>
      <c r="AG31" s="29">
        <f>IFERROR(__xludf.DUMMYFUNCTION("COUNTUNIQUEIFS(collexo_data!$P:$P,collexo_data!$B:$B,A31,collexo_data!$M:$M,""Prayagraj"") - COUNTUNIQUEIFS(collexo_data!$P:$P,collexo_data!$B:$B,A31,collexo_data!$M:$M,""Prayagraj"",collexo_data!$R:$R,""GS Foundation Course"")"),1.0)</f>
        <v>1</v>
      </c>
      <c r="AH31" s="96"/>
      <c r="AI31" s="96">
        <f>sumifs(collexo_data!$G:$G,collexo_data!$B:$B,A31,collexo_data!$M:$M,"Prayagraj",collexo_data!$R:$R,"GS Foundation Course")</f>
        <v>82428</v>
      </c>
      <c r="AJ31" s="97">
        <f>sumifs(collexo_data!$G:$G,collexo_data!$B:$B,A31,collexo_data!$M:$M,"Prayagraj") - sumifs(collexo_data!$G:$G,collexo_data!$B:$B,A31,collexo_data!$M:$M,"Prayagraj",collexo_data!$R:$R,"GS Foundation Course")</f>
        <v>6000</v>
      </c>
      <c r="AK31" s="98"/>
      <c r="AL31" s="29">
        <f>IFERROR(__xludf.DUMMYFUNCTION("COUNTUNIQUEIFS(collexo_data!$P:$P,collexo_data!$B:$B,A31,collexo_data!$M:$M,""Indore"",collexo_data!$R:$R,""GS Foundation Course"")"),3.0)</f>
        <v>3</v>
      </c>
      <c r="AM31" s="29"/>
      <c r="AN31" s="29">
        <f>IFERROR(__xludf.DUMMYFUNCTION("COUNTUNIQUEIFS(collexo_data!$P:$P,collexo_data!$B:$B,A31,collexo_data!$M:$M,""Indore"") - COUNTUNIQUEIFS(collexo_data!$P:$P,collexo_data!$B:$B,A31,collexo_data!$M:$M,""Indore"",collexo_data!$R:$R,""GS Foundation Course"")"),0.0)</f>
        <v>0</v>
      </c>
      <c r="AO31" s="96"/>
      <c r="AP31" s="96">
        <f>sumifs(collexo_data!$G:$G,collexo_data!$B:$B,A31,collexo_data!$M:$M,"Indore",collexo_data!$R:$R,"GS Foundation Course")</f>
        <v>186000</v>
      </c>
      <c r="AQ31" s="96">
        <f>sumifs(collexo_data!$G:$G,collexo_data!$B:$B,A31,collexo_data!$M:$M,"Indore") - sumifs(collexo_data!$G:$G,collexo_data!$B:$B,A31,collexo_data!$M:$M,"Indore",collexo_data!$R:$R,"GS Foundation Course")</f>
        <v>0</v>
      </c>
    </row>
    <row r="32">
      <c r="A32" s="33">
        <v>46080.0</v>
      </c>
      <c r="B32" s="29"/>
      <c r="C32" s="29">
        <f>IFERROR(__xludf.DUMMYFUNCTION("COUNTUNIQUEIFS(collexo_data!$P:$P,collexo_data!$B:$B,A32,collexo_data!$R:$R,""GS Foundation Course"")"),7.0)</f>
        <v>7</v>
      </c>
      <c r="D32" s="29"/>
      <c r="E32" s="29">
        <f>IFERROR(__xludf.DUMMYFUNCTION("COUNTUNIQUEIFS(collexo_data!$P:$P,collexo_data!$B:$B,A32) - COUNTUNIQUEIFS(collexo_data!$P:$P,collexo_data!$B:$B,A32,collexo_data!$R:$R,""GS Foundation Course"")"),2.0)</f>
        <v>2</v>
      </c>
      <c r="F32" s="96"/>
      <c r="G32" s="96">
        <f>sumifs(collexo_data!$G:$G,collexo_data!$B:$B,A32,collexo_data!R:R,"GS Foundation Course")</f>
        <v>439898</v>
      </c>
      <c r="H32" s="97">
        <f>sumifs(collexo_data!$G:$G,collexo_data!$B:$B,A32) - sumifs(collexo_data!$G:$G,collexo_data!$B:$B,A32,collexo_data!$R:$R,"GS Foundation Course")</f>
        <v>41481</v>
      </c>
      <c r="I32" s="77"/>
      <c r="J32" s="29">
        <f>IFERROR(__xludf.DUMMYFUNCTION("COUNTUNIQUEIFS(collexo_data!$P:$P,collexo_data!$B:$B,A32,collexo_data!$M:$M,""New Delhi"",collexo_data!$R:$R,""GS Foundation Course"")"),5.0)</f>
        <v>5</v>
      </c>
      <c r="K32" s="29"/>
      <c r="L32" s="29">
        <f>IFERROR(__xludf.DUMMYFUNCTION("COUNTUNIQUEIFS(collexo_data!$P:$P,collexo_data!$B:$B,A32,collexo_data!$M:$M,""New Delhi"") - COUNTUNIQUEIFS(collexo_data!$P:$P,collexo_data!$B:$B,A32,collexo_data!$M:$M,""New Delhi"",collexo_data!$R:$R,""GS Foundation Course"")"),0.0)</f>
        <v>0</v>
      </c>
      <c r="M32" s="96"/>
      <c r="N32" s="96">
        <f>sumifs(collexo_data!$G:$G,collexo_data!$B:$B,A32,collexo_data!$M:$M,"New Delhi",collexo_data!$R:$R,"GS Foundation Course")</f>
        <v>312251</v>
      </c>
      <c r="O32" s="97">
        <f>sumifs(collexo_data!$G:$G,collexo_data!$B:$B,A32,collexo_data!$M:$M,"New Delhi") - sumifs(collexo_data!$G:$G,collexo_data!$B:$B,A32,collexo_data!$M:$M,"New Delhi",collexo_data!$R:$R,"GS Foundation Course")</f>
        <v>0</v>
      </c>
      <c r="P32" s="98"/>
      <c r="Q32" s="29">
        <f>IFERROR(__xludf.DUMMYFUNCTION("COUNTUNIQUEIFS(collexo_data!$P:$P,collexo_data!$B:$B,A32,collexo_data!$M:$M,""Patna"",collexo_data!$R:$R,""GS Foundation Course"")"),0.0)</f>
        <v>0</v>
      </c>
      <c r="R32" s="29"/>
      <c r="S32" s="29">
        <f>IFERROR(__xludf.DUMMYFUNCTION("COUNTUNIQUEIFS(collexo_data!$P:$P,collexo_data!$B:$B,A32,collexo_data!$M:$M,""Patna"") - COUNTUNIQUEIFS(collexo_data!$P:$P,collexo_data!$B:$B,H32,collexo_data!$M:$M,""New Delhi"",collexo_data!$R:$R,""GS Foundation Course"")"),0.0)</f>
        <v>0</v>
      </c>
      <c r="T32" s="96"/>
      <c r="U32" s="96">
        <f>sumifs(collexo_data!$G:$G,collexo_data!$B:$B,A32,collexo_data!$M:$M,"Patna",collexo_data!$R:$R,"GS Foundation Course")</f>
        <v>0</v>
      </c>
      <c r="V32" s="97">
        <f>sumifs(collexo_data!$G:$G,collexo_data!$B:$B,$A32,collexo_data!$M:$M,"Patna") - sumifs(collexo_data!$G:$G,collexo_data!$B:$B,$A32,collexo_data!$M:$M,"Patna",collexo_data!$R:$R,"GS Foundation Course")</f>
        <v>0</v>
      </c>
      <c r="W32" s="98"/>
      <c r="X32" s="29">
        <f>IFERROR(__xludf.DUMMYFUNCTION("COUNTUNIQUEIFS(collexo_data!$P:$P,collexo_data!$B:$B,A32,collexo_data!$M:$M,""Lucknow"",collexo_data!$R:$R,""GS Foundation Course"")"),0.0)</f>
        <v>0</v>
      </c>
      <c r="Y32" s="29"/>
      <c r="Z32" s="29">
        <f>IFERROR(__xludf.DUMMYFUNCTION("COUNTUNIQUEIFS(collexo_data!$P:$P,collexo_data!$B:$B,A32,collexo_data!$M:$M,""Lucknow"") - COUNTUNIQUEIFS(collexo_data!$P:$P,collexo_data!$B:$B,A32,collexo_data!$M:$M,""Lucknow"",collexo_data!$R:$R,""GS Foundation Course"")"),0.0)</f>
        <v>0</v>
      </c>
      <c r="AA32" s="96"/>
      <c r="AB32" s="96">
        <f>sumifs(collexo_data!$G:$G,collexo_data!$B:$B,A32,collexo_data!$M:$M,"Lucknow",collexo_data!$R:$R,"GS Foundation Course")</f>
        <v>0</v>
      </c>
      <c r="AC32" s="97">
        <f>sumifs(collexo_data!$G:$G,collexo_data!$B:$B,A32,collexo_data!$M:$M,"Lucknow") - sumifs(collexo_data!$G:$G,collexo_data!$B:$B,A32,collexo_data!$M:$M,"Lucknow",collexo_data!$R:$R,"GS Foundation Course")</f>
        <v>0</v>
      </c>
      <c r="AD32" s="98"/>
      <c r="AE32" s="29">
        <f>IFERROR(__xludf.DUMMYFUNCTION("COUNTUNIQUEIFS(collexo_data!$P:$P,collexo_data!$B:$B,A32,collexo_data!$M:$M,""Prayagraj"",collexo_data!$R:$R,""GS Foundation Course"")"),1.0)</f>
        <v>1</v>
      </c>
      <c r="AF32" s="29"/>
      <c r="AG32" s="29">
        <f>IFERROR(__xludf.DUMMYFUNCTION("COUNTUNIQUEIFS(collexo_data!$P:$P,collexo_data!$B:$B,A32,collexo_data!$M:$M,""Prayagraj"") - COUNTUNIQUEIFS(collexo_data!$P:$P,collexo_data!$B:$B,A32,collexo_data!$M:$M,""Prayagraj"",collexo_data!$R:$R,""GS Foundation Course"")"),1.0)</f>
        <v>1</v>
      </c>
      <c r="AH32" s="96"/>
      <c r="AI32" s="96">
        <f>sumifs(collexo_data!$G:$G,collexo_data!$B:$B,A32,collexo_data!$M:$M,"Prayagraj",collexo_data!$R:$R,"GS Foundation Course")</f>
        <v>69647</v>
      </c>
      <c r="AJ32" s="97">
        <f>sumifs(collexo_data!$G:$G,collexo_data!$B:$B,A32,collexo_data!$M:$M,"Prayagraj") - sumifs(collexo_data!$G:$G,collexo_data!$B:$B,A32,collexo_data!$M:$M,"Prayagraj",collexo_data!$R:$R,"GS Foundation Course")</f>
        <v>3481</v>
      </c>
      <c r="AK32" s="98"/>
      <c r="AL32" s="29">
        <f>IFERROR(__xludf.DUMMYFUNCTION("COUNTUNIQUEIFS(collexo_data!$P:$P,collexo_data!$B:$B,A32,collexo_data!$M:$M,""Indore"",collexo_data!$R:$R,""GS Foundation Course"")"),1.0)</f>
        <v>1</v>
      </c>
      <c r="AM32" s="29"/>
      <c r="AN32" s="29">
        <f>IFERROR(__xludf.DUMMYFUNCTION("COUNTUNIQUEIFS(collexo_data!$P:$P,collexo_data!$B:$B,A32,collexo_data!$M:$M,""Indore"") - COUNTUNIQUEIFS(collexo_data!$P:$P,collexo_data!$B:$B,A32,collexo_data!$M:$M,""Indore"",collexo_data!$R:$R,""GS Foundation Course"")"),1.0)</f>
        <v>1</v>
      </c>
      <c r="AO32" s="96"/>
      <c r="AP32" s="96">
        <f>sumifs(collexo_data!$G:$G,collexo_data!$B:$B,A32,collexo_data!$M:$M,"Indore",collexo_data!$R:$R,"GS Foundation Course")</f>
        <v>58000</v>
      </c>
      <c r="AQ32" s="96">
        <f>sumifs(collexo_data!$G:$G,collexo_data!$B:$B,A32,collexo_data!$M:$M,"Indore") - sumifs(collexo_data!$G:$G,collexo_data!$B:$B,A32,collexo_data!$M:$M,"Indore",collexo_data!$R:$R,"GS Foundation Course")</f>
        <v>38000</v>
      </c>
    </row>
    <row r="33">
      <c r="A33" s="33">
        <v>46081.0</v>
      </c>
      <c r="B33" s="29"/>
      <c r="C33" s="29">
        <f>IFERROR(__xludf.DUMMYFUNCTION("COUNTUNIQUEIFS(collexo_data!$P:$P,collexo_data!$B:$B,A33,collexo_data!$R:$R,""GS Foundation Course"")"),14.0)</f>
        <v>14</v>
      </c>
      <c r="D33" s="29"/>
      <c r="E33" s="29">
        <f>IFERROR(__xludf.DUMMYFUNCTION("COUNTUNIQUEIFS(collexo_data!$P:$P,collexo_data!$B:$B,A33) - COUNTUNIQUEIFS(collexo_data!$P:$P,collexo_data!$B:$B,A33,collexo_data!$R:$R,""GS Foundation Course"")"),5.0)</f>
        <v>5</v>
      </c>
      <c r="F33" s="96"/>
      <c r="G33" s="96">
        <f>sumifs(collexo_data!$G:$G,collexo_data!$B:$B,A33,collexo_data!R:R,"GS Foundation Course")</f>
        <v>546001</v>
      </c>
      <c r="H33" s="97">
        <f>sumifs(collexo_data!$G:$G,collexo_data!$B:$B,A33) - sumifs(collexo_data!$G:$G,collexo_data!$B:$B,A33,collexo_data!$R:$R,"GS Foundation Course")</f>
        <v>155105</v>
      </c>
      <c r="I33" s="77"/>
      <c r="J33" s="29">
        <f>IFERROR(__xludf.DUMMYFUNCTION("COUNTUNIQUEIFS(collexo_data!$P:$P,collexo_data!$B:$B,A33,collexo_data!$M:$M,""New Delhi"",collexo_data!$R:$R,""GS Foundation Course"")"),4.0)</f>
        <v>4</v>
      </c>
      <c r="K33" s="29"/>
      <c r="L33" s="29">
        <f>IFERROR(__xludf.DUMMYFUNCTION("COUNTUNIQUEIFS(collexo_data!$P:$P,collexo_data!$B:$B,A33,collexo_data!$M:$M,""New Delhi"") - COUNTUNIQUEIFS(collexo_data!$P:$P,collexo_data!$B:$B,A33,collexo_data!$M:$M,""New Delhi"",collexo_data!$R:$R,""GS Foundation Course"")"),0.0)</f>
        <v>0</v>
      </c>
      <c r="M33" s="96"/>
      <c r="N33" s="96">
        <f>sumifs(collexo_data!$G:$G,collexo_data!$B:$B,A33,collexo_data!$M:$M,"New Delhi",collexo_data!$R:$R,"GS Foundation Course")</f>
        <v>315001</v>
      </c>
      <c r="O33" s="97">
        <f>sumifs(collexo_data!$G:$G,collexo_data!$B:$B,A33,collexo_data!$M:$M,"New Delhi") - sumifs(collexo_data!$G:$G,collexo_data!$B:$B,A33,collexo_data!$M:$M,"New Delhi",collexo_data!$R:$R,"GS Foundation Course")</f>
        <v>0</v>
      </c>
      <c r="P33" s="98"/>
      <c r="Q33" s="29">
        <f>IFERROR(__xludf.DUMMYFUNCTION("COUNTUNIQUEIFS(collexo_data!$P:$P,collexo_data!$B:$B,A33,collexo_data!$M:$M,""Patna"",collexo_data!$R:$R,""GS Foundation Course"")"),0.0)</f>
        <v>0</v>
      </c>
      <c r="R33" s="29"/>
      <c r="S33" s="29">
        <f>IFERROR(__xludf.DUMMYFUNCTION("COUNTUNIQUEIFS(collexo_data!$P:$P,collexo_data!$B:$B,A33,collexo_data!$M:$M,""Patna"") - COUNTUNIQUEIFS(collexo_data!$P:$P,collexo_data!$B:$B,H33,collexo_data!$M:$M,""New Delhi"",collexo_data!$R:$R,""GS Foundation Course"")"),4.0)</f>
        <v>4</v>
      </c>
      <c r="T33" s="96"/>
      <c r="U33" s="96">
        <f>sumifs(collexo_data!$G:$G,collexo_data!$B:$B,A33,collexo_data!$M:$M,"Patna",collexo_data!$R:$R,"GS Foundation Course")</f>
        <v>0</v>
      </c>
      <c r="V33" s="97">
        <f>sumifs(collexo_data!$G:$G,collexo_data!$B:$B,$A33,collexo_data!$M:$M,"Patna") - sumifs(collexo_data!$G:$G,collexo_data!$B:$B,$A33,collexo_data!$M:$M,"Patna",collexo_data!$R:$R,"GS Foundation Course")</f>
        <v>150767</v>
      </c>
      <c r="W33" s="98"/>
      <c r="X33" s="29">
        <f>IFERROR(__xludf.DUMMYFUNCTION("COUNTUNIQUEIFS(collexo_data!$P:$P,collexo_data!$B:$B,A33,collexo_data!$M:$M,""Lucknow"",collexo_data!$R:$R,""GS Foundation Course"")"),1.0)</f>
        <v>1</v>
      </c>
      <c r="Y33" s="29"/>
      <c r="Z33" s="29">
        <f>IFERROR(__xludf.DUMMYFUNCTION("COUNTUNIQUEIFS(collexo_data!$P:$P,collexo_data!$B:$B,A33,collexo_data!$M:$M,""Lucknow"") - COUNTUNIQUEIFS(collexo_data!$P:$P,collexo_data!$B:$B,A33,collexo_data!$M:$M,""Lucknow"",collexo_data!$R:$R,""GS Foundation Course"")"),0.0)</f>
        <v>0</v>
      </c>
      <c r="AA33" s="96"/>
      <c r="AB33" s="96">
        <f>sumifs(collexo_data!$G:$G,collexo_data!$B:$B,A33,collexo_data!$M:$M,"Lucknow",collexo_data!$R:$R,"GS Foundation Course")</f>
        <v>45000</v>
      </c>
      <c r="AC33" s="97">
        <f>sumifs(collexo_data!$G:$G,collexo_data!$B:$B,A33,collexo_data!$M:$M,"Lucknow") - sumifs(collexo_data!$G:$G,collexo_data!$B:$B,A33,collexo_data!$M:$M,"Lucknow",collexo_data!$R:$R,"GS Foundation Course")</f>
        <v>0</v>
      </c>
      <c r="AD33" s="98"/>
      <c r="AE33" s="29">
        <f>IFERROR(__xludf.DUMMYFUNCTION("COUNTUNIQUEIFS(collexo_data!$P:$P,collexo_data!$B:$B,A33,collexo_data!$M:$M,""Prayagraj"",collexo_data!$R:$R,""GS Foundation Course"")"),6.0)</f>
        <v>6</v>
      </c>
      <c r="AF33" s="29"/>
      <c r="AG33" s="29">
        <f>IFERROR(__xludf.DUMMYFUNCTION("COUNTUNIQUEIFS(collexo_data!$P:$P,collexo_data!$B:$B,A33,collexo_data!$M:$M,""Prayagraj"") - COUNTUNIQUEIFS(collexo_data!$P:$P,collexo_data!$B:$B,A33,collexo_data!$M:$M,""Prayagraj"",collexo_data!$R:$R,""GS Foundation Course"")"),1.0)</f>
        <v>1</v>
      </c>
      <c r="AH33" s="96"/>
      <c r="AI33" s="96">
        <f>sumifs(collexo_data!$G:$G,collexo_data!$B:$B,A33,collexo_data!$M:$M,"Prayagraj",collexo_data!$R:$R,"GS Foundation Course")</f>
        <v>110000</v>
      </c>
      <c r="AJ33" s="97">
        <f>sumifs(collexo_data!$G:$G,collexo_data!$B:$B,A33,collexo_data!$M:$M,"Prayagraj") - sumifs(collexo_data!$G:$G,collexo_data!$B:$B,A33,collexo_data!$M:$M,"Prayagraj",collexo_data!$R:$R,"GS Foundation Course")</f>
        <v>4338</v>
      </c>
      <c r="AK33" s="98"/>
      <c r="AL33" s="29">
        <f>IFERROR(__xludf.DUMMYFUNCTION("COUNTUNIQUEIFS(collexo_data!$P:$P,collexo_data!$B:$B,A33,collexo_data!$M:$M,""Indore"",collexo_data!$R:$R,""GS Foundation Course"")"),3.0)</f>
        <v>3</v>
      </c>
      <c r="AM33" s="29"/>
      <c r="AN33" s="29">
        <f>IFERROR(__xludf.DUMMYFUNCTION("COUNTUNIQUEIFS(collexo_data!$P:$P,collexo_data!$B:$B,A33,collexo_data!$M:$M,""Indore"") - COUNTUNIQUEIFS(collexo_data!$P:$P,collexo_data!$B:$B,A33,collexo_data!$M:$M,""Indore"",collexo_data!$R:$R,""GS Foundation Course"")"),0.0)</f>
        <v>0</v>
      </c>
      <c r="AO33" s="96"/>
      <c r="AP33" s="96">
        <f>sumifs(collexo_data!$G:$G,collexo_data!$B:$B,A33,collexo_data!$M:$M,"Indore",collexo_data!$R:$R,"GS Foundation Course")</f>
        <v>76000</v>
      </c>
      <c r="AQ33" s="96">
        <f>sumifs(collexo_data!$G:$G,collexo_data!$B:$B,A33,collexo_data!$M:$M,"Indore") - sumifs(collexo_data!$G:$G,collexo_data!$B:$B,A33,collexo_data!$M:$M,"Indore",collexo_data!$R:$R,"GS Foundation Course")</f>
        <v>0</v>
      </c>
    </row>
    <row r="34">
      <c r="A34" s="33"/>
      <c r="B34" s="29"/>
      <c r="C34" s="29">
        <f>IFERROR(__xludf.DUMMYFUNCTION("COUNTUNIQUEIFS(collexo_data!$P:$P,collexo_data!$B:$B,A34,collexo_data!$R:$R,""GS Foundation Course"")"),0.0)</f>
        <v>0</v>
      </c>
      <c r="D34" s="29"/>
      <c r="E34" s="29">
        <f>IFERROR(__xludf.DUMMYFUNCTION("COUNTUNIQUEIFS(collexo_data!$P:$P,collexo_data!$B:$B,A34) - COUNTUNIQUEIFS(collexo_data!$P:$P,collexo_data!$B:$B,A34,collexo_data!$R:$R,""GS Foundation Course"")"),0.0)</f>
        <v>0</v>
      </c>
      <c r="F34" s="96"/>
      <c r="G34" s="96">
        <f>sumifs(collexo_data!$G:$G,collexo_data!$B:$B,A34,collexo_data!R:R,"GS Foundation Course")</f>
        <v>0</v>
      </c>
      <c r="H34" s="97">
        <f>sumifs(collexo_data!$G:$G,collexo_data!$B:$B,A34) - sumifs(collexo_data!$G:$G,collexo_data!$B:$B,A34,collexo_data!$R:$R,"GS Foundation Course")</f>
        <v>0</v>
      </c>
      <c r="I34" s="77"/>
      <c r="J34" s="29">
        <f>IFERROR(__xludf.DUMMYFUNCTION("COUNTUNIQUEIFS(collexo_data!$P:$P,collexo_data!$B:$B,A34,collexo_data!$M:$M,""New Delhi"",collexo_data!$R:$R,""GS Foundation Course"")"),0.0)</f>
        <v>0</v>
      </c>
      <c r="K34" s="29"/>
      <c r="L34" s="29">
        <f>IFERROR(__xludf.DUMMYFUNCTION("COUNTUNIQUEIFS(collexo_data!$P:$P,collexo_data!$B:$B,A34,collexo_data!$M:$M,""New Delhi"") - COUNTUNIQUEIFS(collexo_data!$P:$P,collexo_data!$B:$B,A34,collexo_data!$M:$M,""New Delhi"",collexo_data!$R:$R,""GS Foundation Course"")"),0.0)</f>
        <v>0</v>
      </c>
      <c r="M34" s="96"/>
      <c r="N34" s="96">
        <f>sumifs(collexo_data!$G:$G,collexo_data!$B:$B,A34,collexo_data!$M:$M,"New Delhi",collexo_data!$R:$R,"GS Foundation Course")</f>
        <v>0</v>
      </c>
      <c r="O34" s="97">
        <f>sumifs(collexo_data!$G:$G,collexo_data!$B:$B,A34,collexo_data!$M:$M,"New Delhi") - sumifs(collexo_data!$G:$G,collexo_data!$B:$B,A34,collexo_data!$M:$M,"New Delhi",collexo_data!$R:$R,"GS Foundation Course")</f>
        <v>0</v>
      </c>
      <c r="P34" s="77"/>
      <c r="Q34" s="29">
        <f>IFERROR(__xludf.DUMMYFUNCTION("COUNTUNIQUEIFS(collexo_data!$P:$P,collexo_data!$B:$B,A34,collexo_data!$M:$M,""Patna"",collexo_data!$R:$R,""GS Foundation Course"")"),0.0)</f>
        <v>0</v>
      </c>
      <c r="R34" s="29"/>
      <c r="S34" s="29">
        <f>IFERROR(__xludf.DUMMYFUNCTION("COUNTUNIQUEIFS(collexo_data!$P:$P,collexo_data!$B:$B,A34,collexo_data!$M:$M,""Patna"") - COUNTUNIQUEIFS(collexo_data!$P:$P,collexo_data!$B:$B,H34,collexo_data!$M:$M,""New Delhi"",collexo_data!$R:$R,""GS Foundation Course"")"),0.0)</f>
        <v>0</v>
      </c>
      <c r="T34" s="96"/>
      <c r="U34" s="96">
        <f>sumifs(collexo_data!$G:$G,collexo_data!$B:$B,A34,collexo_data!$M:$M,"Patna",collexo_data!$R:$R,"GS Foundation Course")</f>
        <v>0</v>
      </c>
      <c r="V34" s="97">
        <f>sumifs(collexo_data!$G:$G,collexo_data!$B:$B,$A34,collexo_data!$M:$M,"Patna") - sumifs(collexo_data!$G:$G,collexo_data!$B:$B,$A34,collexo_data!$M:$M,"Patna",collexo_data!$R:$R,"GS Foundation Course")</f>
        <v>0</v>
      </c>
      <c r="W34" s="77"/>
      <c r="X34" s="29">
        <f>IFERROR(__xludf.DUMMYFUNCTION("COUNTUNIQUEIFS(collexo_data!$P:$P,collexo_data!$B:$B,A34,collexo_data!$M:$M,""Lucknow"",collexo_data!$R:$R,""GS Foundation Course"")"),0.0)</f>
        <v>0</v>
      </c>
      <c r="Y34" s="29"/>
      <c r="Z34" s="29">
        <f>IFERROR(__xludf.DUMMYFUNCTION("COUNTUNIQUEIFS(collexo_data!$P:$P,collexo_data!$B:$B,A34,collexo_data!$M:$M,""Lucknow"") - COUNTUNIQUEIFS(collexo_data!$P:$P,collexo_data!$B:$B,A34,collexo_data!$M:$M,""Lucknow"",collexo_data!$R:$R,""GS Foundation Course"")"),0.0)</f>
        <v>0</v>
      </c>
      <c r="AA34" s="96"/>
      <c r="AB34" s="96">
        <f>sumifs(collexo_data!$G:$G,collexo_data!$B:$B,A34,collexo_data!$M:$M,"Lucknow",collexo_data!$R:$R,"GS Foundation Course")</f>
        <v>0</v>
      </c>
      <c r="AC34" s="97">
        <f>sumifs(collexo_data!$G:$G,collexo_data!$B:$B,A34,collexo_data!$M:$M,"Lucknow") - sumifs(collexo_data!$G:$G,collexo_data!$B:$B,A34,collexo_data!$M:$M,"Lucknow",collexo_data!$R:$R,"GS Foundation Course")</f>
        <v>0</v>
      </c>
      <c r="AD34" s="77"/>
      <c r="AE34" s="29">
        <f>IFERROR(__xludf.DUMMYFUNCTION("COUNTUNIQUEIFS(collexo_data!$P:$P,collexo_data!$B:$B,A34,collexo_data!$M:$M,""Prayagraj"",collexo_data!$R:$R,""GS Foundation Course"")"),0.0)</f>
        <v>0</v>
      </c>
      <c r="AF34" s="29"/>
      <c r="AG34" s="29">
        <f>IFERROR(__xludf.DUMMYFUNCTION("COUNTUNIQUEIFS(collexo_data!$P:$P,collexo_data!$B:$B,A34,collexo_data!$M:$M,""Prayagraj"") - COUNTUNIQUEIFS(collexo_data!$P:$P,collexo_data!$B:$B,A34,collexo_data!$M:$M,""Prayagraj"",collexo_data!$R:$R,""GS Foundation Course"")"),0.0)</f>
        <v>0</v>
      </c>
      <c r="AH34" s="96"/>
      <c r="AI34" s="96">
        <f>sumifs(collexo_data!$G:$G,collexo_data!$B:$B,A34,collexo_data!$M:$M,"Prayagraj",collexo_data!$R:$R,"GS Foundation Course")</f>
        <v>0</v>
      </c>
      <c r="AJ34" s="97">
        <f>sumifs(collexo_data!$G:$G,collexo_data!$B:$B,A34,collexo_data!$M:$M,"Prayagraj") - sumifs(collexo_data!$G:$G,collexo_data!$B:$B,A34,collexo_data!$M:$M,"Prayagraj",collexo_data!$R:$R,"GS Foundation Course")</f>
        <v>0</v>
      </c>
      <c r="AK34" s="77"/>
      <c r="AL34" s="29">
        <f>IFERROR(__xludf.DUMMYFUNCTION("COUNTUNIQUEIFS(collexo_data!$P:$P,collexo_data!$B:$B,A34,collexo_data!$M:$M,""Indore"",collexo_data!$R:$R,""GS Foundation Course"")"),0.0)</f>
        <v>0</v>
      </c>
      <c r="AM34" s="29"/>
      <c r="AN34" s="29">
        <f>IFERROR(__xludf.DUMMYFUNCTION("COUNTUNIQUEIFS(collexo_data!$P:$P,collexo_data!$B:$B,A34,collexo_data!$M:$M,""Indore"") - COUNTUNIQUEIFS(collexo_data!$P:$P,collexo_data!$B:$B,A34,collexo_data!$M:$M,""Indore"",collexo_data!$R:$R,""GS Foundation Course"")"),0.0)</f>
        <v>0</v>
      </c>
      <c r="AO34" s="96"/>
      <c r="AP34" s="96">
        <f>sumifs(collexo_data!$G:$G,collexo_data!$B:$B,A34,collexo_data!$M:$M,"Indore",collexo_data!$R:$R,"GS Foundation Course")</f>
        <v>0</v>
      </c>
      <c r="AQ34" s="96">
        <f>sumifs(collexo_data!$G:$G,collexo_data!$B:$B,A34,collexo_data!$M:$M,"Indore") - sumifs(collexo_data!$G:$G,collexo_data!$B:$B,A34,collexo_data!$M:$M,"Indore",collexo_data!$R:$R,"GS Foundation Course")</f>
        <v>0</v>
      </c>
    </row>
    <row r="35">
      <c r="A35" s="29"/>
      <c r="B35" s="29"/>
      <c r="C35" s="29">
        <f>IFERROR(__xludf.DUMMYFUNCTION("COUNTUNIQUEIFS(collexo_data!$P:$P,collexo_data!$B:$B,A35,collexo_data!$R:$R,""GS Foundation Course"")"),0.0)</f>
        <v>0</v>
      </c>
      <c r="D35" s="29"/>
      <c r="E35" s="29">
        <f>IFERROR(__xludf.DUMMYFUNCTION("COUNTUNIQUEIFS(collexo_data!$P:$P,collexo_data!$B:$B,A35) - COUNTUNIQUEIFS(collexo_data!$P:$P,collexo_data!$B:$B,A35,collexo_data!$R:$R,""GS Foundation Course"")"),0.0)</f>
        <v>0</v>
      </c>
      <c r="F35" s="96"/>
      <c r="G35" s="96">
        <f>sumifs(collexo_data!$G:$G,collexo_data!$B:$B,A35,collexo_data!R:R,"GS Foundation Course")</f>
        <v>0</v>
      </c>
      <c r="H35" s="97">
        <f>sumifs(collexo_data!$G:$G,collexo_data!$B:$B,A35) - sumifs(collexo_data!$G:$G,collexo_data!$B:$B,A35,collexo_data!$R:$R,"GS Foundation Course")</f>
        <v>0</v>
      </c>
      <c r="I35" s="77"/>
      <c r="J35" s="29">
        <f>IFERROR(__xludf.DUMMYFUNCTION("COUNTUNIQUEIFS(collexo_data!$P:$P,collexo_data!$B:$B,A35,collexo_data!$M:$M,""New Delhi"",collexo_data!$R:$R,""GS Foundation Course"")"),0.0)</f>
        <v>0</v>
      </c>
      <c r="K35" s="29"/>
      <c r="L35" s="29">
        <f>IFERROR(__xludf.DUMMYFUNCTION("COUNTUNIQUEIFS(collexo_data!$P:$P,collexo_data!$B:$B,A35,collexo_data!$M:$M,""New Delhi"") - COUNTUNIQUEIFS(collexo_data!$P:$P,collexo_data!$B:$B,A35,collexo_data!$M:$M,""New Delhi"",collexo_data!$R:$R,""GS Foundation Course"")"),0.0)</f>
        <v>0</v>
      </c>
      <c r="M35" s="96"/>
      <c r="N35" s="96">
        <f>sumifs(collexo_data!$G:$G,collexo_data!$B:$B,A35,collexo_data!$M:$M,"New Delhi",collexo_data!$R:$R,"GS Foundation Course")</f>
        <v>0</v>
      </c>
      <c r="O35" s="97">
        <f>sumifs(collexo_data!$G:$G,collexo_data!$B:$B,A35,collexo_data!$M:$M,"New Delhi") - sumifs(collexo_data!$G:$G,collexo_data!$B:$B,A35,collexo_data!$M:$M,"New Delhi",collexo_data!$R:$R,"GS Foundation Course")</f>
        <v>0</v>
      </c>
      <c r="P35" s="77"/>
      <c r="Q35" s="29">
        <f>IFERROR(__xludf.DUMMYFUNCTION("COUNTUNIQUEIFS(collexo_data!$P:$P,collexo_data!$B:$B,A35,collexo_data!$M:$M,""Patna"",collexo_data!$R:$R,""GS Foundation Course"")"),0.0)</f>
        <v>0</v>
      </c>
      <c r="R35" s="29"/>
      <c r="S35" s="29">
        <f>IFERROR(__xludf.DUMMYFUNCTION("COUNTUNIQUEIFS(collexo_data!$P:$P,collexo_data!$B:$B,A35,collexo_data!$M:$M,""Patna"") - COUNTUNIQUEIFS(collexo_data!$P:$P,collexo_data!$B:$B,H35,collexo_data!$M:$M,""New Delhi"",collexo_data!$R:$R,""GS Foundation Course"")"),0.0)</f>
        <v>0</v>
      </c>
      <c r="T35" s="96"/>
      <c r="U35" s="96">
        <f>sumifs(collexo_data!$G:$G,collexo_data!$B:$B,A35,collexo_data!$M:$M,"Patna",collexo_data!$R:$R,"GS Foundation Course")</f>
        <v>0</v>
      </c>
      <c r="V35" s="97">
        <f>sumifs(collexo_data!$G:$G,collexo_data!$B:$B,$A35,collexo_data!$M:$M,"Patna") - sumifs(collexo_data!$G:$G,collexo_data!$B:$B,$A35,collexo_data!$M:$M,"Patna",collexo_data!$R:$R,"GS Foundation Course")</f>
        <v>0</v>
      </c>
      <c r="W35" s="77"/>
      <c r="X35" s="29">
        <f>IFERROR(__xludf.DUMMYFUNCTION("COUNTUNIQUEIFS(collexo_data!$P:$P,collexo_data!$B:$B,A35,collexo_data!$M:$M,""Lucknow"",collexo_data!$R:$R,""GS Foundation Course"")"),0.0)</f>
        <v>0</v>
      </c>
      <c r="Y35" s="29"/>
      <c r="Z35" s="29">
        <f>IFERROR(__xludf.DUMMYFUNCTION("COUNTUNIQUEIFS(collexo_data!$P:$P,collexo_data!$B:$B,A35,collexo_data!$M:$M,""Lucknow"") - COUNTUNIQUEIFS(collexo_data!$P:$P,collexo_data!$B:$B,A35,collexo_data!$M:$M,""Lucknow"",collexo_data!$R:$R,""GS Foundation Course"")"),0.0)</f>
        <v>0</v>
      </c>
      <c r="AA35" s="96"/>
      <c r="AB35" s="96">
        <f>sumifs(collexo_data!$G:$G,collexo_data!$B:$B,A35,collexo_data!$M:$M,"Lucknow",collexo_data!$R:$R,"GS Foundation Course")</f>
        <v>0</v>
      </c>
      <c r="AC35" s="97">
        <f>sumifs(collexo_data!$G:$G,collexo_data!$B:$B,A35,collexo_data!$M:$M,"Lucknow") - sumifs(collexo_data!$G:$G,collexo_data!$B:$B,A35,collexo_data!$M:$M,"Lucknow",collexo_data!$R:$R,"GS Foundation Course")</f>
        <v>0</v>
      </c>
      <c r="AD35" s="77"/>
      <c r="AE35" s="29">
        <f>IFERROR(__xludf.DUMMYFUNCTION("COUNTUNIQUEIFS(collexo_data!$P:$P,collexo_data!$B:$B,A35,collexo_data!$M:$M,""Prayagraj"",collexo_data!$R:$R,""GS Foundation Course"")"),0.0)</f>
        <v>0</v>
      </c>
      <c r="AF35" s="29"/>
      <c r="AG35" s="29">
        <f>IFERROR(__xludf.DUMMYFUNCTION("COUNTUNIQUEIFS(collexo_data!$P:$P,collexo_data!$B:$B,A35,collexo_data!$M:$M,""Prayagraj"") - COUNTUNIQUEIFS(collexo_data!$P:$P,collexo_data!$B:$B,A35,collexo_data!$M:$M,""Prayagraj"",collexo_data!$R:$R,""GS Foundation Course"")"),0.0)</f>
        <v>0</v>
      </c>
      <c r="AH35" s="96"/>
      <c r="AI35" s="96">
        <f>sumifs(collexo_data!$G:$G,collexo_data!$B:$B,A35,collexo_data!$M:$M,"Prayagraj",collexo_data!$R:$R,"GS Foundation Course")</f>
        <v>0</v>
      </c>
      <c r="AJ35" s="97">
        <f>sumifs(collexo_data!$G:$G,collexo_data!$B:$B,A35,collexo_data!$M:$M,"Prayagraj") - sumifs(collexo_data!$G:$G,collexo_data!$B:$B,A35,collexo_data!$M:$M,"Prayagraj",collexo_data!$R:$R,"GS Foundation Course")</f>
        <v>0</v>
      </c>
      <c r="AK35" s="77"/>
      <c r="AL35" s="29">
        <f>IFERROR(__xludf.DUMMYFUNCTION("COUNTUNIQUEIFS(collexo_data!$P:$P,collexo_data!$B:$B,A35,collexo_data!$M:$M,""Indore"",collexo_data!$R:$R,""GS Foundation Course"")"),0.0)</f>
        <v>0</v>
      </c>
      <c r="AM35" s="29"/>
      <c r="AN35" s="29">
        <f>IFERROR(__xludf.DUMMYFUNCTION("COUNTUNIQUEIFS(collexo_data!$P:$P,collexo_data!$B:$B,A35,collexo_data!$M:$M,""Indore"") - COUNTUNIQUEIFS(collexo_data!$P:$P,collexo_data!$B:$B,A35,collexo_data!$M:$M,""Indore"",collexo_data!$R:$R,""GS Foundation Course"")"),0.0)</f>
        <v>0</v>
      </c>
      <c r="AO35" s="96"/>
      <c r="AP35" s="96">
        <f>sumifs(collexo_data!$G:$G,collexo_data!$B:$B,A35,collexo_data!$M:$M,"Indore",collexo_data!$R:$R,"GS Foundation Course")</f>
        <v>0</v>
      </c>
      <c r="AQ35" s="96">
        <f>sumifs(collexo_data!$G:$G,collexo_data!$B:$B,A35,collexo_data!$M:$M,"Indore") - sumifs(collexo_data!$G:$G,collexo_data!$B:$B,A35,collexo_data!$M:$M,"Indore",collexo_data!$R:$R,"GS Foundation Course")</f>
        <v>0</v>
      </c>
    </row>
    <row r="36">
      <c r="A36" s="29"/>
      <c r="B36" s="29"/>
      <c r="C36" s="29">
        <f>IFERROR(__xludf.DUMMYFUNCTION("COUNTUNIQUEIFS(collexo_data!$P:$P,collexo_data!$B:$B,A36,collexo_data!$R:$R,""GS Foundation Course"")"),0.0)</f>
        <v>0</v>
      </c>
      <c r="D36" s="29"/>
      <c r="E36" s="29">
        <f>IFERROR(__xludf.DUMMYFUNCTION("COUNTUNIQUEIFS(collexo_data!$P:$P,collexo_data!$B:$B,A36) - COUNTUNIQUEIFS(collexo_data!$P:$P,collexo_data!$B:$B,A36,collexo_data!$R:$R,""GS Foundation Course"")"),0.0)</f>
        <v>0</v>
      </c>
      <c r="F36" s="96"/>
      <c r="G36" s="96">
        <f>sumifs(collexo_data!$G:$G,collexo_data!$B:$B,A36,collexo_data!R:R,"GS Foundation Course")</f>
        <v>0</v>
      </c>
      <c r="H36" s="97">
        <f>sumifs(collexo_data!$G:$G,collexo_data!$B:$B,A36) - sumifs(collexo_data!$G:$G,collexo_data!$B:$B,A36,collexo_data!$R:$R,"GS Foundation Course")</f>
        <v>0</v>
      </c>
      <c r="I36" s="77"/>
      <c r="J36" s="29">
        <f>IFERROR(__xludf.DUMMYFUNCTION("COUNTUNIQUEIFS(collexo_data!$P:$P,collexo_data!$B:$B,A36,collexo_data!$M:$M,""New Delhi"",collexo_data!$R:$R,""GS Foundation Course"")"),0.0)</f>
        <v>0</v>
      </c>
      <c r="K36" s="29"/>
      <c r="L36" s="29">
        <f>IFERROR(__xludf.DUMMYFUNCTION("COUNTUNIQUEIFS(collexo_data!$P:$P,collexo_data!$B:$B,A36,collexo_data!$M:$M,""New Delhi"") - COUNTUNIQUEIFS(collexo_data!$P:$P,collexo_data!$B:$B,A36,collexo_data!$M:$M,""New Delhi"",collexo_data!$R:$R,""GS Foundation Course"")"),0.0)</f>
        <v>0</v>
      </c>
      <c r="M36" s="96"/>
      <c r="N36" s="96">
        <f>sumifs(collexo_data!$G:$G,collexo_data!$B:$B,A36,collexo_data!$M:$M,"New Delhi",collexo_data!$R:$R,"GS Foundation Course")</f>
        <v>0</v>
      </c>
      <c r="O36" s="97">
        <f>sumifs(collexo_data!$G:$G,collexo_data!$B:$B,A36,collexo_data!$M:$M,"New Delhi") - sumifs(collexo_data!$G:$G,collexo_data!$B:$B,A36,collexo_data!$M:$M,"New Delhi",collexo_data!$R:$R,"GS Foundation Course")</f>
        <v>0</v>
      </c>
      <c r="P36" s="77"/>
      <c r="Q36" s="29">
        <f>IFERROR(__xludf.DUMMYFUNCTION("COUNTUNIQUEIFS(collexo_data!$P:$P,collexo_data!$B:$B,A36,collexo_data!$M:$M,""Patna"",collexo_data!$R:$R,""GS Foundation Course"")"),0.0)</f>
        <v>0</v>
      </c>
      <c r="R36" s="29"/>
      <c r="S36" s="29">
        <f>IFERROR(__xludf.DUMMYFUNCTION("COUNTUNIQUEIFS(collexo_data!$P:$P,collexo_data!$B:$B,A36,collexo_data!$M:$M,""Patna"") - COUNTUNIQUEIFS(collexo_data!$P:$P,collexo_data!$B:$B,H36,collexo_data!$M:$M,""New Delhi"",collexo_data!$R:$R,""GS Foundation Course"")"),0.0)</f>
        <v>0</v>
      </c>
      <c r="T36" s="96"/>
      <c r="U36" s="96">
        <f>sumifs(collexo_data!$G:$G,collexo_data!$B:$B,A36,collexo_data!$M:$M,"Patna",collexo_data!$R:$R,"GS Foundation Course")</f>
        <v>0</v>
      </c>
      <c r="V36" s="97">
        <f>sumifs(collexo_data!$G:$G,collexo_data!$B:$B,$A36,collexo_data!$M:$M,"Patna") - sumifs(collexo_data!$G:$G,collexo_data!$B:$B,$A36,collexo_data!$M:$M,"Patna",collexo_data!$R:$R,"GS Foundation Course")</f>
        <v>0</v>
      </c>
      <c r="W36" s="77"/>
      <c r="X36" s="29">
        <f>IFERROR(__xludf.DUMMYFUNCTION("COUNTUNIQUEIFS(collexo_data!$P:$P,collexo_data!$B:$B,A36,collexo_data!$M:$M,""Lucknow"",collexo_data!$R:$R,""GS Foundation Course"")"),0.0)</f>
        <v>0</v>
      </c>
      <c r="Y36" s="29"/>
      <c r="Z36" s="29">
        <f>IFERROR(__xludf.DUMMYFUNCTION("COUNTUNIQUEIFS(collexo_data!$P:$P,collexo_data!$B:$B,A36,collexo_data!$M:$M,""Lucknow"") - COUNTUNIQUEIFS(collexo_data!$P:$P,collexo_data!$B:$B,A36,collexo_data!$M:$M,""Lucknow"",collexo_data!$R:$R,""GS Foundation Course"")"),0.0)</f>
        <v>0</v>
      </c>
      <c r="AA36" s="96"/>
      <c r="AB36" s="96">
        <f>sumifs(collexo_data!$G:$G,collexo_data!$B:$B,A36,collexo_data!$M:$M,"Lucknow",collexo_data!$R:$R,"GS Foundation Course")</f>
        <v>0</v>
      </c>
      <c r="AC36" s="97">
        <f>sumifs(collexo_data!$G:$G,collexo_data!$B:$B,A36,collexo_data!$M:$M,"Lucknow") - sumifs(collexo_data!$G:$G,collexo_data!$B:$B,A36,collexo_data!$M:$M,"Lucknow",collexo_data!$R:$R,"GS Foundation Course")</f>
        <v>0</v>
      </c>
      <c r="AD36" s="77"/>
      <c r="AE36" s="29">
        <f>IFERROR(__xludf.DUMMYFUNCTION("COUNTUNIQUEIFS(collexo_data!$P:$P,collexo_data!$B:$B,A36,collexo_data!$M:$M,""Prayagraj"",collexo_data!$R:$R,""GS Foundation Course"")"),0.0)</f>
        <v>0</v>
      </c>
      <c r="AF36" s="29"/>
      <c r="AG36" s="29">
        <f>IFERROR(__xludf.DUMMYFUNCTION("COUNTUNIQUEIFS(collexo_data!$P:$P,collexo_data!$B:$B,A36,collexo_data!$M:$M,""Prayagraj"") - COUNTUNIQUEIFS(collexo_data!$P:$P,collexo_data!$B:$B,A36,collexo_data!$M:$M,""Prayagraj"",collexo_data!$R:$R,""GS Foundation Course"")"),0.0)</f>
        <v>0</v>
      </c>
      <c r="AH36" s="96"/>
      <c r="AI36" s="96">
        <f>sumifs(collexo_data!$G:$G,collexo_data!$B:$B,A36,collexo_data!$M:$M,"Prayagraj",collexo_data!$R:$R,"GS Foundation Course")</f>
        <v>0</v>
      </c>
      <c r="AJ36" s="97">
        <f>sumifs(collexo_data!$G:$G,collexo_data!$B:$B,A36,collexo_data!$M:$M,"Prayagraj") - sumifs(collexo_data!$G:$G,collexo_data!$B:$B,A36,collexo_data!$M:$M,"Prayagraj",collexo_data!$R:$R,"GS Foundation Course")</f>
        <v>0</v>
      </c>
      <c r="AK36" s="77"/>
      <c r="AL36" s="29">
        <f>IFERROR(__xludf.DUMMYFUNCTION("COUNTUNIQUEIFS(collexo_data!$P:$P,collexo_data!$B:$B,A36,collexo_data!$M:$M,""Indore"",collexo_data!$R:$R,""GS Foundation Course"")"),0.0)</f>
        <v>0</v>
      </c>
      <c r="AM36" s="29"/>
      <c r="AN36" s="29">
        <f>IFERROR(__xludf.DUMMYFUNCTION("COUNTUNIQUEIFS(collexo_data!$P:$P,collexo_data!$B:$B,A36,collexo_data!$M:$M,""Indore"") - COUNTUNIQUEIFS(collexo_data!$P:$P,collexo_data!$B:$B,A36,collexo_data!$M:$M,""Indore"",collexo_data!$R:$R,""GS Foundation Course"")"),0.0)</f>
        <v>0</v>
      </c>
      <c r="AO36" s="96"/>
      <c r="AP36" s="96">
        <f>sumifs(collexo_data!$G:$G,collexo_data!$B:$B,A36,collexo_data!$M:$M,"Indore",collexo_data!$R:$R,"GS Foundation Course")</f>
        <v>0</v>
      </c>
      <c r="AQ36" s="96">
        <f>sumifs(collexo_data!$G:$G,collexo_data!$B:$B,A36,collexo_data!$M:$M,"Indore") - sumifs(collexo_data!$G:$G,collexo_data!$B:$B,A36,collexo_data!$M:$M,"Indore",collexo_data!$R:$R,"GS Foundation Course")</f>
        <v>0</v>
      </c>
    </row>
    <row r="37">
      <c r="A37" s="29"/>
      <c r="B37" s="29"/>
      <c r="C37" s="29"/>
      <c r="D37" s="29"/>
      <c r="E37" s="29"/>
      <c r="F37" s="29"/>
      <c r="G37" s="29"/>
      <c r="H37" s="94"/>
      <c r="I37" s="77"/>
      <c r="J37" s="29"/>
      <c r="K37" s="29"/>
      <c r="L37" s="29"/>
      <c r="M37" s="29"/>
      <c r="N37" s="29"/>
      <c r="O37" s="94"/>
      <c r="P37" s="77"/>
      <c r="Q37" s="29"/>
      <c r="R37" s="29"/>
      <c r="S37" s="29"/>
      <c r="T37" s="29"/>
      <c r="U37" s="29"/>
      <c r="V37" s="94"/>
      <c r="W37" s="77"/>
      <c r="X37" s="29"/>
      <c r="Y37" s="29"/>
      <c r="Z37" s="29"/>
      <c r="AA37" s="29"/>
      <c r="AB37" s="29"/>
      <c r="AC37" s="94"/>
      <c r="AD37" s="77"/>
      <c r="AE37" s="29"/>
      <c r="AF37" s="29"/>
      <c r="AG37" s="29"/>
      <c r="AH37" s="29"/>
      <c r="AI37" s="29"/>
      <c r="AJ37" s="94"/>
      <c r="AK37" s="77"/>
      <c r="AL37" s="29"/>
      <c r="AM37" s="29"/>
      <c r="AN37" s="29"/>
      <c r="AO37" s="29"/>
      <c r="AP37" s="29"/>
      <c r="AQ37" s="29"/>
    </row>
    <row r="38">
      <c r="A38" s="30" t="s">
        <v>46</v>
      </c>
      <c r="B38" s="36">
        <f t="shared" ref="B38:AQ38" si="1">sum(B6:B33)</f>
        <v>0</v>
      </c>
      <c r="C38" s="36">
        <f t="shared" si="1"/>
        <v>164</v>
      </c>
      <c r="D38" s="36">
        <f t="shared" si="1"/>
        <v>0</v>
      </c>
      <c r="E38" s="36">
        <f t="shared" si="1"/>
        <v>27</v>
      </c>
      <c r="F38" s="99">
        <f t="shared" si="1"/>
        <v>0</v>
      </c>
      <c r="G38" s="99">
        <f t="shared" si="1"/>
        <v>6140754</v>
      </c>
      <c r="H38" s="100">
        <f t="shared" si="1"/>
        <v>545186</v>
      </c>
      <c r="I38" s="101">
        <f t="shared" si="1"/>
        <v>0</v>
      </c>
      <c r="J38" s="36">
        <f t="shared" si="1"/>
        <v>104</v>
      </c>
      <c r="K38" s="36">
        <f t="shared" si="1"/>
        <v>0</v>
      </c>
      <c r="L38" s="36">
        <f t="shared" si="1"/>
        <v>0</v>
      </c>
      <c r="M38" s="99">
        <f t="shared" si="1"/>
        <v>0</v>
      </c>
      <c r="N38" s="99">
        <f t="shared" si="1"/>
        <v>4367440</v>
      </c>
      <c r="O38" s="100">
        <f t="shared" si="1"/>
        <v>0</v>
      </c>
      <c r="P38" s="102">
        <f t="shared" si="1"/>
        <v>0</v>
      </c>
      <c r="Q38" s="36">
        <f t="shared" si="1"/>
        <v>3</v>
      </c>
      <c r="R38" s="36">
        <f t="shared" si="1"/>
        <v>0</v>
      </c>
      <c r="S38" s="36">
        <f t="shared" si="1"/>
        <v>9</v>
      </c>
      <c r="T38" s="99">
        <f t="shared" si="1"/>
        <v>0</v>
      </c>
      <c r="U38" s="99">
        <f t="shared" si="1"/>
        <v>120767</v>
      </c>
      <c r="V38" s="100">
        <f t="shared" si="1"/>
        <v>210767</v>
      </c>
      <c r="W38" s="102">
        <f t="shared" si="1"/>
        <v>0</v>
      </c>
      <c r="X38" s="36">
        <f t="shared" si="1"/>
        <v>17</v>
      </c>
      <c r="Y38" s="36">
        <f t="shared" si="1"/>
        <v>0</v>
      </c>
      <c r="Z38" s="36">
        <f t="shared" si="1"/>
        <v>8</v>
      </c>
      <c r="AA38" s="99">
        <f t="shared" si="1"/>
        <v>0</v>
      </c>
      <c r="AB38" s="99">
        <f t="shared" si="1"/>
        <v>432500</v>
      </c>
      <c r="AC38" s="100">
        <f t="shared" si="1"/>
        <v>161600</v>
      </c>
      <c r="AD38" s="102">
        <f t="shared" si="1"/>
        <v>0</v>
      </c>
      <c r="AE38" s="36">
        <f t="shared" si="1"/>
        <v>20</v>
      </c>
      <c r="AF38" s="36">
        <f t="shared" si="1"/>
        <v>0</v>
      </c>
      <c r="AG38" s="36">
        <f t="shared" si="1"/>
        <v>5</v>
      </c>
      <c r="AH38" s="99">
        <f t="shared" si="1"/>
        <v>0</v>
      </c>
      <c r="AI38" s="99">
        <f t="shared" si="1"/>
        <v>648047</v>
      </c>
      <c r="AJ38" s="100">
        <f t="shared" si="1"/>
        <v>43819</v>
      </c>
      <c r="AK38" s="102">
        <f t="shared" si="1"/>
        <v>0</v>
      </c>
      <c r="AL38" s="36">
        <f t="shared" si="1"/>
        <v>20</v>
      </c>
      <c r="AM38" s="36">
        <f t="shared" si="1"/>
        <v>0</v>
      </c>
      <c r="AN38" s="36">
        <f t="shared" si="1"/>
        <v>8</v>
      </c>
      <c r="AO38" s="99">
        <f t="shared" si="1"/>
        <v>0</v>
      </c>
      <c r="AP38" s="99">
        <f t="shared" si="1"/>
        <v>572000</v>
      </c>
      <c r="AQ38" s="99">
        <f t="shared" si="1"/>
        <v>129000</v>
      </c>
    </row>
    <row r="39">
      <c r="A39" s="15"/>
      <c r="B39" s="15"/>
      <c r="C39" s="15"/>
      <c r="D39" s="15"/>
      <c r="E39" s="15"/>
      <c r="F39" s="15"/>
      <c r="G39" s="15"/>
      <c r="H39" s="103"/>
      <c r="I39" s="15"/>
      <c r="J39" s="15"/>
      <c r="K39" s="15"/>
      <c r="L39" s="15"/>
      <c r="M39" s="15"/>
      <c r="N39" s="15"/>
      <c r="O39" s="103"/>
      <c r="P39" s="15"/>
      <c r="Q39" s="15"/>
      <c r="R39" s="15"/>
      <c r="S39" s="15"/>
      <c r="T39" s="15"/>
      <c r="U39" s="15"/>
      <c r="V39" s="103"/>
      <c r="W39" s="15"/>
      <c r="X39" s="15"/>
      <c r="Y39" s="15"/>
      <c r="Z39" s="15"/>
      <c r="AA39" s="15"/>
      <c r="AB39" s="15"/>
      <c r="AC39" s="103"/>
      <c r="AD39" s="15"/>
      <c r="AE39" s="15"/>
      <c r="AF39" s="15"/>
      <c r="AG39" s="15"/>
      <c r="AH39" s="15"/>
      <c r="AI39" s="15"/>
      <c r="AJ39" s="103"/>
      <c r="AK39" s="15"/>
      <c r="AL39" s="15"/>
      <c r="AM39" s="15"/>
      <c r="AN39" s="15"/>
      <c r="AO39" s="15"/>
      <c r="AP39" s="15"/>
      <c r="AQ39" s="15"/>
    </row>
    <row r="40">
      <c r="A40" s="14"/>
      <c r="B40" s="15"/>
      <c r="C40" s="14"/>
      <c r="D40" s="15"/>
      <c r="E40" s="15"/>
      <c r="F40" s="15"/>
      <c r="G40" s="15"/>
      <c r="H40" s="103"/>
      <c r="I40" s="15"/>
      <c r="J40" s="14"/>
      <c r="K40" s="15"/>
      <c r="L40" s="15"/>
      <c r="M40" s="15"/>
      <c r="N40" s="15"/>
      <c r="O40" s="103"/>
      <c r="P40" s="15"/>
      <c r="Q40" s="15"/>
      <c r="R40" s="15"/>
      <c r="S40" s="15"/>
      <c r="T40" s="15"/>
      <c r="U40" s="15"/>
      <c r="V40" s="103"/>
      <c r="W40" s="15"/>
      <c r="X40" s="15"/>
      <c r="Y40" s="15"/>
      <c r="Z40" s="15"/>
      <c r="AA40" s="15"/>
      <c r="AB40" s="15"/>
      <c r="AC40" s="103"/>
      <c r="AD40" s="15"/>
      <c r="AE40" s="15"/>
      <c r="AF40" s="15"/>
      <c r="AG40" s="15"/>
      <c r="AH40" s="15"/>
      <c r="AI40" s="15"/>
      <c r="AJ40" s="103"/>
      <c r="AK40" s="15"/>
      <c r="AL40" s="15"/>
      <c r="AM40" s="15"/>
      <c r="AN40" s="15"/>
      <c r="AO40" s="15"/>
      <c r="AP40" s="15"/>
      <c r="AQ40" s="15"/>
    </row>
    <row r="41">
      <c r="A41" s="38" t="s">
        <v>73</v>
      </c>
      <c r="C41" s="14"/>
      <c r="D41" s="15"/>
      <c r="E41" s="15"/>
      <c r="F41" s="15"/>
      <c r="G41" s="15"/>
      <c r="H41" s="103"/>
      <c r="I41" s="15"/>
      <c r="J41" s="14"/>
      <c r="K41" s="15"/>
      <c r="L41" s="15"/>
      <c r="M41" s="15"/>
      <c r="N41" s="15"/>
      <c r="O41" s="103"/>
      <c r="P41" s="15"/>
      <c r="Q41" s="15"/>
      <c r="R41" s="15"/>
      <c r="S41" s="15"/>
      <c r="T41" s="15"/>
      <c r="U41" s="15"/>
      <c r="V41" s="103"/>
      <c r="W41" s="15"/>
      <c r="X41" s="15"/>
      <c r="Y41" s="15"/>
      <c r="Z41" s="15"/>
      <c r="AA41" s="15"/>
      <c r="AB41" s="15"/>
      <c r="AC41" s="103"/>
      <c r="AD41" s="15"/>
      <c r="AE41" s="15"/>
      <c r="AF41" s="15"/>
      <c r="AG41" s="15"/>
      <c r="AH41" s="15"/>
      <c r="AI41" s="15"/>
      <c r="AJ41" s="103"/>
      <c r="AK41" s="15"/>
      <c r="AL41" s="15"/>
      <c r="AM41" s="15"/>
      <c r="AN41" s="15"/>
      <c r="AO41" s="15"/>
      <c r="AP41" s="15"/>
      <c r="AQ41" s="15"/>
    </row>
    <row r="42">
      <c r="A42" s="30" t="s">
        <v>74</v>
      </c>
      <c r="B42" s="30" t="s">
        <v>75</v>
      </c>
      <c r="C42" s="30" t="s">
        <v>76</v>
      </c>
      <c r="D42" s="15"/>
      <c r="E42" s="15"/>
      <c r="F42" s="15"/>
      <c r="G42" s="15"/>
      <c r="H42" s="103"/>
      <c r="I42" s="35"/>
      <c r="J42" s="35"/>
      <c r="K42" s="15"/>
      <c r="L42" s="15"/>
      <c r="M42" s="15"/>
      <c r="N42" s="15"/>
      <c r="O42" s="103"/>
      <c r="P42" s="15"/>
      <c r="Q42" s="15"/>
      <c r="R42" s="15"/>
      <c r="S42" s="15"/>
      <c r="T42" s="15"/>
      <c r="U42" s="15"/>
      <c r="V42" s="103"/>
      <c r="W42" s="15"/>
      <c r="X42" s="15"/>
      <c r="Y42" s="15"/>
      <c r="Z42" s="15"/>
      <c r="AA42" s="15"/>
      <c r="AB42" s="15"/>
      <c r="AC42" s="103"/>
      <c r="AD42" s="15"/>
      <c r="AE42" s="15"/>
      <c r="AF42" s="15"/>
      <c r="AG42" s="15"/>
      <c r="AH42" s="15"/>
      <c r="AI42" s="15"/>
      <c r="AJ42" s="103"/>
      <c r="AK42" s="15"/>
      <c r="AL42" s="15"/>
      <c r="AM42" s="15"/>
      <c r="AN42" s="15"/>
      <c r="AO42" s="15"/>
      <c r="AP42" s="15"/>
      <c r="AQ42" s="15"/>
    </row>
    <row r="43">
      <c r="A43" s="42" t="s">
        <v>77</v>
      </c>
      <c r="B43" s="96">
        <f>IFERROR(__xludf.DUMMYFUNCTION("COUNTUNIQUEIFS(collexo_data!$P:$P,collexo_data!$B:$B,""&gt;=""&amp;DATE(2026,2,1), collexo_data!$B:$B,""&lt;=""&amp;DATE(2026,2,28),collexo_data!$M:$M,A43)"),57.0)</f>
        <v>57</v>
      </c>
      <c r="C43" s="104">
        <f>sumifs(collexo_data!$G:$G,collexo_data!$B:$B,"&gt;="&amp;DATE(2026,2,1),collexo_data!$B:$B,"&lt;="&amp;DATE(2026,2,28),collexo_data!$M:$M,A43)</f>
        <v>4367440</v>
      </c>
      <c r="D43" s="15"/>
      <c r="E43" s="15"/>
      <c r="F43" s="15"/>
      <c r="G43" s="15"/>
      <c r="H43" s="103"/>
      <c r="I43" s="105"/>
      <c r="J43" s="106"/>
      <c r="K43" s="15"/>
      <c r="L43" s="15"/>
      <c r="M43" s="15"/>
      <c r="N43" s="15"/>
      <c r="O43" s="103"/>
      <c r="P43" s="15"/>
      <c r="Q43" s="15"/>
      <c r="R43" s="15"/>
      <c r="S43" s="15"/>
      <c r="T43" s="15"/>
      <c r="U43" s="15"/>
      <c r="V43" s="103"/>
      <c r="W43" s="15"/>
      <c r="X43" s="15"/>
      <c r="Y43" s="15"/>
      <c r="Z43" s="15"/>
      <c r="AA43" s="15"/>
      <c r="AB43" s="15"/>
      <c r="AC43" s="103"/>
      <c r="AD43" s="15"/>
      <c r="AE43" s="15"/>
      <c r="AF43" s="15"/>
      <c r="AG43" s="15"/>
      <c r="AH43" s="15"/>
      <c r="AI43" s="15"/>
      <c r="AJ43" s="103"/>
      <c r="AK43" s="15"/>
      <c r="AL43" s="15"/>
      <c r="AM43" s="15"/>
      <c r="AN43" s="15"/>
      <c r="AO43" s="15"/>
      <c r="AP43" s="15"/>
      <c r="AQ43" s="15"/>
    </row>
    <row r="44">
      <c r="A44" s="42" t="s">
        <v>63</v>
      </c>
      <c r="B44" s="96">
        <f>IFERROR(__xludf.DUMMYFUNCTION("COUNTUNIQUEIFS(collexo_data!$P:$P,collexo_data!$B:$B,""&gt;=""&amp;DATE(2026,2,1), collexo_data!$B:$B,""&lt;=""&amp;DATE(2026,2,28),collexo_data!$M:$M,A44)"),16.0)</f>
        <v>16</v>
      </c>
      <c r="C44" s="104">
        <f>sumifs(collexo_data!$G:$G,collexo_data!$B:$B,"&gt;="&amp;DATE(2026,2,1),collexo_data!$B:$B,"&lt;="&amp;DATE(2026,2,28),collexo_data!$M:$M,A44)</f>
        <v>701000</v>
      </c>
      <c r="D44" s="15"/>
      <c r="E44" s="15"/>
      <c r="F44" s="15"/>
      <c r="G44" s="15"/>
      <c r="H44" s="103"/>
      <c r="I44" s="105"/>
      <c r="J44" s="106"/>
      <c r="K44" s="15"/>
      <c r="L44" s="15"/>
      <c r="M44" s="15"/>
      <c r="N44" s="15"/>
      <c r="O44" s="103"/>
      <c r="P44" s="15"/>
      <c r="Q44" s="15"/>
      <c r="R44" s="15"/>
      <c r="S44" s="15"/>
      <c r="T44" s="15"/>
      <c r="U44" s="15"/>
      <c r="V44" s="103"/>
      <c r="W44" s="15"/>
      <c r="X44" s="15"/>
      <c r="Y44" s="15"/>
      <c r="Z44" s="15"/>
      <c r="AA44" s="15"/>
      <c r="AB44" s="15"/>
      <c r="AC44" s="103"/>
      <c r="AD44" s="15"/>
      <c r="AE44" s="15"/>
      <c r="AF44" s="15"/>
      <c r="AG44" s="15"/>
      <c r="AH44" s="15"/>
      <c r="AI44" s="15"/>
      <c r="AJ44" s="103"/>
      <c r="AK44" s="15"/>
      <c r="AL44" s="15"/>
      <c r="AM44" s="15"/>
      <c r="AN44" s="15"/>
      <c r="AO44" s="15"/>
      <c r="AP44" s="15"/>
      <c r="AQ44" s="15"/>
    </row>
    <row r="45">
      <c r="A45" s="42" t="s">
        <v>60</v>
      </c>
      <c r="B45" s="96">
        <f>IFERROR(__xludf.DUMMYFUNCTION("COUNTUNIQUEIFS(collexo_data!$P:$P,collexo_data!$B:$B,""&gt;=""&amp;DATE(2026,2,1), collexo_data!$B:$B,""&lt;=""&amp;DATE(2026,2,28),collexo_data!$M:$M,A45)"),8.0)</f>
        <v>8</v>
      </c>
      <c r="C45" s="104">
        <f>sumifs(collexo_data!$G:$G,collexo_data!$B:$B,"&gt;="&amp;DATE(2026,2,1),collexo_data!$B:$B,"&lt;="&amp;DATE(2026,2,28),collexo_data!$M:$M,A45)</f>
        <v>331534</v>
      </c>
      <c r="D45" s="15"/>
      <c r="E45" s="15"/>
      <c r="F45" s="15"/>
      <c r="G45" s="15"/>
      <c r="H45" s="103"/>
      <c r="I45" s="105"/>
      <c r="J45" s="106"/>
      <c r="K45" s="15"/>
      <c r="L45" s="15"/>
      <c r="M45" s="15"/>
      <c r="N45" s="15"/>
      <c r="O45" s="103"/>
      <c r="P45" s="15"/>
      <c r="Q45" s="15"/>
      <c r="R45" s="15"/>
      <c r="S45" s="15"/>
      <c r="T45" s="15"/>
      <c r="U45" s="15"/>
      <c r="V45" s="103"/>
      <c r="W45" s="15"/>
      <c r="X45" s="15"/>
      <c r="Y45" s="15"/>
      <c r="Z45" s="15"/>
      <c r="AA45" s="15"/>
      <c r="AB45" s="15"/>
      <c r="AC45" s="103"/>
      <c r="AD45" s="15"/>
      <c r="AE45" s="15"/>
      <c r="AF45" s="15"/>
      <c r="AG45" s="15"/>
      <c r="AH45" s="15"/>
      <c r="AI45" s="15"/>
      <c r="AJ45" s="103"/>
      <c r="AK45" s="15"/>
      <c r="AL45" s="15"/>
      <c r="AM45" s="15"/>
      <c r="AN45" s="15"/>
      <c r="AO45" s="15"/>
      <c r="AP45" s="15"/>
      <c r="AQ45" s="15"/>
    </row>
    <row r="46">
      <c r="A46" s="42" t="s">
        <v>61</v>
      </c>
      <c r="B46" s="96">
        <f>IFERROR(__xludf.DUMMYFUNCTION("COUNTUNIQUEIFS(collexo_data!$P:$P,collexo_data!$B:$B,""&gt;=""&amp;DATE(2026,2,1), collexo_data!$B:$B,""&lt;=""&amp;DATE(2026,2,28),collexo_data!$M:$M,A46)"),16.0)</f>
        <v>16</v>
      </c>
      <c r="C46" s="104">
        <f>sumifs(collexo_data!$G:$G,collexo_data!$B:$B,"&gt;="&amp;DATE(2026,2,1),collexo_data!$B:$B,"&lt;="&amp;DATE(2026,2,28),collexo_data!$M:$M,A46)</f>
        <v>594100</v>
      </c>
      <c r="D46" s="15"/>
      <c r="E46" s="15"/>
      <c r="F46" s="15"/>
      <c r="G46" s="15"/>
      <c r="H46" s="103"/>
      <c r="I46" s="105"/>
      <c r="J46" s="106"/>
      <c r="K46" s="15"/>
      <c r="L46" s="15"/>
      <c r="M46" s="15"/>
      <c r="N46" s="15"/>
      <c r="O46" s="103"/>
      <c r="P46" s="15"/>
      <c r="Q46" s="15"/>
      <c r="R46" s="15"/>
      <c r="S46" s="15"/>
      <c r="T46" s="15"/>
      <c r="U46" s="15"/>
      <c r="V46" s="103"/>
      <c r="W46" s="15"/>
      <c r="X46" s="15"/>
      <c r="Y46" s="15"/>
      <c r="Z46" s="15"/>
      <c r="AA46" s="15"/>
      <c r="AB46" s="15"/>
      <c r="AC46" s="103"/>
      <c r="AD46" s="15"/>
      <c r="AE46" s="15"/>
      <c r="AF46" s="15"/>
      <c r="AG46" s="15"/>
      <c r="AH46" s="15"/>
      <c r="AI46" s="15"/>
      <c r="AJ46" s="103"/>
      <c r="AK46" s="15"/>
      <c r="AL46" s="15"/>
      <c r="AM46" s="15"/>
      <c r="AN46" s="15"/>
      <c r="AO46" s="15"/>
      <c r="AP46" s="15"/>
      <c r="AQ46" s="15"/>
    </row>
    <row r="47">
      <c r="A47" s="42" t="s">
        <v>62</v>
      </c>
      <c r="B47" s="96">
        <f>IFERROR(__xludf.DUMMYFUNCTION("COUNTUNIQUEIFS(collexo_data!$P:$P,collexo_data!$B:$B,""&gt;=""&amp;DATE(2026,2,1), collexo_data!$B:$B,""&lt;=""&amp;DATE(2026,2,28),collexo_data!$M:$M,A47)"),23.0)</f>
        <v>23</v>
      </c>
      <c r="C47" s="104">
        <f>sumifs(collexo_data!$G:$G,collexo_data!$B:$B,"&gt;="&amp;DATE(2026,2,1),collexo_data!$B:$B,"&lt;="&amp;DATE(2026,2,28),collexo_data!$M:$M,A47)</f>
        <v>691866</v>
      </c>
      <c r="D47" s="15"/>
      <c r="E47" s="15"/>
      <c r="F47" s="15"/>
      <c r="G47" s="15"/>
      <c r="H47" s="103"/>
      <c r="I47" s="105"/>
      <c r="J47" s="106"/>
      <c r="K47" s="15"/>
      <c r="L47" s="15"/>
      <c r="M47" s="15"/>
      <c r="N47" s="15"/>
      <c r="O47" s="103"/>
      <c r="P47" s="15"/>
      <c r="Q47" s="15"/>
      <c r="R47" s="15"/>
      <c r="S47" s="15"/>
      <c r="T47" s="15"/>
      <c r="U47" s="15"/>
      <c r="V47" s="103"/>
      <c r="W47" s="15"/>
      <c r="X47" s="15"/>
      <c r="Y47" s="15"/>
      <c r="Z47" s="15"/>
      <c r="AA47" s="15"/>
      <c r="AB47" s="15"/>
      <c r="AC47" s="103"/>
      <c r="AD47" s="15"/>
      <c r="AE47" s="15"/>
      <c r="AF47" s="15"/>
      <c r="AG47" s="15"/>
      <c r="AH47" s="15"/>
      <c r="AI47" s="15"/>
      <c r="AJ47" s="103"/>
      <c r="AK47" s="15"/>
      <c r="AL47" s="15"/>
      <c r="AM47" s="15"/>
      <c r="AN47" s="15"/>
      <c r="AO47" s="15"/>
      <c r="AP47" s="15"/>
      <c r="AQ47" s="15"/>
    </row>
    <row r="48">
      <c r="A48" s="29"/>
      <c r="B48" s="96"/>
      <c r="C48" s="96"/>
      <c r="D48" s="15"/>
      <c r="E48" s="15"/>
      <c r="F48" s="15"/>
      <c r="G48" s="15"/>
      <c r="H48" s="103"/>
      <c r="I48" s="105"/>
      <c r="J48" s="105"/>
      <c r="K48" s="15"/>
      <c r="L48" s="15"/>
      <c r="M48" s="15"/>
      <c r="N48" s="15"/>
      <c r="O48" s="103"/>
      <c r="P48" s="15"/>
      <c r="Q48" s="15"/>
      <c r="R48" s="15"/>
      <c r="S48" s="15"/>
      <c r="T48" s="15"/>
      <c r="U48" s="15"/>
      <c r="V48" s="103"/>
      <c r="W48" s="15"/>
      <c r="X48" s="15"/>
      <c r="Y48" s="15"/>
      <c r="Z48" s="15"/>
      <c r="AA48" s="15"/>
      <c r="AB48" s="15"/>
      <c r="AC48" s="103"/>
      <c r="AD48" s="15"/>
      <c r="AE48" s="15"/>
      <c r="AF48" s="15"/>
      <c r="AG48" s="15"/>
      <c r="AH48" s="15"/>
      <c r="AI48" s="15"/>
      <c r="AJ48" s="103"/>
      <c r="AK48" s="15"/>
      <c r="AL48" s="15"/>
      <c r="AM48" s="15"/>
      <c r="AN48" s="15"/>
      <c r="AO48" s="15"/>
      <c r="AP48" s="15"/>
      <c r="AQ48" s="15"/>
    </row>
    <row r="49">
      <c r="A49" s="30" t="s">
        <v>46</v>
      </c>
      <c r="B49" s="99">
        <f t="shared" ref="B49:C49" si="2">sum(B43:B47)</f>
        <v>120</v>
      </c>
      <c r="C49" s="99">
        <f t="shared" si="2"/>
        <v>6685940</v>
      </c>
      <c r="D49" s="15"/>
      <c r="E49" s="15"/>
      <c r="F49" s="15"/>
      <c r="G49" s="15"/>
      <c r="H49" s="103"/>
      <c r="I49" s="107"/>
      <c r="J49" s="107"/>
      <c r="K49" s="15"/>
      <c r="L49" s="15"/>
      <c r="M49" s="15"/>
      <c r="N49" s="15"/>
      <c r="O49" s="103"/>
      <c r="P49" s="15"/>
      <c r="Q49" s="15"/>
      <c r="R49" s="15"/>
      <c r="S49" s="15"/>
      <c r="T49" s="15"/>
      <c r="U49" s="15"/>
      <c r="V49" s="103"/>
      <c r="W49" s="15"/>
      <c r="X49" s="15"/>
      <c r="Y49" s="15"/>
      <c r="Z49" s="15"/>
      <c r="AA49" s="15"/>
      <c r="AB49" s="15"/>
      <c r="AC49" s="103"/>
      <c r="AD49" s="15"/>
      <c r="AE49" s="15"/>
      <c r="AF49" s="15"/>
      <c r="AG49" s="15"/>
      <c r="AH49" s="15"/>
      <c r="AI49" s="15"/>
      <c r="AJ49" s="103"/>
      <c r="AK49" s="15"/>
      <c r="AL49" s="15"/>
      <c r="AM49" s="15"/>
      <c r="AN49" s="15"/>
      <c r="AO49" s="15"/>
      <c r="AP49" s="15"/>
      <c r="AQ49" s="15"/>
    </row>
    <row r="50">
      <c r="A50" s="15"/>
      <c r="B50" s="15"/>
      <c r="C50" s="15"/>
      <c r="D50" s="15"/>
      <c r="E50" s="15"/>
      <c r="F50" s="15"/>
      <c r="G50" s="15"/>
      <c r="H50" s="103"/>
      <c r="I50" s="15"/>
      <c r="J50" s="15"/>
      <c r="K50" s="15"/>
      <c r="L50" s="15"/>
      <c r="M50" s="15"/>
      <c r="N50" s="15"/>
      <c r="O50" s="103"/>
      <c r="P50" s="15"/>
      <c r="Q50" s="15"/>
      <c r="R50" s="15"/>
      <c r="S50" s="15"/>
      <c r="T50" s="15"/>
      <c r="U50" s="15"/>
      <c r="V50" s="103"/>
      <c r="W50" s="15"/>
      <c r="X50" s="15"/>
      <c r="Y50" s="15"/>
      <c r="Z50" s="15"/>
      <c r="AA50" s="15"/>
      <c r="AB50" s="15"/>
      <c r="AC50" s="103"/>
      <c r="AD50" s="15"/>
      <c r="AE50" s="15"/>
      <c r="AF50" s="15"/>
      <c r="AG50" s="15"/>
      <c r="AH50" s="15"/>
      <c r="AI50" s="15"/>
      <c r="AJ50" s="103"/>
      <c r="AK50" s="15"/>
      <c r="AL50" s="15"/>
      <c r="AM50" s="15"/>
      <c r="AN50" s="15"/>
      <c r="AO50" s="15"/>
      <c r="AP50" s="15"/>
      <c r="AQ50" s="15"/>
    </row>
    <row r="51">
      <c r="A51" s="15"/>
      <c r="B51" s="15"/>
      <c r="C51" s="15"/>
      <c r="D51" s="15"/>
      <c r="E51" s="15"/>
      <c r="F51" s="15"/>
      <c r="G51" s="15"/>
      <c r="H51" s="103"/>
      <c r="I51" s="15"/>
      <c r="J51" s="15"/>
      <c r="K51" s="15"/>
      <c r="L51" s="15"/>
      <c r="M51" s="15"/>
      <c r="N51" s="15"/>
      <c r="O51" s="103"/>
      <c r="P51" s="15"/>
      <c r="Q51" s="15"/>
      <c r="R51" s="15"/>
      <c r="S51" s="15"/>
      <c r="T51" s="15"/>
      <c r="U51" s="15"/>
      <c r="V51" s="103"/>
      <c r="W51" s="15"/>
      <c r="X51" s="15"/>
      <c r="Y51" s="15"/>
      <c r="Z51" s="15"/>
      <c r="AA51" s="15"/>
      <c r="AB51" s="15"/>
      <c r="AC51" s="103"/>
      <c r="AD51" s="15"/>
      <c r="AE51" s="15"/>
      <c r="AF51" s="15"/>
      <c r="AG51" s="15"/>
      <c r="AH51" s="15"/>
      <c r="AI51" s="15"/>
      <c r="AJ51" s="103"/>
      <c r="AK51" s="15"/>
      <c r="AL51" s="15"/>
      <c r="AM51" s="15"/>
      <c r="AN51" s="15"/>
      <c r="AO51" s="15"/>
      <c r="AP51" s="15"/>
      <c r="AQ51" s="15"/>
    </row>
    <row r="52">
      <c r="A52" s="15"/>
      <c r="B52" s="15"/>
      <c r="C52" s="15"/>
      <c r="D52" s="15"/>
      <c r="E52" s="15"/>
      <c r="F52" s="15"/>
      <c r="G52" s="15"/>
      <c r="H52" s="103"/>
      <c r="I52" s="15"/>
      <c r="J52" s="15"/>
      <c r="K52" s="15"/>
      <c r="L52" s="15"/>
      <c r="M52" s="15"/>
      <c r="N52" s="15"/>
      <c r="O52" s="103"/>
      <c r="P52" s="15"/>
      <c r="Q52" s="15"/>
      <c r="R52" s="15"/>
      <c r="S52" s="15"/>
      <c r="T52" s="15"/>
      <c r="U52" s="15"/>
      <c r="V52" s="103"/>
      <c r="W52" s="15"/>
      <c r="X52" s="15"/>
      <c r="Y52" s="15"/>
      <c r="Z52" s="15"/>
      <c r="AA52" s="15"/>
      <c r="AB52" s="15"/>
      <c r="AC52" s="103"/>
      <c r="AD52" s="15"/>
      <c r="AE52" s="15"/>
      <c r="AF52" s="15"/>
      <c r="AG52" s="15"/>
      <c r="AH52" s="15"/>
      <c r="AI52" s="15"/>
      <c r="AJ52" s="103"/>
      <c r="AK52" s="15"/>
      <c r="AL52" s="15"/>
      <c r="AM52" s="15"/>
      <c r="AN52" s="15"/>
      <c r="AO52" s="15"/>
      <c r="AP52" s="15"/>
      <c r="AQ52" s="15"/>
    </row>
    <row r="53">
      <c r="A53" s="15"/>
      <c r="B53" s="15"/>
      <c r="C53" s="15"/>
      <c r="D53" s="15"/>
      <c r="E53" s="15"/>
      <c r="F53" s="15"/>
      <c r="G53" s="15"/>
      <c r="H53" s="103"/>
      <c r="I53" s="15"/>
      <c r="J53" s="15"/>
      <c r="K53" s="15"/>
      <c r="L53" s="15"/>
      <c r="M53" s="15"/>
      <c r="N53" s="15"/>
      <c r="O53" s="103"/>
      <c r="P53" s="15"/>
      <c r="Q53" s="15"/>
      <c r="R53" s="15"/>
      <c r="S53" s="15"/>
      <c r="T53" s="15"/>
      <c r="U53" s="15"/>
      <c r="V53" s="103"/>
      <c r="W53" s="15"/>
      <c r="X53" s="15"/>
      <c r="Y53" s="15"/>
      <c r="Z53" s="15"/>
      <c r="AA53" s="15"/>
      <c r="AB53" s="15"/>
      <c r="AC53" s="103"/>
      <c r="AD53" s="15"/>
      <c r="AE53" s="15"/>
      <c r="AF53" s="15"/>
      <c r="AG53" s="15"/>
      <c r="AH53" s="15"/>
      <c r="AI53" s="15"/>
      <c r="AJ53" s="103"/>
      <c r="AK53" s="15"/>
      <c r="AL53" s="15"/>
      <c r="AM53" s="15"/>
      <c r="AN53" s="15"/>
      <c r="AO53" s="15"/>
      <c r="AP53" s="15"/>
      <c r="AQ53" s="15"/>
    </row>
    <row r="54">
      <c r="A54" s="15"/>
      <c r="B54" s="15"/>
      <c r="C54" s="15"/>
      <c r="D54" s="15"/>
      <c r="E54" s="15"/>
      <c r="F54" s="15"/>
      <c r="G54" s="15"/>
      <c r="H54" s="103"/>
      <c r="I54" s="15"/>
      <c r="J54" s="15"/>
      <c r="K54" s="15"/>
      <c r="L54" s="15"/>
      <c r="M54" s="15"/>
      <c r="N54" s="15"/>
      <c r="O54" s="103"/>
      <c r="P54" s="15"/>
      <c r="Q54" s="15"/>
      <c r="R54" s="15"/>
      <c r="S54" s="15"/>
      <c r="T54" s="15"/>
      <c r="U54" s="15"/>
      <c r="V54" s="103"/>
      <c r="W54" s="15"/>
      <c r="X54" s="15"/>
      <c r="Y54" s="15"/>
      <c r="Z54" s="15"/>
      <c r="AA54" s="15"/>
      <c r="AB54" s="15"/>
      <c r="AC54" s="103"/>
      <c r="AD54" s="15"/>
      <c r="AE54" s="15"/>
      <c r="AF54" s="15"/>
      <c r="AG54" s="15"/>
      <c r="AH54" s="15"/>
      <c r="AI54" s="15"/>
      <c r="AJ54" s="103"/>
      <c r="AK54" s="15"/>
      <c r="AL54" s="15"/>
      <c r="AM54" s="15"/>
      <c r="AN54" s="15"/>
      <c r="AO54" s="15"/>
      <c r="AP54" s="15"/>
      <c r="AQ54" s="15"/>
    </row>
    <row r="55">
      <c r="A55" s="15"/>
      <c r="B55" s="15"/>
      <c r="C55" s="15"/>
      <c r="D55" s="15"/>
      <c r="E55" s="15"/>
      <c r="F55" s="15"/>
      <c r="G55" s="15"/>
      <c r="H55" s="103"/>
      <c r="I55" s="15"/>
      <c r="J55" s="15"/>
      <c r="K55" s="15"/>
      <c r="L55" s="15"/>
      <c r="M55" s="15"/>
      <c r="N55" s="15"/>
      <c r="O55" s="103"/>
      <c r="P55" s="15"/>
      <c r="Q55" s="15"/>
      <c r="R55" s="15"/>
      <c r="S55" s="15"/>
      <c r="T55" s="15"/>
      <c r="U55" s="15"/>
      <c r="V55" s="103"/>
      <c r="W55" s="15"/>
      <c r="X55" s="15"/>
      <c r="Y55" s="15"/>
      <c r="Z55" s="15"/>
      <c r="AA55" s="15"/>
      <c r="AB55" s="15"/>
      <c r="AC55" s="103"/>
      <c r="AD55" s="15"/>
      <c r="AE55" s="15"/>
      <c r="AF55" s="15"/>
      <c r="AG55" s="15"/>
      <c r="AH55" s="15"/>
      <c r="AI55" s="15"/>
      <c r="AJ55" s="103"/>
      <c r="AK55" s="15"/>
      <c r="AL55" s="15"/>
      <c r="AM55" s="15"/>
      <c r="AN55" s="15"/>
      <c r="AO55" s="15"/>
      <c r="AP55" s="15"/>
      <c r="AQ55" s="15"/>
    </row>
    <row r="56">
      <c r="A56" s="15"/>
      <c r="B56" s="15"/>
      <c r="C56" s="15"/>
      <c r="D56" s="15"/>
      <c r="E56" s="15"/>
      <c r="F56" s="15"/>
      <c r="G56" s="15"/>
      <c r="H56" s="103"/>
      <c r="I56" s="15"/>
      <c r="J56" s="15"/>
      <c r="K56" s="15"/>
      <c r="L56" s="15"/>
      <c r="M56" s="15"/>
      <c r="N56" s="15"/>
      <c r="O56" s="103"/>
      <c r="P56" s="15"/>
      <c r="Q56" s="15"/>
      <c r="R56" s="15"/>
      <c r="S56" s="15"/>
      <c r="T56" s="15"/>
      <c r="U56" s="15"/>
      <c r="V56" s="103"/>
      <c r="W56" s="15"/>
      <c r="X56" s="15"/>
      <c r="Y56" s="15"/>
      <c r="Z56" s="15"/>
      <c r="AA56" s="15"/>
      <c r="AB56" s="15"/>
      <c r="AC56" s="103"/>
      <c r="AD56" s="15"/>
      <c r="AE56" s="15"/>
      <c r="AF56" s="15"/>
      <c r="AG56" s="15"/>
      <c r="AH56" s="15"/>
      <c r="AI56" s="15"/>
      <c r="AJ56" s="103"/>
      <c r="AK56" s="15"/>
      <c r="AL56" s="15"/>
      <c r="AM56" s="15"/>
      <c r="AN56" s="15"/>
      <c r="AO56" s="15"/>
      <c r="AP56" s="15"/>
      <c r="AQ56" s="15"/>
    </row>
    <row r="57">
      <c r="A57" s="15"/>
      <c r="B57" s="15"/>
      <c r="C57" s="15"/>
      <c r="D57" s="15"/>
      <c r="E57" s="15"/>
      <c r="F57" s="15"/>
      <c r="G57" s="15"/>
      <c r="H57" s="103"/>
      <c r="I57" s="15"/>
      <c r="J57" s="15"/>
      <c r="K57" s="15"/>
      <c r="L57" s="15"/>
      <c r="M57" s="15"/>
      <c r="N57" s="15"/>
      <c r="O57" s="103"/>
      <c r="P57" s="15"/>
      <c r="Q57" s="15"/>
      <c r="R57" s="15"/>
      <c r="S57" s="15"/>
      <c r="T57" s="15"/>
      <c r="U57" s="15"/>
      <c r="V57" s="103"/>
      <c r="W57" s="15"/>
      <c r="X57" s="15"/>
      <c r="Y57" s="15"/>
      <c r="Z57" s="15"/>
      <c r="AA57" s="15"/>
      <c r="AB57" s="15"/>
      <c r="AC57" s="103"/>
      <c r="AD57" s="15"/>
      <c r="AE57" s="15"/>
      <c r="AF57" s="15"/>
      <c r="AG57" s="15"/>
      <c r="AH57" s="15"/>
      <c r="AI57" s="15"/>
      <c r="AJ57" s="103"/>
      <c r="AK57" s="15"/>
      <c r="AL57" s="15"/>
      <c r="AM57" s="15"/>
      <c r="AN57" s="15"/>
      <c r="AO57" s="15"/>
      <c r="AP57" s="15"/>
      <c r="AQ57" s="15"/>
    </row>
    <row r="58">
      <c r="A58" s="15"/>
      <c r="B58" s="15"/>
      <c r="C58" s="15"/>
      <c r="D58" s="15"/>
      <c r="E58" s="15"/>
      <c r="F58" s="15"/>
      <c r="G58" s="15"/>
      <c r="H58" s="103"/>
      <c r="I58" s="15"/>
      <c r="J58" s="15"/>
      <c r="K58" s="15"/>
      <c r="L58" s="15"/>
      <c r="M58" s="15"/>
      <c r="N58" s="15"/>
      <c r="O58" s="103"/>
      <c r="P58" s="15"/>
      <c r="Q58" s="15"/>
      <c r="R58" s="15"/>
      <c r="S58" s="15"/>
      <c r="T58" s="15"/>
      <c r="U58" s="15"/>
      <c r="V58" s="103"/>
      <c r="W58" s="15"/>
      <c r="X58" s="15"/>
      <c r="Y58" s="15"/>
      <c r="Z58" s="15"/>
      <c r="AA58" s="15"/>
      <c r="AB58" s="15"/>
      <c r="AC58" s="103"/>
      <c r="AD58" s="15"/>
      <c r="AE58" s="15"/>
      <c r="AF58" s="15"/>
      <c r="AG58" s="15"/>
      <c r="AH58" s="15"/>
      <c r="AI58" s="15"/>
      <c r="AJ58" s="103"/>
      <c r="AK58" s="15"/>
      <c r="AL58" s="15"/>
      <c r="AM58" s="15"/>
      <c r="AN58" s="15"/>
      <c r="AO58" s="15"/>
      <c r="AP58" s="15"/>
      <c r="AQ58" s="15"/>
    </row>
    <row r="59">
      <c r="A59" s="15"/>
      <c r="B59" s="15"/>
      <c r="C59" s="15"/>
      <c r="D59" s="15"/>
      <c r="E59" s="15"/>
      <c r="F59" s="15"/>
      <c r="G59" s="15"/>
      <c r="H59" s="103"/>
      <c r="I59" s="15"/>
      <c r="J59" s="15"/>
      <c r="K59" s="15"/>
      <c r="L59" s="15"/>
      <c r="M59" s="15"/>
      <c r="N59" s="15"/>
      <c r="O59" s="103"/>
      <c r="P59" s="15"/>
      <c r="Q59" s="15"/>
      <c r="R59" s="15"/>
      <c r="S59" s="15"/>
      <c r="T59" s="15"/>
      <c r="U59" s="15"/>
      <c r="V59" s="103"/>
      <c r="W59" s="15"/>
      <c r="X59" s="15"/>
      <c r="Y59" s="15"/>
      <c r="Z59" s="15"/>
      <c r="AA59" s="15"/>
      <c r="AB59" s="15"/>
      <c r="AC59" s="103"/>
      <c r="AD59" s="15"/>
      <c r="AE59" s="15"/>
      <c r="AF59" s="15"/>
      <c r="AG59" s="15"/>
      <c r="AH59" s="15"/>
      <c r="AI59" s="15"/>
      <c r="AJ59" s="103"/>
      <c r="AK59" s="15"/>
      <c r="AL59" s="15"/>
      <c r="AM59" s="15"/>
      <c r="AN59" s="15"/>
      <c r="AO59" s="15"/>
      <c r="AP59" s="15"/>
      <c r="AQ59" s="15"/>
    </row>
    <row r="60">
      <c r="A60" s="15"/>
      <c r="B60" s="15"/>
      <c r="C60" s="15"/>
      <c r="D60" s="15"/>
      <c r="E60" s="15"/>
      <c r="F60" s="15"/>
      <c r="G60" s="15"/>
      <c r="H60" s="103"/>
      <c r="I60" s="15"/>
      <c r="J60" s="15"/>
      <c r="K60" s="15"/>
      <c r="L60" s="15"/>
      <c r="M60" s="15"/>
      <c r="N60" s="15"/>
      <c r="O60" s="103"/>
      <c r="P60" s="15"/>
      <c r="Q60" s="15"/>
      <c r="R60" s="15"/>
      <c r="S60" s="15"/>
      <c r="T60" s="15"/>
      <c r="U60" s="15"/>
      <c r="V60" s="103"/>
      <c r="W60" s="15"/>
      <c r="X60" s="15"/>
      <c r="Y60" s="15"/>
      <c r="Z60" s="15"/>
      <c r="AA60" s="15"/>
      <c r="AB60" s="15"/>
      <c r="AC60" s="103"/>
      <c r="AD60" s="15"/>
      <c r="AE60" s="15"/>
      <c r="AF60" s="15"/>
      <c r="AG60" s="15"/>
      <c r="AH60" s="15"/>
      <c r="AI60" s="15"/>
      <c r="AJ60" s="103"/>
      <c r="AK60" s="15"/>
      <c r="AL60" s="15"/>
      <c r="AM60" s="15"/>
      <c r="AN60" s="15"/>
      <c r="AO60" s="15"/>
      <c r="AP60" s="15"/>
      <c r="AQ60" s="15"/>
    </row>
    <row r="61">
      <c r="A61" s="15"/>
      <c r="B61" s="15"/>
      <c r="C61" s="15"/>
      <c r="D61" s="15"/>
      <c r="E61" s="15"/>
      <c r="F61" s="15"/>
      <c r="G61" s="15"/>
      <c r="H61" s="103"/>
      <c r="I61" s="15"/>
      <c r="J61" s="15"/>
      <c r="K61" s="15"/>
      <c r="L61" s="15"/>
      <c r="M61" s="15"/>
      <c r="N61" s="15"/>
      <c r="O61" s="103"/>
      <c r="P61" s="15"/>
      <c r="Q61" s="15"/>
      <c r="R61" s="15"/>
      <c r="S61" s="15"/>
      <c r="T61" s="15"/>
      <c r="U61" s="15"/>
      <c r="V61" s="103"/>
      <c r="W61" s="15"/>
      <c r="X61" s="15"/>
      <c r="Y61" s="15"/>
      <c r="Z61" s="15"/>
      <c r="AA61" s="15"/>
      <c r="AB61" s="15"/>
      <c r="AC61" s="103"/>
      <c r="AD61" s="15"/>
      <c r="AE61" s="15"/>
      <c r="AF61" s="15"/>
      <c r="AG61" s="15"/>
      <c r="AH61" s="15"/>
      <c r="AI61" s="15"/>
      <c r="AJ61" s="103"/>
      <c r="AK61" s="15"/>
      <c r="AL61" s="15"/>
      <c r="AM61" s="15"/>
      <c r="AN61" s="15"/>
      <c r="AO61" s="15"/>
      <c r="AP61" s="15"/>
      <c r="AQ61" s="15"/>
    </row>
    <row r="62">
      <c r="A62" s="15"/>
      <c r="B62" s="15"/>
      <c r="C62" s="15"/>
      <c r="D62" s="15"/>
      <c r="E62" s="15"/>
      <c r="F62" s="15"/>
      <c r="G62" s="15"/>
      <c r="H62" s="103"/>
      <c r="I62" s="15"/>
      <c r="J62" s="15"/>
      <c r="K62" s="15"/>
      <c r="L62" s="15"/>
      <c r="M62" s="15"/>
      <c r="N62" s="15"/>
      <c r="O62" s="103"/>
      <c r="P62" s="15"/>
      <c r="Q62" s="15"/>
      <c r="R62" s="15"/>
      <c r="S62" s="15"/>
      <c r="T62" s="15"/>
      <c r="U62" s="15"/>
      <c r="V62" s="103"/>
      <c r="W62" s="15"/>
      <c r="X62" s="15"/>
      <c r="Y62" s="15"/>
      <c r="Z62" s="15"/>
      <c r="AA62" s="15"/>
      <c r="AB62" s="15"/>
      <c r="AC62" s="103"/>
      <c r="AD62" s="15"/>
      <c r="AE62" s="15"/>
      <c r="AF62" s="15"/>
      <c r="AG62" s="15"/>
      <c r="AH62" s="15"/>
      <c r="AI62" s="15"/>
      <c r="AJ62" s="103"/>
      <c r="AK62" s="15"/>
      <c r="AL62" s="15"/>
      <c r="AM62" s="15"/>
      <c r="AN62" s="15"/>
      <c r="AO62" s="15"/>
      <c r="AP62" s="15"/>
      <c r="AQ62" s="15"/>
    </row>
    <row r="63">
      <c r="A63" s="15"/>
      <c r="B63" s="15"/>
      <c r="C63" s="15"/>
      <c r="D63" s="15"/>
      <c r="E63" s="15"/>
      <c r="F63" s="15"/>
      <c r="G63" s="15"/>
      <c r="H63" s="103"/>
      <c r="I63" s="15"/>
      <c r="J63" s="15"/>
      <c r="K63" s="15"/>
      <c r="L63" s="15"/>
      <c r="M63" s="15"/>
      <c r="N63" s="15"/>
      <c r="O63" s="103"/>
      <c r="P63" s="15"/>
      <c r="Q63" s="15"/>
      <c r="R63" s="15"/>
      <c r="S63" s="15"/>
      <c r="T63" s="15"/>
      <c r="U63" s="15"/>
      <c r="V63" s="103"/>
      <c r="W63" s="15"/>
      <c r="X63" s="15"/>
      <c r="Y63" s="15"/>
      <c r="Z63" s="15"/>
      <c r="AA63" s="15"/>
      <c r="AB63" s="15"/>
      <c r="AC63" s="103"/>
      <c r="AD63" s="15"/>
      <c r="AE63" s="15"/>
      <c r="AF63" s="15"/>
      <c r="AG63" s="15"/>
      <c r="AH63" s="15"/>
      <c r="AI63" s="15"/>
      <c r="AJ63" s="103"/>
      <c r="AK63" s="15"/>
      <c r="AL63" s="15"/>
      <c r="AM63" s="15"/>
      <c r="AN63" s="15"/>
      <c r="AO63" s="15"/>
      <c r="AP63" s="15"/>
      <c r="AQ63" s="15"/>
    </row>
    <row r="64">
      <c r="A64" s="15"/>
      <c r="B64" s="15"/>
      <c r="C64" s="15"/>
      <c r="D64" s="15"/>
      <c r="E64" s="15"/>
      <c r="F64" s="15"/>
      <c r="G64" s="15"/>
      <c r="H64" s="103"/>
      <c r="I64" s="15"/>
      <c r="J64" s="15"/>
      <c r="K64" s="15"/>
      <c r="L64" s="15"/>
      <c r="M64" s="15"/>
      <c r="N64" s="15"/>
      <c r="O64" s="103"/>
      <c r="P64" s="15"/>
      <c r="Q64" s="15"/>
      <c r="R64" s="15"/>
      <c r="S64" s="15"/>
      <c r="T64" s="15"/>
      <c r="U64" s="15"/>
      <c r="V64" s="103"/>
      <c r="W64" s="15"/>
      <c r="X64" s="15"/>
      <c r="Y64" s="15"/>
      <c r="Z64" s="15"/>
      <c r="AA64" s="15"/>
      <c r="AB64" s="15"/>
      <c r="AC64" s="103"/>
      <c r="AD64" s="15"/>
      <c r="AE64" s="15"/>
      <c r="AF64" s="15"/>
      <c r="AG64" s="15"/>
      <c r="AH64" s="15"/>
      <c r="AI64" s="15"/>
      <c r="AJ64" s="103"/>
      <c r="AK64" s="15"/>
      <c r="AL64" s="15"/>
      <c r="AM64" s="15"/>
      <c r="AN64" s="15"/>
      <c r="AO64" s="15"/>
      <c r="AP64" s="15"/>
      <c r="AQ64" s="15"/>
    </row>
    <row r="65">
      <c r="A65" s="15"/>
      <c r="B65" s="15"/>
      <c r="C65" s="15"/>
      <c r="D65" s="15"/>
      <c r="E65" s="15"/>
      <c r="F65" s="15"/>
      <c r="G65" s="15"/>
      <c r="H65" s="103"/>
      <c r="I65" s="15"/>
      <c r="J65" s="15"/>
      <c r="K65" s="15"/>
      <c r="L65" s="15"/>
      <c r="M65" s="15"/>
      <c r="N65" s="15"/>
      <c r="O65" s="103"/>
      <c r="P65" s="15"/>
      <c r="Q65" s="15"/>
      <c r="R65" s="15"/>
      <c r="S65" s="15"/>
      <c r="T65" s="15"/>
      <c r="U65" s="15"/>
      <c r="V65" s="103"/>
      <c r="W65" s="15"/>
      <c r="X65" s="15"/>
      <c r="Y65" s="15"/>
      <c r="Z65" s="15"/>
      <c r="AA65" s="15"/>
      <c r="AB65" s="15"/>
      <c r="AC65" s="103"/>
      <c r="AD65" s="15"/>
      <c r="AE65" s="15"/>
      <c r="AF65" s="15"/>
      <c r="AG65" s="15"/>
      <c r="AH65" s="15"/>
      <c r="AI65" s="15"/>
      <c r="AJ65" s="103"/>
      <c r="AK65" s="15"/>
      <c r="AL65" s="15"/>
      <c r="AM65" s="15"/>
      <c r="AN65" s="15"/>
      <c r="AO65" s="15"/>
      <c r="AP65" s="15"/>
      <c r="AQ65" s="15"/>
    </row>
    <row r="66">
      <c r="A66" s="15"/>
      <c r="B66" s="15"/>
      <c r="C66" s="15"/>
      <c r="D66" s="15"/>
      <c r="E66" s="15"/>
      <c r="F66" s="15"/>
      <c r="G66" s="15"/>
      <c r="H66" s="103"/>
      <c r="I66" s="15"/>
      <c r="J66" s="15"/>
      <c r="K66" s="15"/>
      <c r="L66" s="15"/>
      <c r="M66" s="15"/>
      <c r="N66" s="15"/>
      <c r="O66" s="103"/>
      <c r="P66" s="15"/>
      <c r="Q66" s="15"/>
      <c r="R66" s="15"/>
      <c r="S66" s="15"/>
      <c r="T66" s="15"/>
      <c r="U66" s="15"/>
      <c r="V66" s="103"/>
      <c r="W66" s="15"/>
      <c r="X66" s="15"/>
      <c r="Y66" s="15"/>
      <c r="Z66" s="15"/>
      <c r="AA66" s="15"/>
      <c r="AB66" s="15"/>
      <c r="AC66" s="103"/>
      <c r="AD66" s="15"/>
      <c r="AE66" s="15"/>
      <c r="AF66" s="15"/>
      <c r="AG66" s="15"/>
      <c r="AH66" s="15"/>
      <c r="AI66" s="15"/>
      <c r="AJ66" s="103"/>
      <c r="AK66" s="15"/>
      <c r="AL66" s="15"/>
      <c r="AM66" s="15"/>
      <c r="AN66" s="15"/>
      <c r="AO66" s="15"/>
      <c r="AP66" s="15"/>
      <c r="AQ66" s="15"/>
    </row>
    <row r="67">
      <c r="A67" s="15"/>
      <c r="B67" s="15"/>
      <c r="C67" s="15"/>
      <c r="D67" s="15"/>
      <c r="E67" s="15"/>
      <c r="F67" s="15"/>
      <c r="G67" s="15"/>
      <c r="H67" s="103"/>
      <c r="I67" s="15"/>
      <c r="J67" s="15"/>
      <c r="K67" s="15"/>
      <c r="L67" s="15"/>
      <c r="M67" s="15"/>
      <c r="N67" s="15"/>
      <c r="O67" s="103"/>
      <c r="P67" s="15"/>
      <c r="Q67" s="15"/>
      <c r="R67" s="15"/>
      <c r="S67" s="15"/>
      <c r="T67" s="15"/>
      <c r="U67" s="15"/>
      <c r="V67" s="103"/>
      <c r="W67" s="15"/>
      <c r="X67" s="15"/>
      <c r="Y67" s="15"/>
      <c r="Z67" s="15"/>
      <c r="AA67" s="15"/>
      <c r="AB67" s="15"/>
      <c r="AC67" s="103"/>
      <c r="AD67" s="15"/>
      <c r="AE67" s="15"/>
      <c r="AF67" s="15"/>
      <c r="AG67" s="15"/>
      <c r="AH67" s="15"/>
      <c r="AI67" s="15"/>
      <c r="AJ67" s="103"/>
      <c r="AK67" s="15"/>
      <c r="AL67" s="15"/>
      <c r="AM67" s="15"/>
      <c r="AN67" s="15"/>
      <c r="AO67" s="15"/>
      <c r="AP67" s="15"/>
      <c r="AQ67" s="15"/>
    </row>
    <row r="68">
      <c r="A68" s="15"/>
      <c r="B68" s="15"/>
      <c r="C68" s="15"/>
      <c r="D68" s="15"/>
      <c r="E68" s="15"/>
      <c r="F68" s="15"/>
      <c r="G68" s="15"/>
      <c r="H68" s="103"/>
      <c r="I68" s="15"/>
      <c r="J68" s="15"/>
      <c r="K68" s="15"/>
      <c r="L68" s="15"/>
      <c r="M68" s="15"/>
      <c r="N68" s="15"/>
      <c r="O68" s="103"/>
      <c r="P68" s="15"/>
      <c r="Q68" s="15"/>
      <c r="R68" s="15"/>
      <c r="S68" s="15"/>
      <c r="T68" s="15"/>
      <c r="U68" s="15"/>
      <c r="V68" s="103"/>
      <c r="W68" s="15"/>
      <c r="X68" s="15"/>
      <c r="Y68" s="15"/>
      <c r="Z68" s="15"/>
      <c r="AA68" s="15"/>
      <c r="AB68" s="15"/>
      <c r="AC68" s="103"/>
      <c r="AD68" s="15"/>
      <c r="AE68" s="15"/>
      <c r="AF68" s="15"/>
      <c r="AG68" s="15"/>
      <c r="AH68" s="15"/>
      <c r="AI68" s="15"/>
      <c r="AJ68" s="103"/>
      <c r="AK68" s="15"/>
      <c r="AL68" s="15"/>
      <c r="AM68" s="15"/>
      <c r="AN68" s="15"/>
      <c r="AO68" s="15"/>
      <c r="AP68" s="15"/>
      <c r="AQ68" s="15"/>
    </row>
    <row r="69">
      <c r="A69" s="15"/>
      <c r="B69" s="15"/>
      <c r="C69" s="15"/>
      <c r="D69" s="15"/>
      <c r="E69" s="15"/>
      <c r="F69" s="15"/>
      <c r="G69" s="15"/>
      <c r="H69" s="103"/>
      <c r="I69" s="15"/>
      <c r="J69" s="15"/>
      <c r="K69" s="15"/>
      <c r="L69" s="15"/>
      <c r="M69" s="15"/>
      <c r="N69" s="15"/>
      <c r="O69" s="103"/>
      <c r="P69" s="15"/>
      <c r="Q69" s="15"/>
      <c r="R69" s="15"/>
      <c r="S69" s="15"/>
      <c r="T69" s="15"/>
      <c r="U69" s="15"/>
      <c r="V69" s="103"/>
      <c r="W69" s="15"/>
      <c r="X69" s="15"/>
      <c r="Y69" s="15"/>
      <c r="Z69" s="15"/>
      <c r="AA69" s="15"/>
      <c r="AB69" s="15"/>
      <c r="AC69" s="103"/>
      <c r="AD69" s="15"/>
      <c r="AE69" s="15"/>
      <c r="AF69" s="15"/>
      <c r="AG69" s="15"/>
      <c r="AH69" s="15"/>
      <c r="AI69" s="15"/>
      <c r="AJ69" s="103"/>
      <c r="AK69" s="15"/>
      <c r="AL69" s="15"/>
      <c r="AM69" s="15"/>
      <c r="AN69" s="15"/>
      <c r="AO69" s="15"/>
      <c r="AP69" s="15"/>
      <c r="AQ69" s="15"/>
    </row>
    <row r="70">
      <c r="A70" s="15"/>
      <c r="B70" s="15"/>
      <c r="C70" s="15"/>
      <c r="D70" s="15"/>
      <c r="E70" s="15"/>
      <c r="F70" s="15"/>
      <c r="G70" s="15"/>
      <c r="H70" s="103"/>
      <c r="I70" s="15"/>
      <c r="J70" s="15"/>
      <c r="K70" s="15"/>
      <c r="L70" s="15"/>
      <c r="M70" s="15"/>
      <c r="N70" s="15"/>
      <c r="O70" s="103"/>
      <c r="P70" s="15"/>
      <c r="Q70" s="15"/>
      <c r="R70" s="15"/>
      <c r="S70" s="15"/>
      <c r="T70" s="15"/>
      <c r="U70" s="15"/>
      <c r="V70" s="103"/>
      <c r="W70" s="15"/>
      <c r="X70" s="15"/>
      <c r="Y70" s="15"/>
      <c r="Z70" s="15"/>
      <c r="AA70" s="15"/>
      <c r="AB70" s="15"/>
      <c r="AC70" s="103"/>
      <c r="AD70" s="15"/>
      <c r="AE70" s="15"/>
      <c r="AF70" s="15"/>
      <c r="AG70" s="15"/>
      <c r="AH70" s="15"/>
      <c r="AI70" s="15"/>
      <c r="AJ70" s="103"/>
      <c r="AK70" s="15"/>
      <c r="AL70" s="15"/>
      <c r="AM70" s="15"/>
      <c r="AN70" s="15"/>
      <c r="AO70" s="15"/>
      <c r="AP70" s="15"/>
      <c r="AQ70" s="15"/>
    </row>
    <row r="71">
      <c r="A71" s="15"/>
      <c r="B71" s="15"/>
      <c r="C71" s="15"/>
      <c r="D71" s="15"/>
      <c r="E71" s="15"/>
      <c r="F71" s="15"/>
      <c r="G71" s="15"/>
      <c r="H71" s="103"/>
      <c r="I71" s="15"/>
      <c r="J71" s="15"/>
      <c r="K71" s="15"/>
      <c r="L71" s="15"/>
      <c r="M71" s="15"/>
      <c r="N71" s="15"/>
      <c r="O71" s="103"/>
      <c r="P71" s="15"/>
      <c r="Q71" s="15"/>
      <c r="R71" s="15"/>
      <c r="S71" s="15"/>
      <c r="T71" s="15"/>
      <c r="U71" s="15"/>
      <c r="V71" s="103"/>
      <c r="W71" s="15"/>
      <c r="X71" s="15"/>
      <c r="Y71" s="15"/>
      <c r="Z71" s="15"/>
      <c r="AA71" s="15"/>
      <c r="AB71" s="15"/>
      <c r="AC71" s="103"/>
      <c r="AD71" s="15"/>
      <c r="AE71" s="15"/>
      <c r="AF71" s="15"/>
      <c r="AG71" s="15"/>
      <c r="AH71" s="15"/>
      <c r="AI71" s="15"/>
      <c r="AJ71" s="103"/>
      <c r="AK71" s="15"/>
      <c r="AL71" s="15"/>
      <c r="AM71" s="15"/>
      <c r="AN71" s="15"/>
      <c r="AO71" s="15"/>
      <c r="AP71" s="15"/>
      <c r="AQ71" s="15"/>
    </row>
    <row r="72">
      <c r="A72" s="15"/>
      <c r="B72" s="15"/>
      <c r="C72" s="15"/>
      <c r="D72" s="15"/>
      <c r="E72" s="15"/>
      <c r="F72" s="15"/>
      <c r="G72" s="15"/>
      <c r="H72" s="103"/>
      <c r="I72" s="15"/>
      <c r="J72" s="15"/>
      <c r="K72" s="15"/>
      <c r="L72" s="15"/>
      <c r="M72" s="15"/>
      <c r="N72" s="15"/>
      <c r="O72" s="103"/>
      <c r="P72" s="15"/>
      <c r="Q72" s="15"/>
      <c r="R72" s="15"/>
      <c r="S72" s="15"/>
      <c r="T72" s="15"/>
      <c r="U72" s="15"/>
      <c r="V72" s="103"/>
      <c r="W72" s="15"/>
      <c r="X72" s="15"/>
      <c r="Y72" s="15"/>
      <c r="Z72" s="15"/>
      <c r="AA72" s="15"/>
      <c r="AB72" s="15"/>
      <c r="AC72" s="103"/>
      <c r="AD72" s="15"/>
      <c r="AE72" s="15"/>
      <c r="AF72" s="15"/>
      <c r="AG72" s="15"/>
      <c r="AH72" s="15"/>
      <c r="AI72" s="15"/>
      <c r="AJ72" s="103"/>
      <c r="AK72" s="15"/>
      <c r="AL72" s="15"/>
      <c r="AM72" s="15"/>
      <c r="AN72" s="15"/>
      <c r="AO72" s="15"/>
      <c r="AP72" s="15"/>
      <c r="AQ72" s="15"/>
    </row>
    <row r="73">
      <c r="A73" s="15"/>
      <c r="B73" s="15"/>
      <c r="C73" s="15"/>
      <c r="D73" s="15"/>
      <c r="E73" s="15"/>
      <c r="F73" s="15"/>
      <c r="G73" s="15"/>
      <c r="H73" s="103"/>
      <c r="I73" s="15"/>
      <c r="J73" s="15"/>
      <c r="K73" s="15"/>
      <c r="L73" s="15"/>
      <c r="M73" s="15"/>
      <c r="N73" s="15"/>
      <c r="O73" s="103"/>
      <c r="P73" s="15"/>
      <c r="Q73" s="15"/>
      <c r="R73" s="15"/>
      <c r="S73" s="15"/>
      <c r="T73" s="15"/>
      <c r="U73" s="15"/>
      <c r="V73" s="103"/>
      <c r="W73" s="15"/>
      <c r="X73" s="15"/>
      <c r="Y73" s="15"/>
      <c r="Z73" s="15"/>
      <c r="AA73" s="15"/>
      <c r="AB73" s="15"/>
      <c r="AC73" s="103"/>
      <c r="AD73" s="15"/>
      <c r="AE73" s="15"/>
      <c r="AF73" s="15"/>
      <c r="AG73" s="15"/>
      <c r="AH73" s="15"/>
      <c r="AI73" s="15"/>
      <c r="AJ73" s="103"/>
      <c r="AK73" s="15"/>
      <c r="AL73" s="15"/>
      <c r="AM73" s="15"/>
      <c r="AN73" s="15"/>
      <c r="AO73" s="15"/>
      <c r="AP73" s="15"/>
      <c r="AQ73" s="15"/>
    </row>
    <row r="74">
      <c r="A74" s="15"/>
      <c r="B74" s="15"/>
      <c r="C74" s="15"/>
      <c r="D74" s="15"/>
      <c r="E74" s="15"/>
      <c r="F74" s="15"/>
      <c r="G74" s="15"/>
      <c r="H74" s="103"/>
      <c r="I74" s="15"/>
      <c r="J74" s="15"/>
      <c r="K74" s="15"/>
      <c r="L74" s="15"/>
      <c r="M74" s="15"/>
      <c r="N74" s="15"/>
      <c r="O74" s="103"/>
      <c r="P74" s="15"/>
      <c r="Q74" s="15"/>
      <c r="R74" s="15"/>
      <c r="S74" s="15"/>
      <c r="T74" s="15"/>
      <c r="U74" s="15"/>
      <c r="V74" s="103"/>
      <c r="W74" s="15"/>
      <c r="X74" s="15"/>
      <c r="Y74" s="15"/>
      <c r="Z74" s="15"/>
      <c r="AA74" s="15"/>
      <c r="AB74" s="15"/>
      <c r="AC74" s="103"/>
      <c r="AD74" s="15"/>
      <c r="AE74" s="15"/>
      <c r="AF74" s="15"/>
      <c r="AG74" s="15"/>
      <c r="AH74" s="15"/>
      <c r="AI74" s="15"/>
      <c r="AJ74" s="103"/>
      <c r="AK74" s="15"/>
      <c r="AL74" s="15"/>
      <c r="AM74" s="15"/>
      <c r="AN74" s="15"/>
      <c r="AO74" s="15"/>
      <c r="AP74" s="15"/>
      <c r="AQ74" s="15"/>
    </row>
    <row r="75">
      <c r="A75" s="15"/>
      <c r="B75" s="15"/>
      <c r="C75" s="15"/>
      <c r="D75" s="15"/>
      <c r="E75" s="15"/>
      <c r="F75" s="15"/>
      <c r="G75" s="15"/>
      <c r="H75" s="103"/>
      <c r="I75" s="15"/>
      <c r="J75" s="15"/>
      <c r="K75" s="15"/>
      <c r="L75" s="15"/>
      <c r="M75" s="15"/>
      <c r="N75" s="15"/>
      <c r="O75" s="103"/>
      <c r="P75" s="15"/>
      <c r="Q75" s="15"/>
      <c r="R75" s="15"/>
      <c r="S75" s="15"/>
      <c r="T75" s="15"/>
      <c r="U75" s="15"/>
      <c r="V75" s="103"/>
      <c r="W75" s="15"/>
      <c r="X75" s="15"/>
      <c r="Y75" s="15"/>
      <c r="Z75" s="15"/>
      <c r="AA75" s="15"/>
      <c r="AB75" s="15"/>
      <c r="AC75" s="103"/>
      <c r="AD75" s="15"/>
      <c r="AE75" s="15"/>
      <c r="AF75" s="15"/>
      <c r="AG75" s="15"/>
      <c r="AH75" s="15"/>
      <c r="AI75" s="15"/>
      <c r="AJ75" s="103"/>
      <c r="AK75" s="15"/>
      <c r="AL75" s="15"/>
      <c r="AM75" s="15"/>
      <c r="AN75" s="15"/>
      <c r="AO75" s="15"/>
      <c r="AP75" s="15"/>
      <c r="AQ75" s="15"/>
    </row>
    <row r="76">
      <c r="A76" s="15"/>
      <c r="B76" s="15"/>
      <c r="C76" s="15"/>
      <c r="D76" s="15"/>
      <c r="E76" s="15"/>
      <c r="F76" s="15"/>
      <c r="G76" s="15"/>
      <c r="H76" s="103"/>
      <c r="I76" s="15"/>
      <c r="J76" s="15"/>
      <c r="K76" s="15"/>
      <c r="L76" s="15"/>
      <c r="M76" s="15"/>
      <c r="N76" s="15"/>
      <c r="O76" s="103"/>
      <c r="P76" s="15"/>
      <c r="Q76" s="15"/>
      <c r="R76" s="15"/>
      <c r="S76" s="15"/>
      <c r="T76" s="15"/>
      <c r="U76" s="15"/>
      <c r="V76" s="103"/>
      <c r="W76" s="15"/>
      <c r="X76" s="15"/>
      <c r="Y76" s="15"/>
      <c r="Z76" s="15"/>
      <c r="AA76" s="15"/>
      <c r="AB76" s="15"/>
      <c r="AC76" s="103"/>
      <c r="AD76" s="15"/>
      <c r="AE76" s="15"/>
      <c r="AF76" s="15"/>
      <c r="AG76" s="15"/>
      <c r="AH76" s="15"/>
      <c r="AI76" s="15"/>
      <c r="AJ76" s="103"/>
      <c r="AK76" s="15"/>
      <c r="AL76" s="15"/>
      <c r="AM76" s="15"/>
      <c r="AN76" s="15"/>
      <c r="AO76" s="15"/>
      <c r="AP76" s="15"/>
      <c r="AQ76" s="15"/>
    </row>
    <row r="77">
      <c r="A77" s="15"/>
      <c r="B77" s="15"/>
      <c r="C77" s="15"/>
      <c r="D77" s="15"/>
      <c r="E77" s="15"/>
      <c r="F77" s="15"/>
      <c r="G77" s="15"/>
      <c r="H77" s="103"/>
      <c r="I77" s="15"/>
      <c r="J77" s="15"/>
      <c r="K77" s="15"/>
      <c r="L77" s="15"/>
      <c r="M77" s="15"/>
      <c r="N77" s="15"/>
      <c r="O77" s="103"/>
      <c r="P77" s="15"/>
      <c r="Q77" s="15"/>
      <c r="R77" s="15"/>
      <c r="S77" s="15"/>
      <c r="T77" s="15"/>
      <c r="U77" s="15"/>
      <c r="V77" s="103"/>
      <c r="W77" s="15"/>
      <c r="X77" s="15"/>
      <c r="Y77" s="15"/>
      <c r="Z77" s="15"/>
      <c r="AA77" s="15"/>
      <c r="AB77" s="15"/>
      <c r="AC77" s="103"/>
      <c r="AD77" s="15"/>
      <c r="AE77" s="15"/>
      <c r="AF77" s="15"/>
      <c r="AG77" s="15"/>
      <c r="AH77" s="15"/>
      <c r="AI77" s="15"/>
      <c r="AJ77" s="103"/>
      <c r="AK77" s="15"/>
      <c r="AL77" s="15"/>
      <c r="AM77" s="15"/>
      <c r="AN77" s="15"/>
      <c r="AO77" s="15"/>
      <c r="AP77" s="15"/>
      <c r="AQ77" s="15"/>
    </row>
    <row r="78">
      <c r="A78" s="15"/>
      <c r="B78" s="15"/>
      <c r="C78" s="15"/>
      <c r="D78" s="15"/>
      <c r="E78" s="15"/>
      <c r="F78" s="15"/>
      <c r="G78" s="15"/>
      <c r="H78" s="103"/>
      <c r="I78" s="15"/>
      <c r="J78" s="15"/>
      <c r="K78" s="15"/>
      <c r="L78" s="15"/>
      <c r="M78" s="15"/>
      <c r="N78" s="15"/>
      <c r="O78" s="103"/>
      <c r="P78" s="15"/>
      <c r="Q78" s="15"/>
      <c r="R78" s="15"/>
      <c r="S78" s="15"/>
      <c r="T78" s="15"/>
      <c r="U78" s="15"/>
      <c r="V78" s="103"/>
      <c r="W78" s="15"/>
      <c r="X78" s="15"/>
      <c r="Y78" s="15"/>
      <c r="Z78" s="15"/>
      <c r="AA78" s="15"/>
      <c r="AB78" s="15"/>
      <c r="AC78" s="103"/>
      <c r="AD78" s="15"/>
      <c r="AE78" s="15"/>
      <c r="AF78" s="15"/>
      <c r="AG78" s="15"/>
      <c r="AH78" s="15"/>
      <c r="AI78" s="15"/>
      <c r="AJ78" s="103"/>
      <c r="AK78" s="15"/>
      <c r="AL78" s="15"/>
      <c r="AM78" s="15"/>
      <c r="AN78" s="15"/>
      <c r="AO78" s="15"/>
      <c r="AP78" s="15"/>
      <c r="AQ78" s="15"/>
    </row>
    <row r="79">
      <c r="A79" s="15"/>
      <c r="B79" s="15"/>
      <c r="C79" s="15"/>
      <c r="D79" s="15"/>
      <c r="E79" s="15"/>
      <c r="F79" s="15"/>
      <c r="G79" s="15"/>
      <c r="H79" s="103"/>
      <c r="I79" s="15"/>
      <c r="J79" s="15"/>
      <c r="K79" s="15"/>
      <c r="L79" s="15"/>
      <c r="M79" s="15"/>
      <c r="N79" s="15"/>
      <c r="O79" s="103"/>
      <c r="P79" s="15"/>
      <c r="Q79" s="15"/>
      <c r="R79" s="15"/>
      <c r="S79" s="15"/>
      <c r="T79" s="15"/>
      <c r="U79" s="15"/>
      <c r="V79" s="103"/>
      <c r="W79" s="15"/>
      <c r="X79" s="15"/>
      <c r="Y79" s="15"/>
      <c r="Z79" s="15"/>
      <c r="AA79" s="15"/>
      <c r="AB79" s="15"/>
      <c r="AC79" s="103"/>
      <c r="AD79" s="15"/>
      <c r="AE79" s="15"/>
      <c r="AF79" s="15"/>
      <c r="AG79" s="15"/>
      <c r="AH79" s="15"/>
      <c r="AI79" s="15"/>
      <c r="AJ79" s="103"/>
      <c r="AK79" s="15"/>
      <c r="AL79" s="15"/>
      <c r="AM79" s="15"/>
      <c r="AN79" s="15"/>
      <c r="AO79" s="15"/>
      <c r="AP79" s="15"/>
      <c r="AQ79" s="15"/>
    </row>
    <row r="80">
      <c r="A80" s="15"/>
      <c r="B80" s="15"/>
      <c r="C80" s="15"/>
      <c r="D80" s="15"/>
      <c r="E80" s="15"/>
      <c r="F80" s="15"/>
      <c r="G80" s="15"/>
      <c r="H80" s="103"/>
      <c r="I80" s="15"/>
      <c r="J80" s="15"/>
      <c r="K80" s="15"/>
      <c r="L80" s="15"/>
      <c r="M80" s="15"/>
      <c r="N80" s="15"/>
      <c r="O80" s="103"/>
      <c r="P80" s="15"/>
      <c r="Q80" s="15"/>
      <c r="R80" s="15"/>
      <c r="S80" s="15"/>
      <c r="T80" s="15"/>
      <c r="U80" s="15"/>
      <c r="V80" s="103"/>
      <c r="W80" s="15"/>
      <c r="X80" s="15"/>
      <c r="Y80" s="15"/>
      <c r="Z80" s="15"/>
      <c r="AA80" s="15"/>
      <c r="AB80" s="15"/>
      <c r="AC80" s="103"/>
      <c r="AD80" s="15"/>
      <c r="AE80" s="15"/>
      <c r="AF80" s="15"/>
      <c r="AG80" s="15"/>
      <c r="AH80" s="15"/>
      <c r="AI80" s="15"/>
      <c r="AJ80" s="103"/>
      <c r="AK80" s="15"/>
      <c r="AL80" s="15"/>
      <c r="AM80" s="15"/>
      <c r="AN80" s="15"/>
      <c r="AO80" s="15"/>
      <c r="AP80" s="15"/>
      <c r="AQ80" s="15"/>
    </row>
    <row r="81">
      <c r="A81" s="15"/>
      <c r="B81" s="15"/>
      <c r="C81" s="15"/>
      <c r="D81" s="15"/>
      <c r="E81" s="15"/>
      <c r="F81" s="15"/>
      <c r="G81" s="15"/>
      <c r="H81" s="103"/>
      <c r="I81" s="15"/>
      <c r="J81" s="15"/>
      <c r="K81" s="15"/>
      <c r="L81" s="15"/>
      <c r="M81" s="15"/>
      <c r="N81" s="15"/>
      <c r="O81" s="103"/>
      <c r="P81" s="15"/>
      <c r="Q81" s="15"/>
      <c r="R81" s="15"/>
      <c r="S81" s="15"/>
      <c r="T81" s="15"/>
      <c r="U81" s="15"/>
      <c r="V81" s="103"/>
      <c r="W81" s="15"/>
      <c r="X81" s="15"/>
      <c r="Y81" s="15"/>
      <c r="Z81" s="15"/>
      <c r="AA81" s="15"/>
      <c r="AB81" s="15"/>
      <c r="AC81" s="103"/>
      <c r="AD81" s="15"/>
      <c r="AE81" s="15"/>
      <c r="AF81" s="15"/>
      <c r="AG81" s="15"/>
      <c r="AH81" s="15"/>
      <c r="AI81" s="15"/>
      <c r="AJ81" s="103"/>
      <c r="AK81" s="15"/>
      <c r="AL81" s="15"/>
      <c r="AM81" s="15"/>
      <c r="AN81" s="15"/>
      <c r="AO81" s="15"/>
      <c r="AP81" s="15"/>
      <c r="AQ81" s="15"/>
    </row>
    <row r="82">
      <c r="A82" s="15"/>
      <c r="B82" s="15"/>
      <c r="C82" s="15"/>
      <c r="D82" s="15"/>
      <c r="E82" s="15"/>
      <c r="F82" s="15"/>
      <c r="G82" s="15"/>
      <c r="H82" s="103"/>
      <c r="I82" s="15"/>
      <c r="J82" s="15"/>
      <c r="K82" s="15"/>
      <c r="L82" s="15"/>
      <c r="M82" s="15"/>
      <c r="N82" s="15"/>
      <c r="O82" s="103"/>
      <c r="P82" s="15"/>
      <c r="Q82" s="15"/>
      <c r="R82" s="15"/>
      <c r="S82" s="15"/>
      <c r="T82" s="15"/>
      <c r="U82" s="15"/>
      <c r="V82" s="103"/>
      <c r="W82" s="15"/>
      <c r="X82" s="15"/>
      <c r="Y82" s="15"/>
      <c r="Z82" s="15"/>
      <c r="AA82" s="15"/>
      <c r="AB82" s="15"/>
      <c r="AC82" s="103"/>
      <c r="AD82" s="15"/>
      <c r="AE82" s="15"/>
      <c r="AF82" s="15"/>
      <c r="AG82" s="15"/>
      <c r="AH82" s="15"/>
      <c r="AI82" s="15"/>
      <c r="AJ82" s="103"/>
      <c r="AK82" s="15"/>
      <c r="AL82" s="15"/>
      <c r="AM82" s="15"/>
      <c r="AN82" s="15"/>
      <c r="AO82" s="15"/>
      <c r="AP82" s="15"/>
      <c r="AQ82" s="15"/>
    </row>
    <row r="83">
      <c r="A83" s="15"/>
      <c r="B83" s="15"/>
      <c r="C83" s="15"/>
      <c r="D83" s="15"/>
      <c r="E83" s="15"/>
      <c r="F83" s="15"/>
      <c r="G83" s="15"/>
      <c r="H83" s="103"/>
      <c r="I83" s="15"/>
      <c r="J83" s="15"/>
      <c r="K83" s="15"/>
      <c r="L83" s="15"/>
      <c r="M83" s="15"/>
      <c r="N83" s="15"/>
      <c r="O83" s="103"/>
      <c r="P83" s="15"/>
      <c r="Q83" s="15"/>
      <c r="R83" s="15"/>
      <c r="S83" s="15"/>
      <c r="T83" s="15"/>
      <c r="U83" s="15"/>
      <c r="V83" s="103"/>
      <c r="W83" s="15"/>
      <c r="X83" s="15"/>
      <c r="Y83" s="15"/>
      <c r="Z83" s="15"/>
      <c r="AA83" s="15"/>
      <c r="AB83" s="15"/>
      <c r="AC83" s="103"/>
      <c r="AD83" s="15"/>
      <c r="AE83" s="15"/>
      <c r="AF83" s="15"/>
      <c r="AG83" s="15"/>
      <c r="AH83" s="15"/>
      <c r="AI83" s="15"/>
      <c r="AJ83" s="103"/>
      <c r="AK83" s="15"/>
      <c r="AL83" s="15"/>
      <c r="AM83" s="15"/>
      <c r="AN83" s="15"/>
      <c r="AO83" s="15"/>
      <c r="AP83" s="15"/>
      <c r="AQ83" s="15"/>
    </row>
    <row r="84">
      <c r="A84" s="15"/>
      <c r="B84" s="15"/>
      <c r="C84" s="15"/>
      <c r="D84" s="15"/>
      <c r="E84" s="15"/>
      <c r="F84" s="15"/>
      <c r="G84" s="15"/>
      <c r="H84" s="103"/>
      <c r="I84" s="15"/>
      <c r="J84" s="15"/>
      <c r="K84" s="15"/>
      <c r="L84" s="15"/>
      <c r="M84" s="15"/>
      <c r="N84" s="15"/>
      <c r="O84" s="103"/>
      <c r="P84" s="15"/>
      <c r="Q84" s="15"/>
      <c r="R84" s="15"/>
      <c r="S84" s="15"/>
      <c r="T84" s="15"/>
      <c r="U84" s="15"/>
      <c r="V84" s="103"/>
      <c r="W84" s="15"/>
      <c r="X84" s="15"/>
      <c r="Y84" s="15"/>
      <c r="Z84" s="15"/>
      <c r="AA84" s="15"/>
      <c r="AB84" s="15"/>
      <c r="AC84" s="103"/>
      <c r="AD84" s="15"/>
      <c r="AE84" s="15"/>
      <c r="AF84" s="15"/>
      <c r="AG84" s="15"/>
      <c r="AH84" s="15"/>
      <c r="AI84" s="15"/>
      <c r="AJ84" s="103"/>
      <c r="AK84" s="15"/>
      <c r="AL84" s="15"/>
      <c r="AM84" s="15"/>
      <c r="AN84" s="15"/>
      <c r="AO84" s="15"/>
      <c r="AP84" s="15"/>
      <c r="AQ84" s="15"/>
    </row>
    <row r="85">
      <c r="A85" s="15"/>
      <c r="B85" s="15"/>
      <c r="C85" s="15"/>
      <c r="D85" s="15"/>
      <c r="E85" s="15"/>
      <c r="F85" s="15"/>
      <c r="G85" s="15"/>
      <c r="H85" s="103"/>
      <c r="I85" s="15"/>
      <c r="J85" s="15"/>
      <c r="K85" s="15"/>
      <c r="L85" s="15"/>
      <c r="M85" s="15"/>
      <c r="N85" s="15"/>
      <c r="O85" s="103"/>
      <c r="P85" s="15"/>
      <c r="Q85" s="15"/>
      <c r="R85" s="15"/>
      <c r="S85" s="15"/>
      <c r="T85" s="15"/>
      <c r="U85" s="15"/>
      <c r="V85" s="103"/>
      <c r="W85" s="15"/>
      <c r="X85" s="15"/>
      <c r="Y85" s="15"/>
      <c r="Z85" s="15"/>
      <c r="AA85" s="15"/>
      <c r="AB85" s="15"/>
      <c r="AC85" s="103"/>
      <c r="AD85" s="15"/>
      <c r="AE85" s="15"/>
      <c r="AF85" s="15"/>
      <c r="AG85" s="15"/>
      <c r="AH85" s="15"/>
      <c r="AI85" s="15"/>
      <c r="AJ85" s="103"/>
      <c r="AK85" s="15"/>
      <c r="AL85" s="15"/>
      <c r="AM85" s="15"/>
      <c r="AN85" s="15"/>
      <c r="AO85" s="15"/>
      <c r="AP85" s="15"/>
      <c r="AQ85" s="15"/>
    </row>
    <row r="86">
      <c r="A86" s="15"/>
      <c r="B86" s="15"/>
      <c r="C86" s="15"/>
      <c r="D86" s="15"/>
      <c r="E86" s="15"/>
      <c r="F86" s="15"/>
      <c r="G86" s="15"/>
      <c r="H86" s="103"/>
      <c r="I86" s="15"/>
      <c r="J86" s="15"/>
      <c r="K86" s="15"/>
      <c r="L86" s="15"/>
      <c r="M86" s="15"/>
      <c r="N86" s="15"/>
      <c r="O86" s="103"/>
      <c r="P86" s="15"/>
      <c r="Q86" s="15"/>
      <c r="R86" s="15"/>
      <c r="S86" s="15"/>
      <c r="T86" s="15"/>
      <c r="U86" s="15"/>
      <c r="V86" s="103"/>
      <c r="W86" s="15"/>
      <c r="X86" s="15"/>
      <c r="Y86" s="15"/>
      <c r="Z86" s="15"/>
      <c r="AA86" s="15"/>
      <c r="AB86" s="15"/>
      <c r="AC86" s="103"/>
      <c r="AD86" s="15"/>
      <c r="AE86" s="15"/>
      <c r="AF86" s="15"/>
      <c r="AG86" s="15"/>
      <c r="AH86" s="15"/>
      <c r="AI86" s="15"/>
      <c r="AJ86" s="103"/>
      <c r="AK86" s="15"/>
      <c r="AL86" s="15"/>
      <c r="AM86" s="15"/>
      <c r="AN86" s="15"/>
      <c r="AO86" s="15"/>
      <c r="AP86" s="15"/>
      <c r="AQ86" s="15"/>
    </row>
    <row r="87">
      <c r="A87" s="15"/>
      <c r="B87" s="15"/>
      <c r="C87" s="15"/>
      <c r="D87" s="15"/>
      <c r="E87" s="15"/>
      <c r="F87" s="15"/>
      <c r="G87" s="15"/>
      <c r="H87" s="103"/>
      <c r="I87" s="15"/>
      <c r="J87" s="15"/>
      <c r="K87" s="15"/>
      <c r="L87" s="15"/>
      <c r="M87" s="15"/>
      <c r="N87" s="15"/>
      <c r="O87" s="103"/>
      <c r="P87" s="15"/>
      <c r="Q87" s="15"/>
      <c r="R87" s="15"/>
      <c r="S87" s="15"/>
      <c r="T87" s="15"/>
      <c r="U87" s="15"/>
      <c r="V87" s="103"/>
      <c r="W87" s="15"/>
      <c r="X87" s="15"/>
      <c r="Y87" s="15"/>
      <c r="Z87" s="15"/>
      <c r="AA87" s="15"/>
      <c r="AB87" s="15"/>
      <c r="AC87" s="103"/>
      <c r="AD87" s="15"/>
      <c r="AE87" s="15"/>
      <c r="AF87" s="15"/>
      <c r="AG87" s="15"/>
      <c r="AH87" s="15"/>
      <c r="AI87" s="15"/>
      <c r="AJ87" s="103"/>
      <c r="AK87" s="15"/>
      <c r="AL87" s="15"/>
      <c r="AM87" s="15"/>
      <c r="AN87" s="15"/>
      <c r="AO87" s="15"/>
      <c r="AP87" s="15"/>
      <c r="AQ87" s="15"/>
    </row>
    <row r="88">
      <c r="A88" s="15"/>
      <c r="B88" s="15"/>
      <c r="C88" s="15"/>
      <c r="D88" s="15"/>
      <c r="E88" s="15"/>
      <c r="F88" s="15"/>
      <c r="G88" s="15"/>
      <c r="H88" s="103"/>
      <c r="I88" s="15"/>
      <c r="J88" s="15"/>
      <c r="K88" s="15"/>
      <c r="L88" s="15"/>
      <c r="M88" s="15"/>
      <c r="N88" s="15"/>
      <c r="O88" s="103"/>
      <c r="P88" s="15"/>
      <c r="Q88" s="15"/>
      <c r="R88" s="15"/>
      <c r="S88" s="15"/>
      <c r="T88" s="15"/>
      <c r="U88" s="15"/>
      <c r="V88" s="103"/>
      <c r="W88" s="15"/>
      <c r="X88" s="15"/>
      <c r="Y88" s="15"/>
      <c r="Z88" s="15"/>
      <c r="AA88" s="15"/>
      <c r="AB88" s="15"/>
      <c r="AC88" s="103"/>
      <c r="AD88" s="15"/>
      <c r="AE88" s="15"/>
      <c r="AF88" s="15"/>
      <c r="AG88" s="15"/>
      <c r="AH88" s="15"/>
      <c r="AI88" s="15"/>
      <c r="AJ88" s="103"/>
      <c r="AK88" s="15"/>
      <c r="AL88" s="15"/>
      <c r="AM88" s="15"/>
      <c r="AN88" s="15"/>
      <c r="AO88" s="15"/>
      <c r="AP88" s="15"/>
      <c r="AQ88" s="15"/>
    </row>
    <row r="89">
      <c r="A89" s="15"/>
      <c r="B89" s="15"/>
      <c r="C89" s="15"/>
      <c r="D89" s="15"/>
      <c r="E89" s="15"/>
      <c r="F89" s="15"/>
      <c r="G89" s="15"/>
      <c r="H89" s="103"/>
      <c r="I89" s="15"/>
      <c r="J89" s="15"/>
      <c r="K89" s="15"/>
      <c r="L89" s="15"/>
      <c r="M89" s="15"/>
      <c r="N89" s="15"/>
      <c r="O89" s="103"/>
      <c r="P89" s="15"/>
      <c r="Q89" s="15"/>
      <c r="R89" s="15"/>
      <c r="S89" s="15"/>
      <c r="T89" s="15"/>
      <c r="U89" s="15"/>
      <c r="V89" s="103"/>
      <c r="W89" s="15"/>
      <c r="X89" s="15"/>
      <c r="Y89" s="15"/>
      <c r="Z89" s="15"/>
      <c r="AA89" s="15"/>
      <c r="AB89" s="15"/>
      <c r="AC89" s="103"/>
      <c r="AD89" s="15"/>
      <c r="AE89" s="15"/>
      <c r="AF89" s="15"/>
      <c r="AG89" s="15"/>
      <c r="AH89" s="15"/>
      <c r="AI89" s="15"/>
      <c r="AJ89" s="103"/>
      <c r="AK89" s="15"/>
      <c r="AL89" s="15"/>
      <c r="AM89" s="15"/>
      <c r="AN89" s="15"/>
      <c r="AO89" s="15"/>
      <c r="AP89" s="15"/>
      <c r="AQ89" s="15"/>
    </row>
    <row r="90">
      <c r="A90" s="15"/>
      <c r="B90" s="15"/>
      <c r="C90" s="15"/>
      <c r="D90" s="15"/>
      <c r="E90" s="15"/>
      <c r="F90" s="15"/>
      <c r="G90" s="15"/>
      <c r="H90" s="103"/>
      <c r="I90" s="15"/>
      <c r="J90" s="15"/>
      <c r="K90" s="15"/>
      <c r="L90" s="15"/>
      <c r="M90" s="15"/>
      <c r="N90" s="15"/>
      <c r="O90" s="103"/>
      <c r="P90" s="15"/>
      <c r="Q90" s="15"/>
      <c r="R90" s="15"/>
      <c r="S90" s="15"/>
      <c r="T90" s="15"/>
      <c r="U90" s="15"/>
      <c r="V90" s="103"/>
      <c r="W90" s="15"/>
      <c r="X90" s="15"/>
      <c r="Y90" s="15"/>
      <c r="Z90" s="15"/>
      <c r="AA90" s="15"/>
      <c r="AB90" s="15"/>
      <c r="AC90" s="103"/>
      <c r="AD90" s="15"/>
      <c r="AE90" s="15"/>
      <c r="AF90" s="15"/>
      <c r="AG90" s="15"/>
      <c r="AH90" s="15"/>
      <c r="AI90" s="15"/>
      <c r="AJ90" s="103"/>
      <c r="AK90" s="15"/>
      <c r="AL90" s="15"/>
      <c r="AM90" s="15"/>
      <c r="AN90" s="15"/>
      <c r="AO90" s="15"/>
      <c r="AP90" s="15"/>
      <c r="AQ90" s="15"/>
    </row>
    <row r="91">
      <c r="A91" s="15"/>
      <c r="B91" s="15"/>
      <c r="C91" s="15"/>
      <c r="D91" s="15"/>
      <c r="E91" s="15"/>
      <c r="F91" s="15"/>
      <c r="G91" s="15"/>
      <c r="H91" s="103"/>
      <c r="I91" s="15"/>
      <c r="J91" s="15"/>
      <c r="K91" s="15"/>
      <c r="L91" s="15"/>
      <c r="M91" s="15"/>
      <c r="N91" s="15"/>
      <c r="O91" s="103"/>
      <c r="P91" s="15"/>
      <c r="Q91" s="15"/>
      <c r="R91" s="15"/>
      <c r="S91" s="15"/>
      <c r="T91" s="15"/>
      <c r="U91" s="15"/>
      <c r="V91" s="103"/>
      <c r="W91" s="15"/>
      <c r="X91" s="15"/>
      <c r="Y91" s="15"/>
      <c r="Z91" s="15"/>
      <c r="AA91" s="15"/>
      <c r="AB91" s="15"/>
      <c r="AC91" s="103"/>
      <c r="AD91" s="15"/>
      <c r="AE91" s="15"/>
      <c r="AF91" s="15"/>
      <c r="AG91" s="15"/>
      <c r="AH91" s="15"/>
      <c r="AI91" s="15"/>
      <c r="AJ91" s="103"/>
      <c r="AK91" s="15"/>
      <c r="AL91" s="15"/>
      <c r="AM91" s="15"/>
      <c r="AN91" s="15"/>
      <c r="AO91" s="15"/>
      <c r="AP91" s="15"/>
      <c r="AQ91" s="15"/>
    </row>
    <row r="92">
      <c r="A92" s="15"/>
      <c r="B92" s="15"/>
      <c r="C92" s="15"/>
      <c r="D92" s="15"/>
      <c r="E92" s="15"/>
      <c r="F92" s="15"/>
      <c r="G92" s="15"/>
      <c r="H92" s="103"/>
      <c r="I92" s="15"/>
      <c r="J92" s="15"/>
      <c r="K92" s="15"/>
      <c r="L92" s="15"/>
      <c r="M92" s="15"/>
      <c r="N92" s="15"/>
      <c r="O92" s="103"/>
      <c r="P92" s="15"/>
      <c r="Q92" s="15"/>
      <c r="R92" s="15"/>
      <c r="S92" s="15"/>
      <c r="T92" s="15"/>
      <c r="U92" s="15"/>
      <c r="V92" s="103"/>
      <c r="W92" s="15"/>
      <c r="X92" s="15"/>
      <c r="Y92" s="15"/>
      <c r="Z92" s="15"/>
      <c r="AA92" s="15"/>
      <c r="AB92" s="15"/>
      <c r="AC92" s="103"/>
      <c r="AD92" s="15"/>
      <c r="AE92" s="15"/>
      <c r="AF92" s="15"/>
      <c r="AG92" s="15"/>
      <c r="AH92" s="15"/>
      <c r="AI92" s="15"/>
      <c r="AJ92" s="103"/>
      <c r="AK92" s="15"/>
      <c r="AL92" s="15"/>
      <c r="AM92" s="15"/>
      <c r="AN92" s="15"/>
      <c r="AO92" s="15"/>
      <c r="AP92" s="15"/>
      <c r="AQ92" s="15"/>
    </row>
    <row r="93">
      <c r="A93" s="15"/>
      <c r="B93" s="15"/>
      <c r="C93" s="15"/>
      <c r="D93" s="15"/>
      <c r="E93" s="15"/>
      <c r="F93" s="15"/>
      <c r="G93" s="15"/>
      <c r="H93" s="103"/>
      <c r="I93" s="15"/>
      <c r="J93" s="15"/>
      <c r="K93" s="15"/>
      <c r="L93" s="15"/>
      <c r="M93" s="15"/>
      <c r="N93" s="15"/>
      <c r="O93" s="103"/>
      <c r="P93" s="15"/>
      <c r="Q93" s="15"/>
      <c r="R93" s="15"/>
      <c r="S93" s="15"/>
      <c r="T93" s="15"/>
      <c r="U93" s="15"/>
      <c r="V93" s="103"/>
      <c r="W93" s="15"/>
      <c r="X93" s="15"/>
      <c r="Y93" s="15"/>
      <c r="Z93" s="15"/>
      <c r="AA93" s="15"/>
      <c r="AB93" s="15"/>
      <c r="AC93" s="103"/>
      <c r="AD93" s="15"/>
      <c r="AE93" s="15"/>
      <c r="AF93" s="15"/>
      <c r="AG93" s="15"/>
      <c r="AH93" s="15"/>
      <c r="AI93" s="15"/>
      <c r="AJ93" s="103"/>
      <c r="AK93" s="15"/>
      <c r="AL93" s="15"/>
      <c r="AM93" s="15"/>
      <c r="AN93" s="15"/>
      <c r="AO93" s="15"/>
      <c r="AP93" s="15"/>
      <c r="AQ93" s="15"/>
    </row>
    <row r="94">
      <c r="A94" s="15"/>
      <c r="B94" s="15"/>
      <c r="C94" s="15"/>
      <c r="D94" s="15"/>
      <c r="E94" s="15"/>
      <c r="F94" s="15"/>
      <c r="G94" s="15"/>
      <c r="H94" s="103"/>
      <c r="I94" s="15"/>
      <c r="J94" s="15"/>
      <c r="K94" s="15"/>
      <c r="L94" s="15"/>
      <c r="M94" s="15"/>
      <c r="N94" s="15"/>
      <c r="O94" s="103"/>
      <c r="P94" s="15"/>
      <c r="Q94" s="15"/>
      <c r="R94" s="15"/>
      <c r="S94" s="15"/>
      <c r="T94" s="15"/>
      <c r="U94" s="15"/>
      <c r="V94" s="103"/>
      <c r="W94" s="15"/>
      <c r="X94" s="15"/>
      <c r="Y94" s="15"/>
      <c r="Z94" s="15"/>
      <c r="AA94" s="15"/>
      <c r="AB94" s="15"/>
      <c r="AC94" s="103"/>
      <c r="AD94" s="15"/>
      <c r="AE94" s="15"/>
      <c r="AF94" s="15"/>
      <c r="AG94" s="15"/>
      <c r="AH94" s="15"/>
      <c r="AI94" s="15"/>
      <c r="AJ94" s="103"/>
      <c r="AK94" s="15"/>
      <c r="AL94" s="15"/>
      <c r="AM94" s="15"/>
      <c r="AN94" s="15"/>
      <c r="AO94" s="15"/>
      <c r="AP94" s="15"/>
      <c r="AQ94" s="15"/>
    </row>
    <row r="95">
      <c r="A95" s="15"/>
      <c r="B95" s="15"/>
      <c r="C95" s="15"/>
      <c r="D95" s="15"/>
      <c r="E95" s="15"/>
      <c r="F95" s="15"/>
      <c r="G95" s="15"/>
      <c r="H95" s="103"/>
      <c r="I95" s="15"/>
      <c r="J95" s="15"/>
      <c r="K95" s="15"/>
      <c r="L95" s="15"/>
      <c r="M95" s="15"/>
      <c r="N95" s="15"/>
      <c r="O95" s="103"/>
      <c r="P95" s="15"/>
      <c r="Q95" s="15"/>
      <c r="R95" s="15"/>
      <c r="S95" s="15"/>
      <c r="T95" s="15"/>
      <c r="U95" s="15"/>
      <c r="V95" s="103"/>
      <c r="W95" s="15"/>
      <c r="X95" s="15"/>
      <c r="Y95" s="15"/>
      <c r="Z95" s="15"/>
      <c r="AA95" s="15"/>
      <c r="AB95" s="15"/>
      <c r="AC95" s="103"/>
      <c r="AD95" s="15"/>
      <c r="AE95" s="15"/>
      <c r="AF95" s="15"/>
      <c r="AG95" s="15"/>
      <c r="AH95" s="15"/>
      <c r="AI95" s="15"/>
      <c r="AJ95" s="103"/>
      <c r="AK95" s="15"/>
      <c r="AL95" s="15"/>
      <c r="AM95" s="15"/>
      <c r="AN95" s="15"/>
      <c r="AO95" s="15"/>
      <c r="AP95" s="15"/>
      <c r="AQ95" s="15"/>
    </row>
    <row r="96">
      <c r="A96" s="15"/>
      <c r="B96" s="15"/>
      <c r="C96" s="15"/>
      <c r="D96" s="15"/>
      <c r="E96" s="15"/>
      <c r="F96" s="15"/>
      <c r="G96" s="15"/>
      <c r="H96" s="103"/>
      <c r="I96" s="15"/>
      <c r="J96" s="15"/>
      <c r="K96" s="15"/>
      <c r="L96" s="15"/>
      <c r="M96" s="15"/>
      <c r="N96" s="15"/>
      <c r="O96" s="103"/>
      <c r="P96" s="15"/>
      <c r="Q96" s="15"/>
      <c r="R96" s="15"/>
      <c r="S96" s="15"/>
      <c r="T96" s="15"/>
      <c r="U96" s="15"/>
      <c r="V96" s="103"/>
      <c r="W96" s="15"/>
      <c r="X96" s="15"/>
      <c r="Y96" s="15"/>
      <c r="Z96" s="15"/>
      <c r="AA96" s="15"/>
      <c r="AB96" s="15"/>
      <c r="AC96" s="103"/>
      <c r="AD96" s="15"/>
      <c r="AE96" s="15"/>
      <c r="AF96" s="15"/>
      <c r="AG96" s="15"/>
      <c r="AH96" s="15"/>
      <c r="AI96" s="15"/>
      <c r="AJ96" s="103"/>
      <c r="AK96" s="15"/>
      <c r="AL96" s="15"/>
      <c r="AM96" s="15"/>
      <c r="AN96" s="15"/>
      <c r="AO96" s="15"/>
      <c r="AP96" s="15"/>
      <c r="AQ96" s="15"/>
    </row>
    <row r="97">
      <c r="A97" s="15"/>
      <c r="B97" s="15"/>
      <c r="C97" s="15"/>
      <c r="D97" s="15"/>
      <c r="E97" s="15"/>
      <c r="F97" s="15"/>
      <c r="G97" s="15"/>
      <c r="H97" s="103"/>
      <c r="I97" s="15"/>
      <c r="J97" s="15"/>
      <c r="K97" s="15"/>
      <c r="L97" s="15"/>
      <c r="M97" s="15"/>
      <c r="N97" s="15"/>
      <c r="O97" s="103"/>
      <c r="P97" s="15"/>
      <c r="Q97" s="15"/>
      <c r="R97" s="15"/>
      <c r="S97" s="15"/>
      <c r="T97" s="15"/>
      <c r="U97" s="15"/>
      <c r="V97" s="103"/>
      <c r="W97" s="15"/>
      <c r="X97" s="15"/>
      <c r="Y97" s="15"/>
      <c r="Z97" s="15"/>
      <c r="AA97" s="15"/>
      <c r="AB97" s="15"/>
      <c r="AC97" s="103"/>
      <c r="AD97" s="15"/>
      <c r="AE97" s="15"/>
      <c r="AF97" s="15"/>
      <c r="AG97" s="15"/>
      <c r="AH97" s="15"/>
      <c r="AI97" s="15"/>
      <c r="AJ97" s="103"/>
      <c r="AK97" s="15"/>
      <c r="AL97" s="15"/>
      <c r="AM97" s="15"/>
      <c r="AN97" s="15"/>
      <c r="AO97" s="15"/>
      <c r="AP97" s="15"/>
      <c r="AQ97" s="15"/>
    </row>
    <row r="98">
      <c r="A98" s="15"/>
      <c r="B98" s="15"/>
      <c r="C98" s="15"/>
      <c r="D98" s="15"/>
      <c r="E98" s="15"/>
      <c r="F98" s="15"/>
      <c r="G98" s="15"/>
      <c r="H98" s="103"/>
      <c r="I98" s="15"/>
      <c r="J98" s="15"/>
      <c r="K98" s="15"/>
      <c r="L98" s="15"/>
      <c r="M98" s="15"/>
      <c r="N98" s="15"/>
      <c r="O98" s="103"/>
      <c r="P98" s="15"/>
      <c r="Q98" s="15"/>
      <c r="R98" s="15"/>
      <c r="S98" s="15"/>
      <c r="T98" s="15"/>
      <c r="U98" s="15"/>
      <c r="V98" s="103"/>
      <c r="W98" s="15"/>
      <c r="X98" s="15"/>
      <c r="Y98" s="15"/>
      <c r="Z98" s="15"/>
      <c r="AA98" s="15"/>
      <c r="AB98" s="15"/>
      <c r="AC98" s="103"/>
      <c r="AD98" s="15"/>
      <c r="AE98" s="15"/>
      <c r="AF98" s="15"/>
      <c r="AG98" s="15"/>
      <c r="AH98" s="15"/>
      <c r="AI98" s="15"/>
      <c r="AJ98" s="103"/>
      <c r="AK98" s="15"/>
      <c r="AL98" s="15"/>
      <c r="AM98" s="15"/>
      <c r="AN98" s="15"/>
      <c r="AO98" s="15"/>
      <c r="AP98" s="15"/>
      <c r="AQ98" s="15"/>
    </row>
    <row r="99">
      <c r="A99" s="15"/>
      <c r="B99" s="15"/>
      <c r="C99" s="15"/>
      <c r="D99" s="15"/>
      <c r="E99" s="15"/>
      <c r="F99" s="15"/>
      <c r="G99" s="15"/>
      <c r="H99" s="103"/>
      <c r="I99" s="15"/>
      <c r="J99" s="15"/>
      <c r="K99" s="15"/>
      <c r="L99" s="15"/>
      <c r="M99" s="15"/>
      <c r="N99" s="15"/>
      <c r="O99" s="103"/>
      <c r="P99" s="15"/>
      <c r="Q99" s="15"/>
      <c r="R99" s="15"/>
      <c r="S99" s="15"/>
      <c r="T99" s="15"/>
      <c r="U99" s="15"/>
      <c r="V99" s="103"/>
      <c r="W99" s="15"/>
      <c r="X99" s="15"/>
      <c r="Y99" s="15"/>
      <c r="Z99" s="15"/>
      <c r="AA99" s="15"/>
      <c r="AB99" s="15"/>
      <c r="AC99" s="103"/>
      <c r="AD99" s="15"/>
      <c r="AE99" s="15"/>
      <c r="AF99" s="15"/>
      <c r="AG99" s="15"/>
      <c r="AH99" s="15"/>
      <c r="AI99" s="15"/>
      <c r="AJ99" s="103"/>
      <c r="AK99" s="15"/>
      <c r="AL99" s="15"/>
      <c r="AM99" s="15"/>
      <c r="AN99" s="15"/>
      <c r="AO99" s="15"/>
      <c r="AP99" s="15"/>
      <c r="AQ99" s="15"/>
    </row>
    <row r="100">
      <c r="A100" s="15"/>
      <c r="B100" s="15"/>
      <c r="C100" s="15"/>
      <c r="D100" s="15"/>
      <c r="E100" s="15"/>
      <c r="F100" s="15"/>
      <c r="G100" s="15"/>
      <c r="H100" s="103"/>
      <c r="I100" s="15"/>
      <c r="J100" s="15"/>
      <c r="K100" s="15"/>
      <c r="L100" s="15"/>
      <c r="M100" s="15"/>
      <c r="N100" s="15"/>
      <c r="O100" s="103"/>
      <c r="P100" s="15"/>
      <c r="Q100" s="15"/>
      <c r="R100" s="15"/>
      <c r="S100" s="15"/>
      <c r="T100" s="15"/>
      <c r="U100" s="15"/>
      <c r="V100" s="103"/>
      <c r="W100" s="15"/>
      <c r="X100" s="15"/>
      <c r="Y100" s="15"/>
      <c r="Z100" s="15"/>
      <c r="AA100" s="15"/>
      <c r="AB100" s="15"/>
      <c r="AC100" s="103"/>
      <c r="AD100" s="15"/>
      <c r="AE100" s="15"/>
      <c r="AF100" s="15"/>
      <c r="AG100" s="15"/>
      <c r="AH100" s="15"/>
      <c r="AI100" s="15"/>
      <c r="AJ100" s="103"/>
      <c r="AK100" s="15"/>
      <c r="AL100" s="15"/>
      <c r="AM100" s="15"/>
      <c r="AN100" s="15"/>
      <c r="AO100" s="15"/>
      <c r="AP100" s="15"/>
      <c r="AQ100" s="15"/>
    </row>
    <row r="101">
      <c r="A101" s="15"/>
      <c r="B101" s="15"/>
      <c r="C101" s="15"/>
      <c r="D101" s="15"/>
      <c r="E101" s="15"/>
      <c r="F101" s="15"/>
      <c r="G101" s="15"/>
      <c r="H101" s="103"/>
      <c r="I101" s="15"/>
      <c r="J101" s="15"/>
      <c r="K101" s="15"/>
      <c r="L101" s="15"/>
      <c r="M101" s="15"/>
      <c r="N101" s="15"/>
      <c r="O101" s="103"/>
      <c r="P101" s="15"/>
      <c r="Q101" s="15"/>
      <c r="R101" s="15"/>
      <c r="S101" s="15"/>
      <c r="T101" s="15"/>
      <c r="U101" s="15"/>
      <c r="V101" s="103"/>
      <c r="W101" s="15"/>
      <c r="X101" s="15"/>
      <c r="Y101" s="15"/>
      <c r="Z101" s="15"/>
      <c r="AA101" s="15"/>
      <c r="AB101" s="15"/>
      <c r="AC101" s="103"/>
      <c r="AD101" s="15"/>
      <c r="AE101" s="15"/>
      <c r="AF101" s="15"/>
      <c r="AG101" s="15"/>
      <c r="AH101" s="15"/>
      <c r="AI101" s="15"/>
      <c r="AJ101" s="103"/>
      <c r="AK101" s="15"/>
      <c r="AL101" s="15"/>
      <c r="AM101" s="15"/>
      <c r="AN101" s="15"/>
      <c r="AO101" s="15"/>
      <c r="AP101" s="15"/>
      <c r="AQ101" s="15"/>
    </row>
    <row r="102">
      <c r="A102" s="15"/>
      <c r="B102" s="15"/>
      <c r="C102" s="15"/>
      <c r="D102" s="15"/>
      <c r="E102" s="15"/>
      <c r="F102" s="15"/>
      <c r="G102" s="15"/>
      <c r="H102" s="103"/>
      <c r="I102" s="15"/>
      <c r="J102" s="15"/>
      <c r="K102" s="15"/>
      <c r="L102" s="15"/>
      <c r="M102" s="15"/>
      <c r="N102" s="15"/>
      <c r="O102" s="103"/>
      <c r="P102" s="15"/>
      <c r="Q102" s="15"/>
      <c r="R102" s="15"/>
      <c r="S102" s="15"/>
      <c r="T102" s="15"/>
      <c r="U102" s="15"/>
      <c r="V102" s="103"/>
      <c r="W102" s="15"/>
      <c r="X102" s="15"/>
      <c r="Y102" s="15"/>
      <c r="Z102" s="15"/>
      <c r="AA102" s="15"/>
      <c r="AB102" s="15"/>
      <c r="AC102" s="103"/>
      <c r="AD102" s="15"/>
      <c r="AE102" s="15"/>
      <c r="AF102" s="15"/>
      <c r="AG102" s="15"/>
      <c r="AH102" s="15"/>
      <c r="AI102" s="15"/>
      <c r="AJ102" s="103"/>
      <c r="AK102" s="15"/>
      <c r="AL102" s="15"/>
      <c r="AM102" s="15"/>
      <c r="AN102" s="15"/>
      <c r="AO102" s="15"/>
      <c r="AP102" s="15"/>
      <c r="AQ102" s="15"/>
    </row>
    <row r="103">
      <c r="A103" s="15"/>
      <c r="B103" s="15"/>
      <c r="C103" s="15"/>
      <c r="D103" s="15"/>
      <c r="E103" s="15"/>
      <c r="F103" s="15"/>
      <c r="G103" s="15"/>
      <c r="H103" s="103"/>
      <c r="I103" s="15"/>
      <c r="J103" s="15"/>
      <c r="K103" s="15"/>
      <c r="L103" s="15"/>
      <c r="M103" s="15"/>
      <c r="N103" s="15"/>
      <c r="O103" s="103"/>
      <c r="P103" s="15"/>
      <c r="Q103" s="15"/>
      <c r="R103" s="15"/>
      <c r="S103" s="15"/>
      <c r="T103" s="15"/>
      <c r="U103" s="15"/>
      <c r="V103" s="103"/>
      <c r="W103" s="15"/>
      <c r="X103" s="15"/>
      <c r="Y103" s="15"/>
      <c r="Z103" s="15"/>
      <c r="AA103" s="15"/>
      <c r="AB103" s="15"/>
      <c r="AC103" s="103"/>
      <c r="AD103" s="15"/>
      <c r="AE103" s="15"/>
      <c r="AF103" s="15"/>
      <c r="AG103" s="15"/>
      <c r="AH103" s="15"/>
      <c r="AI103" s="15"/>
      <c r="AJ103" s="103"/>
      <c r="AK103" s="15"/>
      <c r="AL103" s="15"/>
      <c r="AM103" s="15"/>
      <c r="AN103" s="15"/>
      <c r="AO103" s="15"/>
      <c r="AP103" s="15"/>
      <c r="AQ103" s="15"/>
    </row>
    <row r="104">
      <c r="A104" s="15"/>
      <c r="B104" s="15"/>
      <c r="C104" s="15"/>
      <c r="D104" s="15"/>
      <c r="E104" s="15"/>
      <c r="F104" s="15"/>
      <c r="G104" s="15"/>
      <c r="H104" s="103"/>
      <c r="I104" s="15"/>
      <c r="J104" s="15"/>
      <c r="K104" s="15"/>
      <c r="L104" s="15"/>
      <c r="M104" s="15"/>
      <c r="N104" s="15"/>
      <c r="O104" s="103"/>
      <c r="P104" s="15"/>
      <c r="Q104" s="15"/>
      <c r="R104" s="15"/>
      <c r="S104" s="15"/>
      <c r="T104" s="15"/>
      <c r="U104" s="15"/>
      <c r="V104" s="103"/>
      <c r="W104" s="15"/>
      <c r="X104" s="15"/>
      <c r="Y104" s="15"/>
      <c r="Z104" s="15"/>
      <c r="AA104" s="15"/>
      <c r="AB104" s="15"/>
      <c r="AC104" s="103"/>
      <c r="AD104" s="15"/>
      <c r="AE104" s="15"/>
      <c r="AF104" s="15"/>
      <c r="AG104" s="15"/>
      <c r="AH104" s="15"/>
      <c r="AI104" s="15"/>
      <c r="AJ104" s="103"/>
      <c r="AK104" s="15"/>
      <c r="AL104" s="15"/>
      <c r="AM104" s="15"/>
      <c r="AN104" s="15"/>
      <c r="AO104" s="15"/>
      <c r="AP104" s="15"/>
      <c r="AQ104" s="15"/>
    </row>
    <row r="105">
      <c r="A105" s="15"/>
      <c r="B105" s="15"/>
      <c r="C105" s="15"/>
      <c r="D105" s="15"/>
      <c r="E105" s="15"/>
      <c r="F105" s="15"/>
      <c r="G105" s="15"/>
      <c r="H105" s="103"/>
      <c r="I105" s="15"/>
      <c r="J105" s="15"/>
      <c r="K105" s="15"/>
      <c r="L105" s="15"/>
      <c r="M105" s="15"/>
      <c r="N105" s="15"/>
      <c r="O105" s="103"/>
      <c r="P105" s="15"/>
      <c r="Q105" s="15"/>
      <c r="R105" s="15"/>
      <c r="S105" s="15"/>
      <c r="T105" s="15"/>
      <c r="U105" s="15"/>
      <c r="V105" s="103"/>
      <c r="W105" s="15"/>
      <c r="X105" s="15"/>
      <c r="Y105" s="15"/>
      <c r="Z105" s="15"/>
      <c r="AA105" s="15"/>
      <c r="AB105" s="15"/>
      <c r="AC105" s="103"/>
      <c r="AD105" s="15"/>
      <c r="AE105" s="15"/>
      <c r="AF105" s="15"/>
      <c r="AG105" s="15"/>
      <c r="AH105" s="15"/>
      <c r="AI105" s="15"/>
      <c r="AJ105" s="103"/>
      <c r="AK105" s="15"/>
      <c r="AL105" s="15"/>
      <c r="AM105" s="15"/>
      <c r="AN105" s="15"/>
      <c r="AO105" s="15"/>
      <c r="AP105" s="15"/>
      <c r="AQ105" s="15"/>
    </row>
    <row r="106">
      <c r="A106" s="15"/>
      <c r="B106" s="15"/>
      <c r="C106" s="15"/>
      <c r="D106" s="15"/>
      <c r="E106" s="15"/>
      <c r="F106" s="15"/>
      <c r="G106" s="15"/>
      <c r="H106" s="103"/>
      <c r="I106" s="15"/>
      <c r="J106" s="15"/>
      <c r="K106" s="15"/>
      <c r="L106" s="15"/>
      <c r="M106" s="15"/>
      <c r="N106" s="15"/>
      <c r="O106" s="103"/>
      <c r="P106" s="15"/>
      <c r="Q106" s="15"/>
      <c r="R106" s="15"/>
      <c r="S106" s="15"/>
      <c r="T106" s="15"/>
      <c r="U106" s="15"/>
      <c r="V106" s="103"/>
      <c r="W106" s="15"/>
      <c r="X106" s="15"/>
      <c r="Y106" s="15"/>
      <c r="Z106" s="15"/>
      <c r="AA106" s="15"/>
      <c r="AB106" s="15"/>
      <c r="AC106" s="103"/>
      <c r="AD106" s="15"/>
      <c r="AE106" s="15"/>
      <c r="AF106" s="15"/>
      <c r="AG106" s="15"/>
      <c r="AH106" s="15"/>
      <c r="AI106" s="15"/>
      <c r="AJ106" s="103"/>
      <c r="AK106" s="15"/>
      <c r="AL106" s="15"/>
      <c r="AM106" s="15"/>
      <c r="AN106" s="15"/>
      <c r="AO106" s="15"/>
      <c r="AP106" s="15"/>
      <c r="AQ106" s="15"/>
    </row>
    <row r="107">
      <c r="A107" s="15"/>
      <c r="B107" s="15"/>
      <c r="C107" s="15"/>
      <c r="D107" s="15"/>
      <c r="E107" s="15"/>
      <c r="F107" s="15"/>
      <c r="G107" s="15"/>
      <c r="H107" s="103"/>
      <c r="I107" s="15"/>
      <c r="J107" s="15"/>
      <c r="K107" s="15"/>
      <c r="L107" s="15"/>
      <c r="M107" s="15"/>
      <c r="N107" s="15"/>
      <c r="O107" s="103"/>
      <c r="P107" s="15"/>
      <c r="Q107" s="15"/>
      <c r="R107" s="15"/>
      <c r="S107" s="15"/>
      <c r="T107" s="15"/>
      <c r="U107" s="15"/>
      <c r="V107" s="103"/>
      <c r="W107" s="15"/>
      <c r="X107" s="15"/>
      <c r="Y107" s="15"/>
      <c r="Z107" s="15"/>
      <c r="AA107" s="15"/>
      <c r="AB107" s="15"/>
      <c r="AC107" s="103"/>
      <c r="AD107" s="15"/>
      <c r="AE107" s="15"/>
      <c r="AF107" s="15"/>
      <c r="AG107" s="15"/>
      <c r="AH107" s="15"/>
      <c r="AI107" s="15"/>
      <c r="AJ107" s="103"/>
      <c r="AK107" s="15"/>
      <c r="AL107" s="15"/>
      <c r="AM107" s="15"/>
      <c r="AN107" s="15"/>
      <c r="AO107" s="15"/>
      <c r="AP107" s="15"/>
      <c r="AQ107" s="15"/>
    </row>
    <row r="108">
      <c r="A108" s="15"/>
      <c r="B108" s="15"/>
      <c r="C108" s="15"/>
      <c r="D108" s="15"/>
      <c r="E108" s="15"/>
      <c r="F108" s="15"/>
      <c r="G108" s="15"/>
      <c r="H108" s="103"/>
      <c r="I108" s="15"/>
      <c r="J108" s="15"/>
      <c r="K108" s="15"/>
      <c r="L108" s="15"/>
      <c r="M108" s="15"/>
      <c r="N108" s="15"/>
      <c r="O108" s="103"/>
      <c r="P108" s="15"/>
      <c r="Q108" s="15"/>
      <c r="R108" s="15"/>
      <c r="S108" s="15"/>
      <c r="T108" s="15"/>
      <c r="U108" s="15"/>
      <c r="V108" s="103"/>
      <c r="W108" s="15"/>
      <c r="X108" s="15"/>
      <c r="Y108" s="15"/>
      <c r="Z108" s="15"/>
      <c r="AA108" s="15"/>
      <c r="AB108" s="15"/>
      <c r="AC108" s="103"/>
      <c r="AD108" s="15"/>
      <c r="AE108" s="15"/>
      <c r="AF108" s="15"/>
      <c r="AG108" s="15"/>
      <c r="AH108" s="15"/>
      <c r="AI108" s="15"/>
      <c r="AJ108" s="103"/>
      <c r="AK108" s="15"/>
      <c r="AL108" s="15"/>
      <c r="AM108" s="15"/>
      <c r="AN108" s="15"/>
      <c r="AO108" s="15"/>
      <c r="AP108" s="15"/>
      <c r="AQ108" s="15"/>
    </row>
    <row r="109">
      <c r="A109" s="15"/>
      <c r="B109" s="15"/>
      <c r="C109" s="15"/>
      <c r="D109" s="15"/>
      <c r="E109" s="15"/>
      <c r="F109" s="15"/>
      <c r="G109" s="15"/>
      <c r="H109" s="103"/>
      <c r="I109" s="15"/>
      <c r="J109" s="15"/>
      <c r="K109" s="15"/>
      <c r="L109" s="15"/>
      <c r="M109" s="15"/>
      <c r="N109" s="15"/>
      <c r="O109" s="103"/>
      <c r="P109" s="15"/>
      <c r="Q109" s="15"/>
      <c r="R109" s="15"/>
      <c r="S109" s="15"/>
      <c r="T109" s="15"/>
      <c r="U109" s="15"/>
      <c r="V109" s="103"/>
      <c r="W109" s="15"/>
      <c r="X109" s="15"/>
      <c r="Y109" s="15"/>
      <c r="Z109" s="15"/>
      <c r="AA109" s="15"/>
      <c r="AB109" s="15"/>
      <c r="AC109" s="103"/>
      <c r="AD109" s="15"/>
      <c r="AE109" s="15"/>
      <c r="AF109" s="15"/>
      <c r="AG109" s="15"/>
      <c r="AH109" s="15"/>
      <c r="AI109" s="15"/>
      <c r="AJ109" s="103"/>
      <c r="AK109" s="15"/>
      <c r="AL109" s="15"/>
      <c r="AM109" s="15"/>
      <c r="AN109" s="15"/>
      <c r="AO109" s="15"/>
      <c r="AP109" s="15"/>
      <c r="AQ109" s="15"/>
    </row>
    <row r="110">
      <c r="A110" s="15"/>
      <c r="B110" s="15"/>
      <c r="C110" s="15"/>
      <c r="D110" s="15"/>
      <c r="E110" s="15"/>
      <c r="F110" s="15"/>
      <c r="G110" s="15"/>
      <c r="H110" s="103"/>
      <c r="I110" s="15"/>
      <c r="J110" s="15"/>
      <c r="K110" s="15"/>
      <c r="L110" s="15"/>
      <c r="M110" s="15"/>
      <c r="N110" s="15"/>
      <c r="O110" s="103"/>
      <c r="P110" s="15"/>
      <c r="Q110" s="15"/>
      <c r="R110" s="15"/>
      <c r="S110" s="15"/>
      <c r="T110" s="15"/>
      <c r="U110" s="15"/>
      <c r="V110" s="103"/>
      <c r="W110" s="15"/>
      <c r="X110" s="15"/>
      <c r="Y110" s="15"/>
      <c r="Z110" s="15"/>
      <c r="AA110" s="15"/>
      <c r="AB110" s="15"/>
      <c r="AC110" s="103"/>
      <c r="AD110" s="15"/>
      <c r="AE110" s="15"/>
      <c r="AF110" s="15"/>
      <c r="AG110" s="15"/>
      <c r="AH110" s="15"/>
      <c r="AI110" s="15"/>
      <c r="AJ110" s="103"/>
      <c r="AK110" s="15"/>
      <c r="AL110" s="15"/>
      <c r="AM110" s="15"/>
      <c r="AN110" s="15"/>
      <c r="AO110" s="15"/>
      <c r="AP110" s="15"/>
      <c r="AQ110" s="15"/>
    </row>
    <row r="111">
      <c r="A111" s="15"/>
      <c r="B111" s="15"/>
      <c r="C111" s="15"/>
      <c r="D111" s="15"/>
      <c r="E111" s="15"/>
      <c r="F111" s="15"/>
      <c r="G111" s="15"/>
      <c r="H111" s="103"/>
      <c r="I111" s="15"/>
      <c r="J111" s="15"/>
      <c r="K111" s="15"/>
      <c r="L111" s="15"/>
      <c r="M111" s="15"/>
      <c r="N111" s="15"/>
      <c r="O111" s="103"/>
      <c r="P111" s="15"/>
      <c r="Q111" s="15"/>
      <c r="R111" s="15"/>
      <c r="S111" s="15"/>
      <c r="T111" s="15"/>
      <c r="U111" s="15"/>
      <c r="V111" s="103"/>
      <c r="W111" s="15"/>
      <c r="X111" s="15"/>
      <c r="Y111" s="15"/>
      <c r="Z111" s="15"/>
      <c r="AA111" s="15"/>
      <c r="AB111" s="15"/>
      <c r="AC111" s="103"/>
      <c r="AD111" s="15"/>
      <c r="AE111" s="15"/>
      <c r="AF111" s="15"/>
      <c r="AG111" s="15"/>
      <c r="AH111" s="15"/>
      <c r="AI111" s="15"/>
      <c r="AJ111" s="103"/>
      <c r="AK111" s="15"/>
      <c r="AL111" s="15"/>
      <c r="AM111" s="15"/>
      <c r="AN111" s="15"/>
      <c r="AO111" s="15"/>
      <c r="AP111" s="15"/>
      <c r="AQ111" s="15"/>
    </row>
    <row r="112">
      <c r="A112" s="15"/>
      <c r="B112" s="15"/>
      <c r="C112" s="15"/>
      <c r="D112" s="15"/>
      <c r="E112" s="15"/>
      <c r="F112" s="15"/>
      <c r="G112" s="15"/>
      <c r="H112" s="103"/>
      <c r="I112" s="15"/>
      <c r="J112" s="15"/>
      <c r="K112" s="15"/>
      <c r="L112" s="15"/>
      <c r="M112" s="15"/>
      <c r="N112" s="15"/>
      <c r="O112" s="103"/>
      <c r="P112" s="15"/>
      <c r="Q112" s="15"/>
      <c r="R112" s="15"/>
      <c r="S112" s="15"/>
      <c r="T112" s="15"/>
      <c r="U112" s="15"/>
      <c r="V112" s="103"/>
      <c r="W112" s="15"/>
      <c r="X112" s="15"/>
      <c r="Y112" s="15"/>
      <c r="Z112" s="15"/>
      <c r="AA112" s="15"/>
      <c r="AB112" s="15"/>
      <c r="AC112" s="103"/>
      <c r="AD112" s="15"/>
      <c r="AE112" s="15"/>
      <c r="AF112" s="15"/>
      <c r="AG112" s="15"/>
      <c r="AH112" s="15"/>
      <c r="AI112" s="15"/>
      <c r="AJ112" s="103"/>
      <c r="AK112" s="15"/>
      <c r="AL112" s="15"/>
      <c r="AM112" s="15"/>
      <c r="AN112" s="15"/>
      <c r="AO112" s="15"/>
      <c r="AP112" s="15"/>
      <c r="AQ112" s="15"/>
    </row>
    <row r="113">
      <c r="A113" s="15"/>
      <c r="B113" s="15"/>
      <c r="C113" s="15"/>
      <c r="D113" s="15"/>
      <c r="E113" s="15"/>
      <c r="F113" s="15"/>
      <c r="G113" s="15"/>
      <c r="H113" s="103"/>
      <c r="I113" s="15"/>
      <c r="J113" s="15"/>
      <c r="K113" s="15"/>
      <c r="L113" s="15"/>
      <c r="M113" s="15"/>
      <c r="N113" s="15"/>
      <c r="O113" s="103"/>
      <c r="P113" s="15"/>
      <c r="Q113" s="15"/>
      <c r="R113" s="15"/>
      <c r="S113" s="15"/>
      <c r="T113" s="15"/>
      <c r="U113" s="15"/>
      <c r="V113" s="103"/>
      <c r="W113" s="15"/>
      <c r="X113" s="15"/>
      <c r="Y113" s="15"/>
      <c r="Z113" s="15"/>
      <c r="AA113" s="15"/>
      <c r="AB113" s="15"/>
      <c r="AC113" s="103"/>
      <c r="AD113" s="15"/>
      <c r="AE113" s="15"/>
      <c r="AF113" s="15"/>
      <c r="AG113" s="15"/>
      <c r="AH113" s="15"/>
      <c r="AI113" s="15"/>
      <c r="AJ113" s="103"/>
      <c r="AK113" s="15"/>
      <c r="AL113" s="15"/>
      <c r="AM113" s="15"/>
      <c r="AN113" s="15"/>
      <c r="AO113" s="15"/>
      <c r="AP113" s="15"/>
      <c r="AQ113" s="15"/>
    </row>
    <row r="114">
      <c r="A114" s="15"/>
      <c r="B114" s="15"/>
      <c r="C114" s="15"/>
      <c r="D114" s="15"/>
      <c r="E114" s="15"/>
      <c r="F114" s="15"/>
      <c r="G114" s="15"/>
      <c r="H114" s="103"/>
      <c r="I114" s="15"/>
      <c r="J114" s="15"/>
      <c r="K114" s="15"/>
      <c r="L114" s="15"/>
      <c r="M114" s="15"/>
      <c r="N114" s="15"/>
      <c r="O114" s="103"/>
      <c r="P114" s="15"/>
      <c r="Q114" s="15"/>
      <c r="R114" s="15"/>
      <c r="S114" s="15"/>
      <c r="T114" s="15"/>
      <c r="U114" s="15"/>
      <c r="V114" s="103"/>
      <c r="W114" s="15"/>
      <c r="X114" s="15"/>
      <c r="Y114" s="15"/>
      <c r="Z114" s="15"/>
      <c r="AA114" s="15"/>
      <c r="AB114" s="15"/>
      <c r="AC114" s="103"/>
      <c r="AD114" s="15"/>
      <c r="AE114" s="15"/>
      <c r="AF114" s="15"/>
      <c r="AG114" s="15"/>
      <c r="AH114" s="15"/>
      <c r="AI114" s="15"/>
      <c r="AJ114" s="103"/>
      <c r="AK114" s="15"/>
      <c r="AL114" s="15"/>
      <c r="AM114" s="15"/>
      <c r="AN114" s="15"/>
      <c r="AO114" s="15"/>
      <c r="AP114" s="15"/>
      <c r="AQ114" s="15"/>
    </row>
    <row r="115">
      <c r="A115" s="15"/>
      <c r="B115" s="15"/>
      <c r="C115" s="15"/>
      <c r="D115" s="15"/>
      <c r="E115" s="15"/>
      <c r="F115" s="15"/>
      <c r="G115" s="15"/>
      <c r="H115" s="103"/>
      <c r="I115" s="15"/>
      <c r="J115" s="15"/>
      <c r="K115" s="15"/>
      <c r="L115" s="15"/>
      <c r="M115" s="15"/>
      <c r="N115" s="15"/>
      <c r="O115" s="103"/>
      <c r="P115" s="15"/>
      <c r="Q115" s="15"/>
      <c r="R115" s="15"/>
      <c r="S115" s="15"/>
      <c r="T115" s="15"/>
      <c r="U115" s="15"/>
      <c r="V115" s="103"/>
      <c r="W115" s="15"/>
      <c r="X115" s="15"/>
      <c r="Y115" s="15"/>
      <c r="Z115" s="15"/>
      <c r="AA115" s="15"/>
      <c r="AB115" s="15"/>
      <c r="AC115" s="103"/>
      <c r="AD115" s="15"/>
      <c r="AE115" s="15"/>
      <c r="AF115" s="15"/>
      <c r="AG115" s="15"/>
      <c r="AH115" s="15"/>
      <c r="AI115" s="15"/>
      <c r="AJ115" s="103"/>
      <c r="AK115" s="15"/>
      <c r="AL115" s="15"/>
      <c r="AM115" s="15"/>
      <c r="AN115" s="15"/>
      <c r="AO115" s="15"/>
      <c r="AP115" s="15"/>
      <c r="AQ115" s="15"/>
    </row>
    <row r="116">
      <c r="A116" s="15"/>
      <c r="B116" s="15"/>
      <c r="C116" s="15"/>
      <c r="D116" s="15"/>
      <c r="E116" s="15"/>
      <c r="F116" s="15"/>
      <c r="G116" s="15"/>
      <c r="H116" s="103"/>
      <c r="I116" s="15"/>
      <c r="J116" s="15"/>
      <c r="K116" s="15"/>
      <c r="L116" s="15"/>
      <c r="M116" s="15"/>
      <c r="N116" s="15"/>
      <c r="O116" s="103"/>
      <c r="P116" s="15"/>
      <c r="Q116" s="15"/>
      <c r="R116" s="15"/>
      <c r="S116" s="15"/>
      <c r="T116" s="15"/>
      <c r="U116" s="15"/>
      <c r="V116" s="103"/>
      <c r="W116" s="15"/>
      <c r="X116" s="15"/>
      <c r="Y116" s="15"/>
      <c r="Z116" s="15"/>
      <c r="AA116" s="15"/>
      <c r="AB116" s="15"/>
      <c r="AC116" s="103"/>
      <c r="AD116" s="15"/>
      <c r="AE116" s="15"/>
      <c r="AF116" s="15"/>
      <c r="AG116" s="15"/>
      <c r="AH116" s="15"/>
      <c r="AI116" s="15"/>
      <c r="AJ116" s="103"/>
      <c r="AK116" s="15"/>
      <c r="AL116" s="15"/>
      <c r="AM116" s="15"/>
      <c r="AN116" s="15"/>
      <c r="AO116" s="15"/>
      <c r="AP116" s="15"/>
      <c r="AQ116" s="15"/>
    </row>
    <row r="117">
      <c r="A117" s="15"/>
      <c r="B117" s="15"/>
      <c r="C117" s="15"/>
      <c r="D117" s="15"/>
      <c r="E117" s="15"/>
      <c r="F117" s="15"/>
      <c r="G117" s="15"/>
      <c r="H117" s="103"/>
      <c r="I117" s="15"/>
      <c r="J117" s="15"/>
      <c r="K117" s="15"/>
      <c r="L117" s="15"/>
      <c r="M117" s="15"/>
      <c r="N117" s="15"/>
      <c r="O117" s="103"/>
      <c r="P117" s="15"/>
      <c r="Q117" s="15"/>
      <c r="R117" s="15"/>
      <c r="S117" s="15"/>
      <c r="T117" s="15"/>
      <c r="U117" s="15"/>
      <c r="V117" s="103"/>
      <c r="W117" s="15"/>
      <c r="X117" s="15"/>
      <c r="Y117" s="15"/>
      <c r="Z117" s="15"/>
      <c r="AA117" s="15"/>
      <c r="AB117" s="15"/>
      <c r="AC117" s="103"/>
      <c r="AD117" s="15"/>
      <c r="AE117" s="15"/>
      <c r="AF117" s="15"/>
      <c r="AG117" s="15"/>
      <c r="AH117" s="15"/>
      <c r="AI117" s="15"/>
      <c r="AJ117" s="103"/>
      <c r="AK117" s="15"/>
      <c r="AL117" s="15"/>
      <c r="AM117" s="15"/>
      <c r="AN117" s="15"/>
      <c r="AO117" s="15"/>
      <c r="AP117" s="15"/>
      <c r="AQ117" s="15"/>
    </row>
    <row r="118">
      <c r="A118" s="15"/>
      <c r="B118" s="15"/>
      <c r="C118" s="15"/>
      <c r="D118" s="15"/>
      <c r="E118" s="15"/>
      <c r="F118" s="15"/>
      <c r="G118" s="15"/>
      <c r="H118" s="103"/>
      <c r="I118" s="15"/>
      <c r="J118" s="15"/>
      <c r="K118" s="15"/>
      <c r="L118" s="15"/>
      <c r="M118" s="15"/>
      <c r="N118" s="15"/>
      <c r="O118" s="103"/>
      <c r="P118" s="15"/>
      <c r="Q118" s="15"/>
      <c r="R118" s="15"/>
      <c r="S118" s="15"/>
      <c r="T118" s="15"/>
      <c r="U118" s="15"/>
      <c r="V118" s="103"/>
      <c r="W118" s="15"/>
      <c r="X118" s="15"/>
      <c r="Y118" s="15"/>
      <c r="Z118" s="15"/>
      <c r="AA118" s="15"/>
      <c r="AB118" s="15"/>
      <c r="AC118" s="103"/>
      <c r="AD118" s="15"/>
      <c r="AE118" s="15"/>
      <c r="AF118" s="15"/>
      <c r="AG118" s="15"/>
      <c r="AH118" s="15"/>
      <c r="AI118" s="15"/>
      <c r="AJ118" s="103"/>
      <c r="AK118" s="15"/>
      <c r="AL118" s="15"/>
      <c r="AM118" s="15"/>
      <c r="AN118" s="15"/>
      <c r="AO118" s="15"/>
      <c r="AP118" s="15"/>
      <c r="AQ118" s="15"/>
    </row>
    <row r="119">
      <c r="A119" s="15"/>
      <c r="B119" s="15"/>
      <c r="C119" s="15"/>
      <c r="D119" s="15"/>
      <c r="E119" s="15"/>
      <c r="F119" s="15"/>
      <c r="G119" s="15"/>
      <c r="H119" s="103"/>
      <c r="I119" s="15"/>
      <c r="J119" s="15"/>
      <c r="K119" s="15"/>
      <c r="L119" s="15"/>
      <c r="M119" s="15"/>
      <c r="N119" s="15"/>
      <c r="O119" s="103"/>
      <c r="P119" s="15"/>
      <c r="Q119" s="15"/>
      <c r="R119" s="15"/>
      <c r="S119" s="15"/>
      <c r="T119" s="15"/>
      <c r="U119" s="15"/>
      <c r="V119" s="103"/>
      <c r="W119" s="15"/>
      <c r="X119" s="15"/>
      <c r="Y119" s="15"/>
      <c r="Z119" s="15"/>
      <c r="AA119" s="15"/>
      <c r="AB119" s="15"/>
      <c r="AC119" s="103"/>
      <c r="AD119" s="15"/>
      <c r="AE119" s="15"/>
      <c r="AF119" s="15"/>
      <c r="AG119" s="15"/>
      <c r="AH119" s="15"/>
      <c r="AI119" s="15"/>
      <c r="AJ119" s="103"/>
      <c r="AK119" s="15"/>
      <c r="AL119" s="15"/>
      <c r="AM119" s="15"/>
      <c r="AN119" s="15"/>
      <c r="AO119" s="15"/>
      <c r="AP119" s="15"/>
      <c r="AQ119" s="15"/>
    </row>
    <row r="120">
      <c r="A120" s="15"/>
      <c r="B120" s="15"/>
      <c r="C120" s="15"/>
      <c r="D120" s="15"/>
      <c r="E120" s="15"/>
      <c r="F120" s="15"/>
      <c r="G120" s="15"/>
      <c r="H120" s="103"/>
      <c r="I120" s="15"/>
      <c r="J120" s="15"/>
      <c r="K120" s="15"/>
      <c r="L120" s="15"/>
      <c r="M120" s="15"/>
      <c r="N120" s="15"/>
      <c r="O120" s="103"/>
      <c r="P120" s="15"/>
      <c r="Q120" s="15"/>
      <c r="R120" s="15"/>
      <c r="S120" s="15"/>
      <c r="T120" s="15"/>
      <c r="U120" s="15"/>
      <c r="V120" s="103"/>
      <c r="W120" s="15"/>
      <c r="X120" s="15"/>
      <c r="Y120" s="15"/>
      <c r="Z120" s="15"/>
      <c r="AA120" s="15"/>
      <c r="AB120" s="15"/>
      <c r="AC120" s="103"/>
      <c r="AD120" s="15"/>
      <c r="AE120" s="15"/>
      <c r="AF120" s="15"/>
      <c r="AG120" s="15"/>
      <c r="AH120" s="15"/>
      <c r="AI120" s="15"/>
      <c r="AJ120" s="103"/>
      <c r="AK120" s="15"/>
      <c r="AL120" s="15"/>
      <c r="AM120" s="15"/>
      <c r="AN120" s="15"/>
      <c r="AO120" s="15"/>
      <c r="AP120" s="15"/>
      <c r="AQ120" s="15"/>
    </row>
    <row r="121">
      <c r="A121" s="15"/>
      <c r="B121" s="15"/>
      <c r="C121" s="15"/>
      <c r="D121" s="15"/>
      <c r="E121" s="15"/>
      <c r="F121" s="15"/>
      <c r="G121" s="15"/>
      <c r="H121" s="103"/>
      <c r="I121" s="15"/>
      <c r="J121" s="15"/>
      <c r="K121" s="15"/>
      <c r="L121" s="15"/>
      <c r="M121" s="15"/>
      <c r="N121" s="15"/>
      <c r="O121" s="103"/>
      <c r="P121" s="15"/>
      <c r="Q121" s="15"/>
      <c r="R121" s="15"/>
      <c r="S121" s="15"/>
      <c r="T121" s="15"/>
      <c r="U121" s="15"/>
      <c r="V121" s="103"/>
      <c r="W121" s="15"/>
      <c r="X121" s="15"/>
      <c r="Y121" s="15"/>
      <c r="Z121" s="15"/>
      <c r="AA121" s="15"/>
      <c r="AB121" s="15"/>
      <c r="AC121" s="103"/>
      <c r="AD121" s="15"/>
      <c r="AE121" s="15"/>
      <c r="AF121" s="15"/>
      <c r="AG121" s="15"/>
      <c r="AH121" s="15"/>
      <c r="AI121" s="15"/>
      <c r="AJ121" s="103"/>
      <c r="AK121" s="15"/>
      <c r="AL121" s="15"/>
      <c r="AM121" s="15"/>
      <c r="AN121" s="15"/>
      <c r="AO121" s="15"/>
      <c r="AP121" s="15"/>
      <c r="AQ121" s="15"/>
    </row>
    <row r="122">
      <c r="A122" s="15"/>
      <c r="B122" s="15"/>
      <c r="C122" s="15"/>
      <c r="D122" s="15"/>
      <c r="E122" s="15"/>
      <c r="F122" s="15"/>
      <c r="G122" s="15"/>
      <c r="H122" s="103"/>
      <c r="I122" s="15"/>
      <c r="J122" s="15"/>
      <c r="K122" s="15"/>
      <c r="L122" s="15"/>
      <c r="M122" s="15"/>
      <c r="N122" s="15"/>
      <c r="O122" s="103"/>
      <c r="P122" s="15"/>
      <c r="Q122" s="15"/>
      <c r="R122" s="15"/>
      <c r="S122" s="15"/>
      <c r="T122" s="15"/>
      <c r="U122" s="15"/>
      <c r="V122" s="103"/>
      <c r="W122" s="15"/>
      <c r="X122" s="15"/>
      <c r="Y122" s="15"/>
      <c r="Z122" s="15"/>
      <c r="AA122" s="15"/>
      <c r="AB122" s="15"/>
      <c r="AC122" s="103"/>
      <c r="AD122" s="15"/>
      <c r="AE122" s="15"/>
      <c r="AF122" s="15"/>
      <c r="AG122" s="15"/>
      <c r="AH122" s="15"/>
      <c r="AI122" s="15"/>
      <c r="AJ122" s="103"/>
      <c r="AK122" s="15"/>
      <c r="AL122" s="15"/>
      <c r="AM122" s="15"/>
      <c r="AN122" s="15"/>
      <c r="AO122" s="15"/>
      <c r="AP122" s="15"/>
      <c r="AQ122" s="15"/>
    </row>
    <row r="123">
      <c r="A123" s="15"/>
      <c r="B123" s="15"/>
      <c r="C123" s="15"/>
      <c r="D123" s="15"/>
      <c r="E123" s="15"/>
      <c r="F123" s="15"/>
      <c r="G123" s="15"/>
      <c r="H123" s="103"/>
      <c r="I123" s="15"/>
      <c r="J123" s="15"/>
      <c r="K123" s="15"/>
      <c r="L123" s="15"/>
      <c r="M123" s="15"/>
      <c r="N123" s="15"/>
      <c r="O123" s="103"/>
      <c r="P123" s="15"/>
      <c r="Q123" s="15"/>
      <c r="R123" s="15"/>
      <c r="S123" s="15"/>
      <c r="T123" s="15"/>
      <c r="U123" s="15"/>
      <c r="V123" s="103"/>
      <c r="W123" s="15"/>
      <c r="X123" s="15"/>
      <c r="Y123" s="15"/>
      <c r="Z123" s="15"/>
      <c r="AA123" s="15"/>
      <c r="AB123" s="15"/>
      <c r="AC123" s="103"/>
      <c r="AD123" s="15"/>
      <c r="AE123" s="15"/>
      <c r="AF123" s="15"/>
      <c r="AG123" s="15"/>
      <c r="AH123" s="15"/>
      <c r="AI123" s="15"/>
      <c r="AJ123" s="103"/>
      <c r="AK123" s="15"/>
      <c r="AL123" s="15"/>
      <c r="AM123" s="15"/>
      <c r="AN123" s="15"/>
      <c r="AO123" s="15"/>
      <c r="AP123" s="15"/>
      <c r="AQ123" s="15"/>
    </row>
    <row r="124">
      <c r="A124" s="15"/>
      <c r="B124" s="15"/>
      <c r="C124" s="15"/>
      <c r="D124" s="15"/>
      <c r="E124" s="15"/>
      <c r="F124" s="15"/>
      <c r="G124" s="15"/>
      <c r="H124" s="103"/>
      <c r="I124" s="15"/>
      <c r="J124" s="15"/>
      <c r="K124" s="15"/>
      <c r="L124" s="15"/>
      <c r="M124" s="15"/>
      <c r="N124" s="15"/>
      <c r="O124" s="103"/>
      <c r="P124" s="15"/>
      <c r="Q124" s="15"/>
      <c r="R124" s="15"/>
      <c r="S124" s="15"/>
      <c r="T124" s="15"/>
      <c r="U124" s="15"/>
      <c r="V124" s="103"/>
      <c r="W124" s="15"/>
      <c r="X124" s="15"/>
      <c r="Y124" s="15"/>
      <c r="Z124" s="15"/>
      <c r="AA124" s="15"/>
      <c r="AB124" s="15"/>
      <c r="AC124" s="103"/>
      <c r="AD124" s="15"/>
      <c r="AE124" s="15"/>
      <c r="AF124" s="15"/>
      <c r="AG124" s="15"/>
      <c r="AH124" s="15"/>
      <c r="AI124" s="15"/>
      <c r="AJ124" s="103"/>
      <c r="AK124" s="15"/>
      <c r="AL124" s="15"/>
      <c r="AM124" s="15"/>
      <c r="AN124" s="15"/>
      <c r="AO124" s="15"/>
      <c r="AP124" s="15"/>
      <c r="AQ124" s="15"/>
    </row>
    <row r="125">
      <c r="A125" s="15"/>
      <c r="B125" s="15"/>
      <c r="C125" s="15"/>
      <c r="D125" s="15"/>
      <c r="E125" s="15"/>
      <c r="F125" s="15"/>
      <c r="G125" s="15"/>
      <c r="H125" s="103"/>
      <c r="I125" s="15"/>
      <c r="J125" s="15"/>
      <c r="K125" s="15"/>
      <c r="L125" s="15"/>
      <c r="M125" s="15"/>
      <c r="N125" s="15"/>
      <c r="O125" s="103"/>
      <c r="P125" s="15"/>
      <c r="Q125" s="15"/>
      <c r="R125" s="15"/>
      <c r="S125" s="15"/>
      <c r="T125" s="15"/>
      <c r="U125" s="15"/>
      <c r="V125" s="103"/>
      <c r="W125" s="15"/>
      <c r="X125" s="15"/>
      <c r="Y125" s="15"/>
      <c r="Z125" s="15"/>
      <c r="AA125" s="15"/>
      <c r="AB125" s="15"/>
      <c r="AC125" s="103"/>
      <c r="AD125" s="15"/>
      <c r="AE125" s="15"/>
      <c r="AF125" s="15"/>
      <c r="AG125" s="15"/>
      <c r="AH125" s="15"/>
      <c r="AI125" s="15"/>
      <c r="AJ125" s="103"/>
      <c r="AK125" s="15"/>
      <c r="AL125" s="15"/>
      <c r="AM125" s="15"/>
      <c r="AN125" s="15"/>
      <c r="AO125" s="15"/>
      <c r="AP125" s="15"/>
      <c r="AQ125" s="15"/>
    </row>
    <row r="126">
      <c r="A126" s="15"/>
      <c r="B126" s="15"/>
      <c r="C126" s="15"/>
      <c r="D126" s="15"/>
      <c r="E126" s="15"/>
      <c r="F126" s="15"/>
      <c r="G126" s="15"/>
      <c r="H126" s="103"/>
      <c r="I126" s="15"/>
      <c r="J126" s="15"/>
      <c r="K126" s="15"/>
      <c r="L126" s="15"/>
      <c r="M126" s="15"/>
      <c r="N126" s="15"/>
      <c r="O126" s="103"/>
      <c r="P126" s="15"/>
      <c r="Q126" s="15"/>
      <c r="R126" s="15"/>
      <c r="S126" s="15"/>
      <c r="T126" s="15"/>
      <c r="U126" s="15"/>
      <c r="V126" s="103"/>
      <c r="W126" s="15"/>
      <c r="X126" s="15"/>
      <c r="Y126" s="15"/>
      <c r="Z126" s="15"/>
      <c r="AA126" s="15"/>
      <c r="AB126" s="15"/>
      <c r="AC126" s="103"/>
      <c r="AD126" s="15"/>
      <c r="AE126" s="15"/>
      <c r="AF126" s="15"/>
      <c r="AG126" s="15"/>
      <c r="AH126" s="15"/>
      <c r="AI126" s="15"/>
      <c r="AJ126" s="103"/>
      <c r="AK126" s="15"/>
      <c r="AL126" s="15"/>
      <c r="AM126" s="15"/>
      <c r="AN126" s="15"/>
      <c r="AO126" s="15"/>
      <c r="AP126" s="15"/>
      <c r="AQ126" s="15"/>
    </row>
    <row r="127">
      <c r="A127" s="15"/>
      <c r="B127" s="15"/>
      <c r="C127" s="15"/>
      <c r="D127" s="15"/>
      <c r="E127" s="15"/>
      <c r="F127" s="15"/>
      <c r="G127" s="15"/>
      <c r="H127" s="103"/>
      <c r="I127" s="15"/>
      <c r="J127" s="15"/>
      <c r="K127" s="15"/>
      <c r="L127" s="15"/>
      <c r="M127" s="15"/>
      <c r="N127" s="15"/>
      <c r="O127" s="103"/>
      <c r="P127" s="15"/>
      <c r="Q127" s="15"/>
      <c r="R127" s="15"/>
      <c r="S127" s="15"/>
      <c r="T127" s="15"/>
      <c r="U127" s="15"/>
      <c r="V127" s="103"/>
      <c r="W127" s="15"/>
      <c r="X127" s="15"/>
      <c r="Y127" s="15"/>
      <c r="Z127" s="15"/>
      <c r="AA127" s="15"/>
      <c r="AB127" s="15"/>
      <c r="AC127" s="103"/>
      <c r="AD127" s="15"/>
      <c r="AE127" s="15"/>
      <c r="AF127" s="15"/>
      <c r="AG127" s="15"/>
      <c r="AH127" s="15"/>
      <c r="AI127" s="15"/>
      <c r="AJ127" s="103"/>
      <c r="AK127" s="15"/>
      <c r="AL127" s="15"/>
      <c r="AM127" s="15"/>
      <c r="AN127" s="15"/>
      <c r="AO127" s="15"/>
      <c r="AP127" s="15"/>
      <c r="AQ127" s="15"/>
    </row>
    <row r="128">
      <c r="A128" s="15"/>
      <c r="B128" s="15"/>
      <c r="C128" s="15"/>
      <c r="D128" s="15"/>
      <c r="E128" s="15"/>
      <c r="F128" s="15"/>
      <c r="G128" s="15"/>
      <c r="H128" s="103"/>
      <c r="I128" s="15"/>
      <c r="J128" s="15"/>
      <c r="K128" s="15"/>
      <c r="L128" s="15"/>
      <c r="M128" s="15"/>
      <c r="N128" s="15"/>
      <c r="O128" s="103"/>
      <c r="P128" s="15"/>
      <c r="Q128" s="15"/>
      <c r="R128" s="15"/>
      <c r="S128" s="15"/>
      <c r="T128" s="15"/>
      <c r="U128" s="15"/>
      <c r="V128" s="103"/>
      <c r="W128" s="15"/>
      <c r="X128" s="15"/>
      <c r="Y128" s="15"/>
      <c r="Z128" s="15"/>
      <c r="AA128" s="15"/>
      <c r="AB128" s="15"/>
      <c r="AC128" s="103"/>
      <c r="AD128" s="15"/>
      <c r="AE128" s="15"/>
      <c r="AF128" s="15"/>
      <c r="AG128" s="15"/>
      <c r="AH128" s="15"/>
      <c r="AI128" s="15"/>
      <c r="AJ128" s="103"/>
      <c r="AK128" s="15"/>
      <c r="AL128" s="15"/>
      <c r="AM128" s="15"/>
      <c r="AN128" s="15"/>
      <c r="AO128" s="15"/>
      <c r="AP128" s="15"/>
      <c r="AQ128" s="15"/>
    </row>
    <row r="129">
      <c r="A129" s="15"/>
      <c r="B129" s="15"/>
      <c r="C129" s="15"/>
      <c r="D129" s="15"/>
      <c r="E129" s="15"/>
      <c r="F129" s="15"/>
      <c r="G129" s="15"/>
      <c r="H129" s="103"/>
      <c r="I129" s="15"/>
      <c r="J129" s="15"/>
      <c r="K129" s="15"/>
      <c r="L129" s="15"/>
      <c r="M129" s="15"/>
      <c r="N129" s="15"/>
      <c r="O129" s="103"/>
      <c r="P129" s="15"/>
      <c r="Q129" s="15"/>
      <c r="R129" s="15"/>
      <c r="S129" s="15"/>
      <c r="T129" s="15"/>
      <c r="U129" s="15"/>
      <c r="V129" s="103"/>
      <c r="W129" s="15"/>
      <c r="X129" s="15"/>
      <c r="Y129" s="15"/>
      <c r="Z129" s="15"/>
      <c r="AA129" s="15"/>
      <c r="AB129" s="15"/>
      <c r="AC129" s="103"/>
      <c r="AD129" s="15"/>
      <c r="AE129" s="15"/>
      <c r="AF129" s="15"/>
      <c r="AG129" s="15"/>
      <c r="AH129" s="15"/>
      <c r="AI129" s="15"/>
      <c r="AJ129" s="103"/>
      <c r="AK129" s="15"/>
      <c r="AL129" s="15"/>
      <c r="AM129" s="15"/>
      <c r="AN129" s="15"/>
      <c r="AO129" s="15"/>
      <c r="AP129" s="15"/>
      <c r="AQ129" s="15"/>
    </row>
    <row r="130">
      <c r="A130" s="15"/>
      <c r="B130" s="15"/>
      <c r="C130" s="15"/>
      <c r="D130" s="15"/>
      <c r="E130" s="15"/>
      <c r="F130" s="15"/>
      <c r="G130" s="15"/>
      <c r="H130" s="103"/>
      <c r="I130" s="15"/>
      <c r="J130" s="15"/>
      <c r="K130" s="15"/>
      <c r="L130" s="15"/>
      <c r="M130" s="15"/>
      <c r="N130" s="15"/>
      <c r="O130" s="103"/>
      <c r="P130" s="15"/>
      <c r="Q130" s="15"/>
      <c r="R130" s="15"/>
      <c r="S130" s="15"/>
      <c r="T130" s="15"/>
      <c r="U130" s="15"/>
      <c r="V130" s="103"/>
      <c r="W130" s="15"/>
      <c r="X130" s="15"/>
      <c r="Y130" s="15"/>
      <c r="Z130" s="15"/>
      <c r="AA130" s="15"/>
      <c r="AB130" s="15"/>
      <c r="AC130" s="103"/>
      <c r="AD130" s="15"/>
      <c r="AE130" s="15"/>
      <c r="AF130" s="15"/>
      <c r="AG130" s="15"/>
      <c r="AH130" s="15"/>
      <c r="AI130" s="15"/>
      <c r="AJ130" s="103"/>
      <c r="AK130" s="15"/>
      <c r="AL130" s="15"/>
      <c r="AM130" s="15"/>
      <c r="AN130" s="15"/>
      <c r="AO130" s="15"/>
      <c r="AP130" s="15"/>
      <c r="AQ130" s="15"/>
    </row>
    <row r="131">
      <c r="A131" s="15"/>
      <c r="B131" s="15"/>
      <c r="C131" s="15"/>
      <c r="D131" s="15"/>
      <c r="E131" s="15"/>
      <c r="F131" s="15"/>
      <c r="G131" s="15"/>
      <c r="H131" s="103"/>
      <c r="I131" s="15"/>
      <c r="J131" s="15"/>
      <c r="K131" s="15"/>
      <c r="L131" s="15"/>
      <c r="M131" s="15"/>
      <c r="N131" s="15"/>
      <c r="O131" s="103"/>
      <c r="P131" s="15"/>
      <c r="Q131" s="15"/>
      <c r="R131" s="15"/>
      <c r="S131" s="15"/>
      <c r="T131" s="15"/>
      <c r="U131" s="15"/>
      <c r="V131" s="103"/>
      <c r="W131" s="15"/>
      <c r="X131" s="15"/>
      <c r="Y131" s="15"/>
      <c r="Z131" s="15"/>
      <c r="AA131" s="15"/>
      <c r="AB131" s="15"/>
      <c r="AC131" s="103"/>
      <c r="AD131" s="15"/>
      <c r="AE131" s="15"/>
      <c r="AF131" s="15"/>
      <c r="AG131" s="15"/>
      <c r="AH131" s="15"/>
      <c r="AI131" s="15"/>
      <c r="AJ131" s="103"/>
      <c r="AK131" s="15"/>
      <c r="AL131" s="15"/>
      <c r="AM131" s="15"/>
      <c r="AN131" s="15"/>
      <c r="AO131" s="15"/>
      <c r="AP131" s="15"/>
      <c r="AQ131" s="15"/>
    </row>
    <row r="132">
      <c r="A132" s="15"/>
      <c r="B132" s="15"/>
      <c r="C132" s="15"/>
      <c r="D132" s="15"/>
      <c r="E132" s="15"/>
      <c r="F132" s="15"/>
      <c r="G132" s="15"/>
      <c r="H132" s="103"/>
      <c r="I132" s="15"/>
      <c r="J132" s="15"/>
      <c r="K132" s="15"/>
      <c r="L132" s="15"/>
      <c r="M132" s="15"/>
      <c r="N132" s="15"/>
      <c r="O132" s="103"/>
      <c r="P132" s="15"/>
      <c r="Q132" s="15"/>
      <c r="R132" s="15"/>
      <c r="S132" s="15"/>
      <c r="T132" s="15"/>
      <c r="U132" s="15"/>
      <c r="V132" s="103"/>
      <c r="W132" s="15"/>
      <c r="X132" s="15"/>
      <c r="Y132" s="15"/>
      <c r="Z132" s="15"/>
      <c r="AA132" s="15"/>
      <c r="AB132" s="15"/>
      <c r="AC132" s="103"/>
      <c r="AD132" s="15"/>
      <c r="AE132" s="15"/>
      <c r="AF132" s="15"/>
      <c r="AG132" s="15"/>
      <c r="AH132" s="15"/>
      <c r="AI132" s="15"/>
      <c r="AJ132" s="103"/>
      <c r="AK132" s="15"/>
      <c r="AL132" s="15"/>
      <c r="AM132" s="15"/>
      <c r="AN132" s="15"/>
      <c r="AO132" s="15"/>
      <c r="AP132" s="15"/>
      <c r="AQ132" s="15"/>
    </row>
    <row r="133">
      <c r="A133" s="15"/>
      <c r="B133" s="15"/>
      <c r="C133" s="15"/>
      <c r="D133" s="15"/>
      <c r="E133" s="15"/>
      <c r="F133" s="15"/>
      <c r="G133" s="15"/>
      <c r="H133" s="103"/>
      <c r="I133" s="15"/>
      <c r="J133" s="15"/>
      <c r="K133" s="15"/>
      <c r="L133" s="15"/>
      <c r="M133" s="15"/>
      <c r="N133" s="15"/>
      <c r="O133" s="103"/>
      <c r="P133" s="15"/>
      <c r="Q133" s="15"/>
      <c r="R133" s="15"/>
      <c r="S133" s="15"/>
      <c r="T133" s="15"/>
      <c r="U133" s="15"/>
      <c r="V133" s="103"/>
      <c r="W133" s="15"/>
      <c r="X133" s="15"/>
      <c r="Y133" s="15"/>
      <c r="Z133" s="15"/>
      <c r="AA133" s="15"/>
      <c r="AB133" s="15"/>
      <c r="AC133" s="103"/>
      <c r="AD133" s="15"/>
      <c r="AE133" s="15"/>
      <c r="AF133" s="15"/>
      <c r="AG133" s="15"/>
      <c r="AH133" s="15"/>
      <c r="AI133" s="15"/>
      <c r="AJ133" s="103"/>
      <c r="AK133" s="15"/>
      <c r="AL133" s="15"/>
      <c r="AM133" s="15"/>
      <c r="AN133" s="15"/>
      <c r="AO133" s="15"/>
      <c r="AP133" s="15"/>
      <c r="AQ133" s="15"/>
    </row>
    <row r="134">
      <c r="A134" s="15"/>
      <c r="B134" s="15"/>
      <c r="C134" s="15"/>
      <c r="D134" s="15"/>
      <c r="E134" s="15"/>
      <c r="F134" s="15"/>
      <c r="G134" s="15"/>
      <c r="H134" s="103"/>
      <c r="I134" s="15"/>
      <c r="J134" s="15"/>
      <c r="K134" s="15"/>
      <c r="L134" s="15"/>
      <c r="M134" s="15"/>
      <c r="N134" s="15"/>
      <c r="O134" s="103"/>
      <c r="P134" s="15"/>
      <c r="Q134" s="15"/>
      <c r="R134" s="15"/>
      <c r="S134" s="15"/>
      <c r="T134" s="15"/>
      <c r="U134" s="15"/>
      <c r="V134" s="103"/>
      <c r="W134" s="15"/>
      <c r="X134" s="15"/>
      <c r="Y134" s="15"/>
      <c r="Z134" s="15"/>
      <c r="AA134" s="15"/>
      <c r="AB134" s="15"/>
      <c r="AC134" s="103"/>
      <c r="AD134" s="15"/>
      <c r="AE134" s="15"/>
      <c r="AF134" s="15"/>
      <c r="AG134" s="15"/>
      <c r="AH134" s="15"/>
      <c r="AI134" s="15"/>
      <c r="AJ134" s="103"/>
      <c r="AK134" s="15"/>
      <c r="AL134" s="15"/>
      <c r="AM134" s="15"/>
      <c r="AN134" s="15"/>
      <c r="AO134" s="15"/>
      <c r="AP134" s="15"/>
      <c r="AQ134" s="15"/>
    </row>
    <row r="135">
      <c r="A135" s="15"/>
      <c r="B135" s="15"/>
      <c r="C135" s="15"/>
      <c r="D135" s="15"/>
      <c r="E135" s="15"/>
      <c r="F135" s="15"/>
      <c r="G135" s="15"/>
      <c r="H135" s="103"/>
      <c r="I135" s="15"/>
      <c r="J135" s="15"/>
      <c r="K135" s="15"/>
      <c r="L135" s="15"/>
      <c r="M135" s="15"/>
      <c r="N135" s="15"/>
      <c r="O135" s="103"/>
      <c r="P135" s="15"/>
      <c r="Q135" s="15"/>
      <c r="R135" s="15"/>
      <c r="S135" s="15"/>
      <c r="T135" s="15"/>
      <c r="U135" s="15"/>
      <c r="V135" s="103"/>
      <c r="W135" s="15"/>
      <c r="X135" s="15"/>
      <c r="Y135" s="15"/>
      <c r="Z135" s="15"/>
      <c r="AA135" s="15"/>
      <c r="AB135" s="15"/>
      <c r="AC135" s="103"/>
      <c r="AD135" s="15"/>
      <c r="AE135" s="15"/>
      <c r="AF135" s="15"/>
      <c r="AG135" s="15"/>
      <c r="AH135" s="15"/>
      <c r="AI135" s="15"/>
      <c r="AJ135" s="103"/>
      <c r="AK135" s="15"/>
      <c r="AL135" s="15"/>
      <c r="AM135" s="15"/>
      <c r="AN135" s="15"/>
      <c r="AO135" s="15"/>
      <c r="AP135" s="15"/>
      <c r="AQ135" s="15"/>
    </row>
    <row r="136">
      <c r="A136" s="15"/>
      <c r="B136" s="15"/>
      <c r="C136" s="15"/>
      <c r="D136" s="15"/>
      <c r="E136" s="15"/>
      <c r="F136" s="15"/>
      <c r="G136" s="15"/>
      <c r="H136" s="103"/>
      <c r="I136" s="15"/>
      <c r="J136" s="15"/>
      <c r="K136" s="15"/>
      <c r="L136" s="15"/>
      <c r="M136" s="15"/>
      <c r="N136" s="15"/>
      <c r="O136" s="103"/>
      <c r="P136" s="15"/>
      <c r="Q136" s="15"/>
      <c r="R136" s="15"/>
      <c r="S136" s="15"/>
      <c r="T136" s="15"/>
      <c r="U136" s="15"/>
      <c r="V136" s="103"/>
      <c r="W136" s="15"/>
      <c r="X136" s="15"/>
      <c r="Y136" s="15"/>
      <c r="Z136" s="15"/>
      <c r="AA136" s="15"/>
      <c r="AB136" s="15"/>
      <c r="AC136" s="103"/>
      <c r="AD136" s="15"/>
      <c r="AE136" s="15"/>
      <c r="AF136" s="15"/>
      <c r="AG136" s="15"/>
      <c r="AH136" s="15"/>
      <c r="AI136" s="15"/>
      <c r="AJ136" s="103"/>
      <c r="AK136" s="15"/>
      <c r="AL136" s="15"/>
      <c r="AM136" s="15"/>
      <c r="AN136" s="15"/>
      <c r="AO136" s="15"/>
      <c r="AP136" s="15"/>
      <c r="AQ136" s="15"/>
    </row>
    <row r="137">
      <c r="A137" s="15"/>
      <c r="B137" s="15"/>
      <c r="C137" s="15"/>
      <c r="D137" s="15"/>
      <c r="E137" s="15"/>
      <c r="F137" s="15"/>
      <c r="G137" s="15"/>
      <c r="H137" s="103"/>
      <c r="I137" s="15"/>
      <c r="J137" s="15"/>
      <c r="K137" s="15"/>
      <c r="L137" s="15"/>
      <c r="M137" s="15"/>
      <c r="N137" s="15"/>
      <c r="O137" s="103"/>
      <c r="P137" s="15"/>
      <c r="Q137" s="15"/>
      <c r="R137" s="15"/>
      <c r="S137" s="15"/>
      <c r="T137" s="15"/>
      <c r="U137" s="15"/>
      <c r="V137" s="103"/>
      <c r="W137" s="15"/>
      <c r="X137" s="15"/>
      <c r="Y137" s="15"/>
      <c r="Z137" s="15"/>
      <c r="AA137" s="15"/>
      <c r="AB137" s="15"/>
      <c r="AC137" s="103"/>
      <c r="AD137" s="15"/>
      <c r="AE137" s="15"/>
      <c r="AF137" s="15"/>
      <c r="AG137" s="15"/>
      <c r="AH137" s="15"/>
      <c r="AI137" s="15"/>
      <c r="AJ137" s="103"/>
      <c r="AK137" s="15"/>
      <c r="AL137" s="15"/>
      <c r="AM137" s="15"/>
      <c r="AN137" s="15"/>
      <c r="AO137" s="15"/>
      <c r="AP137" s="15"/>
      <c r="AQ137" s="15"/>
    </row>
    <row r="138">
      <c r="A138" s="15"/>
      <c r="B138" s="15"/>
      <c r="C138" s="15"/>
      <c r="D138" s="15"/>
      <c r="E138" s="15"/>
      <c r="F138" s="15"/>
      <c r="G138" s="15"/>
      <c r="H138" s="103"/>
      <c r="I138" s="15"/>
      <c r="J138" s="15"/>
      <c r="K138" s="15"/>
      <c r="L138" s="15"/>
      <c r="M138" s="15"/>
      <c r="N138" s="15"/>
      <c r="O138" s="103"/>
      <c r="P138" s="15"/>
      <c r="Q138" s="15"/>
      <c r="R138" s="15"/>
      <c r="S138" s="15"/>
      <c r="T138" s="15"/>
      <c r="U138" s="15"/>
      <c r="V138" s="103"/>
      <c r="W138" s="15"/>
      <c r="X138" s="15"/>
      <c r="Y138" s="15"/>
      <c r="Z138" s="15"/>
      <c r="AA138" s="15"/>
      <c r="AB138" s="15"/>
      <c r="AC138" s="103"/>
      <c r="AD138" s="15"/>
      <c r="AE138" s="15"/>
      <c r="AF138" s="15"/>
      <c r="AG138" s="15"/>
      <c r="AH138" s="15"/>
      <c r="AI138" s="15"/>
      <c r="AJ138" s="103"/>
      <c r="AK138" s="15"/>
      <c r="AL138" s="15"/>
      <c r="AM138" s="15"/>
      <c r="AN138" s="15"/>
      <c r="AO138" s="15"/>
      <c r="AP138" s="15"/>
      <c r="AQ138" s="15"/>
    </row>
    <row r="139">
      <c r="A139" s="15"/>
      <c r="B139" s="15"/>
      <c r="C139" s="15"/>
      <c r="D139" s="15"/>
      <c r="E139" s="15"/>
      <c r="F139" s="15"/>
      <c r="G139" s="15"/>
      <c r="H139" s="103"/>
      <c r="I139" s="15"/>
      <c r="J139" s="15"/>
      <c r="K139" s="15"/>
      <c r="L139" s="15"/>
      <c r="M139" s="15"/>
      <c r="N139" s="15"/>
      <c r="O139" s="103"/>
      <c r="P139" s="15"/>
      <c r="Q139" s="15"/>
      <c r="R139" s="15"/>
      <c r="S139" s="15"/>
      <c r="T139" s="15"/>
      <c r="U139" s="15"/>
      <c r="V139" s="103"/>
      <c r="W139" s="15"/>
      <c r="X139" s="15"/>
      <c r="Y139" s="15"/>
      <c r="Z139" s="15"/>
      <c r="AA139" s="15"/>
      <c r="AB139" s="15"/>
      <c r="AC139" s="103"/>
      <c r="AD139" s="15"/>
      <c r="AE139" s="15"/>
      <c r="AF139" s="15"/>
      <c r="AG139" s="15"/>
      <c r="AH139" s="15"/>
      <c r="AI139" s="15"/>
      <c r="AJ139" s="103"/>
      <c r="AK139" s="15"/>
      <c r="AL139" s="15"/>
      <c r="AM139" s="15"/>
      <c r="AN139" s="15"/>
      <c r="AO139" s="15"/>
      <c r="AP139" s="15"/>
      <c r="AQ139" s="15"/>
    </row>
    <row r="140">
      <c r="A140" s="15"/>
      <c r="B140" s="15"/>
      <c r="C140" s="15"/>
      <c r="D140" s="15"/>
      <c r="E140" s="15"/>
      <c r="F140" s="15"/>
      <c r="G140" s="15"/>
      <c r="H140" s="103"/>
      <c r="I140" s="15"/>
      <c r="J140" s="15"/>
      <c r="K140" s="15"/>
      <c r="L140" s="15"/>
      <c r="M140" s="15"/>
      <c r="N140" s="15"/>
      <c r="O140" s="103"/>
      <c r="P140" s="15"/>
      <c r="Q140" s="15"/>
      <c r="R140" s="15"/>
      <c r="S140" s="15"/>
      <c r="T140" s="15"/>
      <c r="U140" s="15"/>
      <c r="V140" s="103"/>
      <c r="W140" s="15"/>
      <c r="X140" s="15"/>
      <c r="Y140" s="15"/>
      <c r="Z140" s="15"/>
      <c r="AA140" s="15"/>
      <c r="AB140" s="15"/>
      <c r="AC140" s="103"/>
      <c r="AD140" s="15"/>
      <c r="AE140" s="15"/>
      <c r="AF140" s="15"/>
      <c r="AG140" s="15"/>
      <c r="AH140" s="15"/>
      <c r="AI140" s="15"/>
      <c r="AJ140" s="103"/>
      <c r="AK140" s="15"/>
      <c r="AL140" s="15"/>
      <c r="AM140" s="15"/>
      <c r="AN140" s="15"/>
      <c r="AO140" s="15"/>
      <c r="AP140" s="15"/>
      <c r="AQ140" s="15"/>
    </row>
    <row r="141">
      <c r="A141" s="15"/>
      <c r="B141" s="15"/>
      <c r="C141" s="15"/>
      <c r="D141" s="15"/>
      <c r="E141" s="15"/>
      <c r="F141" s="15"/>
      <c r="G141" s="15"/>
      <c r="H141" s="103"/>
      <c r="I141" s="15"/>
      <c r="J141" s="15"/>
      <c r="K141" s="15"/>
      <c r="L141" s="15"/>
      <c r="M141" s="15"/>
      <c r="N141" s="15"/>
      <c r="O141" s="103"/>
      <c r="P141" s="15"/>
      <c r="Q141" s="15"/>
      <c r="R141" s="15"/>
      <c r="S141" s="15"/>
      <c r="T141" s="15"/>
      <c r="U141" s="15"/>
      <c r="V141" s="103"/>
      <c r="W141" s="15"/>
      <c r="X141" s="15"/>
      <c r="Y141" s="15"/>
      <c r="Z141" s="15"/>
      <c r="AA141" s="15"/>
      <c r="AB141" s="15"/>
      <c r="AC141" s="103"/>
      <c r="AD141" s="15"/>
      <c r="AE141" s="15"/>
      <c r="AF141" s="15"/>
      <c r="AG141" s="15"/>
      <c r="AH141" s="15"/>
      <c r="AI141" s="15"/>
      <c r="AJ141" s="103"/>
      <c r="AK141" s="15"/>
      <c r="AL141" s="15"/>
      <c r="AM141" s="15"/>
      <c r="AN141" s="15"/>
      <c r="AO141" s="15"/>
      <c r="AP141" s="15"/>
      <c r="AQ141" s="15"/>
    </row>
    <row r="142">
      <c r="A142" s="15"/>
      <c r="B142" s="15"/>
      <c r="C142" s="15"/>
      <c r="D142" s="15"/>
      <c r="E142" s="15"/>
      <c r="F142" s="15"/>
      <c r="G142" s="15"/>
      <c r="H142" s="103"/>
      <c r="I142" s="15"/>
      <c r="J142" s="15"/>
      <c r="K142" s="15"/>
      <c r="L142" s="15"/>
      <c r="M142" s="15"/>
      <c r="N142" s="15"/>
      <c r="O142" s="103"/>
      <c r="P142" s="15"/>
      <c r="Q142" s="15"/>
      <c r="R142" s="15"/>
      <c r="S142" s="15"/>
      <c r="T142" s="15"/>
      <c r="U142" s="15"/>
      <c r="V142" s="103"/>
      <c r="W142" s="15"/>
      <c r="X142" s="15"/>
      <c r="Y142" s="15"/>
      <c r="Z142" s="15"/>
      <c r="AA142" s="15"/>
      <c r="AB142" s="15"/>
      <c r="AC142" s="103"/>
      <c r="AD142" s="15"/>
      <c r="AE142" s="15"/>
      <c r="AF142" s="15"/>
      <c r="AG142" s="15"/>
      <c r="AH142" s="15"/>
      <c r="AI142" s="15"/>
      <c r="AJ142" s="103"/>
      <c r="AK142" s="15"/>
      <c r="AL142" s="15"/>
      <c r="AM142" s="15"/>
      <c r="AN142" s="15"/>
      <c r="AO142" s="15"/>
      <c r="AP142" s="15"/>
      <c r="AQ142" s="15"/>
    </row>
    <row r="143">
      <c r="A143" s="15"/>
      <c r="B143" s="15"/>
      <c r="C143" s="15"/>
      <c r="D143" s="15"/>
      <c r="E143" s="15"/>
      <c r="F143" s="15"/>
      <c r="G143" s="15"/>
      <c r="H143" s="103"/>
      <c r="I143" s="15"/>
      <c r="J143" s="15"/>
      <c r="K143" s="15"/>
      <c r="L143" s="15"/>
      <c r="M143" s="15"/>
      <c r="N143" s="15"/>
      <c r="O143" s="103"/>
      <c r="P143" s="15"/>
      <c r="Q143" s="15"/>
      <c r="R143" s="15"/>
      <c r="S143" s="15"/>
      <c r="T143" s="15"/>
      <c r="U143" s="15"/>
      <c r="V143" s="103"/>
      <c r="W143" s="15"/>
      <c r="X143" s="15"/>
      <c r="Y143" s="15"/>
      <c r="Z143" s="15"/>
      <c r="AA143" s="15"/>
      <c r="AB143" s="15"/>
      <c r="AC143" s="103"/>
      <c r="AD143" s="15"/>
      <c r="AE143" s="15"/>
      <c r="AF143" s="15"/>
      <c r="AG143" s="15"/>
      <c r="AH143" s="15"/>
      <c r="AI143" s="15"/>
      <c r="AJ143" s="103"/>
      <c r="AK143" s="15"/>
      <c r="AL143" s="15"/>
      <c r="AM143" s="15"/>
      <c r="AN143" s="15"/>
      <c r="AO143" s="15"/>
      <c r="AP143" s="15"/>
      <c r="AQ143" s="15"/>
    </row>
    <row r="144">
      <c r="A144" s="15"/>
      <c r="B144" s="15"/>
      <c r="C144" s="15"/>
      <c r="D144" s="15"/>
      <c r="E144" s="15"/>
      <c r="F144" s="15"/>
      <c r="G144" s="15"/>
      <c r="H144" s="103"/>
      <c r="I144" s="15"/>
      <c r="J144" s="15"/>
      <c r="K144" s="15"/>
      <c r="L144" s="15"/>
      <c r="M144" s="15"/>
      <c r="N144" s="15"/>
      <c r="O144" s="103"/>
      <c r="P144" s="15"/>
      <c r="Q144" s="15"/>
      <c r="R144" s="15"/>
      <c r="S144" s="15"/>
      <c r="T144" s="15"/>
      <c r="U144" s="15"/>
      <c r="V144" s="103"/>
      <c r="W144" s="15"/>
      <c r="X144" s="15"/>
      <c r="Y144" s="15"/>
      <c r="Z144" s="15"/>
      <c r="AA144" s="15"/>
      <c r="AB144" s="15"/>
      <c r="AC144" s="103"/>
      <c r="AD144" s="15"/>
      <c r="AE144" s="15"/>
      <c r="AF144" s="15"/>
      <c r="AG144" s="15"/>
      <c r="AH144" s="15"/>
      <c r="AI144" s="15"/>
      <c r="AJ144" s="103"/>
      <c r="AK144" s="15"/>
      <c r="AL144" s="15"/>
      <c r="AM144" s="15"/>
      <c r="AN144" s="15"/>
      <c r="AO144" s="15"/>
      <c r="AP144" s="15"/>
      <c r="AQ144" s="15"/>
    </row>
    <row r="145">
      <c r="A145" s="15"/>
      <c r="B145" s="15"/>
      <c r="C145" s="15"/>
      <c r="D145" s="15"/>
      <c r="E145" s="15"/>
      <c r="F145" s="15"/>
      <c r="G145" s="15"/>
      <c r="H145" s="103"/>
      <c r="I145" s="15"/>
      <c r="J145" s="15"/>
      <c r="K145" s="15"/>
      <c r="L145" s="15"/>
      <c r="M145" s="15"/>
      <c r="N145" s="15"/>
      <c r="O145" s="103"/>
      <c r="P145" s="15"/>
      <c r="Q145" s="15"/>
      <c r="R145" s="15"/>
      <c r="S145" s="15"/>
      <c r="T145" s="15"/>
      <c r="U145" s="15"/>
      <c r="V145" s="103"/>
      <c r="W145" s="15"/>
      <c r="X145" s="15"/>
      <c r="Y145" s="15"/>
      <c r="Z145" s="15"/>
      <c r="AA145" s="15"/>
      <c r="AB145" s="15"/>
      <c r="AC145" s="103"/>
      <c r="AD145" s="15"/>
      <c r="AE145" s="15"/>
      <c r="AF145" s="15"/>
      <c r="AG145" s="15"/>
      <c r="AH145" s="15"/>
      <c r="AI145" s="15"/>
      <c r="AJ145" s="103"/>
      <c r="AK145" s="15"/>
      <c r="AL145" s="15"/>
      <c r="AM145" s="15"/>
      <c r="AN145" s="15"/>
      <c r="AO145" s="15"/>
      <c r="AP145" s="15"/>
      <c r="AQ145" s="15"/>
    </row>
    <row r="146">
      <c r="A146" s="15"/>
      <c r="B146" s="15"/>
      <c r="C146" s="15"/>
      <c r="D146" s="15"/>
      <c r="E146" s="15"/>
      <c r="F146" s="15"/>
      <c r="G146" s="15"/>
      <c r="H146" s="103"/>
      <c r="I146" s="15"/>
      <c r="J146" s="15"/>
      <c r="K146" s="15"/>
      <c r="L146" s="15"/>
      <c r="M146" s="15"/>
      <c r="N146" s="15"/>
      <c r="O146" s="103"/>
      <c r="P146" s="15"/>
      <c r="Q146" s="15"/>
      <c r="R146" s="15"/>
      <c r="S146" s="15"/>
      <c r="T146" s="15"/>
      <c r="U146" s="15"/>
      <c r="V146" s="103"/>
      <c r="W146" s="15"/>
      <c r="X146" s="15"/>
      <c r="Y146" s="15"/>
      <c r="Z146" s="15"/>
      <c r="AA146" s="15"/>
      <c r="AB146" s="15"/>
      <c r="AC146" s="103"/>
      <c r="AD146" s="15"/>
      <c r="AE146" s="15"/>
      <c r="AF146" s="15"/>
      <c r="AG146" s="15"/>
      <c r="AH146" s="15"/>
      <c r="AI146" s="15"/>
      <c r="AJ146" s="103"/>
      <c r="AK146" s="15"/>
      <c r="AL146" s="15"/>
      <c r="AM146" s="15"/>
      <c r="AN146" s="15"/>
      <c r="AO146" s="15"/>
      <c r="AP146" s="15"/>
      <c r="AQ146" s="15"/>
    </row>
    <row r="147">
      <c r="A147" s="15"/>
      <c r="B147" s="15"/>
      <c r="C147" s="15"/>
      <c r="D147" s="15"/>
      <c r="E147" s="15"/>
      <c r="F147" s="15"/>
      <c r="G147" s="15"/>
      <c r="H147" s="103"/>
      <c r="I147" s="15"/>
      <c r="J147" s="15"/>
      <c r="K147" s="15"/>
      <c r="L147" s="15"/>
      <c r="M147" s="15"/>
      <c r="N147" s="15"/>
      <c r="O147" s="103"/>
      <c r="P147" s="15"/>
      <c r="Q147" s="15"/>
      <c r="R147" s="15"/>
      <c r="S147" s="15"/>
      <c r="T147" s="15"/>
      <c r="U147" s="15"/>
      <c r="V147" s="103"/>
      <c r="W147" s="15"/>
      <c r="X147" s="15"/>
      <c r="Y147" s="15"/>
      <c r="Z147" s="15"/>
      <c r="AA147" s="15"/>
      <c r="AB147" s="15"/>
      <c r="AC147" s="103"/>
      <c r="AD147" s="15"/>
      <c r="AE147" s="15"/>
      <c r="AF147" s="15"/>
      <c r="AG147" s="15"/>
      <c r="AH147" s="15"/>
      <c r="AI147" s="15"/>
      <c r="AJ147" s="103"/>
      <c r="AK147" s="15"/>
      <c r="AL147" s="15"/>
      <c r="AM147" s="15"/>
      <c r="AN147" s="15"/>
      <c r="AO147" s="15"/>
      <c r="AP147" s="15"/>
      <c r="AQ147" s="15"/>
    </row>
    <row r="148">
      <c r="A148" s="15"/>
      <c r="B148" s="15"/>
      <c r="C148" s="15"/>
      <c r="D148" s="15"/>
      <c r="E148" s="15"/>
      <c r="F148" s="15"/>
      <c r="G148" s="15"/>
      <c r="H148" s="103"/>
      <c r="I148" s="15"/>
      <c r="J148" s="15"/>
      <c r="K148" s="15"/>
      <c r="L148" s="15"/>
      <c r="M148" s="15"/>
      <c r="N148" s="15"/>
      <c r="O148" s="103"/>
      <c r="P148" s="15"/>
      <c r="Q148" s="15"/>
      <c r="R148" s="15"/>
      <c r="S148" s="15"/>
      <c r="T148" s="15"/>
      <c r="U148" s="15"/>
      <c r="V148" s="103"/>
      <c r="W148" s="15"/>
      <c r="X148" s="15"/>
      <c r="Y148" s="15"/>
      <c r="Z148" s="15"/>
      <c r="AA148" s="15"/>
      <c r="AB148" s="15"/>
      <c r="AC148" s="103"/>
      <c r="AD148" s="15"/>
      <c r="AE148" s="15"/>
      <c r="AF148" s="15"/>
      <c r="AG148" s="15"/>
      <c r="AH148" s="15"/>
      <c r="AI148" s="15"/>
      <c r="AJ148" s="103"/>
      <c r="AK148" s="15"/>
      <c r="AL148" s="15"/>
      <c r="AM148" s="15"/>
      <c r="AN148" s="15"/>
      <c r="AO148" s="15"/>
      <c r="AP148" s="15"/>
      <c r="AQ148" s="15"/>
    </row>
    <row r="149">
      <c r="A149" s="15"/>
      <c r="B149" s="15"/>
      <c r="C149" s="15"/>
      <c r="D149" s="15"/>
      <c r="E149" s="15"/>
      <c r="F149" s="15"/>
      <c r="G149" s="15"/>
      <c r="H149" s="103"/>
      <c r="I149" s="15"/>
      <c r="J149" s="15"/>
      <c r="K149" s="15"/>
      <c r="L149" s="15"/>
      <c r="M149" s="15"/>
      <c r="N149" s="15"/>
      <c r="O149" s="103"/>
      <c r="P149" s="15"/>
      <c r="Q149" s="15"/>
      <c r="R149" s="15"/>
      <c r="S149" s="15"/>
      <c r="T149" s="15"/>
      <c r="U149" s="15"/>
      <c r="V149" s="103"/>
      <c r="W149" s="15"/>
      <c r="X149" s="15"/>
      <c r="Y149" s="15"/>
      <c r="Z149" s="15"/>
      <c r="AA149" s="15"/>
      <c r="AB149" s="15"/>
      <c r="AC149" s="103"/>
      <c r="AD149" s="15"/>
      <c r="AE149" s="15"/>
      <c r="AF149" s="15"/>
      <c r="AG149" s="15"/>
      <c r="AH149" s="15"/>
      <c r="AI149" s="15"/>
      <c r="AJ149" s="103"/>
      <c r="AK149" s="15"/>
      <c r="AL149" s="15"/>
      <c r="AM149" s="15"/>
      <c r="AN149" s="15"/>
      <c r="AO149" s="15"/>
      <c r="AP149" s="15"/>
      <c r="AQ149" s="15"/>
    </row>
    <row r="150">
      <c r="A150" s="15"/>
      <c r="B150" s="15"/>
      <c r="C150" s="15"/>
      <c r="D150" s="15"/>
      <c r="E150" s="15"/>
      <c r="F150" s="15"/>
      <c r="G150" s="15"/>
      <c r="H150" s="103"/>
      <c r="I150" s="15"/>
      <c r="J150" s="15"/>
      <c r="K150" s="15"/>
      <c r="L150" s="15"/>
      <c r="M150" s="15"/>
      <c r="N150" s="15"/>
      <c r="O150" s="103"/>
      <c r="P150" s="15"/>
      <c r="Q150" s="15"/>
      <c r="R150" s="15"/>
      <c r="S150" s="15"/>
      <c r="T150" s="15"/>
      <c r="U150" s="15"/>
      <c r="V150" s="103"/>
      <c r="W150" s="15"/>
      <c r="X150" s="15"/>
      <c r="Y150" s="15"/>
      <c r="Z150" s="15"/>
      <c r="AA150" s="15"/>
      <c r="AB150" s="15"/>
      <c r="AC150" s="103"/>
      <c r="AD150" s="15"/>
      <c r="AE150" s="15"/>
      <c r="AF150" s="15"/>
      <c r="AG150" s="15"/>
      <c r="AH150" s="15"/>
      <c r="AI150" s="15"/>
      <c r="AJ150" s="103"/>
      <c r="AK150" s="15"/>
      <c r="AL150" s="15"/>
      <c r="AM150" s="15"/>
      <c r="AN150" s="15"/>
      <c r="AO150" s="15"/>
      <c r="AP150" s="15"/>
      <c r="AQ150" s="15"/>
    </row>
    <row r="151">
      <c r="A151" s="15"/>
      <c r="B151" s="15"/>
      <c r="C151" s="15"/>
      <c r="D151" s="15"/>
      <c r="E151" s="15"/>
      <c r="F151" s="15"/>
      <c r="G151" s="15"/>
      <c r="H151" s="103"/>
      <c r="I151" s="15"/>
      <c r="J151" s="15"/>
      <c r="K151" s="15"/>
      <c r="L151" s="15"/>
      <c r="M151" s="15"/>
      <c r="N151" s="15"/>
      <c r="O151" s="103"/>
      <c r="P151" s="15"/>
      <c r="Q151" s="15"/>
      <c r="R151" s="15"/>
      <c r="S151" s="15"/>
      <c r="T151" s="15"/>
      <c r="U151" s="15"/>
      <c r="V151" s="103"/>
      <c r="W151" s="15"/>
      <c r="X151" s="15"/>
      <c r="Y151" s="15"/>
      <c r="Z151" s="15"/>
      <c r="AA151" s="15"/>
      <c r="AB151" s="15"/>
      <c r="AC151" s="103"/>
      <c r="AD151" s="15"/>
      <c r="AE151" s="15"/>
      <c r="AF151" s="15"/>
      <c r="AG151" s="15"/>
      <c r="AH151" s="15"/>
      <c r="AI151" s="15"/>
      <c r="AJ151" s="103"/>
      <c r="AK151" s="15"/>
      <c r="AL151" s="15"/>
      <c r="AM151" s="15"/>
      <c r="AN151" s="15"/>
      <c r="AO151" s="15"/>
      <c r="AP151" s="15"/>
      <c r="AQ151" s="15"/>
    </row>
    <row r="152">
      <c r="A152" s="15"/>
      <c r="B152" s="15"/>
      <c r="C152" s="15"/>
      <c r="D152" s="15"/>
      <c r="E152" s="15"/>
      <c r="F152" s="15"/>
      <c r="G152" s="15"/>
      <c r="H152" s="103"/>
      <c r="I152" s="15"/>
      <c r="J152" s="15"/>
      <c r="K152" s="15"/>
      <c r="L152" s="15"/>
      <c r="M152" s="15"/>
      <c r="N152" s="15"/>
      <c r="O152" s="103"/>
      <c r="P152" s="15"/>
      <c r="Q152" s="15"/>
      <c r="R152" s="15"/>
      <c r="S152" s="15"/>
      <c r="T152" s="15"/>
      <c r="U152" s="15"/>
      <c r="V152" s="103"/>
      <c r="W152" s="15"/>
      <c r="X152" s="15"/>
      <c r="Y152" s="15"/>
      <c r="Z152" s="15"/>
      <c r="AA152" s="15"/>
      <c r="AB152" s="15"/>
      <c r="AC152" s="103"/>
      <c r="AD152" s="15"/>
      <c r="AE152" s="15"/>
      <c r="AF152" s="15"/>
      <c r="AG152" s="15"/>
      <c r="AH152" s="15"/>
      <c r="AI152" s="15"/>
      <c r="AJ152" s="103"/>
      <c r="AK152" s="15"/>
      <c r="AL152" s="15"/>
      <c r="AM152" s="15"/>
      <c r="AN152" s="15"/>
      <c r="AO152" s="15"/>
      <c r="AP152" s="15"/>
      <c r="AQ152" s="15"/>
    </row>
    <row r="153">
      <c r="A153" s="15"/>
      <c r="B153" s="15"/>
      <c r="C153" s="15"/>
      <c r="D153" s="15"/>
      <c r="E153" s="15"/>
      <c r="F153" s="15"/>
      <c r="G153" s="15"/>
      <c r="H153" s="103"/>
      <c r="I153" s="15"/>
      <c r="J153" s="15"/>
      <c r="K153" s="15"/>
      <c r="L153" s="15"/>
      <c r="M153" s="15"/>
      <c r="N153" s="15"/>
      <c r="O153" s="103"/>
      <c r="P153" s="15"/>
      <c r="Q153" s="15"/>
      <c r="R153" s="15"/>
      <c r="S153" s="15"/>
      <c r="T153" s="15"/>
      <c r="U153" s="15"/>
      <c r="V153" s="103"/>
      <c r="W153" s="15"/>
      <c r="X153" s="15"/>
      <c r="Y153" s="15"/>
      <c r="Z153" s="15"/>
      <c r="AA153" s="15"/>
      <c r="AB153" s="15"/>
      <c r="AC153" s="103"/>
      <c r="AD153" s="15"/>
      <c r="AE153" s="15"/>
      <c r="AF153" s="15"/>
      <c r="AG153" s="15"/>
      <c r="AH153" s="15"/>
      <c r="AI153" s="15"/>
      <c r="AJ153" s="103"/>
      <c r="AK153" s="15"/>
      <c r="AL153" s="15"/>
      <c r="AM153" s="15"/>
      <c r="AN153" s="15"/>
      <c r="AO153" s="15"/>
      <c r="AP153" s="15"/>
      <c r="AQ153" s="15"/>
    </row>
    <row r="154">
      <c r="A154" s="15"/>
      <c r="B154" s="15"/>
      <c r="C154" s="15"/>
      <c r="D154" s="15"/>
      <c r="E154" s="15"/>
      <c r="F154" s="15"/>
      <c r="G154" s="15"/>
      <c r="H154" s="103"/>
      <c r="I154" s="15"/>
      <c r="J154" s="15"/>
      <c r="K154" s="15"/>
      <c r="L154" s="15"/>
      <c r="M154" s="15"/>
      <c r="N154" s="15"/>
      <c r="O154" s="103"/>
      <c r="P154" s="15"/>
      <c r="Q154" s="15"/>
      <c r="R154" s="15"/>
      <c r="S154" s="15"/>
      <c r="T154" s="15"/>
      <c r="U154" s="15"/>
      <c r="V154" s="103"/>
      <c r="W154" s="15"/>
      <c r="X154" s="15"/>
      <c r="Y154" s="15"/>
      <c r="Z154" s="15"/>
      <c r="AA154" s="15"/>
      <c r="AB154" s="15"/>
      <c r="AC154" s="103"/>
      <c r="AD154" s="15"/>
      <c r="AE154" s="15"/>
      <c r="AF154" s="15"/>
      <c r="AG154" s="15"/>
      <c r="AH154" s="15"/>
      <c r="AI154" s="15"/>
      <c r="AJ154" s="103"/>
      <c r="AK154" s="15"/>
      <c r="AL154" s="15"/>
      <c r="AM154" s="15"/>
      <c r="AN154" s="15"/>
      <c r="AO154" s="15"/>
      <c r="AP154" s="15"/>
      <c r="AQ154" s="15"/>
    </row>
    <row r="155">
      <c r="A155" s="15"/>
      <c r="B155" s="15"/>
      <c r="C155" s="15"/>
      <c r="D155" s="15"/>
      <c r="E155" s="15"/>
      <c r="F155" s="15"/>
      <c r="G155" s="15"/>
      <c r="H155" s="103"/>
      <c r="I155" s="15"/>
      <c r="J155" s="15"/>
      <c r="K155" s="15"/>
      <c r="L155" s="15"/>
      <c r="M155" s="15"/>
      <c r="N155" s="15"/>
      <c r="O155" s="103"/>
      <c r="P155" s="15"/>
      <c r="Q155" s="15"/>
      <c r="R155" s="15"/>
      <c r="S155" s="15"/>
      <c r="T155" s="15"/>
      <c r="U155" s="15"/>
      <c r="V155" s="103"/>
      <c r="W155" s="15"/>
      <c r="X155" s="15"/>
      <c r="Y155" s="15"/>
      <c r="Z155" s="15"/>
      <c r="AA155" s="15"/>
      <c r="AB155" s="15"/>
      <c r="AC155" s="103"/>
      <c r="AD155" s="15"/>
      <c r="AE155" s="15"/>
      <c r="AF155" s="15"/>
      <c r="AG155" s="15"/>
      <c r="AH155" s="15"/>
      <c r="AI155" s="15"/>
      <c r="AJ155" s="103"/>
      <c r="AK155" s="15"/>
      <c r="AL155" s="15"/>
      <c r="AM155" s="15"/>
      <c r="AN155" s="15"/>
      <c r="AO155" s="15"/>
      <c r="AP155" s="15"/>
      <c r="AQ155" s="15"/>
    </row>
    <row r="156">
      <c r="A156" s="15"/>
      <c r="B156" s="15"/>
      <c r="C156" s="15"/>
      <c r="D156" s="15"/>
      <c r="E156" s="15"/>
      <c r="F156" s="15"/>
      <c r="G156" s="15"/>
      <c r="H156" s="103"/>
      <c r="I156" s="15"/>
      <c r="J156" s="15"/>
      <c r="K156" s="15"/>
      <c r="L156" s="15"/>
      <c r="M156" s="15"/>
      <c r="N156" s="15"/>
      <c r="O156" s="103"/>
      <c r="P156" s="15"/>
      <c r="Q156" s="15"/>
      <c r="R156" s="15"/>
      <c r="S156" s="15"/>
      <c r="T156" s="15"/>
      <c r="U156" s="15"/>
      <c r="V156" s="103"/>
      <c r="W156" s="15"/>
      <c r="X156" s="15"/>
      <c r="Y156" s="15"/>
      <c r="Z156" s="15"/>
      <c r="AA156" s="15"/>
      <c r="AB156" s="15"/>
      <c r="AC156" s="103"/>
      <c r="AD156" s="15"/>
      <c r="AE156" s="15"/>
      <c r="AF156" s="15"/>
      <c r="AG156" s="15"/>
      <c r="AH156" s="15"/>
      <c r="AI156" s="15"/>
      <c r="AJ156" s="103"/>
      <c r="AK156" s="15"/>
      <c r="AL156" s="15"/>
      <c r="AM156" s="15"/>
      <c r="AN156" s="15"/>
      <c r="AO156" s="15"/>
      <c r="AP156" s="15"/>
      <c r="AQ156" s="15"/>
    </row>
    <row r="157">
      <c r="A157" s="15"/>
      <c r="B157" s="15"/>
      <c r="C157" s="15"/>
      <c r="D157" s="15"/>
      <c r="E157" s="15"/>
      <c r="F157" s="15"/>
      <c r="G157" s="15"/>
      <c r="H157" s="103"/>
      <c r="I157" s="15"/>
      <c r="J157" s="15"/>
      <c r="K157" s="15"/>
      <c r="L157" s="15"/>
      <c r="M157" s="15"/>
      <c r="N157" s="15"/>
      <c r="O157" s="103"/>
      <c r="P157" s="15"/>
      <c r="Q157" s="15"/>
      <c r="R157" s="15"/>
      <c r="S157" s="15"/>
      <c r="T157" s="15"/>
      <c r="U157" s="15"/>
      <c r="V157" s="103"/>
      <c r="W157" s="15"/>
      <c r="X157" s="15"/>
      <c r="Y157" s="15"/>
      <c r="Z157" s="15"/>
      <c r="AA157" s="15"/>
      <c r="AB157" s="15"/>
      <c r="AC157" s="103"/>
      <c r="AD157" s="15"/>
      <c r="AE157" s="15"/>
      <c r="AF157" s="15"/>
      <c r="AG157" s="15"/>
      <c r="AH157" s="15"/>
      <c r="AI157" s="15"/>
      <c r="AJ157" s="103"/>
      <c r="AK157" s="15"/>
      <c r="AL157" s="15"/>
      <c r="AM157" s="15"/>
      <c r="AN157" s="15"/>
      <c r="AO157" s="15"/>
      <c r="AP157" s="15"/>
      <c r="AQ157" s="15"/>
    </row>
    <row r="158">
      <c r="A158" s="15"/>
      <c r="B158" s="15"/>
      <c r="C158" s="15"/>
      <c r="D158" s="15"/>
      <c r="E158" s="15"/>
      <c r="F158" s="15"/>
      <c r="G158" s="15"/>
      <c r="H158" s="103"/>
      <c r="I158" s="15"/>
      <c r="J158" s="15"/>
      <c r="K158" s="15"/>
      <c r="L158" s="15"/>
      <c r="M158" s="15"/>
      <c r="N158" s="15"/>
      <c r="O158" s="103"/>
      <c r="P158" s="15"/>
      <c r="Q158" s="15"/>
      <c r="R158" s="15"/>
      <c r="S158" s="15"/>
      <c r="T158" s="15"/>
      <c r="U158" s="15"/>
      <c r="V158" s="103"/>
      <c r="W158" s="15"/>
      <c r="X158" s="15"/>
      <c r="Y158" s="15"/>
      <c r="Z158" s="15"/>
      <c r="AA158" s="15"/>
      <c r="AB158" s="15"/>
      <c r="AC158" s="103"/>
      <c r="AD158" s="15"/>
      <c r="AE158" s="15"/>
      <c r="AF158" s="15"/>
      <c r="AG158" s="15"/>
      <c r="AH158" s="15"/>
      <c r="AI158" s="15"/>
      <c r="AJ158" s="103"/>
      <c r="AK158" s="15"/>
      <c r="AL158" s="15"/>
      <c r="AM158" s="15"/>
      <c r="AN158" s="15"/>
      <c r="AO158" s="15"/>
      <c r="AP158" s="15"/>
      <c r="AQ158" s="15"/>
    </row>
    <row r="159">
      <c r="A159" s="15"/>
      <c r="B159" s="15"/>
      <c r="C159" s="15"/>
      <c r="D159" s="15"/>
      <c r="E159" s="15"/>
      <c r="F159" s="15"/>
      <c r="G159" s="15"/>
      <c r="H159" s="103"/>
      <c r="I159" s="15"/>
      <c r="J159" s="15"/>
      <c r="K159" s="15"/>
      <c r="L159" s="15"/>
      <c r="M159" s="15"/>
      <c r="N159" s="15"/>
      <c r="O159" s="103"/>
      <c r="P159" s="15"/>
      <c r="Q159" s="15"/>
      <c r="R159" s="15"/>
      <c r="S159" s="15"/>
      <c r="T159" s="15"/>
      <c r="U159" s="15"/>
      <c r="V159" s="103"/>
      <c r="W159" s="15"/>
      <c r="X159" s="15"/>
      <c r="Y159" s="15"/>
      <c r="Z159" s="15"/>
      <c r="AA159" s="15"/>
      <c r="AB159" s="15"/>
      <c r="AC159" s="103"/>
      <c r="AD159" s="15"/>
      <c r="AE159" s="15"/>
      <c r="AF159" s="15"/>
      <c r="AG159" s="15"/>
      <c r="AH159" s="15"/>
      <c r="AI159" s="15"/>
      <c r="AJ159" s="103"/>
      <c r="AK159" s="15"/>
      <c r="AL159" s="15"/>
      <c r="AM159" s="15"/>
      <c r="AN159" s="15"/>
      <c r="AO159" s="15"/>
      <c r="AP159" s="15"/>
      <c r="AQ159" s="15"/>
    </row>
    <row r="160">
      <c r="A160" s="15"/>
      <c r="B160" s="15"/>
      <c r="C160" s="15"/>
      <c r="D160" s="15"/>
      <c r="E160" s="15"/>
      <c r="F160" s="15"/>
      <c r="G160" s="15"/>
      <c r="H160" s="103"/>
      <c r="I160" s="15"/>
      <c r="J160" s="15"/>
      <c r="K160" s="15"/>
      <c r="L160" s="15"/>
      <c r="M160" s="15"/>
      <c r="N160" s="15"/>
      <c r="O160" s="103"/>
      <c r="P160" s="15"/>
      <c r="Q160" s="15"/>
      <c r="R160" s="15"/>
      <c r="S160" s="15"/>
      <c r="T160" s="15"/>
      <c r="U160" s="15"/>
      <c r="V160" s="103"/>
      <c r="W160" s="15"/>
      <c r="X160" s="15"/>
      <c r="Y160" s="15"/>
      <c r="Z160" s="15"/>
      <c r="AA160" s="15"/>
      <c r="AB160" s="15"/>
      <c r="AC160" s="103"/>
      <c r="AD160" s="15"/>
      <c r="AE160" s="15"/>
      <c r="AF160" s="15"/>
      <c r="AG160" s="15"/>
      <c r="AH160" s="15"/>
      <c r="AI160" s="15"/>
      <c r="AJ160" s="103"/>
      <c r="AK160" s="15"/>
      <c r="AL160" s="15"/>
      <c r="AM160" s="15"/>
      <c r="AN160" s="15"/>
      <c r="AO160" s="15"/>
      <c r="AP160" s="15"/>
      <c r="AQ160" s="15"/>
    </row>
    <row r="161">
      <c r="A161" s="15"/>
      <c r="B161" s="15"/>
      <c r="C161" s="15"/>
      <c r="D161" s="15"/>
      <c r="E161" s="15"/>
      <c r="F161" s="15"/>
      <c r="G161" s="15"/>
      <c r="H161" s="103"/>
      <c r="I161" s="15"/>
      <c r="J161" s="15"/>
      <c r="K161" s="15"/>
      <c r="L161" s="15"/>
      <c r="M161" s="15"/>
      <c r="N161" s="15"/>
      <c r="O161" s="103"/>
      <c r="P161" s="15"/>
      <c r="Q161" s="15"/>
      <c r="R161" s="15"/>
      <c r="S161" s="15"/>
      <c r="T161" s="15"/>
      <c r="U161" s="15"/>
      <c r="V161" s="103"/>
      <c r="W161" s="15"/>
      <c r="X161" s="15"/>
      <c r="Y161" s="15"/>
      <c r="Z161" s="15"/>
      <c r="AA161" s="15"/>
      <c r="AB161" s="15"/>
      <c r="AC161" s="103"/>
      <c r="AD161" s="15"/>
      <c r="AE161" s="15"/>
      <c r="AF161" s="15"/>
      <c r="AG161" s="15"/>
      <c r="AH161" s="15"/>
      <c r="AI161" s="15"/>
      <c r="AJ161" s="103"/>
      <c r="AK161" s="15"/>
      <c r="AL161" s="15"/>
      <c r="AM161" s="15"/>
      <c r="AN161" s="15"/>
      <c r="AO161" s="15"/>
      <c r="AP161" s="15"/>
      <c r="AQ161" s="15"/>
    </row>
    <row r="162">
      <c r="A162" s="15"/>
      <c r="B162" s="15"/>
      <c r="C162" s="15"/>
      <c r="D162" s="15"/>
      <c r="E162" s="15"/>
      <c r="F162" s="15"/>
      <c r="G162" s="15"/>
      <c r="H162" s="103"/>
      <c r="I162" s="15"/>
      <c r="J162" s="15"/>
      <c r="K162" s="15"/>
      <c r="L162" s="15"/>
      <c r="M162" s="15"/>
      <c r="N162" s="15"/>
      <c r="O162" s="103"/>
      <c r="P162" s="15"/>
      <c r="Q162" s="15"/>
      <c r="R162" s="15"/>
      <c r="S162" s="15"/>
      <c r="T162" s="15"/>
      <c r="U162" s="15"/>
      <c r="V162" s="103"/>
      <c r="W162" s="15"/>
      <c r="X162" s="15"/>
      <c r="Y162" s="15"/>
      <c r="Z162" s="15"/>
      <c r="AA162" s="15"/>
      <c r="AB162" s="15"/>
      <c r="AC162" s="103"/>
      <c r="AD162" s="15"/>
      <c r="AE162" s="15"/>
      <c r="AF162" s="15"/>
      <c r="AG162" s="15"/>
      <c r="AH162" s="15"/>
      <c r="AI162" s="15"/>
      <c r="AJ162" s="103"/>
      <c r="AK162" s="15"/>
      <c r="AL162" s="15"/>
      <c r="AM162" s="15"/>
      <c r="AN162" s="15"/>
      <c r="AO162" s="15"/>
      <c r="AP162" s="15"/>
      <c r="AQ162" s="15"/>
    </row>
    <row r="163">
      <c r="A163" s="15"/>
      <c r="B163" s="15"/>
      <c r="C163" s="15"/>
      <c r="D163" s="15"/>
      <c r="E163" s="15"/>
      <c r="F163" s="15"/>
      <c r="G163" s="15"/>
      <c r="H163" s="103"/>
      <c r="I163" s="15"/>
      <c r="J163" s="15"/>
      <c r="K163" s="15"/>
      <c r="L163" s="15"/>
      <c r="M163" s="15"/>
      <c r="N163" s="15"/>
      <c r="O163" s="103"/>
      <c r="P163" s="15"/>
      <c r="Q163" s="15"/>
      <c r="R163" s="15"/>
      <c r="S163" s="15"/>
      <c r="T163" s="15"/>
      <c r="U163" s="15"/>
      <c r="V163" s="103"/>
      <c r="W163" s="15"/>
      <c r="X163" s="15"/>
      <c r="Y163" s="15"/>
      <c r="Z163" s="15"/>
      <c r="AA163" s="15"/>
      <c r="AB163" s="15"/>
      <c r="AC163" s="103"/>
      <c r="AD163" s="15"/>
      <c r="AE163" s="15"/>
      <c r="AF163" s="15"/>
      <c r="AG163" s="15"/>
      <c r="AH163" s="15"/>
      <c r="AI163" s="15"/>
      <c r="AJ163" s="103"/>
      <c r="AK163" s="15"/>
      <c r="AL163" s="15"/>
      <c r="AM163" s="15"/>
      <c r="AN163" s="15"/>
      <c r="AO163" s="15"/>
      <c r="AP163" s="15"/>
      <c r="AQ163" s="15"/>
    </row>
    <row r="164">
      <c r="A164" s="15"/>
      <c r="B164" s="15"/>
      <c r="C164" s="15"/>
      <c r="D164" s="15"/>
      <c r="E164" s="15"/>
      <c r="F164" s="15"/>
      <c r="G164" s="15"/>
      <c r="H164" s="103"/>
      <c r="I164" s="15"/>
      <c r="J164" s="15"/>
      <c r="K164" s="15"/>
      <c r="L164" s="15"/>
      <c r="M164" s="15"/>
      <c r="N164" s="15"/>
      <c r="O164" s="103"/>
      <c r="P164" s="15"/>
      <c r="Q164" s="15"/>
      <c r="R164" s="15"/>
      <c r="S164" s="15"/>
      <c r="T164" s="15"/>
      <c r="U164" s="15"/>
      <c r="V164" s="103"/>
      <c r="W164" s="15"/>
      <c r="X164" s="15"/>
      <c r="Y164" s="15"/>
      <c r="Z164" s="15"/>
      <c r="AA164" s="15"/>
      <c r="AB164" s="15"/>
      <c r="AC164" s="103"/>
      <c r="AD164" s="15"/>
      <c r="AE164" s="15"/>
      <c r="AF164" s="15"/>
      <c r="AG164" s="15"/>
      <c r="AH164" s="15"/>
      <c r="AI164" s="15"/>
      <c r="AJ164" s="103"/>
      <c r="AK164" s="15"/>
      <c r="AL164" s="15"/>
      <c r="AM164" s="15"/>
      <c r="AN164" s="15"/>
      <c r="AO164" s="15"/>
      <c r="AP164" s="15"/>
      <c r="AQ164" s="15"/>
    </row>
    <row r="165">
      <c r="A165" s="15"/>
      <c r="B165" s="15"/>
      <c r="C165" s="15"/>
      <c r="D165" s="15"/>
      <c r="E165" s="15"/>
      <c r="F165" s="15"/>
      <c r="G165" s="15"/>
      <c r="H165" s="103"/>
      <c r="I165" s="15"/>
      <c r="J165" s="15"/>
      <c r="K165" s="15"/>
      <c r="L165" s="15"/>
      <c r="M165" s="15"/>
      <c r="N165" s="15"/>
      <c r="O165" s="103"/>
      <c r="P165" s="15"/>
      <c r="Q165" s="15"/>
      <c r="R165" s="15"/>
      <c r="S165" s="15"/>
      <c r="T165" s="15"/>
      <c r="U165" s="15"/>
      <c r="V165" s="103"/>
      <c r="W165" s="15"/>
      <c r="X165" s="15"/>
      <c r="Y165" s="15"/>
      <c r="Z165" s="15"/>
      <c r="AA165" s="15"/>
      <c r="AB165" s="15"/>
      <c r="AC165" s="103"/>
      <c r="AD165" s="15"/>
      <c r="AE165" s="15"/>
      <c r="AF165" s="15"/>
      <c r="AG165" s="15"/>
      <c r="AH165" s="15"/>
      <c r="AI165" s="15"/>
      <c r="AJ165" s="103"/>
      <c r="AK165" s="15"/>
      <c r="AL165" s="15"/>
      <c r="AM165" s="15"/>
      <c r="AN165" s="15"/>
      <c r="AO165" s="15"/>
      <c r="AP165" s="15"/>
      <c r="AQ165" s="15"/>
    </row>
    <row r="166">
      <c r="A166" s="15"/>
      <c r="B166" s="15"/>
      <c r="C166" s="15"/>
      <c r="D166" s="15"/>
      <c r="E166" s="15"/>
      <c r="F166" s="15"/>
      <c r="G166" s="15"/>
      <c r="H166" s="103"/>
      <c r="I166" s="15"/>
      <c r="J166" s="15"/>
      <c r="K166" s="15"/>
      <c r="L166" s="15"/>
      <c r="M166" s="15"/>
      <c r="N166" s="15"/>
      <c r="O166" s="103"/>
      <c r="P166" s="15"/>
      <c r="Q166" s="15"/>
      <c r="R166" s="15"/>
      <c r="S166" s="15"/>
      <c r="T166" s="15"/>
      <c r="U166" s="15"/>
      <c r="V166" s="103"/>
      <c r="W166" s="15"/>
      <c r="X166" s="15"/>
      <c r="Y166" s="15"/>
      <c r="Z166" s="15"/>
      <c r="AA166" s="15"/>
      <c r="AB166" s="15"/>
      <c r="AC166" s="103"/>
      <c r="AD166" s="15"/>
      <c r="AE166" s="15"/>
      <c r="AF166" s="15"/>
      <c r="AG166" s="15"/>
      <c r="AH166" s="15"/>
      <c r="AI166" s="15"/>
      <c r="AJ166" s="103"/>
      <c r="AK166" s="15"/>
      <c r="AL166" s="15"/>
      <c r="AM166" s="15"/>
      <c r="AN166" s="15"/>
      <c r="AO166" s="15"/>
      <c r="AP166" s="15"/>
      <c r="AQ166" s="15"/>
    </row>
    <row r="167">
      <c r="A167" s="15"/>
      <c r="B167" s="15"/>
      <c r="C167" s="15"/>
      <c r="D167" s="15"/>
      <c r="E167" s="15"/>
      <c r="F167" s="15"/>
      <c r="G167" s="15"/>
      <c r="H167" s="103"/>
      <c r="I167" s="15"/>
      <c r="J167" s="15"/>
      <c r="K167" s="15"/>
      <c r="L167" s="15"/>
      <c r="M167" s="15"/>
      <c r="N167" s="15"/>
      <c r="O167" s="103"/>
      <c r="P167" s="15"/>
      <c r="Q167" s="15"/>
      <c r="R167" s="15"/>
      <c r="S167" s="15"/>
      <c r="T167" s="15"/>
      <c r="U167" s="15"/>
      <c r="V167" s="103"/>
      <c r="W167" s="15"/>
      <c r="X167" s="15"/>
      <c r="Y167" s="15"/>
      <c r="Z167" s="15"/>
      <c r="AA167" s="15"/>
      <c r="AB167" s="15"/>
      <c r="AC167" s="103"/>
      <c r="AD167" s="15"/>
      <c r="AE167" s="15"/>
      <c r="AF167" s="15"/>
      <c r="AG167" s="15"/>
      <c r="AH167" s="15"/>
      <c r="AI167" s="15"/>
      <c r="AJ167" s="103"/>
      <c r="AK167" s="15"/>
      <c r="AL167" s="15"/>
      <c r="AM167" s="15"/>
      <c r="AN167" s="15"/>
      <c r="AO167" s="15"/>
      <c r="AP167" s="15"/>
      <c r="AQ167" s="15"/>
    </row>
    <row r="168">
      <c r="A168" s="15"/>
      <c r="B168" s="15"/>
      <c r="C168" s="15"/>
      <c r="D168" s="15"/>
      <c r="E168" s="15"/>
      <c r="F168" s="15"/>
      <c r="G168" s="15"/>
      <c r="H168" s="103"/>
      <c r="I168" s="15"/>
      <c r="J168" s="15"/>
      <c r="K168" s="15"/>
      <c r="L168" s="15"/>
      <c r="M168" s="15"/>
      <c r="N168" s="15"/>
      <c r="O168" s="103"/>
      <c r="P168" s="15"/>
      <c r="Q168" s="15"/>
      <c r="R168" s="15"/>
      <c r="S168" s="15"/>
      <c r="T168" s="15"/>
      <c r="U168" s="15"/>
      <c r="V168" s="103"/>
      <c r="W168" s="15"/>
      <c r="X168" s="15"/>
      <c r="Y168" s="15"/>
      <c r="Z168" s="15"/>
      <c r="AA168" s="15"/>
      <c r="AB168" s="15"/>
      <c r="AC168" s="103"/>
      <c r="AD168" s="15"/>
      <c r="AE168" s="15"/>
      <c r="AF168" s="15"/>
      <c r="AG168" s="15"/>
      <c r="AH168" s="15"/>
      <c r="AI168" s="15"/>
      <c r="AJ168" s="103"/>
      <c r="AK168" s="15"/>
      <c r="AL168" s="15"/>
      <c r="AM168" s="15"/>
      <c r="AN168" s="15"/>
      <c r="AO168" s="15"/>
      <c r="AP168" s="15"/>
      <c r="AQ168" s="15"/>
    </row>
    <row r="169">
      <c r="A169" s="15"/>
      <c r="B169" s="15"/>
      <c r="C169" s="15"/>
      <c r="D169" s="15"/>
      <c r="E169" s="15"/>
      <c r="F169" s="15"/>
      <c r="G169" s="15"/>
      <c r="H169" s="103"/>
      <c r="I169" s="15"/>
      <c r="J169" s="15"/>
      <c r="K169" s="15"/>
      <c r="L169" s="15"/>
      <c r="M169" s="15"/>
      <c r="N169" s="15"/>
      <c r="O169" s="103"/>
      <c r="P169" s="15"/>
      <c r="Q169" s="15"/>
      <c r="R169" s="15"/>
      <c r="S169" s="15"/>
      <c r="T169" s="15"/>
      <c r="U169" s="15"/>
      <c r="V169" s="103"/>
      <c r="W169" s="15"/>
      <c r="X169" s="15"/>
      <c r="Y169" s="15"/>
      <c r="Z169" s="15"/>
      <c r="AA169" s="15"/>
      <c r="AB169" s="15"/>
      <c r="AC169" s="103"/>
      <c r="AD169" s="15"/>
      <c r="AE169" s="15"/>
      <c r="AF169" s="15"/>
      <c r="AG169" s="15"/>
      <c r="AH169" s="15"/>
      <c r="AI169" s="15"/>
      <c r="AJ169" s="103"/>
      <c r="AK169" s="15"/>
      <c r="AL169" s="15"/>
      <c r="AM169" s="15"/>
      <c r="AN169" s="15"/>
      <c r="AO169" s="15"/>
      <c r="AP169" s="15"/>
      <c r="AQ169" s="15"/>
    </row>
    <row r="170">
      <c r="A170" s="15"/>
      <c r="B170" s="15"/>
      <c r="C170" s="15"/>
      <c r="D170" s="15"/>
      <c r="E170" s="15"/>
      <c r="F170" s="15"/>
      <c r="G170" s="15"/>
      <c r="H170" s="103"/>
      <c r="I170" s="15"/>
      <c r="J170" s="15"/>
      <c r="K170" s="15"/>
      <c r="L170" s="15"/>
      <c r="M170" s="15"/>
      <c r="N170" s="15"/>
      <c r="O170" s="103"/>
      <c r="P170" s="15"/>
      <c r="Q170" s="15"/>
      <c r="R170" s="15"/>
      <c r="S170" s="15"/>
      <c r="T170" s="15"/>
      <c r="U170" s="15"/>
      <c r="V170" s="103"/>
      <c r="W170" s="15"/>
      <c r="X170" s="15"/>
      <c r="Y170" s="15"/>
      <c r="Z170" s="15"/>
      <c r="AA170" s="15"/>
      <c r="AB170" s="15"/>
      <c r="AC170" s="103"/>
      <c r="AD170" s="15"/>
      <c r="AE170" s="15"/>
      <c r="AF170" s="15"/>
      <c r="AG170" s="15"/>
      <c r="AH170" s="15"/>
      <c r="AI170" s="15"/>
      <c r="AJ170" s="103"/>
      <c r="AK170" s="15"/>
      <c r="AL170" s="15"/>
      <c r="AM170" s="15"/>
      <c r="AN170" s="15"/>
      <c r="AO170" s="15"/>
      <c r="AP170" s="15"/>
      <c r="AQ170" s="15"/>
    </row>
    <row r="171">
      <c r="A171" s="15"/>
      <c r="B171" s="15"/>
      <c r="C171" s="15"/>
      <c r="D171" s="15"/>
      <c r="E171" s="15"/>
      <c r="F171" s="15"/>
      <c r="G171" s="15"/>
      <c r="H171" s="103"/>
      <c r="I171" s="15"/>
      <c r="J171" s="15"/>
      <c r="K171" s="15"/>
      <c r="L171" s="15"/>
      <c r="M171" s="15"/>
      <c r="N171" s="15"/>
      <c r="O171" s="103"/>
      <c r="P171" s="15"/>
      <c r="Q171" s="15"/>
      <c r="R171" s="15"/>
      <c r="S171" s="15"/>
      <c r="T171" s="15"/>
      <c r="U171" s="15"/>
      <c r="V171" s="103"/>
      <c r="W171" s="15"/>
      <c r="X171" s="15"/>
      <c r="Y171" s="15"/>
      <c r="Z171" s="15"/>
      <c r="AA171" s="15"/>
      <c r="AB171" s="15"/>
      <c r="AC171" s="103"/>
      <c r="AD171" s="15"/>
      <c r="AE171" s="15"/>
      <c r="AF171" s="15"/>
      <c r="AG171" s="15"/>
      <c r="AH171" s="15"/>
      <c r="AI171" s="15"/>
      <c r="AJ171" s="103"/>
      <c r="AK171" s="15"/>
      <c r="AL171" s="15"/>
      <c r="AM171" s="15"/>
      <c r="AN171" s="15"/>
      <c r="AO171" s="15"/>
      <c r="AP171" s="15"/>
      <c r="AQ171" s="15"/>
    </row>
    <row r="172">
      <c r="A172" s="15"/>
      <c r="B172" s="15"/>
      <c r="C172" s="15"/>
      <c r="D172" s="15"/>
      <c r="E172" s="15"/>
      <c r="F172" s="15"/>
      <c r="G172" s="15"/>
      <c r="H172" s="103"/>
      <c r="I172" s="15"/>
      <c r="J172" s="15"/>
      <c r="K172" s="15"/>
      <c r="L172" s="15"/>
      <c r="M172" s="15"/>
      <c r="N172" s="15"/>
      <c r="O172" s="103"/>
      <c r="P172" s="15"/>
      <c r="Q172" s="15"/>
      <c r="R172" s="15"/>
      <c r="S172" s="15"/>
      <c r="T172" s="15"/>
      <c r="U172" s="15"/>
      <c r="V172" s="103"/>
      <c r="W172" s="15"/>
      <c r="X172" s="15"/>
      <c r="Y172" s="15"/>
      <c r="Z172" s="15"/>
      <c r="AA172" s="15"/>
      <c r="AB172" s="15"/>
      <c r="AC172" s="103"/>
      <c r="AD172" s="15"/>
      <c r="AE172" s="15"/>
      <c r="AF172" s="15"/>
      <c r="AG172" s="15"/>
      <c r="AH172" s="15"/>
      <c r="AI172" s="15"/>
      <c r="AJ172" s="103"/>
      <c r="AK172" s="15"/>
      <c r="AL172" s="15"/>
      <c r="AM172" s="15"/>
      <c r="AN172" s="15"/>
      <c r="AO172" s="15"/>
      <c r="AP172" s="15"/>
      <c r="AQ172" s="15"/>
    </row>
    <row r="173">
      <c r="A173" s="15"/>
      <c r="B173" s="15"/>
      <c r="C173" s="15"/>
      <c r="D173" s="15"/>
      <c r="E173" s="15"/>
      <c r="F173" s="15"/>
      <c r="G173" s="15"/>
      <c r="H173" s="103"/>
      <c r="I173" s="15"/>
      <c r="J173" s="15"/>
      <c r="K173" s="15"/>
      <c r="L173" s="15"/>
      <c r="M173" s="15"/>
      <c r="N173" s="15"/>
      <c r="O173" s="103"/>
      <c r="P173" s="15"/>
      <c r="Q173" s="15"/>
      <c r="R173" s="15"/>
      <c r="S173" s="15"/>
      <c r="T173" s="15"/>
      <c r="U173" s="15"/>
      <c r="V173" s="103"/>
      <c r="W173" s="15"/>
      <c r="X173" s="15"/>
      <c r="Y173" s="15"/>
      <c r="Z173" s="15"/>
      <c r="AA173" s="15"/>
      <c r="AB173" s="15"/>
      <c r="AC173" s="103"/>
      <c r="AD173" s="15"/>
      <c r="AE173" s="15"/>
      <c r="AF173" s="15"/>
      <c r="AG173" s="15"/>
      <c r="AH173" s="15"/>
      <c r="AI173" s="15"/>
      <c r="AJ173" s="103"/>
      <c r="AK173" s="15"/>
      <c r="AL173" s="15"/>
      <c r="AM173" s="15"/>
      <c r="AN173" s="15"/>
      <c r="AO173" s="15"/>
      <c r="AP173" s="15"/>
      <c r="AQ173" s="15"/>
    </row>
    <row r="174">
      <c r="A174" s="15"/>
      <c r="B174" s="15"/>
      <c r="C174" s="15"/>
      <c r="D174" s="15"/>
      <c r="E174" s="15"/>
      <c r="F174" s="15"/>
      <c r="G174" s="15"/>
      <c r="H174" s="103"/>
      <c r="I174" s="15"/>
      <c r="J174" s="15"/>
      <c r="K174" s="15"/>
      <c r="L174" s="15"/>
      <c r="M174" s="15"/>
      <c r="N174" s="15"/>
      <c r="O174" s="103"/>
      <c r="P174" s="15"/>
      <c r="Q174" s="15"/>
      <c r="R174" s="15"/>
      <c r="S174" s="15"/>
      <c r="T174" s="15"/>
      <c r="U174" s="15"/>
      <c r="V174" s="103"/>
      <c r="W174" s="15"/>
      <c r="X174" s="15"/>
      <c r="Y174" s="15"/>
      <c r="Z174" s="15"/>
      <c r="AA174" s="15"/>
      <c r="AB174" s="15"/>
      <c r="AC174" s="103"/>
      <c r="AD174" s="15"/>
      <c r="AE174" s="15"/>
      <c r="AF174" s="15"/>
      <c r="AG174" s="15"/>
      <c r="AH174" s="15"/>
      <c r="AI174" s="15"/>
      <c r="AJ174" s="103"/>
      <c r="AK174" s="15"/>
      <c r="AL174" s="15"/>
      <c r="AM174" s="15"/>
      <c r="AN174" s="15"/>
      <c r="AO174" s="15"/>
      <c r="AP174" s="15"/>
      <c r="AQ174" s="15"/>
    </row>
    <row r="175">
      <c r="A175" s="15"/>
      <c r="B175" s="15"/>
      <c r="C175" s="15"/>
      <c r="D175" s="15"/>
      <c r="E175" s="15"/>
      <c r="F175" s="15"/>
      <c r="G175" s="15"/>
      <c r="H175" s="103"/>
      <c r="I175" s="15"/>
      <c r="J175" s="15"/>
      <c r="K175" s="15"/>
      <c r="L175" s="15"/>
      <c r="M175" s="15"/>
      <c r="N175" s="15"/>
      <c r="O175" s="103"/>
      <c r="P175" s="15"/>
      <c r="Q175" s="15"/>
      <c r="R175" s="15"/>
      <c r="S175" s="15"/>
      <c r="T175" s="15"/>
      <c r="U175" s="15"/>
      <c r="V175" s="103"/>
      <c r="W175" s="15"/>
      <c r="X175" s="15"/>
      <c r="Y175" s="15"/>
      <c r="Z175" s="15"/>
      <c r="AA175" s="15"/>
      <c r="AB175" s="15"/>
      <c r="AC175" s="103"/>
      <c r="AD175" s="15"/>
      <c r="AE175" s="15"/>
      <c r="AF175" s="15"/>
      <c r="AG175" s="15"/>
      <c r="AH175" s="15"/>
      <c r="AI175" s="15"/>
      <c r="AJ175" s="103"/>
      <c r="AK175" s="15"/>
      <c r="AL175" s="15"/>
      <c r="AM175" s="15"/>
      <c r="AN175" s="15"/>
      <c r="AO175" s="15"/>
      <c r="AP175" s="15"/>
      <c r="AQ175" s="15"/>
    </row>
    <row r="176">
      <c r="A176" s="15"/>
      <c r="B176" s="15"/>
      <c r="C176" s="15"/>
      <c r="D176" s="15"/>
      <c r="E176" s="15"/>
      <c r="F176" s="15"/>
      <c r="G176" s="15"/>
      <c r="H176" s="103"/>
      <c r="I176" s="15"/>
      <c r="J176" s="15"/>
      <c r="K176" s="15"/>
      <c r="L176" s="15"/>
      <c r="M176" s="15"/>
      <c r="N176" s="15"/>
      <c r="O176" s="103"/>
      <c r="P176" s="15"/>
      <c r="Q176" s="15"/>
      <c r="R176" s="15"/>
      <c r="S176" s="15"/>
      <c r="T176" s="15"/>
      <c r="U176" s="15"/>
      <c r="V176" s="103"/>
      <c r="W176" s="15"/>
      <c r="X176" s="15"/>
      <c r="Y176" s="15"/>
      <c r="Z176" s="15"/>
      <c r="AA176" s="15"/>
      <c r="AB176" s="15"/>
      <c r="AC176" s="103"/>
      <c r="AD176" s="15"/>
      <c r="AE176" s="15"/>
      <c r="AF176" s="15"/>
      <c r="AG176" s="15"/>
      <c r="AH176" s="15"/>
      <c r="AI176" s="15"/>
      <c r="AJ176" s="103"/>
      <c r="AK176" s="15"/>
      <c r="AL176" s="15"/>
      <c r="AM176" s="15"/>
      <c r="AN176" s="15"/>
      <c r="AO176" s="15"/>
      <c r="AP176" s="15"/>
      <c r="AQ176" s="15"/>
    </row>
    <row r="177">
      <c r="A177" s="15"/>
      <c r="B177" s="15"/>
      <c r="C177" s="15"/>
      <c r="D177" s="15"/>
      <c r="E177" s="15"/>
      <c r="F177" s="15"/>
      <c r="G177" s="15"/>
      <c r="H177" s="103"/>
      <c r="I177" s="15"/>
      <c r="J177" s="15"/>
      <c r="K177" s="15"/>
      <c r="L177" s="15"/>
      <c r="M177" s="15"/>
      <c r="N177" s="15"/>
      <c r="O177" s="103"/>
      <c r="P177" s="15"/>
      <c r="Q177" s="15"/>
      <c r="R177" s="15"/>
      <c r="S177" s="15"/>
      <c r="T177" s="15"/>
      <c r="U177" s="15"/>
      <c r="V177" s="103"/>
      <c r="W177" s="15"/>
      <c r="X177" s="15"/>
      <c r="Y177" s="15"/>
      <c r="Z177" s="15"/>
      <c r="AA177" s="15"/>
      <c r="AB177" s="15"/>
      <c r="AC177" s="103"/>
      <c r="AD177" s="15"/>
      <c r="AE177" s="15"/>
      <c r="AF177" s="15"/>
      <c r="AG177" s="15"/>
      <c r="AH177" s="15"/>
      <c r="AI177" s="15"/>
      <c r="AJ177" s="103"/>
      <c r="AK177" s="15"/>
      <c r="AL177" s="15"/>
      <c r="AM177" s="15"/>
      <c r="AN177" s="15"/>
      <c r="AO177" s="15"/>
      <c r="AP177" s="15"/>
      <c r="AQ177" s="15"/>
    </row>
    <row r="178">
      <c r="A178" s="15"/>
      <c r="B178" s="15"/>
      <c r="C178" s="15"/>
      <c r="D178" s="15"/>
      <c r="E178" s="15"/>
      <c r="F178" s="15"/>
      <c r="G178" s="15"/>
      <c r="H178" s="103"/>
      <c r="I178" s="15"/>
      <c r="J178" s="15"/>
      <c r="K178" s="15"/>
      <c r="L178" s="15"/>
      <c r="M178" s="15"/>
      <c r="N178" s="15"/>
      <c r="O178" s="103"/>
      <c r="P178" s="15"/>
      <c r="Q178" s="15"/>
      <c r="R178" s="15"/>
      <c r="S178" s="15"/>
      <c r="T178" s="15"/>
      <c r="U178" s="15"/>
      <c r="V178" s="103"/>
      <c r="W178" s="15"/>
      <c r="X178" s="15"/>
      <c r="Y178" s="15"/>
      <c r="Z178" s="15"/>
      <c r="AA178" s="15"/>
      <c r="AB178" s="15"/>
      <c r="AC178" s="103"/>
      <c r="AD178" s="15"/>
      <c r="AE178" s="15"/>
      <c r="AF178" s="15"/>
      <c r="AG178" s="15"/>
      <c r="AH178" s="15"/>
      <c r="AI178" s="15"/>
      <c r="AJ178" s="103"/>
      <c r="AK178" s="15"/>
      <c r="AL178" s="15"/>
      <c r="AM178" s="15"/>
      <c r="AN178" s="15"/>
      <c r="AO178" s="15"/>
      <c r="AP178" s="15"/>
      <c r="AQ178" s="15"/>
    </row>
    <row r="179">
      <c r="A179" s="15"/>
      <c r="B179" s="15"/>
      <c r="C179" s="15"/>
      <c r="D179" s="15"/>
      <c r="E179" s="15"/>
      <c r="F179" s="15"/>
      <c r="G179" s="15"/>
      <c r="H179" s="103"/>
      <c r="I179" s="15"/>
      <c r="J179" s="15"/>
      <c r="K179" s="15"/>
      <c r="L179" s="15"/>
      <c r="M179" s="15"/>
      <c r="N179" s="15"/>
      <c r="O179" s="103"/>
      <c r="P179" s="15"/>
      <c r="Q179" s="15"/>
      <c r="R179" s="15"/>
      <c r="S179" s="15"/>
      <c r="T179" s="15"/>
      <c r="U179" s="15"/>
      <c r="V179" s="103"/>
      <c r="W179" s="15"/>
      <c r="X179" s="15"/>
      <c r="Y179" s="15"/>
      <c r="Z179" s="15"/>
      <c r="AA179" s="15"/>
      <c r="AB179" s="15"/>
      <c r="AC179" s="103"/>
      <c r="AD179" s="15"/>
      <c r="AE179" s="15"/>
      <c r="AF179" s="15"/>
      <c r="AG179" s="15"/>
      <c r="AH179" s="15"/>
      <c r="AI179" s="15"/>
      <c r="AJ179" s="103"/>
      <c r="AK179" s="15"/>
      <c r="AL179" s="15"/>
      <c r="AM179" s="15"/>
      <c r="AN179" s="15"/>
      <c r="AO179" s="15"/>
      <c r="AP179" s="15"/>
      <c r="AQ179" s="15"/>
    </row>
    <row r="180">
      <c r="A180" s="15"/>
      <c r="B180" s="15"/>
      <c r="C180" s="15"/>
      <c r="D180" s="15"/>
      <c r="E180" s="15"/>
      <c r="F180" s="15"/>
      <c r="G180" s="15"/>
      <c r="H180" s="103"/>
      <c r="I180" s="15"/>
      <c r="J180" s="15"/>
      <c r="K180" s="15"/>
      <c r="L180" s="15"/>
      <c r="M180" s="15"/>
      <c r="N180" s="15"/>
      <c r="O180" s="103"/>
      <c r="P180" s="15"/>
      <c r="Q180" s="15"/>
      <c r="R180" s="15"/>
      <c r="S180" s="15"/>
      <c r="T180" s="15"/>
      <c r="U180" s="15"/>
      <c r="V180" s="103"/>
      <c r="W180" s="15"/>
      <c r="X180" s="15"/>
      <c r="Y180" s="15"/>
      <c r="Z180" s="15"/>
      <c r="AA180" s="15"/>
      <c r="AB180" s="15"/>
      <c r="AC180" s="103"/>
      <c r="AD180" s="15"/>
      <c r="AE180" s="15"/>
      <c r="AF180" s="15"/>
      <c r="AG180" s="15"/>
      <c r="AH180" s="15"/>
      <c r="AI180" s="15"/>
      <c r="AJ180" s="103"/>
      <c r="AK180" s="15"/>
      <c r="AL180" s="15"/>
      <c r="AM180" s="15"/>
      <c r="AN180" s="15"/>
      <c r="AO180" s="15"/>
      <c r="AP180" s="15"/>
      <c r="AQ180" s="15"/>
    </row>
    <row r="181">
      <c r="A181" s="15"/>
      <c r="B181" s="15"/>
      <c r="C181" s="15"/>
      <c r="D181" s="15"/>
      <c r="E181" s="15"/>
      <c r="F181" s="15"/>
      <c r="G181" s="15"/>
      <c r="H181" s="103"/>
      <c r="I181" s="15"/>
      <c r="J181" s="15"/>
      <c r="K181" s="15"/>
      <c r="L181" s="15"/>
      <c r="M181" s="15"/>
      <c r="N181" s="15"/>
      <c r="O181" s="103"/>
      <c r="P181" s="15"/>
      <c r="Q181" s="15"/>
      <c r="R181" s="15"/>
      <c r="S181" s="15"/>
      <c r="T181" s="15"/>
      <c r="U181" s="15"/>
      <c r="V181" s="103"/>
      <c r="W181" s="15"/>
      <c r="X181" s="15"/>
      <c r="Y181" s="15"/>
      <c r="Z181" s="15"/>
      <c r="AA181" s="15"/>
      <c r="AB181" s="15"/>
      <c r="AC181" s="103"/>
      <c r="AD181" s="15"/>
      <c r="AE181" s="15"/>
      <c r="AF181" s="15"/>
      <c r="AG181" s="15"/>
      <c r="AH181" s="15"/>
      <c r="AI181" s="15"/>
      <c r="AJ181" s="103"/>
      <c r="AK181" s="15"/>
      <c r="AL181" s="15"/>
      <c r="AM181" s="15"/>
      <c r="AN181" s="15"/>
      <c r="AO181" s="15"/>
      <c r="AP181" s="15"/>
      <c r="AQ181" s="15"/>
    </row>
    <row r="182">
      <c r="A182" s="15"/>
      <c r="B182" s="15"/>
      <c r="C182" s="15"/>
      <c r="D182" s="15"/>
      <c r="E182" s="15"/>
      <c r="F182" s="15"/>
      <c r="G182" s="15"/>
      <c r="H182" s="103"/>
      <c r="I182" s="15"/>
      <c r="J182" s="15"/>
      <c r="K182" s="15"/>
      <c r="L182" s="15"/>
      <c r="M182" s="15"/>
      <c r="N182" s="15"/>
      <c r="O182" s="103"/>
      <c r="P182" s="15"/>
      <c r="Q182" s="15"/>
      <c r="R182" s="15"/>
      <c r="S182" s="15"/>
      <c r="T182" s="15"/>
      <c r="U182" s="15"/>
      <c r="V182" s="103"/>
      <c r="W182" s="15"/>
      <c r="X182" s="15"/>
      <c r="Y182" s="15"/>
      <c r="Z182" s="15"/>
      <c r="AA182" s="15"/>
      <c r="AB182" s="15"/>
      <c r="AC182" s="103"/>
      <c r="AD182" s="15"/>
      <c r="AE182" s="15"/>
      <c r="AF182" s="15"/>
      <c r="AG182" s="15"/>
      <c r="AH182" s="15"/>
      <c r="AI182" s="15"/>
      <c r="AJ182" s="103"/>
      <c r="AK182" s="15"/>
      <c r="AL182" s="15"/>
      <c r="AM182" s="15"/>
      <c r="AN182" s="15"/>
      <c r="AO182" s="15"/>
      <c r="AP182" s="15"/>
      <c r="AQ182" s="15"/>
    </row>
    <row r="183">
      <c r="A183" s="15"/>
      <c r="B183" s="15"/>
      <c r="C183" s="15"/>
      <c r="D183" s="15"/>
      <c r="E183" s="15"/>
      <c r="F183" s="15"/>
      <c r="G183" s="15"/>
      <c r="H183" s="103"/>
      <c r="I183" s="15"/>
      <c r="J183" s="15"/>
      <c r="K183" s="15"/>
      <c r="L183" s="15"/>
      <c r="M183" s="15"/>
      <c r="N183" s="15"/>
      <c r="O183" s="103"/>
      <c r="P183" s="15"/>
      <c r="Q183" s="15"/>
      <c r="R183" s="15"/>
      <c r="S183" s="15"/>
      <c r="T183" s="15"/>
      <c r="U183" s="15"/>
      <c r="V183" s="103"/>
      <c r="W183" s="15"/>
      <c r="X183" s="15"/>
      <c r="Y183" s="15"/>
      <c r="Z183" s="15"/>
      <c r="AA183" s="15"/>
      <c r="AB183" s="15"/>
      <c r="AC183" s="103"/>
      <c r="AD183" s="15"/>
      <c r="AE183" s="15"/>
      <c r="AF183" s="15"/>
      <c r="AG183" s="15"/>
      <c r="AH183" s="15"/>
      <c r="AI183" s="15"/>
      <c r="AJ183" s="103"/>
      <c r="AK183" s="15"/>
      <c r="AL183" s="15"/>
      <c r="AM183" s="15"/>
      <c r="AN183" s="15"/>
      <c r="AO183" s="15"/>
      <c r="AP183" s="15"/>
      <c r="AQ183" s="15"/>
    </row>
    <row r="184">
      <c r="A184" s="15"/>
      <c r="B184" s="15"/>
      <c r="C184" s="15"/>
      <c r="D184" s="15"/>
      <c r="E184" s="15"/>
      <c r="F184" s="15"/>
      <c r="G184" s="15"/>
      <c r="H184" s="103"/>
      <c r="I184" s="15"/>
      <c r="J184" s="15"/>
      <c r="K184" s="15"/>
      <c r="L184" s="15"/>
      <c r="M184" s="15"/>
      <c r="N184" s="15"/>
      <c r="O184" s="103"/>
      <c r="P184" s="15"/>
      <c r="Q184" s="15"/>
      <c r="R184" s="15"/>
      <c r="S184" s="15"/>
      <c r="T184" s="15"/>
      <c r="U184" s="15"/>
      <c r="V184" s="103"/>
      <c r="W184" s="15"/>
      <c r="X184" s="15"/>
      <c r="Y184" s="15"/>
      <c r="Z184" s="15"/>
      <c r="AA184" s="15"/>
      <c r="AB184" s="15"/>
      <c r="AC184" s="103"/>
      <c r="AD184" s="15"/>
      <c r="AE184" s="15"/>
      <c r="AF184" s="15"/>
      <c r="AG184" s="15"/>
      <c r="AH184" s="15"/>
      <c r="AI184" s="15"/>
      <c r="AJ184" s="103"/>
      <c r="AK184" s="15"/>
      <c r="AL184" s="15"/>
      <c r="AM184" s="15"/>
      <c r="AN184" s="15"/>
      <c r="AO184" s="15"/>
      <c r="AP184" s="15"/>
      <c r="AQ184" s="15"/>
    </row>
    <row r="185">
      <c r="A185" s="15"/>
      <c r="B185" s="15"/>
      <c r="C185" s="15"/>
      <c r="D185" s="15"/>
      <c r="E185" s="15"/>
      <c r="F185" s="15"/>
      <c r="G185" s="15"/>
      <c r="H185" s="103"/>
      <c r="I185" s="15"/>
      <c r="J185" s="15"/>
      <c r="K185" s="15"/>
      <c r="L185" s="15"/>
      <c r="M185" s="15"/>
      <c r="N185" s="15"/>
      <c r="O185" s="103"/>
      <c r="P185" s="15"/>
      <c r="Q185" s="15"/>
      <c r="R185" s="15"/>
      <c r="S185" s="15"/>
      <c r="T185" s="15"/>
      <c r="U185" s="15"/>
      <c r="V185" s="103"/>
      <c r="W185" s="15"/>
      <c r="X185" s="15"/>
      <c r="Y185" s="15"/>
      <c r="Z185" s="15"/>
      <c r="AA185" s="15"/>
      <c r="AB185" s="15"/>
      <c r="AC185" s="103"/>
      <c r="AD185" s="15"/>
      <c r="AE185" s="15"/>
      <c r="AF185" s="15"/>
      <c r="AG185" s="15"/>
      <c r="AH185" s="15"/>
      <c r="AI185" s="15"/>
      <c r="AJ185" s="103"/>
      <c r="AK185" s="15"/>
      <c r="AL185" s="15"/>
      <c r="AM185" s="15"/>
      <c r="AN185" s="15"/>
      <c r="AO185" s="15"/>
      <c r="AP185" s="15"/>
      <c r="AQ185" s="15"/>
    </row>
    <row r="186">
      <c r="A186" s="15"/>
      <c r="B186" s="15"/>
      <c r="C186" s="15"/>
      <c r="D186" s="15"/>
      <c r="E186" s="15"/>
      <c r="F186" s="15"/>
      <c r="G186" s="15"/>
      <c r="H186" s="103"/>
      <c r="I186" s="15"/>
      <c r="J186" s="15"/>
      <c r="K186" s="15"/>
      <c r="L186" s="15"/>
      <c r="M186" s="15"/>
      <c r="N186" s="15"/>
      <c r="O186" s="103"/>
      <c r="P186" s="15"/>
      <c r="Q186" s="15"/>
      <c r="R186" s="15"/>
      <c r="S186" s="15"/>
      <c r="T186" s="15"/>
      <c r="U186" s="15"/>
      <c r="V186" s="103"/>
      <c r="W186" s="15"/>
      <c r="X186" s="15"/>
      <c r="Y186" s="15"/>
      <c r="Z186" s="15"/>
      <c r="AA186" s="15"/>
      <c r="AB186" s="15"/>
      <c r="AC186" s="103"/>
      <c r="AD186" s="15"/>
      <c r="AE186" s="15"/>
      <c r="AF186" s="15"/>
      <c r="AG186" s="15"/>
      <c r="AH186" s="15"/>
      <c r="AI186" s="15"/>
      <c r="AJ186" s="103"/>
      <c r="AK186" s="15"/>
      <c r="AL186" s="15"/>
      <c r="AM186" s="15"/>
      <c r="AN186" s="15"/>
      <c r="AO186" s="15"/>
      <c r="AP186" s="15"/>
      <c r="AQ186" s="15"/>
    </row>
    <row r="187">
      <c r="A187" s="15"/>
      <c r="B187" s="15"/>
      <c r="C187" s="15"/>
      <c r="D187" s="15"/>
      <c r="E187" s="15"/>
      <c r="F187" s="15"/>
      <c r="G187" s="15"/>
      <c r="H187" s="103"/>
      <c r="I187" s="15"/>
      <c r="J187" s="15"/>
      <c r="K187" s="15"/>
      <c r="L187" s="15"/>
      <c r="M187" s="15"/>
      <c r="N187" s="15"/>
      <c r="O187" s="103"/>
      <c r="P187" s="15"/>
      <c r="Q187" s="15"/>
      <c r="R187" s="15"/>
      <c r="S187" s="15"/>
      <c r="T187" s="15"/>
      <c r="U187" s="15"/>
      <c r="V187" s="103"/>
      <c r="W187" s="15"/>
      <c r="X187" s="15"/>
      <c r="Y187" s="15"/>
      <c r="Z187" s="15"/>
      <c r="AA187" s="15"/>
      <c r="AB187" s="15"/>
      <c r="AC187" s="103"/>
      <c r="AD187" s="15"/>
      <c r="AE187" s="15"/>
      <c r="AF187" s="15"/>
      <c r="AG187" s="15"/>
      <c r="AH187" s="15"/>
      <c r="AI187" s="15"/>
      <c r="AJ187" s="103"/>
      <c r="AK187" s="15"/>
      <c r="AL187" s="15"/>
      <c r="AM187" s="15"/>
      <c r="AN187" s="15"/>
      <c r="AO187" s="15"/>
      <c r="AP187" s="15"/>
      <c r="AQ187" s="15"/>
    </row>
    <row r="188">
      <c r="A188" s="15"/>
      <c r="B188" s="15"/>
      <c r="C188" s="15"/>
      <c r="D188" s="15"/>
      <c r="E188" s="15"/>
      <c r="F188" s="15"/>
      <c r="G188" s="15"/>
      <c r="H188" s="103"/>
      <c r="I188" s="15"/>
      <c r="J188" s="15"/>
      <c r="K188" s="15"/>
      <c r="L188" s="15"/>
      <c r="M188" s="15"/>
      <c r="N188" s="15"/>
      <c r="O188" s="103"/>
      <c r="P188" s="15"/>
      <c r="Q188" s="15"/>
      <c r="R188" s="15"/>
      <c r="S188" s="15"/>
      <c r="T188" s="15"/>
      <c r="U188" s="15"/>
      <c r="V188" s="103"/>
      <c r="W188" s="15"/>
      <c r="X188" s="15"/>
      <c r="Y188" s="15"/>
      <c r="Z188" s="15"/>
      <c r="AA188" s="15"/>
      <c r="AB188" s="15"/>
      <c r="AC188" s="103"/>
      <c r="AD188" s="15"/>
      <c r="AE188" s="15"/>
      <c r="AF188" s="15"/>
      <c r="AG188" s="15"/>
      <c r="AH188" s="15"/>
      <c r="AI188" s="15"/>
      <c r="AJ188" s="103"/>
      <c r="AK188" s="15"/>
      <c r="AL188" s="15"/>
      <c r="AM188" s="15"/>
      <c r="AN188" s="15"/>
      <c r="AO188" s="15"/>
      <c r="AP188" s="15"/>
      <c r="AQ188" s="15"/>
    </row>
    <row r="189">
      <c r="A189" s="15"/>
      <c r="B189" s="15"/>
      <c r="C189" s="15"/>
      <c r="D189" s="15"/>
      <c r="E189" s="15"/>
      <c r="F189" s="15"/>
      <c r="G189" s="15"/>
      <c r="H189" s="103"/>
      <c r="I189" s="15"/>
      <c r="J189" s="15"/>
      <c r="K189" s="15"/>
      <c r="L189" s="15"/>
      <c r="M189" s="15"/>
      <c r="N189" s="15"/>
      <c r="O189" s="103"/>
      <c r="P189" s="15"/>
      <c r="Q189" s="15"/>
      <c r="R189" s="15"/>
      <c r="S189" s="15"/>
      <c r="T189" s="15"/>
      <c r="U189" s="15"/>
      <c r="V189" s="103"/>
      <c r="W189" s="15"/>
      <c r="X189" s="15"/>
      <c r="Y189" s="15"/>
      <c r="Z189" s="15"/>
      <c r="AA189" s="15"/>
      <c r="AB189" s="15"/>
      <c r="AC189" s="103"/>
      <c r="AD189" s="15"/>
      <c r="AE189" s="15"/>
      <c r="AF189" s="15"/>
      <c r="AG189" s="15"/>
      <c r="AH189" s="15"/>
      <c r="AI189" s="15"/>
      <c r="AJ189" s="103"/>
      <c r="AK189" s="15"/>
      <c r="AL189" s="15"/>
      <c r="AM189" s="15"/>
      <c r="AN189" s="15"/>
      <c r="AO189" s="15"/>
      <c r="AP189" s="15"/>
      <c r="AQ189" s="15"/>
    </row>
    <row r="190">
      <c r="A190" s="15"/>
      <c r="B190" s="15"/>
      <c r="C190" s="15"/>
      <c r="D190" s="15"/>
      <c r="E190" s="15"/>
      <c r="F190" s="15"/>
      <c r="G190" s="15"/>
      <c r="H190" s="103"/>
      <c r="I190" s="15"/>
      <c r="J190" s="15"/>
      <c r="K190" s="15"/>
      <c r="L190" s="15"/>
      <c r="M190" s="15"/>
      <c r="N190" s="15"/>
      <c r="O190" s="103"/>
      <c r="P190" s="15"/>
      <c r="Q190" s="15"/>
      <c r="R190" s="15"/>
      <c r="S190" s="15"/>
      <c r="T190" s="15"/>
      <c r="U190" s="15"/>
      <c r="V190" s="103"/>
      <c r="W190" s="15"/>
      <c r="X190" s="15"/>
      <c r="Y190" s="15"/>
      <c r="Z190" s="15"/>
      <c r="AA190" s="15"/>
      <c r="AB190" s="15"/>
      <c r="AC190" s="103"/>
      <c r="AD190" s="15"/>
      <c r="AE190" s="15"/>
      <c r="AF190" s="15"/>
      <c r="AG190" s="15"/>
      <c r="AH190" s="15"/>
      <c r="AI190" s="15"/>
      <c r="AJ190" s="103"/>
      <c r="AK190" s="15"/>
      <c r="AL190" s="15"/>
      <c r="AM190" s="15"/>
      <c r="AN190" s="15"/>
      <c r="AO190" s="15"/>
      <c r="AP190" s="15"/>
      <c r="AQ190" s="15"/>
    </row>
    <row r="191">
      <c r="A191" s="15"/>
      <c r="B191" s="15"/>
      <c r="C191" s="15"/>
      <c r="D191" s="15"/>
      <c r="E191" s="15"/>
      <c r="F191" s="15"/>
      <c r="G191" s="15"/>
      <c r="H191" s="103"/>
      <c r="I191" s="15"/>
      <c r="J191" s="15"/>
      <c r="K191" s="15"/>
      <c r="L191" s="15"/>
      <c r="M191" s="15"/>
      <c r="N191" s="15"/>
      <c r="O191" s="103"/>
      <c r="P191" s="15"/>
      <c r="Q191" s="15"/>
      <c r="R191" s="15"/>
      <c r="S191" s="15"/>
      <c r="T191" s="15"/>
      <c r="U191" s="15"/>
      <c r="V191" s="103"/>
      <c r="W191" s="15"/>
      <c r="X191" s="15"/>
      <c r="Y191" s="15"/>
      <c r="Z191" s="15"/>
      <c r="AA191" s="15"/>
      <c r="AB191" s="15"/>
      <c r="AC191" s="103"/>
      <c r="AD191" s="15"/>
      <c r="AE191" s="15"/>
      <c r="AF191" s="15"/>
      <c r="AG191" s="15"/>
      <c r="AH191" s="15"/>
      <c r="AI191" s="15"/>
      <c r="AJ191" s="103"/>
      <c r="AK191" s="15"/>
      <c r="AL191" s="15"/>
      <c r="AM191" s="15"/>
      <c r="AN191" s="15"/>
      <c r="AO191" s="15"/>
      <c r="AP191" s="15"/>
      <c r="AQ191" s="15"/>
    </row>
    <row r="192">
      <c r="A192" s="15"/>
      <c r="B192" s="15"/>
      <c r="C192" s="15"/>
      <c r="D192" s="15"/>
      <c r="E192" s="15"/>
      <c r="F192" s="15"/>
      <c r="G192" s="15"/>
      <c r="H192" s="103"/>
      <c r="I192" s="15"/>
      <c r="J192" s="15"/>
      <c r="K192" s="15"/>
      <c r="L192" s="15"/>
      <c r="M192" s="15"/>
      <c r="N192" s="15"/>
      <c r="O192" s="103"/>
      <c r="P192" s="15"/>
      <c r="Q192" s="15"/>
      <c r="R192" s="15"/>
      <c r="S192" s="15"/>
      <c r="T192" s="15"/>
      <c r="U192" s="15"/>
      <c r="V192" s="103"/>
      <c r="W192" s="15"/>
      <c r="X192" s="15"/>
      <c r="Y192" s="15"/>
      <c r="Z192" s="15"/>
      <c r="AA192" s="15"/>
      <c r="AB192" s="15"/>
      <c r="AC192" s="103"/>
      <c r="AD192" s="15"/>
      <c r="AE192" s="15"/>
      <c r="AF192" s="15"/>
      <c r="AG192" s="15"/>
      <c r="AH192" s="15"/>
      <c r="AI192" s="15"/>
      <c r="AJ192" s="103"/>
      <c r="AK192" s="15"/>
      <c r="AL192" s="15"/>
      <c r="AM192" s="15"/>
      <c r="AN192" s="15"/>
      <c r="AO192" s="15"/>
      <c r="AP192" s="15"/>
      <c r="AQ192" s="15"/>
    </row>
    <row r="193">
      <c r="A193" s="15"/>
      <c r="B193" s="15"/>
      <c r="C193" s="15"/>
      <c r="D193" s="15"/>
      <c r="E193" s="15"/>
      <c r="F193" s="15"/>
      <c r="G193" s="15"/>
      <c r="H193" s="103"/>
      <c r="I193" s="15"/>
      <c r="J193" s="15"/>
      <c r="K193" s="15"/>
      <c r="L193" s="15"/>
      <c r="M193" s="15"/>
      <c r="N193" s="15"/>
      <c r="O193" s="103"/>
      <c r="P193" s="15"/>
      <c r="Q193" s="15"/>
      <c r="R193" s="15"/>
      <c r="S193" s="15"/>
      <c r="T193" s="15"/>
      <c r="U193" s="15"/>
      <c r="V193" s="103"/>
      <c r="W193" s="15"/>
      <c r="X193" s="15"/>
      <c r="Y193" s="15"/>
      <c r="Z193" s="15"/>
      <c r="AA193" s="15"/>
      <c r="AB193" s="15"/>
      <c r="AC193" s="103"/>
      <c r="AD193" s="15"/>
      <c r="AE193" s="15"/>
      <c r="AF193" s="15"/>
      <c r="AG193" s="15"/>
      <c r="AH193" s="15"/>
      <c r="AI193" s="15"/>
      <c r="AJ193" s="103"/>
      <c r="AK193" s="15"/>
      <c r="AL193" s="15"/>
      <c r="AM193" s="15"/>
      <c r="AN193" s="15"/>
      <c r="AO193" s="15"/>
      <c r="AP193" s="15"/>
      <c r="AQ193" s="15"/>
    </row>
    <row r="194">
      <c r="A194" s="15"/>
      <c r="B194" s="15"/>
      <c r="C194" s="15"/>
      <c r="D194" s="15"/>
      <c r="E194" s="15"/>
      <c r="F194" s="15"/>
      <c r="G194" s="15"/>
      <c r="H194" s="103"/>
      <c r="I194" s="15"/>
      <c r="J194" s="15"/>
      <c r="K194" s="15"/>
      <c r="L194" s="15"/>
      <c r="M194" s="15"/>
      <c r="N194" s="15"/>
      <c r="O194" s="103"/>
      <c r="P194" s="15"/>
      <c r="Q194" s="15"/>
      <c r="R194" s="15"/>
      <c r="S194" s="15"/>
      <c r="T194" s="15"/>
      <c r="U194" s="15"/>
      <c r="V194" s="103"/>
      <c r="W194" s="15"/>
      <c r="X194" s="15"/>
      <c r="Y194" s="15"/>
      <c r="Z194" s="15"/>
      <c r="AA194" s="15"/>
      <c r="AB194" s="15"/>
      <c r="AC194" s="103"/>
      <c r="AD194" s="15"/>
      <c r="AE194" s="15"/>
      <c r="AF194" s="15"/>
      <c r="AG194" s="15"/>
      <c r="AH194" s="15"/>
      <c r="AI194" s="15"/>
      <c r="AJ194" s="103"/>
      <c r="AK194" s="15"/>
      <c r="AL194" s="15"/>
      <c r="AM194" s="15"/>
      <c r="AN194" s="15"/>
      <c r="AO194" s="15"/>
      <c r="AP194" s="15"/>
      <c r="AQ194" s="15"/>
    </row>
    <row r="195">
      <c r="A195" s="15"/>
      <c r="B195" s="15"/>
      <c r="C195" s="15"/>
      <c r="D195" s="15"/>
      <c r="E195" s="15"/>
      <c r="F195" s="15"/>
      <c r="G195" s="15"/>
      <c r="H195" s="103"/>
      <c r="I195" s="15"/>
      <c r="J195" s="15"/>
      <c r="K195" s="15"/>
      <c r="L195" s="15"/>
      <c r="M195" s="15"/>
      <c r="N195" s="15"/>
      <c r="O195" s="103"/>
      <c r="P195" s="15"/>
      <c r="Q195" s="15"/>
      <c r="R195" s="15"/>
      <c r="S195" s="15"/>
      <c r="T195" s="15"/>
      <c r="U195" s="15"/>
      <c r="V195" s="103"/>
      <c r="W195" s="15"/>
      <c r="X195" s="15"/>
      <c r="Y195" s="15"/>
      <c r="Z195" s="15"/>
      <c r="AA195" s="15"/>
      <c r="AB195" s="15"/>
      <c r="AC195" s="103"/>
      <c r="AD195" s="15"/>
      <c r="AE195" s="15"/>
      <c r="AF195" s="15"/>
      <c r="AG195" s="15"/>
      <c r="AH195" s="15"/>
      <c r="AI195" s="15"/>
      <c r="AJ195" s="103"/>
      <c r="AK195" s="15"/>
      <c r="AL195" s="15"/>
      <c r="AM195" s="15"/>
      <c r="AN195" s="15"/>
      <c r="AO195" s="15"/>
      <c r="AP195" s="15"/>
      <c r="AQ195" s="15"/>
    </row>
    <row r="196">
      <c r="A196" s="15"/>
      <c r="B196" s="15"/>
      <c r="C196" s="15"/>
      <c r="D196" s="15"/>
      <c r="E196" s="15"/>
      <c r="F196" s="15"/>
      <c r="G196" s="15"/>
      <c r="H196" s="103"/>
      <c r="I196" s="15"/>
      <c r="J196" s="15"/>
      <c r="K196" s="15"/>
      <c r="L196" s="15"/>
      <c r="M196" s="15"/>
      <c r="N196" s="15"/>
      <c r="O196" s="103"/>
      <c r="P196" s="15"/>
      <c r="Q196" s="15"/>
      <c r="R196" s="15"/>
      <c r="S196" s="15"/>
      <c r="T196" s="15"/>
      <c r="U196" s="15"/>
      <c r="V196" s="103"/>
      <c r="W196" s="15"/>
      <c r="X196" s="15"/>
      <c r="Y196" s="15"/>
      <c r="Z196" s="15"/>
      <c r="AA196" s="15"/>
      <c r="AB196" s="15"/>
      <c r="AC196" s="103"/>
      <c r="AD196" s="15"/>
      <c r="AE196" s="15"/>
      <c r="AF196" s="15"/>
      <c r="AG196" s="15"/>
      <c r="AH196" s="15"/>
      <c r="AI196" s="15"/>
      <c r="AJ196" s="103"/>
      <c r="AK196" s="15"/>
      <c r="AL196" s="15"/>
      <c r="AM196" s="15"/>
      <c r="AN196" s="15"/>
      <c r="AO196" s="15"/>
      <c r="AP196" s="15"/>
      <c r="AQ196" s="15"/>
    </row>
    <row r="197">
      <c r="A197" s="15"/>
      <c r="B197" s="15"/>
      <c r="C197" s="15"/>
      <c r="D197" s="15"/>
      <c r="E197" s="15"/>
      <c r="F197" s="15"/>
      <c r="G197" s="15"/>
      <c r="H197" s="103"/>
      <c r="I197" s="15"/>
      <c r="J197" s="15"/>
      <c r="K197" s="15"/>
      <c r="L197" s="15"/>
      <c r="M197" s="15"/>
      <c r="N197" s="15"/>
      <c r="O197" s="103"/>
      <c r="P197" s="15"/>
      <c r="Q197" s="15"/>
      <c r="R197" s="15"/>
      <c r="S197" s="15"/>
      <c r="T197" s="15"/>
      <c r="U197" s="15"/>
      <c r="V197" s="103"/>
      <c r="W197" s="15"/>
      <c r="X197" s="15"/>
      <c r="Y197" s="15"/>
      <c r="Z197" s="15"/>
      <c r="AA197" s="15"/>
      <c r="AB197" s="15"/>
      <c r="AC197" s="103"/>
      <c r="AD197" s="15"/>
      <c r="AE197" s="15"/>
      <c r="AF197" s="15"/>
      <c r="AG197" s="15"/>
      <c r="AH197" s="15"/>
      <c r="AI197" s="15"/>
      <c r="AJ197" s="103"/>
      <c r="AK197" s="15"/>
      <c r="AL197" s="15"/>
      <c r="AM197" s="15"/>
      <c r="AN197" s="15"/>
      <c r="AO197" s="15"/>
      <c r="AP197" s="15"/>
      <c r="AQ197" s="15"/>
    </row>
    <row r="198">
      <c r="A198" s="15"/>
      <c r="B198" s="15"/>
      <c r="C198" s="15"/>
      <c r="D198" s="15"/>
      <c r="E198" s="15"/>
      <c r="F198" s="15"/>
      <c r="G198" s="15"/>
      <c r="H198" s="103"/>
      <c r="I198" s="15"/>
      <c r="J198" s="15"/>
      <c r="K198" s="15"/>
      <c r="L198" s="15"/>
      <c r="M198" s="15"/>
      <c r="N198" s="15"/>
      <c r="O198" s="103"/>
      <c r="P198" s="15"/>
      <c r="Q198" s="15"/>
      <c r="R198" s="15"/>
      <c r="S198" s="15"/>
      <c r="T198" s="15"/>
      <c r="U198" s="15"/>
      <c r="V198" s="103"/>
      <c r="W198" s="15"/>
      <c r="X198" s="15"/>
      <c r="Y198" s="15"/>
      <c r="Z198" s="15"/>
      <c r="AA198" s="15"/>
      <c r="AB198" s="15"/>
      <c r="AC198" s="103"/>
      <c r="AD198" s="15"/>
      <c r="AE198" s="15"/>
      <c r="AF198" s="15"/>
      <c r="AG198" s="15"/>
      <c r="AH198" s="15"/>
      <c r="AI198" s="15"/>
      <c r="AJ198" s="103"/>
      <c r="AK198" s="15"/>
      <c r="AL198" s="15"/>
      <c r="AM198" s="15"/>
      <c r="AN198" s="15"/>
      <c r="AO198" s="15"/>
      <c r="AP198" s="15"/>
      <c r="AQ198" s="15"/>
    </row>
    <row r="199">
      <c r="A199" s="15"/>
      <c r="B199" s="15"/>
      <c r="C199" s="15"/>
      <c r="D199" s="15"/>
      <c r="E199" s="15"/>
      <c r="F199" s="15"/>
      <c r="G199" s="15"/>
      <c r="H199" s="103"/>
      <c r="I199" s="15"/>
      <c r="J199" s="15"/>
      <c r="K199" s="15"/>
      <c r="L199" s="15"/>
      <c r="M199" s="15"/>
      <c r="N199" s="15"/>
      <c r="O199" s="103"/>
      <c r="P199" s="15"/>
      <c r="Q199" s="15"/>
      <c r="R199" s="15"/>
      <c r="S199" s="15"/>
      <c r="T199" s="15"/>
      <c r="U199" s="15"/>
      <c r="V199" s="103"/>
      <c r="W199" s="15"/>
      <c r="X199" s="15"/>
      <c r="Y199" s="15"/>
      <c r="Z199" s="15"/>
      <c r="AA199" s="15"/>
      <c r="AB199" s="15"/>
      <c r="AC199" s="103"/>
      <c r="AD199" s="15"/>
      <c r="AE199" s="15"/>
      <c r="AF199" s="15"/>
      <c r="AG199" s="15"/>
      <c r="AH199" s="15"/>
      <c r="AI199" s="15"/>
      <c r="AJ199" s="103"/>
      <c r="AK199" s="15"/>
      <c r="AL199" s="15"/>
      <c r="AM199" s="15"/>
      <c r="AN199" s="15"/>
      <c r="AO199" s="15"/>
      <c r="AP199" s="15"/>
      <c r="AQ199" s="15"/>
    </row>
    <row r="200">
      <c r="A200" s="15"/>
      <c r="B200" s="15"/>
      <c r="C200" s="15"/>
      <c r="D200" s="15"/>
      <c r="E200" s="15"/>
      <c r="F200" s="15"/>
      <c r="G200" s="15"/>
      <c r="H200" s="103"/>
      <c r="I200" s="15"/>
      <c r="J200" s="15"/>
      <c r="K200" s="15"/>
      <c r="L200" s="15"/>
      <c r="M200" s="15"/>
      <c r="N200" s="15"/>
      <c r="O200" s="103"/>
      <c r="P200" s="15"/>
      <c r="Q200" s="15"/>
      <c r="R200" s="15"/>
      <c r="S200" s="15"/>
      <c r="T200" s="15"/>
      <c r="U200" s="15"/>
      <c r="V200" s="103"/>
      <c r="W200" s="15"/>
      <c r="X200" s="15"/>
      <c r="Y200" s="15"/>
      <c r="Z200" s="15"/>
      <c r="AA200" s="15"/>
      <c r="AB200" s="15"/>
      <c r="AC200" s="103"/>
      <c r="AD200" s="15"/>
      <c r="AE200" s="15"/>
      <c r="AF200" s="15"/>
      <c r="AG200" s="15"/>
      <c r="AH200" s="15"/>
      <c r="AI200" s="15"/>
      <c r="AJ200" s="103"/>
      <c r="AK200" s="15"/>
      <c r="AL200" s="15"/>
      <c r="AM200" s="15"/>
      <c r="AN200" s="15"/>
      <c r="AO200" s="15"/>
      <c r="AP200" s="15"/>
      <c r="AQ200" s="15"/>
    </row>
    <row r="201">
      <c r="A201" s="15"/>
      <c r="B201" s="15"/>
      <c r="C201" s="15"/>
      <c r="D201" s="15"/>
      <c r="E201" s="15"/>
      <c r="F201" s="15"/>
      <c r="G201" s="15"/>
      <c r="H201" s="103"/>
      <c r="I201" s="15"/>
      <c r="J201" s="15"/>
      <c r="K201" s="15"/>
      <c r="L201" s="15"/>
      <c r="M201" s="15"/>
      <c r="N201" s="15"/>
      <c r="O201" s="103"/>
      <c r="P201" s="15"/>
      <c r="Q201" s="15"/>
      <c r="R201" s="15"/>
      <c r="S201" s="15"/>
      <c r="T201" s="15"/>
      <c r="U201" s="15"/>
      <c r="V201" s="103"/>
      <c r="W201" s="15"/>
      <c r="X201" s="15"/>
      <c r="Y201" s="15"/>
      <c r="Z201" s="15"/>
      <c r="AA201" s="15"/>
      <c r="AB201" s="15"/>
      <c r="AC201" s="103"/>
      <c r="AD201" s="15"/>
      <c r="AE201" s="15"/>
      <c r="AF201" s="15"/>
      <c r="AG201" s="15"/>
      <c r="AH201" s="15"/>
      <c r="AI201" s="15"/>
      <c r="AJ201" s="103"/>
      <c r="AK201" s="15"/>
      <c r="AL201" s="15"/>
      <c r="AM201" s="15"/>
      <c r="AN201" s="15"/>
      <c r="AO201" s="15"/>
      <c r="AP201" s="15"/>
      <c r="AQ201" s="15"/>
    </row>
    <row r="202">
      <c r="A202" s="15"/>
      <c r="B202" s="15"/>
      <c r="C202" s="15"/>
      <c r="D202" s="15"/>
      <c r="E202" s="15"/>
      <c r="F202" s="15"/>
      <c r="G202" s="15"/>
      <c r="H202" s="103"/>
      <c r="I202" s="15"/>
      <c r="J202" s="15"/>
      <c r="K202" s="15"/>
      <c r="L202" s="15"/>
      <c r="M202" s="15"/>
      <c r="N202" s="15"/>
      <c r="O202" s="103"/>
      <c r="P202" s="15"/>
      <c r="Q202" s="15"/>
      <c r="R202" s="15"/>
      <c r="S202" s="15"/>
      <c r="T202" s="15"/>
      <c r="U202" s="15"/>
      <c r="V202" s="103"/>
      <c r="W202" s="15"/>
      <c r="X202" s="15"/>
      <c r="Y202" s="15"/>
      <c r="Z202" s="15"/>
      <c r="AA202" s="15"/>
      <c r="AB202" s="15"/>
      <c r="AC202" s="103"/>
      <c r="AD202" s="15"/>
      <c r="AE202" s="15"/>
      <c r="AF202" s="15"/>
      <c r="AG202" s="15"/>
      <c r="AH202" s="15"/>
      <c r="AI202" s="15"/>
      <c r="AJ202" s="103"/>
      <c r="AK202" s="15"/>
      <c r="AL202" s="15"/>
      <c r="AM202" s="15"/>
      <c r="AN202" s="15"/>
      <c r="AO202" s="15"/>
      <c r="AP202" s="15"/>
      <c r="AQ202" s="15"/>
    </row>
    <row r="203">
      <c r="A203" s="15"/>
      <c r="B203" s="15"/>
      <c r="C203" s="15"/>
      <c r="D203" s="15"/>
      <c r="E203" s="15"/>
      <c r="F203" s="15"/>
      <c r="G203" s="15"/>
      <c r="H203" s="103"/>
      <c r="I203" s="15"/>
      <c r="J203" s="15"/>
      <c r="K203" s="15"/>
      <c r="L203" s="15"/>
      <c r="M203" s="15"/>
      <c r="N203" s="15"/>
      <c r="O203" s="103"/>
      <c r="P203" s="15"/>
      <c r="Q203" s="15"/>
      <c r="R203" s="15"/>
      <c r="S203" s="15"/>
      <c r="T203" s="15"/>
      <c r="U203" s="15"/>
      <c r="V203" s="103"/>
      <c r="W203" s="15"/>
      <c r="X203" s="15"/>
      <c r="Y203" s="15"/>
      <c r="Z203" s="15"/>
      <c r="AA203" s="15"/>
      <c r="AB203" s="15"/>
      <c r="AC203" s="103"/>
      <c r="AD203" s="15"/>
      <c r="AE203" s="15"/>
      <c r="AF203" s="15"/>
      <c r="AG203" s="15"/>
      <c r="AH203" s="15"/>
      <c r="AI203" s="15"/>
      <c r="AJ203" s="103"/>
      <c r="AK203" s="15"/>
      <c r="AL203" s="15"/>
      <c r="AM203" s="15"/>
      <c r="AN203" s="15"/>
      <c r="AO203" s="15"/>
      <c r="AP203" s="15"/>
      <c r="AQ203" s="15"/>
    </row>
    <row r="204">
      <c r="A204" s="15"/>
      <c r="B204" s="15"/>
      <c r="C204" s="15"/>
      <c r="D204" s="15"/>
      <c r="E204" s="15"/>
      <c r="F204" s="15"/>
      <c r="G204" s="15"/>
      <c r="H204" s="103"/>
      <c r="I204" s="15"/>
      <c r="J204" s="15"/>
      <c r="K204" s="15"/>
      <c r="L204" s="15"/>
      <c r="M204" s="15"/>
      <c r="N204" s="15"/>
      <c r="O204" s="103"/>
      <c r="P204" s="15"/>
      <c r="Q204" s="15"/>
      <c r="R204" s="15"/>
      <c r="S204" s="15"/>
      <c r="T204" s="15"/>
      <c r="U204" s="15"/>
      <c r="V204" s="103"/>
      <c r="W204" s="15"/>
      <c r="X204" s="15"/>
      <c r="Y204" s="15"/>
      <c r="Z204" s="15"/>
      <c r="AA204" s="15"/>
      <c r="AB204" s="15"/>
      <c r="AC204" s="103"/>
      <c r="AD204" s="15"/>
      <c r="AE204" s="15"/>
      <c r="AF204" s="15"/>
      <c r="AG204" s="15"/>
      <c r="AH204" s="15"/>
      <c r="AI204" s="15"/>
      <c r="AJ204" s="103"/>
      <c r="AK204" s="15"/>
      <c r="AL204" s="15"/>
      <c r="AM204" s="15"/>
      <c r="AN204" s="15"/>
      <c r="AO204" s="15"/>
      <c r="AP204" s="15"/>
      <c r="AQ204" s="15"/>
    </row>
    <row r="205">
      <c r="A205" s="15"/>
      <c r="B205" s="15"/>
      <c r="C205" s="15"/>
      <c r="D205" s="15"/>
      <c r="E205" s="15"/>
      <c r="F205" s="15"/>
      <c r="G205" s="15"/>
      <c r="H205" s="103"/>
      <c r="I205" s="15"/>
      <c r="J205" s="15"/>
      <c r="K205" s="15"/>
      <c r="L205" s="15"/>
      <c r="M205" s="15"/>
      <c r="N205" s="15"/>
      <c r="O205" s="103"/>
      <c r="P205" s="15"/>
      <c r="Q205" s="15"/>
      <c r="R205" s="15"/>
      <c r="S205" s="15"/>
      <c r="T205" s="15"/>
      <c r="U205" s="15"/>
      <c r="V205" s="103"/>
      <c r="W205" s="15"/>
      <c r="X205" s="15"/>
      <c r="Y205" s="15"/>
      <c r="Z205" s="15"/>
      <c r="AA205" s="15"/>
      <c r="AB205" s="15"/>
      <c r="AC205" s="103"/>
      <c r="AD205" s="15"/>
      <c r="AE205" s="15"/>
      <c r="AF205" s="15"/>
      <c r="AG205" s="15"/>
      <c r="AH205" s="15"/>
      <c r="AI205" s="15"/>
      <c r="AJ205" s="103"/>
      <c r="AK205" s="15"/>
      <c r="AL205" s="15"/>
      <c r="AM205" s="15"/>
      <c r="AN205" s="15"/>
      <c r="AO205" s="15"/>
      <c r="AP205" s="15"/>
      <c r="AQ205" s="15"/>
    </row>
    <row r="206">
      <c r="A206" s="15"/>
      <c r="B206" s="15"/>
      <c r="C206" s="15"/>
      <c r="D206" s="15"/>
      <c r="E206" s="15"/>
      <c r="F206" s="15"/>
      <c r="G206" s="15"/>
      <c r="H206" s="103"/>
      <c r="I206" s="15"/>
      <c r="J206" s="15"/>
      <c r="K206" s="15"/>
      <c r="L206" s="15"/>
      <c r="M206" s="15"/>
      <c r="N206" s="15"/>
      <c r="O206" s="103"/>
      <c r="P206" s="15"/>
      <c r="Q206" s="15"/>
      <c r="R206" s="15"/>
      <c r="S206" s="15"/>
      <c r="T206" s="15"/>
      <c r="U206" s="15"/>
      <c r="V206" s="103"/>
      <c r="W206" s="15"/>
      <c r="X206" s="15"/>
      <c r="Y206" s="15"/>
      <c r="Z206" s="15"/>
      <c r="AA206" s="15"/>
      <c r="AB206" s="15"/>
      <c r="AC206" s="103"/>
      <c r="AD206" s="15"/>
      <c r="AE206" s="15"/>
      <c r="AF206" s="15"/>
      <c r="AG206" s="15"/>
      <c r="AH206" s="15"/>
      <c r="AI206" s="15"/>
      <c r="AJ206" s="103"/>
      <c r="AK206" s="15"/>
      <c r="AL206" s="15"/>
      <c r="AM206" s="15"/>
      <c r="AN206" s="15"/>
      <c r="AO206" s="15"/>
      <c r="AP206" s="15"/>
      <c r="AQ206" s="15"/>
    </row>
    <row r="207">
      <c r="A207" s="15"/>
      <c r="B207" s="15"/>
      <c r="C207" s="15"/>
      <c r="D207" s="15"/>
      <c r="E207" s="15"/>
      <c r="F207" s="15"/>
      <c r="G207" s="15"/>
      <c r="H207" s="103"/>
      <c r="I207" s="15"/>
      <c r="J207" s="15"/>
      <c r="K207" s="15"/>
      <c r="L207" s="15"/>
      <c r="M207" s="15"/>
      <c r="N207" s="15"/>
      <c r="O207" s="103"/>
      <c r="P207" s="15"/>
      <c r="Q207" s="15"/>
      <c r="R207" s="15"/>
      <c r="S207" s="15"/>
      <c r="T207" s="15"/>
      <c r="U207" s="15"/>
      <c r="V207" s="103"/>
      <c r="W207" s="15"/>
      <c r="X207" s="15"/>
      <c r="Y207" s="15"/>
      <c r="Z207" s="15"/>
      <c r="AA207" s="15"/>
      <c r="AB207" s="15"/>
      <c r="AC207" s="103"/>
      <c r="AD207" s="15"/>
      <c r="AE207" s="15"/>
      <c r="AF207" s="15"/>
      <c r="AG207" s="15"/>
      <c r="AH207" s="15"/>
      <c r="AI207" s="15"/>
      <c r="AJ207" s="103"/>
      <c r="AK207" s="15"/>
      <c r="AL207" s="15"/>
      <c r="AM207" s="15"/>
      <c r="AN207" s="15"/>
      <c r="AO207" s="15"/>
      <c r="AP207" s="15"/>
      <c r="AQ207" s="15"/>
    </row>
    <row r="208">
      <c r="A208" s="15"/>
      <c r="B208" s="15"/>
      <c r="C208" s="15"/>
      <c r="D208" s="15"/>
      <c r="E208" s="15"/>
      <c r="F208" s="15"/>
      <c r="G208" s="15"/>
      <c r="H208" s="103"/>
      <c r="I208" s="15"/>
      <c r="J208" s="15"/>
      <c r="K208" s="15"/>
      <c r="L208" s="15"/>
      <c r="M208" s="15"/>
      <c r="N208" s="15"/>
      <c r="O208" s="103"/>
      <c r="P208" s="15"/>
      <c r="Q208" s="15"/>
      <c r="R208" s="15"/>
      <c r="S208" s="15"/>
      <c r="T208" s="15"/>
      <c r="U208" s="15"/>
      <c r="V208" s="103"/>
      <c r="W208" s="15"/>
      <c r="X208" s="15"/>
      <c r="Y208" s="15"/>
      <c r="Z208" s="15"/>
      <c r="AA208" s="15"/>
      <c r="AB208" s="15"/>
      <c r="AC208" s="103"/>
      <c r="AD208" s="15"/>
      <c r="AE208" s="15"/>
      <c r="AF208" s="15"/>
      <c r="AG208" s="15"/>
      <c r="AH208" s="15"/>
      <c r="AI208" s="15"/>
      <c r="AJ208" s="103"/>
      <c r="AK208" s="15"/>
      <c r="AL208" s="15"/>
      <c r="AM208" s="15"/>
      <c r="AN208" s="15"/>
      <c r="AO208" s="15"/>
      <c r="AP208" s="15"/>
      <c r="AQ208" s="15"/>
    </row>
    <row r="209">
      <c r="A209" s="15"/>
      <c r="B209" s="15"/>
      <c r="C209" s="15"/>
      <c r="D209" s="15"/>
      <c r="E209" s="15"/>
      <c r="F209" s="15"/>
      <c r="G209" s="15"/>
      <c r="H209" s="103"/>
      <c r="I209" s="15"/>
      <c r="J209" s="15"/>
      <c r="K209" s="15"/>
      <c r="L209" s="15"/>
      <c r="M209" s="15"/>
      <c r="N209" s="15"/>
      <c r="O209" s="103"/>
      <c r="P209" s="15"/>
      <c r="Q209" s="15"/>
      <c r="R209" s="15"/>
      <c r="S209" s="15"/>
      <c r="T209" s="15"/>
      <c r="U209" s="15"/>
      <c r="V209" s="103"/>
      <c r="W209" s="15"/>
      <c r="X209" s="15"/>
      <c r="Y209" s="15"/>
      <c r="Z209" s="15"/>
      <c r="AA209" s="15"/>
      <c r="AB209" s="15"/>
      <c r="AC209" s="103"/>
      <c r="AD209" s="15"/>
      <c r="AE209" s="15"/>
      <c r="AF209" s="15"/>
      <c r="AG209" s="15"/>
      <c r="AH209" s="15"/>
      <c r="AI209" s="15"/>
      <c r="AJ209" s="103"/>
      <c r="AK209" s="15"/>
      <c r="AL209" s="15"/>
      <c r="AM209" s="15"/>
      <c r="AN209" s="15"/>
      <c r="AO209" s="15"/>
      <c r="AP209" s="15"/>
      <c r="AQ209" s="15"/>
    </row>
    <row r="210">
      <c r="A210" s="15"/>
      <c r="B210" s="15"/>
      <c r="C210" s="15"/>
      <c r="D210" s="15"/>
      <c r="E210" s="15"/>
      <c r="F210" s="15"/>
      <c r="G210" s="15"/>
      <c r="H210" s="103"/>
      <c r="I210" s="15"/>
      <c r="J210" s="15"/>
      <c r="K210" s="15"/>
      <c r="L210" s="15"/>
      <c r="M210" s="15"/>
      <c r="N210" s="15"/>
      <c r="O210" s="103"/>
      <c r="P210" s="15"/>
      <c r="Q210" s="15"/>
      <c r="R210" s="15"/>
      <c r="S210" s="15"/>
      <c r="T210" s="15"/>
      <c r="U210" s="15"/>
      <c r="V210" s="103"/>
      <c r="W210" s="15"/>
      <c r="X210" s="15"/>
      <c r="Y210" s="15"/>
      <c r="Z210" s="15"/>
      <c r="AA210" s="15"/>
      <c r="AB210" s="15"/>
      <c r="AC210" s="103"/>
      <c r="AD210" s="15"/>
      <c r="AE210" s="15"/>
      <c r="AF210" s="15"/>
      <c r="AG210" s="15"/>
      <c r="AH210" s="15"/>
      <c r="AI210" s="15"/>
      <c r="AJ210" s="103"/>
      <c r="AK210" s="15"/>
      <c r="AL210" s="15"/>
      <c r="AM210" s="15"/>
      <c r="AN210" s="15"/>
      <c r="AO210" s="15"/>
      <c r="AP210" s="15"/>
      <c r="AQ210" s="15"/>
    </row>
    <row r="211">
      <c r="A211" s="15"/>
      <c r="B211" s="15"/>
      <c r="C211" s="15"/>
      <c r="D211" s="15"/>
      <c r="E211" s="15"/>
      <c r="F211" s="15"/>
      <c r="G211" s="15"/>
      <c r="H211" s="103"/>
      <c r="I211" s="15"/>
      <c r="J211" s="15"/>
      <c r="K211" s="15"/>
      <c r="L211" s="15"/>
      <c r="M211" s="15"/>
      <c r="N211" s="15"/>
      <c r="O211" s="103"/>
      <c r="P211" s="15"/>
      <c r="Q211" s="15"/>
      <c r="R211" s="15"/>
      <c r="S211" s="15"/>
      <c r="T211" s="15"/>
      <c r="U211" s="15"/>
      <c r="V211" s="103"/>
      <c r="W211" s="15"/>
      <c r="X211" s="15"/>
      <c r="Y211" s="15"/>
      <c r="Z211" s="15"/>
      <c r="AA211" s="15"/>
      <c r="AB211" s="15"/>
      <c r="AC211" s="103"/>
      <c r="AD211" s="15"/>
      <c r="AE211" s="15"/>
      <c r="AF211" s="15"/>
      <c r="AG211" s="15"/>
      <c r="AH211" s="15"/>
      <c r="AI211" s="15"/>
      <c r="AJ211" s="103"/>
      <c r="AK211" s="15"/>
      <c r="AL211" s="15"/>
      <c r="AM211" s="15"/>
      <c r="AN211" s="15"/>
      <c r="AO211" s="15"/>
      <c r="AP211" s="15"/>
      <c r="AQ211" s="15"/>
    </row>
    <row r="212">
      <c r="A212" s="15"/>
      <c r="B212" s="15"/>
      <c r="C212" s="15"/>
      <c r="D212" s="15"/>
      <c r="E212" s="15"/>
      <c r="F212" s="15"/>
      <c r="G212" s="15"/>
      <c r="H212" s="103"/>
      <c r="I212" s="15"/>
      <c r="J212" s="15"/>
      <c r="K212" s="15"/>
      <c r="L212" s="15"/>
      <c r="M212" s="15"/>
      <c r="N212" s="15"/>
      <c r="O212" s="103"/>
      <c r="P212" s="15"/>
      <c r="Q212" s="15"/>
      <c r="R212" s="15"/>
      <c r="S212" s="15"/>
      <c r="T212" s="15"/>
      <c r="U212" s="15"/>
      <c r="V212" s="103"/>
      <c r="W212" s="15"/>
      <c r="X212" s="15"/>
      <c r="Y212" s="15"/>
      <c r="Z212" s="15"/>
      <c r="AA212" s="15"/>
      <c r="AB212" s="15"/>
      <c r="AC212" s="103"/>
      <c r="AD212" s="15"/>
      <c r="AE212" s="15"/>
      <c r="AF212" s="15"/>
      <c r="AG212" s="15"/>
      <c r="AH212" s="15"/>
      <c r="AI212" s="15"/>
      <c r="AJ212" s="103"/>
      <c r="AK212" s="15"/>
      <c r="AL212" s="15"/>
      <c r="AM212" s="15"/>
      <c r="AN212" s="15"/>
      <c r="AO212" s="15"/>
      <c r="AP212" s="15"/>
      <c r="AQ212" s="15"/>
    </row>
    <row r="213">
      <c r="A213" s="15"/>
      <c r="B213" s="15"/>
      <c r="C213" s="15"/>
      <c r="D213" s="15"/>
      <c r="E213" s="15"/>
      <c r="F213" s="15"/>
      <c r="G213" s="15"/>
      <c r="H213" s="103"/>
      <c r="I213" s="15"/>
      <c r="J213" s="15"/>
      <c r="K213" s="15"/>
      <c r="L213" s="15"/>
      <c r="M213" s="15"/>
      <c r="N213" s="15"/>
      <c r="O213" s="103"/>
      <c r="P213" s="15"/>
      <c r="Q213" s="15"/>
      <c r="R213" s="15"/>
      <c r="S213" s="15"/>
      <c r="T213" s="15"/>
      <c r="U213" s="15"/>
      <c r="V213" s="103"/>
      <c r="W213" s="15"/>
      <c r="X213" s="15"/>
      <c r="Y213" s="15"/>
      <c r="Z213" s="15"/>
      <c r="AA213" s="15"/>
      <c r="AB213" s="15"/>
      <c r="AC213" s="103"/>
      <c r="AD213" s="15"/>
      <c r="AE213" s="15"/>
      <c r="AF213" s="15"/>
      <c r="AG213" s="15"/>
      <c r="AH213" s="15"/>
      <c r="AI213" s="15"/>
      <c r="AJ213" s="103"/>
      <c r="AK213" s="15"/>
      <c r="AL213" s="15"/>
      <c r="AM213" s="15"/>
      <c r="AN213" s="15"/>
      <c r="AO213" s="15"/>
      <c r="AP213" s="15"/>
      <c r="AQ213" s="15"/>
    </row>
    <row r="214">
      <c r="A214" s="15"/>
      <c r="B214" s="15"/>
      <c r="C214" s="15"/>
      <c r="D214" s="15"/>
      <c r="E214" s="15"/>
      <c r="F214" s="15"/>
      <c r="G214" s="15"/>
      <c r="H214" s="103"/>
      <c r="I214" s="15"/>
      <c r="J214" s="15"/>
      <c r="K214" s="15"/>
      <c r="L214" s="15"/>
      <c r="M214" s="15"/>
      <c r="N214" s="15"/>
      <c r="O214" s="103"/>
      <c r="P214" s="15"/>
      <c r="Q214" s="15"/>
      <c r="R214" s="15"/>
      <c r="S214" s="15"/>
      <c r="T214" s="15"/>
      <c r="U214" s="15"/>
      <c r="V214" s="103"/>
      <c r="W214" s="15"/>
      <c r="X214" s="15"/>
      <c r="Y214" s="15"/>
      <c r="Z214" s="15"/>
      <c r="AA214" s="15"/>
      <c r="AB214" s="15"/>
      <c r="AC214" s="103"/>
      <c r="AD214" s="15"/>
      <c r="AE214" s="15"/>
      <c r="AF214" s="15"/>
      <c r="AG214" s="15"/>
      <c r="AH214" s="15"/>
      <c r="AI214" s="15"/>
      <c r="AJ214" s="103"/>
      <c r="AK214" s="15"/>
      <c r="AL214" s="15"/>
      <c r="AM214" s="15"/>
      <c r="AN214" s="15"/>
      <c r="AO214" s="15"/>
      <c r="AP214" s="15"/>
      <c r="AQ214" s="15"/>
    </row>
    <row r="215">
      <c r="A215" s="15"/>
      <c r="B215" s="15"/>
      <c r="C215" s="15"/>
      <c r="D215" s="15"/>
      <c r="E215" s="15"/>
      <c r="F215" s="15"/>
      <c r="G215" s="15"/>
      <c r="H215" s="103"/>
      <c r="I215" s="15"/>
      <c r="J215" s="15"/>
      <c r="K215" s="15"/>
      <c r="L215" s="15"/>
      <c r="M215" s="15"/>
      <c r="N215" s="15"/>
      <c r="O215" s="103"/>
      <c r="P215" s="15"/>
      <c r="Q215" s="15"/>
      <c r="R215" s="15"/>
      <c r="S215" s="15"/>
      <c r="T215" s="15"/>
      <c r="U215" s="15"/>
      <c r="V215" s="103"/>
      <c r="W215" s="15"/>
      <c r="X215" s="15"/>
      <c r="Y215" s="15"/>
      <c r="Z215" s="15"/>
      <c r="AA215" s="15"/>
      <c r="AB215" s="15"/>
      <c r="AC215" s="103"/>
      <c r="AD215" s="15"/>
      <c r="AE215" s="15"/>
      <c r="AF215" s="15"/>
      <c r="AG215" s="15"/>
      <c r="AH215" s="15"/>
      <c r="AI215" s="15"/>
      <c r="AJ215" s="103"/>
      <c r="AK215" s="15"/>
      <c r="AL215" s="15"/>
      <c r="AM215" s="15"/>
      <c r="AN215" s="15"/>
      <c r="AO215" s="15"/>
      <c r="AP215" s="15"/>
      <c r="AQ215" s="15"/>
    </row>
    <row r="216">
      <c r="A216" s="15"/>
      <c r="B216" s="15"/>
      <c r="C216" s="15"/>
      <c r="D216" s="15"/>
      <c r="E216" s="15"/>
      <c r="F216" s="15"/>
      <c r="G216" s="15"/>
      <c r="H216" s="103"/>
      <c r="I216" s="15"/>
      <c r="J216" s="15"/>
      <c r="K216" s="15"/>
      <c r="L216" s="15"/>
      <c r="M216" s="15"/>
      <c r="N216" s="15"/>
      <c r="O216" s="103"/>
      <c r="P216" s="15"/>
      <c r="Q216" s="15"/>
      <c r="R216" s="15"/>
      <c r="S216" s="15"/>
      <c r="T216" s="15"/>
      <c r="U216" s="15"/>
      <c r="V216" s="103"/>
      <c r="W216" s="15"/>
      <c r="X216" s="15"/>
      <c r="Y216" s="15"/>
      <c r="Z216" s="15"/>
      <c r="AA216" s="15"/>
      <c r="AB216" s="15"/>
      <c r="AC216" s="103"/>
      <c r="AD216" s="15"/>
      <c r="AE216" s="15"/>
      <c r="AF216" s="15"/>
      <c r="AG216" s="15"/>
      <c r="AH216" s="15"/>
      <c r="AI216" s="15"/>
      <c r="AJ216" s="103"/>
      <c r="AK216" s="15"/>
      <c r="AL216" s="15"/>
      <c r="AM216" s="15"/>
      <c r="AN216" s="15"/>
      <c r="AO216" s="15"/>
      <c r="AP216" s="15"/>
      <c r="AQ216" s="15"/>
    </row>
    <row r="217">
      <c r="A217" s="15"/>
      <c r="B217" s="15"/>
      <c r="C217" s="15"/>
      <c r="D217" s="15"/>
      <c r="E217" s="15"/>
      <c r="F217" s="15"/>
      <c r="G217" s="15"/>
      <c r="H217" s="103"/>
      <c r="I217" s="15"/>
      <c r="J217" s="15"/>
      <c r="K217" s="15"/>
      <c r="L217" s="15"/>
      <c r="M217" s="15"/>
      <c r="N217" s="15"/>
      <c r="O217" s="103"/>
      <c r="P217" s="15"/>
      <c r="Q217" s="15"/>
      <c r="R217" s="15"/>
      <c r="S217" s="15"/>
      <c r="T217" s="15"/>
      <c r="U217" s="15"/>
      <c r="V217" s="103"/>
      <c r="W217" s="15"/>
      <c r="X217" s="15"/>
      <c r="Y217" s="15"/>
      <c r="Z217" s="15"/>
      <c r="AA217" s="15"/>
      <c r="AB217" s="15"/>
      <c r="AC217" s="103"/>
      <c r="AD217" s="15"/>
      <c r="AE217" s="15"/>
      <c r="AF217" s="15"/>
      <c r="AG217" s="15"/>
      <c r="AH217" s="15"/>
      <c r="AI217" s="15"/>
      <c r="AJ217" s="103"/>
      <c r="AK217" s="15"/>
      <c r="AL217" s="15"/>
      <c r="AM217" s="15"/>
      <c r="AN217" s="15"/>
      <c r="AO217" s="15"/>
      <c r="AP217" s="15"/>
      <c r="AQ217" s="15"/>
    </row>
    <row r="218">
      <c r="A218" s="15"/>
      <c r="B218" s="15"/>
      <c r="C218" s="15"/>
      <c r="D218" s="15"/>
      <c r="E218" s="15"/>
      <c r="F218" s="15"/>
      <c r="G218" s="15"/>
      <c r="H218" s="103"/>
      <c r="I218" s="15"/>
      <c r="J218" s="15"/>
      <c r="K218" s="15"/>
      <c r="L218" s="15"/>
      <c r="M218" s="15"/>
      <c r="N218" s="15"/>
      <c r="O218" s="103"/>
      <c r="P218" s="15"/>
      <c r="Q218" s="15"/>
      <c r="R218" s="15"/>
      <c r="S218" s="15"/>
      <c r="T218" s="15"/>
      <c r="U218" s="15"/>
      <c r="V218" s="103"/>
      <c r="W218" s="15"/>
      <c r="X218" s="15"/>
      <c r="Y218" s="15"/>
      <c r="Z218" s="15"/>
      <c r="AA218" s="15"/>
      <c r="AB218" s="15"/>
      <c r="AC218" s="103"/>
      <c r="AD218" s="15"/>
      <c r="AE218" s="15"/>
      <c r="AF218" s="15"/>
      <c r="AG218" s="15"/>
      <c r="AH218" s="15"/>
      <c r="AI218" s="15"/>
      <c r="AJ218" s="103"/>
      <c r="AK218" s="15"/>
      <c r="AL218" s="15"/>
      <c r="AM218" s="15"/>
      <c r="AN218" s="15"/>
      <c r="AO218" s="15"/>
      <c r="AP218" s="15"/>
      <c r="AQ218" s="15"/>
    </row>
    <row r="219">
      <c r="A219" s="15"/>
      <c r="B219" s="15"/>
      <c r="C219" s="15"/>
      <c r="D219" s="15"/>
      <c r="E219" s="15"/>
      <c r="F219" s="15"/>
      <c r="G219" s="15"/>
      <c r="H219" s="103"/>
      <c r="I219" s="15"/>
      <c r="J219" s="15"/>
      <c r="K219" s="15"/>
      <c r="L219" s="15"/>
      <c r="M219" s="15"/>
      <c r="N219" s="15"/>
      <c r="O219" s="103"/>
      <c r="P219" s="15"/>
      <c r="Q219" s="15"/>
      <c r="R219" s="15"/>
      <c r="S219" s="15"/>
      <c r="T219" s="15"/>
      <c r="U219" s="15"/>
      <c r="V219" s="103"/>
      <c r="W219" s="15"/>
      <c r="X219" s="15"/>
      <c r="Y219" s="15"/>
      <c r="Z219" s="15"/>
      <c r="AA219" s="15"/>
      <c r="AB219" s="15"/>
      <c r="AC219" s="103"/>
      <c r="AD219" s="15"/>
      <c r="AE219" s="15"/>
      <c r="AF219" s="15"/>
      <c r="AG219" s="15"/>
      <c r="AH219" s="15"/>
      <c r="AI219" s="15"/>
      <c r="AJ219" s="103"/>
      <c r="AK219" s="15"/>
      <c r="AL219" s="15"/>
      <c r="AM219" s="15"/>
      <c r="AN219" s="15"/>
      <c r="AO219" s="15"/>
      <c r="AP219" s="15"/>
      <c r="AQ219" s="15"/>
    </row>
    <row r="220">
      <c r="A220" s="15"/>
      <c r="B220" s="15"/>
      <c r="C220" s="15"/>
      <c r="D220" s="15"/>
      <c r="E220" s="15"/>
      <c r="F220" s="15"/>
      <c r="G220" s="15"/>
      <c r="H220" s="103"/>
      <c r="I220" s="15"/>
      <c r="J220" s="15"/>
      <c r="K220" s="15"/>
      <c r="L220" s="15"/>
      <c r="M220" s="15"/>
      <c r="N220" s="15"/>
      <c r="O220" s="103"/>
      <c r="P220" s="15"/>
      <c r="Q220" s="15"/>
      <c r="R220" s="15"/>
      <c r="S220" s="15"/>
      <c r="T220" s="15"/>
      <c r="U220" s="15"/>
      <c r="V220" s="103"/>
      <c r="W220" s="15"/>
      <c r="X220" s="15"/>
      <c r="Y220" s="15"/>
      <c r="Z220" s="15"/>
      <c r="AA220" s="15"/>
      <c r="AB220" s="15"/>
      <c r="AC220" s="103"/>
      <c r="AD220" s="15"/>
      <c r="AE220" s="15"/>
      <c r="AF220" s="15"/>
      <c r="AG220" s="15"/>
      <c r="AH220" s="15"/>
      <c r="AI220" s="15"/>
      <c r="AJ220" s="103"/>
      <c r="AK220" s="15"/>
      <c r="AL220" s="15"/>
      <c r="AM220" s="15"/>
      <c r="AN220" s="15"/>
      <c r="AO220" s="15"/>
      <c r="AP220" s="15"/>
      <c r="AQ220" s="15"/>
    </row>
    <row r="221">
      <c r="A221" s="15"/>
      <c r="B221" s="15"/>
      <c r="C221" s="15"/>
      <c r="D221" s="15"/>
      <c r="E221" s="15"/>
      <c r="F221" s="15"/>
      <c r="G221" s="15"/>
      <c r="H221" s="103"/>
      <c r="I221" s="15"/>
      <c r="J221" s="15"/>
      <c r="K221" s="15"/>
      <c r="L221" s="15"/>
      <c r="M221" s="15"/>
      <c r="N221" s="15"/>
      <c r="O221" s="103"/>
      <c r="P221" s="15"/>
      <c r="Q221" s="15"/>
      <c r="R221" s="15"/>
      <c r="S221" s="15"/>
      <c r="T221" s="15"/>
      <c r="U221" s="15"/>
      <c r="V221" s="103"/>
      <c r="W221" s="15"/>
      <c r="X221" s="15"/>
      <c r="Y221" s="15"/>
      <c r="Z221" s="15"/>
      <c r="AA221" s="15"/>
      <c r="AB221" s="15"/>
      <c r="AC221" s="103"/>
      <c r="AD221" s="15"/>
      <c r="AE221" s="15"/>
      <c r="AF221" s="15"/>
      <c r="AG221" s="15"/>
      <c r="AH221" s="15"/>
      <c r="AI221" s="15"/>
      <c r="AJ221" s="103"/>
      <c r="AK221" s="15"/>
      <c r="AL221" s="15"/>
      <c r="AM221" s="15"/>
      <c r="AN221" s="15"/>
      <c r="AO221" s="15"/>
      <c r="AP221" s="15"/>
      <c r="AQ221" s="15"/>
    </row>
    <row r="222">
      <c r="A222" s="15"/>
      <c r="B222" s="15"/>
      <c r="C222" s="15"/>
      <c r="D222" s="15"/>
      <c r="E222" s="15"/>
      <c r="F222" s="15"/>
      <c r="G222" s="15"/>
      <c r="H222" s="103"/>
      <c r="I222" s="15"/>
      <c r="J222" s="15"/>
      <c r="K222" s="15"/>
      <c r="L222" s="15"/>
      <c r="M222" s="15"/>
      <c r="N222" s="15"/>
      <c r="O222" s="103"/>
      <c r="P222" s="15"/>
      <c r="Q222" s="15"/>
      <c r="R222" s="15"/>
      <c r="S222" s="15"/>
      <c r="T222" s="15"/>
      <c r="U222" s="15"/>
      <c r="V222" s="103"/>
      <c r="W222" s="15"/>
      <c r="X222" s="15"/>
      <c r="Y222" s="15"/>
      <c r="Z222" s="15"/>
      <c r="AA222" s="15"/>
      <c r="AB222" s="15"/>
      <c r="AC222" s="103"/>
      <c r="AD222" s="15"/>
      <c r="AE222" s="15"/>
      <c r="AF222" s="15"/>
      <c r="AG222" s="15"/>
      <c r="AH222" s="15"/>
      <c r="AI222" s="15"/>
      <c r="AJ222" s="103"/>
      <c r="AK222" s="15"/>
      <c r="AL222" s="15"/>
      <c r="AM222" s="15"/>
      <c r="AN222" s="15"/>
      <c r="AO222" s="15"/>
      <c r="AP222" s="15"/>
      <c r="AQ222" s="15"/>
    </row>
    <row r="223">
      <c r="A223" s="15"/>
      <c r="B223" s="15"/>
      <c r="C223" s="15"/>
      <c r="D223" s="15"/>
      <c r="E223" s="15"/>
      <c r="F223" s="15"/>
      <c r="G223" s="15"/>
      <c r="H223" s="103"/>
      <c r="I223" s="15"/>
      <c r="J223" s="15"/>
      <c r="K223" s="15"/>
      <c r="L223" s="15"/>
      <c r="M223" s="15"/>
      <c r="N223" s="15"/>
      <c r="O223" s="103"/>
      <c r="P223" s="15"/>
      <c r="Q223" s="15"/>
      <c r="R223" s="15"/>
      <c r="S223" s="15"/>
      <c r="T223" s="15"/>
      <c r="U223" s="15"/>
      <c r="V223" s="103"/>
      <c r="W223" s="15"/>
      <c r="X223" s="15"/>
      <c r="Y223" s="15"/>
      <c r="Z223" s="15"/>
      <c r="AA223" s="15"/>
      <c r="AB223" s="15"/>
      <c r="AC223" s="103"/>
      <c r="AD223" s="15"/>
      <c r="AE223" s="15"/>
      <c r="AF223" s="15"/>
      <c r="AG223" s="15"/>
      <c r="AH223" s="15"/>
      <c r="AI223" s="15"/>
      <c r="AJ223" s="103"/>
      <c r="AK223" s="15"/>
      <c r="AL223" s="15"/>
      <c r="AM223" s="15"/>
      <c r="AN223" s="15"/>
      <c r="AO223" s="15"/>
      <c r="AP223" s="15"/>
      <c r="AQ223" s="15"/>
    </row>
    <row r="224">
      <c r="A224" s="15"/>
      <c r="B224" s="15"/>
      <c r="C224" s="15"/>
      <c r="D224" s="15"/>
      <c r="E224" s="15"/>
      <c r="F224" s="15"/>
      <c r="G224" s="15"/>
      <c r="H224" s="103"/>
      <c r="I224" s="15"/>
      <c r="J224" s="15"/>
      <c r="K224" s="15"/>
      <c r="L224" s="15"/>
      <c r="M224" s="15"/>
      <c r="N224" s="15"/>
      <c r="O224" s="103"/>
      <c r="P224" s="15"/>
      <c r="Q224" s="15"/>
      <c r="R224" s="15"/>
      <c r="S224" s="15"/>
      <c r="T224" s="15"/>
      <c r="U224" s="15"/>
      <c r="V224" s="103"/>
      <c r="W224" s="15"/>
      <c r="X224" s="15"/>
      <c r="Y224" s="15"/>
      <c r="Z224" s="15"/>
      <c r="AA224" s="15"/>
      <c r="AB224" s="15"/>
      <c r="AC224" s="103"/>
      <c r="AD224" s="15"/>
      <c r="AE224" s="15"/>
      <c r="AF224" s="15"/>
      <c r="AG224" s="15"/>
      <c r="AH224" s="15"/>
      <c r="AI224" s="15"/>
      <c r="AJ224" s="103"/>
      <c r="AK224" s="15"/>
      <c r="AL224" s="15"/>
      <c r="AM224" s="15"/>
      <c r="AN224" s="15"/>
      <c r="AO224" s="15"/>
      <c r="AP224" s="15"/>
      <c r="AQ224" s="15"/>
    </row>
    <row r="225">
      <c r="A225" s="15"/>
      <c r="B225" s="15"/>
      <c r="C225" s="15"/>
      <c r="D225" s="15"/>
      <c r="E225" s="15"/>
      <c r="F225" s="15"/>
      <c r="G225" s="15"/>
      <c r="H225" s="103"/>
      <c r="I225" s="15"/>
      <c r="J225" s="15"/>
      <c r="K225" s="15"/>
      <c r="L225" s="15"/>
      <c r="M225" s="15"/>
      <c r="N225" s="15"/>
      <c r="O225" s="103"/>
      <c r="P225" s="15"/>
      <c r="Q225" s="15"/>
      <c r="R225" s="15"/>
      <c r="S225" s="15"/>
      <c r="T225" s="15"/>
      <c r="U225" s="15"/>
      <c r="V225" s="103"/>
      <c r="W225" s="15"/>
      <c r="X225" s="15"/>
      <c r="Y225" s="15"/>
      <c r="Z225" s="15"/>
      <c r="AA225" s="15"/>
      <c r="AB225" s="15"/>
      <c r="AC225" s="103"/>
      <c r="AD225" s="15"/>
      <c r="AE225" s="15"/>
      <c r="AF225" s="15"/>
      <c r="AG225" s="15"/>
      <c r="AH225" s="15"/>
      <c r="AI225" s="15"/>
      <c r="AJ225" s="103"/>
      <c r="AK225" s="15"/>
      <c r="AL225" s="15"/>
      <c r="AM225" s="15"/>
      <c r="AN225" s="15"/>
      <c r="AO225" s="15"/>
      <c r="AP225" s="15"/>
      <c r="AQ225" s="15"/>
    </row>
    <row r="226">
      <c r="A226" s="15"/>
      <c r="B226" s="15"/>
      <c r="C226" s="15"/>
      <c r="D226" s="15"/>
      <c r="E226" s="15"/>
      <c r="F226" s="15"/>
      <c r="G226" s="15"/>
      <c r="H226" s="103"/>
      <c r="I226" s="15"/>
      <c r="J226" s="15"/>
      <c r="K226" s="15"/>
      <c r="L226" s="15"/>
      <c r="M226" s="15"/>
      <c r="N226" s="15"/>
      <c r="O226" s="103"/>
      <c r="P226" s="15"/>
      <c r="Q226" s="15"/>
      <c r="R226" s="15"/>
      <c r="S226" s="15"/>
      <c r="T226" s="15"/>
      <c r="U226" s="15"/>
      <c r="V226" s="103"/>
      <c r="W226" s="15"/>
      <c r="X226" s="15"/>
      <c r="Y226" s="15"/>
      <c r="Z226" s="15"/>
      <c r="AA226" s="15"/>
      <c r="AB226" s="15"/>
      <c r="AC226" s="103"/>
      <c r="AD226" s="15"/>
      <c r="AE226" s="15"/>
      <c r="AF226" s="15"/>
      <c r="AG226" s="15"/>
      <c r="AH226" s="15"/>
      <c r="AI226" s="15"/>
      <c r="AJ226" s="103"/>
      <c r="AK226" s="15"/>
      <c r="AL226" s="15"/>
      <c r="AM226" s="15"/>
      <c r="AN226" s="15"/>
      <c r="AO226" s="15"/>
      <c r="AP226" s="15"/>
      <c r="AQ226" s="15"/>
    </row>
    <row r="227">
      <c r="A227" s="15"/>
      <c r="B227" s="15"/>
      <c r="C227" s="15"/>
      <c r="D227" s="15"/>
      <c r="E227" s="15"/>
      <c r="F227" s="15"/>
      <c r="G227" s="15"/>
      <c r="H227" s="103"/>
      <c r="I227" s="15"/>
      <c r="J227" s="15"/>
      <c r="K227" s="15"/>
      <c r="L227" s="15"/>
      <c r="M227" s="15"/>
      <c r="N227" s="15"/>
      <c r="O227" s="103"/>
      <c r="P227" s="15"/>
      <c r="Q227" s="15"/>
      <c r="R227" s="15"/>
      <c r="S227" s="15"/>
      <c r="T227" s="15"/>
      <c r="U227" s="15"/>
      <c r="V227" s="103"/>
      <c r="W227" s="15"/>
      <c r="X227" s="15"/>
      <c r="Y227" s="15"/>
      <c r="Z227" s="15"/>
      <c r="AA227" s="15"/>
      <c r="AB227" s="15"/>
      <c r="AC227" s="103"/>
      <c r="AD227" s="15"/>
      <c r="AE227" s="15"/>
      <c r="AF227" s="15"/>
      <c r="AG227" s="15"/>
      <c r="AH227" s="15"/>
      <c r="AI227" s="15"/>
      <c r="AJ227" s="103"/>
      <c r="AK227" s="15"/>
      <c r="AL227" s="15"/>
      <c r="AM227" s="15"/>
      <c r="AN227" s="15"/>
      <c r="AO227" s="15"/>
      <c r="AP227" s="15"/>
      <c r="AQ227" s="15"/>
    </row>
    <row r="228">
      <c r="A228" s="15"/>
      <c r="B228" s="15"/>
      <c r="C228" s="15"/>
      <c r="D228" s="15"/>
      <c r="E228" s="15"/>
      <c r="F228" s="15"/>
      <c r="G228" s="15"/>
      <c r="H228" s="103"/>
      <c r="I228" s="15"/>
      <c r="J228" s="15"/>
      <c r="K228" s="15"/>
      <c r="L228" s="15"/>
      <c r="M228" s="15"/>
      <c r="N228" s="15"/>
      <c r="O228" s="103"/>
      <c r="P228" s="15"/>
      <c r="Q228" s="15"/>
      <c r="R228" s="15"/>
      <c r="S228" s="15"/>
      <c r="T228" s="15"/>
      <c r="U228" s="15"/>
      <c r="V228" s="103"/>
      <c r="W228" s="15"/>
      <c r="X228" s="15"/>
      <c r="Y228" s="15"/>
      <c r="Z228" s="15"/>
      <c r="AA228" s="15"/>
      <c r="AB228" s="15"/>
      <c r="AC228" s="103"/>
      <c r="AD228" s="15"/>
      <c r="AE228" s="15"/>
      <c r="AF228" s="15"/>
      <c r="AG228" s="15"/>
      <c r="AH228" s="15"/>
      <c r="AI228" s="15"/>
      <c r="AJ228" s="103"/>
      <c r="AK228" s="15"/>
      <c r="AL228" s="15"/>
      <c r="AM228" s="15"/>
      <c r="AN228" s="15"/>
      <c r="AO228" s="15"/>
      <c r="AP228" s="15"/>
      <c r="AQ228" s="15"/>
    </row>
    <row r="229">
      <c r="A229" s="15"/>
      <c r="B229" s="15"/>
      <c r="C229" s="15"/>
      <c r="D229" s="15"/>
      <c r="E229" s="15"/>
      <c r="F229" s="15"/>
      <c r="G229" s="15"/>
      <c r="H229" s="103"/>
      <c r="I229" s="15"/>
      <c r="J229" s="15"/>
      <c r="K229" s="15"/>
      <c r="L229" s="15"/>
      <c r="M229" s="15"/>
      <c r="N229" s="15"/>
      <c r="O229" s="103"/>
      <c r="P229" s="15"/>
      <c r="Q229" s="15"/>
      <c r="R229" s="15"/>
      <c r="S229" s="15"/>
      <c r="T229" s="15"/>
      <c r="U229" s="15"/>
      <c r="V229" s="103"/>
      <c r="W229" s="15"/>
      <c r="X229" s="15"/>
      <c r="Y229" s="15"/>
      <c r="Z229" s="15"/>
      <c r="AA229" s="15"/>
      <c r="AB229" s="15"/>
      <c r="AC229" s="103"/>
      <c r="AD229" s="15"/>
      <c r="AE229" s="15"/>
      <c r="AF229" s="15"/>
      <c r="AG229" s="15"/>
      <c r="AH229" s="15"/>
      <c r="AI229" s="15"/>
      <c r="AJ229" s="103"/>
      <c r="AK229" s="15"/>
      <c r="AL229" s="15"/>
      <c r="AM229" s="15"/>
      <c r="AN229" s="15"/>
      <c r="AO229" s="15"/>
      <c r="AP229" s="15"/>
      <c r="AQ229" s="15"/>
    </row>
    <row r="230">
      <c r="A230" s="15"/>
      <c r="B230" s="15"/>
      <c r="C230" s="15"/>
      <c r="D230" s="15"/>
      <c r="E230" s="15"/>
      <c r="F230" s="15"/>
      <c r="G230" s="15"/>
      <c r="H230" s="103"/>
      <c r="I230" s="15"/>
      <c r="J230" s="15"/>
      <c r="K230" s="15"/>
      <c r="L230" s="15"/>
      <c r="M230" s="15"/>
      <c r="N230" s="15"/>
      <c r="O230" s="103"/>
      <c r="P230" s="15"/>
      <c r="Q230" s="15"/>
      <c r="R230" s="15"/>
      <c r="S230" s="15"/>
      <c r="T230" s="15"/>
      <c r="U230" s="15"/>
      <c r="V230" s="103"/>
      <c r="W230" s="15"/>
      <c r="X230" s="15"/>
      <c r="Y230" s="15"/>
      <c r="Z230" s="15"/>
      <c r="AA230" s="15"/>
      <c r="AB230" s="15"/>
      <c r="AC230" s="103"/>
      <c r="AD230" s="15"/>
      <c r="AE230" s="15"/>
      <c r="AF230" s="15"/>
      <c r="AG230" s="15"/>
      <c r="AH230" s="15"/>
      <c r="AI230" s="15"/>
      <c r="AJ230" s="103"/>
      <c r="AK230" s="15"/>
      <c r="AL230" s="15"/>
      <c r="AM230" s="15"/>
      <c r="AN230" s="15"/>
      <c r="AO230" s="15"/>
      <c r="AP230" s="15"/>
      <c r="AQ230" s="15"/>
    </row>
    <row r="231">
      <c r="A231" s="15"/>
      <c r="B231" s="15"/>
      <c r="C231" s="15"/>
      <c r="D231" s="15"/>
      <c r="E231" s="15"/>
      <c r="F231" s="15"/>
      <c r="G231" s="15"/>
      <c r="H231" s="103"/>
      <c r="I231" s="15"/>
      <c r="J231" s="15"/>
      <c r="K231" s="15"/>
      <c r="L231" s="15"/>
      <c r="M231" s="15"/>
      <c r="N231" s="15"/>
      <c r="O231" s="103"/>
      <c r="P231" s="15"/>
      <c r="Q231" s="15"/>
      <c r="R231" s="15"/>
      <c r="S231" s="15"/>
      <c r="T231" s="15"/>
      <c r="U231" s="15"/>
      <c r="V231" s="103"/>
      <c r="W231" s="15"/>
      <c r="X231" s="15"/>
      <c r="Y231" s="15"/>
      <c r="Z231" s="15"/>
      <c r="AA231" s="15"/>
      <c r="AB231" s="15"/>
      <c r="AC231" s="103"/>
      <c r="AD231" s="15"/>
      <c r="AE231" s="15"/>
      <c r="AF231" s="15"/>
      <c r="AG231" s="15"/>
      <c r="AH231" s="15"/>
      <c r="AI231" s="15"/>
      <c r="AJ231" s="103"/>
      <c r="AK231" s="15"/>
      <c r="AL231" s="15"/>
      <c r="AM231" s="15"/>
      <c r="AN231" s="15"/>
      <c r="AO231" s="15"/>
      <c r="AP231" s="15"/>
      <c r="AQ231" s="15"/>
    </row>
    <row r="232">
      <c r="A232" s="15"/>
      <c r="B232" s="15"/>
      <c r="C232" s="15"/>
      <c r="D232" s="15"/>
      <c r="E232" s="15"/>
      <c r="F232" s="15"/>
      <c r="G232" s="15"/>
      <c r="H232" s="103"/>
      <c r="I232" s="15"/>
      <c r="J232" s="15"/>
      <c r="K232" s="15"/>
      <c r="L232" s="15"/>
      <c r="M232" s="15"/>
      <c r="N232" s="15"/>
      <c r="O232" s="103"/>
      <c r="P232" s="15"/>
      <c r="Q232" s="15"/>
      <c r="R232" s="15"/>
      <c r="S232" s="15"/>
      <c r="T232" s="15"/>
      <c r="U232" s="15"/>
      <c r="V232" s="103"/>
      <c r="W232" s="15"/>
      <c r="X232" s="15"/>
      <c r="Y232" s="15"/>
      <c r="Z232" s="15"/>
      <c r="AA232" s="15"/>
      <c r="AB232" s="15"/>
      <c r="AC232" s="103"/>
      <c r="AD232" s="15"/>
      <c r="AE232" s="15"/>
      <c r="AF232" s="15"/>
      <c r="AG232" s="15"/>
      <c r="AH232" s="15"/>
      <c r="AI232" s="15"/>
      <c r="AJ232" s="103"/>
      <c r="AK232" s="15"/>
      <c r="AL232" s="15"/>
      <c r="AM232" s="15"/>
      <c r="AN232" s="15"/>
      <c r="AO232" s="15"/>
      <c r="AP232" s="15"/>
      <c r="AQ232" s="15"/>
    </row>
    <row r="233">
      <c r="A233" s="15"/>
      <c r="B233" s="15"/>
      <c r="C233" s="15"/>
      <c r="D233" s="15"/>
      <c r="E233" s="15"/>
      <c r="F233" s="15"/>
      <c r="G233" s="15"/>
      <c r="H233" s="103"/>
      <c r="I233" s="15"/>
      <c r="J233" s="15"/>
      <c r="K233" s="15"/>
      <c r="L233" s="15"/>
      <c r="M233" s="15"/>
      <c r="N233" s="15"/>
      <c r="O233" s="103"/>
      <c r="P233" s="15"/>
      <c r="Q233" s="15"/>
      <c r="R233" s="15"/>
      <c r="S233" s="15"/>
      <c r="T233" s="15"/>
      <c r="U233" s="15"/>
      <c r="V233" s="103"/>
      <c r="W233" s="15"/>
      <c r="X233" s="15"/>
      <c r="Y233" s="15"/>
      <c r="Z233" s="15"/>
      <c r="AA233" s="15"/>
      <c r="AB233" s="15"/>
      <c r="AC233" s="103"/>
      <c r="AD233" s="15"/>
      <c r="AE233" s="15"/>
      <c r="AF233" s="15"/>
      <c r="AG233" s="15"/>
      <c r="AH233" s="15"/>
      <c r="AI233" s="15"/>
      <c r="AJ233" s="103"/>
      <c r="AK233" s="15"/>
      <c r="AL233" s="15"/>
      <c r="AM233" s="15"/>
      <c r="AN233" s="15"/>
      <c r="AO233" s="15"/>
      <c r="AP233" s="15"/>
      <c r="AQ233" s="15"/>
    </row>
    <row r="234">
      <c r="A234" s="15"/>
      <c r="B234" s="15"/>
      <c r="C234" s="15"/>
      <c r="D234" s="15"/>
      <c r="E234" s="15"/>
      <c r="F234" s="15"/>
      <c r="G234" s="15"/>
      <c r="H234" s="103"/>
      <c r="I234" s="15"/>
      <c r="J234" s="15"/>
      <c r="K234" s="15"/>
      <c r="L234" s="15"/>
      <c r="M234" s="15"/>
      <c r="N234" s="15"/>
      <c r="O234" s="103"/>
      <c r="P234" s="15"/>
      <c r="Q234" s="15"/>
      <c r="R234" s="15"/>
      <c r="S234" s="15"/>
      <c r="T234" s="15"/>
      <c r="U234" s="15"/>
      <c r="V234" s="103"/>
      <c r="W234" s="15"/>
      <c r="X234" s="15"/>
      <c r="Y234" s="15"/>
      <c r="Z234" s="15"/>
      <c r="AA234" s="15"/>
      <c r="AB234" s="15"/>
      <c r="AC234" s="103"/>
      <c r="AD234" s="15"/>
      <c r="AE234" s="15"/>
      <c r="AF234" s="15"/>
      <c r="AG234" s="15"/>
      <c r="AH234" s="15"/>
      <c r="AI234" s="15"/>
      <c r="AJ234" s="103"/>
      <c r="AK234" s="15"/>
      <c r="AL234" s="15"/>
      <c r="AM234" s="15"/>
      <c r="AN234" s="15"/>
      <c r="AO234" s="15"/>
      <c r="AP234" s="15"/>
      <c r="AQ234" s="15"/>
    </row>
    <row r="235">
      <c r="A235" s="15"/>
      <c r="B235" s="15"/>
      <c r="C235" s="15"/>
      <c r="D235" s="15"/>
      <c r="E235" s="15"/>
      <c r="F235" s="15"/>
      <c r="G235" s="15"/>
      <c r="H235" s="103"/>
      <c r="I235" s="15"/>
      <c r="J235" s="15"/>
      <c r="K235" s="15"/>
      <c r="L235" s="15"/>
      <c r="M235" s="15"/>
      <c r="N235" s="15"/>
      <c r="O235" s="103"/>
      <c r="P235" s="15"/>
      <c r="Q235" s="15"/>
      <c r="R235" s="15"/>
      <c r="S235" s="15"/>
      <c r="T235" s="15"/>
      <c r="U235" s="15"/>
      <c r="V235" s="103"/>
      <c r="W235" s="15"/>
      <c r="X235" s="15"/>
      <c r="Y235" s="15"/>
      <c r="Z235" s="15"/>
      <c r="AA235" s="15"/>
      <c r="AB235" s="15"/>
      <c r="AC235" s="103"/>
      <c r="AD235" s="15"/>
      <c r="AE235" s="15"/>
      <c r="AF235" s="15"/>
      <c r="AG235" s="15"/>
      <c r="AH235" s="15"/>
      <c r="AI235" s="15"/>
      <c r="AJ235" s="103"/>
      <c r="AK235" s="15"/>
      <c r="AL235" s="15"/>
      <c r="AM235" s="15"/>
      <c r="AN235" s="15"/>
      <c r="AO235" s="15"/>
      <c r="AP235" s="15"/>
      <c r="AQ235" s="15"/>
    </row>
    <row r="236">
      <c r="A236" s="15"/>
      <c r="B236" s="15"/>
      <c r="C236" s="15"/>
      <c r="D236" s="15"/>
      <c r="E236" s="15"/>
      <c r="F236" s="15"/>
      <c r="G236" s="15"/>
      <c r="H236" s="103"/>
      <c r="I236" s="15"/>
      <c r="J236" s="15"/>
      <c r="K236" s="15"/>
      <c r="L236" s="15"/>
      <c r="M236" s="15"/>
      <c r="N236" s="15"/>
      <c r="O236" s="103"/>
      <c r="P236" s="15"/>
      <c r="Q236" s="15"/>
      <c r="R236" s="15"/>
      <c r="S236" s="15"/>
      <c r="T236" s="15"/>
      <c r="U236" s="15"/>
      <c r="V236" s="103"/>
      <c r="W236" s="15"/>
      <c r="X236" s="15"/>
      <c r="Y236" s="15"/>
      <c r="Z236" s="15"/>
      <c r="AA236" s="15"/>
      <c r="AB236" s="15"/>
      <c r="AC236" s="103"/>
      <c r="AD236" s="15"/>
      <c r="AE236" s="15"/>
      <c r="AF236" s="15"/>
      <c r="AG236" s="15"/>
      <c r="AH236" s="15"/>
      <c r="AI236" s="15"/>
      <c r="AJ236" s="103"/>
      <c r="AK236" s="15"/>
      <c r="AL236" s="15"/>
      <c r="AM236" s="15"/>
      <c r="AN236" s="15"/>
      <c r="AO236" s="15"/>
      <c r="AP236" s="15"/>
      <c r="AQ236" s="15"/>
    </row>
    <row r="237">
      <c r="A237" s="15"/>
      <c r="B237" s="15"/>
      <c r="C237" s="15"/>
      <c r="D237" s="15"/>
      <c r="E237" s="15"/>
      <c r="F237" s="15"/>
      <c r="G237" s="15"/>
      <c r="H237" s="103"/>
      <c r="I237" s="15"/>
      <c r="J237" s="15"/>
      <c r="K237" s="15"/>
      <c r="L237" s="15"/>
      <c r="M237" s="15"/>
      <c r="N237" s="15"/>
      <c r="O237" s="103"/>
      <c r="P237" s="15"/>
      <c r="Q237" s="15"/>
      <c r="R237" s="15"/>
      <c r="S237" s="15"/>
      <c r="T237" s="15"/>
      <c r="U237" s="15"/>
      <c r="V237" s="103"/>
      <c r="W237" s="15"/>
      <c r="X237" s="15"/>
      <c r="Y237" s="15"/>
      <c r="Z237" s="15"/>
      <c r="AA237" s="15"/>
      <c r="AB237" s="15"/>
      <c r="AC237" s="103"/>
      <c r="AD237" s="15"/>
      <c r="AE237" s="15"/>
      <c r="AF237" s="15"/>
      <c r="AG237" s="15"/>
      <c r="AH237" s="15"/>
      <c r="AI237" s="15"/>
      <c r="AJ237" s="103"/>
      <c r="AK237" s="15"/>
      <c r="AL237" s="15"/>
      <c r="AM237" s="15"/>
      <c r="AN237" s="15"/>
      <c r="AO237" s="15"/>
      <c r="AP237" s="15"/>
      <c r="AQ237" s="15"/>
    </row>
    <row r="238">
      <c r="A238" s="15"/>
      <c r="B238" s="15"/>
      <c r="C238" s="15"/>
      <c r="D238" s="15"/>
      <c r="E238" s="15"/>
      <c r="F238" s="15"/>
      <c r="G238" s="15"/>
      <c r="H238" s="103"/>
      <c r="I238" s="15"/>
      <c r="J238" s="15"/>
      <c r="K238" s="15"/>
      <c r="L238" s="15"/>
      <c r="M238" s="15"/>
      <c r="N238" s="15"/>
      <c r="O238" s="103"/>
      <c r="P238" s="15"/>
      <c r="Q238" s="15"/>
      <c r="R238" s="15"/>
      <c r="S238" s="15"/>
      <c r="T238" s="15"/>
      <c r="U238" s="15"/>
      <c r="V238" s="103"/>
      <c r="W238" s="15"/>
      <c r="X238" s="15"/>
      <c r="Y238" s="15"/>
      <c r="Z238" s="15"/>
      <c r="AA238" s="15"/>
      <c r="AB238" s="15"/>
      <c r="AC238" s="103"/>
      <c r="AD238" s="15"/>
      <c r="AE238" s="15"/>
      <c r="AF238" s="15"/>
      <c r="AG238" s="15"/>
      <c r="AH238" s="15"/>
      <c r="AI238" s="15"/>
      <c r="AJ238" s="103"/>
      <c r="AK238" s="15"/>
      <c r="AL238" s="15"/>
      <c r="AM238" s="15"/>
      <c r="AN238" s="15"/>
      <c r="AO238" s="15"/>
      <c r="AP238" s="15"/>
      <c r="AQ238" s="15"/>
    </row>
    <row r="239">
      <c r="A239" s="15"/>
      <c r="B239" s="15"/>
      <c r="C239" s="15"/>
      <c r="D239" s="15"/>
      <c r="E239" s="15"/>
      <c r="F239" s="15"/>
      <c r="G239" s="15"/>
      <c r="H239" s="103"/>
      <c r="I239" s="15"/>
      <c r="J239" s="15"/>
      <c r="K239" s="15"/>
      <c r="L239" s="15"/>
      <c r="M239" s="15"/>
      <c r="N239" s="15"/>
      <c r="O239" s="103"/>
      <c r="P239" s="15"/>
      <c r="Q239" s="15"/>
      <c r="R239" s="15"/>
      <c r="S239" s="15"/>
      <c r="T239" s="15"/>
      <c r="U239" s="15"/>
      <c r="V239" s="103"/>
      <c r="W239" s="15"/>
      <c r="X239" s="15"/>
      <c r="Y239" s="15"/>
      <c r="Z239" s="15"/>
      <c r="AA239" s="15"/>
      <c r="AB239" s="15"/>
      <c r="AC239" s="103"/>
      <c r="AD239" s="15"/>
      <c r="AE239" s="15"/>
      <c r="AF239" s="15"/>
      <c r="AG239" s="15"/>
      <c r="AH239" s="15"/>
      <c r="AI239" s="15"/>
      <c r="AJ239" s="103"/>
      <c r="AK239" s="15"/>
      <c r="AL239" s="15"/>
      <c r="AM239" s="15"/>
      <c r="AN239" s="15"/>
      <c r="AO239" s="15"/>
      <c r="AP239" s="15"/>
      <c r="AQ239" s="15"/>
    </row>
    <row r="240">
      <c r="A240" s="15"/>
      <c r="B240" s="15"/>
      <c r="C240" s="15"/>
      <c r="D240" s="15"/>
      <c r="E240" s="15"/>
      <c r="F240" s="15"/>
      <c r="G240" s="15"/>
      <c r="H240" s="103"/>
      <c r="I240" s="15"/>
      <c r="J240" s="15"/>
      <c r="K240" s="15"/>
      <c r="L240" s="15"/>
      <c r="M240" s="15"/>
      <c r="N240" s="15"/>
      <c r="O240" s="103"/>
      <c r="P240" s="15"/>
      <c r="Q240" s="15"/>
      <c r="R240" s="15"/>
      <c r="S240" s="15"/>
      <c r="T240" s="15"/>
      <c r="U240" s="15"/>
      <c r="V240" s="103"/>
      <c r="W240" s="15"/>
      <c r="X240" s="15"/>
      <c r="Y240" s="15"/>
      <c r="Z240" s="15"/>
      <c r="AA240" s="15"/>
      <c r="AB240" s="15"/>
      <c r="AC240" s="103"/>
      <c r="AD240" s="15"/>
      <c r="AE240" s="15"/>
      <c r="AF240" s="15"/>
      <c r="AG240" s="15"/>
      <c r="AH240" s="15"/>
      <c r="AI240" s="15"/>
      <c r="AJ240" s="103"/>
      <c r="AK240" s="15"/>
      <c r="AL240" s="15"/>
      <c r="AM240" s="15"/>
      <c r="AN240" s="15"/>
      <c r="AO240" s="15"/>
      <c r="AP240" s="15"/>
      <c r="AQ240" s="15"/>
    </row>
    <row r="241">
      <c r="A241" s="15"/>
      <c r="B241" s="15"/>
      <c r="C241" s="15"/>
      <c r="D241" s="15"/>
      <c r="E241" s="15"/>
      <c r="F241" s="15"/>
      <c r="G241" s="15"/>
      <c r="H241" s="103"/>
      <c r="I241" s="15"/>
      <c r="J241" s="15"/>
      <c r="K241" s="15"/>
      <c r="L241" s="15"/>
      <c r="M241" s="15"/>
      <c r="N241" s="15"/>
      <c r="O241" s="103"/>
      <c r="P241" s="15"/>
      <c r="Q241" s="15"/>
      <c r="R241" s="15"/>
      <c r="S241" s="15"/>
      <c r="T241" s="15"/>
      <c r="U241" s="15"/>
      <c r="V241" s="103"/>
      <c r="W241" s="15"/>
      <c r="X241" s="15"/>
      <c r="Y241" s="15"/>
      <c r="Z241" s="15"/>
      <c r="AA241" s="15"/>
      <c r="AB241" s="15"/>
      <c r="AC241" s="103"/>
      <c r="AD241" s="15"/>
      <c r="AE241" s="15"/>
      <c r="AF241" s="15"/>
      <c r="AG241" s="15"/>
      <c r="AH241" s="15"/>
      <c r="AI241" s="15"/>
      <c r="AJ241" s="103"/>
      <c r="AK241" s="15"/>
      <c r="AL241" s="15"/>
      <c r="AM241" s="15"/>
      <c r="AN241" s="15"/>
      <c r="AO241" s="15"/>
      <c r="AP241" s="15"/>
      <c r="AQ241" s="15"/>
    </row>
    <row r="242">
      <c r="A242" s="15"/>
      <c r="B242" s="15"/>
      <c r="C242" s="15"/>
      <c r="D242" s="15"/>
      <c r="E242" s="15"/>
      <c r="F242" s="15"/>
      <c r="G242" s="15"/>
      <c r="H242" s="103"/>
      <c r="I242" s="15"/>
      <c r="J242" s="15"/>
      <c r="K242" s="15"/>
      <c r="L242" s="15"/>
      <c r="M242" s="15"/>
      <c r="N242" s="15"/>
      <c r="O242" s="103"/>
      <c r="P242" s="15"/>
      <c r="Q242" s="15"/>
      <c r="R242" s="15"/>
      <c r="S242" s="15"/>
      <c r="T242" s="15"/>
      <c r="U242" s="15"/>
      <c r="V242" s="103"/>
      <c r="W242" s="15"/>
      <c r="X242" s="15"/>
      <c r="Y242" s="15"/>
      <c r="Z242" s="15"/>
      <c r="AA242" s="15"/>
      <c r="AB242" s="15"/>
      <c r="AC242" s="103"/>
      <c r="AD242" s="15"/>
      <c r="AE242" s="15"/>
      <c r="AF242" s="15"/>
      <c r="AG242" s="15"/>
      <c r="AH242" s="15"/>
      <c r="AI242" s="15"/>
      <c r="AJ242" s="103"/>
      <c r="AK242" s="15"/>
      <c r="AL242" s="15"/>
      <c r="AM242" s="15"/>
      <c r="AN242" s="15"/>
      <c r="AO242" s="15"/>
      <c r="AP242" s="15"/>
      <c r="AQ242" s="15"/>
    </row>
    <row r="243">
      <c r="A243" s="15"/>
      <c r="B243" s="15"/>
      <c r="C243" s="15"/>
      <c r="D243" s="15"/>
      <c r="E243" s="15"/>
      <c r="F243" s="15"/>
      <c r="G243" s="15"/>
      <c r="H243" s="103"/>
      <c r="I243" s="15"/>
      <c r="J243" s="15"/>
      <c r="K243" s="15"/>
      <c r="L243" s="15"/>
      <c r="M243" s="15"/>
      <c r="N243" s="15"/>
      <c r="O243" s="103"/>
      <c r="P243" s="15"/>
      <c r="Q243" s="15"/>
      <c r="R243" s="15"/>
      <c r="S243" s="15"/>
      <c r="T243" s="15"/>
      <c r="U243" s="15"/>
      <c r="V243" s="103"/>
      <c r="W243" s="15"/>
      <c r="X243" s="15"/>
      <c r="Y243" s="15"/>
      <c r="Z243" s="15"/>
      <c r="AA243" s="15"/>
      <c r="AB243" s="15"/>
      <c r="AC243" s="103"/>
      <c r="AD243" s="15"/>
      <c r="AE243" s="15"/>
      <c r="AF243" s="15"/>
      <c r="AG243" s="15"/>
      <c r="AH243" s="15"/>
      <c r="AI243" s="15"/>
      <c r="AJ243" s="103"/>
      <c r="AK243" s="15"/>
      <c r="AL243" s="15"/>
      <c r="AM243" s="15"/>
      <c r="AN243" s="15"/>
      <c r="AO243" s="15"/>
      <c r="AP243" s="15"/>
      <c r="AQ243" s="15"/>
    </row>
    <row r="244">
      <c r="A244" s="15"/>
      <c r="B244" s="15"/>
      <c r="C244" s="15"/>
      <c r="D244" s="15"/>
      <c r="E244" s="15"/>
      <c r="F244" s="15"/>
      <c r="G244" s="15"/>
      <c r="H244" s="103"/>
      <c r="I244" s="15"/>
      <c r="J244" s="15"/>
      <c r="K244" s="15"/>
      <c r="L244" s="15"/>
      <c r="M244" s="15"/>
      <c r="N244" s="15"/>
      <c r="O244" s="103"/>
      <c r="P244" s="15"/>
      <c r="Q244" s="15"/>
      <c r="R244" s="15"/>
      <c r="S244" s="15"/>
      <c r="T244" s="15"/>
      <c r="U244" s="15"/>
      <c r="V244" s="103"/>
      <c r="W244" s="15"/>
      <c r="X244" s="15"/>
      <c r="Y244" s="15"/>
      <c r="Z244" s="15"/>
      <c r="AA244" s="15"/>
      <c r="AB244" s="15"/>
      <c r="AC244" s="103"/>
      <c r="AD244" s="15"/>
      <c r="AE244" s="15"/>
      <c r="AF244" s="15"/>
      <c r="AG244" s="15"/>
      <c r="AH244" s="15"/>
      <c r="AI244" s="15"/>
      <c r="AJ244" s="103"/>
      <c r="AK244" s="15"/>
      <c r="AL244" s="15"/>
      <c r="AM244" s="15"/>
      <c r="AN244" s="15"/>
      <c r="AO244" s="15"/>
      <c r="AP244" s="15"/>
      <c r="AQ244" s="15"/>
    </row>
    <row r="245">
      <c r="A245" s="15"/>
      <c r="B245" s="15"/>
      <c r="C245" s="15"/>
      <c r="D245" s="15"/>
      <c r="E245" s="15"/>
      <c r="F245" s="15"/>
      <c r="G245" s="15"/>
      <c r="H245" s="103"/>
      <c r="I245" s="15"/>
      <c r="J245" s="15"/>
      <c r="K245" s="15"/>
      <c r="L245" s="15"/>
      <c r="M245" s="15"/>
      <c r="N245" s="15"/>
      <c r="O245" s="103"/>
      <c r="P245" s="15"/>
      <c r="Q245" s="15"/>
      <c r="R245" s="15"/>
      <c r="S245" s="15"/>
      <c r="T245" s="15"/>
      <c r="U245" s="15"/>
      <c r="V245" s="103"/>
      <c r="W245" s="15"/>
      <c r="X245" s="15"/>
      <c r="Y245" s="15"/>
      <c r="Z245" s="15"/>
      <c r="AA245" s="15"/>
      <c r="AB245" s="15"/>
      <c r="AC245" s="103"/>
      <c r="AD245" s="15"/>
      <c r="AE245" s="15"/>
      <c r="AF245" s="15"/>
      <c r="AG245" s="15"/>
      <c r="AH245" s="15"/>
      <c r="AI245" s="15"/>
      <c r="AJ245" s="103"/>
      <c r="AK245" s="15"/>
      <c r="AL245" s="15"/>
      <c r="AM245" s="15"/>
      <c r="AN245" s="15"/>
      <c r="AO245" s="15"/>
      <c r="AP245" s="15"/>
      <c r="AQ245" s="15"/>
    </row>
    <row r="246">
      <c r="A246" s="15"/>
      <c r="B246" s="15"/>
      <c r="C246" s="15"/>
      <c r="D246" s="15"/>
      <c r="E246" s="15"/>
      <c r="F246" s="15"/>
      <c r="G246" s="15"/>
      <c r="H246" s="103"/>
      <c r="I246" s="15"/>
      <c r="J246" s="15"/>
      <c r="K246" s="15"/>
      <c r="L246" s="15"/>
      <c r="M246" s="15"/>
      <c r="N246" s="15"/>
      <c r="O246" s="103"/>
      <c r="P246" s="15"/>
      <c r="Q246" s="15"/>
      <c r="R246" s="15"/>
      <c r="S246" s="15"/>
      <c r="T246" s="15"/>
      <c r="U246" s="15"/>
      <c r="V246" s="103"/>
      <c r="W246" s="15"/>
      <c r="X246" s="15"/>
      <c r="Y246" s="15"/>
      <c r="Z246" s="15"/>
      <c r="AA246" s="15"/>
      <c r="AB246" s="15"/>
      <c r="AC246" s="103"/>
      <c r="AD246" s="15"/>
      <c r="AE246" s="15"/>
      <c r="AF246" s="15"/>
      <c r="AG246" s="15"/>
      <c r="AH246" s="15"/>
      <c r="AI246" s="15"/>
      <c r="AJ246" s="103"/>
      <c r="AK246" s="15"/>
      <c r="AL246" s="15"/>
      <c r="AM246" s="15"/>
      <c r="AN246" s="15"/>
      <c r="AO246" s="15"/>
      <c r="AP246" s="15"/>
      <c r="AQ246" s="15"/>
    </row>
    <row r="247">
      <c r="A247" s="15"/>
      <c r="B247" s="15"/>
      <c r="C247" s="15"/>
      <c r="D247" s="15"/>
      <c r="E247" s="15"/>
      <c r="F247" s="15"/>
      <c r="G247" s="15"/>
      <c r="H247" s="103"/>
      <c r="I247" s="15"/>
      <c r="J247" s="15"/>
      <c r="K247" s="15"/>
      <c r="L247" s="15"/>
      <c r="M247" s="15"/>
      <c r="N247" s="15"/>
      <c r="O247" s="103"/>
      <c r="P247" s="15"/>
      <c r="Q247" s="15"/>
      <c r="R247" s="15"/>
      <c r="S247" s="15"/>
      <c r="T247" s="15"/>
      <c r="U247" s="15"/>
      <c r="V247" s="103"/>
      <c r="W247" s="15"/>
      <c r="X247" s="15"/>
      <c r="Y247" s="15"/>
      <c r="Z247" s="15"/>
      <c r="AA247" s="15"/>
      <c r="AB247" s="15"/>
      <c r="AC247" s="103"/>
      <c r="AD247" s="15"/>
      <c r="AE247" s="15"/>
      <c r="AF247" s="15"/>
      <c r="AG247" s="15"/>
      <c r="AH247" s="15"/>
      <c r="AI247" s="15"/>
      <c r="AJ247" s="103"/>
      <c r="AK247" s="15"/>
      <c r="AL247" s="15"/>
      <c r="AM247" s="15"/>
      <c r="AN247" s="15"/>
      <c r="AO247" s="15"/>
      <c r="AP247" s="15"/>
      <c r="AQ247" s="15"/>
    </row>
    <row r="248">
      <c r="A248" s="15"/>
      <c r="B248" s="15"/>
      <c r="C248" s="15"/>
      <c r="D248" s="15"/>
      <c r="E248" s="15"/>
      <c r="F248" s="15"/>
      <c r="G248" s="15"/>
      <c r="H248" s="103"/>
      <c r="I248" s="15"/>
      <c r="J248" s="15"/>
      <c r="K248" s="15"/>
      <c r="L248" s="15"/>
      <c r="M248" s="15"/>
      <c r="N248" s="15"/>
      <c r="O248" s="103"/>
      <c r="P248" s="15"/>
      <c r="Q248" s="15"/>
      <c r="R248" s="15"/>
      <c r="S248" s="15"/>
      <c r="T248" s="15"/>
      <c r="U248" s="15"/>
      <c r="V248" s="103"/>
      <c r="W248" s="15"/>
      <c r="X248" s="15"/>
      <c r="Y248" s="15"/>
      <c r="Z248" s="15"/>
      <c r="AA248" s="15"/>
      <c r="AB248" s="15"/>
      <c r="AC248" s="103"/>
      <c r="AD248" s="15"/>
      <c r="AE248" s="15"/>
      <c r="AF248" s="15"/>
      <c r="AG248" s="15"/>
      <c r="AH248" s="15"/>
      <c r="AI248" s="15"/>
      <c r="AJ248" s="103"/>
      <c r="AK248" s="15"/>
      <c r="AL248" s="15"/>
      <c r="AM248" s="15"/>
      <c r="AN248" s="15"/>
      <c r="AO248" s="15"/>
      <c r="AP248" s="15"/>
      <c r="AQ248" s="15"/>
    </row>
    <row r="249">
      <c r="A249" s="15"/>
      <c r="B249" s="15"/>
      <c r="C249" s="15"/>
      <c r="D249" s="15"/>
      <c r="E249" s="15"/>
      <c r="F249" s="15"/>
      <c r="G249" s="15"/>
      <c r="H249" s="103"/>
      <c r="I249" s="15"/>
      <c r="J249" s="15"/>
      <c r="K249" s="15"/>
      <c r="L249" s="15"/>
      <c r="M249" s="15"/>
      <c r="N249" s="15"/>
      <c r="O249" s="103"/>
      <c r="P249" s="15"/>
      <c r="Q249" s="15"/>
      <c r="R249" s="15"/>
      <c r="S249" s="15"/>
      <c r="T249" s="15"/>
      <c r="U249" s="15"/>
      <c r="V249" s="103"/>
      <c r="W249" s="15"/>
      <c r="X249" s="15"/>
      <c r="Y249" s="15"/>
      <c r="Z249" s="15"/>
      <c r="AA249" s="15"/>
      <c r="AB249" s="15"/>
      <c r="AC249" s="103"/>
      <c r="AD249" s="15"/>
      <c r="AE249" s="15"/>
      <c r="AF249" s="15"/>
      <c r="AG249" s="15"/>
      <c r="AH249" s="15"/>
      <c r="AI249" s="15"/>
      <c r="AJ249" s="103"/>
      <c r="AK249" s="15"/>
      <c r="AL249" s="15"/>
      <c r="AM249" s="15"/>
      <c r="AN249" s="15"/>
      <c r="AO249" s="15"/>
      <c r="AP249" s="15"/>
      <c r="AQ249" s="15"/>
    </row>
    <row r="250">
      <c r="A250" s="15"/>
      <c r="B250" s="15"/>
      <c r="C250" s="15"/>
      <c r="D250" s="15"/>
      <c r="E250" s="15"/>
      <c r="F250" s="15"/>
      <c r="G250" s="15"/>
      <c r="H250" s="103"/>
      <c r="I250" s="15"/>
      <c r="J250" s="15"/>
      <c r="K250" s="15"/>
      <c r="L250" s="15"/>
      <c r="M250" s="15"/>
      <c r="N250" s="15"/>
      <c r="O250" s="103"/>
      <c r="P250" s="15"/>
      <c r="Q250" s="15"/>
      <c r="R250" s="15"/>
      <c r="S250" s="15"/>
      <c r="T250" s="15"/>
      <c r="U250" s="15"/>
      <c r="V250" s="103"/>
      <c r="W250" s="15"/>
      <c r="X250" s="15"/>
      <c r="Y250" s="15"/>
      <c r="Z250" s="15"/>
      <c r="AA250" s="15"/>
      <c r="AB250" s="15"/>
      <c r="AC250" s="103"/>
      <c r="AD250" s="15"/>
      <c r="AE250" s="15"/>
      <c r="AF250" s="15"/>
      <c r="AG250" s="15"/>
      <c r="AH250" s="15"/>
      <c r="AI250" s="15"/>
      <c r="AJ250" s="103"/>
      <c r="AK250" s="15"/>
      <c r="AL250" s="15"/>
      <c r="AM250" s="15"/>
      <c r="AN250" s="15"/>
      <c r="AO250" s="15"/>
      <c r="AP250" s="15"/>
      <c r="AQ250" s="15"/>
    </row>
    <row r="251">
      <c r="A251" s="15"/>
      <c r="B251" s="15"/>
      <c r="C251" s="15"/>
      <c r="D251" s="15"/>
      <c r="E251" s="15"/>
      <c r="F251" s="15"/>
      <c r="G251" s="15"/>
      <c r="H251" s="103"/>
      <c r="I251" s="15"/>
      <c r="J251" s="15"/>
      <c r="K251" s="15"/>
      <c r="L251" s="15"/>
      <c r="M251" s="15"/>
      <c r="N251" s="15"/>
      <c r="O251" s="103"/>
      <c r="P251" s="15"/>
      <c r="Q251" s="15"/>
      <c r="R251" s="15"/>
      <c r="S251" s="15"/>
      <c r="T251" s="15"/>
      <c r="U251" s="15"/>
      <c r="V251" s="103"/>
      <c r="W251" s="15"/>
      <c r="X251" s="15"/>
      <c r="Y251" s="15"/>
      <c r="Z251" s="15"/>
      <c r="AA251" s="15"/>
      <c r="AB251" s="15"/>
      <c r="AC251" s="103"/>
      <c r="AD251" s="15"/>
      <c r="AE251" s="15"/>
      <c r="AF251" s="15"/>
      <c r="AG251" s="15"/>
      <c r="AH251" s="15"/>
      <c r="AI251" s="15"/>
      <c r="AJ251" s="103"/>
      <c r="AK251" s="15"/>
      <c r="AL251" s="15"/>
      <c r="AM251" s="15"/>
      <c r="AN251" s="15"/>
      <c r="AO251" s="15"/>
      <c r="AP251" s="15"/>
      <c r="AQ251" s="15"/>
    </row>
    <row r="252">
      <c r="A252" s="15"/>
      <c r="B252" s="15"/>
      <c r="C252" s="15"/>
      <c r="D252" s="15"/>
      <c r="E252" s="15"/>
      <c r="F252" s="15"/>
      <c r="G252" s="15"/>
      <c r="H252" s="103"/>
      <c r="I252" s="15"/>
      <c r="J252" s="15"/>
      <c r="K252" s="15"/>
      <c r="L252" s="15"/>
      <c r="M252" s="15"/>
      <c r="N252" s="15"/>
      <c r="O252" s="103"/>
      <c r="P252" s="15"/>
      <c r="Q252" s="15"/>
      <c r="R252" s="15"/>
      <c r="S252" s="15"/>
      <c r="T252" s="15"/>
      <c r="U252" s="15"/>
      <c r="V252" s="103"/>
      <c r="W252" s="15"/>
      <c r="X252" s="15"/>
      <c r="Y252" s="15"/>
      <c r="Z252" s="15"/>
      <c r="AA252" s="15"/>
      <c r="AB252" s="15"/>
      <c r="AC252" s="103"/>
      <c r="AD252" s="15"/>
      <c r="AE252" s="15"/>
      <c r="AF252" s="15"/>
      <c r="AG252" s="15"/>
      <c r="AH252" s="15"/>
      <c r="AI252" s="15"/>
      <c r="AJ252" s="103"/>
      <c r="AK252" s="15"/>
      <c r="AL252" s="15"/>
      <c r="AM252" s="15"/>
      <c r="AN252" s="15"/>
      <c r="AO252" s="15"/>
      <c r="AP252" s="15"/>
      <c r="AQ252" s="15"/>
    </row>
    <row r="253">
      <c r="A253" s="15"/>
      <c r="B253" s="15"/>
      <c r="C253" s="15"/>
      <c r="D253" s="15"/>
      <c r="E253" s="15"/>
      <c r="F253" s="15"/>
      <c r="G253" s="15"/>
      <c r="H253" s="103"/>
      <c r="I253" s="15"/>
      <c r="J253" s="15"/>
      <c r="K253" s="15"/>
      <c r="L253" s="15"/>
      <c r="M253" s="15"/>
      <c r="N253" s="15"/>
      <c r="O253" s="103"/>
      <c r="P253" s="15"/>
      <c r="Q253" s="15"/>
      <c r="R253" s="15"/>
      <c r="S253" s="15"/>
      <c r="T253" s="15"/>
      <c r="U253" s="15"/>
      <c r="V253" s="103"/>
      <c r="W253" s="15"/>
      <c r="X253" s="15"/>
      <c r="Y253" s="15"/>
      <c r="Z253" s="15"/>
      <c r="AA253" s="15"/>
      <c r="AB253" s="15"/>
      <c r="AC253" s="103"/>
      <c r="AD253" s="15"/>
      <c r="AE253" s="15"/>
      <c r="AF253" s="15"/>
      <c r="AG253" s="15"/>
      <c r="AH253" s="15"/>
      <c r="AI253" s="15"/>
      <c r="AJ253" s="103"/>
      <c r="AK253" s="15"/>
      <c r="AL253" s="15"/>
      <c r="AM253" s="15"/>
      <c r="AN253" s="15"/>
      <c r="AO253" s="15"/>
      <c r="AP253" s="15"/>
      <c r="AQ253" s="15"/>
    </row>
    <row r="254">
      <c r="A254" s="15"/>
      <c r="B254" s="15"/>
      <c r="C254" s="15"/>
      <c r="D254" s="15"/>
      <c r="E254" s="15"/>
      <c r="F254" s="15"/>
      <c r="G254" s="15"/>
      <c r="H254" s="103"/>
      <c r="I254" s="15"/>
      <c r="J254" s="15"/>
      <c r="K254" s="15"/>
      <c r="L254" s="15"/>
      <c r="M254" s="15"/>
      <c r="N254" s="15"/>
      <c r="O254" s="103"/>
      <c r="P254" s="15"/>
      <c r="Q254" s="15"/>
      <c r="R254" s="15"/>
      <c r="S254" s="15"/>
      <c r="T254" s="15"/>
      <c r="U254" s="15"/>
      <c r="V254" s="103"/>
      <c r="W254" s="15"/>
      <c r="X254" s="15"/>
      <c r="Y254" s="15"/>
      <c r="Z254" s="15"/>
      <c r="AA254" s="15"/>
      <c r="AB254" s="15"/>
      <c r="AC254" s="103"/>
      <c r="AD254" s="15"/>
      <c r="AE254" s="15"/>
      <c r="AF254" s="15"/>
      <c r="AG254" s="15"/>
      <c r="AH254" s="15"/>
      <c r="AI254" s="15"/>
      <c r="AJ254" s="103"/>
      <c r="AK254" s="15"/>
      <c r="AL254" s="15"/>
      <c r="AM254" s="15"/>
      <c r="AN254" s="15"/>
      <c r="AO254" s="15"/>
      <c r="AP254" s="15"/>
      <c r="AQ254" s="15"/>
    </row>
    <row r="255">
      <c r="A255" s="15"/>
      <c r="B255" s="15"/>
      <c r="C255" s="15"/>
      <c r="D255" s="15"/>
      <c r="E255" s="15"/>
      <c r="F255" s="15"/>
      <c r="G255" s="15"/>
      <c r="H255" s="103"/>
      <c r="I255" s="15"/>
      <c r="J255" s="15"/>
      <c r="K255" s="15"/>
      <c r="L255" s="15"/>
      <c r="M255" s="15"/>
      <c r="N255" s="15"/>
      <c r="O255" s="103"/>
      <c r="P255" s="15"/>
      <c r="Q255" s="15"/>
      <c r="R255" s="15"/>
      <c r="S255" s="15"/>
      <c r="T255" s="15"/>
      <c r="U255" s="15"/>
      <c r="V255" s="103"/>
      <c r="W255" s="15"/>
      <c r="X255" s="15"/>
      <c r="Y255" s="15"/>
      <c r="Z255" s="15"/>
      <c r="AA255" s="15"/>
      <c r="AB255" s="15"/>
      <c r="AC255" s="103"/>
      <c r="AD255" s="15"/>
      <c r="AE255" s="15"/>
      <c r="AF255" s="15"/>
      <c r="AG255" s="15"/>
      <c r="AH255" s="15"/>
      <c r="AI255" s="15"/>
      <c r="AJ255" s="103"/>
      <c r="AK255" s="15"/>
      <c r="AL255" s="15"/>
      <c r="AM255" s="15"/>
      <c r="AN255" s="15"/>
      <c r="AO255" s="15"/>
      <c r="AP255" s="15"/>
      <c r="AQ255" s="15"/>
    </row>
    <row r="256">
      <c r="A256" s="15"/>
      <c r="B256" s="15"/>
      <c r="C256" s="15"/>
      <c r="D256" s="15"/>
      <c r="E256" s="15"/>
      <c r="F256" s="15"/>
      <c r="G256" s="15"/>
      <c r="H256" s="103"/>
      <c r="I256" s="15"/>
      <c r="J256" s="15"/>
      <c r="K256" s="15"/>
      <c r="L256" s="15"/>
      <c r="M256" s="15"/>
      <c r="N256" s="15"/>
      <c r="O256" s="103"/>
      <c r="P256" s="15"/>
      <c r="Q256" s="15"/>
      <c r="R256" s="15"/>
      <c r="S256" s="15"/>
      <c r="T256" s="15"/>
      <c r="U256" s="15"/>
      <c r="V256" s="103"/>
      <c r="W256" s="15"/>
      <c r="X256" s="15"/>
      <c r="Y256" s="15"/>
      <c r="Z256" s="15"/>
      <c r="AA256" s="15"/>
      <c r="AB256" s="15"/>
      <c r="AC256" s="103"/>
      <c r="AD256" s="15"/>
      <c r="AE256" s="15"/>
      <c r="AF256" s="15"/>
      <c r="AG256" s="15"/>
      <c r="AH256" s="15"/>
      <c r="AI256" s="15"/>
      <c r="AJ256" s="103"/>
      <c r="AK256" s="15"/>
      <c r="AL256" s="15"/>
      <c r="AM256" s="15"/>
      <c r="AN256" s="15"/>
      <c r="AO256" s="15"/>
      <c r="AP256" s="15"/>
      <c r="AQ256" s="15"/>
    </row>
    <row r="257">
      <c r="A257" s="15"/>
      <c r="B257" s="15"/>
      <c r="C257" s="15"/>
      <c r="D257" s="15"/>
      <c r="E257" s="15"/>
      <c r="F257" s="15"/>
      <c r="G257" s="15"/>
      <c r="H257" s="103"/>
      <c r="I257" s="15"/>
      <c r="J257" s="15"/>
      <c r="K257" s="15"/>
      <c r="L257" s="15"/>
      <c r="M257" s="15"/>
      <c r="N257" s="15"/>
      <c r="O257" s="103"/>
      <c r="P257" s="15"/>
      <c r="Q257" s="15"/>
      <c r="R257" s="15"/>
      <c r="S257" s="15"/>
      <c r="T257" s="15"/>
      <c r="U257" s="15"/>
      <c r="V257" s="103"/>
      <c r="W257" s="15"/>
      <c r="X257" s="15"/>
      <c r="Y257" s="15"/>
      <c r="Z257" s="15"/>
      <c r="AA257" s="15"/>
      <c r="AB257" s="15"/>
      <c r="AC257" s="103"/>
      <c r="AD257" s="15"/>
      <c r="AE257" s="15"/>
      <c r="AF257" s="15"/>
      <c r="AG257" s="15"/>
      <c r="AH257" s="15"/>
      <c r="AI257" s="15"/>
      <c r="AJ257" s="103"/>
      <c r="AK257" s="15"/>
      <c r="AL257" s="15"/>
      <c r="AM257" s="15"/>
      <c r="AN257" s="15"/>
      <c r="AO257" s="15"/>
      <c r="AP257" s="15"/>
      <c r="AQ257" s="15"/>
    </row>
    <row r="258">
      <c r="A258" s="15"/>
      <c r="B258" s="15"/>
      <c r="C258" s="15"/>
      <c r="D258" s="15"/>
      <c r="E258" s="15"/>
      <c r="F258" s="15"/>
      <c r="G258" s="15"/>
      <c r="H258" s="103"/>
      <c r="I258" s="15"/>
      <c r="J258" s="15"/>
      <c r="K258" s="15"/>
      <c r="L258" s="15"/>
      <c r="M258" s="15"/>
      <c r="N258" s="15"/>
      <c r="O258" s="103"/>
      <c r="P258" s="15"/>
      <c r="Q258" s="15"/>
      <c r="R258" s="15"/>
      <c r="S258" s="15"/>
      <c r="T258" s="15"/>
      <c r="U258" s="15"/>
      <c r="V258" s="103"/>
      <c r="W258" s="15"/>
      <c r="X258" s="15"/>
      <c r="Y258" s="15"/>
      <c r="Z258" s="15"/>
      <c r="AA258" s="15"/>
      <c r="AB258" s="15"/>
      <c r="AC258" s="103"/>
      <c r="AD258" s="15"/>
      <c r="AE258" s="15"/>
      <c r="AF258" s="15"/>
      <c r="AG258" s="15"/>
      <c r="AH258" s="15"/>
      <c r="AI258" s="15"/>
      <c r="AJ258" s="103"/>
      <c r="AK258" s="15"/>
      <c r="AL258" s="15"/>
      <c r="AM258" s="15"/>
      <c r="AN258" s="15"/>
      <c r="AO258" s="15"/>
      <c r="AP258" s="15"/>
      <c r="AQ258" s="15"/>
    </row>
    <row r="259">
      <c r="A259" s="15"/>
      <c r="B259" s="15"/>
      <c r="C259" s="15"/>
      <c r="D259" s="15"/>
      <c r="E259" s="15"/>
      <c r="F259" s="15"/>
      <c r="G259" s="15"/>
      <c r="H259" s="103"/>
      <c r="I259" s="15"/>
      <c r="J259" s="15"/>
      <c r="K259" s="15"/>
      <c r="L259" s="15"/>
      <c r="M259" s="15"/>
      <c r="N259" s="15"/>
      <c r="O259" s="103"/>
      <c r="P259" s="15"/>
      <c r="Q259" s="15"/>
      <c r="R259" s="15"/>
      <c r="S259" s="15"/>
      <c r="T259" s="15"/>
      <c r="U259" s="15"/>
      <c r="V259" s="103"/>
      <c r="W259" s="15"/>
      <c r="X259" s="15"/>
      <c r="Y259" s="15"/>
      <c r="Z259" s="15"/>
      <c r="AA259" s="15"/>
      <c r="AB259" s="15"/>
      <c r="AC259" s="103"/>
      <c r="AD259" s="15"/>
      <c r="AE259" s="15"/>
      <c r="AF259" s="15"/>
      <c r="AG259" s="15"/>
      <c r="AH259" s="15"/>
      <c r="AI259" s="15"/>
      <c r="AJ259" s="103"/>
      <c r="AK259" s="15"/>
      <c r="AL259" s="15"/>
      <c r="AM259" s="15"/>
      <c r="AN259" s="15"/>
      <c r="AO259" s="15"/>
      <c r="AP259" s="15"/>
      <c r="AQ259" s="15"/>
    </row>
    <row r="260">
      <c r="A260" s="15"/>
      <c r="B260" s="15"/>
      <c r="C260" s="15"/>
      <c r="D260" s="15"/>
      <c r="E260" s="15"/>
      <c r="F260" s="15"/>
      <c r="G260" s="15"/>
      <c r="H260" s="103"/>
      <c r="I260" s="15"/>
      <c r="J260" s="15"/>
      <c r="K260" s="15"/>
      <c r="L260" s="15"/>
      <c r="M260" s="15"/>
      <c r="N260" s="15"/>
      <c r="O260" s="103"/>
      <c r="P260" s="15"/>
      <c r="Q260" s="15"/>
      <c r="R260" s="15"/>
      <c r="S260" s="15"/>
      <c r="T260" s="15"/>
      <c r="U260" s="15"/>
      <c r="V260" s="103"/>
      <c r="W260" s="15"/>
      <c r="X260" s="15"/>
      <c r="Y260" s="15"/>
      <c r="Z260" s="15"/>
      <c r="AA260" s="15"/>
      <c r="AB260" s="15"/>
      <c r="AC260" s="103"/>
      <c r="AD260" s="15"/>
      <c r="AE260" s="15"/>
      <c r="AF260" s="15"/>
      <c r="AG260" s="15"/>
      <c r="AH260" s="15"/>
      <c r="AI260" s="15"/>
      <c r="AJ260" s="103"/>
      <c r="AK260" s="15"/>
      <c r="AL260" s="15"/>
      <c r="AM260" s="15"/>
      <c r="AN260" s="15"/>
      <c r="AO260" s="15"/>
      <c r="AP260" s="15"/>
      <c r="AQ260" s="15"/>
    </row>
    <row r="261">
      <c r="A261" s="15"/>
      <c r="B261" s="15"/>
      <c r="C261" s="15"/>
      <c r="D261" s="15"/>
      <c r="E261" s="15"/>
      <c r="F261" s="15"/>
      <c r="G261" s="15"/>
      <c r="H261" s="103"/>
      <c r="I261" s="15"/>
      <c r="J261" s="15"/>
      <c r="K261" s="15"/>
      <c r="L261" s="15"/>
      <c r="M261" s="15"/>
      <c r="N261" s="15"/>
      <c r="O261" s="103"/>
      <c r="P261" s="15"/>
      <c r="Q261" s="15"/>
      <c r="R261" s="15"/>
      <c r="S261" s="15"/>
      <c r="T261" s="15"/>
      <c r="U261" s="15"/>
      <c r="V261" s="103"/>
      <c r="W261" s="15"/>
      <c r="X261" s="15"/>
      <c r="Y261" s="15"/>
      <c r="Z261" s="15"/>
      <c r="AA261" s="15"/>
      <c r="AB261" s="15"/>
      <c r="AC261" s="103"/>
      <c r="AD261" s="15"/>
      <c r="AE261" s="15"/>
      <c r="AF261" s="15"/>
      <c r="AG261" s="15"/>
      <c r="AH261" s="15"/>
      <c r="AI261" s="15"/>
      <c r="AJ261" s="103"/>
      <c r="AK261" s="15"/>
      <c r="AL261" s="15"/>
      <c r="AM261" s="15"/>
      <c r="AN261" s="15"/>
      <c r="AO261" s="15"/>
      <c r="AP261" s="15"/>
      <c r="AQ261" s="15"/>
    </row>
    <row r="262">
      <c r="A262" s="15"/>
      <c r="B262" s="15"/>
      <c r="C262" s="15"/>
      <c r="D262" s="15"/>
      <c r="E262" s="15"/>
      <c r="F262" s="15"/>
      <c r="G262" s="15"/>
      <c r="H262" s="103"/>
      <c r="I262" s="15"/>
      <c r="J262" s="15"/>
      <c r="K262" s="15"/>
      <c r="L262" s="15"/>
      <c r="M262" s="15"/>
      <c r="N262" s="15"/>
      <c r="O262" s="103"/>
      <c r="P262" s="15"/>
      <c r="Q262" s="15"/>
      <c r="R262" s="15"/>
      <c r="S262" s="15"/>
      <c r="T262" s="15"/>
      <c r="U262" s="15"/>
      <c r="V262" s="103"/>
      <c r="W262" s="15"/>
      <c r="X262" s="15"/>
      <c r="Y262" s="15"/>
      <c r="Z262" s="15"/>
      <c r="AA262" s="15"/>
      <c r="AB262" s="15"/>
      <c r="AC262" s="103"/>
      <c r="AD262" s="15"/>
      <c r="AE262" s="15"/>
      <c r="AF262" s="15"/>
      <c r="AG262" s="15"/>
      <c r="AH262" s="15"/>
      <c r="AI262" s="15"/>
      <c r="AJ262" s="103"/>
      <c r="AK262" s="15"/>
      <c r="AL262" s="15"/>
      <c r="AM262" s="15"/>
      <c r="AN262" s="15"/>
      <c r="AO262" s="15"/>
      <c r="AP262" s="15"/>
      <c r="AQ262" s="15"/>
    </row>
    <row r="263">
      <c r="A263" s="15"/>
      <c r="B263" s="15"/>
      <c r="C263" s="15"/>
      <c r="D263" s="15"/>
      <c r="E263" s="15"/>
      <c r="F263" s="15"/>
      <c r="G263" s="15"/>
      <c r="H263" s="103"/>
      <c r="I263" s="15"/>
      <c r="J263" s="15"/>
      <c r="K263" s="15"/>
      <c r="L263" s="15"/>
      <c r="M263" s="15"/>
      <c r="N263" s="15"/>
      <c r="O263" s="103"/>
      <c r="P263" s="15"/>
      <c r="Q263" s="15"/>
      <c r="R263" s="15"/>
      <c r="S263" s="15"/>
      <c r="T263" s="15"/>
      <c r="U263" s="15"/>
      <c r="V263" s="103"/>
      <c r="W263" s="15"/>
      <c r="X263" s="15"/>
      <c r="Y263" s="15"/>
      <c r="Z263" s="15"/>
      <c r="AA263" s="15"/>
      <c r="AB263" s="15"/>
      <c r="AC263" s="103"/>
      <c r="AD263" s="15"/>
      <c r="AE263" s="15"/>
      <c r="AF263" s="15"/>
      <c r="AG263" s="15"/>
      <c r="AH263" s="15"/>
      <c r="AI263" s="15"/>
      <c r="AJ263" s="103"/>
      <c r="AK263" s="15"/>
      <c r="AL263" s="15"/>
      <c r="AM263" s="15"/>
      <c r="AN263" s="15"/>
      <c r="AO263" s="15"/>
      <c r="AP263" s="15"/>
      <c r="AQ263" s="15"/>
    </row>
    <row r="264">
      <c r="A264" s="15"/>
      <c r="B264" s="15"/>
      <c r="C264" s="15"/>
      <c r="D264" s="15"/>
      <c r="E264" s="15"/>
      <c r="F264" s="15"/>
      <c r="G264" s="15"/>
      <c r="H264" s="103"/>
      <c r="I264" s="15"/>
      <c r="J264" s="15"/>
      <c r="K264" s="15"/>
      <c r="L264" s="15"/>
      <c r="M264" s="15"/>
      <c r="N264" s="15"/>
      <c r="O264" s="103"/>
      <c r="P264" s="15"/>
      <c r="Q264" s="15"/>
      <c r="R264" s="15"/>
      <c r="S264" s="15"/>
      <c r="T264" s="15"/>
      <c r="U264" s="15"/>
      <c r="V264" s="103"/>
      <c r="W264" s="15"/>
      <c r="X264" s="15"/>
      <c r="Y264" s="15"/>
      <c r="Z264" s="15"/>
      <c r="AA264" s="15"/>
      <c r="AB264" s="15"/>
      <c r="AC264" s="103"/>
      <c r="AD264" s="15"/>
      <c r="AE264" s="15"/>
      <c r="AF264" s="15"/>
      <c r="AG264" s="15"/>
      <c r="AH264" s="15"/>
      <c r="AI264" s="15"/>
      <c r="AJ264" s="103"/>
      <c r="AK264" s="15"/>
      <c r="AL264" s="15"/>
      <c r="AM264" s="15"/>
      <c r="AN264" s="15"/>
      <c r="AO264" s="15"/>
      <c r="AP264" s="15"/>
      <c r="AQ264" s="15"/>
    </row>
    <row r="265">
      <c r="A265" s="15"/>
      <c r="B265" s="15"/>
      <c r="C265" s="15"/>
      <c r="D265" s="15"/>
      <c r="E265" s="15"/>
      <c r="F265" s="15"/>
      <c r="G265" s="15"/>
      <c r="H265" s="103"/>
      <c r="I265" s="15"/>
      <c r="J265" s="15"/>
      <c r="K265" s="15"/>
      <c r="L265" s="15"/>
      <c r="M265" s="15"/>
      <c r="N265" s="15"/>
      <c r="O265" s="103"/>
      <c r="P265" s="15"/>
      <c r="Q265" s="15"/>
      <c r="R265" s="15"/>
      <c r="S265" s="15"/>
      <c r="T265" s="15"/>
      <c r="U265" s="15"/>
      <c r="V265" s="103"/>
      <c r="W265" s="15"/>
      <c r="X265" s="15"/>
      <c r="Y265" s="15"/>
      <c r="Z265" s="15"/>
      <c r="AA265" s="15"/>
      <c r="AB265" s="15"/>
      <c r="AC265" s="103"/>
      <c r="AD265" s="15"/>
      <c r="AE265" s="15"/>
      <c r="AF265" s="15"/>
      <c r="AG265" s="15"/>
      <c r="AH265" s="15"/>
      <c r="AI265" s="15"/>
      <c r="AJ265" s="103"/>
      <c r="AK265" s="15"/>
      <c r="AL265" s="15"/>
      <c r="AM265" s="15"/>
      <c r="AN265" s="15"/>
      <c r="AO265" s="15"/>
      <c r="AP265" s="15"/>
      <c r="AQ265" s="15"/>
    </row>
    <row r="266">
      <c r="A266" s="15"/>
      <c r="B266" s="15"/>
      <c r="C266" s="15"/>
      <c r="D266" s="15"/>
      <c r="E266" s="15"/>
      <c r="F266" s="15"/>
      <c r="G266" s="15"/>
      <c r="H266" s="103"/>
      <c r="I266" s="15"/>
      <c r="J266" s="15"/>
      <c r="K266" s="15"/>
      <c r="L266" s="15"/>
      <c r="M266" s="15"/>
      <c r="N266" s="15"/>
      <c r="O266" s="103"/>
      <c r="P266" s="15"/>
      <c r="Q266" s="15"/>
      <c r="R266" s="15"/>
      <c r="S266" s="15"/>
      <c r="T266" s="15"/>
      <c r="U266" s="15"/>
      <c r="V266" s="103"/>
      <c r="W266" s="15"/>
      <c r="X266" s="15"/>
      <c r="Y266" s="15"/>
      <c r="Z266" s="15"/>
      <c r="AA266" s="15"/>
      <c r="AB266" s="15"/>
      <c r="AC266" s="103"/>
      <c r="AD266" s="15"/>
      <c r="AE266" s="15"/>
      <c r="AF266" s="15"/>
      <c r="AG266" s="15"/>
      <c r="AH266" s="15"/>
      <c r="AI266" s="15"/>
      <c r="AJ266" s="103"/>
      <c r="AK266" s="15"/>
      <c r="AL266" s="15"/>
      <c r="AM266" s="15"/>
      <c r="AN266" s="15"/>
      <c r="AO266" s="15"/>
      <c r="AP266" s="15"/>
      <c r="AQ266" s="15"/>
    </row>
    <row r="267">
      <c r="A267" s="15"/>
      <c r="B267" s="15"/>
      <c r="C267" s="15"/>
      <c r="D267" s="15"/>
      <c r="E267" s="15"/>
      <c r="F267" s="15"/>
      <c r="G267" s="15"/>
      <c r="H267" s="103"/>
      <c r="I267" s="15"/>
      <c r="J267" s="15"/>
      <c r="K267" s="15"/>
      <c r="L267" s="15"/>
      <c r="M267" s="15"/>
      <c r="N267" s="15"/>
      <c r="O267" s="103"/>
      <c r="P267" s="15"/>
      <c r="Q267" s="15"/>
      <c r="R267" s="15"/>
      <c r="S267" s="15"/>
      <c r="T267" s="15"/>
      <c r="U267" s="15"/>
      <c r="V267" s="103"/>
      <c r="W267" s="15"/>
      <c r="X267" s="15"/>
      <c r="Y267" s="15"/>
      <c r="Z267" s="15"/>
      <c r="AA267" s="15"/>
      <c r="AB267" s="15"/>
      <c r="AC267" s="103"/>
      <c r="AD267" s="15"/>
      <c r="AE267" s="15"/>
      <c r="AF267" s="15"/>
      <c r="AG267" s="15"/>
      <c r="AH267" s="15"/>
      <c r="AI267" s="15"/>
      <c r="AJ267" s="103"/>
      <c r="AK267" s="15"/>
      <c r="AL267" s="15"/>
      <c r="AM267" s="15"/>
      <c r="AN267" s="15"/>
      <c r="AO267" s="15"/>
      <c r="AP267" s="15"/>
      <c r="AQ267" s="15"/>
    </row>
    <row r="268">
      <c r="A268" s="15"/>
      <c r="B268" s="15"/>
      <c r="C268" s="15"/>
      <c r="D268" s="15"/>
      <c r="E268" s="15"/>
      <c r="F268" s="15"/>
      <c r="G268" s="15"/>
      <c r="H268" s="103"/>
      <c r="I268" s="15"/>
      <c r="J268" s="15"/>
      <c r="K268" s="15"/>
      <c r="L268" s="15"/>
      <c r="M268" s="15"/>
      <c r="N268" s="15"/>
      <c r="O268" s="103"/>
      <c r="P268" s="15"/>
      <c r="Q268" s="15"/>
      <c r="R268" s="15"/>
      <c r="S268" s="15"/>
      <c r="T268" s="15"/>
      <c r="U268" s="15"/>
      <c r="V268" s="103"/>
      <c r="W268" s="15"/>
      <c r="X268" s="15"/>
      <c r="Y268" s="15"/>
      <c r="Z268" s="15"/>
      <c r="AA268" s="15"/>
      <c r="AB268" s="15"/>
      <c r="AC268" s="103"/>
      <c r="AD268" s="15"/>
      <c r="AE268" s="15"/>
      <c r="AF268" s="15"/>
      <c r="AG268" s="15"/>
      <c r="AH268" s="15"/>
      <c r="AI268" s="15"/>
      <c r="AJ268" s="103"/>
      <c r="AK268" s="15"/>
      <c r="AL268" s="15"/>
      <c r="AM268" s="15"/>
      <c r="AN268" s="15"/>
      <c r="AO268" s="15"/>
      <c r="AP268" s="15"/>
      <c r="AQ268" s="15"/>
    </row>
    <row r="269">
      <c r="A269" s="15"/>
      <c r="B269" s="15"/>
      <c r="C269" s="15"/>
      <c r="D269" s="15"/>
      <c r="E269" s="15"/>
      <c r="F269" s="15"/>
      <c r="G269" s="15"/>
      <c r="H269" s="103"/>
      <c r="I269" s="15"/>
      <c r="J269" s="15"/>
      <c r="K269" s="15"/>
      <c r="L269" s="15"/>
      <c r="M269" s="15"/>
      <c r="N269" s="15"/>
      <c r="O269" s="103"/>
      <c r="P269" s="15"/>
      <c r="Q269" s="15"/>
      <c r="R269" s="15"/>
      <c r="S269" s="15"/>
      <c r="T269" s="15"/>
      <c r="U269" s="15"/>
      <c r="V269" s="103"/>
      <c r="W269" s="15"/>
      <c r="X269" s="15"/>
      <c r="Y269" s="15"/>
      <c r="Z269" s="15"/>
      <c r="AA269" s="15"/>
      <c r="AB269" s="15"/>
      <c r="AC269" s="103"/>
      <c r="AD269" s="15"/>
      <c r="AE269" s="15"/>
      <c r="AF269" s="15"/>
      <c r="AG269" s="15"/>
      <c r="AH269" s="15"/>
      <c r="AI269" s="15"/>
      <c r="AJ269" s="103"/>
      <c r="AK269" s="15"/>
      <c r="AL269" s="15"/>
      <c r="AM269" s="15"/>
      <c r="AN269" s="15"/>
      <c r="AO269" s="15"/>
      <c r="AP269" s="15"/>
      <c r="AQ269" s="15"/>
    </row>
    <row r="270">
      <c r="A270" s="15"/>
      <c r="B270" s="15"/>
      <c r="C270" s="15"/>
      <c r="D270" s="15"/>
      <c r="E270" s="15"/>
      <c r="F270" s="15"/>
      <c r="G270" s="15"/>
      <c r="H270" s="103"/>
      <c r="I270" s="15"/>
      <c r="J270" s="15"/>
      <c r="K270" s="15"/>
      <c r="L270" s="15"/>
      <c r="M270" s="15"/>
      <c r="N270" s="15"/>
      <c r="O270" s="103"/>
      <c r="P270" s="15"/>
      <c r="Q270" s="15"/>
      <c r="R270" s="15"/>
      <c r="S270" s="15"/>
      <c r="T270" s="15"/>
      <c r="U270" s="15"/>
      <c r="V270" s="103"/>
      <c r="W270" s="15"/>
      <c r="X270" s="15"/>
      <c r="Y270" s="15"/>
      <c r="Z270" s="15"/>
      <c r="AA270" s="15"/>
      <c r="AB270" s="15"/>
      <c r="AC270" s="103"/>
      <c r="AD270" s="15"/>
      <c r="AE270" s="15"/>
      <c r="AF270" s="15"/>
      <c r="AG270" s="15"/>
      <c r="AH270" s="15"/>
      <c r="AI270" s="15"/>
      <c r="AJ270" s="103"/>
      <c r="AK270" s="15"/>
      <c r="AL270" s="15"/>
      <c r="AM270" s="15"/>
      <c r="AN270" s="15"/>
      <c r="AO270" s="15"/>
      <c r="AP270" s="15"/>
      <c r="AQ270" s="15"/>
    </row>
    <row r="271">
      <c r="A271" s="15"/>
      <c r="B271" s="15"/>
      <c r="C271" s="15"/>
      <c r="D271" s="15"/>
      <c r="E271" s="15"/>
      <c r="F271" s="15"/>
      <c r="G271" s="15"/>
      <c r="H271" s="103"/>
      <c r="I271" s="15"/>
      <c r="J271" s="15"/>
      <c r="K271" s="15"/>
      <c r="L271" s="15"/>
      <c r="M271" s="15"/>
      <c r="N271" s="15"/>
      <c r="O271" s="103"/>
      <c r="P271" s="15"/>
      <c r="Q271" s="15"/>
      <c r="R271" s="15"/>
      <c r="S271" s="15"/>
      <c r="T271" s="15"/>
      <c r="U271" s="15"/>
      <c r="V271" s="103"/>
      <c r="W271" s="15"/>
      <c r="X271" s="15"/>
      <c r="Y271" s="15"/>
      <c r="Z271" s="15"/>
      <c r="AA271" s="15"/>
      <c r="AB271" s="15"/>
      <c r="AC271" s="103"/>
      <c r="AD271" s="15"/>
      <c r="AE271" s="15"/>
      <c r="AF271" s="15"/>
      <c r="AG271" s="15"/>
      <c r="AH271" s="15"/>
      <c r="AI271" s="15"/>
      <c r="AJ271" s="103"/>
      <c r="AK271" s="15"/>
      <c r="AL271" s="15"/>
      <c r="AM271" s="15"/>
      <c r="AN271" s="15"/>
      <c r="AO271" s="15"/>
      <c r="AP271" s="15"/>
      <c r="AQ271" s="15"/>
    </row>
    <row r="272">
      <c r="A272" s="15"/>
      <c r="B272" s="15"/>
      <c r="C272" s="15"/>
      <c r="D272" s="15"/>
      <c r="E272" s="15"/>
      <c r="F272" s="15"/>
      <c r="G272" s="15"/>
      <c r="H272" s="103"/>
      <c r="I272" s="15"/>
      <c r="J272" s="15"/>
      <c r="K272" s="15"/>
      <c r="L272" s="15"/>
      <c r="M272" s="15"/>
      <c r="N272" s="15"/>
      <c r="O272" s="103"/>
      <c r="P272" s="15"/>
      <c r="Q272" s="15"/>
      <c r="R272" s="15"/>
      <c r="S272" s="15"/>
      <c r="T272" s="15"/>
      <c r="U272" s="15"/>
      <c r="V272" s="103"/>
      <c r="W272" s="15"/>
      <c r="X272" s="15"/>
      <c r="Y272" s="15"/>
      <c r="Z272" s="15"/>
      <c r="AA272" s="15"/>
      <c r="AB272" s="15"/>
      <c r="AC272" s="103"/>
      <c r="AD272" s="15"/>
      <c r="AE272" s="15"/>
      <c r="AF272" s="15"/>
      <c r="AG272" s="15"/>
      <c r="AH272" s="15"/>
      <c r="AI272" s="15"/>
      <c r="AJ272" s="103"/>
      <c r="AK272" s="15"/>
      <c r="AL272" s="15"/>
      <c r="AM272" s="15"/>
      <c r="AN272" s="15"/>
      <c r="AO272" s="15"/>
      <c r="AP272" s="15"/>
      <c r="AQ272" s="15"/>
    </row>
    <row r="273">
      <c r="A273" s="15"/>
      <c r="B273" s="15"/>
      <c r="C273" s="15"/>
      <c r="D273" s="15"/>
      <c r="E273" s="15"/>
      <c r="F273" s="15"/>
      <c r="G273" s="15"/>
      <c r="H273" s="103"/>
      <c r="I273" s="15"/>
      <c r="J273" s="15"/>
      <c r="K273" s="15"/>
      <c r="L273" s="15"/>
      <c r="M273" s="15"/>
      <c r="N273" s="15"/>
      <c r="O273" s="103"/>
      <c r="P273" s="15"/>
      <c r="Q273" s="15"/>
      <c r="R273" s="15"/>
      <c r="S273" s="15"/>
      <c r="T273" s="15"/>
      <c r="U273" s="15"/>
      <c r="V273" s="103"/>
      <c r="W273" s="15"/>
      <c r="X273" s="15"/>
      <c r="Y273" s="15"/>
      <c r="Z273" s="15"/>
      <c r="AA273" s="15"/>
      <c r="AB273" s="15"/>
      <c r="AC273" s="103"/>
      <c r="AD273" s="15"/>
      <c r="AE273" s="15"/>
      <c r="AF273" s="15"/>
      <c r="AG273" s="15"/>
      <c r="AH273" s="15"/>
      <c r="AI273" s="15"/>
      <c r="AJ273" s="103"/>
      <c r="AK273" s="15"/>
      <c r="AL273" s="15"/>
      <c r="AM273" s="15"/>
      <c r="AN273" s="15"/>
      <c r="AO273" s="15"/>
      <c r="AP273" s="15"/>
      <c r="AQ273" s="15"/>
    </row>
    <row r="274">
      <c r="A274" s="15"/>
      <c r="B274" s="15"/>
      <c r="C274" s="15"/>
      <c r="D274" s="15"/>
      <c r="E274" s="15"/>
      <c r="F274" s="15"/>
      <c r="G274" s="15"/>
      <c r="H274" s="103"/>
      <c r="I274" s="15"/>
      <c r="J274" s="15"/>
      <c r="K274" s="15"/>
      <c r="L274" s="15"/>
      <c r="M274" s="15"/>
      <c r="N274" s="15"/>
      <c r="O274" s="103"/>
      <c r="P274" s="15"/>
      <c r="Q274" s="15"/>
      <c r="R274" s="15"/>
      <c r="S274" s="15"/>
      <c r="T274" s="15"/>
      <c r="U274" s="15"/>
      <c r="V274" s="103"/>
      <c r="W274" s="15"/>
      <c r="X274" s="15"/>
      <c r="Y274" s="15"/>
      <c r="Z274" s="15"/>
      <c r="AA274" s="15"/>
      <c r="AB274" s="15"/>
      <c r="AC274" s="103"/>
      <c r="AD274" s="15"/>
      <c r="AE274" s="15"/>
      <c r="AF274" s="15"/>
      <c r="AG274" s="15"/>
      <c r="AH274" s="15"/>
      <c r="AI274" s="15"/>
      <c r="AJ274" s="103"/>
      <c r="AK274" s="15"/>
      <c r="AL274" s="15"/>
      <c r="AM274" s="15"/>
      <c r="AN274" s="15"/>
      <c r="AO274" s="15"/>
      <c r="AP274" s="15"/>
      <c r="AQ274" s="15"/>
    </row>
    <row r="275">
      <c r="A275" s="15"/>
      <c r="B275" s="15"/>
      <c r="C275" s="15"/>
      <c r="D275" s="15"/>
      <c r="E275" s="15"/>
      <c r="F275" s="15"/>
      <c r="G275" s="15"/>
      <c r="H275" s="103"/>
      <c r="I275" s="15"/>
      <c r="J275" s="15"/>
      <c r="K275" s="15"/>
      <c r="L275" s="15"/>
      <c r="M275" s="15"/>
      <c r="N275" s="15"/>
      <c r="O275" s="103"/>
      <c r="P275" s="15"/>
      <c r="Q275" s="15"/>
      <c r="R275" s="15"/>
      <c r="S275" s="15"/>
      <c r="T275" s="15"/>
      <c r="U275" s="15"/>
      <c r="V275" s="103"/>
      <c r="W275" s="15"/>
      <c r="X275" s="15"/>
      <c r="Y275" s="15"/>
      <c r="Z275" s="15"/>
      <c r="AA275" s="15"/>
      <c r="AB275" s="15"/>
      <c r="AC275" s="103"/>
      <c r="AD275" s="15"/>
      <c r="AE275" s="15"/>
      <c r="AF275" s="15"/>
      <c r="AG275" s="15"/>
      <c r="AH275" s="15"/>
      <c r="AI275" s="15"/>
      <c r="AJ275" s="103"/>
      <c r="AK275" s="15"/>
      <c r="AL275" s="15"/>
      <c r="AM275" s="15"/>
      <c r="AN275" s="15"/>
      <c r="AO275" s="15"/>
      <c r="AP275" s="15"/>
      <c r="AQ275" s="15"/>
    </row>
    <row r="276">
      <c r="A276" s="15"/>
      <c r="B276" s="15"/>
      <c r="C276" s="15"/>
      <c r="D276" s="15"/>
      <c r="E276" s="15"/>
      <c r="F276" s="15"/>
      <c r="G276" s="15"/>
      <c r="H276" s="103"/>
      <c r="I276" s="15"/>
      <c r="J276" s="15"/>
      <c r="K276" s="15"/>
      <c r="L276" s="15"/>
      <c r="M276" s="15"/>
      <c r="N276" s="15"/>
      <c r="O276" s="103"/>
      <c r="P276" s="15"/>
      <c r="Q276" s="15"/>
      <c r="R276" s="15"/>
      <c r="S276" s="15"/>
      <c r="T276" s="15"/>
      <c r="U276" s="15"/>
      <c r="V276" s="103"/>
      <c r="W276" s="15"/>
      <c r="X276" s="15"/>
      <c r="Y276" s="15"/>
      <c r="Z276" s="15"/>
      <c r="AA276" s="15"/>
      <c r="AB276" s="15"/>
      <c r="AC276" s="103"/>
      <c r="AD276" s="15"/>
      <c r="AE276" s="15"/>
      <c r="AF276" s="15"/>
      <c r="AG276" s="15"/>
      <c r="AH276" s="15"/>
      <c r="AI276" s="15"/>
      <c r="AJ276" s="103"/>
      <c r="AK276" s="15"/>
      <c r="AL276" s="15"/>
      <c r="AM276" s="15"/>
      <c r="AN276" s="15"/>
      <c r="AO276" s="15"/>
      <c r="AP276" s="15"/>
      <c r="AQ276" s="15"/>
    </row>
    <row r="277">
      <c r="A277" s="15"/>
      <c r="B277" s="15"/>
      <c r="C277" s="15"/>
      <c r="D277" s="15"/>
      <c r="E277" s="15"/>
      <c r="F277" s="15"/>
      <c r="G277" s="15"/>
      <c r="H277" s="103"/>
      <c r="I277" s="15"/>
      <c r="J277" s="15"/>
      <c r="K277" s="15"/>
      <c r="L277" s="15"/>
      <c r="M277" s="15"/>
      <c r="N277" s="15"/>
      <c r="O277" s="103"/>
      <c r="P277" s="15"/>
      <c r="Q277" s="15"/>
      <c r="R277" s="15"/>
      <c r="S277" s="15"/>
      <c r="T277" s="15"/>
      <c r="U277" s="15"/>
      <c r="V277" s="103"/>
      <c r="W277" s="15"/>
      <c r="X277" s="15"/>
      <c r="Y277" s="15"/>
      <c r="Z277" s="15"/>
      <c r="AA277" s="15"/>
      <c r="AB277" s="15"/>
      <c r="AC277" s="103"/>
      <c r="AD277" s="15"/>
      <c r="AE277" s="15"/>
      <c r="AF277" s="15"/>
      <c r="AG277" s="15"/>
      <c r="AH277" s="15"/>
      <c r="AI277" s="15"/>
      <c r="AJ277" s="103"/>
      <c r="AK277" s="15"/>
      <c r="AL277" s="15"/>
      <c r="AM277" s="15"/>
      <c r="AN277" s="15"/>
      <c r="AO277" s="15"/>
      <c r="AP277" s="15"/>
      <c r="AQ277" s="15"/>
    </row>
    <row r="278">
      <c r="A278" s="15"/>
      <c r="B278" s="15"/>
      <c r="C278" s="15"/>
      <c r="D278" s="15"/>
      <c r="E278" s="15"/>
      <c r="F278" s="15"/>
      <c r="G278" s="15"/>
      <c r="H278" s="103"/>
      <c r="I278" s="15"/>
      <c r="J278" s="15"/>
      <c r="K278" s="15"/>
      <c r="L278" s="15"/>
      <c r="M278" s="15"/>
      <c r="N278" s="15"/>
      <c r="O278" s="103"/>
      <c r="P278" s="15"/>
      <c r="Q278" s="15"/>
      <c r="R278" s="15"/>
      <c r="S278" s="15"/>
      <c r="T278" s="15"/>
      <c r="U278" s="15"/>
      <c r="V278" s="103"/>
      <c r="W278" s="15"/>
      <c r="X278" s="15"/>
      <c r="Y278" s="15"/>
      <c r="Z278" s="15"/>
      <c r="AA278" s="15"/>
      <c r="AB278" s="15"/>
      <c r="AC278" s="103"/>
      <c r="AD278" s="15"/>
      <c r="AE278" s="15"/>
      <c r="AF278" s="15"/>
      <c r="AG278" s="15"/>
      <c r="AH278" s="15"/>
      <c r="AI278" s="15"/>
      <c r="AJ278" s="103"/>
      <c r="AK278" s="15"/>
      <c r="AL278" s="15"/>
      <c r="AM278" s="15"/>
      <c r="AN278" s="15"/>
      <c r="AO278" s="15"/>
      <c r="AP278" s="15"/>
      <c r="AQ278" s="15"/>
    </row>
    <row r="279">
      <c r="A279" s="15"/>
      <c r="B279" s="15"/>
      <c r="C279" s="15"/>
      <c r="D279" s="15"/>
      <c r="E279" s="15"/>
      <c r="F279" s="15"/>
      <c r="G279" s="15"/>
      <c r="H279" s="103"/>
      <c r="I279" s="15"/>
      <c r="J279" s="15"/>
      <c r="K279" s="15"/>
      <c r="L279" s="15"/>
      <c r="M279" s="15"/>
      <c r="N279" s="15"/>
      <c r="O279" s="103"/>
      <c r="P279" s="15"/>
      <c r="Q279" s="15"/>
      <c r="R279" s="15"/>
      <c r="S279" s="15"/>
      <c r="T279" s="15"/>
      <c r="U279" s="15"/>
      <c r="V279" s="103"/>
      <c r="W279" s="15"/>
      <c r="X279" s="15"/>
      <c r="Y279" s="15"/>
      <c r="Z279" s="15"/>
      <c r="AA279" s="15"/>
      <c r="AB279" s="15"/>
      <c r="AC279" s="103"/>
      <c r="AD279" s="15"/>
      <c r="AE279" s="15"/>
      <c r="AF279" s="15"/>
      <c r="AG279" s="15"/>
      <c r="AH279" s="15"/>
      <c r="AI279" s="15"/>
      <c r="AJ279" s="103"/>
      <c r="AK279" s="15"/>
      <c r="AL279" s="15"/>
      <c r="AM279" s="15"/>
      <c r="AN279" s="15"/>
      <c r="AO279" s="15"/>
      <c r="AP279" s="15"/>
      <c r="AQ279" s="15"/>
    </row>
    <row r="280">
      <c r="A280" s="15"/>
      <c r="B280" s="15"/>
      <c r="C280" s="15"/>
      <c r="D280" s="15"/>
      <c r="E280" s="15"/>
      <c r="F280" s="15"/>
      <c r="G280" s="15"/>
      <c r="H280" s="103"/>
      <c r="I280" s="15"/>
      <c r="J280" s="15"/>
      <c r="K280" s="15"/>
      <c r="L280" s="15"/>
      <c r="M280" s="15"/>
      <c r="N280" s="15"/>
      <c r="O280" s="103"/>
      <c r="P280" s="15"/>
      <c r="Q280" s="15"/>
      <c r="R280" s="15"/>
      <c r="S280" s="15"/>
      <c r="T280" s="15"/>
      <c r="U280" s="15"/>
      <c r="V280" s="103"/>
      <c r="W280" s="15"/>
      <c r="X280" s="15"/>
      <c r="Y280" s="15"/>
      <c r="Z280" s="15"/>
      <c r="AA280" s="15"/>
      <c r="AB280" s="15"/>
      <c r="AC280" s="103"/>
      <c r="AD280" s="15"/>
      <c r="AE280" s="15"/>
      <c r="AF280" s="15"/>
      <c r="AG280" s="15"/>
      <c r="AH280" s="15"/>
      <c r="AI280" s="15"/>
      <c r="AJ280" s="103"/>
      <c r="AK280" s="15"/>
      <c r="AL280" s="15"/>
      <c r="AM280" s="15"/>
      <c r="AN280" s="15"/>
      <c r="AO280" s="15"/>
      <c r="AP280" s="15"/>
      <c r="AQ280" s="15"/>
    </row>
    <row r="281">
      <c r="A281" s="15"/>
      <c r="B281" s="15"/>
      <c r="C281" s="15"/>
      <c r="D281" s="15"/>
      <c r="E281" s="15"/>
      <c r="F281" s="15"/>
      <c r="G281" s="15"/>
      <c r="H281" s="103"/>
      <c r="I281" s="15"/>
      <c r="J281" s="15"/>
      <c r="K281" s="15"/>
      <c r="L281" s="15"/>
      <c r="M281" s="15"/>
      <c r="N281" s="15"/>
      <c r="O281" s="103"/>
      <c r="P281" s="15"/>
      <c r="Q281" s="15"/>
      <c r="R281" s="15"/>
      <c r="S281" s="15"/>
      <c r="T281" s="15"/>
      <c r="U281" s="15"/>
      <c r="V281" s="103"/>
      <c r="W281" s="15"/>
      <c r="X281" s="15"/>
      <c r="Y281" s="15"/>
      <c r="Z281" s="15"/>
      <c r="AA281" s="15"/>
      <c r="AB281" s="15"/>
      <c r="AC281" s="103"/>
      <c r="AD281" s="15"/>
      <c r="AE281" s="15"/>
      <c r="AF281" s="15"/>
      <c r="AG281" s="15"/>
      <c r="AH281" s="15"/>
      <c r="AI281" s="15"/>
      <c r="AJ281" s="103"/>
      <c r="AK281" s="15"/>
      <c r="AL281" s="15"/>
      <c r="AM281" s="15"/>
      <c r="AN281" s="15"/>
      <c r="AO281" s="15"/>
      <c r="AP281" s="15"/>
      <c r="AQ281" s="15"/>
    </row>
    <row r="282">
      <c r="A282" s="15"/>
      <c r="B282" s="15"/>
      <c r="C282" s="15"/>
      <c r="D282" s="15"/>
      <c r="E282" s="15"/>
      <c r="F282" s="15"/>
      <c r="G282" s="15"/>
      <c r="H282" s="103"/>
      <c r="I282" s="15"/>
      <c r="J282" s="15"/>
      <c r="K282" s="15"/>
      <c r="L282" s="15"/>
      <c r="M282" s="15"/>
      <c r="N282" s="15"/>
      <c r="O282" s="103"/>
      <c r="P282" s="15"/>
      <c r="Q282" s="15"/>
      <c r="R282" s="15"/>
      <c r="S282" s="15"/>
      <c r="T282" s="15"/>
      <c r="U282" s="15"/>
      <c r="V282" s="103"/>
      <c r="W282" s="15"/>
      <c r="X282" s="15"/>
      <c r="Y282" s="15"/>
      <c r="Z282" s="15"/>
      <c r="AA282" s="15"/>
      <c r="AB282" s="15"/>
      <c r="AC282" s="103"/>
      <c r="AD282" s="15"/>
      <c r="AE282" s="15"/>
      <c r="AF282" s="15"/>
      <c r="AG282" s="15"/>
      <c r="AH282" s="15"/>
      <c r="AI282" s="15"/>
      <c r="AJ282" s="103"/>
      <c r="AK282" s="15"/>
      <c r="AL282" s="15"/>
      <c r="AM282" s="15"/>
      <c r="AN282" s="15"/>
      <c r="AO282" s="15"/>
      <c r="AP282" s="15"/>
      <c r="AQ282" s="15"/>
    </row>
    <row r="283">
      <c r="A283" s="15"/>
      <c r="B283" s="15"/>
      <c r="C283" s="15"/>
      <c r="D283" s="15"/>
      <c r="E283" s="15"/>
      <c r="F283" s="15"/>
      <c r="G283" s="15"/>
      <c r="H283" s="103"/>
      <c r="I283" s="15"/>
      <c r="J283" s="15"/>
      <c r="K283" s="15"/>
      <c r="L283" s="15"/>
      <c r="M283" s="15"/>
      <c r="N283" s="15"/>
      <c r="O283" s="103"/>
      <c r="P283" s="15"/>
      <c r="Q283" s="15"/>
      <c r="R283" s="15"/>
      <c r="S283" s="15"/>
      <c r="T283" s="15"/>
      <c r="U283" s="15"/>
      <c r="V283" s="103"/>
      <c r="W283" s="15"/>
      <c r="X283" s="15"/>
      <c r="Y283" s="15"/>
      <c r="Z283" s="15"/>
      <c r="AA283" s="15"/>
      <c r="AB283" s="15"/>
      <c r="AC283" s="103"/>
      <c r="AD283" s="15"/>
      <c r="AE283" s="15"/>
      <c r="AF283" s="15"/>
      <c r="AG283" s="15"/>
      <c r="AH283" s="15"/>
      <c r="AI283" s="15"/>
      <c r="AJ283" s="103"/>
      <c r="AK283" s="15"/>
      <c r="AL283" s="15"/>
      <c r="AM283" s="15"/>
      <c r="AN283" s="15"/>
      <c r="AO283" s="15"/>
      <c r="AP283" s="15"/>
      <c r="AQ283" s="15"/>
    </row>
    <row r="284">
      <c r="A284" s="15"/>
      <c r="B284" s="15"/>
      <c r="C284" s="15"/>
      <c r="D284" s="15"/>
      <c r="E284" s="15"/>
      <c r="F284" s="15"/>
      <c r="G284" s="15"/>
      <c r="H284" s="103"/>
      <c r="I284" s="15"/>
      <c r="J284" s="15"/>
      <c r="K284" s="15"/>
      <c r="L284" s="15"/>
      <c r="M284" s="15"/>
      <c r="N284" s="15"/>
      <c r="O284" s="103"/>
      <c r="P284" s="15"/>
      <c r="Q284" s="15"/>
      <c r="R284" s="15"/>
      <c r="S284" s="15"/>
      <c r="T284" s="15"/>
      <c r="U284" s="15"/>
      <c r="V284" s="103"/>
      <c r="W284" s="15"/>
      <c r="X284" s="15"/>
      <c r="Y284" s="15"/>
      <c r="Z284" s="15"/>
      <c r="AA284" s="15"/>
      <c r="AB284" s="15"/>
      <c r="AC284" s="103"/>
      <c r="AD284" s="15"/>
      <c r="AE284" s="15"/>
      <c r="AF284" s="15"/>
      <c r="AG284" s="15"/>
      <c r="AH284" s="15"/>
      <c r="AI284" s="15"/>
      <c r="AJ284" s="103"/>
      <c r="AK284" s="15"/>
      <c r="AL284" s="15"/>
      <c r="AM284" s="15"/>
      <c r="AN284" s="15"/>
      <c r="AO284" s="15"/>
      <c r="AP284" s="15"/>
      <c r="AQ284" s="15"/>
    </row>
    <row r="285">
      <c r="A285" s="15"/>
      <c r="B285" s="15"/>
      <c r="C285" s="15"/>
      <c r="D285" s="15"/>
      <c r="E285" s="15"/>
      <c r="F285" s="15"/>
      <c r="G285" s="15"/>
      <c r="H285" s="103"/>
      <c r="I285" s="15"/>
      <c r="J285" s="15"/>
      <c r="K285" s="15"/>
      <c r="L285" s="15"/>
      <c r="M285" s="15"/>
      <c r="N285" s="15"/>
      <c r="O285" s="103"/>
      <c r="P285" s="15"/>
      <c r="Q285" s="15"/>
      <c r="R285" s="15"/>
      <c r="S285" s="15"/>
      <c r="T285" s="15"/>
      <c r="U285" s="15"/>
      <c r="V285" s="103"/>
      <c r="W285" s="15"/>
      <c r="X285" s="15"/>
      <c r="Y285" s="15"/>
      <c r="Z285" s="15"/>
      <c r="AA285" s="15"/>
      <c r="AB285" s="15"/>
      <c r="AC285" s="103"/>
      <c r="AD285" s="15"/>
      <c r="AE285" s="15"/>
      <c r="AF285" s="15"/>
      <c r="AG285" s="15"/>
      <c r="AH285" s="15"/>
      <c r="AI285" s="15"/>
      <c r="AJ285" s="103"/>
      <c r="AK285" s="15"/>
      <c r="AL285" s="15"/>
      <c r="AM285" s="15"/>
      <c r="AN285" s="15"/>
      <c r="AO285" s="15"/>
      <c r="AP285" s="15"/>
      <c r="AQ285" s="15"/>
    </row>
    <row r="286">
      <c r="A286" s="15"/>
      <c r="B286" s="15"/>
      <c r="C286" s="15"/>
      <c r="D286" s="15"/>
      <c r="E286" s="15"/>
      <c r="F286" s="15"/>
      <c r="G286" s="15"/>
      <c r="H286" s="103"/>
      <c r="I286" s="15"/>
      <c r="J286" s="15"/>
      <c r="K286" s="15"/>
      <c r="L286" s="15"/>
      <c r="M286" s="15"/>
      <c r="N286" s="15"/>
      <c r="O286" s="103"/>
      <c r="P286" s="15"/>
      <c r="Q286" s="15"/>
      <c r="R286" s="15"/>
      <c r="S286" s="15"/>
      <c r="T286" s="15"/>
      <c r="U286" s="15"/>
      <c r="V286" s="103"/>
      <c r="W286" s="15"/>
      <c r="X286" s="15"/>
      <c r="Y286" s="15"/>
      <c r="Z286" s="15"/>
      <c r="AA286" s="15"/>
      <c r="AB286" s="15"/>
      <c r="AC286" s="103"/>
      <c r="AD286" s="15"/>
      <c r="AE286" s="15"/>
      <c r="AF286" s="15"/>
      <c r="AG286" s="15"/>
      <c r="AH286" s="15"/>
      <c r="AI286" s="15"/>
      <c r="AJ286" s="103"/>
      <c r="AK286" s="15"/>
      <c r="AL286" s="15"/>
      <c r="AM286" s="15"/>
      <c r="AN286" s="15"/>
      <c r="AO286" s="15"/>
      <c r="AP286" s="15"/>
      <c r="AQ286" s="15"/>
    </row>
    <row r="287">
      <c r="A287" s="15"/>
      <c r="B287" s="15"/>
      <c r="C287" s="15"/>
      <c r="D287" s="15"/>
      <c r="E287" s="15"/>
      <c r="F287" s="15"/>
      <c r="G287" s="15"/>
      <c r="H287" s="103"/>
      <c r="I287" s="15"/>
      <c r="J287" s="15"/>
      <c r="K287" s="15"/>
      <c r="L287" s="15"/>
      <c r="M287" s="15"/>
      <c r="N287" s="15"/>
      <c r="O287" s="103"/>
      <c r="P287" s="15"/>
      <c r="Q287" s="15"/>
      <c r="R287" s="15"/>
      <c r="S287" s="15"/>
      <c r="T287" s="15"/>
      <c r="U287" s="15"/>
      <c r="V287" s="103"/>
      <c r="W287" s="15"/>
      <c r="X287" s="15"/>
      <c r="Y287" s="15"/>
      <c r="Z287" s="15"/>
      <c r="AA287" s="15"/>
      <c r="AB287" s="15"/>
      <c r="AC287" s="103"/>
      <c r="AD287" s="15"/>
      <c r="AE287" s="15"/>
      <c r="AF287" s="15"/>
      <c r="AG287" s="15"/>
      <c r="AH287" s="15"/>
      <c r="AI287" s="15"/>
      <c r="AJ287" s="103"/>
      <c r="AK287" s="15"/>
      <c r="AL287" s="15"/>
      <c r="AM287" s="15"/>
      <c r="AN287" s="15"/>
      <c r="AO287" s="15"/>
      <c r="AP287" s="15"/>
      <c r="AQ287" s="15"/>
    </row>
    <row r="288">
      <c r="A288" s="15"/>
      <c r="B288" s="15"/>
      <c r="C288" s="15"/>
      <c r="D288" s="15"/>
      <c r="E288" s="15"/>
      <c r="F288" s="15"/>
      <c r="G288" s="15"/>
      <c r="H288" s="103"/>
      <c r="I288" s="15"/>
      <c r="J288" s="15"/>
      <c r="K288" s="15"/>
      <c r="L288" s="15"/>
      <c r="M288" s="15"/>
      <c r="N288" s="15"/>
      <c r="O288" s="103"/>
      <c r="P288" s="15"/>
      <c r="Q288" s="15"/>
      <c r="R288" s="15"/>
      <c r="S288" s="15"/>
      <c r="T288" s="15"/>
      <c r="U288" s="15"/>
      <c r="V288" s="103"/>
      <c r="W288" s="15"/>
      <c r="X288" s="15"/>
      <c r="Y288" s="15"/>
      <c r="Z288" s="15"/>
      <c r="AA288" s="15"/>
      <c r="AB288" s="15"/>
      <c r="AC288" s="103"/>
      <c r="AD288" s="15"/>
      <c r="AE288" s="15"/>
      <c r="AF288" s="15"/>
      <c r="AG288" s="15"/>
      <c r="AH288" s="15"/>
      <c r="AI288" s="15"/>
      <c r="AJ288" s="103"/>
      <c r="AK288" s="15"/>
      <c r="AL288" s="15"/>
      <c r="AM288" s="15"/>
      <c r="AN288" s="15"/>
      <c r="AO288" s="15"/>
      <c r="AP288" s="15"/>
      <c r="AQ288" s="15"/>
    </row>
    <row r="289">
      <c r="A289" s="15"/>
      <c r="B289" s="15"/>
      <c r="C289" s="15"/>
      <c r="D289" s="15"/>
      <c r="E289" s="15"/>
      <c r="F289" s="15"/>
      <c r="G289" s="15"/>
      <c r="H289" s="103"/>
      <c r="I289" s="15"/>
      <c r="J289" s="15"/>
      <c r="K289" s="15"/>
      <c r="L289" s="15"/>
      <c r="M289" s="15"/>
      <c r="N289" s="15"/>
      <c r="O289" s="103"/>
      <c r="P289" s="15"/>
      <c r="Q289" s="15"/>
      <c r="R289" s="15"/>
      <c r="S289" s="15"/>
      <c r="T289" s="15"/>
      <c r="U289" s="15"/>
      <c r="V289" s="103"/>
      <c r="W289" s="15"/>
      <c r="X289" s="15"/>
      <c r="Y289" s="15"/>
      <c r="Z289" s="15"/>
      <c r="AA289" s="15"/>
      <c r="AB289" s="15"/>
      <c r="AC289" s="103"/>
      <c r="AD289" s="15"/>
      <c r="AE289" s="15"/>
      <c r="AF289" s="15"/>
      <c r="AG289" s="15"/>
      <c r="AH289" s="15"/>
      <c r="AI289" s="15"/>
      <c r="AJ289" s="103"/>
      <c r="AK289" s="15"/>
      <c r="AL289" s="15"/>
      <c r="AM289" s="15"/>
      <c r="AN289" s="15"/>
      <c r="AO289" s="15"/>
      <c r="AP289" s="15"/>
      <c r="AQ289" s="15"/>
    </row>
    <row r="290">
      <c r="A290" s="15"/>
      <c r="B290" s="15"/>
      <c r="C290" s="15"/>
      <c r="D290" s="15"/>
      <c r="E290" s="15"/>
      <c r="F290" s="15"/>
      <c r="G290" s="15"/>
      <c r="H290" s="103"/>
      <c r="I290" s="15"/>
      <c r="J290" s="15"/>
      <c r="K290" s="15"/>
      <c r="L290" s="15"/>
      <c r="M290" s="15"/>
      <c r="N290" s="15"/>
      <c r="O290" s="103"/>
      <c r="P290" s="15"/>
      <c r="Q290" s="15"/>
      <c r="R290" s="15"/>
      <c r="S290" s="15"/>
      <c r="T290" s="15"/>
      <c r="U290" s="15"/>
      <c r="V290" s="103"/>
      <c r="W290" s="15"/>
      <c r="X290" s="15"/>
      <c r="Y290" s="15"/>
      <c r="Z290" s="15"/>
      <c r="AA290" s="15"/>
      <c r="AB290" s="15"/>
      <c r="AC290" s="103"/>
      <c r="AD290" s="15"/>
      <c r="AE290" s="15"/>
      <c r="AF290" s="15"/>
      <c r="AG290" s="15"/>
      <c r="AH290" s="15"/>
      <c r="AI290" s="15"/>
      <c r="AJ290" s="103"/>
      <c r="AK290" s="15"/>
      <c r="AL290" s="15"/>
      <c r="AM290" s="15"/>
      <c r="AN290" s="15"/>
      <c r="AO290" s="15"/>
      <c r="AP290" s="15"/>
      <c r="AQ290" s="15"/>
    </row>
    <row r="291">
      <c r="A291" s="15"/>
      <c r="B291" s="15"/>
      <c r="C291" s="15"/>
      <c r="D291" s="15"/>
      <c r="E291" s="15"/>
      <c r="F291" s="15"/>
      <c r="G291" s="15"/>
      <c r="H291" s="103"/>
      <c r="I291" s="15"/>
      <c r="J291" s="15"/>
      <c r="K291" s="15"/>
      <c r="L291" s="15"/>
      <c r="M291" s="15"/>
      <c r="N291" s="15"/>
      <c r="O291" s="103"/>
      <c r="P291" s="15"/>
      <c r="Q291" s="15"/>
      <c r="R291" s="15"/>
      <c r="S291" s="15"/>
      <c r="T291" s="15"/>
      <c r="U291" s="15"/>
      <c r="V291" s="103"/>
      <c r="W291" s="15"/>
      <c r="X291" s="15"/>
      <c r="Y291" s="15"/>
      <c r="Z291" s="15"/>
      <c r="AA291" s="15"/>
      <c r="AB291" s="15"/>
      <c r="AC291" s="103"/>
      <c r="AD291" s="15"/>
      <c r="AE291" s="15"/>
      <c r="AF291" s="15"/>
      <c r="AG291" s="15"/>
      <c r="AH291" s="15"/>
      <c r="AI291" s="15"/>
      <c r="AJ291" s="103"/>
      <c r="AK291" s="15"/>
      <c r="AL291" s="15"/>
      <c r="AM291" s="15"/>
      <c r="AN291" s="15"/>
      <c r="AO291" s="15"/>
      <c r="AP291" s="15"/>
      <c r="AQ291" s="15"/>
    </row>
    <row r="292">
      <c r="A292" s="15"/>
      <c r="B292" s="15"/>
      <c r="C292" s="15"/>
      <c r="D292" s="15"/>
      <c r="E292" s="15"/>
      <c r="F292" s="15"/>
      <c r="G292" s="15"/>
      <c r="H292" s="103"/>
      <c r="I292" s="15"/>
      <c r="J292" s="15"/>
      <c r="K292" s="15"/>
      <c r="L292" s="15"/>
      <c r="M292" s="15"/>
      <c r="N292" s="15"/>
      <c r="O292" s="103"/>
      <c r="P292" s="15"/>
      <c r="Q292" s="15"/>
      <c r="R292" s="15"/>
      <c r="S292" s="15"/>
      <c r="T292" s="15"/>
      <c r="U292" s="15"/>
      <c r="V292" s="103"/>
      <c r="W292" s="15"/>
      <c r="X292" s="15"/>
      <c r="Y292" s="15"/>
      <c r="Z292" s="15"/>
      <c r="AA292" s="15"/>
      <c r="AB292" s="15"/>
      <c r="AC292" s="103"/>
      <c r="AD292" s="15"/>
      <c r="AE292" s="15"/>
      <c r="AF292" s="15"/>
      <c r="AG292" s="15"/>
      <c r="AH292" s="15"/>
      <c r="AI292" s="15"/>
      <c r="AJ292" s="103"/>
      <c r="AK292" s="15"/>
      <c r="AL292" s="15"/>
      <c r="AM292" s="15"/>
      <c r="AN292" s="15"/>
      <c r="AO292" s="15"/>
      <c r="AP292" s="15"/>
      <c r="AQ292" s="15"/>
    </row>
    <row r="293">
      <c r="A293" s="15"/>
      <c r="B293" s="15"/>
      <c r="C293" s="15"/>
      <c r="D293" s="15"/>
      <c r="E293" s="15"/>
      <c r="F293" s="15"/>
      <c r="G293" s="15"/>
      <c r="H293" s="103"/>
      <c r="I293" s="15"/>
      <c r="J293" s="15"/>
      <c r="K293" s="15"/>
      <c r="L293" s="15"/>
      <c r="M293" s="15"/>
      <c r="N293" s="15"/>
      <c r="O293" s="103"/>
      <c r="P293" s="15"/>
      <c r="Q293" s="15"/>
      <c r="R293" s="15"/>
      <c r="S293" s="15"/>
      <c r="T293" s="15"/>
      <c r="U293" s="15"/>
      <c r="V293" s="103"/>
      <c r="W293" s="15"/>
      <c r="X293" s="15"/>
      <c r="Y293" s="15"/>
      <c r="Z293" s="15"/>
      <c r="AA293" s="15"/>
      <c r="AB293" s="15"/>
      <c r="AC293" s="103"/>
      <c r="AD293" s="15"/>
      <c r="AE293" s="15"/>
      <c r="AF293" s="15"/>
      <c r="AG293" s="15"/>
      <c r="AH293" s="15"/>
      <c r="AI293" s="15"/>
      <c r="AJ293" s="103"/>
      <c r="AK293" s="15"/>
      <c r="AL293" s="15"/>
      <c r="AM293" s="15"/>
      <c r="AN293" s="15"/>
      <c r="AO293" s="15"/>
      <c r="AP293" s="15"/>
      <c r="AQ293" s="15"/>
    </row>
    <row r="294">
      <c r="A294" s="15"/>
      <c r="B294" s="15"/>
      <c r="C294" s="15"/>
      <c r="D294" s="15"/>
      <c r="E294" s="15"/>
      <c r="F294" s="15"/>
      <c r="G294" s="15"/>
      <c r="H294" s="103"/>
      <c r="I294" s="15"/>
      <c r="J294" s="15"/>
      <c r="K294" s="15"/>
      <c r="L294" s="15"/>
      <c r="M294" s="15"/>
      <c r="N294" s="15"/>
      <c r="O294" s="103"/>
      <c r="P294" s="15"/>
      <c r="Q294" s="15"/>
      <c r="R294" s="15"/>
      <c r="S294" s="15"/>
      <c r="T294" s="15"/>
      <c r="U294" s="15"/>
      <c r="V294" s="103"/>
      <c r="W294" s="15"/>
      <c r="X294" s="15"/>
      <c r="Y294" s="15"/>
      <c r="Z294" s="15"/>
      <c r="AA294" s="15"/>
      <c r="AB294" s="15"/>
      <c r="AC294" s="103"/>
      <c r="AD294" s="15"/>
      <c r="AE294" s="15"/>
      <c r="AF294" s="15"/>
      <c r="AG294" s="15"/>
      <c r="AH294" s="15"/>
      <c r="AI294" s="15"/>
      <c r="AJ294" s="103"/>
      <c r="AK294" s="15"/>
      <c r="AL294" s="15"/>
      <c r="AM294" s="15"/>
      <c r="AN294" s="15"/>
      <c r="AO294" s="15"/>
      <c r="AP294" s="15"/>
      <c r="AQ294" s="15"/>
    </row>
    <row r="295">
      <c r="A295" s="15"/>
      <c r="B295" s="15"/>
      <c r="C295" s="15"/>
      <c r="D295" s="15"/>
      <c r="E295" s="15"/>
      <c r="F295" s="15"/>
      <c r="G295" s="15"/>
      <c r="H295" s="103"/>
      <c r="I295" s="15"/>
      <c r="J295" s="15"/>
      <c r="K295" s="15"/>
      <c r="L295" s="15"/>
      <c r="M295" s="15"/>
      <c r="N295" s="15"/>
      <c r="O295" s="103"/>
      <c r="P295" s="15"/>
      <c r="Q295" s="15"/>
      <c r="R295" s="15"/>
      <c r="S295" s="15"/>
      <c r="T295" s="15"/>
      <c r="U295" s="15"/>
      <c r="V295" s="103"/>
      <c r="W295" s="15"/>
      <c r="X295" s="15"/>
      <c r="Y295" s="15"/>
      <c r="Z295" s="15"/>
      <c r="AA295" s="15"/>
      <c r="AB295" s="15"/>
      <c r="AC295" s="103"/>
      <c r="AD295" s="15"/>
      <c r="AE295" s="15"/>
      <c r="AF295" s="15"/>
      <c r="AG295" s="15"/>
      <c r="AH295" s="15"/>
      <c r="AI295" s="15"/>
      <c r="AJ295" s="103"/>
      <c r="AK295" s="15"/>
      <c r="AL295" s="15"/>
      <c r="AM295" s="15"/>
      <c r="AN295" s="15"/>
      <c r="AO295" s="15"/>
      <c r="AP295" s="15"/>
      <c r="AQ295" s="15"/>
    </row>
    <row r="296">
      <c r="A296" s="15"/>
      <c r="B296" s="15"/>
      <c r="C296" s="15"/>
      <c r="D296" s="15"/>
      <c r="E296" s="15"/>
      <c r="F296" s="15"/>
      <c r="G296" s="15"/>
      <c r="H296" s="103"/>
      <c r="I296" s="15"/>
      <c r="J296" s="15"/>
      <c r="K296" s="15"/>
      <c r="L296" s="15"/>
      <c r="M296" s="15"/>
      <c r="N296" s="15"/>
      <c r="O296" s="103"/>
      <c r="P296" s="15"/>
      <c r="Q296" s="15"/>
      <c r="R296" s="15"/>
      <c r="S296" s="15"/>
      <c r="T296" s="15"/>
      <c r="U296" s="15"/>
      <c r="V296" s="103"/>
      <c r="W296" s="15"/>
      <c r="X296" s="15"/>
      <c r="Y296" s="15"/>
      <c r="Z296" s="15"/>
      <c r="AA296" s="15"/>
      <c r="AB296" s="15"/>
      <c r="AC296" s="103"/>
      <c r="AD296" s="15"/>
      <c r="AE296" s="15"/>
      <c r="AF296" s="15"/>
      <c r="AG296" s="15"/>
      <c r="AH296" s="15"/>
      <c r="AI296" s="15"/>
      <c r="AJ296" s="103"/>
      <c r="AK296" s="15"/>
      <c r="AL296" s="15"/>
      <c r="AM296" s="15"/>
      <c r="AN296" s="15"/>
      <c r="AO296" s="15"/>
      <c r="AP296" s="15"/>
      <c r="AQ296" s="15"/>
    </row>
    <row r="297">
      <c r="A297" s="15"/>
      <c r="B297" s="15"/>
      <c r="C297" s="15"/>
      <c r="D297" s="15"/>
      <c r="E297" s="15"/>
      <c r="F297" s="15"/>
      <c r="G297" s="15"/>
      <c r="H297" s="103"/>
      <c r="I297" s="15"/>
      <c r="J297" s="15"/>
      <c r="K297" s="15"/>
      <c r="L297" s="15"/>
      <c r="M297" s="15"/>
      <c r="N297" s="15"/>
      <c r="O297" s="103"/>
      <c r="P297" s="15"/>
      <c r="Q297" s="15"/>
      <c r="R297" s="15"/>
      <c r="S297" s="15"/>
      <c r="T297" s="15"/>
      <c r="U297" s="15"/>
      <c r="V297" s="103"/>
      <c r="W297" s="15"/>
      <c r="X297" s="15"/>
      <c r="Y297" s="15"/>
      <c r="Z297" s="15"/>
      <c r="AA297" s="15"/>
      <c r="AB297" s="15"/>
      <c r="AC297" s="103"/>
      <c r="AD297" s="15"/>
      <c r="AE297" s="15"/>
      <c r="AF297" s="15"/>
      <c r="AG297" s="15"/>
      <c r="AH297" s="15"/>
      <c r="AI297" s="15"/>
      <c r="AJ297" s="103"/>
      <c r="AK297" s="15"/>
      <c r="AL297" s="15"/>
      <c r="AM297" s="15"/>
      <c r="AN297" s="15"/>
      <c r="AO297" s="15"/>
      <c r="AP297" s="15"/>
      <c r="AQ297" s="15"/>
    </row>
    <row r="298">
      <c r="A298" s="15"/>
      <c r="B298" s="15"/>
      <c r="C298" s="15"/>
      <c r="D298" s="15"/>
      <c r="E298" s="15"/>
      <c r="F298" s="15"/>
      <c r="G298" s="15"/>
      <c r="H298" s="103"/>
      <c r="I298" s="15"/>
      <c r="J298" s="15"/>
      <c r="K298" s="15"/>
      <c r="L298" s="15"/>
      <c r="M298" s="15"/>
      <c r="N298" s="15"/>
      <c r="O298" s="103"/>
      <c r="P298" s="15"/>
      <c r="Q298" s="15"/>
      <c r="R298" s="15"/>
      <c r="S298" s="15"/>
      <c r="T298" s="15"/>
      <c r="U298" s="15"/>
      <c r="V298" s="103"/>
      <c r="W298" s="15"/>
      <c r="X298" s="15"/>
      <c r="Y298" s="15"/>
      <c r="Z298" s="15"/>
      <c r="AA298" s="15"/>
      <c r="AB298" s="15"/>
      <c r="AC298" s="103"/>
      <c r="AD298" s="15"/>
      <c r="AE298" s="15"/>
      <c r="AF298" s="15"/>
      <c r="AG298" s="15"/>
      <c r="AH298" s="15"/>
      <c r="AI298" s="15"/>
      <c r="AJ298" s="103"/>
      <c r="AK298" s="15"/>
      <c r="AL298" s="15"/>
      <c r="AM298" s="15"/>
      <c r="AN298" s="15"/>
      <c r="AO298" s="15"/>
      <c r="AP298" s="15"/>
      <c r="AQ298" s="15"/>
    </row>
    <row r="299">
      <c r="A299" s="15"/>
      <c r="B299" s="15"/>
      <c r="C299" s="15"/>
      <c r="D299" s="15"/>
      <c r="E299" s="15"/>
      <c r="F299" s="15"/>
      <c r="G299" s="15"/>
      <c r="H299" s="103"/>
      <c r="I299" s="15"/>
      <c r="J299" s="15"/>
      <c r="K299" s="15"/>
      <c r="L299" s="15"/>
      <c r="M299" s="15"/>
      <c r="N299" s="15"/>
      <c r="O299" s="103"/>
      <c r="P299" s="15"/>
      <c r="Q299" s="15"/>
      <c r="R299" s="15"/>
      <c r="S299" s="15"/>
      <c r="T299" s="15"/>
      <c r="U299" s="15"/>
      <c r="V299" s="103"/>
      <c r="W299" s="15"/>
      <c r="X299" s="15"/>
      <c r="Y299" s="15"/>
      <c r="Z299" s="15"/>
      <c r="AA299" s="15"/>
      <c r="AB299" s="15"/>
      <c r="AC299" s="103"/>
      <c r="AD299" s="15"/>
      <c r="AE299" s="15"/>
      <c r="AF299" s="15"/>
      <c r="AG299" s="15"/>
      <c r="AH299" s="15"/>
      <c r="AI299" s="15"/>
      <c r="AJ299" s="103"/>
      <c r="AK299" s="15"/>
      <c r="AL299" s="15"/>
      <c r="AM299" s="15"/>
      <c r="AN299" s="15"/>
      <c r="AO299" s="15"/>
      <c r="AP299" s="15"/>
      <c r="AQ299" s="15"/>
    </row>
    <row r="300">
      <c r="A300" s="15"/>
      <c r="B300" s="15"/>
      <c r="C300" s="15"/>
      <c r="D300" s="15"/>
      <c r="E300" s="15"/>
      <c r="F300" s="15"/>
      <c r="G300" s="15"/>
      <c r="H300" s="103"/>
      <c r="I300" s="15"/>
      <c r="J300" s="15"/>
      <c r="K300" s="15"/>
      <c r="L300" s="15"/>
      <c r="M300" s="15"/>
      <c r="N300" s="15"/>
      <c r="O300" s="103"/>
      <c r="P300" s="15"/>
      <c r="Q300" s="15"/>
      <c r="R300" s="15"/>
      <c r="S300" s="15"/>
      <c r="T300" s="15"/>
      <c r="U300" s="15"/>
      <c r="V300" s="103"/>
      <c r="W300" s="15"/>
      <c r="X300" s="15"/>
      <c r="Y300" s="15"/>
      <c r="Z300" s="15"/>
      <c r="AA300" s="15"/>
      <c r="AB300" s="15"/>
      <c r="AC300" s="103"/>
      <c r="AD300" s="15"/>
      <c r="AE300" s="15"/>
      <c r="AF300" s="15"/>
      <c r="AG300" s="15"/>
      <c r="AH300" s="15"/>
      <c r="AI300" s="15"/>
      <c r="AJ300" s="103"/>
      <c r="AK300" s="15"/>
      <c r="AL300" s="15"/>
      <c r="AM300" s="15"/>
      <c r="AN300" s="15"/>
      <c r="AO300" s="15"/>
      <c r="AP300" s="15"/>
      <c r="AQ300" s="15"/>
    </row>
    <row r="301">
      <c r="A301" s="15"/>
      <c r="B301" s="15"/>
      <c r="C301" s="15"/>
      <c r="D301" s="15"/>
      <c r="E301" s="15"/>
      <c r="F301" s="15"/>
      <c r="G301" s="15"/>
      <c r="H301" s="103"/>
      <c r="I301" s="15"/>
      <c r="J301" s="15"/>
      <c r="K301" s="15"/>
      <c r="L301" s="15"/>
      <c r="M301" s="15"/>
      <c r="N301" s="15"/>
      <c r="O301" s="103"/>
      <c r="P301" s="15"/>
      <c r="Q301" s="15"/>
      <c r="R301" s="15"/>
      <c r="S301" s="15"/>
      <c r="T301" s="15"/>
      <c r="U301" s="15"/>
      <c r="V301" s="103"/>
      <c r="W301" s="15"/>
      <c r="X301" s="15"/>
      <c r="Y301" s="15"/>
      <c r="Z301" s="15"/>
      <c r="AA301" s="15"/>
      <c r="AB301" s="15"/>
      <c r="AC301" s="103"/>
      <c r="AD301" s="15"/>
      <c r="AE301" s="15"/>
      <c r="AF301" s="15"/>
      <c r="AG301" s="15"/>
      <c r="AH301" s="15"/>
      <c r="AI301" s="15"/>
      <c r="AJ301" s="103"/>
      <c r="AK301" s="15"/>
      <c r="AL301" s="15"/>
      <c r="AM301" s="15"/>
      <c r="AN301" s="15"/>
      <c r="AO301" s="15"/>
      <c r="AP301" s="15"/>
      <c r="AQ301" s="15"/>
    </row>
    <row r="302">
      <c r="A302" s="15"/>
      <c r="B302" s="15"/>
      <c r="C302" s="15"/>
      <c r="D302" s="15"/>
      <c r="E302" s="15"/>
      <c r="F302" s="15"/>
      <c r="G302" s="15"/>
      <c r="H302" s="103"/>
      <c r="I302" s="15"/>
      <c r="J302" s="15"/>
      <c r="K302" s="15"/>
      <c r="L302" s="15"/>
      <c r="M302" s="15"/>
      <c r="N302" s="15"/>
      <c r="O302" s="103"/>
      <c r="P302" s="15"/>
      <c r="Q302" s="15"/>
      <c r="R302" s="15"/>
      <c r="S302" s="15"/>
      <c r="T302" s="15"/>
      <c r="U302" s="15"/>
      <c r="V302" s="103"/>
      <c r="W302" s="15"/>
      <c r="X302" s="15"/>
      <c r="Y302" s="15"/>
      <c r="Z302" s="15"/>
      <c r="AA302" s="15"/>
      <c r="AB302" s="15"/>
      <c r="AC302" s="103"/>
      <c r="AD302" s="15"/>
      <c r="AE302" s="15"/>
      <c r="AF302" s="15"/>
      <c r="AG302" s="15"/>
      <c r="AH302" s="15"/>
      <c r="AI302" s="15"/>
      <c r="AJ302" s="103"/>
      <c r="AK302" s="15"/>
      <c r="AL302" s="15"/>
      <c r="AM302" s="15"/>
      <c r="AN302" s="15"/>
      <c r="AO302" s="15"/>
      <c r="AP302" s="15"/>
      <c r="AQ302" s="15"/>
    </row>
    <row r="303">
      <c r="A303" s="15"/>
      <c r="B303" s="15"/>
      <c r="C303" s="15"/>
      <c r="D303" s="15"/>
      <c r="E303" s="15"/>
      <c r="F303" s="15"/>
      <c r="G303" s="15"/>
      <c r="H303" s="103"/>
      <c r="I303" s="15"/>
      <c r="J303" s="15"/>
      <c r="K303" s="15"/>
      <c r="L303" s="15"/>
      <c r="M303" s="15"/>
      <c r="N303" s="15"/>
      <c r="O303" s="103"/>
      <c r="P303" s="15"/>
      <c r="Q303" s="15"/>
      <c r="R303" s="15"/>
      <c r="S303" s="15"/>
      <c r="T303" s="15"/>
      <c r="U303" s="15"/>
      <c r="V303" s="103"/>
      <c r="W303" s="15"/>
      <c r="X303" s="15"/>
      <c r="Y303" s="15"/>
      <c r="Z303" s="15"/>
      <c r="AA303" s="15"/>
      <c r="AB303" s="15"/>
      <c r="AC303" s="103"/>
      <c r="AD303" s="15"/>
      <c r="AE303" s="15"/>
      <c r="AF303" s="15"/>
      <c r="AG303" s="15"/>
      <c r="AH303" s="15"/>
      <c r="AI303" s="15"/>
      <c r="AJ303" s="103"/>
      <c r="AK303" s="15"/>
      <c r="AL303" s="15"/>
      <c r="AM303" s="15"/>
      <c r="AN303" s="15"/>
      <c r="AO303" s="15"/>
      <c r="AP303" s="15"/>
      <c r="AQ303" s="15"/>
    </row>
    <row r="304">
      <c r="A304" s="15"/>
      <c r="B304" s="15"/>
      <c r="C304" s="15"/>
      <c r="D304" s="15"/>
      <c r="E304" s="15"/>
      <c r="F304" s="15"/>
      <c r="G304" s="15"/>
      <c r="H304" s="103"/>
      <c r="I304" s="15"/>
      <c r="J304" s="15"/>
      <c r="K304" s="15"/>
      <c r="L304" s="15"/>
      <c r="M304" s="15"/>
      <c r="N304" s="15"/>
      <c r="O304" s="103"/>
      <c r="P304" s="15"/>
      <c r="Q304" s="15"/>
      <c r="R304" s="15"/>
      <c r="S304" s="15"/>
      <c r="T304" s="15"/>
      <c r="U304" s="15"/>
      <c r="V304" s="103"/>
      <c r="W304" s="15"/>
      <c r="X304" s="15"/>
      <c r="Y304" s="15"/>
      <c r="Z304" s="15"/>
      <c r="AA304" s="15"/>
      <c r="AB304" s="15"/>
      <c r="AC304" s="103"/>
      <c r="AD304" s="15"/>
      <c r="AE304" s="15"/>
      <c r="AF304" s="15"/>
      <c r="AG304" s="15"/>
      <c r="AH304" s="15"/>
      <c r="AI304" s="15"/>
      <c r="AJ304" s="103"/>
      <c r="AK304" s="15"/>
      <c r="AL304" s="15"/>
      <c r="AM304" s="15"/>
      <c r="AN304" s="15"/>
      <c r="AO304" s="15"/>
      <c r="AP304" s="15"/>
      <c r="AQ304" s="15"/>
    </row>
    <row r="305">
      <c r="A305" s="15"/>
      <c r="B305" s="15"/>
      <c r="C305" s="15"/>
      <c r="D305" s="15"/>
      <c r="E305" s="15"/>
      <c r="F305" s="15"/>
      <c r="G305" s="15"/>
      <c r="H305" s="103"/>
      <c r="I305" s="15"/>
      <c r="J305" s="15"/>
      <c r="K305" s="15"/>
      <c r="L305" s="15"/>
      <c r="M305" s="15"/>
      <c r="N305" s="15"/>
      <c r="O305" s="103"/>
      <c r="P305" s="15"/>
      <c r="Q305" s="15"/>
      <c r="R305" s="15"/>
      <c r="S305" s="15"/>
      <c r="T305" s="15"/>
      <c r="U305" s="15"/>
      <c r="V305" s="103"/>
      <c r="W305" s="15"/>
      <c r="X305" s="15"/>
      <c r="Y305" s="15"/>
      <c r="Z305" s="15"/>
      <c r="AA305" s="15"/>
      <c r="AB305" s="15"/>
      <c r="AC305" s="103"/>
      <c r="AD305" s="15"/>
      <c r="AE305" s="15"/>
      <c r="AF305" s="15"/>
      <c r="AG305" s="15"/>
      <c r="AH305" s="15"/>
      <c r="AI305" s="15"/>
      <c r="AJ305" s="103"/>
      <c r="AK305" s="15"/>
      <c r="AL305" s="15"/>
      <c r="AM305" s="15"/>
      <c r="AN305" s="15"/>
      <c r="AO305" s="15"/>
      <c r="AP305" s="15"/>
      <c r="AQ305" s="15"/>
    </row>
    <row r="306">
      <c r="A306" s="15"/>
      <c r="B306" s="15"/>
      <c r="C306" s="15"/>
      <c r="D306" s="15"/>
      <c r="E306" s="15"/>
      <c r="F306" s="15"/>
      <c r="G306" s="15"/>
      <c r="H306" s="103"/>
      <c r="I306" s="15"/>
      <c r="J306" s="15"/>
      <c r="K306" s="15"/>
      <c r="L306" s="15"/>
      <c r="M306" s="15"/>
      <c r="N306" s="15"/>
      <c r="O306" s="103"/>
      <c r="P306" s="15"/>
      <c r="Q306" s="15"/>
      <c r="R306" s="15"/>
      <c r="S306" s="15"/>
      <c r="T306" s="15"/>
      <c r="U306" s="15"/>
      <c r="V306" s="103"/>
      <c r="W306" s="15"/>
      <c r="X306" s="15"/>
      <c r="Y306" s="15"/>
      <c r="Z306" s="15"/>
      <c r="AA306" s="15"/>
      <c r="AB306" s="15"/>
      <c r="AC306" s="103"/>
      <c r="AD306" s="15"/>
      <c r="AE306" s="15"/>
      <c r="AF306" s="15"/>
      <c r="AG306" s="15"/>
      <c r="AH306" s="15"/>
      <c r="AI306" s="15"/>
      <c r="AJ306" s="103"/>
      <c r="AK306" s="15"/>
      <c r="AL306" s="15"/>
      <c r="AM306" s="15"/>
      <c r="AN306" s="15"/>
      <c r="AO306" s="15"/>
      <c r="AP306" s="15"/>
      <c r="AQ306" s="15"/>
    </row>
    <row r="307">
      <c r="A307" s="15"/>
      <c r="B307" s="15"/>
      <c r="C307" s="15"/>
      <c r="D307" s="15"/>
      <c r="E307" s="15"/>
      <c r="F307" s="15"/>
      <c r="G307" s="15"/>
      <c r="H307" s="103"/>
      <c r="I307" s="15"/>
      <c r="J307" s="15"/>
      <c r="K307" s="15"/>
      <c r="L307" s="15"/>
      <c r="M307" s="15"/>
      <c r="N307" s="15"/>
      <c r="O307" s="103"/>
      <c r="P307" s="15"/>
      <c r="Q307" s="15"/>
      <c r="R307" s="15"/>
      <c r="S307" s="15"/>
      <c r="T307" s="15"/>
      <c r="U307" s="15"/>
      <c r="V307" s="103"/>
      <c r="W307" s="15"/>
      <c r="X307" s="15"/>
      <c r="Y307" s="15"/>
      <c r="Z307" s="15"/>
      <c r="AA307" s="15"/>
      <c r="AB307" s="15"/>
      <c r="AC307" s="103"/>
      <c r="AD307" s="15"/>
      <c r="AE307" s="15"/>
      <c r="AF307" s="15"/>
      <c r="AG307" s="15"/>
      <c r="AH307" s="15"/>
      <c r="AI307" s="15"/>
      <c r="AJ307" s="103"/>
      <c r="AK307" s="15"/>
      <c r="AL307" s="15"/>
      <c r="AM307" s="15"/>
      <c r="AN307" s="15"/>
      <c r="AO307" s="15"/>
      <c r="AP307" s="15"/>
      <c r="AQ307" s="15"/>
    </row>
    <row r="308">
      <c r="A308" s="15"/>
      <c r="B308" s="15"/>
      <c r="C308" s="15"/>
      <c r="D308" s="15"/>
      <c r="E308" s="15"/>
      <c r="F308" s="15"/>
      <c r="G308" s="15"/>
      <c r="H308" s="103"/>
      <c r="I308" s="15"/>
      <c r="J308" s="15"/>
      <c r="K308" s="15"/>
      <c r="L308" s="15"/>
      <c r="M308" s="15"/>
      <c r="N308" s="15"/>
      <c r="O308" s="103"/>
      <c r="P308" s="15"/>
      <c r="Q308" s="15"/>
      <c r="R308" s="15"/>
      <c r="S308" s="15"/>
      <c r="T308" s="15"/>
      <c r="U308" s="15"/>
      <c r="V308" s="103"/>
      <c r="W308" s="15"/>
      <c r="X308" s="15"/>
      <c r="Y308" s="15"/>
      <c r="Z308" s="15"/>
      <c r="AA308" s="15"/>
      <c r="AB308" s="15"/>
      <c r="AC308" s="103"/>
      <c r="AD308" s="15"/>
      <c r="AE308" s="15"/>
      <c r="AF308" s="15"/>
      <c r="AG308" s="15"/>
      <c r="AH308" s="15"/>
      <c r="AI308" s="15"/>
      <c r="AJ308" s="103"/>
      <c r="AK308" s="15"/>
      <c r="AL308" s="15"/>
      <c r="AM308" s="15"/>
      <c r="AN308" s="15"/>
      <c r="AO308" s="15"/>
      <c r="AP308" s="15"/>
      <c r="AQ308" s="15"/>
    </row>
    <row r="309">
      <c r="A309" s="15"/>
      <c r="B309" s="15"/>
      <c r="C309" s="15"/>
      <c r="D309" s="15"/>
      <c r="E309" s="15"/>
      <c r="F309" s="15"/>
      <c r="G309" s="15"/>
      <c r="H309" s="103"/>
      <c r="I309" s="15"/>
      <c r="J309" s="15"/>
      <c r="K309" s="15"/>
      <c r="L309" s="15"/>
      <c r="M309" s="15"/>
      <c r="N309" s="15"/>
      <c r="O309" s="103"/>
      <c r="P309" s="15"/>
      <c r="Q309" s="15"/>
      <c r="R309" s="15"/>
      <c r="S309" s="15"/>
      <c r="T309" s="15"/>
      <c r="U309" s="15"/>
      <c r="V309" s="103"/>
      <c r="W309" s="15"/>
      <c r="X309" s="15"/>
      <c r="Y309" s="15"/>
      <c r="Z309" s="15"/>
      <c r="AA309" s="15"/>
      <c r="AB309" s="15"/>
      <c r="AC309" s="103"/>
      <c r="AD309" s="15"/>
      <c r="AE309" s="15"/>
      <c r="AF309" s="15"/>
      <c r="AG309" s="15"/>
      <c r="AH309" s="15"/>
      <c r="AI309" s="15"/>
      <c r="AJ309" s="103"/>
      <c r="AK309" s="15"/>
      <c r="AL309" s="15"/>
      <c r="AM309" s="15"/>
      <c r="AN309" s="15"/>
      <c r="AO309" s="15"/>
      <c r="AP309" s="15"/>
      <c r="AQ309" s="15"/>
    </row>
    <row r="310">
      <c r="A310" s="15"/>
      <c r="B310" s="15"/>
      <c r="C310" s="15"/>
      <c r="D310" s="15"/>
      <c r="E310" s="15"/>
      <c r="F310" s="15"/>
      <c r="G310" s="15"/>
      <c r="H310" s="103"/>
      <c r="I310" s="15"/>
      <c r="J310" s="15"/>
      <c r="K310" s="15"/>
      <c r="L310" s="15"/>
      <c r="M310" s="15"/>
      <c r="N310" s="15"/>
      <c r="O310" s="103"/>
      <c r="P310" s="15"/>
      <c r="Q310" s="15"/>
      <c r="R310" s="15"/>
      <c r="S310" s="15"/>
      <c r="T310" s="15"/>
      <c r="U310" s="15"/>
      <c r="V310" s="103"/>
      <c r="W310" s="15"/>
      <c r="X310" s="15"/>
      <c r="Y310" s="15"/>
      <c r="Z310" s="15"/>
      <c r="AA310" s="15"/>
      <c r="AB310" s="15"/>
      <c r="AC310" s="103"/>
      <c r="AD310" s="15"/>
      <c r="AE310" s="15"/>
      <c r="AF310" s="15"/>
      <c r="AG310" s="15"/>
      <c r="AH310" s="15"/>
      <c r="AI310" s="15"/>
      <c r="AJ310" s="103"/>
      <c r="AK310" s="15"/>
      <c r="AL310" s="15"/>
      <c r="AM310" s="15"/>
      <c r="AN310" s="15"/>
      <c r="AO310" s="15"/>
      <c r="AP310" s="15"/>
      <c r="AQ310" s="15"/>
    </row>
    <row r="311">
      <c r="A311" s="15"/>
      <c r="B311" s="15"/>
      <c r="C311" s="15"/>
      <c r="D311" s="15"/>
      <c r="E311" s="15"/>
      <c r="F311" s="15"/>
      <c r="G311" s="15"/>
      <c r="H311" s="103"/>
      <c r="I311" s="15"/>
      <c r="J311" s="15"/>
      <c r="K311" s="15"/>
      <c r="L311" s="15"/>
      <c r="M311" s="15"/>
      <c r="N311" s="15"/>
      <c r="O311" s="103"/>
      <c r="P311" s="15"/>
      <c r="Q311" s="15"/>
      <c r="R311" s="15"/>
      <c r="S311" s="15"/>
      <c r="T311" s="15"/>
      <c r="U311" s="15"/>
      <c r="V311" s="103"/>
      <c r="W311" s="15"/>
      <c r="X311" s="15"/>
      <c r="Y311" s="15"/>
      <c r="Z311" s="15"/>
      <c r="AA311" s="15"/>
      <c r="AB311" s="15"/>
      <c r="AC311" s="103"/>
      <c r="AD311" s="15"/>
      <c r="AE311" s="15"/>
      <c r="AF311" s="15"/>
      <c r="AG311" s="15"/>
      <c r="AH311" s="15"/>
      <c r="AI311" s="15"/>
      <c r="AJ311" s="103"/>
      <c r="AK311" s="15"/>
      <c r="AL311" s="15"/>
      <c r="AM311" s="15"/>
      <c r="AN311" s="15"/>
      <c r="AO311" s="15"/>
      <c r="AP311" s="15"/>
      <c r="AQ311" s="15"/>
    </row>
    <row r="312">
      <c r="A312" s="15"/>
      <c r="B312" s="15"/>
      <c r="C312" s="15"/>
      <c r="D312" s="15"/>
      <c r="E312" s="15"/>
      <c r="F312" s="15"/>
      <c r="G312" s="15"/>
      <c r="H312" s="103"/>
      <c r="I312" s="15"/>
      <c r="J312" s="15"/>
      <c r="K312" s="15"/>
      <c r="L312" s="15"/>
      <c r="M312" s="15"/>
      <c r="N312" s="15"/>
      <c r="O312" s="103"/>
      <c r="P312" s="15"/>
      <c r="Q312" s="15"/>
      <c r="R312" s="15"/>
      <c r="S312" s="15"/>
      <c r="T312" s="15"/>
      <c r="U312" s="15"/>
      <c r="V312" s="103"/>
      <c r="W312" s="15"/>
      <c r="X312" s="15"/>
      <c r="Y312" s="15"/>
      <c r="Z312" s="15"/>
      <c r="AA312" s="15"/>
      <c r="AB312" s="15"/>
      <c r="AC312" s="103"/>
      <c r="AD312" s="15"/>
      <c r="AE312" s="15"/>
      <c r="AF312" s="15"/>
      <c r="AG312" s="15"/>
      <c r="AH312" s="15"/>
      <c r="AI312" s="15"/>
      <c r="AJ312" s="103"/>
      <c r="AK312" s="15"/>
      <c r="AL312" s="15"/>
      <c r="AM312" s="15"/>
      <c r="AN312" s="15"/>
      <c r="AO312" s="15"/>
      <c r="AP312" s="15"/>
      <c r="AQ312" s="15"/>
    </row>
    <row r="313">
      <c r="A313" s="15"/>
      <c r="B313" s="15"/>
      <c r="C313" s="15"/>
      <c r="D313" s="15"/>
      <c r="E313" s="15"/>
      <c r="F313" s="15"/>
      <c r="G313" s="15"/>
      <c r="H313" s="103"/>
      <c r="I313" s="15"/>
      <c r="J313" s="15"/>
      <c r="K313" s="15"/>
      <c r="L313" s="15"/>
      <c r="M313" s="15"/>
      <c r="N313" s="15"/>
      <c r="O313" s="103"/>
      <c r="P313" s="15"/>
      <c r="Q313" s="15"/>
      <c r="R313" s="15"/>
      <c r="S313" s="15"/>
      <c r="T313" s="15"/>
      <c r="U313" s="15"/>
      <c r="V313" s="103"/>
      <c r="W313" s="15"/>
      <c r="X313" s="15"/>
      <c r="Y313" s="15"/>
      <c r="Z313" s="15"/>
      <c r="AA313" s="15"/>
      <c r="AB313" s="15"/>
      <c r="AC313" s="103"/>
      <c r="AD313" s="15"/>
      <c r="AE313" s="15"/>
      <c r="AF313" s="15"/>
      <c r="AG313" s="15"/>
      <c r="AH313" s="15"/>
      <c r="AI313" s="15"/>
      <c r="AJ313" s="103"/>
      <c r="AK313" s="15"/>
      <c r="AL313" s="15"/>
      <c r="AM313" s="15"/>
      <c r="AN313" s="15"/>
      <c r="AO313" s="15"/>
      <c r="AP313" s="15"/>
      <c r="AQ313" s="15"/>
    </row>
    <row r="314">
      <c r="A314" s="15"/>
      <c r="B314" s="15"/>
      <c r="C314" s="15"/>
      <c r="D314" s="15"/>
      <c r="E314" s="15"/>
      <c r="F314" s="15"/>
      <c r="G314" s="15"/>
      <c r="H314" s="103"/>
      <c r="I314" s="15"/>
      <c r="J314" s="15"/>
      <c r="K314" s="15"/>
      <c r="L314" s="15"/>
      <c r="M314" s="15"/>
      <c r="N314" s="15"/>
      <c r="O314" s="103"/>
      <c r="P314" s="15"/>
      <c r="Q314" s="15"/>
      <c r="R314" s="15"/>
      <c r="S314" s="15"/>
      <c r="T314" s="15"/>
      <c r="U314" s="15"/>
      <c r="V314" s="103"/>
      <c r="W314" s="15"/>
      <c r="X314" s="15"/>
      <c r="Y314" s="15"/>
      <c r="Z314" s="15"/>
      <c r="AA314" s="15"/>
      <c r="AB314" s="15"/>
      <c r="AC314" s="103"/>
      <c r="AD314" s="15"/>
      <c r="AE314" s="15"/>
      <c r="AF314" s="15"/>
      <c r="AG314" s="15"/>
      <c r="AH314" s="15"/>
      <c r="AI314" s="15"/>
      <c r="AJ314" s="103"/>
      <c r="AK314" s="15"/>
      <c r="AL314" s="15"/>
      <c r="AM314" s="15"/>
      <c r="AN314" s="15"/>
      <c r="AO314" s="15"/>
      <c r="AP314" s="15"/>
      <c r="AQ314" s="15"/>
    </row>
    <row r="315">
      <c r="A315" s="15"/>
      <c r="B315" s="15"/>
      <c r="C315" s="15"/>
      <c r="D315" s="15"/>
      <c r="E315" s="15"/>
      <c r="F315" s="15"/>
      <c r="G315" s="15"/>
      <c r="H315" s="103"/>
      <c r="I315" s="15"/>
      <c r="J315" s="15"/>
      <c r="K315" s="15"/>
      <c r="L315" s="15"/>
      <c r="M315" s="15"/>
      <c r="N315" s="15"/>
      <c r="O315" s="103"/>
      <c r="P315" s="15"/>
      <c r="Q315" s="15"/>
      <c r="R315" s="15"/>
      <c r="S315" s="15"/>
      <c r="T315" s="15"/>
      <c r="U315" s="15"/>
      <c r="V315" s="103"/>
      <c r="W315" s="15"/>
      <c r="X315" s="15"/>
      <c r="Y315" s="15"/>
      <c r="Z315" s="15"/>
      <c r="AA315" s="15"/>
      <c r="AB315" s="15"/>
      <c r="AC315" s="103"/>
      <c r="AD315" s="15"/>
      <c r="AE315" s="15"/>
      <c r="AF315" s="15"/>
      <c r="AG315" s="15"/>
      <c r="AH315" s="15"/>
      <c r="AI315" s="15"/>
      <c r="AJ315" s="103"/>
      <c r="AK315" s="15"/>
      <c r="AL315" s="15"/>
      <c r="AM315" s="15"/>
      <c r="AN315" s="15"/>
      <c r="AO315" s="15"/>
      <c r="AP315" s="15"/>
      <c r="AQ315" s="15"/>
    </row>
    <row r="316">
      <c r="A316" s="15"/>
      <c r="B316" s="15"/>
      <c r="C316" s="15"/>
      <c r="D316" s="15"/>
      <c r="E316" s="15"/>
      <c r="F316" s="15"/>
      <c r="G316" s="15"/>
      <c r="H316" s="103"/>
      <c r="I316" s="15"/>
      <c r="J316" s="15"/>
      <c r="K316" s="15"/>
      <c r="L316" s="15"/>
      <c r="M316" s="15"/>
      <c r="N316" s="15"/>
      <c r="O316" s="103"/>
      <c r="P316" s="15"/>
      <c r="Q316" s="15"/>
      <c r="R316" s="15"/>
      <c r="S316" s="15"/>
      <c r="T316" s="15"/>
      <c r="U316" s="15"/>
      <c r="V316" s="103"/>
      <c r="W316" s="15"/>
      <c r="X316" s="15"/>
      <c r="Y316" s="15"/>
      <c r="Z316" s="15"/>
      <c r="AA316" s="15"/>
      <c r="AB316" s="15"/>
      <c r="AC316" s="103"/>
      <c r="AD316" s="15"/>
      <c r="AE316" s="15"/>
      <c r="AF316" s="15"/>
      <c r="AG316" s="15"/>
      <c r="AH316" s="15"/>
      <c r="AI316" s="15"/>
      <c r="AJ316" s="103"/>
      <c r="AK316" s="15"/>
      <c r="AL316" s="15"/>
      <c r="AM316" s="15"/>
      <c r="AN316" s="15"/>
      <c r="AO316" s="15"/>
      <c r="AP316" s="15"/>
      <c r="AQ316" s="15"/>
    </row>
    <row r="317">
      <c r="A317" s="15"/>
      <c r="B317" s="15"/>
      <c r="C317" s="15"/>
      <c r="D317" s="15"/>
      <c r="E317" s="15"/>
      <c r="F317" s="15"/>
      <c r="G317" s="15"/>
      <c r="H317" s="103"/>
      <c r="I317" s="15"/>
      <c r="J317" s="15"/>
      <c r="K317" s="15"/>
      <c r="L317" s="15"/>
      <c r="M317" s="15"/>
      <c r="N317" s="15"/>
      <c r="O317" s="103"/>
      <c r="P317" s="15"/>
      <c r="Q317" s="15"/>
      <c r="R317" s="15"/>
      <c r="S317" s="15"/>
      <c r="T317" s="15"/>
      <c r="U317" s="15"/>
      <c r="V317" s="103"/>
      <c r="W317" s="15"/>
      <c r="X317" s="15"/>
      <c r="Y317" s="15"/>
      <c r="Z317" s="15"/>
      <c r="AA317" s="15"/>
      <c r="AB317" s="15"/>
      <c r="AC317" s="103"/>
      <c r="AD317" s="15"/>
      <c r="AE317" s="15"/>
      <c r="AF317" s="15"/>
      <c r="AG317" s="15"/>
      <c r="AH317" s="15"/>
      <c r="AI317" s="15"/>
      <c r="AJ317" s="103"/>
      <c r="AK317" s="15"/>
      <c r="AL317" s="15"/>
      <c r="AM317" s="15"/>
      <c r="AN317" s="15"/>
      <c r="AO317" s="15"/>
      <c r="AP317" s="15"/>
      <c r="AQ317" s="15"/>
    </row>
    <row r="318">
      <c r="A318" s="15"/>
      <c r="B318" s="15"/>
      <c r="C318" s="15"/>
      <c r="D318" s="15"/>
      <c r="E318" s="15"/>
      <c r="F318" s="15"/>
      <c r="G318" s="15"/>
      <c r="H318" s="103"/>
      <c r="I318" s="15"/>
      <c r="J318" s="15"/>
      <c r="K318" s="15"/>
      <c r="L318" s="15"/>
      <c r="M318" s="15"/>
      <c r="N318" s="15"/>
      <c r="O318" s="103"/>
      <c r="P318" s="15"/>
      <c r="Q318" s="15"/>
      <c r="R318" s="15"/>
      <c r="S318" s="15"/>
      <c r="T318" s="15"/>
      <c r="U318" s="15"/>
      <c r="V318" s="103"/>
      <c r="W318" s="15"/>
      <c r="X318" s="15"/>
      <c r="Y318" s="15"/>
      <c r="Z318" s="15"/>
      <c r="AA318" s="15"/>
      <c r="AB318" s="15"/>
      <c r="AC318" s="103"/>
      <c r="AD318" s="15"/>
      <c r="AE318" s="15"/>
      <c r="AF318" s="15"/>
      <c r="AG318" s="15"/>
      <c r="AH318" s="15"/>
      <c r="AI318" s="15"/>
      <c r="AJ318" s="103"/>
      <c r="AK318" s="15"/>
      <c r="AL318" s="15"/>
      <c r="AM318" s="15"/>
      <c r="AN318" s="15"/>
      <c r="AO318" s="15"/>
      <c r="AP318" s="15"/>
      <c r="AQ318" s="15"/>
    </row>
    <row r="319">
      <c r="A319" s="15"/>
      <c r="B319" s="15"/>
      <c r="C319" s="15"/>
      <c r="D319" s="15"/>
      <c r="E319" s="15"/>
      <c r="F319" s="15"/>
      <c r="G319" s="15"/>
      <c r="H319" s="103"/>
      <c r="I319" s="15"/>
      <c r="J319" s="15"/>
      <c r="K319" s="15"/>
      <c r="L319" s="15"/>
      <c r="M319" s="15"/>
      <c r="N319" s="15"/>
      <c r="O319" s="103"/>
      <c r="P319" s="15"/>
      <c r="Q319" s="15"/>
      <c r="R319" s="15"/>
      <c r="S319" s="15"/>
      <c r="T319" s="15"/>
      <c r="U319" s="15"/>
      <c r="V319" s="103"/>
      <c r="W319" s="15"/>
      <c r="X319" s="15"/>
      <c r="Y319" s="15"/>
      <c r="Z319" s="15"/>
      <c r="AA319" s="15"/>
      <c r="AB319" s="15"/>
      <c r="AC319" s="103"/>
      <c r="AD319" s="15"/>
      <c r="AE319" s="15"/>
      <c r="AF319" s="15"/>
      <c r="AG319" s="15"/>
      <c r="AH319" s="15"/>
      <c r="AI319" s="15"/>
      <c r="AJ319" s="103"/>
      <c r="AK319" s="15"/>
      <c r="AL319" s="15"/>
      <c r="AM319" s="15"/>
      <c r="AN319" s="15"/>
      <c r="AO319" s="15"/>
      <c r="AP319" s="15"/>
      <c r="AQ319" s="15"/>
    </row>
    <row r="320">
      <c r="A320" s="15"/>
      <c r="B320" s="15"/>
      <c r="C320" s="15"/>
      <c r="D320" s="15"/>
      <c r="E320" s="15"/>
      <c r="F320" s="15"/>
      <c r="G320" s="15"/>
      <c r="H320" s="103"/>
      <c r="I320" s="15"/>
      <c r="J320" s="15"/>
      <c r="K320" s="15"/>
      <c r="L320" s="15"/>
      <c r="M320" s="15"/>
      <c r="N320" s="15"/>
      <c r="O320" s="103"/>
      <c r="P320" s="15"/>
      <c r="Q320" s="15"/>
      <c r="R320" s="15"/>
      <c r="S320" s="15"/>
      <c r="T320" s="15"/>
      <c r="U320" s="15"/>
      <c r="V320" s="103"/>
      <c r="W320" s="15"/>
      <c r="X320" s="15"/>
      <c r="Y320" s="15"/>
      <c r="Z320" s="15"/>
      <c r="AA320" s="15"/>
      <c r="AB320" s="15"/>
      <c r="AC320" s="103"/>
      <c r="AD320" s="15"/>
      <c r="AE320" s="15"/>
      <c r="AF320" s="15"/>
      <c r="AG320" s="15"/>
      <c r="AH320" s="15"/>
      <c r="AI320" s="15"/>
      <c r="AJ320" s="103"/>
      <c r="AK320" s="15"/>
      <c r="AL320" s="15"/>
      <c r="AM320" s="15"/>
      <c r="AN320" s="15"/>
      <c r="AO320" s="15"/>
      <c r="AP320" s="15"/>
      <c r="AQ320" s="15"/>
    </row>
    <row r="321">
      <c r="A321" s="15"/>
      <c r="B321" s="15"/>
      <c r="C321" s="15"/>
      <c r="D321" s="15"/>
      <c r="E321" s="15"/>
      <c r="F321" s="15"/>
      <c r="G321" s="15"/>
      <c r="H321" s="103"/>
      <c r="I321" s="15"/>
      <c r="J321" s="15"/>
      <c r="K321" s="15"/>
      <c r="L321" s="15"/>
      <c r="M321" s="15"/>
      <c r="N321" s="15"/>
      <c r="O321" s="103"/>
      <c r="P321" s="15"/>
      <c r="Q321" s="15"/>
      <c r="R321" s="15"/>
      <c r="S321" s="15"/>
      <c r="T321" s="15"/>
      <c r="U321" s="15"/>
      <c r="V321" s="103"/>
      <c r="W321" s="15"/>
      <c r="X321" s="15"/>
      <c r="Y321" s="15"/>
      <c r="Z321" s="15"/>
      <c r="AA321" s="15"/>
      <c r="AB321" s="15"/>
      <c r="AC321" s="103"/>
      <c r="AD321" s="15"/>
      <c r="AE321" s="15"/>
      <c r="AF321" s="15"/>
      <c r="AG321" s="15"/>
      <c r="AH321" s="15"/>
      <c r="AI321" s="15"/>
      <c r="AJ321" s="103"/>
      <c r="AK321" s="15"/>
      <c r="AL321" s="15"/>
      <c r="AM321" s="15"/>
      <c r="AN321" s="15"/>
      <c r="AO321" s="15"/>
      <c r="AP321" s="15"/>
      <c r="AQ321" s="15"/>
    </row>
    <row r="322">
      <c r="A322" s="15"/>
      <c r="B322" s="15"/>
      <c r="C322" s="15"/>
      <c r="D322" s="15"/>
      <c r="E322" s="15"/>
      <c r="F322" s="15"/>
      <c r="G322" s="15"/>
      <c r="H322" s="103"/>
      <c r="I322" s="15"/>
      <c r="J322" s="15"/>
      <c r="K322" s="15"/>
      <c r="L322" s="15"/>
      <c r="M322" s="15"/>
      <c r="N322" s="15"/>
      <c r="O322" s="103"/>
      <c r="P322" s="15"/>
      <c r="Q322" s="15"/>
      <c r="R322" s="15"/>
      <c r="S322" s="15"/>
      <c r="T322" s="15"/>
      <c r="U322" s="15"/>
      <c r="V322" s="103"/>
      <c r="W322" s="15"/>
      <c r="X322" s="15"/>
      <c r="Y322" s="15"/>
      <c r="Z322" s="15"/>
      <c r="AA322" s="15"/>
      <c r="AB322" s="15"/>
      <c r="AC322" s="103"/>
      <c r="AD322" s="15"/>
      <c r="AE322" s="15"/>
      <c r="AF322" s="15"/>
      <c r="AG322" s="15"/>
      <c r="AH322" s="15"/>
      <c r="AI322" s="15"/>
      <c r="AJ322" s="103"/>
      <c r="AK322" s="15"/>
      <c r="AL322" s="15"/>
      <c r="AM322" s="15"/>
      <c r="AN322" s="15"/>
      <c r="AO322" s="15"/>
      <c r="AP322" s="15"/>
      <c r="AQ322" s="15"/>
    </row>
    <row r="323">
      <c r="A323" s="15"/>
      <c r="B323" s="15"/>
      <c r="C323" s="15"/>
      <c r="D323" s="15"/>
      <c r="E323" s="15"/>
      <c r="F323" s="15"/>
      <c r="G323" s="15"/>
      <c r="H323" s="103"/>
      <c r="I323" s="15"/>
      <c r="J323" s="15"/>
      <c r="K323" s="15"/>
      <c r="L323" s="15"/>
      <c r="M323" s="15"/>
      <c r="N323" s="15"/>
      <c r="O323" s="103"/>
      <c r="P323" s="15"/>
      <c r="Q323" s="15"/>
      <c r="R323" s="15"/>
      <c r="S323" s="15"/>
      <c r="T323" s="15"/>
      <c r="U323" s="15"/>
      <c r="V323" s="103"/>
      <c r="W323" s="15"/>
      <c r="X323" s="15"/>
      <c r="Y323" s="15"/>
      <c r="Z323" s="15"/>
      <c r="AA323" s="15"/>
      <c r="AB323" s="15"/>
      <c r="AC323" s="103"/>
      <c r="AD323" s="15"/>
      <c r="AE323" s="15"/>
      <c r="AF323" s="15"/>
      <c r="AG323" s="15"/>
      <c r="AH323" s="15"/>
      <c r="AI323" s="15"/>
      <c r="AJ323" s="103"/>
      <c r="AK323" s="15"/>
      <c r="AL323" s="15"/>
      <c r="AM323" s="15"/>
      <c r="AN323" s="15"/>
      <c r="AO323" s="15"/>
      <c r="AP323" s="15"/>
      <c r="AQ323" s="15"/>
    </row>
    <row r="324">
      <c r="A324" s="15"/>
      <c r="B324" s="15"/>
      <c r="C324" s="15"/>
      <c r="D324" s="15"/>
      <c r="E324" s="15"/>
      <c r="F324" s="15"/>
      <c r="G324" s="15"/>
      <c r="H324" s="103"/>
      <c r="I324" s="15"/>
      <c r="J324" s="15"/>
      <c r="K324" s="15"/>
      <c r="L324" s="15"/>
      <c r="M324" s="15"/>
      <c r="N324" s="15"/>
      <c r="O324" s="103"/>
      <c r="P324" s="15"/>
      <c r="Q324" s="15"/>
      <c r="R324" s="15"/>
      <c r="S324" s="15"/>
      <c r="T324" s="15"/>
      <c r="U324" s="15"/>
      <c r="V324" s="103"/>
      <c r="W324" s="15"/>
      <c r="X324" s="15"/>
      <c r="Y324" s="15"/>
      <c r="Z324" s="15"/>
      <c r="AA324" s="15"/>
      <c r="AB324" s="15"/>
      <c r="AC324" s="103"/>
      <c r="AD324" s="15"/>
      <c r="AE324" s="15"/>
      <c r="AF324" s="15"/>
      <c r="AG324" s="15"/>
      <c r="AH324" s="15"/>
      <c r="AI324" s="15"/>
      <c r="AJ324" s="103"/>
      <c r="AK324" s="15"/>
      <c r="AL324" s="15"/>
      <c r="AM324" s="15"/>
      <c r="AN324" s="15"/>
      <c r="AO324" s="15"/>
      <c r="AP324" s="15"/>
      <c r="AQ324" s="15"/>
    </row>
    <row r="325">
      <c r="A325" s="15"/>
      <c r="B325" s="15"/>
      <c r="C325" s="15"/>
      <c r="D325" s="15"/>
      <c r="E325" s="15"/>
      <c r="F325" s="15"/>
      <c r="G325" s="15"/>
      <c r="H325" s="103"/>
      <c r="I325" s="15"/>
      <c r="J325" s="15"/>
      <c r="K325" s="15"/>
      <c r="L325" s="15"/>
      <c r="M325" s="15"/>
      <c r="N325" s="15"/>
      <c r="O325" s="103"/>
      <c r="P325" s="15"/>
      <c r="Q325" s="15"/>
      <c r="R325" s="15"/>
      <c r="S325" s="15"/>
      <c r="T325" s="15"/>
      <c r="U325" s="15"/>
      <c r="V325" s="103"/>
      <c r="W325" s="15"/>
      <c r="X325" s="15"/>
      <c r="Y325" s="15"/>
      <c r="Z325" s="15"/>
      <c r="AA325" s="15"/>
      <c r="AB325" s="15"/>
      <c r="AC325" s="103"/>
      <c r="AD325" s="15"/>
      <c r="AE325" s="15"/>
      <c r="AF325" s="15"/>
      <c r="AG325" s="15"/>
      <c r="AH325" s="15"/>
      <c r="AI325" s="15"/>
      <c r="AJ325" s="103"/>
      <c r="AK325" s="15"/>
      <c r="AL325" s="15"/>
      <c r="AM325" s="15"/>
      <c r="AN325" s="15"/>
      <c r="AO325" s="15"/>
      <c r="AP325" s="15"/>
      <c r="AQ325" s="15"/>
    </row>
    <row r="326">
      <c r="A326" s="15"/>
      <c r="B326" s="15"/>
      <c r="C326" s="15"/>
      <c r="D326" s="15"/>
      <c r="E326" s="15"/>
      <c r="F326" s="15"/>
      <c r="G326" s="15"/>
      <c r="H326" s="103"/>
      <c r="I326" s="15"/>
      <c r="J326" s="15"/>
      <c r="K326" s="15"/>
      <c r="L326" s="15"/>
      <c r="M326" s="15"/>
      <c r="N326" s="15"/>
      <c r="O326" s="103"/>
      <c r="P326" s="15"/>
      <c r="Q326" s="15"/>
      <c r="R326" s="15"/>
      <c r="S326" s="15"/>
      <c r="T326" s="15"/>
      <c r="U326" s="15"/>
      <c r="V326" s="103"/>
      <c r="W326" s="15"/>
      <c r="X326" s="15"/>
      <c r="Y326" s="15"/>
      <c r="Z326" s="15"/>
      <c r="AA326" s="15"/>
      <c r="AB326" s="15"/>
      <c r="AC326" s="103"/>
      <c r="AD326" s="15"/>
      <c r="AE326" s="15"/>
      <c r="AF326" s="15"/>
      <c r="AG326" s="15"/>
      <c r="AH326" s="15"/>
      <c r="AI326" s="15"/>
      <c r="AJ326" s="103"/>
      <c r="AK326" s="15"/>
      <c r="AL326" s="15"/>
      <c r="AM326" s="15"/>
      <c r="AN326" s="15"/>
      <c r="AO326" s="15"/>
      <c r="AP326" s="15"/>
      <c r="AQ326" s="15"/>
    </row>
    <row r="327">
      <c r="A327" s="15"/>
      <c r="B327" s="15"/>
      <c r="C327" s="15"/>
      <c r="D327" s="15"/>
      <c r="E327" s="15"/>
      <c r="F327" s="15"/>
      <c r="G327" s="15"/>
      <c r="H327" s="103"/>
      <c r="I327" s="15"/>
      <c r="J327" s="15"/>
      <c r="K327" s="15"/>
      <c r="L327" s="15"/>
      <c r="M327" s="15"/>
      <c r="N327" s="15"/>
      <c r="O327" s="103"/>
      <c r="P327" s="15"/>
      <c r="Q327" s="15"/>
      <c r="R327" s="15"/>
      <c r="S327" s="15"/>
      <c r="T327" s="15"/>
      <c r="U327" s="15"/>
      <c r="V327" s="103"/>
      <c r="W327" s="15"/>
      <c r="X327" s="15"/>
      <c r="Y327" s="15"/>
      <c r="Z327" s="15"/>
      <c r="AA327" s="15"/>
      <c r="AB327" s="15"/>
      <c r="AC327" s="103"/>
      <c r="AD327" s="15"/>
      <c r="AE327" s="15"/>
      <c r="AF327" s="15"/>
      <c r="AG327" s="15"/>
      <c r="AH327" s="15"/>
      <c r="AI327" s="15"/>
      <c r="AJ327" s="103"/>
      <c r="AK327" s="15"/>
      <c r="AL327" s="15"/>
      <c r="AM327" s="15"/>
      <c r="AN327" s="15"/>
      <c r="AO327" s="15"/>
      <c r="AP327" s="15"/>
      <c r="AQ327" s="15"/>
    </row>
    <row r="328">
      <c r="A328" s="15"/>
      <c r="B328" s="15"/>
      <c r="C328" s="15"/>
      <c r="D328" s="15"/>
      <c r="E328" s="15"/>
      <c r="F328" s="15"/>
      <c r="G328" s="15"/>
      <c r="H328" s="103"/>
      <c r="I328" s="15"/>
      <c r="J328" s="15"/>
      <c r="K328" s="15"/>
      <c r="L328" s="15"/>
      <c r="M328" s="15"/>
      <c r="N328" s="15"/>
      <c r="O328" s="103"/>
      <c r="P328" s="15"/>
      <c r="Q328" s="15"/>
      <c r="R328" s="15"/>
      <c r="S328" s="15"/>
      <c r="T328" s="15"/>
      <c r="U328" s="15"/>
      <c r="V328" s="103"/>
      <c r="W328" s="15"/>
      <c r="X328" s="15"/>
      <c r="Y328" s="15"/>
      <c r="Z328" s="15"/>
      <c r="AA328" s="15"/>
      <c r="AB328" s="15"/>
      <c r="AC328" s="103"/>
      <c r="AD328" s="15"/>
      <c r="AE328" s="15"/>
      <c r="AF328" s="15"/>
      <c r="AG328" s="15"/>
      <c r="AH328" s="15"/>
      <c r="AI328" s="15"/>
      <c r="AJ328" s="103"/>
      <c r="AK328" s="15"/>
      <c r="AL328" s="15"/>
      <c r="AM328" s="15"/>
      <c r="AN328" s="15"/>
      <c r="AO328" s="15"/>
      <c r="AP328" s="15"/>
      <c r="AQ328" s="15"/>
    </row>
    <row r="329">
      <c r="A329" s="15"/>
      <c r="B329" s="15"/>
      <c r="C329" s="15"/>
      <c r="D329" s="15"/>
      <c r="E329" s="15"/>
      <c r="F329" s="15"/>
      <c r="G329" s="15"/>
      <c r="H329" s="103"/>
      <c r="I329" s="15"/>
      <c r="J329" s="15"/>
      <c r="K329" s="15"/>
      <c r="L329" s="15"/>
      <c r="M329" s="15"/>
      <c r="N329" s="15"/>
      <c r="O329" s="103"/>
      <c r="P329" s="15"/>
      <c r="Q329" s="15"/>
      <c r="R329" s="15"/>
      <c r="S329" s="15"/>
      <c r="T329" s="15"/>
      <c r="U329" s="15"/>
      <c r="V329" s="103"/>
      <c r="W329" s="15"/>
      <c r="X329" s="15"/>
      <c r="Y329" s="15"/>
      <c r="Z329" s="15"/>
      <c r="AA329" s="15"/>
      <c r="AB329" s="15"/>
      <c r="AC329" s="103"/>
      <c r="AD329" s="15"/>
      <c r="AE329" s="15"/>
      <c r="AF329" s="15"/>
      <c r="AG329" s="15"/>
      <c r="AH329" s="15"/>
      <c r="AI329" s="15"/>
      <c r="AJ329" s="103"/>
      <c r="AK329" s="15"/>
      <c r="AL329" s="15"/>
      <c r="AM329" s="15"/>
      <c r="AN329" s="15"/>
      <c r="AO329" s="15"/>
      <c r="AP329" s="15"/>
      <c r="AQ329" s="15"/>
    </row>
    <row r="330">
      <c r="A330" s="15"/>
      <c r="B330" s="15"/>
      <c r="C330" s="15"/>
      <c r="D330" s="15"/>
      <c r="E330" s="15"/>
      <c r="F330" s="15"/>
      <c r="G330" s="15"/>
      <c r="H330" s="103"/>
      <c r="I330" s="15"/>
      <c r="J330" s="15"/>
      <c r="K330" s="15"/>
      <c r="L330" s="15"/>
      <c r="M330" s="15"/>
      <c r="N330" s="15"/>
      <c r="O330" s="103"/>
      <c r="P330" s="15"/>
      <c r="Q330" s="15"/>
      <c r="R330" s="15"/>
      <c r="S330" s="15"/>
      <c r="T330" s="15"/>
      <c r="U330" s="15"/>
      <c r="V330" s="103"/>
      <c r="W330" s="15"/>
      <c r="X330" s="15"/>
      <c r="Y330" s="15"/>
      <c r="Z330" s="15"/>
      <c r="AA330" s="15"/>
      <c r="AB330" s="15"/>
      <c r="AC330" s="103"/>
      <c r="AD330" s="15"/>
      <c r="AE330" s="15"/>
      <c r="AF330" s="15"/>
      <c r="AG330" s="15"/>
      <c r="AH330" s="15"/>
      <c r="AI330" s="15"/>
      <c r="AJ330" s="103"/>
      <c r="AK330" s="15"/>
      <c r="AL330" s="15"/>
      <c r="AM330" s="15"/>
      <c r="AN330" s="15"/>
      <c r="AO330" s="15"/>
      <c r="AP330" s="15"/>
      <c r="AQ330" s="15"/>
    </row>
    <row r="331">
      <c r="A331" s="15"/>
      <c r="B331" s="15"/>
      <c r="C331" s="15"/>
      <c r="D331" s="15"/>
      <c r="E331" s="15"/>
      <c r="F331" s="15"/>
      <c r="G331" s="15"/>
      <c r="H331" s="103"/>
      <c r="I331" s="15"/>
      <c r="J331" s="15"/>
      <c r="K331" s="15"/>
      <c r="L331" s="15"/>
      <c r="M331" s="15"/>
      <c r="N331" s="15"/>
      <c r="O331" s="103"/>
      <c r="P331" s="15"/>
      <c r="Q331" s="15"/>
      <c r="R331" s="15"/>
      <c r="S331" s="15"/>
      <c r="T331" s="15"/>
      <c r="U331" s="15"/>
      <c r="V331" s="103"/>
      <c r="W331" s="15"/>
      <c r="X331" s="15"/>
      <c r="Y331" s="15"/>
      <c r="Z331" s="15"/>
      <c r="AA331" s="15"/>
      <c r="AB331" s="15"/>
      <c r="AC331" s="103"/>
      <c r="AD331" s="15"/>
      <c r="AE331" s="15"/>
      <c r="AF331" s="15"/>
      <c r="AG331" s="15"/>
      <c r="AH331" s="15"/>
      <c r="AI331" s="15"/>
      <c r="AJ331" s="103"/>
      <c r="AK331" s="15"/>
      <c r="AL331" s="15"/>
      <c r="AM331" s="15"/>
      <c r="AN331" s="15"/>
      <c r="AO331" s="15"/>
      <c r="AP331" s="15"/>
      <c r="AQ331" s="15"/>
    </row>
    <row r="332">
      <c r="A332" s="15"/>
      <c r="B332" s="15"/>
      <c r="C332" s="15"/>
      <c r="D332" s="15"/>
      <c r="E332" s="15"/>
      <c r="F332" s="15"/>
      <c r="G332" s="15"/>
      <c r="H332" s="103"/>
      <c r="I332" s="15"/>
      <c r="J332" s="15"/>
      <c r="K332" s="15"/>
      <c r="L332" s="15"/>
      <c r="M332" s="15"/>
      <c r="N332" s="15"/>
      <c r="O332" s="103"/>
      <c r="P332" s="15"/>
      <c r="Q332" s="15"/>
      <c r="R332" s="15"/>
      <c r="S332" s="15"/>
      <c r="T332" s="15"/>
      <c r="U332" s="15"/>
      <c r="V332" s="103"/>
      <c r="W332" s="15"/>
      <c r="X332" s="15"/>
      <c r="Y332" s="15"/>
      <c r="Z332" s="15"/>
      <c r="AA332" s="15"/>
      <c r="AB332" s="15"/>
      <c r="AC332" s="103"/>
      <c r="AD332" s="15"/>
      <c r="AE332" s="15"/>
      <c r="AF332" s="15"/>
      <c r="AG332" s="15"/>
      <c r="AH332" s="15"/>
      <c r="AI332" s="15"/>
      <c r="AJ332" s="103"/>
      <c r="AK332" s="15"/>
      <c r="AL332" s="15"/>
      <c r="AM332" s="15"/>
      <c r="AN332" s="15"/>
      <c r="AO332" s="15"/>
      <c r="AP332" s="15"/>
      <c r="AQ332" s="15"/>
    </row>
    <row r="333">
      <c r="A333" s="15"/>
      <c r="B333" s="15"/>
      <c r="C333" s="15"/>
      <c r="D333" s="15"/>
      <c r="E333" s="15"/>
      <c r="F333" s="15"/>
      <c r="G333" s="15"/>
      <c r="H333" s="103"/>
      <c r="I333" s="15"/>
      <c r="J333" s="15"/>
      <c r="K333" s="15"/>
      <c r="L333" s="15"/>
      <c r="M333" s="15"/>
      <c r="N333" s="15"/>
      <c r="O333" s="103"/>
      <c r="P333" s="15"/>
      <c r="Q333" s="15"/>
      <c r="R333" s="15"/>
      <c r="S333" s="15"/>
      <c r="T333" s="15"/>
      <c r="U333" s="15"/>
      <c r="V333" s="103"/>
      <c r="W333" s="15"/>
      <c r="X333" s="15"/>
      <c r="Y333" s="15"/>
      <c r="Z333" s="15"/>
      <c r="AA333" s="15"/>
      <c r="AB333" s="15"/>
      <c r="AC333" s="103"/>
      <c r="AD333" s="15"/>
      <c r="AE333" s="15"/>
      <c r="AF333" s="15"/>
      <c r="AG333" s="15"/>
      <c r="AH333" s="15"/>
      <c r="AI333" s="15"/>
      <c r="AJ333" s="103"/>
      <c r="AK333" s="15"/>
      <c r="AL333" s="15"/>
      <c r="AM333" s="15"/>
      <c r="AN333" s="15"/>
      <c r="AO333" s="15"/>
      <c r="AP333" s="15"/>
      <c r="AQ333" s="15"/>
    </row>
    <row r="334">
      <c r="A334" s="15"/>
      <c r="B334" s="15"/>
      <c r="C334" s="15"/>
      <c r="D334" s="15"/>
      <c r="E334" s="15"/>
      <c r="F334" s="15"/>
      <c r="G334" s="15"/>
      <c r="H334" s="103"/>
      <c r="I334" s="15"/>
      <c r="J334" s="15"/>
      <c r="K334" s="15"/>
      <c r="L334" s="15"/>
      <c r="M334" s="15"/>
      <c r="N334" s="15"/>
      <c r="O334" s="103"/>
      <c r="P334" s="15"/>
      <c r="Q334" s="15"/>
      <c r="R334" s="15"/>
      <c r="S334" s="15"/>
      <c r="T334" s="15"/>
      <c r="U334" s="15"/>
      <c r="V334" s="103"/>
      <c r="W334" s="15"/>
      <c r="X334" s="15"/>
      <c r="Y334" s="15"/>
      <c r="Z334" s="15"/>
      <c r="AA334" s="15"/>
      <c r="AB334" s="15"/>
      <c r="AC334" s="103"/>
      <c r="AD334" s="15"/>
      <c r="AE334" s="15"/>
      <c r="AF334" s="15"/>
      <c r="AG334" s="15"/>
      <c r="AH334" s="15"/>
      <c r="AI334" s="15"/>
      <c r="AJ334" s="103"/>
      <c r="AK334" s="15"/>
      <c r="AL334" s="15"/>
      <c r="AM334" s="15"/>
      <c r="AN334" s="15"/>
      <c r="AO334" s="15"/>
      <c r="AP334" s="15"/>
      <c r="AQ334" s="15"/>
    </row>
    <row r="335">
      <c r="A335" s="15"/>
      <c r="B335" s="15"/>
      <c r="C335" s="15"/>
      <c r="D335" s="15"/>
      <c r="E335" s="15"/>
      <c r="F335" s="15"/>
      <c r="G335" s="15"/>
      <c r="H335" s="103"/>
      <c r="I335" s="15"/>
      <c r="J335" s="15"/>
      <c r="K335" s="15"/>
      <c r="L335" s="15"/>
      <c r="M335" s="15"/>
      <c r="N335" s="15"/>
      <c r="O335" s="103"/>
      <c r="P335" s="15"/>
      <c r="Q335" s="15"/>
      <c r="R335" s="15"/>
      <c r="S335" s="15"/>
      <c r="T335" s="15"/>
      <c r="U335" s="15"/>
      <c r="V335" s="103"/>
      <c r="W335" s="15"/>
      <c r="X335" s="15"/>
      <c r="Y335" s="15"/>
      <c r="Z335" s="15"/>
      <c r="AA335" s="15"/>
      <c r="AB335" s="15"/>
      <c r="AC335" s="103"/>
      <c r="AD335" s="15"/>
      <c r="AE335" s="15"/>
      <c r="AF335" s="15"/>
      <c r="AG335" s="15"/>
      <c r="AH335" s="15"/>
      <c r="AI335" s="15"/>
      <c r="AJ335" s="103"/>
      <c r="AK335" s="15"/>
      <c r="AL335" s="15"/>
      <c r="AM335" s="15"/>
      <c r="AN335" s="15"/>
      <c r="AO335" s="15"/>
      <c r="AP335" s="15"/>
      <c r="AQ335" s="15"/>
    </row>
    <row r="336">
      <c r="A336" s="15"/>
      <c r="B336" s="15"/>
      <c r="C336" s="15"/>
      <c r="D336" s="15"/>
      <c r="E336" s="15"/>
      <c r="F336" s="15"/>
      <c r="G336" s="15"/>
      <c r="H336" s="103"/>
      <c r="I336" s="15"/>
      <c r="J336" s="15"/>
      <c r="K336" s="15"/>
      <c r="L336" s="15"/>
      <c r="M336" s="15"/>
      <c r="N336" s="15"/>
      <c r="O336" s="103"/>
      <c r="P336" s="15"/>
      <c r="Q336" s="15"/>
      <c r="R336" s="15"/>
      <c r="S336" s="15"/>
      <c r="T336" s="15"/>
      <c r="U336" s="15"/>
      <c r="V336" s="103"/>
      <c r="W336" s="15"/>
      <c r="X336" s="15"/>
      <c r="Y336" s="15"/>
      <c r="Z336" s="15"/>
      <c r="AA336" s="15"/>
      <c r="AB336" s="15"/>
      <c r="AC336" s="103"/>
      <c r="AD336" s="15"/>
      <c r="AE336" s="15"/>
      <c r="AF336" s="15"/>
      <c r="AG336" s="15"/>
      <c r="AH336" s="15"/>
      <c r="AI336" s="15"/>
      <c r="AJ336" s="103"/>
      <c r="AK336" s="15"/>
      <c r="AL336" s="15"/>
      <c r="AM336" s="15"/>
      <c r="AN336" s="15"/>
      <c r="AO336" s="15"/>
      <c r="AP336" s="15"/>
      <c r="AQ336" s="15"/>
    </row>
    <row r="337">
      <c r="A337" s="15"/>
      <c r="B337" s="15"/>
      <c r="C337" s="15"/>
      <c r="D337" s="15"/>
      <c r="E337" s="15"/>
      <c r="F337" s="15"/>
      <c r="G337" s="15"/>
      <c r="H337" s="103"/>
      <c r="I337" s="15"/>
      <c r="J337" s="15"/>
      <c r="K337" s="15"/>
      <c r="L337" s="15"/>
      <c r="M337" s="15"/>
      <c r="N337" s="15"/>
      <c r="O337" s="103"/>
      <c r="P337" s="15"/>
      <c r="Q337" s="15"/>
      <c r="R337" s="15"/>
      <c r="S337" s="15"/>
      <c r="T337" s="15"/>
      <c r="U337" s="15"/>
      <c r="V337" s="103"/>
      <c r="W337" s="15"/>
      <c r="X337" s="15"/>
      <c r="Y337" s="15"/>
      <c r="Z337" s="15"/>
      <c r="AA337" s="15"/>
      <c r="AB337" s="15"/>
      <c r="AC337" s="103"/>
      <c r="AD337" s="15"/>
      <c r="AE337" s="15"/>
      <c r="AF337" s="15"/>
      <c r="AG337" s="15"/>
      <c r="AH337" s="15"/>
      <c r="AI337" s="15"/>
      <c r="AJ337" s="103"/>
      <c r="AK337" s="15"/>
      <c r="AL337" s="15"/>
      <c r="AM337" s="15"/>
      <c r="AN337" s="15"/>
      <c r="AO337" s="15"/>
      <c r="AP337" s="15"/>
      <c r="AQ337" s="15"/>
    </row>
    <row r="338">
      <c r="A338" s="15"/>
      <c r="B338" s="15"/>
      <c r="C338" s="15"/>
      <c r="D338" s="15"/>
      <c r="E338" s="15"/>
      <c r="F338" s="15"/>
      <c r="G338" s="15"/>
      <c r="H338" s="103"/>
      <c r="I338" s="15"/>
      <c r="J338" s="15"/>
      <c r="K338" s="15"/>
      <c r="L338" s="15"/>
      <c r="M338" s="15"/>
      <c r="N338" s="15"/>
      <c r="O338" s="103"/>
      <c r="P338" s="15"/>
      <c r="Q338" s="15"/>
      <c r="R338" s="15"/>
      <c r="S338" s="15"/>
      <c r="T338" s="15"/>
      <c r="U338" s="15"/>
      <c r="V338" s="103"/>
      <c r="W338" s="15"/>
      <c r="X338" s="15"/>
      <c r="Y338" s="15"/>
      <c r="Z338" s="15"/>
      <c r="AA338" s="15"/>
      <c r="AB338" s="15"/>
      <c r="AC338" s="103"/>
      <c r="AD338" s="15"/>
      <c r="AE338" s="15"/>
      <c r="AF338" s="15"/>
      <c r="AG338" s="15"/>
      <c r="AH338" s="15"/>
      <c r="AI338" s="15"/>
      <c r="AJ338" s="103"/>
      <c r="AK338" s="15"/>
      <c r="AL338" s="15"/>
      <c r="AM338" s="15"/>
      <c r="AN338" s="15"/>
      <c r="AO338" s="15"/>
      <c r="AP338" s="15"/>
      <c r="AQ338" s="15"/>
    </row>
    <row r="339">
      <c r="A339" s="15"/>
      <c r="B339" s="15"/>
      <c r="C339" s="15"/>
      <c r="D339" s="15"/>
      <c r="E339" s="15"/>
      <c r="F339" s="15"/>
      <c r="G339" s="15"/>
      <c r="H339" s="103"/>
      <c r="I339" s="15"/>
      <c r="J339" s="15"/>
      <c r="K339" s="15"/>
      <c r="L339" s="15"/>
      <c r="M339" s="15"/>
      <c r="N339" s="15"/>
      <c r="O339" s="103"/>
      <c r="P339" s="15"/>
      <c r="Q339" s="15"/>
      <c r="R339" s="15"/>
      <c r="S339" s="15"/>
      <c r="T339" s="15"/>
      <c r="U339" s="15"/>
      <c r="V339" s="103"/>
      <c r="W339" s="15"/>
      <c r="X339" s="15"/>
      <c r="Y339" s="15"/>
      <c r="Z339" s="15"/>
      <c r="AA339" s="15"/>
      <c r="AB339" s="15"/>
      <c r="AC339" s="103"/>
      <c r="AD339" s="15"/>
      <c r="AE339" s="15"/>
      <c r="AF339" s="15"/>
      <c r="AG339" s="15"/>
      <c r="AH339" s="15"/>
      <c r="AI339" s="15"/>
      <c r="AJ339" s="103"/>
      <c r="AK339" s="15"/>
      <c r="AL339" s="15"/>
      <c r="AM339" s="15"/>
      <c r="AN339" s="15"/>
      <c r="AO339" s="15"/>
      <c r="AP339" s="15"/>
      <c r="AQ339" s="15"/>
    </row>
    <row r="340">
      <c r="A340" s="15"/>
      <c r="B340" s="15"/>
      <c r="C340" s="15"/>
      <c r="D340" s="15"/>
      <c r="E340" s="15"/>
      <c r="F340" s="15"/>
      <c r="G340" s="15"/>
      <c r="H340" s="103"/>
      <c r="I340" s="15"/>
      <c r="J340" s="15"/>
      <c r="K340" s="15"/>
      <c r="L340" s="15"/>
      <c r="M340" s="15"/>
      <c r="N340" s="15"/>
      <c r="O340" s="103"/>
      <c r="P340" s="15"/>
      <c r="Q340" s="15"/>
      <c r="R340" s="15"/>
      <c r="S340" s="15"/>
      <c r="T340" s="15"/>
      <c r="U340" s="15"/>
      <c r="V340" s="103"/>
      <c r="W340" s="15"/>
      <c r="X340" s="15"/>
      <c r="Y340" s="15"/>
      <c r="Z340" s="15"/>
      <c r="AA340" s="15"/>
      <c r="AB340" s="15"/>
      <c r="AC340" s="103"/>
      <c r="AD340" s="15"/>
      <c r="AE340" s="15"/>
      <c r="AF340" s="15"/>
      <c r="AG340" s="15"/>
      <c r="AH340" s="15"/>
      <c r="AI340" s="15"/>
      <c r="AJ340" s="103"/>
      <c r="AK340" s="15"/>
      <c r="AL340" s="15"/>
      <c r="AM340" s="15"/>
      <c r="AN340" s="15"/>
      <c r="AO340" s="15"/>
      <c r="AP340" s="15"/>
      <c r="AQ340" s="15"/>
    </row>
    <row r="341">
      <c r="A341" s="15"/>
      <c r="B341" s="15"/>
      <c r="C341" s="15"/>
      <c r="D341" s="15"/>
      <c r="E341" s="15"/>
      <c r="F341" s="15"/>
      <c r="G341" s="15"/>
      <c r="H341" s="103"/>
      <c r="I341" s="15"/>
      <c r="J341" s="15"/>
      <c r="K341" s="15"/>
      <c r="L341" s="15"/>
      <c r="M341" s="15"/>
      <c r="N341" s="15"/>
      <c r="O341" s="103"/>
      <c r="P341" s="15"/>
      <c r="Q341" s="15"/>
      <c r="R341" s="15"/>
      <c r="S341" s="15"/>
      <c r="T341" s="15"/>
      <c r="U341" s="15"/>
      <c r="V341" s="103"/>
      <c r="W341" s="15"/>
      <c r="X341" s="15"/>
      <c r="Y341" s="15"/>
      <c r="Z341" s="15"/>
      <c r="AA341" s="15"/>
      <c r="AB341" s="15"/>
      <c r="AC341" s="103"/>
      <c r="AD341" s="15"/>
      <c r="AE341" s="15"/>
      <c r="AF341" s="15"/>
      <c r="AG341" s="15"/>
      <c r="AH341" s="15"/>
      <c r="AI341" s="15"/>
      <c r="AJ341" s="103"/>
      <c r="AK341" s="15"/>
      <c r="AL341" s="15"/>
      <c r="AM341" s="15"/>
      <c r="AN341" s="15"/>
      <c r="AO341" s="15"/>
      <c r="AP341" s="15"/>
      <c r="AQ341" s="15"/>
    </row>
    <row r="342">
      <c r="A342" s="15"/>
      <c r="B342" s="15"/>
      <c r="C342" s="15"/>
      <c r="D342" s="15"/>
      <c r="E342" s="15"/>
      <c r="F342" s="15"/>
      <c r="G342" s="15"/>
      <c r="H342" s="103"/>
      <c r="I342" s="15"/>
      <c r="J342" s="15"/>
      <c r="K342" s="15"/>
      <c r="L342" s="15"/>
      <c r="M342" s="15"/>
      <c r="N342" s="15"/>
      <c r="O342" s="103"/>
      <c r="P342" s="15"/>
      <c r="Q342" s="15"/>
      <c r="R342" s="15"/>
      <c r="S342" s="15"/>
      <c r="T342" s="15"/>
      <c r="U342" s="15"/>
      <c r="V342" s="103"/>
      <c r="W342" s="15"/>
      <c r="X342" s="15"/>
      <c r="Y342" s="15"/>
      <c r="Z342" s="15"/>
      <c r="AA342" s="15"/>
      <c r="AB342" s="15"/>
      <c r="AC342" s="103"/>
      <c r="AD342" s="15"/>
      <c r="AE342" s="15"/>
      <c r="AF342" s="15"/>
      <c r="AG342" s="15"/>
      <c r="AH342" s="15"/>
      <c r="AI342" s="15"/>
      <c r="AJ342" s="103"/>
      <c r="AK342" s="15"/>
      <c r="AL342" s="15"/>
      <c r="AM342" s="15"/>
      <c r="AN342" s="15"/>
      <c r="AO342" s="15"/>
      <c r="AP342" s="15"/>
      <c r="AQ342" s="15"/>
    </row>
    <row r="343">
      <c r="A343" s="15"/>
      <c r="B343" s="15"/>
      <c r="C343" s="15"/>
      <c r="D343" s="15"/>
      <c r="E343" s="15"/>
      <c r="F343" s="15"/>
      <c r="G343" s="15"/>
      <c r="H343" s="103"/>
      <c r="I343" s="15"/>
      <c r="J343" s="15"/>
      <c r="K343" s="15"/>
      <c r="L343" s="15"/>
      <c r="M343" s="15"/>
      <c r="N343" s="15"/>
      <c r="O343" s="103"/>
      <c r="P343" s="15"/>
      <c r="Q343" s="15"/>
      <c r="R343" s="15"/>
      <c r="S343" s="15"/>
      <c r="T343" s="15"/>
      <c r="U343" s="15"/>
      <c r="V343" s="103"/>
      <c r="W343" s="15"/>
      <c r="X343" s="15"/>
      <c r="Y343" s="15"/>
      <c r="Z343" s="15"/>
      <c r="AA343" s="15"/>
      <c r="AB343" s="15"/>
      <c r="AC343" s="103"/>
      <c r="AD343" s="15"/>
      <c r="AE343" s="15"/>
      <c r="AF343" s="15"/>
      <c r="AG343" s="15"/>
      <c r="AH343" s="15"/>
      <c r="AI343" s="15"/>
      <c r="AJ343" s="103"/>
      <c r="AK343" s="15"/>
      <c r="AL343" s="15"/>
      <c r="AM343" s="15"/>
      <c r="AN343" s="15"/>
      <c r="AO343" s="15"/>
      <c r="AP343" s="15"/>
      <c r="AQ343" s="15"/>
    </row>
    <row r="344">
      <c r="A344" s="15"/>
      <c r="B344" s="15"/>
      <c r="C344" s="15"/>
      <c r="D344" s="15"/>
      <c r="E344" s="15"/>
      <c r="F344" s="15"/>
      <c r="G344" s="15"/>
      <c r="H344" s="103"/>
      <c r="I344" s="15"/>
      <c r="J344" s="15"/>
      <c r="K344" s="15"/>
      <c r="L344" s="15"/>
      <c r="M344" s="15"/>
      <c r="N344" s="15"/>
      <c r="O344" s="103"/>
      <c r="P344" s="15"/>
      <c r="Q344" s="15"/>
      <c r="R344" s="15"/>
      <c r="S344" s="15"/>
      <c r="T344" s="15"/>
      <c r="U344" s="15"/>
      <c r="V344" s="103"/>
      <c r="W344" s="15"/>
      <c r="X344" s="15"/>
      <c r="Y344" s="15"/>
      <c r="Z344" s="15"/>
      <c r="AA344" s="15"/>
      <c r="AB344" s="15"/>
      <c r="AC344" s="103"/>
      <c r="AD344" s="15"/>
      <c r="AE344" s="15"/>
      <c r="AF344" s="15"/>
      <c r="AG344" s="15"/>
      <c r="AH344" s="15"/>
      <c r="AI344" s="15"/>
      <c r="AJ344" s="103"/>
      <c r="AK344" s="15"/>
      <c r="AL344" s="15"/>
      <c r="AM344" s="15"/>
      <c r="AN344" s="15"/>
      <c r="AO344" s="15"/>
      <c r="AP344" s="15"/>
      <c r="AQ344" s="15"/>
    </row>
    <row r="345">
      <c r="A345" s="15"/>
      <c r="B345" s="15"/>
      <c r="C345" s="15"/>
      <c r="D345" s="15"/>
      <c r="E345" s="15"/>
      <c r="F345" s="15"/>
      <c r="G345" s="15"/>
      <c r="H345" s="103"/>
      <c r="I345" s="15"/>
      <c r="J345" s="15"/>
      <c r="K345" s="15"/>
      <c r="L345" s="15"/>
      <c r="M345" s="15"/>
      <c r="N345" s="15"/>
      <c r="O345" s="103"/>
      <c r="P345" s="15"/>
      <c r="Q345" s="15"/>
      <c r="R345" s="15"/>
      <c r="S345" s="15"/>
      <c r="T345" s="15"/>
      <c r="U345" s="15"/>
      <c r="V345" s="103"/>
      <c r="W345" s="15"/>
      <c r="X345" s="15"/>
      <c r="Y345" s="15"/>
      <c r="Z345" s="15"/>
      <c r="AA345" s="15"/>
      <c r="AB345" s="15"/>
      <c r="AC345" s="103"/>
      <c r="AD345" s="15"/>
      <c r="AE345" s="15"/>
      <c r="AF345" s="15"/>
      <c r="AG345" s="15"/>
      <c r="AH345" s="15"/>
      <c r="AI345" s="15"/>
      <c r="AJ345" s="103"/>
      <c r="AK345" s="15"/>
      <c r="AL345" s="15"/>
      <c r="AM345" s="15"/>
      <c r="AN345" s="15"/>
      <c r="AO345" s="15"/>
      <c r="AP345" s="15"/>
      <c r="AQ345" s="15"/>
    </row>
    <row r="346">
      <c r="A346" s="15"/>
      <c r="B346" s="15"/>
      <c r="C346" s="15"/>
      <c r="D346" s="15"/>
      <c r="E346" s="15"/>
      <c r="F346" s="15"/>
      <c r="G346" s="15"/>
      <c r="H346" s="103"/>
      <c r="I346" s="15"/>
      <c r="J346" s="15"/>
      <c r="K346" s="15"/>
      <c r="L346" s="15"/>
      <c r="M346" s="15"/>
      <c r="N346" s="15"/>
      <c r="O346" s="103"/>
      <c r="P346" s="15"/>
      <c r="Q346" s="15"/>
      <c r="R346" s="15"/>
      <c r="S346" s="15"/>
      <c r="T346" s="15"/>
      <c r="U346" s="15"/>
      <c r="V346" s="103"/>
      <c r="W346" s="15"/>
      <c r="X346" s="15"/>
      <c r="Y346" s="15"/>
      <c r="Z346" s="15"/>
      <c r="AA346" s="15"/>
      <c r="AB346" s="15"/>
      <c r="AC346" s="103"/>
      <c r="AD346" s="15"/>
      <c r="AE346" s="15"/>
      <c r="AF346" s="15"/>
      <c r="AG346" s="15"/>
      <c r="AH346" s="15"/>
      <c r="AI346" s="15"/>
      <c r="AJ346" s="103"/>
      <c r="AK346" s="15"/>
      <c r="AL346" s="15"/>
      <c r="AM346" s="15"/>
      <c r="AN346" s="15"/>
      <c r="AO346" s="15"/>
      <c r="AP346" s="15"/>
      <c r="AQ346" s="15"/>
    </row>
    <row r="347">
      <c r="A347" s="15"/>
      <c r="B347" s="15"/>
      <c r="C347" s="15"/>
      <c r="D347" s="15"/>
      <c r="E347" s="15"/>
      <c r="F347" s="15"/>
      <c r="G347" s="15"/>
      <c r="H347" s="103"/>
      <c r="I347" s="15"/>
      <c r="J347" s="15"/>
      <c r="K347" s="15"/>
      <c r="L347" s="15"/>
      <c r="M347" s="15"/>
      <c r="N347" s="15"/>
      <c r="O347" s="103"/>
      <c r="P347" s="15"/>
      <c r="Q347" s="15"/>
      <c r="R347" s="15"/>
      <c r="S347" s="15"/>
      <c r="T347" s="15"/>
      <c r="U347" s="15"/>
      <c r="V347" s="103"/>
      <c r="W347" s="15"/>
      <c r="X347" s="15"/>
      <c r="Y347" s="15"/>
      <c r="Z347" s="15"/>
      <c r="AA347" s="15"/>
      <c r="AB347" s="15"/>
      <c r="AC347" s="103"/>
      <c r="AD347" s="15"/>
      <c r="AE347" s="15"/>
      <c r="AF347" s="15"/>
      <c r="AG347" s="15"/>
      <c r="AH347" s="15"/>
      <c r="AI347" s="15"/>
      <c r="AJ347" s="103"/>
      <c r="AK347" s="15"/>
      <c r="AL347" s="15"/>
      <c r="AM347" s="15"/>
      <c r="AN347" s="15"/>
      <c r="AO347" s="15"/>
      <c r="AP347" s="15"/>
      <c r="AQ347" s="15"/>
    </row>
    <row r="348">
      <c r="A348" s="15"/>
      <c r="B348" s="15"/>
      <c r="C348" s="15"/>
      <c r="D348" s="15"/>
      <c r="E348" s="15"/>
      <c r="F348" s="15"/>
      <c r="G348" s="15"/>
      <c r="H348" s="103"/>
      <c r="I348" s="15"/>
      <c r="J348" s="15"/>
      <c r="K348" s="15"/>
      <c r="L348" s="15"/>
      <c r="M348" s="15"/>
      <c r="N348" s="15"/>
      <c r="O348" s="103"/>
      <c r="P348" s="15"/>
      <c r="Q348" s="15"/>
      <c r="R348" s="15"/>
      <c r="S348" s="15"/>
      <c r="T348" s="15"/>
      <c r="U348" s="15"/>
      <c r="V348" s="103"/>
      <c r="W348" s="15"/>
      <c r="X348" s="15"/>
      <c r="Y348" s="15"/>
      <c r="Z348" s="15"/>
      <c r="AA348" s="15"/>
      <c r="AB348" s="15"/>
      <c r="AC348" s="103"/>
      <c r="AD348" s="15"/>
      <c r="AE348" s="15"/>
      <c r="AF348" s="15"/>
      <c r="AG348" s="15"/>
      <c r="AH348" s="15"/>
      <c r="AI348" s="15"/>
      <c r="AJ348" s="103"/>
      <c r="AK348" s="15"/>
      <c r="AL348" s="15"/>
      <c r="AM348" s="15"/>
      <c r="AN348" s="15"/>
      <c r="AO348" s="15"/>
      <c r="AP348" s="15"/>
      <c r="AQ348" s="15"/>
    </row>
    <row r="349">
      <c r="A349" s="15"/>
      <c r="B349" s="15"/>
      <c r="C349" s="15"/>
      <c r="D349" s="15"/>
      <c r="E349" s="15"/>
      <c r="F349" s="15"/>
      <c r="G349" s="15"/>
      <c r="H349" s="103"/>
      <c r="I349" s="15"/>
      <c r="J349" s="15"/>
      <c r="K349" s="15"/>
      <c r="L349" s="15"/>
      <c r="M349" s="15"/>
      <c r="N349" s="15"/>
      <c r="O349" s="103"/>
      <c r="P349" s="15"/>
      <c r="Q349" s="15"/>
      <c r="R349" s="15"/>
      <c r="S349" s="15"/>
      <c r="T349" s="15"/>
      <c r="U349" s="15"/>
      <c r="V349" s="103"/>
      <c r="W349" s="15"/>
      <c r="X349" s="15"/>
      <c r="Y349" s="15"/>
      <c r="Z349" s="15"/>
      <c r="AA349" s="15"/>
      <c r="AB349" s="15"/>
      <c r="AC349" s="103"/>
      <c r="AD349" s="15"/>
      <c r="AE349" s="15"/>
      <c r="AF349" s="15"/>
      <c r="AG349" s="15"/>
      <c r="AH349" s="15"/>
      <c r="AI349" s="15"/>
      <c r="AJ349" s="103"/>
      <c r="AK349" s="15"/>
      <c r="AL349" s="15"/>
      <c r="AM349" s="15"/>
      <c r="AN349" s="15"/>
      <c r="AO349" s="15"/>
      <c r="AP349" s="15"/>
      <c r="AQ349" s="15"/>
    </row>
    <row r="350">
      <c r="A350" s="15"/>
      <c r="B350" s="15"/>
      <c r="C350" s="15"/>
      <c r="D350" s="15"/>
      <c r="E350" s="15"/>
      <c r="F350" s="15"/>
      <c r="G350" s="15"/>
      <c r="H350" s="103"/>
      <c r="I350" s="15"/>
      <c r="J350" s="15"/>
      <c r="K350" s="15"/>
      <c r="L350" s="15"/>
      <c r="M350" s="15"/>
      <c r="N350" s="15"/>
      <c r="O350" s="103"/>
      <c r="P350" s="15"/>
      <c r="Q350" s="15"/>
      <c r="R350" s="15"/>
      <c r="S350" s="15"/>
      <c r="T350" s="15"/>
      <c r="U350" s="15"/>
      <c r="V350" s="103"/>
      <c r="W350" s="15"/>
      <c r="X350" s="15"/>
      <c r="Y350" s="15"/>
      <c r="Z350" s="15"/>
      <c r="AA350" s="15"/>
      <c r="AB350" s="15"/>
      <c r="AC350" s="103"/>
      <c r="AD350" s="15"/>
      <c r="AE350" s="15"/>
      <c r="AF350" s="15"/>
      <c r="AG350" s="15"/>
      <c r="AH350" s="15"/>
      <c r="AI350" s="15"/>
      <c r="AJ350" s="103"/>
      <c r="AK350" s="15"/>
      <c r="AL350" s="15"/>
      <c r="AM350" s="15"/>
      <c r="AN350" s="15"/>
      <c r="AO350" s="15"/>
      <c r="AP350" s="15"/>
      <c r="AQ350" s="15"/>
    </row>
    <row r="351">
      <c r="A351" s="15"/>
      <c r="B351" s="15"/>
      <c r="C351" s="15"/>
      <c r="D351" s="15"/>
      <c r="E351" s="15"/>
      <c r="F351" s="15"/>
      <c r="G351" s="15"/>
      <c r="H351" s="103"/>
      <c r="I351" s="15"/>
      <c r="J351" s="15"/>
      <c r="K351" s="15"/>
      <c r="L351" s="15"/>
      <c r="M351" s="15"/>
      <c r="N351" s="15"/>
      <c r="O351" s="103"/>
      <c r="P351" s="15"/>
      <c r="Q351" s="15"/>
      <c r="R351" s="15"/>
      <c r="S351" s="15"/>
      <c r="T351" s="15"/>
      <c r="U351" s="15"/>
      <c r="V351" s="103"/>
      <c r="W351" s="15"/>
      <c r="X351" s="15"/>
      <c r="Y351" s="15"/>
      <c r="Z351" s="15"/>
      <c r="AA351" s="15"/>
      <c r="AB351" s="15"/>
      <c r="AC351" s="103"/>
      <c r="AD351" s="15"/>
      <c r="AE351" s="15"/>
      <c r="AF351" s="15"/>
      <c r="AG351" s="15"/>
      <c r="AH351" s="15"/>
      <c r="AI351" s="15"/>
      <c r="AJ351" s="103"/>
      <c r="AK351" s="15"/>
      <c r="AL351" s="15"/>
      <c r="AM351" s="15"/>
      <c r="AN351" s="15"/>
      <c r="AO351" s="15"/>
      <c r="AP351" s="15"/>
      <c r="AQ351" s="15"/>
    </row>
    <row r="352">
      <c r="A352" s="15"/>
      <c r="B352" s="15"/>
      <c r="C352" s="15"/>
      <c r="D352" s="15"/>
      <c r="E352" s="15"/>
      <c r="F352" s="15"/>
      <c r="G352" s="15"/>
      <c r="H352" s="103"/>
      <c r="I352" s="15"/>
      <c r="J352" s="15"/>
      <c r="K352" s="15"/>
      <c r="L352" s="15"/>
      <c r="M352" s="15"/>
      <c r="N352" s="15"/>
      <c r="O352" s="103"/>
      <c r="P352" s="15"/>
      <c r="Q352" s="15"/>
      <c r="R352" s="15"/>
      <c r="S352" s="15"/>
      <c r="T352" s="15"/>
      <c r="U352" s="15"/>
      <c r="V352" s="103"/>
      <c r="W352" s="15"/>
      <c r="X352" s="15"/>
      <c r="Y352" s="15"/>
      <c r="Z352" s="15"/>
      <c r="AA352" s="15"/>
      <c r="AB352" s="15"/>
      <c r="AC352" s="103"/>
      <c r="AD352" s="15"/>
      <c r="AE352" s="15"/>
      <c r="AF352" s="15"/>
      <c r="AG352" s="15"/>
      <c r="AH352" s="15"/>
      <c r="AI352" s="15"/>
      <c r="AJ352" s="103"/>
      <c r="AK352" s="15"/>
      <c r="AL352" s="15"/>
      <c r="AM352" s="15"/>
      <c r="AN352" s="15"/>
      <c r="AO352" s="15"/>
      <c r="AP352" s="15"/>
      <c r="AQ352" s="15"/>
    </row>
    <row r="353">
      <c r="A353" s="15"/>
      <c r="B353" s="15"/>
      <c r="C353" s="15"/>
      <c r="D353" s="15"/>
      <c r="E353" s="15"/>
      <c r="F353" s="15"/>
      <c r="G353" s="15"/>
      <c r="H353" s="103"/>
      <c r="I353" s="15"/>
      <c r="J353" s="15"/>
      <c r="K353" s="15"/>
      <c r="L353" s="15"/>
      <c r="M353" s="15"/>
      <c r="N353" s="15"/>
      <c r="O353" s="103"/>
      <c r="P353" s="15"/>
      <c r="Q353" s="15"/>
      <c r="R353" s="15"/>
      <c r="S353" s="15"/>
      <c r="T353" s="15"/>
      <c r="U353" s="15"/>
      <c r="V353" s="103"/>
      <c r="W353" s="15"/>
      <c r="X353" s="15"/>
      <c r="Y353" s="15"/>
      <c r="Z353" s="15"/>
      <c r="AA353" s="15"/>
      <c r="AB353" s="15"/>
      <c r="AC353" s="103"/>
      <c r="AD353" s="15"/>
      <c r="AE353" s="15"/>
      <c r="AF353" s="15"/>
      <c r="AG353" s="15"/>
      <c r="AH353" s="15"/>
      <c r="AI353" s="15"/>
      <c r="AJ353" s="103"/>
      <c r="AK353" s="15"/>
      <c r="AL353" s="15"/>
      <c r="AM353" s="15"/>
      <c r="AN353" s="15"/>
      <c r="AO353" s="15"/>
      <c r="AP353" s="15"/>
      <c r="AQ353" s="15"/>
    </row>
    <row r="354">
      <c r="A354" s="15"/>
      <c r="B354" s="15"/>
      <c r="C354" s="15"/>
      <c r="D354" s="15"/>
      <c r="E354" s="15"/>
      <c r="F354" s="15"/>
      <c r="G354" s="15"/>
      <c r="H354" s="103"/>
      <c r="I354" s="15"/>
      <c r="J354" s="15"/>
      <c r="K354" s="15"/>
      <c r="L354" s="15"/>
      <c r="M354" s="15"/>
      <c r="N354" s="15"/>
      <c r="O354" s="103"/>
      <c r="P354" s="15"/>
      <c r="Q354" s="15"/>
      <c r="R354" s="15"/>
      <c r="S354" s="15"/>
      <c r="T354" s="15"/>
      <c r="U354" s="15"/>
      <c r="V354" s="103"/>
      <c r="W354" s="15"/>
      <c r="X354" s="15"/>
      <c r="Y354" s="15"/>
      <c r="Z354" s="15"/>
      <c r="AA354" s="15"/>
      <c r="AB354" s="15"/>
      <c r="AC354" s="103"/>
      <c r="AD354" s="15"/>
      <c r="AE354" s="15"/>
      <c r="AF354" s="15"/>
      <c r="AG354" s="15"/>
      <c r="AH354" s="15"/>
      <c r="AI354" s="15"/>
      <c r="AJ354" s="103"/>
      <c r="AK354" s="15"/>
      <c r="AL354" s="15"/>
      <c r="AM354" s="15"/>
      <c r="AN354" s="15"/>
      <c r="AO354" s="15"/>
      <c r="AP354" s="15"/>
      <c r="AQ354" s="15"/>
    </row>
    <row r="355">
      <c r="A355" s="15"/>
      <c r="B355" s="15"/>
      <c r="C355" s="15"/>
      <c r="D355" s="15"/>
      <c r="E355" s="15"/>
      <c r="F355" s="15"/>
      <c r="G355" s="15"/>
      <c r="H355" s="103"/>
      <c r="I355" s="15"/>
      <c r="J355" s="15"/>
      <c r="K355" s="15"/>
      <c r="L355" s="15"/>
      <c r="M355" s="15"/>
      <c r="N355" s="15"/>
      <c r="O355" s="103"/>
      <c r="P355" s="15"/>
      <c r="Q355" s="15"/>
      <c r="R355" s="15"/>
      <c r="S355" s="15"/>
      <c r="T355" s="15"/>
      <c r="U355" s="15"/>
      <c r="V355" s="103"/>
      <c r="W355" s="15"/>
      <c r="X355" s="15"/>
      <c r="Y355" s="15"/>
      <c r="Z355" s="15"/>
      <c r="AA355" s="15"/>
      <c r="AB355" s="15"/>
      <c r="AC355" s="103"/>
      <c r="AD355" s="15"/>
      <c r="AE355" s="15"/>
      <c r="AF355" s="15"/>
      <c r="AG355" s="15"/>
      <c r="AH355" s="15"/>
      <c r="AI355" s="15"/>
      <c r="AJ355" s="103"/>
      <c r="AK355" s="15"/>
      <c r="AL355" s="15"/>
      <c r="AM355" s="15"/>
      <c r="AN355" s="15"/>
      <c r="AO355" s="15"/>
      <c r="AP355" s="15"/>
      <c r="AQ355" s="15"/>
    </row>
    <row r="356">
      <c r="A356" s="15"/>
      <c r="B356" s="15"/>
      <c r="C356" s="15"/>
      <c r="D356" s="15"/>
      <c r="E356" s="15"/>
      <c r="F356" s="15"/>
      <c r="G356" s="15"/>
      <c r="H356" s="103"/>
      <c r="I356" s="15"/>
      <c r="J356" s="15"/>
      <c r="K356" s="15"/>
      <c r="L356" s="15"/>
      <c r="M356" s="15"/>
      <c r="N356" s="15"/>
      <c r="O356" s="103"/>
      <c r="P356" s="15"/>
      <c r="Q356" s="15"/>
      <c r="R356" s="15"/>
      <c r="S356" s="15"/>
      <c r="T356" s="15"/>
      <c r="U356" s="15"/>
      <c r="V356" s="103"/>
      <c r="W356" s="15"/>
      <c r="X356" s="15"/>
      <c r="Y356" s="15"/>
      <c r="Z356" s="15"/>
      <c r="AA356" s="15"/>
      <c r="AB356" s="15"/>
      <c r="AC356" s="103"/>
      <c r="AD356" s="15"/>
      <c r="AE356" s="15"/>
      <c r="AF356" s="15"/>
      <c r="AG356" s="15"/>
      <c r="AH356" s="15"/>
      <c r="AI356" s="15"/>
      <c r="AJ356" s="103"/>
      <c r="AK356" s="15"/>
      <c r="AL356" s="15"/>
      <c r="AM356" s="15"/>
      <c r="AN356" s="15"/>
      <c r="AO356" s="15"/>
      <c r="AP356" s="15"/>
      <c r="AQ356" s="15"/>
    </row>
    <row r="357">
      <c r="A357" s="15"/>
      <c r="B357" s="15"/>
      <c r="C357" s="15"/>
      <c r="D357" s="15"/>
      <c r="E357" s="15"/>
      <c r="F357" s="15"/>
      <c r="G357" s="15"/>
      <c r="H357" s="103"/>
      <c r="I357" s="15"/>
      <c r="J357" s="15"/>
      <c r="K357" s="15"/>
      <c r="L357" s="15"/>
      <c r="M357" s="15"/>
      <c r="N357" s="15"/>
      <c r="O357" s="103"/>
      <c r="P357" s="15"/>
      <c r="Q357" s="15"/>
      <c r="R357" s="15"/>
      <c r="S357" s="15"/>
      <c r="T357" s="15"/>
      <c r="U357" s="15"/>
      <c r="V357" s="103"/>
      <c r="W357" s="15"/>
      <c r="X357" s="15"/>
      <c r="Y357" s="15"/>
      <c r="Z357" s="15"/>
      <c r="AA357" s="15"/>
      <c r="AB357" s="15"/>
      <c r="AC357" s="103"/>
      <c r="AD357" s="15"/>
      <c r="AE357" s="15"/>
      <c r="AF357" s="15"/>
      <c r="AG357" s="15"/>
      <c r="AH357" s="15"/>
      <c r="AI357" s="15"/>
      <c r="AJ357" s="103"/>
      <c r="AK357" s="15"/>
      <c r="AL357" s="15"/>
      <c r="AM357" s="15"/>
      <c r="AN357" s="15"/>
      <c r="AO357" s="15"/>
      <c r="AP357" s="15"/>
      <c r="AQ357" s="15"/>
    </row>
    <row r="358">
      <c r="A358" s="15"/>
      <c r="B358" s="15"/>
      <c r="C358" s="15"/>
      <c r="D358" s="15"/>
      <c r="E358" s="15"/>
      <c r="F358" s="15"/>
      <c r="G358" s="15"/>
      <c r="H358" s="103"/>
      <c r="I358" s="15"/>
      <c r="J358" s="15"/>
      <c r="K358" s="15"/>
      <c r="L358" s="15"/>
      <c r="M358" s="15"/>
      <c r="N358" s="15"/>
      <c r="O358" s="103"/>
      <c r="P358" s="15"/>
      <c r="Q358" s="15"/>
      <c r="R358" s="15"/>
      <c r="S358" s="15"/>
      <c r="T358" s="15"/>
      <c r="U358" s="15"/>
      <c r="V358" s="103"/>
      <c r="W358" s="15"/>
      <c r="X358" s="15"/>
      <c r="Y358" s="15"/>
      <c r="Z358" s="15"/>
      <c r="AA358" s="15"/>
      <c r="AB358" s="15"/>
      <c r="AC358" s="103"/>
      <c r="AD358" s="15"/>
      <c r="AE358" s="15"/>
      <c r="AF358" s="15"/>
      <c r="AG358" s="15"/>
      <c r="AH358" s="15"/>
      <c r="AI358" s="15"/>
      <c r="AJ358" s="103"/>
      <c r="AK358" s="15"/>
      <c r="AL358" s="15"/>
      <c r="AM358" s="15"/>
      <c r="AN358" s="15"/>
      <c r="AO358" s="15"/>
      <c r="AP358" s="15"/>
      <c r="AQ358" s="15"/>
    </row>
    <row r="359">
      <c r="A359" s="15"/>
      <c r="B359" s="15"/>
      <c r="C359" s="15"/>
      <c r="D359" s="15"/>
      <c r="E359" s="15"/>
      <c r="F359" s="15"/>
      <c r="G359" s="15"/>
      <c r="H359" s="103"/>
      <c r="I359" s="15"/>
      <c r="J359" s="15"/>
      <c r="K359" s="15"/>
      <c r="L359" s="15"/>
      <c r="M359" s="15"/>
      <c r="N359" s="15"/>
      <c r="O359" s="103"/>
      <c r="P359" s="15"/>
      <c r="Q359" s="15"/>
      <c r="R359" s="15"/>
      <c r="S359" s="15"/>
      <c r="T359" s="15"/>
      <c r="U359" s="15"/>
      <c r="V359" s="103"/>
      <c r="W359" s="15"/>
      <c r="X359" s="15"/>
      <c r="Y359" s="15"/>
      <c r="Z359" s="15"/>
      <c r="AA359" s="15"/>
      <c r="AB359" s="15"/>
      <c r="AC359" s="103"/>
      <c r="AD359" s="15"/>
      <c r="AE359" s="15"/>
      <c r="AF359" s="15"/>
      <c r="AG359" s="15"/>
      <c r="AH359" s="15"/>
      <c r="AI359" s="15"/>
      <c r="AJ359" s="103"/>
      <c r="AK359" s="15"/>
      <c r="AL359" s="15"/>
      <c r="AM359" s="15"/>
      <c r="AN359" s="15"/>
      <c r="AO359" s="15"/>
      <c r="AP359" s="15"/>
      <c r="AQ359" s="15"/>
    </row>
    <row r="360">
      <c r="A360" s="15"/>
      <c r="B360" s="15"/>
      <c r="C360" s="15"/>
      <c r="D360" s="15"/>
      <c r="E360" s="15"/>
      <c r="F360" s="15"/>
      <c r="G360" s="15"/>
      <c r="H360" s="103"/>
      <c r="I360" s="15"/>
      <c r="J360" s="15"/>
      <c r="K360" s="15"/>
      <c r="L360" s="15"/>
      <c r="M360" s="15"/>
      <c r="N360" s="15"/>
      <c r="O360" s="103"/>
      <c r="P360" s="15"/>
      <c r="Q360" s="15"/>
      <c r="R360" s="15"/>
      <c r="S360" s="15"/>
      <c r="T360" s="15"/>
      <c r="U360" s="15"/>
      <c r="V360" s="103"/>
      <c r="W360" s="15"/>
      <c r="X360" s="15"/>
      <c r="Y360" s="15"/>
      <c r="Z360" s="15"/>
      <c r="AA360" s="15"/>
      <c r="AB360" s="15"/>
      <c r="AC360" s="103"/>
      <c r="AD360" s="15"/>
      <c r="AE360" s="15"/>
      <c r="AF360" s="15"/>
      <c r="AG360" s="15"/>
      <c r="AH360" s="15"/>
      <c r="AI360" s="15"/>
      <c r="AJ360" s="103"/>
      <c r="AK360" s="15"/>
      <c r="AL360" s="15"/>
      <c r="AM360" s="15"/>
      <c r="AN360" s="15"/>
      <c r="AO360" s="15"/>
      <c r="AP360" s="15"/>
      <c r="AQ360" s="15"/>
    </row>
    <row r="361">
      <c r="A361" s="15"/>
      <c r="B361" s="15"/>
      <c r="C361" s="15"/>
      <c r="D361" s="15"/>
      <c r="E361" s="15"/>
      <c r="F361" s="15"/>
      <c r="G361" s="15"/>
      <c r="H361" s="103"/>
      <c r="I361" s="15"/>
      <c r="J361" s="15"/>
      <c r="K361" s="15"/>
      <c r="L361" s="15"/>
      <c r="M361" s="15"/>
      <c r="N361" s="15"/>
      <c r="O361" s="103"/>
      <c r="P361" s="15"/>
      <c r="Q361" s="15"/>
      <c r="R361" s="15"/>
      <c r="S361" s="15"/>
      <c r="T361" s="15"/>
      <c r="U361" s="15"/>
      <c r="V361" s="103"/>
      <c r="W361" s="15"/>
      <c r="X361" s="15"/>
      <c r="Y361" s="15"/>
      <c r="Z361" s="15"/>
      <c r="AA361" s="15"/>
      <c r="AB361" s="15"/>
      <c r="AC361" s="103"/>
      <c r="AD361" s="15"/>
      <c r="AE361" s="15"/>
      <c r="AF361" s="15"/>
      <c r="AG361" s="15"/>
      <c r="AH361" s="15"/>
      <c r="AI361" s="15"/>
      <c r="AJ361" s="103"/>
      <c r="AK361" s="15"/>
      <c r="AL361" s="15"/>
      <c r="AM361" s="15"/>
      <c r="AN361" s="15"/>
      <c r="AO361" s="15"/>
      <c r="AP361" s="15"/>
      <c r="AQ361" s="15"/>
    </row>
    <row r="362">
      <c r="A362" s="15"/>
      <c r="B362" s="15"/>
      <c r="C362" s="15"/>
      <c r="D362" s="15"/>
      <c r="E362" s="15"/>
      <c r="F362" s="15"/>
      <c r="G362" s="15"/>
      <c r="H362" s="103"/>
      <c r="I362" s="15"/>
      <c r="J362" s="15"/>
      <c r="K362" s="15"/>
      <c r="L362" s="15"/>
      <c r="M362" s="15"/>
      <c r="N362" s="15"/>
      <c r="O362" s="103"/>
      <c r="P362" s="15"/>
      <c r="Q362" s="15"/>
      <c r="R362" s="15"/>
      <c r="S362" s="15"/>
      <c r="T362" s="15"/>
      <c r="U362" s="15"/>
      <c r="V362" s="103"/>
      <c r="W362" s="15"/>
      <c r="X362" s="15"/>
      <c r="Y362" s="15"/>
      <c r="Z362" s="15"/>
      <c r="AA362" s="15"/>
      <c r="AB362" s="15"/>
      <c r="AC362" s="103"/>
      <c r="AD362" s="15"/>
      <c r="AE362" s="15"/>
      <c r="AF362" s="15"/>
      <c r="AG362" s="15"/>
      <c r="AH362" s="15"/>
      <c r="AI362" s="15"/>
      <c r="AJ362" s="103"/>
      <c r="AK362" s="15"/>
      <c r="AL362" s="15"/>
      <c r="AM362" s="15"/>
      <c r="AN362" s="15"/>
      <c r="AO362" s="15"/>
      <c r="AP362" s="15"/>
      <c r="AQ362" s="15"/>
    </row>
    <row r="363">
      <c r="A363" s="15"/>
      <c r="B363" s="15"/>
      <c r="C363" s="15"/>
      <c r="D363" s="15"/>
      <c r="E363" s="15"/>
      <c r="F363" s="15"/>
      <c r="G363" s="15"/>
      <c r="H363" s="103"/>
      <c r="I363" s="15"/>
      <c r="J363" s="15"/>
      <c r="K363" s="15"/>
      <c r="L363" s="15"/>
      <c r="M363" s="15"/>
      <c r="N363" s="15"/>
      <c r="O363" s="103"/>
      <c r="P363" s="15"/>
      <c r="Q363" s="15"/>
      <c r="R363" s="15"/>
      <c r="S363" s="15"/>
      <c r="T363" s="15"/>
      <c r="U363" s="15"/>
      <c r="V363" s="103"/>
      <c r="W363" s="15"/>
      <c r="X363" s="15"/>
      <c r="Y363" s="15"/>
      <c r="Z363" s="15"/>
      <c r="AA363" s="15"/>
      <c r="AB363" s="15"/>
      <c r="AC363" s="103"/>
      <c r="AD363" s="15"/>
      <c r="AE363" s="15"/>
      <c r="AF363" s="15"/>
      <c r="AG363" s="15"/>
      <c r="AH363" s="15"/>
      <c r="AI363" s="15"/>
      <c r="AJ363" s="103"/>
      <c r="AK363" s="15"/>
      <c r="AL363" s="15"/>
      <c r="AM363" s="15"/>
      <c r="AN363" s="15"/>
      <c r="AO363" s="15"/>
      <c r="AP363" s="15"/>
      <c r="AQ363" s="15"/>
    </row>
    <row r="364">
      <c r="A364" s="15"/>
      <c r="B364" s="15"/>
      <c r="C364" s="15"/>
      <c r="D364" s="15"/>
      <c r="E364" s="15"/>
      <c r="F364" s="15"/>
      <c r="G364" s="15"/>
      <c r="H364" s="103"/>
      <c r="I364" s="15"/>
      <c r="J364" s="15"/>
      <c r="K364" s="15"/>
      <c r="L364" s="15"/>
      <c r="M364" s="15"/>
      <c r="N364" s="15"/>
      <c r="O364" s="103"/>
      <c r="P364" s="15"/>
      <c r="Q364" s="15"/>
      <c r="R364" s="15"/>
      <c r="S364" s="15"/>
      <c r="T364" s="15"/>
      <c r="U364" s="15"/>
      <c r="V364" s="103"/>
      <c r="W364" s="15"/>
      <c r="X364" s="15"/>
      <c r="Y364" s="15"/>
      <c r="Z364" s="15"/>
      <c r="AA364" s="15"/>
      <c r="AB364" s="15"/>
      <c r="AC364" s="103"/>
      <c r="AD364" s="15"/>
      <c r="AE364" s="15"/>
      <c r="AF364" s="15"/>
      <c r="AG364" s="15"/>
      <c r="AH364" s="15"/>
      <c r="AI364" s="15"/>
      <c r="AJ364" s="103"/>
      <c r="AK364" s="15"/>
      <c r="AL364" s="15"/>
      <c r="AM364" s="15"/>
      <c r="AN364" s="15"/>
      <c r="AO364" s="15"/>
      <c r="AP364" s="15"/>
      <c r="AQ364" s="15"/>
    </row>
    <row r="365">
      <c r="A365" s="15"/>
      <c r="B365" s="15"/>
      <c r="C365" s="15"/>
      <c r="D365" s="15"/>
      <c r="E365" s="15"/>
      <c r="F365" s="15"/>
      <c r="G365" s="15"/>
      <c r="H365" s="103"/>
      <c r="I365" s="15"/>
      <c r="J365" s="15"/>
      <c r="K365" s="15"/>
      <c r="L365" s="15"/>
      <c r="M365" s="15"/>
      <c r="N365" s="15"/>
      <c r="O365" s="103"/>
      <c r="P365" s="15"/>
      <c r="Q365" s="15"/>
      <c r="R365" s="15"/>
      <c r="S365" s="15"/>
      <c r="T365" s="15"/>
      <c r="U365" s="15"/>
      <c r="V365" s="103"/>
      <c r="W365" s="15"/>
      <c r="X365" s="15"/>
      <c r="Y365" s="15"/>
      <c r="Z365" s="15"/>
      <c r="AA365" s="15"/>
      <c r="AB365" s="15"/>
      <c r="AC365" s="103"/>
      <c r="AD365" s="15"/>
      <c r="AE365" s="15"/>
      <c r="AF365" s="15"/>
      <c r="AG365" s="15"/>
      <c r="AH365" s="15"/>
      <c r="AI365" s="15"/>
      <c r="AJ365" s="103"/>
      <c r="AK365" s="15"/>
      <c r="AL365" s="15"/>
      <c r="AM365" s="15"/>
      <c r="AN365" s="15"/>
      <c r="AO365" s="15"/>
      <c r="AP365" s="15"/>
      <c r="AQ365" s="15"/>
    </row>
    <row r="366">
      <c r="A366" s="15"/>
      <c r="B366" s="15"/>
      <c r="C366" s="15"/>
      <c r="D366" s="15"/>
      <c r="E366" s="15"/>
      <c r="F366" s="15"/>
      <c r="G366" s="15"/>
      <c r="H366" s="103"/>
      <c r="I366" s="15"/>
      <c r="J366" s="15"/>
      <c r="K366" s="15"/>
      <c r="L366" s="15"/>
      <c r="M366" s="15"/>
      <c r="N366" s="15"/>
      <c r="O366" s="103"/>
      <c r="P366" s="15"/>
      <c r="Q366" s="15"/>
      <c r="R366" s="15"/>
      <c r="S366" s="15"/>
      <c r="T366" s="15"/>
      <c r="U366" s="15"/>
      <c r="V366" s="103"/>
      <c r="W366" s="15"/>
      <c r="X366" s="15"/>
      <c r="Y366" s="15"/>
      <c r="Z366" s="15"/>
      <c r="AA366" s="15"/>
      <c r="AB366" s="15"/>
      <c r="AC366" s="103"/>
      <c r="AD366" s="15"/>
      <c r="AE366" s="15"/>
      <c r="AF366" s="15"/>
      <c r="AG366" s="15"/>
      <c r="AH366" s="15"/>
      <c r="AI366" s="15"/>
      <c r="AJ366" s="103"/>
      <c r="AK366" s="15"/>
      <c r="AL366" s="15"/>
      <c r="AM366" s="15"/>
      <c r="AN366" s="15"/>
      <c r="AO366" s="15"/>
      <c r="AP366" s="15"/>
      <c r="AQ366" s="15"/>
    </row>
    <row r="367">
      <c r="A367" s="15"/>
      <c r="B367" s="15"/>
      <c r="C367" s="15"/>
      <c r="D367" s="15"/>
      <c r="E367" s="15"/>
      <c r="F367" s="15"/>
      <c r="G367" s="15"/>
      <c r="H367" s="103"/>
      <c r="I367" s="15"/>
      <c r="J367" s="15"/>
      <c r="K367" s="15"/>
      <c r="L367" s="15"/>
      <c r="M367" s="15"/>
      <c r="N367" s="15"/>
      <c r="O367" s="103"/>
      <c r="P367" s="15"/>
      <c r="Q367" s="15"/>
      <c r="R367" s="15"/>
      <c r="S367" s="15"/>
      <c r="T367" s="15"/>
      <c r="U367" s="15"/>
      <c r="V367" s="103"/>
      <c r="W367" s="15"/>
      <c r="X367" s="15"/>
      <c r="Y367" s="15"/>
      <c r="Z367" s="15"/>
      <c r="AA367" s="15"/>
      <c r="AB367" s="15"/>
      <c r="AC367" s="103"/>
      <c r="AD367" s="15"/>
      <c r="AE367" s="15"/>
      <c r="AF367" s="15"/>
      <c r="AG367" s="15"/>
      <c r="AH367" s="15"/>
      <c r="AI367" s="15"/>
      <c r="AJ367" s="103"/>
      <c r="AK367" s="15"/>
      <c r="AL367" s="15"/>
      <c r="AM367" s="15"/>
      <c r="AN367" s="15"/>
      <c r="AO367" s="15"/>
      <c r="AP367" s="15"/>
      <c r="AQ367" s="15"/>
    </row>
    <row r="368">
      <c r="A368" s="15"/>
      <c r="B368" s="15"/>
      <c r="C368" s="15"/>
      <c r="D368" s="15"/>
      <c r="E368" s="15"/>
      <c r="F368" s="15"/>
      <c r="G368" s="15"/>
      <c r="H368" s="103"/>
      <c r="I368" s="15"/>
      <c r="J368" s="15"/>
      <c r="K368" s="15"/>
      <c r="L368" s="15"/>
      <c r="M368" s="15"/>
      <c r="N368" s="15"/>
      <c r="O368" s="103"/>
      <c r="P368" s="15"/>
      <c r="Q368" s="15"/>
      <c r="R368" s="15"/>
      <c r="S368" s="15"/>
      <c r="T368" s="15"/>
      <c r="U368" s="15"/>
      <c r="V368" s="103"/>
      <c r="W368" s="15"/>
      <c r="X368" s="15"/>
      <c r="Y368" s="15"/>
      <c r="Z368" s="15"/>
      <c r="AA368" s="15"/>
      <c r="AB368" s="15"/>
      <c r="AC368" s="103"/>
      <c r="AD368" s="15"/>
      <c r="AE368" s="15"/>
      <c r="AF368" s="15"/>
      <c r="AG368" s="15"/>
      <c r="AH368" s="15"/>
      <c r="AI368" s="15"/>
      <c r="AJ368" s="103"/>
      <c r="AK368" s="15"/>
      <c r="AL368" s="15"/>
      <c r="AM368" s="15"/>
      <c r="AN368" s="15"/>
      <c r="AO368" s="15"/>
      <c r="AP368" s="15"/>
      <c r="AQ368" s="15"/>
    </row>
    <row r="369">
      <c r="A369" s="15"/>
      <c r="B369" s="15"/>
      <c r="C369" s="15"/>
      <c r="D369" s="15"/>
      <c r="E369" s="15"/>
      <c r="F369" s="15"/>
      <c r="G369" s="15"/>
      <c r="H369" s="103"/>
      <c r="I369" s="15"/>
      <c r="J369" s="15"/>
      <c r="K369" s="15"/>
      <c r="L369" s="15"/>
      <c r="M369" s="15"/>
      <c r="N369" s="15"/>
      <c r="O369" s="103"/>
      <c r="P369" s="15"/>
      <c r="Q369" s="15"/>
      <c r="R369" s="15"/>
      <c r="S369" s="15"/>
      <c r="T369" s="15"/>
      <c r="U369" s="15"/>
      <c r="V369" s="103"/>
      <c r="W369" s="15"/>
      <c r="X369" s="15"/>
      <c r="Y369" s="15"/>
      <c r="Z369" s="15"/>
      <c r="AA369" s="15"/>
      <c r="AB369" s="15"/>
      <c r="AC369" s="103"/>
      <c r="AD369" s="15"/>
      <c r="AE369" s="15"/>
      <c r="AF369" s="15"/>
      <c r="AG369" s="15"/>
      <c r="AH369" s="15"/>
      <c r="AI369" s="15"/>
      <c r="AJ369" s="103"/>
      <c r="AK369" s="15"/>
      <c r="AL369" s="15"/>
      <c r="AM369" s="15"/>
      <c r="AN369" s="15"/>
      <c r="AO369" s="15"/>
      <c r="AP369" s="15"/>
      <c r="AQ369" s="15"/>
    </row>
    <row r="370">
      <c r="A370" s="15"/>
      <c r="B370" s="15"/>
      <c r="C370" s="15"/>
      <c r="D370" s="15"/>
      <c r="E370" s="15"/>
      <c r="F370" s="15"/>
      <c r="G370" s="15"/>
      <c r="H370" s="103"/>
      <c r="I370" s="15"/>
      <c r="J370" s="15"/>
      <c r="K370" s="15"/>
      <c r="L370" s="15"/>
      <c r="M370" s="15"/>
      <c r="N370" s="15"/>
      <c r="O370" s="103"/>
      <c r="P370" s="15"/>
      <c r="Q370" s="15"/>
      <c r="R370" s="15"/>
      <c r="S370" s="15"/>
      <c r="T370" s="15"/>
      <c r="U370" s="15"/>
      <c r="V370" s="103"/>
      <c r="W370" s="15"/>
      <c r="X370" s="15"/>
      <c r="Y370" s="15"/>
      <c r="Z370" s="15"/>
      <c r="AA370" s="15"/>
      <c r="AB370" s="15"/>
      <c r="AC370" s="103"/>
      <c r="AD370" s="15"/>
      <c r="AE370" s="15"/>
      <c r="AF370" s="15"/>
      <c r="AG370" s="15"/>
      <c r="AH370" s="15"/>
      <c r="AI370" s="15"/>
      <c r="AJ370" s="103"/>
      <c r="AK370" s="15"/>
      <c r="AL370" s="15"/>
      <c r="AM370" s="15"/>
      <c r="AN370" s="15"/>
      <c r="AO370" s="15"/>
      <c r="AP370" s="15"/>
      <c r="AQ370" s="15"/>
    </row>
    <row r="371">
      <c r="A371" s="15"/>
      <c r="B371" s="15"/>
      <c r="C371" s="15"/>
      <c r="D371" s="15"/>
      <c r="E371" s="15"/>
      <c r="F371" s="15"/>
      <c r="G371" s="15"/>
      <c r="H371" s="103"/>
      <c r="I371" s="15"/>
      <c r="J371" s="15"/>
      <c r="K371" s="15"/>
      <c r="L371" s="15"/>
      <c r="M371" s="15"/>
      <c r="N371" s="15"/>
      <c r="O371" s="103"/>
      <c r="P371" s="15"/>
      <c r="Q371" s="15"/>
      <c r="R371" s="15"/>
      <c r="S371" s="15"/>
      <c r="T371" s="15"/>
      <c r="U371" s="15"/>
      <c r="V371" s="103"/>
      <c r="W371" s="15"/>
      <c r="X371" s="15"/>
      <c r="Y371" s="15"/>
      <c r="Z371" s="15"/>
      <c r="AA371" s="15"/>
      <c r="AB371" s="15"/>
      <c r="AC371" s="103"/>
      <c r="AD371" s="15"/>
      <c r="AE371" s="15"/>
      <c r="AF371" s="15"/>
      <c r="AG371" s="15"/>
      <c r="AH371" s="15"/>
      <c r="AI371" s="15"/>
      <c r="AJ371" s="103"/>
      <c r="AK371" s="15"/>
      <c r="AL371" s="15"/>
      <c r="AM371" s="15"/>
      <c r="AN371" s="15"/>
      <c r="AO371" s="15"/>
      <c r="AP371" s="15"/>
      <c r="AQ371" s="15"/>
    </row>
    <row r="372">
      <c r="A372" s="15"/>
      <c r="B372" s="15"/>
      <c r="C372" s="15"/>
      <c r="D372" s="15"/>
      <c r="E372" s="15"/>
      <c r="F372" s="15"/>
      <c r="G372" s="15"/>
      <c r="H372" s="103"/>
      <c r="I372" s="15"/>
      <c r="J372" s="15"/>
      <c r="K372" s="15"/>
      <c r="L372" s="15"/>
      <c r="M372" s="15"/>
      <c r="N372" s="15"/>
      <c r="O372" s="103"/>
      <c r="P372" s="15"/>
      <c r="Q372" s="15"/>
      <c r="R372" s="15"/>
      <c r="S372" s="15"/>
      <c r="T372" s="15"/>
      <c r="U372" s="15"/>
      <c r="V372" s="103"/>
      <c r="W372" s="15"/>
      <c r="X372" s="15"/>
      <c r="Y372" s="15"/>
      <c r="Z372" s="15"/>
      <c r="AA372" s="15"/>
      <c r="AB372" s="15"/>
      <c r="AC372" s="103"/>
      <c r="AD372" s="15"/>
      <c r="AE372" s="15"/>
      <c r="AF372" s="15"/>
      <c r="AG372" s="15"/>
      <c r="AH372" s="15"/>
      <c r="AI372" s="15"/>
      <c r="AJ372" s="103"/>
      <c r="AK372" s="15"/>
      <c r="AL372" s="15"/>
      <c r="AM372" s="15"/>
      <c r="AN372" s="15"/>
      <c r="AO372" s="15"/>
      <c r="AP372" s="15"/>
      <c r="AQ372" s="15"/>
    </row>
    <row r="373">
      <c r="A373" s="15"/>
      <c r="B373" s="15"/>
      <c r="C373" s="15"/>
      <c r="D373" s="15"/>
      <c r="E373" s="15"/>
      <c r="F373" s="15"/>
      <c r="G373" s="15"/>
      <c r="H373" s="103"/>
      <c r="I373" s="15"/>
      <c r="J373" s="15"/>
      <c r="K373" s="15"/>
      <c r="L373" s="15"/>
      <c r="M373" s="15"/>
      <c r="N373" s="15"/>
      <c r="O373" s="103"/>
      <c r="P373" s="15"/>
      <c r="Q373" s="15"/>
      <c r="R373" s="15"/>
      <c r="S373" s="15"/>
      <c r="T373" s="15"/>
      <c r="U373" s="15"/>
      <c r="V373" s="103"/>
      <c r="W373" s="15"/>
      <c r="X373" s="15"/>
      <c r="Y373" s="15"/>
      <c r="Z373" s="15"/>
      <c r="AA373" s="15"/>
      <c r="AB373" s="15"/>
      <c r="AC373" s="103"/>
      <c r="AD373" s="15"/>
      <c r="AE373" s="15"/>
      <c r="AF373" s="15"/>
      <c r="AG373" s="15"/>
      <c r="AH373" s="15"/>
      <c r="AI373" s="15"/>
      <c r="AJ373" s="103"/>
      <c r="AK373" s="15"/>
      <c r="AL373" s="15"/>
      <c r="AM373" s="15"/>
      <c r="AN373" s="15"/>
      <c r="AO373" s="15"/>
      <c r="AP373" s="15"/>
      <c r="AQ373" s="15"/>
    </row>
    <row r="374">
      <c r="A374" s="15"/>
      <c r="B374" s="15"/>
      <c r="C374" s="15"/>
      <c r="D374" s="15"/>
      <c r="E374" s="15"/>
      <c r="F374" s="15"/>
      <c r="G374" s="15"/>
      <c r="H374" s="103"/>
      <c r="I374" s="15"/>
      <c r="J374" s="15"/>
      <c r="K374" s="15"/>
      <c r="L374" s="15"/>
      <c r="M374" s="15"/>
      <c r="N374" s="15"/>
      <c r="O374" s="103"/>
      <c r="P374" s="15"/>
      <c r="Q374" s="15"/>
      <c r="R374" s="15"/>
      <c r="S374" s="15"/>
      <c r="T374" s="15"/>
      <c r="U374" s="15"/>
      <c r="V374" s="103"/>
      <c r="W374" s="15"/>
      <c r="X374" s="15"/>
      <c r="Y374" s="15"/>
      <c r="Z374" s="15"/>
      <c r="AA374" s="15"/>
      <c r="AB374" s="15"/>
      <c r="AC374" s="103"/>
      <c r="AD374" s="15"/>
      <c r="AE374" s="15"/>
      <c r="AF374" s="15"/>
      <c r="AG374" s="15"/>
      <c r="AH374" s="15"/>
      <c r="AI374" s="15"/>
      <c r="AJ374" s="103"/>
      <c r="AK374" s="15"/>
      <c r="AL374" s="15"/>
      <c r="AM374" s="15"/>
      <c r="AN374" s="15"/>
      <c r="AO374" s="15"/>
      <c r="AP374" s="15"/>
      <c r="AQ374" s="15"/>
    </row>
    <row r="375">
      <c r="A375" s="15"/>
      <c r="B375" s="15"/>
      <c r="C375" s="15"/>
      <c r="D375" s="15"/>
      <c r="E375" s="15"/>
      <c r="F375" s="15"/>
      <c r="G375" s="15"/>
      <c r="H375" s="103"/>
      <c r="I375" s="15"/>
      <c r="J375" s="15"/>
      <c r="K375" s="15"/>
      <c r="L375" s="15"/>
      <c r="M375" s="15"/>
      <c r="N375" s="15"/>
      <c r="O375" s="103"/>
      <c r="P375" s="15"/>
      <c r="Q375" s="15"/>
      <c r="R375" s="15"/>
      <c r="S375" s="15"/>
      <c r="T375" s="15"/>
      <c r="U375" s="15"/>
      <c r="V375" s="103"/>
      <c r="W375" s="15"/>
      <c r="X375" s="15"/>
      <c r="Y375" s="15"/>
      <c r="Z375" s="15"/>
      <c r="AA375" s="15"/>
      <c r="AB375" s="15"/>
      <c r="AC375" s="103"/>
      <c r="AD375" s="15"/>
      <c r="AE375" s="15"/>
      <c r="AF375" s="15"/>
      <c r="AG375" s="15"/>
      <c r="AH375" s="15"/>
      <c r="AI375" s="15"/>
      <c r="AJ375" s="103"/>
      <c r="AK375" s="15"/>
      <c r="AL375" s="15"/>
      <c r="AM375" s="15"/>
      <c r="AN375" s="15"/>
      <c r="AO375" s="15"/>
      <c r="AP375" s="15"/>
      <c r="AQ375" s="15"/>
    </row>
    <row r="376">
      <c r="A376" s="15"/>
      <c r="B376" s="15"/>
      <c r="C376" s="15"/>
      <c r="D376" s="15"/>
      <c r="E376" s="15"/>
      <c r="F376" s="15"/>
      <c r="G376" s="15"/>
      <c r="H376" s="103"/>
      <c r="I376" s="15"/>
      <c r="J376" s="15"/>
      <c r="K376" s="15"/>
      <c r="L376" s="15"/>
      <c r="M376" s="15"/>
      <c r="N376" s="15"/>
      <c r="O376" s="103"/>
      <c r="P376" s="15"/>
      <c r="Q376" s="15"/>
      <c r="R376" s="15"/>
      <c r="S376" s="15"/>
      <c r="T376" s="15"/>
      <c r="U376" s="15"/>
      <c r="V376" s="103"/>
      <c r="W376" s="15"/>
      <c r="X376" s="15"/>
      <c r="Y376" s="15"/>
      <c r="Z376" s="15"/>
      <c r="AA376" s="15"/>
      <c r="AB376" s="15"/>
      <c r="AC376" s="103"/>
      <c r="AD376" s="15"/>
      <c r="AE376" s="15"/>
      <c r="AF376" s="15"/>
      <c r="AG376" s="15"/>
      <c r="AH376" s="15"/>
      <c r="AI376" s="15"/>
      <c r="AJ376" s="103"/>
      <c r="AK376" s="15"/>
      <c r="AL376" s="15"/>
      <c r="AM376" s="15"/>
      <c r="AN376" s="15"/>
      <c r="AO376" s="15"/>
      <c r="AP376" s="15"/>
      <c r="AQ376" s="15"/>
    </row>
    <row r="377">
      <c r="A377" s="15"/>
      <c r="B377" s="15"/>
      <c r="C377" s="15"/>
      <c r="D377" s="15"/>
      <c r="E377" s="15"/>
      <c r="F377" s="15"/>
      <c r="G377" s="15"/>
      <c r="H377" s="103"/>
      <c r="I377" s="15"/>
      <c r="J377" s="15"/>
      <c r="K377" s="15"/>
      <c r="L377" s="15"/>
      <c r="M377" s="15"/>
      <c r="N377" s="15"/>
      <c r="O377" s="103"/>
      <c r="P377" s="15"/>
      <c r="Q377" s="15"/>
      <c r="R377" s="15"/>
      <c r="S377" s="15"/>
      <c r="T377" s="15"/>
      <c r="U377" s="15"/>
      <c r="V377" s="103"/>
      <c r="W377" s="15"/>
      <c r="X377" s="15"/>
      <c r="Y377" s="15"/>
      <c r="Z377" s="15"/>
      <c r="AA377" s="15"/>
      <c r="AB377" s="15"/>
      <c r="AC377" s="103"/>
      <c r="AD377" s="15"/>
      <c r="AE377" s="15"/>
      <c r="AF377" s="15"/>
      <c r="AG377" s="15"/>
      <c r="AH377" s="15"/>
      <c r="AI377" s="15"/>
      <c r="AJ377" s="103"/>
      <c r="AK377" s="15"/>
      <c r="AL377" s="15"/>
      <c r="AM377" s="15"/>
      <c r="AN377" s="15"/>
      <c r="AO377" s="15"/>
      <c r="AP377" s="15"/>
      <c r="AQ377" s="15"/>
    </row>
    <row r="378">
      <c r="A378" s="15"/>
      <c r="B378" s="15"/>
      <c r="C378" s="15"/>
      <c r="D378" s="15"/>
      <c r="E378" s="15"/>
      <c r="F378" s="15"/>
      <c r="G378" s="15"/>
      <c r="H378" s="103"/>
      <c r="I378" s="15"/>
      <c r="J378" s="15"/>
      <c r="K378" s="15"/>
      <c r="L378" s="15"/>
      <c r="M378" s="15"/>
      <c r="N378" s="15"/>
      <c r="O378" s="103"/>
      <c r="P378" s="15"/>
      <c r="Q378" s="15"/>
      <c r="R378" s="15"/>
      <c r="S378" s="15"/>
      <c r="T378" s="15"/>
      <c r="U378" s="15"/>
      <c r="V378" s="103"/>
      <c r="W378" s="15"/>
      <c r="X378" s="15"/>
      <c r="Y378" s="15"/>
      <c r="Z378" s="15"/>
      <c r="AA378" s="15"/>
      <c r="AB378" s="15"/>
      <c r="AC378" s="103"/>
      <c r="AD378" s="15"/>
      <c r="AE378" s="15"/>
      <c r="AF378" s="15"/>
      <c r="AG378" s="15"/>
      <c r="AH378" s="15"/>
      <c r="AI378" s="15"/>
      <c r="AJ378" s="103"/>
      <c r="AK378" s="15"/>
      <c r="AL378" s="15"/>
      <c r="AM378" s="15"/>
      <c r="AN378" s="15"/>
      <c r="AO378" s="15"/>
      <c r="AP378" s="15"/>
      <c r="AQ378" s="15"/>
    </row>
    <row r="379">
      <c r="A379" s="15"/>
      <c r="B379" s="15"/>
      <c r="C379" s="15"/>
      <c r="D379" s="15"/>
      <c r="E379" s="15"/>
      <c r="F379" s="15"/>
      <c r="G379" s="15"/>
      <c r="H379" s="103"/>
      <c r="I379" s="15"/>
      <c r="J379" s="15"/>
      <c r="K379" s="15"/>
      <c r="L379" s="15"/>
      <c r="M379" s="15"/>
      <c r="N379" s="15"/>
      <c r="O379" s="103"/>
      <c r="P379" s="15"/>
      <c r="Q379" s="15"/>
      <c r="R379" s="15"/>
      <c r="S379" s="15"/>
      <c r="T379" s="15"/>
      <c r="U379" s="15"/>
      <c r="V379" s="103"/>
      <c r="W379" s="15"/>
      <c r="X379" s="15"/>
      <c r="Y379" s="15"/>
      <c r="Z379" s="15"/>
      <c r="AA379" s="15"/>
      <c r="AB379" s="15"/>
      <c r="AC379" s="103"/>
      <c r="AD379" s="15"/>
      <c r="AE379" s="15"/>
      <c r="AF379" s="15"/>
      <c r="AG379" s="15"/>
      <c r="AH379" s="15"/>
      <c r="AI379" s="15"/>
      <c r="AJ379" s="103"/>
      <c r="AK379" s="15"/>
      <c r="AL379" s="15"/>
      <c r="AM379" s="15"/>
      <c r="AN379" s="15"/>
      <c r="AO379" s="15"/>
      <c r="AP379" s="15"/>
      <c r="AQ379" s="15"/>
    </row>
    <row r="380">
      <c r="A380" s="15"/>
      <c r="B380" s="15"/>
      <c r="C380" s="15"/>
      <c r="D380" s="15"/>
      <c r="E380" s="15"/>
      <c r="F380" s="15"/>
      <c r="G380" s="15"/>
      <c r="H380" s="103"/>
      <c r="I380" s="15"/>
      <c r="J380" s="15"/>
      <c r="K380" s="15"/>
      <c r="L380" s="15"/>
      <c r="M380" s="15"/>
      <c r="N380" s="15"/>
      <c r="O380" s="103"/>
      <c r="P380" s="15"/>
      <c r="Q380" s="15"/>
      <c r="R380" s="15"/>
      <c r="S380" s="15"/>
      <c r="T380" s="15"/>
      <c r="U380" s="15"/>
      <c r="V380" s="103"/>
      <c r="W380" s="15"/>
      <c r="X380" s="15"/>
      <c r="Y380" s="15"/>
      <c r="Z380" s="15"/>
      <c r="AA380" s="15"/>
      <c r="AB380" s="15"/>
      <c r="AC380" s="103"/>
      <c r="AD380" s="15"/>
      <c r="AE380" s="15"/>
      <c r="AF380" s="15"/>
      <c r="AG380" s="15"/>
      <c r="AH380" s="15"/>
      <c r="AI380" s="15"/>
      <c r="AJ380" s="103"/>
      <c r="AK380" s="15"/>
      <c r="AL380" s="15"/>
      <c r="AM380" s="15"/>
      <c r="AN380" s="15"/>
      <c r="AO380" s="15"/>
      <c r="AP380" s="15"/>
      <c r="AQ380" s="15"/>
    </row>
    <row r="381">
      <c r="A381" s="15"/>
      <c r="B381" s="15"/>
      <c r="C381" s="15"/>
      <c r="D381" s="15"/>
      <c r="E381" s="15"/>
      <c r="F381" s="15"/>
      <c r="G381" s="15"/>
      <c r="H381" s="103"/>
      <c r="I381" s="15"/>
      <c r="J381" s="15"/>
      <c r="K381" s="15"/>
      <c r="L381" s="15"/>
      <c r="M381" s="15"/>
      <c r="N381" s="15"/>
      <c r="O381" s="103"/>
      <c r="P381" s="15"/>
      <c r="Q381" s="15"/>
      <c r="R381" s="15"/>
      <c r="S381" s="15"/>
      <c r="T381" s="15"/>
      <c r="U381" s="15"/>
      <c r="V381" s="103"/>
      <c r="W381" s="15"/>
      <c r="X381" s="15"/>
      <c r="Y381" s="15"/>
      <c r="Z381" s="15"/>
      <c r="AA381" s="15"/>
      <c r="AB381" s="15"/>
      <c r="AC381" s="103"/>
      <c r="AD381" s="15"/>
      <c r="AE381" s="15"/>
      <c r="AF381" s="15"/>
      <c r="AG381" s="15"/>
      <c r="AH381" s="15"/>
      <c r="AI381" s="15"/>
      <c r="AJ381" s="103"/>
      <c r="AK381" s="15"/>
      <c r="AL381" s="15"/>
      <c r="AM381" s="15"/>
      <c r="AN381" s="15"/>
      <c r="AO381" s="15"/>
      <c r="AP381" s="15"/>
      <c r="AQ381" s="15"/>
    </row>
    <row r="382">
      <c r="A382" s="15"/>
      <c r="B382" s="15"/>
      <c r="C382" s="15"/>
      <c r="D382" s="15"/>
      <c r="E382" s="15"/>
      <c r="F382" s="15"/>
      <c r="G382" s="15"/>
      <c r="H382" s="103"/>
      <c r="I382" s="15"/>
      <c r="J382" s="15"/>
      <c r="K382" s="15"/>
      <c r="L382" s="15"/>
      <c r="M382" s="15"/>
      <c r="N382" s="15"/>
      <c r="O382" s="103"/>
      <c r="P382" s="15"/>
      <c r="Q382" s="15"/>
      <c r="R382" s="15"/>
      <c r="S382" s="15"/>
      <c r="T382" s="15"/>
      <c r="U382" s="15"/>
      <c r="V382" s="103"/>
      <c r="W382" s="15"/>
      <c r="X382" s="15"/>
      <c r="Y382" s="15"/>
      <c r="Z382" s="15"/>
      <c r="AA382" s="15"/>
      <c r="AB382" s="15"/>
      <c r="AC382" s="103"/>
      <c r="AD382" s="15"/>
      <c r="AE382" s="15"/>
      <c r="AF382" s="15"/>
      <c r="AG382" s="15"/>
      <c r="AH382" s="15"/>
      <c r="AI382" s="15"/>
      <c r="AJ382" s="103"/>
      <c r="AK382" s="15"/>
      <c r="AL382" s="15"/>
      <c r="AM382" s="15"/>
      <c r="AN382" s="15"/>
      <c r="AO382" s="15"/>
      <c r="AP382" s="15"/>
      <c r="AQ382" s="15"/>
    </row>
    <row r="383">
      <c r="A383" s="15"/>
      <c r="B383" s="15"/>
      <c r="C383" s="15"/>
      <c r="D383" s="15"/>
      <c r="E383" s="15"/>
      <c r="F383" s="15"/>
      <c r="G383" s="15"/>
      <c r="H383" s="103"/>
      <c r="I383" s="15"/>
      <c r="J383" s="15"/>
      <c r="K383" s="15"/>
      <c r="L383" s="15"/>
      <c r="M383" s="15"/>
      <c r="N383" s="15"/>
      <c r="O383" s="103"/>
      <c r="P383" s="15"/>
      <c r="Q383" s="15"/>
      <c r="R383" s="15"/>
      <c r="S383" s="15"/>
      <c r="T383" s="15"/>
      <c r="U383" s="15"/>
      <c r="V383" s="103"/>
      <c r="W383" s="15"/>
      <c r="X383" s="15"/>
      <c r="Y383" s="15"/>
      <c r="Z383" s="15"/>
      <c r="AA383" s="15"/>
      <c r="AB383" s="15"/>
      <c r="AC383" s="103"/>
      <c r="AD383" s="15"/>
      <c r="AE383" s="15"/>
      <c r="AF383" s="15"/>
      <c r="AG383" s="15"/>
      <c r="AH383" s="15"/>
      <c r="AI383" s="15"/>
      <c r="AJ383" s="103"/>
      <c r="AK383" s="15"/>
      <c r="AL383" s="15"/>
      <c r="AM383" s="15"/>
      <c r="AN383" s="15"/>
      <c r="AO383" s="15"/>
      <c r="AP383" s="15"/>
      <c r="AQ383" s="15"/>
    </row>
    <row r="384">
      <c r="A384" s="15"/>
      <c r="B384" s="15"/>
      <c r="C384" s="15"/>
      <c r="D384" s="15"/>
      <c r="E384" s="15"/>
      <c r="F384" s="15"/>
      <c r="G384" s="15"/>
      <c r="H384" s="103"/>
      <c r="I384" s="15"/>
      <c r="J384" s="15"/>
      <c r="K384" s="15"/>
      <c r="L384" s="15"/>
      <c r="M384" s="15"/>
      <c r="N384" s="15"/>
      <c r="O384" s="103"/>
      <c r="P384" s="15"/>
      <c r="Q384" s="15"/>
      <c r="R384" s="15"/>
      <c r="S384" s="15"/>
      <c r="T384" s="15"/>
      <c r="U384" s="15"/>
      <c r="V384" s="103"/>
      <c r="W384" s="15"/>
      <c r="X384" s="15"/>
      <c r="Y384" s="15"/>
      <c r="Z384" s="15"/>
      <c r="AA384" s="15"/>
      <c r="AB384" s="15"/>
      <c r="AC384" s="103"/>
      <c r="AD384" s="15"/>
      <c r="AE384" s="15"/>
      <c r="AF384" s="15"/>
      <c r="AG384" s="15"/>
      <c r="AH384" s="15"/>
      <c r="AI384" s="15"/>
      <c r="AJ384" s="103"/>
      <c r="AK384" s="15"/>
      <c r="AL384" s="15"/>
      <c r="AM384" s="15"/>
      <c r="AN384" s="15"/>
      <c r="AO384" s="15"/>
      <c r="AP384" s="15"/>
      <c r="AQ384" s="15"/>
    </row>
    <row r="385">
      <c r="A385" s="15"/>
      <c r="B385" s="15"/>
      <c r="C385" s="15"/>
      <c r="D385" s="15"/>
      <c r="E385" s="15"/>
      <c r="F385" s="15"/>
      <c r="G385" s="15"/>
      <c r="H385" s="103"/>
      <c r="I385" s="15"/>
      <c r="J385" s="15"/>
      <c r="K385" s="15"/>
      <c r="L385" s="15"/>
      <c r="M385" s="15"/>
      <c r="N385" s="15"/>
      <c r="O385" s="103"/>
      <c r="P385" s="15"/>
      <c r="Q385" s="15"/>
      <c r="R385" s="15"/>
      <c r="S385" s="15"/>
      <c r="T385" s="15"/>
      <c r="U385" s="15"/>
      <c r="V385" s="103"/>
      <c r="W385" s="15"/>
      <c r="X385" s="15"/>
      <c r="Y385" s="15"/>
      <c r="Z385" s="15"/>
      <c r="AA385" s="15"/>
      <c r="AB385" s="15"/>
      <c r="AC385" s="103"/>
      <c r="AD385" s="15"/>
      <c r="AE385" s="15"/>
      <c r="AF385" s="15"/>
      <c r="AG385" s="15"/>
      <c r="AH385" s="15"/>
      <c r="AI385" s="15"/>
      <c r="AJ385" s="103"/>
      <c r="AK385" s="15"/>
      <c r="AL385" s="15"/>
      <c r="AM385" s="15"/>
      <c r="AN385" s="15"/>
      <c r="AO385" s="15"/>
      <c r="AP385" s="15"/>
      <c r="AQ385" s="15"/>
    </row>
    <row r="386">
      <c r="A386" s="15"/>
      <c r="B386" s="15"/>
      <c r="C386" s="15"/>
      <c r="D386" s="15"/>
      <c r="E386" s="15"/>
      <c r="F386" s="15"/>
      <c r="G386" s="15"/>
      <c r="H386" s="103"/>
      <c r="I386" s="15"/>
      <c r="J386" s="15"/>
      <c r="K386" s="15"/>
      <c r="L386" s="15"/>
      <c r="M386" s="15"/>
      <c r="N386" s="15"/>
      <c r="O386" s="103"/>
      <c r="P386" s="15"/>
      <c r="Q386" s="15"/>
      <c r="R386" s="15"/>
      <c r="S386" s="15"/>
      <c r="T386" s="15"/>
      <c r="U386" s="15"/>
      <c r="V386" s="103"/>
      <c r="W386" s="15"/>
      <c r="X386" s="15"/>
      <c r="Y386" s="15"/>
      <c r="Z386" s="15"/>
      <c r="AA386" s="15"/>
      <c r="AB386" s="15"/>
      <c r="AC386" s="103"/>
      <c r="AD386" s="15"/>
      <c r="AE386" s="15"/>
      <c r="AF386" s="15"/>
      <c r="AG386" s="15"/>
      <c r="AH386" s="15"/>
      <c r="AI386" s="15"/>
      <c r="AJ386" s="103"/>
      <c r="AK386" s="15"/>
      <c r="AL386" s="15"/>
      <c r="AM386" s="15"/>
      <c r="AN386" s="15"/>
      <c r="AO386" s="15"/>
      <c r="AP386" s="15"/>
      <c r="AQ386" s="15"/>
    </row>
    <row r="387">
      <c r="A387" s="15"/>
      <c r="B387" s="15"/>
      <c r="C387" s="15"/>
      <c r="D387" s="15"/>
      <c r="E387" s="15"/>
      <c r="F387" s="15"/>
      <c r="G387" s="15"/>
      <c r="H387" s="103"/>
      <c r="I387" s="15"/>
      <c r="J387" s="15"/>
      <c r="K387" s="15"/>
      <c r="L387" s="15"/>
      <c r="M387" s="15"/>
      <c r="N387" s="15"/>
      <c r="O387" s="103"/>
      <c r="P387" s="15"/>
      <c r="Q387" s="15"/>
      <c r="R387" s="15"/>
      <c r="S387" s="15"/>
      <c r="T387" s="15"/>
      <c r="U387" s="15"/>
      <c r="V387" s="103"/>
      <c r="W387" s="15"/>
      <c r="X387" s="15"/>
      <c r="Y387" s="15"/>
      <c r="Z387" s="15"/>
      <c r="AA387" s="15"/>
      <c r="AB387" s="15"/>
      <c r="AC387" s="103"/>
      <c r="AD387" s="15"/>
      <c r="AE387" s="15"/>
      <c r="AF387" s="15"/>
      <c r="AG387" s="15"/>
      <c r="AH387" s="15"/>
      <c r="AI387" s="15"/>
      <c r="AJ387" s="103"/>
      <c r="AK387" s="15"/>
      <c r="AL387" s="15"/>
      <c r="AM387" s="15"/>
      <c r="AN387" s="15"/>
      <c r="AO387" s="15"/>
      <c r="AP387" s="15"/>
      <c r="AQ387" s="15"/>
    </row>
    <row r="388">
      <c r="A388" s="15"/>
      <c r="B388" s="15"/>
      <c r="C388" s="15"/>
      <c r="D388" s="15"/>
      <c r="E388" s="15"/>
      <c r="F388" s="15"/>
      <c r="G388" s="15"/>
      <c r="H388" s="103"/>
      <c r="I388" s="15"/>
      <c r="J388" s="15"/>
      <c r="K388" s="15"/>
      <c r="L388" s="15"/>
      <c r="M388" s="15"/>
      <c r="N388" s="15"/>
      <c r="O388" s="103"/>
      <c r="P388" s="15"/>
      <c r="Q388" s="15"/>
      <c r="R388" s="15"/>
      <c r="S388" s="15"/>
      <c r="T388" s="15"/>
      <c r="U388" s="15"/>
      <c r="V388" s="103"/>
      <c r="W388" s="15"/>
      <c r="X388" s="15"/>
      <c r="Y388" s="15"/>
      <c r="Z388" s="15"/>
      <c r="AA388" s="15"/>
      <c r="AB388" s="15"/>
      <c r="AC388" s="103"/>
      <c r="AD388" s="15"/>
      <c r="AE388" s="15"/>
      <c r="AF388" s="15"/>
      <c r="AG388" s="15"/>
      <c r="AH388" s="15"/>
      <c r="AI388" s="15"/>
      <c r="AJ388" s="103"/>
      <c r="AK388" s="15"/>
      <c r="AL388" s="15"/>
      <c r="AM388" s="15"/>
      <c r="AN388" s="15"/>
      <c r="AO388" s="15"/>
      <c r="AP388" s="15"/>
      <c r="AQ388" s="15"/>
    </row>
    <row r="389">
      <c r="A389" s="15"/>
      <c r="B389" s="15"/>
      <c r="C389" s="15"/>
      <c r="D389" s="15"/>
      <c r="E389" s="15"/>
      <c r="F389" s="15"/>
      <c r="G389" s="15"/>
      <c r="H389" s="103"/>
      <c r="I389" s="15"/>
      <c r="J389" s="15"/>
      <c r="K389" s="15"/>
      <c r="L389" s="15"/>
      <c r="M389" s="15"/>
      <c r="N389" s="15"/>
      <c r="O389" s="103"/>
      <c r="P389" s="15"/>
      <c r="Q389" s="15"/>
      <c r="R389" s="15"/>
      <c r="S389" s="15"/>
      <c r="T389" s="15"/>
      <c r="U389" s="15"/>
      <c r="V389" s="103"/>
      <c r="W389" s="15"/>
      <c r="X389" s="15"/>
      <c r="Y389" s="15"/>
      <c r="Z389" s="15"/>
      <c r="AA389" s="15"/>
      <c r="AB389" s="15"/>
      <c r="AC389" s="103"/>
      <c r="AD389" s="15"/>
      <c r="AE389" s="15"/>
      <c r="AF389" s="15"/>
      <c r="AG389" s="15"/>
      <c r="AH389" s="15"/>
      <c r="AI389" s="15"/>
      <c r="AJ389" s="103"/>
      <c r="AK389" s="15"/>
      <c r="AL389" s="15"/>
      <c r="AM389" s="15"/>
      <c r="AN389" s="15"/>
      <c r="AO389" s="15"/>
      <c r="AP389" s="15"/>
      <c r="AQ389" s="15"/>
    </row>
    <row r="390">
      <c r="A390" s="15"/>
      <c r="B390" s="15"/>
      <c r="C390" s="15"/>
      <c r="D390" s="15"/>
      <c r="E390" s="15"/>
      <c r="F390" s="15"/>
      <c r="G390" s="15"/>
      <c r="H390" s="103"/>
      <c r="I390" s="15"/>
      <c r="J390" s="15"/>
      <c r="K390" s="15"/>
      <c r="L390" s="15"/>
      <c r="M390" s="15"/>
      <c r="N390" s="15"/>
      <c r="O390" s="103"/>
      <c r="P390" s="15"/>
      <c r="Q390" s="15"/>
      <c r="R390" s="15"/>
      <c r="S390" s="15"/>
      <c r="T390" s="15"/>
      <c r="U390" s="15"/>
      <c r="V390" s="103"/>
      <c r="W390" s="15"/>
      <c r="X390" s="15"/>
      <c r="Y390" s="15"/>
      <c r="Z390" s="15"/>
      <c r="AA390" s="15"/>
      <c r="AB390" s="15"/>
      <c r="AC390" s="103"/>
      <c r="AD390" s="15"/>
      <c r="AE390" s="15"/>
      <c r="AF390" s="15"/>
      <c r="AG390" s="15"/>
      <c r="AH390" s="15"/>
      <c r="AI390" s="15"/>
      <c r="AJ390" s="103"/>
      <c r="AK390" s="15"/>
      <c r="AL390" s="15"/>
      <c r="AM390" s="15"/>
      <c r="AN390" s="15"/>
      <c r="AO390" s="15"/>
      <c r="AP390" s="15"/>
      <c r="AQ390" s="15"/>
    </row>
    <row r="391">
      <c r="A391" s="15"/>
      <c r="B391" s="15"/>
      <c r="C391" s="15"/>
      <c r="D391" s="15"/>
      <c r="E391" s="15"/>
      <c r="F391" s="15"/>
      <c r="G391" s="15"/>
      <c r="H391" s="103"/>
      <c r="I391" s="15"/>
      <c r="J391" s="15"/>
      <c r="K391" s="15"/>
      <c r="L391" s="15"/>
      <c r="M391" s="15"/>
      <c r="N391" s="15"/>
      <c r="O391" s="103"/>
      <c r="P391" s="15"/>
      <c r="Q391" s="15"/>
      <c r="R391" s="15"/>
      <c r="S391" s="15"/>
      <c r="T391" s="15"/>
      <c r="U391" s="15"/>
      <c r="V391" s="103"/>
      <c r="W391" s="15"/>
      <c r="X391" s="15"/>
      <c r="Y391" s="15"/>
      <c r="Z391" s="15"/>
      <c r="AA391" s="15"/>
      <c r="AB391" s="15"/>
      <c r="AC391" s="103"/>
      <c r="AD391" s="15"/>
      <c r="AE391" s="15"/>
      <c r="AF391" s="15"/>
      <c r="AG391" s="15"/>
      <c r="AH391" s="15"/>
      <c r="AI391" s="15"/>
      <c r="AJ391" s="103"/>
      <c r="AK391" s="15"/>
      <c r="AL391" s="15"/>
      <c r="AM391" s="15"/>
      <c r="AN391" s="15"/>
      <c r="AO391" s="15"/>
      <c r="AP391" s="15"/>
      <c r="AQ391" s="15"/>
    </row>
    <row r="392">
      <c r="A392" s="15"/>
      <c r="B392" s="15"/>
      <c r="C392" s="15"/>
      <c r="D392" s="15"/>
      <c r="E392" s="15"/>
      <c r="F392" s="15"/>
      <c r="G392" s="15"/>
      <c r="H392" s="103"/>
      <c r="I392" s="15"/>
      <c r="J392" s="15"/>
      <c r="K392" s="15"/>
      <c r="L392" s="15"/>
      <c r="M392" s="15"/>
      <c r="N392" s="15"/>
      <c r="O392" s="103"/>
      <c r="P392" s="15"/>
      <c r="Q392" s="15"/>
      <c r="R392" s="15"/>
      <c r="S392" s="15"/>
      <c r="T392" s="15"/>
      <c r="U392" s="15"/>
      <c r="V392" s="103"/>
      <c r="W392" s="15"/>
      <c r="X392" s="15"/>
      <c r="Y392" s="15"/>
      <c r="Z392" s="15"/>
      <c r="AA392" s="15"/>
      <c r="AB392" s="15"/>
      <c r="AC392" s="103"/>
      <c r="AD392" s="15"/>
      <c r="AE392" s="15"/>
      <c r="AF392" s="15"/>
      <c r="AG392" s="15"/>
      <c r="AH392" s="15"/>
      <c r="AI392" s="15"/>
      <c r="AJ392" s="103"/>
      <c r="AK392" s="15"/>
      <c r="AL392" s="15"/>
      <c r="AM392" s="15"/>
      <c r="AN392" s="15"/>
      <c r="AO392" s="15"/>
      <c r="AP392" s="15"/>
      <c r="AQ392" s="15"/>
    </row>
    <row r="393">
      <c r="A393" s="15"/>
      <c r="B393" s="15"/>
      <c r="C393" s="15"/>
      <c r="D393" s="15"/>
      <c r="E393" s="15"/>
      <c r="F393" s="15"/>
      <c r="G393" s="15"/>
      <c r="H393" s="103"/>
      <c r="I393" s="15"/>
      <c r="J393" s="15"/>
      <c r="K393" s="15"/>
      <c r="L393" s="15"/>
      <c r="M393" s="15"/>
      <c r="N393" s="15"/>
      <c r="O393" s="103"/>
      <c r="P393" s="15"/>
      <c r="Q393" s="15"/>
      <c r="R393" s="15"/>
      <c r="S393" s="15"/>
      <c r="T393" s="15"/>
      <c r="U393" s="15"/>
      <c r="V393" s="103"/>
      <c r="W393" s="15"/>
      <c r="X393" s="15"/>
      <c r="Y393" s="15"/>
      <c r="Z393" s="15"/>
      <c r="AA393" s="15"/>
      <c r="AB393" s="15"/>
      <c r="AC393" s="103"/>
      <c r="AD393" s="15"/>
      <c r="AE393" s="15"/>
      <c r="AF393" s="15"/>
      <c r="AG393" s="15"/>
      <c r="AH393" s="15"/>
      <c r="AI393" s="15"/>
      <c r="AJ393" s="103"/>
      <c r="AK393" s="15"/>
      <c r="AL393" s="15"/>
      <c r="AM393" s="15"/>
      <c r="AN393" s="15"/>
      <c r="AO393" s="15"/>
      <c r="AP393" s="15"/>
      <c r="AQ393" s="15"/>
    </row>
    <row r="394">
      <c r="A394" s="15"/>
      <c r="B394" s="15"/>
      <c r="C394" s="15"/>
      <c r="D394" s="15"/>
      <c r="E394" s="15"/>
      <c r="F394" s="15"/>
      <c r="G394" s="15"/>
      <c r="H394" s="103"/>
      <c r="I394" s="15"/>
      <c r="J394" s="15"/>
      <c r="K394" s="15"/>
      <c r="L394" s="15"/>
      <c r="M394" s="15"/>
      <c r="N394" s="15"/>
      <c r="O394" s="103"/>
      <c r="P394" s="15"/>
      <c r="Q394" s="15"/>
      <c r="R394" s="15"/>
      <c r="S394" s="15"/>
      <c r="T394" s="15"/>
      <c r="U394" s="15"/>
      <c r="V394" s="103"/>
      <c r="W394" s="15"/>
      <c r="X394" s="15"/>
      <c r="Y394" s="15"/>
      <c r="Z394" s="15"/>
      <c r="AA394" s="15"/>
      <c r="AB394" s="15"/>
      <c r="AC394" s="103"/>
      <c r="AD394" s="15"/>
      <c r="AE394" s="15"/>
      <c r="AF394" s="15"/>
      <c r="AG394" s="15"/>
      <c r="AH394" s="15"/>
      <c r="AI394" s="15"/>
      <c r="AJ394" s="103"/>
      <c r="AK394" s="15"/>
      <c r="AL394" s="15"/>
      <c r="AM394" s="15"/>
      <c r="AN394" s="15"/>
      <c r="AO394" s="15"/>
      <c r="AP394" s="15"/>
      <c r="AQ394" s="15"/>
    </row>
    <row r="395">
      <c r="A395" s="15"/>
      <c r="B395" s="15"/>
      <c r="C395" s="15"/>
      <c r="D395" s="15"/>
      <c r="E395" s="15"/>
      <c r="F395" s="15"/>
      <c r="G395" s="15"/>
      <c r="H395" s="103"/>
      <c r="I395" s="15"/>
      <c r="J395" s="15"/>
      <c r="K395" s="15"/>
      <c r="L395" s="15"/>
      <c r="M395" s="15"/>
      <c r="N395" s="15"/>
      <c r="O395" s="103"/>
      <c r="P395" s="15"/>
      <c r="Q395" s="15"/>
      <c r="R395" s="15"/>
      <c r="S395" s="15"/>
      <c r="T395" s="15"/>
      <c r="U395" s="15"/>
      <c r="V395" s="103"/>
      <c r="W395" s="15"/>
      <c r="X395" s="15"/>
      <c r="Y395" s="15"/>
      <c r="Z395" s="15"/>
      <c r="AA395" s="15"/>
      <c r="AB395" s="15"/>
      <c r="AC395" s="103"/>
      <c r="AD395" s="15"/>
      <c r="AE395" s="15"/>
      <c r="AF395" s="15"/>
      <c r="AG395" s="15"/>
      <c r="AH395" s="15"/>
      <c r="AI395" s="15"/>
      <c r="AJ395" s="103"/>
      <c r="AK395" s="15"/>
      <c r="AL395" s="15"/>
      <c r="AM395" s="15"/>
      <c r="AN395" s="15"/>
      <c r="AO395" s="15"/>
      <c r="AP395" s="15"/>
      <c r="AQ395" s="15"/>
    </row>
    <row r="396">
      <c r="A396" s="15"/>
      <c r="B396" s="15"/>
      <c r="C396" s="15"/>
      <c r="D396" s="15"/>
      <c r="E396" s="15"/>
      <c r="F396" s="15"/>
      <c r="G396" s="15"/>
      <c r="H396" s="103"/>
      <c r="I396" s="15"/>
      <c r="J396" s="15"/>
      <c r="K396" s="15"/>
      <c r="L396" s="15"/>
      <c r="M396" s="15"/>
      <c r="N396" s="15"/>
      <c r="O396" s="103"/>
      <c r="P396" s="15"/>
      <c r="Q396" s="15"/>
      <c r="R396" s="15"/>
      <c r="S396" s="15"/>
      <c r="T396" s="15"/>
      <c r="U396" s="15"/>
      <c r="V396" s="103"/>
      <c r="W396" s="15"/>
      <c r="X396" s="15"/>
      <c r="Y396" s="15"/>
      <c r="Z396" s="15"/>
      <c r="AA396" s="15"/>
      <c r="AB396" s="15"/>
      <c r="AC396" s="103"/>
      <c r="AD396" s="15"/>
      <c r="AE396" s="15"/>
      <c r="AF396" s="15"/>
      <c r="AG396" s="15"/>
      <c r="AH396" s="15"/>
      <c r="AI396" s="15"/>
      <c r="AJ396" s="103"/>
      <c r="AK396" s="15"/>
      <c r="AL396" s="15"/>
      <c r="AM396" s="15"/>
      <c r="AN396" s="15"/>
      <c r="AO396" s="15"/>
      <c r="AP396" s="15"/>
      <c r="AQ396" s="15"/>
    </row>
    <row r="397">
      <c r="A397" s="15"/>
      <c r="B397" s="15"/>
      <c r="C397" s="15"/>
      <c r="D397" s="15"/>
      <c r="E397" s="15"/>
      <c r="F397" s="15"/>
      <c r="G397" s="15"/>
      <c r="H397" s="103"/>
      <c r="I397" s="15"/>
      <c r="J397" s="15"/>
      <c r="K397" s="15"/>
      <c r="L397" s="15"/>
      <c r="M397" s="15"/>
      <c r="N397" s="15"/>
      <c r="O397" s="103"/>
      <c r="P397" s="15"/>
      <c r="Q397" s="15"/>
      <c r="R397" s="15"/>
      <c r="S397" s="15"/>
      <c r="T397" s="15"/>
      <c r="U397" s="15"/>
      <c r="V397" s="103"/>
      <c r="W397" s="15"/>
      <c r="X397" s="15"/>
      <c r="Y397" s="15"/>
      <c r="Z397" s="15"/>
      <c r="AA397" s="15"/>
      <c r="AB397" s="15"/>
      <c r="AC397" s="103"/>
      <c r="AD397" s="15"/>
      <c r="AE397" s="15"/>
      <c r="AF397" s="15"/>
      <c r="AG397" s="15"/>
      <c r="AH397" s="15"/>
      <c r="AI397" s="15"/>
      <c r="AJ397" s="103"/>
      <c r="AK397" s="15"/>
      <c r="AL397" s="15"/>
      <c r="AM397" s="15"/>
      <c r="AN397" s="15"/>
      <c r="AO397" s="15"/>
      <c r="AP397" s="15"/>
      <c r="AQ397" s="15"/>
    </row>
    <row r="398">
      <c r="A398" s="15"/>
      <c r="B398" s="15"/>
      <c r="C398" s="15"/>
      <c r="D398" s="15"/>
      <c r="E398" s="15"/>
      <c r="F398" s="15"/>
      <c r="G398" s="15"/>
      <c r="H398" s="103"/>
      <c r="I398" s="15"/>
      <c r="J398" s="15"/>
      <c r="K398" s="15"/>
      <c r="L398" s="15"/>
      <c r="M398" s="15"/>
      <c r="N398" s="15"/>
      <c r="O398" s="103"/>
      <c r="P398" s="15"/>
      <c r="Q398" s="15"/>
      <c r="R398" s="15"/>
      <c r="S398" s="15"/>
      <c r="T398" s="15"/>
      <c r="U398" s="15"/>
      <c r="V398" s="103"/>
      <c r="W398" s="15"/>
      <c r="X398" s="15"/>
      <c r="Y398" s="15"/>
      <c r="Z398" s="15"/>
      <c r="AA398" s="15"/>
      <c r="AB398" s="15"/>
      <c r="AC398" s="103"/>
      <c r="AD398" s="15"/>
      <c r="AE398" s="15"/>
      <c r="AF398" s="15"/>
      <c r="AG398" s="15"/>
      <c r="AH398" s="15"/>
      <c r="AI398" s="15"/>
      <c r="AJ398" s="103"/>
      <c r="AK398" s="15"/>
      <c r="AL398" s="15"/>
      <c r="AM398" s="15"/>
      <c r="AN398" s="15"/>
      <c r="AO398" s="15"/>
      <c r="AP398" s="15"/>
      <c r="AQ398" s="15"/>
    </row>
    <row r="399">
      <c r="A399" s="15"/>
      <c r="B399" s="15"/>
      <c r="C399" s="15"/>
      <c r="D399" s="15"/>
      <c r="E399" s="15"/>
      <c r="F399" s="15"/>
      <c r="G399" s="15"/>
      <c r="H399" s="103"/>
      <c r="I399" s="15"/>
      <c r="J399" s="15"/>
      <c r="K399" s="15"/>
      <c r="L399" s="15"/>
      <c r="M399" s="15"/>
      <c r="N399" s="15"/>
      <c r="O399" s="103"/>
      <c r="P399" s="15"/>
      <c r="Q399" s="15"/>
      <c r="R399" s="15"/>
      <c r="S399" s="15"/>
      <c r="T399" s="15"/>
      <c r="U399" s="15"/>
      <c r="V399" s="103"/>
      <c r="W399" s="15"/>
      <c r="X399" s="15"/>
      <c r="Y399" s="15"/>
      <c r="Z399" s="15"/>
      <c r="AA399" s="15"/>
      <c r="AB399" s="15"/>
      <c r="AC399" s="103"/>
      <c r="AD399" s="15"/>
      <c r="AE399" s="15"/>
      <c r="AF399" s="15"/>
      <c r="AG399" s="15"/>
      <c r="AH399" s="15"/>
      <c r="AI399" s="15"/>
      <c r="AJ399" s="103"/>
      <c r="AK399" s="15"/>
      <c r="AL399" s="15"/>
      <c r="AM399" s="15"/>
      <c r="AN399" s="15"/>
      <c r="AO399" s="15"/>
      <c r="AP399" s="15"/>
      <c r="AQ399" s="15"/>
    </row>
    <row r="400">
      <c r="A400" s="15"/>
      <c r="B400" s="15"/>
      <c r="C400" s="15"/>
      <c r="D400" s="15"/>
      <c r="E400" s="15"/>
      <c r="F400" s="15"/>
      <c r="G400" s="15"/>
      <c r="H400" s="103"/>
      <c r="I400" s="15"/>
      <c r="J400" s="15"/>
      <c r="K400" s="15"/>
      <c r="L400" s="15"/>
      <c r="M400" s="15"/>
      <c r="N400" s="15"/>
      <c r="O400" s="103"/>
      <c r="P400" s="15"/>
      <c r="Q400" s="15"/>
      <c r="R400" s="15"/>
      <c r="S400" s="15"/>
      <c r="T400" s="15"/>
      <c r="U400" s="15"/>
      <c r="V400" s="103"/>
      <c r="W400" s="15"/>
      <c r="X400" s="15"/>
      <c r="Y400" s="15"/>
      <c r="Z400" s="15"/>
      <c r="AA400" s="15"/>
      <c r="AB400" s="15"/>
      <c r="AC400" s="103"/>
      <c r="AD400" s="15"/>
      <c r="AE400" s="15"/>
      <c r="AF400" s="15"/>
      <c r="AG400" s="15"/>
      <c r="AH400" s="15"/>
      <c r="AI400" s="15"/>
      <c r="AJ400" s="103"/>
      <c r="AK400" s="15"/>
      <c r="AL400" s="15"/>
      <c r="AM400" s="15"/>
      <c r="AN400" s="15"/>
      <c r="AO400" s="15"/>
      <c r="AP400" s="15"/>
      <c r="AQ400" s="15"/>
    </row>
    <row r="401">
      <c r="A401" s="15"/>
      <c r="B401" s="15"/>
      <c r="C401" s="15"/>
      <c r="D401" s="15"/>
      <c r="E401" s="15"/>
      <c r="F401" s="15"/>
      <c r="G401" s="15"/>
      <c r="H401" s="103"/>
      <c r="I401" s="15"/>
      <c r="J401" s="15"/>
      <c r="K401" s="15"/>
      <c r="L401" s="15"/>
      <c r="M401" s="15"/>
      <c r="N401" s="15"/>
      <c r="O401" s="103"/>
      <c r="P401" s="15"/>
      <c r="Q401" s="15"/>
      <c r="R401" s="15"/>
      <c r="S401" s="15"/>
      <c r="T401" s="15"/>
      <c r="U401" s="15"/>
      <c r="V401" s="103"/>
      <c r="W401" s="15"/>
      <c r="X401" s="15"/>
      <c r="Y401" s="15"/>
      <c r="Z401" s="15"/>
      <c r="AA401" s="15"/>
      <c r="AB401" s="15"/>
      <c r="AC401" s="103"/>
      <c r="AD401" s="15"/>
      <c r="AE401" s="15"/>
      <c r="AF401" s="15"/>
      <c r="AG401" s="15"/>
      <c r="AH401" s="15"/>
      <c r="AI401" s="15"/>
      <c r="AJ401" s="103"/>
      <c r="AK401" s="15"/>
      <c r="AL401" s="15"/>
      <c r="AM401" s="15"/>
      <c r="AN401" s="15"/>
      <c r="AO401" s="15"/>
      <c r="AP401" s="15"/>
      <c r="AQ401" s="15"/>
    </row>
    <row r="402">
      <c r="A402" s="15"/>
      <c r="B402" s="15"/>
      <c r="C402" s="15"/>
      <c r="D402" s="15"/>
      <c r="E402" s="15"/>
      <c r="F402" s="15"/>
      <c r="G402" s="15"/>
      <c r="H402" s="103"/>
      <c r="I402" s="15"/>
      <c r="J402" s="15"/>
      <c r="K402" s="15"/>
      <c r="L402" s="15"/>
      <c r="M402" s="15"/>
      <c r="N402" s="15"/>
      <c r="O402" s="103"/>
      <c r="P402" s="15"/>
      <c r="Q402" s="15"/>
      <c r="R402" s="15"/>
      <c r="S402" s="15"/>
      <c r="T402" s="15"/>
      <c r="U402" s="15"/>
      <c r="V402" s="103"/>
      <c r="W402" s="15"/>
      <c r="X402" s="15"/>
      <c r="Y402" s="15"/>
      <c r="Z402" s="15"/>
      <c r="AA402" s="15"/>
      <c r="AB402" s="15"/>
      <c r="AC402" s="103"/>
      <c r="AD402" s="15"/>
      <c r="AE402" s="15"/>
      <c r="AF402" s="15"/>
      <c r="AG402" s="15"/>
      <c r="AH402" s="15"/>
      <c r="AI402" s="15"/>
      <c r="AJ402" s="103"/>
      <c r="AK402" s="15"/>
      <c r="AL402" s="15"/>
      <c r="AM402" s="15"/>
      <c r="AN402" s="15"/>
      <c r="AO402" s="15"/>
      <c r="AP402" s="15"/>
      <c r="AQ402" s="15"/>
    </row>
    <row r="403">
      <c r="A403" s="15"/>
      <c r="B403" s="15"/>
      <c r="C403" s="15"/>
      <c r="D403" s="15"/>
      <c r="E403" s="15"/>
      <c r="F403" s="15"/>
      <c r="G403" s="15"/>
      <c r="H403" s="103"/>
      <c r="I403" s="15"/>
      <c r="J403" s="15"/>
      <c r="K403" s="15"/>
      <c r="L403" s="15"/>
      <c r="M403" s="15"/>
      <c r="N403" s="15"/>
      <c r="O403" s="103"/>
      <c r="P403" s="15"/>
      <c r="Q403" s="15"/>
      <c r="R403" s="15"/>
      <c r="S403" s="15"/>
      <c r="T403" s="15"/>
      <c r="U403" s="15"/>
      <c r="V403" s="103"/>
      <c r="W403" s="15"/>
      <c r="X403" s="15"/>
      <c r="Y403" s="15"/>
      <c r="Z403" s="15"/>
      <c r="AA403" s="15"/>
      <c r="AB403" s="15"/>
      <c r="AC403" s="103"/>
      <c r="AD403" s="15"/>
      <c r="AE403" s="15"/>
      <c r="AF403" s="15"/>
      <c r="AG403" s="15"/>
      <c r="AH403" s="15"/>
      <c r="AI403" s="15"/>
      <c r="AJ403" s="103"/>
      <c r="AK403" s="15"/>
      <c r="AL403" s="15"/>
      <c r="AM403" s="15"/>
      <c r="AN403" s="15"/>
      <c r="AO403" s="15"/>
      <c r="AP403" s="15"/>
      <c r="AQ403" s="15"/>
    </row>
    <row r="404">
      <c r="A404" s="15"/>
      <c r="B404" s="15"/>
      <c r="C404" s="15"/>
      <c r="D404" s="15"/>
      <c r="E404" s="15"/>
      <c r="F404" s="15"/>
      <c r="G404" s="15"/>
      <c r="H404" s="103"/>
      <c r="I404" s="15"/>
      <c r="J404" s="15"/>
      <c r="K404" s="15"/>
      <c r="L404" s="15"/>
      <c r="M404" s="15"/>
      <c r="N404" s="15"/>
      <c r="O404" s="103"/>
      <c r="P404" s="15"/>
      <c r="Q404" s="15"/>
      <c r="R404" s="15"/>
      <c r="S404" s="15"/>
      <c r="T404" s="15"/>
      <c r="U404" s="15"/>
      <c r="V404" s="103"/>
      <c r="W404" s="15"/>
      <c r="X404" s="15"/>
      <c r="Y404" s="15"/>
      <c r="Z404" s="15"/>
      <c r="AA404" s="15"/>
      <c r="AB404" s="15"/>
      <c r="AC404" s="103"/>
      <c r="AD404" s="15"/>
      <c r="AE404" s="15"/>
      <c r="AF404" s="15"/>
      <c r="AG404" s="15"/>
      <c r="AH404" s="15"/>
      <c r="AI404" s="15"/>
      <c r="AJ404" s="103"/>
      <c r="AK404" s="15"/>
      <c r="AL404" s="15"/>
      <c r="AM404" s="15"/>
      <c r="AN404" s="15"/>
      <c r="AO404" s="15"/>
      <c r="AP404" s="15"/>
      <c r="AQ404" s="15"/>
    </row>
    <row r="405">
      <c r="A405" s="15"/>
      <c r="B405" s="15"/>
      <c r="C405" s="15"/>
      <c r="D405" s="15"/>
      <c r="E405" s="15"/>
      <c r="F405" s="15"/>
      <c r="G405" s="15"/>
      <c r="H405" s="103"/>
      <c r="I405" s="15"/>
      <c r="J405" s="15"/>
      <c r="K405" s="15"/>
      <c r="L405" s="15"/>
      <c r="M405" s="15"/>
      <c r="N405" s="15"/>
      <c r="O405" s="103"/>
      <c r="P405" s="15"/>
      <c r="Q405" s="15"/>
      <c r="R405" s="15"/>
      <c r="S405" s="15"/>
      <c r="T405" s="15"/>
      <c r="U405" s="15"/>
      <c r="V405" s="103"/>
      <c r="W405" s="15"/>
      <c r="X405" s="15"/>
      <c r="Y405" s="15"/>
      <c r="Z405" s="15"/>
      <c r="AA405" s="15"/>
      <c r="AB405" s="15"/>
      <c r="AC405" s="103"/>
      <c r="AD405" s="15"/>
      <c r="AE405" s="15"/>
      <c r="AF405" s="15"/>
      <c r="AG405" s="15"/>
      <c r="AH405" s="15"/>
      <c r="AI405" s="15"/>
      <c r="AJ405" s="103"/>
      <c r="AK405" s="15"/>
      <c r="AL405" s="15"/>
      <c r="AM405" s="15"/>
      <c r="AN405" s="15"/>
      <c r="AO405" s="15"/>
      <c r="AP405" s="15"/>
      <c r="AQ405" s="15"/>
    </row>
    <row r="406">
      <c r="A406" s="15"/>
      <c r="B406" s="15"/>
      <c r="C406" s="15"/>
      <c r="D406" s="15"/>
      <c r="E406" s="15"/>
      <c r="F406" s="15"/>
      <c r="G406" s="15"/>
      <c r="H406" s="103"/>
      <c r="I406" s="15"/>
      <c r="J406" s="15"/>
      <c r="K406" s="15"/>
      <c r="L406" s="15"/>
      <c r="M406" s="15"/>
      <c r="N406" s="15"/>
      <c r="O406" s="103"/>
      <c r="P406" s="15"/>
      <c r="Q406" s="15"/>
      <c r="R406" s="15"/>
      <c r="S406" s="15"/>
      <c r="T406" s="15"/>
      <c r="U406" s="15"/>
      <c r="V406" s="103"/>
      <c r="W406" s="15"/>
      <c r="X406" s="15"/>
      <c r="Y406" s="15"/>
      <c r="Z406" s="15"/>
      <c r="AA406" s="15"/>
      <c r="AB406" s="15"/>
      <c r="AC406" s="103"/>
      <c r="AD406" s="15"/>
      <c r="AE406" s="15"/>
      <c r="AF406" s="15"/>
      <c r="AG406" s="15"/>
      <c r="AH406" s="15"/>
      <c r="AI406" s="15"/>
      <c r="AJ406" s="103"/>
      <c r="AK406" s="15"/>
      <c r="AL406" s="15"/>
      <c r="AM406" s="15"/>
      <c r="AN406" s="15"/>
      <c r="AO406" s="15"/>
      <c r="AP406" s="15"/>
      <c r="AQ406" s="15"/>
    </row>
    <row r="407">
      <c r="A407" s="15"/>
      <c r="B407" s="15"/>
      <c r="C407" s="15"/>
      <c r="D407" s="15"/>
      <c r="E407" s="15"/>
      <c r="F407" s="15"/>
      <c r="G407" s="15"/>
      <c r="H407" s="103"/>
      <c r="I407" s="15"/>
      <c r="J407" s="15"/>
      <c r="K407" s="15"/>
      <c r="L407" s="15"/>
      <c r="M407" s="15"/>
      <c r="N407" s="15"/>
      <c r="O407" s="103"/>
      <c r="P407" s="15"/>
      <c r="Q407" s="15"/>
      <c r="R407" s="15"/>
      <c r="S407" s="15"/>
      <c r="T407" s="15"/>
      <c r="U407" s="15"/>
      <c r="V407" s="103"/>
      <c r="W407" s="15"/>
      <c r="X407" s="15"/>
      <c r="Y407" s="15"/>
      <c r="Z407" s="15"/>
      <c r="AA407" s="15"/>
      <c r="AB407" s="15"/>
      <c r="AC407" s="103"/>
      <c r="AD407" s="15"/>
      <c r="AE407" s="15"/>
      <c r="AF407" s="15"/>
      <c r="AG407" s="15"/>
      <c r="AH407" s="15"/>
      <c r="AI407" s="15"/>
      <c r="AJ407" s="103"/>
      <c r="AK407" s="15"/>
      <c r="AL407" s="15"/>
      <c r="AM407" s="15"/>
      <c r="AN407" s="15"/>
      <c r="AO407" s="15"/>
      <c r="AP407" s="15"/>
      <c r="AQ407" s="15"/>
    </row>
    <row r="408">
      <c r="A408" s="15"/>
      <c r="B408" s="15"/>
      <c r="C408" s="15"/>
      <c r="D408" s="15"/>
      <c r="E408" s="15"/>
      <c r="F408" s="15"/>
      <c r="G408" s="15"/>
      <c r="H408" s="103"/>
      <c r="I408" s="15"/>
      <c r="J408" s="15"/>
      <c r="K408" s="15"/>
      <c r="L408" s="15"/>
      <c r="M408" s="15"/>
      <c r="N408" s="15"/>
      <c r="O408" s="103"/>
      <c r="P408" s="15"/>
      <c r="Q408" s="15"/>
      <c r="R408" s="15"/>
      <c r="S408" s="15"/>
      <c r="T408" s="15"/>
      <c r="U408" s="15"/>
      <c r="V408" s="103"/>
      <c r="W408" s="15"/>
      <c r="X408" s="15"/>
      <c r="Y408" s="15"/>
      <c r="Z408" s="15"/>
      <c r="AA408" s="15"/>
      <c r="AB408" s="15"/>
      <c r="AC408" s="103"/>
      <c r="AD408" s="15"/>
      <c r="AE408" s="15"/>
      <c r="AF408" s="15"/>
      <c r="AG408" s="15"/>
      <c r="AH408" s="15"/>
      <c r="AI408" s="15"/>
      <c r="AJ408" s="103"/>
      <c r="AK408" s="15"/>
      <c r="AL408" s="15"/>
      <c r="AM408" s="15"/>
      <c r="AN408" s="15"/>
      <c r="AO408" s="15"/>
      <c r="AP408" s="15"/>
      <c r="AQ408" s="15"/>
    </row>
    <row r="409">
      <c r="A409" s="15"/>
      <c r="B409" s="15"/>
      <c r="C409" s="15"/>
      <c r="D409" s="15"/>
      <c r="E409" s="15"/>
      <c r="F409" s="15"/>
      <c r="G409" s="15"/>
      <c r="H409" s="103"/>
      <c r="I409" s="15"/>
      <c r="J409" s="15"/>
      <c r="K409" s="15"/>
      <c r="L409" s="15"/>
      <c r="M409" s="15"/>
      <c r="N409" s="15"/>
      <c r="O409" s="103"/>
      <c r="P409" s="15"/>
      <c r="Q409" s="15"/>
      <c r="R409" s="15"/>
      <c r="S409" s="15"/>
      <c r="T409" s="15"/>
      <c r="U409" s="15"/>
      <c r="V409" s="103"/>
      <c r="W409" s="15"/>
      <c r="X409" s="15"/>
      <c r="Y409" s="15"/>
      <c r="Z409" s="15"/>
      <c r="AA409" s="15"/>
      <c r="AB409" s="15"/>
      <c r="AC409" s="103"/>
      <c r="AD409" s="15"/>
      <c r="AE409" s="15"/>
      <c r="AF409" s="15"/>
      <c r="AG409" s="15"/>
      <c r="AH409" s="15"/>
      <c r="AI409" s="15"/>
      <c r="AJ409" s="103"/>
      <c r="AK409" s="15"/>
      <c r="AL409" s="15"/>
      <c r="AM409" s="15"/>
      <c r="AN409" s="15"/>
      <c r="AO409" s="15"/>
      <c r="AP409" s="15"/>
      <c r="AQ409" s="15"/>
    </row>
    <row r="410">
      <c r="A410" s="15"/>
      <c r="B410" s="15"/>
      <c r="C410" s="15"/>
      <c r="D410" s="15"/>
      <c r="E410" s="15"/>
      <c r="F410" s="15"/>
      <c r="G410" s="15"/>
      <c r="H410" s="103"/>
      <c r="I410" s="15"/>
      <c r="J410" s="15"/>
      <c r="K410" s="15"/>
      <c r="L410" s="15"/>
      <c r="M410" s="15"/>
      <c r="N410" s="15"/>
      <c r="O410" s="103"/>
      <c r="P410" s="15"/>
      <c r="Q410" s="15"/>
      <c r="R410" s="15"/>
      <c r="S410" s="15"/>
      <c r="T410" s="15"/>
      <c r="U410" s="15"/>
      <c r="V410" s="103"/>
      <c r="W410" s="15"/>
      <c r="X410" s="15"/>
      <c r="Y410" s="15"/>
      <c r="Z410" s="15"/>
      <c r="AA410" s="15"/>
      <c r="AB410" s="15"/>
      <c r="AC410" s="103"/>
      <c r="AD410" s="15"/>
      <c r="AE410" s="15"/>
      <c r="AF410" s="15"/>
      <c r="AG410" s="15"/>
      <c r="AH410" s="15"/>
      <c r="AI410" s="15"/>
      <c r="AJ410" s="103"/>
      <c r="AK410" s="15"/>
      <c r="AL410" s="15"/>
      <c r="AM410" s="15"/>
      <c r="AN410" s="15"/>
      <c r="AO410" s="15"/>
      <c r="AP410" s="15"/>
      <c r="AQ410" s="15"/>
    </row>
    <row r="411">
      <c r="A411" s="15"/>
      <c r="B411" s="15"/>
      <c r="C411" s="15"/>
      <c r="D411" s="15"/>
      <c r="E411" s="15"/>
      <c r="F411" s="15"/>
      <c r="G411" s="15"/>
      <c r="H411" s="103"/>
      <c r="I411" s="15"/>
      <c r="J411" s="15"/>
      <c r="K411" s="15"/>
      <c r="L411" s="15"/>
      <c r="M411" s="15"/>
      <c r="N411" s="15"/>
      <c r="O411" s="103"/>
      <c r="P411" s="15"/>
      <c r="Q411" s="15"/>
      <c r="R411" s="15"/>
      <c r="S411" s="15"/>
      <c r="T411" s="15"/>
      <c r="U411" s="15"/>
      <c r="V411" s="103"/>
      <c r="W411" s="15"/>
      <c r="X411" s="15"/>
      <c r="Y411" s="15"/>
      <c r="Z411" s="15"/>
      <c r="AA411" s="15"/>
      <c r="AB411" s="15"/>
      <c r="AC411" s="103"/>
      <c r="AD411" s="15"/>
      <c r="AE411" s="15"/>
      <c r="AF411" s="15"/>
      <c r="AG411" s="15"/>
      <c r="AH411" s="15"/>
      <c r="AI411" s="15"/>
      <c r="AJ411" s="103"/>
      <c r="AK411" s="15"/>
      <c r="AL411" s="15"/>
      <c r="AM411" s="15"/>
      <c r="AN411" s="15"/>
      <c r="AO411" s="15"/>
      <c r="AP411" s="15"/>
      <c r="AQ411" s="15"/>
    </row>
    <row r="412">
      <c r="A412" s="15"/>
      <c r="B412" s="15"/>
      <c r="C412" s="15"/>
      <c r="D412" s="15"/>
      <c r="E412" s="15"/>
      <c r="F412" s="15"/>
      <c r="G412" s="15"/>
      <c r="H412" s="103"/>
      <c r="I412" s="15"/>
      <c r="J412" s="15"/>
      <c r="K412" s="15"/>
      <c r="L412" s="15"/>
      <c r="M412" s="15"/>
      <c r="N412" s="15"/>
      <c r="O412" s="103"/>
      <c r="P412" s="15"/>
      <c r="Q412" s="15"/>
      <c r="R412" s="15"/>
      <c r="S412" s="15"/>
      <c r="T412" s="15"/>
      <c r="U412" s="15"/>
      <c r="V412" s="103"/>
      <c r="W412" s="15"/>
      <c r="X412" s="15"/>
      <c r="Y412" s="15"/>
      <c r="Z412" s="15"/>
      <c r="AA412" s="15"/>
      <c r="AB412" s="15"/>
      <c r="AC412" s="103"/>
      <c r="AD412" s="15"/>
      <c r="AE412" s="15"/>
      <c r="AF412" s="15"/>
      <c r="AG412" s="15"/>
      <c r="AH412" s="15"/>
      <c r="AI412" s="15"/>
      <c r="AJ412" s="103"/>
      <c r="AK412" s="15"/>
      <c r="AL412" s="15"/>
      <c r="AM412" s="15"/>
      <c r="AN412" s="15"/>
      <c r="AO412" s="15"/>
      <c r="AP412" s="15"/>
      <c r="AQ412" s="15"/>
    </row>
    <row r="413">
      <c r="A413" s="15"/>
      <c r="B413" s="15"/>
      <c r="C413" s="15"/>
      <c r="D413" s="15"/>
      <c r="E413" s="15"/>
      <c r="F413" s="15"/>
      <c r="G413" s="15"/>
      <c r="H413" s="103"/>
      <c r="I413" s="15"/>
      <c r="J413" s="15"/>
      <c r="K413" s="15"/>
      <c r="L413" s="15"/>
      <c r="M413" s="15"/>
      <c r="N413" s="15"/>
      <c r="O413" s="103"/>
      <c r="P413" s="15"/>
      <c r="Q413" s="15"/>
      <c r="R413" s="15"/>
      <c r="S413" s="15"/>
      <c r="T413" s="15"/>
      <c r="U413" s="15"/>
      <c r="V413" s="103"/>
      <c r="W413" s="15"/>
      <c r="X413" s="15"/>
      <c r="Y413" s="15"/>
      <c r="Z413" s="15"/>
      <c r="AA413" s="15"/>
      <c r="AB413" s="15"/>
      <c r="AC413" s="103"/>
      <c r="AD413" s="15"/>
      <c r="AE413" s="15"/>
      <c r="AF413" s="15"/>
      <c r="AG413" s="15"/>
      <c r="AH413" s="15"/>
      <c r="AI413" s="15"/>
      <c r="AJ413" s="103"/>
      <c r="AK413" s="15"/>
      <c r="AL413" s="15"/>
      <c r="AM413" s="15"/>
      <c r="AN413" s="15"/>
      <c r="AO413" s="15"/>
      <c r="AP413" s="15"/>
      <c r="AQ413" s="15"/>
    </row>
    <row r="414">
      <c r="A414" s="15"/>
      <c r="B414" s="15"/>
      <c r="C414" s="15"/>
      <c r="D414" s="15"/>
      <c r="E414" s="15"/>
      <c r="F414" s="15"/>
      <c r="G414" s="15"/>
      <c r="H414" s="103"/>
      <c r="I414" s="15"/>
      <c r="J414" s="15"/>
      <c r="K414" s="15"/>
      <c r="L414" s="15"/>
      <c r="M414" s="15"/>
      <c r="N414" s="15"/>
      <c r="O414" s="103"/>
      <c r="P414" s="15"/>
      <c r="Q414" s="15"/>
      <c r="R414" s="15"/>
      <c r="S414" s="15"/>
      <c r="T414" s="15"/>
      <c r="U414" s="15"/>
      <c r="V414" s="103"/>
      <c r="W414" s="15"/>
      <c r="X414" s="15"/>
      <c r="Y414" s="15"/>
      <c r="Z414" s="15"/>
      <c r="AA414" s="15"/>
      <c r="AB414" s="15"/>
      <c r="AC414" s="103"/>
      <c r="AD414" s="15"/>
      <c r="AE414" s="15"/>
      <c r="AF414" s="15"/>
      <c r="AG414" s="15"/>
      <c r="AH414" s="15"/>
      <c r="AI414" s="15"/>
      <c r="AJ414" s="103"/>
      <c r="AK414" s="15"/>
      <c r="AL414" s="15"/>
      <c r="AM414" s="15"/>
      <c r="AN414" s="15"/>
      <c r="AO414" s="15"/>
      <c r="AP414" s="15"/>
      <c r="AQ414" s="15"/>
    </row>
    <row r="415">
      <c r="A415" s="15"/>
      <c r="B415" s="15"/>
      <c r="C415" s="15"/>
      <c r="D415" s="15"/>
      <c r="E415" s="15"/>
      <c r="F415" s="15"/>
      <c r="G415" s="15"/>
      <c r="H415" s="103"/>
      <c r="I415" s="15"/>
      <c r="J415" s="15"/>
      <c r="K415" s="15"/>
      <c r="L415" s="15"/>
      <c r="M415" s="15"/>
      <c r="N415" s="15"/>
      <c r="O415" s="103"/>
      <c r="P415" s="15"/>
      <c r="Q415" s="15"/>
      <c r="R415" s="15"/>
      <c r="S415" s="15"/>
      <c r="T415" s="15"/>
      <c r="U415" s="15"/>
      <c r="V415" s="103"/>
      <c r="W415" s="15"/>
      <c r="X415" s="15"/>
      <c r="Y415" s="15"/>
      <c r="Z415" s="15"/>
      <c r="AA415" s="15"/>
      <c r="AB415" s="15"/>
      <c r="AC415" s="103"/>
      <c r="AD415" s="15"/>
      <c r="AE415" s="15"/>
      <c r="AF415" s="15"/>
      <c r="AG415" s="15"/>
      <c r="AH415" s="15"/>
      <c r="AI415" s="15"/>
      <c r="AJ415" s="103"/>
      <c r="AK415" s="15"/>
      <c r="AL415" s="15"/>
      <c r="AM415" s="15"/>
      <c r="AN415" s="15"/>
      <c r="AO415" s="15"/>
      <c r="AP415" s="15"/>
      <c r="AQ415" s="15"/>
    </row>
    <row r="416">
      <c r="A416" s="15"/>
      <c r="B416" s="15"/>
      <c r="C416" s="15"/>
      <c r="D416" s="15"/>
      <c r="E416" s="15"/>
      <c r="F416" s="15"/>
      <c r="G416" s="15"/>
      <c r="H416" s="103"/>
      <c r="I416" s="15"/>
      <c r="J416" s="15"/>
      <c r="K416" s="15"/>
      <c r="L416" s="15"/>
      <c r="M416" s="15"/>
      <c r="N416" s="15"/>
      <c r="O416" s="103"/>
      <c r="P416" s="15"/>
      <c r="Q416" s="15"/>
      <c r="R416" s="15"/>
      <c r="S416" s="15"/>
      <c r="T416" s="15"/>
      <c r="U416" s="15"/>
      <c r="V416" s="103"/>
      <c r="W416" s="15"/>
      <c r="X416" s="15"/>
      <c r="Y416" s="15"/>
      <c r="Z416" s="15"/>
      <c r="AA416" s="15"/>
      <c r="AB416" s="15"/>
      <c r="AC416" s="103"/>
      <c r="AD416" s="15"/>
      <c r="AE416" s="15"/>
      <c r="AF416" s="15"/>
      <c r="AG416" s="15"/>
      <c r="AH416" s="15"/>
      <c r="AI416" s="15"/>
      <c r="AJ416" s="103"/>
      <c r="AK416" s="15"/>
      <c r="AL416" s="15"/>
      <c r="AM416" s="15"/>
      <c r="AN416" s="15"/>
      <c r="AO416" s="15"/>
      <c r="AP416" s="15"/>
      <c r="AQ416" s="15"/>
    </row>
    <row r="417">
      <c r="A417" s="15"/>
      <c r="B417" s="15"/>
      <c r="C417" s="15"/>
      <c r="D417" s="15"/>
      <c r="E417" s="15"/>
      <c r="F417" s="15"/>
      <c r="G417" s="15"/>
      <c r="H417" s="103"/>
      <c r="I417" s="15"/>
      <c r="J417" s="15"/>
      <c r="K417" s="15"/>
      <c r="L417" s="15"/>
      <c r="M417" s="15"/>
      <c r="N417" s="15"/>
      <c r="O417" s="103"/>
      <c r="P417" s="15"/>
      <c r="Q417" s="15"/>
      <c r="R417" s="15"/>
      <c r="S417" s="15"/>
      <c r="T417" s="15"/>
      <c r="U417" s="15"/>
      <c r="V417" s="103"/>
      <c r="W417" s="15"/>
      <c r="X417" s="15"/>
      <c r="Y417" s="15"/>
      <c r="Z417" s="15"/>
      <c r="AA417" s="15"/>
      <c r="AB417" s="15"/>
      <c r="AC417" s="103"/>
      <c r="AD417" s="15"/>
      <c r="AE417" s="15"/>
      <c r="AF417" s="15"/>
      <c r="AG417" s="15"/>
      <c r="AH417" s="15"/>
      <c r="AI417" s="15"/>
      <c r="AJ417" s="103"/>
      <c r="AK417" s="15"/>
      <c r="AL417" s="15"/>
      <c r="AM417" s="15"/>
      <c r="AN417" s="15"/>
      <c r="AO417" s="15"/>
      <c r="AP417" s="15"/>
      <c r="AQ417" s="15"/>
    </row>
    <row r="418">
      <c r="A418" s="15"/>
      <c r="B418" s="15"/>
      <c r="C418" s="15"/>
      <c r="D418" s="15"/>
      <c r="E418" s="15"/>
      <c r="F418" s="15"/>
      <c r="G418" s="15"/>
      <c r="H418" s="103"/>
      <c r="I418" s="15"/>
      <c r="J418" s="15"/>
      <c r="K418" s="15"/>
      <c r="L418" s="15"/>
      <c r="M418" s="15"/>
      <c r="N418" s="15"/>
      <c r="O418" s="103"/>
      <c r="P418" s="15"/>
      <c r="Q418" s="15"/>
      <c r="R418" s="15"/>
      <c r="S418" s="15"/>
      <c r="T418" s="15"/>
      <c r="U418" s="15"/>
      <c r="V418" s="103"/>
      <c r="W418" s="15"/>
      <c r="X418" s="15"/>
      <c r="Y418" s="15"/>
      <c r="Z418" s="15"/>
      <c r="AA418" s="15"/>
      <c r="AB418" s="15"/>
      <c r="AC418" s="103"/>
      <c r="AD418" s="15"/>
      <c r="AE418" s="15"/>
      <c r="AF418" s="15"/>
      <c r="AG418" s="15"/>
      <c r="AH418" s="15"/>
      <c r="AI418" s="15"/>
      <c r="AJ418" s="103"/>
      <c r="AK418" s="15"/>
      <c r="AL418" s="15"/>
      <c r="AM418" s="15"/>
      <c r="AN418" s="15"/>
      <c r="AO418" s="15"/>
      <c r="AP418" s="15"/>
      <c r="AQ418" s="15"/>
    </row>
    <row r="419">
      <c r="A419" s="15"/>
      <c r="B419" s="15"/>
      <c r="C419" s="15"/>
      <c r="D419" s="15"/>
      <c r="E419" s="15"/>
      <c r="F419" s="15"/>
      <c r="G419" s="15"/>
      <c r="H419" s="103"/>
      <c r="I419" s="15"/>
      <c r="J419" s="15"/>
      <c r="K419" s="15"/>
      <c r="L419" s="15"/>
      <c r="M419" s="15"/>
      <c r="N419" s="15"/>
      <c r="O419" s="103"/>
      <c r="P419" s="15"/>
      <c r="Q419" s="15"/>
      <c r="R419" s="15"/>
      <c r="S419" s="15"/>
      <c r="T419" s="15"/>
      <c r="U419" s="15"/>
      <c r="V419" s="103"/>
      <c r="W419" s="15"/>
      <c r="X419" s="15"/>
      <c r="Y419" s="15"/>
      <c r="Z419" s="15"/>
      <c r="AA419" s="15"/>
      <c r="AB419" s="15"/>
      <c r="AC419" s="103"/>
      <c r="AD419" s="15"/>
      <c r="AE419" s="15"/>
      <c r="AF419" s="15"/>
      <c r="AG419" s="15"/>
      <c r="AH419" s="15"/>
      <c r="AI419" s="15"/>
      <c r="AJ419" s="103"/>
      <c r="AK419" s="15"/>
      <c r="AL419" s="15"/>
      <c r="AM419" s="15"/>
      <c r="AN419" s="15"/>
      <c r="AO419" s="15"/>
      <c r="AP419" s="15"/>
      <c r="AQ419" s="15"/>
    </row>
    <row r="420">
      <c r="A420" s="15"/>
      <c r="B420" s="15"/>
      <c r="C420" s="15"/>
      <c r="D420" s="15"/>
      <c r="E420" s="15"/>
      <c r="F420" s="15"/>
      <c r="G420" s="15"/>
      <c r="H420" s="103"/>
      <c r="I420" s="15"/>
      <c r="J420" s="15"/>
      <c r="K420" s="15"/>
      <c r="L420" s="15"/>
      <c r="M420" s="15"/>
      <c r="N420" s="15"/>
      <c r="O420" s="103"/>
      <c r="P420" s="15"/>
      <c r="Q420" s="15"/>
      <c r="R420" s="15"/>
      <c r="S420" s="15"/>
      <c r="T420" s="15"/>
      <c r="U420" s="15"/>
      <c r="V420" s="103"/>
      <c r="W420" s="15"/>
      <c r="X420" s="15"/>
      <c r="Y420" s="15"/>
      <c r="Z420" s="15"/>
      <c r="AA420" s="15"/>
      <c r="AB420" s="15"/>
      <c r="AC420" s="103"/>
      <c r="AD420" s="15"/>
      <c r="AE420" s="15"/>
      <c r="AF420" s="15"/>
      <c r="AG420" s="15"/>
      <c r="AH420" s="15"/>
      <c r="AI420" s="15"/>
      <c r="AJ420" s="103"/>
      <c r="AK420" s="15"/>
      <c r="AL420" s="15"/>
      <c r="AM420" s="15"/>
      <c r="AN420" s="15"/>
      <c r="AO420" s="15"/>
      <c r="AP420" s="15"/>
      <c r="AQ420" s="15"/>
    </row>
    <row r="421">
      <c r="A421" s="15"/>
      <c r="B421" s="15"/>
      <c r="C421" s="15"/>
      <c r="D421" s="15"/>
      <c r="E421" s="15"/>
      <c r="F421" s="15"/>
      <c r="G421" s="15"/>
      <c r="H421" s="103"/>
      <c r="I421" s="15"/>
      <c r="J421" s="15"/>
      <c r="K421" s="15"/>
      <c r="L421" s="15"/>
      <c r="M421" s="15"/>
      <c r="N421" s="15"/>
      <c r="O421" s="103"/>
      <c r="P421" s="15"/>
      <c r="Q421" s="15"/>
      <c r="R421" s="15"/>
      <c r="S421" s="15"/>
      <c r="T421" s="15"/>
      <c r="U421" s="15"/>
      <c r="V421" s="103"/>
      <c r="W421" s="15"/>
      <c r="X421" s="15"/>
      <c r="Y421" s="15"/>
      <c r="Z421" s="15"/>
      <c r="AA421" s="15"/>
      <c r="AB421" s="15"/>
      <c r="AC421" s="103"/>
      <c r="AD421" s="15"/>
      <c r="AE421" s="15"/>
      <c r="AF421" s="15"/>
      <c r="AG421" s="15"/>
      <c r="AH421" s="15"/>
      <c r="AI421" s="15"/>
      <c r="AJ421" s="103"/>
      <c r="AK421" s="15"/>
      <c r="AL421" s="15"/>
      <c r="AM421" s="15"/>
      <c r="AN421" s="15"/>
      <c r="AO421" s="15"/>
      <c r="AP421" s="15"/>
      <c r="AQ421" s="15"/>
    </row>
    <row r="422">
      <c r="A422" s="15"/>
      <c r="B422" s="15"/>
      <c r="C422" s="15"/>
      <c r="D422" s="15"/>
      <c r="E422" s="15"/>
      <c r="F422" s="15"/>
      <c r="G422" s="15"/>
      <c r="H422" s="103"/>
      <c r="I422" s="15"/>
      <c r="J422" s="15"/>
      <c r="K422" s="15"/>
      <c r="L422" s="15"/>
      <c r="M422" s="15"/>
      <c r="N422" s="15"/>
      <c r="O422" s="103"/>
      <c r="P422" s="15"/>
      <c r="Q422" s="15"/>
      <c r="R422" s="15"/>
      <c r="S422" s="15"/>
      <c r="T422" s="15"/>
      <c r="U422" s="15"/>
      <c r="V422" s="103"/>
      <c r="W422" s="15"/>
      <c r="X422" s="15"/>
      <c r="Y422" s="15"/>
      <c r="Z422" s="15"/>
      <c r="AA422" s="15"/>
      <c r="AB422" s="15"/>
      <c r="AC422" s="103"/>
      <c r="AD422" s="15"/>
      <c r="AE422" s="15"/>
      <c r="AF422" s="15"/>
      <c r="AG422" s="15"/>
      <c r="AH422" s="15"/>
      <c r="AI422" s="15"/>
      <c r="AJ422" s="103"/>
      <c r="AK422" s="15"/>
      <c r="AL422" s="15"/>
      <c r="AM422" s="15"/>
      <c r="AN422" s="15"/>
      <c r="AO422" s="15"/>
      <c r="AP422" s="15"/>
      <c r="AQ422" s="15"/>
    </row>
    <row r="423">
      <c r="A423" s="15"/>
      <c r="B423" s="15"/>
      <c r="C423" s="15"/>
      <c r="D423" s="15"/>
      <c r="E423" s="15"/>
      <c r="F423" s="15"/>
      <c r="G423" s="15"/>
      <c r="H423" s="103"/>
      <c r="I423" s="15"/>
      <c r="J423" s="15"/>
      <c r="K423" s="15"/>
      <c r="L423" s="15"/>
      <c r="M423" s="15"/>
      <c r="N423" s="15"/>
      <c r="O423" s="103"/>
      <c r="P423" s="15"/>
      <c r="Q423" s="15"/>
      <c r="R423" s="15"/>
      <c r="S423" s="15"/>
      <c r="T423" s="15"/>
      <c r="U423" s="15"/>
      <c r="V423" s="103"/>
      <c r="W423" s="15"/>
      <c r="X423" s="15"/>
      <c r="Y423" s="15"/>
      <c r="Z423" s="15"/>
      <c r="AA423" s="15"/>
      <c r="AB423" s="15"/>
      <c r="AC423" s="103"/>
      <c r="AD423" s="15"/>
      <c r="AE423" s="15"/>
      <c r="AF423" s="15"/>
      <c r="AG423" s="15"/>
      <c r="AH423" s="15"/>
      <c r="AI423" s="15"/>
      <c r="AJ423" s="103"/>
      <c r="AK423" s="15"/>
      <c r="AL423" s="15"/>
      <c r="AM423" s="15"/>
      <c r="AN423" s="15"/>
      <c r="AO423" s="15"/>
      <c r="AP423" s="15"/>
      <c r="AQ423" s="15"/>
    </row>
    <row r="424">
      <c r="A424" s="15"/>
      <c r="B424" s="15"/>
      <c r="C424" s="15"/>
      <c r="D424" s="15"/>
      <c r="E424" s="15"/>
      <c r="F424" s="15"/>
      <c r="G424" s="15"/>
      <c r="H424" s="103"/>
      <c r="I424" s="15"/>
      <c r="J424" s="15"/>
      <c r="K424" s="15"/>
      <c r="L424" s="15"/>
      <c r="M424" s="15"/>
      <c r="N424" s="15"/>
      <c r="O424" s="103"/>
      <c r="P424" s="15"/>
      <c r="Q424" s="15"/>
      <c r="R424" s="15"/>
      <c r="S424" s="15"/>
      <c r="T424" s="15"/>
      <c r="U424" s="15"/>
      <c r="V424" s="103"/>
      <c r="W424" s="15"/>
      <c r="X424" s="15"/>
      <c r="Y424" s="15"/>
      <c r="Z424" s="15"/>
      <c r="AA424" s="15"/>
      <c r="AB424" s="15"/>
      <c r="AC424" s="103"/>
      <c r="AD424" s="15"/>
      <c r="AE424" s="15"/>
      <c r="AF424" s="15"/>
      <c r="AG424" s="15"/>
      <c r="AH424" s="15"/>
      <c r="AI424" s="15"/>
      <c r="AJ424" s="103"/>
      <c r="AK424" s="15"/>
      <c r="AL424" s="15"/>
      <c r="AM424" s="15"/>
      <c r="AN424" s="15"/>
      <c r="AO424" s="15"/>
      <c r="AP424" s="15"/>
      <c r="AQ424" s="15"/>
    </row>
    <row r="425">
      <c r="A425" s="15"/>
      <c r="B425" s="15"/>
      <c r="C425" s="15"/>
      <c r="D425" s="15"/>
      <c r="E425" s="15"/>
      <c r="F425" s="15"/>
      <c r="G425" s="15"/>
      <c r="H425" s="103"/>
      <c r="I425" s="15"/>
      <c r="J425" s="15"/>
      <c r="K425" s="15"/>
      <c r="L425" s="15"/>
      <c r="M425" s="15"/>
      <c r="N425" s="15"/>
      <c r="O425" s="103"/>
      <c r="P425" s="15"/>
      <c r="Q425" s="15"/>
      <c r="R425" s="15"/>
      <c r="S425" s="15"/>
      <c r="T425" s="15"/>
      <c r="U425" s="15"/>
      <c r="V425" s="103"/>
      <c r="W425" s="15"/>
      <c r="X425" s="15"/>
      <c r="Y425" s="15"/>
      <c r="Z425" s="15"/>
      <c r="AA425" s="15"/>
      <c r="AB425" s="15"/>
      <c r="AC425" s="103"/>
      <c r="AD425" s="15"/>
      <c r="AE425" s="15"/>
      <c r="AF425" s="15"/>
      <c r="AG425" s="15"/>
      <c r="AH425" s="15"/>
      <c r="AI425" s="15"/>
      <c r="AJ425" s="103"/>
      <c r="AK425" s="15"/>
      <c r="AL425" s="15"/>
      <c r="AM425" s="15"/>
      <c r="AN425" s="15"/>
      <c r="AO425" s="15"/>
      <c r="AP425" s="15"/>
      <c r="AQ425" s="15"/>
    </row>
    <row r="426">
      <c r="A426" s="15"/>
      <c r="B426" s="15"/>
      <c r="C426" s="15"/>
      <c r="D426" s="15"/>
      <c r="E426" s="15"/>
      <c r="F426" s="15"/>
      <c r="G426" s="15"/>
      <c r="H426" s="103"/>
      <c r="I426" s="15"/>
      <c r="J426" s="15"/>
      <c r="K426" s="15"/>
      <c r="L426" s="15"/>
      <c r="M426" s="15"/>
      <c r="N426" s="15"/>
      <c r="O426" s="103"/>
      <c r="P426" s="15"/>
      <c r="Q426" s="15"/>
      <c r="R426" s="15"/>
      <c r="S426" s="15"/>
      <c r="T426" s="15"/>
      <c r="U426" s="15"/>
      <c r="V426" s="103"/>
      <c r="W426" s="15"/>
      <c r="X426" s="15"/>
      <c r="Y426" s="15"/>
      <c r="Z426" s="15"/>
      <c r="AA426" s="15"/>
      <c r="AB426" s="15"/>
      <c r="AC426" s="103"/>
      <c r="AD426" s="15"/>
      <c r="AE426" s="15"/>
      <c r="AF426" s="15"/>
      <c r="AG426" s="15"/>
      <c r="AH426" s="15"/>
      <c r="AI426" s="15"/>
      <c r="AJ426" s="103"/>
      <c r="AK426" s="15"/>
      <c r="AL426" s="15"/>
      <c r="AM426" s="15"/>
      <c r="AN426" s="15"/>
      <c r="AO426" s="15"/>
      <c r="AP426" s="15"/>
      <c r="AQ426" s="15"/>
    </row>
    <row r="427">
      <c r="A427" s="15"/>
      <c r="B427" s="15"/>
      <c r="C427" s="15"/>
      <c r="D427" s="15"/>
      <c r="E427" s="15"/>
      <c r="F427" s="15"/>
      <c r="G427" s="15"/>
      <c r="H427" s="103"/>
      <c r="I427" s="15"/>
      <c r="J427" s="15"/>
      <c r="K427" s="15"/>
      <c r="L427" s="15"/>
      <c r="M427" s="15"/>
      <c r="N427" s="15"/>
      <c r="O427" s="103"/>
      <c r="P427" s="15"/>
      <c r="Q427" s="15"/>
      <c r="R427" s="15"/>
      <c r="S427" s="15"/>
      <c r="T427" s="15"/>
      <c r="U427" s="15"/>
      <c r="V427" s="103"/>
      <c r="W427" s="15"/>
      <c r="X427" s="15"/>
      <c r="Y427" s="15"/>
      <c r="Z427" s="15"/>
      <c r="AA427" s="15"/>
      <c r="AB427" s="15"/>
      <c r="AC427" s="103"/>
      <c r="AD427" s="15"/>
      <c r="AE427" s="15"/>
      <c r="AF427" s="15"/>
      <c r="AG427" s="15"/>
      <c r="AH427" s="15"/>
      <c r="AI427" s="15"/>
      <c r="AJ427" s="103"/>
      <c r="AK427" s="15"/>
      <c r="AL427" s="15"/>
      <c r="AM427" s="15"/>
      <c r="AN427" s="15"/>
      <c r="AO427" s="15"/>
      <c r="AP427" s="15"/>
      <c r="AQ427" s="15"/>
    </row>
    <row r="428">
      <c r="A428" s="15"/>
      <c r="B428" s="15"/>
      <c r="C428" s="15"/>
      <c r="D428" s="15"/>
      <c r="E428" s="15"/>
      <c r="F428" s="15"/>
      <c r="G428" s="15"/>
      <c r="H428" s="103"/>
      <c r="I428" s="15"/>
      <c r="J428" s="15"/>
      <c r="K428" s="15"/>
      <c r="L428" s="15"/>
      <c r="M428" s="15"/>
      <c r="N428" s="15"/>
      <c r="O428" s="103"/>
      <c r="P428" s="15"/>
      <c r="Q428" s="15"/>
      <c r="R428" s="15"/>
      <c r="S428" s="15"/>
      <c r="T428" s="15"/>
      <c r="U428" s="15"/>
      <c r="V428" s="103"/>
      <c r="W428" s="15"/>
      <c r="X428" s="15"/>
      <c r="Y428" s="15"/>
      <c r="Z428" s="15"/>
      <c r="AA428" s="15"/>
      <c r="AB428" s="15"/>
      <c r="AC428" s="103"/>
      <c r="AD428" s="15"/>
      <c r="AE428" s="15"/>
      <c r="AF428" s="15"/>
      <c r="AG428" s="15"/>
      <c r="AH428" s="15"/>
      <c r="AI428" s="15"/>
      <c r="AJ428" s="103"/>
      <c r="AK428" s="15"/>
      <c r="AL428" s="15"/>
      <c r="AM428" s="15"/>
      <c r="AN428" s="15"/>
      <c r="AO428" s="15"/>
      <c r="AP428" s="15"/>
      <c r="AQ428" s="15"/>
    </row>
    <row r="429">
      <c r="A429" s="15"/>
      <c r="B429" s="15"/>
      <c r="C429" s="15"/>
      <c r="D429" s="15"/>
      <c r="E429" s="15"/>
      <c r="F429" s="15"/>
      <c r="G429" s="15"/>
      <c r="H429" s="103"/>
      <c r="I429" s="15"/>
      <c r="J429" s="15"/>
      <c r="K429" s="15"/>
      <c r="L429" s="15"/>
      <c r="M429" s="15"/>
      <c r="N429" s="15"/>
      <c r="O429" s="103"/>
      <c r="P429" s="15"/>
      <c r="Q429" s="15"/>
      <c r="R429" s="15"/>
      <c r="S429" s="15"/>
      <c r="T429" s="15"/>
      <c r="U429" s="15"/>
      <c r="V429" s="103"/>
      <c r="W429" s="15"/>
      <c r="X429" s="15"/>
      <c r="Y429" s="15"/>
      <c r="Z429" s="15"/>
      <c r="AA429" s="15"/>
      <c r="AB429" s="15"/>
      <c r="AC429" s="103"/>
      <c r="AD429" s="15"/>
      <c r="AE429" s="15"/>
      <c r="AF429" s="15"/>
      <c r="AG429" s="15"/>
      <c r="AH429" s="15"/>
      <c r="AI429" s="15"/>
      <c r="AJ429" s="103"/>
      <c r="AK429" s="15"/>
      <c r="AL429" s="15"/>
      <c r="AM429" s="15"/>
      <c r="AN429" s="15"/>
      <c r="AO429" s="15"/>
      <c r="AP429" s="15"/>
      <c r="AQ429" s="15"/>
    </row>
    <row r="430">
      <c r="A430" s="15"/>
      <c r="B430" s="15"/>
      <c r="C430" s="15"/>
      <c r="D430" s="15"/>
      <c r="E430" s="15"/>
      <c r="F430" s="15"/>
      <c r="G430" s="15"/>
      <c r="H430" s="103"/>
      <c r="I430" s="15"/>
      <c r="J430" s="15"/>
      <c r="K430" s="15"/>
      <c r="L430" s="15"/>
      <c r="M430" s="15"/>
      <c r="N430" s="15"/>
      <c r="O430" s="103"/>
      <c r="P430" s="15"/>
      <c r="Q430" s="15"/>
      <c r="R430" s="15"/>
      <c r="S430" s="15"/>
      <c r="T430" s="15"/>
      <c r="U430" s="15"/>
      <c r="V430" s="103"/>
      <c r="W430" s="15"/>
      <c r="X430" s="15"/>
      <c r="Y430" s="15"/>
      <c r="Z430" s="15"/>
      <c r="AA430" s="15"/>
      <c r="AB430" s="15"/>
      <c r="AC430" s="103"/>
      <c r="AD430" s="15"/>
      <c r="AE430" s="15"/>
      <c r="AF430" s="15"/>
      <c r="AG430" s="15"/>
      <c r="AH430" s="15"/>
      <c r="AI430" s="15"/>
      <c r="AJ430" s="103"/>
      <c r="AK430" s="15"/>
      <c r="AL430" s="15"/>
      <c r="AM430" s="15"/>
      <c r="AN430" s="15"/>
      <c r="AO430" s="15"/>
      <c r="AP430" s="15"/>
      <c r="AQ430" s="15"/>
    </row>
    <row r="431">
      <c r="A431" s="15"/>
      <c r="B431" s="15"/>
      <c r="C431" s="15"/>
      <c r="D431" s="15"/>
      <c r="E431" s="15"/>
      <c r="F431" s="15"/>
      <c r="G431" s="15"/>
      <c r="H431" s="103"/>
      <c r="I431" s="15"/>
      <c r="J431" s="15"/>
      <c r="K431" s="15"/>
      <c r="L431" s="15"/>
      <c r="M431" s="15"/>
      <c r="N431" s="15"/>
      <c r="O431" s="103"/>
      <c r="P431" s="15"/>
      <c r="Q431" s="15"/>
      <c r="R431" s="15"/>
      <c r="S431" s="15"/>
      <c r="T431" s="15"/>
      <c r="U431" s="15"/>
      <c r="V431" s="103"/>
      <c r="W431" s="15"/>
      <c r="X431" s="15"/>
      <c r="Y431" s="15"/>
      <c r="Z431" s="15"/>
      <c r="AA431" s="15"/>
      <c r="AB431" s="15"/>
      <c r="AC431" s="103"/>
      <c r="AD431" s="15"/>
      <c r="AE431" s="15"/>
      <c r="AF431" s="15"/>
      <c r="AG431" s="15"/>
      <c r="AH431" s="15"/>
      <c r="AI431" s="15"/>
      <c r="AJ431" s="103"/>
      <c r="AK431" s="15"/>
      <c r="AL431" s="15"/>
      <c r="AM431" s="15"/>
      <c r="AN431" s="15"/>
      <c r="AO431" s="15"/>
      <c r="AP431" s="15"/>
      <c r="AQ431" s="15"/>
    </row>
    <row r="432">
      <c r="A432" s="15"/>
      <c r="B432" s="15"/>
      <c r="C432" s="15"/>
      <c r="D432" s="15"/>
      <c r="E432" s="15"/>
      <c r="F432" s="15"/>
      <c r="G432" s="15"/>
      <c r="H432" s="103"/>
      <c r="I432" s="15"/>
      <c r="J432" s="15"/>
      <c r="K432" s="15"/>
      <c r="L432" s="15"/>
      <c r="M432" s="15"/>
      <c r="N432" s="15"/>
      <c r="O432" s="103"/>
      <c r="P432" s="15"/>
      <c r="Q432" s="15"/>
      <c r="R432" s="15"/>
      <c r="S432" s="15"/>
      <c r="T432" s="15"/>
      <c r="U432" s="15"/>
      <c r="V432" s="103"/>
      <c r="W432" s="15"/>
      <c r="X432" s="15"/>
      <c r="Y432" s="15"/>
      <c r="Z432" s="15"/>
      <c r="AA432" s="15"/>
      <c r="AB432" s="15"/>
      <c r="AC432" s="103"/>
      <c r="AD432" s="15"/>
      <c r="AE432" s="15"/>
      <c r="AF432" s="15"/>
      <c r="AG432" s="15"/>
      <c r="AH432" s="15"/>
      <c r="AI432" s="15"/>
      <c r="AJ432" s="103"/>
      <c r="AK432" s="15"/>
      <c r="AL432" s="15"/>
      <c r="AM432" s="15"/>
      <c r="AN432" s="15"/>
      <c r="AO432" s="15"/>
      <c r="AP432" s="15"/>
      <c r="AQ432" s="15"/>
    </row>
    <row r="433">
      <c r="A433" s="15"/>
      <c r="B433" s="15"/>
      <c r="C433" s="15"/>
      <c r="D433" s="15"/>
      <c r="E433" s="15"/>
      <c r="F433" s="15"/>
      <c r="G433" s="15"/>
      <c r="H433" s="103"/>
      <c r="I433" s="15"/>
      <c r="J433" s="15"/>
      <c r="K433" s="15"/>
      <c r="L433" s="15"/>
      <c r="M433" s="15"/>
      <c r="N433" s="15"/>
      <c r="O433" s="103"/>
      <c r="P433" s="15"/>
      <c r="Q433" s="15"/>
      <c r="R433" s="15"/>
      <c r="S433" s="15"/>
      <c r="T433" s="15"/>
      <c r="U433" s="15"/>
      <c r="V433" s="103"/>
      <c r="W433" s="15"/>
      <c r="X433" s="15"/>
      <c r="Y433" s="15"/>
      <c r="Z433" s="15"/>
      <c r="AA433" s="15"/>
      <c r="AB433" s="15"/>
      <c r="AC433" s="103"/>
      <c r="AD433" s="15"/>
      <c r="AE433" s="15"/>
      <c r="AF433" s="15"/>
      <c r="AG433" s="15"/>
      <c r="AH433" s="15"/>
      <c r="AI433" s="15"/>
      <c r="AJ433" s="103"/>
      <c r="AK433" s="15"/>
      <c r="AL433" s="15"/>
      <c r="AM433" s="15"/>
      <c r="AN433" s="15"/>
      <c r="AO433" s="15"/>
      <c r="AP433" s="15"/>
      <c r="AQ433" s="15"/>
    </row>
    <row r="434">
      <c r="A434" s="15"/>
      <c r="B434" s="15"/>
      <c r="C434" s="15"/>
      <c r="D434" s="15"/>
      <c r="E434" s="15"/>
      <c r="F434" s="15"/>
      <c r="G434" s="15"/>
      <c r="H434" s="103"/>
      <c r="I434" s="15"/>
      <c r="J434" s="15"/>
      <c r="K434" s="15"/>
      <c r="L434" s="15"/>
      <c r="M434" s="15"/>
      <c r="N434" s="15"/>
      <c r="O434" s="103"/>
      <c r="P434" s="15"/>
      <c r="Q434" s="15"/>
      <c r="R434" s="15"/>
      <c r="S434" s="15"/>
      <c r="T434" s="15"/>
      <c r="U434" s="15"/>
      <c r="V434" s="103"/>
      <c r="W434" s="15"/>
      <c r="X434" s="15"/>
      <c r="Y434" s="15"/>
      <c r="Z434" s="15"/>
      <c r="AA434" s="15"/>
      <c r="AB434" s="15"/>
      <c r="AC434" s="103"/>
      <c r="AD434" s="15"/>
      <c r="AE434" s="15"/>
      <c r="AF434" s="15"/>
      <c r="AG434" s="15"/>
      <c r="AH434" s="15"/>
      <c r="AI434" s="15"/>
      <c r="AJ434" s="103"/>
      <c r="AK434" s="15"/>
      <c r="AL434" s="15"/>
      <c r="AM434" s="15"/>
      <c r="AN434" s="15"/>
      <c r="AO434" s="15"/>
      <c r="AP434" s="15"/>
      <c r="AQ434" s="15"/>
    </row>
    <row r="435">
      <c r="A435" s="15"/>
      <c r="B435" s="15"/>
      <c r="C435" s="15"/>
      <c r="D435" s="15"/>
      <c r="E435" s="15"/>
      <c r="F435" s="15"/>
      <c r="G435" s="15"/>
      <c r="H435" s="103"/>
      <c r="I435" s="15"/>
      <c r="J435" s="15"/>
      <c r="K435" s="15"/>
      <c r="L435" s="15"/>
      <c r="M435" s="15"/>
      <c r="N435" s="15"/>
      <c r="O435" s="103"/>
      <c r="P435" s="15"/>
      <c r="Q435" s="15"/>
      <c r="R435" s="15"/>
      <c r="S435" s="15"/>
      <c r="T435" s="15"/>
      <c r="U435" s="15"/>
      <c r="V435" s="103"/>
      <c r="W435" s="15"/>
      <c r="X435" s="15"/>
      <c r="Y435" s="15"/>
      <c r="Z435" s="15"/>
      <c r="AA435" s="15"/>
      <c r="AB435" s="15"/>
      <c r="AC435" s="103"/>
      <c r="AD435" s="15"/>
      <c r="AE435" s="15"/>
      <c r="AF435" s="15"/>
      <c r="AG435" s="15"/>
      <c r="AH435" s="15"/>
      <c r="AI435" s="15"/>
      <c r="AJ435" s="103"/>
      <c r="AK435" s="15"/>
      <c r="AL435" s="15"/>
      <c r="AM435" s="15"/>
      <c r="AN435" s="15"/>
      <c r="AO435" s="15"/>
      <c r="AP435" s="15"/>
      <c r="AQ435" s="15"/>
    </row>
    <row r="436">
      <c r="A436" s="15"/>
      <c r="B436" s="15"/>
      <c r="C436" s="15"/>
      <c r="D436" s="15"/>
      <c r="E436" s="15"/>
      <c r="F436" s="15"/>
      <c r="G436" s="15"/>
      <c r="H436" s="103"/>
      <c r="I436" s="15"/>
      <c r="J436" s="15"/>
      <c r="K436" s="15"/>
      <c r="L436" s="15"/>
      <c r="M436" s="15"/>
      <c r="N436" s="15"/>
      <c r="O436" s="103"/>
      <c r="P436" s="15"/>
      <c r="Q436" s="15"/>
      <c r="R436" s="15"/>
      <c r="S436" s="15"/>
      <c r="T436" s="15"/>
      <c r="U436" s="15"/>
      <c r="V436" s="103"/>
      <c r="W436" s="15"/>
      <c r="X436" s="15"/>
      <c r="Y436" s="15"/>
      <c r="Z436" s="15"/>
      <c r="AA436" s="15"/>
      <c r="AB436" s="15"/>
      <c r="AC436" s="103"/>
      <c r="AD436" s="15"/>
      <c r="AE436" s="15"/>
      <c r="AF436" s="15"/>
      <c r="AG436" s="15"/>
      <c r="AH436" s="15"/>
      <c r="AI436" s="15"/>
      <c r="AJ436" s="103"/>
      <c r="AK436" s="15"/>
      <c r="AL436" s="15"/>
      <c r="AM436" s="15"/>
      <c r="AN436" s="15"/>
      <c r="AO436" s="15"/>
      <c r="AP436" s="15"/>
      <c r="AQ436" s="15"/>
    </row>
    <row r="437">
      <c r="A437" s="15"/>
      <c r="B437" s="15"/>
      <c r="C437" s="15"/>
      <c r="D437" s="15"/>
      <c r="E437" s="15"/>
      <c r="F437" s="15"/>
      <c r="G437" s="15"/>
      <c r="H437" s="103"/>
      <c r="I437" s="15"/>
      <c r="J437" s="15"/>
      <c r="K437" s="15"/>
      <c r="L437" s="15"/>
      <c r="M437" s="15"/>
      <c r="N437" s="15"/>
      <c r="O437" s="103"/>
      <c r="P437" s="15"/>
      <c r="Q437" s="15"/>
      <c r="R437" s="15"/>
      <c r="S437" s="15"/>
      <c r="T437" s="15"/>
      <c r="U437" s="15"/>
      <c r="V437" s="103"/>
      <c r="W437" s="15"/>
      <c r="X437" s="15"/>
      <c r="Y437" s="15"/>
      <c r="Z437" s="15"/>
      <c r="AA437" s="15"/>
      <c r="AB437" s="15"/>
      <c r="AC437" s="103"/>
      <c r="AD437" s="15"/>
      <c r="AE437" s="15"/>
      <c r="AF437" s="15"/>
      <c r="AG437" s="15"/>
      <c r="AH437" s="15"/>
      <c r="AI437" s="15"/>
      <c r="AJ437" s="103"/>
      <c r="AK437" s="15"/>
      <c r="AL437" s="15"/>
      <c r="AM437" s="15"/>
      <c r="AN437" s="15"/>
      <c r="AO437" s="15"/>
      <c r="AP437" s="15"/>
      <c r="AQ437" s="15"/>
    </row>
    <row r="438">
      <c r="A438" s="15"/>
      <c r="B438" s="15"/>
      <c r="C438" s="15"/>
      <c r="D438" s="15"/>
      <c r="E438" s="15"/>
      <c r="F438" s="15"/>
      <c r="G438" s="15"/>
      <c r="H438" s="103"/>
      <c r="I438" s="15"/>
      <c r="J438" s="15"/>
      <c r="K438" s="15"/>
      <c r="L438" s="15"/>
      <c r="M438" s="15"/>
      <c r="N438" s="15"/>
      <c r="O438" s="103"/>
      <c r="P438" s="15"/>
      <c r="Q438" s="15"/>
      <c r="R438" s="15"/>
      <c r="S438" s="15"/>
      <c r="T438" s="15"/>
      <c r="U438" s="15"/>
      <c r="V438" s="103"/>
      <c r="W438" s="15"/>
      <c r="X438" s="15"/>
      <c r="Y438" s="15"/>
      <c r="Z438" s="15"/>
      <c r="AA438" s="15"/>
      <c r="AB438" s="15"/>
      <c r="AC438" s="103"/>
      <c r="AD438" s="15"/>
      <c r="AE438" s="15"/>
      <c r="AF438" s="15"/>
      <c r="AG438" s="15"/>
      <c r="AH438" s="15"/>
      <c r="AI438" s="15"/>
      <c r="AJ438" s="103"/>
      <c r="AK438" s="15"/>
      <c r="AL438" s="15"/>
      <c r="AM438" s="15"/>
      <c r="AN438" s="15"/>
      <c r="AO438" s="15"/>
      <c r="AP438" s="15"/>
      <c r="AQ438" s="15"/>
    </row>
    <row r="439">
      <c r="A439" s="15"/>
      <c r="B439" s="15"/>
      <c r="C439" s="15"/>
      <c r="D439" s="15"/>
      <c r="E439" s="15"/>
      <c r="F439" s="15"/>
      <c r="G439" s="15"/>
      <c r="H439" s="103"/>
      <c r="I439" s="15"/>
      <c r="J439" s="15"/>
      <c r="K439" s="15"/>
      <c r="L439" s="15"/>
      <c r="M439" s="15"/>
      <c r="N439" s="15"/>
      <c r="O439" s="103"/>
      <c r="P439" s="15"/>
      <c r="Q439" s="15"/>
      <c r="R439" s="15"/>
      <c r="S439" s="15"/>
      <c r="T439" s="15"/>
      <c r="U439" s="15"/>
      <c r="V439" s="103"/>
      <c r="W439" s="15"/>
      <c r="X439" s="15"/>
      <c r="Y439" s="15"/>
      <c r="Z439" s="15"/>
      <c r="AA439" s="15"/>
      <c r="AB439" s="15"/>
      <c r="AC439" s="103"/>
      <c r="AD439" s="15"/>
      <c r="AE439" s="15"/>
      <c r="AF439" s="15"/>
      <c r="AG439" s="15"/>
      <c r="AH439" s="15"/>
      <c r="AI439" s="15"/>
      <c r="AJ439" s="103"/>
      <c r="AK439" s="15"/>
      <c r="AL439" s="15"/>
      <c r="AM439" s="15"/>
      <c r="AN439" s="15"/>
      <c r="AO439" s="15"/>
      <c r="AP439" s="15"/>
      <c r="AQ439" s="15"/>
    </row>
    <row r="440">
      <c r="A440" s="15"/>
      <c r="B440" s="15"/>
      <c r="C440" s="15"/>
      <c r="D440" s="15"/>
      <c r="E440" s="15"/>
      <c r="F440" s="15"/>
      <c r="G440" s="15"/>
      <c r="H440" s="103"/>
      <c r="I440" s="15"/>
      <c r="J440" s="15"/>
      <c r="K440" s="15"/>
      <c r="L440" s="15"/>
      <c r="M440" s="15"/>
      <c r="N440" s="15"/>
      <c r="O440" s="103"/>
      <c r="P440" s="15"/>
      <c r="Q440" s="15"/>
      <c r="R440" s="15"/>
      <c r="S440" s="15"/>
      <c r="T440" s="15"/>
      <c r="U440" s="15"/>
      <c r="V440" s="103"/>
      <c r="W440" s="15"/>
      <c r="X440" s="15"/>
      <c r="Y440" s="15"/>
      <c r="Z440" s="15"/>
      <c r="AA440" s="15"/>
      <c r="AB440" s="15"/>
      <c r="AC440" s="103"/>
      <c r="AD440" s="15"/>
      <c r="AE440" s="15"/>
      <c r="AF440" s="15"/>
      <c r="AG440" s="15"/>
      <c r="AH440" s="15"/>
      <c r="AI440" s="15"/>
      <c r="AJ440" s="103"/>
      <c r="AK440" s="15"/>
      <c r="AL440" s="15"/>
      <c r="AM440" s="15"/>
      <c r="AN440" s="15"/>
      <c r="AO440" s="15"/>
      <c r="AP440" s="15"/>
      <c r="AQ440" s="15"/>
    </row>
    <row r="441">
      <c r="A441" s="15"/>
      <c r="B441" s="15"/>
      <c r="C441" s="15"/>
      <c r="D441" s="15"/>
      <c r="E441" s="15"/>
      <c r="F441" s="15"/>
      <c r="G441" s="15"/>
      <c r="H441" s="103"/>
      <c r="I441" s="15"/>
      <c r="J441" s="15"/>
      <c r="K441" s="15"/>
      <c r="L441" s="15"/>
      <c r="M441" s="15"/>
      <c r="N441" s="15"/>
      <c r="O441" s="103"/>
      <c r="P441" s="15"/>
      <c r="Q441" s="15"/>
      <c r="R441" s="15"/>
      <c r="S441" s="15"/>
      <c r="T441" s="15"/>
      <c r="U441" s="15"/>
      <c r="V441" s="103"/>
      <c r="W441" s="15"/>
      <c r="X441" s="15"/>
      <c r="Y441" s="15"/>
      <c r="Z441" s="15"/>
      <c r="AA441" s="15"/>
      <c r="AB441" s="15"/>
      <c r="AC441" s="103"/>
      <c r="AD441" s="15"/>
      <c r="AE441" s="15"/>
      <c r="AF441" s="15"/>
      <c r="AG441" s="15"/>
      <c r="AH441" s="15"/>
      <c r="AI441" s="15"/>
      <c r="AJ441" s="103"/>
      <c r="AK441" s="15"/>
      <c r="AL441" s="15"/>
      <c r="AM441" s="15"/>
      <c r="AN441" s="15"/>
      <c r="AO441" s="15"/>
      <c r="AP441" s="15"/>
      <c r="AQ441" s="15"/>
    </row>
    <row r="442">
      <c r="A442" s="15"/>
      <c r="B442" s="15"/>
      <c r="C442" s="15"/>
      <c r="D442" s="15"/>
      <c r="E442" s="15"/>
      <c r="F442" s="15"/>
      <c r="G442" s="15"/>
      <c r="H442" s="103"/>
      <c r="I442" s="15"/>
      <c r="J442" s="15"/>
      <c r="K442" s="15"/>
      <c r="L442" s="15"/>
      <c r="M442" s="15"/>
      <c r="N442" s="15"/>
      <c r="O442" s="103"/>
      <c r="P442" s="15"/>
      <c r="Q442" s="15"/>
      <c r="R442" s="15"/>
      <c r="S442" s="15"/>
      <c r="T442" s="15"/>
      <c r="U442" s="15"/>
      <c r="V442" s="103"/>
      <c r="W442" s="15"/>
      <c r="X442" s="15"/>
      <c r="Y442" s="15"/>
      <c r="Z442" s="15"/>
      <c r="AA442" s="15"/>
      <c r="AB442" s="15"/>
      <c r="AC442" s="103"/>
      <c r="AD442" s="15"/>
      <c r="AE442" s="15"/>
      <c r="AF442" s="15"/>
      <c r="AG442" s="15"/>
      <c r="AH442" s="15"/>
      <c r="AI442" s="15"/>
      <c r="AJ442" s="103"/>
      <c r="AK442" s="15"/>
      <c r="AL442" s="15"/>
      <c r="AM442" s="15"/>
      <c r="AN442" s="15"/>
      <c r="AO442" s="15"/>
      <c r="AP442" s="15"/>
      <c r="AQ442" s="15"/>
    </row>
    <row r="443">
      <c r="A443" s="15"/>
      <c r="B443" s="15"/>
      <c r="C443" s="15"/>
      <c r="D443" s="15"/>
      <c r="E443" s="15"/>
      <c r="F443" s="15"/>
      <c r="G443" s="15"/>
      <c r="H443" s="103"/>
      <c r="I443" s="15"/>
      <c r="J443" s="15"/>
      <c r="K443" s="15"/>
      <c r="L443" s="15"/>
      <c r="M443" s="15"/>
      <c r="N443" s="15"/>
      <c r="O443" s="103"/>
      <c r="P443" s="15"/>
      <c r="Q443" s="15"/>
      <c r="R443" s="15"/>
      <c r="S443" s="15"/>
      <c r="T443" s="15"/>
      <c r="U443" s="15"/>
      <c r="V443" s="103"/>
      <c r="W443" s="15"/>
      <c r="X443" s="15"/>
      <c r="Y443" s="15"/>
      <c r="Z443" s="15"/>
      <c r="AA443" s="15"/>
      <c r="AB443" s="15"/>
      <c r="AC443" s="103"/>
      <c r="AD443" s="15"/>
      <c r="AE443" s="15"/>
      <c r="AF443" s="15"/>
      <c r="AG443" s="15"/>
      <c r="AH443" s="15"/>
      <c r="AI443" s="15"/>
      <c r="AJ443" s="103"/>
      <c r="AK443" s="15"/>
      <c r="AL443" s="15"/>
      <c r="AM443" s="15"/>
      <c r="AN443" s="15"/>
      <c r="AO443" s="15"/>
      <c r="AP443" s="15"/>
      <c r="AQ443" s="15"/>
    </row>
    <row r="444">
      <c r="A444" s="15"/>
      <c r="B444" s="15"/>
      <c r="C444" s="15"/>
      <c r="D444" s="15"/>
      <c r="E444" s="15"/>
      <c r="F444" s="15"/>
      <c r="G444" s="15"/>
      <c r="H444" s="103"/>
      <c r="I444" s="15"/>
      <c r="J444" s="15"/>
      <c r="K444" s="15"/>
      <c r="L444" s="15"/>
      <c r="M444" s="15"/>
      <c r="N444" s="15"/>
      <c r="O444" s="103"/>
      <c r="P444" s="15"/>
      <c r="Q444" s="15"/>
      <c r="R444" s="15"/>
      <c r="S444" s="15"/>
      <c r="T444" s="15"/>
      <c r="U444" s="15"/>
      <c r="V444" s="103"/>
      <c r="W444" s="15"/>
      <c r="X444" s="15"/>
      <c r="Y444" s="15"/>
      <c r="Z444" s="15"/>
      <c r="AA444" s="15"/>
      <c r="AB444" s="15"/>
      <c r="AC444" s="103"/>
      <c r="AD444" s="15"/>
      <c r="AE444" s="15"/>
      <c r="AF444" s="15"/>
      <c r="AG444" s="15"/>
      <c r="AH444" s="15"/>
      <c r="AI444" s="15"/>
      <c r="AJ444" s="103"/>
      <c r="AK444" s="15"/>
      <c r="AL444" s="15"/>
      <c r="AM444" s="15"/>
      <c r="AN444" s="15"/>
      <c r="AO444" s="15"/>
      <c r="AP444" s="15"/>
      <c r="AQ444" s="15"/>
    </row>
    <row r="445">
      <c r="A445" s="15"/>
      <c r="B445" s="15"/>
      <c r="C445" s="15"/>
      <c r="D445" s="15"/>
      <c r="E445" s="15"/>
      <c r="F445" s="15"/>
      <c r="G445" s="15"/>
      <c r="H445" s="103"/>
      <c r="I445" s="15"/>
      <c r="J445" s="15"/>
      <c r="K445" s="15"/>
      <c r="L445" s="15"/>
      <c r="M445" s="15"/>
      <c r="N445" s="15"/>
      <c r="O445" s="103"/>
      <c r="P445" s="15"/>
      <c r="Q445" s="15"/>
      <c r="R445" s="15"/>
      <c r="S445" s="15"/>
      <c r="T445" s="15"/>
      <c r="U445" s="15"/>
      <c r="V445" s="103"/>
      <c r="W445" s="15"/>
      <c r="X445" s="15"/>
      <c r="Y445" s="15"/>
      <c r="Z445" s="15"/>
      <c r="AA445" s="15"/>
      <c r="AB445" s="15"/>
      <c r="AC445" s="103"/>
      <c r="AD445" s="15"/>
      <c r="AE445" s="15"/>
      <c r="AF445" s="15"/>
      <c r="AG445" s="15"/>
      <c r="AH445" s="15"/>
      <c r="AI445" s="15"/>
      <c r="AJ445" s="103"/>
      <c r="AK445" s="15"/>
      <c r="AL445" s="15"/>
      <c r="AM445" s="15"/>
      <c r="AN445" s="15"/>
      <c r="AO445" s="15"/>
      <c r="AP445" s="15"/>
      <c r="AQ445" s="15"/>
    </row>
    <row r="446">
      <c r="A446" s="15"/>
      <c r="B446" s="15"/>
      <c r="C446" s="15"/>
      <c r="D446" s="15"/>
      <c r="E446" s="15"/>
      <c r="F446" s="15"/>
      <c r="G446" s="15"/>
      <c r="H446" s="103"/>
      <c r="I446" s="15"/>
      <c r="J446" s="15"/>
      <c r="K446" s="15"/>
      <c r="L446" s="15"/>
      <c r="M446" s="15"/>
      <c r="N446" s="15"/>
      <c r="O446" s="103"/>
      <c r="P446" s="15"/>
      <c r="Q446" s="15"/>
      <c r="R446" s="15"/>
      <c r="S446" s="15"/>
      <c r="T446" s="15"/>
      <c r="U446" s="15"/>
      <c r="V446" s="103"/>
      <c r="W446" s="15"/>
      <c r="X446" s="15"/>
      <c r="Y446" s="15"/>
      <c r="Z446" s="15"/>
      <c r="AA446" s="15"/>
      <c r="AB446" s="15"/>
      <c r="AC446" s="103"/>
      <c r="AD446" s="15"/>
      <c r="AE446" s="15"/>
      <c r="AF446" s="15"/>
      <c r="AG446" s="15"/>
      <c r="AH446" s="15"/>
      <c r="AI446" s="15"/>
      <c r="AJ446" s="103"/>
      <c r="AK446" s="15"/>
      <c r="AL446" s="15"/>
      <c r="AM446" s="15"/>
      <c r="AN446" s="15"/>
      <c r="AO446" s="15"/>
      <c r="AP446" s="15"/>
      <c r="AQ446" s="15"/>
    </row>
    <row r="447">
      <c r="A447" s="15"/>
      <c r="B447" s="15"/>
      <c r="C447" s="15"/>
      <c r="D447" s="15"/>
      <c r="E447" s="15"/>
      <c r="F447" s="15"/>
      <c r="G447" s="15"/>
      <c r="H447" s="103"/>
      <c r="I447" s="15"/>
      <c r="J447" s="15"/>
      <c r="K447" s="15"/>
      <c r="L447" s="15"/>
      <c r="M447" s="15"/>
      <c r="N447" s="15"/>
      <c r="O447" s="103"/>
      <c r="P447" s="15"/>
      <c r="Q447" s="15"/>
      <c r="R447" s="15"/>
      <c r="S447" s="15"/>
      <c r="T447" s="15"/>
      <c r="U447" s="15"/>
      <c r="V447" s="103"/>
      <c r="W447" s="15"/>
      <c r="X447" s="15"/>
      <c r="Y447" s="15"/>
      <c r="Z447" s="15"/>
      <c r="AA447" s="15"/>
      <c r="AB447" s="15"/>
      <c r="AC447" s="103"/>
      <c r="AD447" s="15"/>
      <c r="AE447" s="15"/>
      <c r="AF447" s="15"/>
      <c r="AG447" s="15"/>
      <c r="AH447" s="15"/>
      <c r="AI447" s="15"/>
      <c r="AJ447" s="103"/>
      <c r="AK447" s="15"/>
      <c r="AL447" s="15"/>
      <c r="AM447" s="15"/>
      <c r="AN447" s="15"/>
      <c r="AO447" s="15"/>
      <c r="AP447" s="15"/>
      <c r="AQ447" s="15"/>
    </row>
    <row r="448">
      <c r="A448" s="15"/>
      <c r="B448" s="15"/>
      <c r="C448" s="15"/>
      <c r="D448" s="15"/>
      <c r="E448" s="15"/>
      <c r="F448" s="15"/>
      <c r="G448" s="15"/>
      <c r="H448" s="103"/>
      <c r="I448" s="15"/>
      <c r="J448" s="15"/>
      <c r="K448" s="15"/>
      <c r="L448" s="15"/>
      <c r="M448" s="15"/>
      <c r="N448" s="15"/>
      <c r="O448" s="103"/>
      <c r="P448" s="15"/>
      <c r="Q448" s="15"/>
      <c r="R448" s="15"/>
      <c r="S448" s="15"/>
      <c r="T448" s="15"/>
      <c r="U448" s="15"/>
      <c r="V448" s="103"/>
      <c r="W448" s="15"/>
      <c r="X448" s="15"/>
      <c r="Y448" s="15"/>
      <c r="Z448" s="15"/>
      <c r="AA448" s="15"/>
      <c r="AB448" s="15"/>
      <c r="AC448" s="103"/>
      <c r="AD448" s="15"/>
      <c r="AE448" s="15"/>
      <c r="AF448" s="15"/>
      <c r="AG448" s="15"/>
      <c r="AH448" s="15"/>
      <c r="AI448" s="15"/>
      <c r="AJ448" s="103"/>
      <c r="AK448" s="15"/>
      <c r="AL448" s="15"/>
      <c r="AM448" s="15"/>
      <c r="AN448" s="15"/>
      <c r="AO448" s="15"/>
      <c r="AP448" s="15"/>
      <c r="AQ448" s="15"/>
    </row>
    <row r="449">
      <c r="A449" s="15"/>
      <c r="B449" s="15"/>
      <c r="C449" s="15"/>
      <c r="D449" s="15"/>
      <c r="E449" s="15"/>
      <c r="F449" s="15"/>
      <c r="G449" s="15"/>
      <c r="H449" s="103"/>
      <c r="I449" s="15"/>
      <c r="J449" s="15"/>
      <c r="K449" s="15"/>
      <c r="L449" s="15"/>
      <c r="M449" s="15"/>
      <c r="N449" s="15"/>
      <c r="O449" s="103"/>
      <c r="P449" s="15"/>
      <c r="Q449" s="15"/>
      <c r="R449" s="15"/>
      <c r="S449" s="15"/>
      <c r="T449" s="15"/>
      <c r="U449" s="15"/>
      <c r="V449" s="103"/>
      <c r="W449" s="15"/>
      <c r="X449" s="15"/>
      <c r="Y449" s="15"/>
      <c r="Z449" s="15"/>
      <c r="AA449" s="15"/>
      <c r="AB449" s="15"/>
      <c r="AC449" s="103"/>
      <c r="AD449" s="15"/>
      <c r="AE449" s="15"/>
      <c r="AF449" s="15"/>
      <c r="AG449" s="15"/>
      <c r="AH449" s="15"/>
      <c r="AI449" s="15"/>
      <c r="AJ449" s="103"/>
      <c r="AK449" s="15"/>
      <c r="AL449" s="15"/>
      <c r="AM449" s="15"/>
      <c r="AN449" s="15"/>
      <c r="AO449" s="15"/>
      <c r="AP449" s="15"/>
      <c r="AQ449" s="15"/>
    </row>
    <row r="450">
      <c r="A450" s="15"/>
      <c r="B450" s="15"/>
      <c r="C450" s="15"/>
      <c r="D450" s="15"/>
      <c r="E450" s="15"/>
      <c r="F450" s="15"/>
      <c r="G450" s="15"/>
      <c r="H450" s="103"/>
      <c r="I450" s="15"/>
      <c r="J450" s="15"/>
      <c r="K450" s="15"/>
      <c r="L450" s="15"/>
      <c r="M450" s="15"/>
      <c r="N450" s="15"/>
      <c r="O450" s="103"/>
      <c r="P450" s="15"/>
      <c r="Q450" s="15"/>
      <c r="R450" s="15"/>
      <c r="S450" s="15"/>
      <c r="T450" s="15"/>
      <c r="U450" s="15"/>
      <c r="V450" s="103"/>
      <c r="W450" s="15"/>
      <c r="X450" s="15"/>
      <c r="Y450" s="15"/>
      <c r="Z450" s="15"/>
      <c r="AA450" s="15"/>
      <c r="AB450" s="15"/>
      <c r="AC450" s="103"/>
      <c r="AD450" s="15"/>
      <c r="AE450" s="15"/>
      <c r="AF450" s="15"/>
      <c r="AG450" s="15"/>
      <c r="AH450" s="15"/>
      <c r="AI450" s="15"/>
      <c r="AJ450" s="103"/>
      <c r="AK450" s="15"/>
      <c r="AL450" s="15"/>
      <c r="AM450" s="15"/>
      <c r="AN450" s="15"/>
      <c r="AO450" s="15"/>
      <c r="AP450" s="15"/>
      <c r="AQ450" s="15"/>
    </row>
    <row r="451">
      <c r="A451" s="15"/>
      <c r="B451" s="15"/>
      <c r="C451" s="15"/>
      <c r="D451" s="15"/>
      <c r="E451" s="15"/>
      <c r="F451" s="15"/>
      <c r="G451" s="15"/>
      <c r="H451" s="103"/>
      <c r="I451" s="15"/>
      <c r="J451" s="15"/>
      <c r="K451" s="15"/>
      <c r="L451" s="15"/>
      <c r="M451" s="15"/>
      <c r="N451" s="15"/>
      <c r="O451" s="103"/>
      <c r="P451" s="15"/>
      <c r="Q451" s="15"/>
      <c r="R451" s="15"/>
      <c r="S451" s="15"/>
      <c r="T451" s="15"/>
      <c r="U451" s="15"/>
      <c r="V451" s="103"/>
      <c r="W451" s="15"/>
      <c r="X451" s="15"/>
      <c r="Y451" s="15"/>
      <c r="Z451" s="15"/>
      <c r="AA451" s="15"/>
      <c r="AB451" s="15"/>
      <c r="AC451" s="103"/>
      <c r="AD451" s="15"/>
      <c r="AE451" s="15"/>
      <c r="AF451" s="15"/>
      <c r="AG451" s="15"/>
      <c r="AH451" s="15"/>
      <c r="AI451" s="15"/>
      <c r="AJ451" s="103"/>
      <c r="AK451" s="15"/>
      <c r="AL451" s="15"/>
      <c r="AM451" s="15"/>
      <c r="AN451" s="15"/>
      <c r="AO451" s="15"/>
      <c r="AP451" s="15"/>
      <c r="AQ451" s="15"/>
    </row>
    <row r="452">
      <c r="A452" s="15"/>
      <c r="B452" s="15"/>
      <c r="C452" s="15"/>
      <c r="D452" s="15"/>
      <c r="E452" s="15"/>
      <c r="F452" s="15"/>
      <c r="G452" s="15"/>
      <c r="H452" s="103"/>
      <c r="I452" s="15"/>
      <c r="J452" s="15"/>
      <c r="K452" s="15"/>
      <c r="L452" s="15"/>
      <c r="M452" s="15"/>
      <c r="N452" s="15"/>
      <c r="O452" s="103"/>
      <c r="P452" s="15"/>
      <c r="Q452" s="15"/>
      <c r="R452" s="15"/>
      <c r="S452" s="15"/>
      <c r="T452" s="15"/>
      <c r="U452" s="15"/>
      <c r="V452" s="103"/>
      <c r="W452" s="15"/>
      <c r="X452" s="15"/>
      <c r="Y452" s="15"/>
      <c r="Z452" s="15"/>
      <c r="AA452" s="15"/>
      <c r="AB452" s="15"/>
      <c r="AC452" s="103"/>
      <c r="AD452" s="15"/>
      <c r="AE452" s="15"/>
      <c r="AF452" s="15"/>
      <c r="AG452" s="15"/>
      <c r="AH452" s="15"/>
      <c r="AI452" s="15"/>
      <c r="AJ452" s="103"/>
      <c r="AK452" s="15"/>
      <c r="AL452" s="15"/>
      <c r="AM452" s="15"/>
      <c r="AN452" s="15"/>
      <c r="AO452" s="15"/>
      <c r="AP452" s="15"/>
      <c r="AQ452" s="15"/>
    </row>
    <row r="453">
      <c r="A453" s="15"/>
      <c r="B453" s="15"/>
      <c r="C453" s="15"/>
      <c r="D453" s="15"/>
      <c r="E453" s="15"/>
      <c r="F453" s="15"/>
      <c r="G453" s="15"/>
      <c r="H453" s="103"/>
      <c r="I453" s="15"/>
      <c r="J453" s="15"/>
      <c r="K453" s="15"/>
      <c r="L453" s="15"/>
      <c r="M453" s="15"/>
      <c r="N453" s="15"/>
      <c r="O453" s="103"/>
      <c r="P453" s="15"/>
      <c r="Q453" s="15"/>
      <c r="R453" s="15"/>
      <c r="S453" s="15"/>
      <c r="T453" s="15"/>
      <c r="U453" s="15"/>
      <c r="V453" s="103"/>
      <c r="W453" s="15"/>
      <c r="X453" s="15"/>
      <c r="Y453" s="15"/>
      <c r="Z453" s="15"/>
      <c r="AA453" s="15"/>
      <c r="AB453" s="15"/>
      <c r="AC453" s="103"/>
      <c r="AD453" s="15"/>
      <c r="AE453" s="15"/>
      <c r="AF453" s="15"/>
      <c r="AG453" s="15"/>
      <c r="AH453" s="15"/>
      <c r="AI453" s="15"/>
      <c r="AJ453" s="103"/>
      <c r="AK453" s="15"/>
      <c r="AL453" s="15"/>
      <c r="AM453" s="15"/>
      <c r="AN453" s="15"/>
      <c r="AO453" s="15"/>
      <c r="AP453" s="15"/>
      <c r="AQ453" s="15"/>
    </row>
    <row r="454">
      <c r="A454" s="15"/>
      <c r="B454" s="15"/>
      <c r="C454" s="15"/>
      <c r="D454" s="15"/>
      <c r="E454" s="15"/>
      <c r="F454" s="15"/>
      <c r="G454" s="15"/>
      <c r="H454" s="103"/>
      <c r="I454" s="15"/>
      <c r="J454" s="15"/>
      <c r="K454" s="15"/>
      <c r="L454" s="15"/>
      <c r="M454" s="15"/>
      <c r="N454" s="15"/>
      <c r="O454" s="103"/>
      <c r="P454" s="15"/>
      <c r="Q454" s="15"/>
      <c r="R454" s="15"/>
      <c r="S454" s="15"/>
      <c r="T454" s="15"/>
      <c r="U454" s="15"/>
      <c r="V454" s="103"/>
      <c r="W454" s="15"/>
      <c r="X454" s="15"/>
      <c r="Y454" s="15"/>
      <c r="Z454" s="15"/>
      <c r="AA454" s="15"/>
      <c r="AB454" s="15"/>
      <c r="AC454" s="103"/>
      <c r="AD454" s="15"/>
      <c r="AE454" s="15"/>
      <c r="AF454" s="15"/>
      <c r="AG454" s="15"/>
      <c r="AH454" s="15"/>
      <c r="AI454" s="15"/>
      <c r="AJ454" s="103"/>
      <c r="AK454" s="15"/>
      <c r="AL454" s="15"/>
      <c r="AM454" s="15"/>
      <c r="AN454" s="15"/>
      <c r="AO454" s="15"/>
      <c r="AP454" s="15"/>
      <c r="AQ454" s="15"/>
    </row>
    <row r="455">
      <c r="A455" s="15"/>
      <c r="B455" s="15"/>
      <c r="C455" s="15"/>
      <c r="D455" s="15"/>
      <c r="E455" s="15"/>
      <c r="F455" s="15"/>
      <c r="G455" s="15"/>
      <c r="H455" s="103"/>
      <c r="I455" s="15"/>
      <c r="J455" s="15"/>
      <c r="K455" s="15"/>
      <c r="L455" s="15"/>
      <c r="M455" s="15"/>
      <c r="N455" s="15"/>
      <c r="O455" s="103"/>
      <c r="P455" s="15"/>
      <c r="Q455" s="15"/>
      <c r="R455" s="15"/>
      <c r="S455" s="15"/>
      <c r="T455" s="15"/>
      <c r="U455" s="15"/>
      <c r="V455" s="103"/>
      <c r="W455" s="15"/>
      <c r="X455" s="15"/>
      <c r="Y455" s="15"/>
      <c r="Z455" s="15"/>
      <c r="AA455" s="15"/>
      <c r="AB455" s="15"/>
      <c r="AC455" s="103"/>
      <c r="AD455" s="15"/>
      <c r="AE455" s="15"/>
      <c r="AF455" s="15"/>
      <c r="AG455" s="15"/>
      <c r="AH455" s="15"/>
      <c r="AI455" s="15"/>
      <c r="AJ455" s="103"/>
      <c r="AK455" s="15"/>
      <c r="AL455" s="15"/>
      <c r="AM455" s="15"/>
      <c r="AN455" s="15"/>
      <c r="AO455" s="15"/>
      <c r="AP455" s="15"/>
      <c r="AQ455" s="15"/>
    </row>
    <row r="456">
      <c r="A456" s="15"/>
      <c r="B456" s="15"/>
      <c r="C456" s="15"/>
      <c r="D456" s="15"/>
      <c r="E456" s="15"/>
      <c r="F456" s="15"/>
      <c r="G456" s="15"/>
      <c r="H456" s="103"/>
      <c r="I456" s="15"/>
      <c r="J456" s="15"/>
      <c r="K456" s="15"/>
      <c r="L456" s="15"/>
      <c r="M456" s="15"/>
      <c r="N456" s="15"/>
      <c r="O456" s="103"/>
      <c r="P456" s="15"/>
      <c r="Q456" s="15"/>
      <c r="R456" s="15"/>
      <c r="S456" s="15"/>
      <c r="T456" s="15"/>
      <c r="U456" s="15"/>
      <c r="V456" s="103"/>
      <c r="W456" s="15"/>
      <c r="X456" s="15"/>
      <c r="Y456" s="15"/>
      <c r="Z456" s="15"/>
      <c r="AA456" s="15"/>
      <c r="AB456" s="15"/>
      <c r="AC456" s="103"/>
      <c r="AD456" s="15"/>
      <c r="AE456" s="15"/>
      <c r="AF456" s="15"/>
      <c r="AG456" s="15"/>
      <c r="AH456" s="15"/>
      <c r="AI456" s="15"/>
      <c r="AJ456" s="103"/>
      <c r="AK456" s="15"/>
      <c r="AL456" s="15"/>
      <c r="AM456" s="15"/>
      <c r="AN456" s="15"/>
      <c r="AO456" s="15"/>
      <c r="AP456" s="15"/>
      <c r="AQ456" s="15"/>
    </row>
    <row r="457">
      <c r="A457" s="15"/>
      <c r="B457" s="15"/>
      <c r="C457" s="15"/>
      <c r="D457" s="15"/>
      <c r="E457" s="15"/>
      <c r="F457" s="15"/>
      <c r="G457" s="15"/>
      <c r="H457" s="103"/>
      <c r="I457" s="15"/>
      <c r="J457" s="15"/>
      <c r="K457" s="15"/>
      <c r="L457" s="15"/>
      <c r="M457" s="15"/>
      <c r="N457" s="15"/>
      <c r="O457" s="103"/>
      <c r="P457" s="15"/>
      <c r="Q457" s="15"/>
      <c r="R457" s="15"/>
      <c r="S457" s="15"/>
      <c r="T457" s="15"/>
      <c r="U457" s="15"/>
      <c r="V457" s="103"/>
      <c r="W457" s="15"/>
      <c r="X457" s="15"/>
      <c r="Y457" s="15"/>
      <c r="Z457" s="15"/>
      <c r="AA457" s="15"/>
      <c r="AB457" s="15"/>
      <c r="AC457" s="103"/>
      <c r="AD457" s="15"/>
      <c r="AE457" s="15"/>
      <c r="AF457" s="15"/>
      <c r="AG457" s="15"/>
      <c r="AH457" s="15"/>
      <c r="AI457" s="15"/>
      <c r="AJ457" s="103"/>
      <c r="AK457" s="15"/>
      <c r="AL457" s="15"/>
      <c r="AM457" s="15"/>
      <c r="AN457" s="15"/>
      <c r="AO457" s="15"/>
      <c r="AP457" s="15"/>
      <c r="AQ457" s="15"/>
    </row>
    <row r="458">
      <c r="A458" s="15"/>
      <c r="B458" s="15"/>
      <c r="C458" s="15"/>
      <c r="D458" s="15"/>
      <c r="E458" s="15"/>
      <c r="F458" s="15"/>
      <c r="G458" s="15"/>
      <c r="H458" s="103"/>
      <c r="I458" s="15"/>
      <c r="J458" s="15"/>
      <c r="K458" s="15"/>
      <c r="L458" s="15"/>
      <c r="M458" s="15"/>
      <c r="N458" s="15"/>
      <c r="O458" s="103"/>
      <c r="P458" s="15"/>
      <c r="Q458" s="15"/>
      <c r="R458" s="15"/>
      <c r="S458" s="15"/>
      <c r="T458" s="15"/>
      <c r="U458" s="15"/>
      <c r="V458" s="103"/>
      <c r="W458" s="15"/>
      <c r="X458" s="15"/>
      <c r="Y458" s="15"/>
      <c r="Z458" s="15"/>
      <c r="AA458" s="15"/>
      <c r="AB458" s="15"/>
      <c r="AC458" s="103"/>
      <c r="AD458" s="15"/>
      <c r="AE458" s="15"/>
      <c r="AF458" s="15"/>
      <c r="AG458" s="15"/>
      <c r="AH458" s="15"/>
      <c r="AI458" s="15"/>
      <c r="AJ458" s="103"/>
      <c r="AK458" s="15"/>
      <c r="AL458" s="15"/>
      <c r="AM458" s="15"/>
      <c r="AN458" s="15"/>
      <c r="AO458" s="15"/>
      <c r="AP458" s="15"/>
      <c r="AQ458" s="15"/>
    </row>
    <row r="459">
      <c r="A459" s="15"/>
      <c r="B459" s="15"/>
      <c r="C459" s="15"/>
      <c r="D459" s="15"/>
      <c r="E459" s="15"/>
      <c r="F459" s="15"/>
      <c r="G459" s="15"/>
      <c r="H459" s="103"/>
      <c r="I459" s="15"/>
      <c r="J459" s="15"/>
      <c r="K459" s="15"/>
      <c r="L459" s="15"/>
      <c r="M459" s="15"/>
      <c r="N459" s="15"/>
      <c r="O459" s="103"/>
      <c r="P459" s="15"/>
      <c r="Q459" s="15"/>
      <c r="R459" s="15"/>
      <c r="S459" s="15"/>
      <c r="T459" s="15"/>
      <c r="U459" s="15"/>
      <c r="V459" s="103"/>
      <c r="W459" s="15"/>
      <c r="X459" s="15"/>
      <c r="Y459" s="15"/>
      <c r="Z459" s="15"/>
      <c r="AA459" s="15"/>
      <c r="AB459" s="15"/>
      <c r="AC459" s="103"/>
      <c r="AD459" s="15"/>
      <c r="AE459" s="15"/>
      <c r="AF459" s="15"/>
      <c r="AG459" s="15"/>
      <c r="AH459" s="15"/>
      <c r="AI459" s="15"/>
      <c r="AJ459" s="103"/>
      <c r="AK459" s="15"/>
      <c r="AL459" s="15"/>
      <c r="AM459" s="15"/>
      <c r="AN459" s="15"/>
      <c r="AO459" s="15"/>
      <c r="AP459" s="15"/>
      <c r="AQ459" s="15"/>
    </row>
    <row r="460">
      <c r="A460" s="15"/>
      <c r="B460" s="15"/>
      <c r="C460" s="15"/>
      <c r="D460" s="15"/>
      <c r="E460" s="15"/>
      <c r="F460" s="15"/>
      <c r="G460" s="15"/>
      <c r="H460" s="103"/>
      <c r="I460" s="15"/>
      <c r="J460" s="15"/>
      <c r="K460" s="15"/>
      <c r="L460" s="15"/>
      <c r="M460" s="15"/>
      <c r="N460" s="15"/>
      <c r="O460" s="103"/>
      <c r="P460" s="15"/>
      <c r="Q460" s="15"/>
      <c r="R460" s="15"/>
      <c r="S460" s="15"/>
      <c r="T460" s="15"/>
      <c r="U460" s="15"/>
      <c r="V460" s="103"/>
      <c r="W460" s="15"/>
      <c r="X460" s="15"/>
      <c r="Y460" s="15"/>
      <c r="Z460" s="15"/>
      <c r="AA460" s="15"/>
      <c r="AB460" s="15"/>
      <c r="AC460" s="103"/>
      <c r="AD460" s="15"/>
      <c r="AE460" s="15"/>
      <c r="AF460" s="15"/>
      <c r="AG460" s="15"/>
      <c r="AH460" s="15"/>
      <c r="AI460" s="15"/>
      <c r="AJ460" s="103"/>
      <c r="AK460" s="15"/>
      <c r="AL460" s="15"/>
      <c r="AM460" s="15"/>
      <c r="AN460" s="15"/>
      <c r="AO460" s="15"/>
      <c r="AP460" s="15"/>
      <c r="AQ460" s="15"/>
    </row>
    <row r="461">
      <c r="A461" s="15"/>
      <c r="B461" s="15"/>
      <c r="C461" s="15"/>
      <c r="D461" s="15"/>
      <c r="E461" s="15"/>
      <c r="F461" s="15"/>
      <c r="G461" s="15"/>
      <c r="H461" s="103"/>
      <c r="I461" s="15"/>
      <c r="J461" s="15"/>
      <c r="K461" s="15"/>
      <c r="L461" s="15"/>
      <c r="M461" s="15"/>
      <c r="N461" s="15"/>
      <c r="O461" s="103"/>
      <c r="P461" s="15"/>
      <c r="Q461" s="15"/>
      <c r="R461" s="15"/>
      <c r="S461" s="15"/>
      <c r="T461" s="15"/>
      <c r="U461" s="15"/>
      <c r="V461" s="103"/>
      <c r="W461" s="15"/>
      <c r="X461" s="15"/>
      <c r="Y461" s="15"/>
      <c r="Z461" s="15"/>
      <c r="AA461" s="15"/>
      <c r="AB461" s="15"/>
      <c r="AC461" s="103"/>
      <c r="AD461" s="15"/>
      <c r="AE461" s="15"/>
      <c r="AF461" s="15"/>
      <c r="AG461" s="15"/>
      <c r="AH461" s="15"/>
      <c r="AI461" s="15"/>
      <c r="AJ461" s="103"/>
      <c r="AK461" s="15"/>
      <c r="AL461" s="15"/>
      <c r="AM461" s="15"/>
      <c r="AN461" s="15"/>
      <c r="AO461" s="15"/>
      <c r="AP461" s="15"/>
      <c r="AQ461" s="15"/>
    </row>
    <row r="462">
      <c r="A462" s="15"/>
      <c r="B462" s="15"/>
      <c r="C462" s="15"/>
      <c r="D462" s="15"/>
      <c r="E462" s="15"/>
      <c r="F462" s="15"/>
      <c r="G462" s="15"/>
      <c r="H462" s="103"/>
      <c r="I462" s="15"/>
      <c r="J462" s="15"/>
      <c r="K462" s="15"/>
      <c r="L462" s="15"/>
      <c r="M462" s="15"/>
      <c r="N462" s="15"/>
      <c r="O462" s="103"/>
      <c r="P462" s="15"/>
      <c r="Q462" s="15"/>
      <c r="R462" s="15"/>
      <c r="S462" s="15"/>
      <c r="T462" s="15"/>
      <c r="U462" s="15"/>
      <c r="V462" s="103"/>
      <c r="W462" s="15"/>
      <c r="X462" s="15"/>
      <c r="Y462" s="15"/>
      <c r="Z462" s="15"/>
      <c r="AA462" s="15"/>
      <c r="AB462" s="15"/>
      <c r="AC462" s="103"/>
      <c r="AD462" s="15"/>
      <c r="AE462" s="15"/>
      <c r="AF462" s="15"/>
      <c r="AG462" s="15"/>
      <c r="AH462" s="15"/>
      <c r="AI462" s="15"/>
      <c r="AJ462" s="103"/>
      <c r="AK462" s="15"/>
      <c r="AL462" s="15"/>
      <c r="AM462" s="15"/>
      <c r="AN462" s="15"/>
      <c r="AO462" s="15"/>
      <c r="AP462" s="15"/>
      <c r="AQ462" s="15"/>
    </row>
    <row r="463">
      <c r="A463" s="15"/>
      <c r="B463" s="15"/>
      <c r="C463" s="15"/>
      <c r="D463" s="15"/>
      <c r="E463" s="15"/>
      <c r="F463" s="15"/>
      <c r="G463" s="15"/>
      <c r="H463" s="103"/>
      <c r="I463" s="15"/>
      <c r="J463" s="15"/>
      <c r="K463" s="15"/>
      <c r="L463" s="15"/>
      <c r="M463" s="15"/>
      <c r="N463" s="15"/>
      <c r="O463" s="103"/>
      <c r="P463" s="15"/>
      <c r="Q463" s="15"/>
      <c r="R463" s="15"/>
      <c r="S463" s="15"/>
      <c r="T463" s="15"/>
      <c r="U463" s="15"/>
      <c r="V463" s="103"/>
      <c r="W463" s="15"/>
      <c r="X463" s="15"/>
      <c r="Y463" s="15"/>
      <c r="Z463" s="15"/>
      <c r="AA463" s="15"/>
      <c r="AB463" s="15"/>
      <c r="AC463" s="103"/>
      <c r="AD463" s="15"/>
      <c r="AE463" s="15"/>
      <c r="AF463" s="15"/>
      <c r="AG463" s="15"/>
      <c r="AH463" s="15"/>
      <c r="AI463" s="15"/>
      <c r="AJ463" s="103"/>
      <c r="AK463" s="15"/>
      <c r="AL463" s="15"/>
      <c r="AM463" s="15"/>
      <c r="AN463" s="15"/>
      <c r="AO463" s="15"/>
      <c r="AP463" s="15"/>
      <c r="AQ463" s="15"/>
    </row>
    <row r="464">
      <c r="A464" s="15"/>
      <c r="B464" s="15"/>
      <c r="C464" s="15"/>
      <c r="D464" s="15"/>
      <c r="E464" s="15"/>
      <c r="F464" s="15"/>
      <c r="G464" s="15"/>
      <c r="H464" s="103"/>
      <c r="I464" s="15"/>
      <c r="J464" s="15"/>
      <c r="K464" s="15"/>
      <c r="L464" s="15"/>
      <c r="M464" s="15"/>
      <c r="N464" s="15"/>
      <c r="O464" s="103"/>
      <c r="P464" s="15"/>
      <c r="Q464" s="15"/>
      <c r="R464" s="15"/>
      <c r="S464" s="15"/>
      <c r="T464" s="15"/>
      <c r="U464" s="15"/>
      <c r="V464" s="103"/>
      <c r="W464" s="15"/>
      <c r="X464" s="15"/>
      <c r="Y464" s="15"/>
      <c r="Z464" s="15"/>
      <c r="AA464" s="15"/>
      <c r="AB464" s="15"/>
      <c r="AC464" s="103"/>
      <c r="AD464" s="15"/>
      <c r="AE464" s="15"/>
      <c r="AF464" s="15"/>
      <c r="AG464" s="15"/>
      <c r="AH464" s="15"/>
      <c r="AI464" s="15"/>
      <c r="AJ464" s="103"/>
      <c r="AK464" s="15"/>
      <c r="AL464" s="15"/>
      <c r="AM464" s="15"/>
      <c r="AN464" s="15"/>
      <c r="AO464" s="15"/>
      <c r="AP464" s="15"/>
      <c r="AQ464" s="15"/>
    </row>
    <row r="465">
      <c r="A465" s="15"/>
      <c r="B465" s="15"/>
      <c r="C465" s="15"/>
      <c r="D465" s="15"/>
      <c r="E465" s="15"/>
      <c r="F465" s="15"/>
      <c r="G465" s="15"/>
      <c r="H465" s="103"/>
      <c r="I465" s="15"/>
      <c r="J465" s="15"/>
      <c r="K465" s="15"/>
      <c r="L465" s="15"/>
      <c r="M465" s="15"/>
      <c r="N465" s="15"/>
      <c r="O465" s="103"/>
      <c r="P465" s="15"/>
      <c r="Q465" s="15"/>
      <c r="R465" s="15"/>
      <c r="S465" s="15"/>
      <c r="T465" s="15"/>
      <c r="U465" s="15"/>
      <c r="V465" s="103"/>
      <c r="W465" s="15"/>
      <c r="X465" s="15"/>
      <c r="Y465" s="15"/>
      <c r="Z465" s="15"/>
      <c r="AA465" s="15"/>
      <c r="AB465" s="15"/>
      <c r="AC465" s="103"/>
      <c r="AD465" s="15"/>
      <c r="AE465" s="15"/>
      <c r="AF465" s="15"/>
      <c r="AG465" s="15"/>
      <c r="AH465" s="15"/>
      <c r="AI465" s="15"/>
      <c r="AJ465" s="103"/>
      <c r="AK465" s="15"/>
      <c r="AL465" s="15"/>
      <c r="AM465" s="15"/>
      <c r="AN465" s="15"/>
      <c r="AO465" s="15"/>
      <c r="AP465" s="15"/>
      <c r="AQ465" s="15"/>
    </row>
    <row r="466">
      <c r="A466" s="15"/>
      <c r="B466" s="15"/>
      <c r="C466" s="15"/>
      <c r="D466" s="15"/>
      <c r="E466" s="15"/>
      <c r="F466" s="15"/>
      <c r="G466" s="15"/>
      <c r="H466" s="103"/>
      <c r="I466" s="15"/>
      <c r="J466" s="15"/>
      <c r="K466" s="15"/>
      <c r="L466" s="15"/>
      <c r="M466" s="15"/>
      <c r="N466" s="15"/>
      <c r="O466" s="103"/>
      <c r="P466" s="15"/>
      <c r="Q466" s="15"/>
      <c r="R466" s="15"/>
      <c r="S466" s="15"/>
      <c r="T466" s="15"/>
      <c r="U466" s="15"/>
      <c r="V466" s="103"/>
      <c r="W466" s="15"/>
      <c r="X466" s="15"/>
      <c r="Y466" s="15"/>
      <c r="Z466" s="15"/>
      <c r="AA466" s="15"/>
      <c r="AB466" s="15"/>
      <c r="AC466" s="103"/>
      <c r="AD466" s="15"/>
      <c r="AE466" s="15"/>
      <c r="AF466" s="15"/>
      <c r="AG466" s="15"/>
      <c r="AH466" s="15"/>
      <c r="AI466" s="15"/>
      <c r="AJ466" s="103"/>
      <c r="AK466" s="15"/>
      <c r="AL466" s="15"/>
      <c r="AM466" s="15"/>
      <c r="AN466" s="15"/>
      <c r="AO466" s="15"/>
      <c r="AP466" s="15"/>
      <c r="AQ466" s="15"/>
    </row>
    <row r="467">
      <c r="A467" s="15"/>
      <c r="B467" s="15"/>
      <c r="C467" s="15"/>
      <c r="D467" s="15"/>
      <c r="E467" s="15"/>
      <c r="F467" s="15"/>
      <c r="G467" s="15"/>
      <c r="H467" s="103"/>
      <c r="I467" s="15"/>
      <c r="J467" s="15"/>
      <c r="K467" s="15"/>
      <c r="L467" s="15"/>
      <c r="M467" s="15"/>
      <c r="N467" s="15"/>
      <c r="O467" s="103"/>
      <c r="P467" s="15"/>
      <c r="Q467" s="15"/>
      <c r="R467" s="15"/>
      <c r="S467" s="15"/>
      <c r="T467" s="15"/>
      <c r="U467" s="15"/>
      <c r="V467" s="103"/>
      <c r="W467" s="15"/>
      <c r="X467" s="15"/>
      <c r="Y467" s="15"/>
      <c r="Z467" s="15"/>
      <c r="AA467" s="15"/>
      <c r="AB467" s="15"/>
      <c r="AC467" s="103"/>
      <c r="AD467" s="15"/>
      <c r="AE467" s="15"/>
      <c r="AF467" s="15"/>
      <c r="AG467" s="15"/>
      <c r="AH467" s="15"/>
      <c r="AI467" s="15"/>
      <c r="AJ467" s="103"/>
      <c r="AK467" s="15"/>
      <c r="AL467" s="15"/>
      <c r="AM467" s="15"/>
      <c r="AN467" s="15"/>
      <c r="AO467" s="15"/>
      <c r="AP467" s="15"/>
      <c r="AQ467" s="15"/>
    </row>
    <row r="468">
      <c r="A468" s="15"/>
      <c r="B468" s="15"/>
      <c r="C468" s="15"/>
      <c r="D468" s="15"/>
      <c r="E468" s="15"/>
      <c r="F468" s="15"/>
      <c r="G468" s="15"/>
      <c r="H468" s="103"/>
      <c r="I468" s="15"/>
      <c r="J468" s="15"/>
      <c r="K468" s="15"/>
      <c r="L468" s="15"/>
      <c r="M468" s="15"/>
      <c r="N468" s="15"/>
      <c r="O468" s="103"/>
      <c r="P468" s="15"/>
      <c r="Q468" s="15"/>
      <c r="R468" s="15"/>
      <c r="S468" s="15"/>
      <c r="T468" s="15"/>
      <c r="U468" s="15"/>
      <c r="V468" s="103"/>
      <c r="W468" s="15"/>
      <c r="X468" s="15"/>
      <c r="Y468" s="15"/>
      <c r="Z468" s="15"/>
      <c r="AA468" s="15"/>
      <c r="AB468" s="15"/>
      <c r="AC468" s="103"/>
      <c r="AD468" s="15"/>
      <c r="AE468" s="15"/>
      <c r="AF468" s="15"/>
      <c r="AG468" s="15"/>
      <c r="AH468" s="15"/>
      <c r="AI468" s="15"/>
      <c r="AJ468" s="103"/>
      <c r="AK468" s="15"/>
      <c r="AL468" s="15"/>
      <c r="AM468" s="15"/>
      <c r="AN468" s="15"/>
      <c r="AO468" s="15"/>
      <c r="AP468" s="15"/>
      <c r="AQ468" s="15"/>
    </row>
    <row r="469">
      <c r="A469" s="15"/>
      <c r="B469" s="15"/>
      <c r="C469" s="15"/>
      <c r="D469" s="15"/>
      <c r="E469" s="15"/>
      <c r="F469" s="15"/>
      <c r="G469" s="15"/>
      <c r="H469" s="103"/>
      <c r="I469" s="15"/>
      <c r="J469" s="15"/>
      <c r="K469" s="15"/>
      <c r="L469" s="15"/>
      <c r="M469" s="15"/>
      <c r="N469" s="15"/>
      <c r="O469" s="103"/>
      <c r="P469" s="15"/>
      <c r="Q469" s="15"/>
      <c r="R469" s="15"/>
      <c r="S469" s="15"/>
      <c r="T469" s="15"/>
      <c r="U469" s="15"/>
      <c r="V469" s="103"/>
      <c r="W469" s="15"/>
      <c r="X469" s="15"/>
      <c r="Y469" s="15"/>
      <c r="Z469" s="15"/>
      <c r="AA469" s="15"/>
      <c r="AB469" s="15"/>
      <c r="AC469" s="103"/>
      <c r="AD469" s="15"/>
      <c r="AE469" s="15"/>
      <c r="AF469" s="15"/>
      <c r="AG469" s="15"/>
      <c r="AH469" s="15"/>
      <c r="AI469" s="15"/>
      <c r="AJ469" s="103"/>
      <c r="AK469" s="15"/>
      <c r="AL469" s="15"/>
      <c r="AM469" s="15"/>
      <c r="AN469" s="15"/>
      <c r="AO469" s="15"/>
      <c r="AP469" s="15"/>
      <c r="AQ469" s="15"/>
    </row>
    <row r="470">
      <c r="A470" s="15"/>
      <c r="B470" s="15"/>
      <c r="C470" s="15"/>
      <c r="D470" s="15"/>
      <c r="E470" s="15"/>
      <c r="F470" s="15"/>
      <c r="G470" s="15"/>
      <c r="H470" s="103"/>
      <c r="I470" s="15"/>
      <c r="J470" s="15"/>
      <c r="K470" s="15"/>
      <c r="L470" s="15"/>
      <c r="M470" s="15"/>
      <c r="N470" s="15"/>
      <c r="O470" s="103"/>
      <c r="P470" s="15"/>
      <c r="Q470" s="15"/>
      <c r="R470" s="15"/>
      <c r="S470" s="15"/>
      <c r="T470" s="15"/>
      <c r="U470" s="15"/>
      <c r="V470" s="103"/>
      <c r="W470" s="15"/>
      <c r="X470" s="15"/>
      <c r="Y470" s="15"/>
      <c r="Z470" s="15"/>
      <c r="AA470" s="15"/>
      <c r="AB470" s="15"/>
      <c r="AC470" s="103"/>
      <c r="AD470" s="15"/>
      <c r="AE470" s="15"/>
      <c r="AF470" s="15"/>
      <c r="AG470" s="15"/>
      <c r="AH470" s="15"/>
      <c r="AI470" s="15"/>
      <c r="AJ470" s="103"/>
      <c r="AK470" s="15"/>
      <c r="AL470" s="15"/>
      <c r="AM470" s="15"/>
      <c r="AN470" s="15"/>
      <c r="AO470" s="15"/>
      <c r="AP470" s="15"/>
      <c r="AQ470" s="15"/>
    </row>
    <row r="471">
      <c r="A471" s="15"/>
      <c r="B471" s="15"/>
      <c r="C471" s="15"/>
      <c r="D471" s="15"/>
      <c r="E471" s="15"/>
      <c r="F471" s="15"/>
      <c r="G471" s="15"/>
      <c r="H471" s="103"/>
      <c r="I471" s="15"/>
      <c r="J471" s="15"/>
      <c r="K471" s="15"/>
      <c r="L471" s="15"/>
      <c r="M471" s="15"/>
      <c r="N471" s="15"/>
      <c r="O471" s="103"/>
      <c r="P471" s="15"/>
      <c r="Q471" s="15"/>
      <c r="R471" s="15"/>
      <c r="S471" s="15"/>
      <c r="T471" s="15"/>
      <c r="U471" s="15"/>
      <c r="V471" s="103"/>
      <c r="W471" s="15"/>
      <c r="X471" s="15"/>
      <c r="Y471" s="15"/>
      <c r="Z471" s="15"/>
      <c r="AA471" s="15"/>
      <c r="AB471" s="15"/>
      <c r="AC471" s="103"/>
      <c r="AD471" s="15"/>
      <c r="AE471" s="15"/>
      <c r="AF471" s="15"/>
      <c r="AG471" s="15"/>
      <c r="AH471" s="15"/>
      <c r="AI471" s="15"/>
      <c r="AJ471" s="103"/>
      <c r="AK471" s="15"/>
      <c r="AL471" s="15"/>
      <c r="AM471" s="15"/>
      <c r="AN471" s="15"/>
      <c r="AO471" s="15"/>
      <c r="AP471" s="15"/>
      <c r="AQ471" s="15"/>
    </row>
    <row r="472">
      <c r="A472" s="15"/>
      <c r="B472" s="15"/>
      <c r="C472" s="15"/>
      <c r="D472" s="15"/>
      <c r="E472" s="15"/>
      <c r="F472" s="15"/>
      <c r="G472" s="15"/>
      <c r="H472" s="103"/>
      <c r="I472" s="15"/>
      <c r="J472" s="15"/>
      <c r="K472" s="15"/>
      <c r="L472" s="15"/>
      <c r="M472" s="15"/>
      <c r="N472" s="15"/>
      <c r="O472" s="103"/>
      <c r="P472" s="15"/>
      <c r="Q472" s="15"/>
      <c r="R472" s="15"/>
      <c r="S472" s="15"/>
      <c r="T472" s="15"/>
      <c r="U472" s="15"/>
      <c r="V472" s="103"/>
      <c r="W472" s="15"/>
      <c r="X472" s="15"/>
      <c r="Y472" s="15"/>
      <c r="Z472" s="15"/>
      <c r="AA472" s="15"/>
      <c r="AB472" s="15"/>
      <c r="AC472" s="103"/>
      <c r="AD472" s="15"/>
      <c r="AE472" s="15"/>
      <c r="AF472" s="15"/>
      <c r="AG472" s="15"/>
      <c r="AH472" s="15"/>
      <c r="AI472" s="15"/>
      <c r="AJ472" s="103"/>
      <c r="AK472" s="15"/>
      <c r="AL472" s="15"/>
      <c r="AM472" s="15"/>
      <c r="AN472" s="15"/>
      <c r="AO472" s="15"/>
      <c r="AP472" s="15"/>
      <c r="AQ472" s="15"/>
    </row>
    <row r="473">
      <c r="A473" s="15"/>
      <c r="B473" s="15"/>
      <c r="C473" s="15"/>
      <c r="D473" s="15"/>
      <c r="E473" s="15"/>
      <c r="F473" s="15"/>
      <c r="G473" s="15"/>
      <c r="H473" s="103"/>
      <c r="I473" s="15"/>
      <c r="J473" s="15"/>
      <c r="K473" s="15"/>
      <c r="L473" s="15"/>
      <c r="M473" s="15"/>
      <c r="N473" s="15"/>
      <c r="O473" s="103"/>
      <c r="P473" s="15"/>
      <c r="Q473" s="15"/>
      <c r="R473" s="15"/>
      <c r="S473" s="15"/>
      <c r="T473" s="15"/>
      <c r="U473" s="15"/>
      <c r="V473" s="103"/>
      <c r="W473" s="15"/>
      <c r="X473" s="15"/>
      <c r="Y473" s="15"/>
      <c r="Z473" s="15"/>
      <c r="AA473" s="15"/>
      <c r="AB473" s="15"/>
      <c r="AC473" s="103"/>
      <c r="AD473" s="15"/>
      <c r="AE473" s="15"/>
      <c r="AF473" s="15"/>
      <c r="AG473" s="15"/>
      <c r="AH473" s="15"/>
      <c r="AI473" s="15"/>
      <c r="AJ473" s="103"/>
      <c r="AK473" s="15"/>
      <c r="AL473" s="15"/>
      <c r="AM473" s="15"/>
      <c r="AN473" s="15"/>
      <c r="AO473" s="15"/>
      <c r="AP473" s="15"/>
      <c r="AQ473" s="15"/>
    </row>
    <row r="474">
      <c r="A474" s="15"/>
      <c r="B474" s="15"/>
      <c r="C474" s="15"/>
      <c r="D474" s="15"/>
      <c r="E474" s="15"/>
      <c r="F474" s="15"/>
      <c r="G474" s="15"/>
      <c r="H474" s="103"/>
      <c r="I474" s="15"/>
      <c r="J474" s="15"/>
      <c r="K474" s="15"/>
      <c r="L474" s="15"/>
      <c r="M474" s="15"/>
      <c r="N474" s="15"/>
      <c r="O474" s="103"/>
      <c r="P474" s="15"/>
      <c r="Q474" s="15"/>
      <c r="R474" s="15"/>
      <c r="S474" s="15"/>
      <c r="T474" s="15"/>
      <c r="U474" s="15"/>
      <c r="V474" s="103"/>
      <c r="W474" s="15"/>
      <c r="X474" s="15"/>
      <c r="Y474" s="15"/>
      <c r="Z474" s="15"/>
      <c r="AA474" s="15"/>
      <c r="AB474" s="15"/>
      <c r="AC474" s="103"/>
      <c r="AD474" s="15"/>
      <c r="AE474" s="15"/>
      <c r="AF474" s="15"/>
      <c r="AG474" s="15"/>
      <c r="AH474" s="15"/>
      <c r="AI474" s="15"/>
      <c r="AJ474" s="103"/>
      <c r="AK474" s="15"/>
      <c r="AL474" s="15"/>
      <c r="AM474" s="15"/>
      <c r="AN474" s="15"/>
      <c r="AO474" s="15"/>
      <c r="AP474" s="15"/>
      <c r="AQ474" s="15"/>
    </row>
    <row r="475">
      <c r="A475" s="15"/>
      <c r="B475" s="15"/>
      <c r="C475" s="15"/>
      <c r="D475" s="15"/>
      <c r="E475" s="15"/>
      <c r="F475" s="15"/>
      <c r="G475" s="15"/>
      <c r="H475" s="103"/>
      <c r="I475" s="15"/>
      <c r="J475" s="15"/>
      <c r="K475" s="15"/>
      <c r="L475" s="15"/>
      <c r="M475" s="15"/>
      <c r="N475" s="15"/>
      <c r="O475" s="103"/>
      <c r="P475" s="15"/>
      <c r="Q475" s="15"/>
      <c r="R475" s="15"/>
      <c r="S475" s="15"/>
      <c r="T475" s="15"/>
      <c r="U475" s="15"/>
      <c r="V475" s="103"/>
      <c r="W475" s="15"/>
      <c r="X475" s="15"/>
      <c r="Y475" s="15"/>
      <c r="Z475" s="15"/>
      <c r="AA475" s="15"/>
      <c r="AB475" s="15"/>
      <c r="AC475" s="103"/>
      <c r="AD475" s="15"/>
      <c r="AE475" s="15"/>
      <c r="AF475" s="15"/>
      <c r="AG475" s="15"/>
      <c r="AH475" s="15"/>
      <c r="AI475" s="15"/>
      <c r="AJ475" s="103"/>
      <c r="AK475" s="15"/>
      <c r="AL475" s="15"/>
      <c r="AM475" s="15"/>
      <c r="AN475" s="15"/>
      <c r="AO475" s="15"/>
      <c r="AP475" s="15"/>
      <c r="AQ475" s="15"/>
    </row>
    <row r="476">
      <c r="A476" s="15"/>
      <c r="B476" s="15"/>
      <c r="C476" s="15"/>
      <c r="D476" s="15"/>
      <c r="E476" s="15"/>
      <c r="F476" s="15"/>
      <c r="G476" s="15"/>
      <c r="H476" s="103"/>
      <c r="I476" s="15"/>
      <c r="J476" s="15"/>
      <c r="K476" s="15"/>
      <c r="L476" s="15"/>
      <c r="M476" s="15"/>
      <c r="N476" s="15"/>
      <c r="O476" s="103"/>
      <c r="P476" s="15"/>
      <c r="Q476" s="15"/>
      <c r="R476" s="15"/>
      <c r="S476" s="15"/>
      <c r="T476" s="15"/>
      <c r="U476" s="15"/>
      <c r="V476" s="103"/>
      <c r="W476" s="15"/>
      <c r="X476" s="15"/>
      <c r="Y476" s="15"/>
      <c r="Z476" s="15"/>
      <c r="AA476" s="15"/>
      <c r="AB476" s="15"/>
      <c r="AC476" s="103"/>
      <c r="AD476" s="15"/>
      <c r="AE476" s="15"/>
      <c r="AF476" s="15"/>
      <c r="AG476" s="15"/>
      <c r="AH476" s="15"/>
      <c r="AI476" s="15"/>
      <c r="AJ476" s="103"/>
      <c r="AK476" s="15"/>
      <c r="AL476" s="15"/>
      <c r="AM476" s="15"/>
      <c r="AN476" s="15"/>
      <c r="AO476" s="15"/>
      <c r="AP476" s="15"/>
      <c r="AQ476" s="15"/>
    </row>
    <row r="477">
      <c r="A477" s="15"/>
      <c r="B477" s="15"/>
      <c r="C477" s="15"/>
      <c r="D477" s="15"/>
      <c r="E477" s="15"/>
      <c r="F477" s="15"/>
      <c r="G477" s="15"/>
      <c r="H477" s="103"/>
      <c r="I477" s="15"/>
      <c r="J477" s="15"/>
      <c r="K477" s="15"/>
      <c r="L477" s="15"/>
      <c r="M477" s="15"/>
      <c r="N477" s="15"/>
      <c r="O477" s="103"/>
      <c r="P477" s="15"/>
      <c r="Q477" s="15"/>
      <c r="R477" s="15"/>
      <c r="S477" s="15"/>
      <c r="T477" s="15"/>
      <c r="U477" s="15"/>
      <c r="V477" s="103"/>
      <c r="W477" s="15"/>
      <c r="X477" s="15"/>
      <c r="Y477" s="15"/>
      <c r="Z477" s="15"/>
      <c r="AA477" s="15"/>
      <c r="AB477" s="15"/>
      <c r="AC477" s="103"/>
      <c r="AD477" s="15"/>
      <c r="AE477" s="15"/>
      <c r="AF477" s="15"/>
      <c r="AG477" s="15"/>
      <c r="AH477" s="15"/>
      <c r="AI477" s="15"/>
      <c r="AJ477" s="103"/>
      <c r="AK477" s="15"/>
      <c r="AL477" s="15"/>
      <c r="AM477" s="15"/>
      <c r="AN477" s="15"/>
      <c r="AO477" s="15"/>
      <c r="AP477" s="15"/>
      <c r="AQ477" s="15"/>
    </row>
    <row r="478">
      <c r="A478" s="15"/>
      <c r="B478" s="15"/>
      <c r="C478" s="15"/>
      <c r="D478" s="15"/>
      <c r="E478" s="15"/>
      <c r="F478" s="15"/>
      <c r="G478" s="15"/>
      <c r="H478" s="103"/>
      <c r="I478" s="15"/>
      <c r="J478" s="15"/>
      <c r="K478" s="15"/>
      <c r="L478" s="15"/>
      <c r="M478" s="15"/>
      <c r="N478" s="15"/>
      <c r="O478" s="103"/>
      <c r="P478" s="15"/>
      <c r="Q478" s="15"/>
      <c r="R478" s="15"/>
      <c r="S478" s="15"/>
      <c r="T478" s="15"/>
      <c r="U478" s="15"/>
      <c r="V478" s="103"/>
      <c r="W478" s="15"/>
      <c r="X478" s="15"/>
      <c r="Y478" s="15"/>
      <c r="Z478" s="15"/>
      <c r="AA478" s="15"/>
      <c r="AB478" s="15"/>
      <c r="AC478" s="103"/>
      <c r="AD478" s="15"/>
      <c r="AE478" s="15"/>
      <c r="AF478" s="15"/>
      <c r="AG478" s="15"/>
      <c r="AH478" s="15"/>
      <c r="AI478" s="15"/>
      <c r="AJ478" s="103"/>
      <c r="AK478" s="15"/>
      <c r="AL478" s="15"/>
      <c r="AM478" s="15"/>
      <c r="AN478" s="15"/>
      <c r="AO478" s="15"/>
      <c r="AP478" s="15"/>
      <c r="AQ478" s="15"/>
    </row>
    <row r="479">
      <c r="A479" s="15"/>
      <c r="B479" s="15"/>
      <c r="C479" s="15"/>
      <c r="D479" s="15"/>
      <c r="E479" s="15"/>
      <c r="F479" s="15"/>
      <c r="G479" s="15"/>
      <c r="H479" s="103"/>
      <c r="I479" s="15"/>
      <c r="J479" s="15"/>
      <c r="K479" s="15"/>
      <c r="L479" s="15"/>
      <c r="M479" s="15"/>
      <c r="N479" s="15"/>
      <c r="O479" s="103"/>
      <c r="P479" s="15"/>
      <c r="Q479" s="15"/>
      <c r="R479" s="15"/>
      <c r="S479" s="15"/>
      <c r="T479" s="15"/>
      <c r="U479" s="15"/>
      <c r="V479" s="103"/>
      <c r="W479" s="15"/>
      <c r="X479" s="15"/>
      <c r="Y479" s="15"/>
      <c r="Z479" s="15"/>
      <c r="AA479" s="15"/>
      <c r="AB479" s="15"/>
      <c r="AC479" s="103"/>
      <c r="AD479" s="15"/>
      <c r="AE479" s="15"/>
      <c r="AF479" s="15"/>
      <c r="AG479" s="15"/>
      <c r="AH479" s="15"/>
      <c r="AI479" s="15"/>
      <c r="AJ479" s="103"/>
      <c r="AK479" s="15"/>
      <c r="AL479" s="15"/>
      <c r="AM479" s="15"/>
      <c r="AN479" s="15"/>
      <c r="AO479" s="15"/>
      <c r="AP479" s="15"/>
      <c r="AQ479" s="15"/>
    </row>
    <row r="480">
      <c r="A480" s="15"/>
      <c r="B480" s="15"/>
      <c r="C480" s="15"/>
      <c r="D480" s="15"/>
      <c r="E480" s="15"/>
      <c r="F480" s="15"/>
      <c r="G480" s="15"/>
      <c r="H480" s="103"/>
      <c r="I480" s="15"/>
      <c r="J480" s="15"/>
      <c r="K480" s="15"/>
      <c r="L480" s="15"/>
      <c r="M480" s="15"/>
      <c r="N480" s="15"/>
      <c r="O480" s="103"/>
      <c r="P480" s="15"/>
      <c r="Q480" s="15"/>
      <c r="R480" s="15"/>
      <c r="S480" s="15"/>
      <c r="T480" s="15"/>
      <c r="U480" s="15"/>
      <c r="V480" s="103"/>
      <c r="W480" s="15"/>
      <c r="X480" s="15"/>
      <c r="Y480" s="15"/>
      <c r="Z480" s="15"/>
      <c r="AA480" s="15"/>
      <c r="AB480" s="15"/>
      <c r="AC480" s="103"/>
      <c r="AD480" s="15"/>
      <c r="AE480" s="15"/>
      <c r="AF480" s="15"/>
      <c r="AG480" s="15"/>
      <c r="AH480" s="15"/>
      <c r="AI480" s="15"/>
      <c r="AJ480" s="103"/>
      <c r="AK480" s="15"/>
      <c r="AL480" s="15"/>
      <c r="AM480" s="15"/>
      <c r="AN480" s="15"/>
      <c r="AO480" s="15"/>
      <c r="AP480" s="15"/>
      <c r="AQ480" s="15"/>
    </row>
    <row r="481">
      <c r="A481" s="15"/>
      <c r="B481" s="15"/>
      <c r="C481" s="15"/>
      <c r="D481" s="15"/>
      <c r="E481" s="15"/>
      <c r="F481" s="15"/>
      <c r="G481" s="15"/>
      <c r="H481" s="103"/>
      <c r="I481" s="15"/>
      <c r="J481" s="15"/>
      <c r="K481" s="15"/>
      <c r="L481" s="15"/>
      <c r="M481" s="15"/>
      <c r="N481" s="15"/>
      <c r="O481" s="103"/>
      <c r="P481" s="15"/>
      <c r="Q481" s="15"/>
      <c r="R481" s="15"/>
      <c r="S481" s="15"/>
      <c r="T481" s="15"/>
      <c r="U481" s="15"/>
      <c r="V481" s="103"/>
      <c r="W481" s="15"/>
      <c r="X481" s="15"/>
      <c r="Y481" s="15"/>
      <c r="Z481" s="15"/>
      <c r="AA481" s="15"/>
      <c r="AB481" s="15"/>
      <c r="AC481" s="103"/>
      <c r="AD481" s="15"/>
      <c r="AE481" s="15"/>
      <c r="AF481" s="15"/>
      <c r="AG481" s="15"/>
      <c r="AH481" s="15"/>
      <c r="AI481" s="15"/>
      <c r="AJ481" s="103"/>
      <c r="AK481" s="15"/>
      <c r="AL481" s="15"/>
      <c r="AM481" s="15"/>
      <c r="AN481" s="15"/>
      <c r="AO481" s="15"/>
      <c r="AP481" s="15"/>
      <c r="AQ481" s="15"/>
    </row>
    <row r="482">
      <c r="A482" s="15"/>
      <c r="B482" s="15"/>
      <c r="C482" s="15"/>
      <c r="D482" s="15"/>
      <c r="E482" s="15"/>
      <c r="F482" s="15"/>
      <c r="G482" s="15"/>
      <c r="H482" s="103"/>
      <c r="I482" s="15"/>
      <c r="J482" s="15"/>
      <c r="K482" s="15"/>
      <c r="L482" s="15"/>
      <c r="M482" s="15"/>
      <c r="N482" s="15"/>
      <c r="O482" s="103"/>
      <c r="P482" s="15"/>
      <c r="Q482" s="15"/>
      <c r="R482" s="15"/>
      <c r="S482" s="15"/>
      <c r="T482" s="15"/>
      <c r="U482" s="15"/>
      <c r="V482" s="103"/>
      <c r="W482" s="15"/>
      <c r="X482" s="15"/>
      <c r="Y482" s="15"/>
      <c r="Z482" s="15"/>
      <c r="AA482" s="15"/>
      <c r="AB482" s="15"/>
      <c r="AC482" s="103"/>
      <c r="AD482" s="15"/>
      <c r="AE482" s="15"/>
      <c r="AF482" s="15"/>
      <c r="AG482" s="15"/>
      <c r="AH482" s="15"/>
      <c r="AI482" s="15"/>
      <c r="AJ482" s="103"/>
      <c r="AK482" s="15"/>
      <c r="AL482" s="15"/>
      <c r="AM482" s="15"/>
      <c r="AN482" s="15"/>
      <c r="AO482" s="15"/>
      <c r="AP482" s="15"/>
      <c r="AQ482" s="15"/>
    </row>
    <row r="483">
      <c r="A483" s="15"/>
      <c r="B483" s="15"/>
      <c r="C483" s="15"/>
      <c r="D483" s="15"/>
      <c r="E483" s="15"/>
      <c r="F483" s="15"/>
      <c r="G483" s="15"/>
      <c r="H483" s="103"/>
      <c r="I483" s="15"/>
      <c r="J483" s="15"/>
      <c r="K483" s="15"/>
      <c r="L483" s="15"/>
      <c r="M483" s="15"/>
      <c r="N483" s="15"/>
      <c r="O483" s="103"/>
      <c r="P483" s="15"/>
      <c r="Q483" s="15"/>
      <c r="R483" s="15"/>
      <c r="S483" s="15"/>
      <c r="T483" s="15"/>
      <c r="U483" s="15"/>
      <c r="V483" s="103"/>
      <c r="W483" s="15"/>
      <c r="X483" s="15"/>
      <c r="Y483" s="15"/>
      <c r="Z483" s="15"/>
      <c r="AA483" s="15"/>
      <c r="AB483" s="15"/>
      <c r="AC483" s="103"/>
      <c r="AD483" s="15"/>
      <c r="AE483" s="15"/>
      <c r="AF483" s="15"/>
      <c r="AG483" s="15"/>
      <c r="AH483" s="15"/>
      <c r="AI483" s="15"/>
      <c r="AJ483" s="103"/>
      <c r="AK483" s="15"/>
      <c r="AL483" s="15"/>
      <c r="AM483" s="15"/>
      <c r="AN483" s="15"/>
      <c r="AO483" s="15"/>
      <c r="AP483" s="15"/>
      <c r="AQ483" s="15"/>
    </row>
    <row r="484">
      <c r="A484" s="15"/>
      <c r="B484" s="15"/>
      <c r="C484" s="15"/>
      <c r="D484" s="15"/>
      <c r="E484" s="15"/>
      <c r="F484" s="15"/>
      <c r="G484" s="15"/>
      <c r="H484" s="103"/>
      <c r="I484" s="15"/>
      <c r="J484" s="15"/>
      <c r="K484" s="15"/>
      <c r="L484" s="15"/>
      <c r="M484" s="15"/>
      <c r="N484" s="15"/>
      <c r="O484" s="103"/>
      <c r="P484" s="15"/>
      <c r="Q484" s="15"/>
      <c r="R484" s="15"/>
      <c r="S484" s="15"/>
      <c r="T484" s="15"/>
      <c r="U484" s="15"/>
      <c r="V484" s="103"/>
      <c r="W484" s="15"/>
      <c r="X484" s="15"/>
      <c r="Y484" s="15"/>
      <c r="Z484" s="15"/>
      <c r="AA484" s="15"/>
      <c r="AB484" s="15"/>
      <c r="AC484" s="103"/>
      <c r="AD484" s="15"/>
      <c r="AE484" s="15"/>
      <c r="AF484" s="15"/>
      <c r="AG484" s="15"/>
      <c r="AH484" s="15"/>
      <c r="AI484" s="15"/>
      <c r="AJ484" s="103"/>
      <c r="AK484" s="15"/>
      <c r="AL484" s="15"/>
      <c r="AM484" s="15"/>
      <c r="AN484" s="15"/>
      <c r="AO484" s="15"/>
      <c r="AP484" s="15"/>
      <c r="AQ484" s="15"/>
    </row>
    <row r="485">
      <c r="A485" s="15"/>
      <c r="B485" s="15"/>
      <c r="C485" s="15"/>
      <c r="D485" s="15"/>
      <c r="E485" s="15"/>
      <c r="F485" s="15"/>
      <c r="G485" s="15"/>
      <c r="H485" s="103"/>
      <c r="I485" s="15"/>
      <c r="J485" s="15"/>
      <c r="K485" s="15"/>
      <c r="L485" s="15"/>
      <c r="M485" s="15"/>
      <c r="N485" s="15"/>
      <c r="O485" s="103"/>
      <c r="P485" s="15"/>
      <c r="Q485" s="15"/>
      <c r="R485" s="15"/>
      <c r="S485" s="15"/>
      <c r="T485" s="15"/>
      <c r="U485" s="15"/>
      <c r="V485" s="103"/>
      <c r="W485" s="15"/>
      <c r="X485" s="15"/>
      <c r="Y485" s="15"/>
      <c r="Z485" s="15"/>
      <c r="AA485" s="15"/>
      <c r="AB485" s="15"/>
      <c r="AC485" s="103"/>
      <c r="AD485" s="15"/>
      <c r="AE485" s="15"/>
      <c r="AF485" s="15"/>
      <c r="AG485" s="15"/>
      <c r="AH485" s="15"/>
      <c r="AI485" s="15"/>
      <c r="AJ485" s="103"/>
      <c r="AK485" s="15"/>
      <c r="AL485" s="15"/>
      <c r="AM485" s="15"/>
      <c r="AN485" s="15"/>
      <c r="AO485" s="15"/>
      <c r="AP485" s="15"/>
      <c r="AQ485" s="15"/>
    </row>
    <row r="486">
      <c r="A486" s="15"/>
      <c r="B486" s="15"/>
      <c r="C486" s="15"/>
      <c r="D486" s="15"/>
      <c r="E486" s="15"/>
      <c r="F486" s="15"/>
      <c r="G486" s="15"/>
      <c r="H486" s="103"/>
      <c r="I486" s="15"/>
      <c r="J486" s="15"/>
      <c r="K486" s="15"/>
      <c r="L486" s="15"/>
      <c r="M486" s="15"/>
      <c r="N486" s="15"/>
      <c r="O486" s="103"/>
      <c r="P486" s="15"/>
      <c r="Q486" s="15"/>
      <c r="R486" s="15"/>
      <c r="S486" s="15"/>
      <c r="T486" s="15"/>
      <c r="U486" s="15"/>
      <c r="V486" s="103"/>
      <c r="W486" s="15"/>
      <c r="X486" s="15"/>
      <c r="Y486" s="15"/>
      <c r="Z486" s="15"/>
      <c r="AA486" s="15"/>
      <c r="AB486" s="15"/>
      <c r="AC486" s="103"/>
      <c r="AD486" s="15"/>
      <c r="AE486" s="15"/>
      <c r="AF486" s="15"/>
      <c r="AG486" s="15"/>
      <c r="AH486" s="15"/>
      <c r="AI486" s="15"/>
      <c r="AJ486" s="103"/>
      <c r="AK486" s="15"/>
      <c r="AL486" s="15"/>
      <c r="AM486" s="15"/>
      <c r="AN486" s="15"/>
      <c r="AO486" s="15"/>
      <c r="AP486" s="15"/>
      <c r="AQ486" s="15"/>
    </row>
    <row r="487">
      <c r="A487" s="15"/>
      <c r="B487" s="15"/>
      <c r="C487" s="15"/>
      <c r="D487" s="15"/>
      <c r="E487" s="15"/>
      <c r="F487" s="15"/>
      <c r="G487" s="15"/>
      <c r="H487" s="103"/>
      <c r="I487" s="15"/>
      <c r="J487" s="15"/>
      <c r="K487" s="15"/>
      <c r="L487" s="15"/>
      <c r="M487" s="15"/>
      <c r="N487" s="15"/>
      <c r="O487" s="103"/>
      <c r="P487" s="15"/>
      <c r="Q487" s="15"/>
      <c r="R487" s="15"/>
      <c r="S487" s="15"/>
      <c r="T487" s="15"/>
      <c r="U487" s="15"/>
      <c r="V487" s="103"/>
      <c r="W487" s="15"/>
      <c r="X487" s="15"/>
      <c r="Y487" s="15"/>
      <c r="Z487" s="15"/>
      <c r="AA487" s="15"/>
      <c r="AB487" s="15"/>
      <c r="AC487" s="103"/>
      <c r="AD487" s="15"/>
      <c r="AE487" s="15"/>
      <c r="AF487" s="15"/>
      <c r="AG487" s="15"/>
      <c r="AH487" s="15"/>
      <c r="AI487" s="15"/>
      <c r="AJ487" s="103"/>
      <c r="AK487" s="15"/>
      <c r="AL487" s="15"/>
      <c r="AM487" s="15"/>
      <c r="AN487" s="15"/>
      <c r="AO487" s="15"/>
      <c r="AP487" s="15"/>
      <c r="AQ487" s="15"/>
    </row>
    <row r="488">
      <c r="A488" s="15"/>
      <c r="B488" s="15"/>
      <c r="C488" s="15"/>
      <c r="D488" s="15"/>
      <c r="E488" s="15"/>
      <c r="F488" s="15"/>
      <c r="G488" s="15"/>
      <c r="H488" s="103"/>
      <c r="I488" s="15"/>
      <c r="J488" s="15"/>
      <c r="K488" s="15"/>
      <c r="L488" s="15"/>
      <c r="M488" s="15"/>
      <c r="N488" s="15"/>
      <c r="O488" s="103"/>
      <c r="P488" s="15"/>
      <c r="Q488" s="15"/>
      <c r="R488" s="15"/>
      <c r="S488" s="15"/>
      <c r="T488" s="15"/>
      <c r="U488" s="15"/>
      <c r="V488" s="103"/>
      <c r="W488" s="15"/>
      <c r="X488" s="15"/>
      <c r="Y488" s="15"/>
      <c r="Z488" s="15"/>
      <c r="AA488" s="15"/>
      <c r="AB488" s="15"/>
      <c r="AC488" s="103"/>
      <c r="AD488" s="15"/>
      <c r="AE488" s="15"/>
      <c r="AF488" s="15"/>
      <c r="AG488" s="15"/>
      <c r="AH488" s="15"/>
      <c r="AI488" s="15"/>
      <c r="AJ488" s="103"/>
      <c r="AK488" s="15"/>
      <c r="AL488" s="15"/>
      <c r="AM488" s="15"/>
      <c r="AN488" s="15"/>
      <c r="AO488" s="15"/>
      <c r="AP488" s="15"/>
      <c r="AQ488" s="15"/>
    </row>
    <row r="489">
      <c r="A489" s="15"/>
      <c r="B489" s="15"/>
      <c r="C489" s="15"/>
      <c r="D489" s="15"/>
      <c r="E489" s="15"/>
      <c r="F489" s="15"/>
      <c r="G489" s="15"/>
      <c r="H489" s="103"/>
      <c r="I489" s="15"/>
      <c r="J489" s="15"/>
      <c r="K489" s="15"/>
      <c r="L489" s="15"/>
      <c r="M489" s="15"/>
      <c r="N489" s="15"/>
      <c r="O489" s="103"/>
      <c r="P489" s="15"/>
      <c r="Q489" s="15"/>
      <c r="R489" s="15"/>
      <c r="S489" s="15"/>
      <c r="T489" s="15"/>
      <c r="U489" s="15"/>
      <c r="V489" s="103"/>
      <c r="W489" s="15"/>
      <c r="X489" s="15"/>
      <c r="Y489" s="15"/>
      <c r="Z489" s="15"/>
      <c r="AA489" s="15"/>
      <c r="AB489" s="15"/>
      <c r="AC489" s="103"/>
      <c r="AD489" s="15"/>
      <c r="AE489" s="15"/>
      <c r="AF489" s="15"/>
      <c r="AG489" s="15"/>
      <c r="AH489" s="15"/>
      <c r="AI489" s="15"/>
      <c r="AJ489" s="103"/>
      <c r="AK489" s="15"/>
      <c r="AL489" s="15"/>
      <c r="AM489" s="15"/>
      <c r="AN489" s="15"/>
      <c r="AO489" s="15"/>
      <c r="AP489" s="15"/>
      <c r="AQ489" s="15"/>
    </row>
    <row r="490">
      <c r="A490" s="15"/>
      <c r="B490" s="15"/>
      <c r="C490" s="15"/>
      <c r="D490" s="15"/>
      <c r="E490" s="15"/>
      <c r="F490" s="15"/>
      <c r="G490" s="15"/>
      <c r="H490" s="103"/>
      <c r="I490" s="15"/>
      <c r="J490" s="15"/>
      <c r="K490" s="15"/>
      <c r="L490" s="15"/>
      <c r="M490" s="15"/>
      <c r="N490" s="15"/>
      <c r="O490" s="103"/>
      <c r="P490" s="15"/>
      <c r="Q490" s="15"/>
      <c r="R490" s="15"/>
      <c r="S490" s="15"/>
      <c r="T490" s="15"/>
      <c r="U490" s="15"/>
      <c r="V490" s="103"/>
      <c r="W490" s="15"/>
      <c r="X490" s="15"/>
      <c r="Y490" s="15"/>
      <c r="Z490" s="15"/>
      <c r="AA490" s="15"/>
      <c r="AB490" s="15"/>
      <c r="AC490" s="103"/>
      <c r="AD490" s="15"/>
      <c r="AE490" s="15"/>
      <c r="AF490" s="15"/>
      <c r="AG490" s="15"/>
      <c r="AH490" s="15"/>
      <c r="AI490" s="15"/>
      <c r="AJ490" s="103"/>
      <c r="AK490" s="15"/>
      <c r="AL490" s="15"/>
      <c r="AM490" s="15"/>
      <c r="AN490" s="15"/>
      <c r="AO490" s="15"/>
      <c r="AP490" s="15"/>
      <c r="AQ490" s="15"/>
    </row>
    <row r="491">
      <c r="A491" s="15"/>
      <c r="B491" s="15"/>
      <c r="C491" s="15"/>
      <c r="D491" s="15"/>
      <c r="E491" s="15"/>
      <c r="F491" s="15"/>
      <c r="G491" s="15"/>
      <c r="H491" s="103"/>
      <c r="I491" s="15"/>
      <c r="J491" s="15"/>
      <c r="K491" s="15"/>
      <c r="L491" s="15"/>
      <c r="M491" s="15"/>
      <c r="N491" s="15"/>
      <c r="O491" s="103"/>
      <c r="P491" s="15"/>
      <c r="Q491" s="15"/>
      <c r="R491" s="15"/>
      <c r="S491" s="15"/>
      <c r="T491" s="15"/>
      <c r="U491" s="15"/>
      <c r="V491" s="103"/>
      <c r="W491" s="15"/>
      <c r="X491" s="15"/>
      <c r="Y491" s="15"/>
      <c r="Z491" s="15"/>
      <c r="AA491" s="15"/>
      <c r="AB491" s="15"/>
      <c r="AC491" s="103"/>
      <c r="AD491" s="15"/>
      <c r="AE491" s="15"/>
      <c r="AF491" s="15"/>
      <c r="AG491" s="15"/>
      <c r="AH491" s="15"/>
      <c r="AI491" s="15"/>
      <c r="AJ491" s="103"/>
      <c r="AK491" s="15"/>
      <c r="AL491" s="15"/>
      <c r="AM491" s="15"/>
      <c r="AN491" s="15"/>
      <c r="AO491" s="15"/>
      <c r="AP491" s="15"/>
      <c r="AQ491" s="15"/>
    </row>
    <row r="492">
      <c r="A492" s="15"/>
      <c r="B492" s="15"/>
      <c r="C492" s="15"/>
      <c r="D492" s="15"/>
      <c r="E492" s="15"/>
      <c r="F492" s="15"/>
      <c r="G492" s="15"/>
      <c r="H492" s="103"/>
      <c r="I492" s="15"/>
      <c r="J492" s="15"/>
      <c r="K492" s="15"/>
      <c r="L492" s="15"/>
      <c r="M492" s="15"/>
      <c r="N492" s="15"/>
      <c r="O492" s="103"/>
      <c r="P492" s="15"/>
      <c r="Q492" s="15"/>
      <c r="R492" s="15"/>
      <c r="S492" s="15"/>
      <c r="T492" s="15"/>
      <c r="U492" s="15"/>
      <c r="V492" s="103"/>
      <c r="W492" s="15"/>
      <c r="X492" s="15"/>
      <c r="Y492" s="15"/>
      <c r="Z492" s="15"/>
      <c r="AA492" s="15"/>
      <c r="AB492" s="15"/>
      <c r="AC492" s="103"/>
      <c r="AD492" s="15"/>
      <c r="AE492" s="15"/>
      <c r="AF492" s="15"/>
      <c r="AG492" s="15"/>
      <c r="AH492" s="15"/>
      <c r="AI492" s="15"/>
      <c r="AJ492" s="103"/>
      <c r="AK492" s="15"/>
      <c r="AL492" s="15"/>
      <c r="AM492" s="15"/>
      <c r="AN492" s="15"/>
      <c r="AO492" s="15"/>
      <c r="AP492" s="15"/>
      <c r="AQ492" s="15"/>
    </row>
    <row r="493">
      <c r="A493" s="15"/>
      <c r="B493" s="15"/>
      <c r="C493" s="15"/>
      <c r="D493" s="15"/>
      <c r="E493" s="15"/>
      <c r="F493" s="15"/>
      <c r="G493" s="15"/>
      <c r="H493" s="103"/>
      <c r="I493" s="15"/>
      <c r="J493" s="15"/>
      <c r="K493" s="15"/>
      <c r="L493" s="15"/>
      <c r="M493" s="15"/>
      <c r="N493" s="15"/>
      <c r="O493" s="103"/>
      <c r="P493" s="15"/>
      <c r="Q493" s="15"/>
      <c r="R493" s="15"/>
      <c r="S493" s="15"/>
      <c r="T493" s="15"/>
      <c r="U493" s="15"/>
      <c r="V493" s="103"/>
      <c r="W493" s="15"/>
      <c r="X493" s="15"/>
      <c r="Y493" s="15"/>
      <c r="Z493" s="15"/>
      <c r="AA493" s="15"/>
      <c r="AB493" s="15"/>
      <c r="AC493" s="103"/>
      <c r="AD493" s="15"/>
      <c r="AE493" s="15"/>
      <c r="AF493" s="15"/>
      <c r="AG493" s="15"/>
      <c r="AH493" s="15"/>
      <c r="AI493" s="15"/>
      <c r="AJ493" s="103"/>
      <c r="AK493" s="15"/>
      <c r="AL493" s="15"/>
      <c r="AM493" s="15"/>
      <c r="AN493" s="15"/>
      <c r="AO493" s="15"/>
      <c r="AP493" s="15"/>
      <c r="AQ493" s="15"/>
    </row>
    <row r="494">
      <c r="A494" s="15"/>
      <c r="B494" s="15"/>
      <c r="C494" s="15"/>
      <c r="D494" s="15"/>
      <c r="E494" s="15"/>
      <c r="F494" s="15"/>
      <c r="G494" s="15"/>
      <c r="H494" s="103"/>
      <c r="I494" s="15"/>
      <c r="J494" s="15"/>
      <c r="K494" s="15"/>
      <c r="L494" s="15"/>
      <c r="M494" s="15"/>
      <c r="N494" s="15"/>
      <c r="O494" s="103"/>
      <c r="P494" s="15"/>
      <c r="Q494" s="15"/>
      <c r="R494" s="15"/>
      <c r="S494" s="15"/>
      <c r="T494" s="15"/>
      <c r="U494" s="15"/>
      <c r="V494" s="103"/>
      <c r="W494" s="15"/>
      <c r="X494" s="15"/>
      <c r="Y494" s="15"/>
      <c r="Z494" s="15"/>
      <c r="AA494" s="15"/>
      <c r="AB494" s="15"/>
      <c r="AC494" s="103"/>
      <c r="AD494" s="15"/>
      <c r="AE494" s="15"/>
      <c r="AF494" s="15"/>
      <c r="AG494" s="15"/>
      <c r="AH494" s="15"/>
      <c r="AI494" s="15"/>
      <c r="AJ494" s="103"/>
      <c r="AK494" s="15"/>
      <c r="AL494" s="15"/>
      <c r="AM494" s="15"/>
      <c r="AN494" s="15"/>
      <c r="AO494" s="15"/>
      <c r="AP494" s="15"/>
      <c r="AQ494" s="15"/>
    </row>
    <row r="495">
      <c r="A495" s="15"/>
      <c r="B495" s="15"/>
      <c r="C495" s="15"/>
      <c r="D495" s="15"/>
      <c r="E495" s="15"/>
      <c r="F495" s="15"/>
      <c r="G495" s="15"/>
      <c r="H495" s="103"/>
      <c r="I495" s="15"/>
      <c r="J495" s="15"/>
      <c r="K495" s="15"/>
      <c r="L495" s="15"/>
      <c r="M495" s="15"/>
      <c r="N495" s="15"/>
      <c r="O495" s="103"/>
      <c r="P495" s="15"/>
      <c r="Q495" s="15"/>
      <c r="R495" s="15"/>
      <c r="S495" s="15"/>
      <c r="T495" s="15"/>
      <c r="U495" s="15"/>
      <c r="V495" s="103"/>
      <c r="W495" s="15"/>
      <c r="X495" s="15"/>
      <c r="Y495" s="15"/>
      <c r="Z495" s="15"/>
      <c r="AA495" s="15"/>
      <c r="AB495" s="15"/>
      <c r="AC495" s="103"/>
      <c r="AD495" s="15"/>
      <c r="AE495" s="15"/>
      <c r="AF495" s="15"/>
      <c r="AG495" s="15"/>
      <c r="AH495" s="15"/>
      <c r="AI495" s="15"/>
      <c r="AJ495" s="103"/>
      <c r="AK495" s="15"/>
      <c r="AL495" s="15"/>
      <c r="AM495" s="15"/>
      <c r="AN495" s="15"/>
      <c r="AO495" s="15"/>
      <c r="AP495" s="15"/>
      <c r="AQ495" s="15"/>
    </row>
    <row r="496">
      <c r="A496" s="15"/>
      <c r="B496" s="15"/>
      <c r="C496" s="15"/>
      <c r="D496" s="15"/>
      <c r="E496" s="15"/>
      <c r="F496" s="15"/>
      <c r="G496" s="15"/>
      <c r="H496" s="103"/>
      <c r="I496" s="15"/>
      <c r="J496" s="15"/>
      <c r="K496" s="15"/>
      <c r="L496" s="15"/>
      <c r="M496" s="15"/>
      <c r="N496" s="15"/>
      <c r="O496" s="103"/>
      <c r="P496" s="15"/>
      <c r="Q496" s="15"/>
      <c r="R496" s="15"/>
      <c r="S496" s="15"/>
      <c r="T496" s="15"/>
      <c r="U496" s="15"/>
      <c r="V496" s="103"/>
      <c r="W496" s="15"/>
      <c r="X496" s="15"/>
      <c r="Y496" s="15"/>
      <c r="Z496" s="15"/>
      <c r="AA496" s="15"/>
      <c r="AB496" s="15"/>
      <c r="AC496" s="103"/>
      <c r="AD496" s="15"/>
      <c r="AE496" s="15"/>
      <c r="AF496" s="15"/>
      <c r="AG496" s="15"/>
      <c r="AH496" s="15"/>
      <c r="AI496" s="15"/>
      <c r="AJ496" s="103"/>
      <c r="AK496" s="15"/>
      <c r="AL496" s="15"/>
      <c r="AM496" s="15"/>
      <c r="AN496" s="15"/>
      <c r="AO496" s="15"/>
      <c r="AP496" s="15"/>
      <c r="AQ496" s="15"/>
    </row>
    <row r="497">
      <c r="A497" s="15"/>
      <c r="B497" s="15"/>
      <c r="C497" s="15"/>
      <c r="D497" s="15"/>
      <c r="E497" s="15"/>
      <c r="F497" s="15"/>
      <c r="G497" s="15"/>
      <c r="H497" s="103"/>
      <c r="I497" s="15"/>
      <c r="J497" s="15"/>
      <c r="K497" s="15"/>
      <c r="L497" s="15"/>
      <c r="M497" s="15"/>
      <c r="N497" s="15"/>
      <c r="O497" s="103"/>
      <c r="P497" s="15"/>
      <c r="Q497" s="15"/>
      <c r="R497" s="15"/>
      <c r="S497" s="15"/>
      <c r="T497" s="15"/>
      <c r="U497" s="15"/>
      <c r="V497" s="103"/>
      <c r="W497" s="15"/>
      <c r="X497" s="15"/>
      <c r="Y497" s="15"/>
      <c r="Z497" s="15"/>
      <c r="AA497" s="15"/>
      <c r="AB497" s="15"/>
      <c r="AC497" s="103"/>
      <c r="AD497" s="15"/>
      <c r="AE497" s="15"/>
      <c r="AF497" s="15"/>
      <c r="AG497" s="15"/>
      <c r="AH497" s="15"/>
      <c r="AI497" s="15"/>
      <c r="AJ497" s="103"/>
      <c r="AK497" s="15"/>
      <c r="AL497" s="15"/>
      <c r="AM497" s="15"/>
      <c r="AN497" s="15"/>
      <c r="AO497" s="15"/>
      <c r="AP497" s="15"/>
      <c r="AQ497" s="15"/>
    </row>
    <row r="498">
      <c r="A498" s="15"/>
      <c r="B498" s="15"/>
      <c r="C498" s="15"/>
      <c r="D498" s="15"/>
      <c r="E498" s="15"/>
      <c r="F498" s="15"/>
      <c r="G498" s="15"/>
      <c r="H498" s="103"/>
      <c r="I498" s="15"/>
      <c r="J498" s="15"/>
      <c r="K498" s="15"/>
      <c r="L498" s="15"/>
      <c r="M498" s="15"/>
      <c r="N498" s="15"/>
      <c r="O498" s="103"/>
      <c r="P498" s="15"/>
      <c r="Q498" s="15"/>
      <c r="R498" s="15"/>
      <c r="S498" s="15"/>
      <c r="T498" s="15"/>
      <c r="U498" s="15"/>
      <c r="V498" s="103"/>
      <c r="W498" s="15"/>
      <c r="X498" s="15"/>
      <c r="Y498" s="15"/>
      <c r="Z498" s="15"/>
      <c r="AA498" s="15"/>
      <c r="AB498" s="15"/>
      <c r="AC498" s="103"/>
      <c r="AD498" s="15"/>
      <c r="AE498" s="15"/>
      <c r="AF498" s="15"/>
      <c r="AG498" s="15"/>
      <c r="AH498" s="15"/>
      <c r="AI498" s="15"/>
      <c r="AJ498" s="103"/>
      <c r="AK498" s="15"/>
      <c r="AL498" s="15"/>
      <c r="AM498" s="15"/>
      <c r="AN498" s="15"/>
      <c r="AO498" s="15"/>
      <c r="AP498" s="15"/>
      <c r="AQ498" s="15"/>
    </row>
    <row r="499">
      <c r="A499" s="15"/>
      <c r="B499" s="15"/>
      <c r="C499" s="15"/>
      <c r="D499" s="15"/>
      <c r="E499" s="15"/>
      <c r="F499" s="15"/>
      <c r="G499" s="15"/>
      <c r="H499" s="103"/>
      <c r="I499" s="15"/>
      <c r="J499" s="15"/>
      <c r="K499" s="15"/>
      <c r="L499" s="15"/>
      <c r="M499" s="15"/>
      <c r="N499" s="15"/>
      <c r="O499" s="103"/>
      <c r="P499" s="15"/>
      <c r="Q499" s="15"/>
      <c r="R499" s="15"/>
      <c r="S499" s="15"/>
      <c r="T499" s="15"/>
      <c r="U499" s="15"/>
      <c r="V499" s="103"/>
      <c r="W499" s="15"/>
      <c r="X499" s="15"/>
      <c r="Y499" s="15"/>
      <c r="Z499" s="15"/>
      <c r="AA499" s="15"/>
      <c r="AB499" s="15"/>
      <c r="AC499" s="103"/>
      <c r="AD499" s="15"/>
      <c r="AE499" s="15"/>
      <c r="AF499" s="15"/>
      <c r="AG499" s="15"/>
      <c r="AH499" s="15"/>
      <c r="AI499" s="15"/>
      <c r="AJ499" s="103"/>
      <c r="AK499" s="15"/>
      <c r="AL499" s="15"/>
      <c r="AM499" s="15"/>
      <c r="AN499" s="15"/>
      <c r="AO499" s="15"/>
      <c r="AP499" s="15"/>
      <c r="AQ499" s="15"/>
    </row>
    <row r="500">
      <c r="A500" s="15"/>
      <c r="B500" s="15"/>
      <c r="C500" s="15"/>
      <c r="D500" s="15"/>
      <c r="E500" s="15"/>
      <c r="F500" s="15"/>
      <c r="G500" s="15"/>
      <c r="H500" s="103"/>
      <c r="I500" s="15"/>
      <c r="J500" s="15"/>
      <c r="K500" s="15"/>
      <c r="L500" s="15"/>
      <c r="M500" s="15"/>
      <c r="N500" s="15"/>
      <c r="O500" s="103"/>
      <c r="P500" s="15"/>
      <c r="Q500" s="15"/>
      <c r="R500" s="15"/>
      <c r="S500" s="15"/>
      <c r="T500" s="15"/>
      <c r="U500" s="15"/>
      <c r="V500" s="103"/>
      <c r="W500" s="15"/>
      <c r="X500" s="15"/>
      <c r="Y500" s="15"/>
      <c r="Z500" s="15"/>
      <c r="AA500" s="15"/>
      <c r="AB500" s="15"/>
      <c r="AC500" s="103"/>
      <c r="AD500" s="15"/>
      <c r="AE500" s="15"/>
      <c r="AF500" s="15"/>
      <c r="AG500" s="15"/>
      <c r="AH500" s="15"/>
      <c r="AI500" s="15"/>
      <c r="AJ500" s="103"/>
      <c r="AK500" s="15"/>
      <c r="AL500" s="15"/>
      <c r="AM500" s="15"/>
      <c r="AN500" s="15"/>
      <c r="AO500" s="15"/>
      <c r="AP500" s="15"/>
      <c r="AQ500" s="15"/>
    </row>
    <row r="501">
      <c r="A501" s="15"/>
      <c r="B501" s="15"/>
      <c r="C501" s="15"/>
      <c r="D501" s="15"/>
      <c r="E501" s="15"/>
      <c r="F501" s="15"/>
      <c r="G501" s="15"/>
      <c r="H501" s="103"/>
      <c r="I501" s="15"/>
      <c r="J501" s="15"/>
      <c r="K501" s="15"/>
      <c r="L501" s="15"/>
      <c r="M501" s="15"/>
      <c r="N501" s="15"/>
      <c r="O501" s="103"/>
      <c r="P501" s="15"/>
      <c r="Q501" s="15"/>
      <c r="R501" s="15"/>
      <c r="S501" s="15"/>
      <c r="T501" s="15"/>
      <c r="U501" s="15"/>
      <c r="V501" s="103"/>
      <c r="W501" s="15"/>
      <c r="X501" s="15"/>
      <c r="Y501" s="15"/>
      <c r="Z501" s="15"/>
      <c r="AA501" s="15"/>
      <c r="AB501" s="15"/>
      <c r="AC501" s="103"/>
      <c r="AD501" s="15"/>
      <c r="AE501" s="15"/>
      <c r="AF501" s="15"/>
      <c r="AG501" s="15"/>
      <c r="AH501" s="15"/>
      <c r="AI501" s="15"/>
      <c r="AJ501" s="103"/>
      <c r="AK501" s="15"/>
      <c r="AL501" s="15"/>
      <c r="AM501" s="15"/>
      <c r="AN501" s="15"/>
      <c r="AO501" s="15"/>
      <c r="AP501" s="15"/>
      <c r="AQ501" s="15"/>
    </row>
    <row r="502">
      <c r="A502" s="15"/>
      <c r="B502" s="15"/>
      <c r="C502" s="15"/>
      <c r="D502" s="15"/>
      <c r="E502" s="15"/>
      <c r="F502" s="15"/>
      <c r="G502" s="15"/>
      <c r="H502" s="103"/>
      <c r="I502" s="15"/>
      <c r="J502" s="15"/>
      <c r="K502" s="15"/>
      <c r="L502" s="15"/>
      <c r="M502" s="15"/>
      <c r="N502" s="15"/>
      <c r="O502" s="103"/>
      <c r="P502" s="15"/>
      <c r="Q502" s="15"/>
      <c r="R502" s="15"/>
      <c r="S502" s="15"/>
      <c r="T502" s="15"/>
      <c r="U502" s="15"/>
      <c r="V502" s="103"/>
      <c r="W502" s="15"/>
      <c r="X502" s="15"/>
      <c r="Y502" s="15"/>
      <c r="Z502" s="15"/>
      <c r="AA502" s="15"/>
      <c r="AB502" s="15"/>
      <c r="AC502" s="103"/>
      <c r="AD502" s="15"/>
      <c r="AE502" s="15"/>
      <c r="AF502" s="15"/>
      <c r="AG502" s="15"/>
      <c r="AH502" s="15"/>
      <c r="AI502" s="15"/>
      <c r="AJ502" s="103"/>
      <c r="AK502" s="15"/>
      <c r="AL502" s="15"/>
      <c r="AM502" s="15"/>
      <c r="AN502" s="15"/>
      <c r="AO502" s="15"/>
      <c r="AP502" s="15"/>
      <c r="AQ502" s="15"/>
    </row>
    <row r="503">
      <c r="A503" s="15"/>
      <c r="B503" s="15"/>
      <c r="C503" s="15"/>
      <c r="D503" s="15"/>
      <c r="E503" s="15"/>
      <c r="F503" s="15"/>
      <c r="G503" s="15"/>
      <c r="H503" s="103"/>
      <c r="I503" s="15"/>
      <c r="J503" s="15"/>
      <c r="K503" s="15"/>
      <c r="L503" s="15"/>
      <c r="M503" s="15"/>
      <c r="N503" s="15"/>
      <c r="O503" s="103"/>
      <c r="P503" s="15"/>
      <c r="Q503" s="15"/>
      <c r="R503" s="15"/>
      <c r="S503" s="15"/>
      <c r="T503" s="15"/>
      <c r="U503" s="15"/>
      <c r="V503" s="103"/>
      <c r="W503" s="15"/>
      <c r="X503" s="15"/>
      <c r="Y503" s="15"/>
      <c r="Z503" s="15"/>
      <c r="AA503" s="15"/>
      <c r="AB503" s="15"/>
      <c r="AC503" s="103"/>
      <c r="AD503" s="15"/>
      <c r="AE503" s="15"/>
      <c r="AF503" s="15"/>
      <c r="AG503" s="15"/>
      <c r="AH503" s="15"/>
      <c r="AI503" s="15"/>
      <c r="AJ503" s="103"/>
      <c r="AK503" s="15"/>
      <c r="AL503" s="15"/>
      <c r="AM503" s="15"/>
      <c r="AN503" s="15"/>
      <c r="AO503" s="15"/>
      <c r="AP503" s="15"/>
      <c r="AQ503" s="15"/>
    </row>
    <row r="504">
      <c r="A504" s="15"/>
      <c r="B504" s="15"/>
      <c r="C504" s="15"/>
      <c r="D504" s="15"/>
      <c r="E504" s="15"/>
      <c r="F504" s="15"/>
      <c r="G504" s="15"/>
      <c r="H504" s="103"/>
      <c r="I504" s="15"/>
      <c r="J504" s="15"/>
      <c r="K504" s="15"/>
      <c r="L504" s="15"/>
      <c r="M504" s="15"/>
      <c r="N504" s="15"/>
      <c r="O504" s="103"/>
      <c r="P504" s="15"/>
      <c r="Q504" s="15"/>
      <c r="R504" s="15"/>
      <c r="S504" s="15"/>
      <c r="T504" s="15"/>
      <c r="U504" s="15"/>
      <c r="V504" s="103"/>
      <c r="W504" s="15"/>
      <c r="X504" s="15"/>
      <c r="Y504" s="15"/>
      <c r="Z504" s="15"/>
      <c r="AA504" s="15"/>
      <c r="AB504" s="15"/>
      <c r="AC504" s="103"/>
      <c r="AD504" s="15"/>
      <c r="AE504" s="15"/>
      <c r="AF504" s="15"/>
      <c r="AG504" s="15"/>
      <c r="AH504" s="15"/>
      <c r="AI504" s="15"/>
      <c r="AJ504" s="103"/>
      <c r="AK504" s="15"/>
      <c r="AL504" s="15"/>
      <c r="AM504" s="15"/>
      <c r="AN504" s="15"/>
      <c r="AO504" s="15"/>
      <c r="AP504" s="15"/>
      <c r="AQ504" s="15"/>
    </row>
    <row r="505">
      <c r="A505" s="15"/>
      <c r="B505" s="15"/>
      <c r="C505" s="15"/>
      <c r="D505" s="15"/>
      <c r="E505" s="15"/>
      <c r="F505" s="15"/>
      <c r="G505" s="15"/>
      <c r="H505" s="103"/>
      <c r="I505" s="15"/>
      <c r="J505" s="15"/>
      <c r="K505" s="15"/>
      <c r="L505" s="15"/>
      <c r="M505" s="15"/>
      <c r="N505" s="15"/>
      <c r="O505" s="103"/>
      <c r="P505" s="15"/>
      <c r="Q505" s="15"/>
      <c r="R505" s="15"/>
      <c r="S505" s="15"/>
      <c r="T505" s="15"/>
      <c r="U505" s="15"/>
      <c r="V505" s="103"/>
      <c r="W505" s="15"/>
      <c r="X505" s="15"/>
      <c r="Y505" s="15"/>
      <c r="Z505" s="15"/>
      <c r="AA505" s="15"/>
      <c r="AB505" s="15"/>
      <c r="AC505" s="103"/>
      <c r="AD505" s="15"/>
      <c r="AE505" s="15"/>
      <c r="AF505" s="15"/>
      <c r="AG505" s="15"/>
      <c r="AH505" s="15"/>
      <c r="AI505" s="15"/>
      <c r="AJ505" s="103"/>
      <c r="AK505" s="15"/>
      <c r="AL505" s="15"/>
      <c r="AM505" s="15"/>
      <c r="AN505" s="15"/>
      <c r="AO505" s="15"/>
      <c r="AP505" s="15"/>
      <c r="AQ505" s="15"/>
    </row>
    <row r="506">
      <c r="A506" s="15"/>
      <c r="B506" s="15"/>
      <c r="C506" s="15"/>
      <c r="D506" s="15"/>
      <c r="E506" s="15"/>
      <c r="F506" s="15"/>
      <c r="G506" s="15"/>
      <c r="H506" s="103"/>
      <c r="I506" s="15"/>
      <c r="J506" s="15"/>
      <c r="K506" s="15"/>
      <c r="L506" s="15"/>
      <c r="M506" s="15"/>
      <c r="N506" s="15"/>
      <c r="O506" s="103"/>
      <c r="P506" s="15"/>
      <c r="Q506" s="15"/>
      <c r="R506" s="15"/>
      <c r="S506" s="15"/>
      <c r="T506" s="15"/>
      <c r="U506" s="15"/>
      <c r="V506" s="103"/>
      <c r="W506" s="15"/>
      <c r="X506" s="15"/>
      <c r="Y506" s="15"/>
      <c r="Z506" s="15"/>
      <c r="AA506" s="15"/>
      <c r="AB506" s="15"/>
      <c r="AC506" s="103"/>
      <c r="AD506" s="15"/>
      <c r="AE506" s="15"/>
      <c r="AF506" s="15"/>
      <c r="AG506" s="15"/>
      <c r="AH506" s="15"/>
      <c r="AI506" s="15"/>
      <c r="AJ506" s="103"/>
      <c r="AK506" s="15"/>
      <c r="AL506" s="15"/>
      <c r="AM506" s="15"/>
      <c r="AN506" s="15"/>
      <c r="AO506" s="15"/>
      <c r="AP506" s="15"/>
      <c r="AQ506" s="15"/>
    </row>
    <row r="507">
      <c r="A507" s="15"/>
      <c r="B507" s="15"/>
      <c r="C507" s="15"/>
      <c r="D507" s="15"/>
      <c r="E507" s="15"/>
      <c r="F507" s="15"/>
      <c r="G507" s="15"/>
      <c r="H507" s="103"/>
      <c r="I507" s="15"/>
      <c r="J507" s="15"/>
      <c r="K507" s="15"/>
      <c r="L507" s="15"/>
      <c r="M507" s="15"/>
      <c r="N507" s="15"/>
      <c r="O507" s="103"/>
      <c r="P507" s="15"/>
      <c r="Q507" s="15"/>
      <c r="R507" s="15"/>
      <c r="S507" s="15"/>
      <c r="T507" s="15"/>
      <c r="U507" s="15"/>
      <c r="V507" s="103"/>
      <c r="W507" s="15"/>
      <c r="X507" s="15"/>
      <c r="Y507" s="15"/>
      <c r="Z507" s="15"/>
      <c r="AA507" s="15"/>
      <c r="AB507" s="15"/>
      <c r="AC507" s="103"/>
      <c r="AD507" s="15"/>
      <c r="AE507" s="15"/>
      <c r="AF507" s="15"/>
      <c r="AG507" s="15"/>
      <c r="AH507" s="15"/>
      <c r="AI507" s="15"/>
      <c r="AJ507" s="103"/>
      <c r="AK507" s="15"/>
      <c r="AL507" s="15"/>
      <c r="AM507" s="15"/>
      <c r="AN507" s="15"/>
      <c r="AO507" s="15"/>
      <c r="AP507" s="15"/>
      <c r="AQ507" s="15"/>
    </row>
    <row r="508">
      <c r="A508" s="15"/>
      <c r="B508" s="15"/>
      <c r="C508" s="15"/>
      <c r="D508" s="15"/>
      <c r="E508" s="15"/>
      <c r="F508" s="15"/>
      <c r="G508" s="15"/>
      <c r="H508" s="103"/>
      <c r="I508" s="15"/>
      <c r="J508" s="15"/>
      <c r="K508" s="15"/>
      <c r="L508" s="15"/>
      <c r="M508" s="15"/>
      <c r="N508" s="15"/>
      <c r="O508" s="103"/>
      <c r="P508" s="15"/>
      <c r="Q508" s="15"/>
      <c r="R508" s="15"/>
      <c r="S508" s="15"/>
      <c r="T508" s="15"/>
      <c r="U508" s="15"/>
      <c r="V508" s="103"/>
      <c r="W508" s="15"/>
      <c r="X508" s="15"/>
      <c r="Y508" s="15"/>
      <c r="Z508" s="15"/>
      <c r="AA508" s="15"/>
      <c r="AB508" s="15"/>
      <c r="AC508" s="103"/>
      <c r="AD508" s="15"/>
      <c r="AE508" s="15"/>
      <c r="AF508" s="15"/>
      <c r="AG508" s="15"/>
      <c r="AH508" s="15"/>
      <c r="AI508" s="15"/>
      <c r="AJ508" s="103"/>
      <c r="AK508" s="15"/>
      <c r="AL508" s="15"/>
      <c r="AM508" s="15"/>
      <c r="AN508" s="15"/>
      <c r="AO508" s="15"/>
      <c r="AP508" s="15"/>
      <c r="AQ508" s="15"/>
    </row>
    <row r="509">
      <c r="A509" s="15"/>
      <c r="B509" s="15"/>
      <c r="C509" s="15"/>
      <c r="D509" s="15"/>
      <c r="E509" s="15"/>
      <c r="F509" s="15"/>
      <c r="G509" s="15"/>
      <c r="H509" s="103"/>
      <c r="I509" s="15"/>
      <c r="J509" s="15"/>
      <c r="K509" s="15"/>
      <c r="L509" s="15"/>
      <c r="M509" s="15"/>
      <c r="N509" s="15"/>
      <c r="O509" s="103"/>
      <c r="P509" s="15"/>
      <c r="Q509" s="15"/>
      <c r="R509" s="15"/>
      <c r="S509" s="15"/>
      <c r="T509" s="15"/>
      <c r="U509" s="15"/>
      <c r="V509" s="103"/>
      <c r="W509" s="15"/>
      <c r="X509" s="15"/>
      <c r="Y509" s="15"/>
      <c r="Z509" s="15"/>
      <c r="AA509" s="15"/>
      <c r="AB509" s="15"/>
      <c r="AC509" s="103"/>
      <c r="AD509" s="15"/>
      <c r="AE509" s="15"/>
      <c r="AF509" s="15"/>
      <c r="AG509" s="15"/>
      <c r="AH509" s="15"/>
      <c r="AI509" s="15"/>
      <c r="AJ509" s="103"/>
      <c r="AK509" s="15"/>
      <c r="AL509" s="15"/>
      <c r="AM509" s="15"/>
      <c r="AN509" s="15"/>
      <c r="AO509" s="15"/>
      <c r="AP509" s="15"/>
      <c r="AQ509" s="15"/>
    </row>
    <row r="510">
      <c r="A510" s="15"/>
      <c r="B510" s="15"/>
      <c r="C510" s="15"/>
      <c r="D510" s="15"/>
      <c r="E510" s="15"/>
      <c r="F510" s="15"/>
      <c r="G510" s="15"/>
      <c r="H510" s="103"/>
      <c r="I510" s="15"/>
      <c r="J510" s="15"/>
      <c r="K510" s="15"/>
      <c r="L510" s="15"/>
      <c r="M510" s="15"/>
      <c r="N510" s="15"/>
      <c r="O510" s="103"/>
      <c r="P510" s="15"/>
      <c r="Q510" s="15"/>
      <c r="R510" s="15"/>
      <c r="S510" s="15"/>
      <c r="T510" s="15"/>
      <c r="U510" s="15"/>
      <c r="V510" s="103"/>
      <c r="W510" s="15"/>
      <c r="X510" s="15"/>
      <c r="Y510" s="15"/>
      <c r="Z510" s="15"/>
      <c r="AA510" s="15"/>
      <c r="AB510" s="15"/>
      <c r="AC510" s="103"/>
      <c r="AD510" s="15"/>
      <c r="AE510" s="15"/>
      <c r="AF510" s="15"/>
      <c r="AG510" s="15"/>
      <c r="AH510" s="15"/>
      <c r="AI510" s="15"/>
      <c r="AJ510" s="103"/>
      <c r="AK510" s="15"/>
      <c r="AL510" s="15"/>
      <c r="AM510" s="15"/>
      <c r="AN510" s="15"/>
      <c r="AO510" s="15"/>
      <c r="AP510" s="15"/>
      <c r="AQ510" s="15"/>
    </row>
    <row r="511">
      <c r="A511" s="15"/>
      <c r="B511" s="15"/>
      <c r="C511" s="15"/>
      <c r="D511" s="15"/>
      <c r="E511" s="15"/>
      <c r="F511" s="15"/>
      <c r="G511" s="15"/>
      <c r="H511" s="103"/>
      <c r="I511" s="15"/>
      <c r="J511" s="15"/>
      <c r="K511" s="15"/>
      <c r="L511" s="15"/>
      <c r="M511" s="15"/>
      <c r="N511" s="15"/>
      <c r="O511" s="103"/>
      <c r="P511" s="15"/>
      <c r="Q511" s="15"/>
      <c r="R511" s="15"/>
      <c r="S511" s="15"/>
      <c r="T511" s="15"/>
      <c r="U511" s="15"/>
      <c r="V511" s="103"/>
      <c r="W511" s="15"/>
      <c r="X511" s="15"/>
      <c r="Y511" s="15"/>
      <c r="Z511" s="15"/>
      <c r="AA511" s="15"/>
      <c r="AB511" s="15"/>
      <c r="AC511" s="103"/>
      <c r="AD511" s="15"/>
      <c r="AE511" s="15"/>
      <c r="AF511" s="15"/>
      <c r="AG511" s="15"/>
      <c r="AH511" s="15"/>
      <c r="AI511" s="15"/>
      <c r="AJ511" s="103"/>
      <c r="AK511" s="15"/>
      <c r="AL511" s="15"/>
      <c r="AM511" s="15"/>
      <c r="AN511" s="15"/>
      <c r="AO511" s="15"/>
      <c r="AP511" s="15"/>
      <c r="AQ511" s="15"/>
    </row>
    <row r="512">
      <c r="A512" s="15"/>
      <c r="B512" s="15"/>
      <c r="C512" s="15"/>
      <c r="D512" s="15"/>
      <c r="E512" s="15"/>
      <c r="F512" s="15"/>
      <c r="G512" s="15"/>
      <c r="H512" s="103"/>
      <c r="I512" s="15"/>
      <c r="J512" s="15"/>
      <c r="K512" s="15"/>
      <c r="L512" s="15"/>
      <c r="M512" s="15"/>
      <c r="N512" s="15"/>
      <c r="O512" s="103"/>
      <c r="P512" s="15"/>
      <c r="Q512" s="15"/>
      <c r="R512" s="15"/>
      <c r="S512" s="15"/>
      <c r="T512" s="15"/>
      <c r="U512" s="15"/>
      <c r="V512" s="103"/>
      <c r="W512" s="15"/>
      <c r="X512" s="15"/>
      <c r="Y512" s="15"/>
      <c r="Z512" s="15"/>
      <c r="AA512" s="15"/>
      <c r="AB512" s="15"/>
      <c r="AC512" s="103"/>
      <c r="AD512" s="15"/>
      <c r="AE512" s="15"/>
      <c r="AF512" s="15"/>
      <c r="AG512" s="15"/>
      <c r="AH512" s="15"/>
      <c r="AI512" s="15"/>
      <c r="AJ512" s="103"/>
      <c r="AK512" s="15"/>
      <c r="AL512" s="15"/>
      <c r="AM512" s="15"/>
      <c r="AN512" s="15"/>
      <c r="AO512" s="15"/>
      <c r="AP512" s="15"/>
      <c r="AQ512" s="15"/>
    </row>
    <row r="513">
      <c r="A513" s="15"/>
      <c r="B513" s="15"/>
      <c r="C513" s="15"/>
      <c r="D513" s="15"/>
      <c r="E513" s="15"/>
      <c r="F513" s="15"/>
      <c r="G513" s="15"/>
      <c r="H513" s="103"/>
      <c r="I513" s="15"/>
      <c r="J513" s="15"/>
      <c r="K513" s="15"/>
      <c r="L513" s="15"/>
      <c r="M513" s="15"/>
      <c r="N513" s="15"/>
      <c r="O513" s="103"/>
      <c r="P513" s="15"/>
      <c r="Q513" s="15"/>
      <c r="R513" s="15"/>
      <c r="S513" s="15"/>
      <c r="T513" s="15"/>
      <c r="U513" s="15"/>
      <c r="V513" s="103"/>
      <c r="W513" s="15"/>
      <c r="X513" s="15"/>
      <c r="Y513" s="15"/>
      <c r="Z513" s="15"/>
      <c r="AA513" s="15"/>
      <c r="AB513" s="15"/>
      <c r="AC513" s="103"/>
      <c r="AD513" s="15"/>
      <c r="AE513" s="15"/>
      <c r="AF513" s="15"/>
      <c r="AG513" s="15"/>
      <c r="AH513" s="15"/>
      <c r="AI513" s="15"/>
      <c r="AJ513" s="103"/>
      <c r="AK513" s="15"/>
      <c r="AL513" s="15"/>
      <c r="AM513" s="15"/>
      <c r="AN513" s="15"/>
      <c r="AO513" s="15"/>
      <c r="AP513" s="15"/>
      <c r="AQ513" s="15"/>
    </row>
    <row r="514">
      <c r="A514" s="15"/>
      <c r="B514" s="15"/>
      <c r="C514" s="15"/>
      <c r="D514" s="15"/>
      <c r="E514" s="15"/>
      <c r="F514" s="15"/>
      <c r="G514" s="15"/>
      <c r="H514" s="103"/>
      <c r="I514" s="15"/>
      <c r="J514" s="15"/>
      <c r="K514" s="15"/>
      <c r="L514" s="15"/>
      <c r="M514" s="15"/>
      <c r="N514" s="15"/>
      <c r="O514" s="103"/>
      <c r="P514" s="15"/>
      <c r="Q514" s="15"/>
      <c r="R514" s="15"/>
      <c r="S514" s="15"/>
      <c r="T514" s="15"/>
      <c r="U514" s="15"/>
      <c r="V514" s="103"/>
      <c r="W514" s="15"/>
      <c r="X514" s="15"/>
      <c r="Y514" s="15"/>
      <c r="Z514" s="15"/>
      <c r="AA514" s="15"/>
      <c r="AB514" s="15"/>
      <c r="AC514" s="103"/>
      <c r="AD514" s="15"/>
      <c r="AE514" s="15"/>
      <c r="AF514" s="15"/>
      <c r="AG514" s="15"/>
      <c r="AH514" s="15"/>
      <c r="AI514" s="15"/>
      <c r="AJ514" s="103"/>
      <c r="AK514" s="15"/>
      <c r="AL514" s="15"/>
      <c r="AM514" s="15"/>
      <c r="AN514" s="15"/>
      <c r="AO514" s="15"/>
      <c r="AP514" s="15"/>
      <c r="AQ514" s="15"/>
    </row>
    <row r="515">
      <c r="A515" s="15"/>
      <c r="B515" s="15"/>
      <c r="C515" s="15"/>
      <c r="D515" s="15"/>
      <c r="E515" s="15"/>
      <c r="F515" s="15"/>
      <c r="G515" s="15"/>
      <c r="H515" s="103"/>
      <c r="I515" s="15"/>
      <c r="J515" s="15"/>
      <c r="K515" s="15"/>
      <c r="L515" s="15"/>
      <c r="M515" s="15"/>
      <c r="N515" s="15"/>
      <c r="O515" s="103"/>
      <c r="P515" s="15"/>
      <c r="Q515" s="15"/>
      <c r="R515" s="15"/>
      <c r="S515" s="15"/>
      <c r="T515" s="15"/>
      <c r="U515" s="15"/>
      <c r="V515" s="103"/>
      <c r="W515" s="15"/>
      <c r="X515" s="15"/>
      <c r="Y515" s="15"/>
      <c r="Z515" s="15"/>
      <c r="AA515" s="15"/>
      <c r="AB515" s="15"/>
      <c r="AC515" s="103"/>
      <c r="AD515" s="15"/>
      <c r="AE515" s="15"/>
      <c r="AF515" s="15"/>
      <c r="AG515" s="15"/>
      <c r="AH515" s="15"/>
      <c r="AI515" s="15"/>
      <c r="AJ515" s="103"/>
      <c r="AK515" s="15"/>
      <c r="AL515" s="15"/>
      <c r="AM515" s="15"/>
      <c r="AN515" s="15"/>
      <c r="AO515" s="15"/>
      <c r="AP515" s="15"/>
      <c r="AQ515" s="15"/>
    </row>
    <row r="516">
      <c r="A516" s="15"/>
      <c r="B516" s="15"/>
      <c r="C516" s="15"/>
      <c r="D516" s="15"/>
      <c r="E516" s="15"/>
      <c r="F516" s="15"/>
      <c r="G516" s="15"/>
      <c r="H516" s="103"/>
      <c r="I516" s="15"/>
      <c r="J516" s="15"/>
      <c r="K516" s="15"/>
      <c r="L516" s="15"/>
      <c r="M516" s="15"/>
      <c r="N516" s="15"/>
      <c r="O516" s="103"/>
      <c r="P516" s="15"/>
      <c r="Q516" s="15"/>
      <c r="R516" s="15"/>
      <c r="S516" s="15"/>
      <c r="T516" s="15"/>
      <c r="U516" s="15"/>
      <c r="V516" s="103"/>
      <c r="W516" s="15"/>
      <c r="X516" s="15"/>
      <c r="Y516" s="15"/>
      <c r="Z516" s="15"/>
      <c r="AA516" s="15"/>
      <c r="AB516" s="15"/>
      <c r="AC516" s="103"/>
      <c r="AD516" s="15"/>
      <c r="AE516" s="15"/>
      <c r="AF516" s="15"/>
      <c r="AG516" s="15"/>
      <c r="AH516" s="15"/>
      <c r="AI516" s="15"/>
      <c r="AJ516" s="103"/>
      <c r="AK516" s="15"/>
      <c r="AL516" s="15"/>
      <c r="AM516" s="15"/>
      <c r="AN516" s="15"/>
      <c r="AO516" s="15"/>
      <c r="AP516" s="15"/>
      <c r="AQ516" s="15"/>
    </row>
    <row r="517">
      <c r="A517" s="15"/>
      <c r="B517" s="15"/>
      <c r="C517" s="15"/>
      <c r="D517" s="15"/>
      <c r="E517" s="15"/>
      <c r="F517" s="15"/>
      <c r="G517" s="15"/>
      <c r="H517" s="103"/>
      <c r="I517" s="15"/>
      <c r="J517" s="15"/>
      <c r="K517" s="15"/>
      <c r="L517" s="15"/>
      <c r="M517" s="15"/>
      <c r="N517" s="15"/>
      <c r="O517" s="103"/>
      <c r="P517" s="15"/>
      <c r="Q517" s="15"/>
      <c r="R517" s="15"/>
      <c r="S517" s="15"/>
      <c r="T517" s="15"/>
      <c r="U517" s="15"/>
      <c r="V517" s="103"/>
      <c r="W517" s="15"/>
      <c r="X517" s="15"/>
      <c r="Y517" s="15"/>
      <c r="Z517" s="15"/>
      <c r="AA517" s="15"/>
      <c r="AB517" s="15"/>
      <c r="AC517" s="103"/>
      <c r="AD517" s="15"/>
      <c r="AE517" s="15"/>
      <c r="AF517" s="15"/>
      <c r="AG517" s="15"/>
      <c r="AH517" s="15"/>
      <c r="AI517" s="15"/>
      <c r="AJ517" s="103"/>
      <c r="AK517" s="15"/>
      <c r="AL517" s="15"/>
      <c r="AM517" s="15"/>
      <c r="AN517" s="15"/>
      <c r="AO517" s="15"/>
      <c r="AP517" s="15"/>
      <c r="AQ517" s="15"/>
    </row>
    <row r="518">
      <c r="A518" s="15"/>
      <c r="B518" s="15"/>
      <c r="C518" s="15"/>
      <c r="D518" s="15"/>
      <c r="E518" s="15"/>
      <c r="F518" s="15"/>
      <c r="G518" s="15"/>
      <c r="H518" s="103"/>
      <c r="I518" s="15"/>
      <c r="J518" s="15"/>
      <c r="K518" s="15"/>
      <c r="L518" s="15"/>
      <c r="M518" s="15"/>
      <c r="N518" s="15"/>
      <c r="O518" s="103"/>
      <c r="P518" s="15"/>
      <c r="Q518" s="15"/>
      <c r="R518" s="15"/>
      <c r="S518" s="15"/>
      <c r="T518" s="15"/>
      <c r="U518" s="15"/>
      <c r="V518" s="103"/>
      <c r="W518" s="15"/>
      <c r="X518" s="15"/>
      <c r="Y518" s="15"/>
      <c r="Z518" s="15"/>
      <c r="AA518" s="15"/>
      <c r="AB518" s="15"/>
      <c r="AC518" s="103"/>
      <c r="AD518" s="15"/>
      <c r="AE518" s="15"/>
      <c r="AF518" s="15"/>
      <c r="AG518" s="15"/>
      <c r="AH518" s="15"/>
      <c r="AI518" s="15"/>
      <c r="AJ518" s="103"/>
      <c r="AK518" s="15"/>
      <c r="AL518" s="15"/>
      <c r="AM518" s="15"/>
      <c r="AN518" s="15"/>
      <c r="AO518" s="15"/>
      <c r="AP518" s="15"/>
      <c r="AQ518" s="15"/>
    </row>
    <row r="519">
      <c r="A519" s="15"/>
      <c r="B519" s="15"/>
      <c r="C519" s="15"/>
      <c r="D519" s="15"/>
      <c r="E519" s="15"/>
      <c r="F519" s="15"/>
      <c r="G519" s="15"/>
      <c r="H519" s="103"/>
      <c r="I519" s="15"/>
      <c r="J519" s="15"/>
      <c r="K519" s="15"/>
      <c r="L519" s="15"/>
      <c r="M519" s="15"/>
      <c r="N519" s="15"/>
      <c r="O519" s="103"/>
      <c r="P519" s="15"/>
      <c r="Q519" s="15"/>
      <c r="R519" s="15"/>
      <c r="S519" s="15"/>
      <c r="T519" s="15"/>
      <c r="U519" s="15"/>
      <c r="V519" s="103"/>
      <c r="W519" s="15"/>
      <c r="X519" s="15"/>
      <c r="Y519" s="15"/>
      <c r="Z519" s="15"/>
      <c r="AA519" s="15"/>
      <c r="AB519" s="15"/>
      <c r="AC519" s="103"/>
      <c r="AD519" s="15"/>
      <c r="AE519" s="15"/>
      <c r="AF519" s="15"/>
      <c r="AG519" s="15"/>
      <c r="AH519" s="15"/>
      <c r="AI519" s="15"/>
      <c r="AJ519" s="103"/>
      <c r="AK519" s="15"/>
      <c r="AL519" s="15"/>
      <c r="AM519" s="15"/>
      <c r="AN519" s="15"/>
      <c r="AO519" s="15"/>
      <c r="AP519" s="15"/>
      <c r="AQ519" s="15"/>
    </row>
    <row r="520">
      <c r="A520" s="15"/>
      <c r="B520" s="15"/>
      <c r="C520" s="15"/>
      <c r="D520" s="15"/>
      <c r="E520" s="15"/>
      <c r="F520" s="15"/>
      <c r="G520" s="15"/>
      <c r="H520" s="103"/>
      <c r="I520" s="15"/>
      <c r="J520" s="15"/>
      <c r="K520" s="15"/>
      <c r="L520" s="15"/>
      <c r="M520" s="15"/>
      <c r="N520" s="15"/>
      <c r="O520" s="103"/>
      <c r="P520" s="15"/>
      <c r="Q520" s="15"/>
      <c r="R520" s="15"/>
      <c r="S520" s="15"/>
      <c r="T520" s="15"/>
      <c r="U520" s="15"/>
      <c r="V520" s="103"/>
      <c r="W520" s="15"/>
      <c r="X520" s="15"/>
      <c r="Y520" s="15"/>
      <c r="Z520" s="15"/>
      <c r="AA520" s="15"/>
      <c r="AB520" s="15"/>
      <c r="AC520" s="103"/>
      <c r="AD520" s="15"/>
      <c r="AE520" s="15"/>
      <c r="AF520" s="15"/>
      <c r="AG520" s="15"/>
      <c r="AH520" s="15"/>
      <c r="AI520" s="15"/>
      <c r="AJ520" s="103"/>
      <c r="AK520" s="15"/>
      <c r="AL520" s="15"/>
      <c r="AM520" s="15"/>
      <c r="AN520" s="15"/>
      <c r="AO520" s="15"/>
      <c r="AP520" s="15"/>
      <c r="AQ520" s="15"/>
    </row>
    <row r="521">
      <c r="A521" s="15"/>
      <c r="B521" s="15"/>
      <c r="C521" s="15"/>
      <c r="D521" s="15"/>
      <c r="E521" s="15"/>
      <c r="F521" s="15"/>
      <c r="G521" s="15"/>
      <c r="H521" s="103"/>
      <c r="I521" s="15"/>
      <c r="J521" s="15"/>
      <c r="K521" s="15"/>
      <c r="L521" s="15"/>
      <c r="M521" s="15"/>
      <c r="N521" s="15"/>
      <c r="O521" s="103"/>
      <c r="P521" s="15"/>
      <c r="Q521" s="15"/>
      <c r="R521" s="15"/>
      <c r="S521" s="15"/>
      <c r="T521" s="15"/>
      <c r="U521" s="15"/>
      <c r="V521" s="103"/>
      <c r="W521" s="15"/>
      <c r="X521" s="15"/>
      <c r="Y521" s="15"/>
      <c r="Z521" s="15"/>
      <c r="AA521" s="15"/>
      <c r="AB521" s="15"/>
      <c r="AC521" s="103"/>
      <c r="AD521" s="15"/>
      <c r="AE521" s="15"/>
      <c r="AF521" s="15"/>
      <c r="AG521" s="15"/>
      <c r="AH521" s="15"/>
      <c r="AI521" s="15"/>
      <c r="AJ521" s="103"/>
      <c r="AK521" s="15"/>
      <c r="AL521" s="15"/>
      <c r="AM521" s="15"/>
      <c r="AN521" s="15"/>
      <c r="AO521" s="15"/>
      <c r="AP521" s="15"/>
      <c r="AQ521" s="15"/>
    </row>
    <row r="522">
      <c r="A522" s="15"/>
      <c r="B522" s="15"/>
      <c r="C522" s="15"/>
      <c r="D522" s="15"/>
      <c r="E522" s="15"/>
      <c r="F522" s="15"/>
      <c r="G522" s="15"/>
      <c r="H522" s="103"/>
      <c r="I522" s="15"/>
      <c r="J522" s="15"/>
      <c r="K522" s="15"/>
      <c r="L522" s="15"/>
      <c r="M522" s="15"/>
      <c r="N522" s="15"/>
      <c r="O522" s="103"/>
      <c r="P522" s="15"/>
      <c r="Q522" s="15"/>
      <c r="R522" s="15"/>
      <c r="S522" s="15"/>
      <c r="T522" s="15"/>
      <c r="U522" s="15"/>
      <c r="V522" s="103"/>
      <c r="W522" s="15"/>
      <c r="X522" s="15"/>
      <c r="Y522" s="15"/>
      <c r="Z522" s="15"/>
      <c r="AA522" s="15"/>
      <c r="AB522" s="15"/>
      <c r="AC522" s="103"/>
      <c r="AD522" s="15"/>
      <c r="AE522" s="15"/>
      <c r="AF522" s="15"/>
      <c r="AG522" s="15"/>
      <c r="AH522" s="15"/>
      <c r="AI522" s="15"/>
      <c r="AJ522" s="103"/>
      <c r="AK522" s="15"/>
      <c r="AL522" s="15"/>
      <c r="AM522" s="15"/>
      <c r="AN522" s="15"/>
      <c r="AO522" s="15"/>
      <c r="AP522" s="15"/>
      <c r="AQ522" s="15"/>
    </row>
    <row r="523">
      <c r="A523" s="15"/>
      <c r="B523" s="15"/>
      <c r="C523" s="15"/>
      <c r="D523" s="15"/>
      <c r="E523" s="15"/>
      <c r="F523" s="15"/>
      <c r="G523" s="15"/>
      <c r="H523" s="103"/>
      <c r="I523" s="15"/>
      <c r="J523" s="15"/>
      <c r="K523" s="15"/>
      <c r="L523" s="15"/>
      <c r="M523" s="15"/>
      <c r="N523" s="15"/>
      <c r="O523" s="103"/>
      <c r="P523" s="15"/>
      <c r="Q523" s="15"/>
      <c r="R523" s="15"/>
      <c r="S523" s="15"/>
      <c r="T523" s="15"/>
      <c r="U523" s="15"/>
      <c r="V523" s="103"/>
      <c r="W523" s="15"/>
      <c r="X523" s="15"/>
      <c r="Y523" s="15"/>
      <c r="Z523" s="15"/>
      <c r="AA523" s="15"/>
      <c r="AB523" s="15"/>
      <c r="AC523" s="103"/>
      <c r="AD523" s="15"/>
      <c r="AE523" s="15"/>
      <c r="AF523" s="15"/>
      <c r="AG523" s="15"/>
      <c r="AH523" s="15"/>
      <c r="AI523" s="15"/>
      <c r="AJ523" s="103"/>
      <c r="AK523" s="15"/>
      <c r="AL523" s="15"/>
      <c r="AM523" s="15"/>
      <c r="AN523" s="15"/>
      <c r="AO523" s="15"/>
      <c r="AP523" s="15"/>
      <c r="AQ523" s="15"/>
    </row>
    <row r="524">
      <c r="A524" s="15"/>
      <c r="B524" s="15"/>
      <c r="C524" s="15"/>
      <c r="D524" s="15"/>
      <c r="E524" s="15"/>
      <c r="F524" s="15"/>
      <c r="G524" s="15"/>
      <c r="H524" s="103"/>
      <c r="I524" s="15"/>
      <c r="J524" s="15"/>
      <c r="K524" s="15"/>
      <c r="L524" s="15"/>
      <c r="M524" s="15"/>
      <c r="N524" s="15"/>
      <c r="O524" s="103"/>
      <c r="P524" s="15"/>
      <c r="Q524" s="15"/>
      <c r="R524" s="15"/>
      <c r="S524" s="15"/>
      <c r="T524" s="15"/>
      <c r="U524" s="15"/>
      <c r="V524" s="103"/>
      <c r="W524" s="15"/>
      <c r="X524" s="15"/>
      <c r="Y524" s="15"/>
      <c r="Z524" s="15"/>
      <c r="AA524" s="15"/>
      <c r="AB524" s="15"/>
      <c r="AC524" s="103"/>
      <c r="AD524" s="15"/>
      <c r="AE524" s="15"/>
      <c r="AF524" s="15"/>
      <c r="AG524" s="15"/>
      <c r="AH524" s="15"/>
      <c r="AI524" s="15"/>
      <c r="AJ524" s="103"/>
      <c r="AK524" s="15"/>
      <c r="AL524" s="15"/>
      <c r="AM524" s="15"/>
      <c r="AN524" s="15"/>
      <c r="AO524" s="15"/>
      <c r="AP524" s="15"/>
      <c r="AQ524" s="15"/>
    </row>
    <row r="525">
      <c r="A525" s="15"/>
      <c r="B525" s="15"/>
      <c r="C525" s="15"/>
      <c r="D525" s="15"/>
      <c r="E525" s="15"/>
      <c r="F525" s="15"/>
      <c r="G525" s="15"/>
      <c r="H525" s="103"/>
      <c r="I525" s="15"/>
      <c r="J525" s="15"/>
      <c r="K525" s="15"/>
      <c r="L525" s="15"/>
      <c r="M525" s="15"/>
      <c r="N525" s="15"/>
      <c r="O525" s="103"/>
      <c r="P525" s="15"/>
      <c r="Q525" s="15"/>
      <c r="R525" s="15"/>
      <c r="S525" s="15"/>
      <c r="T525" s="15"/>
      <c r="U525" s="15"/>
      <c r="V525" s="103"/>
      <c r="W525" s="15"/>
      <c r="X525" s="15"/>
      <c r="Y525" s="15"/>
      <c r="Z525" s="15"/>
      <c r="AA525" s="15"/>
      <c r="AB525" s="15"/>
      <c r="AC525" s="103"/>
      <c r="AD525" s="15"/>
      <c r="AE525" s="15"/>
      <c r="AF525" s="15"/>
      <c r="AG525" s="15"/>
      <c r="AH525" s="15"/>
      <c r="AI525" s="15"/>
      <c r="AJ525" s="103"/>
      <c r="AK525" s="15"/>
      <c r="AL525" s="15"/>
      <c r="AM525" s="15"/>
      <c r="AN525" s="15"/>
      <c r="AO525" s="15"/>
      <c r="AP525" s="15"/>
      <c r="AQ525" s="15"/>
    </row>
    <row r="526">
      <c r="A526" s="15"/>
      <c r="B526" s="15"/>
      <c r="C526" s="15"/>
      <c r="D526" s="15"/>
      <c r="E526" s="15"/>
      <c r="F526" s="15"/>
      <c r="G526" s="15"/>
      <c r="H526" s="103"/>
      <c r="I526" s="15"/>
      <c r="J526" s="15"/>
      <c r="K526" s="15"/>
      <c r="L526" s="15"/>
      <c r="M526" s="15"/>
      <c r="N526" s="15"/>
      <c r="O526" s="103"/>
      <c r="P526" s="15"/>
      <c r="Q526" s="15"/>
      <c r="R526" s="15"/>
      <c r="S526" s="15"/>
      <c r="T526" s="15"/>
      <c r="U526" s="15"/>
      <c r="V526" s="103"/>
      <c r="W526" s="15"/>
      <c r="X526" s="15"/>
      <c r="Y526" s="15"/>
      <c r="Z526" s="15"/>
      <c r="AA526" s="15"/>
      <c r="AB526" s="15"/>
      <c r="AC526" s="103"/>
      <c r="AD526" s="15"/>
      <c r="AE526" s="15"/>
      <c r="AF526" s="15"/>
      <c r="AG526" s="15"/>
      <c r="AH526" s="15"/>
      <c r="AI526" s="15"/>
      <c r="AJ526" s="103"/>
      <c r="AK526" s="15"/>
      <c r="AL526" s="15"/>
      <c r="AM526" s="15"/>
      <c r="AN526" s="15"/>
      <c r="AO526" s="15"/>
      <c r="AP526" s="15"/>
      <c r="AQ526" s="15"/>
    </row>
    <row r="527">
      <c r="A527" s="15"/>
      <c r="B527" s="15"/>
      <c r="C527" s="15"/>
      <c r="D527" s="15"/>
      <c r="E527" s="15"/>
      <c r="F527" s="15"/>
      <c r="G527" s="15"/>
      <c r="H527" s="103"/>
      <c r="I527" s="15"/>
      <c r="J527" s="15"/>
      <c r="K527" s="15"/>
      <c r="L527" s="15"/>
      <c r="M527" s="15"/>
      <c r="N527" s="15"/>
      <c r="O527" s="103"/>
      <c r="P527" s="15"/>
      <c r="Q527" s="15"/>
      <c r="R527" s="15"/>
      <c r="S527" s="15"/>
      <c r="T527" s="15"/>
      <c r="U527" s="15"/>
      <c r="V527" s="103"/>
      <c r="W527" s="15"/>
      <c r="X527" s="15"/>
      <c r="Y527" s="15"/>
      <c r="Z527" s="15"/>
      <c r="AA527" s="15"/>
      <c r="AB527" s="15"/>
      <c r="AC527" s="103"/>
      <c r="AD527" s="15"/>
      <c r="AE527" s="15"/>
      <c r="AF527" s="15"/>
      <c r="AG527" s="15"/>
      <c r="AH527" s="15"/>
      <c r="AI527" s="15"/>
      <c r="AJ527" s="103"/>
      <c r="AK527" s="15"/>
      <c r="AL527" s="15"/>
      <c r="AM527" s="15"/>
      <c r="AN527" s="15"/>
      <c r="AO527" s="15"/>
      <c r="AP527" s="15"/>
      <c r="AQ527" s="15"/>
    </row>
    <row r="528">
      <c r="A528" s="15"/>
      <c r="B528" s="15"/>
      <c r="C528" s="15"/>
      <c r="D528" s="15"/>
      <c r="E528" s="15"/>
      <c r="F528" s="15"/>
      <c r="G528" s="15"/>
      <c r="H528" s="103"/>
      <c r="I528" s="15"/>
      <c r="J528" s="15"/>
      <c r="K528" s="15"/>
      <c r="L528" s="15"/>
      <c r="M528" s="15"/>
      <c r="N528" s="15"/>
      <c r="O528" s="103"/>
      <c r="P528" s="15"/>
      <c r="Q528" s="15"/>
      <c r="R528" s="15"/>
      <c r="S528" s="15"/>
      <c r="T528" s="15"/>
      <c r="U528" s="15"/>
      <c r="V528" s="103"/>
      <c r="W528" s="15"/>
      <c r="X528" s="15"/>
      <c r="Y528" s="15"/>
      <c r="Z528" s="15"/>
      <c r="AA528" s="15"/>
      <c r="AB528" s="15"/>
      <c r="AC528" s="103"/>
      <c r="AD528" s="15"/>
      <c r="AE528" s="15"/>
      <c r="AF528" s="15"/>
      <c r="AG528" s="15"/>
      <c r="AH528" s="15"/>
      <c r="AI528" s="15"/>
      <c r="AJ528" s="103"/>
      <c r="AK528" s="15"/>
      <c r="AL528" s="15"/>
      <c r="AM528" s="15"/>
      <c r="AN528" s="15"/>
      <c r="AO528" s="15"/>
      <c r="AP528" s="15"/>
      <c r="AQ528" s="15"/>
    </row>
    <row r="529">
      <c r="A529" s="15"/>
      <c r="B529" s="15"/>
      <c r="C529" s="15"/>
      <c r="D529" s="15"/>
      <c r="E529" s="15"/>
      <c r="F529" s="15"/>
      <c r="G529" s="15"/>
      <c r="H529" s="103"/>
      <c r="I529" s="15"/>
      <c r="J529" s="15"/>
      <c r="K529" s="15"/>
      <c r="L529" s="15"/>
      <c r="M529" s="15"/>
      <c r="N529" s="15"/>
      <c r="O529" s="103"/>
      <c r="P529" s="15"/>
      <c r="Q529" s="15"/>
      <c r="R529" s="15"/>
      <c r="S529" s="15"/>
      <c r="T529" s="15"/>
      <c r="U529" s="15"/>
      <c r="V529" s="103"/>
      <c r="W529" s="15"/>
      <c r="X529" s="15"/>
      <c r="Y529" s="15"/>
      <c r="Z529" s="15"/>
      <c r="AA529" s="15"/>
      <c r="AB529" s="15"/>
      <c r="AC529" s="103"/>
      <c r="AD529" s="15"/>
      <c r="AE529" s="15"/>
      <c r="AF529" s="15"/>
      <c r="AG529" s="15"/>
      <c r="AH529" s="15"/>
      <c r="AI529" s="15"/>
      <c r="AJ529" s="103"/>
      <c r="AK529" s="15"/>
      <c r="AL529" s="15"/>
      <c r="AM529" s="15"/>
      <c r="AN529" s="15"/>
      <c r="AO529" s="15"/>
      <c r="AP529" s="15"/>
      <c r="AQ529" s="15"/>
    </row>
    <row r="530">
      <c r="A530" s="15"/>
      <c r="B530" s="15"/>
      <c r="C530" s="15"/>
      <c r="D530" s="15"/>
      <c r="E530" s="15"/>
      <c r="F530" s="15"/>
      <c r="G530" s="15"/>
      <c r="H530" s="103"/>
      <c r="I530" s="15"/>
      <c r="J530" s="15"/>
      <c r="K530" s="15"/>
      <c r="L530" s="15"/>
      <c r="M530" s="15"/>
      <c r="N530" s="15"/>
      <c r="O530" s="103"/>
      <c r="P530" s="15"/>
      <c r="Q530" s="15"/>
      <c r="R530" s="15"/>
      <c r="S530" s="15"/>
      <c r="T530" s="15"/>
      <c r="U530" s="15"/>
      <c r="V530" s="103"/>
      <c r="W530" s="15"/>
      <c r="X530" s="15"/>
      <c r="Y530" s="15"/>
      <c r="Z530" s="15"/>
      <c r="AA530" s="15"/>
      <c r="AB530" s="15"/>
      <c r="AC530" s="103"/>
      <c r="AD530" s="15"/>
      <c r="AE530" s="15"/>
      <c r="AF530" s="15"/>
      <c r="AG530" s="15"/>
      <c r="AH530" s="15"/>
      <c r="AI530" s="15"/>
      <c r="AJ530" s="103"/>
      <c r="AK530" s="15"/>
      <c r="AL530" s="15"/>
      <c r="AM530" s="15"/>
      <c r="AN530" s="15"/>
      <c r="AO530" s="15"/>
      <c r="AP530" s="15"/>
      <c r="AQ530" s="15"/>
    </row>
    <row r="531">
      <c r="A531" s="15"/>
      <c r="B531" s="15"/>
      <c r="C531" s="15"/>
      <c r="D531" s="15"/>
      <c r="E531" s="15"/>
      <c r="F531" s="15"/>
      <c r="G531" s="15"/>
      <c r="H531" s="103"/>
      <c r="I531" s="15"/>
      <c r="J531" s="15"/>
      <c r="K531" s="15"/>
      <c r="L531" s="15"/>
      <c r="M531" s="15"/>
      <c r="N531" s="15"/>
      <c r="O531" s="103"/>
      <c r="P531" s="15"/>
      <c r="Q531" s="15"/>
      <c r="R531" s="15"/>
      <c r="S531" s="15"/>
      <c r="T531" s="15"/>
      <c r="U531" s="15"/>
      <c r="V531" s="103"/>
      <c r="W531" s="15"/>
      <c r="X531" s="15"/>
      <c r="Y531" s="15"/>
      <c r="Z531" s="15"/>
      <c r="AA531" s="15"/>
      <c r="AB531" s="15"/>
      <c r="AC531" s="103"/>
      <c r="AD531" s="15"/>
      <c r="AE531" s="15"/>
      <c r="AF531" s="15"/>
      <c r="AG531" s="15"/>
      <c r="AH531" s="15"/>
      <c r="AI531" s="15"/>
      <c r="AJ531" s="103"/>
      <c r="AK531" s="15"/>
      <c r="AL531" s="15"/>
      <c r="AM531" s="15"/>
      <c r="AN531" s="15"/>
      <c r="AO531" s="15"/>
      <c r="AP531" s="15"/>
      <c r="AQ531" s="15"/>
    </row>
    <row r="532">
      <c r="A532" s="15"/>
      <c r="B532" s="15"/>
      <c r="C532" s="15"/>
      <c r="D532" s="15"/>
      <c r="E532" s="15"/>
      <c r="F532" s="15"/>
      <c r="G532" s="15"/>
      <c r="H532" s="103"/>
      <c r="I532" s="15"/>
      <c r="J532" s="15"/>
      <c r="K532" s="15"/>
      <c r="L532" s="15"/>
      <c r="M532" s="15"/>
      <c r="N532" s="15"/>
      <c r="O532" s="103"/>
      <c r="P532" s="15"/>
      <c r="Q532" s="15"/>
      <c r="R532" s="15"/>
      <c r="S532" s="15"/>
      <c r="T532" s="15"/>
      <c r="U532" s="15"/>
      <c r="V532" s="103"/>
      <c r="W532" s="15"/>
      <c r="X532" s="15"/>
      <c r="Y532" s="15"/>
      <c r="Z532" s="15"/>
      <c r="AA532" s="15"/>
      <c r="AB532" s="15"/>
      <c r="AC532" s="103"/>
      <c r="AD532" s="15"/>
      <c r="AE532" s="15"/>
      <c r="AF532" s="15"/>
      <c r="AG532" s="15"/>
      <c r="AH532" s="15"/>
      <c r="AI532" s="15"/>
      <c r="AJ532" s="103"/>
      <c r="AK532" s="15"/>
      <c r="AL532" s="15"/>
      <c r="AM532" s="15"/>
      <c r="AN532" s="15"/>
      <c r="AO532" s="15"/>
      <c r="AP532" s="15"/>
      <c r="AQ532" s="15"/>
    </row>
    <row r="533">
      <c r="A533" s="15"/>
      <c r="B533" s="15"/>
      <c r="C533" s="15"/>
      <c r="D533" s="15"/>
      <c r="E533" s="15"/>
      <c r="F533" s="15"/>
      <c r="G533" s="15"/>
      <c r="H533" s="103"/>
      <c r="I533" s="15"/>
      <c r="J533" s="15"/>
      <c r="K533" s="15"/>
      <c r="L533" s="15"/>
      <c r="M533" s="15"/>
      <c r="N533" s="15"/>
      <c r="O533" s="103"/>
      <c r="P533" s="15"/>
      <c r="Q533" s="15"/>
      <c r="R533" s="15"/>
      <c r="S533" s="15"/>
      <c r="T533" s="15"/>
      <c r="U533" s="15"/>
      <c r="V533" s="103"/>
      <c r="W533" s="15"/>
      <c r="X533" s="15"/>
      <c r="Y533" s="15"/>
      <c r="Z533" s="15"/>
      <c r="AA533" s="15"/>
      <c r="AB533" s="15"/>
      <c r="AC533" s="103"/>
      <c r="AD533" s="15"/>
      <c r="AE533" s="15"/>
      <c r="AF533" s="15"/>
      <c r="AG533" s="15"/>
      <c r="AH533" s="15"/>
      <c r="AI533" s="15"/>
      <c r="AJ533" s="103"/>
      <c r="AK533" s="15"/>
      <c r="AL533" s="15"/>
      <c r="AM533" s="15"/>
      <c r="AN533" s="15"/>
      <c r="AO533" s="15"/>
      <c r="AP533" s="15"/>
      <c r="AQ533" s="15"/>
    </row>
    <row r="534">
      <c r="A534" s="15"/>
      <c r="B534" s="15"/>
      <c r="C534" s="15"/>
      <c r="D534" s="15"/>
      <c r="E534" s="15"/>
      <c r="F534" s="15"/>
      <c r="G534" s="15"/>
      <c r="H534" s="103"/>
      <c r="I534" s="15"/>
      <c r="J534" s="15"/>
      <c r="K534" s="15"/>
      <c r="L534" s="15"/>
      <c r="M534" s="15"/>
      <c r="N534" s="15"/>
      <c r="O534" s="103"/>
      <c r="P534" s="15"/>
      <c r="Q534" s="15"/>
      <c r="R534" s="15"/>
      <c r="S534" s="15"/>
      <c r="T534" s="15"/>
      <c r="U534" s="15"/>
      <c r="V534" s="103"/>
      <c r="W534" s="15"/>
      <c r="X534" s="15"/>
      <c r="Y534" s="15"/>
      <c r="Z534" s="15"/>
      <c r="AA534" s="15"/>
      <c r="AB534" s="15"/>
      <c r="AC534" s="103"/>
      <c r="AD534" s="15"/>
      <c r="AE534" s="15"/>
      <c r="AF534" s="15"/>
      <c r="AG534" s="15"/>
      <c r="AH534" s="15"/>
      <c r="AI534" s="15"/>
      <c r="AJ534" s="103"/>
      <c r="AK534" s="15"/>
      <c r="AL534" s="15"/>
      <c r="AM534" s="15"/>
      <c r="AN534" s="15"/>
      <c r="AO534" s="15"/>
      <c r="AP534" s="15"/>
      <c r="AQ534" s="15"/>
    </row>
    <row r="535">
      <c r="A535" s="15"/>
      <c r="B535" s="15"/>
      <c r="C535" s="15"/>
      <c r="D535" s="15"/>
      <c r="E535" s="15"/>
      <c r="F535" s="15"/>
      <c r="G535" s="15"/>
      <c r="H535" s="103"/>
      <c r="I535" s="15"/>
      <c r="J535" s="15"/>
      <c r="K535" s="15"/>
      <c r="L535" s="15"/>
      <c r="M535" s="15"/>
      <c r="N535" s="15"/>
      <c r="O535" s="103"/>
      <c r="P535" s="15"/>
      <c r="Q535" s="15"/>
      <c r="R535" s="15"/>
      <c r="S535" s="15"/>
      <c r="T535" s="15"/>
      <c r="U535" s="15"/>
      <c r="V535" s="103"/>
      <c r="W535" s="15"/>
      <c r="X535" s="15"/>
      <c r="Y535" s="15"/>
      <c r="Z535" s="15"/>
      <c r="AA535" s="15"/>
      <c r="AB535" s="15"/>
      <c r="AC535" s="103"/>
      <c r="AD535" s="15"/>
      <c r="AE535" s="15"/>
      <c r="AF535" s="15"/>
      <c r="AG535" s="15"/>
      <c r="AH535" s="15"/>
      <c r="AI535" s="15"/>
      <c r="AJ535" s="103"/>
      <c r="AK535" s="15"/>
      <c r="AL535" s="15"/>
      <c r="AM535" s="15"/>
      <c r="AN535" s="15"/>
      <c r="AO535" s="15"/>
      <c r="AP535" s="15"/>
      <c r="AQ535" s="15"/>
    </row>
    <row r="536">
      <c r="A536" s="15"/>
      <c r="B536" s="15"/>
      <c r="C536" s="15"/>
      <c r="D536" s="15"/>
      <c r="E536" s="15"/>
      <c r="F536" s="15"/>
      <c r="G536" s="15"/>
      <c r="H536" s="103"/>
      <c r="I536" s="15"/>
      <c r="J536" s="15"/>
      <c r="K536" s="15"/>
      <c r="L536" s="15"/>
      <c r="M536" s="15"/>
      <c r="N536" s="15"/>
      <c r="O536" s="103"/>
      <c r="P536" s="15"/>
      <c r="Q536" s="15"/>
      <c r="R536" s="15"/>
      <c r="S536" s="15"/>
      <c r="T536" s="15"/>
      <c r="U536" s="15"/>
      <c r="V536" s="103"/>
      <c r="W536" s="15"/>
      <c r="X536" s="15"/>
      <c r="Y536" s="15"/>
      <c r="Z536" s="15"/>
      <c r="AA536" s="15"/>
      <c r="AB536" s="15"/>
      <c r="AC536" s="103"/>
      <c r="AD536" s="15"/>
      <c r="AE536" s="15"/>
      <c r="AF536" s="15"/>
      <c r="AG536" s="15"/>
      <c r="AH536" s="15"/>
      <c r="AI536" s="15"/>
      <c r="AJ536" s="103"/>
      <c r="AK536" s="15"/>
      <c r="AL536" s="15"/>
      <c r="AM536" s="15"/>
      <c r="AN536" s="15"/>
      <c r="AO536" s="15"/>
      <c r="AP536" s="15"/>
      <c r="AQ536" s="15"/>
    </row>
    <row r="537">
      <c r="A537" s="15"/>
      <c r="B537" s="15"/>
      <c r="C537" s="15"/>
      <c r="D537" s="15"/>
      <c r="E537" s="15"/>
      <c r="F537" s="15"/>
      <c r="G537" s="15"/>
      <c r="H537" s="103"/>
      <c r="I537" s="15"/>
      <c r="J537" s="15"/>
      <c r="K537" s="15"/>
      <c r="L537" s="15"/>
      <c r="M537" s="15"/>
      <c r="N537" s="15"/>
      <c r="O537" s="103"/>
      <c r="P537" s="15"/>
      <c r="Q537" s="15"/>
      <c r="R537" s="15"/>
      <c r="S537" s="15"/>
      <c r="T537" s="15"/>
      <c r="U537" s="15"/>
      <c r="V537" s="103"/>
      <c r="W537" s="15"/>
      <c r="X537" s="15"/>
      <c r="Y537" s="15"/>
      <c r="Z537" s="15"/>
      <c r="AA537" s="15"/>
      <c r="AB537" s="15"/>
      <c r="AC537" s="103"/>
      <c r="AD537" s="15"/>
      <c r="AE537" s="15"/>
      <c r="AF537" s="15"/>
      <c r="AG537" s="15"/>
      <c r="AH537" s="15"/>
      <c r="AI537" s="15"/>
      <c r="AJ537" s="103"/>
      <c r="AK537" s="15"/>
      <c r="AL537" s="15"/>
      <c r="AM537" s="15"/>
      <c r="AN537" s="15"/>
      <c r="AO537" s="15"/>
      <c r="AP537" s="15"/>
      <c r="AQ537" s="15"/>
    </row>
    <row r="538">
      <c r="A538" s="15"/>
      <c r="B538" s="15"/>
      <c r="C538" s="15"/>
      <c r="D538" s="15"/>
      <c r="E538" s="15"/>
      <c r="F538" s="15"/>
      <c r="G538" s="15"/>
      <c r="H538" s="103"/>
      <c r="I538" s="15"/>
      <c r="J538" s="15"/>
      <c r="K538" s="15"/>
      <c r="L538" s="15"/>
      <c r="M538" s="15"/>
      <c r="N538" s="15"/>
      <c r="O538" s="103"/>
      <c r="P538" s="15"/>
      <c r="Q538" s="15"/>
      <c r="R538" s="15"/>
      <c r="S538" s="15"/>
      <c r="T538" s="15"/>
      <c r="U538" s="15"/>
      <c r="V538" s="103"/>
      <c r="W538" s="15"/>
      <c r="X538" s="15"/>
      <c r="Y538" s="15"/>
      <c r="Z538" s="15"/>
      <c r="AA538" s="15"/>
      <c r="AB538" s="15"/>
      <c r="AC538" s="103"/>
      <c r="AD538" s="15"/>
      <c r="AE538" s="15"/>
      <c r="AF538" s="15"/>
      <c r="AG538" s="15"/>
      <c r="AH538" s="15"/>
      <c r="AI538" s="15"/>
      <c r="AJ538" s="103"/>
      <c r="AK538" s="15"/>
      <c r="AL538" s="15"/>
      <c r="AM538" s="15"/>
      <c r="AN538" s="15"/>
      <c r="AO538" s="15"/>
      <c r="AP538" s="15"/>
      <c r="AQ538" s="15"/>
    </row>
    <row r="539">
      <c r="A539" s="15"/>
      <c r="B539" s="15"/>
      <c r="C539" s="15"/>
      <c r="D539" s="15"/>
      <c r="E539" s="15"/>
      <c r="F539" s="15"/>
      <c r="G539" s="15"/>
      <c r="H539" s="103"/>
      <c r="I539" s="15"/>
      <c r="J539" s="15"/>
      <c r="K539" s="15"/>
      <c r="L539" s="15"/>
      <c r="M539" s="15"/>
      <c r="N539" s="15"/>
      <c r="O539" s="103"/>
      <c r="P539" s="15"/>
      <c r="Q539" s="15"/>
      <c r="R539" s="15"/>
      <c r="S539" s="15"/>
      <c r="T539" s="15"/>
      <c r="U539" s="15"/>
      <c r="V539" s="103"/>
      <c r="W539" s="15"/>
      <c r="X539" s="15"/>
      <c r="Y539" s="15"/>
      <c r="Z539" s="15"/>
      <c r="AA539" s="15"/>
      <c r="AB539" s="15"/>
      <c r="AC539" s="103"/>
      <c r="AD539" s="15"/>
      <c r="AE539" s="15"/>
      <c r="AF539" s="15"/>
      <c r="AG539" s="15"/>
      <c r="AH539" s="15"/>
      <c r="AI539" s="15"/>
      <c r="AJ539" s="103"/>
      <c r="AK539" s="15"/>
      <c r="AL539" s="15"/>
      <c r="AM539" s="15"/>
      <c r="AN539" s="15"/>
      <c r="AO539" s="15"/>
      <c r="AP539" s="15"/>
      <c r="AQ539" s="15"/>
    </row>
    <row r="540">
      <c r="A540" s="15"/>
      <c r="B540" s="15"/>
      <c r="C540" s="15"/>
      <c r="D540" s="15"/>
      <c r="E540" s="15"/>
      <c r="F540" s="15"/>
      <c r="G540" s="15"/>
      <c r="H540" s="103"/>
      <c r="I540" s="15"/>
      <c r="J540" s="15"/>
      <c r="K540" s="15"/>
      <c r="L540" s="15"/>
      <c r="M540" s="15"/>
      <c r="N540" s="15"/>
      <c r="O540" s="103"/>
      <c r="P540" s="15"/>
      <c r="Q540" s="15"/>
      <c r="R540" s="15"/>
      <c r="S540" s="15"/>
      <c r="T540" s="15"/>
      <c r="U540" s="15"/>
      <c r="V540" s="103"/>
      <c r="W540" s="15"/>
      <c r="X540" s="15"/>
      <c r="Y540" s="15"/>
      <c r="Z540" s="15"/>
      <c r="AA540" s="15"/>
      <c r="AB540" s="15"/>
      <c r="AC540" s="103"/>
      <c r="AD540" s="15"/>
      <c r="AE540" s="15"/>
      <c r="AF540" s="15"/>
      <c r="AG540" s="15"/>
      <c r="AH540" s="15"/>
      <c r="AI540" s="15"/>
      <c r="AJ540" s="103"/>
      <c r="AK540" s="15"/>
      <c r="AL540" s="15"/>
      <c r="AM540" s="15"/>
      <c r="AN540" s="15"/>
      <c r="AO540" s="15"/>
      <c r="AP540" s="15"/>
      <c r="AQ540" s="15"/>
    </row>
    <row r="541">
      <c r="A541" s="15"/>
      <c r="B541" s="15"/>
      <c r="C541" s="15"/>
      <c r="D541" s="15"/>
      <c r="E541" s="15"/>
      <c r="F541" s="15"/>
      <c r="G541" s="15"/>
      <c r="H541" s="103"/>
      <c r="I541" s="15"/>
      <c r="J541" s="15"/>
      <c r="K541" s="15"/>
      <c r="L541" s="15"/>
      <c r="M541" s="15"/>
      <c r="N541" s="15"/>
      <c r="O541" s="103"/>
      <c r="P541" s="15"/>
      <c r="Q541" s="15"/>
      <c r="R541" s="15"/>
      <c r="S541" s="15"/>
      <c r="T541" s="15"/>
      <c r="U541" s="15"/>
      <c r="V541" s="103"/>
      <c r="W541" s="15"/>
      <c r="X541" s="15"/>
      <c r="Y541" s="15"/>
      <c r="Z541" s="15"/>
      <c r="AA541" s="15"/>
      <c r="AB541" s="15"/>
      <c r="AC541" s="103"/>
      <c r="AD541" s="15"/>
      <c r="AE541" s="15"/>
      <c r="AF541" s="15"/>
      <c r="AG541" s="15"/>
      <c r="AH541" s="15"/>
      <c r="AI541" s="15"/>
      <c r="AJ541" s="103"/>
      <c r="AK541" s="15"/>
      <c r="AL541" s="15"/>
      <c r="AM541" s="15"/>
      <c r="AN541" s="15"/>
      <c r="AO541" s="15"/>
      <c r="AP541" s="15"/>
      <c r="AQ541" s="15"/>
    </row>
    <row r="542">
      <c r="A542" s="15"/>
      <c r="B542" s="15"/>
      <c r="C542" s="15"/>
      <c r="D542" s="15"/>
      <c r="E542" s="15"/>
      <c r="F542" s="15"/>
      <c r="G542" s="15"/>
      <c r="H542" s="103"/>
      <c r="I542" s="15"/>
      <c r="J542" s="15"/>
      <c r="K542" s="15"/>
      <c r="L542" s="15"/>
      <c r="M542" s="15"/>
      <c r="N542" s="15"/>
      <c r="O542" s="103"/>
      <c r="P542" s="15"/>
      <c r="Q542" s="15"/>
      <c r="R542" s="15"/>
      <c r="S542" s="15"/>
      <c r="T542" s="15"/>
      <c r="U542" s="15"/>
      <c r="V542" s="103"/>
      <c r="W542" s="15"/>
      <c r="X542" s="15"/>
      <c r="Y542" s="15"/>
      <c r="Z542" s="15"/>
      <c r="AA542" s="15"/>
      <c r="AB542" s="15"/>
      <c r="AC542" s="103"/>
      <c r="AD542" s="15"/>
      <c r="AE542" s="15"/>
      <c r="AF542" s="15"/>
      <c r="AG542" s="15"/>
      <c r="AH542" s="15"/>
      <c r="AI542" s="15"/>
      <c r="AJ542" s="103"/>
      <c r="AK542" s="15"/>
      <c r="AL542" s="15"/>
      <c r="AM542" s="15"/>
      <c r="AN542" s="15"/>
      <c r="AO542" s="15"/>
      <c r="AP542" s="15"/>
      <c r="AQ542" s="15"/>
    </row>
    <row r="543">
      <c r="A543" s="15"/>
      <c r="B543" s="15"/>
      <c r="C543" s="15"/>
      <c r="D543" s="15"/>
      <c r="E543" s="15"/>
      <c r="F543" s="15"/>
      <c r="G543" s="15"/>
      <c r="H543" s="103"/>
      <c r="I543" s="15"/>
      <c r="J543" s="15"/>
      <c r="K543" s="15"/>
      <c r="L543" s="15"/>
      <c r="M543" s="15"/>
      <c r="N543" s="15"/>
      <c r="O543" s="103"/>
      <c r="P543" s="15"/>
      <c r="Q543" s="15"/>
      <c r="R543" s="15"/>
      <c r="S543" s="15"/>
      <c r="T543" s="15"/>
      <c r="U543" s="15"/>
      <c r="V543" s="103"/>
      <c r="W543" s="15"/>
      <c r="X543" s="15"/>
      <c r="Y543" s="15"/>
      <c r="Z543" s="15"/>
      <c r="AA543" s="15"/>
      <c r="AB543" s="15"/>
      <c r="AC543" s="103"/>
      <c r="AD543" s="15"/>
      <c r="AE543" s="15"/>
      <c r="AF543" s="15"/>
      <c r="AG543" s="15"/>
      <c r="AH543" s="15"/>
      <c r="AI543" s="15"/>
      <c r="AJ543" s="103"/>
      <c r="AK543" s="15"/>
      <c r="AL543" s="15"/>
      <c r="AM543" s="15"/>
      <c r="AN543" s="15"/>
      <c r="AO543" s="15"/>
      <c r="AP543" s="15"/>
      <c r="AQ543" s="15"/>
    </row>
    <row r="544">
      <c r="A544" s="15"/>
      <c r="B544" s="15"/>
      <c r="C544" s="15"/>
      <c r="D544" s="15"/>
      <c r="E544" s="15"/>
      <c r="F544" s="15"/>
      <c r="G544" s="15"/>
      <c r="H544" s="103"/>
      <c r="I544" s="15"/>
      <c r="J544" s="15"/>
      <c r="K544" s="15"/>
      <c r="L544" s="15"/>
      <c r="M544" s="15"/>
      <c r="N544" s="15"/>
      <c r="O544" s="103"/>
      <c r="P544" s="15"/>
      <c r="Q544" s="15"/>
      <c r="R544" s="15"/>
      <c r="S544" s="15"/>
      <c r="T544" s="15"/>
      <c r="U544" s="15"/>
      <c r="V544" s="103"/>
      <c r="W544" s="15"/>
      <c r="X544" s="15"/>
      <c r="Y544" s="15"/>
      <c r="Z544" s="15"/>
      <c r="AA544" s="15"/>
      <c r="AB544" s="15"/>
      <c r="AC544" s="103"/>
      <c r="AD544" s="15"/>
      <c r="AE544" s="15"/>
      <c r="AF544" s="15"/>
      <c r="AG544" s="15"/>
      <c r="AH544" s="15"/>
      <c r="AI544" s="15"/>
      <c r="AJ544" s="103"/>
      <c r="AK544" s="15"/>
      <c r="AL544" s="15"/>
      <c r="AM544" s="15"/>
      <c r="AN544" s="15"/>
      <c r="AO544" s="15"/>
      <c r="AP544" s="15"/>
      <c r="AQ544" s="15"/>
    </row>
    <row r="545">
      <c r="A545" s="15"/>
      <c r="B545" s="15"/>
      <c r="C545" s="15"/>
      <c r="D545" s="15"/>
      <c r="E545" s="15"/>
      <c r="F545" s="15"/>
      <c r="G545" s="15"/>
      <c r="H545" s="103"/>
      <c r="I545" s="15"/>
      <c r="J545" s="15"/>
      <c r="K545" s="15"/>
      <c r="L545" s="15"/>
      <c r="M545" s="15"/>
      <c r="N545" s="15"/>
      <c r="O545" s="103"/>
      <c r="P545" s="15"/>
      <c r="Q545" s="15"/>
      <c r="R545" s="15"/>
      <c r="S545" s="15"/>
      <c r="T545" s="15"/>
      <c r="U545" s="15"/>
      <c r="V545" s="103"/>
      <c r="W545" s="15"/>
      <c r="X545" s="15"/>
      <c r="Y545" s="15"/>
      <c r="Z545" s="15"/>
      <c r="AA545" s="15"/>
      <c r="AB545" s="15"/>
      <c r="AC545" s="103"/>
      <c r="AD545" s="15"/>
      <c r="AE545" s="15"/>
      <c r="AF545" s="15"/>
      <c r="AG545" s="15"/>
      <c r="AH545" s="15"/>
      <c r="AI545" s="15"/>
      <c r="AJ545" s="103"/>
      <c r="AK545" s="15"/>
      <c r="AL545" s="15"/>
      <c r="AM545" s="15"/>
      <c r="AN545" s="15"/>
      <c r="AO545" s="15"/>
      <c r="AP545" s="15"/>
      <c r="AQ545" s="15"/>
    </row>
    <row r="546">
      <c r="A546" s="15"/>
      <c r="B546" s="15"/>
      <c r="C546" s="15"/>
      <c r="D546" s="15"/>
      <c r="E546" s="15"/>
      <c r="F546" s="15"/>
      <c r="G546" s="15"/>
      <c r="H546" s="103"/>
      <c r="I546" s="15"/>
      <c r="J546" s="15"/>
      <c r="K546" s="15"/>
      <c r="L546" s="15"/>
      <c r="M546" s="15"/>
      <c r="N546" s="15"/>
      <c r="O546" s="103"/>
      <c r="P546" s="15"/>
      <c r="Q546" s="15"/>
      <c r="R546" s="15"/>
      <c r="S546" s="15"/>
      <c r="T546" s="15"/>
      <c r="U546" s="15"/>
      <c r="V546" s="103"/>
      <c r="W546" s="15"/>
      <c r="X546" s="15"/>
      <c r="Y546" s="15"/>
      <c r="Z546" s="15"/>
      <c r="AA546" s="15"/>
      <c r="AB546" s="15"/>
      <c r="AC546" s="103"/>
      <c r="AD546" s="15"/>
      <c r="AE546" s="15"/>
      <c r="AF546" s="15"/>
      <c r="AG546" s="15"/>
      <c r="AH546" s="15"/>
      <c r="AI546" s="15"/>
      <c r="AJ546" s="103"/>
      <c r="AK546" s="15"/>
      <c r="AL546" s="15"/>
      <c r="AM546" s="15"/>
      <c r="AN546" s="15"/>
      <c r="AO546" s="15"/>
      <c r="AP546" s="15"/>
      <c r="AQ546" s="15"/>
    </row>
    <row r="547">
      <c r="A547" s="15"/>
      <c r="B547" s="15"/>
      <c r="C547" s="15"/>
      <c r="D547" s="15"/>
      <c r="E547" s="15"/>
      <c r="F547" s="15"/>
      <c r="G547" s="15"/>
      <c r="H547" s="103"/>
      <c r="I547" s="15"/>
      <c r="J547" s="15"/>
      <c r="K547" s="15"/>
      <c r="L547" s="15"/>
      <c r="M547" s="15"/>
      <c r="N547" s="15"/>
      <c r="O547" s="103"/>
      <c r="P547" s="15"/>
      <c r="Q547" s="15"/>
      <c r="R547" s="15"/>
      <c r="S547" s="15"/>
      <c r="T547" s="15"/>
      <c r="U547" s="15"/>
      <c r="V547" s="103"/>
      <c r="W547" s="15"/>
      <c r="X547" s="15"/>
      <c r="Y547" s="15"/>
      <c r="Z547" s="15"/>
      <c r="AA547" s="15"/>
      <c r="AB547" s="15"/>
      <c r="AC547" s="103"/>
      <c r="AD547" s="15"/>
      <c r="AE547" s="15"/>
      <c r="AF547" s="15"/>
      <c r="AG547" s="15"/>
      <c r="AH547" s="15"/>
      <c r="AI547" s="15"/>
      <c r="AJ547" s="103"/>
      <c r="AK547" s="15"/>
      <c r="AL547" s="15"/>
      <c r="AM547" s="15"/>
      <c r="AN547" s="15"/>
      <c r="AO547" s="15"/>
      <c r="AP547" s="15"/>
      <c r="AQ547" s="15"/>
    </row>
    <row r="548">
      <c r="A548" s="15"/>
      <c r="B548" s="15"/>
      <c r="C548" s="15"/>
      <c r="D548" s="15"/>
      <c r="E548" s="15"/>
      <c r="F548" s="15"/>
      <c r="G548" s="15"/>
      <c r="H548" s="103"/>
      <c r="I548" s="15"/>
      <c r="J548" s="15"/>
      <c r="K548" s="15"/>
      <c r="L548" s="15"/>
      <c r="M548" s="15"/>
      <c r="N548" s="15"/>
      <c r="O548" s="103"/>
      <c r="P548" s="15"/>
      <c r="Q548" s="15"/>
      <c r="R548" s="15"/>
      <c r="S548" s="15"/>
      <c r="T548" s="15"/>
      <c r="U548" s="15"/>
      <c r="V548" s="103"/>
      <c r="W548" s="15"/>
      <c r="X548" s="15"/>
      <c r="Y548" s="15"/>
      <c r="Z548" s="15"/>
      <c r="AA548" s="15"/>
      <c r="AB548" s="15"/>
      <c r="AC548" s="103"/>
      <c r="AD548" s="15"/>
      <c r="AE548" s="15"/>
      <c r="AF548" s="15"/>
      <c r="AG548" s="15"/>
      <c r="AH548" s="15"/>
      <c r="AI548" s="15"/>
      <c r="AJ548" s="103"/>
      <c r="AK548" s="15"/>
      <c r="AL548" s="15"/>
      <c r="AM548" s="15"/>
      <c r="AN548" s="15"/>
      <c r="AO548" s="15"/>
      <c r="AP548" s="15"/>
      <c r="AQ548" s="15"/>
    </row>
    <row r="549">
      <c r="A549" s="15"/>
      <c r="B549" s="15"/>
      <c r="C549" s="15"/>
      <c r="D549" s="15"/>
      <c r="E549" s="15"/>
      <c r="F549" s="15"/>
      <c r="G549" s="15"/>
      <c r="H549" s="103"/>
      <c r="I549" s="15"/>
      <c r="J549" s="15"/>
      <c r="K549" s="15"/>
      <c r="L549" s="15"/>
      <c r="M549" s="15"/>
      <c r="N549" s="15"/>
      <c r="O549" s="103"/>
      <c r="P549" s="15"/>
      <c r="Q549" s="15"/>
      <c r="R549" s="15"/>
      <c r="S549" s="15"/>
      <c r="T549" s="15"/>
      <c r="U549" s="15"/>
      <c r="V549" s="103"/>
      <c r="W549" s="15"/>
      <c r="X549" s="15"/>
      <c r="Y549" s="15"/>
      <c r="Z549" s="15"/>
      <c r="AA549" s="15"/>
      <c r="AB549" s="15"/>
      <c r="AC549" s="103"/>
      <c r="AD549" s="15"/>
      <c r="AE549" s="15"/>
      <c r="AF549" s="15"/>
      <c r="AG549" s="15"/>
      <c r="AH549" s="15"/>
      <c r="AI549" s="15"/>
      <c r="AJ549" s="103"/>
      <c r="AK549" s="15"/>
      <c r="AL549" s="15"/>
      <c r="AM549" s="15"/>
      <c r="AN549" s="15"/>
      <c r="AO549" s="15"/>
      <c r="AP549" s="15"/>
      <c r="AQ549" s="15"/>
    </row>
    <row r="550">
      <c r="A550" s="15"/>
      <c r="B550" s="15"/>
      <c r="C550" s="15"/>
      <c r="D550" s="15"/>
      <c r="E550" s="15"/>
      <c r="F550" s="15"/>
      <c r="G550" s="15"/>
      <c r="H550" s="103"/>
      <c r="I550" s="15"/>
      <c r="J550" s="15"/>
      <c r="K550" s="15"/>
      <c r="L550" s="15"/>
      <c r="M550" s="15"/>
      <c r="N550" s="15"/>
      <c r="O550" s="103"/>
      <c r="P550" s="15"/>
      <c r="Q550" s="15"/>
      <c r="R550" s="15"/>
      <c r="S550" s="15"/>
      <c r="T550" s="15"/>
      <c r="U550" s="15"/>
      <c r="V550" s="103"/>
      <c r="W550" s="15"/>
      <c r="X550" s="15"/>
      <c r="Y550" s="15"/>
      <c r="Z550" s="15"/>
      <c r="AA550" s="15"/>
      <c r="AB550" s="15"/>
      <c r="AC550" s="103"/>
      <c r="AD550" s="15"/>
      <c r="AE550" s="15"/>
      <c r="AF550" s="15"/>
      <c r="AG550" s="15"/>
      <c r="AH550" s="15"/>
      <c r="AI550" s="15"/>
      <c r="AJ550" s="103"/>
      <c r="AK550" s="15"/>
      <c r="AL550" s="15"/>
      <c r="AM550" s="15"/>
      <c r="AN550" s="15"/>
      <c r="AO550" s="15"/>
      <c r="AP550" s="15"/>
      <c r="AQ550" s="15"/>
    </row>
    <row r="551">
      <c r="A551" s="15"/>
      <c r="B551" s="15"/>
      <c r="C551" s="15"/>
      <c r="D551" s="15"/>
      <c r="E551" s="15"/>
      <c r="F551" s="15"/>
      <c r="G551" s="15"/>
      <c r="H551" s="103"/>
      <c r="I551" s="15"/>
      <c r="J551" s="15"/>
      <c r="K551" s="15"/>
      <c r="L551" s="15"/>
      <c r="M551" s="15"/>
      <c r="N551" s="15"/>
      <c r="O551" s="103"/>
      <c r="P551" s="15"/>
      <c r="Q551" s="15"/>
      <c r="R551" s="15"/>
      <c r="S551" s="15"/>
      <c r="T551" s="15"/>
      <c r="U551" s="15"/>
      <c r="V551" s="103"/>
      <c r="W551" s="15"/>
      <c r="X551" s="15"/>
      <c r="Y551" s="15"/>
      <c r="Z551" s="15"/>
      <c r="AA551" s="15"/>
      <c r="AB551" s="15"/>
      <c r="AC551" s="103"/>
      <c r="AD551" s="15"/>
      <c r="AE551" s="15"/>
      <c r="AF551" s="15"/>
      <c r="AG551" s="15"/>
      <c r="AH551" s="15"/>
      <c r="AI551" s="15"/>
      <c r="AJ551" s="103"/>
      <c r="AK551" s="15"/>
      <c r="AL551" s="15"/>
      <c r="AM551" s="15"/>
      <c r="AN551" s="15"/>
      <c r="AO551" s="15"/>
      <c r="AP551" s="15"/>
      <c r="AQ551" s="15"/>
    </row>
    <row r="552">
      <c r="A552" s="15"/>
      <c r="B552" s="15"/>
      <c r="C552" s="15"/>
      <c r="D552" s="15"/>
      <c r="E552" s="15"/>
      <c r="F552" s="15"/>
      <c r="G552" s="15"/>
      <c r="H552" s="103"/>
      <c r="I552" s="15"/>
      <c r="J552" s="15"/>
      <c r="K552" s="15"/>
      <c r="L552" s="15"/>
      <c r="M552" s="15"/>
      <c r="N552" s="15"/>
      <c r="O552" s="103"/>
      <c r="P552" s="15"/>
      <c r="Q552" s="15"/>
      <c r="R552" s="15"/>
      <c r="S552" s="15"/>
      <c r="T552" s="15"/>
      <c r="U552" s="15"/>
      <c r="V552" s="103"/>
      <c r="W552" s="15"/>
      <c r="X552" s="15"/>
      <c r="Y552" s="15"/>
      <c r="Z552" s="15"/>
      <c r="AA552" s="15"/>
      <c r="AB552" s="15"/>
      <c r="AC552" s="103"/>
      <c r="AD552" s="15"/>
      <c r="AE552" s="15"/>
      <c r="AF552" s="15"/>
      <c r="AG552" s="15"/>
      <c r="AH552" s="15"/>
      <c r="AI552" s="15"/>
      <c r="AJ552" s="103"/>
      <c r="AK552" s="15"/>
      <c r="AL552" s="15"/>
      <c r="AM552" s="15"/>
      <c r="AN552" s="15"/>
      <c r="AO552" s="15"/>
      <c r="AP552" s="15"/>
      <c r="AQ552" s="15"/>
    </row>
    <row r="553">
      <c r="A553" s="15"/>
      <c r="B553" s="15"/>
      <c r="C553" s="15"/>
      <c r="D553" s="15"/>
      <c r="E553" s="15"/>
      <c r="F553" s="15"/>
      <c r="G553" s="15"/>
      <c r="H553" s="103"/>
      <c r="I553" s="15"/>
      <c r="J553" s="15"/>
      <c r="K553" s="15"/>
      <c r="L553" s="15"/>
      <c r="M553" s="15"/>
      <c r="N553" s="15"/>
      <c r="O553" s="103"/>
      <c r="P553" s="15"/>
      <c r="Q553" s="15"/>
      <c r="R553" s="15"/>
      <c r="S553" s="15"/>
      <c r="T553" s="15"/>
      <c r="U553" s="15"/>
      <c r="V553" s="103"/>
      <c r="W553" s="15"/>
      <c r="X553" s="15"/>
      <c r="Y553" s="15"/>
      <c r="Z553" s="15"/>
      <c r="AA553" s="15"/>
      <c r="AB553" s="15"/>
      <c r="AC553" s="103"/>
      <c r="AD553" s="15"/>
      <c r="AE553" s="15"/>
      <c r="AF553" s="15"/>
      <c r="AG553" s="15"/>
      <c r="AH553" s="15"/>
      <c r="AI553" s="15"/>
      <c r="AJ553" s="103"/>
      <c r="AK553" s="15"/>
      <c r="AL553" s="15"/>
      <c r="AM553" s="15"/>
      <c r="AN553" s="15"/>
      <c r="AO553" s="15"/>
      <c r="AP553" s="15"/>
      <c r="AQ553" s="15"/>
    </row>
    <row r="554">
      <c r="A554" s="15"/>
      <c r="B554" s="15"/>
      <c r="C554" s="15"/>
      <c r="D554" s="15"/>
      <c r="E554" s="15"/>
      <c r="F554" s="15"/>
      <c r="G554" s="15"/>
      <c r="H554" s="103"/>
      <c r="I554" s="15"/>
      <c r="J554" s="15"/>
      <c r="K554" s="15"/>
      <c r="L554" s="15"/>
      <c r="M554" s="15"/>
      <c r="N554" s="15"/>
      <c r="O554" s="103"/>
      <c r="P554" s="15"/>
      <c r="Q554" s="15"/>
      <c r="R554" s="15"/>
      <c r="S554" s="15"/>
      <c r="T554" s="15"/>
      <c r="U554" s="15"/>
      <c r="V554" s="103"/>
      <c r="W554" s="15"/>
      <c r="X554" s="15"/>
      <c r="Y554" s="15"/>
      <c r="Z554" s="15"/>
      <c r="AA554" s="15"/>
      <c r="AB554" s="15"/>
      <c r="AC554" s="103"/>
      <c r="AD554" s="15"/>
      <c r="AE554" s="15"/>
      <c r="AF554" s="15"/>
      <c r="AG554" s="15"/>
      <c r="AH554" s="15"/>
      <c r="AI554" s="15"/>
      <c r="AJ554" s="103"/>
      <c r="AK554" s="15"/>
      <c r="AL554" s="15"/>
      <c r="AM554" s="15"/>
      <c r="AN554" s="15"/>
      <c r="AO554" s="15"/>
      <c r="AP554" s="15"/>
      <c r="AQ554" s="15"/>
    </row>
    <row r="555">
      <c r="A555" s="15"/>
      <c r="B555" s="15"/>
      <c r="C555" s="15"/>
      <c r="D555" s="15"/>
      <c r="E555" s="15"/>
      <c r="F555" s="15"/>
      <c r="G555" s="15"/>
      <c r="H555" s="103"/>
      <c r="I555" s="15"/>
      <c r="J555" s="15"/>
      <c r="K555" s="15"/>
      <c r="L555" s="15"/>
      <c r="M555" s="15"/>
      <c r="N555" s="15"/>
      <c r="O555" s="103"/>
      <c r="P555" s="15"/>
      <c r="Q555" s="15"/>
      <c r="R555" s="15"/>
      <c r="S555" s="15"/>
      <c r="T555" s="15"/>
      <c r="U555" s="15"/>
      <c r="V555" s="103"/>
      <c r="W555" s="15"/>
      <c r="X555" s="15"/>
      <c r="Y555" s="15"/>
      <c r="Z555" s="15"/>
      <c r="AA555" s="15"/>
      <c r="AB555" s="15"/>
      <c r="AC555" s="103"/>
      <c r="AD555" s="15"/>
      <c r="AE555" s="15"/>
      <c r="AF555" s="15"/>
      <c r="AG555" s="15"/>
      <c r="AH555" s="15"/>
      <c r="AI555" s="15"/>
      <c r="AJ555" s="103"/>
      <c r="AK555" s="15"/>
      <c r="AL555" s="15"/>
      <c r="AM555" s="15"/>
      <c r="AN555" s="15"/>
      <c r="AO555" s="15"/>
      <c r="AP555" s="15"/>
      <c r="AQ555" s="15"/>
    </row>
    <row r="556">
      <c r="A556" s="15"/>
      <c r="B556" s="15"/>
      <c r="C556" s="15"/>
      <c r="D556" s="15"/>
      <c r="E556" s="15"/>
      <c r="F556" s="15"/>
      <c r="G556" s="15"/>
      <c r="H556" s="103"/>
      <c r="I556" s="15"/>
      <c r="J556" s="15"/>
      <c r="K556" s="15"/>
      <c r="L556" s="15"/>
      <c r="M556" s="15"/>
      <c r="N556" s="15"/>
      <c r="O556" s="103"/>
      <c r="P556" s="15"/>
      <c r="Q556" s="15"/>
      <c r="R556" s="15"/>
      <c r="S556" s="15"/>
      <c r="T556" s="15"/>
      <c r="U556" s="15"/>
      <c r="V556" s="103"/>
      <c r="W556" s="15"/>
      <c r="X556" s="15"/>
      <c r="Y556" s="15"/>
      <c r="Z556" s="15"/>
      <c r="AA556" s="15"/>
      <c r="AB556" s="15"/>
      <c r="AC556" s="103"/>
      <c r="AD556" s="15"/>
      <c r="AE556" s="15"/>
      <c r="AF556" s="15"/>
      <c r="AG556" s="15"/>
      <c r="AH556" s="15"/>
      <c r="AI556" s="15"/>
      <c r="AJ556" s="103"/>
      <c r="AK556" s="15"/>
      <c r="AL556" s="15"/>
      <c r="AM556" s="15"/>
      <c r="AN556" s="15"/>
      <c r="AO556" s="15"/>
      <c r="AP556" s="15"/>
      <c r="AQ556" s="15"/>
    </row>
    <row r="557">
      <c r="A557" s="15"/>
      <c r="B557" s="15"/>
      <c r="C557" s="15"/>
      <c r="D557" s="15"/>
      <c r="E557" s="15"/>
      <c r="F557" s="15"/>
      <c r="G557" s="15"/>
      <c r="H557" s="103"/>
      <c r="I557" s="15"/>
      <c r="J557" s="15"/>
      <c r="K557" s="15"/>
      <c r="L557" s="15"/>
      <c r="M557" s="15"/>
      <c r="N557" s="15"/>
      <c r="O557" s="103"/>
      <c r="P557" s="15"/>
      <c r="Q557" s="15"/>
      <c r="R557" s="15"/>
      <c r="S557" s="15"/>
      <c r="T557" s="15"/>
      <c r="U557" s="15"/>
      <c r="V557" s="103"/>
      <c r="W557" s="15"/>
      <c r="X557" s="15"/>
      <c r="Y557" s="15"/>
      <c r="Z557" s="15"/>
      <c r="AA557" s="15"/>
      <c r="AB557" s="15"/>
      <c r="AC557" s="103"/>
      <c r="AD557" s="15"/>
      <c r="AE557" s="15"/>
      <c r="AF557" s="15"/>
      <c r="AG557" s="15"/>
      <c r="AH557" s="15"/>
      <c r="AI557" s="15"/>
      <c r="AJ557" s="103"/>
      <c r="AK557" s="15"/>
      <c r="AL557" s="15"/>
      <c r="AM557" s="15"/>
      <c r="AN557" s="15"/>
      <c r="AO557" s="15"/>
      <c r="AP557" s="15"/>
      <c r="AQ557" s="15"/>
    </row>
    <row r="558">
      <c r="A558" s="15"/>
      <c r="B558" s="15"/>
      <c r="C558" s="15"/>
      <c r="D558" s="15"/>
      <c r="E558" s="15"/>
      <c r="F558" s="15"/>
      <c r="G558" s="15"/>
      <c r="H558" s="103"/>
      <c r="I558" s="15"/>
      <c r="J558" s="15"/>
      <c r="K558" s="15"/>
      <c r="L558" s="15"/>
      <c r="M558" s="15"/>
      <c r="N558" s="15"/>
      <c r="O558" s="103"/>
      <c r="P558" s="15"/>
      <c r="Q558" s="15"/>
      <c r="R558" s="15"/>
      <c r="S558" s="15"/>
      <c r="T558" s="15"/>
      <c r="U558" s="15"/>
      <c r="V558" s="103"/>
      <c r="W558" s="15"/>
      <c r="X558" s="15"/>
      <c r="Y558" s="15"/>
      <c r="Z558" s="15"/>
      <c r="AA558" s="15"/>
      <c r="AB558" s="15"/>
      <c r="AC558" s="103"/>
      <c r="AD558" s="15"/>
      <c r="AE558" s="15"/>
      <c r="AF558" s="15"/>
      <c r="AG558" s="15"/>
      <c r="AH558" s="15"/>
      <c r="AI558" s="15"/>
      <c r="AJ558" s="103"/>
      <c r="AK558" s="15"/>
      <c r="AL558" s="15"/>
      <c r="AM558" s="15"/>
      <c r="AN558" s="15"/>
      <c r="AO558" s="15"/>
      <c r="AP558" s="15"/>
      <c r="AQ558" s="15"/>
    </row>
    <row r="559">
      <c r="A559" s="15"/>
      <c r="B559" s="15"/>
      <c r="C559" s="15"/>
      <c r="D559" s="15"/>
      <c r="E559" s="15"/>
      <c r="F559" s="15"/>
      <c r="G559" s="15"/>
      <c r="H559" s="103"/>
      <c r="I559" s="15"/>
      <c r="J559" s="15"/>
      <c r="K559" s="15"/>
      <c r="L559" s="15"/>
      <c r="M559" s="15"/>
      <c r="N559" s="15"/>
      <c r="O559" s="103"/>
      <c r="P559" s="15"/>
      <c r="Q559" s="15"/>
      <c r="R559" s="15"/>
      <c r="S559" s="15"/>
      <c r="T559" s="15"/>
      <c r="U559" s="15"/>
      <c r="V559" s="103"/>
      <c r="W559" s="15"/>
      <c r="X559" s="15"/>
      <c r="Y559" s="15"/>
      <c r="Z559" s="15"/>
      <c r="AA559" s="15"/>
      <c r="AB559" s="15"/>
      <c r="AC559" s="103"/>
      <c r="AD559" s="15"/>
      <c r="AE559" s="15"/>
      <c r="AF559" s="15"/>
      <c r="AG559" s="15"/>
      <c r="AH559" s="15"/>
      <c r="AI559" s="15"/>
      <c r="AJ559" s="103"/>
      <c r="AK559" s="15"/>
      <c r="AL559" s="15"/>
      <c r="AM559" s="15"/>
      <c r="AN559" s="15"/>
      <c r="AO559" s="15"/>
      <c r="AP559" s="15"/>
      <c r="AQ559" s="15"/>
    </row>
    <row r="560">
      <c r="A560" s="15"/>
      <c r="B560" s="15"/>
      <c r="C560" s="15"/>
      <c r="D560" s="15"/>
      <c r="E560" s="15"/>
      <c r="F560" s="15"/>
      <c r="G560" s="15"/>
      <c r="H560" s="103"/>
      <c r="I560" s="15"/>
      <c r="J560" s="15"/>
      <c r="K560" s="15"/>
      <c r="L560" s="15"/>
      <c r="M560" s="15"/>
      <c r="N560" s="15"/>
      <c r="O560" s="103"/>
      <c r="P560" s="15"/>
      <c r="Q560" s="15"/>
      <c r="R560" s="15"/>
      <c r="S560" s="15"/>
      <c r="T560" s="15"/>
      <c r="U560" s="15"/>
      <c r="V560" s="103"/>
      <c r="W560" s="15"/>
      <c r="X560" s="15"/>
      <c r="Y560" s="15"/>
      <c r="Z560" s="15"/>
      <c r="AA560" s="15"/>
      <c r="AB560" s="15"/>
      <c r="AC560" s="103"/>
      <c r="AD560" s="15"/>
      <c r="AE560" s="15"/>
      <c r="AF560" s="15"/>
      <c r="AG560" s="15"/>
      <c r="AH560" s="15"/>
      <c r="AI560" s="15"/>
      <c r="AJ560" s="103"/>
      <c r="AK560" s="15"/>
      <c r="AL560" s="15"/>
      <c r="AM560" s="15"/>
      <c r="AN560" s="15"/>
      <c r="AO560" s="15"/>
      <c r="AP560" s="15"/>
      <c r="AQ560" s="15"/>
    </row>
    <row r="561">
      <c r="A561" s="15"/>
      <c r="B561" s="15"/>
      <c r="C561" s="15"/>
      <c r="D561" s="15"/>
      <c r="E561" s="15"/>
      <c r="F561" s="15"/>
      <c r="G561" s="15"/>
      <c r="H561" s="103"/>
      <c r="I561" s="15"/>
      <c r="J561" s="15"/>
      <c r="K561" s="15"/>
      <c r="L561" s="15"/>
      <c r="M561" s="15"/>
      <c r="N561" s="15"/>
      <c r="O561" s="103"/>
      <c r="P561" s="15"/>
      <c r="Q561" s="15"/>
      <c r="R561" s="15"/>
      <c r="S561" s="15"/>
      <c r="T561" s="15"/>
      <c r="U561" s="15"/>
      <c r="V561" s="103"/>
      <c r="W561" s="15"/>
      <c r="X561" s="15"/>
      <c r="Y561" s="15"/>
      <c r="Z561" s="15"/>
      <c r="AA561" s="15"/>
      <c r="AB561" s="15"/>
      <c r="AC561" s="103"/>
      <c r="AD561" s="15"/>
      <c r="AE561" s="15"/>
      <c r="AF561" s="15"/>
      <c r="AG561" s="15"/>
      <c r="AH561" s="15"/>
      <c r="AI561" s="15"/>
      <c r="AJ561" s="103"/>
      <c r="AK561" s="15"/>
      <c r="AL561" s="15"/>
      <c r="AM561" s="15"/>
      <c r="AN561" s="15"/>
      <c r="AO561" s="15"/>
      <c r="AP561" s="15"/>
      <c r="AQ561" s="15"/>
    </row>
    <row r="562">
      <c r="A562" s="15"/>
      <c r="B562" s="15"/>
      <c r="C562" s="15"/>
      <c r="D562" s="15"/>
      <c r="E562" s="15"/>
      <c r="F562" s="15"/>
      <c r="G562" s="15"/>
      <c r="H562" s="103"/>
      <c r="I562" s="15"/>
      <c r="J562" s="15"/>
      <c r="K562" s="15"/>
      <c r="L562" s="15"/>
      <c r="M562" s="15"/>
      <c r="N562" s="15"/>
      <c r="O562" s="103"/>
      <c r="P562" s="15"/>
      <c r="Q562" s="15"/>
      <c r="R562" s="15"/>
      <c r="S562" s="15"/>
      <c r="T562" s="15"/>
      <c r="U562" s="15"/>
      <c r="V562" s="103"/>
      <c r="W562" s="15"/>
      <c r="X562" s="15"/>
      <c r="Y562" s="15"/>
      <c r="Z562" s="15"/>
      <c r="AA562" s="15"/>
      <c r="AB562" s="15"/>
      <c r="AC562" s="103"/>
      <c r="AD562" s="15"/>
      <c r="AE562" s="15"/>
      <c r="AF562" s="15"/>
      <c r="AG562" s="15"/>
      <c r="AH562" s="15"/>
      <c r="AI562" s="15"/>
      <c r="AJ562" s="103"/>
      <c r="AK562" s="15"/>
      <c r="AL562" s="15"/>
      <c r="AM562" s="15"/>
      <c r="AN562" s="15"/>
      <c r="AO562" s="15"/>
      <c r="AP562" s="15"/>
      <c r="AQ562" s="15"/>
    </row>
    <row r="563">
      <c r="A563" s="15"/>
      <c r="B563" s="15"/>
      <c r="C563" s="15"/>
      <c r="D563" s="15"/>
      <c r="E563" s="15"/>
      <c r="F563" s="15"/>
      <c r="G563" s="15"/>
      <c r="H563" s="103"/>
      <c r="I563" s="15"/>
      <c r="J563" s="15"/>
      <c r="K563" s="15"/>
      <c r="L563" s="15"/>
      <c r="M563" s="15"/>
      <c r="N563" s="15"/>
      <c r="O563" s="103"/>
      <c r="P563" s="15"/>
      <c r="Q563" s="15"/>
      <c r="R563" s="15"/>
      <c r="S563" s="15"/>
      <c r="T563" s="15"/>
      <c r="U563" s="15"/>
      <c r="V563" s="103"/>
      <c r="W563" s="15"/>
      <c r="X563" s="15"/>
      <c r="Y563" s="15"/>
      <c r="Z563" s="15"/>
      <c r="AA563" s="15"/>
      <c r="AB563" s="15"/>
      <c r="AC563" s="103"/>
      <c r="AD563" s="15"/>
      <c r="AE563" s="15"/>
      <c r="AF563" s="15"/>
      <c r="AG563" s="15"/>
      <c r="AH563" s="15"/>
      <c r="AI563" s="15"/>
      <c r="AJ563" s="103"/>
      <c r="AK563" s="15"/>
      <c r="AL563" s="15"/>
      <c r="AM563" s="15"/>
      <c r="AN563" s="15"/>
      <c r="AO563" s="15"/>
      <c r="AP563" s="15"/>
      <c r="AQ563" s="15"/>
    </row>
    <row r="564">
      <c r="A564" s="15"/>
      <c r="B564" s="15"/>
      <c r="C564" s="15"/>
      <c r="D564" s="15"/>
      <c r="E564" s="15"/>
      <c r="F564" s="15"/>
      <c r="G564" s="15"/>
      <c r="H564" s="103"/>
      <c r="I564" s="15"/>
      <c r="J564" s="15"/>
      <c r="K564" s="15"/>
      <c r="L564" s="15"/>
      <c r="M564" s="15"/>
      <c r="N564" s="15"/>
      <c r="O564" s="103"/>
      <c r="P564" s="15"/>
      <c r="Q564" s="15"/>
      <c r="R564" s="15"/>
      <c r="S564" s="15"/>
      <c r="T564" s="15"/>
      <c r="U564" s="15"/>
      <c r="V564" s="103"/>
      <c r="W564" s="15"/>
      <c r="X564" s="15"/>
      <c r="Y564" s="15"/>
      <c r="Z564" s="15"/>
      <c r="AA564" s="15"/>
      <c r="AB564" s="15"/>
      <c r="AC564" s="103"/>
      <c r="AD564" s="15"/>
      <c r="AE564" s="15"/>
      <c r="AF564" s="15"/>
      <c r="AG564" s="15"/>
      <c r="AH564" s="15"/>
      <c r="AI564" s="15"/>
      <c r="AJ564" s="103"/>
      <c r="AK564" s="15"/>
      <c r="AL564" s="15"/>
      <c r="AM564" s="15"/>
      <c r="AN564" s="15"/>
      <c r="AO564" s="15"/>
      <c r="AP564" s="15"/>
      <c r="AQ564" s="15"/>
    </row>
    <row r="565">
      <c r="A565" s="15"/>
      <c r="B565" s="15"/>
      <c r="C565" s="15"/>
      <c r="D565" s="15"/>
      <c r="E565" s="15"/>
      <c r="F565" s="15"/>
      <c r="G565" s="15"/>
      <c r="H565" s="103"/>
      <c r="I565" s="15"/>
      <c r="J565" s="15"/>
      <c r="K565" s="15"/>
      <c r="L565" s="15"/>
      <c r="M565" s="15"/>
      <c r="N565" s="15"/>
      <c r="O565" s="103"/>
      <c r="P565" s="15"/>
      <c r="Q565" s="15"/>
      <c r="R565" s="15"/>
      <c r="S565" s="15"/>
      <c r="T565" s="15"/>
      <c r="U565" s="15"/>
      <c r="V565" s="103"/>
      <c r="W565" s="15"/>
      <c r="X565" s="15"/>
      <c r="Y565" s="15"/>
      <c r="Z565" s="15"/>
      <c r="AA565" s="15"/>
      <c r="AB565" s="15"/>
      <c r="AC565" s="103"/>
      <c r="AD565" s="15"/>
      <c r="AE565" s="15"/>
      <c r="AF565" s="15"/>
      <c r="AG565" s="15"/>
      <c r="AH565" s="15"/>
      <c r="AI565" s="15"/>
      <c r="AJ565" s="103"/>
      <c r="AK565" s="15"/>
      <c r="AL565" s="15"/>
      <c r="AM565" s="15"/>
      <c r="AN565" s="15"/>
      <c r="AO565" s="15"/>
      <c r="AP565" s="15"/>
      <c r="AQ565" s="15"/>
    </row>
    <row r="566">
      <c r="A566" s="15"/>
      <c r="B566" s="15"/>
      <c r="C566" s="15"/>
      <c r="D566" s="15"/>
      <c r="E566" s="15"/>
      <c r="F566" s="15"/>
      <c r="G566" s="15"/>
      <c r="H566" s="103"/>
      <c r="I566" s="15"/>
      <c r="J566" s="15"/>
      <c r="K566" s="15"/>
      <c r="L566" s="15"/>
      <c r="M566" s="15"/>
      <c r="N566" s="15"/>
      <c r="O566" s="103"/>
      <c r="P566" s="15"/>
      <c r="Q566" s="15"/>
      <c r="R566" s="15"/>
      <c r="S566" s="15"/>
      <c r="T566" s="15"/>
      <c r="U566" s="15"/>
      <c r="V566" s="103"/>
      <c r="W566" s="15"/>
      <c r="X566" s="15"/>
      <c r="Y566" s="15"/>
      <c r="Z566" s="15"/>
      <c r="AA566" s="15"/>
      <c r="AB566" s="15"/>
      <c r="AC566" s="103"/>
      <c r="AD566" s="15"/>
      <c r="AE566" s="15"/>
      <c r="AF566" s="15"/>
      <c r="AG566" s="15"/>
      <c r="AH566" s="15"/>
      <c r="AI566" s="15"/>
      <c r="AJ566" s="103"/>
      <c r="AK566" s="15"/>
      <c r="AL566" s="15"/>
      <c r="AM566" s="15"/>
      <c r="AN566" s="15"/>
      <c r="AO566" s="15"/>
      <c r="AP566" s="15"/>
      <c r="AQ566" s="15"/>
    </row>
    <row r="567">
      <c r="A567" s="15"/>
      <c r="B567" s="15"/>
      <c r="C567" s="15"/>
      <c r="D567" s="15"/>
      <c r="E567" s="15"/>
      <c r="F567" s="15"/>
      <c r="G567" s="15"/>
      <c r="H567" s="103"/>
      <c r="I567" s="15"/>
      <c r="J567" s="15"/>
      <c r="K567" s="15"/>
      <c r="L567" s="15"/>
      <c r="M567" s="15"/>
      <c r="N567" s="15"/>
      <c r="O567" s="103"/>
      <c r="P567" s="15"/>
      <c r="Q567" s="15"/>
      <c r="R567" s="15"/>
      <c r="S567" s="15"/>
      <c r="T567" s="15"/>
      <c r="U567" s="15"/>
      <c r="V567" s="103"/>
      <c r="W567" s="15"/>
      <c r="X567" s="15"/>
      <c r="Y567" s="15"/>
      <c r="Z567" s="15"/>
      <c r="AA567" s="15"/>
      <c r="AB567" s="15"/>
      <c r="AC567" s="103"/>
      <c r="AD567" s="15"/>
      <c r="AE567" s="15"/>
      <c r="AF567" s="15"/>
      <c r="AG567" s="15"/>
      <c r="AH567" s="15"/>
      <c r="AI567" s="15"/>
      <c r="AJ567" s="103"/>
      <c r="AK567" s="15"/>
      <c r="AL567" s="15"/>
      <c r="AM567" s="15"/>
      <c r="AN567" s="15"/>
      <c r="AO567" s="15"/>
      <c r="AP567" s="15"/>
      <c r="AQ567" s="15"/>
    </row>
    <row r="568">
      <c r="A568" s="15"/>
      <c r="B568" s="15"/>
      <c r="C568" s="15"/>
      <c r="D568" s="15"/>
      <c r="E568" s="15"/>
      <c r="F568" s="15"/>
      <c r="G568" s="15"/>
      <c r="H568" s="103"/>
      <c r="I568" s="15"/>
      <c r="J568" s="15"/>
      <c r="K568" s="15"/>
      <c r="L568" s="15"/>
      <c r="M568" s="15"/>
      <c r="N568" s="15"/>
      <c r="O568" s="103"/>
      <c r="P568" s="15"/>
      <c r="Q568" s="15"/>
      <c r="R568" s="15"/>
      <c r="S568" s="15"/>
      <c r="T568" s="15"/>
      <c r="U568" s="15"/>
      <c r="V568" s="103"/>
      <c r="W568" s="15"/>
      <c r="X568" s="15"/>
      <c r="Y568" s="15"/>
      <c r="Z568" s="15"/>
      <c r="AA568" s="15"/>
      <c r="AB568" s="15"/>
      <c r="AC568" s="103"/>
      <c r="AD568" s="15"/>
      <c r="AE568" s="15"/>
      <c r="AF568" s="15"/>
      <c r="AG568" s="15"/>
      <c r="AH568" s="15"/>
      <c r="AI568" s="15"/>
      <c r="AJ568" s="103"/>
      <c r="AK568" s="15"/>
      <c r="AL568" s="15"/>
      <c r="AM568" s="15"/>
      <c r="AN568" s="15"/>
      <c r="AO568" s="15"/>
      <c r="AP568" s="15"/>
      <c r="AQ568" s="15"/>
    </row>
    <row r="569">
      <c r="A569" s="15"/>
      <c r="B569" s="15"/>
      <c r="C569" s="15"/>
      <c r="D569" s="15"/>
      <c r="E569" s="15"/>
      <c r="F569" s="15"/>
      <c r="G569" s="15"/>
      <c r="H569" s="103"/>
      <c r="I569" s="15"/>
      <c r="J569" s="15"/>
      <c r="K569" s="15"/>
      <c r="L569" s="15"/>
      <c r="M569" s="15"/>
      <c r="N569" s="15"/>
      <c r="O569" s="103"/>
      <c r="P569" s="15"/>
      <c r="Q569" s="15"/>
      <c r="R569" s="15"/>
      <c r="S569" s="15"/>
      <c r="T569" s="15"/>
      <c r="U569" s="15"/>
      <c r="V569" s="103"/>
      <c r="W569" s="15"/>
      <c r="X569" s="15"/>
      <c r="Y569" s="15"/>
      <c r="Z569" s="15"/>
      <c r="AA569" s="15"/>
      <c r="AB569" s="15"/>
      <c r="AC569" s="103"/>
      <c r="AD569" s="15"/>
      <c r="AE569" s="15"/>
      <c r="AF569" s="15"/>
      <c r="AG569" s="15"/>
      <c r="AH569" s="15"/>
      <c r="AI569" s="15"/>
      <c r="AJ569" s="103"/>
      <c r="AK569" s="15"/>
      <c r="AL569" s="15"/>
      <c r="AM569" s="15"/>
      <c r="AN569" s="15"/>
      <c r="AO569" s="15"/>
      <c r="AP569" s="15"/>
      <c r="AQ569" s="15"/>
    </row>
    <row r="570">
      <c r="A570" s="15"/>
      <c r="B570" s="15"/>
      <c r="C570" s="15"/>
      <c r="D570" s="15"/>
      <c r="E570" s="15"/>
      <c r="F570" s="15"/>
      <c r="G570" s="15"/>
      <c r="H570" s="103"/>
      <c r="I570" s="15"/>
      <c r="J570" s="15"/>
      <c r="K570" s="15"/>
      <c r="L570" s="15"/>
      <c r="M570" s="15"/>
      <c r="N570" s="15"/>
      <c r="O570" s="103"/>
      <c r="P570" s="15"/>
      <c r="Q570" s="15"/>
      <c r="R570" s="15"/>
      <c r="S570" s="15"/>
      <c r="T570" s="15"/>
      <c r="U570" s="15"/>
      <c r="V570" s="103"/>
      <c r="W570" s="15"/>
      <c r="X570" s="15"/>
      <c r="Y570" s="15"/>
      <c r="Z570" s="15"/>
      <c r="AA570" s="15"/>
      <c r="AB570" s="15"/>
      <c r="AC570" s="103"/>
      <c r="AD570" s="15"/>
      <c r="AE570" s="15"/>
      <c r="AF570" s="15"/>
      <c r="AG570" s="15"/>
      <c r="AH570" s="15"/>
      <c r="AI570" s="15"/>
      <c r="AJ570" s="103"/>
      <c r="AK570" s="15"/>
      <c r="AL570" s="15"/>
      <c r="AM570" s="15"/>
      <c r="AN570" s="15"/>
      <c r="AO570" s="15"/>
      <c r="AP570" s="15"/>
      <c r="AQ570" s="15"/>
    </row>
    <row r="571">
      <c r="A571" s="15"/>
      <c r="B571" s="15"/>
      <c r="C571" s="15"/>
      <c r="D571" s="15"/>
      <c r="E571" s="15"/>
      <c r="F571" s="15"/>
      <c r="G571" s="15"/>
      <c r="H571" s="103"/>
      <c r="I571" s="15"/>
      <c r="J571" s="15"/>
      <c r="K571" s="15"/>
      <c r="L571" s="15"/>
      <c r="M571" s="15"/>
      <c r="N571" s="15"/>
      <c r="O571" s="103"/>
      <c r="P571" s="15"/>
      <c r="Q571" s="15"/>
      <c r="R571" s="15"/>
      <c r="S571" s="15"/>
      <c r="T571" s="15"/>
      <c r="U571" s="15"/>
      <c r="V571" s="103"/>
      <c r="W571" s="15"/>
      <c r="X571" s="15"/>
      <c r="Y571" s="15"/>
      <c r="Z571" s="15"/>
      <c r="AA571" s="15"/>
      <c r="AB571" s="15"/>
      <c r="AC571" s="103"/>
      <c r="AD571" s="15"/>
      <c r="AE571" s="15"/>
      <c r="AF571" s="15"/>
      <c r="AG571" s="15"/>
      <c r="AH571" s="15"/>
      <c r="AI571" s="15"/>
      <c r="AJ571" s="103"/>
      <c r="AK571" s="15"/>
      <c r="AL571" s="15"/>
      <c r="AM571" s="15"/>
      <c r="AN571" s="15"/>
      <c r="AO571" s="15"/>
      <c r="AP571" s="15"/>
      <c r="AQ571" s="15"/>
    </row>
    <row r="572">
      <c r="A572" s="15"/>
      <c r="B572" s="15"/>
      <c r="C572" s="15"/>
      <c r="D572" s="15"/>
      <c r="E572" s="15"/>
      <c r="F572" s="15"/>
      <c r="G572" s="15"/>
      <c r="H572" s="103"/>
      <c r="I572" s="15"/>
      <c r="J572" s="15"/>
      <c r="K572" s="15"/>
      <c r="L572" s="15"/>
      <c r="M572" s="15"/>
      <c r="N572" s="15"/>
      <c r="O572" s="103"/>
      <c r="P572" s="15"/>
      <c r="Q572" s="15"/>
      <c r="R572" s="15"/>
      <c r="S572" s="15"/>
      <c r="T572" s="15"/>
      <c r="U572" s="15"/>
      <c r="V572" s="103"/>
      <c r="W572" s="15"/>
      <c r="X572" s="15"/>
      <c r="Y572" s="15"/>
      <c r="Z572" s="15"/>
      <c r="AA572" s="15"/>
      <c r="AB572" s="15"/>
      <c r="AC572" s="103"/>
      <c r="AD572" s="15"/>
      <c r="AE572" s="15"/>
      <c r="AF572" s="15"/>
      <c r="AG572" s="15"/>
      <c r="AH572" s="15"/>
      <c r="AI572" s="15"/>
      <c r="AJ572" s="103"/>
      <c r="AK572" s="15"/>
      <c r="AL572" s="15"/>
      <c r="AM572" s="15"/>
      <c r="AN572" s="15"/>
      <c r="AO572" s="15"/>
      <c r="AP572" s="15"/>
      <c r="AQ572" s="15"/>
    </row>
    <row r="573">
      <c r="A573" s="15"/>
      <c r="B573" s="15"/>
      <c r="C573" s="15"/>
      <c r="D573" s="15"/>
      <c r="E573" s="15"/>
      <c r="F573" s="15"/>
      <c r="G573" s="15"/>
      <c r="H573" s="103"/>
      <c r="I573" s="15"/>
      <c r="J573" s="15"/>
      <c r="K573" s="15"/>
      <c r="L573" s="15"/>
      <c r="M573" s="15"/>
      <c r="N573" s="15"/>
      <c r="O573" s="103"/>
      <c r="P573" s="15"/>
      <c r="Q573" s="15"/>
      <c r="R573" s="15"/>
      <c r="S573" s="15"/>
      <c r="T573" s="15"/>
      <c r="U573" s="15"/>
      <c r="V573" s="103"/>
      <c r="W573" s="15"/>
      <c r="X573" s="15"/>
      <c r="Y573" s="15"/>
      <c r="Z573" s="15"/>
      <c r="AA573" s="15"/>
      <c r="AB573" s="15"/>
      <c r="AC573" s="103"/>
      <c r="AD573" s="15"/>
      <c r="AE573" s="15"/>
      <c r="AF573" s="15"/>
      <c r="AG573" s="15"/>
      <c r="AH573" s="15"/>
      <c r="AI573" s="15"/>
      <c r="AJ573" s="103"/>
      <c r="AK573" s="15"/>
      <c r="AL573" s="15"/>
      <c r="AM573" s="15"/>
      <c r="AN573" s="15"/>
      <c r="AO573" s="15"/>
      <c r="AP573" s="15"/>
      <c r="AQ573" s="15"/>
    </row>
    <row r="574">
      <c r="A574" s="15"/>
      <c r="B574" s="15"/>
      <c r="C574" s="15"/>
      <c r="D574" s="15"/>
      <c r="E574" s="15"/>
      <c r="F574" s="15"/>
      <c r="G574" s="15"/>
      <c r="H574" s="103"/>
      <c r="I574" s="15"/>
      <c r="J574" s="15"/>
      <c r="K574" s="15"/>
      <c r="L574" s="15"/>
      <c r="M574" s="15"/>
      <c r="N574" s="15"/>
      <c r="O574" s="103"/>
      <c r="P574" s="15"/>
      <c r="Q574" s="15"/>
      <c r="R574" s="15"/>
      <c r="S574" s="15"/>
      <c r="T574" s="15"/>
      <c r="U574" s="15"/>
      <c r="V574" s="103"/>
      <c r="W574" s="15"/>
      <c r="X574" s="15"/>
      <c r="Y574" s="15"/>
      <c r="Z574" s="15"/>
      <c r="AA574" s="15"/>
      <c r="AB574" s="15"/>
      <c r="AC574" s="103"/>
      <c r="AD574" s="15"/>
      <c r="AE574" s="15"/>
      <c r="AF574" s="15"/>
      <c r="AG574" s="15"/>
      <c r="AH574" s="15"/>
      <c r="AI574" s="15"/>
      <c r="AJ574" s="103"/>
      <c r="AK574" s="15"/>
      <c r="AL574" s="15"/>
      <c r="AM574" s="15"/>
      <c r="AN574" s="15"/>
      <c r="AO574" s="15"/>
      <c r="AP574" s="15"/>
      <c r="AQ574" s="15"/>
    </row>
    <row r="575">
      <c r="A575" s="15"/>
      <c r="B575" s="15"/>
      <c r="C575" s="15"/>
      <c r="D575" s="15"/>
      <c r="E575" s="15"/>
      <c r="F575" s="15"/>
      <c r="G575" s="15"/>
      <c r="H575" s="103"/>
      <c r="I575" s="15"/>
      <c r="J575" s="15"/>
      <c r="K575" s="15"/>
      <c r="L575" s="15"/>
      <c r="M575" s="15"/>
      <c r="N575" s="15"/>
      <c r="O575" s="103"/>
      <c r="P575" s="15"/>
      <c r="Q575" s="15"/>
      <c r="R575" s="15"/>
      <c r="S575" s="15"/>
      <c r="T575" s="15"/>
      <c r="U575" s="15"/>
      <c r="V575" s="103"/>
      <c r="W575" s="15"/>
      <c r="X575" s="15"/>
      <c r="Y575" s="15"/>
      <c r="Z575" s="15"/>
      <c r="AA575" s="15"/>
      <c r="AB575" s="15"/>
      <c r="AC575" s="103"/>
      <c r="AD575" s="15"/>
      <c r="AE575" s="15"/>
      <c r="AF575" s="15"/>
      <c r="AG575" s="15"/>
      <c r="AH575" s="15"/>
      <c r="AI575" s="15"/>
      <c r="AJ575" s="103"/>
      <c r="AK575" s="15"/>
      <c r="AL575" s="15"/>
      <c r="AM575" s="15"/>
      <c r="AN575" s="15"/>
      <c r="AO575" s="15"/>
      <c r="AP575" s="15"/>
      <c r="AQ575" s="15"/>
    </row>
    <row r="576">
      <c r="A576" s="15"/>
      <c r="B576" s="15"/>
      <c r="C576" s="15"/>
      <c r="D576" s="15"/>
      <c r="E576" s="15"/>
      <c r="F576" s="15"/>
      <c r="G576" s="15"/>
      <c r="H576" s="103"/>
      <c r="I576" s="15"/>
      <c r="J576" s="15"/>
      <c r="K576" s="15"/>
      <c r="L576" s="15"/>
      <c r="M576" s="15"/>
      <c r="N576" s="15"/>
      <c r="O576" s="103"/>
      <c r="P576" s="15"/>
      <c r="Q576" s="15"/>
      <c r="R576" s="15"/>
      <c r="S576" s="15"/>
      <c r="T576" s="15"/>
      <c r="U576" s="15"/>
      <c r="V576" s="103"/>
      <c r="W576" s="15"/>
      <c r="X576" s="15"/>
      <c r="Y576" s="15"/>
      <c r="Z576" s="15"/>
      <c r="AA576" s="15"/>
      <c r="AB576" s="15"/>
      <c r="AC576" s="103"/>
      <c r="AD576" s="15"/>
      <c r="AE576" s="15"/>
      <c r="AF576" s="15"/>
      <c r="AG576" s="15"/>
      <c r="AH576" s="15"/>
      <c r="AI576" s="15"/>
      <c r="AJ576" s="103"/>
      <c r="AK576" s="15"/>
      <c r="AL576" s="15"/>
      <c r="AM576" s="15"/>
      <c r="AN576" s="15"/>
      <c r="AO576" s="15"/>
      <c r="AP576" s="15"/>
      <c r="AQ576" s="15"/>
    </row>
    <row r="577">
      <c r="A577" s="15"/>
      <c r="B577" s="15"/>
      <c r="C577" s="15"/>
      <c r="D577" s="15"/>
      <c r="E577" s="15"/>
      <c r="F577" s="15"/>
      <c r="G577" s="15"/>
      <c r="H577" s="103"/>
      <c r="I577" s="15"/>
      <c r="J577" s="15"/>
      <c r="K577" s="15"/>
      <c r="L577" s="15"/>
      <c r="M577" s="15"/>
      <c r="N577" s="15"/>
      <c r="O577" s="103"/>
      <c r="P577" s="15"/>
      <c r="Q577" s="15"/>
      <c r="R577" s="15"/>
      <c r="S577" s="15"/>
      <c r="T577" s="15"/>
      <c r="U577" s="15"/>
      <c r="V577" s="103"/>
      <c r="W577" s="15"/>
      <c r="X577" s="15"/>
      <c r="Y577" s="15"/>
      <c r="Z577" s="15"/>
      <c r="AA577" s="15"/>
      <c r="AB577" s="15"/>
      <c r="AC577" s="103"/>
      <c r="AD577" s="15"/>
      <c r="AE577" s="15"/>
      <c r="AF577" s="15"/>
      <c r="AG577" s="15"/>
      <c r="AH577" s="15"/>
      <c r="AI577" s="15"/>
      <c r="AJ577" s="103"/>
      <c r="AK577" s="15"/>
      <c r="AL577" s="15"/>
      <c r="AM577" s="15"/>
      <c r="AN577" s="15"/>
      <c r="AO577" s="15"/>
      <c r="AP577" s="15"/>
      <c r="AQ577" s="15"/>
    </row>
    <row r="578">
      <c r="A578" s="15"/>
      <c r="B578" s="15"/>
      <c r="C578" s="15"/>
      <c r="D578" s="15"/>
      <c r="E578" s="15"/>
      <c r="F578" s="15"/>
      <c r="G578" s="15"/>
      <c r="H578" s="103"/>
      <c r="I578" s="15"/>
      <c r="J578" s="15"/>
      <c r="K578" s="15"/>
      <c r="L578" s="15"/>
      <c r="M578" s="15"/>
      <c r="N578" s="15"/>
      <c r="O578" s="103"/>
      <c r="P578" s="15"/>
      <c r="Q578" s="15"/>
      <c r="R578" s="15"/>
      <c r="S578" s="15"/>
      <c r="T578" s="15"/>
      <c r="U578" s="15"/>
      <c r="V578" s="103"/>
      <c r="W578" s="15"/>
      <c r="X578" s="15"/>
      <c r="Y578" s="15"/>
      <c r="Z578" s="15"/>
      <c r="AA578" s="15"/>
      <c r="AB578" s="15"/>
      <c r="AC578" s="103"/>
      <c r="AD578" s="15"/>
      <c r="AE578" s="15"/>
      <c r="AF578" s="15"/>
      <c r="AG578" s="15"/>
      <c r="AH578" s="15"/>
      <c r="AI578" s="15"/>
      <c r="AJ578" s="103"/>
      <c r="AK578" s="15"/>
      <c r="AL578" s="15"/>
      <c r="AM578" s="15"/>
      <c r="AN578" s="15"/>
      <c r="AO578" s="15"/>
      <c r="AP578" s="15"/>
      <c r="AQ578" s="15"/>
    </row>
    <row r="579">
      <c r="A579" s="15"/>
      <c r="B579" s="15"/>
      <c r="C579" s="15"/>
      <c r="D579" s="15"/>
      <c r="E579" s="15"/>
      <c r="F579" s="15"/>
      <c r="G579" s="15"/>
      <c r="H579" s="103"/>
      <c r="I579" s="15"/>
      <c r="J579" s="15"/>
      <c r="K579" s="15"/>
      <c r="L579" s="15"/>
      <c r="M579" s="15"/>
      <c r="N579" s="15"/>
      <c r="O579" s="103"/>
      <c r="P579" s="15"/>
      <c r="Q579" s="15"/>
      <c r="R579" s="15"/>
      <c r="S579" s="15"/>
      <c r="T579" s="15"/>
      <c r="U579" s="15"/>
      <c r="V579" s="103"/>
      <c r="W579" s="15"/>
      <c r="X579" s="15"/>
      <c r="Y579" s="15"/>
      <c r="Z579" s="15"/>
      <c r="AA579" s="15"/>
      <c r="AB579" s="15"/>
      <c r="AC579" s="103"/>
      <c r="AD579" s="15"/>
      <c r="AE579" s="15"/>
      <c r="AF579" s="15"/>
      <c r="AG579" s="15"/>
      <c r="AH579" s="15"/>
      <c r="AI579" s="15"/>
      <c r="AJ579" s="103"/>
      <c r="AK579" s="15"/>
      <c r="AL579" s="15"/>
      <c r="AM579" s="15"/>
      <c r="AN579" s="15"/>
      <c r="AO579" s="15"/>
      <c r="AP579" s="15"/>
      <c r="AQ579" s="15"/>
    </row>
    <row r="580">
      <c r="A580" s="15"/>
      <c r="B580" s="15"/>
      <c r="C580" s="15"/>
      <c r="D580" s="15"/>
      <c r="E580" s="15"/>
      <c r="F580" s="15"/>
      <c r="G580" s="15"/>
      <c r="H580" s="103"/>
      <c r="I580" s="15"/>
      <c r="J580" s="15"/>
      <c r="K580" s="15"/>
      <c r="L580" s="15"/>
      <c r="M580" s="15"/>
      <c r="N580" s="15"/>
      <c r="O580" s="103"/>
      <c r="P580" s="15"/>
      <c r="Q580" s="15"/>
      <c r="R580" s="15"/>
      <c r="S580" s="15"/>
      <c r="T580" s="15"/>
      <c r="U580" s="15"/>
      <c r="V580" s="103"/>
      <c r="W580" s="15"/>
      <c r="X580" s="15"/>
      <c r="Y580" s="15"/>
      <c r="Z580" s="15"/>
      <c r="AA580" s="15"/>
      <c r="AB580" s="15"/>
      <c r="AC580" s="103"/>
      <c r="AD580" s="15"/>
      <c r="AE580" s="15"/>
      <c r="AF580" s="15"/>
      <c r="AG580" s="15"/>
      <c r="AH580" s="15"/>
      <c r="AI580" s="15"/>
      <c r="AJ580" s="103"/>
      <c r="AK580" s="15"/>
      <c r="AL580" s="15"/>
      <c r="AM580" s="15"/>
      <c r="AN580" s="15"/>
      <c r="AO580" s="15"/>
      <c r="AP580" s="15"/>
      <c r="AQ580" s="15"/>
    </row>
    <row r="581">
      <c r="A581" s="15"/>
      <c r="B581" s="15"/>
      <c r="C581" s="15"/>
      <c r="D581" s="15"/>
      <c r="E581" s="15"/>
      <c r="F581" s="15"/>
      <c r="G581" s="15"/>
      <c r="H581" s="103"/>
      <c r="I581" s="15"/>
      <c r="J581" s="15"/>
      <c r="K581" s="15"/>
      <c r="L581" s="15"/>
      <c r="M581" s="15"/>
      <c r="N581" s="15"/>
      <c r="O581" s="103"/>
      <c r="P581" s="15"/>
      <c r="Q581" s="15"/>
      <c r="R581" s="15"/>
      <c r="S581" s="15"/>
      <c r="T581" s="15"/>
      <c r="U581" s="15"/>
      <c r="V581" s="103"/>
      <c r="W581" s="15"/>
      <c r="X581" s="15"/>
      <c r="Y581" s="15"/>
      <c r="Z581" s="15"/>
      <c r="AA581" s="15"/>
      <c r="AB581" s="15"/>
      <c r="AC581" s="103"/>
      <c r="AD581" s="15"/>
      <c r="AE581" s="15"/>
      <c r="AF581" s="15"/>
      <c r="AG581" s="15"/>
      <c r="AH581" s="15"/>
      <c r="AI581" s="15"/>
      <c r="AJ581" s="103"/>
      <c r="AK581" s="15"/>
      <c r="AL581" s="15"/>
      <c r="AM581" s="15"/>
      <c r="AN581" s="15"/>
      <c r="AO581" s="15"/>
      <c r="AP581" s="15"/>
      <c r="AQ581" s="15"/>
    </row>
    <row r="582">
      <c r="A582" s="15"/>
      <c r="B582" s="15"/>
      <c r="C582" s="15"/>
      <c r="D582" s="15"/>
      <c r="E582" s="15"/>
      <c r="F582" s="15"/>
      <c r="G582" s="15"/>
      <c r="H582" s="103"/>
      <c r="I582" s="15"/>
      <c r="J582" s="15"/>
      <c r="K582" s="15"/>
      <c r="L582" s="15"/>
      <c r="M582" s="15"/>
      <c r="N582" s="15"/>
      <c r="O582" s="103"/>
      <c r="P582" s="15"/>
      <c r="Q582" s="15"/>
      <c r="R582" s="15"/>
      <c r="S582" s="15"/>
      <c r="T582" s="15"/>
      <c r="U582" s="15"/>
      <c r="V582" s="103"/>
      <c r="W582" s="15"/>
      <c r="X582" s="15"/>
      <c r="Y582" s="15"/>
      <c r="Z582" s="15"/>
      <c r="AA582" s="15"/>
      <c r="AB582" s="15"/>
      <c r="AC582" s="103"/>
      <c r="AD582" s="15"/>
      <c r="AE582" s="15"/>
      <c r="AF582" s="15"/>
      <c r="AG582" s="15"/>
      <c r="AH582" s="15"/>
      <c r="AI582" s="15"/>
      <c r="AJ582" s="103"/>
      <c r="AK582" s="15"/>
      <c r="AL582" s="15"/>
      <c r="AM582" s="15"/>
      <c r="AN582" s="15"/>
      <c r="AO582" s="15"/>
      <c r="AP582" s="15"/>
      <c r="AQ582" s="15"/>
    </row>
    <row r="583">
      <c r="A583" s="15"/>
      <c r="B583" s="15"/>
      <c r="C583" s="15"/>
      <c r="D583" s="15"/>
      <c r="E583" s="15"/>
      <c r="F583" s="15"/>
      <c r="G583" s="15"/>
      <c r="H583" s="103"/>
      <c r="I583" s="15"/>
      <c r="J583" s="15"/>
      <c r="K583" s="15"/>
      <c r="L583" s="15"/>
      <c r="M583" s="15"/>
      <c r="N583" s="15"/>
      <c r="O583" s="103"/>
      <c r="P583" s="15"/>
      <c r="Q583" s="15"/>
      <c r="R583" s="15"/>
      <c r="S583" s="15"/>
      <c r="T583" s="15"/>
      <c r="U583" s="15"/>
      <c r="V583" s="103"/>
      <c r="W583" s="15"/>
      <c r="X583" s="15"/>
      <c r="Y583" s="15"/>
      <c r="Z583" s="15"/>
      <c r="AA583" s="15"/>
      <c r="AB583" s="15"/>
      <c r="AC583" s="103"/>
      <c r="AD583" s="15"/>
      <c r="AE583" s="15"/>
      <c r="AF583" s="15"/>
      <c r="AG583" s="15"/>
      <c r="AH583" s="15"/>
      <c r="AI583" s="15"/>
      <c r="AJ583" s="103"/>
      <c r="AK583" s="15"/>
      <c r="AL583" s="15"/>
      <c r="AM583" s="15"/>
      <c r="AN583" s="15"/>
      <c r="AO583" s="15"/>
      <c r="AP583" s="15"/>
      <c r="AQ583" s="15"/>
    </row>
    <row r="584">
      <c r="A584" s="15"/>
      <c r="B584" s="15"/>
      <c r="C584" s="15"/>
      <c r="D584" s="15"/>
      <c r="E584" s="15"/>
      <c r="F584" s="15"/>
      <c r="G584" s="15"/>
      <c r="H584" s="103"/>
      <c r="I584" s="15"/>
      <c r="J584" s="15"/>
      <c r="K584" s="15"/>
      <c r="L584" s="15"/>
      <c r="M584" s="15"/>
      <c r="N584" s="15"/>
      <c r="O584" s="103"/>
      <c r="P584" s="15"/>
      <c r="Q584" s="15"/>
      <c r="R584" s="15"/>
      <c r="S584" s="15"/>
      <c r="T584" s="15"/>
      <c r="U584" s="15"/>
      <c r="V584" s="103"/>
      <c r="W584" s="15"/>
      <c r="X584" s="15"/>
      <c r="Y584" s="15"/>
      <c r="Z584" s="15"/>
      <c r="AA584" s="15"/>
      <c r="AB584" s="15"/>
      <c r="AC584" s="103"/>
      <c r="AD584" s="15"/>
      <c r="AE584" s="15"/>
      <c r="AF584" s="15"/>
      <c r="AG584" s="15"/>
      <c r="AH584" s="15"/>
      <c r="AI584" s="15"/>
      <c r="AJ584" s="103"/>
      <c r="AK584" s="15"/>
      <c r="AL584" s="15"/>
      <c r="AM584" s="15"/>
      <c r="AN584" s="15"/>
      <c r="AO584" s="15"/>
      <c r="AP584" s="15"/>
      <c r="AQ584" s="15"/>
    </row>
    <row r="585">
      <c r="A585" s="15"/>
      <c r="B585" s="15"/>
      <c r="C585" s="15"/>
      <c r="D585" s="15"/>
      <c r="E585" s="15"/>
      <c r="F585" s="15"/>
      <c r="G585" s="15"/>
      <c r="H585" s="103"/>
      <c r="I585" s="15"/>
      <c r="J585" s="15"/>
      <c r="K585" s="15"/>
      <c r="L585" s="15"/>
      <c r="M585" s="15"/>
      <c r="N585" s="15"/>
      <c r="O585" s="103"/>
      <c r="P585" s="15"/>
      <c r="Q585" s="15"/>
      <c r="R585" s="15"/>
      <c r="S585" s="15"/>
      <c r="T585" s="15"/>
      <c r="U585" s="15"/>
      <c r="V585" s="103"/>
      <c r="W585" s="15"/>
      <c r="X585" s="15"/>
      <c r="Y585" s="15"/>
      <c r="Z585" s="15"/>
      <c r="AA585" s="15"/>
      <c r="AB585" s="15"/>
      <c r="AC585" s="103"/>
      <c r="AD585" s="15"/>
      <c r="AE585" s="15"/>
      <c r="AF585" s="15"/>
      <c r="AG585" s="15"/>
      <c r="AH585" s="15"/>
      <c r="AI585" s="15"/>
      <c r="AJ585" s="103"/>
      <c r="AK585" s="15"/>
      <c r="AL585" s="15"/>
      <c r="AM585" s="15"/>
      <c r="AN585" s="15"/>
      <c r="AO585" s="15"/>
      <c r="AP585" s="15"/>
      <c r="AQ585" s="15"/>
    </row>
    <row r="586">
      <c r="A586" s="15"/>
      <c r="B586" s="15"/>
      <c r="C586" s="15"/>
      <c r="D586" s="15"/>
      <c r="E586" s="15"/>
      <c r="F586" s="15"/>
      <c r="G586" s="15"/>
      <c r="H586" s="103"/>
      <c r="I586" s="15"/>
      <c r="J586" s="15"/>
      <c r="K586" s="15"/>
      <c r="L586" s="15"/>
      <c r="M586" s="15"/>
      <c r="N586" s="15"/>
      <c r="O586" s="103"/>
      <c r="P586" s="15"/>
      <c r="Q586" s="15"/>
      <c r="R586" s="15"/>
      <c r="S586" s="15"/>
      <c r="T586" s="15"/>
      <c r="U586" s="15"/>
      <c r="V586" s="103"/>
      <c r="W586" s="15"/>
      <c r="X586" s="15"/>
      <c r="Y586" s="15"/>
      <c r="Z586" s="15"/>
      <c r="AA586" s="15"/>
      <c r="AB586" s="15"/>
      <c r="AC586" s="103"/>
      <c r="AD586" s="15"/>
      <c r="AE586" s="15"/>
      <c r="AF586" s="15"/>
      <c r="AG586" s="15"/>
      <c r="AH586" s="15"/>
      <c r="AI586" s="15"/>
      <c r="AJ586" s="103"/>
      <c r="AK586" s="15"/>
      <c r="AL586" s="15"/>
      <c r="AM586" s="15"/>
      <c r="AN586" s="15"/>
      <c r="AO586" s="15"/>
      <c r="AP586" s="15"/>
      <c r="AQ586" s="15"/>
    </row>
    <row r="587">
      <c r="A587" s="15"/>
      <c r="B587" s="15"/>
      <c r="C587" s="15"/>
      <c r="D587" s="15"/>
      <c r="E587" s="15"/>
      <c r="F587" s="15"/>
      <c r="G587" s="15"/>
      <c r="H587" s="103"/>
      <c r="I587" s="15"/>
      <c r="J587" s="15"/>
      <c r="K587" s="15"/>
      <c r="L587" s="15"/>
      <c r="M587" s="15"/>
      <c r="N587" s="15"/>
      <c r="O587" s="103"/>
      <c r="P587" s="15"/>
      <c r="Q587" s="15"/>
      <c r="R587" s="15"/>
      <c r="S587" s="15"/>
      <c r="T587" s="15"/>
      <c r="U587" s="15"/>
      <c r="V587" s="103"/>
      <c r="W587" s="15"/>
      <c r="X587" s="15"/>
      <c r="Y587" s="15"/>
      <c r="Z587" s="15"/>
      <c r="AA587" s="15"/>
      <c r="AB587" s="15"/>
      <c r="AC587" s="103"/>
      <c r="AD587" s="15"/>
      <c r="AE587" s="15"/>
      <c r="AF587" s="15"/>
      <c r="AG587" s="15"/>
      <c r="AH587" s="15"/>
      <c r="AI587" s="15"/>
      <c r="AJ587" s="103"/>
      <c r="AK587" s="15"/>
      <c r="AL587" s="15"/>
      <c r="AM587" s="15"/>
      <c r="AN587" s="15"/>
      <c r="AO587" s="15"/>
      <c r="AP587" s="15"/>
      <c r="AQ587" s="15"/>
    </row>
    <row r="588">
      <c r="A588" s="15"/>
      <c r="B588" s="15"/>
      <c r="C588" s="15"/>
      <c r="D588" s="15"/>
      <c r="E588" s="15"/>
      <c r="F588" s="15"/>
      <c r="G588" s="15"/>
      <c r="H588" s="103"/>
      <c r="I588" s="15"/>
      <c r="J588" s="15"/>
      <c r="K588" s="15"/>
      <c r="L588" s="15"/>
      <c r="M588" s="15"/>
      <c r="N588" s="15"/>
      <c r="O588" s="103"/>
      <c r="P588" s="15"/>
      <c r="Q588" s="15"/>
      <c r="R588" s="15"/>
      <c r="S588" s="15"/>
      <c r="T588" s="15"/>
      <c r="U588" s="15"/>
      <c r="V588" s="103"/>
      <c r="W588" s="15"/>
      <c r="X588" s="15"/>
      <c r="Y588" s="15"/>
      <c r="Z588" s="15"/>
      <c r="AA588" s="15"/>
      <c r="AB588" s="15"/>
      <c r="AC588" s="103"/>
      <c r="AD588" s="15"/>
      <c r="AE588" s="15"/>
      <c r="AF588" s="15"/>
      <c r="AG588" s="15"/>
      <c r="AH588" s="15"/>
      <c r="AI588" s="15"/>
      <c r="AJ588" s="103"/>
      <c r="AK588" s="15"/>
      <c r="AL588" s="15"/>
      <c r="AM588" s="15"/>
      <c r="AN588" s="15"/>
      <c r="AO588" s="15"/>
      <c r="AP588" s="15"/>
      <c r="AQ588" s="15"/>
    </row>
    <row r="589">
      <c r="A589" s="15"/>
      <c r="B589" s="15"/>
      <c r="C589" s="15"/>
      <c r="D589" s="15"/>
      <c r="E589" s="15"/>
      <c r="F589" s="15"/>
      <c r="G589" s="15"/>
      <c r="H589" s="103"/>
      <c r="I589" s="15"/>
      <c r="J589" s="15"/>
      <c r="K589" s="15"/>
      <c r="L589" s="15"/>
      <c r="M589" s="15"/>
      <c r="N589" s="15"/>
      <c r="O589" s="103"/>
      <c r="P589" s="15"/>
      <c r="Q589" s="15"/>
      <c r="R589" s="15"/>
      <c r="S589" s="15"/>
      <c r="T589" s="15"/>
      <c r="U589" s="15"/>
      <c r="V589" s="103"/>
      <c r="W589" s="15"/>
      <c r="X589" s="15"/>
      <c r="Y589" s="15"/>
      <c r="Z589" s="15"/>
      <c r="AA589" s="15"/>
      <c r="AB589" s="15"/>
      <c r="AC589" s="103"/>
      <c r="AD589" s="15"/>
      <c r="AE589" s="15"/>
      <c r="AF589" s="15"/>
      <c r="AG589" s="15"/>
      <c r="AH589" s="15"/>
      <c r="AI589" s="15"/>
      <c r="AJ589" s="103"/>
      <c r="AK589" s="15"/>
      <c r="AL589" s="15"/>
      <c r="AM589" s="15"/>
      <c r="AN589" s="15"/>
      <c r="AO589" s="15"/>
      <c r="AP589" s="15"/>
      <c r="AQ589" s="15"/>
    </row>
    <row r="590">
      <c r="A590" s="15"/>
      <c r="B590" s="15"/>
      <c r="C590" s="15"/>
      <c r="D590" s="15"/>
      <c r="E590" s="15"/>
      <c r="F590" s="15"/>
      <c r="G590" s="15"/>
      <c r="H590" s="103"/>
      <c r="I590" s="15"/>
      <c r="J590" s="15"/>
      <c r="K590" s="15"/>
      <c r="L590" s="15"/>
      <c r="M590" s="15"/>
      <c r="N590" s="15"/>
      <c r="O590" s="103"/>
      <c r="P590" s="15"/>
      <c r="Q590" s="15"/>
      <c r="R590" s="15"/>
      <c r="S590" s="15"/>
      <c r="T590" s="15"/>
      <c r="U590" s="15"/>
      <c r="V590" s="103"/>
      <c r="W590" s="15"/>
      <c r="X590" s="15"/>
      <c r="Y590" s="15"/>
      <c r="Z590" s="15"/>
      <c r="AA590" s="15"/>
      <c r="AB590" s="15"/>
      <c r="AC590" s="103"/>
      <c r="AD590" s="15"/>
      <c r="AE590" s="15"/>
      <c r="AF590" s="15"/>
      <c r="AG590" s="15"/>
      <c r="AH590" s="15"/>
      <c r="AI590" s="15"/>
      <c r="AJ590" s="103"/>
      <c r="AK590" s="15"/>
      <c r="AL590" s="15"/>
      <c r="AM590" s="15"/>
      <c r="AN590" s="15"/>
      <c r="AO590" s="15"/>
      <c r="AP590" s="15"/>
      <c r="AQ590" s="15"/>
    </row>
    <row r="591">
      <c r="A591" s="15"/>
      <c r="B591" s="15"/>
      <c r="C591" s="15"/>
      <c r="D591" s="15"/>
      <c r="E591" s="15"/>
      <c r="F591" s="15"/>
      <c r="G591" s="15"/>
      <c r="H591" s="103"/>
      <c r="I591" s="15"/>
      <c r="J591" s="15"/>
      <c r="K591" s="15"/>
      <c r="L591" s="15"/>
      <c r="M591" s="15"/>
      <c r="N591" s="15"/>
      <c r="O591" s="103"/>
      <c r="P591" s="15"/>
      <c r="Q591" s="15"/>
      <c r="R591" s="15"/>
      <c r="S591" s="15"/>
      <c r="T591" s="15"/>
      <c r="U591" s="15"/>
      <c r="V591" s="103"/>
      <c r="W591" s="15"/>
      <c r="X591" s="15"/>
      <c r="Y591" s="15"/>
      <c r="Z591" s="15"/>
      <c r="AA591" s="15"/>
      <c r="AB591" s="15"/>
      <c r="AC591" s="103"/>
      <c r="AD591" s="15"/>
      <c r="AE591" s="15"/>
      <c r="AF591" s="15"/>
      <c r="AG591" s="15"/>
      <c r="AH591" s="15"/>
      <c r="AI591" s="15"/>
      <c r="AJ591" s="103"/>
      <c r="AK591" s="15"/>
      <c r="AL591" s="15"/>
      <c r="AM591" s="15"/>
      <c r="AN591" s="15"/>
      <c r="AO591" s="15"/>
      <c r="AP591" s="15"/>
      <c r="AQ591" s="15"/>
    </row>
    <row r="592">
      <c r="A592" s="15"/>
      <c r="B592" s="15"/>
      <c r="C592" s="15"/>
      <c r="D592" s="15"/>
      <c r="E592" s="15"/>
      <c r="F592" s="15"/>
      <c r="G592" s="15"/>
      <c r="H592" s="103"/>
      <c r="I592" s="15"/>
      <c r="J592" s="15"/>
      <c r="K592" s="15"/>
      <c r="L592" s="15"/>
      <c r="M592" s="15"/>
      <c r="N592" s="15"/>
      <c r="O592" s="103"/>
      <c r="P592" s="15"/>
      <c r="Q592" s="15"/>
      <c r="R592" s="15"/>
      <c r="S592" s="15"/>
      <c r="T592" s="15"/>
      <c r="U592" s="15"/>
      <c r="V592" s="103"/>
      <c r="W592" s="15"/>
      <c r="X592" s="15"/>
      <c r="Y592" s="15"/>
      <c r="Z592" s="15"/>
      <c r="AA592" s="15"/>
      <c r="AB592" s="15"/>
      <c r="AC592" s="103"/>
      <c r="AD592" s="15"/>
      <c r="AE592" s="15"/>
      <c r="AF592" s="15"/>
      <c r="AG592" s="15"/>
      <c r="AH592" s="15"/>
      <c r="AI592" s="15"/>
      <c r="AJ592" s="103"/>
      <c r="AK592" s="15"/>
      <c r="AL592" s="15"/>
      <c r="AM592" s="15"/>
      <c r="AN592" s="15"/>
      <c r="AO592" s="15"/>
      <c r="AP592" s="15"/>
      <c r="AQ592" s="15"/>
    </row>
    <row r="593">
      <c r="A593" s="15"/>
      <c r="B593" s="15"/>
      <c r="C593" s="15"/>
      <c r="D593" s="15"/>
      <c r="E593" s="15"/>
      <c r="F593" s="15"/>
      <c r="G593" s="15"/>
      <c r="H593" s="103"/>
      <c r="I593" s="15"/>
      <c r="J593" s="15"/>
      <c r="K593" s="15"/>
      <c r="L593" s="15"/>
      <c r="M593" s="15"/>
      <c r="N593" s="15"/>
      <c r="O593" s="103"/>
      <c r="P593" s="15"/>
      <c r="Q593" s="15"/>
      <c r="R593" s="15"/>
      <c r="S593" s="15"/>
      <c r="T593" s="15"/>
      <c r="U593" s="15"/>
      <c r="V593" s="103"/>
      <c r="W593" s="15"/>
      <c r="X593" s="15"/>
      <c r="Y593" s="15"/>
      <c r="Z593" s="15"/>
      <c r="AA593" s="15"/>
      <c r="AB593" s="15"/>
      <c r="AC593" s="103"/>
      <c r="AD593" s="15"/>
      <c r="AE593" s="15"/>
      <c r="AF593" s="15"/>
      <c r="AG593" s="15"/>
      <c r="AH593" s="15"/>
      <c r="AI593" s="15"/>
      <c r="AJ593" s="103"/>
      <c r="AK593" s="15"/>
      <c r="AL593" s="15"/>
      <c r="AM593" s="15"/>
      <c r="AN593" s="15"/>
      <c r="AO593" s="15"/>
      <c r="AP593" s="15"/>
      <c r="AQ593" s="15"/>
    </row>
    <row r="594">
      <c r="A594" s="15"/>
      <c r="B594" s="15"/>
      <c r="C594" s="15"/>
      <c r="D594" s="15"/>
      <c r="E594" s="15"/>
      <c r="F594" s="15"/>
      <c r="G594" s="15"/>
      <c r="H594" s="103"/>
      <c r="I594" s="15"/>
      <c r="J594" s="15"/>
      <c r="K594" s="15"/>
      <c r="L594" s="15"/>
      <c r="M594" s="15"/>
      <c r="N594" s="15"/>
      <c r="O594" s="103"/>
      <c r="P594" s="15"/>
      <c r="Q594" s="15"/>
      <c r="R594" s="15"/>
      <c r="S594" s="15"/>
      <c r="T594" s="15"/>
      <c r="U594" s="15"/>
      <c r="V594" s="103"/>
      <c r="W594" s="15"/>
      <c r="X594" s="15"/>
      <c r="Y594" s="15"/>
      <c r="Z594" s="15"/>
      <c r="AA594" s="15"/>
      <c r="AB594" s="15"/>
      <c r="AC594" s="103"/>
      <c r="AD594" s="15"/>
      <c r="AE594" s="15"/>
      <c r="AF594" s="15"/>
      <c r="AG594" s="15"/>
      <c r="AH594" s="15"/>
      <c r="AI594" s="15"/>
      <c r="AJ594" s="103"/>
      <c r="AK594" s="15"/>
      <c r="AL594" s="15"/>
      <c r="AM594" s="15"/>
      <c r="AN594" s="15"/>
      <c r="AO594" s="15"/>
      <c r="AP594" s="15"/>
      <c r="AQ594" s="15"/>
    </row>
    <row r="595">
      <c r="A595" s="15"/>
      <c r="B595" s="15"/>
      <c r="C595" s="15"/>
      <c r="D595" s="15"/>
      <c r="E595" s="15"/>
      <c r="F595" s="15"/>
      <c r="G595" s="15"/>
      <c r="H595" s="103"/>
      <c r="I595" s="15"/>
      <c r="J595" s="15"/>
      <c r="K595" s="15"/>
      <c r="L595" s="15"/>
      <c r="M595" s="15"/>
      <c r="N595" s="15"/>
      <c r="O595" s="103"/>
      <c r="P595" s="15"/>
      <c r="Q595" s="15"/>
      <c r="R595" s="15"/>
      <c r="S595" s="15"/>
      <c r="T595" s="15"/>
      <c r="U595" s="15"/>
      <c r="V595" s="103"/>
      <c r="W595" s="15"/>
      <c r="X595" s="15"/>
      <c r="Y595" s="15"/>
      <c r="Z595" s="15"/>
      <c r="AA595" s="15"/>
      <c r="AB595" s="15"/>
      <c r="AC595" s="103"/>
      <c r="AD595" s="15"/>
      <c r="AE595" s="15"/>
      <c r="AF595" s="15"/>
      <c r="AG595" s="15"/>
      <c r="AH595" s="15"/>
      <c r="AI595" s="15"/>
      <c r="AJ595" s="103"/>
      <c r="AK595" s="15"/>
      <c r="AL595" s="15"/>
      <c r="AM595" s="15"/>
      <c r="AN595" s="15"/>
      <c r="AO595" s="15"/>
      <c r="AP595" s="15"/>
      <c r="AQ595" s="15"/>
    </row>
    <row r="596">
      <c r="A596" s="15"/>
      <c r="B596" s="15"/>
      <c r="C596" s="15"/>
      <c r="D596" s="15"/>
      <c r="E596" s="15"/>
      <c r="F596" s="15"/>
      <c r="G596" s="15"/>
      <c r="H596" s="103"/>
      <c r="I596" s="15"/>
      <c r="J596" s="15"/>
      <c r="K596" s="15"/>
      <c r="L596" s="15"/>
      <c r="M596" s="15"/>
      <c r="N596" s="15"/>
      <c r="O596" s="103"/>
      <c r="P596" s="15"/>
      <c r="Q596" s="15"/>
      <c r="R596" s="15"/>
      <c r="S596" s="15"/>
      <c r="T596" s="15"/>
      <c r="U596" s="15"/>
      <c r="V596" s="103"/>
      <c r="W596" s="15"/>
      <c r="X596" s="15"/>
      <c r="Y596" s="15"/>
      <c r="Z596" s="15"/>
      <c r="AA596" s="15"/>
      <c r="AB596" s="15"/>
      <c r="AC596" s="103"/>
      <c r="AD596" s="15"/>
      <c r="AE596" s="15"/>
      <c r="AF596" s="15"/>
      <c r="AG596" s="15"/>
      <c r="AH596" s="15"/>
      <c r="AI596" s="15"/>
      <c r="AJ596" s="103"/>
      <c r="AK596" s="15"/>
      <c r="AL596" s="15"/>
      <c r="AM596" s="15"/>
      <c r="AN596" s="15"/>
      <c r="AO596" s="15"/>
      <c r="AP596" s="15"/>
      <c r="AQ596" s="15"/>
    </row>
    <row r="597">
      <c r="A597" s="15"/>
      <c r="B597" s="15"/>
      <c r="C597" s="15"/>
      <c r="D597" s="15"/>
      <c r="E597" s="15"/>
      <c r="F597" s="15"/>
      <c r="G597" s="15"/>
      <c r="H597" s="103"/>
      <c r="I597" s="15"/>
      <c r="J597" s="15"/>
      <c r="K597" s="15"/>
      <c r="L597" s="15"/>
      <c r="M597" s="15"/>
      <c r="N597" s="15"/>
      <c r="O597" s="103"/>
      <c r="P597" s="15"/>
      <c r="Q597" s="15"/>
      <c r="R597" s="15"/>
      <c r="S597" s="15"/>
      <c r="T597" s="15"/>
      <c r="U597" s="15"/>
      <c r="V597" s="103"/>
      <c r="W597" s="15"/>
      <c r="X597" s="15"/>
      <c r="Y597" s="15"/>
      <c r="Z597" s="15"/>
      <c r="AA597" s="15"/>
      <c r="AB597" s="15"/>
      <c r="AC597" s="103"/>
      <c r="AD597" s="15"/>
      <c r="AE597" s="15"/>
      <c r="AF597" s="15"/>
      <c r="AG597" s="15"/>
      <c r="AH597" s="15"/>
      <c r="AI597" s="15"/>
      <c r="AJ597" s="103"/>
      <c r="AK597" s="15"/>
      <c r="AL597" s="15"/>
      <c r="AM597" s="15"/>
      <c r="AN597" s="15"/>
      <c r="AO597" s="15"/>
      <c r="AP597" s="15"/>
      <c r="AQ597" s="15"/>
    </row>
    <row r="598">
      <c r="A598" s="15"/>
      <c r="B598" s="15"/>
      <c r="C598" s="15"/>
      <c r="D598" s="15"/>
      <c r="E598" s="15"/>
      <c r="F598" s="15"/>
      <c r="G598" s="15"/>
      <c r="H598" s="103"/>
      <c r="I598" s="15"/>
      <c r="J598" s="15"/>
      <c r="K598" s="15"/>
      <c r="L598" s="15"/>
      <c r="M598" s="15"/>
      <c r="N598" s="15"/>
      <c r="O598" s="103"/>
      <c r="P598" s="15"/>
      <c r="Q598" s="15"/>
      <c r="R598" s="15"/>
      <c r="S598" s="15"/>
      <c r="T598" s="15"/>
      <c r="U598" s="15"/>
      <c r="V598" s="103"/>
      <c r="W598" s="15"/>
      <c r="X598" s="15"/>
      <c r="Y598" s="15"/>
      <c r="Z598" s="15"/>
      <c r="AA598" s="15"/>
      <c r="AB598" s="15"/>
      <c r="AC598" s="103"/>
      <c r="AD598" s="15"/>
      <c r="AE598" s="15"/>
      <c r="AF598" s="15"/>
      <c r="AG598" s="15"/>
      <c r="AH598" s="15"/>
      <c r="AI598" s="15"/>
      <c r="AJ598" s="103"/>
      <c r="AK598" s="15"/>
      <c r="AL598" s="15"/>
      <c r="AM598" s="15"/>
      <c r="AN598" s="15"/>
      <c r="AO598" s="15"/>
      <c r="AP598" s="15"/>
      <c r="AQ598" s="15"/>
    </row>
    <row r="599">
      <c r="A599" s="15"/>
      <c r="B599" s="15"/>
      <c r="C599" s="15"/>
      <c r="D599" s="15"/>
      <c r="E599" s="15"/>
      <c r="F599" s="15"/>
      <c r="G599" s="15"/>
      <c r="H599" s="103"/>
      <c r="I599" s="15"/>
      <c r="J599" s="15"/>
      <c r="K599" s="15"/>
      <c r="L599" s="15"/>
      <c r="M599" s="15"/>
      <c r="N599" s="15"/>
      <c r="O599" s="103"/>
      <c r="P599" s="15"/>
      <c r="Q599" s="15"/>
      <c r="R599" s="15"/>
      <c r="S599" s="15"/>
      <c r="T599" s="15"/>
      <c r="U599" s="15"/>
      <c r="V599" s="103"/>
      <c r="W599" s="15"/>
      <c r="X599" s="15"/>
      <c r="Y599" s="15"/>
      <c r="Z599" s="15"/>
      <c r="AA599" s="15"/>
      <c r="AB599" s="15"/>
      <c r="AC599" s="103"/>
      <c r="AD599" s="15"/>
      <c r="AE599" s="15"/>
      <c r="AF599" s="15"/>
      <c r="AG599" s="15"/>
      <c r="AH599" s="15"/>
      <c r="AI599" s="15"/>
      <c r="AJ599" s="103"/>
      <c r="AK599" s="15"/>
      <c r="AL599" s="15"/>
      <c r="AM599" s="15"/>
      <c r="AN599" s="15"/>
      <c r="AO599" s="15"/>
      <c r="AP599" s="15"/>
      <c r="AQ599" s="15"/>
    </row>
    <row r="600">
      <c r="A600" s="15"/>
      <c r="B600" s="15"/>
      <c r="C600" s="15"/>
      <c r="D600" s="15"/>
      <c r="E600" s="15"/>
      <c r="F600" s="15"/>
      <c r="G600" s="15"/>
      <c r="H600" s="103"/>
      <c r="I600" s="15"/>
      <c r="J600" s="15"/>
      <c r="K600" s="15"/>
      <c r="L600" s="15"/>
      <c r="M600" s="15"/>
      <c r="N600" s="15"/>
      <c r="O600" s="103"/>
      <c r="P600" s="15"/>
      <c r="Q600" s="15"/>
      <c r="R600" s="15"/>
      <c r="S600" s="15"/>
      <c r="T600" s="15"/>
      <c r="U600" s="15"/>
      <c r="V600" s="103"/>
      <c r="W600" s="15"/>
      <c r="X600" s="15"/>
      <c r="Y600" s="15"/>
      <c r="Z600" s="15"/>
      <c r="AA600" s="15"/>
      <c r="AB600" s="15"/>
      <c r="AC600" s="103"/>
      <c r="AD600" s="15"/>
      <c r="AE600" s="15"/>
      <c r="AF600" s="15"/>
      <c r="AG600" s="15"/>
      <c r="AH600" s="15"/>
      <c r="AI600" s="15"/>
      <c r="AJ600" s="103"/>
      <c r="AK600" s="15"/>
      <c r="AL600" s="15"/>
      <c r="AM600" s="15"/>
      <c r="AN600" s="15"/>
      <c r="AO600" s="15"/>
      <c r="AP600" s="15"/>
      <c r="AQ600" s="15"/>
    </row>
    <row r="601">
      <c r="A601" s="15"/>
      <c r="B601" s="15"/>
      <c r="C601" s="15"/>
      <c r="D601" s="15"/>
      <c r="E601" s="15"/>
      <c r="F601" s="15"/>
      <c r="G601" s="15"/>
      <c r="H601" s="103"/>
      <c r="I601" s="15"/>
      <c r="J601" s="15"/>
      <c r="K601" s="15"/>
      <c r="L601" s="15"/>
      <c r="M601" s="15"/>
      <c r="N601" s="15"/>
      <c r="O601" s="103"/>
      <c r="P601" s="15"/>
      <c r="Q601" s="15"/>
      <c r="R601" s="15"/>
      <c r="S601" s="15"/>
      <c r="T601" s="15"/>
      <c r="U601" s="15"/>
      <c r="V601" s="103"/>
      <c r="W601" s="15"/>
      <c r="X601" s="15"/>
      <c r="Y601" s="15"/>
      <c r="Z601" s="15"/>
      <c r="AA601" s="15"/>
      <c r="AB601" s="15"/>
      <c r="AC601" s="103"/>
      <c r="AD601" s="15"/>
      <c r="AE601" s="15"/>
      <c r="AF601" s="15"/>
      <c r="AG601" s="15"/>
      <c r="AH601" s="15"/>
      <c r="AI601" s="15"/>
      <c r="AJ601" s="103"/>
      <c r="AK601" s="15"/>
      <c r="AL601" s="15"/>
      <c r="AM601" s="15"/>
      <c r="AN601" s="15"/>
      <c r="AO601" s="15"/>
      <c r="AP601" s="15"/>
      <c r="AQ601" s="15"/>
    </row>
    <row r="602">
      <c r="A602" s="15"/>
      <c r="B602" s="15"/>
      <c r="C602" s="15"/>
      <c r="D602" s="15"/>
      <c r="E602" s="15"/>
      <c r="F602" s="15"/>
      <c r="G602" s="15"/>
      <c r="H602" s="103"/>
      <c r="I602" s="15"/>
      <c r="J602" s="15"/>
      <c r="K602" s="15"/>
      <c r="L602" s="15"/>
      <c r="M602" s="15"/>
      <c r="N602" s="15"/>
      <c r="O602" s="103"/>
      <c r="P602" s="15"/>
      <c r="Q602" s="15"/>
      <c r="R602" s="15"/>
      <c r="S602" s="15"/>
      <c r="T602" s="15"/>
      <c r="U602" s="15"/>
      <c r="V602" s="103"/>
      <c r="W602" s="15"/>
      <c r="X602" s="15"/>
      <c r="Y602" s="15"/>
      <c r="Z602" s="15"/>
      <c r="AA602" s="15"/>
      <c r="AB602" s="15"/>
      <c r="AC602" s="103"/>
      <c r="AD602" s="15"/>
      <c r="AE602" s="15"/>
      <c r="AF602" s="15"/>
      <c r="AG602" s="15"/>
      <c r="AH602" s="15"/>
      <c r="AI602" s="15"/>
      <c r="AJ602" s="103"/>
      <c r="AK602" s="15"/>
      <c r="AL602" s="15"/>
      <c r="AM602" s="15"/>
      <c r="AN602" s="15"/>
      <c r="AO602" s="15"/>
      <c r="AP602" s="15"/>
      <c r="AQ602" s="15"/>
    </row>
    <row r="603">
      <c r="A603" s="15"/>
      <c r="B603" s="15"/>
      <c r="C603" s="15"/>
      <c r="D603" s="15"/>
      <c r="E603" s="15"/>
      <c r="F603" s="15"/>
      <c r="G603" s="15"/>
      <c r="H603" s="103"/>
      <c r="I603" s="15"/>
      <c r="J603" s="15"/>
      <c r="K603" s="15"/>
      <c r="L603" s="15"/>
      <c r="M603" s="15"/>
      <c r="N603" s="15"/>
      <c r="O603" s="103"/>
      <c r="P603" s="15"/>
      <c r="Q603" s="15"/>
      <c r="R603" s="15"/>
      <c r="S603" s="15"/>
      <c r="T603" s="15"/>
      <c r="U603" s="15"/>
      <c r="V603" s="103"/>
      <c r="W603" s="15"/>
      <c r="X603" s="15"/>
      <c r="Y603" s="15"/>
      <c r="Z603" s="15"/>
      <c r="AA603" s="15"/>
      <c r="AB603" s="15"/>
      <c r="AC603" s="103"/>
      <c r="AD603" s="15"/>
      <c r="AE603" s="15"/>
      <c r="AF603" s="15"/>
      <c r="AG603" s="15"/>
      <c r="AH603" s="15"/>
      <c r="AI603" s="15"/>
      <c r="AJ603" s="103"/>
      <c r="AK603" s="15"/>
      <c r="AL603" s="15"/>
      <c r="AM603" s="15"/>
      <c r="AN603" s="15"/>
      <c r="AO603" s="15"/>
      <c r="AP603" s="15"/>
      <c r="AQ603" s="15"/>
    </row>
    <row r="604">
      <c r="A604" s="15"/>
      <c r="B604" s="15"/>
      <c r="C604" s="15"/>
      <c r="D604" s="15"/>
      <c r="E604" s="15"/>
      <c r="F604" s="15"/>
      <c r="G604" s="15"/>
      <c r="H604" s="103"/>
      <c r="I604" s="15"/>
      <c r="J604" s="15"/>
      <c r="K604" s="15"/>
      <c r="L604" s="15"/>
      <c r="M604" s="15"/>
      <c r="N604" s="15"/>
      <c r="O604" s="103"/>
      <c r="P604" s="15"/>
      <c r="Q604" s="15"/>
      <c r="R604" s="15"/>
      <c r="S604" s="15"/>
      <c r="T604" s="15"/>
      <c r="U604" s="15"/>
      <c r="V604" s="103"/>
      <c r="W604" s="15"/>
      <c r="X604" s="15"/>
      <c r="Y604" s="15"/>
      <c r="Z604" s="15"/>
      <c r="AA604" s="15"/>
      <c r="AB604" s="15"/>
      <c r="AC604" s="103"/>
      <c r="AD604" s="15"/>
      <c r="AE604" s="15"/>
      <c r="AF604" s="15"/>
      <c r="AG604" s="15"/>
      <c r="AH604" s="15"/>
      <c r="AI604" s="15"/>
      <c r="AJ604" s="103"/>
      <c r="AK604" s="15"/>
      <c r="AL604" s="15"/>
      <c r="AM604" s="15"/>
      <c r="AN604" s="15"/>
      <c r="AO604" s="15"/>
      <c r="AP604" s="15"/>
      <c r="AQ604" s="15"/>
    </row>
    <row r="605">
      <c r="A605" s="15"/>
      <c r="B605" s="15"/>
      <c r="C605" s="15"/>
      <c r="D605" s="15"/>
      <c r="E605" s="15"/>
      <c r="F605" s="15"/>
      <c r="G605" s="15"/>
      <c r="H605" s="103"/>
      <c r="I605" s="15"/>
      <c r="J605" s="15"/>
      <c r="K605" s="15"/>
      <c r="L605" s="15"/>
      <c r="M605" s="15"/>
      <c r="N605" s="15"/>
      <c r="O605" s="103"/>
      <c r="P605" s="15"/>
      <c r="Q605" s="15"/>
      <c r="R605" s="15"/>
      <c r="S605" s="15"/>
      <c r="T605" s="15"/>
      <c r="U605" s="15"/>
      <c r="V605" s="103"/>
      <c r="W605" s="15"/>
      <c r="X605" s="15"/>
      <c r="Y605" s="15"/>
      <c r="Z605" s="15"/>
      <c r="AA605" s="15"/>
      <c r="AB605" s="15"/>
      <c r="AC605" s="103"/>
      <c r="AD605" s="15"/>
      <c r="AE605" s="15"/>
      <c r="AF605" s="15"/>
      <c r="AG605" s="15"/>
      <c r="AH605" s="15"/>
      <c r="AI605" s="15"/>
      <c r="AJ605" s="103"/>
      <c r="AK605" s="15"/>
      <c r="AL605" s="15"/>
      <c r="AM605" s="15"/>
      <c r="AN605" s="15"/>
      <c r="AO605" s="15"/>
      <c r="AP605" s="15"/>
      <c r="AQ605" s="15"/>
    </row>
    <row r="606">
      <c r="A606" s="15"/>
      <c r="B606" s="15"/>
      <c r="C606" s="15"/>
      <c r="D606" s="15"/>
      <c r="E606" s="15"/>
      <c r="F606" s="15"/>
      <c r="G606" s="15"/>
      <c r="H606" s="103"/>
      <c r="I606" s="15"/>
      <c r="J606" s="15"/>
      <c r="K606" s="15"/>
      <c r="L606" s="15"/>
      <c r="M606" s="15"/>
      <c r="N606" s="15"/>
      <c r="O606" s="103"/>
      <c r="P606" s="15"/>
      <c r="Q606" s="15"/>
      <c r="R606" s="15"/>
      <c r="S606" s="15"/>
      <c r="T606" s="15"/>
      <c r="U606" s="15"/>
      <c r="V606" s="103"/>
      <c r="W606" s="15"/>
      <c r="X606" s="15"/>
      <c r="Y606" s="15"/>
      <c r="Z606" s="15"/>
      <c r="AA606" s="15"/>
      <c r="AB606" s="15"/>
      <c r="AC606" s="103"/>
      <c r="AD606" s="15"/>
      <c r="AE606" s="15"/>
      <c r="AF606" s="15"/>
      <c r="AG606" s="15"/>
      <c r="AH606" s="15"/>
      <c r="AI606" s="15"/>
      <c r="AJ606" s="103"/>
      <c r="AK606" s="15"/>
      <c r="AL606" s="15"/>
      <c r="AM606" s="15"/>
      <c r="AN606" s="15"/>
      <c r="AO606" s="15"/>
      <c r="AP606" s="15"/>
      <c r="AQ606" s="15"/>
    </row>
    <row r="607">
      <c r="A607" s="15"/>
      <c r="B607" s="15"/>
      <c r="C607" s="15"/>
      <c r="D607" s="15"/>
      <c r="E607" s="15"/>
      <c r="F607" s="15"/>
      <c r="G607" s="15"/>
      <c r="H607" s="103"/>
      <c r="I607" s="15"/>
      <c r="J607" s="15"/>
      <c r="K607" s="15"/>
      <c r="L607" s="15"/>
      <c r="M607" s="15"/>
      <c r="N607" s="15"/>
      <c r="O607" s="103"/>
      <c r="P607" s="15"/>
      <c r="Q607" s="15"/>
      <c r="R607" s="15"/>
      <c r="S607" s="15"/>
      <c r="T607" s="15"/>
      <c r="U607" s="15"/>
      <c r="V607" s="103"/>
      <c r="W607" s="15"/>
      <c r="X607" s="15"/>
      <c r="Y607" s="15"/>
      <c r="Z607" s="15"/>
      <c r="AA607" s="15"/>
      <c r="AB607" s="15"/>
      <c r="AC607" s="103"/>
      <c r="AD607" s="15"/>
      <c r="AE607" s="15"/>
      <c r="AF607" s="15"/>
      <c r="AG607" s="15"/>
      <c r="AH607" s="15"/>
      <c r="AI607" s="15"/>
      <c r="AJ607" s="103"/>
      <c r="AK607" s="15"/>
      <c r="AL607" s="15"/>
      <c r="AM607" s="15"/>
      <c r="AN607" s="15"/>
      <c r="AO607" s="15"/>
      <c r="AP607" s="15"/>
      <c r="AQ607" s="15"/>
    </row>
    <row r="608">
      <c r="A608" s="15"/>
      <c r="B608" s="15"/>
      <c r="C608" s="15"/>
      <c r="D608" s="15"/>
      <c r="E608" s="15"/>
      <c r="F608" s="15"/>
      <c r="G608" s="15"/>
      <c r="H608" s="103"/>
      <c r="I608" s="15"/>
      <c r="J608" s="15"/>
      <c r="K608" s="15"/>
      <c r="L608" s="15"/>
      <c r="M608" s="15"/>
      <c r="N608" s="15"/>
      <c r="O608" s="103"/>
      <c r="P608" s="15"/>
      <c r="Q608" s="15"/>
      <c r="R608" s="15"/>
      <c r="S608" s="15"/>
      <c r="T608" s="15"/>
      <c r="U608" s="15"/>
      <c r="V608" s="103"/>
      <c r="W608" s="15"/>
      <c r="X608" s="15"/>
      <c r="Y608" s="15"/>
      <c r="Z608" s="15"/>
      <c r="AA608" s="15"/>
      <c r="AB608" s="15"/>
      <c r="AC608" s="103"/>
      <c r="AD608" s="15"/>
      <c r="AE608" s="15"/>
      <c r="AF608" s="15"/>
      <c r="AG608" s="15"/>
      <c r="AH608" s="15"/>
      <c r="AI608" s="15"/>
      <c r="AJ608" s="103"/>
      <c r="AK608" s="15"/>
      <c r="AL608" s="15"/>
      <c r="AM608" s="15"/>
      <c r="AN608" s="15"/>
      <c r="AO608" s="15"/>
      <c r="AP608" s="15"/>
      <c r="AQ608" s="15"/>
    </row>
    <row r="609">
      <c r="A609" s="15"/>
      <c r="B609" s="15"/>
      <c r="C609" s="15"/>
      <c r="D609" s="15"/>
      <c r="E609" s="15"/>
      <c r="F609" s="15"/>
      <c r="G609" s="15"/>
      <c r="H609" s="103"/>
      <c r="I609" s="15"/>
      <c r="J609" s="15"/>
      <c r="K609" s="15"/>
      <c r="L609" s="15"/>
      <c r="M609" s="15"/>
      <c r="N609" s="15"/>
      <c r="O609" s="103"/>
      <c r="P609" s="15"/>
      <c r="Q609" s="15"/>
      <c r="R609" s="15"/>
      <c r="S609" s="15"/>
      <c r="T609" s="15"/>
      <c r="U609" s="15"/>
      <c r="V609" s="103"/>
      <c r="W609" s="15"/>
      <c r="X609" s="15"/>
      <c r="Y609" s="15"/>
      <c r="Z609" s="15"/>
      <c r="AA609" s="15"/>
      <c r="AB609" s="15"/>
      <c r="AC609" s="103"/>
      <c r="AD609" s="15"/>
      <c r="AE609" s="15"/>
      <c r="AF609" s="15"/>
      <c r="AG609" s="15"/>
      <c r="AH609" s="15"/>
      <c r="AI609" s="15"/>
      <c r="AJ609" s="103"/>
      <c r="AK609" s="15"/>
      <c r="AL609" s="15"/>
      <c r="AM609" s="15"/>
      <c r="AN609" s="15"/>
      <c r="AO609" s="15"/>
      <c r="AP609" s="15"/>
      <c r="AQ609" s="15"/>
    </row>
    <row r="610">
      <c r="A610" s="15"/>
      <c r="B610" s="15"/>
      <c r="C610" s="15"/>
      <c r="D610" s="15"/>
      <c r="E610" s="15"/>
      <c r="F610" s="15"/>
      <c r="G610" s="15"/>
      <c r="H610" s="103"/>
      <c r="I610" s="15"/>
      <c r="J610" s="15"/>
      <c r="K610" s="15"/>
      <c r="L610" s="15"/>
      <c r="M610" s="15"/>
      <c r="N610" s="15"/>
      <c r="O610" s="103"/>
      <c r="P610" s="15"/>
      <c r="Q610" s="15"/>
      <c r="R610" s="15"/>
      <c r="S610" s="15"/>
      <c r="T610" s="15"/>
      <c r="U610" s="15"/>
      <c r="V610" s="103"/>
      <c r="W610" s="15"/>
      <c r="X610" s="15"/>
      <c r="Y610" s="15"/>
      <c r="Z610" s="15"/>
      <c r="AA610" s="15"/>
      <c r="AB610" s="15"/>
      <c r="AC610" s="103"/>
      <c r="AD610" s="15"/>
      <c r="AE610" s="15"/>
      <c r="AF610" s="15"/>
      <c r="AG610" s="15"/>
      <c r="AH610" s="15"/>
      <c r="AI610" s="15"/>
      <c r="AJ610" s="103"/>
      <c r="AK610" s="15"/>
      <c r="AL610" s="15"/>
      <c r="AM610" s="15"/>
      <c r="AN610" s="15"/>
      <c r="AO610" s="15"/>
      <c r="AP610" s="15"/>
      <c r="AQ610" s="15"/>
    </row>
    <row r="611">
      <c r="A611" s="15"/>
      <c r="B611" s="15"/>
      <c r="C611" s="15"/>
      <c r="D611" s="15"/>
      <c r="E611" s="15"/>
      <c r="F611" s="15"/>
      <c r="G611" s="15"/>
      <c r="H611" s="103"/>
      <c r="I611" s="15"/>
      <c r="J611" s="15"/>
      <c r="K611" s="15"/>
      <c r="L611" s="15"/>
      <c r="M611" s="15"/>
      <c r="N611" s="15"/>
      <c r="O611" s="103"/>
      <c r="P611" s="15"/>
      <c r="Q611" s="15"/>
      <c r="R611" s="15"/>
      <c r="S611" s="15"/>
      <c r="T611" s="15"/>
      <c r="U611" s="15"/>
      <c r="V611" s="103"/>
      <c r="W611" s="15"/>
      <c r="X611" s="15"/>
      <c r="Y611" s="15"/>
      <c r="Z611" s="15"/>
      <c r="AA611" s="15"/>
      <c r="AB611" s="15"/>
      <c r="AC611" s="103"/>
      <c r="AD611" s="15"/>
      <c r="AE611" s="15"/>
      <c r="AF611" s="15"/>
      <c r="AG611" s="15"/>
      <c r="AH611" s="15"/>
      <c r="AI611" s="15"/>
      <c r="AJ611" s="103"/>
      <c r="AK611" s="15"/>
      <c r="AL611" s="15"/>
      <c r="AM611" s="15"/>
      <c r="AN611" s="15"/>
      <c r="AO611" s="15"/>
      <c r="AP611" s="15"/>
      <c r="AQ611" s="15"/>
    </row>
    <row r="612">
      <c r="A612" s="15"/>
      <c r="B612" s="15"/>
      <c r="C612" s="15"/>
      <c r="D612" s="15"/>
      <c r="E612" s="15"/>
      <c r="F612" s="15"/>
      <c r="G612" s="15"/>
      <c r="H612" s="103"/>
      <c r="I612" s="15"/>
      <c r="J612" s="15"/>
      <c r="K612" s="15"/>
      <c r="L612" s="15"/>
      <c r="M612" s="15"/>
      <c r="N612" s="15"/>
      <c r="O612" s="103"/>
      <c r="P612" s="15"/>
      <c r="Q612" s="15"/>
      <c r="R612" s="15"/>
      <c r="S612" s="15"/>
      <c r="T612" s="15"/>
      <c r="U612" s="15"/>
      <c r="V612" s="103"/>
      <c r="W612" s="15"/>
      <c r="X612" s="15"/>
      <c r="Y612" s="15"/>
      <c r="Z612" s="15"/>
      <c r="AA612" s="15"/>
      <c r="AB612" s="15"/>
      <c r="AC612" s="103"/>
      <c r="AD612" s="15"/>
      <c r="AE612" s="15"/>
      <c r="AF612" s="15"/>
      <c r="AG612" s="15"/>
      <c r="AH612" s="15"/>
      <c r="AI612" s="15"/>
      <c r="AJ612" s="103"/>
      <c r="AK612" s="15"/>
      <c r="AL612" s="15"/>
      <c r="AM612" s="15"/>
      <c r="AN612" s="15"/>
      <c r="AO612" s="15"/>
      <c r="AP612" s="15"/>
      <c r="AQ612" s="15"/>
    </row>
    <row r="613">
      <c r="A613" s="15"/>
      <c r="B613" s="15"/>
      <c r="C613" s="15"/>
      <c r="D613" s="15"/>
      <c r="E613" s="15"/>
      <c r="F613" s="15"/>
      <c r="G613" s="15"/>
      <c r="H613" s="103"/>
      <c r="I613" s="15"/>
      <c r="J613" s="15"/>
      <c r="K613" s="15"/>
      <c r="L613" s="15"/>
      <c r="M613" s="15"/>
      <c r="N613" s="15"/>
      <c r="O613" s="103"/>
      <c r="P613" s="15"/>
      <c r="Q613" s="15"/>
      <c r="R613" s="15"/>
      <c r="S613" s="15"/>
      <c r="T613" s="15"/>
      <c r="U613" s="15"/>
      <c r="V613" s="103"/>
      <c r="W613" s="15"/>
      <c r="X613" s="15"/>
      <c r="Y613" s="15"/>
      <c r="Z613" s="15"/>
      <c r="AA613" s="15"/>
      <c r="AB613" s="15"/>
      <c r="AC613" s="103"/>
      <c r="AD613" s="15"/>
      <c r="AE613" s="15"/>
      <c r="AF613" s="15"/>
      <c r="AG613" s="15"/>
      <c r="AH613" s="15"/>
      <c r="AI613" s="15"/>
      <c r="AJ613" s="103"/>
      <c r="AK613" s="15"/>
      <c r="AL613" s="15"/>
      <c r="AM613" s="15"/>
      <c r="AN613" s="15"/>
      <c r="AO613" s="15"/>
      <c r="AP613" s="15"/>
      <c r="AQ613" s="15"/>
    </row>
    <row r="614">
      <c r="A614" s="15"/>
      <c r="B614" s="15"/>
      <c r="C614" s="15"/>
      <c r="D614" s="15"/>
      <c r="E614" s="15"/>
      <c r="F614" s="15"/>
      <c r="G614" s="15"/>
      <c r="H614" s="103"/>
      <c r="I614" s="15"/>
      <c r="J614" s="15"/>
      <c r="K614" s="15"/>
      <c r="L614" s="15"/>
      <c r="M614" s="15"/>
      <c r="N614" s="15"/>
      <c r="O614" s="103"/>
      <c r="P614" s="15"/>
      <c r="Q614" s="15"/>
      <c r="R614" s="15"/>
      <c r="S614" s="15"/>
      <c r="T614" s="15"/>
      <c r="U614" s="15"/>
      <c r="V614" s="103"/>
      <c r="W614" s="15"/>
      <c r="X614" s="15"/>
      <c r="Y614" s="15"/>
      <c r="Z614" s="15"/>
      <c r="AA614" s="15"/>
      <c r="AB614" s="15"/>
      <c r="AC614" s="103"/>
      <c r="AD614" s="15"/>
      <c r="AE614" s="15"/>
      <c r="AF614" s="15"/>
      <c r="AG614" s="15"/>
      <c r="AH614" s="15"/>
      <c r="AI614" s="15"/>
      <c r="AJ614" s="103"/>
      <c r="AK614" s="15"/>
      <c r="AL614" s="15"/>
      <c r="AM614" s="15"/>
      <c r="AN614" s="15"/>
      <c r="AO614" s="15"/>
      <c r="AP614" s="15"/>
      <c r="AQ614" s="15"/>
    </row>
    <row r="615">
      <c r="A615" s="15"/>
      <c r="B615" s="15"/>
      <c r="C615" s="15"/>
      <c r="D615" s="15"/>
      <c r="E615" s="15"/>
      <c r="F615" s="15"/>
      <c r="G615" s="15"/>
      <c r="H615" s="103"/>
      <c r="I615" s="15"/>
      <c r="J615" s="15"/>
      <c r="K615" s="15"/>
      <c r="L615" s="15"/>
      <c r="M615" s="15"/>
      <c r="N615" s="15"/>
      <c r="O615" s="103"/>
      <c r="P615" s="15"/>
      <c r="Q615" s="15"/>
      <c r="R615" s="15"/>
      <c r="S615" s="15"/>
      <c r="T615" s="15"/>
      <c r="U615" s="15"/>
      <c r="V615" s="103"/>
      <c r="W615" s="15"/>
      <c r="X615" s="15"/>
      <c r="Y615" s="15"/>
      <c r="Z615" s="15"/>
      <c r="AA615" s="15"/>
      <c r="AB615" s="15"/>
      <c r="AC615" s="103"/>
      <c r="AD615" s="15"/>
      <c r="AE615" s="15"/>
      <c r="AF615" s="15"/>
      <c r="AG615" s="15"/>
      <c r="AH615" s="15"/>
      <c r="AI615" s="15"/>
      <c r="AJ615" s="103"/>
      <c r="AK615" s="15"/>
      <c r="AL615" s="15"/>
      <c r="AM615" s="15"/>
      <c r="AN615" s="15"/>
      <c r="AO615" s="15"/>
      <c r="AP615" s="15"/>
      <c r="AQ615" s="15"/>
    </row>
    <row r="616">
      <c r="A616" s="15"/>
      <c r="B616" s="15"/>
      <c r="C616" s="15"/>
      <c r="D616" s="15"/>
      <c r="E616" s="15"/>
      <c r="F616" s="15"/>
      <c r="G616" s="15"/>
      <c r="H616" s="103"/>
      <c r="I616" s="15"/>
      <c r="J616" s="15"/>
      <c r="K616" s="15"/>
      <c r="L616" s="15"/>
      <c r="M616" s="15"/>
      <c r="N616" s="15"/>
      <c r="O616" s="103"/>
      <c r="P616" s="15"/>
      <c r="Q616" s="15"/>
      <c r="R616" s="15"/>
      <c r="S616" s="15"/>
      <c r="T616" s="15"/>
      <c r="U616" s="15"/>
      <c r="V616" s="103"/>
      <c r="W616" s="15"/>
      <c r="X616" s="15"/>
      <c r="Y616" s="15"/>
      <c r="Z616" s="15"/>
      <c r="AA616" s="15"/>
      <c r="AB616" s="15"/>
      <c r="AC616" s="103"/>
      <c r="AD616" s="15"/>
      <c r="AE616" s="15"/>
      <c r="AF616" s="15"/>
      <c r="AG616" s="15"/>
      <c r="AH616" s="15"/>
      <c r="AI616" s="15"/>
      <c r="AJ616" s="103"/>
      <c r="AK616" s="15"/>
      <c r="AL616" s="15"/>
      <c r="AM616" s="15"/>
      <c r="AN616" s="15"/>
      <c r="AO616" s="15"/>
      <c r="AP616" s="15"/>
      <c r="AQ616" s="15"/>
    </row>
    <row r="617">
      <c r="A617" s="15"/>
      <c r="B617" s="15"/>
      <c r="C617" s="15"/>
      <c r="D617" s="15"/>
      <c r="E617" s="15"/>
      <c r="F617" s="15"/>
      <c r="G617" s="15"/>
      <c r="H617" s="103"/>
      <c r="I617" s="15"/>
      <c r="J617" s="15"/>
      <c r="K617" s="15"/>
      <c r="L617" s="15"/>
      <c r="M617" s="15"/>
      <c r="N617" s="15"/>
      <c r="O617" s="103"/>
      <c r="P617" s="15"/>
      <c r="Q617" s="15"/>
      <c r="R617" s="15"/>
      <c r="S617" s="15"/>
      <c r="T617" s="15"/>
      <c r="U617" s="15"/>
      <c r="V617" s="103"/>
      <c r="W617" s="15"/>
      <c r="X617" s="15"/>
      <c r="Y617" s="15"/>
      <c r="Z617" s="15"/>
      <c r="AA617" s="15"/>
      <c r="AB617" s="15"/>
      <c r="AC617" s="103"/>
      <c r="AD617" s="15"/>
      <c r="AE617" s="15"/>
      <c r="AF617" s="15"/>
      <c r="AG617" s="15"/>
      <c r="AH617" s="15"/>
      <c r="AI617" s="15"/>
      <c r="AJ617" s="103"/>
      <c r="AK617" s="15"/>
      <c r="AL617" s="15"/>
      <c r="AM617" s="15"/>
      <c r="AN617" s="15"/>
      <c r="AO617" s="15"/>
      <c r="AP617" s="15"/>
      <c r="AQ617" s="15"/>
    </row>
    <row r="618">
      <c r="A618" s="15"/>
      <c r="B618" s="15"/>
      <c r="C618" s="15"/>
      <c r="D618" s="15"/>
      <c r="E618" s="15"/>
      <c r="F618" s="15"/>
      <c r="G618" s="15"/>
      <c r="H618" s="103"/>
      <c r="I618" s="15"/>
      <c r="J618" s="15"/>
      <c r="K618" s="15"/>
      <c r="L618" s="15"/>
      <c r="M618" s="15"/>
      <c r="N618" s="15"/>
      <c r="O618" s="103"/>
      <c r="P618" s="15"/>
      <c r="Q618" s="15"/>
      <c r="R618" s="15"/>
      <c r="S618" s="15"/>
      <c r="T618" s="15"/>
      <c r="U618" s="15"/>
      <c r="V618" s="103"/>
      <c r="W618" s="15"/>
      <c r="X618" s="15"/>
      <c r="Y618" s="15"/>
      <c r="Z618" s="15"/>
      <c r="AA618" s="15"/>
      <c r="AB618" s="15"/>
      <c r="AC618" s="103"/>
      <c r="AD618" s="15"/>
      <c r="AE618" s="15"/>
      <c r="AF618" s="15"/>
      <c r="AG618" s="15"/>
      <c r="AH618" s="15"/>
      <c r="AI618" s="15"/>
      <c r="AJ618" s="103"/>
      <c r="AK618" s="15"/>
      <c r="AL618" s="15"/>
      <c r="AM618" s="15"/>
      <c r="AN618" s="15"/>
      <c r="AO618" s="15"/>
      <c r="AP618" s="15"/>
      <c r="AQ618" s="15"/>
    </row>
    <row r="619">
      <c r="A619" s="15"/>
      <c r="B619" s="15"/>
      <c r="C619" s="15"/>
      <c r="D619" s="15"/>
      <c r="E619" s="15"/>
      <c r="F619" s="15"/>
      <c r="G619" s="15"/>
      <c r="H619" s="103"/>
      <c r="I619" s="15"/>
      <c r="J619" s="15"/>
      <c r="K619" s="15"/>
      <c r="L619" s="15"/>
      <c r="M619" s="15"/>
      <c r="N619" s="15"/>
      <c r="O619" s="103"/>
      <c r="P619" s="15"/>
      <c r="Q619" s="15"/>
      <c r="R619" s="15"/>
      <c r="S619" s="15"/>
      <c r="T619" s="15"/>
      <c r="U619" s="15"/>
      <c r="V619" s="103"/>
      <c r="W619" s="15"/>
      <c r="X619" s="15"/>
      <c r="Y619" s="15"/>
      <c r="Z619" s="15"/>
      <c r="AA619" s="15"/>
      <c r="AB619" s="15"/>
      <c r="AC619" s="103"/>
      <c r="AD619" s="15"/>
      <c r="AE619" s="15"/>
      <c r="AF619" s="15"/>
      <c r="AG619" s="15"/>
      <c r="AH619" s="15"/>
      <c r="AI619" s="15"/>
      <c r="AJ619" s="103"/>
      <c r="AK619" s="15"/>
      <c r="AL619" s="15"/>
      <c r="AM619" s="15"/>
      <c r="AN619" s="15"/>
      <c r="AO619" s="15"/>
      <c r="AP619" s="15"/>
      <c r="AQ619" s="15"/>
    </row>
    <row r="620">
      <c r="A620" s="15"/>
      <c r="B620" s="15"/>
      <c r="C620" s="15"/>
      <c r="D620" s="15"/>
      <c r="E620" s="15"/>
      <c r="F620" s="15"/>
      <c r="G620" s="15"/>
      <c r="H620" s="103"/>
      <c r="I620" s="15"/>
      <c r="J620" s="15"/>
      <c r="K620" s="15"/>
      <c r="L620" s="15"/>
      <c r="M620" s="15"/>
      <c r="N620" s="15"/>
      <c r="O620" s="103"/>
      <c r="P620" s="15"/>
      <c r="Q620" s="15"/>
      <c r="R620" s="15"/>
      <c r="S620" s="15"/>
      <c r="T620" s="15"/>
      <c r="U620" s="15"/>
      <c r="V620" s="103"/>
      <c r="W620" s="15"/>
      <c r="X620" s="15"/>
      <c r="Y620" s="15"/>
      <c r="Z620" s="15"/>
      <c r="AA620" s="15"/>
      <c r="AB620" s="15"/>
      <c r="AC620" s="103"/>
      <c r="AD620" s="15"/>
      <c r="AE620" s="15"/>
      <c r="AF620" s="15"/>
      <c r="AG620" s="15"/>
      <c r="AH620" s="15"/>
      <c r="AI620" s="15"/>
      <c r="AJ620" s="103"/>
      <c r="AK620" s="15"/>
      <c r="AL620" s="15"/>
      <c r="AM620" s="15"/>
      <c r="AN620" s="15"/>
      <c r="AO620" s="15"/>
      <c r="AP620" s="15"/>
      <c r="AQ620" s="15"/>
    </row>
    <row r="621">
      <c r="A621" s="15"/>
      <c r="B621" s="15"/>
      <c r="C621" s="15"/>
      <c r="D621" s="15"/>
      <c r="E621" s="15"/>
      <c r="F621" s="15"/>
      <c r="G621" s="15"/>
      <c r="H621" s="103"/>
      <c r="I621" s="15"/>
      <c r="J621" s="15"/>
      <c r="K621" s="15"/>
      <c r="L621" s="15"/>
      <c r="M621" s="15"/>
      <c r="N621" s="15"/>
      <c r="O621" s="103"/>
      <c r="P621" s="15"/>
      <c r="Q621" s="15"/>
      <c r="R621" s="15"/>
      <c r="S621" s="15"/>
      <c r="T621" s="15"/>
      <c r="U621" s="15"/>
      <c r="V621" s="103"/>
      <c r="W621" s="15"/>
      <c r="X621" s="15"/>
      <c r="Y621" s="15"/>
      <c r="Z621" s="15"/>
      <c r="AA621" s="15"/>
      <c r="AB621" s="15"/>
      <c r="AC621" s="103"/>
      <c r="AD621" s="15"/>
      <c r="AE621" s="15"/>
      <c r="AF621" s="15"/>
      <c r="AG621" s="15"/>
      <c r="AH621" s="15"/>
      <c r="AI621" s="15"/>
      <c r="AJ621" s="103"/>
      <c r="AK621" s="15"/>
      <c r="AL621" s="15"/>
      <c r="AM621" s="15"/>
      <c r="AN621" s="15"/>
      <c r="AO621" s="15"/>
      <c r="AP621" s="15"/>
      <c r="AQ621" s="15"/>
    </row>
    <row r="622">
      <c r="A622" s="15"/>
      <c r="B622" s="15"/>
      <c r="C622" s="15"/>
      <c r="D622" s="15"/>
      <c r="E622" s="15"/>
      <c r="F622" s="15"/>
      <c r="G622" s="15"/>
      <c r="H622" s="103"/>
      <c r="I622" s="15"/>
      <c r="J622" s="15"/>
      <c r="K622" s="15"/>
      <c r="L622" s="15"/>
      <c r="M622" s="15"/>
      <c r="N622" s="15"/>
      <c r="O622" s="103"/>
      <c r="P622" s="15"/>
      <c r="Q622" s="15"/>
      <c r="R622" s="15"/>
      <c r="S622" s="15"/>
      <c r="T622" s="15"/>
      <c r="U622" s="15"/>
      <c r="V622" s="103"/>
      <c r="W622" s="15"/>
      <c r="X622" s="15"/>
      <c r="Y622" s="15"/>
      <c r="Z622" s="15"/>
      <c r="AA622" s="15"/>
      <c r="AB622" s="15"/>
      <c r="AC622" s="103"/>
      <c r="AD622" s="15"/>
      <c r="AE622" s="15"/>
      <c r="AF622" s="15"/>
      <c r="AG622" s="15"/>
      <c r="AH622" s="15"/>
      <c r="AI622" s="15"/>
      <c r="AJ622" s="103"/>
      <c r="AK622" s="15"/>
      <c r="AL622" s="15"/>
      <c r="AM622" s="15"/>
      <c r="AN622" s="15"/>
      <c r="AO622" s="15"/>
      <c r="AP622" s="15"/>
      <c r="AQ622" s="15"/>
    </row>
    <row r="623">
      <c r="A623" s="15"/>
      <c r="B623" s="15"/>
      <c r="C623" s="15"/>
      <c r="D623" s="15"/>
      <c r="E623" s="15"/>
      <c r="F623" s="15"/>
      <c r="G623" s="15"/>
      <c r="H623" s="103"/>
      <c r="I623" s="15"/>
      <c r="J623" s="15"/>
      <c r="K623" s="15"/>
      <c r="L623" s="15"/>
      <c r="M623" s="15"/>
      <c r="N623" s="15"/>
      <c r="O623" s="103"/>
      <c r="P623" s="15"/>
      <c r="Q623" s="15"/>
      <c r="R623" s="15"/>
      <c r="S623" s="15"/>
      <c r="T623" s="15"/>
      <c r="U623" s="15"/>
      <c r="V623" s="103"/>
      <c r="W623" s="15"/>
      <c r="X623" s="15"/>
      <c r="Y623" s="15"/>
      <c r="Z623" s="15"/>
      <c r="AA623" s="15"/>
      <c r="AB623" s="15"/>
      <c r="AC623" s="103"/>
      <c r="AD623" s="15"/>
      <c r="AE623" s="15"/>
      <c r="AF623" s="15"/>
      <c r="AG623" s="15"/>
      <c r="AH623" s="15"/>
      <c r="AI623" s="15"/>
      <c r="AJ623" s="103"/>
      <c r="AK623" s="15"/>
      <c r="AL623" s="15"/>
      <c r="AM623" s="15"/>
      <c r="AN623" s="15"/>
      <c r="AO623" s="15"/>
      <c r="AP623" s="15"/>
      <c r="AQ623" s="15"/>
    </row>
    <row r="624">
      <c r="A624" s="15"/>
      <c r="B624" s="15"/>
      <c r="C624" s="15"/>
      <c r="D624" s="15"/>
      <c r="E624" s="15"/>
      <c r="F624" s="15"/>
      <c r="G624" s="15"/>
      <c r="H624" s="103"/>
      <c r="I624" s="15"/>
      <c r="J624" s="15"/>
      <c r="K624" s="15"/>
      <c r="L624" s="15"/>
      <c r="M624" s="15"/>
      <c r="N624" s="15"/>
      <c r="O624" s="103"/>
      <c r="P624" s="15"/>
      <c r="Q624" s="15"/>
      <c r="R624" s="15"/>
      <c r="S624" s="15"/>
      <c r="T624" s="15"/>
      <c r="U624" s="15"/>
      <c r="V624" s="103"/>
      <c r="W624" s="15"/>
      <c r="X624" s="15"/>
      <c r="Y624" s="15"/>
      <c r="Z624" s="15"/>
      <c r="AA624" s="15"/>
      <c r="AB624" s="15"/>
      <c r="AC624" s="103"/>
      <c r="AD624" s="15"/>
      <c r="AE624" s="15"/>
      <c r="AF624" s="15"/>
      <c r="AG624" s="15"/>
      <c r="AH624" s="15"/>
      <c r="AI624" s="15"/>
      <c r="AJ624" s="103"/>
      <c r="AK624" s="15"/>
      <c r="AL624" s="15"/>
      <c r="AM624" s="15"/>
      <c r="AN624" s="15"/>
      <c r="AO624" s="15"/>
      <c r="AP624" s="15"/>
      <c r="AQ624" s="15"/>
    </row>
    <row r="625">
      <c r="A625" s="15"/>
      <c r="B625" s="15"/>
      <c r="C625" s="15"/>
      <c r="D625" s="15"/>
      <c r="E625" s="15"/>
      <c r="F625" s="15"/>
      <c r="G625" s="15"/>
      <c r="H625" s="103"/>
      <c r="I625" s="15"/>
      <c r="J625" s="15"/>
      <c r="K625" s="15"/>
      <c r="L625" s="15"/>
      <c r="M625" s="15"/>
      <c r="N625" s="15"/>
      <c r="O625" s="103"/>
      <c r="P625" s="15"/>
      <c r="Q625" s="15"/>
      <c r="R625" s="15"/>
      <c r="S625" s="15"/>
      <c r="T625" s="15"/>
      <c r="U625" s="15"/>
      <c r="V625" s="103"/>
      <c r="W625" s="15"/>
      <c r="X625" s="15"/>
      <c r="Y625" s="15"/>
      <c r="Z625" s="15"/>
      <c r="AA625" s="15"/>
      <c r="AB625" s="15"/>
      <c r="AC625" s="103"/>
      <c r="AD625" s="15"/>
      <c r="AE625" s="15"/>
      <c r="AF625" s="15"/>
      <c r="AG625" s="15"/>
      <c r="AH625" s="15"/>
      <c r="AI625" s="15"/>
      <c r="AJ625" s="103"/>
      <c r="AK625" s="15"/>
      <c r="AL625" s="15"/>
      <c r="AM625" s="15"/>
      <c r="AN625" s="15"/>
      <c r="AO625" s="15"/>
      <c r="AP625" s="15"/>
      <c r="AQ625" s="15"/>
    </row>
    <row r="626">
      <c r="A626" s="15"/>
      <c r="B626" s="15"/>
      <c r="C626" s="15"/>
      <c r="D626" s="15"/>
      <c r="E626" s="15"/>
      <c r="F626" s="15"/>
      <c r="G626" s="15"/>
      <c r="H626" s="103"/>
      <c r="I626" s="15"/>
      <c r="J626" s="15"/>
      <c r="K626" s="15"/>
      <c r="L626" s="15"/>
      <c r="M626" s="15"/>
      <c r="N626" s="15"/>
      <c r="O626" s="103"/>
      <c r="P626" s="15"/>
      <c r="Q626" s="15"/>
      <c r="R626" s="15"/>
      <c r="S626" s="15"/>
      <c r="T626" s="15"/>
      <c r="U626" s="15"/>
      <c r="V626" s="103"/>
      <c r="W626" s="15"/>
      <c r="X626" s="15"/>
      <c r="Y626" s="15"/>
      <c r="Z626" s="15"/>
      <c r="AA626" s="15"/>
      <c r="AB626" s="15"/>
      <c r="AC626" s="103"/>
      <c r="AD626" s="15"/>
      <c r="AE626" s="15"/>
      <c r="AF626" s="15"/>
      <c r="AG626" s="15"/>
      <c r="AH626" s="15"/>
      <c r="AI626" s="15"/>
      <c r="AJ626" s="103"/>
      <c r="AK626" s="15"/>
      <c r="AL626" s="15"/>
      <c r="AM626" s="15"/>
      <c r="AN626" s="15"/>
      <c r="AO626" s="15"/>
      <c r="AP626" s="15"/>
      <c r="AQ626" s="15"/>
    </row>
    <row r="627">
      <c r="A627" s="15"/>
      <c r="B627" s="15"/>
      <c r="C627" s="15"/>
      <c r="D627" s="15"/>
      <c r="E627" s="15"/>
      <c r="F627" s="15"/>
      <c r="G627" s="15"/>
      <c r="H627" s="103"/>
      <c r="I627" s="15"/>
      <c r="J627" s="15"/>
      <c r="K627" s="15"/>
      <c r="L627" s="15"/>
      <c r="M627" s="15"/>
      <c r="N627" s="15"/>
      <c r="O627" s="103"/>
      <c r="P627" s="15"/>
      <c r="Q627" s="15"/>
      <c r="R627" s="15"/>
      <c r="S627" s="15"/>
      <c r="T627" s="15"/>
      <c r="U627" s="15"/>
      <c r="V627" s="103"/>
      <c r="W627" s="15"/>
      <c r="X627" s="15"/>
      <c r="Y627" s="15"/>
      <c r="Z627" s="15"/>
      <c r="AA627" s="15"/>
      <c r="AB627" s="15"/>
      <c r="AC627" s="103"/>
      <c r="AD627" s="15"/>
      <c r="AE627" s="15"/>
      <c r="AF627" s="15"/>
      <c r="AG627" s="15"/>
      <c r="AH627" s="15"/>
      <c r="AI627" s="15"/>
      <c r="AJ627" s="103"/>
      <c r="AK627" s="15"/>
      <c r="AL627" s="15"/>
      <c r="AM627" s="15"/>
      <c r="AN627" s="15"/>
      <c r="AO627" s="15"/>
      <c r="AP627" s="15"/>
      <c r="AQ627" s="15"/>
    </row>
    <row r="628">
      <c r="A628" s="15"/>
      <c r="B628" s="15"/>
      <c r="C628" s="15"/>
      <c r="D628" s="15"/>
      <c r="E628" s="15"/>
      <c r="F628" s="15"/>
      <c r="G628" s="15"/>
      <c r="H628" s="103"/>
      <c r="I628" s="15"/>
      <c r="J628" s="15"/>
      <c r="K628" s="15"/>
      <c r="L628" s="15"/>
      <c r="M628" s="15"/>
      <c r="N628" s="15"/>
      <c r="O628" s="103"/>
      <c r="P628" s="15"/>
      <c r="Q628" s="15"/>
      <c r="R628" s="15"/>
      <c r="S628" s="15"/>
      <c r="T628" s="15"/>
      <c r="U628" s="15"/>
      <c r="V628" s="103"/>
      <c r="W628" s="15"/>
      <c r="X628" s="15"/>
      <c r="Y628" s="15"/>
      <c r="Z628" s="15"/>
      <c r="AA628" s="15"/>
      <c r="AB628" s="15"/>
      <c r="AC628" s="103"/>
      <c r="AD628" s="15"/>
      <c r="AE628" s="15"/>
      <c r="AF628" s="15"/>
      <c r="AG628" s="15"/>
      <c r="AH628" s="15"/>
      <c r="AI628" s="15"/>
      <c r="AJ628" s="103"/>
      <c r="AK628" s="15"/>
      <c r="AL628" s="15"/>
      <c r="AM628" s="15"/>
      <c r="AN628" s="15"/>
      <c r="AO628" s="15"/>
      <c r="AP628" s="15"/>
      <c r="AQ628" s="15"/>
    </row>
    <row r="629">
      <c r="A629" s="15"/>
      <c r="B629" s="15"/>
      <c r="C629" s="15"/>
      <c r="D629" s="15"/>
      <c r="E629" s="15"/>
      <c r="F629" s="15"/>
      <c r="G629" s="15"/>
      <c r="H629" s="103"/>
      <c r="I629" s="15"/>
      <c r="J629" s="15"/>
      <c r="K629" s="15"/>
      <c r="L629" s="15"/>
      <c r="M629" s="15"/>
      <c r="N629" s="15"/>
      <c r="O629" s="103"/>
      <c r="P629" s="15"/>
      <c r="Q629" s="15"/>
      <c r="R629" s="15"/>
      <c r="S629" s="15"/>
      <c r="T629" s="15"/>
      <c r="U629" s="15"/>
      <c r="V629" s="103"/>
      <c r="W629" s="15"/>
      <c r="X629" s="15"/>
      <c r="Y629" s="15"/>
      <c r="Z629" s="15"/>
      <c r="AA629" s="15"/>
      <c r="AB629" s="15"/>
      <c r="AC629" s="103"/>
      <c r="AD629" s="15"/>
      <c r="AE629" s="15"/>
      <c r="AF629" s="15"/>
      <c r="AG629" s="15"/>
      <c r="AH629" s="15"/>
      <c r="AI629" s="15"/>
      <c r="AJ629" s="103"/>
      <c r="AK629" s="15"/>
      <c r="AL629" s="15"/>
      <c r="AM629" s="15"/>
      <c r="AN629" s="15"/>
      <c r="AO629" s="15"/>
      <c r="AP629" s="15"/>
      <c r="AQ629" s="15"/>
    </row>
    <row r="630">
      <c r="A630" s="15"/>
      <c r="B630" s="15"/>
      <c r="C630" s="15"/>
      <c r="D630" s="15"/>
      <c r="E630" s="15"/>
      <c r="F630" s="15"/>
      <c r="G630" s="15"/>
      <c r="H630" s="103"/>
      <c r="I630" s="15"/>
      <c r="J630" s="15"/>
      <c r="K630" s="15"/>
      <c r="L630" s="15"/>
      <c r="M630" s="15"/>
      <c r="N630" s="15"/>
      <c r="O630" s="103"/>
      <c r="P630" s="15"/>
      <c r="Q630" s="15"/>
      <c r="R630" s="15"/>
      <c r="S630" s="15"/>
      <c r="T630" s="15"/>
      <c r="U630" s="15"/>
      <c r="V630" s="103"/>
      <c r="W630" s="15"/>
      <c r="X630" s="15"/>
      <c r="Y630" s="15"/>
      <c r="Z630" s="15"/>
      <c r="AA630" s="15"/>
      <c r="AB630" s="15"/>
      <c r="AC630" s="103"/>
      <c r="AD630" s="15"/>
      <c r="AE630" s="15"/>
      <c r="AF630" s="15"/>
      <c r="AG630" s="15"/>
      <c r="AH630" s="15"/>
      <c r="AI630" s="15"/>
      <c r="AJ630" s="103"/>
      <c r="AK630" s="15"/>
      <c r="AL630" s="15"/>
      <c r="AM630" s="15"/>
      <c r="AN630" s="15"/>
      <c r="AO630" s="15"/>
      <c r="AP630" s="15"/>
      <c r="AQ630" s="15"/>
    </row>
    <row r="631">
      <c r="A631" s="15"/>
      <c r="B631" s="15"/>
      <c r="C631" s="15"/>
      <c r="D631" s="15"/>
      <c r="E631" s="15"/>
      <c r="F631" s="15"/>
      <c r="G631" s="15"/>
      <c r="H631" s="103"/>
      <c r="I631" s="15"/>
      <c r="J631" s="15"/>
      <c r="K631" s="15"/>
      <c r="L631" s="15"/>
      <c r="M631" s="15"/>
      <c r="N631" s="15"/>
      <c r="O631" s="103"/>
      <c r="P631" s="15"/>
      <c r="Q631" s="15"/>
      <c r="R631" s="15"/>
      <c r="S631" s="15"/>
      <c r="T631" s="15"/>
      <c r="U631" s="15"/>
      <c r="V631" s="103"/>
      <c r="W631" s="15"/>
      <c r="X631" s="15"/>
      <c r="Y631" s="15"/>
      <c r="Z631" s="15"/>
      <c r="AA631" s="15"/>
      <c r="AB631" s="15"/>
      <c r="AC631" s="103"/>
      <c r="AD631" s="15"/>
      <c r="AE631" s="15"/>
      <c r="AF631" s="15"/>
      <c r="AG631" s="15"/>
      <c r="AH631" s="15"/>
      <c r="AI631" s="15"/>
      <c r="AJ631" s="103"/>
      <c r="AK631" s="15"/>
      <c r="AL631" s="15"/>
      <c r="AM631" s="15"/>
      <c r="AN631" s="15"/>
      <c r="AO631" s="15"/>
      <c r="AP631" s="15"/>
      <c r="AQ631" s="15"/>
    </row>
    <row r="632">
      <c r="A632" s="15"/>
      <c r="B632" s="15"/>
      <c r="C632" s="15"/>
      <c r="D632" s="15"/>
      <c r="E632" s="15"/>
      <c r="F632" s="15"/>
      <c r="G632" s="15"/>
      <c r="H632" s="103"/>
      <c r="I632" s="15"/>
      <c r="J632" s="15"/>
      <c r="K632" s="15"/>
      <c r="L632" s="15"/>
      <c r="M632" s="15"/>
      <c r="N632" s="15"/>
      <c r="O632" s="103"/>
      <c r="P632" s="15"/>
      <c r="Q632" s="15"/>
      <c r="R632" s="15"/>
      <c r="S632" s="15"/>
      <c r="T632" s="15"/>
      <c r="U632" s="15"/>
      <c r="V632" s="103"/>
      <c r="W632" s="15"/>
      <c r="X632" s="15"/>
      <c r="Y632" s="15"/>
      <c r="Z632" s="15"/>
      <c r="AA632" s="15"/>
      <c r="AB632" s="15"/>
      <c r="AC632" s="103"/>
      <c r="AD632" s="15"/>
      <c r="AE632" s="15"/>
      <c r="AF632" s="15"/>
      <c r="AG632" s="15"/>
      <c r="AH632" s="15"/>
      <c r="AI632" s="15"/>
      <c r="AJ632" s="103"/>
      <c r="AK632" s="15"/>
      <c r="AL632" s="15"/>
      <c r="AM632" s="15"/>
      <c r="AN632" s="15"/>
      <c r="AO632" s="15"/>
      <c r="AP632" s="15"/>
      <c r="AQ632" s="15"/>
    </row>
    <row r="633">
      <c r="A633" s="15"/>
      <c r="B633" s="15"/>
      <c r="C633" s="15"/>
      <c r="D633" s="15"/>
      <c r="E633" s="15"/>
      <c r="F633" s="15"/>
      <c r="G633" s="15"/>
      <c r="H633" s="103"/>
      <c r="I633" s="15"/>
      <c r="J633" s="15"/>
      <c r="K633" s="15"/>
      <c r="L633" s="15"/>
      <c r="M633" s="15"/>
      <c r="N633" s="15"/>
      <c r="O633" s="103"/>
      <c r="P633" s="15"/>
      <c r="Q633" s="15"/>
      <c r="R633" s="15"/>
      <c r="S633" s="15"/>
      <c r="T633" s="15"/>
      <c r="U633" s="15"/>
      <c r="V633" s="103"/>
      <c r="W633" s="15"/>
      <c r="X633" s="15"/>
      <c r="Y633" s="15"/>
      <c r="Z633" s="15"/>
      <c r="AA633" s="15"/>
      <c r="AB633" s="15"/>
      <c r="AC633" s="103"/>
      <c r="AD633" s="15"/>
      <c r="AE633" s="15"/>
      <c r="AF633" s="15"/>
      <c r="AG633" s="15"/>
      <c r="AH633" s="15"/>
      <c r="AI633" s="15"/>
      <c r="AJ633" s="103"/>
      <c r="AK633" s="15"/>
      <c r="AL633" s="15"/>
      <c r="AM633" s="15"/>
      <c r="AN633" s="15"/>
      <c r="AO633" s="15"/>
      <c r="AP633" s="15"/>
      <c r="AQ633" s="15"/>
    </row>
    <row r="634">
      <c r="A634" s="15"/>
      <c r="B634" s="15"/>
      <c r="C634" s="15"/>
      <c r="D634" s="15"/>
      <c r="E634" s="15"/>
      <c r="F634" s="15"/>
      <c r="G634" s="15"/>
      <c r="H634" s="103"/>
      <c r="I634" s="15"/>
      <c r="J634" s="15"/>
      <c r="K634" s="15"/>
      <c r="L634" s="15"/>
      <c r="M634" s="15"/>
      <c r="N634" s="15"/>
      <c r="O634" s="103"/>
      <c r="P634" s="15"/>
      <c r="Q634" s="15"/>
      <c r="R634" s="15"/>
      <c r="S634" s="15"/>
      <c r="T634" s="15"/>
      <c r="U634" s="15"/>
      <c r="V634" s="103"/>
      <c r="W634" s="15"/>
      <c r="X634" s="15"/>
      <c r="Y634" s="15"/>
      <c r="Z634" s="15"/>
      <c r="AA634" s="15"/>
      <c r="AB634" s="15"/>
      <c r="AC634" s="103"/>
      <c r="AD634" s="15"/>
      <c r="AE634" s="15"/>
      <c r="AF634" s="15"/>
      <c r="AG634" s="15"/>
      <c r="AH634" s="15"/>
      <c r="AI634" s="15"/>
      <c r="AJ634" s="103"/>
      <c r="AK634" s="15"/>
      <c r="AL634" s="15"/>
      <c r="AM634" s="15"/>
      <c r="AN634" s="15"/>
      <c r="AO634" s="15"/>
      <c r="AP634" s="15"/>
      <c r="AQ634" s="15"/>
    </row>
    <row r="635">
      <c r="A635" s="15"/>
      <c r="B635" s="15"/>
      <c r="C635" s="15"/>
      <c r="D635" s="15"/>
      <c r="E635" s="15"/>
      <c r="F635" s="15"/>
      <c r="G635" s="15"/>
      <c r="H635" s="103"/>
      <c r="I635" s="15"/>
      <c r="J635" s="15"/>
      <c r="K635" s="15"/>
      <c r="L635" s="15"/>
      <c r="M635" s="15"/>
      <c r="N635" s="15"/>
      <c r="O635" s="103"/>
      <c r="P635" s="15"/>
      <c r="Q635" s="15"/>
      <c r="R635" s="15"/>
      <c r="S635" s="15"/>
      <c r="T635" s="15"/>
      <c r="U635" s="15"/>
      <c r="V635" s="103"/>
      <c r="W635" s="15"/>
      <c r="X635" s="15"/>
      <c r="Y635" s="15"/>
      <c r="Z635" s="15"/>
      <c r="AA635" s="15"/>
      <c r="AB635" s="15"/>
      <c r="AC635" s="103"/>
      <c r="AD635" s="15"/>
      <c r="AE635" s="15"/>
      <c r="AF635" s="15"/>
      <c r="AG635" s="15"/>
      <c r="AH635" s="15"/>
      <c r="AI635" s="15"/>
      <c r="AJ635" s="103"/>
      <c r="AK635" s="15"/>
      <c r="AL635" s="15"/>
      <c r="AM635" s="15"/>
      <c r="AN635" s="15"/>
      <c r="AO635" s="15"/>
      <c r="AP635" s="15"/>
      <c r="AQ635" s="15"/>
    </row>
    <row r="636">
      <c r="A636" s="15"/>
      <c r="B636" s="15"/>
      <c r="C636" s="15"/>
      <c r="D636" s="15"/>
      <c r="E636" s="15"/>
      <c r="F636" s="15"/>
      <c r="G636" s="15"/>
      <c r="H636" s="103"/>
      <c r="I636" s="15"/>
      <c r="J636" s="15"/>
      <c r="K636" s="15"/>
      <c r="L636" s="15"/>
      <c r="M636" s="15"/>
      <c r="N636" s="15"/>
      <c r="O636" s="103"/>
      <c r="P636" s="15"/>
      <c r="Q636" s="15"/>
      <c r="R636" s="15"/>
      <c r="S636" s="15"/>
      <c r="T636" s="15"/>
      <c r="U636" s="15"/>
      <c r="V636" s="103"/>
      <c r="W636" s="15"/>
      <c r="X636" s="15"/>
      <c r="Y636" s="15"/>
      <c r="Z636" s="15"/>
      <c r="AA636" s="15"/>
      <c r="AB636" s="15"/>
      <c r="AC636" s="103"/>
      <c r="AD636" s="15"/>
      <c r="AE636" s="15"/>
      <c r="AF636" s="15"/>
      <c r="AG636" s="15"/>
      <c r="AH636" s="15"/>
      <c r="AI636" s="15"/>
      <c r="AJ636" s="103"/>
      <c r="AK636" s="15"/>
      <c r="AL636" s="15"/>
      <c r="AM636" s="15"/>
      <c r="AN636" s="15"/>
      <c r="AO636" s="15"/>
      <c r="AP636" s="15"/>
      <c r="AQ636" s="15"/>
    </row>
    <row r="637">
      <c r="A637" s="15"/>
      <c r="B637" s="15"/>
      <c r="C637" s="15"/>
      <c r="D637" s="15"/>
      <c r="E637" s="15"/>
      <c r="F637" s="15"/>
      <c r="G637" s="15"/>
      <c r="H637" s="103"/>
      <c r="I637" s="15"/>
      <c r="J637" s="15"/>
      <c r="K637" s="15"/>
      <c r="L637" s="15"/>
      <c r="M637" s="15"/>
      <c r="N637" s="15"/>
      <c r="O637" s="103"/>
      <c r="P637" s="15"/>
      <c r="Q637" s="15"/>
      <c r="R637" s="15"/>
      <c r="S637" s="15"/>
      <c r="T637" s="15"/>
      <c r="U637" s="15"/>
      <c r="V637" s="103"/>
      <c r="W637" s="15"/>
      <c r="X637" s="15"/>
      <c r="Y637" s="15"/>
      <c r="Z637" s="15"/>
      <c r="AA637" s="15"/>
      <c r="AB637" s="15"/>
      <c r="AC637" s="103"/>
      <c r="AD637" s="15"/>
      <c r="AE637" s="15"/>
      <c r="AF637" s="15"/>
      <c r="AG637" s="15"/>
      <c r="AH637" s="15"/>
      <c r="AI637" s="15"/>
      <c r="AJ637" s="103"/>
      <c r="AK637" s="15"/>
      <c r="AL637" s="15"/>
      <c r="AM637" s="15"/>
      <c r="AN637" s="15"/>
      <c r="AO637" s="15"/>
      <c r="AP637" s="15"/>
      <c r="AQ637" s="15"/>
    </row>
    <row r="638">
      <c r="A638" s="15"/>
      <c r="B638" s="15"/>
      <c r="C638" s="15"/>
      <c r="D638" s="15"/>
      <c r="E638" s="15"/>
      <c r="F638" s="15"/>
      <c r="G638" s="15"/>
      <c r="H638" s="103"/>
      <c r="I638" s="15"/>
      <c r="J638" s="15"/>
      <c r="K638" s="15"/>
      <c r="L638" s="15"/>
      <c r="M638" s="15"/>
      <c r="N638" s="15"/>
      <c r="O638" s="103"/>
      <c r="P638" s="15"/>
      <c r="Q638" s="15"/>
      <c r="R638" s="15"/>
      <c r="S638" s="15"/>
      <c r="T638" s="15"/>
      <c r="U638" s="15"/>
      <c r="V638" s="103"/>
      <c r="W638" s="15"/>
      <c r="X638" s="15"/>
      <c r="Y638" s="15"/>
      <c r="Z638" s="15"/>
      <c r="AA638" s="15"/>
      <c r="AB638" s="15"/>
      <c r="AC638" s="103"/>
      <c r="AD638" s="15"/>
      <c r="AE638" s="15"/>
      <c r="AF638" s="15"/>
      <c r="AG638" s="15"/>
      <c r="AH638" s="15"/>
      <c r="AI638" s="15"/>
      <c r="AJ638" s="103"/>
      <c r="AK638" s="15"/>
      <c r="AL638" s="15"/>
      <c r="AM638" s="15"/>
      <c r="AN638" s="15"/>
      <c r="AO638" s="15"/>
      <c r="AP638" s="15"/>
      <c r="AQ638" s="15"/>
    </row>
    <row r="639">
      <c r="A639" s="15"/>
      <c r="B639" s="15"/>
      <c r="C639" s="15"/>
      <c r="D639" s="15"/>
      <c r="E639" s="15"/>
      <c r="F639" s="15"/>
      <c r="G639" s="15"/>
      <c r="H639" s="103"/>
      <c r="I639" s="15"/>
      <c r="J639" s="15"/>
      <c r="K639" s="15"/>
      <c r="L639" s="15"/>
      <c r="M639" s="15"/>
      <c r="N639" s="15"/>
      <c r="O639" s="103"/>
      <c r="P639" s="15"/>
      <c r="Q639" s="15"/>
      <c r="R639" s="15"/>
      <c r="S639" s="15"/>
      <c r="T639" s="15"/>
      <c r="U639" s="15"/>
      <c r="V639" s="103"/>
      <c r="W639" s="15"/>
      <c r="X639" s="15"/>
      <c r="Y639" s="15"/>
      <c r="Z639" s="15"/>
      <c r="AA639" s="15"/>
      <c r="AB639" s="15"/>
      <c r="AC639" s="103"/>
      <c r="AD639" s="15"/>
      <c r="AE639" s="15"/>
      <c r="AF639" s="15"/>
      <c r="AG639" s="15"/>
      <c r="AH639" s="15"/>
      <c r="AI639" s="15"/>
      <c r="AJ639" s="103"/>
      <c r="AK639" s="15"/>
      <c r="AL639" s="15"/>
      <c r="AM639" s="15"/>
      <c r="AN639" s="15"/>
      <c r="AO639" s="15"/>
      <c r="AP639" s="15"/>
      <c r="AQ639" s="15"/>
    </row>
    <row r="640">
      <c r="A640" s="15"/>
      <c r="B640" s="15"/>
      <c r="C640" s="15"/>
      <c r="D640" s="15"/>
      <c r="E640" s="15"/>
      <c r="F640" s="15"/>
      <c r="G640" s="15"/>
      <c r="H640" s="103"/>
      <c r="I640" s="15"/>
      <c r="J640" s="15"/>
      <c r="K640" s="15"/>
      <c r="L640" s="15"/>
      <c r="M640" s="15"/>
      <c r="N640" s="15"/>
      <c r="O640" s="103"/>
      <c r="P640" s="15"/>
      <c r="Q640" s="15"/>
      <c r="R640" s="15"/>
      <c r="S640" s="15"/>
      <c r="T640" s="15"/>
      <c r="U640" s="15"/>
      <c r="V640" s="103"/>
      <c r="W640" s="15"/>
      <c r="X640" s="15"/>
      <c r="Y640" s="15"/>
      <c r="Z640" s="15"/>
      <c r="AA640" s="15"/>
      <c r="AB640" s="15"/>
      <c r="AC640" s="103"/>
      <c r="AD640" s="15"/>
      <c r="AE640" s="15"/>
      <c r="AF640" s="15"/>
      <c r="AG640" s="15"/>
      <c r="AH640" s="15"/>
      <c r="AI640" s="15"/>
      <c r="AJ640" s="103"/>
      <c r="AK640" s="15"/>
      <c r="AL640" s="15"/>
      <c r="AM640" s="15"/>
      <c r="AN640" s="15"/>
      <c r="AO640" s="15"/>
      <c r="AP640" s="15"/>
      <c r="AQ640" s="15"/>
    </row>
    <row r="641">
      <c r="A641" s="15"/>
      <c r="B641" s="15"/>
      <c r="C641" s="15"/>
      <c r="D641" s="15"/>
      <c r="E641" s="15"/>
      <c r="F641" s="15"/>
      <c r="G641" s="15"/>
      <c r="H641" s="103"/>
      <c r="I641" s="15"/>
      <c r="J641" s="15"/>
      <c r="K641" s="15"/>
      <c r="L641" s="15"/>
      <c r="M641" s="15"/>
      <c r="N641" s="15"/>
      <c r="O641" s="103"/>
      <c r="P641" s="15"/>
      <c r="Q641" s="15"/>
      <c r="R641" s="15"/>
      <c r="S641" s="15"/>
      <c r="T641" s="15"/>
      <c r="U641" s="15"/>
      <c r="V641" s="103"/>
      <c r="W641" s="15"/>
      <c r="X641" s="15"/>
      <c r="Y641" s="15"/>
      <c r="Z641" s="15"/>
      <c r="AA641" s="15"/>
      <c r="AB641" s="15"/>
      <c r="AC641" s="103"/>
      <c r="AD641" s="15"/>
      <c r="AE641" s="15"/>
      <c r="AF641" s="15"/>
      <c r="AG641" s="15"/>
      <c r="AH641" s="15"/>
      <c r="AI641" s="15"/>
      <c r="AJ641" s="103"/>
      <c r="AK641" s="15"/>
      <c r="AL641" s="15"/>
      <c r="AM641" s="15"/>
      <c r="AN641" s="15"/>
      <c r="AO641" s="15"/>
      <c r="AP641" s="15"/>
      <c r="AQ641" s="15"/>
    </row>
    <row r="642">
      <c r="A642" s="15"/>
      <c r="B642" s="15"/>
      <c r="C642" s="15"/>
      <c r="D642" s="15"/>
      <c r="E642" s="15"/>
      <c r="F642" s="15"/>
      <c r="G642" s="15"/>
      <c r="H642" s="103"/>
      <c r="I642" s="15"/>
      <c r="J642" s="15"/>
      <c r="K642" s="15"/>
      <c r="L642" s="15"/>
      <c r="M642" s="15"/>
      <c r="N642" s="15"/>
      <c r="O642" s="103"/>
      <c r="P642" s="15"/>
      <c r="Q642" s="15"/>
      <c r="R642" s="15"/>
      <c r="S642" s="15"/>
      <c r="T642" s="15"/>
      <c r="U642" s="15"/>
      <c r="V642" s="103"/>
      <c r="W642" s="15"/>
      <c r="X642" s="15"/>
      <c r="Y642" s="15"/>
      <c r="Z642" s="15"/>
      <c r="AA642" s="15"/>
      <c r="AB642" s="15"/>
      <c r="AC642" s="103"/>
      <c r="AD642" s="15"/>
      <c r="AE642" s="15"/>
      <c r="AF642" s="15"/>
      <c r="AG642" s="15"/>
      <c r="AH642" s="15"/>
      <c r="AI642" s="15"/>
      <c r="AJ642" s="103"/>
      <c r="AK642" s="15"/>
      <c r="AL642" s="15"/>
      <c r="AM642" s="15"/>
      <c r="AN642" s="15"/>
      <c r="AO642" s="15"/>
      <c r="AP642" s="15"/>
      <c r="AQ642" s="15"/>
    </row>
    <row r="643">
      <c r="A643" s="15"/>
      <c r="B643" s="15"/>
      <c r="C643" s="15"/>
      <c r="D643" s="15"/>
      <c r="E643" s="15"/>
      <c r="F643" s="15"/>
      <c r="G643" s="15"/>
      <c r="H643" s="103"/>
      <c r="I643" s="15"/>
      <c r="J643" s="15"/>
      <c r="K643" s="15"/>
      <c r="L643" s="15"/>
      <c r="M643" s="15"/>
      <c r="N643" s="15"/>
      <c r="O643" s="103"/>
      <c r="P643" s="15"/>
      <c r="Q643" s="15"/>
      <c r="R643" s="15"/>
      <c r="S643" s="15"/>
      <c r="T643" s="15"/>
      <c r="U643" s="15"/>
      <c r="V643" s="103"/>
      <c r="W643" s="15"/>
      <c r="X643" s="15"/>
      <c r="Y643" s="15"/>
      <c r="Z643" s="15"/>
      <c r="AA643" s="15"/>
      <c r="AB643" s="15"/>
      <c r="AC643" s="103"/>
      <c r="AD643" s="15"/>
      <c r="AE643" s="15"/>
      <c r="AF643" s="15"/>
      <c r="AG643" s="15"/>
      <c r="AH643" s="15"/>
      <c r="AI643" s="15"/>
      <c r="AJ643" s="103"/>
      <c r="AK643" s="15"/>
      <c r="AL643" s="15"/>
      <c r="AM643" s="15"/>
      <c r="AN643" s="15"/>
      <c r="AO643" s="15"/>
      <c r="AP643" s="15"/>
      <c r="AQ643" s="15"/>
    </row>
    <row r="644">
      <c r="A644" s="15"/>
      <c r="B644" s="15"/>
      <c r="C644" s="15"/>
      <c r="D644" s="15"/>
      <c r="E644" s="15"/>
      <c r="F644" s="15"/>
      <c r="G644" s="15"/>
      <c r="H644" s="103"/>
      <c r="I644" s="15"/>
      <c r="J644" s="15"/>
      <c r="K644" s="15"/>
      <c r="L644" s="15"/>
      <c r="M644" s="15"/>
      <c r="N644" s="15"/>
      <c r="O644" s="103"/>
      <c r="P644" s="15"/>
      <c r="Q644" s="15"/>
      <c r="R644" s="15"/>
      <c r="S644" s="15"/>
      <c r="T644" s="15"/>
      <c r="U644" s="15"/>
      <c r="V644" s="103"/>
      <c r="W644" s="15"/>
      <c r="X644" s="15"/>
      <c r="Y644" s="15"/>
      <c r="Z644" s="15"/>
      <c r="AA644" s="15"/>
      <c r="AB644" s="15"/>
      <c r="AC644" s="103"/>
      <c r="AD644" s="15"/>
      <c r="AE644" s="15"/>
      <c r="AF644" s="15"/>
      <c r="AG644" s="15"/>
      <c r="AH644" s="15"/>
      <c r="AI644" s="15"/>
      <c r="AJ644" s="103"/>
      <c r="AK644" s="15"/>
      <c r="AL644" s="15"/>
      <c r="AM644" s="15"/>
      <c r="AN644" s="15"/>
      <c r="AO644" s="15"/>
      <c r="AP644" s="15"/>
      <c r="AQ644" s="15"/>
    </row>
    <row r="645">
      <c r="A645" s="15"/>
      <c r="B645" s="15"/>
      <c r="C645" s="15"/>
      <c r="D645" s="15"/>
      <c r="E645" s="15"/>
      <c r="F645" s="15"/>
      <c r="G645" s="15"/>
      <c r="H645" s="103"/>
      <c r="I645" s="15"/>
      <c r="J645" s="15"/>
      <c r="K645" s="15"/>
      <c r="L645" s="15"/>
      <c r="M645" s="15"/>
      <c r="N645" s="15"/>
      <c r="O645" s="103"/>
      <c r="P645" s="15"/>
      <c r="Q645" s="15"/>
      <c r="R645" s="15"/>
      <c r="S645" s="15"/>
      <c r="T645" s="15"/>
      <c r="U645" s="15"/>
      <c r="V645" s="103"/>
      <c r="W645" s="15"/>
      <c r="X645" s="15"/>
      <c r="Y645" s="15"/>
      <c r="Z645" s="15"/>
      <c r="AA645" s="15"/>
      <c r="AB645" s="15"/>
      <c r="AC645" s="103"/>
      <c r="AD645" s="15"/>
      <c r="AE645" s="15"/>
      <c r="AF645" s="15"/>
      <c r="AG645" s="15"/>
      <c r="AH645" s="15"/>
      <c r="AI645" s="15"/>
      <c r="AJ645" s="103"/>
      <c r="AK645" s="15"/>
      <c r="AL645" s="15"/>
      <c r="AM645" s="15"/>
      <c r="AN645" s="15"/>
      <c r="AO645" s="15"/>
      <c r="AP645" s="15"/>
      <c r="AQ645" s="15"/>
    </row>
    <row r="646">
      <c r="A646" s="15"/>
      <c r="B646" s="15"/>
      <c r="C646" s="15"/>
      <c r="D646" s="15"/>
      <c r="E646" s="15"/>
      <c r="F646" s="15"/>
      <c r="G646" s="15"/>
      <c r="H646" s="103"/>
      <c r="I646" s="15"/>
      <c r="J646" s="15"/>
      <c r="K646" s="15"/>
      <c r="L646" s="15"/>
      <c r="M646" s="15"/>
      <c r="N646" s="15"/>
      <c r="O646" s="103"/>
      <c r="P646" s="15"/>
      <c r="Q646" s="15"/>
      <c r="R646" s="15"/>
      <c r="S646" s="15"/>
      <c r="T646" s="15"/>
      <c r="U646" s="15"/>
      <c r="V646" s="103"/>
      <c r="W646" s="15"/>
      <c r="X646" s="15"/>
      <c r="Y646" s="15"/>
      <c r="Z646" s="15"/>
      <c r="AA646" s="15"/>
      <c r="AB646" s="15"/>
      <c r="AC646" s="103"/>
      <c r="AD646" s="15"/>
      <c r="AE646" s="15"/>
      <c r="AF646" s="15"/>
      <c r="AG646" s="15"/>
      <c r="AH646" s="15"/>
      <c r="AI646" s="15"/>
      <c r="AJ646" s="103"/>
      <c r="AK646" s="15"/>
      <c r="AL646" s="15"/>
      <c r="AM646" s="15"/>
      <c r="AN646" s="15"/>
      <c r="AO646" s="15"/>
      <c r="AP646" s="15"/>
      <c r="AQ646" s="15"/>
    </row>
    <row r="647">
      <c r="A647" s="15"/>
      <c r="B647" s="15"/>
      <c r="C647" s="15"/>
      <c r="D647" s="15"/>
      <c r="E647" s="15"/>
      <c r="F647" s="15"/>
      <c r="G647" s="15"/>
      <c r="H647" s="103"/>
      <c r="I647" s="15"/>
      <c r="J647" s="15"/>
      <c r="K647" s="15"/>
      <c r="L647" s="15"/>
      <c r="M647" s="15"/>
      <c r="N647" s="15"/>
      <c r="O647" s="103"/>
      <c r="P647" s="15"/>
      <c r="Q647" s="15"/>
      <c r="R647" s="15"/>
      <c r="S647" s="15"/>
      <c r="T647" s="15"/>
      <c r="U647" s="15"/>
      <c r="V647" s="103"/>
      <c r="W647" s="15"/>
      <c r="X647" s="15"/>
      <c r="Y647" s="15"/>
      <c r="Z647" s="15"/>
      <c r="AA647" s="15"/>
      <c r="AB647" s="15"/>
      <c r="AC647" s="103"/>
      <c r="AD647" s="15"/>
      <c r="AE647" s="15"/>
      <c r="AF647" s="15"/>
      <c r="AG647" s="15"/>
      <c r="AH647" s="15"/>
      <c r="AI647" s="15"/>
      <c r="AJ647" s="103"/>
      <c r="AK647" s="15"/>
      <c r="AL647" s="15"/>
      <c r="AM647" s="15"/>
      <c r="AN647" s="15"/>
      <c r="AO647" s="15"/>
      <c r="AP647" s="15"/>
      <c r="AQ647" s="15"/>
    </row>
    <row r="648">
      <c r="A648" s="15"/>
      <c r="B648" s="15"/>
      <c r="C648" s="15"/>
      <c r="D648" s="15"/>
      <c r="E648" s="15"/>
      <c r="F648" s="15"/>
      <c r="G648" s="15"/>
      <c r="H648" s="103"/>
      <c r="I648" s="15"/>
      <c r="J648" s="15"/>
      <c r="K648" s="15"/>
      <c r="L648" s="15"/>
      <c r="M648" s="15"/>
      <c r="N648" s="15"/>
      <c r="O648" s="103"/>
      <c r="P648" s="15"/>
      <c r="Q648" s="15"/>
      <c r="R648" s="15"/>
      <c r="S648" s="15"/>
      <c r="T648" s="15"/>
      <c r="U648" s="15"/>
      <c r="V648" s="103"/>
      <c r="W648" s="15"/>
      <c r="X648" s="15"/>
      <c r="Y648" s="15"/>
      <c r="Z648" s="15"/>
      <c r="AA648" s="15"/>
      <c r="AB648" s="15"/>
      <c r="AC648" s="103"/>
      <c r="AD648" s="15"/>
      <c r="AE648" s="15"/>
      <c r="AF648" s="15"/>
      <c r="AG648" s="15"/>
      <c r="AH648" s="15"/>
      <c r="AI648" s="15"/>
      <c r="AJ648" s="103"/>
      <c r="AK648" s="15"/>
      <c r="AL648" s="15"/>
      <c r="AM648" s="15"/>
      <c r="AN648" s="15"/>
      <c r="AO648" s="15"/>
      <c r="AP648" s="15"/>
      <c r="AQ648" s="15"/>
    </row>
    <row r="649">
      <c r="A649" s="15"/>
      <c r="B649" s="15"/>
      <c r="C649" s="15"/>
      <c r="D649" s="15"/>
      <c r="E649" s="15"/>
      <c r="F649" s="15"/>
      <c r="G649" s="15"/>
      <c r="H649" s="103"/>
      <c r="I649" s="15"/>
      <c r="J649" s="15"/>
      <c r="K649" s="15"/>
      <c r="L649" s="15"/>
      <c r="M649" s="15"/>
      <c r="N649" s="15"/>
      <c r="O649" s="103"/>
      <c r="P649" s="15"/>
      <c r="Q649" s="15"/>
      <c r="R649" s="15"/>
      <c r="S649" s="15"/>
      <c r="T649" s="15"/>
      <c r="U649" s="15"/>
      <c r="V649" s="103"/>
      <c r="W649" s="15"/>
      <c r="X649" s="15"/>
      <c r="Y649" s="15"/>
      <c r="Z649" s="15"/>
      <c r="AA649" s="15"/>
      <c r="AB649" s="15"/>
      <c r="AC649" s="103"/>
      <c r="AD649" s="15"/>
      <c r="AE649" s="15"/>
      <c r="AF649" s="15"/>
      <c r="AG649" s="15"/>
      <c r="AH649" s="15"/>
      <c r="AI649" s="15"/>
      <c r="AJ649" s="103"/>
      <c r="AK649" s="15"/>
      <c r="AL649" s="15"/>
      <c r="AM649" s="15"/>
      <c r="AN649" s="15"/>
      <c r="AO649" s="15"/>
      <c r="AP649" s="15"/>
      <c r="AQ649" s="15"/>
    </row>
    <row r="650">
      <c r="A650" s="15"/>
      <c r="B650" s="15"/>
      <c r="C650" s="15"/>
      <c r="D650" s="15"/>
      <c r="E650" s="15"/>
      <c r="F650" s="15"/>
      <c r="G650" s="15"/>
      <c r="H650" s="103"/>
      <c r="I650" s="15"/>
      <c r="J650" s="15"/>
      <c r="K650" s="15"/>
      <c r="L650" s="15"/>
      <c r="M650" s="15"/>
      <c r="N650" s="15"/>
      <c r="O650" s="103"/>
      <c r="P650" s="15"/>
      <c r="Q650" s="15"/>
      <c r="R650" s="15"/>
      <c r="S650" s="15"/>
      <c r="T650" s="15"/>
      <c r="U650" s="15"/>
      <c r="V650" s="103"/>
      <c r="W650" s="15"/>
      <c r="X650" s="15"/>
      <c r="Y650" s="15"/>
      <c r="Z650" s="15"/>
      <c r="AA650" s="15"/>
      <c r="AB650" s="15"/>
      <c r="AC650" s="103"/>
      <c r="AD650" s="15"/>
      <c r="AE650" s="15"/>
      <c r="AF650" s="15"/>
      <c r="AG650" s="15"/>
      <c r="AH650" s="15"/>
      <c r="AI650" s="15"/>
      <c r="AJ650" s="103"/>
      <c r="AK650" s="15"/>
      <c r="AL650" s="15"/>
      <c r="AM650" s="15"/>
      <c r="AN650" s="15"/>
      <c r="AO650" s="15"/>
      <c r="AP650" s="15"/>
      <c r="AQ650" s="15"/>
    </row>
    <row r="651">
      <c r="A651" s="15"/>
      <c r="B651" s="15"/>
      <c r="C651" s="15"/>
      <c r="D651" s="15"/>
      <c r="E651" s="15"/>
      <c r="F651" s="15"/>
      <c r="G651" s="15"/>
      <c r="H651" s="103"/>
      <c r="I651" s="15"/>
      <c r="J651" s="15"/>
      <c r="K651" s="15"/>
      <c r="L651" s="15"/>
      <c r="M651" s="15"/>
      <c r="N651" s="15"/>
      <c r="O651" s="103"/>
      <c r="P651" s="15"/>
      <c r="Q651" s="15"/>
      <c r="R651" s="15"/>
      <c r="S651" s="15"/>
      <c r="T651" s="15"/>
      <c r="U651" s="15"/>
      <c r="V651" s="103"/>
      <c r="W651" s="15"/>
      <c r="X651" s="15"/>
      <c r="Y651" s="15"/>
      <c r="Z651" s="15"/>
      <c r="AA651" s="15"/>
      <c r="AB651" s="15"/>
      <c r="AC651" s="103"/>
      <c r="AD651" s="15"/>
      <c r="AE651" s="15"/>
      <c r="AF651" s="15"/>
      <c r="AG651" s="15"/>
      <c r="AH651" s="15"/>
      <c r="AI651" s="15"/>
      <c r="AJ651" s="103"/>
      <c r="AK651" s="15"/>
      <c r="AL651" s="15"/>
      <c r="AM651" s="15"/>
      <c r="AN651" s="15"/>
      <c r="AO651" s="15"/>
      <c r="AP651" s="15"/>
      <c r="AQ651" s="15"/>
    </row>
    <row r="652">
      <c r="A652" s="15"/>
      <c r="B652" s="15"/>
      <c r="C652" s="15"/>
      <c r="D652" s="15"/>
      <c r="E652" s="15"/>
      <c r="F652" s="15"/>
      <c r="G652" s="15"/>
      <c r="H652" s="103"/>
      <c r="I652" s="15"/>
      <c r="J652" s="15"/>
      <c r="K652" s="15"/>
      <c r="L652" s="15"/>
      <c r="M652" s="15"/>
      <c r="N652" s="15"/>
      <c r="O652" s="103"/>
      <c r="P652" s="15"/>
      <c r="Q652" s="15"/>
      <c r="R652" s="15"/>
      <c r="S652" s="15"/>
      <c r="T652" s="15"/>
      <c r="U652" s="15"/>
      <c r="V652" s="103"/>
      <c r="W652" s="15"/>
      <c r="X652" s="15"/>
      <c r="Y652" s="15"/>
      <c r="Z652" s="15"/>
      <c r="AA652" s="15"/>
      <c r="AB652" s="15"/>
      <c r="AC652" s="103"/>
      <c r="AD652" s="15"/>
      <c r="AE652" s="15"/>
      <c r="AF652" s="15"/>
      <c r="AG652" s="15"/>
      <c r="AH652" s="15"/>
      <c r="AI652" s="15"/>
      <c r="AJ652" s="103"/>
      <c r="AK652" s="15"/>
      <c r="AL652" s="15"/>
      <c r="AM652" s="15"/>
      <c r="AN652" s="15"/>
      <c r="AO652" s="15"/>
      <c r="AP652" s="15"/>
      <c r="AQ652" s="15"/>
    </row>
    <row r="653">
      <c r="A653" s="15"/>
      <c r="B653" s="15"/>
      <c r="C653" s="15"/>
      <c r="D653" s="15"/>
      <c r="E653" s="15"/>
      <c r="F653" s="15"/>
      <c r="G653" s="15"/>
      <c r="H653" s="103"/>
      <c r="I653" s="15"/>
      <c r="J653" s="15"/>
      <c r="K653" s="15"/>
      <c r="L653" s="15"/>
      <c r="M653" s="15"/>
      <c r="N653" s="15"/>
      <c r="O653" s="103"/>
      <c r="P653" s="15"/>
      <c r="Q653" s="15"/>
      <c r="R653" s="15"/>
      <c r="S653" s="15"/>
      <c r="T653" s="15"/>
      <c r="U653" s="15"/>
      <c r="V653" s="103"/>
      <c r="W653" s="15"/>
      <c r="X653" s="15"/>
      <c r="Y653" s="15"/>
      <c r="Z653" s="15"/>
      <c r="AA653" s="15"/>
      <c r="AB653" s="15"/>
      <c r="AC653" s="103"/>
      <c r="AD653" s="15"/>
      <c r="AE653" s="15"/>
      <c r="AF653" s="15"/>
      <c r="AG653" s="15"/>
      <c r="AH653" s="15"/>
      <c r="AI653" s="15"/>
      <c r="AJ653" s="103"/>
      <c r="AK653" s="15"/>
      <c r="AL653" s="15"/>
      <c r="AM653" s="15"/>
      <c r="AN653" s="15"/>
      <c r="AO653" s="15"/>
      <c r="AP653" s="15"/>
      <c r="AQ653" s="15"/>
    </row>
    <row r="654">
      <c r="A654" s="15"/>
      <c r="B654" s="15"/>
      <c r="C654" s="15"/>
      <c r="D654" s="15"/>
      <c r="E654" s="15"/>
      <c r="F654" s="15"/>
      <c r="G654" s="15"/>
      <c r="H654" s="103"/>
      <c r="I654" s="15"/>
      <c r="J654" s="15"/>
      <c r="K654" s="15"/>
      <c r="L654" s="15"/>
      <c r="M654" s="15"/>
      <c r="N654" s="15"/>
      <c r="O654" s="103"/>
      <c r="P654" s="15"/>
      <c r="Q654" s="15"/>
      <c r="R654" s="15"/>
      <c r="S654" s="15"/>
      <c r="T654" s="15"/>
      <c r="U654" s="15"/>
      <c r="V654" s="103"/>
      <c r="W654" s="15"/>
      <c r="X654" s="15"/>
      <c r="Y654" s="15"/>
      <c r="Z654" s="15"/>
      <c r="AA654" s="15"/>
      <c r="AB654" s="15"/>
      <c r="AC654" s="103"/>
      <c r="AD654" s="15"/>
      <c r="AE654" s="15"/>
      <c r="AF654" s="15"/>
      <c r="AG654" s="15"/>
      <c r="AH654" s="15"/>
      <c r="AI654" s="15"/>
      <c r="AJ654" s="103"/>
      <c r="AK654" s="15"/>
      <c r="AL654" s="15"/>
      <c r="AM654" s="15"/>
      <c r="AN654" s="15"/>
      <c r="AO654" s="15"/>
      <c r="AP654" s="15"/>
      <c r="AQ654" s="15"/>
    </row>
    <row r="655">
      <c r="A655" s="15"/>
      <c r="B655" s="15"/>
      <c r="C655" s="15"/>
      <c r="D655" s="15"/>
      <c r="E655" s="15"/>
      <c r="F655" s="15"/>
      <c r="G655" s="15"/>
      <c r="H655" s="103"/>
      <c r="I655" s="15"/>
      <c r="J655" s="15"/>
      <c r="K655" s="15"/>
      <c r="L655" s="15"/>
      <c r="M655" s="15"/>
      <c r="N655" s="15"/>
      <c r="O655" s="103"/>
      <c r="P655" s="15"/>
      <c r="Q655" s="15"/>
      <c r="R655" s="15"/>
      <c r="S655" s="15"/>
      <c r="T655" s="15"/>
      <c r="U655" s="15"/>
      <c r="V655" s="103"/>
      <c r="W655" s="15"/>
      <c r="X655" s="15"/>
      <c r="Y655" s="15"/>
      <c r="Z655" s="15"/>
      <c r="AA655" s="15"/>
      <c r="AB655" s="15"/>
      <c r="AC655" s="103"/>
      <c r="AD655" s="15"/>
      <c r="AE655" s="15"/>
      <c r="AF655" s="15"/>
      <c r="AG655" s="15"/>
      <c r="AH655" s="15"/>
      <c r="AI655" s="15"/>
      <c r="AJ655" s="103"/>
      <c r="AK655" s="15"/>
      <c r="AL655" s="15"/>
      <c r="AM655" s="15"/>
      <c r="AN655" s="15"/>
      <c r="AO655" s="15"/>
      <c r="AP655" s="15"/>
      <c r="AQ655" s="15"/>
    </row>
    <row r="656">
      <c r="A656" s="15"/>
      <c r="B656" s="15"/>
      <c r="C656" s="15"/>
      <c r="D656" s="15"/>
      <c r="E656" s="15"/>
      <c r="F656" s="15"/>
      <c r="G656" s="15"/>
      <c r="H656" s="103"/>
      <c r="I656" s="15"/>
      <c r="J656" s="15"/>
      <c r="K656" s="15"/>
      <c r="L656" s="15"/>
      <c r="M656" s="15"/>
      <c r="N656" s="15"/>
      <c r="O656" s="103"/>
      <c r="P656" s="15"/>
      <c r="Q656" s="15"/>
      <c r="R656" s="15"/>
      <c r="S656" s="15"/>
      <c r="T656" s="15"/>
      <c r="U656" s="15"/>
      <c r="V656" s="103"/>
      <c r="W656" s="15"/>
      <c r="X656" s="15"/>
      <c r="Y656" s="15"/>
      <c r="Z656" s="15"/>
      <c r="AA656" s="15"/>
      <c r="AB656" s="15"/>
      <c r="AC656" s="103"/>
      <c r="AD656" s="15"/>
      <c r="AE656" s="15"/>
      <c r="AF656" s="15"/>
      <c r="AG656" s="15"/>
      <c r="AH656" s="15"/>
      <c r="AI656" s="15"/>
      <c r="AJ656" s="103"/>
      <c r="AK656" s="15"/>
      <c r="AL656" s="15"/>
      <c r="AM656" s="15"/>
      <c r="AN656" s="15"/>
      <c r="AO656" s="15"/>
      <c r="AP656" s="15"/>
      <c r="AQ656" s="15"/>
    </row>
    <row r="657">
      <c r="A657" s="15"/>
      <c r="B657" s="15"/>
      <c r="C657" s="15"/>
      <c r="D657" s="15"/>
      <c r="E657" s="15"/>
      <c r="F657" s="15"/>
      <c r="G657" s="15"/>
      <c r="H657" s="103"/>
      <c r="I657" s="15"/>
      <c r="J657" s="15"/>
      <c r="K657" s="15"/>
      <c r="L657" s="15"/>
      <c r="M657" s="15"/>
      <c r="N657" s="15"/>
      <c r="O657" s="103"/>
      <c r="P657" s="15"/>
      <c r="Q657" s="15"/>
      <c r="R657" s="15"/>
      <c r="S657" s="15"/>
      <c r="T657" s="15"/>
      <c r="U657" s="15"/>
      <c r="V657" s="103"/>
      <c r="W657" s="15"/>
      <c r="X657" s="15"/>
      <c r="Y657" s="15"/>
      <c r="Z657" s="15"/>
      <c r="AA657" s="15"/>
      <c r="AB657" s="15"/>
      <c r="AC657" s="103"/>
      <c r="AD657" s="15"/>
      <c r="AE657" s="15"/>
      <c r="AF657" s="15"/>
      <c r="AG657" s="15"/>
      <c r="AH657" s="15"/>
      <c r="AI657" s="15"/>
      <c r="AJ657" s="103"/>
      <c r="AK657" s="15"/>
      <c r="AL657" s="15"/>
      <c r="AM657" s="15"/>
      <c r="AN657" s="15"/>
      <c r="AO657" s="15"/>
      <c r="AP657" s="15"/>
      <c r="AQ657" s="15"/>
    </row>
    <row r="658">
      <c r="A658" s="15"/>
      <c r="B658" s="15"/>
      <c r="C658" s="15"/>
      <c r="D658" s="15"/>
      <c r="E658" s="15"/>
      <c r="F658" s="15"/>
      <c r="G658" s="15"/>
      <c r="H658" s="103"/>
      <c r="I658" s="15"/>
      <c r="J658" s="15"/>
      <c r="K658" s="15"/>
      <c r="L658" s="15"/>
      <c r="M658" s="15"/>
      <c r="N658" s="15"/>
      <c r="O658" s="103"/>
      <c r="P658" s="15"/>
      <c r="Q658" s="15"/>
      <c r="R658" s="15"/>
      <c r="S658" s="15"/>
      <c r="T658" s="15"/>
      <c r="U658" s="15"/>
      <c r="V658" s="103"/>
      <c r="W658" s="15"/>
      <c r="X658" s="15"/>
      <c r="Y658" s="15"/>
      <c r="Z658" s="15"/>
      <c r="AA658" s="15"/>
      <c r="AB658" s="15"/>
      <c r="AC658" s="103"/>
      <c r="AD658" s="15"/>
      <c r="AE658" s="15"/>
      <c r="AF658" s="15"/>
      <c r="AG658" s="15"/>
      <c r="AH658" s="15"/>
      <c r="AI658" s="15"/>
      <c r="AJ658" s="103"/>
      <c r="AK658" s="15"/>
      <c r="AL658" s="15"/>
      <c r="AM658" s="15"/>
      <c r="AN658" s="15"/>
      <c r="AO658" s="15"/>
      <c r="AP658" s="15"/>
      <c r="AQ658" s="15"/>
    </row>
    <row r="659">
      <c r="A659" s="15"/>
      <c r="B659" s="15"/>
      <c r="C659" s="15"/>
      <c r="D659" s="15"/>
      <c r="E659" s="15"/>
      <c r="F659" s="15"/>
      <c r="G659" s="15"/>
      <c r="H659" s="103"/>
      <c r="I659" s="15"/>
      <c r="J659" s="15"/>
      <c r="K659" s="15"/>
      <c r="L659" s="15"/>
      <c r="M659" s="15"/>
      <c r="N659" s="15"/>
      <c r="O659" s="103"/>
      <c r="P659" s="15"/>
      <c r="Q659" s="15"/>
      <c r="R659" s="15"/>
      <c r="S659" s="15"/>
      <c r="T659" s="15"/>
      <c r="U659" s="15"/>
      <c r="V659" s="103"/>
      <c r="W659" s="15"/>
      <c r="X659" s="15"/>
      <c r="Y659" s="15"/>
      <c r="Z659" s="15"/>
      <c r="AA659" s="15"/>
      <c r="AB659" s="15"/>
      <c r="AC659" s="103"/>
      <c r="AD659" s="15"/>
      <c r="AE659" s="15"/>
      <c r="AF659" s="15"/>
      <c r="AG659" s="15"/>
      <c r="AH659" s="15"/>
      <c r="AI659" s="15"/>
      <c r="AJ659" s="103"/>
      <c r="AK659" s="15"/>
      <c r="AL659" s="15"/>
      <c r="AM659" s="15"/>
      <c r="AN659" s="15"/>
      <c r="AO659" s="15"/>
      <c r="AP659" s="15"/>
      <c r="AQ659" s="15"/>
    </row>
    <row r="660">
      <c r="A660" s="15"/>
      <c r="B660" s="15"/>
      <c r="C660" s="15"/>
      <c r="D660" s="15"/>
      <c r="E660" s="15"/>
      <c r="F660" s="15"/>
      <c r="G660" s="15"/>
      <c r="H660" s="103"/>
      <c r="I660" s="15"/>
      <c r="J660" s="15"/>
      <c r="K660" s="15"/>
      <c r="L660" s="15"/>
      <c r="M660" s="15"/>
      <c r="N660" s="15"/>
      <c r="O660" s="103"/>
      <c r="P660" s="15"/>
      <c r="Q660" s="15"/>
      <c r="R660" s="15"/>
      <c r="S660" s="15"/>
      <c r="T660" s="15"/>
      <c r="U660" s="15"/>
      <c r="V660" s="103"/>
      <c r="W660" s="15"/>
      <c r="X660" s="15"/>
      <c r="Y660" s="15"/>
      <c r="Z660" s="15"/>
      <c r="AA660" s="15"/>
      <c r="AB660" s="15"/>
      <c r="AC660" s="103"/>
      <c r="AD660" s="15"/>
      <c r="AE660" s="15"/>
      <c r="AF660" s="15"/>
      <c r="AG660" s="15"/>
      <c r="AH660" s="15"/>
      <c r="AI660" s="15"/>
      <c r="AJ660" s="103"/>
      <c r="AK660" s="15"/>
      <c r="AL660" s="15"/>
      <c r="AM660" s="15"/>
      <c r="AN660" s="15"/>
      <c r="AO660" s="15"/>
      <c r="AP660" s="15"/>
      <c r="AQ660" s="15"/>
    </row>
    <row r="661">
      <c r="A661" s="15"/>
      <c r="B661" s="15"/>
      <c r="C661" s="15"/>
      <c r="D661" s="15"/>
      <c r="E661" s="15"/>
      <c r="F661" s="15"/>
      <c r="G661" s="15"/>
      <c r="H661" s="103"/>
      <c r="I661" s="15"/>
      <c r="J661" s="15"/>
      <c r="K661" s="15"/>
      <c r="L661" s="15"/>
      <c r="M661" s="15"/>
      <c r="N661" s="15"/>
      <c r="O661" s="103"/>
      <c r="P661" s="15"/>
      <c r="Q661" s="15"/>
      <c r="R661" s="15"/>
      <c r="S661" s="15"/>
      <c r="T661" s="15"/>
      <c r="U661" s="15"/>
      <c r="V661" s="103"/>
      <c r="W661" s="15"/>
      <c r="X661" s="15"/>
      <c r="Y661" s="15"/>
      <c r="Z661" s="15"/>
      <c r="AA661" s="15"/>
      <c r="AB661" s="15"/>
      <c r="AC661" s="103"/>
      <c r="AD661" s="15"/>
      <c r="AE661" s="15"/>
      <c r="AF661" s="15"/>
      <c r="AG661" s="15"/>
      <c r="AH661" s="15"/>
      <c r="AI661" s="15"/>
      <c r="AJ661" s="103"/>
      <c r="AK661" s="15"/>
      <c r="AL661" s="15"/>
      <c r="AM661" s="15"/>
      <c r="AN661" s="15"/>
      <c r="AO661" s="15"/>
      <c r="AP661" s="15"/>
      <c r="AQ661" s="15"/>
    </row>
    <row r="662">
      <c r="A662" s="15"/>
      <c r="B662" s="15"/>
      <c r="C662" s="15"/>
      <c r="D662" s="15"/>
      <c r="E662" s="15"/>
      <c r="F662" s="15"/>
      <c r="G662" s="15"/>
      <c r="H662" s="103"/>
      <c r="I662" s="15"/>
      <c r="J662" s="15"/>
      <c r="K662" s="15"/>
      <c r="L662" s="15"/>
      <c r="M662" s="15"/>
      <c r="N662" s="15"/>
      <c r="O662" s="103"/>
      <c r="P662" s="15"/>
      <c r="Q662" s="15"/>
      <c r="R662" s="15"/>
      <c r="S662" s="15"/>
      <c r="T662" s="15"/>
      <c r="U662" s="15"/>
      <c r="V662" s="103"/>
      <c r="W662" s="15"/>
      <c r="X662" s="15"/>
      <c r="Y662" s="15"/>
      <c r="Z662" s="15"/>
      <c r="AA662" s="15"/>
      <c r="AB662" s="15"/>
      <c r="AC662" s="103"/>
      <c r="AD662" s="15"/>
      <c r="AE662" s="15"/>
      <c r="AF662" s="15"/>
      <c r="AG662" s="15"/>
      <c r="AH662" s="15"/>
      <c r="AI662" s="15"/>
      <c r="AJ662" s="103"/>
      <c r="AK662" s="15"/>
      <c r="AL662" s="15"/>
      <c r="AM662" s="15"/>
      <c r="AN662" s="15"/>
      <c r="AO662" s="15"/>
      <c r="AP662" s="15"/>
      <c r="AQ662" s="15"/>
    </row>
    <row r="663">
      <c r="A663" s="15"/>
      <c r="B663" s="15"/>
      <c r="C663" s="15"/>
      <c r="D663" s="15"/>
      <c r="E663" s="15"/>
      <c r="F663" s="15"/>
      <c r="G663" s="15"/>
      <c r="H663" s="103"/>
      <c r="I663" s="15"/>
      <c r="J663" s="15"/>
      <c r="K663" s="15"/>
      <c r="L663" s="15"/>
      <c r="M663" s="15"/>
      <c r="N663" s="15"/>
      <c r="O663" s="103"/>
      <c r="P663" s="15"/>
      <c r="Q663" s="15"/>
      <c r="R663" s="15"/>
      <c r="S663" s="15"/>
      <c r="T663" s="15"/>
      <c r="U663" s="15"/>
      <c r="V663" s="103"/>
      <c r="W663" s="15"/>
      <c r="X663" s="15"/>
      <c r="Y663" s="15"/>
      <c r="Z663" s="15"/>
      <c r="AA663" s="15"/>
      <c r="AB663" s="15"/>
      <c r="AC663" s="103"/>
      <c r="AD663" s="15"/>
      <c r="AE663" s="15"/>
      <c r="AF663" s="15"/>
      <c r="AG663" s="15"/>
      <c r="AH663" s="15"/>
      <c r="AI663" s="15"/>
      <c r="AJ663" s="103"/>
      <c r="AK663" s="15"/>
      <c r="AL663" s="15"/>
      <c r="AM663" s="15"/>
      <c r="AN663" s="15"/>
      <c r="AO663" s="15"/>
      <c r="AP663" s="15"/>
      <c r="AQ663" s="15"/>
    </row>
    <row r="664">
      <c r="A664" s="15"/>
      <c r="B664" s="15"/>
      <c r="C664" s="15"/>
      <c r="D664" s="15"/>
      <c r="E664" s="15"/>
      <c r="F664" s="15"/>
      <c r="G664" s="15"/>
      <c r="H664" s="103"/>
      <c r="I664" s="15"/>
      <c r="J664" s="15"/>
      <c r="K664" s="15"/>
      <c r="L664" s="15"/>
      <c r="M664" s="15"/>
      <c r="N664" s="15"/>
      <c r="O664" s="103"/>
      <c r="P664" s="15"/>
      <c r="Q664" s="15"/>
      <c r="R664" s="15"/>
      <c r="S664" s="15"/>
      <c r="T664" s="15"/>
      <c r="U664" s="15"/>
      <c r="V664" s="103"/>
      <c r="W664" s="15"/>
      <c r="X664" s="15"/>
      <c r="Y664" s="15"/>
      <c r="Z664" s="15"/>
      <c r="AA664" s="15"/>
      <c r="AB664" s="15"/>
      <c r="AC664" s="103"/>
      <c r="AD664" s="15"/>
      <c r="AE664" s="15"/>
      <c r="AF664" s="15"/>
      <c r="AG664" s="15"/>
      <c r="AH664" s="15"/>
      <c r="AI664" s="15"/>
      <c r="AJ664" s="103"/>
      <c r="AK664" s="15"/>
      <c r="AL664" s="15"/>
      <c r="AM664" s="15"/>
      <c r="AN664" s="15"/>
      <c r="AO664" s="15"/>
      <c r="AP664" s="15"/>
      <c r="AQ664" s="15"/>
    </row>
    <row r="665">
      <c r="A665" s="15"/>
      <c r="B665" s="15"/>
      <c r="C665" s="15"/>
      <c r="D665" s="15"/>
      <c r="E665" s="15"/>
      <c r="F665" s="15"/>
      <c r="G665" s="15"/>
      <c r="H665" s="103"/>
      <c r="I665" s="15"/>
      <c r="J665" s="15"/>
      <c r="K665" s="15"/>
      <c r="L665" s="15"/>
      <c r="M665" s="15"/>
      <c r="N665" s="15"/>
      <c r="O665" s="103"/>
      <c r="P665" s="15"/>
      <c r="Q665" s="15"/>
      <c r="R665" s="15"/>
      <c r="S665" s="15"/>
      <c r="T665" s="15"/>
      <c r="U665" s="15"/>
      <c r="V665" s="103"/>
      <c r="W665" s="15"/>
      <c r="X665" s="15"/>
      <c r="Y665" s="15"/>
      <c r="Z665" s="15"/>
      <c r="AA665" s="15"/>
      <c r="AB665" s="15"/>
      <c r="AC665" s="103"/>
      <c r="AD665" s="15"/>
      <c r="AE665" s="15"/>
      <c r="AF665" s="15"/>
      <c r="AG665" s="15"/>
      <c r="AH665" s="15"/>
      <c r="AI665" s="15"/>
      <c r="AJ665" s="103"/>
      <c r="AK665" s="15"/>
      <c r="AL665" s="15"/>
      <c r="AM665" s="15"/>
      <c r="AN665" s="15"/>
      <c r="AO665" s="15"/>
      <c r="AP665" s="15"/>
      <c r="AQ665" s="15"/>
    </row>
    <row r="666">
      <c r="A666" s="15"/>
      <c r="B666" s="15"/>
      <c r="C666" s="15"/>
      <c r="D666" s="15"/>
      <c r="E666" s="15"/>
      <c r="F666" s="15"/>
      <c r="G666" s="15"/>
      <c r="H666" s="103"/>
      <c r="I666" s="15"/>
      <c r="J666" s="15"/>
      <c r="K666" s="15"/>
      <c r="L666" s="15"/>
      <c r="M666" s="15"/>
      <c r="N666" s="15"/>
      <c r="O666" s="103"/>
      <c r="P666" s="15"/>
      <c r="Q666" s="15"/>
      <c r="R666" s="15"/>
      <c r="S666" s="15"/>
      <c r="T666" s="15"/>
      <c r="U666" s="15"/>
      <c r="V666" s="103"/>
      <c r="W666" s="15"/>
      <c r="X666" s="15"/>
      <c r="Y666" s="15"/>
      <c r="Z666" s="15"/>
      <c r="AA666" s="15"/>
      <c r="AB666" s="15"/>
      <c r="AC666" s="103"/>
      <c r="AD666" s="15"/>
      <c r="AE666" s="15"/>
      <c r="AF666" s="15"/>
      <c r="AG666" s="15"/>
      <c r="AH666" s="15"/>
      <c r="AI666" s="15"/>
      <c r="AJ666" s="103"/>
      <c r="AK666" s="15"/>
      <c r="AL666" s="15"/>
      <c r="AM666" s="15"/>
      <c r="AN666" s="15"/>
      <c r="AO666" s="15"/>
      <c r="AP666" s="15"/>
      <c r="AQ666" s="15"/>
    </row>
    <row r="667">
      <c r="A667" s="15"/>
      <c r="B667" s="15"/>
      <c r="C667" s="15"/>
      <c r="D667" s="15"/>
      <c r="E667" s="15"/>
      <c r="F667" s="15"/>
      <c r="G667" s="15"/>
      <c r="H667" s="103"/>
      <c r="I667" s="15"/>
      <c r="J667" s="15"/>
      <c r="K667" s="15"/>
      <c r="L667" s="15"/>
      <c r="M667" s="15"/>
      <c r="N667" s="15"/>
      <c r="O667" s="103"/>
      <c r="P667" s="15"/>
      <c r="Q667" s="15"/>
      <c r="R667" s="15"/>
      <c r="S667" s="15"/>
      <c r="T667" s="15"/>
      <c r="U667" s="15"/>
      <c r="V667" s="103"/>
      <c r="W667" s="15"/>
      <c r="X667" s="15"/>
      <c r="Y667" s="15"/>
      <c r="Z667" s="15"/>
      <c r="AA667" s="15"/>
      <c r="AB667" s="15"/>
      <c r="AC667" s="103"/>
      <c r="AD667" s="15"/>
      <c r="AE667" s="15"/>
      <c r="AF667" s="15"/>
      <c r="AG667" s="15"/>
      <c r="AH667" s="15"/>
      <c r="AI667" s="15"/>
      <c r="AJ667" s="103"/>
      <c r="AK667" s="15"/>
      <c r="AL667" s="15"/>
      <c r="AM667" s="15"/>
      <c r="AN667" s="15"/>
      <c r="AO667" s="15"/>
      <c r="AP667" s="15"/>
      <c r="AQ667" s="15"/>
    </row>
    <row r="668">
      <c r="A668" s="15"/>
      <c r="B668" s="15"/>
      <c r="C668" s="15"/>
      <c r="D668" s="15"/>
      <c r="E668" s="15"/>
      <c r="F668" s="15"/>
      <c r="G668" s="15"/>
      <c r="H668" s="103"/>
      <c r="I668" s="15"/>
      <c r="J668" s="15"/>
      <c r="K668" s="15"/>
      <c r="L668" s="15"/>
      <c r="M668" s="15"/>
      <c r="N668" s="15"/>
      <c r="O668" s="103"/>
      <c r="P668" s="15"/>
      <c r="Q668" s="15"/>
      <c r="R668" s="15"/>
      <c r="S668" s="15"/>
      <c r="T668" s="15"/>
      <c r="U668" s="15"/>
      <c r="V668" s="103"/>
      <c r="W668" s="15"/>
      <c r="X668" s="15"/>
      <c r="Y668" s="15"/>
      <c r="Z668" s="15"/>
      <c r="AA668" s="15"/>
      <c r="AB668" s="15"/>
      <c r="AC668" s="103"/>
      <c r="AD668" s="15"/>
      <c r="AE668" s="15"/>
      <c r="AF668" s="15"/>
      <c r="AG668" s="15"/>
      <c r="AH668" s="15"/>
      <c r="AI668" s="15"/>
      <c r="AJ668" s="103"/>
      <c r="AK668" s="15"/>
      <c r="AL668" s="15"/>
      <c r="AM668" s="15"/>
      <c r="AN668" s="15"/>
      <c r="AO668" s="15"/>
      <c r="AP668" s="15"/>
      <c r="AQ668" s="15"/>
    </row>
    <row r="669">
      <c r="A669" s="15"/>
      <c r="B669" s="15"/>
      <c r="C669" s="15"/>
      <c r="D669" s="15"/>
      <c r="E669" s="15"/>
      <c r="F669" s="15"/>
      <c r="G669" s="15"/>
      <c r="H669" s="103"/>
      <c r="I669" s="15"/>
      <c r="J669" s="15"/>
      <c r="K669" s="15"/>
      <c r="L669" s="15"/>
      <c r="M669" s="15"/>
      <c r="N669" s="15"/>
      <c r="O669" s="103"/>
      <c r="P669" s="15"/>
      <c r="Q669" s="15"/>
      <c r="R669" s="15"/>
      <c r="S669" s="15"/>
      <c r="T669" s="15"/>
      <c r="U669" s="15"/>
      <c r="V669" s="103"/>
      <c r="W669" s="15"/>
      <c r="X669" s="15"/>
      <c r="Y669" s="15"/>
      <c r="Z669" s="15"/>
      <c r="AA669" s="15"/>
      <c r="AB669" s="15"/>
      <c r="AC669" s="103"/>
      <c r="AD669" s="15"/>
      <c r="AE669" s="15"/>
      <c r="AF669" s="15"/>
      <c r="AG669" s="15"/>
      <c r="AH669" s="15"/>
      <c r="AI669" s="15"/>
      <c r="AJ669" s="103"/>
      <c r="AK669" s="15"/>
      <c r="AL669" s="15"/>
      <c r="AM669" s="15"/>
      <c r="AN669" s="15"/>
      <c r="AO669" s="15"/>
      <c r="AP669" s="15"/>
      <c r="AQ669" s="15"/>
    </row>
    <row r="670">
      <c r="A670" s="15"/>
      <c r="B670" s="15"/>
      <c r="C670" s="15"/>
      <c r="D670" s="15"/>
      <c r="E670" s="15"/>
      <c r="F670" s="15"/>
      <c r="G670" s="15"/>
      <c r="H670" s="103"/>
      <c r="I670" s="15"/>
      <c r="J670" s="15"/>
      <c r="K670" s="15"/>
      <c r="L670" s="15"/>
      <c r="M670" s="15"/>
      <c r="N670" s="15"/>
      <c r="O670" s="103"/>
      <c r="P670" s="15"/>
      <c r="Q670" s="15"/>
      <c r="R670" s="15"/>
      <c r="S670" s="15"/>
      <c r="T670" s="15"/>
      <c r="U670" s="15"/>
      <c r="V670" s="103"/>
      <c r="W670" s="15"/>
      <c r="X670" s="15"/>
      <c r="Y670" s="15"/>
      <c r="Z670" s="15"/>
      <c r="AA670" s="15"/>
      <c r="AB670" s="15"/>
      <c r="AC670" s="103"/>
      <c r="AD670" s="15"/>
      <c r="AE670" s="15"/>
      <c r="AF670" s="15"/>
      <c r="AG670" s="15"/>
      <c r="AH670" s="15"/>
      <c r="AI670" s="15"/>
      <c r="AJ670" s="103"/>
      <c r="AK670" s="15"/>
      <c r="AL670" s="15"/>
      <c r="AM670" s="15"/>
      <c r="AN670" s="15"/>
      <c r="AO670" s="15"/>
      <c r="AP670" s="15"/>
      <c r="AQ670" s="15"/>
    </row>
    <row r="671">
      <c r="A671" s="15"/>
      <c r="B671" s="15"/>
      <c r="C671" s="15"/>
      <c r="D671" s="15"/>
      <c r="E671" s="15"/>
      <c r="F671" s="15"/>
      <c r="G671" s="15"/>
      <c r="H671" s="103"/>
      <c r="I671" s="15"/>
      <c r="J671" s="15"/>
      <c r="K671" s="15"/>
      <c r="L671" s="15"/>
      <c r="M671" s="15"/>
      <c r="N671" s="15"/>
      <c r="O671" s="103"/>
      <c r="P671" s="15"/>
      <c r="Q671" s="15"/>
      <c r="R671" s="15"/>
      <c r="S671" s="15"/>
      <c r="T671" s="15"/>
      <c r="U671" s="15"/>
      <c r="V671" s="103"/>
      <c r="W671" s="15"/>
      <c r="X671" s="15"/>
      <c r="Y671" s="15"/>
      <c r="Z671" s="15"/>
      <c r="AA671" s="15"/>
      <c r="AB671" s="15"/>
      <c r="AC671" s="103"/>
      <c r="AD671" s="15"/>
      <c r="AE671" s="15"/>
      <c r="AF671" s="15"/>
      <c r="AG671" s="15"/>
      <c r="AH671" s="15"/>
      <c r="AI671" s="15"/>
      <c r="AJ671" s="103"/>
      <c r="AK671" s="15"/>
      <c r="AL671" s="15"/>
      <c r="AM671" s="15"/>
      <c r="AN671" s="15"/>
      <c r="AO671" s="15"/>
      <c r="AP671" s="15"/>
      <c r="AQ671" s="15"/>
    </row>
    <row r="672">
      <c r="A672" s="15"/>
      <c r="B672" s="15"/>
      <c r="C672" s="15"/>
      <c r="D672" s="15"/>
      <c r="E672" s="15"/>
      <c r="F672" s="15"/>
      <c r="G672" s="15"/>
      <c r="H672" s="103"/>
      <c r="I672" s="15"/>
      <c r="J672" s="15"/>
      <c r="K672" s="15"/>
      <c r="L672" s="15"/>
      <c r="M672" s="15"/>
      <c r="N672" s="15"/>
      <c r="O672" s="103"/>
      <c r="P672" s="15"/>
      <c r="Q672" s="15"/>
      <c r="R672" s="15"/>
      <c r="S672" s="15"/>
      <c r="T672" s="15"/>
      <c r="U672" s="15"/>
      <c r="V672" s="103"/>
      <c r="W672" s="15"/>
      <c r="X672" s="15"/>
      <c r="Y672" s="15"/>
      <c r="Z672" s="15"/>
      <c r="AA672" s="15"/>
      <c r="AB672" s="15"/>
      <c r="AC672" s="103"/>
      <c r="AD672" s="15"/>
      <c r="AE672" s="15"/>
      <c r="AF672" s="15"/>
      <c r="AG672" s="15"/>
      <c r="AH672" s="15"/>
      <c r="AI672" s="15"/>
      <c r="AJ672" s="103"/>
      <c r="AK672" s="15"/>
      <c r="AL672" s="15"/>
      <c r="AM672" s="15"/>
      <c r="AN672" s="15"/>
      <c r="AO672" s="15"/>
      <c r="AP672" s="15"/>
      <c r="AQ672" s="15"/>
    </row>
    <row r="673">
      <c r="A673" s="15"/>
      <c r="B673" s="15"/>
      <c r="C673" s="15"/>
      <c r="D673" s="15"/>
      <c r="E673" s="15"/>
      <c r="F673" s="15"/>
      <c r="G673" s="15"/>
      <c r="H673" s="103"/>
      <c r="I673" s="15"/>
      <c r="J673" s="15"/>
      <c r="K673" s="15"/>
      <c r="L673" s="15"/>
      <c r="M673" s="15"/>
      <c r="N673" s="15"/>
      <c r="O673" s="103"/>
      <c r="P673" s="15"/>
      <c r="Q673" s="15"/>
      <c r="R673" s="15"/>
      <c r="S673" s="15"/>
      <c r="T673" s="15"/>
      <c r="U673" s="15"/>
      <c r="V673" s="103"/>
      <c r="W673" s="15"/>
      <c r="X673" s="15"/>
      <c r="Y673" s="15"/>
      <c r="Z673" s="15"/>
      <c r="AA673" s="15"/>
      <c r="AB673" s="15"/>
      <c r="AC673" s="103"/>
      <c r="AD673" s="15"/>
      <c r="AE673" s="15"/>
      <c r="AF673" s="15"/>
      <c r="AG673" s="15"/>
      <c r="AH673" s="15"/>
      <c r="AI673" s="15"/>
      <c r="AJ673" s="103"/>
      <c r="AK673" s="15"/>
      <c r="AL673" s="15"/>
      <c r="AM673" s="15"/>
      <c r="AN673" s="15"/>
      <c r="AO673" s="15"/>
      <c r="AP673" s="15"/>
      <c r="AQ673" s="15"/>
    </row>
    <row r="674">
      <c r="A674" s="15"/>
      <c r="B674" s="15"/>
      <c r="C674" s="15"/>
      <c r="D674" s="15"/>
      <c r="E674" s="15"/>
      <c r="F674" s="15"/>
      <c r="G674" s="15"/>
      <c r="H674" s="103"/>
      <c r="I674" s="15"/>
      <c r="J674" s="15"/>
      <c r="K674" s="15"/>
      <c r="L674" s="15"/>
      <c r="M674" s="15"/>
      <c r="N674" s="15"/>
      <c r="O674" s="103"/>
      <c r="P674" s="15"/>
      <c r="Q674" s="15"/>
      <c r="R674" s="15"/>
      <c r="S674" s="15"/>
      <c r="T674" s="15"/>
      <c r="U674" s="15"/>
      <c r="V674" s="103"/>
      <c r="W674" s="15"/>
      <c r="X674" s="15"/>
      <c r="Y674" s="15"/>
      <c r="Z674" s="15"/>
      <c r="AA674" s="15"/>
      <c r="AB674" s="15"/>
      <c r="AC674" s="103"/>
      <c r="AD674" s="15"/>
      <c r="AE674" s="15"/>
      <c r="AF674" s="15"/>
      <c r="AG674" s="15"/>
      <c r="AH674" s="15"/>
      <c r="AI674" s="15"/>
      <c r="AJ674" s="103"/>
      <c r="AK674" s="15"/>
      <c r="AL674" s="15"/>
      <c r="AM674" s="15"/>
      <c r="AN674" s="15"/>
      <c r="AO674" s="15"/>
      <c r="AP674" s="15"/>
      <c r="AQ674" s="15"/>
    </row>
    <row r="675">
      <c r="A675" s="15"/>
      <c r="B675" s="15"/>
      <c r="C675" s="15"/>
      <c r="D675" s="15"/>
      <c r="E675" s="15"/>
      <c r="F675" s="15"/>
      <c r="G675" s="15"/>
      <c r="H675" s="103"/>
      <c r="I675" s="15"/>
      <c r="J675" s="15"/>
      <c r="K675" s="15"/>
      <c r="L675" s="15"/>
      <c r="M675" s="15"/>
      <c r="N675" s="15"/>
      <c r="O675" s="103"/>
      <c r="P675" s="15"/>
      <c r="Q675" s="15"/>
      <c r="R675" s="15"/>
      <c r="S675" s="15"/>
      <c r="T675" s="15"/>
      <c r="U675" s="15"/>
      <c r="V675" s="103"/>
      <c r="W675" s="15"/>
      <c r="X675" s="15"/>
      <c r="Y675" s="15"/>
      <c r="Z675" s="15"/>
      <c r="AA675" s="15"/>
      <c r="AB675" s="15"/>
      <c r="AC675" s="103"/>
      <c r="AD675" s="15"/>
      <c r="AE675" s="15"/>
      <c r="AF675" s="15"/>
      <c r="AG675" s="15"/>
      <c r="AH675" s="15"/>
      <c r="AI675" s="15"/>
      <c r="AJ675" s="103"/>
      <c r="AK675" s="15"/>
      <c r="AL675" s="15"/>
      <c r="AM675" s="15"/>
      <c r="AN675" s="15"/>
      <c r="AO675" s="15"/>
      <c r="AP675" s="15"/>
      <c r="AQ675" s="15"/>
    </row>
    <row r="676">
      <c r="A676" s="15"/>
      <c r="B676" s="15"/>
      <c r="C676" s="15"/>
      <c r="D676" s="15"/>
      <c r="E676" s="15"/>
      <c r="F676" s="15"/>
      <c r="G676" s="15"/>
      <c r="H676" s="103"/>
      <c r="I676" s="15"/>
      <c r="J676" s="15"/>
      <c r="K676" s="15"/>
      <c r="L676" s="15"/>
      <c r="M676" s="15"/>
      <c r="N676" s="15"/>
      <c r="O676" s="103"/>
      <c r="P676" s="15"/>
      <c r="Q676" s="15"/>
      <c r="R676" s="15"/>
      <c r="S676" s="15"/>
      <c r="T676" s="15"/>
      <c r="U676" s="15"/>
      <c r="V676" s="103"/>
      <c r="W676" s="15"/>
      <c r="X676" s="15"/>
      <c r="Y676" s="15"/>
      <c r="Z676" s="15"/>
      <c r="AA676" s="15"/>
      <c r="AB676" s="15"/>
      <c r="AC676" s="103"/>
      <c r="AD676" s="15"/>
      <c r="AE676" s="15"/>
      <c r="AF676" s="15"/>
      <c r="AG676" s="15"/>
      <c r="AH676" s="15"/>
      <c r="AI676" s="15"/>
      <c r="AJ676" s="103"/>
      <c r="AK676" s="15"/>
      <c r="AL676" s="15"/>
      <c r="AM676" s="15"/>
      <c r="AN676" s="15"/>
      <c r="AO676" s="15"/>
      <c r="AP676" s="15"/>
      <c r="AQ676" s="15"/>
    </row>
    <row r="677">
      <c r="A677" s="15"/>
      <c r="B677" s="15"/>
      <c r="C677" s="15"/>
      <c r="D677" s="15"/>
      <c r="E677" s="15"/>
      <c r="F677" s="15"/>
      <c r="G677" s="15"/>
      <c r="H677" s="103"/>
      <c r="I677" s="15"/>
      <c r="J677" s="15"/>
      <c r="K677" s="15"/>
      <c r="L677" s="15"/>
      <c r="M677" s="15"/>
      <c r="N677" s="15"/>
      <c r="O677" s="103"/>
      <c r="P677" s="15"/>
      <c r="Q677" s="15"/>
      <c r="R677" s="15"/>
      <c r="S677" s="15"/>
      <c r="T677" s="15"/>
      <c r="U677" s="15"/>
      <c r="V677" s="103"/>
      <c r="W677" s="15"/>
      <c r="X677" s="15"/>
      <c r="Y677" s="15"/>
      <c r="Z677" s="15"/>
      <c r="AA677" s="15"/>
      <c r="AB677" s="15"/>
      <c r="AC677" s="103"/>
      <c r="AD677" s="15"/>
      <c r="AE677" s="15"/>
      <c r="AF677" s="15"/>
      <c r="AG677" s="15"/>
      <c r="AH677" s="15"/>
      <c r="AI677" s="15"/>
      <c r="AJ677" s="103"/>
      <c r="AK677" s="15"/>
      <c r="AL677" s="15"/>
      <c r="AM677" s="15"/>
      <c r="AN677" s="15"/>
      <c r="AO677" s="15"/>
      <c r="AP677" s="15"/>
      <c r="AQ677" s="15"/>
    </row>
    <row r="678">
      <c r="A678" s="15"/>
      <c r="B678" s="15"/>
      <c r="C678" s="15"/>
      <c r="D678" s="15"/>
      <c r="E678" s="15"/>
      <c r="F678" s="15"/>
      <c r="G678" s="15"/>
      <c r="H678" s="103"/>
      <c r="I678" s="15"/>
      <c r="J678" s="15"/>
      <c r="K678" s="15"/>
      <c r="L678" s="15"/>
      <c r="M678" s="15"/>
      <c r="N678" s="15"/>
      <c r="O678" s="103"/>
      <c r="P678" s="15"/>
      <c r="Q678" s="15"/>
      <c r="R678" s="15"/>
      <c r="S678" s="15"/>
      <c r="T678" s="15"/>
      <c r="U678" s="15"/>
      <c r="V678" s="103"/>
      <c r="W678" s="15"/>
      <c r="X678" s="15"/>
      <c r="Y678" s="15"/>
      <c r="Z678" s="15"/>
      <c r="AA678" s="15"/>
      <c r="AB678" s="15"/>
      <c r="AC678" s="103"/>
      <c r="AD678" s="15"/>
      <c r="AE678" s="15"/>
      <c r="AF678" s="15"/>
      <c r="AG678" s="15"/>
      <c r="AH678" s="15"/>
      <c r="AI678" s="15"/>
      <c r="AJ678" s="103"/>
      <c r="AK678" s="15"/>
      <c r="AL678" s="15"/>
      <c r="AM678" s="15"/>
      <c r="AN678" s="15"/>
      <c r="AO678" s="15"/>
      <c r="AP678" s="15"/>
      <c r="AQ678" s="15"/>
    </row>
    <row r="679">
      <c r="A679" s="15"/>
      <c r="B679" s="15"/>
      <c r="C679" s="15"/>
      <c r="D679" s="15"/>
      <c r="E679" s="15"/>
      <c r="F679" s="15"/>
      <c r="G679" s="15"/>
      <c r="H679" s="103"/>
      <c r="I679" s="15"/>
      <c r="J679" s="15"/>
      <c r="K679" s="15"/>
      <c r="L679" s="15"/>
      <c r="M679" s="15"/>
      <c r="N679" s="15"/>
      <c r="O679" s="103"/>
      <c r="P679" s="15"/>
      <c r="Q679" s="15"/>
      <c r="R679" s="15"/>
      <c r="S679" s="15"/>
      <c r="T679" s="15"/>
      <c r="U679" s="15"/>
      <c r="V679" s="103"/>
      <c r="W679" s="15"/>
      <c r="X679" s="15"/>
      <c r="Y679" s="15"/>
      <c r="Z679" s="15"/>
      <c r="AA679" s="15"/>
      <c r="AB679" s="15"/>
      <c r="AC679" s="103"/>
      <c r="AD679" s="15"/>
      <c r="AE679" s="15"/>
      <c r="AF679" s="15"/>
      <c r="AG679" s="15"/>
      <c r="AH679" s="15"/>
      <c r="AI679" s="15"/>
      <c r="AJ679" s="103"/>
      <c r="AK679" s="15"/>
      <c r="AL679" s="15"/>
      <c r="AM679" s="15"/>
      <c r="AN679" s="15"/>
      <c r="AO679" s="15"/>
      <c r="AP679" s="15"/>
      <c r="AQ679" s="15"/>
    </row>
    <row r="680">
      <c r="A680" s="15"/>
      <c r="B680" s="15"/>
      <c r="C680" s="15"/>
      <c r="D680" s="15"/>
      <c r="E680" s="15"/>
      <c r="F680" s="15"/>
      <c r="G680" s="15"/>
      <c r="H680" s="103"/>
      <c r="I680" s="15"/>
      <c r="J680" s="15"/>
      <c r="K680" s="15"/>
      <c r="L680" s="15"/>
      <c r="M680" s="15"/>
      <c r="N680" s="15"/>
      <c r="O680" s="103"/>
      <c r="P680" s="15"/>
      <c r="Q680" s="15"/>
      <c r="R680" s="15"/>
      <c r="S680" s="15"/>
      <c r="T680" s="15"/>
      <c r="U680" s="15"/>
      <c r="V680" s="103"/>
      <c r="W680" s="15"/>
      <c r="X680" s="15"/>
      <c r="Y680" s="15"/>
      <c r="Z680" s="15"/>
      <c r="AA680" s="15"/>
      <c r="AB680" s="15"/>
      <c r="AC680" s="103"/>
      <c r="AD680" s="15"/>
      <c r="AE680" s="15"/>
      <c r="AF680" s="15"/>
      <c r="AG680" s="15"/>
      <c r="AH680" s="15"/>
      <c r="AI680" s="15"/>
      <c r="AJ680" s="103"/>
      <c r="AK680" s="15"/>
      <c r="AL680" s="15"/>
      <c r="AM680" s="15"/>
      <c r="AN680" s="15"/>
      <c r="AO680" s="15"/>
      <c r="AP680" s="15"/>
      <c r="AQ680" s="15"/>
    </row>
    <row r="681">
      <c r="A681" s="15"/>
      <c r="B681" s="15"/>
      <c r="C681" s="15"/>
      <c r="D681" s="15"/>
      <c r="E681" s="15"/>
      <c r="F681" s="15"/>
      <c r="G681" s="15"/>
      <c r="H681" s="103"/>
      <c r="I681" s="15"/>
      <c r="J681" s="15"/>
      <c r="K681" s="15"/>
      <c r="L681" s="15"/>
      <c r="M681" s="15"/>
      <c r="N681" s="15"/>
      <c r="O681" s="103"/>
      <c r="P681" s="15"/>
      <c r="Q681" s="15"/>
      <c r="R681" s="15"/>
      <c r="S681" s="15"/>
      <c r="T681" s="15"/>
      <c r="U681" s="15"/>
      <c r="V681" s="103"/>
      <c r="W681" s="15"/>
      <c r="X681" s="15"/>
      <c r="Y681" s="15"/>
      <c r="Z681" s="15"/>
      <c r="AA681" s="15"/>
      <c r="AB681" s="15"/>
      <c r="AC681" s="103"/>
      <c r="AD681" s="15"/>
      <c r="AE681" s="15"/>
      <c r="AF681" s="15"/>
      <c r="AG681" s="15"/>
      <c r="AH681" s="15"/>
      <c r="AI681" s="15"/>
      <c r="AJ681" s="103"/>
      <c r="AK681" s="15"/>
      <c r="AL681" s="15"/>
      <c r="AM681" s="15"/>
      <c r="AN681" s="15"/>
      <c r="AO681" s="15"/>
      <c r="AP681" s="15"/>
      <c r="AQ681" s="15"/>
    </row>
    <row r="682">
      <c r="A682" s="15"/>
      <c r="B682" s="15"/>
      <c r="C682" s="15"/>
      <c r="D682" s="15"/>
      <c r="E682" s="15"/>
      <c r="F682" s="15"/>
      <c r="G682" s="15"/>
      <c r="H682" s="103"/>
      <c r="I682" s="15"/>
      <c r="J682" s="15"/>
      <c r="K682" s="15"/>
      <c r="L682" s="15"/>
      <c r="M682" s="15"/>
      <c r="N682" s="15"/>
      <c r="O682" s="103"/>
      <c r="P682" s="15"/>
      <c r="Q682" s="15"/>
      <c r="R682" s="15"/>
      <c r="S682" s="15"/>
      <c r="T682" s="15"/>
      <c r="U682" s="15"/>
      <c r="V682" s="103"/>
      <c r="W682" s="15"/>
      <c r="X682" s="15"/>
      <c r="Y682" s="15"/>
      <c r="Z682" s="15"/>
      <c r="AA682" s="15"/>
      <c r="AB682" s="15"/>
      <c r="AC682" s="103"/>
      <c r="AD682" s="15"/>
      <c r="AE682" s="15"/>
      <c r="AF682" s="15"/>
      <c r="AG682" s="15"/>
      <c r="AH682" s="15"/>
      <c r="AI682" s="15"/>
      <c r="AJ682" s="103"/>
      <c r="AK682" s="15"/>
      <c r="AL682" s="15"/>
      <c r="AM682" s="15"/>
      <c r="AN682" s="15"/>
      <c r="AO682" s="15"/>
      <c r="AP682" s="15"/>
      <c r="AQ682" s="15"/>
    </row>
    <row r="683">
      <c r="A683" s="15"/>
      <c r="B683" s="15"/>
      <c r="C683" s="15"/>
      <c r="D683" s="15"/>
      <c r="E683" s="15"/>
      <c r="F683" s="15"/>
      <c r="G683" s="15"/>
      <c r="H683" s="103"/>
      <c r="I683" s="15"/>
      <c r="J683" s="15"/>
      <c r="K683" s="15"/>
      <c r="L683" s="15"/>
      <c r="M683" s="15"/>
      <c r="N683" s="15"/>
      <c r="O683" s="103"/>
      <c r="P683" s="15"/>
      <c r="Q683" s="15"/>
      <c r="R683" s="15"/>
      <c r="S683" s="15"/>
      <c r="T683" s="15"/>
      <c r="U683" s="15"/>
      <c r="V683" s="103"/>
      <c r="W683" s="15"/>
      <c r="X683" s="15"/>
      <c r="Y683" s="15"/>
      <c r="Z683" s="15"/>
      <c r="AA683" s="15"/>
      <c r="AB683" s="15"/>
      <c r="AC683" s="103"/>
      <c r="AD683" s="15"/>
      <c r="AE683" s="15"/>
      <c r="AF683" s="15"/>
      <c r="AG683" s="15"/>
      <c r="AH683" s="15"/>
      <c r="AI683" s="15"/>
      <c r="AJ683" s="103"/>
      <c r="AK683" s="15"/>
      <c r="AL683" s="15"/>
      <c r="AM683" s="15"/>
      <c r="AN683" s="15"/>
      <c r="AO683" s="15"/>
      <c r="AP683" s="15"/>
      <c r="AQ683" s="15"/>
    </row>
    <row r="684">
      <c r="A684" s="15"/>
      <c r="B684" s="15"/>
      <c r="C684" s="15"/>
      <c r="D684" s="15"/>
      <c r="E684" s="15"/>
      <c r="F684" s="15"/>
      <c r="G684" s="15"/>
      <c r="H684" s="103"/>
      <c r="I684" s="15"/>
      <c r="J684" s="15"/>
      <c r="K684" s="15"/>
      <c r="L684" s="15"/>
      <c r="M684" s="15"/>
      <c r="N684" s="15"/>
      <c r="O684" s="103"/>
      <c r="P684" s="15"/>
      <c r="Q684" s="15"/>
      <c r="R684" s="15"/>
      <c r="S684" s="15"/>
      <c r="T684" s="15"/>
      <c r="U684" s="15"/>
      <c r="V684" s="103"/>
      <c r="W684" s="15"/>
      <c r="X684" s="15"/>
      <c r="Y684" s="15"/>
      <c r="Z684" s="15"/>
      <c r="AA684" s="15"/>
      <c r="AB684" s="15"/>
      <c r="AC684" s="103"/>
      <c r="AD684" s="15"/>
      <c r="AE684" s="15"/>
      <c r="AF684" s="15"/>
      <c r="AG684" s="15"/>
      <c r="AH684" s="15"/>
      <c r="AI684" s="15"/>
      <c r="AJ684" s="103"/>
      <c r="AK684" s="15"/>
      <c r="AL684" s="15"/>
      <c r="AM684" s="15"/>
      <c r="AN684" s="15"/>
      <c r="AO684" s="15"/>
      <c r="AP684" s="15"/>
      <c r="AQ684" s="15"/>
    </row>
    <row r="685">
      <c r="A685" s="15"/>
      <c r="B685" s="15"/>
      <c r="C685" s="15"/>
      <c r="D685" s="15"/>
      <c r="E685" s="15"/>
      <c r="F685" s="15"/>
      <c r="G685" s="15"/>
      <c r="H685" s="103"/>
      <c r="I685" s="15"/>
      <c r="J685" s="15"/>
      <c r="K685" s="15"/>
      <c r="L685" s="15"/>
      <c r="M685" s="15"/>
      <c r="N685" s="15"/>
      <c r="O685" s="103"/>
      <c r="P685" s="15"/>
      <c r="Q685" s="15"/>
      <c r="R685" s="15"/>
      <c r="S685" s="15"/>
      <c r="T685" s="15"/>
      <c r="U685" s="15"/>
      <c r="V685" s="103"/>
      <c r="W685" s="15"/>
      <c r="X685" s="15"/>
      <c r="Y685" s="15"/>
      <c r="Z685" s="15"/>
      <c r="AA685" s="15"/>
      <c r="AB685" s="15"/>
      <c r="AC685" s="103"/>
      <c r="AD685" s="15"/>
      <c r="AE685" s="15"/>
      <c r="AF685" s="15"/>
      <c r="AG685" s="15"/>
      <c r="AH685" s="15"/>
      <c r="AI685" s="15"/>
      <c r="AJ685" s="103"/>
      <c r="AK685" s="15"/>
      <c r="AL685" s="15"/>
      <c r="AM685" s="15"/>
      <c r="AN685" s="15"/>
      <c r="AO685" s="15"/>
      <c r="AP685" s="15"/>
      <c r="AQ685" s="15"/>
    </row>
    <row r="686">
      <c r="A686" s="15"/>
      <c r="B686" s="15"/>
      <c r="C686" s="15"/>
      <c r="D686" s="15"/>
      <c r="E686" s="15"/>
      <c r="F686" s="15"/>
      <c r="G686" s="15"/>
      <c r="H686" s="103"/>
      <c r="I686" s="15"/>
      <c r="J686" s="15"/>
      <c r="K686" s="15"/>
      <c r="L686" s="15"/>
      <c r="M686" s="15"/>
      <c r="N686" s="15"/>
      <c r="O686" s="103"/>
      <c r="P686" s="15"/>
      <c r="Q686" s="15"/>
      <c r="R686" s="15"/>
      <c r="S686" s="15"/>
      <c r="T686" s="15"/>
      <c r="U686" s="15"/>
      <c r="V686" s="103"/>
      <c r="W686" s="15"/>
      <c r="X686" s="15"/>
      <c r="Y686" s="15"/>
      <c r="Z686" s="15"/>
      <c r="AA686" s="15"/>
      <c r="AB686" s="15"/>
      <c r="AC686" s="103"/>
      <c r="AD686" s="15"/>
      <c r="AE686" s="15"/>
      <c r="AF686" s="15"/>
      <c r="AG686" s="15"/>
      <c r="AH686" s="15"/>
      <c r="AI686" s="15"/>
      <c r="AJ686" s="103"/>
      <c r="AK686" s="15"/>
      <c r="AL686" s="15"/>
      <c r="AM686" s="15"/>
      <c r="AN686" s="15"/>
      <c r="AO686" s="15"/>
      <c r="AP686" s="15"/>
      <c r="AQ686" s="15"/>
    </row>
    <row r="687">
      <c r="A687" s="15"/>
      <c r="B687" s="15"/>
      <c r="C687" s="15"/>
      <c r="D687" s="15"/>
      <c r="E687" s="15"/>
      <c r="F687" s="15"/>
      <c r="G687" s="15"/>
      <c r="H687" s="103"/>
      <c r="I687" s="15"/>
      <c r="J687" s="15"/>
      <c r="K687" s="15"/>
      <c r="L687" s="15"/>
      <c r="M687" s="15"/>
      <c r="N687" s="15"/>
      <c r="O687" s="103"/>
      <c r="P687" s="15"/>
      <c r="Q687" s="15"/>
      <c r="R687" s="15"/>
      <c r="S687" s="15"/>
      <c r="T687" s="15"/>
      <c r="U687" s="15"/>
      <c r="V687" s="103"/>
      <c r="W687" s="15"/>
      <c r="X687" s="15"/>
      <c r="Y687" s="15"/>
      <c r="Z687" s="15"/>
      <c r="AA687" s="15"/>
      <c r="AB687" s="15"/>
      <c r="AC687" s="103"/>
      <c r="AD687" s="15"/>
      <c r="AE687" s="15"/>
      <c r="AF687" s="15"/>
      <c r="AG687" s="15"/>
      <c r="AH687" s="15"/>
      <c r="AI687" s="15"/>
      <c r="AJ687" s="103"/>
      <c r="AK687" s="15"/>
      <c r="AL687" s="15"/>
      <c r="AM687" s="15"/>
      <c r="AN687" s="15"/>
      <c r="AO687" s="15"/>
      <c r="AP687" s="15"/>
      <c r="AQ687" s="15"/>
    </row>
    <row r="688">
      <c r="A688" s="15"/>
      <c r="B688" s="15"/>
      <c r="C688" s="15"/>
      <c r="D688" s="15"/>
      <c r="E688" s="15"/>
      <c r="F688" s="15"/>
      <c r="G688" s="15"/>
      <c r="H688" s="103"/>
      <c r="I688" s="15"/>
      <c r="J688" s="15"/>
      <c r="K688" s="15"/>
      <c r="L688" s="15"/>
      <c r="M688" s="15"/>
      <c r="N688" s="15"/>
      <c r="O688" s="103"/>
      <c r="P688" s="15"/>
      <c r="Q688" s="15"/>
      <c r="R688" s="15"/>
      <c r="S688" s="15"/>
      <c r="T688" s="15"/>
      <c r="U688" s="15"/>
      <c r="V688" s="103"/>
      <c r="W688" s="15"/>
      <c r="X688" s="15"/>
      <c r="Y688" s="15"/>
      <c r="Z688" s="15"/>
      <c r="AA688" s="15"/>
      <c r="AB688" s="15"/>
      <c r="AC688" s="103"/>
      <c r="AD688" s="15"/>
      <c r="AE688" s="15"/>
      <c r="AF688" s="15"/>
      <c r="AG688" s="15"/>
      <c r="AH688" s="15"/>
      <c r="AI688" s="15"/>
      <c r="AJ688" s="103"/>
      <c r="AK688" s="15"/>
      <c r="AL688" s="15"/>
      <c r="AM688" s="15"/>
      <c r="AN688" s="15"/>
      <c r="AO688" s="15"/>
      <c r="AP688" s="15"/>
      <c r="AQ688" s="15"/>
    </row>
    <row r="689">
      <c r="A689" s="15"/>
      <c r="B689" s="15"/>
      <c r="C689" s="15"/>
      <c r="D689" s="15"/>
      <c r="E689" s="15"/>
      <c r="F689" s="15"/>
      <c r="G689" s="15"/>
      <c r="H689" s="103"/>
      <c r="I689" s="15"/>
      <c r="J689" s="15"/>
      <c r="K689" s="15"/>
      <c r="L689" s="15"/>
      <c r="M689" s="15"/>
      <c r="N689" s="15"/>
      <c r="O689" s="103"/>
      <c r="P689" s="15"/>
      <c r="Q689" s="15"/>
      <c r="R689" s="15"/>
      <c r="S689" s="15"/>
      <c r="T689" s="15"/>
      <c r="U689" s="15"/>
      <c r="V689" s="103"/>
      <c r="W689" s="15"/>
      <c r="X689" s="15"/>
      <c r="Y689" s="15"/>
      <c r="Z689" s="15"/>
      <c r="AA689" s="15"/>
      <c r="AB689" s="15"/>
      <c r="AC689" s="103"/>
      <c r="AD689" s="15"/>
      <c r="AE689" s="15"/>
      <c r="AF689" s="15"/>
      <c r="AG689" s="15"/>
      <c r="AH689" s="15"/>
      <c r="AI689" s="15"/>
      <c r="AJ689" s="103"/>
      <c r="AK689" s="15"/>
      <c r="AL689" s="15"/>
      <c r="AM689" s="15"/>
      <c r="AN689" s="15"/>
      <c r="AO689" s="15"/>
      <c r="AP689" s="15"/>
      <c r="AQ689" s="15"/>
    </row>
    <row r="690">
      <c r="A690" s="15"/>
      <c r="B690" s="15"/>
      <c r="C690" s="15"/>
      <c r="D690" s="15"/>
      <c r="E690" s="15"/>
      <c r="F690" s="15"/>
      <c r="G690" s="15"/>
      <c r="H690" s="103"/>
      <c r="I690" s="15"/>
      <c r="J690" s="15"/>
      <c r="K690" s="15"/>
      <c r="L690" s="15"/>
      <c r="M690" s="15"/>
      <c r="N690" s="15"/>
      <c r="O690" s="103"/>
      <c r="P690" s="15"/>
      <c r="Q690" s="15"/>
      <c r="R690" s="15"/>
      <c r="S690" s="15"/>
      <c r="T690" s="15"/>
      <c r="U690" s="15"/>
      <c r="V690" s="103"/>
      <c r="W690" s="15"/>
      <c r="X690" s="15"/>
      <c r="Y690" s="15"/>
      <c r="Z690" s="15"/>
      <c r="AA690" s="15"/>
      <c r="AB690" s="15"/>
      <c r="AC690" s="103"/>
      <c r="AD690" s="15"/>
      <c r="AE690" s="15"/>
      <c r="AF690" s="15"/>
      <c r="AG690" s="15"/>
      <c r="AH690" s="15"/>
      <c r="AI690" s="15"/>
      <c r="AJ690" s="103"/>
      <c r="AK690" s="15"/>
      <c r="AL690" s="15"/>
      <c r="AM690" s="15"/>
      <c r="AN690" s="15"/>
      <c r="AO690" s="15"/>
      <c r="AP690" s="15"/>
      <c r="AQ690" s="15"/>
    </row>
    <row r="691">
      <c r="A691" s="15"/>
      <c r="B691" s="15"/>
      <c r="C691" s="15"/>
      <c r="D691" s="15"/>
      <c r="E691" s="15"/>
      <c r="F691" s="15"/>
      <c r="G691" s="15"/>
      <c r="H691" s="103"/>
      <c r="I691" s="15"/>
      <c r="J691" s="15"/>
      <c r="K691" s="15"/>
      <c r="L691" s="15"/>
      <c r="M691" s="15"/>
      <c r="N691" s="15"/>
      <c r="O691" s="103"/>
      <c r="P691" s="15"/>
      <c r="Q691" s="15"/>
      <c r="R691" s="15"/>
      <c r="S691" s="15"/>
      <c r="T691" s="15"/>
      <c r="U691" s="15"/>
      <c r="V691" s="103"/>
      <c r="W691" s="15"/>
      <c r="X691" s="15"/>
      <c r="Y691" s="15"/>
      <c r="Z691" s="15"/>
      <c r="AA691" s="15"/>
      <c r="AB691" s="15"/>
      <c r="AC691" s="103"/>
      <c r="AD691" s="15"/>
      <c r="AE691" s="15"/>
      <c r="AF691" s="15"/>
      <c r="AG691" s="15"/>
      <c r="AH691" s="15"/>
      <c r="AI691" s="15"/>
      <c r="AJ691" s="103"/>
      <c r="AK691" s="15"/>
      <c r="AL691" s="15"/>
      <c r="AM691" s="15"/>
      <c r="AN691" s="15"/>
      <c r="AO691" s="15"/>
      <c r="AP691" s="15"/>
      <c r="AQ691" s="15"/>
    </row>
    <row r="692">
      <c r="A692" s="15"/>
      <c r="B692" s="15"/>
      <c r="C692" s="15"/>
      <c r="D692" s="15"/>
      <c r="E692" s="15"/>
      <c r="F692" s="15"/>
      <c r="G692" s="15"/>
      <c r="H692" s="103"/>
      <c r="I692" s="15"/>
      <c r="J692" s="15"/>
      <c r="K692" s="15"/>
      <c r="L692" s="15"/>
      <c r="M692" s="15"/>
      <c r="N692" s="15"/>
      <c r="O692" s="103"/>
      <c r="P692" s="15"/>
      <c r="Q692" s="15"/>
      <c r="R692" s="15"/>
      <c r="S692" s="15"/>
      <c r="T692" s="15"/>
      <c r="U692" s="15"/>
      <c r="V692" s="103"/>
      <c r="W692" s="15"/>
      <c r="X692" s="15"/>
      <c r="Y692" s="15"/>
      <c r="Z692" s="15"/>
      <c r="AA692" s="15"/>
      <c r="AB692" s="15"/>
      <c r="AC692" s="103"/>
      <c r="AD692" s="15"/>
      <c r="AE692" s="15"/>
      <c r="AF692" s="15"/>
      <c r="AG692" s="15"/>
      <c r="AH692" s="15"/>
      <c r="AI692" s="15"/>
      <c r="AJ692" s="103"/>
      <c r="AK692" s="15"/>
      <c r="AL692" s="15"/>
      <c r="AM692" s="15"/>
      <c r="AN692" s="15"/>
      <c r="AO692" s="15"/>
      <c r="AP692" s="15"/>
      <c r="AQ692" s="15"/>
    </row>
    <row r="693">
      <c r="A693" s="15"/>
      <c r="B693" s="15"/>
      <c r="C693" s="15"/>
      <c r="D693" s="15"/>
      <c r="E693" s="15"/>
      <c r="F693" s="15"/>
      <c r="G693" s="15"/>
      <c r="H693" s="103"/>
      <c r="I693" s="15"/>
      <c r="J693" s="15"/>
      <c r="K693" s="15"/>
      <c r="L693" s="15"/>
      <c r="M693" s="15"/>
      <c r="N693" s="15"/>
      <c r="O693" s="103"/>
      <c r="P693" s="15"/>
      <c r="Q693" s="15"/>
      <c r="R693" s="15"/>
      <c r="S693" s="15"/>
      <c r="T693" s="15"/>
      <c r="U693" s="15"/>
      <c r="V693" s="103"/>
      <c r="W693" s="15"/>
      <c r="X693" s="15"/>
      <c r="Y693" s="15"/>
      <c r="Z693" s="15"/>
      <c r="AA693" s="15"/>
      <c r="AB693" s="15"/>
      <c r="AC693" s="103"/>
      <c r="AD693" s="15"/>
      <c r="AE693" s="15"/>
      <c r="AF693" s="15"/>
      <c r="AG693" s="15"/>
      <c r="AH693" s="15"/>
      <c r="AI693" s="15"/>
      <c r="AJ693" s="103"/>
      <c r="AK693" s="15"/>
      <c r="AL693" s="15"/>
      <c r="AM693" s="15"/>
      <c r="AN693" s="15"/>
      <c r="AO693" s="15"/>
      <c r="AP693" s="15"/>
      <c r="AQ693" s="15"/>
    </row>
    <row r="694">
      <c r="A694" s="15"/>
      <c r="B694" s="15"/>
      <c r="C694" s="15"/>
      <c r="D694" s="15"/>
      <c r="E694" s="15"/>
      <c r="F694" s="15"/>
      <c r="G694" s="15"/>
      <c r="H694" s="103"/>
      <c r="I694" s="15"/>
      <c r="J694" s="15"/>
      <c r="K694" s="15"/>
      <c r="L694" s="15"/>
      <c r="M694" s="15"/>
      <c r="N694" s="15"/>
      <c r="O694" s="103"/>
      <c r="P694" s="15"/>
      <c r="Q694" s="15"/>
      <c r="R694" s="15"/>
      <c r="S694" s="15"/>
      <c r="T694" s="15"/>
      <c r="U694" s="15"/>
      <c r="V694" s="103"/>
      <c r="W694" s="15"/>
      <c r="X694" s="15"/>
      <c r="Y694" s="15"/>
      <c r="Z694" s="15"/>
      <c r="AA694" s="15"/>
      <c r="AB694" s="15"/>
      <c r="AC694" s="103"/>
      <c r="AD694" s="15"/>
      <c r="AE694" s="15"/>
      <c r="AF694" s="15"/>
      <c r="AG694" s="15"/>
      <c r="AH694" s="15"/>
      <c r="AI694" s="15"/>
      <c r="AJ694" s="103"/>
      <c r="AK694" s="15"/>
      <c r="AL694" s="15"/>
      <c r="AM694" s="15"/>
      <c r="AN694" s="15"/>
      <c r="AO694" s="15"/>
      <c r="AP694" s="15"/>
      <c r="AQ694" s="15"/>
    </row>
    <row r="695">
      <c r="A695" s="15"/>
      <c r="B695" s="15"/>
      <c r="C695" s="15"/>
      <c r="D695" s="15"/>
      <c r="E695" s="15"/>
      <c r="F695" s="15"/>
      <c r="G695" s="15"/>
      <c r="H695" s="103"/>
      <c r="I695" s="15"/>
      <c r="J695" s="15"/>
      <c r="K695" s="15"/>
      <c r="L695" s="15"/>
      <c r="M695" s="15"/>
      <c r="N695" s="15"/>
      <c r="O695" s="103"/>
      <c r="P695" s="15"/>
      <c r="Q695" s="15"/>
      <c r="R695" s="15"/>
      <c r="S695" s="15"/>
      <c r="T695" s="15"/>
      <c r="U695" s="15"/>
      <c r="V695" s="103"/>
      <c r="W695" s="15"/>
      <c r="X695" s="15"/>
      <c r="Y695" s="15"/>
      <c r="Z695" s="15"/>
      <c r="AA695" s="15"/>
      <c r="AB695" s="15"/>
      <c r="AC695" s="103"/>
      <c r="AD695" s="15"/>
      <c r="AE695" s="15"/>
      <c r="AF695" s="15"/>
      <c r="AG695" s="15"/>
      <c r="AH695" s="15"/>
      <c r="AI695" s="15"/>
      <c r="AJ695" s="103"/>
      <c r="AK695" s="15"/>
      <c r="AL695" s="15"/>
      <c r="AM695" s="15"/>
      <c r="AN695" s="15"/>
      <c r="AO695" s="15"/>
      <c r="AP695" s="15"/>
      <c r="AQ695" s="15"/>
    </row>
    <row r="696">
      <c r="A696" s="15"/>
      <c r="B696" s="15"/>
      <c r="C696" s="15"/>
      <c r="D696" s="15"/>
      <c r="E696" s="15"/>
      <c r="F696" s="15"/>
      <c r="G696" s="15"/>
      <c r="H696" s="103"/>
      <c r="I696" s="15"/>
      <c r="J696" s="15"/>
      <c r="K696" s="15"/>
      <c r="L696" s="15"/>
      <c r="M696" s="15"/>
      <c r="N696" s="15"/>
      <c r="O696" s="103"/>
      <c r="P696" s="15"/>
      <c r="Q696" s="15"/>
      <c r="R696" s="15"/>
      <c r="S696" s="15"/>
      <c r="T696" s="15"/>
      <c r="U696" s="15"/>
      <c r="V696" s="103"/>
      <c r="W696" s="15"/>
      <c r="X696" s="15"/>
      <c r="Y696" s="15"/>
      <c r="Z696" s="15"/>
      <c r="AA696" s="15"/>
      <c r="AB696" s="15"/>
      <c r="AC696" s="103"/>
      <c r="AD696" s="15"/>
      <c r="AE696" s="15"/>
      <c r="AF696" s="15"/>
      <c r="AG696" s="15"/>
      <c r="AH696" s="15"/>
      <c r="AI696" s="15"/>
      <c r="AJ696" s="103"/>
      <c r="AK696" s="15"/>
      <c r="AL696" s="15"/>
      <c r="AM696" s="15"/>
      <c r="AN696" s="15"/>
      <c r="AO696" s="15"/>
      <c r="AP696" s="15"/>
      <c r="AQ696" s="15"/>
    </row>
    <row r="697">
      <c r="A697" s="15"/>
      <c r="B697" s="15"/>
      <c r="C697" s="15"/>
      <c r="D697" s="15"/>
      <c r="E697" s="15"/>
      <c r="F697" s="15"/>
      <c r="G697" s="15"/>
      <c r="H697" s="103"/>
      <c r="I697" s="15"/>
      <c r="J697" s="15"/>
      <c r="K697" s="15"/>
      <c r="L697" s="15"/>
      <c r="M697" s="15"/>
      <c r="N697" s="15"/>
      <c r="O697" s="103"/>
      <c r="P697" s="15"/>
      <c r="Q697" s="15"/>
      <c r="R697" s="15"/>
      <c r="S697" s="15"/>
      <c r="T697" s="15"/>
      <c r="U697" s="15"/>
      <c r="V697" s="103"/>
      <c r="W697" s="15"/>
      <c r="X697" s="15"/>
      <c r="Y697" s="15"/>
      <c r="Z697" s="15"/>
      <c r="AA697" s="15"/>
      <c r="AB697" s="15"/>
      <c r="AC697" s="103"/>
      <c r="AD697" s="15"/>
      <c r="AE697" s="15"/>
      <c r="AF697" s="15"/>
      <c r="AG697" s="15"/>
      <c r="AH697" s="15"/>
      <c r="AI697" s="15"/>
      <c r="AJ697" s="103"/>
      <c r="AK697" s="15"/>
      <c r="AL697" s="15"/>
      <c r="AM697" s="15"/>
      <c r="AN697" s="15"/>
      <c r="AO697" s="15"/>
      <c r="AP697" s="15"/>
      <c r="AQ697" s="15"/>
    </row>
    <row r="698">
      <c r="A698" s="15"/>
      <c r="B698" s="15"/>
      <c r="C698" s="15"/>
      <c r="D698" s="15"/>
      <c r="E698" s="15"/>
      <c r="F698" s="15"/>
      <c r="G698" s="15"/>
      <c r="H698" s="103"/>
      <c r="I698" s="15"/>
      <c r="J698" s="15"/>
      <c r="K698" s="15"/>
      <c r="L698" s="15"/>
      <c r="M698" s="15"/>
      <c r="N698" s="15"/>
      <c r="O698" s="103"/>
      <c r="P698" s="15"/>
      <c r="Q698" s="15"/>
      <c r="R698" s="15"/>
      <c r="S698" s="15"/>
      <c r="T698" s="15"/>
      <c r="U698" s="15"/>
      <c r="V698" s="103"/>
      <c r="W698" s="15"/>
      <c r="X698" s="15"/>
      <c r="Y698" s="15"/>
      <c r="Z698" s="15"/>
      <c r="AA698" s="15"/>
      <c r="AB698" s="15"/>
      <c r="AC698" s="103"/>
      <c r="AD698" s="15"/>
      <c r="AE698" s="15"/>
      <c r="AF698" s="15"/>
      <c r="AG698" s="15"/>
      <c r="AH698" s="15"/>
      <c r="AI698" s="15"/>
      <c r="AJ698" s="103"/>
      <c r="AK698" s="15"/>
      <c r="AL698" s="15"/>
      <c r="AM698" s="15"/>
      <c r="AN698" s="15"/>
      <c r="AO698" s="15"/>
      <c r="AP698" s="15"/>
      <c r="AQ698" s="15"/>
    </row>
    <row r="699">
      <c r="A699" s="15"/>
      <c r="B699" s="15"/>
      <c r="C699" s="15"/>
      <c r="D699" s="15"/>
      <c r="E699" s="15"/>
      <c r="F699" s="15"/>
      <c r="G699" s="15"/>
      <c r="H699" s="103"/>
      <c r="I699" s="15"/>
      <c r="J699" s="15"/>
      <c r="K699" s="15"/>
      <c r="L699" s="15"/>
      <c r="M699" s="15"/>
      <c r="N699" s="15"/>
      <c r="O699" s="103"/>
      <c r="P699" s="15"/>
      <c r="Q699" s="15"/>
      <c r="R699" s="15"/>
      <c r="S699" s="15"/>
      <c r="T699" s="15"/>
      <c r="U699" s="15"/>
      <c r="V699" s="103"/>
      <c r="W699" s="15"/>
      <c r="X699" s="15"/>
      <c r="Y699" s="15"/>
      <c r="Z699" s="15"/>
      <c r="AA699" s="15"/>
      <c r="AB699" s="15"/>
      <c r="AC699" s="103"/>
      <c r="AD699" s="15"/>
      <c r="AE699" s="15"/>
      <c r="AF699" s="15"/>
      <c r="AG699" s="15"/>
      <c r="AH699" s="15"/>
      <c r="AI699" s="15"/>
      <c r="AJ699" s="103"/>
      <c r="AK699" s="15"/>
      <c r="AL699" s="15"/>
      <c r="AM699" s="15"/>
      <c r="AN699" s="15"/>
      <c r="AO699" s="15"/>
      <c r="AP699" s="15"/>
      <c r="AQ699" s="15"/>
    </row>
    <row r="700">
      <c r="A700" s="15"/>
      <c r="B700" s="15"/>
      <c r="C700" s="15"/>
      <c r="D700" s="15"/>
      <c r="E700" s="15"/>
      <c r="F700" s="15"/>
      <c r="G700" s="15"/>
      <c r="H700" s="103"/>
      <c r="I700" s="15"/>
      <c r="J700" s="15"/>
      <c r="K700" s="15"/>
      <c r="L700" s="15"/>
      <c r="M700" s="15"/>
      <c r="N700" s="15"/>
      <c r="O700" s="103"/>
      <c r="P700" s="15"/>
      <c r="Q700" s="15"/>
      <c r="R700" s="15"/>
      <c r="S700" s="15"/>
      <c r="T700" s="15"/>
      <c r="U700" s="15"/>
      <c r="V700" s="103"/>
      <c r="W700" s="15"/>
      <c r="X700" s="15"/>
      <c r="Y700" s="15"/>
      <c r="Z700" s="15"/>
      <c r="AA700" s="15"/>
      <c r="AB700" s="15"/>
      <c r="AC700" s="103"/>
      <c r="AD700" s="15"/>
      <c r="AE700" s="15"/>
      <c r="AF700" s="15"/>
      <c r="AG700" s="15"/>
      <c r="AH700" s="15"/>
      <c r="AI700" s="15"/>
      <c r="AJ700" s="103"/>
      <c r="AK700" s="15"/>
      <c r="AL700" s="15"/>
      <c r="AM700" s="15"/>
      <c r="AN700" s="15"/>
      <c r="AO700" s="15"/>
      <c r="AP700" s="15"/>
      <c r="AQ700" s="15"/>
    </row>
    <row r="701">
      <c r="A701" s="15"/>
      <c r="B701" s="15"/>
      <c r="C701" s="15"/>
      <c r="D701" s="15"/>
      <c r="E701" s="15"/>
      <c r="F701" s="15"/>
      <c r="G701" s="15"/>
      <c r="H701" s="103"/>
      <c r="I701" s="15"/>
      <c r="J701" s="15"/>
      <c r="K701" s="15"/>
      <c r="L701" s="15"/>
      <c r="M701" s="15"/>
      <c r="N701" s="15"/>
      <c r="O701" s="103"/>
      <c r="P701" s="15"/>
      <c r="Q701" s="15"/>
      <c r="R701" s="15"/>
      <c r="S701" s="15"/>
      <c r="T701" s="15"/>
      <c r="U701" s="15"/>
      <c r="V701" s="103"/>
      <c r="W701" s="15"/>
      <c r="X701" s="15"/>
      <c r="Y701" s="15"/>
      <c r="Z701" s="15"/>
      <c r="AA701" s="15"/>
      <c r="AB701" s="15"/>
      <c r="AC701" s="103"/>
      <c r="AD701" s="15"/>
      <c r="AE701" s="15"/>
      <c r="AF701" s="15"/>
      <c r="AG701" s="15"/>
      <c r="AH701" s="15"/>
      <c r="AI701" s="15"/>
      <c r="AJ701" s="103"/>
      <c r="AK701" s="15"/>
      <c r="AL701" s="15"/>
      <c r="AM701" s="15"/>
      <c r="AN701" s="15"/>
      <c r="AO701" s="15"/>
      <c r="AP701" s="15"/>
      <c r="AQ701" s="15"/>
    </row>
    <row r="702">
      <c r="A702" s="15"/>
      <c r="B702" s="15"/>
      <c r="C702" s="15"/>
      <c r="D702" s="15"/>
      <c r="E702" s="15"/>
      <c r="F702" s="15"/>
      <c r="G702" s="15"/>
      <c r="H702" s="103"/>
      <c r="I702" s="15"/>
      <c r="J702" s="15"/>
      <c r="K702" s="15"/>
      <c r="L702" s="15"/>
      <c r="M702" s="15"/>
      <c r="N702" s="15"/>
      <c r="O702" s="103"/>
      <c r="P702" s="15"/>
      <c r="Q702" s="15"/>
      <c r="R702" s="15"/>
      <c r="S702" s="15"/>
      <c r="T702" s="15"/>
      <c r="U702" s="15"/>
      <c r="V702" s="103"/>
      <c r="W702" s="15"/>
      <c r="X702" s="15"/>
      <c r="Y702" s="15"/>
      <c r="Z702" s="15"/>
      <c r="AA702" s="15"/>
      <c r="AB702" s="15"/>
      <c r="AC702" s="103"/>
      <c r="AD702" s="15"/>
      <c r="AE702" s="15"/>
      <c r="AF702" s="15"/>
      <c r="AG702" s="15"/>
      <c r="AH702" s="15"/>
      <c r="AI702" s="15"/>
      <c r="AJ702" s="103"/>
      <c r="AK702" s="15"/>
      <c r="AL702" s="15"/>
      <c r="AM702" s="15"/>
      <c r="AN702" s="15"/>
      <c r="AO702" s="15"/>
      <c r="AP702" s="15"/>
      <c r="AQ702" s="15"/>
    </row>
    <row r="703">
      <c r="A703" s="15"/>
      <c r="B703" s="15"/>
      <c r="C703" s="15"/>
      <c r="D703" s="15"/>
      <c r="E703" s="15"/>
      <c r="F703" s="15"/>
      <c r="G703" s="15"/>
      <c r="H703" s="103"/>
      <c r="I703" s="15"/>
      <c r="J703" s="15"/>
      <c r="K703" s="15"/>
      <c r="L703" s="15"/>
      <c r="M703" s="15"/>
      <c r="N703" s="15"/>
      <c r="O703" s="103"/>
      <c r="P703" s="15"/>
      <c r="Q703" s="15"/>
      <c r="R703" s="15"/>
      <c r="S703" s="15"/>
      <c r="T703" s="15"/>
      <c r="U703" s="15"/>
      <c r="V703" s="103"/>
      <c r="W703" s="15"/>
      <c r="X703" s="15"/>
      <c r="Y703" s="15"/>
      <c r="Z703" s="15"/>
      <c r="AA703" s="15"/>
      <c r="AB703" s="15"/>
      <c r="AC703" s="103"/>
      <c r="AD703" s="15"/>
      <c r="AE703" s="15"/>
      <c r="AF703" s="15"/>
      <c r="AG703" s="15"/>
      <c r="AH703" s="15"/>
      <c r="AI703" s="15"/>
      <c r="AJ703" s="103"/>
      <c r="AK703" s="15"/>
      <c r="AL703" s="15"/>
      <c r="AM703" s="15"/>
      <c r="AN703" s="15"/>
      <c r="AO703" s="15"/>
      <c r="AP703" s="15"/>
      <c r="AQ703" s="15"/>
    </row>
    <row r="704">
      <c r="A704" s="15"/>
      <c r="B704" s="15"/>
      <c r="C704" s="15"/>
      <c r="D704" s="15"/>
      <c r="E704" s="15"/>
      <c r="F704" s="15"/>
      <c r="G704" s="15"/>
      <c r="H704" s="103"/>
      <c r="I704" s="15"/>
      <c r="J704" s="15"/>
      <c r="K704" s="15"/>
      <c r="L704" s="15"/>
      <c r="M704" s="15"/>
      <c r="N704" s="15"/>
      <c r="O704" s="103"/>
      <c r="P704" s="15"/>
      <c r="Q704" s="15"/>
      <c r="R704" s="15"/>
      <c r="S704" s="15"/>
      <c r="T704" s="15"/>
      <c r="U704" s="15"/>
      <c r="V704" s="103"/>
      <c r="W704" s="15"/>
      <c r="X704" s="15"/>
      <c r="Y704" s="15"/>
      <c r="Z704" s="15"/>
      <c r="AA704" s="15"/>
      <c r="AB704" s="15"/>
      <c r="AC704" s="103"/>
      <c r="AD704" s="15"/>
      <c r="AE704" s="15"/>
      <c r="AF704" s="15"/>
      <c r="AG704" s="15"/>
      <c r="AH704" s="15"/>
      <c r="AI704" s="15"/>
      <c r="AJ704" s="103"/>
      <c r="AK704" s="15"/>
      <c r="AL704" s="15"/>
      <c r="AM704" s="15"/>
      <c r="AN704" s="15"/>
      <c r="AO704" s="15"/>
      <c r="AP704" s="15"/>
      <c r="AQ704" s="15"/>
    </row>
    <row r="705">
      <c r="A705" s="15"/>
      <c r="B705" s="15"/>
      <c r="C705" s="15"/>
      <c r="D705" s="15"/>
      <c r="E705" s="15"/>
      <c r="F705" s="15"/>
      <c r="G705" s="15"/>
      <c r="H705" s="103"/>
      <c r="I705" s="15"/>
      <c r="J705" s="15"/>
      <c r="K705" s="15"/>
      <c r="L705" s="15"/>
      <c r="M705" s="15"/>
      <c r="N705" s="15"/>
      <c r="O705" s="103"/>
      <c r="P705" s="15"/>
      <c r="Q705" s="15"/>
      <c r="R705" s="15"/>
      <c r="S705" s="15"/>
      <c r="T705" s="15"/>
      <c r="U705" s="15"/>
      <c r="V705" s="103"/>
      <c r="W705" s="15"/>
      <c r="X705" s="15"/>
      <c r="Y705" s="15"/>
      <c r="Z705" s="15"/>
      <c r="AA705" s="15"/>
      <c r="AB705" s="15"/>
      <c r="AC705" s="103"/>
      <c r="AD705" s="15"/>
      <c r="AE705" s="15"/>
      <c r="AF705" s="15"/>
      <c r="AG705" s="15"/>
      <c r="AH705" s="15"/>
      <c r="AI705" s="15"/>
      <c r="AJ705" s="103"/>
      <c r="AK705" s="15"/>
      <c r="AL705" s="15"/>
      <c r="AM705" s="15"/>
      <c r="AN705" s="15"/>
      <c r="AO705" s="15"/>
      <c r="AP705" s="15"/>
      <c r="AQ705" s="15"/>
    </row>
    <row r="706">
      <c r="A706" s="15"/>
      <c r="B706" s="15"/>
      <c r="C706" s="15"/>
      <c r="D706" s="15"/>
      <c r="E706" s="15"/>
      <c r="F706" s="15"/>
      <c r="G706" s="15"/>
      <c r="H706" s="103"/>
      <c r="I706" s="15"/>
      <c r="J706" s="15"/>
      <c r="K706" s="15"/>
      <c r="L706" s="15"/>
      <c r="M706" s="15"/>
      <c r="N706" s="15"/>
      <c r="O706" s="103"/>
      <c r="P706" s="15"/>
      <c r="Q706" s="15"/>
      <c r="R706" s="15"/>
      <c r="S706" s="15"/>
      <c r="T706" s="15"/>
      <c r="U706" s="15"/>
      <c r="V706" s="103"/>
      <c r="W706" s="15"/>
      <c r="X706" s="15"/>
      <c r="Y706" s="15"/>
      <c r="Z706" s="15"/>
      <c r="AA706" s="15"/>
      <c r="AB706" s="15"/>
      <c r="AC706" s="103"/>
      <c r="AD706" s="15"/>
      <c r="AE706" s="15"/>
      <c r="AF706" s="15"/>
      <c r="AG706" s="15"/>
      <c r="AH706" s="15"/>
      <c r="AI706" s="15"/>
      <c r="AJ706" s="103"/>
      <c r="AK706" s="15"/>
      <c r="AL706" s="15"/>
      <c r="AM706" s="15"/>
      <c r="AN706" s="15"/>
      <c r="AO706" s="15"/>
      <c r="AP706" s="15"/>
      <c r="AQ706" s="15"/>
    </row>
    <row r="707">
      <c r="A707" s="15"/>
      <c r="B707" s="15"/>
      <c r="C707" s="15"/>
      <c r="D707" s="15"/>
      <c r="E707" s="15"/>
      <c r="F707" s="15"/>
      <c r="G707" s="15"/>
      <c r="H707" s="103"/>
      <c r="I707" s="15"/>
      <c r="J707" s="15"/>
      <c r="K707" s="15"/>
      <c r="L707" s="15"/>
      <c r="M707" s="15"/>
      <c r="N707" s="15"/>
      <c r="O707" s="103"/>
      <c r="P707" s="15"/>
      <c r="Q707" s="15"/>
      <c r="R707" s="15"/>
      <c r="S707" s="15"/>
      <c r="T707" s="15"/>
      <c r="U707" s="15"/>
      <c r="V707" s="103"/>
      <c r="W707" s="15"/>
      <c r="X707" s="15"/>
      <c r="Y707" s="15"/>
      <c r="Z707" s="15"/>
      <c r="AA707" s="15"/>
      <c r="AB707" s="15"/>
      <c r="AC707" s="103"/>
      <c r="AD707" s="15"/>
      <c r="AE707" s="15"/>
      <c r="AF707" s="15"/>
      <c r="AG707" s="15"/>
      <c r="AH707" s="15"/>
      <c r="AI707" s="15"/>
      <c r="AJ707" s="103"/>
      <c r="AK707" s="15"/>
      <c r="AL707" s="15"/>
      <c r="AM707" s="15"/>
      <c r="AN707" s="15"/>
      <c r="AO707" s="15"/>
      <c r="AP707" s="15"/>
      <c r="AQ707" s="15"/>
    </row>
    <row r="708">
      <c r="A708" s="15"/>
      <c r="B708" s="15"/>
      <c r="C708" s="15"/>
      <c r="D708" s="15"/>
      <c r="E708" s="15"/>
      <c r="F708" s="15"/>
      <c r="G708" s="15"/>
      <c r="H708" s="103"/>
      <c r="I708" s="15"/>
      <c r="J708" s="15"/>
      <c r="K708" s="15"/>
      <c r="L708" s="15"/>
      <c r="M708" s="15"/>
      <c r="N708" s="15"/>
      <c r="O708" s="103"/>
      <c r="P708" s="15"/>
      <c r="Q708" s="15"/>
      <c r="R708" s="15"/>
      <c r="S708" s="15"/>
      <c r="T708" s="15"/>
      <c r="U708" s="15"/>
      <c r="V708" s="103"/>
      <c r="W708" s="15"/>
      <c r="X708" s="15"/>
      <c r="Y708" s="15"/>
      <c r="Z708" s="15"/>
      <c r="AA708" s="15"/>
      <c r="AB708" s="15"/>
      <c r="AC708" s="103"/>
      <c r="AD708" s="15"/>
      <c r="AE708" s="15"/>
      <c r="AF708" s="15"/>
      <c r="AG708" s="15"/>
      <c r="AH708" s="15"/>
      <c r="AI708" s="15"/>
      <c r="AJ708" s="103"/>
      <c r="AK708" s="15"/>
      <c r="AL708" s="15"/>
      <c r="AM708" s="15"/>
      <c r="AN708" s="15"/>
      <c r="AO708" s="15"/>
      <c r="AP708" s="15"/>
      <c r="AQ708" s="15"/>
    </row>
    <row r="709">
      <c r="A709" s="15"/>
      <c r="B709" s="15"/>
      <c r="C709" s="15"/>
      <c r="D709" s="15"/>
      <c r="E709" s="15"/>
      <c r="F709" s="15"/>
      <c r="G709" s="15"/>
      <c r="H709" s="103"/>
      <c r="I709" s="15"/>
      <c r="J709" s="15"/>
      <c r="K709" s="15"/>
      <c r="L709" s="15"/>
      <c r="M709" s="15"/>
      <c r="N709" s="15"/>
      <c r="O709" s="103"/>
      <c r="P709" s="15"/>
      <c r="Q709" s="15"/>
      <c r="R709" s="15"/>
      <c r="S709" s="15"/>
      <c r="T709" s="15"/>
      <c r="U709" s="15"/>
      <c r="V709" s="103"/>
      <c r="W709" s="15"/>
      <c r="X709" s="15"/>
      <c r="Y709" s="15"/>
      <c r="Z709" s="15"/>
      <c r="AA709" s="15"/>
      <c r="AB709" s="15"/>
      <c r="AC709" s="103"/>
      <c r="AD709" s="15"/>
      <c r="AE709" s="15"/>
      <c r="AF709" s="15"/>
      <c r="AG709" s="15"/>
      <c r="AH709" s="15"/>
      <c r="AI709" s="15"/>
      <c r="AJ709" s="103"/>
      <c r="AK709" s="15"/>
      <c r="AL709" s="15"/>
      <c r="AM709" s="15"/>
      <c r="AN709" s="15"/>
      <c r="AO709" s="15"/>
      <c r="AP709" s="15"/>
      <c r="AQ709" s="15"/>
    </row>
    <row r="710">
      <c r="A710" s="15"/>
      <c r="B710" s="15"/>
      <c r="C710" s="15"/>
      <c r="D710" s="15"/>
      <c r="E710" s="15"/>
      <c r="F710" s="15"/>
      <c r="G710" s="15"/>
      <c r="H710" s="103"/>
      <c r="I710" s="15"/>
      <c r="J710" s="15"/>
      <c r="K710" s="15"/>
      <c r="L710" s="15"/>
      <c r="M710" s="15"/>
      <c r="N710" s="15"/>
      <c r="O710" s="103"/>
      <c r="P710" s="15"/>
      <c r="Q710" s="15"/>
      <c r="R710" s="15"/>
      <c r="S710" s="15"/>
      <c r="T710" s="15"/>
      <c r="U710" s="15"/>
      <c r="V710" s="103"/>
      <c r="W710" s="15"/>
      <c r="X710" s="15"/>
      <c r="Y710" s="15"/>
      <c r="Z710" s="15"/>
      <c r="AA710" s="15"/>
      <c r="AB710" s="15"/>
      <c r="AC710" s="103"/>
      <c r="AD710" s="15"/>
      <c r="AE710" s="15"/>
      <c r="AF710" s="15"/>
      <c r="AG710" s="15"/>
      <c r="AH710" s="15"/>
      <c r="AI710" s="15"/>
      <c r="AJ710" s="103"/>
      <c r="AK710" s="15"/>
      <c r="AL710" s="15"/>
      <c r="AM710" s="15"/>
      <c r="AN710" s="15"/>
      <c r="AO710" s="15"/>
      <c r="AP710" s="15"/>
      <c r="AQ710" s="15"/>
    </row>
    <row r="711">
      <c r="A711" s="15"/>
      <c r="B711" s="15"/>
      <c r="C711" s="15"/>
      <c r="D711" s="15"/>
      <c r="E711" s="15"/>
      <c r="F711" s="15"/>
      <c r="G711" s="15"/>
      <c r="H711" s="103"/>
      <c r="I711" s="15"/>
      <c r="J711" s="15"/>
      <c r="K711" s="15"/>
      <c r="L711" s="15"/>
      <c r="M711" s="15"/>
      <c r="N711" s="15"/>
      <c r="O711" s="103"/>
      <c r="P711" s="15"/>
      <c r="Q711" s="15"/>
      <c r="R711" s="15"/>
      <c r="S711" s="15"/>
      <c r="T711" s="15"/>
      <c r="U711" s="15"/>
      <c r="V711" s="103"/>
      <c r="W711" s="15"/>
      <c r="X711" s="15"/>
      <c r="Y711" s="15"/>
      <c r="Z711" s="15"/>
      <c r="AA711" s="15"/>
      <c r="AB711" s="15"/>
      <c r="AC711" s="103"/>
      <c r="AD711" s="15"/>
      <c r="AE711" s="15"/>
      <c r="AF711" s="15"/>
      <c r="AG711" s="15"/>
      <c r="AH711" s="15"/>
      <c r="AI711" s="15"/>
      <c r="AJ711" s="103"/>
      <c r="AK711" s="15"/>
      <c r="AL711" s="15"/>
      <c r="AM711" s="15"/>
      <c r="AN711" s="15"/>
      <c r="AO711" s="15"/>
      <c r="AP711" s="15"/>
      <c r="AQ711" s="15"/>
    </row>
    <row r="712">
      <c r="A712" s="15"/>
      <c r="B712" s="15"/>
      <c r="C712" s="15"/>
      <c r="D712" s="15"/>
      <c r="E712" s="15"/>
      <c r="F712" s="15"/>
      <c r="G712" s="15"/>
      <c r="H712" s="103"/>
      <c r="I712" s="15"/>
      <c r="J712" s="15"/>
      <c r="K712" s="15"/>
      <c r="L712" s="15"/>
      <c r="M712" s="15"/>
      <c r="N712" s="15"/>
      <c r="O712" s="103"/>
      <c r="P712" s="15"/>
      <c r="Q712" s="15"/>
      <c r="R712" s="15"/>
      <c r="S712" s="15"/>
      <c r="T712" s="15"/>
      <c r="U712" s="15"/>
      <c r="V712" s="103"/>
      <c r="W712" s="15"/>
      <c r="X712" s="15"/>
      <c r="Y712" s="15"/>
      <c r="Z712" s="15"/>
      <c r="AA712" s="15"/>
      <c r="AB712" s="15"/>
      <c r="AC712" s="103"/>
      <c r="AD712" s="15"/>
      <c r="AE712" s="15"/>
      <c r="AF712" s="15"/>
      <c r="AG712" s="15"/>
      <c r="AH712" s="15"/>
      <c r="AI712" s="15"/>
      <c r="AJ712" s="103"/>
      <c r="AK712" s="15"/>
      <c r="AL712" s="15"/>
      <c r="AM712" s="15"/>
      <c r="AN712" s="15"/>
      <c r="AO712" s="15"/>
      <c r="AP712" s="15"/>
      <c r="AQ712" s="15"/>
    </row>
    <row r="713">
      <c r="A713" s="15"/>
      <c r="B713" s="15"/>
      <c r="C713" s="15"/>
      <c r="D713" s="15"/>
      <c r="E713" s="15"/>
      <c r="F713" s="15"/>
      <c r="G713" s="15"/>
      <c r="H713" s="103"/>
      <c r="I713" s="15"/>
      <c r="J713" s="15"/>
      <c r="K713" s="15"/>
      <c r="L713" s="15"/>
      <c r="M713" s="15"/>
      <c r="N713" s="15"/>
      <c r="O713" s="103"/>
      <c r="P713" s="15"/>
      <c r="Q713" s="15"/>
      <c r="R713" s="15"/>
      <c r="S713" s="15"/>
      <c r="T713" s="15"/>
      <c r="U713" s="15"/>
      <c r="V713" s="103"/>
      <c r="W713" s="15"/>
      <c r="X713" s="15"/>
      <c r="Y713" s="15"/>
      <c r="Z713" s="15"/>
      <c r="AA713" s="15"/>
      <c r="AB713" s="15"/>
      <c r="AC713" s="103"/>
      <c r="AD713" s="15"/>
      <c r="AE713" s="15"/>
      <c r="AF713" s="15"/>
      <c r="AG713" s="15"/>
      <c r="AH713" s="15"/>
      <c r="AI713" s="15"/>
      <c r="AJ713" s="103"/>
      <c r="AK713" s="15"/>
      <c r="AL713" s="15"/>
      <c r="AM713" s="15"/>
      <c r="AN713" s="15"/>
      <c r="AO713" s="15"/>
      <c r="AP713" s="15"/>
      <c r="AQ713" s="15"/>
    </row>
    <row r="714">
      <c r="A714" s="15"/>
      <c r="B714" s="15"/>
      <c r="C714" s="15"/>
      <c r="D714" s="15"/>
      <c r="E714" s="15"/>
      <c r="F714" s="15"/>
      <c r="G714" s="15"/>
      <c r="H714" s="103"/>
      <c r="I714" s="15"/>
      <c r="J714" s="15"/>
      <c r="K714" s="15"/>
      <c r="L714" s="15"/>
      <c r="M714" s="15"/>
      <c r="N714" s="15"/>
      <c r="O714" s="103"/>
      <c r="P714" s="15"/>
      <c r="Q714" s="15"/>
      <c r="R714" s="15"/>
      <c r="S714" s="15"/>
      <c r="T714" s="15"/>
      <c r="U714" s="15"/>
      <c r="V714" s="103"/>
      <c r="W714" s="15"/>
      <c r="X714" s="15"/>
      <c r="Y714" s="15"/>
      <c r="Z714" s="15"/>
      <c r="AA714" s="15"/>
      <c r="AB714" s="15"/>
      <c r="AC714" s="103"/>
      <c r="AD714" s="15"/>
      <c r="AE714" s="15"/>
      <c r="AF714" s="15"/>
      <c r="AG714" s="15"/>
      <c r="AH714" s="15"/>
      <c r="AI714" s="15"/>
      <c r="AJ714" s="103"/>
      <c r="AK714" s="15"/>
      <c r="AL714" s="15"/>
      <c r="AM714" s="15"/>
      <c r="AN714" s="15"/>
      <c r="AO714" s="15"/>
      <c r="AP714" s="15"/>
      <c r="AQ714" s="15"/>
    </row>
    <row r="715">
      <c r="A715" s="15"/>
      <c r="B715" s="15"/>
      <c r="C715" s="15"/>
      <c r="D715" s="15"/>
      <c r="E715" s="15"/>
      <c r="F715" s="15"/>
      <c r="G715" s="15"/>
      <c r="H715" s="103"/>
      <c r="I715" s="15"/>
      <c r="J715" s="15"/>
      <c r="K715" s="15"/>
      <c r="L715" s="15"/>
      <c r="M715" s="15"/>
      <c r="N715" s="15"/>
      <c r="O715" s="103"/>
      <c r="P715" s="15"/>
      <c r="Q715" s="15"/>
      <c r="R715" s="15"/>
      <c r="S715" s="15"/>
      <c r="T715" s="15"/>
      <c r="U715" s="15"/>
      <c r="V715" s="103"/>
      <c r="W715" s="15"/>
      <c r="X715" s="15"/>
      <c r="Y715" s="15"/>
      <c r="Z715" s="15"/>
      <c r="AA715" s="15"/>
      <c r="AB715" s="15"/>
      <c r="AC715" s="103"/>
      <c r="AD715" s="15"/>
      <c r="AE715" s="15"/>
      <c r="AF715" s="15"/>
      <c r="AG715" s="15"/>
      <c r="AH715" s="15"/>
      <c r="AI715" s="15"/>
      <c r="AJ715" s="103"/>
      <c r="AK715" s="15"/>
      <c r="AL715" s="15"/>
      <c r="AM715" s="15"/>
      <c r="AN715" s="15"/>
      <c r="AO715" s="15"/>
      <c r="AP715" s="15"/>
      <c r="AQ715" s="15"/>
    </row>
    <row r="716">
      <c r="A716" s="15"/>
      <c r="B716" s="15"/>
      <c r="C716" s="15"/>
      <c r="D716" s="15"/>
      <c r="E716" s="15"/>
      <c r="F716" s="15"/>
      <c r="G716" s="15"/>
      <c r="H716" s="103"/>
      <c r="I716" s="15"/>
      <c r="J716" s="15"/>
      <c r="K716" s="15"/>
      <c r="L716" s="15"/>
      <c r="M716" s="15"/>
      <c r="N716" s="15"/>
      <c r="O716" s="103"/>
      <c r="P716" s="15"/>
      <c r="Q716" s="15"/>
      <c r="R716" s="15"/>
      <c r="S716" s="15"/>
      <c r="T716" s="15"/>
      <c r="U716" s="15"/>
      <c r="V716" s="103"/>
      <c r="W716" s="15"/>
      <c r="X716" s="15"/>
      <c r="Y716" s="15"/>
      <c r="Z716" s="15"/>
      <c r="AA716" s="15"/>
      <c r="AB716" s="15"/>
      <c r="AC716" s="103"/>
      <c r="AD716" s="15"/>
      <c r="AE716" s="15"/>
      <c r="AF716" s="15"/>
      <c r="AG716" s="15"/>
      <c r="AH716" s="15"/>
      <c r="AI716" s="15"/>
      <c r="AJ716" s="103"/>
      <c r="AK716" s="15"/>
      <c r="AL716" s="15"/>
      <c r="AM716" s="15"/>
      <c r="AN716" s="15"/>
      <c r="AO716" s="15"/>
      <c r="AP716" s="15"/>
      <c r="AQ716" s="15"/>
    </row>
    <row r="717">
      <c r="A717" s="15"/>
      <c r="B717" s="15"/>
      <c r="C717" s="15"/>
      <c r="D717" s="15"/>
      <c r="E717" s="15"/>
      <c r="F717" s="15"/>
      <c r="G717" s="15"/>
      <c r="H717" s="103"/>
      <c r="I717" s="15"/>
      <c r="J717" s="15"/>
      <c r="K717" s="15"/>
      <c r="L717" s="15"/>
      <c r="M717" s="15"/>
      <c r="N717" s="15"/>
      <c r="O717" s="103"/>
      <c r="P717" s="15"/>
      <c r="Q717" s="15"/>
      <c r="R717" s="15"/>
      <c r="S717" s="15"/>
      <c r="T717" s="15"/>
      <c r="U717" s="15"/>
      <c r="V717" s="103"/>
      <c r="W717" s="15"/>
      <c r="X717" s="15"/>
      <c r="Y717" s="15"/>
      <c r="Z717" s="15"/>
      <c r="AA717" s="15"/>
      <c r="AB717" s="15"/>
      <c r="AC717" s="103"/>
      <c r="AD717" s="15"/>
      <c r="AE717" s="15"/>
      <c r="AF717" s="15"/>
      <c r="AG717" s="15"/>
      <c r="AH717" s="15"/>
      <c r="AI717" s="15"/>
      <c r="AJ717" s="103"/>
      <c r="AK717" s="15"/>
      <c r="AL717" s="15"/>
      <c r="AM717" s="15"/>
      <c r="AN717" s="15"/>
      <c r="AO717" s="15"/>
      <c r="AP717" s="15"/>
      <c r="AQ717" s="15"/>
    </row>
    <row r="718">
      <c r="A718" s="15"/>
      <c r="B718" s="15"/>
      <c r="C718" s="15"/>
      <c r="D718" s="15"/>
      <c r="E718" s="15"/>
      <c r="F718" s="15"/>
      <c r="G718" s="15"/>
      <c r="H718" s="103"/>
      <c r="I718" s="15"/>
      <c r="J718" s="15"/>
      <c r="K718" s="15"/>
      <c r="L718" s="15"/>
      <c r="M718" s="15"/>
      <c r="N718" s="15"/>
      <c r="O718" s="103"/>
      <c r="P718" s="15"/>
      <c r="Q718" s="15"/>
      <c r="R718" s="15"/>
      <c r="S718" s="15"/>
      <c r="T718" s="15"/>
      <c r="U718" s="15"/>
      <c r="V718" s="103"/>
      <c r="W718" s="15"/>
      <c r="X718" s="15"/>
      <c r="Y718" s="15"/>
      <c r="Z718" s="15"/>
      <c r="AA718" s="15"/>
      <c r="AB718" s="15"/>
      <c r="AC718" s="103"/>
      <c r="AD718" s="15"/>
      <c r="AE718" s="15"/>
      <c r="AF718" s="15"/>
      <c r="AG718" s="15"/>
      <c r="AH718" s="15"/>
      <c r="AI718" s="15"/>
      <c r="AJ718" s="103"/>
      <c r="AK718" s="15"/>
      <c r="AL718" s="15"/>
      <c r="AM718" s="15"/>
      <c r="AN718" s="15"/>
      <c r="AO718" s="15"/>
      <c r="AP718" s="15"/>
      <c r="AQ718" s="15"/>
    </row>
    <row r="719">
      <c r="A719" s="15"/>
      <c r="B719" s="15"/>
      <c r="C719" s="15"/>
      <c r="D719" s="15"/>
      <c r="E719" s="15"/>
      <c r="F719" s="15"/>
      <c r="G719" s="15"/>
      <c r="H719" s="103"/>
      <c r="I719" s="15"/>
      <c r="J719" s="15"/>
      <c r="K719" s="15"/>
      <c r="L719" s="15"/>
      <c r="M719" s="15"/>
      <c r="N719" s="15"/>
      <c r="O719" s="103"/>
      <c r="P719" s="15"/>
      <c r="Q719" s="15"/>
      <c r="R719" s="15"/>
      <c r="S719" s="15"/>
      <c r="T719" s="15"/>
      <c r="U719" s="15"/>
      <c r="V719" s="103"/>
      <c r="W719" s="15"/>
      <c r="X719" s="15"/>
      <c r="Y719" s="15"/>
      <c r="Z719" s="15"/>
      <c r="AA719" s="15"/>
      <c r="AB719" s="15"/>
      <c r="AC719" s="103"/>
      <c r="AD719" s="15"/>
      <c r="AE719" s="15"/>
      <c r="AF719" s="15"/>
      <c r="AG719" s="15"/>
      <c r="AH719" s="15"/>
      <c r="AI719" s="15"/>
      <c r="AJ719" s="103"/>
      <c r="AK719" s="15"/>
      <c r="AL719" s="15"/>
      <c r="AM719" s="15"/>
      <c r="AN719" s="15"/>
      <c r="AO719" s="15"/>
      <c r="AP719" s="15"/>
      <c r="AQ719" s="15"/>
    </row>
    <row r="720">
      <c r="A720" s="15"/>
      <c r="B720" s="15"/>
      <c r="C720" s="15"/>
      <c r="D720" s="15"/>
      <c r="E720" s="15"/>
      <c r="F720" s="15"/>
      <c r="G720" s="15"/>
      <c r="H720" s="103"/>
      <c r="I720" s="15"/>
      <c r="J720" s="15"/>
      <c r="K720" s="15"/>
      <c r="L720" s="15"/>
      <c r="M720" s="15"/>
      <c r="N720" s="15"/>
      <c r="O720" s="103"/>
      <c r="P720" s="15"/>
      <c r="Q720" s="15"/>
      <c r="R720" s="15"/>
      <c r="S720" s="15"/>
      <c r="T720" s="15"/>
      <c r="U720" s="15"/>
      <c r="V720" s="103"/>
      <c r="W720" s="15"/>
      <c r="X720" s="15"/>
      <c r="Y720" s="15"/>
      <c r="Z720" s="15"/>
      <c r="AA720" s="15"/>
      <c r="AB720" s="15"/>
      <c r="AC720" s="103"/>
      <c r="AD720" s="15"/>
      <c r="AE720" s="15"/>
      <c r="AF720" s="15"/>
      <c r="AG720" s="15"/>
      <c r="AH720" s="15"/>
      <c r="AI720" s="15"/>
      <c r="AJ720" s="103"/>
      <c r="AK720" s="15"/>
      <c r="AL720" s="15"/>
      <c r="AM720" s="15"/>
      <c r="AN720" s="15"/>
      <c r="AO720" s="15"/>
      <c r="AP720" s="15"/>
      <c r="AQ720" s="15"/>
    </row>
    <row r="721">
      <c r="A721" s="15"/>
      <c r="B721" s="15"/>
      <c r="C721" s="15"/>
      <c r="D721" s="15"/>
      <c r="E721" s="15"/>
      <c r="F721" s="15"/>
      <c r="G721" s="15"/>
      <c r="H721" s="103"/>
      <c r="I721" s="15"/>
      <c r="J721" s="15"/>
      <c r="K721" s="15"/>
      <c r="L721" s="15"/>
      <c r="M721" s="15"/>
      <c r="N721" s="15"/>
      <c r="O721" s="103"/>
      <c r="P721" s="15"/>
      <c r="Q721" s="15"/>
      <c r="R721" s="15"/>
      <c r="S721" s="15"/>
      <c r="T721" s="15"/>
      <c r="U721" s="15"/>
      <c r="V721" s="103"/>
      <c r="W721" s="15"/>
      <c r="X721" s="15"/>
      <c r="Y721" s="15"/>
      <c r="Z721" s="15"/>
      <c r="AA721" s="15"/>
      <c r="AB721" s="15"/>
      <c r="AC721" s="103"/>
      <c r="AD721" s="15"/>
      <c r="AE721" s="15"/>
      <c r="AF721" s="15"/>
      <c r="AG721" s="15"/>
      <c r="AH721" s="15"/>
      <c r="AI721" s="15"/>
      <c r="AJ721" s="103"/>
      <c r="AK721" s="15"/>
      <c r="AL721" s="15"/>
      <c r="AM721" s="15"/>
      <c r="AN721" s="15"/>
      <c r="AO721" s="15"/>
      <c r="AP721" s="15"/>
      <c r="AQ721" s="15"/>
    </row>
    <row r="722">
      <c r="A722" s="15"/>
      <c r="B722" s="15"/>
      <c r="C722" s="15"/>
      <c r="D722" s="15"/>
      <c r="E722" s="15"/>
      <c r="F722" s="15"/>
      <c r="G722" s="15"/>
      <c r="H722" s="103"/>
      <c r="I722" s="15"/>
      <c r="J722" s="15"/>
      <c r="K722" s="15"/>
      <c r="L722" s="15"/>
      <c r="M722" s="15"/>
      <c r="N722" s="15"/>
      <c r="O722" s="103"/>
      <c r="P722" s="15"/>
      <c r="Q722" s="15"/>
      <c r="R722" s="15"/>
      <c r="S722" s="15"/>
      <c r="T722" s="15"/>
      <c r="U722" s="15"/>
      <c r="V722" s="103"/>
      <c r="W722" s="15"/>
      <c r="X722" s="15"/>
      <c r="Y722" s="15"/>
      <c r="Z722" s="15"/>
      <c r="AA722" s="15"/>
      <c r="AB722" s="15"/>
      <c r="AC722" s="103"/>
      <c r="AD722" s="15"/>
      <c r="AE722" s="15"/>
      <c r="AF722" s="15"/>
      <c r="AG722" s="15"/>
      <c r="AH722" s="15"/>
      <c r="AI722" s="15"/>
      <c r="AJ722" s="103"/>
      <c r="AK722" s="15"/>
      <c r="AL722" s="15"/>
      <c r="AM722" s="15"/>
      <c r="AN722" s="15"/>
      <c r="AO722" s="15"/>
      <c r="AP722" s="15"/>
      <c r="AQ722" s="15"/>
    </row>
    <row r="723">
      <c r="A723" s="15"/>
      <c r="B723" s="15"/>
      <c r="C723" s="15"/>
      <c r="D723" s="15"/>
      <c r="E723" s="15"/>
      <c r="F723" s="15"/>
      <c r="G723" s="15"/>
      <c r="H723" s="103"/>
      <c r="I723" s="15"/>
      <c r="J723" s="15"/>
      <c r="K723" s="15"/>
      <c r="L723" s="15"/>
      <c r="M723" s="15"/>
      <c r="N723" s="15"/>
      <c r="O723" s="103"/>
      <c r="P723" s="15"/>
      <c r="Q723" s="15"/>
      <c r="R723" s="15"/>
      <c r="S723" s="15"/>
      <c r="T723" s="15"/>
      <c r="U723" s="15"/>
      <c r="V723" s="103"/>
      <c r="W723" s="15"/>
      <c r="X723" s="15"/>
      <c r="Y723" s="15"/>
      <c r="Z723" s="15"/>
      <c r="AA723" s="15"/>
      <c r="AB723" s="15"/>
      <c r="AC723" s="103"/>
      <c r="AD723" s="15"/>
      <c r="AE723" s="15"/>
      <c r="AF723" s="15"/>
      <c r="AG723" s="15"/>
      <c r="AH723" s="15"/>
      <c r="AI723" s="15"/>
      <c r="AJ723" s="103"/>
      <c r="AK723" s="15"/>
      <c r="AL723" s="15"/>
      <c r="AM723" s="15"/>
      <c r="AN723" s="15"/>
      <c r="AO723" s="15"/>
      <c r="AP723" s="15"/>
      <c r="AQ723" s="15"/>
    </row>
    <row r="724">
      <c r="A724" s="15"/>
      <c r="B724" s="15"/>
      <c r="C724" s="15"/>
      <c r="D724" s="15"/>
      <c r="E724" s="15"/>
      <c r="F724" s="15"/>
      <c r="G724" s="15"/>
      <c r="H724" s="103"/>
      <c r="I724" s="15"/>
      <c r="J724" s="15"/>
      <c r="K724" s="15"/>
      <c r="L724" s="15"/>
      <c r="M724" s="15"/>
      <c r="N724" s="15"/>
      <c r="O724" s="103"/>
      <c r="P724" s="15"/>
      <c r="Q724" s="15"/>
      <c r="R724" s="15"/>
      <c r="S724" s="15"/>
      <c r="T724" s="15"/>
      <c r="U724" s="15"/>
      <c r="V724" s="103"/>
      <c r="W724" s="15"/>
      <c r="X724" s="15"/>
      <c r="Y724" s="15"/>
      <c r="Z724" s="15"/>
      <c r="AA724" s="15"/>
      <c r="AB724" s="15"/>
      <c r="AC724" s="103"/>
      <c r="AD724" s="15"/>
      <c r="AE724" s="15"/>
      <c r="AF724" s="15"/>
      <c r="AG724" s="15"/>
      <c r="AH724" s="15"/>
      <c r="AI724" s="15"/>
      <c r="AJ724" s="103"/>
      <c r="AK724" s="15"/>
      <c r="AL724" s="15"/>
      <c r="AM724" s="15"/>
      <c r="AN724" s="15"/>
      <c r="AO724" s="15"/>
      <c r="AP724" s="15"/>
      <c r="AQ724" s="15"/>
    </row>
    <row r="725">
      <c r="A725" s="15"/>
      <c r="B725" s="15"/>
      <c r="C725" s="15"/>
      <c r="D725" s="15"/>
      <c r="E725" s="15"/>
      <c r="F725" s="15"/>
      <c r="G725" s="15"/>
      <c r="H725" s="103"/>
      <c r="I725" s="15"/>
      <c r="J725" s="15"/>
      <c r="K725" s="15"/>
      <c r="L725" s="15"/>
      <c r="M725" s="15"/>
      <c r="N725" s="15"/>
      <c r="O725" s="103"/>
      <c r="P725" s="15"/>
      <c r="Q725" s="15"/>
      <c r="R725" s="15"/>
      <c r="S725" s="15"/>
      <c r="T725" s="15"/>
      <c r="U725" s="15"/>
      <c r="V725" s="103"/>
      <c r="W725" s="15"/>
      <c r="X725" s="15"/>
      <c r="Y725" s="15"/>
      <c r="Z725" s="15"/>
      <c r="AA725" s="15"/>
      <c r="AB725" s="15"/>
      <c r="AC725" s="103"/>
      <c r="AD725" s="15"/>
      <c r="AE725" s="15"/>
      <c r="AF725" s="15"/>
      <c r="AG725" s="15"/>
      <c r="AH725" s="15"/>
      <c r="AI725" s="15"/>
      <c r="AJ725" s="103"/>
      <c r="AK725" s="15"/>
      <c r="AL725" s="15"/>
      <c r="AM725" s="15"/>
      <c r="AN725" s="15"/>
      <c r="AO725" s="15"/>
      <c r="AP725" s="15"/>
      <c r="AQ725" s="15"/>
    </row>
    <row r="726">
      <c r="A726" s="15"/>
      <c r="B726" s="15"/>
      <c r="C726" s="15"/>
      <c r="D726" s="15"/>
      <c r="E726" s="15"/>
      <c r="F726" s="15"/>
      <c r="G726" s="15"/>
      <c r="H726" s="103"/>
      <c r="I726" s="15"/>
      <c r="J726" s="15"/>
      <c r="K726" s="15"/>
      <c r="L726" s="15"/>
      <c r="M726" s="15"/>
      <c r="N726" s="15"/>
      <c r="O726" s="103"/>
      <c r="P726" s="15"/>
      <c r="Q726" s="15"/>
      <c r="R726" s="15"/>
      <c r="S726" s="15"/>
      <c r="T726" s="15"/>
      <c r="U726" s="15"/>
      <c r="V726" s="103"/>
      <c r="W726" s="15"/>
      <c r="X726" s="15"/>
      <c r="Y726" s="15"/>
      <c r="Z726" s="15"/>
      <c r="AA726" s="15"/>
      <c r="AB726" s="15"/>
      <c r="AC726" s="103"/>
      <c r="AD726" s="15"/>
      <c r="AE726" s="15"/>
      <c r="AF726" s="15"/>
      <c r="AG726" s="15"/>
      <c r="AH726" s="15"/>
      <c r="AI726" s="15"/>
      <c r="AJ726" s="103"/>
      <c r="AK726" s="15"/>
      <c r="AL726" s="15"/>
      <c r="AM726" s="15"/>
      <c r="AN726" s="15"/>
      <c r="AO726" s="15"/>
      <c r="AP726" s="15"/>
      <c r="AQ726" s="15"/>
    </row>
    <row r="727">
      <c r="A727" s="15"/>
      <c r="B727" s="15"/>
      <c r="C727" s="15"/>
      <c r="D727" s="15"/>
      <c r="E727" s="15"/>
      <c r="F727" s="15"/>
      <c r="G727" s="15"/>
      <c r="H727" s="103"/>
      <c r="I727" s="15"/>
      <c r="J727" s="15"/>
      <c r="K727" s="15"/>
      <c r="L727" s="15"/>
      <c r="M727" s="15"/>
      <c r="N727" s="15"/>
      <c r="O727" s="103"/>
      <c r="P727" s="15"/>
      <c r="Q727" s="15"/>
      <c r="R727" s="15"/>
      <c r="S727" s="15"/>
      <c r="T727" s="15"/>
      <c r="U727" s="15"/>
      <c r="V727" s="103"/>
      <c r="W727" s="15"/>
      <c r="X727" s="15"/>
      <c r="Y727" s="15"/>
      <c r="Z727" s="15"/>
      <c r="AA727" s="15"/>
      <c r="AB727" s="15"/>
      <c r="AC727" s="103"/>
      <c r="AD727" s="15"/>
      <c r="AE727" s="15"/>
      <c r="AF727" s="15"/>
      <c r="AG727" s="15"/>
      <c r="AH727" s="15"/>
      <c r="AI727" s="15"/>
      <c r="AJ727" s="103"/>
      <c r="AK727" s="15"/>
      <c r="AL727" s="15"/>
      <c r="AM727" s="15"/>
      <c r="AN727" s="15"/>
      <c r="AO727" s="15"/>
      <c r="AP727" s="15"/>
      <c r="AQ727" s="15"/>
    </row>
    <row r="728">
      <c r="A728" s="15"/>
      <c r="B728" s="15"/>
      <c r="C728" s="15"/>
      <c r="D728" s="15"/>
      <c r="E728" s="15"/>
      <c r="F728" s="15"/>
      <c r="G728" s="15"/>
      <c r="H728" s="103"/>
      <c r="I728" s="15"/>
      <c r="J728" s="15"/>
      <c r="K728" s="15"/>
      <c r="L728" s="15"/>
      <c r="M728" s="15"/>
      <c r="N728" s="15"/>
      <c r="O728" s="103"/>
      <c r="P728" s="15"/>
      <c r="Q728" s="15"/>
      <c r="R728" s="15"/>
      <c r="S728" s="15"/>
      <c r="T728" s="15"/>
      <c r="U728" s="15"/>
      <c r="V728" s="103"/>
      <c r="W728" s="15"/>
      <c r="X728" s="15"/>
      <c r="Y728" s="15"/>
      <c r="Z728" s="15"/>
      <c r="AA728" s="15"/>
      <c r="AB728" s="15"/>
      <c r="AC728" s="103"/>
      <c r="AD728" s="15"/>
      <c r="AE728" s="15"/>
      <c r="AF728" s="15"/>
      <c r="AG728" s="15"/>
      <c r="AH728" s="15"/>
      <c r="AI728" s="15"/>
      <c r="AJ728" s="103"/>
      <c r="AK728" s="15"/>
      <c r="AL728" s="15"/>
      <c r="AM728" s="15"/>
      <c r="AN728" s="15"/>
      <c r="AO728" s="15"/>
      <c r="AP728" s="15"/>
      <c r="AQ728" s="15"/>
    </row>
    <row r="729">
      <c r="A729" s="15"/>
      <c r="B729" s="15"/>
      <c r="C729" s="15"/>
      <c r="D729" s="15"/>
      <c r="E729" s="15"/>
      <c r="F729" s="15"/>
      <c r="G729" s="15"/>
      <c r="H729" s="103"/>
      <c r="I729" s="15"/>
      <c r="J729" s="15"/>
      <c r="K729" s="15"/>
      <c r="L729" s="15"/>
      <c r="M729" s="15"/>
      <c r="N729" s="15"/>
      <c r="O729" s="103"/>
      <c r="P729" s="15"/>
      <c r="Q729" s="15"/>
      <c r="R729" s="15"/>
      <c r="S729" s="15"/>
      <c r="T729" s="15"/>
      <c r="U729" s="15"/>
      <c r="V729" s="103"/>
      <c r="W729" s="15"/>
      <c r="X729" s="15"/>
      <c r="Y729" s="15"/>
      <c r="Z729" s="15"/>
      <c r="AA729" s="15"/>
      <c r="AB729" s="15"/>
      <c r="AC729" s="103"/>
      <c r="AD729" s="15"/>
      <c r="AE729" s="15"/>
      <c r="AF729" s="15"/>
      <c r="AG729" s="15"/>
      <c r="AH729" s="15"/>
      <c r="AI729" s="15"/>
      <c r="AJ729" s="103"/>
      <c r="AK729" s="15"/>
      <c r="AL729" s="15"/>
      <c r="AM729" s="15"/>
      <c r="AN729" s="15"/>
      <c r="AO729" s="15"/>
      <c r="AP729" s="15"/>
      <c r="AQ729" s="15"/>
    </row>
    <row r="730">
      <c r="A730" s="15"/>
      <c r="B730" s="15"/>
      <c r="C730" s="15"/>
      <c r="D730" s="15"/>
      <c r="E730" s="15"/>
      <c r="F730" s="15"/>
      <c r="G730" s="15"/>
      <c r="H730" s="103"/>
      <c r="I730" s="15"/>
      <c r="J730" s="15"/>
      <c r="K730" s="15"/>
      <c r="L730" s="15"/>
      <c r="M730" s="15"/>
      <c r="N730" s="15"/>
      <c r="O730" s="103"/>
      <c r="P730" s="15"/>
      <c r="Q730" s="15"/>
      <c r="R730" s="15"/>
      <c r="S730" s="15"/>
      <c r="T730" s="15"/>
      <c r="U730" s="15"/>
      <c r="V730" s="103"/>
      <c r="W730" s="15"/>
      <c r="X730" s="15"/>
      <c r="Y730" s="15"/>
      <c r="Z730" s="15"/>
      <c r="AA730" s="15"/>
      <c r="AB730" s="15"/>
      <c r="AC730" s="103"/>
      <c r="AD730" s="15"/>
      <c r="AE730" s="15"/>
      <c r="AF730" s="15"/>
      <c r="AG730" s="15"/>
      <c r="AH730" s="15"/>
      <c r="AI730" s="15"/>
      <c r="AJ730" s="103"/>
      <c r="AK730" s="15"/>
      <c r="AL730" s="15"/>
      <c r="AM730" s="15"/>
      <c r="AN730" s="15"/>
      <c r="AO730" s="15"/>
      <c r="AP730" s="15"/>
      <c r="AQ730" s="15"/>
    </row>
    <row r="731">
      <c r="A731" s="15"/>
      <c r="B731" s="15"/>
      <c r="C731" s="15"/>
      <c r="D731" s="15"/>
      <c r="E731" s="15"/>
      <c r="F731" s="15"/>
      <c r="G731" s="15"/>
      <c r="H731" s="103"/>
      <c r="I731" s="15"/>
      <c r="J731" s="15"/>
      <c r="K731" s="15"/>
      <c r="L731" s="15"/>
      <c r="M731" s="15"/>
      <c r="N731" s="15"/>
      <c r="O731" s="103"/>
      <c r="P731" s="15"/>
      <c r="Q731" s="15"/>
      <c r="R731" s="15"/>
      <c r="S731" s="15"/>
      <c r="T731" s="15"/>
      <c r="U731" s="15"/>
      <c r="V731" s="103"/>
      <c r="W731" s="15"/>
      <c r="X731" s="15"/>
      <c r="Y731" s="15"/>
      <c r="Z731" s="15"/>
      <c r="AA731" s="15"/>
      <c r="AB731" s="15"/>
      <c r="AC731" s="103"/>
      <c r="AD731" s="15"/>
      <c r="AE731" s="15"/>
      <c r="AF731" s="15"/>
      <c r="AG731" s="15"/>
      <c r="AH731" s="15"/>
      <c r="AI731" s="15"/>
      <c r="AJ731" s="103"/>
      <c r="AK731" s="15"/>
      <c r="AL731" s="15"/>
      <c r="AM731" s="15"/>
      <c r="AN731" s="15"/>
      <c r="AO731" s="15"/>
      <c r="AP731" s="15"/>
      <c r="AQ731" s="15"/>
    </row>
    <row r="732">
      <c r="A732" s="15"/>
      <c r="B732" s="15"/>
      <c r="C732" s="15"/>
      <c r="D732" s="15"/>
      <c r="E732" s="15"/>
      <c r="F732" s="15"/>
      <c r="G732" s="15"/>
      <c r="H732" s="103"/>
      <c r="I732" s="15"/>
      <c r="J732" s="15"/>
      <c r="K732" s="15"/>
      <c r="L732" s="15"/>
      <c r="M732" s="15"/>
      <c r="N732" s="15"/>
      <c r="O732" s="103"/>
      <c r="P732" s="15"/>
      <c r="Q732" s="15"/>
      <c r="R732" s="15"/>
      <c r="S732" s="15"/>
      <c r="T732" s="15"/>
      <c r="U732" s="15"/>
      <c r="V732" s="103"/>
      <c r="W732" s="15"/>
      <c r="X732" s="15"/>
      <c r="Y732" s="15"/>
      <c r="Z732" s="15"/>
      <c r="AA732" s="15"/>
      <c r="AB732" s="15"/>
      <c r="AC732" s="103"/>
      <c r="AD732" s="15"/>
      <c r="AE732" s="15"/>
      <c r="AF732" s="15"/>
      <c r="AG732" s="15"/>
      <c r="AH732" s="15"/>
      <c r="AI732" s="15"/>
      <c r="AJ732" s="103"/>
      <c r="AK732" s="15"/>
      <c r="AL732" s="15"/>
      <c r="AM732" s="15"/>
      <c r="AN732" s="15"/>
      <c r="AO732" s="15"/>
      <c r="AP732" s="15"/>
      <c r="AQ732" s="15"/>
    </row>
    <row r="733">
      <c r="A733" s="15"/>
      <c r="B733" s="15"/>
      <c r="C733" s="15"/>
      <c r="D733" s="15"/>
      <c r="E733" s="15"/>
      <c r="F733" s="15"/>
      <c r="G733" s="15"/>
      <c r="H733" s="103"/>
      <c r="I733" s="15"/>
      <c r="J733" s="15"/>
      <c r="K733" s="15"/>
      <c r="L733" s="15"/>
      <c r="M733" s="15"/>
      <c r="N733" s="15"/>
      <c r="O733" s="103"/>
      <c r="P733" s="15"/>
      <c r="Q733" s="15"/>
      <c r="R733" s="15"/>
      <c r="S733" s="15"/>
      <c r="T733" s="15"/>
      <c r="U733" s="15"/>
      <c r="V733" s="103"/>
      <c r="W733" s="15"/>
      <c r="X733" s="15"/>
      <c r="Y733" s="15"/>
      <c r="Z733" s="15"/>
      <c r="AA733" s="15"/>
      <c r="AB733" s="15"/>
      <c r="AC733" s="103"/>
      <c r="AD733" s="15"/>
      <c r="AE733" s="15"/>
      <c r="AF733" s="15"/>
      <c r="AG733" s="15"/>
      <c r="AH733" s="15"/>
      <c r="AI733" s="15"/>
      <c r="AJ733" s="103"/>
      <c r="AK733" s="15"/>
      <c r="AL733" s="15"/>
      <c r="AM733" s="15"/>
      <c r="AN733" s="15"/>
      <c r="AO733" s="15"/>
      <c r="AP733" s="15"/>
      <c r="AQ733" s="15"/>
    </row>
    <row r="734">
      <c r="A734" s="15"/>
      <c r="B734" s="15"/>
      <c r="C734" s="15"/>
      <c r="D734" s="15"/>
      <c r="E734" s="15"/>
      <c r="F734" s="15"/>
      <c r="G734" s="15"/>
      <c r="H734" s="103"/>
      <c r="I734" s="15"/>
      <c r="J734" s="15"/>
      <c r="K734" s="15"/>
      <c r="L734" s="15"/>
      <c r="M734" s="15"/>
      <c r="N734" s="15"/>
      <c r="O734" s="103"/>
      <c r="P734" s="15"/>
      <c r="Q734" s="15"/>
      <c r="R734" s="15"/>
      <c r="S734" s="15"/>
      <c r="T734" s="15"/>
      <c r="U734" s="15"/>
      <c r="V734" s="103"/>
      <c r="W734" s="15"/>
      <c r="X734" s="15"/>
      <c r="Y734" s="15"/>
      <c r="Z734" s="15"/>
      <c r="AA734" s="15"/>
      <c r="AB734" s="15"/>
      <c r="AC734" s="103"/>
      <c r="AD734" s="15"/>
      <c r="AE734" s="15"/>
      <c r="AF734" s="15"/>
      <c r="AG734" s="15"/>
      <c r="AH734" s="15"/>
      <c r="AI734" s="15"/>
      <c r="AJ734" s="103"/>
      <c r="AK734" s="15"/>
      <c r="AL734" s="15"/>
      <c r="AM734" s="15"/>
      <c r="AN734" s="15"/>
      <c r="AO734" s="15"/>
      <c r="AP734" s="15"/>
      <c r="AQ734" s="15"/>
    </row>
    <row r="735">
      <c r="A735" s="15"/>
      <c r="B735" s="15"/>
      <c r="C735" s="15"/>
      <c r="D735" s="15"/>
      <c r="E735" s="15"/>
      <c r="F735" s="15"/>
      <c r="G735" s="15"/>
      <c r="H735" s="103"/>
      <c r="I735" s="15"/>
      <c r="J735" s="15"/>
      <c r="K735" s="15"/>
      <c r="L735" s="15"/>
      <c r="M735" s="15"/>
      <c r="N735" s="15"/>
      <c r="O735" s="103"/>
      <c r="P735" s="15"/>
      <c r="Q735" s="15"/>
      <c r="R735" s="15"/>
      <c r="S735" s="15"/>
      <c r="T735" s="15"/>
      <c r="U735" s="15"/>
      <c r="V735" s="103"/>
      <c r="W735" s="15"/>
      <c r="X735" s="15"/>
      <c r="Y735" s="15"/>
      <c r="Z735" s="15"/>
      <c r="AA735" s="15"/>
      <c r="AB735" s="15"/>
      <c r="AC735" s="103"/>
      <c r="AD735" s="15"/>
      <c r="AE735" s="15"/>
      <c r="AF735" s="15"/>
      <c r="AG735" s="15"/>
      <c r="AH735" s="15"/>
      <c r="AI735" s="15"/>
      <c r="AJ735" s="103"/>
      <c r="AK735" s="15"/>
      <c r="AL735" s="15"/>
      <c r="AM735" s="15"/>
      <c r="AN735" s="15"/>
      <c r="AO735" s="15"/>
      <c r="AP735" s="15"/>
      <c r="AQ735" s="15"/>
    </row>
    <row r="736">
      <c r="A736" s="15"/>
      <c r="B736" s="15"/>
      <c r="C736" s="15"/>
      <c r="D736" s="15"/>
      <c r="E736" s="15"/>
      <c r="F736" s="15"/>
      <c r="G736" s="15"/>
      <c r="H736" s="103"/>
      <c r="I736" s="15"/>
      <c r="J736" s="15"/>
      <c r="K736" s="15"/>
      <c r="L736" s="15"/>
      <c r="M736" s="15"/>
      <c r="N736" s="15"/>
      <c r="O736" s="103"/>
      <c r="P736" s="15"/>
      <c r="Q736" s="15"/>
      <c r="R736" s="15"/>
      <c r="S736" s="15"/>
      <c r="T736" s="15"/>
      <c r="U736" s="15"/>
      <c r="V736" s="103"/>
      <c r="W736" s="15"/>
      <c r="X736" s="15"/>
      <c r="Y736" s="15"/>
      <c r="Z736" s="15"/>
      <c r="AA736" s="15"/>
      <c r="AB736" s="15"/>
      <c r="AC736" s="103"/>
      <c r="AD736" s="15"/>
      <c r="AE736" s="15"/>
      <c r="AF736" s="15"/>
      <c r="AG736" s="15"/>
      <c r="AH736" s="15"/>
      <c r="AI736" s="15"/>
      <c r="AJ736" s="103"/>
      <c r="AK736" s="15"/>
      <c r="AL736" s="15"/>
      <c r="AM736" s="15"/>
      <c r="AN736" s="15"/>
      <c r="AO736" s="15"/>
      <c r="AP736" s="15"/>
      <c r="AQ736" s="15"/>
    </row>
    <row r="737">
      <c r="A737" s="15"/>
      <c r="B737" s="15"/>
      <c r="C737" s="15"/>
      <c r="D737" s="15"/>
      <c r="E737" s="15"/>
      <c r="F737" s="15"/>
      <c r="G737" s="15"/>
      <c r="H737" s="103"/>
      <c r="I737" s="15"/>
      <c r="J737" s="15"/>
      <c r="K737" s="15"/>
      <c r="L737" s="15"/>
      <c r="M737" s="15"/>
      <c r="N737" s="15"/>
      <c r="O737" s="103"/>
      <c r="P737" s="15"/>
      <c r="Q737" s="15"/>
      <c r="R737" s="15"/>
      <c r="S737" s="15"/>
      <c r="T737" s="15"/>
      <c r="U737" s="15"/>
      <c r="V737" s="103"/>
      <c r="W737" s="15"/>
      <c r="X737" s="15"/>
      <c r="Y737" s="15"/>
      <c r="Z737" s="15"/>
      <c r="AA737" s="15"/>
      <c r="AB737" s="15"/>
      <c r="AC737" s="103"/>
      <c r="AD737" s="15"/>
      <c r="AE737" s="15"/>
      <c r="AF737" s="15"/>
      <c r="AG737" s="15"/>
      <c r="AH737" s="15"/>
      <c r="AI737" s="15"/>
      <c r="AJ737" s="103"/>
      <c r="AK737" s="15"/>
      <c r="AL737" s="15"/>
      <c r="AM737" s="15"/>
      <c r="AN737" s="15"/>
      <c r="AO737" s="15"/>
      <c r="AP737" s="15"/>
      <c r="AQ737" s="15"/>
    </row>
    <row r="738">
      <c r="A738" s="15"/>
      <c r="B738" s="15"/>
      <c r="C738" s="15"/>
      <c r="D738" s="15"/>
      <c r="E738" s="15"/>
      <c r="F738" s="15"/>
      <c r="G738" s="15"/>
      <c r="H738" s="103"/>
      <c r="I738" s="15"/>
      <c r="J738" s="15"/>
      <c r="K738" s="15"/>
      <c r="L738" s="15"/>
      <c r="M738" s="15"/>
      <c r="N738" s="15"/>
      <c r="O738" s="103"/>
      <c r="P738" s="15"/>
      <c r="Q738" s="15"/>
      <c r="R738" s="15"/>
      <c r="S738" s="15"/>
      <c r="T738" s="15"/>
      <c r="U738" s="15"/>
      <c r="V738" s="103"/>
      <c r="W738" s="15"/>
      <c r="X738" s="15"/>
      <c r="Y738" s="15"/>
      <c r="Z738" s="15"/>
      <c r="AA738" s="15"/>
      <c r="AB738" s="15"/>
      <c r="AC738" s="103"/>
      <c r="AD738" s="15"/>
      <c r="AE738" s="15"/>
      <c r="AF738" s="15"/>
      <c r="AG738" s="15"/>
      <c r="AH738" s="15"/>
      <c r="AI738" s="15"/>
      <c r="AJ738" s="103"/>
      <c r="AK738" s="15"/>
      <c r="AL738" s="15"/>
      <c r="AM738" s="15"/>
      <c r="AN738" s="15"/>
      <c r="AO738" s="15"/>
      <c r="AP738" s="15"/>
      <c r="AQ738" s="15"/>
    </row>
    <row r="739">
      <c r="A739" s="15"/>
      <c r="B739" s="15"/>
      <c r="C739" s="15"/>
      <c r="D739" s="15"/>
      <c r="E739" s="15"/>
      <c r="F739" s="15"/>
      <c r="G739" s="15"/>
      <c r="H739" s="103"/>
      <c r="I739" s="15"/>
      <c r="J739" s="15"/>
      <c r="K739" s="15"/>
      <c r="L739" s="15"/>
      <c r="M739" s="15"/>
      <c r="N739" s="15"/>
      <c r="O739" s="103"/>
      <c r="P739" s="15"/>
      <c r="Q739" s="15"/>
      <c r="R739" s="15"/>
      <c r="S739" s="15"/>
      <c r="T739" s="15"/>
      <c r="U739" s="15"/>
      <c r="V739" s="103"/>
      <c r="W739" s="15"/>
      <c r="X739" s="15"/>
      <c r="Y739" s="15"/>
      <c r="Z739" s="15"/>
      <c r="AA739" s="15"/>
      <c r="AB739" s="15"/>
      <c r="AC739" s="103"/>
      <c r="AD739" s="15"/>
      <c r="AE739" s="15"/>
      <c r="AF739" s="15"/>
      <c r="AG739" s="15"/>
      <c r="AH739" s="15"/>
      <c r="AI739" s="15"/>
      <c r="AJ739" s="103"/>
      <c r="AK739" s="15"/>
      <c r="AL739" s="15"/>
      <c r="AM739" s="15"/>
      <c r="AN739" s="15"/>
      <c r="AO739" s="15"/>
      <c r="AP739" s="15"/>
      <c r="AQ739" s="15"/>
    </row>
    <row r="740">
      <c r="A740" s="15"/>
      <c r="B740" s="15"/>
      <c r="C740" s="15"/>
      <c r="D740" s="15"/>
      <c r="E740" s="15"/>
      <c r="F740" s="15"/>
      <c r="G740" s="15"/>
      <c r="H740" s="103"/>
      <c r="I740" s="15"/>
      <c r="J740" s="15"/>
      <c r="K740" s="15"/>
      <c r="L740" s="15"/>
      <c r="M740" s="15"/>
      <c r="N740" s="15"/>
      <c r="O740" s="103"/>
      <c r="P740" s="15"/>
      <c r="Q740" s="15"/>
      <c r="R740" s="15"/>
      <c r="S740" s="15"/>
      <c r="T740" s="15"/>
      <c r="U740" s="15"/>
      <c r="V740" s="103"/>
      <c r="W740" s="15"/>
      <c r="X740" s="15"/>
      <c r="Y740" s="15"/>
      <c r="Z740" s="15"/>
      <c r="AA740" s="15"/>
      <c r="AB740" s="15"/>
      <c r="AC740" s="103"/>
      <c r="AD740" s="15"/>
      <c r="AE740" s="15"/>
      <c r="AF740" s="15"/>
      <c r="AG740" s="15"/>
      <c r="AH740" s="15"/>
      <c r="AI740" s="15"/>
      <c r="AJ740" s="103"/>
      <c r="AK740" s="15"/>
      <c r="AL740" s="15"/>
      <c r="AM740" s="15"/>
      <c r="AN740" s="15"/>
      <c r="AO740" s="15"/>
      <c r="AP740" s="15"/>
      <c r="AQ740" s="15"/>
    </row>
    <row r="741">
      <c r="A741" s="15"/>
      <c r="B741" s="15"/>
      <c r="C741" s="15"/>
      <c r="D741" s="15"/>
      <c r="E741" s="15"/>
      <c r="F741" s="15"/>
      <c r="G741" s="15"/>
      <c r="H741" s="103"/>
      <c r="I741" s="15"/>
      <c r="J741" s="15"/>
      <c r="K741" s="15"/>
      <c r="L741" s="15"/>
      <c r="M741" s="15"/>
      <c r="N741" s="15"/>
      <c r="O741" s="103"/>
      <c r="P741" s="15"/>
      <c r="Q741" s="15"/>
      <c r="R741" s="15"/>
      <c r="S741" s="15"/>
      <c r="T741" s="15"/>
      <c r="U741" s="15"/>
      <c r="V741" s="103"/>
      <c r="W741" s="15"/>
      <c r="X741" s="15"/>
      <c r="Y741" s="15"/>
      <c r="Z741" s="15"/>
      <c r="AA741" s="15"/>
      <c r="AB741" s="15"/>
      <c r="AC741" s="103"/>
      <c r="AD741" s="15"/>
      <c r="AE741" s="15"/>
      <c r="AF741" s="15"/>
      <c r="AG741" s="15"/>
      <c r="AH741" s="15"/>
      <c r="AI741" s="15"/>
      <c r="AJ741" s="103"/>
      <c r="AK741" s="15"/>
      <c r="AL741" s="15"/>
      <c r="AM741" s="15"/>
      <c r="AN741" s="15"/>
      <c r="AO741" s="15"/>
      <c r="AP741" s="15"/>
      <c r="AQ741" s="15"/>
    </row>
    <row r="742">
      <c r="A742" s="15"/>
      <c r="B742" s="15"/>
      <c r="C742" s="15"/>
      <c r="D742" s="15"/>
      <c r="E742" s="15"/>
      <c r="F742" s="15"/>
      <c r="G742" s="15"/>
      <c r="H742" s="103"/>
      <c r="I742" s="15"/>
      <c r="J742" s="15"/>
      <c r="K742" s="15"/>
      <c r="L742" s="15"/>
      <c r="M742" s="15"/>
      <c r="N742" s="15"/>
      <c r="O742" s="103"/>
      <c r="P742" s="15"/>
      <c r="Q742" s="15"/>
      <c r="R742" s="15"/>
      <c r="S742" s="15"/>
      <c r="T742" s="15"/>
      <c r="U742" s="15"/>
      <c r="V742" s="103"/>
      <c r="W742" s="15"/>
      <c r="X742" s="15"/>
      <c r="Y742" s="15"/>
      <c r="Z742" s="15"/>
      <c r="AA742" s="15"/>
      <c r="AB742" s="15"/>
      <c r="AC742" s="103"/>
      <c r="AD742" s="15"/>
      <c r="AE742" s="15"/>
      <c r="AF742" s="15"/>
      <c r="AG742" s="15"/>
      <c r="AH742" s="15"/>
      <c r="AI742" s="15"/>
      <c r="AJ742" s="103"/>
      <c r="AK742" s="15"/>
      <c r="AL742" s="15"/>
      <c r="AM742" s="15"/>
      <c r="AN742" s="15"/>
      <c r="AO742" s="15"/>
      <c r="AP742" s="15"/>
      <c r="AQ742" s="15"/>
    </row>
    <row r="743">
      <c r="A743" s="15"/>
      <c r="B743" s="15"/>
      <c r="C743" s="15"/>
      <c r="D743" s="15"/>
      <c r="E743" s="15"/>
      <c r="F743" s="15"/>
      <c r="G743" s="15"/>
      <c r="H743" s="103"/>
      <c r="I743" s="15"/>
      <c r="J743" s="15"/>
      <c r="K743" s="15"/>
      <c r="L743" s="15"/>
      <c r="M743" s="15"/>
      <c r="N743" s="15"/>
      <c r="O743" s="103"/>
      <c r="P743" s="15"/>
      <c r="Q743" s="15"/>
      <c r="R743" s="15"/>
      <c r="S743" s="15"/>
      <c r="T743" s="15"/>
      <c r="U743" s="15"/>
      <c r="V743" s="103"/>
      <c r="W743" s="15"/>
      <c r="X743" s="15"/>
      <c r="Y743" s="15"/>
      <c r="Z743" s="15"/>
      <c r="AA743" s="15"/>
      <c r="AB743" s="15"/>
      <c r="AC743" s="103"/>
      <c r="AD743" s="15"/>
      <c r="AE743" s="15"/>
      <c r="AF743" s="15"/>
      <c r="AG743" s="15"/>
      <c r="AH743" s="15"/>
      <c r="AI743" s="15"/>
      <c r="AJ743" s="103"/>
      <c r="AK743" s="15"/>
      <c r="AL743" s="15"/>
      <c r="AM743" s="15"/>
      <c r="AN743" s="15"/>
      <c r="AO743" s="15"/>
      <c r="AP743" s="15"/>
      <c r="AQ743" s="15"/>
    </row>
    <row r="744">
      <c r="A744" s="15"/>
      <c r="B744" s="15"/>
      <c r="C744" s="15"/>
      <c r="D744" s="15"/>
      <c r="E744" s="15"/>
      <c r="F744" s="15"/>
      <c r="G744" s="15"/>
      <c r="H744" s="103"/>
      <c r="I744" s="15"/>
      <c r="J744" s="15"/>
      <c r="K744" s="15"/>
      <c r="L744" s="15"/>
      <c r="M744" s="15"/>
      <c r="N744" s="15"/>
      <c r="O744" s="103"/>
      <c r="P744" s="15"/>
      <c r="Q744" s="15"/>
      <c r="R744" s="15"/>
      <c r="S744" s="15"/>
      <c r="T744" s="15"/>
      <c r="U744" s="15"/>
      <c r="V744" s="103"/>
      <c r="W744" s="15"/>
      <c r="X744" s="15"/>
      <c r="Y744" s="15"/>
      <c r="Z744" s="15"/>
      <c r="AA744" s="15"/>
      <c r="AB744" s="15"/>
      <c r="AC744" s="103"/>
      <c r="AD744" s="15"/>
      <c r="AE744" s="15"/>
      <c r="AF744" s="15"/>
      <c r="AG744" s="15"/>
      <c r="AH744" s="15"/>
      <c r="AI744" s="15"/>
      <c r="AJ744" s="103"/>
      <c r="AK744" s="15"/>
      <c r="AL744" s="15"/>
      <c r="AM744" s="15"/>
      <c r="AN744" s="15"/>
      <c r="AO744" s="15"/>
      <c r="AP744" s="15"/>
      <c r="AQ744" s="15"/>
    </row>
    <row r="745">
      <c r="A745" s="15"/>
      <c r="B745" s="15"/>
      <c r="C745" s="15"/>
      <c r="D745" s="15"/>
      <c r="E745" s="15"/>
      <c r="F745" s="15"/>
      <c r="G745" s="15"/>
      <c r="H745" s="103"/>
      <c r="I745" s="15"/>
      <c r="J745" s="15"/>
      <c r="K745" s="15"/>
      <c r="L745" s="15"/>
      <c r="M745" s="15"/>
      <c r="N745" s="15"/>
      <c r="O745" s="103"/>
      <c r="P745" s="15"/>
      <c r="Q745" s="15"/>
      <c r="R745" s="15"/>
      <c r="S745" s="15"/>
      <c r="T745" s="15"/>
      <c r="U745" s="15"/>
      <c r="V745" s="103"/>
      <c r="W745" s="15"/>
      <c r="X745" s="15"/>
      <c r="Y745" s="15"/>
      <c r="Z745" s="15"/>
      <c r="AA745" s="15"/>
      <c r="AB745" s="15"/>
      <c r="AC745" s="103"/>
      <c r="AD745" s="15"/>
      <c r="AE745" s="15"/>
      <c r="AF745" s="15"/>
      <c r="AG745" s="15"/>
      <c r="AH745" s="15"/>
      <c r="AI745" s="15"/>
      <c r="AJ745" s="103"/>
      <c r="AK745" s="15"/>
      <c r="AL745" s="15"/>
      <c r="AM745" s="15"/>
      <c r="AN745" s="15"/>
      <c r="AO745" s="15"/>
      <c r="AP745" s="15"/>
      <c r="AQ745" s="15"/>
    </row>
    <row r="746">
      <c r="A746" s="15"/>
      <c r="B746" s="15"/>
      <c r="C746" s="15"/>
      <c r="D746" s="15"/>
      <c r="E746" s="15"/>
      <c r="F746" s="15"/>
      <c r="G746" s="15"/>
      <c r="H746" s="103"/>
      <c r="I746" s="15"/>
      <c r="J746" s="15"/>
      <c r="K746" s="15"/>
      <c r="L746" s="15"/>
      <c r="M746" s="15"/>
      <c r="N746" s="15"/>
      <c r="O746" s="103"/>
      <c r="P746" s="15"/>
      <c r="Q746" s="15"/>
      <c r="R746" s="15"/>
      <c r="S746" s="15"/>
      <c r="T746" s="15"/>
      <c r="U746" s="15"/>
      <c r="V746" s="103"/>
      <c r="W746" s="15"/>
      <c r="X746" s="15"/>
      <c r="Y746" s="15"/>
      <c r="Z746" s="15"/>
      <c r="AA746" s="15"/>
      <c r="AB746" s="15"/>
      <c r="AC746" s="103"/>
      <c r="AD746" s="15"/>
      <c r="AE746" s="15"/>
      <c r="AF746" s="15"/>
      <c r="AG746" s="15"/>
      <c r="AH746" s="15"/>
      <c r="AI746" s="15"/>
      <c r="AJ746" s="103"/>
      <c r="AK746" s="15"/>
      <c r="AL746" s="15"/>
      <c r="AM746" s="15"/>
      <c r="AN746" s="15"/>
      <c r="AO746" s="15"/>
      <c r="AP746" s="15"/>
      <c r="AQ746" s="15"/>
    </row>
    <row r="747">
      <c r="A747" s="15"/>
      <c r="B747" s="15"/>
      <c r="C747" s="15"/>
      <c r="D747" s="15"/>
      <c r="E747" s="15"/>
      <c r="F747" s="15"/>
      <c r="G747" s="15"/>
      <c r="H747" s="103"/>
      <c r="I747" s="15"/>
      <c r="J747" s="15"/>
      <c r="K747" s="15"/>
      <c r="L747" s="15"/>
      <c r="M747" s="15"/>
      <c r="N747" s="15"/>
      <c r="O747" s="103"/>
      <c r="P747" s="15"/>
      <c r="Q747" s="15"/>
      <c r="R747" s="15"/>
      <c r="S747" s="15"/>
      <c r="T747" s="15"/>
      <c r="U747" s="15"/>
      <c r="V747" s="103"/>
      <c r="W747" s="15"/>
      <c r="X747" s="15"/>
      <c r="Y747" s="15"/>
      <c r="Z747" s="15"/>
      <c r="AA747" s="15"/>
      <c r="AB747" s="15"/>
      <c r="AC747" s="103"/>
      <c r="AD747" s="15"/>
      <c r="AE747" s="15"/>
      <c r="AF747" s="15"/>
      <c r="AG747" s="15"/>
      <c r="AH747" s="15"/>
      <c r="AI747" s="15"/>
      <c r="AJ747" s="103"/>
      <c r="AK747" s="15"/>
      <c r="AL747" s="15"/>
      <c r="AM747" s="15"/>
      <c r="AN747" s="15"/>
      <c r="AO747" s="15"/>
      <c r="AP747" s="15"/>
      <c r="AQ747" s="15"/>
    </row>
    <row r="748">
      <c r="A748" s="15"/>
      <c r="B748" s="15"/>
      <c r="C748" s="15"/>
      <c r="D748" s="15"/>
      <c r="E748" s="15"/>
      <c r="F748" s="15"/>
      <c r="G748" s="15"/>
      <c r="H748" s="103"/>
      <c r="I748" s="15"/>
      <c r="J748" s="15"/>
      <c r="K748" s="15"/>
      <c r="L748" s="15"/>
      <c r="M748" s="15"/>
      <c r="N748" s="15"/>
      <c r="O748" s="103"/>
      <c r="P748" s="15"/>
      <c r="Q748" s="15"/>
      <c r="R748" s="15"/>
      <c r="S748" s="15"/>
      <c r="T748" s="15"/>
      <c r="U748" s="15"/>
      <c r="V748" s="103"/>
      <c r="W748" s="15"/>
      <c r="X748" s="15"/>
      <c r="Y748" s="15"/>
      <c r="Z748" s="15"/>
      <c r="AA748" s="15"/>
      <c r="AB748" s="15"/>
      <c r="AC748" s="103"/>
      <c r="AD748" s="15"/>
      <c r="AE748" s="15"/>
      <c r="AF748" s="15"/>
      <c r="AG748" s="15"/>
      <c r="AH748" s="15"/>
      <c r="AI748" s="15"/>
      <c r="AJ748" s="103"/>
      <c r="AK748" s="15"/>
      <c r="AL748" s="15"/>
      <c r="AM748" s="15"/>
      <c r="AN748" s="15"/>
      <c r="AO748" s="15"/>
      <c r="AP748" s="15"/>
      <c r="AQ748" s="15"/>
    </row>
    <row r="749">
      <c r="A749" s="15"/>
      <c r="B749" s="15"/>
      <c r="C749" s="15"/>
      <c r="D749" s="15"/>
      <c r="E749" s="15"/>
      <c r="F749" s="15"/>
      <c r="G749" s="15"/>
      <c r="H749" s="103"/>
      <c r="I749" s="15"/>
      <c r="J749" s="15"/>
      <c r="K749" s="15"/>
      <c r="L749" s="15"/>
      <c r="M749" s="15"/>
      <c r="N749" s="15"/>
      <c r="O749" s="103"/>
      <c r="P749" s="15"/>
      <c r="Q749" s="15"/>
      <c r="R749" s="15"/>
      <c r="S749" s="15"/>
      <c r="T749" s="15"/>
      <c r="U749" s="15"/>
      <c r="V749" s="103"/>
      <c r="W749" s="15"/>
      <c r="X749" s="15"/>
      <c r="Y749" s="15"/>
      <c r="Z749" s="15"/>
      <c r="AA749" s="15"/>
      <c r="AB749" s="15"/>
      <c r="AC749" s="103"/>
      <c r="AD749" s="15"/>
      <c r="AE749" s="15"/>
      <c r="AF749" s="15"/>
      <c r="AG749" s="15"/>
      <c r="AH749" s="15"/>
      <c r="AI749" s="15"/>
      <c r="AJ749" s="103"/>
      <c r="AK749" s="15"/>
      <c r="AL749" s="15"/>
      <c r="AM749" s="15"/>
      <c r="AN749" s="15"/>
      <c r="AO749" s="15"/>
      <c r="AP749" s="15"/>
      <c r="AQ749" s="15"/>
    </row>
    <row r="750">
      <c r="A750" s="15"/>
      <c r="B750" s="15"/>
      <c r="C750" s="15"/>
      <c r="D750" s="15"/>
      <c r="E750" s="15"/>
      <c r="F750" s="15"/>
      <c r="G750" s="15"/>
      <c r="H750" s="103"/>
      <c r="I750" s="15"/>
      <c r="J750" s="15"/>
      <c r="K750" s="15"/>
      <c r="L750" s="15"/>
      <c r="M750" s="15"/>
      <c r="N750" s="15"/>
      <c r="O750" s="103"/>
      <c r="P750" s="15"/>
      <c r="Q750" s="15"/>
      <c r="R750" s="15"/>
      <c r="S750" s="15"/>
      <c r="T750" s="15"/>
      <c r="U750" s="15"/>
      <c r="V750" s="103"/>
      <c r="W750" s="15"/>
      <c r="X750" s="15"/>
      <c r="Y750" s="15"/>
      <c r="Z750" s="15"/>
      <c r="AA750" s="15"/>
      <c r="AB750" s="15"/>
      <c r="AC750" s="103"/>
      <c r="AD750" s="15"/>
      <c r="AE750" s="15"/>
      <c r="AF750" s="15"/>
      <c r="AG750" s="15"/>
      <c r="AH750" s="15"/>
      <c r="AI750" s="15"/>
      <c r="AJ750" s="103"/>
      <c r="AK750" s="15"/>
      <c r="AL750" s="15"/>
      <c r="AM750" s="15"/>
      <c r="AN750" s="15"/>
      <c r="AO750" s="15"/>
      <c r="AP750" s="15"/>
      <c r="AQ750" s="15"/>
    </row>
    <row r="751">
      <c r="A751" s="15"/>
      <c r="B751" s="15"/>
      <c r="C751" s="15"/>
      <c r="D751" s="15"/>
      <c r="E751" s="15"/>
      <c r="F751" s="15"/>
      <c r="G751" s="15"/>
      <c r="H751" s="103"/>
      <c r="I751" s="15"/>
      <c r="J751" s="15"/>
      <c r="K751" s="15"/>
      <c r="L751" s="15"/>
      <c r="M751" s="15"/>
      <c r="N751" s="15"/>
      <c r="O751" s="103"/>
      <c r="P751" s="15"/>
      <c r="Q751" s="15"/>
      <c r="R751" s="15"/>
      <c r="S751" s="15"/>
      <c r="T751" s="15"/>
      <c r="U751" s="15"/>
      <c r="V751" s="103"/>
      <c r="W751" s="15"/>
      <c r="X751" s="15"/>
      <c r="Y751" s="15"/>
      <c r="Z751" s="15"/>
      <c r="AA751" s="15"/>
      <c r="AB751" s="15"/>
      <c r="AC751" s="103"/>
      <c r="AD751" s="15"/>
      <c r="AE751" s="15"/>
      <c r="AF751" s="15"/>
      <c r="AG751" s="15"/>
      <c r="AH751" s="15"/>
      <c r="AI751" s="15"/>
      <c r="AJ751" s="103"/>
      <c r="AK751" s="15"/>
      <c r="AL751" s="15"/>
      <c r="AM751" s="15"/>
      <c r="AN751" s="15"/>
      <c r="AO751" s="15"/>
      <c r="AP751" s="15"/>
      <c r="AQ751" s="15"/>
    </row>
    <row r="752">
      <c r="A752" s="15"/>
      <c r="B752" s="15"/>
      <c r="C752" s="15"/>
      <c r="D752" s="15"/>
      <c r="E752" s="15"/>
      <c r="F752" s="15"/>
      <c r="G752" s="15"/>
      <c r="H752" s="103"/>
      <c r="I752" s="15"/>
      <c r="J752" s="15"/>
      <c r="K752" s="15"/>
      <c r="L752" s="15"/>
      <c r="M752" s="15"/>
      <c r="N752" s="15"/>
      <c r="O752" s="103"/>
      <c r="P752" s="15"/>
      <c r="Q752" s="15"/>
      <c r="R752" s="15"/>
      <c r="S752" s="15"/>
      <c r="T752" s="15"/>
      <c r="U752" s="15"/>
      <c r="V752" s="103"/>
      <c r="W752" s="15"/>
      <c r="X752" s="15"/>
      <c r="Y752" s="15"/>
      <c r="Z752" s="15"/>
      <c r="AA752" s="15"/>
      <c r="AB752" s="15"/>
      <c r="AC752" s="103"/>
      <c r="AD752" s="15"/>
      <c r="AE752" s="15"/>
      <c r="AF752" s="15"/>
      <c r="AG752" s="15"/>
      <c r="AH752" s="15"/>
      <c r="AI752" s="15"/>
      <c r="AJ752" s="103"/>
      <c r="AK752" s="15"/>
      <c r="AL752" s="15"/>
      <c r="AM752" s="15"/>
      <c r="AN752" s="15"/>
      <c r="AO752" s="15"/>
      <c r="AP752" s="15"/>
      <c r="AQ752" s="15"/>
    </row>
    <row r="753">
      <c r="A753" s="15"/>
      <c r="B753" s="15"/>
      <c r="C753" s="15"/>
      <c r="D753" s="15"/>
      <c r="E753" s="15"/>
      <c r="F753" s="15"/>
      <c r="G753" s="15"/>
      <c r="H753" s="103"/>
      <c r="I753" s="15"/>
      <c r="J753" s="15"/>
      <c r="K753" s="15"/>
      <c r="L753" s="15"/>
      <c r="M753" s="15"/>
      <c r="N753" s="15"/>
      <c r="O753" s="103"/>
      <c r="P753" s="15"/>
      <c r="Q753" s="15"/>
      <c r="R753" s="15"/>
      <c r="S753" s="15"/>
      <c r="T753" s="15"/>
      <c r="U753" s="15"/>
      <c r="V753" s="103"/>
      <c r="W753" s="15"/>
      <c r="X753" s="15"/>
      <c r="Y753" s="15"/>
      <c r="Z753" s="15"/>
      <c r="AA753" s="15"/>
      <c r="AB753" s="15"/>
      <c r="AC753" s="103"/>
      <c r="AD753" s="15"/>
      <c r="AE753" s="15"/>
      <c r="AF753" s="15"/>
      <c r="AG753" s="15"/>
      <c r="AH753" s="15"/>
      <c r="AI753" s="15"/>
      <c r="AJ753" s="103"/>
      <c r="AK753" s="15"/>
      <c r="AL753" s="15"/>
      <c r="AM753" s="15"/>
      <c r="AN753" s="15"/>
      <c r="AO753" s="15"/>
      <c r="AP753" s="15"/>
      <c r="AQ753" s="15"/>
    </row>
    <row r="754">
      <c r="A754" s="15"/>
      <c r="B754" s="15"/>
      <c r="C754" s="15"/>
      <c r="D754" s="15"/>
      <c r="E754" s="15"/>
      <c r="F754" s="15"/>
      <c r="G754" s="15"/>
      <c r="H754" s="103"/>
      <c r="I754" s="15"/>
      <c r="J754" s="15"/>
      <c r="K754" s="15"/>
      <c r="L754" s="15"/>
      <c r="M754" s="15"/>
      <c r="N754" s="15"/>
      <c r="O754" s="103"/>
      <c r="P754" s="15"/>
      <c r="Q754" s="15"/>
      <c r="R754" s="15"/>
      <c r="S754" s="15"/>
      <c r="T754" s="15"/>
      <c r="U754" s="15"/>
      <c r="V754" s="103"/>
      <c r="W754" s="15"/>
      <c r="X754" s="15"/>
      <c r="Y754" s="15"/>
      <c r="Z754" s="15"/>
      <c r="AA754" s="15"/>
      <c r="AB754" s="15"/>
      <c r="AC754" s="103"/>
      <c r="AD754" s="15"/>
      <c r="AE754" s="15"/>
      <c r="AF754" s="15"/>
      <c r="AG754" s="15"/>
      <c r="AH754" s="15"/>
      <c r="AI754" s="15"/>
      <c r="AJ754" s="103"/>
      <c r="AK754" s="15"/>
      <c r="AL754" s="15"/>
      <c r="AM754" s="15"/>
      <c r="AN754" s="15"/>
      <c r="AO754" s="15"/>
      <c r="AP754" s="15"/>
      <c r="AQ754" s="15"/>
    </row>
    <row r="755">
      <c r="A755" s="15"/>
      <c r="B755" s="15"/>
      <c r="C755" s="15"/>
      <c r="D755" s="15"/>
      <c r="E755" s="15"/>
      <c r="F755" s="15"/>
      <c r="G755" s="15"/>
      <c r="H755" s="103"/>
      <c r="I755" s="15"/>
      <c r="J755" s="15"/>
      <c r="K755" s="15"/>
      <c r="L755" s="15"/>
      <c r="M755" s="15"/>
      <c r="N755" s="15"/>
      <c r="O755" s="103"/>
      <c r="P755" s="15"/>
      <c r="Q755" s="15"/>
      <c r="R755" s="15"/>
      <c r="S755" s="15"/>
      <c r="T755" s="15"/>
      <c r="U755" s="15"/>
      <c r="V755" s="103"/>
      <c r="W755" s="15"/>
      <c r="X755" s="15"/>
      <c r="Y755" s="15"/>
      <c r="Z755" s="15"/>
      <c r="AA755" s="15"/>
      <c r="AB755" s="15"/>
      <c r="AC755" s="103"/>
      <c r="AD755" s="15"/>
      <c r="AE755" s="15"/>
      <c r="AF755" s="15"/>
      <c r="AG755" s="15"/>
      <c r="AH755" s="15"/>
      <c r="AI755" s="15"/>
      <c r="AJ755" s="103"/>
      <c r="AK755" s="15"/>
      <c r="AL755" s="15"/>
      <c r="AM755" s="15"/>
      <c r="AN755" s="15"/>
      <c r="AO755" s="15"/>
      <c r="AP755" s="15"/>
      <c r="AQ755" s="15"/>
    </row>
    <row r="756">
      <c r="A756" s="15"/>
      <c r="B756" s="15"/>
      <c r="C756" s="15"/>
      <c r="D756" s="15"/>
      <c r="E756" s="15"/>
      <c r="F756" s="15"/>
      <c r="G756" s="15"/>
      <c r="H756" s="103"/>
      <c r="I756" s="15"/>
      <c r="J756" s="15"/>
      <c r="K756" s="15"/>
      <c r="L756" s="15"/>
      <c r="M756" s="15"/>
      <c r="N756" s="15"/>
      <c r="O756" s="103"/>
      <c r="P756" s="15"/>
      <c r="Q756" s="15"/>
      <c r="R756" s="15"/>
      <c r="S756" s="15"/>
      <c r="T756" s="15"/>
      <c r="U756" s="15"/>
      <c r="V756" s="103"/>
      <c r="W756" s="15"/>
      <c r="X756" s="15"/>
      <c r="Y756" s="15"/>
      <c r="Z756" s="15"/>
      <c r="AA756" s="15"/>
      <c r="AB756" s="15"/>
      <c r="AC756" s="103"/>
      <c r="AD756" s="15"/>
      <c r="AE756" s="15"/>
      <c r="AF756" s="15"/>
      <c r="AG756" s="15"/>
      <c r="AH756" s="15"/>
      <c r="AI756" s="15"/>
      <c r="AJ756" s="103"/>
      <c r="AK756" s="15"/>
      <c r="AL756" s="15"/>
      <c r="AM756" s="15"/>
      <c r="AN756" s="15"/>
      <c r="AO756" s="15"/>
      <c r="AP756" s="15"/>
      <c r="AQ756" s="15"/>
    </row>
    <row r="757">
      <c r="A757" s="15"/>
      <c r="B757" s="15"/>
      <c r="C757" s="15"/>
      <c r="D757" s="15"/>
      <c r="E757" s="15"/>
      <c r="F757" s="15"/>
      <c r="G757" s="15"/>
      <c r="H757" s="103"/>
      <c r="I757" s="15"/>
      <c r="J757" s="15"/>
      <c r="K757" s="15"/>
      <c r="L757" s="15"/>
      <c r="M757" s="15"/>
      <c r="N757" s="15"/>
      <c r="O757" s="103"/>
      <c r="P757" s="15"/>
      <c r="Q757" s="15"/>
      <c r="R757" s="15"/>
      <c r="S757" s="15"/>
      <c r="T757" s="15"/>
      <c r="U757" s="15"/>
      <c r="V757" s="103"/>
      <c r="W757" s="15"/>
      <c r="X757" s="15"/>
      <c r="Y757" s="15"/>
      <c r="Z757" s="15"/>
      <c r="AA757" s="15"/>
      <c r="AB757" s="15"/>
      <c r="AC757" s="103"/>
      <c r="AD757" s="15"/>
      <c r="AE757" s="15"/>
      <c r="AF757" s="15"/>
      <c r="AG757" s="15"/>
      <c r="AH757" s="15"/>
      <c r="AI757" s="15"/>
      <c r="AJ757" s="103"/>
      <c r="AK757" s="15"/>
      <c r="AL757" s="15"/>
      <c r="AM757" s="15"/>
      <c r="AN757" s="15"/>
      <c r="AO757" s="15"/>
      <c r="AP757" s="15"/>
      <c r="AQ757" s="15"/>
    </row>
    <row r="758">
      <c r="A758" s="15"/>
      <c r="B758" s="15"/>
      <c r="C758" s="15"/>
      <c r="D758" s="15"/>
      <c r="E758" s="15"/>
      <c r="F758" s="15"/>
      <c r="G758" s="15"/>
      <c r="H758" s="103"/>
      <c r="I758" s="15"/>
      <c r="J758" s="15"/>
      <c r="K758" s="15"/>
      <c r="L758" s="15"/>
      <c r="M758" s="15"/>
      <c r="N758" s="15"/>
      <c r="O758" s="103"/>
      <c r="P758" s="15"/>
      <c r="Q758" s="15"/>
      <c r="R758" s="15"/>
      <c r="S758" s="15"/>
      <c r="T758" s="15"/>
      <c r="U758" s="15"/>
      <c r="V758" s="103"/>
      <c r="W758" s="15"/>
      <c r="X758" s="15"/>
      <c r="Y758" s="15"/>
      <c r="Z758" s="15"/>
      <c r="AA758" s="15"/>
      <c r="AB758" s="15"/>
      <c r="AC758" s="103"/>
      <c r="AD758" s="15"/>
      <c r="AE758" s="15"/>
      <c r="AF758" s="15"/>
      <c r="AG758" s="15"/>
      <c r="AH758" s="15"/>
      <c r="AI758" s="15"/>
      <c r="AJ758" s="103"/>
      <c r="AK758" s="15"/>
      <c r="AL758" s="15"/>
      <c r="AM758" s="15"/>
      <c r="AN758" s="15"/>
      <c r="AO758" s="15"/>
      <c r="AP758" s="15"/>
      <c r="AQ758" s="15"/>
    </row>
    <row r="759">
      <c r="A759" s="15"/>
      <c r="B759" s="15"/>
      <c r="C759" s="15"/>
      <c r="D759" s="15"/>
      <c r="E759" s="15"/>
      <c r="F759" s="15"/>
      <c r="G759" s="15"/>
      <c r="H759" s="103"/>
      <c r="I759" s="15"/>
      <c r="J759" s="15"/>
      <c r="K759" s="15"/>
      <c r="L759" s="15"/>
      <c r="M759" s="15"/>
      <c r="N759" s="15"/>
      <c r="O759" s="103"/>
      <c r="P759" s="15"/>
      <c r="Q759" s="15"/>
      <c r="R759" s="15"/>
      <c r="S759" s="15"/>
      <c r="T759" s="15"/>
      <c r="U759" s="15"/>
      <c r="V759" s="103"/>
      <c r="W759" s="15"/>
      <c r="X759" s="15"/>
      <c r="Y759" s="15"/>
      <c r="Z759" s="15"/>
      <c r="AA759" s="15"/>
      <c r="AB759" s="15"/>
      <c r="AC759" s="103"/>
      <c r="AD759" s="15"/>
      <c r="AE759" s="15"/>
      <c r="AF759" s="15"/>
      <c r="AG759" s="15"/>
      <c r="AH759" s="15"/>
      <c r="AI759" s="15"/>
      <c r="AJ759" s="103"/>
      <c r="AK759" s="15"/>
      <c r="AL759" s="15"/>
      <c r="AM759" s="15"/>
      <c r="AN759" s="15"/>
      <c r="AO759" s="15"/>
      <c r="AP759" s="15"/>
      <c r="AQ759" s="15"/>
    </row>
    <row r="760">
      <c r="A760" s="15"/>
      <c r="B760" s="15"/>
      <c r="C760" s="15"/>
      <c r="D760" s="15"/>
      <c r="E760" s="15"/>
      <c r="F760" s="15"/>
      <c r="G760" s="15"/>
      <c r="H760" s="103"/>
      <c r="I760" s="15"/>
      <c r="J760" s="15"/>
      <c r="K760" s="15"/>
      <c r="L760" s="15"/>
      <c r="M760" s="15"/>
      <c r="N760" s="15"/>
      <c r="O760" s="103"/>
      <c r="P760" s="15"/>
      <c r="Q760" s="15"/>
      <c r="R760" s="15"/>
      <c r="S760" s="15"/>
      <c r="T760" s="15"/>
      <c r="U760" s="15"/>
      <c r="V760" s="103"/>
      <c r="W760" s="15"/>
      <c r="X760" s="15"/>
      <c r="Y760" s="15"/>
      <c r="Z760" s="15"/>
      <c r="AA760" s="15"/>
      <c r="AB760" s="15"/>
      <c r="AC760" s="103"/>
      <c r="AD760" s="15"/>
      <c r="AE760" s="15"/>
      <c r="AF760" s="15"/>
      <c r="AG760" s="15"/>
      <c r="AH760" s="15"/>
      <c r="AI760" s="15"/>
      <c r="AJ760" s="103"/>
      <c r="AK760" s="15"/>
      <c r="AL760" s="15"/>
      <c r="AM760" s="15"/>
      <c r="AN760" s="15"/>
      <c r="AO760" s="15"/>
      <c r="AP760" s="15"/>
      <c r="AQ760" s="15"/>
    </row>
    <row r="761">
      <c r="A761" s="15"/>
      <c r="B761" s="15"/>
      <c r="C761" s="15"/>
      <c r="D761" s="15"/>
      <c r="E761" s="15"/>
      <c r="F761" s="15"/>
      <c r="G761" s="15"/>
      <c r="H761" s="103"/>
      <c r="I761" s="15"/>
      <c r="J761" s="15"/>
      <c r="K761" s="15"/>
      <c r="L761" s="15"/>
      <c r="M761" s="15"/>
      <c r="N761" s="15"/>
      <c r="O761" s="103"/>
      <c r="P761" s="15"/>
      <c r="Q761" s="15"/>
      <c r="R761" s="15"/>
      <c r="S761" s="15"/>
      <c r="T761" s="15"/>
      <c r="U761" s="15"/>
      <c r="V761" s="103"/>
      <c r="W761" s="15"/>
      <c r="X761" s="15"/>
      <c r="Y761" s="15"/>
      <c r="Z761" s="15"/>
      <c r="AA761" s="15"/>
      <c r="AB761" s="15"/>
      <c r="AC761" s="103"/>
      <c r="AD761" s="15"/>
      <c r="AE761" s="15"/>
      <c r="AF761" s="15"/>
      <c r="AG761" s="15"/>
      <c r="AH761" s="15"/>
      <c r="AI761" s="15"/>
      <c r="AJ761" s="103"/>
      <c r="AK761" s="15"/>
      <c r="AL761" s="15"/>
      <c r="AM761" s="15"/>
      <c r="AN761" s="15"/>
      <c r="AO761" s="15"/>
      <c r="AP761" s="15"/>
      <c r="AQ761" s="15"/>
    </row>
    <row r="762">
      <c r="A762" s="15"/>
      <c r="B762" s="15"/>
      <c r="C762" s="15"/>
      <c r="D762" s="15"/>
      <c r="E762" s="15"/>
      <c r="F762" s="15"/>
      <c r="G762" s="15"/>
      <c r="H762" s="103"/>
      <c r="I762" s="15"/>
      <c r="J762" s="15"/>
      <c r="K762" s="15"/>
      <c r="L762" s="15"/>
      <c r="M762" s="15"/>
      <c r="N762" s="15"/>
      <c r="O762" s="103"/>
      <c r="P762" s="15"/>
      <c r="Q762" s="15"/>
      <c r="R762" s="15"/>
      <c r="S762" s="15"/>
      <c r="T762" s="15"/>
      <c r="U762" s="15"/>
      <c r="V762" s="103"/>
      <c r="W762" s="15"/>
      <c r="X762" s="15"/>
      <c r="Y762" s="15"/>
      <c r="Z762" s="15"/>
      <c r="AA762" s="15"/>
      <c r="AB762" s="15"/>
      <c r="AC762" s="103"/>
      <c r="AD762" s="15"/>
      <c r="AE762" s="15"/>
      <c r="AF762" s="15"/>
      <c r="AG762" s="15"/>
      <c r="AH762" s="15"/>
      <c r="AI762" s="15"/>
      <c r="AJ762" s="103"/>
      <c r="AK762" s="15"/>
      <c r="AL762" s="15"/>
      <c r="AM762" s="15"/>
      <c r="AN762" s="15"/>
      <c r="AO762" s="15"/>
      <c r="AP762" s="15"/>
      <c r="AQ762" s="15"/>
    </row>
    <row r="763">
      <c r="A763" s="15"/>
      <c r="B763" s="15"/>
      <c r="C763" s="15"/>
      <c r="D763" s="15"/>
      <c r="E763" s="15"/>
      <c r="F763" s="15"/>
      <c r="G763" s="15"/>
      <c r="H763" s="103"/>
      <c r="I763" s="15"/>
      <c r="J763" s="15"/>
      <c r="K763" s="15"/>
      <c r="L763" s="15"/>
      <c r="M763" s="15"/>
      <c r="N763" s="15"/>
      <c r="O763" s="103"/>
      <c r="P763" s="15"/>
      <c r="Q763" s="15"/>
      <c r="R763" s="15"/>
      <c r="S763" s="15"/>
      <c r="T763" s="15"/>
      <c r="U763" s="15"/>
      <c r="V763" s="103"/>
      <c r="W763" s="15"/>
      <c r="X763" s="15"/>
      <c r="Y763" s="15"/>
      <c r="Z763" s="15"/>
      <c r="AA763" s="15"/>
      <c r="AB763" s="15"/>
      <c r="AC763" s="103"/>
      <c r="AD763" s="15"/>
      <c r="AE763" s="15"/>
      <c r="AF763" s="15"/>
      <c r="AG763" s="15"/>
      <c r="AH763" s="15"/>
      <c r="AI763" s="15"/>
      <c r="AJ763" s="103"/>
      <c r="AK763" s="15"/>
      <c r="AL763" s="15"/>
      <c r="AM763" s="15"/>
      <c r="AN763" s="15"/>
      <c r="AO763" s="15"/>
      <c r="AP763" s="15"/>
      <c r="AQ763" s="15"/>
    </row>
    <row r="764">
      <c r="A764" s="15"/>
      <c r="B764" s="15"/>
      <c r="C764" s="15"/>
      <c r="D764" s="15"/>
      <c r="E764" s="15"/>
      <c r="F764" s="15"/>
      <c r="G764" s="15"/>
      <c r="H764" s="103"/>
      <c r="I764" s="15"/>
      <c r="J764" s="15"/>
      <c r="K764" s="15"/>
      <c r="L764" s="15"/>
      <c r="M764" s="15"/>
      <c r="N764" s="15"/>
      <c r="O764" s="103"/>
      <c r="P764" s="15"/>
      <c r="Q764" s="15"/>
      <c r="R764" s="15"/>
      <c r="S764" s="15"/>
      <c r="T764" s="15"/>
      <c r="U764" s="15"/>
      <c r="V764" s="103"/>
      <c r="W764" s="15"/>
      <c r="X764" s="15"/>
      <c r="Y764" s="15"/>
      <c r="Z764" s="15"/>
      <c r="AA764" s="15"/>
      <c r="AB764" s="15"/>
      <c r="AC764" s="103"/>
      <c r="AD764" s="15"/>
      <c r="AE764" s="15"/>
      <c r="AF764" s="15"/>
      <c r="AG764" s="15"/>
      <c r="AH764" s="15"/>
      <c r="AI764" s="15"/>
      <c r="AJ764" s="103"/>
      <c r="AK764" s="15"/>
      <c r="AL764" s="15"/>
      <c r="AM764" s="15"/>
      <c r="AN764" s="15"/>
      <c r="AO764" s="15"/>
      <c r="AP764" s="15"/>
      <c r="AQ764" s="15"/>
    </row>
    <row r="765">
      <c r="A765" s="15"/>
      <c r="B765" s="15"/>
      <c r="C765" s="15"/>
      <c r="D765" s="15"/>
      <c r="E765" s="15"/>
      <c r="F765" s="15"/>
      <c r="G765" s="15"/>
      <c r="H765" s="103"/>
      <c r="I765" s="15"/>
      <c r="J765" s="15"/>
      <c r="K765" s="15"/>
      <c r="L765" s="15"/>
      <c r="M765" s="15"/>
      <c r="N765" s="15"/>
      <c r="O765" s="103"/>
      <c r="P765" s="15"/>
      <c r="Q765" s="15"/>
      <c r="R765" s="15"/>
      <c r="S765" s="15"/>
      <c r="T765" s="15"/>
      <c r="U765" s="15"/>
      <c r="V765" s="103"/>
      <c r="W765" s="15"/>
      <c r="X765" s="15"/>
      <c r="Y765" s="15"/>
      <c r="Z765" s="15"/>
      <c r="AA765" s="15"/>
      <c r="AB765" s="15"/>
      <c r="AC765" s="103"/>
      <c r="AD765" s="15"/>
      <c r="AE765" s="15"/>
      <c r="AF765" s="15"/>
      <c r="AG765" s="15"/>
      <c r="AH765" s="15"/>
      <c r="AI765" s="15"/>
      <c r="AJ765" s="103"/>
      <c r="AK765" s="15"/>
      <c r="AL765" s="15"/>
      <c r="AM765" s="15"/>
      <c r="AN765" s="15"/>
      <c r="AO765" s="15"/>
      <c r="AP765" s="15"/>
      <c r="AQ765" s="15"/>
    </row>
    <row r="766">
      <c r="A766" s="15"/>
      <c r="B766" s="15"/>
      <c r="C766" s="15"/>
      <c r="D766" s="15"/>
      <c r="E766" s="15"/>
      <c r="F766" s="15"/>
      <c r="G766" s="15"/>
      <c r="H766" s="103"/>
      <c r="I766" s="15"/>
      <c r="J766" s="15"/>
      <c r="K766" s="15"/>
      <c r="L766" s="15"/>
      <c r="M766" s="15"/>
      <c r="N766" s="15"/>
      <c r="O766" s="103"/>
      <c r="P766" s="15"/>
      <c r="Q766" s="15"/>
      <c r="R766" s="15"/>
      <c r="S766" s="15"/>
      <c r="T766" s="15"/>
      <c r="U766" s="15"/>
      <c r="V766" s="103"/>
      <c r="W766" s="15"/>
      <c r="X766" s="15"/>
      <c r="Y766" s="15"/>
      <c r="Z766" s="15"/>
      <c r="AA766" s="15"/>
      <c r="AB766" s="15"/>
      <c r="AC766" s="103"/>
      <c r="AD766" s="15"/>
      <c r="AE766" s="15"/>
      <c r="AF766" s="15"/>
      <c r="AG766" s="15"/>
      <c r="AH766" s="15"/>
      <c r="AI766" s="15"/>
      <c r="AJ766" s="103"/>
      <c r="AK766" s="15"/>
      <c r="AL766" s="15"/>
      <c r="AM766" s="15"/>
      <c r="AN766" s="15"/>
      <c r="AO766" s="15"/>
      <c r="AP766" s="15"/>
      <c r="AQ766" s="15"/>
    </row>
    <row r="767">
      <c r="A767" s="15"/>
      <c r="B767" s="15"/>
      <c r="C767" s="15"/>
      <c r="D767" s="15"/>
      <c r="E767" s="15"/>
      <c r="F767" s="15"/>
      <c r="G767" s="15"/>
      <c r="H767" s="103"/>
      <c r="I767" s="15"/>
      <c r="J767" s="15"/>
      <c r="K767" s="15"/>
      <c r="L767" s="15"/>
      <c r="M767" s="15"/>
      <c r="N767" s="15"/>
      <c r="O767" s="103"/>
      <c r="P767" s="15"/>
      <c r="Q767" s="15"/>
      <c r="R767" s="15"/>
      <c r="S767" s="15"/>
      <c r="T767" s="15"/>
      <c r="U767" s="15"/>
      <c r="V767" s="103"/>
      <c r="W767" s="15"/>
      <c r="X767" s="15"/>
      <c r="Y767" s="15"/>
      <c r="Z767" s="15"/>
      <c r="AA767" s="15"/>
      <c r="AB767" s="15"/>
      <c r="AC767" s="103"/>
      <c r="AD767" s="15"/>
      <c r="AE767" s="15"/>
      <c r="AF767" s="15"/>
      <c r="AG767" s="15"/>
      <c r="AH767" s="15"/>
      <c r="AI767" s="15"/>
      <c r="AJ767" s="103"/>
      <c r="AK767" s="15"/>
      <c r="AL767" s="15"/>
      <c r="AM767" s="15"/>
      <c r="AN767" s="15"/>
      <c r="AO767" s="15"/>
      <c r="AP767" s="15"/>
      <c r="AQ767" s="15"/>
    </row>
    <row r="768">
      <c r="A768" s="15"/>
      <c r="B768" s="15"/>
      <c r="C768" s="15"/>
      <c r="D768" s="15"/>
      <c r="E768" s="15"/>
      <c r="F768" s="15"/>
      <c r="G768" s="15"/>
      <c r="H768" s="103"/>
      <c r="I768" s="15"/>
      <c r="J768" s="15"/>
      <c r="K768" s="15"/>
      <c r="L768" s="15"/>
      <c r="M768" s="15"/>
      <c r="N768" s="15"/>
      <c r="O768" s="103"/>
      <c r="P768" s="15"/>
      <c r="Q768" s="15"/>
      <c r="R768" s="15"/>
      <c r="S768" s="15"/>
      <c r="T768" s="15"/>
      <c r="U768" s="15"/>
      <c r="V768" s="103"/>
      <c r="W768" s="15"/>
      <c r="X768" s="15"/>
      <c r="Y768" s="15"/>
      <c r="Z768" s="15"/>
      <c r="AA768" s="15"/>
      <c r="AB768" s="15"/>
      <c r="AC768" s="103"/>
      <c r="AD768" s="15"/>
      <c r="AE768" s="15"/>
      <c r="AF768" s="15"/>
      <c r="AG768" s="15"/>
      <c r="AH768" s="15"/>
      <c r="AI768" s="15"/>
      <c r="AJ768" s="103"/>
      <c r="AK768" s="15"/>
      <c r="AL768" s="15"/>
      <c r="AM768" s="15"/>
      <c r="AN768" s="15"/>
      <c r="AO768" s="15"/>
      <c r="AP768" s="15"/>
      <c r="AQ768" s="15"/>
    </row>
    <row r="769">
      <c r="A769" s="15"/>
      <c r="B769" s="15"/>
      <c r="C769" s="15"/>
      <c r="D769" s="15"/>
      <c r="E769" s="15"/>
      <c r="F769" s="15"/>
      <c r="G769" s="15"/>
      <c r="H769" s="103"/>
      <c r="I769" s="15"/>
      <c r="J769" s="15"/>
      <c r="K769" s="15"/>
      <c r="L769" s="15"/>
      <c r="M769" s="15"/>
      <c r="N769" s="15"/>
      <c r="O769" s="103"/>
      <c r="P769" s="15"/>
      <c r="Q769" s="15"/>
      <c r="R769" s="15"/>
      <c r="S769" s="15"/>
      <c r="T769" s="15"/>
      <c r="U769" s="15"/>
      <c r="V769" s="103"/>
      <c r="W769" s="15"/>
      <c r="X769" s="15"/>
      <c r="Y769" s="15"/>
      <c r="Z769" s="15"/>
      <c r="AA769" s="15"/>
      <c r="AB769" s="15"/>
      <c r="AC769" s="103"/>
      <c r="AD769" s="15"/>
      <c r="AE769" s="15"/>
      <c r="AF769" s="15"/>
      <c r="AG769" s="15"/>
      <c r="AH769" s="15"/>
      <c r="AI769" s="15"/>
      <c r="AJ769" s="103"/>
      <c r="AK769" s="15"/>
      <c r="AL769" s="15"/>
      <c r="AM769" s="15"/>
      <c r="AN769" s="15"/>
      <c r="AO769" s="15"/>
      <c r="AP769" s="15"/>
      <c r="AQ769" s="15"/>
    </row>
    <row r="770">
      <c r="A770" s="15"/>
      <c r="B770" s="15"/>
      <c r="C770" s="15"/>
      <c r="D770" s="15"/>
      <c r="E770" s="15"/>
      <c r="F770" s="15"/>
      <c r="G770" s="15"/>
      <c r="H770" s="103"/>
      <c r="I770" s="15"/>
      <c r="J770" s="15"/>
      <c r="K770" s="15"/>
      <c r="L770" s="15"/>
      <c r="M770" s="15"/>
      <c r="N770" s="15"/>
      <c r="O770" s="103"/>
      <c r="P770" s="15"/>
      <c r="Q770" s="15"/>
      <c r="R770" s="15"/>
      <c r="S770" s="15"/>
      <c r="T770" s="15"/>
      <c r="U770" s="15"/>
      <c r="V770" s="103"/>
      <c r="W770" s="15"/>
      <c r="X770" s="15"/>
      <c r="Y770" s="15"/>
      <c r="Z770" s="15"/>
      <c r="AA770" s="15"/>
      <c r="AB770" s="15"/>
      <c r="AC770" s="103"/>
      <c r="AD770" s="15"/>
      <c r="AE770" s="15"/>
      <c r="AF770" s="15"/>
      <c r="AG770" s="15"/>
      <c r="AH770" s="15"/>
      <c r="AI770" s="15"/>
      <c r="AJ770" s="103"/>
      <c r="AK770" s="15"/>
      <c r="AL770" s="15"/>
      <c r="AM770" s="15"/>
      <c r="AN770" s="15"/>
      <c r="AO770" s="15"/>
      <c r="AP770" s="15"/>
      <c r="AQ770" s="15"/>
    </row>
    <row r="771">
      <c r="A771" s="15"/>
      <c r="B771" s="15"/>
      <c r="C771" s="15"/>
      <c r="D771" s="15"/>
      <c r="E771" s="15"/>
      <c r="F771" s="15"/>
      <c r="G771" s="15"/>
      <c r="H771" s="103"/>
      <c r="I771" s="15"/>
      <c r="J771" s="15"/>
      <c r="K771" s="15"/>
      <c r="L771" s="15"/>
      <c r="M771" s="15"/>
      <c r="N771" s="15"/>
      <c r="O771" s="103"/>
      <c r="P771" s="15"/>
      <c r="Q771" s="15"/>
      <c r="R771" s="15"/>
      <c r="S771" s="15"/>
      <c r="T771" s="15"/>
      <c r="U771" s="15"/>
      <c r="V771" s="103"/>
      <c r="W771" s="15"/>
      <c r="X771" s="15"/>
      <c r="Y771" s="15"/>
      <c r="Z771" s="15"/>
      <c r="AA771" s="15"/>
      <c r="AB771" s="15"/>
      <c r="AC771" s="103"/>
      <c r="AD771" s="15"/>
      <c r="AE771" s="15"/>
      <c r="AF771" s="15"/>
      <c r="AG771" s="15"/>
      <c r="AH771" s="15"/>
      <c r="AI771" s="15"/>
      <c r="AJ771" s="103"/>
      <c r="AK771" s="15"/>
      <c r="AL771" s="15"/>
      <c r="AM771" s="15"/>
      <c r="AN771" s="15"/>
      <c r="AO771" s="15"/>
      <c r="AP771" s="15"/>
      <c r="AQ771" s="15"/>
    </row>
    <row r="772">
      <c r="A772" s="15"/>
      <c r="B772" s="15"/>
      <c r="C772" s="15"/>
      <c r="D772" s="15"/>
      <c r="E772" s="15"/>
      <c r="F772" s="15"/>
      <c r="G772" s="15"/>
      <c r="H772" s="103"/>
      <c r="I772" s="15"/>
      <c r="J772" s="15"/>
      <c r="K772" s="15"/>
      <c r="L772" s="15"/>
      <c r="M772" s="15"/>
      <c r="N772" s="15"/>
      <c r="O772" s="103"/>
      <c r="P772" s="15"/>
      <c r="Q772" s="15"/>
      <c r="R772" s="15"/>
      <c r="S772" s="15"/>
      <c r="T772" s="15"/>
      <c r="U772" s="15"/>
      <c r="V772" s="103"/>
      <c r="W772" s="15"/>
      <c r="X772" s="15"/>
      <c r="Y772" s="15"/>
      <c r="Z772" s="15"/>
      <c r="AA772" s="15"/>
      <c r="AB772" s="15"/>
      <c r="AC772" s="103"/>
      <c r="AD772" s="15"/>
      <c r="AE772" s="15"/>
      <c r="AF772" s="15"/>
      <c r="AG772" s="15"/>
      <c r="AH772" s="15"/>
      <c r="AI772" s="15"/>
      <c r="AJ772" s="103"/>
      <c r="AK772" s="15"/>
      <c r="AL772" s="15"/>
      <c r="AM772" s="15"/>
      <c r="AN772" s="15"/>
      <c r="AO772" s="15"/>
      <c r="AP772" s="15"/>
      <c r="AQ772" s="15"/>
    </row>
    <row r="773">
      <c r="A773" s="15"/>
      <c r="B773" s="15"/>
      <c r="C773" s="15"/>
      <c r="D773" s="15"/>
      <c r="E773" s="15"/>
      <c r="F773" s="15"/>
      <c r="G773" s="15"/>
      <c r="H773" s="103"/>
      <c r="I773" s="15"/>
      <c r="J773" s="15"/>
      <c r="K773" s="15"/>
      <c r="L773" s="15"/>
      <c r="M773" s="15"/>
      <c r="N773" s="15"/>
      <c r="O773" s="103"/>
      <c r="P773" s="15"/>
      <c r="Q773" s="15"/>
      <c r="R773" s="15"/>
      <c r="S773" s="15"/>
      <c r="T773" s="15"/>
      <c r="U773" s="15"/>
      <c r="V773" s="103"/>
      <c r="W773" s="15"/>
      <c r="X773" s="15"/>
      <c r="Y773" s="15"/>
      <c r="Z773" s="15"/>
      <c r="AA773" s="15"/>
      <c r="AB773" s="15"/>
      <c r="AC773" s="103"/>
      <c r="AD773" s="15"/>
      <c r="AE773" s="15"/>
      <c r="AF773" s="15"/>
      <c r="AG773" s="15"/>
      <c r="AH773" s="15"/>
      <c r="AI773" s="15"/>
      <c r="AJ773" s="103"/>
      <c r="AK773" s="15"/>
      <c r="AL773" s="15"/>
      <c r="AM773" s="15"/>
      <c r="AN773" s="15"/>
      <c r="AO773" s="15"/>
      <c r="AP773" s="15"/>
      <c r="AQ773" s="15"/>
    </row>
    <row r="774">
      <c r="A774" s="15"/>
      <c r="B774" s="15"/>
      <c r="C774" s="15"/>
      <c r="D774" s="15"/>
      <c r="E774" s="15"/>
      <c r="F774" s="15"/>
      <c r="G774" s="15"/>
      <c r="H774" s="103"/>
      <c r="I774" s="15"/>
      <c r="J774" s="15"/>
      <c r="K774" s="15"/>
      <c r="L774" s="15"/>
      <c r="M774" s="15"/>
      <c r="N774" s="15"/>
      <c r="O774" s="103"/>
      <c r="P774" s="15"/>
      <c r="Q774" s="15"/>
      <c r="R774" s="15"/>
      <c r="S774" s="15"/>
      <c r="T774" s="15"/>
      <c r="U774" s="15"/>
      <c r="V774" s="103"/>
      <c r="W774" s="15"/>
      <c r="X774" s="15"/>
      <c r="Y774" s="15"/>
      <c r="Z774" s="15"/>
      <c r="AA774" s="15"/>
      <c r="AB774" s="15"/>
      <c r="AC774" s="103"/>
      <c r="AD774" s="15"/>
      <c r="AE774" s="15"/>
      <c r="AF774" s="15"/>
      <c r="AG774" s="15"/>
      <c r="AH774" s="15"/>
      <c r="AI774" s="15"/>
      <c r="AJ774" s="103"/>
      <c r="AK774" s="15"/>
      <c r="AL774" s="15"/>
      <c r="AM774" s="15"/>
      <c r="AN774" s="15"/>
      <c r="AO774" s="15"/>
      <c r="AP774" s="15"/>
      <c r="AQ774" s="15"/>
    </row>
    <row r="775">
      <c r="A775" s="15"/>
      <c r="B775" s="15"/>
      <c r="C775" s="15"/>
      <c r="D775" s="15"/>
      <c r="E775" s="15"/>
      <c r="F775" s="15"/>
      <c r="G775" s="15"/>
      <c r="H775" s="103"/>
      <c r="I775" s="15"/>
      <c r="J775" s="15"/>
      <c r="K775" s="15"/>
      <c r="L775" s="15"/>
      <c r="M775" s="15"/>
      <c r="N775" s="15"/>
      <c r="O775" s="103"/>
      <c r="P775" s="15"/>
      <c r="Q775" s="15"/>
      <c r="R775" s="15"/>
      <c r="S775" s="15"/>
      <c r="T775" s="15"/>
      <c r="U775" s="15"/>
      <c r="V775" s="103"/>
      <c r="W775" s="15"/>
      <c r="X775" s="15"/>
      <c r="Y775" s="15"/>
      <c r="Z775" s="15"/>
      <c r="AA775" s="15"/>
      <c r="AB775" s="15"/>
      <c r="AC775" s="103"/>
      <c r="AD775" s="15"/>
      <c r="AE775" s="15"/>
      <c r="AF775" s="15"/>
      <c r="AG775" s="15"/>
      <c r="AH775" s="15"/>
      <c r="AI775" s="15"/>
      <c r="AJ775" s="103"/>
      <c r="AK775" s="15"/>
      <c r="AL775" s="15"/>
      <c r="AM775" s="15"/>
      <c r="AN775" s="15"/>
      <c r="AO775" s="15"/>
      <c r="AP775" s="15"/>
      <c r="AQ775" s="15"/>
    </row>
    <row r="776">
      <c r="A776" s="15"/>
      <c r="B776" s="15"/>
      <c r="C776" s="15"/>
      <c r="D776" s="15"/>
      <c r="E776" s="15"/>
      <c r="F776" s="15"/>
      <c r="G776" s="15"/>
      <c r="H776" s="103"/>
      <c r="I776" s="15"/>
      <c r="J776" s="15"/>
      <c r="K776" s="15"/>
      <c r="L776" s="15"/>
      <c r="M776" s="15"/>
      <c r="N776" s="15"/>
      <c r="O776" s="103"/>
      <c r="P776" s="15"/>
      <c r="Q776" s="15"/>
      <c r="R776" s="15"/>
      <c r="S776" s="15"/>
      <c r="T776" s="15"/>
      <c r="U776" s="15"/>
      <c r="V776" s="103"/>
      <c r="W776" s="15"/>
      <c r="X776" s="15"/>
      <c r="Y776" s="15"/>
      <c r="Z776" s="15"/>
      <c r="AA776" s="15"/>
      <c r="AB776" s="15"/>
      <c r="AC776" s="103"/>
      <c r="AD776" s="15"/>
      <c r="AE776" s="15"/>
      <c r="AF776" s="15"/>
      <c r="AG776" s="15"/>
      <c r="AH776" s="15"/>
      <c r="AI776" s="15"/>
      <c r="AJ776" s="103"/>
      <c r="AK776" s="15"/>
      <c r="AL776" s="15"/>
      <c r="AM776" s="15"/>
      <c r="AN776" s="15"/>
      <c r="AO776" s="15"/>
      <c r="AP776" s="15"/>
      <c r="AQ776" s="15"/>
    </row>
    <row r="777">
      <c r="A777" s="15"/>
      <c r="B777" s="15"/>
      <c r="C777" s="15"/>
      <c r="D777" s="15"/>
      <c r="E777" s="15"/>
      <c r="F777" s="15"/>
      <c r="G777" s="15"/>
      <c r="H777" s="103"/>
      <c r="I777" s="15"/>
      <c r="J777" s="15"/>
      <c r="K777" s="15"/>
      <c r="L777" s="15"/>
      <c r="M777" s="15"/>
      <c r="N777" s="15"/>
      <c r="O777" s="103"/>
      <c r="P777" s="15"/>
      <c r="Q777" s="15"/>
      <c r="R777" s="15"/>
      <c r="S777" s="15"/>
      <c r="T777" s="15"/>
      <c r="U777" s="15"/>
      <c r="V777" s="103"/>
      <c r="W777" s="15"/>
      <c r="X777" s="15"/>
      <c r="Y777" s="15"/>
      <c r="Z777" s="15"/>
      <c r="AA777" s="15"/>
      <c r="AB777" s="15"/>
      <c r="AC777" s="103"/>
      <c r="AD777" s="15"/>
      <c r="AE777" s="15"/>
      <c r="AF777" s="15"/>
      <c r="AG777" s="15"/>
      <c r="AH777" s="15"/>
      <c r="AI777" s="15"/>
      <c r="AJ777" s="103"/>
      <c r="AK777" s="15"/>
      <c r="AL777" s="15"/>
      <c r="AM777" s="15"/>
      <c r="AN777" s="15"/>
      <c r="AO777" s="15"/>
      <c r="AP777" s="15"/>
      <c r="AQ777" s="15"/>
    </row>
    <row r="778">
      <c r="A778" s="15"/>
      <c r="B778" s="15"/>
      <c r="C778" s="15"/>
      <c r="D778" s="15"/>
      <c r="E778" s="15"/>
      <c r="F778" s="15"/>
      <c r="G778" s="15"/>
      <c r="H778" s="103"/>
      <c r="I778" s="15"/>
      <c r="J778" s="15"/>
      <c r="K778" s="15"/>
      <c r="L778" s="15"/>
      <c r="M778" s="15"/>
      <c r="N778" s="15"/>
      <c r="O778" s="103"/>
      <c r="P778" s="15"/>
      <c r="Q778" s="15"/>
      <c r="R778" s="15"/>
      <c r="S778" s="15"/>
      <c r="T778" s="15"/>
      <c r="U778" s="15"/>
      <c r="V778" s="103"/>
      <c r="W778" s="15"/>
      <c r="X778" s="15"/>
      <c r="Y778" s="15"/>
      <c r="Z778" s="15"/>
      <c r="AA778" s="15"/>
      <c r="AB778" s="15"/>
      <c r="AC778" s="103"/>
      <c r="AD778" s="15"/>
      <c r="AE778" s="15"/>
      <c r="AF778" s="15"/>
      <c r="AG778" s="15"/>
      <c r="AH778" s="15"/>
      <c r="AI778" s="15"/>
      <c r="AJ778" s="103"/>
      <c r="AK778" s="15"/>
      <c r="AL778" s="15"/>
      <c r="AM778" s="15"/>
      <c r="AN778" s="15"/>
      <c r="AO778" s="15"/>
      <c r="AP778" s="15"/>
      <c r="AQ778" s="15"/>
    </row>
    <row r="779">
      <c r="A779" s="15"/>
      <c r="B779" s="15"/>
      <c r="C779" s="15"/>
      <c r="D779" s="15"/>
      <c r="E779" s="15"/>
      <c r="F779" s="15"/>
      <c r="G779" s="15"/>
      <c r="H779" s="103"/>
      <c r="I779" s="15"/>
      <c r="J779" s="15"/>
      <c r="K779" s="15"/>
      <c r="L779" s="15"/>
      <c r="M779" s="15"/>
      <c r="N779" s="15"/>
      <c r="O779" s="103"/>
      <c r="P779" s="15"/>
      <c r="Q779" s="15"/>
      <c r="R779" s="15"/>
      <c r="S779" s="15"/>
      <c r="T779" s="15"/>
      <c r="U779" s="15"/>
      <c r="V779" s="103"/>
      <c r="W779" s="15"/>
      <c r="X779" s="15"/>
      <c r="Y779" s="15"/>
      <c r="Z779" s="15"/>
      <c r="AA779" s="15"/>
      <c r="AB779" s="15"/>
      <c r="AC779" s="103"/>
      <c r="AD779" s="15"/>
      <c r="AE779" s="15"/>
      <c r="AF779" s="15"/>
      <c r="AG779" s="15"/>
      <c r="AH779" s="15"/>
      <c r="AI779" s="15"/>
      <c r="AJ779" s="103"/>
      <c r="AK779" s="15"/>
      <c r="AL779" s="15"/>
      <c r="AM779" s="15"/>
      <c r="AN779" s="15"/>
      <c r="AO779" s="15"/>
      <c r="AP779" s="15"/>
      <c r="AQ779" s="15"/>
    </row>
    <row r="780">
      <c r="A780" s="15"/>
      <c r="B780" s="15"/>
      <c r="C780" s="15"/>
      <c r="D780" s="15"/>
      <c r="E780" s="15"/>
      <c r="F780" s="15"/>
      <c r="G780" s="15"/>
      <c r="H780" s="103"/>
      <c r="I780" s="15"/>
      <c r="J780" s="15"/>
      <c r="K780" s="15"/>
      <c r="L780" s="15"/>
      <c r="M780" s="15"/>
      <c r="N780" s="15"/>
      <c r="O780" s="103"/>
      <c r="P780" s="15"/>
      <c r="Q780" s="15"/>
      <c r="R780" s="15"/>
      <c r="S780" s="15"/>
      <c r="T780" s="15"/>
      <c r="U780" s="15"/>
      <c r="V780" s="103"/>
      <c r="W780" s="15"/>
      <c r="X780" s="15"/>
      <c r="Y780" s="15"/>
      <c r="Z780" s="15"/>
      <c r="AA780" s="15"/>
      <c r="AB780" s="15"/>
      <c r="AC780" s="103"/>
      <c r="AD780" s="15"/>
      <c r="AE780" s="15"/>
      <c r="AF780" s="15"/>
      <c r="AG780" s="15"/>
      <c r="AH780" s="15"/>
      <c r="AI780" s="15"/>
      <c r="AJ780" s="103"/>
      <c r="AK780" s="15"/>
      <c r="AL780" s="15"/>
      <c r="AM780" s="15"/>
      <c r="AN780" s="15"/>
      <c r="AO780" s="15"/>
      <c r="AP780" s="15"/>
      <c r="AQ780" s="15"/>
    </row>
    <row r="781">
      <c r="A781" s="15"/>
      <c r="B781" s="15"/>
      <c r="C781" s="15"/>
      <c r="D781" s="15"/>
      <c r="E781" s="15"/>
      <c r="F781" s="15"/>
      <c r="G781" s="15"/>
      <c r="H781" s="103"/>
      <c r="I781" s="15"/>
      <c r="J781" s="15"/>
      <c r="K781" s="15"/>
      <c r="L781" s="15"/>
      <c r="M781" s="15"/>
      <c r="N781" s="15"/>
      <c r="O781" s="103"/>
      <c r="P781" s="15"/>
      <c r="Q781" s="15"/>
      <c r="R781" s="15"/>
      <c r="S781" s="15"/>
      <c r="T781" s="15"/>
      <c r="U781" s="15"/>
      <c r="V781" s="103"/>
      <c r="W781" s="15"/>
      <c r="X781" s="15"/>
      <c r="Y781" s="15"/>
      <c r="Z781" s="15"/>
      <c r="AA781" s="15"/>
      <c r="AB781" s="15"/>
      <c r="AC781" s="103"/>
      <c r="AD781" s="15"/>
      <c r="AE781" s="15"/>
      <c r="AF781" s="15"/>
      <c r="AG781" s="15"/>
      <c r="AH781" s="15"/>
      <c r="AI781" s="15"/>
      <c r="AJ781" s="103"/>
      <c r="AK781" s="15"/>
      <c r="AL781" s="15"/>
      <c r="AM781" s="15"/>
      <c r="AN781" s="15"/>
      <c r="AO781" s="15"/>
      <c r="AP781" s="15"/>
      <c r="AQ781" s="15"/>
    </row>
    <row r="782">
      <c r="A782" s="15"/>
      <c r="B782" s="15"/>
      <c r="C782" s="15"/>
      <c r="D782" s="15"/>
      <c r="E782" s="15"/>
      <c r="F782" s="15"/>
      <c r="G782" s="15"/>
      <c r="H782" s="103"/>
      <c r="I782" s="15"/>
      <c r="J782" s="15"/>
      <c r="K782" s="15"/>
      <c r="L782" s="15"/>
      <c r="M782" s="15"/>
      <c r="N782" s="15"/>
      <c r="O782" s="103"/>
      <c r="P782" s="15"/>
      <c r="Q782" s="15"/>
      <c r="R782" s="15"/>
      <c r="S782" s="15"/>
      <c r="T782" s="15"/>
      <c r="U782" s="15"/>
      <c r="V782" s="103"/>
      <c r="W782" s="15"/>
      <c r="X782" s="15"/>
      <c r="Y782" s="15"/>
      <c r="Z782" s="15"/>
      <c r="AA782" s="15"/>
      <c r="AB782" s="15"/>
      <c r="AC782" s="103"/>
      <c r="AD782" s="15"/>
      <c r="AE782" s="15"/>
      <c r="AF782" s="15"/>
      <c r="AG782" s="15"/>
      <c r="AH782" s="15"/>
      <c r="AI782" s="15"/>
      <c r="AJ782" s="103"/>
      <c r="AK782" s="15"/>
      <c r="AL782" s="15"/>
      <c r="AM782" s="15"/>
      <c r="AN782" s="15"/>
      <c r="AO782" s="15"/>
      <c r="AP782" s="15"/>
      <c r="AQ782" s="15"/>
    </row>
    <row r="783">
      <c r="A783" s="15"/>
      <c r="B783" s="15"/>
      <c r="C783" s="15"/>
      <c r="D783" s="15"/>
      <c r="E783" s="15"/>
      <c r="F783" s="15"/>
      <c r="G783" s="15"/>
      <c r="H783" s="103"/>
      <c r="I783" s="15"/>
      <c r="J783" s="15"/>
      <c r="K783" s="15"/>
      <c r="L783" s="15"/>
      <c r="M783" s="15"/>
      <c r="N783" s="15"/>
      <c r="O783" s="103"/>
      <c r="P783" s="15"/>
      <c r="Q783" s="15"/>
      <c r="R783" s="15"/>
      <c r="S783" s="15"/>
      <c r="T783" s="15"/>
      <c r="U783" s="15"/>
      <c r="V783" s="103"/>
      <c r="W783" s="15"/>
      <c r="X783" s="15"/>
      <c r="Y783" s="15"/>
      <c r="Z783" s="15"/>
      <c r="AA783" s="15"/>
      <c r="AB783" s="15"/>
      <c r="AC783" s="103"/>
      <c r="AD783" s="15"/>
      <c r="AE783" s="15"/>
      <c r="AF783" s="15"/>
      <c r="AG783" s="15"/>
      <c r="AH783" s="15"/>
      <c r="AI783" s="15"/>
      <c r="AJ783" s="103"/>
      <c r="AK783" s="15"/>
      <c r="AL783" s="15"/>
      <c r="AM783" s="15"/>
      <c r="AN783" s="15"/>
      <c r="AO783" s="15"/>
      <c r="AP783" s="15"/>
      <c r="AQ783" s="15"/>
    </row>
    <row r="784">
      <c r="A784" s="15"/>
      <c r="B784" s="15"/>
      <c r="C784" s="15"/>
      <c r="D784" s="15"/>
      <c r="E784" s="15"/>
      <c r="F784" s="15"/>
      <c r="G784" s="15"/>
      <c r="H784" s="103"/>
      <c r="I784" s="15"/>
      <c r="J784" s="15"/>
      <c r="K784" s="15"/>
      <c r="L784" s="15"/>
      <c r="M784" s="15"/>
      <c r="N784" s="15"/>
      <c r="O784" s="103"/>
      <c r="P784" s="15"/>
      <c r="Q784" s="15"/>
      <c r="R784" s="15"/>
      <c r="S784" s="15"/>
      <c r="T784" s="15"/>
      <c r="U784" s="15"/>
      <c r="V784" s="103"/>
      <c r="W784" s="15"/>
      <c r="X784" s="15"/>
      <c r="Y784" s="15"/>
      <c r="Z784" s="15"/>
      <c r="AA784" s="15"/>
      <c r="AB784" s="15"/>
      <c r="AC784" s="103"/>
      <c r="AD784" s="15"/>
      <c r="AE784" s="15"/>
      <c r="AF784" s="15"/>
      <c r="AG784" s="15"/>
      <c r="AH784" s="15"/>
      <c r="AI784" s="15"/>
      <c r="AJ784" s="103"/>
      <c r="AK784" s="15"/>
      <c r="AL784" s="15"/>
      <c r="AM784" s="15"/>
      <c r="AN784" s="15"/>
      <c r="AO784" s="15"/>
      <c r="AP784" s="15"/>
      <c r="AQ784" s="15"/>
    </row>
    <row r="785">
      <c r="A785" s="15"/>
      <c r="B785" s="15"/>
      <c r="C785" s="15"/>
      <c r="D785" s="15"/>
      <c r="E785" s="15"/>
      <c r="F785" s="15"/>
      <c r="G785" s="15"/>
      <c r="H785" s="103"/>
      <c r="I785" s="15"/>
      <c r="J785" s="15"/>
      <c r="K785" s="15"/>
      <c r="L785" s="15"/>
      <c r="M785" s="15"/>
      <c r="N785" s="15"/>
      <c r="O785" s="103"/>
      <c r="P785" s="15"/>
      <c r="Q785" s="15"/>
      <c r="R785" s="15"/>
      <c r="S785" s="15"/>
      <c r="T785" s="15"/>
      <c r="U785" s="15"/>
      <c r="V785" s="103"/>
      <c r="W785" s="15"/>
      <c r="X785" s="15"/>
      <c r="Y785" s="15"/>
      <c r="Z785" s="15"/>
      <c r="AA785" s="15"/>
      <c r="AB785" s="15"/>
      <c r="AC785" s="103"/>
      <c r="AD785" s="15"/>
      <c r="AE785" s="15"/>
      <c r="AF785" s="15"/>
      <c r="AG785" s="15"/>
      <c r="AH785" s="15"/>
      <c r="AI785" s="15"/>
      <c r="AJ785" s="103"/>
      <c r="AK785" s="15"/>
      <c r="AL785" s="15"/>
      <c r="AM785" s="15"/>
      <c r="AN785" s="15"/>
      <c r="AO785" s="15"/>
      <c r="AP785" s="15"/>
      <c r="AQ785" s="15"/>
    </row>
    <row r="786">
      <c r="A786" s="15"/>
      <c r="B786" s="15"/>
      <c r="C786" s="15"/>
      <c r="D786" s="15"/>
      <c r="E786" s="15"/>
      <c r="F786" s="15"/>
      <c r="G786" s="15"/>
      <c r="H786" s="103"/>
      <c r="I786" s="15"/>
      <c r="J786" s="15"/>
      <c r="K786" s="15"/>
      <c r="L786" s="15"/>
      <c r="M786" s="15"/>
      <c r="N786" s="15"/>
      <c r="O786" s="103"/>
      <c r="P786" s="15"/>
      <c r="Q786" s="15"/>
      <c r="R786" s="15"/>
      <c r="S786" s="15"/>
      <c r="T786" s="15"/>
      <c r="U786" s="15"/>
      <c r="V786" s="103"/>
      <c r="W786" s="15"/>
      <c r="X786" s="15"/>
      <c r="Y786" s="15"/>
      <c r="Z786" s="15"/>
      <c r="AA786" s="15"/>
      <c r="AB786" s="15"/>
      <c r="AC786" s="103"/>
      <c r="AD786" s="15"/>
      <c r="AE786" s="15"/>
      <c r="AF786" s="15"/>
      <c r="AG786" s="15"/>
      <c r="AH786" s="15"/>
      <c r="AI786" s="15"/>
      <c r="AJ786" s="103"/>
      <c r="AK786" s="15"/>
      <c r="AL786" s="15"/>
      <c r="AM786" s="15"/>
      <c r="AN786" s="15"/>
      <c r="AO786" s="15"/>
      <c r="AP786" s="15"/>
      <c r="AQ786" s="15"/>
    </row>
    <row r="787">
      <c r="A787" s="15"/>
      <c r="B787" s="15"/>
      <c r="C787" s="15"/>
      <c r="D787" s="15"/>
      <c r="E787" s="15"/>
      <c r="F787" s="15"/>
      <c r="G787" s="15"/>
      <c r="H787" s="103"/>
      <c r="I787" s="15"/>
      <c r="J787" s="15"/>
      <c r="K787" s="15"/>
      <c r="L787" s="15"/>
      <c r="M787" s="15"/>
      <c r="N787" s="15"/>
      <c r="O787" s="103"/>
      <c r="P787" s="15"/>
      <c r="Q787" s="15"/>
      <c r="R787" s="15"/>
      <c r="S787" s="15"/>
      <c r="T787" s="15"/>
      <c r="U787" s="15"/>
      <c r="V787" s="103"/>
      <c r="W787" s="15"/>
      <c r="X787" s="15"/>
      <c r="Y787" s="15"/>
      <c r="Z787" s="15"/>
      <c r="AA787" s="15"/>
      <c r="AB787" s="15"/>
      <c r="AC787" s="103"/>
      <c r="AD787" s="15"/>
      <c r="AE787" s="15"/>
      <c r="AF787" s="15"/>
      <c r="AG787" s="15"/>
      <c r="AH787" s="15"/>
      <c r="AI787" s="15"/>
      <c r="AJ787" s="103"/>
      <c r="AK787" s="15"/>
      <c r="AL787" s="15"/>
      <c r="AM787" s="15"/>
      <c r="AN787" s="15"/>
      <c r="AO787" s="15"/>
      <c r="AP787" s="15"/>
      <c r="AQ787" s="15"/>
    </row>
    <row r="788">
      <c r="A788" s="15"/>
      <c r="B788" s="15"/>
      <c r="C788" s="15"/>
      <c r="D788" s="15"/>
      <c r="E788" s="15"/>
      <c r="F788" s="15"/>
      <c r="G788" s="15"/>
      <c r="H788" s="103"/>
      <c r="I788" s="15"/>
      <c r="J788" s="15"/>
      <c r="K788" s="15"/>
      <c r="L788" s="15"/>
      <c r="M788" s="15"/>
      <c r="N788" s="15"/>
      <c r="O788" s="103"/>
      <c r="P788" s="15"/>
      <c r="Q788" s="15"/>
      <c r="R788" s="15"/>
      <c r="S788" s="15"/>
      <c r="T788" s="15"/>
      <c r="U788" s="15"/>
      <c r="V788" s="103"/>
      <c r="W788" s="15"/>
      <c r="X788" s="15"/>
      <c r="Y788" s="15"/>
      <c r="Z788" s="15"/>
      <c r="AA788" s="15"/>
      <c r="AB788" s="15"/>
      <c r="AC788" s="103"/>
      <c r="AD788" s="15"/>
      <c r="AE788" s="15"/>
      <c r="AF788" s="15"/>
      <c r="AG788" s="15"/>
      <c r="AH788" s="15"/>
      <c r="AI788" s="15"/>
      <c r="AJ788" s="103"/>
      <c r="AK788" s="15"/>
      <c r="AL788" s="15"/>
      <c r="AM788" s="15"/>
      <c r="AN788" s="15"/>
      <c r="AO788" s="15"/>
      <c r="AP788" s="15"/>
      <c r="AQ788" s="15"/>
    </row>
    <row r="789">
      <c r="A789" s="15"/>
      <c r="B789" s="15"/>
      <c r="C789" s="15"/>
      <c r="D789" s="15"/>
      <c r="E789" s="15"/>
      <c r="F789" s="15"/>
      <c r="G789" s="15"/>
      <c r="H789" s="103"/>
      <c r="I789" s="15"/>
      <c r="J789" s="15"/>
      <c r="K789" s="15"/>
      <c r="L789" s="15"/>
      <c r="M789" s="15"/>
      <c r="N789" s="15"/>
      <c r="O789" s="103"/>
      <c r="P789" s="15"/>
      <c r="Q789" s="15"/>
      <c r="R789" s="15"/>
      <c r="S789" s="15"/>
      <c r="T789" s="15"/>
      <c r="U789" s="15"/>
      <c r="V789" s="103"/>
      <c r="W789" s="15"/>
      <c r="X789" s="15"/>
      <c r="Y789" s="15"/>
      <c r="Z789" s="15"/>
      <c r="AA789" s="15"/>
      <c r="AB789" s="15"/>
      <c r="AC789" s="103"/>
      <c r="AD789" s="15"/>
      <c r="AE789" s="15"/>
      <c r="AF789" s="15"/>
      <c r="AG789" s="15"/>
      <c r="AH789" s="15"/>
      <c r="AI789" s="15"/>
      <c r="AJ789" s="103"/>
      <c r="AK789" s="15"/>
      <c r="AL789" s="15"/>
      <c r="AM789" s="15"/>
      <c r="AN789" s="15"/>
      <c r="AO789" s="15"/>
      <c r="AP789" s="15"/>
      <c r="AQ789" s="15"/>
    </row>
    <row r="790">
      <c r="A790" s="15"/>
      <c r="B790" s="15"/>
      <c r="C790" s="15"/>
      <c r="D790" s="15"/>
      <c r="E790" s="15"/>
      <c r="F790" s="15"/>
      <c r="G790" s="15"/>
      <c r="H790" s="103"/>
      <c r="I790" s="15"/>
      <c r="J790" s="15"/>
      <c r="K790" s="15"/>
      <c r="L790" s="15"/>
      <c r="M790" s="15"/>
      <c r="N790" s="15"/>
      <c r="O790" s="103"/>
      <c r="P790" s="15"/>
      <c r="Q790" s="15"/>
      <c r="R790" s="15"/>
      <c r="S790" s="15"/>
      <c r="T790" s="15"/>
      <c r="U790" s="15"/>
      <c r="V790" s="103"/>
      <c r="W790" s="15"/>
      <c r="X790" s="15"/>
      <c r="Y790" s="15"/>
      <c r="Z790" s="15"/>
      <c r="AA790" s="15"/>
      <c r="AB790" s="15"/>
      <c r="AC790" s="103"/>
      <c r="AD790" s="15"/>
      <c r="AE790" s="15"/>
      <c r="AF790" s="15"/>
      <c r="AG790" s="15"/>
      <c r="AH790" s="15"/>
      <c r="AI790" s="15"/>
      <c r="AJ790" s="103"/>
      <c r="AK790" s="15"/>
      <c r="AL790" s="15"/>
      <c r="AM790" s="15"/>
      <c r="AN790" s="15"/>
      <c r="AO790" s="15"/>
      <c r="AP790" s="15"/>
      <c r="AQ790" s="15"/>
    </row>
    <row r="791">
      <c r="A791" s="15"/>
      <c r="B791" s="15"/>
      <c r="C791" s="15"/>
      <c r="D791" s="15"/>
      <c r="E791" s="15"/>
      <c r="F791" s="15"/>
      <c r="G791" s="15"/>
      <c r="H791" s="103"/>
      <c r="I791" s="15"/>
      <c r="J791" s="15"/>
      <c r="K791" s="15"/>
      <c r="L791" s="15"/>
      <c r="M791" s="15"/>
      <c r="N791" s="15"/>
      <c r="O791" s="103"/>
      <c r="P791" s="15"/>
      <c r="Q791" s="15"/>
      <c r="R791" s="15"/>
      <c r="S791" s="15"/>
      <c r="T791" s="15"/>
      <c r="U791" s="15"/>
      <c r="V791" s="103"/>
      <c r="W791" s="15"/>
      <c r="X791" s="15"/>
      <c r="Y791" s="15"/>
      <c r="Z791" s="15"/>
      <c r="AA791" s="15"/>
      <c r="AB791" s="15"/>
      <c r="AC791" s="103"/>
      <c r="AD791" s="15"/>
      <c r="AE791" s="15"/>
      <c r="AF791" s="15"/>
      <c r="AG791" s="15"/>
      <c r="AH791" s="15"/>
      <c r="AI791" s="15"/>
      <c r="AJ791" s="103"/>
      <c r="AK791" s="15"/>
      <c r="AL791" s="15"/>
      <c r="AM791" s="15"/>
      <c r="AN791" s="15"/>
      <c r="AO791" s="15"/>
      <c r="AP791" s="15"/>
      <c r="AQ791" s="15"/>
    </row>
    <row r="792">
      <c r="A792" s="15"/>
      <c r="B792" s="15"/>
      <c r="C792" s="15"/>
      <c r="D792" s="15"/>
      <c r="E792" s="15"/>
      <c r="F792" s="15"/>
      <c r="G792" s="15"/>
      <c r="H792" s="103"/>
      <c r="I792" s="15"/>
      <c r="J792" s="15"/>
      <c r="K792" s="15"/>
      <c r="L792" s="15"/>
      <c r="M792" s="15"/>
      <c r="N792" s="15"/>
      <c r="O792" s="103"/>
      <c r="P792" s="15"/>
      <c r="Q792" s="15"/>
      <c r="R792" s="15"/>
      <c r="S792" s="15"/>
      <c r="T792" s="15"/>
      <c r="U792" s="15"/>
      <c r="V792" s="103"/>
      <c r="W792" s="15"/>
      <c r="X792" s="15"/>
      <c r="Y792" s="15"/>
      <c r="Z792" s="15"/>
      <c r="AA792" s="15"/>
      <c r="AB792" s="15"/>
      <c r="AC792" s="103"/>
      <c r="AD792" s="15"/>
      <c r="AE792" s="15"/>
      <c r="AF792" s="15"/>
      <c r="AG792" s="15"/>
      <c r="AH792" s="15"/>
      <c r="AI792" s="15"/>
      <c r="AJ792" s="103"/>
      <c r="AK792" s="15"/>
      <c r="AL792" s="15"/>
      <c r="AM792" s="15"/>
      <c r="AN792" s="15"/>
      <c r="AO792" s="15"/>
      <c r="AP792" s="15"/>
      <c r="AQ792" s="15"/>
    </row>
    <row r="793">
      <c r="A793" s="15"/>
      <c r="B793" s="15"/>
      <c r="C793" s="15"/>
      <c r="D793" s="15"/>
      <c r="E793" s="15"/>
      <c r="F793" s="15"/>
      <c r="G793" s="15"/>
      <c r="H793" s="103"/>
      <c r="I793" s="15"/>
      <c r="J793" s="15"/>
      <c r="K793" s="15"/>
      <c r="L793" s="15"/>
      <c r="M793" s="15"/>
      <c r="N793" s="15"/>
      <c r="O793" s="103"/>
      <c r="P793" s="15"/>
      <c r="Q793" s="15"/>
      <c r="R793" s="15"/>
      <c r="S793" s="15"/>
      <c r="T793" s="15"/>
      <c r="U793" s="15"/>
      <c r="V793" s="103"/>
      <c r="W793" s="15"/>
      <c r="X793" s="15"/>
      <c r="Y793" s="15"/>
      <c r="Z793" s="15"/>
      <c r="AA793" s="15"/>
      <c r="AB793" s="15"/>
      <c r="AC793" s="103"/>
      <c r="AD793" s="15"/>
      <c r="AE793" s="15"/>
      <c r="AF793" s="15"/>
      <c r="AG793" s="15"/>
      <c r="AH793" s="15"/>
      <c r="AI793" s="15"/>
      <c r="AJ793" s="103"/>
      <c r="AK793" s="15"/>
      <c r="AL793" s="15"/>
      <c r="AM793" s="15"/>
      <c r="AN793" s="15"/>
      <c r="AO793" s="15"/>
      <c r="AP793" s="15"/>
      <c r="AQ793" s="15"/>
    </row>
    <row r="794">
      <c r="A794" s="15"/>
      <c r="B794" s="15"/>
      <c r="C794" s="15"/>
      <c r="D794" s="15"/>
      <c r="E794" s="15"/>
      <c r="F794" s="15"/>
      <c r="G794" s="15"/>
      <c r="H794" s="103"/>
      <c r="I794" s="15"/>
      <c r="J794" s="15"/>
      <c r="K794" s="15"/>
      <c r="L794" s="15"/>
      <c r="M794" s="15"/>
      <c r="N794" s="15"/>
      <c r="O794" s="103"/>
      <c r="P794" s="15"/>
      <c r="Q794" s="15"/>
      <c r="R794" s="15"/>
      <c r="S794" s="15"/>
      <c r="T794" s="15"/>
      <c r="U794" s="15"/>
      <c r="V794" s="103"/>
      <c r="W794" s="15"/>
      <c r="X794" s="15"/>
      <c r="Y794" s="15"/>
      <c r="Z794" s="15"/>
      <c r="AA794" s="15"/>
      <c r="AB794" s="15"/>
      <c r="AC794" s="103"/>
      <c r="AD794" s="15"/>
      <c r="AE794" s="15"/>
      <c r="AF794" s="15"/>
      <c r="AG794" s="15"/>
      <c r="AH794" s="15"/>
      <c r="AI794" s="15"/>
      <c r="AJ794" s="103"/>
      <c r="AK794" s="15"/>
      <c r="AL794" s="15"/>
      <c r="AM794" s="15"/>
      <c r="AN794" s="15"/>
      <c r="AO794" s="15"/>
      <c r="AP794" s="15"/>
      <c r="AQ794" s="15"/>
    </row>
    <row r="795">
      <c r="A795" s="15"/>
      <c r="B795" s="15"/>
      <c r="C795" s="15"/>
      <c r="D795" s="15"/>
      <c r="E795" s="15"/>
      <c r="F795" s="15"/>
      <c r="G795" s="15"/>
      <c r="H795" s="103"/>
      <c r="I795" s="15"/>
      <c r="J795" s="15"/>
      <c r="K795" s="15"/>
      <c r="L795" s="15"/>
      <c r="M795" s="15"/>
      <c r="N795" s="15"/>
      <c r="O795" s="103"/>
      <c r="P795" s="15"/>
      <c r="Q795" s="15"/>
      <c r="R795" s="15"/>
      <c r="S795" s="15"/>
      <c r="T795" s="15"/>
      <c r="U795" s="15"/>
      <c r="V795" s="103"/>
      <c r="W795" s="15"/>
      <c r="X795" s="15"/>
      <c r="Y795" s="15"/>
      <c r="Z795" s="15"/>
      <c r="AA795" s="15"/>
      <c r="AB795" s="15"/>
      <c r="AC795" s="103"/>
      <c r="AD795" s="15"/>
      <c r="AE795" s="15"/>
      <c r="AF795" s="15"/>
      <c r="AG795" s="15"/>
      <c r="AH795" s="15"/>
      <c r="AI795" s="15"/>
      <c r="AJ795" s="103"/>
      <c r="AK795" s="15"/>
      <c r="AL795" s="15"/>
      <c r="AM795" s="15"/>
      <c r="AN795" s="15"/>
      <c r="AO795" s="15"/>
      <c r="AP795" s="15"/>
      <c r="AQ795" s="15"/>
    </row>
    <row r="796">
      <c r="A796" s="15"/>
      <c r="B796" s="15"/>
      <c r="C796" s="15"/>
      <c r="D796" s="15"/>
      <c r="E796" s="15"/>
      <c r="F796" s="15"/>
      <c r="G796" s="15"/>
      <c r="H796" s="103"/>
      <c r="I796" s="15"/>
      <c r="J796" s="15"/>
      <c r="K796" s="15"/>
      <c r="L796" s="15"/>
      <c r="M796" s="15"/>
      <c r="N796" s="15"/>
      <c r="O796" s="103"/>
      <c r="P796" s="15"/>
      <c r="Q796" s="15"/>
      <c r="R796" s="15"/>
      <c r="S796" s="15"/>
      <c r="T796" s="15"/>
      <c r="U796" s="15"/>
      <c r="V796" s="103"/>
      <c r="W796" s="15"/>
      <c r="X796" s="15"/>
      <c r="Y796" s="15"/>
      <c r="Z796" s="15"/>
      <c r="AA796" s="15"/>
      <c r="AB796" s="15"/>
      <c r="AC796" s="103"/>
      <c r="AD796" s="15"/>
      <c r="AE796" s="15"/>
      <c r="AF796" s="15"/>
      <c r="AG796" s="15"/>
      <c r="AH796" s="15"/>
      <c r="AI796" s="15"/>
      <c r="AJ796" s="103"/>
      <c r="AK796" s="15"/>
      <c r="AL796" s="15"/>
      <c r="AM796" s="15"/>
      <c r="AN796" s="15"/>
      <c r="AO796" s="15"/>
      <c r="AP796" s="15"/>
      <c r="AQ796" s="15"/>
    </row>
    <row r="797">
      <c r="A797" s="15"/>
      <c r="B797" s="15"/>
      <c r="C797" s="15"/>
      <c r="D797" s="15"/>
      <c r="E797" s="15"/>
      <c r="F797" s="15"/>
      <c r="G797" s="15"/>
      <c r="H797" s="103"/>
      <c r="I797" s="15"/>
      <c r="J797" s="15"/>
      <c r="K797" s="15"/>
      <c r="L797" s="15"/>
      <c r="M797" s="15"/>
      <c r="N797" s="15"/>
      <c r="O797" s="103"/>
      <c r="P797" s="15"/>
      <c r="Q797" s="15"/>
      <c r="R797" s="15"/>
      <c r="S797" s="15"/>
      <c r="T797" s="15"/>
      <c r="U797" s="15"/>
      <c r="V797" s="103"/>
      <c r="W797" s="15"/>
      <c r="X797" s="15"/>
      <c r="Y797" s="15"/>
      <c r="Z797" s="15"/>
      <c r="AA797" s="15"/>
      <c r="AB797" s="15"/>
      <c r="AC797" s="103"/>
      <c r="AD797" s="15"/>
      <c r="AE797" s="15"/>
      <c r="AF797" s="15"/>
      <c r="AG797" s="15"/>
      <c r="AH797" s="15"/>
      <c r="AI797" s="15"/>
      <c r="AJ797" s="103"/>
      <c r="AK797" s="15"/>
      <c r="AL797" s="15"/>
      <c r="AM797" s="15"/>
      <c r="AN797" s="15"/>
      <c r="AO797" s="15"/>
      <c r="AP797" s="15"/>
      <c r="AQ797" s="15"/>
    </row>
    <row r="798">
      <c r="A798" s="15"/>
      <c r="B798" s="15"/>
      <c r="C798" s="15"/>
      <c r="D798" s="15"/>
      <c r="E798" s="15"/>
      <c r="F798" s="15"/>
      <c r="G798" s="15"/>
      <c r="H798" s="103"/>
      <c r="I798" s="15"/>
      <c r="J798" s="15"/>
      <c r="K798" s="15"/>
      <c r="L798" s="15"/>
      <c r="M798" s="15"/>
      <c r="N798" s="15"/>
      <c r="O798" s="103"/>
      <c r="P798" s="15"/>
      <c r="Q798" s="15"/>
      <c r="R798" s="15"/>
      <c r="S798" s="15"/>
      <c r="T798" s="15"/>
      <c r="U798" s="15"/>
      <c r="V798" s="103"/>
      <c r="W798" s="15"/>
      <c r="X798" s="15"/>
      <c r="Y798" s="15"/>
      <c r="Z798" s="15"/>
      <c r="AA798" s="15"/>
      <c r="AB798" s="15"/>
      <c r="AC798" s="103"/>
      <c r="AD798" s="15"/>
      <c r="AE798" s="15"/>
      <c r="AF798" s="15"/>
      <c r="AG798" s="15"/>
      <c r="AH798" s="15"/>
      <c r="AI798" s="15"/>
      <c r="AJ798" s="103"/>
      <c r="AK798" s="15"/>
      <c r="AL798" s="15"/>
      <c r="AM798" s="15"/>
      <c r="AN798" s="15"/>
      <c r="AO798" s="15"/>
      <c r="AP798" s="15"/>
      <c r="AQ798" s="15"/>
    </row>
    <row r="799">
      <c r="A799" s="15"/>
      <c r="B799" s="15"/>
      <c r="C799" s="15"/>
      <c r="D799" s="15"/>
      <c r="E799" s="15"/>
      <c r="F799" s="15"/>
      <c r="G799" s="15"/>
      <c r="H799" s="103"/>
      <c r="I799" s="15"/>
      <c r="J799" s="15"/>
      <c r="K799" s="15"/>
      <c r="L799" s="15"/>
      <c r="M799" s="15"/>
      <c r="N799" s="15"/>
      <c r="O799" s="103"/>
      <c r="P799" s="15"/>
      <c r="Q799" s="15"/>
      <c r="R799" s="15"/>
      <c r="S799" s="15"/>
      <c r="T799" s="15"/>
      <c r="U799" s="15"/>
      <c r="V799" s="103"/>
      <c r="W799" s="15"/>
      <c r="X799" s="15"/>
      <c r="Y799" s="15"/>
      <c r="Z799" s="15"/>
      <c r="AA799" s="15"/>
      <c r="AB799" s="15"/>
      <c r="AC799" s="103"/>
      <c r="AD799" s="15"/>
      <c r="AE799" s="15"/>
      <c r="AF799" s="15"/>
      <c r="AG799" s="15"/>
      <c r="AH799" s="15"/>
      <c r="AI799" s="15"/>
      <c r="AJ799" s="103"/>
      <c r="AK799" s="15"/>
      <c r="AL799" s="15"/>
      <c r="AM799" s="15"/>
      <c r="AN799" s="15"/>
      <c r="AO799" s="15"/>
      <c r="AP799" s="15"/>
      <c r="AQ799" s="15"/>
    </row>
    <row r="800">
      <c r="A800" s="15"/>
      <c r="B800" s="15"/>
      <c r="C800" s="15"/>
      <c r="D800" s="15"/>
      <c r="E800" s="15"/>
      <c r="F800" s="15"/>
      <c r="G800" s="15"/>
      <c r="H800" s="103"/>
      <c r="I800" s="15"/>
      <c r="J800" s="15"/>
      <c r="K800" s="15"/>
      <c r="L800" s="15"/>
      <c r="M800" s="15"/>
      <c r="N800" s="15"/>
      <c r="O800" s="103"/>
      <c r="P800" s="15"/>
      <c r="Q800" s="15"/>
      <c r="R800" s="15"/>
      <c r="S800" s="15"/>
      <c r="T800" s="15"/>
      <c r="U800" s="15"/>
      <c r="V800" s="103"/>
      <c r="W800" s="15"/>
      <c r="X800" s="15"/>
      <c r="Y800" s="15"/>
      <c r="Z800" s="15"/>
      <c r="AA800" s="15"/>
      <c r="AB800" s="15"/>
      <c r="AC800" s="103"/>
      <c r="AD800" s="15"/>
      <c r="AE800" s="15"/>
      <c r="AF800" s="15"/>
      <c r="AG800" s="15"/>
      <c r="AH800" s="15"/>
      <c r="AI800" s="15"/>
      <c r="AJ800" s="103"/>
      <c r="AK800" s="15"/>
      <c r="AL800" s="15"/>
      <c r="AM800" s="15"/>
      <c r="AN800" s="15"/>
      <c r="AO800" s="15"/>
      <c r="AP800" s="15"/>
      <c r="AQ800" s="15"/>
    </row>
    <row r="801">
      <c r="A801" s="15"/>
      <c r="B801" s="15"/>
      <c r="C801" s="15"/>
      <c r="D801" s="15"/>
      <c r="E801" s="15"/>
      <c r="F801" s="15"/>
      <c r="G801" s="15"/>
      <c r="H801" s="103"/>
      <c r="I801" s="15"/>
      <c r="J801" s="15"/>
      <c r="K801" s="15"/>
      <c r="L801" s="15"/>
      <c r="M801" s="15"/>
      <c r="N801" s="15"/>
      <c r="O801" s="103"/>
      <c r="P801" s="15"/>
      <c r="Q801" s="15"/>
      <c r="R801" s="15"/>
      <c r="S801" s="15"/>
      <c r="T801" s="15"/>
      <c r="U801" s="15"/>
      <c r="V801" s="103"/>
      <c r="W801" s="15"/>
      <c r="X801" s="15"/>
      <c r="Y801" s="15"/>
      <c r="Z801" s="15"/>
      <c r="AA801" s="15"/>
      <c r="AB801" s="15"/>
      <c r="AC801" s="103"/>
      <c r="AD801" s="15"/>
      <c r="AE801" s="15"/>
      <c r="AF801" s="15"/>
      <c r="AG801" s="15"/>
      <c r="AH801" s="15"/>
      <c r="AI801" s="15"/>
      <c r="AJ801" s="103"/>
      <c r="AK801" s="15"/>
      <c r="AL801" s="15"/>
      <c r="AM801" s="15"/>
      <c r="AN801" s="15"/>
      <c r="AO801" s="15"/>
      <c r="AP801" s="15"/>
      <c r="AQ801" s="15"/>
    </row>
    <row r="802">
      <c r="A802" s="15"/>
      <c r="B802" s="15"/>
      <c r="C802" s="15"/>
      <c r="D802" s="15"/>
      <c r="E802" s="15"/>
      <c r="F802" s="15"/>
      <c r="G802" s="15"/>
      <c r="H802" s="103"/>
      <c r="I802" s="15"/>
      <c r="J802" s="15"/>
      <c r="K802" s="15"/>
      <c r="L802" s="15"/>
      <c r="M802" s="15"/>
      <c r="N802" s="15"/>
      <c r="O802" s="103"/>
      <c r="P802" s="15"/>
      <c r="Q802" s="15"/>
      <c r="R802" s="15"/>
      <c r="S802" s="15"/>
      <c r="T802" s="15"/>
      <c r="U802" s="15"/>
      <c r="V802" s="103"/>
      <c r="W802" s="15"/>
      <c r="X802" s="15"/>
      <c r="Y802" s="15"/>
      <c r="Z802" s="15"/>
      <c r="AA802" s="15"/>
      <c r="AB802" s="15"/>
      <c r="AC802" s="103"/>
      <c r="AD802" s="15"/>
      <c r="AE802" s="15"/>
      <c r="AF802" s="15"/>
      <c r="AG802" s="15"/>
      <c r="AH802" s="15"/>
      <c r="AI802" s="15"/>
      <c r="AJ802" s="103"/>
      <c r="AK802" s="15"/>
      <c r="AL802" s="15"/>
      <c r="AM802" s="15"/>
      <c r="AN802" s="15"/>
      <c r="AO802" s="15"/>
      <c r="AP802" s="15"/>
      <c r="AQ802" s="15"/>
    </row>
    <row r="803">
      <c r="A803" s="15"/>
      <c r="B803" s="15"/>
      <c r="C803" s="15"/>
      <c r="D803" s="15"/>
      <c r="E803" s="15"/>
      <c r="F803" s="15"/>
      <c r="G803" s="15"/>
      <c r="H803" s="103"/>
      <c r="I803" s="15"/>
      <c r="J803" s="15"/>
      <c r="K803" s="15"/>
      <c r="L803" s="15"/>
      <c r="M803" s="15"/>
      <c r="N803" s="15"/>
      <c r="O803" s="103"/>
      <c r="P803" s="15"/>
      <c r="Q803" s="15"/>
      <c r="R803" s="15"/>
      <c r="S803" s="15"/>
      <c r="T803" s="15"/>
      <c r="U803" s="15"/>
      <c r="V803" s="103"/>
      <c r="W803" s="15"/>
      <c r="X803" s="15"/>
      <c r="Y803" s="15"/>
      <c r="Z803" s="15"/>
      <c r="AA803" s="15"/>
      <c r="AB803" s="15"/>
      <c r="AC803" s="103"/>
      <c r="AD803" s="15"/>
      <c r="AE803" s="15"/>
      <c r="AF803" s="15"/>
      <c r="AG803" s="15"/>
      <c r="AH803" s="15"/>
      <c r="AI803" s="15"/>
      <c r="AJ803" s="103"/>
      <c r="AK803" s="15"/>
      <c r="AL803" s="15"/>
      <c r="AM803" s="15"/>
      <c r="AN803" s="15"/>
      <c r="AO803" s="15"/>
      <c r="AP803" s="15"/>
      <c r="AQ803" s="15"/>
    </row>
    <row r="804">
      <c r="A804" s="15"/>
      <c r="B804" s="15"/>
      <c r="C804" s="15"/>
      <c r="D804" s="15"/>
      <c r="E804" s="15"/>
      <c r="F804" s="15"/>
      <c r="G804" s="15"/>
      <c r="H804" s="103"/>
      <c r="I804" s="15"/>
      <c r="J804" s="15"/>
      <c r="K804" s="15"/>
      <c r="L804" s="15"/>
      <c r="M804" s="15"/>
      <c r="N804" s="15"/>
      <c r="O804" s="103"/>
      <c r="P804" s="15"/>
      <c r="Q804" s="15"/>
      <c r="R804" s="15"/>
      <c r="S804" s="15"/>
      <c r="T804" s="15"/>
      <c r="U804" s="15"/>
      <c r="V804" s="103"/>
      <c r="W804" s="15"/>
      <c r="X804" s="15"/>
      <c r="Y804" s="15"/>
      <c r="Z804" s="15"/>
      <c r="AA804" s="15"/>
      <c r="AB804" s="15"/>
      <c r="AC804" s="103"/>
      <c r="AD804" s="15"/>
      <c r="AE804" s="15"/>
      <c r="AF804" s="15"/>
      <c r="AG804" s="15"/>
      <c r="AH804" s="15"/>
      <c r="AI804" s="15"/>
      <c r="AJ804" s="103"/>
      <c r="AK804" s="15"/>
      <c r="AL804" s="15"/>
      <c r="AM804" s="15"/>
      <c r="AN804" s="15"/>
      <c r="AO804" s="15"/>
      <c r="AP804" s="15"/>
      <c r="AQ804" s="15"/>
    </row>
    <row r="805">
      <c r="A805" s="15"/>
      <c r="B805" s="15"/>
      <c r="C805" s="15"/>
      <c r="D805" s="15"/>
      <c r="E805" s="15"/>
      <c r="F805" s="15"/>
      <c r="G805" s="15"/>
      <c r="H805" s="103"/>
      <c r="I805" s="15"/>
      <c r="J805" s="15"/>
      <c r="K805" s="15"/>
      <c r="L805" s="15"/>
      <c r="M805" s="15"/>
      <c r="N805" s="15"/>
      <c r="O805" s="103"/>
      <c r="P805" s="15"/>
      <c r="Q805" s="15"/>
      <c r="R805" s="15"/>
      <c r="S805" s="15"/>
      <c r="T805" s="15"/>
      <c r="U805" s="15"/>
      <c r="V805" s="103"/>
      <c r="W805" s="15"/>
      <c r="X805" s="15"/>
      <c r="Y805" s="15"/>
      <c r="Z805" s="15"/>
      <c r="AA805" s="15"/>
      <c r="AB805" s="15"/>
      <c r="AC805" s="103"/>
      <c r="AD805" s="15"/>
      <c r="AE805" s="15"/>
      <c r="AF805" s="15"/>
      <c r="AG805" s="15"/>
      <c r="AH805" s="15"/>
      <c r="AI805" s="15"/>
      <c r="AJ805" s="103"/>
      <c r="AK805" s="15"/>
      <c r="AL805" s="15"/>
      <c r="AM805" s="15"/>
      <c r="AN805" s="15"/>
      <c r="AO805" s="15"/>
      <c r="AP805" s="15"/>
      <c r="AQ805" s="15"/>
    </row>
    <row r="806">
      <c r="A806" s="15"/>
      <c r="B806" s="15"/>
      <c r="C806" s="15"/>
      <c r="D806" s="15"/>
      <c r="E806" s="15"/>
      <c r="F806" s="15"/>
      <c r="G806" s="15"/>
      <c r="H806" s="103"/>
      <c r="I806" s="15"/>
      <c r="J806" s="15"/>
      <c r="K806" s="15"/>
      <c r="L806" s="15"/>
      <c r="M806" s="15"/>
      <c r="N806" s="15"/>
      <c r="O806" s="103"/>
      <c r="P806" s="15"/>
      <c r="Q806" s="15"/>
      <c r="R806" s="15"/>
      <c r="S806" s="15"/>
      <c r="T806" s="15"/>
      <c r="U806" s="15"/>
      <c r="V806" s="103"/>
      <c r="W806" s="15"/>
      <c r="X806" s="15"/>
      <c r="Y806" s="15"/>
      <c r="Z806" s="15"/>
      <c r="AA806" s="15"/>
      <c r="AB806" s="15"/>
      <c r="AC806" s="103"/>
      <c r="AD806" s="15"/>
      <c r="AE806" s="15"/>
      <c r="AF806" s="15"/>
      <c r="AG806" s="15"/>
      <c r="AH806" s="15"/>
      <c r="AI806" s="15"/>
      <c r="AJ806" s="103"/>
      <c r="AK806" s="15"/>
      <c r="AL806" s="15"/>
      <c r="AM806" s="15"/>
      <c r="AN806" s="15"/>
      <c r="AO806" s="15"/>
      <c r="AP806" s="15"/>
      <c r="AQ806" s="15"/>
    </row>
    <row r="807">
      <c r="A807" s="15"/>
      <c r="B807" s="15"/>
      <c r="C807" s="15"/>
      <c r="D807" s="15"/>
      <c r="E807" s="15"/>
      <c r="F807" s="15"/>
      <c r="G807" s="15"/>
      <c r="H807" s="103"/>
      <c r="I807" s="15"/>
      <c r="J807" s="15"/>
      <c r="K807" s="15"/>
      <c r="L807" s="15"/>
      <c r="M807" s="15"/>
      <c r="N807" s="15"/>
      <c r="O807" s="103"/>
      <c r="P807" s="15"/>
      <c r="Q807" s="15"/>
      <c r="R807" s="15"/>
      <c r="S807" s="15"/>
      <c r="T807" s="15"/>
      <c r="U807" s="15"/>
      <c r="V807" s="103"/>
      <c r="W807" s="15"/>
      <c r="X807" s="15"/>
      <c r="Y807" s="15"/>
      <c r="Z807" s="15"/>
      <c r="AA807" s="15"/>
      <c r="AB807" s="15"/>
      <c r="AC807" s="103"/>
      <c r="AD807" s="15"/>
      <c r="AE807" s="15"/>
      <c r="AF807" s="15"/>
      <c r="AG807" s="15"/>
      <c r="AH807" s="15"/>
      <c r="AI807" s="15"/>
      <c r="AJ807" s="103"/>
      <c r="AK807" s="15"/>
      <c r="AL807" s="15"/>
      <c r="AM807" s="15"/>
      <c r="AN807" s="15"/>
      <c r="AO807" s="15"/>
      <c r="AP807" s="15"/>
      <c r="AQ807" s="15"/>
    </row>
    <row r="808">
      <c r="A808" s="15"/>
      <c r="B808" s="15"/>
      <c r="C808" s="15"/>
      <c r="D808" s="15"/>
      <c r="E808" s="15"/>
      <c r="F808" s="15"/>
      <c r="G808" s="15"/>
      <c r="H808" s="103"/>
      <c r="I808" s="15"/>
      <c r="J808" s="15"/>
      <c r="K808" s="15"/>
      <c r="L808" s="15"/>
      <c r="M808" s="15"/>
      <c r="N808" s="15"/>
      <c r="O808" s="103"/>
      <c r="P808" s="15"/>
      <c r="Q808" s="15"/>
      <c r="R808" s="15"/>
      <c r="S808" s="15"/>
      <c r="T808" s="15"/>
      <c r="U808" s="15"/>
      <c r="V808" s="103"/>
      <c r="W808" s="15"/>
      <c r="X808" s="15"/>
      <c r="Y808" s="15"/>
      <c r="Z808" s="15"/>
      <c r="AA808" s="15"/>
      <c r="AB808" s="15"/>
      <c r="AC808" s="103"/>
      <c r="AD808" s="15"/>
      <c r="AE808" s="15"/>
      <c r="AF808" s="15"/>
      <c r="AG808" s="15"/>
      <c r="AH808" s="15"/>
      <c r="AI808" s="15"/>
      <c r="AJ808" s="103"/>
      <c r="AK808" s="15"/>
      <c r="AL808" s="15"/>
      <c r="AM808" s="15"/>
      <c r="AN808" s="15"/>
      <c r="AO808" s="15"/>
      <c r="AP808" s="15"/>
      <c r="AQ808" s="15"/>
    </row>
    <row r="809">
      <c r="A809" s="15"/>
      <c r="B809" s="15"/>
      <c r="C809" s="15"/>
      <c r="D809" s="15"/>
      <c r="E809" s="15"/>
      <c r="F809" s="15"/>
      <c r="G809" s="15"/>
      <c r="H809" s="103"/>
      <c r="I809" s="15"/>
      <c r="J809" s="15"/>
      <c r="K809" s="15"/>
      <c r="L809" s="15"/>
      <c r="M809" s="15"/>
      <c r="N809" s="15"/>
      <c r="O809" s="103"/>
      <c r="P809" s="15"/>
      <c r="Q809" s="15"/>
      <c r="R809" s="15"/>
      <c r="S809" s="15"/>
      <c r="T809" s="15"/>
      <c r="U809" s="15"/>
      <c r="V809" s="103"/>
      <c r="W809" s="15"/>
      <c r="X809" s="15"/>
      <c r="Y809" s="15"/>
      <c r="Z809" s="15"/>
      <c r="AA809" s="15"/>
      <c r="AB809" s="15"/>
      <c r="AC809" s="103"/>
      <c r="AD809" s="15"/>
      <c r="AE809" s="15"/>
      <c r="AF809" s="15"/>
      <c r="AG809" s="15"/>
      <c r="AH809" s="15"/>
      <c r="AI809" s="15"/>
      <c r="AJ809" s="103"/>
      <c r="AK809" s="15"/>
      <c r="AL809" s="15"/>
      <c r="AM809" s="15"/>
      <c r="AN809" s="15"/>
      <c r="AO809" s="15"/>
      <c r="AP809" s="15"/>
      <c r="AQ809" s="15"/>
    </row>
    <row r="810">
      <c r="A810" s="15"/>
      <c r="B810" s="15"/>
      <c r="C810" s="15"/>
      <c r="D810" s="15"/>
      <c r="E810" s="15"/>
      <c r="F810" s="15"/>
      <c r="G810" s="15"/>
      <c r="H810" s="103"/>
      <c r="I810" s="15"/>
      <c r="J810" s="15"/>
      <c r="K810" s="15"/>
      <c r="L810" s="15"/>
      <c r="M810" s="15"/>
      <c r="N810" s="15"/>
      <c r="O810" s="103"/>
      <c r="P810" s="15"/>
      <c r="Q810" s="15"/>
      <c r="R810" s="15"/>
      <c r="S810" s="15"/>
      <c r="T810" s="15"/>
      <c r="U810" s="15"/>
      <c r="V810" s="103"/>
      <c r="W810" s="15"/>
      <c r="X810" s="15"/>
      <c r="Y810" s="15"/>
      <c r="Z810" s="15"/>
      <c r="AA810" s="15"/>
      <c r="AB810" s="15"/>
      <c r="AC810" s="103"/>
      <c r="AD810" s="15"/>
      <c r="AE810" s="15"/>
      <c r="AF810" s="15"/>
      <c r="AG810" s="15"/>
      <c r="AH810" s="15"/>
      <c r="AI810" s="15"/>
      <c r="AJ810" s="103"/>
      <c r="AK810" s="15"/>
      <c r="AL810" s="15"/>
      <c r="AM810" s="15"/>
      <c r="AN810" s="15"/>
      <c r="AO810" s="15"/>
      <c r="AP810" s="15"/>
      <c r="AQ810" s="15"/>
    </row>
    <row r="811">
      <c r="A811" s="15"/>
      <c r="B811" s="15"/>
      <c r="C811" s="15"/>
      <c r="D811" s="15"/>
      <c r="E811" s="15"/>
      <c r="F811" s="15"/>
      <c r="G811" s="15"/>
      <c r="H811" s="103"/>
      <c r="I811" s="15"/>
      <c r="J811" s="15"/>
      <c r="K811" s="15"/>
      <c r="L811" s="15"/>
      <c r="M811" s="15"/>
      <c r="N811" s="15"/>
      <c r="O811" s="103"/>
      <c r="P811" s="15"/>
      <c r="Q811" s="15"/>
      <c r="R811" s="15"/>
      <c r="S811" s="15"/>
      <c r="T811" s="15"/>
      <c r="U811" s="15"/>
      <c r="V811" s="103"/>
      <c r="W811" s="15"/>
      <c r="X811" s="15"/>
      <c r="Y811" s="15"/>
      <c r="Z811" s="15"/>
      <c r="AA811" s="15"/>
      <c r="AB811" s="15"/>
      <c r="AC811" s="103"/>
      <c r="AD811" s="15"/>
      <c r="AE811" s="15"/>
      <c r="AF811" s="15"/>
      <c r="AG811" s="15"/>
      <c r="AH811" s="15"/>
      <c r="AI811" s="15"/>
      <c r="AJ811" s="103"/>
      <c r="AK811" s="15"/>
      <c r="AL811" s="15"/>
      <c r="AM811" s="15"/>
      <c r="AN811" s="15"/>
      <c r="AO811" s="15"/>
      <c r="AP811" s="15"/>
      <c r="AQ811" s="15"/>
    </row>
    <row r="812">
      <c r="A812" s="15"/>
      <c r="B812" s="15"/>
      <c r="C812" s="15"/>
      <c r="D812" s="15"/>
      <c r="E812" s="15"/>
      <c r="F812" s="15"/>
      <c r="G812" s="15"/>
      <c r="H812" s="103"/>
      <c r="I812" s="15"/>
      <c r="J812" s="15"/>
      <c r="K812" s="15"/>
      <c r="L812" s="15"/>
      <c r="M812" s="15"/>
      <c r="N812" s="15"/>
      <c r="O812" s="103"/>
      <c r="P812" s="15"/>
      <c r="Q812" s="15"/>
      <c r="R812" s="15"/>
      <c r="S812" s="15"/>
      <c r="T812" s="15"/>
      <c r="U812" s="15"/>
      <c r="V812" s="103"/>
      <c r="W812" s="15"/>
      <c r="X812" s="15"/>
      <c r="Y812" s="15"/>
      <c r="Z812" s="15"/>
      <c r="AA812" s="15"/>
      <c r="AB812" s="15"/>
      <c r="AC812" s="103"/>
      <c r="AD812" s="15"/>
      <c r="AE812" s="15"/>
      <c r="AF812" s="15"/>
      <c r="AG812" s="15"/>
      <c r="AH812" s="15"/>
      <c r="AI812" s="15"/>
      <c r="AJ812" s="103"/>
      <c r="AK812" s="15"/>
      <c r="AL812" s="15"/>
      <c r="AM812" s="15"/>
      <c r="AN812" s="15"/>
      <c r="AO812" s="15"/>
      <c r="AP812" s="15"/>
      <c r="AQ812" s="15"/>
    </row>
    <row r="813">
      <c r="A813" s="15"/>
      <c r="B813" s="15"/>
      <c r="C813" s="15"/>
      <c r="D813" s="15"/>
      <c r="E813" s="15"/>
      <c r="F813" s="15"/>
      <c r="G813" s="15"/>
      <c r="H813" s="103"/>
      <c r="I813" s="15"/>
      <c r="J813" s="15"/>
      <c r="K813" s="15"/>
      <c r="L813" s="15"/>
      <c r="M813" s="15"/>
      <c r="N813" s="15"/>
      <c r="O813" s="103"/>
      <c r="P813" s="15"/>
      <c r="Q813" s="15"/>
      <c r="R813" s="15"/>
      <c r="S813" s="15"/>
      <c r="T813" s="15"/>
      <c r="U813" s="15"/>
      <c r="V813" s="103"/>
      <c r="W813" s="15"/>
      <c r="X813" s="15"/>
      <c r="Y813" s="15"/>
      <c r="Z813" s="15"/>
      <c r="AA813" s="15"/>
      <c r="AB813" s="15"/>
      <c r="AC813" s="103"/>
      <c r="AD813" s="15"/>
      <c r="AE813" s="15"/>
      <c r="AF813" s="15"/>
      <c r="AG813" s="15"/>
      <c r="AH813" s="15"/>
      <c r="AI813" s="15"/>
      <c r="AJ813" s="103"/>
      <c r="AK813" s="15"/>
      <c r="AL813" s="15"/>
      <c r="AM813" s="15"/>
      <c r="AN813" s="15"/>
      <c r="AO813" s="15"/>
      <c r="AP813" s="15"/>
      <c r="AQ813" s="15"/>
    </row>
    <row r="814">
      <c r="A814" s="15"/>
      <c r="B814" s="15"/>
      <c r="C814" s="15"/>
      <c r="D814" s="15"/>
      <c r="E814" s="15"/>
      <c r="F814" s="15"/>
      <c r="G814" s="15"/>
      <c r="H814" s="103"/>
      <c r="I814" s="15"/>
      <c r="J814" s="15"/>
      <c r="K814" s="15"/>
      <c r="L814" s="15"/>
      <c r="M814" s="15"/>
      <c r="N814" s="15"/>
      <c r="O814" s="103"/>
      <c r="P814" s="15"/>
      <c r="Q814" s="15"/>
      <c r="R814" s="15"/>
      <c r="S814" s="15"/>
      <c r="T814" s="15"/>
      <c r="U814" s="15"/>
      <c r="V814" s="103"/>
      <c r="W814" s="15"/>
      <c r="X814" s="15"/>
      <c r="Y814" s="15"/>
      <c r="Z814" s="15"/>
      <c r="AA814" s="15"/>
      <c r="AB814" s="15"/>
      <c r="AC814" s="103"/>
      <c r="AD814" s="15"/>
      <c r="AE814" s="15"/>
      <c r="AF814" s="15"/>
      <c r="AG814" s="15"/>
      <c r="AH814" s="15"/>
      <c r="AI814" s="15"/>
      <c r="AJ814" s="103"/>
      <c r="AK814" s="15"/>
      <c r="AL814" s="15"/>
      <c r="AM814" s="15"/>
      <c r="AN814" s="15"/>
      <c r="AO814" s="15"/>
      <c r="AP814" s="15"/>
      <c r="AQ814" s="15"/>
    </row>
    <row r="815">
      <c r="A815" s="15"/>
      <c r="B815" s="15"/>
      <c r="C815" s="15"/>
      <c r="D815" s="15"/>
      <c r="E815" s="15"/>
      <c r="F815" s="15"/>
      <c r="G815" s="15"/>
      <c r="H815" s="103"/>
      <c r="I815" s="15"/>
      <c r="J815" s="15"/>
      <c r="K815" s="15"/>
      <c r="L815" s="15"/>
      <c r="M815" s="15"/>
      <c r="N815" s="15"/>
      <c r="O815" s="103"/>
      <c r="P815" s="15"/>
      <c r="Q815" s="15"/>
      <c r="R815" s="15"/>
      <c r="S815" s="15"/>
      <c r="T815" s="15"/>
      <c r="U815" s="15"/>
      <c r="V815" s="103"/>
      <c r="W815" s="15"/>
      <c r="X815" s="15"/>
      <c r="Y815" s="15"/>
      <c r="Z815" s="15"/>
      <c r="AA815" s="15"/>
      <c r="AB815" s="15"/>
      <c r="AC815" s="103"/>
      <c r="AD815" s="15"/>
      <c r="AE815" s="15"/>
      <c r="AF815" s="15"/>
      <c r="AG815" s="15"/>
      <c r="AH815" s="15"/>
      <c r="AI815" s="15"/>
      <c r="AJ815" s="103"/>
      <c r="AK815" s="15"/>
      <c r="AL815" s="15"/>
      <c r="AM815" s="15"/>
      <c r="AN815" s="15"/>
      <c r="AO815" s="15"/>
      <c r="AP815" s="15"/>
      <c r="AQ815" s="15"/>
    </row>
    <row r="816">
      <c r="A816" s="15"/>
      <c r="B816" s="15"/>
      <c r="C816" s="15"/>
      <c r="D816" s="15"/>
      <c r="E816" s="15"/>
      <c r="F816" s="15"/>
      <c r="G816" s="15"/>
      <c r="H816" s="103"/>
      <c r="I816" s="15"/>
      <c r="J816" s="15"/>
      <c r="K816" s="15"/>
      <c r="L816" s="15"/>
      <c r="M816" s="15"/>
      <c r="N816" s="15"/>
      <c r="O816" s="103"/>
      <c r="P816" s="15"/>
      <c r="Q816" s="15"/>
      <c r="R816" s="15"/>
      <c r="S816" s="15"/>
      <c r="T816" s="15"/>
      <c r="U816" s="15"/>
      <c r="V816" s="103"/>
      <c r="W816" s="15"/>
      <c r="X816" s="15"/>
      <c r="Y816" s="15"/>
      <c r="Z816" s="15"/>
      <c r="AA816" s="15"/>
      <c r="AB816" s="15"/>
      <c r="AC816" s="103"/>
      <c r="AD816" s="15"/>
      <c r="AE816" s="15"/>
      <c r="AF816" s="15"/>
      <c r="AG816" s="15"/>
      <c r="AH816" s="15"/>
      <c r="AI816" s="15"/>
      <c r="AJ816" s="103"/>
      <c r="AK816" s="15"/>
      <c r="AL816" s="15"/>
      <c r="AM816" s="15"/>
      <c r="AN816" s="15"/>
      <c r="AO816" s="15"/>
      <c r="AP816" s="15"/>
      <c r="AQ816" s="15"/>
    </row>
    <row r="817">
      <c r="A817" s="15"/>
      <c r="B817" s="15"/>
      <c r="C817" s="15"/>
      <c r="D817" s="15"/>
      <c r="E817" s="15"/>
      <c r="F817" s="15"/>
      <c r="G817" s="15"/>
      <c r="H817" s="103"/>
      <c r="I817" s="15"/>
      <c r="J817" s="15"/>
      <c r="K817" s="15"/>
      <c r="L817" s="15"/>
      <c r="M817" s="15"/>
      <c r="N817" s="15"/>
      <c r="O817" s="103"/>
      <c r="P817" s="15"/>
      <c r="Q817" s="15"/>
      <c r="R817" s="15"/>
      <c r="S817" s="15"/>
      <c r="T817" s="15"/>
      <c r="U817" s="15"/>
      <c r="V817" s="103"/>
      <c r="W817" s="15"/>
      <c r="X817" s="15"/>
      <c r="Y817" s="15"/>
      <c r="Z817" s="15"/>
      <c r="AA817" s="15"/>
      <c r="AB817" s="15"/>
      <c r="AC817" s="103"/>
      <c r="AD817" s="15"/>
      <c r="AE817" s="15"/>
      <c r="AF817" s="15"/>
      <c r="AG817" s="15"/>
      <c r="AH817" s="15"/>
      <c r="AI817" s="15"/>
      <c r="AJ817" s="103"/>
      <c r="AK817" s="15"/>
      <c r="AL817" s="15"/>
      <c r="AM817" s="15"/>
      <c r="AN817" s="15"/>
      <c r="AO817" s="15"/>
      <c r="AP817" s="15"/>
      <c r="AQ817" s="15"/>
    </row>
    <row r="818">
      <c r="A818" s="15"/>
      <c r="B818" s="15"/>
      <c r="C818" s="15"/>
      <c r="D818" s="15"/>
      <c r="E818" s="15"/>
      <c r="F818" s="15"/>
      <c r="G818" s="15"/>
      <c r="H818" s="103"/>
      <c r="I818" s="15"/>
      <c r="J818" s="15"/>
      <c r="K818" s="15"/>
      <c r="L818" s="15"/>
      <c r="M818" s="15"/>
      <c r="N818" s="15"/>
      <c r="O818" s="103"/>
      <c r="P818" s="15"/>
      <c r="Q818" s="15"/>
      <c r="R818" s="15"/>
      <c r="S818" s="15"/>
      <c r="T818" s="15"/>
      <c r="U818" s="15"/>
      <c r="V818" s="103"/>
      <c r="W818" s="15"/>
      <c r="X818" s="15"/>
      <c r="Y818" s="15"/>
      <c r="Z818" s="15"/>
      <c r="AA818" s="15"/>
      <c r="AB818" s="15"/>
      <c r="AC818" s="103"/>
      <c r="AD818" s="15"/>
      <c r="AE818" s="15"/>
      <c r="AF818" s="15"/>
      <c r="AG818" s="15"/>
      <c r="AH818" s="15"/>
      <c r="AI818" s="15"/>
      <c r="AJ818" s="103"/>
      <c r="AK818" s="15"/>
      <c r="AL818" s="15"/>
      <c r="AM818" s="15"/>
      <c r="AN818" s="15"/>
      <c r="AO818" s="15"/>
      <c r="AP818" s="15"/>
      <c r="AQ818" s="15"/>
    </row>
    <row r="819">
      <c r="A819" s="15"/>
      <c r="B819" s="15"/>
      <c r="C819" s="15"/>
      <c r="D819" s="15"/>
      <c r="E819" s="15"/>
      <c r="F819" s="15"/>
      <c r="G819" s="15"/>
      <c r="H819" s="103"/>
      <c r="I819" s="15"/>
      <c r="J819" s="15"/>
      <c r="K819" s="15"/>
      <c r="L819" s="15"/>
      <c r="M819" s="15"/>
      <c r="N819" s="15"/>
      <c r="O819" s="103"/>
      <c r="P819" s="15"/>
      <c r="Q819" s="15"/>
      <c r="R819" s="15"/>
      <c r="S819" s="15"/>
      <c r="T819" s="15"/>
      <c r="U819" s="15"/>
      <c r="V819" s="103"/>
      <c r="W819" s="15"/>
      <c r="X819" s="15"/>
      <c r="Y819" s="15"/>
      <c r="Z819" s="15"/>
      <c r="AA819" s="15"/>
      <c r="AB819" s="15"/>
      <c r="AC819" s="103"/>
      <c r="AD819" s="15"/>
      <c r="AE819" s="15"/>
      <c r="AF819" s="15"/>
      <c r="AG819" s="15"/>
      <c r="AH819" s="15"/>
      <c r="AI819" s="15"/>
      <c r="AJ819" s="103"/>
      <c r="AK819" s="15"/>
      <c r="AL819" s="15"/>
      <c r="AM819" s="15"/>
      <c r="AN819" s="15"/>
      <c r="AO819" s="15"/>
      <c r="AP819" s="15"/>
      <c r="AQ819" s="15"/>
    </row>
    <row r="820">
      <c r="A820" s="15"/>
      <c r="B820" s="15"/>
      <c r="C820" s="15"/>
      <c r="D820" s="15"/>
      <c r="E820" s="15"/>
      <c r="F820" s="15"/>
      <c r="G820" s="15"/>
      <c r="H820" s="103"/>
      <c r="I820" s="15"/>
      <c r="J820" s="15"/>
      <c r="K820" s="15"/>
      <c r="L820" s="15"/>
      <c r="M820" s="15"/>
      <c r="N820" s="15"/>
      <c r="O820" s="103"/>
      <c r="P820" s="15"/>
      <c r="Q820" s="15"/>
      <c r="R820" s="15"/>
      <c r="S820" s="15"/>
      <c r="T820" s="15"/>
      <c r="U820" s="15"/>
      <c r="V820" s="103"/>
      <c r="W820" s="15"/>
      <c r="X820" s="15"/>
      <c r="Y820" s="15"/>
      <c r="Z820" s="15"/>
      <c r="AA820" s="15"/>
      <c r="AB820" s="15"/>
      <c r="AC820" s="103"/>
      <c r="AD820" s="15"/>
      <c r="AE820" s="15"/>
      <c r="AF820" s="15"/>
      <c r="AG820" s="15"/>
      <c r="AH820" s="15"/>
      <c r="AI820" s="15"/>
      <c r="AJ820" s="103"/>
      <c r="AK820" s="15"/>
      <c r="AL820" s="15"/>
      <c r="AM820" s="15"/>
      <c r="AN820" s="15"/>
      <c r="AO820" s="15"/>
      <c r="AP820" s="15"/>
      <c r="AQ820" s="15"/>
    </row>
    <row r="821">
      <c r="A821" s="15"/>
      <c r="B821" s="15"/>
      <c r="C821" s="15"/>
      <c r="D821" s="15"/>
      <c r="E821" s="15"/>
      <c r="F821" s="15"/>
      <c r="G821" s="15"/>
      <c r="H821" s="103"/>
      <c r="I821" s="15"/>
      <c r="J821" s="15"/>
      <c r="K821" s="15"/>
      <c r="L821" s="15"/>
      <c r="M821" s="15"/>
      <c r="N821" s="15"/>
      <c r="O821" s="103"/>
      <c r="P821" s="15"/>
      <c r="Q821" s="15"/>
      <c r="R821" s="15"/>
      <c r="S821" s="15"/>
      <c r="T821" s="15"/>
      <c r="U821" s="15"/>
      <c r="V821" s="103"/>
      <c r="W821" s="15"/>
      <c r="X821" s="15"/>
      <c r="Y821" s="15"/>
      <c r="Z821" s="15"/>
      <c r="AA821" s="15"/>
      <c r="AB821" s="15"/>
      <c r="AC821" s="103"/>
      <c r="AD821" s="15"/>
      <c r="AE821" s="15"/>
      <c r="AF821" s="15"/>
      <c r="AG821" s="15"/>
      <c r="AH821" s="15"/>
      <c r="AI821" s="15"/>
      <c r="AJ821" s="103"/>
      <c r="AK821" s="15"/>
      <c r="AL821" s="15"/>
      <c r="AM821" s="15"/>
      <c r="AN821" s="15"/>
      <c r="AO821" s="15"/>
      <c r="AP821" s="15"/>
      <c r="AQ821" s="15"/>
    </row>
    <row r="822">
      <c r="A822" s="15"/>
      <c r="B822" s="15"/>
      <c r="C822" s="15"/>
      <c r="D822" s="15"/>
      <c r="E822" s="15"/>
      <c r="F822" s="15"/>
      <c r="G822" s="15"/>
      <c r="H822" s="103"/>
      <c r="I822" s="15"/>
      <c r="J822" s="15"/>
      <c r="K822" s="15"/>
      <c r="L822" s="15"/>
      <c r="M822" s="15"/>
      <c r="N822" s="15"/>
      <c r="O822" s="103"/>
      <c r="P822" s="15"/>
      <c r="Q822" s="15"/>
      <c r="R822" s="15"/>
      <c r="S822" s="15"/>
      <c r="T822" s="15"/>
      <c r="U822" s="15"/>
      <c r="V822" s="103"/>
      <c r="W822" s="15"/>
      <c r="X822" s="15"/>
      <c r="Y822" s="15"/>
      <c r="Z822" s="15"/>
      <c r="AA822" s="15"/>
      <c r="AB822" s="15"/>
      <c r="AC822" s="103"/>
      <c r="AD822" s="15"/>
      <c r="AE822" s="15"/>
      <c r="AF822" s="15"/>
      <c r="AG822" s="15"/>
      <c r="AH822" s="15"/>
      <c r="AI822" s="15"/>
      <c r="AJ822" s="103"/>
      <c r="AK822" s="15"/>
      <c r="AL822" s="15"/>
      <c r="AM822" s="15"/>
      <c r="AN822" s="15"/>
      <c r="AO822" s="15"/>
      <c r="AP822" s="15"/>
      <c r="AQ822" s="15"/>
    </row>
    <row r="823">
      <c r="A823" s="15"/>
      <c r="B823" s="15"/>
      <c r="C823" s="15"/>
      <c r="D823" s="15"/>
      <c r="E823" s="15"/>
      <c r="F823" s="15"/>
      <c r="G823" s="15"/>
      <c r="H823" s="103"/>
      <c r="I823" s="15"/>
      <c r="J823" s="15"/>
      <c r="K823" s="15"/>
      <c r="L823" s="15"/>
      <c r="M823" s="15"/>
      <c r="N823" s="15"/>
      <c r="O823" s="103"/>
      <c r="P823" s="15"/>
      <c r="Q823" s="15"/>
      <c r="R823" s="15"/>
      <c r="S823" s="15"/>
      <c r="T823" s="15"/>
      <c r="U823" s="15"/>
      <c r="V823" s="103"/>
      <c r="W823" s="15"/>
      <c r="X823" s="15"/>
      <c r="Y823" s="15"/>
      <c r="Z823" s="15"/>
      <c r="AA823" s="15"/>
      <c r="AB823" s="15"/>
      <c r="AC823" s="103"/>
      <c r="AD823" s="15"/>
      <c r="AE823" s="15"/>
      <c r="AF823" s="15"/>
      <c r="AG823" s="15"/>
      <c r="AH823" s="15"/>
      <c r="AI823" s="15"/>
      <c r="AJ823" s="103"/>
      <c r="AK823" s="15"/>
      <c r="AL823" s="15"/>
      <c r="AM823" s="15"/>
      <c r="AN823" s="15"/>
      <c r="AO823" s="15"/>
      <c r="AP823" s="15"/>
      <c r="AQ823" s="15"/>
    </row>
    <row r="824">
      <c r="A824" s="15"/>
      <c r="B824" s="15"/>
      <c r="C824" s="15"/>
      <c r="D824" s="15"/>
      <c r="E824" s="15"/>
      <c r="F824" s="15"/>
      <c r="G824" s="15"/>
      <c r="H824" s="103"/>
      <c r="I824" s="15"/>
      <c r="J824" s="15"/>
      <c r="K824" s="15"/>
      <c r="L824" s="15"/>
      <c r="M824" s="15"/>
      <c r="N824" s="15"/>
      <c r="O824" s="103"/>
      <c r="P824" s="15"/>
      <c r="Q824" s="15"/>
      <c r="R824" s="15"/>
      <c r="S824" s="15"/>
      <c r="T824" s="15"/>
      <c r="U824" s="15"/>
      <c r="V824" s="103"/>
      <c r="W824" s="15"/>
      <c r="X824" s="15"/>
      <c r="Y824" s="15"/>
      <c r="Z824" s="15"/>
      <c r="AA824" s="15"/>
      <c r="AB824" s="15"/>
      <c r="AC824" s="103"/>
      <c r="AD824" s="15"/>
      <c r="AE824" s="15"/>
      <c r="AF824" s="15"/>
      <c r="AG824" s="15"/>
      <c r="AH824" s="15"/>
      <c r="AI824" s="15"/>
      <c r="AJ824" s="103"/>
      <c r="AK824" s="15"/>
      <c r="AL824" s="15"/>
      <c r="AM824" s="15"/>
      <c r="AN824" s="15"/>
      <c r="AO824" s="15"/>
      <c r="AP824" s="15"/>
      <c r="AQ824" s="15"/>
    </row>
    <row r="825">
      <c r="A825" s="15"/>
      <c r="B825" s="15"/>
      <c r="C825" s="15"/>
      <c r="D825" s="15"/>
      <c r="E825" s="15"/>
      <c r="F825" s="15"/>
      <c r="G825" s="15"/>
      <c r="H825" s="103"/>
      <c r="I825" s="15"/>
      <c r="J825" s="15"/>
      <c r="K825" s="15"/>
      <c r="L825" s="15"/>
      <c r="M825" s="15"/>
      <c r="N825" s="15"/>
      <c r="O825" s="103"/>
      <c r="P825" s="15"/>
      <c r="Q825" s="15"/>
      <c r="R825" s="15"/>
      <c r="S825" s="15"/>
      <c r="T825" s="15"/>
      <c r="U825" s="15"/>
      <c r="V825" s="103"/>
      <c r="W825" s="15"/>
      <c r="X825" s="15"/>
      <c r="Y825" s="15"/>
      <c r="Z825" s="15"/>
      <c r="AA825" s="15"/>
      <c r="AB825" s="15"/>
      <c r="AC825" s="103"/>
      <c r="AD825" s="15"/>
      <c r="AE825" s="15"/>
      <c r="AF825" s="15"/>
      <c r="AG825" s="15"/>
      <c r="AH825" s="15"/>
      <c r="AI825" s="15"/>
      <c r="AJ825" s="103"/>
      <c r="AK825" s="15"/>
      <c r="AL825" s="15"/>
      <c r="AM825" s="15"/>
      <c r="AN825" s="15"/>
      <c r="AO825" s="15"/>
      <c r="AP825" s="15"/>
      <c r="AQ825" s="15"/>
    </row>
    <row r="826">
      <c r="A826" s="15"/>
      <c r="B826" s="15"/>
      <c r="C826" s="15"/>
      <c r="D826" s="15"/>
      <c r="E826" s="15"/>
      <c r="F826" s="15"/>
      <c r="G826" s="15"/>
      <c r="H826" s="103"/>
      <c r="I826" s="15"/>
      <c r="J826" s="15"/>
      <c r="K826" s="15"/>
      <c r="L826" s="15"/>
      <c r="M826" s="15"/>
      <c r="N826" s="15"/>
      <c r="O826" s="103"/>
      <c r="P826" s="15"/>
      <c r="Q826" s="15"/>
      <c r="R826" s="15"/>
      <c r="S826" s="15"/>
      <c r="T826" s="15"/>
      <c r="U826" s="15"/>
      <c r="V826" s="103"/>
      <c r="W826" s="15"/>
      <c r="X826" s="15"/>
      <c r="Y826" s="15"/>
      <c r="Z826" s="15"/>
      <c r="AA826" s="15"/>
      <c r="AB826" s="15"/>
      <c r="AC826" s="103"/>
      <c r="AD826" s="15"/>
      <c r="AE826" s="15"/>
      <c r="AF826" s="15"/>
      <c r="AG826" s="15"/>
      <c r="AH826" s="15"/>
      <c r="AI826" s="15"/>
      <c r="AJ826" s="103"/>
      <c r="AK826" s="15"/>
      <c r="AL826" s="15"/>
      <c r="AM826" s="15"/>
      <c r="AN826" s="15"/>
      <c r="AO826" s="15"/>
      <c r="AP826" s="15"/>
      <c r="AQ826" s="15"/>
    </row>
    <row r="827">
      <c r="A827" s="15"/>
      <c r="B827" s="15"/>
      <c r="C827" s="15"/>
      <c r="D827" s="15"/>
      <c r="E827" s="15"/>
      <c r="F827" s="15"/>
      <c r="G827" s="15"/>
      <c r="H827" s="103"/>
      <c r="I827" s="15"/>
      <c r="J827" s="15"/>
      <c r="K827" s="15"/>
      <c r="L827" s="15"/>
      <c r="M827" s="15"/>
      <c r="N827" s="15"/>
      <c r="O827" s="103"/>
      <c r="P827" s="15"/>
      <c r="Q827" s="15"/>
      <c r="R827" s="15"/>
      <c r="S827" s="15"/>
      <c r="T827" s="15"/>
      <c r="U827" s="15"/>
      <c r="V827" s="103"/>
      <c r="W827" s="15"/>
      <c r="X827" s="15"/>
      <c r="Y827" s="15"/>
      <c r="Z827" s="15"/>
      <c r="AA827" s="15"/>
      <c r="AB827" s="15"/>
      <c r="AC827" s="103"/>
      <c r="AD827" s="15"/>
      <c r="AE827" s="15"/>
      <c r="AF827" s="15"/>
      <c r="AG827" s="15"/>
      <c r="AH827" s="15"/>
      <c r="AI827" s="15"/>
      <c r="AJ827" s="103"/>
      <c r="AK827" s="15"/>
      <c r="AL827" s="15"/>
      <c r="AM827" s="15"/>
      <c r="AN827" s="15"/>
      <c r="AO827" s="15"/>
      <c r="AP827" s="15"/>
      <c r="AQ827" s="15"/>
    </row>
    <row r="828">
      <c r="A828" s="15"/>
      <c r="B828" s="15"/>
      <c r="C828" s="15"/>
      <c r="D828" s="15"/>
      <c r="E828" s="15"/>
      <c r="F828" s="15"/>
      <c r="G828" s="15"/>
      <c r="H828" s="103"/>
      <c r="I828" s="15"/>
      <c r="J828" s="15"/>
      <c r="K828" s="15"/>
      <c r="L828" s="15"/>
      <c r="M828" s="15"/>
      <c r="N828" s="15"/>
      <c r="O828" s="103"/>
      <c r="P828" s="15"/>
      <c r="Q828" s="15"/>
      <c r="R828" s="15"/>
      <c r="S828" s="15"/>
      <c r="T828" s="15"/>
      <c r="U828" s="15"/>
      <c r="V828" s="103"/>
      <c r="W828" s="15"/>
      <c r="X828" s="15"/>
      <c r="Y828" s="15"/>
      <c r="Z828" s="15"/>
      <c r="AA828" s="15"/>
      <c r="AB828" s="15"/>
      <c r="AC828" s="103"/>
      <c r="AD828" s="15"/>
      <c r="AE828" s="15"/>
      <c r="AF828" s="15"/>
      <c r="AG828" s="15"/>
      <c r="AH828" s="15"/>
      <c r="AI828" s="15"/>
      <c r="AJ828" s="103"/>
      <c r="AK828" s="15"/>
      <c r="AL828" s="15"/>
      <c r="AM828" s="15"/>
      <c r="AN828" s="15"/>
      <c r="AO828" s="15"/>
      <c r="AP828" s="15"/>
      <c r="AQ828" s="15"/>
    </row>
    <row r="829">
      <c r="A829" s="15"/>
      <c r="B829" s="15"/>
      <c r="C829" s="15"/>
      <c r="D829" s="15"/>
      <c r="E829" s="15"/>
      <c r="F829" s="15"/>
      <c r="G829" s="15"/>
      <c r="H829" s="103"/>
      <c r="I829" s="15"/>
      <c r="J829" s="15"/>
      <c r="K829" s="15"/>
      <c r="L829" s="15"/>
      <c r="M829" s="15"/>
      <c r="N829" s="15"/>
      <c r="O829" s="103"/>
      <c r="P829" s="15"/>
      <c r="Q829" s="15"/>
      <c r="R829" s="15"/>
      <c r="S829" s="15"/>
      <c r="T829" s="15"/>
      <c r="U829" s="15"/>
      <c r="V829" s="103"/>
      <c r="W829" s="15"/>
      <c r="X829" s="15"/>
      <c r="Y829" s="15"/>
      <c r="Z829" s="15"/>
      <c r="AA829" s="15"/>
      <c r="AB829" s="15"/>
      <c r="AC829" s="103"/>
      <c r="AD829" s="15"/>
      <c r="AE829" s="15"/>
      <c r="AF829" s="15"/>
      <c r="AG829" s="15"/>
      <c r="AH829" s="15"/>
      <c r="AI829" s="15"/>
      <c r="AJ829" s="103"/>
      <c r="AK829" s="15"/>
      <c r="AL829" s="15"/>
      <c r="AM829" s="15"/>
      <c r="AN829" s="15"/>
      <c r="AO829" s="15"/>
      <c r="AP829" s="15"/>
      <c r="AQ829" s="15"/>
    </row>
    <row r="830">
      <c r="A830" s="15"/>
      <c r="B830" s="15"/>
      <c r="C830" s="15"/>
      <c r="D830" s="15"/>
      <c r="E830" s="15"/>
      <c r="F830" s="15"/>
      <c r="G830" s="15"/>
      <c r="H830" s="103"/>
      <c r="I830" s="15"/>
      <c r="J830" s="15"/>
      <c r="K830" s="15"/>
      <c r="L830" s="15"/>
      <c r="M830" s="15"/>
      <c r="N830" s="15"/>
      <c r="O830" s="103"/>
      <c r="P830" s="15"/>
      <c r="Q830" s="15"/>
      <c r="R830" s="15"/>
      <c r="S830" s="15"/>
      <c r="T830" s="15"/>
      <c r="U830" s="15"/>
      <c r="V830" s="103"/>
      <c r="W830" s="15"/>
      <c r="X830" s="15"/>
      <c r="Y830" s="15"/>
      <c r="Z830" s="15"/>
      <c r="AA830" s="15"/>
      <c r="AB830" s="15"/>
      <c r="AC830" s="103"/>
      <c r="AD830" s="15"/>
      <c r="AE830" s="15"/>
      <c r="AF830" s="15"/>
      <c r="AG830" s="15"/>
      <c r="AH830" s="15"/>
      <c r="AI830" s="15"/>
      <c r="AJ830" s="103"/>
      <c r="AK830" s="15"/>
      <c r="AL830" s="15"/>
      <c r="AM830" s="15"/>
      <c r="AN830" s="15"/>
      <c r="AO830" s="15"/>
      <c r="AP830" s="15"/>
      <c r="AQ830" s="15"/>
    </row>
    <row r="831">
      <c r="A831" s="15"/>
      <c r="B831" s="15"/>
      <c r="C831" s="15"/>
      <c r="D831" s="15"/>
      <c r="E831" s="15"/>
      <c r="F831" s="15"/>
      <c r="G831" s="15"/>
      <c r="H831" s="103"/>
      <c r="I831" s="15"/>
      <c r="J831" s="15"/>
      <c r="K831" s="15"/>
      <c r="L831" s="15"/>
      <c r="M831" s="15"/>
      <c r="N831" s="15"/>
      <c r="O831" s="103"/>
      <c r="P831" s="15"/>
      <c r="Q831" s="15"/>
      <c r="R831" s="15"/>
      <c r="S831" s="15"/>
      <c r="T831" s="15"/>
      <c r="U831" s="15"/>
      <c r="V831" s="103"/>
      <c r="W831" s="15"/>
      <c r="X831" s="15"/>
      <c r="Y831" s="15"/>
      <c r="Z831" s="15"/>
      <c r="AA831" s="15"/>
      <c r="AB831" s="15"/>
      <c r="AC831" s="103"/>
      <c r="AD831" s="15"/>
      <c r="AE831" s="15"/>
      <c r="AF831" s="15"/>
      <c r="AG831" s="15"/>
      <c r="AH831" s="15"/>
      <c r="AI831" s="15"/>
      <c r="AJ831" s="103"/>
      <c r="AK831" s="15"/>
      <c r="AL831" s="15"/>
      <c r="AM831" s="15"/>
      <c r="AN831" s="15"/>
      <c r="AO831" s="15"/>
      <c r="AP831" s="15"/>
      <c r="AQ831" s="15"/>
    </row>
    <row r="832">
      <c r="A832" s="15"/>
      <c r="B832" s="15"/>
      <c r="C832" s="15"/>
      <c r="D832" s="15"/>
      <c r="E832" s="15"/>
      <c r="F832" s="15"/>
      <c r="G832" s="15"/>
      <c r="H832" s="103"/>
      <c r="I832" s="15"/>
      <c r="J832" s="15"/>
      <c r="K832" s="15"/>
      <c r="L832" s="15"/>
      <c r="M832" s="15"/>
      <c r="N832" s="15"/>
      <c r="O832" s="103"/>
      <c r="P832" s="15"/>
      <c r="Q832" s="15"/>
      <c r="R832" s="15"/>
      <c r="S832" s="15"/>
      <c r="T832" s="15"/>
      <c r="U832" s="15"/>
      <c r="V832" s="103"/>
      <c r="W832" s="15"/>
      <c r="X832" s="15"/>
      <c r="Y832" s="15"/>
      <c r="Z832" s="15"/>
      <c r="AA832" s="15"/>
      <c r="AB832" s="15"/>
      <c r="AC832" s="103"/>
      <c r="AD832" s="15"/>
      <c r="AE832" s="15"/>
      <c r="AF832" s="15"/>
      <c r="AG832" s="15"/>
      <c r="AH832" s="15"/>
      <c r="AI832" s="15"/>
      <c r="AJ832" s="103"/>
      <c r="AK832" s="15"/>
      <c r="AL832" s="15"/>
      <c r="AM832" s="15"/>
      <c r="AN832" s="15"/>
      <c r="AO832" s="15"/>
      <c r="AP832" s="15"/>
      <c r="AQ832" s="15"/>
    </row>
    <row r="833">
      <c r="A833" s="15"/>
      <c r="B833" s="15"/>
      <c r="C833" s="15"/>
      <c r="D833" s="15"/>
      <c r="E833" s="15"/>
      <c r="F833" s="15"/>
      <c r="G833" s="15"/>
      <c r="H833" s="103"/>
      <c r="I833" s="15"/>
      <c r="J833" s="15"/>
      <c r="K833" s="15"/>
      <c r="L833" s="15"/>
      <c r="M833" s="15"/>
      <c r="N833" s="15"/>
      <c r="O833" s="103"/>
      <c r="P833" s="15"/>
      <c r="Q833" s="15"/>
      <c r="R833" s="15"/>
      <c r="S833" s="15"/>
      <c r="T833" s="15"/>
      <c r="U833" s="15"/>
      <c r="V833" s="103"/>
      <c r="W833" s="15"/>
      <c r="X833" s="15"/>
      <c r="Y833" s="15"/>
      <c r="Z833" s="15"/>
      <c r="AA833" s="15"/>
      <c r="AB833" s="15"/>
      <c r="AC833" s="103"/>
      <c r="AD833" s="15"/>
      <c r="AE833" s="15"/>
      <c r="AF833" s="15"/>
      <c r="AG833" s="15"/>
      <c r="AH833" s="15"/>
      <c r="AI833" s="15"/>
      <c r="AJ833" s="103"/>
      <c r="AK833" s="15"/>
      <c r="AL833" s="15"/>
      <c r="AM833" s="15"/>
      <c r="AN833" s="15"/>
      <c r="AO833" s="15"/>
      <c r="AP833" s="15"/>
      <c r="AQ833" s="15"/>
    </row>
    <row r="834">
      <c r="A834" s="15"/>
      <c r="B834" s="15"/>
      <c r="C834" s="15"/>
      <c r="D834" s="15"/>
      <c r="E834" s="15"/>
      <c r="F834" s="15"/>
      <c r="G834" s="15"/>
      <c r="H834" s="103"/>
      <c r="I834" s="15"/>
      <c r="J834" s="15"/>
      <c r="K834" s="15"/>
      <c r="L834" s="15"/>
      <c r="M834" s="15"/>
      <c r="N834" s="15"/>
      <c r="O834" s="103"/>
      <c r="P834" s="15"/>
      <c r="Q834" s="15"/>
      <c r="R834" s="15"/>
      <c r="S834" s="15"/>
      <c r="T834" s="15"/>
      <c r="U834" s="15"/>
      <c r="V834" s="103"/>
      <c r="W834" s="15"/>
      <c r="X834" s="15"/>
      <c r="Y834" s="15"/>
      <c r="Z834" s="15"/>
      <c r="AA834" s="15"/>
      <c r="AB834" s="15"/>
      <c r="AC834" s="103"/>
      <c r="AD834" s="15"/>
      <c r="AE834" s="15"/>
      <c r="AF834" s="15"/>
      <c r="AG834" s="15"/>
      <c r="AH834" s="15"/>
      <c r="AI834" s="15"/>
      <c r="AJ834" s="103"/>
      <c r="AK834" s="15"/>
      <c r="AL834" s="15"/>
      <c r="AM834" s="15"/>
      <c r="AN834" s="15"/>
      <c r="AO834" s="15"/>
      <c r="AP834" s="15"/>
      <c r="AQ834" s="15"/>
    </row>
    <row r="835">
      <c r="A835" s="15"/>
      <c r="B835" s="15"/>
      <c r="C835" s="15"/>
      <c r="D835" s="15"/>
      <c r="E835" s="15"/>
      <c r="F835" s="15"/>
      <c r="G835" s="15"/>
      <c r="H835" s="103"/>
      <c r="I835" s="15"/>
      <c r="J835" s="15"/>
      <c r="K835" s="15"/>
      <c r="L835" s="15"/>
      <c r="M835" s="15"/>
      <c r="N835" s="15"/>
      <c r="O835" s="103"/>
      <c r="P835" s="15"/>
      <c r="Q835" s="15"/>
      <c r="R835" s="15"/>
      <c r="S835" s="15"/>
      <c r="T835" s="15"/>
      <c r="U835" s="15"/>
      <c r="V835" s="103"/>
      <c r="W835" s="15"/>
      <c r="X835" s="15"/>
      <c r="Y835" s="15"/>
      <c r="Z835" s="15"/>
      <c r="AA835" s="15"/>
      <c r="AB835" s="15"/>
      <c r="AC835" s="103"/>
      <c r="AD835" s="15"/>
      <c r="AE835" s="15"/>
      <c r="AF835" s="15"/>
      <c r="AG835" s="15"/>
      <c r="AH835" s="15"/>
      <c r="AI835" s="15"/>
      <c r="AJ835" s="103"/>
      <c r="AK835" s="15"/>
      <c r="AL835" s="15"/>
      <c r="AM835" s="15"/>
      <c r="AN835" s="15"/>
      <c r="AO835" s="15"/>
      <c r="AP835" s="15"/>
      <c r="AQ835" s="15"/>
    </row>
    <row r="836">
      <c r="A836" s="15"/>
      <c r="B836" s="15"/>
      <c r="C836" s="15"/>
      <c r="D836" s="15"/>
      <c r="E836" s="15"/>
      <c r="F836" s="15"/>
      <c r="G836" s="15"/>
      <c r="H836" s="103"/>
      <c r="I836" s="15"/>
      <c r="J836" s="15"/>
      <c r="K836" s="15"/>
      <c r="L836" s="15"/>
      <c r="M836" s="15"/>
      <c r="N836" s="15"/>
      <c r="O836" s="103"/>
      <c r="P836" s="15"/>
      <c r="Q836" s="15"/>
      <c r="R836" s="15"/>
      <c r="S836" s="15"/>
      <c r="T836" s="15"/>
      <c r="U836" s="15"/>
      <c r="V836" s="103"/>
      <c r="W836" s="15"/>
      <c r="X836" s="15"/>
      <c r="Y836" s="15"/>
      <c r="Z836" s="15"/>
      <c r="AA836" s="15"/>
      <c r="AB836" s="15"/>
      <c r="AC836" s="103"/>
      <c r="AD836" s="15"/>
      <c r="AE836" s="15"/>
      <c r="AF836" s="15"/>
      <c r="AG836" s="15"/>
      <c r="AH836" s="15"/>
      <c r="AI836" s="15"/>
      <c r="AJ836" s="103"/>
      <c r="AK836" s="15"/>
      <c r="AL836" s="15"/>
      <c r="AM836" s="15"/>
      <c r="AN836" s="15"/>
      <c r="AO836" s="15"/>
      <c r="AP836" s="15"/>
      <c r="AQ836" s="15"/>
    </row>
    <row r="837">
      <c r="A837" s="15"/>
      <c r="B837" s="15"/>
      <c r="C837" s="15"/>
      <c r="D837" s="15"/>
      <c r="E837" s="15"/>
      <c r="F837" s="15"/>
      <c r="G837" s="15"/>
      <c r="H837" s="103"/>
      <c r="I837" s="15"/>
      <c r="J837" s="15"/>
      <c r="K837" s="15"/>
      <c r="L837" s="15"/>
      <c r="M837" s="15"/>
      <c r="N837" s="15"/>
      <c r="O837" s="103"/>
      <c r="P837" s="15"/>
      <c r="Q837" s="15"/>
      <c r="R837" s="15"/>
      <c r="S837" s="15"/>
      <c r="T837" s="15"/>
      <c r="U837" s="15"/>
      <c r="V837" s="103"/>
      <c r="W837" s="15"/>
      <c r="X837" s="15"/>
      <c r="Y837" s="15"/>
      <c r="Z837" s="15"/>
      <c r="AA837" s="15"/>
      <c r="AB837" s="15"/>
      <c r="AC837" s="103"/>
      <c r="AD837" s="15"/>
      <c r="AE837" s="15"/>
      <c r="AF837" s="15"/>
      <c r="AG837" s="15"/>
      <c r="AH837" s="15"/>
      <c r="AI837" s="15"/>
      <c r="AJ837" s="103"/>
      <c r="AK837" s="15"/>
      <c r="AL837" s="15"/>
      <c r="AM837" s="15"/>
      <c r="AN837" s="15"/>
      <c r="AO837" s="15"/>
      <c r="AP837" s="15"/>
      <c r="AQ837" s="15"/>
    </row>
    <row r="838">
      <c r="A838" s="15"/>
      <c r="B838" s="15"/>
      <c r="C838" s="15"/>
      <c r="D838" s="15"/>
      <c r="E838" s="15"/>
      <c r="F838" s="15"/>
      <c r="G838" s="15"/>
      <c r="H838" s="103"/>
      <c r="I838" s="15"/>
      <c r="J838" s="15"/>
      <c r="K838" s="15"/>
      <c r="L838" s="15"/>
      <c r="M838" s="15"/>
      <c r="N838" s="15"/>
      <c r="O838" s="103"/>
      <c r="P838" s="15"/>
      <c r="Q838" s="15"/>
      <c r="R838" s="15"/>
      <c r="S838" s="15"/>
      <c r="T838" s="15"/>
      <c r="U838" s="15"/>
      <c r="V838" s="103"/>
      <c r="W838" s="15"/>
      <c r="X838" s="15"/>
      <c r="Y838" s="15"/>
      <c r="Z838" s="15"/>
      <c r="AA838" s="15"/>
      <c r="AB838" s="15"/>
      <c r="AC838" s="103"/>
      <c r="AD838" s="15"/>
      <c r="AE838" s="15"/>
      <c r="AF838" s="15"/>
      <c r="AG838" s="15"/>
      <c r="AH838" s="15"/>
      <c r="AI838" s="15"/>
      <c r="AJ838" s="103"/>
      <c r="AK838" s="15"/>
      <c r="AL838" s="15"/>
      <c r="AM838" s="15"/>
      <c r="AN838" s="15"/>
      <c r="AO838" s="15"/>
      <c r="AP838" s="15"/>
      <c r="AQ838" s="15"/>
    </row>
    <row r="839">
      <c r="A839" s="15"/>
      <c r="B839" s="15"/>
      <c r="C839" s="15"/>
      <c r="D839" s="15"/>
      <c r="E839" s="15"/>
      <c r="F839" s="15"/>
      <c r="G839" s="15"/>
      <c r="H839" s="103"/>
      <c r="I839" s="15"/>
      <c r="J839" s="15"/>
      <c r="K839" s="15"/>
      <c r="L839" s="15"/>
      <c r="M839" s="15"/>
      <c r="N839" s="15"/>
      <c r="O839" s="103"/>
      <c r="P839" s="15"/>
      <c r="Q839" s="15"/>
      <c r="R839" s="15"/>
      <c r="S839" s="15"/>
      <c r="T839" s="15"/>
      <c r="U839" s="15"/>
      <c r="V839" s="103"/>
      <c r="W839" s="15"/>
      <c r="X839" s="15"/>
      <c r="Y839" s="15"/>
      <c r="Z839" s="15"/>
      <c r="AA839" s="15"/>
      <c r="AB839" s="15"/>
      <c r="AC839" s="103"/>
      <c r="AD839" s="15"/>
      <c r="AE839" s="15"/>
      <c r="AF839" s="15"/>
      <c r="AG839" s="15"/>
      <c r="AH839" s="15"/>
      <c r="AI839" s="15"/>
      <c r="AJ839" s="103"/>
      <c r="AK839" s="15"/>
      <c r="AL839" s="15"/>
      <c r="AM839" s="15"/>
      <c r="AN839" s="15"/>
      <c r="AO839" s="15"/>
      <c r="AP839" s="15"/>
      <c r="AQ839" s="15"/>
    </row>
    <row r="840">
      <c r="A840" s="15"/>
      <c r="B840" s="15"/>
      <c r="C840" s="15"/>
      <c r="D840" s="15"/>
      <c r="E840" s="15"/>
      <c r="F840" s="15"/>
      <c r="G840" s="15"/>
      <c r="H840" s="103"/>
      <c r="I840" s="15"/>
      <c r="J840" s="15"/>
      <c r="K840" s="15"/>
      <c r="L840" s="15"/>
      <c r="M840" s="15"/>
      <c r="N840" s="15"/>
      <c r="O840" s="103"/>
      <c r="P840" s="15"/>
      <c r="Q840" s="15"/>
      <c r="R840" s="15"/>
      <c r="S840" s="15"/>
      <c r="T840" s="15"/>
      <c r="U840" s="15"/>
      <c r="V840" s="103"/>
      <c r="W840" s="15"/>
      <c r="X840" s="15"/>
      <c r="Y840" s="15"/>
      <c r="Z840" s="15"/>
      <c r="AA840" s="15"/>
      <c r="AB840" s="15"/>
      <c r="AC840" s="103"/>
      <c r="AD840" s="15"/>
      <c r="AE840" s="15"/>
      <c r="AF840" s="15"/>
      <c r="AG840" s="15"/>
      <c r="AH840" s="15"/>
      <c r="AI840" s="15"/>
      <c r="AJ840" s="103"/>
      <c r="AK840" s="15"/>
      <c r="AL840" s="15"/>
      <c r="AM840" s="15"/>
      <c r="AN840" s="15"/>
      <c r="AO840" s="15"/>
      <c r="AP840" s="15"/>
      <c r="AQ840" s="15"/>
    </row>
    <row r="841">
      <c r="A841" s="15"/>
      <c r="B841" s="15"/>
      <c r="C841" s="15"/>
      <c r="D841" s="15"/>
      <c r="E841" s="15"/>
      <c r="F841" s="15"/>
      <c r="G841" s="15"/>
      <c r="H841" s="103"/>
      <c r="I841" s="15"/>
      <c r="J841" s="15"/>
      <c r="K841" s="15"/>
      <c r="L841" s="15"/>
      <c r="M841" s="15"/>
      <c r="N841" s="15"/>
      <c r="O841" s="103"/>
      <c r="P841" s="15"/>
      <c r="Q841" s="15"/>
      <c r="R841" s="15"/>
      <c r="S841" s="15"/>
      <c r="T841" s="15"/>
      <c r="U841" s="15"/>
      <c r="V841" s="103"/>
      <c r="W841" s="15"/>
      <c r="X841" s="15"/>
      <c r="Y841" s="15"/>
      <c r="Z841" s="15"/>
      <c r="AA841" s="15"/>
      <c r="AB841" s="15"/>
      <c r="AC841" s="103"/>
      <c r="AD841" s="15"/>
      <c r="AE841" s="15"/>
      <c r="AF841" s="15"/>
      <c r="AG841" s="15"/>
      <c r="AH841" s="15"/>
      <c r="AI841" s="15"/>
      <c r="AJ841" s="103"/>
      <c r="AK841" s="15"/>
      <c r="AL841" s="15"/>
      <c r="AM841" s="15"/>
      <c r="AN841" s="15"/>
      <c r="AO841" s="15"/>
      <c r="AP841" s="15"/>
      <c r="AQ841" s="15"/>
    </row>
    <row r="842">
      <c r="A842" s="15"/>
      <c r="B842" s="15"/>
      <c r="C842" s="15"/>
      <c r="D842" s="15"/>
      <c r="E842" s="15"/>
      <c r="F842" s="15"/>
      <c r="G842" s="15"/>
      <c r="H842" s="103"/>
      <c r="I842" s="15"/>
      <c r="J842" s="15"/>
      <c r="K842" s="15"/>
      <c r="L842" s="15"/>
      <c r="M842" s="15"/>
      <c r="N842" s="15"/>
      <c r="O842" s="103"/>
      <c r="P842" s="15"/>
      <c r="Q842" s="15"/>
      <c r="R842" s="15"/>
      <c r="S842" s="15"/>
      <c r="T842" s="15"/>
      <c r="U842" s="15"/>
      <c r="V842" s="103"/>
      <c r="W842" s="15"/>
      <c r="X842" s="15"/>
      <c r="Y842" s="15"/>
      <c r="Z842" s="15"/>
      <c r="AA842" s="15"/>
      <c r="AB842" s="15"/>
      <c r="AC842" s="103"/>
      <c r="AD842" s="15"/>
      <c r="AE842" s="15"/>
      <c r="AF842" s="15"/>
      <c r="AG842" s="15"/>
      <c r="AH842" s="15"/>
      <c r="AI842" s="15"/>
      <c r="AJ842" s="103"/>
      <c r="AK842" s="15"/>
      <c r="AL842" s="15"/>
      <c r="AM842" s="15"/>
      <c r="AN842" s="15"/>
      <c r="AO842" s="15"/>
      <c r="AP842" s="15"/>
      <c r="AQ842" s="15"/>
    </row>
    <row r="843">
      <c r="A843" s="15"/>
      <c r="B843" s="15"/>
      <c r="C843" s="15"/>
      <c r="D843" s="15"/>
      <c r="E843" s="15"/>
      <c r="F843" s="15"/>
      <c r="G843" s="15"/>
      <c r="H843" s="103"/>
      <c r="I843" s="15"/>
      <c r="J843" s="15"/>
      <c r="K843" s="15"/>
      <c r="L843" s="15"/>
      <c r="M843" s="15"/>
      <c r="N843" s="15"/>
      <c r="O843" s="103"/>
      <c r="P843" s="15"/>
      <c r="Q843" s="15"/>
      <c r="R843" s="15"/>
      <c r="S843" s="15"/>
      <c r="T843" s="15"/>
      <c r="U843" s="15"/>
      <c r="V843" s="103"/>
      <c r="W843" s="15"/>
      <c r="X843" s="15"/>
      <c r="Y843" s="15"/>
      <c r="Z843" s="15"/>
      <c r="AA843" s="15"/>
      <c r="AB843" s="15"/>
      <c r="AC843" s="103"/>
      <c r="AD843" s="15"/>
      <c r="AE843" s="15"/>
      <c r="AF843" s="15"/>
      <c r="AG843" s="15"/>
      <c r="AH843" s="15"/>
      <c r="AI843" s="15"/>
      <c r="AJ843" s="103"/>
      <c r="AK843" s="15"/>
      <c r="AL843" s="15"/>
      <c r="AM843" s="15"/>
      <c r="AN843" s="15"/>
      <c r="AO843" s="15"/>
      <c r="AP843" s="15"/>
      <c r="AQ843" s="15"/>
    </row>
    <row r="844">
      <c r="A844" s="15"/>
      <c r="B844" s="15"/>
      <c r="C844" s="15"/>
      <c r="D844" s="15"/>
      <c r="E844" s="15"/>
      <c r="F844" s="15"/>
      <c r="G844" s="15"/>
      <c r="H844" s="103"/>
      <c r="I844" s="15"/>
      <c r="J844" s="15"/>
      <c r="K844" s="15"/>
      <c r="L844" s="15"/>
      <c r="M844" s="15"/>
      <c r="N844" s="15"/>
      <c r="O844" s="103"/>
      <c r="P844" s="15"/>
      <c r="Q844" s="15"/>
      <c r="R844" s="15"/>
      <c r="S844" s="15"/>
      <c r="T844" s="15"/>
      <c r="U844" s="15"/>
      <c r="V844" s="103"/>
      <c r="W844" s="15"/>
      <c r="X844" s="15"/>
      <c r="Y844" s="15"/>
      <c r="Z844" s="15"/>
      <c r="AA844" s="15"/>
      <c r="AB844" s="15"/>
      <c r="AC844" s="103"/>
      <c r="AD844" s="15"/>
      <c r="AE844" s="15"/>
      <c r="AF844" s="15"/>
      <c r="AG844" s="15"/>
      <c r="AH844" s="15"/>
      <c r="AI844" s="15"/>
      <c r="AJ844" s="103"/>
      <c r="AK844" s="15"/>
      <c r="AL844" s="15"/>
      <c r="AM844" s="15"/>
      <c r="AN844" s="15"/>
      <c r="AO844" s="15"/>
      <c r="AP844" s="15"/>
      <c r="AQ844" s="15"/>
    </row>
    <row r="845">
      <c r="A845" s="15"/>
      <c r="B845" s="15"/>
      <c r="C845" s="15"/>
      <c r="D845" s="15"/>
      <c r="E845" s="15"/>
      <c r="F845" s="15"/>
      <c r="G845" s="15"/>
      <c r="H845" s="103"/>
      <c r="I845" s="15"/>
      <c r="J845" s="15"/>
      <c r="K845" s="15"/>
      <c r="L845" s="15"/>
      <c r="M845" s="15"/>
      <c r="N845" s="15"/>
      <c r="O845" s="103"/>
      <c r="P845" s="15"/>
      <c r="Q845" s="15"/>
      <c r="R845" s="15"/>
      <c r="S845" s="15"/>
      <c r="T845" s="15"/>
      <c r="U845" s="15"/>
      <c r="V845" s="103"/>
      <c r="W845" s="15"/>
      <c r="X845" s="15"/>
      <c r="Y845" s="15"/>
      <c r="Z845" s="15"/>
      <c r="AA845" s="15"/>
      <c r="AB845" s="15"/>
      <c r="AC845" s="103"/>
      <c r="AD845" s="15"/>
      <c r="AE845" s="15"/>
      <c r="AF845" s="15"/>
      <c r="AG845" s="15"/>
      <c r="AH845" s="15"/>
      <c r="AI845" s="15"/>
      <c r="AJ845" s="103"/>
      <c r="AK845" s="15"/>
      <c r="AL845" s="15"/>
      <c r="AM845" s="15"/>
      <c r="AN845" s="15"/>
      <c r="AO845" s="15"/>
      <c r="AP845" s="15"/>
      <c r="AQ845" s="15"/>
    </row>
    <row r="846">
      <c r="A846" s="15"/>
      <c r="B846" s="15"/>
      <c r="C846" s="15"/>
      <c r="D846" s="15"/>
      <c r="E846" s="15"/>
      <c r="F846" s="15"/>
      <c r="G846" s="15"/>
      <c r="H846" s="103"/>
      <c r="I846" s="15"/>
      <c r="J846" s="15"/>
      <c r="K846" s="15"/>
      <c r="L846" s="15"/>
      <c r="M846" s="15"/>
      <c r="N846" s="15"/>
      <c r="O846" s="103"/>
      <c r="P846" s="15"/>
      <c r="Q846" s="15"/>
      <c r="R846" s="15"/>
      <c r="S846" s="15"/>
      <c r="T846" s="15"/>
      <c r="U846" s="15"/>
      <c r="V846" s="103"/>
      <c r="W846" s="15"/>
      <c r="X846" s="15"/>
      <c r="Y846" s="15"/>
      <c r="Z846" s="15"/>
      <c r="AA846" s="15"/>
      <c r="AB846" s="15"/>
      <c r="AC846" s="103"/>
      <c r="AD846" s="15"/>
      <c r="AE846" s="15"/>
      <c r="AF846" s="15"/>
      <c r="AG846" s="15"/>
      <c r="AH846" s="15"/>
      <c r="AI846" s="15"/>
      <c r="AJ846" s="103"/>
      <c r="AK846" s="15"/>
      <c r="AL846" s="15"/>
      <c r="AM846" s="15"/>
      <c r="AN846" s="15"/>
      <c r="AO846" s="15"/>
      <c r="AP846" s="15"/>
      <c r="AQ846" s="15"/>
    </row>
    <row r="847">
      <c r="A847" s="15"/>
      <c r="B847" s="15"/>
      <c r="C847" s="15"/>
      <c r="D847" s="15"/>
      <c r="E847" s="15"/>
      <c r="F847" s="15"/>
      <c r="G847" s="15"/>
      <c r="H847" s="103"/>
      <c r="I847" s="15"/>
      <c r="J847" s="15"/>
      <c r="K847" s="15"/>
      <c r="L847" s="15"/>
      <c r="M847" s="15"/>
      <c r="N847" s="15"/>
      <c r="O847" s="103"/>
      <c r="P847" s="15"/>
      <c r="Q847" s="15"/>
      <c r="R847" s="15"/>
      <c r="S847" s="15"/>
      <c r="T847" s="15"/>
      <c r="U847" s="15"/>
      <c r="V847" s="103"/>
      <c r="W847" s="15"/>
      <c r="X847" s="15"/>
      <c r="Y847" s="15"/>
      <c r="Z847" s="15"/>
      <c r="AA847" s="15"/>
      <c r="AB847" s="15"/>
      <c r="AC847" s="103"/>
      <c r="AD847" s="15"/>
      <c r="AE847" s="15"/>
      <c r="AF847" s="15"/>
      <c r="AG847" s="15"/>
      <c r="AH847" s="15"/>
      <c r="AI847" s="15"/>
      <c r="AJ847" s="103"/>
      <c r="AK847" s="15"/>
      <c r="AL847" s="15"/>
      <c r="AM847" s="15"/>
      <c r="AN847" s="15"/>
      <c r="AO847" s="15"/>
      <c r="AP847" s="15"/>
      <c r="AQ847" s="15"/>
    </row>
    <row r="848">
      <c r="A848" s="15"/>
      <c r="B848" s="15"/>
      <c r="C848" s="15"/>
      <c r="D848" s="15"/>
      <c r="E848" s="15"/>
      <c r="F848" s="15"/>
      <c r="G848" s="15"/>
      <c r="H848" s="103"/>
      <c r="I848" s="15"/>
      <c r="J848" s="15"/>
      <c r="K848" s="15"/>
      <c r="L848" s="15"/>
      <c r="M848" s="15"/>
      <c r="N848" s="15"/>
      <c r="O848" s="103"/>
      <c r="P848" s="15"/>
      <c r="Q848" s="15"/>
      <c r="R848" s="15"/>
      <c r="S848" s="15"/>
      <c r="T848" s="15"/>
      <c r="U848" s="15"/>
      <c r="V848" s="103"/>
      <c r="W848" s="15"/>
      <c r="X848" s="15"/>
      <c r="Y848" s="15"/>
      <c r="Z848" s="15"/>
      <c r="AA848" s="15"/>
      <c r="AB848" s="15"/>
      <c r="AC848" s="103"/>
      <c r="AD848" s="15"/>
      <c r="AE848" s="15"/>
      <c r="AF848" s="15"/>
      <c r="AG848" s="15"/>
      <c r="AH848" s="15"/>
      <c r="AI848" s="15"/>
      <c r="AJ848" s="103"/>
      <c r="AK848" s="15"/>
      <c r="AL848" s="15"/>
      <c r="AM848" s="15"/>
      <c r="AN848" s="15"/>
      <c r="AO848" s="15"/>
      <c r="AP848" s="15"/>
      <c r="AQ848" s="15"/>
    </row>
    <row r="849">
      <c r="A849" s="15"/>
      <c r="B849" s="15"/>
      <c r="C849" s="15"/>
      <c r="D849" s="15"/>
      <c r="E849" s="15"/>
      <c r="F849" s="15"/>
      <c r="G849" s="15"/>
      <c r="H849" s="103"/>
      <c r="I849" s="15"/>
      <c r="J849" s="15"/>
      <c r="K849" s="15"/>
      <c r="L849" s="15"/>
      <c r="M849" s="15"/>
      <c r="N849" s="15"/>
      <c r="O849" s="103"/>
      <c r="P849" s="15"/>
      <c r="Q849" s="15"/>
      <c r="R849" s="15"/>
      <c r="S849" s="15"/>
      <c r="T849" s="15"/>
      <c r="U849" s="15"/>
      <c r="V849" s="103"/>
      <c r="W849" s="15"/>
      <c r="X849" s="15"/>
      <c r="Y849" s="15"/>
      <c r="Z849" s="15"/>
      <c r="AA849" s="15"/>
      <c r="AB849" s="15"/>
      <c r="AC849" s="103"/>
      <c r="AD849" s="15"/>
      <c r="AE849" s="15"/>
      <c r="AF849" s="15"/>
      <c r="AG849" s="15"/>
      <c r="AH849" s="15"/>
      <c r="AI849" s="15"/>
      <c r="AJ849" s="103"/>
      <c r="AK849" s="15"/>
      <c r="AL849" s="15"/>
      <c r="AM849" s="15"/>
      <c r="AN849" s="15"/>
      <c r="AO849" s="15"/>
      <c r="AP849" s="15"/>
      <c r="AQ849" s="15"/>
    </row>
    <row r="850">
      <c r="A850" s="15"/>
      <c r="B850" s="15"/>
      <c r="C850" s="15"/>
      <c r="D850" s="15"/>
      <c r="E850" s="15"/>
      <c r="F850" s="15"/>
      <c r="G850" s="15"/>
      <c r="H850" s="103"/>
      <c r="I850" s="15"/>
      <c r="J850" s="15"/>
      <c r="K850" s="15"/>
      <c r="L850" s="15"/>
      <c r="M850" s="15"/>
      <c r="N850" s="15"/>
      <c r="O850" s="103"/>
      <c r="P850" s="15"/>
      <c r="Q850" s="15"/>
      <c r="R850" s="15"/>
      <c r="S850" s="15"/>
      <c r="T850" s="15"/>
      <c r="U850" s="15"/>
      <c r="V850" s="103"/>
      <c r="W850" s="15"/>
      <c r="X850" s="15"/>
      <c r="Y850" s="15"/>
      <c r="Z850" s="15"/>
      <c r="AA850" s="15"/>
      <c r="AB850" s="15"/>
      <c r="AC850" s="103"/>
      <c r="AD850" s="15"/>
      <c r="AE850" s="15"/>
      <c r="AF850" s="15"/>
      <c r="AG850" s="15"/>
      <c r="AH850" s="15"/>
      <c r="AI850" s="15"/>
      <c r="AJ850" s="103"/>
      <c r="AK850" s="15"/>
      <c r="AL850" s="15"/>
      <c r="AM850" s="15"/>
      <c r="AN850" s="15"/>
      <c r="AO850" s="15"/>
      <c r="AP850" s="15"/>
      <c r="AQ850" s="15"/>
    </row>
    <row r="851">
      <c r="A851" s="15"/>
      <c r="B851" s="15"/>
      <c r="C851" s="15"/>
      <c r="D851" s="15"/>
      <c r="E851" s="15"/>
      <c r="F851" s="15"/>
      <c r="G851" s="15"/>
      <c r="H851" s="103"/>
      <c r="I851" s="15"/>
      <c r="J851" s="15"/>
      <c r="K851" s="15"/>
      <c r="L851" s="15"/>
      <c r="M851" s="15"/>
      <c r="N851" s="15"/>
      <c r="O851" s="103"/>
      <c r="P851" s="15"/>
      <c r="Q851" s="15"/>
      <c r="R851" s="15"/>
      <c r="S851" s="15"/>
      <c r="T851" s="15"/>
      <c r="U851" s="15"/>
      <c r="V851" s="103"/>
      <c r="W851" s="15"/>
      <c r="X851" s="15"/>
      <c r="Y851" s="15"/>
      <c r="Z851" s="15"/>
      <c r="AA851" s="15"/>
      <c r="AB851" s="15"/>
      <c r="AC851" s="103"/>
      <c r="AD851" s="15"/>
      <c r="AE851" s="15"/>
      <c r="AF851" s="15"/>
      <c r="AG851" s="15"/>
      <c r="AH851" s="15"/>
      <c r="AI851" s="15"/>
      <c r="AJ851" s="103"/>
      <c r="AK851" s="15"/>
      <c r="AL851" s="15"/>
      <c r="AM851" s="15"/>
      <c r="AN851" s="15"/>
      <c r="AO851" s="15"/>
      <c r="AP851" s="15"/>
      <c r="AQ851" s="15"/>
    </row>
    <row r="852">
      <c r="A852" s="15"/>
      <c r="B852" s="15"/>
      <c r="C852" s="15"/>
      <c r="D852" s="15"/>
      <c r="E852" s="15"/>
      <c r="F852" s="15"/>
      <c r="G852" s="15"/>
      <c r="H852" s="103"/>
      <c r="I852" s="15"/>
      <c r="J852" s="15"/>
      <c r="K852" s="15"/>
      <c r="L852" s="15"/>
      <c r="M852" s="15"/>
      <c r="N852" s="15"/>
      <c r="O852" s="103"/>
      <c r="P852" s="15"/>
      <c r="Q852" s="15"/>
      <c r="R852" s="15"/>
      <c r="S852" s="15"/>
      <c r="T852" s="15"/>
      <c r="U852" s="15"/>
      <c r="V852" s="103"/>
      <c r="W852" s="15"/>
      <c r="X852" s="15"/>
      <c r="Y852" s="15"/>
      <c r="Z852" s="15"/>
      <c r="AA852" s="15"/>
      <c r="AB852" s="15"/>
      <c r="AC852" s="103"/>
      <c r="AD852" s="15"/>
      <c r="AE852" s="15"/>
      <c r="AF852" s="15"/>
      <c r="AG852" s="15"/>
      <c r="AH852" s="15"/>
      <c r="AI852" s="15"/>
      <c r="AJ852" s="103"/>
      <c r="AK852" s="15"/>
      <c r="AL852" s="15"/>
      <c r="AM852" s="15"/>
      <c r="AN852" s="15"/>
      <c r="AO852" s="15"/>
      <c r="AP852" s="15"/>
      <c r="AQ852" s="15"/>
    </row>
    <row r="853">
      <c r="A853" s="15"/>
      <c r="B853" s="15"/>
      <c r="C853" s="15"/>
      <c r="D853" s="15"/>
      <c r="E853" s="15"/>
      <c r="F853" s="15"/>
      <c r="G853" s="15"/>
      <c r="H853" s="103"/>
      <c r="I853" s="15"/>
      <c r="J853" s="15"/>
      <c r="K853" s="15"/>
      <c r="L853" s="15"/>
      <c r="M853" s="15"/>
      <c r="N853" s="15"/>
      <c r="O853" s="103"/>
      <c r="P853" s="15"/>
      <c r="Q853" s="15"/>
      <c r="R853" s="15"/>
      <c r="S853" s="15"/>
      <c r="T853" s="15"/>
      <c r="U853" s="15"/>
      <c r="V853" s="103"/>
      <c r="W853" s="15"/>
      <c r="X853" s="15"/>
      <c r="Y853" s="15"/>
      <c r="Z853" s="15"/>
      <c r="AA853" s="15"/>
      <c r="AB853" s="15"/>
      <c r="AC853" s="103"/>
      <c r="AD853" s="15"/>
      <c r="AE853" s="15"/>
      <c r="AF853" s="15"/>
      <c r="AG853" s="15"/>
      <c r="AH853" s="15"/>
      <c r="AI853" s="15"/>
      <c r="AJ853" s="103"/>
      <c r="AK853" s="15"/>
      <c r="AL853" s="15"/>
      <c r="AM853" s="15"/>
      <c r="AN853" s="15"/>
      <c r="AO853" s="15"/>
      <c r="AP853" s="15"/>
      <c r="AQ853" s="15"/>
    </row>
    <row r="854">
      <c r="A854" s="15"/>
      <c r="B854" s="15"/>
      <c r="C854" s="15"/>
      <c r="D854" s="15"/>
      <c r="E854" s="15"/>
      <c r="F854" s="15"/>
      <c r="G854" s="15"/>
      <c r="H854" s="103"/>
      <c r="I854" s="15"/>
      <c r="J854" s="15"/>
      <c r="K854" s="15"/>
      <c r="L854" s="15"/>
      <c r="M854" s="15"/>
      <c r="N854" s="15"/>
      <c r="O854" s="103"/>
      <c r="P854" s="15"/>
      <c r="Q854" s="15"/>
      <c r="R854" s="15"/>
      <c r="S854" s="15"/>
      <c r="T854" s="15"/>
      <c r="U854" s="15"/>
      <c r="V854" s="103"/>
      <c r="W854" s="15"/>
      <c r="X854" s="15"/>
      <c r="Y854" s="15"/>
      <c r="Z854" s="15"/>
      <c r="AA854" s="15"/>
      <c r="AB854" s="15"/>
      <c r="AC854" s="103"/>
      <c r="AD854" s="15"/>
      <c r="AE854" s="15"/>
      <c r="AF854" s="15"/>
      <c r="AG854" s="15"/>
      <c r="AH854" s="15"/>
      <c r="AI854" s="15"/>
      <c r="AJ854" s="103"/>
      <c r="AK854" s="15"/>
      <c r="AL854" s="15"/>
      <c r="AM854" s="15"/>
      <c r="AN854" s="15"/>
      <c r="AO854" s="15"/>
      <c r="AP854" s="15"/>
      <c r="AQ854" s="15"/>
    </row>
    <row r="855">
      <c r="A855" s="15"/>
      <c r="B855" s="15"/>
      <c r="C855" s="15"/>
      <c r="D855" s="15"/>
      <c r="E855" s="15"/>
      <c r="F855" s="15"/>
      <c r="G855" s="15"/>
      <c r="H855" s="103"/>
      <c r="I855" s="15"/>
      <c r="J855" s="15"/>
      <c r="K855" s="15"/>
      <c r="L855" s="15"/>
      <c r="M855" s="15"/>
      <c r="N855" s="15"/>
      <c r="O855" s="103"/>
      <c r="P855" s="15"/>
      <c r="Q855" s="15"/>
      <c r="R855" s="15"/>
      <c r="S855" s="15"/>
      <c r="T855" s="15"/>
      <c r="U855" s="15"/>
      <c r="V855" s="103"/>
      <c r="W855" s="15"/>
      <c r="X855" s="15"/>
      <c r="Y855" s="15"/>
      <c r="Z855" s="15"/>
      <c r="AA855" s="15"/>
      <c r="AB855" s="15"/>
      <c r="AC855" s="103"/>
      <c r="AD855" s="15"/>
      <c r="AE855" s="15"/>
      <c r="AF855" s="15"/>
      <c r="AG855" s="15"/>
      <c r="AH855" s="15"/>
      <c r="AI855" s="15"/>
      <c r="AJ855" s="103"/>
      <c r="AK855" s="15"/>
      <c r="AL855" s="15"/>
      <c r="AM855" s="15"/>
      <c r="AN855" s="15"/>
      <c r="AO855" s="15"/>
      <c r="AP855" s="15"/>
      <c r="AQ855" s="15"/>
    </row>
    <row r="856">
      <c r="A856" s="15"/>
      <c r="B856" s="15"/>
      <c r="C856" s="15"/>
      <c r="D856" s="15"/>
      <c r="E856" s="15"/>
      <c r="F856" s="15"/>
      <c r="G856" s="15"/>
      <c r="H856" s="103"/>
      <c r="I856" s="15"/>
      <c r="J856" s="15"/>
      <c r="K856" s="15"/>
      <c r="L856" s="15"/>
      <c r="M856" s="15"/>
      <c r="N856" s="15"/>
      <c r="O856" s="103"/>
      <c r="P856" s="15"/>
      <c r="Q856" s="15"/>
      <c r="R856" s="15"/>
      <c r="S856" s="15"/>
      <c r="T856" s="15"/>
      <c r="U856" s="15"/>
      <c r="V856" s="103"/>
      <c r="W856" s="15"/>
      <c r="X856" s="15"/>
      <c r="Y856" s="15"/>
      <c r="Z856" s="15"/>
      <c r="AA856" s="15"/>
      <c r="AB856" s="15"/>
      <c r="AC856" s="103"/>
      <c r="AD856" s="15"/>
      <c r="AE856" s="15"/>
      <c r="AF856" s="15"/>
      <c r="AG856" s="15"/>
      <c r="AH856" s="15"/>
      <c r="AI856" s="15"/>
      <c r="AJ856" s="103"/>
      <c r="AK856" s="15"/>
      <c r="AL856" s="15"/>
      <c r="AM856" s="15"/>
      <c r="AN856" s="15"/>
      <c r="AO856" s="15"/>
      <c r="AP856" s="15"/>
      <c r="AQ856" s="15"/>
    </row>
    <row r="857">
      <c r="A857" s="15"/>
      <c r="B857" s="15"/>
      <c r="C857" s="15"/>
      <c r="D857" s="15"/>
      <c r="E857" s="15"/>
      <c r="F857" s="15"/>
      <c r="G857" s="15"/>
      <c r="H857" s="103"/>
      <c r="I857" s="15"/>
      <c r="J857" s="15"/>
      <c r="K857" s="15"/>
      <c r="L857" s="15"/>
      <c r="M857" s="15"/>
      <c r="N857" s="15"/>
      <c r="O857" s="103"/>
      <c r="P857" s="15"/>
      <c r="Q857" s="15"/>
      <c r="R857" s="15"/>
      <c r="S857" s="15"/>
      <c r="T857" s="15"/>
      <c r="U857" s="15"/>
      <c r="V857" s="103"/>
      <c r="W857" s="15"/>
      <c r="X857" s="15"/>
      <c r="Y857" s="15"/>
      <c r="Z857" s="15"/>
      <c r="AA857" s="15"/>
      <c r="AB857" s="15"/>
      <c r="AC857" s="103"/>
      <c r="AD857" s="15"/>
      <c r="AE857" s="15"/>
      <c r="AF857" s="15"/>
      <c r="AG857" s="15"/>
      <c r="AH857" s="15"/>
      <c r="AI857" s="15"/>
      <c r="AJ857" s="103"/>
      <c r="AK857" s="15"/>
      <c r="AL857" s="15"/>
      <c r="AM857" s="15"/>
      <c r="AN857" s="15"/>
      <c r="AO857" s="15"/>
      <c r="AP857" s="15"/>
      <c r="AQ857" s="15"/>
    </row>
    <row r="858">
      <c r="A858" s="15"/>
      <c r="B858" s="15"/>
      <c r="C858" s="15"/>
      <c r="D858" s="15"/>
      <c r="E858" s="15"/>
      <c r="F858" s="15"/>
      <c r="G858" s="15"/>
      <c r="H858" s="103"/>
      <c r="I858" s="15"/>
      <c r="J858" s="15"/>
      <c r="K858" s="15"/>
      <c r="L858" s="15"/>
      <c r="M858" s="15"/>
      <c r="N858" s="15"/>
      <c r="O858" s="103"/>
      <c r="P858" s="15"/>
      <c r="Q858" s="15"/>
      <c r="R858" s="15"/>
      <c r="S858" s="15"/>
      <c r="T858" s="15"/>
      <c r="U858" s="15"/>
      <c r="V858" s="103"/>
      <c r="W858" s="15"/>
      <c r="X858" s="15"/>
      <c r="Y858" s="15"/>
      <c r="Z858" s="15"/>
      <c r="AA858" s="15"/>
      <c r="AB858" s="15"/>
      <c r="AC858" s="103"/>
      <c r="AD858" s="15"/>
      <c r="AE858" s="15"/>
      <c r="AF858" s="15"/>
      <c r="AG858" s="15"/>
      <c r="AH858" s="15"/>
      <c r="AI858" s="15"/>
      <c r="AJ858" s="103"/>
      <c r="AK858" s="15"/>
      <c r="AL858" s="15"/>
      <c r="AM858" s="15"/>
      <c r="AN858" s="15"/>
      <c r="AO858" s="15"/>
      <c r="AP858" s="15"/>
      <c r="AQ858" s="15"/>
    </row>
    <row r="859">
      <c r="A859" s="15"/>
      <c r="B859" s="15"/>
      <c r="C859" s="15"/>
      <c r="D859" s="15"/>
      <c r="E859" s="15"/>
      <c r="F859" s="15"/>
      <c r="G859" s="15"/>
      <c r="H859" s="103"/>
      <c r="I859" s="15"/>
      <c r="J859" s="15"/>
      <c r="K859" s="15"/>
      <c r="L859" s="15"/>
      <c r="M859" s="15"/>
      <c r="N859" s="15"/>
      <c r="O859" s="103"/>
      <c r="P859" s="15"/>
      <c r="Q859" s="15"/>
      <c r="R859" s="15"/>
      <c r="S859" s="15"/>
      <c r="T859" s="15"/>
      <c r="U859" s="15"/>
      <c r="V859" s="103"/>
      <c r="W859" s="15"/>
      <c r="X859" s="15"/>
      <c r="Y859" s="15"/>
      <c r="Z859" s="15"/>
      <c r="AA859" s="15"/>
      <c r="AB859" s="15"/>
      <c r="AC859" s="103"/>
      <c r="AD859" s="15"/>
      <c r="AE859" s="15"/>
      <c r="AF859" s="15"/>
      <c r="AG859" s="15"/>
      <c r="AH859" s="15"/>
      <c r="AI859" s="15"/>
      <c r="AJ859" s="103"/>
      <c r="AK859" s="15"/>
      <c r="AL859" s="15"/>
      <c r="AM859" s="15"/>
      <c r="AN859" s="15"/>
      <c r="AO859" s="15"/>
      <c r="AP859" s="15"/>
      <c r="AQ859" s="15"/>
    </row>
    <row r="860">
      <c r="A860" s="15"/>
      <c r="B860" s="15"/>
      <c r="C860" s="15"/>
      <c r="D860" s="15"/>
      <c r="E860" s="15"/>
      <c r="F860" s="15"/>
      <c r="G860" s="15"/>
      <c r="H860" s="103"/>
      <c r="I860" s="15"/>
      <c r="J860" s="15"/>
      <c r="K860" s="15"/>
      <c r="L860" s="15"/>
      <c r="M860" s="15"/>
      <c r="N860" s="15"/>
      <c r="O860" s="103"/>
      <c r="P860" s="15"/>
      <c r="Q860" s="15"/>
      <c r="R860" s="15"/>
      <c r="S860" s="15"/>
      <c r="T860" s="15"/>
      <c r="U860" s="15"/>
      <c r="V860" s="103"/>
      <c r="W860" s="15"/>
      <c r="X860" s="15"/>
      <c r="Y860" s="15"/>
      <c r="Z860" s="15"/>
      <c r="AA860" s="15"/>
      <c r="AB860" s="15"/>
      <c r="AC860" s="103"/>
      <c r="AD860" s="15"/>
      <c r="AE860" s="15"/>
      <c r="AF860" s="15"/>
      <c r="AG860" s="15"/>
      <c r="AH860" s="15"/>
      <c r="AI860" s="15"/>
      <c r="AJ860" s="103"/>
      <c r="AK860" s="15"/>
      <c r="AL860" s="15"/>
      <c r="AM860" s="15"/>
      <c r="AN860" s="15"/>
      <c r="AO860" s="15"/>
      <c r="AP860" s="15"/>
      <c r="AQ860" s="15"/>
    </row>
    <row r="861">
      <c r="A861" s="15"/>
      <c r="B861" s="15"/>
      <c r="C861" s="15"/>
      <c r="D861" s="15"/>
      <c r="E861" s="15"/>
      <c r="F861" s="15"/>
      <c r="G861" s="15"/>
      <c r="H861" s="103"/>
      <c r="I861" s="15"/>
      <c r="J861" s="15"/>
      <c r="K861" s="15"/>
      <c r="L861" s="15"/>
      <c r="M861" s="15"/>
      <c r="N861" s="15"/>
      <c r="O861" s="103"/>
      <c r="P861" s="15"/>
      <c r="Q861" s="15"/>
      <c r="R861" s="15"/>
      <c r="S861" s="15"/>
      <c r="T861" s="15"/>
      <c r="U861" s="15"/>
      <c r="V861" s="103"/>
      <c r="W861" s="15"/>
      <c r="X861" s="15"/>
      <c r="Y861" s="15"/>
      <c r="Z861" s="15"/>
      <c r="AA861" s="15"/>
      <c r="AB861" s="15"/>
      <c r="AC861" s="103"/>
      <c r="AD861" s="15"/>
      <c r="AE861" s="15"/>
      <c r="AF861" s="15"/>
      <c r="AG861" s="15"/>
      <c r="AH861" s="15"/>
      <c r="AI861" s="15"/>
      <c r="AJ861" s="103"/>
      <c r="AK861" s="15"/>
      <c r="AL861" s="15"/>
      <c r="AM861" s="15"/>
      <c r="AN861" s="15"/>
      <c r="AO861" s="15"/>
      <c r="AP861" s="15"/>
      <c r="AQ861" s="15"/>
    </row>
    <row r="862">
      <c r="A862" s="15"/>
      <c r="B862" s="15"/>
      <c r="C862" s="15"/>
      <c r="D862" s="15"/>
      <c r="E862" s="15"/>
      <c r="F862" s="15"/>
      <c r="G862" s="15"/>
      <c r="H862" s="103"/>
      <c r="I862" s="15"/>
      <c r="J862" s="15"/>
      <c r="K862" s="15"/>
      <c r="L862" s="15"/>
      <c r="M862" s="15"/>
      <c r="N862" s="15"/>
      <c r="O862" s="103"/>
      <c r="P862" s="15"/>
      <c r="Q862" s="15"/>
      <c r="R862" s="15"/>
      <c r="S862" s="15"/>
      <c r="T862" s="15"/>
      <c r="U862" s="15"/>
      <c r="V862" s="103"/>
      <c r="W862" s="15"/>
      <c r="X862" s="15"/>
      <c r="Y862" s="15"/>
      <c r="Z862" s="15"/>
      <c r="AA862" s="15"/>
      <c r="AB862" s="15"/>
      <c r="AC862" s="103"/>
      <c r="AD862" s="15"/>
      <c r="AE862" s="15"/>
      <c r="AF862" s="15"/>
      <c r="AG862" s="15"/>
      <c r="AH862" s="15"/>
      <c r="AI862" s="15"/>
      <c r="AJ862" s="103"/>
      <c r="AK862" s="15"/>
      <c r="AL862" s="15"/>
      <c r="AM862" s="15"/>
      <c r="AN862" s="15"/>
      <c r="AO862" s="15"/>
      <c r="AP862" s="15"/>
      <c r="AQ862" s="15"/>
    </row>
    <row r="863">
      <c r="A863" s="15"/>
      <c r="B863" s="15"/>
      <c r="C863" s="15"/>
      <c r="D863" s="15"/>
      <c r="E863" s="15"/>
      <c r="F863" s="15"/>
      <c r="G863" s="15"/>
      <c r="H863" s="103"/>
      <c r="I863" s="15"/>
      <c r="J863" s="15"/>
      <c r="K863" s="15"/>
      <c r="L863" s="15"/>
      <c r="M863" s="15"/>
      <c r="N863" s="15"/>
      <c r="O863" s="103"/>
      <c r="P863" s="15"/>
      <c r="Q863" s="15"/>
      <c r="R863" s="15"/>
      <c r="S863" s="15"/>
      <c r="T863" s="15"/>
      <c r="U863" s="15"/>
      <c r="V863" s="103"/>
      <c r="W863" s="15"/>
      <c r="X863" s="15"/>
      <c r="Y863" s="15"/>
      <c r="Z863" s="15"/>
      <c r="AA863" s="15"/>
      <c r="AB863" s="15"/>
      <c r="AC863" s="103"/>
      <c r="AD863" s="15"/>
      <c r="AE863" s="15"/>
      <c r="AF863" s="15"/>
      <c r="AG863" s="15"/>
      <c r="AH863" s="15"/>
      <c r="AI863" s="15"/>
      <c r="AJ863" s="103"/>
      <c r="AK863" s="15"/>
      <c r="AL863" s="15"/>
      <c r="AM863" s="15"/>
      <c r="AN863" s="15"/>
      <c r="AO863" s="15"/>
      <c r="AP863" s="15"/>
      <c r="AQ863" s="15"/>
    </row>
    <row r="864">
      <c r="A864" s="15"/>
      <c r="B864" s="15"/>
      <c r="C864" s="15"/>
      <c r="D864" s="15"/>
      <c r="E864" s="15"/>
      <c r="F864" s="15"/>
      <c r="G864" s="15"/>
      <c r="H864" s="103"/>
      <c r="I864" s="15"/>
      <c r="J864" s="15"/>
      <c r="K864" s="15"/>
      <c r="L864" s="15"/>
      <c r="M864" s="15"/>
      <c r="N864" s="15"/>
      <c r="O864" s="103"/>
      <c r="P864" s="15"/>
      <c r="Q864" s="15"/>
      <c r="R864" s="15"/>
      <c r="S864" s="15"/>
      <c r="T864" s="15"/>
      <c r="U864" s="15"/>
      <c r="V864" s="103"/>
      <c r="W864" s="15"/>
      <c r="X864" s="15"/>
      <c r="Y864" s="15"/>
      <c r="Z864" s="15"/>
      <c r="AA864" s="15"/>
      <c r="AB864" s="15"/>
      <c r="AC864" s="103"/>
      <c r="AD864" s="15"/>
      <c r="AE864" s="15"/>
      <c r="AF864" s="15"/>
      <c r="AG864" s="15"/>
      <c r="AH864" s="15"/>
      <c r="AI864" s="15"/>
      <c r="AJ864" s="103"/>
      <c r="AK864" s="15"/>
      <c r="AL864" s="15"/>
      <c r="AM864" s="15"/>
      <c r="AN864" s="15"/>
      <c r="AO864" s="15"/>
      <c r="AP864" s="15"/>
      <c r="AQ864" s="15"/>
    </row>
    <row r="865">
      <c r="A865" s="15"/>
      <c r="B865" s="15"/>
      <c r="C865" s="15"/>
      <c r="D865" s="15"/>
      <c r="E865" s="15"/>
      <c r="F865" s="15"/>
      <c r="G865" s="15"/>
      <c r="H865" s="103"/>
      <c r="I865" s="15"/>
      <c r="J865" s="15"/>
      <c r="K865" s="15"/>
      <c r="L865" s="15"/>
      <c r="M865" s="15"/>
      <c r="N865" s="15"/>
      <c r="O865" s="103"/>
      <c r="P865" s="15"/>
      <c r="Q865" s="15"/>
      <c r="R865" s="15"/>
      <c r="S865" s="15"/>
      <c r="T865" s="15"/>
      <c r="U865" s="15"/>
      <c r="V865" s="103"/>
      <c r="W865" s="15"/>
      <c r="X865" s="15"/>
      <c r="Y865" s="15"/>
      <c r="Z865" s="15"/>
      <c r="AA865" s="15"/>
      <c r="AB865" s="15"/>
      <c r="AC865" s="103"/>
      <c r="AD865" s="15"/>
      <c r="AE865" s="15"/>
      <c r="AF865" s="15"/>
      <c r="AG865" s="15"/>
      <c r="AH865" s="15"/>
      <c r="AI865" s="15"/>
      <c r="AJ865" s="103"/>
      <c r="AK865" s="15"/>
      <c r="AL865" s="15"/>
      <c r="AM865" s="15"/>
      <c r="AN865" s="15"/>
      <c r="AO865" s="15"/>
      <c r="AP865" s="15"/>
      <c r="AQ865" s="15"/>
    </row>
    <row r="866">
      <c r="A866" s="15"/>
      <c r="B866" s="15"/>
      <c r="C866" s="15"/>
      <c r="D866" s="15"/>
      <c r="E866" s="15"/>
      <c r="F866" s="15"/>
      <c r="G866" s="15"/>
      <c r="H866" s="103"/>
      <c r="I866" s="15"/>
      <c r="J866" s="15"/>
      <c r="K866" s="15"/>
      <c r="L866" s="15"/>
      <c r="M866" s="15"/>
      <c r="N866" s="15"/>
      <c r="O866" s="103"/>
      <c r="P866" s="15"/>
      <c r="Q866" s="15"/>
      <c r="R866" s="15"/>
      <c r="S866" s="15"/>
      <c r="T866" s="15"/>
      <c r="U866" s="15"/>
      <c r="V866" s="103"/>
      <c r="W866" s="15"/>
      <c r="X866" s="15"/>
      <c r="Y866" s="15"/>
      <c r="Z866" s="15"/>
      <c r="AA866" s="15"/>
      <c r="AB866" s="15"/>
      <c r="AC866" s="103"/>
      <c r="AD866" s="15"/>
      <c r="AE866" s="15"/>
      <c r="AF866" s="15"/>
      <c r="AG866" s="15"/>
      <c r="AH866" s="15"/>
      <c r="AI866" s="15"/>
      <c r="AJ866" s="103"/>
      <c r="AK866" s="15"/>
      <c r="AL866" s="15"/>
      <c r="AM866" s="15"/>
      <c r="AN866" s="15"/>
      <c r="AO866" s="15"/>
      <c r="AP866" s="15"/>
      <c r="AQ866" s="15"/>
    </row>
    <row r="867">
      <c r="A867" s="15"/>
      <c r="B867" s="15"/>
      <c r="C867" s="15"/>
      <c r="D867" s="15"/>
      <c r="E867" s="15"/>
      <c r="F867" s="15"/>
      <c r="G867" s="15"/>
      <c r="H867" s="103"/>
      <c r="I867" s="15"/>
      <c r="J867" s="15"/>
      <c r="K867" s="15"/>
      <c r="L867" s="15"/>
      <c r="M867" s="15"/>
      <c r="N867" s="15"/>
      <c r="O867" s="103"/>
      <c r="P867" s="15"/>
      <c r="Q867" s="15"/>
      <c r="R867" s="15"/>
      <c r="S867" s="15"/>
      <c r="T867" s="15"/>
      <c r="U867" s="15"/>
      <c r="V867" s="103"/>
      <c r="W867" s="15"/>
      <c r="X867" s="15"/>
      <c r="Y867" s="15"/>
      <c r="Z867" s="15"/>
      <c r="AA867" s="15"/>
      <c r="AB867" s="15"/>
      <c r="AC867" s="103"/>
      <c r="AD867" s="15"/>
      <c r="AE867" s="15"/>
      <c r="AF867" s="15"/>
      <c r="AG867" s="15"/>
      <c r="AH867" s="15"/>
      <c r="AI867" s="15"/>
      <c r="AJ867" s="103"/>
      <c r="AK867" s="15"/>
      <c r="AL867" s="15"/>
      <c r="AM867" s="15"/>
      <c r="AN867" s="15"/>
      <c r="AO867" s="15"/>
      <c r="AP867" s="15"/>
      <c r="AQ867" s="15"/>
    </row>
    <row r="868">
      <c r="A868" s="15"/>
      <c r="B868" s="15"/>
      <c r="C868" s="15"/>
      <c r="D868" s="15"/>
      <c r="E868" s="15"/>
      <c r="F868" s="15"/>
      <c r="G868" s="15"/>
      <c r="H868" s="103"/>
      <c r="I868" s="15"/>
      <c r="J868" s="15"/>
      <c r="K868" s="15"/>
      <c r="L868" s="15"/>
      <c r="M868" s="15"/>
      <c r="N868" s="15"/>
      <c r="O868" s="103"/>
      <c r="P868" s="15"/>
      <c r="Q868" s="15"/>
      <c r="R868" s="15"/>
      <c r="S868" s="15"/>
      <c r="T868" s="15"/>
      <c r="U868" s="15"/>
      <c r="V868" s="103"/>
      <c r="W868" s="15"/>
      <c r="X868" s="15"/>
      <c r="Y868" s="15"/>
      <c r="Z868" s="15"/>
      <c r="AA868" s="15"/>
      <c r="AB868" s="15"/>
      <c r="AC868" s="103"/>
      <c r="AD868" s="15"/>
      <c r="AE868" s="15"/>
      <c r="AF868" s="15"/>
      <c r="AG868" s="15"/>
      <c r="AH868" s="15"/>
      <c r="AI868" s="15"/>
      <c r="AJ868" s="103"/>
      <c r="AK868" s="15"/>
      <c r="AL868" s="15"/>
      <c r="AM868" s="15"/>
      <c r="AN868" s="15"/>
      <c r="AO868" s="15"/>
      <c r="AP868" s="15"/>
      <c r="AQ868" s="15"/>
    </row>
    <row r="869">
      <c r="A869" s="15"/>
      <c r="B869" s="15"/>
      <c r="C869" s="15"/>
      <c r="D869" s="15"/>
      <c r="E869" s="15"/>
      <c r="F869" s="15"/>
      <c r="G869" s="15"/>
      <c r="H869" s="103"/>
      <c r="I869" s="15"/>
      <c r="J869" s="15"/>
      <c r="K869" s="15"/>
      <c r="L869" s="15"/>
      <c r="M869" s="15"/>
      <c r="N869" s="15"/>
      <c r="O869" s="103"/>
      <c r="P869" s="15"/>
      <c r="Q869" s="15"/>
      <c r="R869" s="15"/>
      <c r="S869" s="15"/>
      <c r="T869" s="15"/>
      <c r="U869" s="15"/>
      <c r="V869" s="103"/>
      <c r="W869" s="15"/>
      <c r="X869" s="15"/>
      <c r="Y869" s="15"/>
      <c r="Z869" s="15"/>
      <c r="AA869" s="15"/>
      <c r="AB869" s="15"/>
      <c r="AC869" s="103"/>
      <c r="AD869" s="15"/>
      <c r="AE869" s="15"/>
      <c r="AF869" s="15"/>
      <c r="AG869" s="15"/>
      <c r="AH869" s="15"/>
      <c r="AI869" s="15"/>
      <c r="AJ869" s="103"/>
      <c r="AK869" s="15"/>
      <c r="AL869" s="15"/>
      <c r="AM869" s="15"/>
      <c r="AN869" s="15"/>
      <c r="AO869" s="15"/>
      <c r="AP869" s="15"/>
      <c r="AQ869" s="15"/>
    </row>
    <row r="870">
      <c r="A870" s="15"/>
      <c r="B870" s="15"/>
      <c r="C870" s="15"/>
      <c r="D870" s="15"/>
      <c r="E870" s="15"/>
      <c r="F870" s="15"/>
      <c r="G870" s="15"/>
      <c r="H870" s="103"/>
      <c r="I870" s="15"/>
      <c r="J870" s="15"/>
      <c r="K870" s="15"/>
      <c r="L870" s="15"/>
      <c r="M870" s="15"/>
      <c r="N870" s="15"/>
      <c r="O870" s="103"/>
      <c r="P870" s="15"/>
      <c r="Q870" s="15"/>
      <c r="R870" s="15"/>
      <c r="S870" s="15"/>
      <c r="T870" s="15"/>
      <c r="U870" s="15"/>
      <c r="V870" s="103"/>
      <c r="W870" s="15"/>
      <c r="X870" s="15"/>
      <c r="Y870" s="15"/>
      <c r="Z870" s="15"/>
      <c r="AA870" s="15"/>
      <c r="AB870" s="15"/>
      <c r="AC870" s="103"/>
      <c r="AD870" s="15"/>
      <c r="AE870" s="15"/>
      <c r="AF870" s="15"/>
      <c r="AG870" s="15"/>
      <c r="AH870" s="15"/>
      <c r="AI870" s="15"/>
      <c r="AJ870" s="103"/>
      <c r="AK870" s="15"/>
      <c r="AL870" s="15"/>
      <c r="AM870" s="15"/>
      <c r="AN870" s="15"/>
      <c r="AO870" s="15"/>
      <c r="AP870" s="15"/>
      <c r="AQ870" s="15"/>
    </row>
    <row r="871">
      <c r="A871" s="15"/>
      <c r="B871" s="15"/>
      <c r="C871" s="15"/>
      <c r="D871" s="15"/>
      <c r="E871" s="15"/>
      <c r="F871" s="15"/>
      <c r="G871" s="15"/>
      <c r="H871" s="103"/>
      <c r="I871" s="15"/>
      <c r="J871" s="15"/>
      <c r="K871" s="15"/>
      <c r="L871" s="15"/>
      <c r="M871" s="15"/>
      <c r="N871" s="15"/>
      <c r="O871" s="103"/>
      <c r="P871" s="15"/>
      <c r="Q871" s="15"/>
      <c r="R871" s="15"/>
      <c r="S871" s="15"/>
      <c r="T871" s="15"/>
      <c r="U871" s="15"/>
      <c r="V871" s="103"/>
      <c r="W871" s="15"/>
      <c r="X871" s="15"/>
      <c r="Y871" s="15"/>
      <c r="Z871" s="15"/>
      <c r="AA871" s="15"/>
      <c r="AB871" s="15"/>
      <c r="AC871" s="103"/>
      <c r="AD871" s="15"/>
      <c r="AE871" s="15"/>
      <c r="AF871" s="15"/>
      <c r="AG871" s="15"/>
      <c r="AH871" s="15"/>
      <c r="AI871" s="15"/>
      <c r="AJ871" s="103"/>
      <c r="AK871" s="15"/>
      <c r="AL871" s="15"/>
      <c r="AM871" s="15"/>
      <c r="AN871" s="15"/>
      <c r="AO871" s="15"/>
      <c r="AP871" s="15"/>
      <c r="AQ871" s="15"/>
    </row>
    <row r="872">
      <c r="A872" s="15"/>
      <c r="B872" s="15"/>
      <c r="C872" s="15"/>
      <c r="D872" s="15"/>
      <c r="E872" s="15"/>
      <c r="F872" s="15"/>
      <c r="G872" s="15"/>
      <c r="H872" s="103"/>
      <c r="I872" s="15"/>
      <c r="J872" s="15"/>
      <c r="K872" s="15"/>
      <c r="L872" s="15"/>
      <c r="M872" s="15"/>
      <c r="N872" s="15"/>
      <c r="O872" s="103"/>
      <c r="P872" s="15"/>
      <c r="Q872" s="15"/>
      <c r="R872" s="15"/>
      <c r="S872" s="15"/>
      <c r="T872" s="15"/>
      <c r="U872" s="15"/>
      <c r="V872" s="103"/>
      <c r="W872" s="15"/>
      <c r="X872" s="15"/>
      <c r="Y872" s="15"/>
      <c r="Z872" s="15"/>
      <c r="AA872" s="15"/>
      <c r="AB872" s="15"/>
      <c r="AC872" s="103"/>
      <c r="AD872" s="15"/>
      <c r="AE872" s="15"/>
      <c r="AF872" s="15"/>
      <c r="AG872" s="15"/>
      <c r="AH872" s="15"/>
      <c r="AI872" s="15"/>
      <c r="AJ872" s="103"/>
      <c r="AK872" s="15"/>
      <c r="AL872" s="15"/>
      <c r="AM872" s="15"/>
      <c r="AN872" s="15"/>
      <c r="AO872" s="15"/>
      <c r="AP872" s="15"/>
      <c r="AQ872" s="15"/>
    </row>
    <row r="873">
      <c r="A873" s="15"/>
      <c r="B873" s="15"/>
      <c r="C873" s="15"/>
      <c r="D873" s="15"/>
      <c r="E873" s="15"/>
      <c r="F873" s="15"/>
      <c r="G873" s="15"/>
      <c r="H873" s="103"/>
      <c r="I873" s="15"/>
      <c r="J873" s="15"/>
      <c r="K873" s="15"/>
      <c r="L873" s="15"/>
      <c r="M873" s="15"/>
      <c r="N873" s="15"/>
      <c r="O873" s="103"/>
      <c r="P873" s="15"/>
      <c r="Q873" s="15"/>
      <c r="R873" s="15"/>
      <c r="S873" s="15"/>
      <c r="T873" s="15"/>
      <c r="U873" s="15"/>
      <c r="V873" s="103"/>
      <c r="W873" s="15"/>
      <c r="X873" s="15"/>
      <c r="Y873" s="15"/>
      <c r="Z873" s="15"/>
      <c r="AA873" s="15"/>
      <c r="AB873" s="15"/>
      <c r="AC873" s="103"/>
      <c r="AD873" s="15"/>
      <c r="AE873" s="15"/>
      <c r="AF873" s="15"/>
      <c r="AG873" s="15"/>
      <c r="AH873" s="15"/>
      <c r="AI873" s="15"/>
      <c r="AJ873" s="103"/>
      <c r="AK873" s="15"/>
      <c r="AL873" s="15"/>
      <c r="AM873" s="15"/>
      <c r="AN873" s="15"/>
      <c r="AO873" s="15"/>
      <c r="AP873" s="15"/>
      <c r="AQ873" s="15"/>
    </row>
    <row r="874">
      <c r="A874" s="15"/>
      <c r="B874" s="15"/>
      <c r="C874" s="15"/>
      <c r="D874" s="15"/>
      <c r="E874" s="15"/>
      <c r="F874" s="15"/>
      <c r="G874" s="15"/>
      <c r="H874" s="103"/>
      <c r="I874" s="15"/>
      <c r="J874" s="15"/>
      <c r="K874" s="15"/>
      <c r="L874" s="15"/>
      <c r="M874" s="15"/>
      <c r="N874" s="15"/>
      <c r="O874" s="103"/>
      <c r="P874" s="15"/>
      <c r="Q874" s="15"/>
      <c r="R874" s="15"/>
      <c r="S874" s="15"/>
      <c r="T874" s="15"/>
      <c r="U874" s="15"/>
      <c r="V874" s="103"/>
      <c r="W874" s="15"/>
      <c r="X874" s="15"/>
      <c r="Y874" s="15"/>
      <c r="Z874" s="15"/>
      <c r="AA874" s="15"/>
      <c r="AB874" s="15"/>
      <c r="AC874" s="103"/>
      <c r="AD874" s="15"/>
      <c r="AE874" s="15"/>
      <c r="AF874" s="15"/>
      <c r="AG874" s="15"/>
      <c r="AH874" s="15"/>
      <c r="AI874" s="15"/>
      <c r="AJ874" s="103"/>
      <c r="AK874" s="15"/>
      <c r="AL874" s="15"/>
      <c r="AM874" s="15"/>
      <c r="AN874" s="15"/>
      <c r="AO874" s="15"/>
      <c r="AP874" s="15"/>
      <c r="AQ874" s="15"/>
    </row>
    <row r="875">
      <c r="A875" s="15"/>
      <c r="B875" s="15"/>
      <c r="C875" s="15"/>
      <c r="D875" s="15"/>
      <c r="E875" s="15"/>
      <c r="F875" s="15"/>
      <c r="G875" s="15"/>
      <c r="H875" s="103"/>
      <c r="I875" s="15"/>
      <c r="J875" s="15"/>
      <c r="K875" s="15"/>
      <c r="L875" s="15"/>
      <c r="M875" s="15"/>
      <c r="N875" s="15"/>
      <c r="O875" s="103"/>
      <c r="P875" s="15"/>
      <c r="Q875" s="15"/>
      <c r="R875" s="15"/>
      <c r="S875" s="15"/>
      <c r="T875" s="15"/>
      <c r="U875" s="15"/>
      <c r="V875" s="103"/>
      <c r="W875" s="15"/>
      <c r="X875" s="15"/>
      <c r="Y875" s="15"/>
      <c r="Z875" s="15"/>
      <c r="AA875" s="15"/>
      <c r="AB875" s="15"/>
      <c r="AC875" s="103"/>
      <c r="AD875" s="15"/>
      <c r="AE875" s="15"/>
      <c r="AF875" s="15"/>
      <c r="AG875" s="15"/>
      <c r="AH875" s="15"/>
      <c r="AI875" s="15"/>
      <c r="AJ875" s="103"/>
      <c r="AK875" s="15"/>
      <c r="AL875" s="15"/>
      <c r="AM875" s="15"/>
      <c r="AN875" s="15"/>
      <c r="AO875" s="15"/>
      <c r="AP875" s="15"/>
      <c r="AQ875" s="15"/>
    </row>
    <row r="876">
      <c r="A876" s="15"/>
      <c r="B876" s="15"/>
      <c r="C876" s="15"/>
      <c r="D876" s="15"/>
      <c r="E876" s="15"/>
      <c r="F876" s="15"/>
      <c r="G876" s="15"/>
      <c r="H876" s="103"/>
      <c r="I876" s="15"/>
      <c r="J876" s="15"/>
      <c r="K876" s="15"/>
      <c r="L876" s="15"/>
      <c r="M876" s="15"/>
      <c r="N876" s="15"/>
      <c r="O876" s="103"/>
      <c r="P876" s="15"/>
      <c r="Q876" s="15"/>
      <c r="R876" s="15"/>
      <c r="S876" s="15"/>
      <c r="T876" s="15"/>
      <c r="U876" s="15"/>
      <c r="V876" s="103"/>
      <c r="W876" s="15"/>
      <c r="X876" s="15"/>
      <c r="Y876" s="15"/>
      <c r="Z876" s="15"/>
      <c r="AA876" s="15"/>
      <c r="AB876" s="15"/>
      <c r="AC876" s="103"/>
      <c r="AD876" s="15"/>
      <c r="AE876" s="15"/>
      <c r="AF876" s="15"/>
      <c r="AG876" s="15"/>
      <c r="AH876" s="15"/>
      <c r="AI876" s="15"/>
      <c r="AJ876" s="103"/>
      <c r="AK876" s="15"/>
      <c r="AL876" s="15"/>
      <c r="AM876" s="15"/>
      <c r="AN876" s="15"/>
      <c r="AO876" s="15"/>
      <c r="AP876" s="15"/>
      <c r="AQ876" s="15"/>
    </row>
    <row r="877">
      <c r="A877" s="15"/>
      <c r="B877" s="15"/>
      <c r="C877" s="15"/>
      <c r="D877" s="15"/>
      <c r="E877" s="15"/>
      <c r="F877" s="15"/>
      <c r="G877" s="15"/>
      <c r="H877" s="103"/>
      <c r="I877" s="15"/>
      <c r="J877" s="15"/>
      <c r="K877" s="15"/>
      <c r="L877" s="15"/>
      <c r="M877" s="15"/>
      <c r="N877" s="15"/>
      <c r="O877" s="103"/>
      <c r="P877" s="15"/>
      <c r="Q877" s="15"/>
      <c r="R877" s="15"/>
      <c r="S877" s="15"/>
      <c r="T877" s="15"/>
      <c r="U877" s="15"/>
      <c r="V877" s="103"/>
      <c r="W877" s="15"/>
      <c r="X877" s="15"/>
      <c r="Y877" s="15"/>
      <c r="Z877" s="15"/>
      <c r="AA877" s="15"/>
      <c r="AB877" s="15"/>
      <c r="AC877" s="103"/>
      <c r="AD877" s="15"/>
      <c r="AE877" s="15"/>
      <c r="AF877" s="15"/>
      <c r="AG877" s="15"/>
      <c r="AH877" s="15"/>
      <c r="AI877" s="15"/>
      <c r="AJ877" s="103"/>
      <c r="AK877" s="15"/>
      <c r="AL877" s="15"/>
      <c r="AM877" s="15"/>
      <c r="AN877" s="15"/>
      <c r="AO877" s="15"/>
      <c r="AP877" s="15"/>
      <c r="AQ877" s="15"/>
    </row>
    <row r="878">
      <c r="A878" s="15"/>
      <c r="B878" s="15"/>
      <c r="C878" s="15"/>
      <c r="D878" s="15"/>
      <c r="E878" s="15"/>
      <c r="F878" s="15"/>
      <c r="G878" s="15"/>
      <c r="H878" s="103"/>
      <c r="I878" s="15"/>
      <c r="J878" s="15"/>
      <c r="K878" s="15"/>
      <c r="L878" s="15"/>
      <c r="M878" s="15"/>
      <c r="N878" s="15"/>
      <c r="O878" s="103"/>
      <c r="P878" s="15"/>
      <c r="Q878" s="15"/>
      <c r="R878" s="15"/>
      <c r="S878" s="15"/>
      <c r="T878" s="15"/>
      <c r="U878" s="15"/>
      <c r="V878" s="103"/>
      <c r="W878" s="15"/>
      <c r="X878" s="15"/>
      <c r="Y878" s="15"/>
      <c r="Z878" s="15"/>
      <c r="AA878" s="15"/>
      <c r="AB878" s="15"/>
      <c r="AC878" s="103"/>
      <c r="AD878" s="15"/>
      <c r="AE878" s="15"/>
      <c r="AF878" s="15"/>
      <c r="AG878" s="15"/>
      <c r="AH878" s="15"/>
      <c r="AI878" s="15"/>
      <c r="AJ878" s="103"/>
      <c r="AK878" s="15"/>
      <c r="AL878" s="15"/>
      <c r="AM878" s="15"/>
      <c r="AN878" s="15"/>
      <c r="AO878" s="15"/>
      <c r="AP878" s="15"/>
      <c r="AQ878" s="15"/>
    </row>
    <row r="879">
      <c r="A879" s="15"/>
      <c r="B879" s="15"/>
      <c r="C879" s="15"/>
      <c r="D879" s="15"/>
      <c r="E879" s="15"/>
      <c r="F879" s="15"/>
      <c r="G879" s="15"/>
      <c r="H879" s="103"/>
      <c r="I879" s="15"/>
      <c r="J879" s="15"/>
      <c r="K879" s="15"/>
      <c r="L879" s="15"/>
      <c r="M879" s="15"/>
      <c r="N879" s="15"/>
      <c r="O879" s="103"/>
      <c r="P879" s="15"/>
      <c r="Q879" s="15"/>
      <c r="R879" s="15"/>
      <c r="S879" s="15"/>
      <c r="T879" s="15"/>
      <c r="U879" s="15"/>
      <c r="V879" s="103"/>
      <c r="W879" s="15"/>
      <c r="X879" s="15"/>
      <c r="Y879" s="15"/>
      <c r="Z879" s="15"/>
      <c r="AA879" s="15"/>
      <c r="AB879" s="15"/>
      <c r="AC879" s="103"/>
      <c r="AD879" s="15"/>
      <c r="AE879" s="15"/>
      <c r="AF879" s="15"/>
      <c r="AG879" s="15"/>
      <c r="AH879" s="15"/>
      <c r="AI879" s="15"/>
      <c r="AJ879" s="103"/>
      <c r="AK879" s="15"/>
      <c r="AL879" s="15"/>
      <c r="AM879" s="15"/>
      <c r="AN879" s="15"/>
      <c r="AO879" s="15"/>
      <c r="AP879" s="15"/>
      <c r="AQ879" s="15"/>
    </row>
    <row r="880">
      <c r="A880" s="15"/>
      <c r="B880" s="15"/>
      <c r="C880" s="15"/>
      <c r="D880" s="15"/>
      <c r="E880" s="15"/>
      <c r="F880" s="15"/>
      <c r="G880" s="15"/>
      <c r="H880" s="103"/>
      <c r="I880" s="15"/>
      <c r="J880" s="15"/>
      <c r="K880" s="15"/>
      <c r="L880" s="15"/>
      <c r="M880" s="15"/>
      <c r="N880" s="15"/>
      <c r="O880" s="103"/>
      <c r="P880" s="15"/>
      <c r="Q880" s="15"/>
      <c r="R880" s="15"/>
      <c r="S880" s="15"/>
      <c r="T880" s="15"/>
      <c r="U880" s="15"/>
      <c r="V880" s="103"/>
      <c r="W880" s="15"/>
      <c r="X880" s="15"/>
      <c r="Y880" s="15"/>
      <c r="Z880" s="15"/>
      <c r="AA880" s="15"/>
      <c r="AB880" s="15"/>
      <c r="AC880" s="103"/>
      <c r="AD880" s="15"/>
      <c r="AE880" s="15"/>
      <c r="AF880" s="15"/>
      <c r="AG880" s="15"/>
      <c r="AH880" s="15"/>
      <c r="AI880" s="15"/>
      <c r="AJ880" s="103"/>
      <c r="AK880" s="15"/>
      <c r="AL880" s="15"/>
      <c r="AM880" s="15"/>
      <c r="AN880" s="15"/>
      <c r="AO880" s="15"/>
      <c r="AP880" s="15"/>
      <c r="AQ880" s="15"/>
    </row>
    <row r="881">
      <c r="A881" s="15"/>
      <c r="B881" s="15"/>
      <c r="C881" s="15"/>
      <c r="D881" s="15"/>
      <c r="E881" s="15"/>
      <c r="F881" s="15"/>
      <c r="G881" s="15"/>
      <c r="H881" s="103"/>
      <c r="I881" s="15"/>
      <c r="J881" s="15"/>
      <c r="K881" s="15"/>
      <c r="L881" s="15"/>
      <c r="M881" s="15"/>
      <c r="N881" s="15"/>
      <c r="O881" s="103"/>
      <c r="P881" s="15"/>
      <c r="Q881" s="15"/>
      <c r="R881" s="15"/>
      <c r="S881" s="15"/>
      <c r="T881" s="15"/>
      <c r="U881" s="15"/>
      <c r="V881" s="103"/>
      <c r="W881" s="15"/>
      <c r="X881" s="15"/>
      <c r="Y881" s="15"/>
      <c r="Z881" s="15"/>
      <c r="AA881" s="15"/>
      <c r="AB881" s="15"/>
      <c r="AC881" s="103"/>
      <c r="AD881" s="15"/>
      <c r="AE881" s="15"/>
      <c r="AF881" s="15"/>
      <c r="AG881" s="15"/>
      <c r="AH881" s="15"/>
      <c r="AI881" s="15"/>
      <c r="AJ881" s="103"/>
      <c r="AK881" s="15"/>
      <c r="AL881" s="15"/>
      <c r="AM881" s="15"/>
      <c r="AN881" s="15"/>
      <c r="AO881" s="15"/>
      <c r="AP881" s="15"/>
      <c r="AQ881" s="15"/>
    </row>
    <row r="882">
      <c r="A882" s="15"/>
      <c r="B882" s="15"/>
      <c r="C882" s="15"/>
      <c r="D882" s="15"/>
      <c r="E882" s="15"/>
      <c r="F882" s="15"/>
      <c r="G882" s="15"/>
      <c r="H882" s="103"/>
      <c r="I882" s="15"/>
      <c r="J882" s="15"/>
      <c r="K882" s="15"/>
      <c r="L882" s="15"/>
      <c r="M882" s="15"/>
      <c r="N882" s="15"/>
      <c r="O882" s="103"/>
      <c r="P882" s="15"/>
      <c r="Q882" s="15"/>
      <c r="R882" s="15"/>
      <c r="S882" s="15"/>
      <c r="T882" s="15"/>
      <c r="U882" s="15"/>
      <c r="V882" s="103"/>
      <c r="W882" s="15"/>
      <c r="X882" s="15"/>
      <c r="Y882" s="15"/>
      <c r="Z882" s="15"/>
      <c r="AA882" s="15"/>
      <c r="AB882" s="15"/>
      <c r="AC882" s="103"/>
      <c r="AD882" s="15"/>
      <c r="AE882" s="15"/>
      <c r="AF882" s="15"/>
      <c r="AG882" s="15"/>
      <c r="AH882" s="15"/>
      <c r="AI882" s="15"/>
      <c r="AJ882" s="103"/>
      <c r="AK882" s="15"/>
      <c r="AL882" s="15"/>
      <c r="AM882" s="15"/>
      <c r="AN882" s="15"/>
      <c r="AO882" s="15"/>
      <c r="AP882" s="15"/>
      <c r="AQ882" s="15"/>
    </row>
    <row r="883">
      <c r="A883" s="15"/>
      <c r="B883" s="15"/>
      <c r="C883" s="15"/>
      <c r="D883" s="15"/>
      <c r="E883" s="15"/>
      <c r="F883" s="15"/>
      <c r="G883" s="15"/>
      <c r="H883" s="103"/>
      <c r="I883" s="15"/>
      <c r="J883" s="15"/>
      <c r="K883" s="15"/>
      <c r="L883" s="15"/>
      <c r="M883" s="15"/>
      <c r="N883" s="15"/>
      <c r="O883" s="103"/>
      <c r="P883" s="15"/>
      <c r="Q883" s="15"/>
      <c r="R883" s="15"/>
      <c r="S883" s="15"/>
      <c r="T883" s="15"/>
      <c r="U883" s="15"/>
      <c r="V883" s="103"/>
      <c r="W883" s="15"/>
      <c r="X883" s="15"/>
      <c r="Y883" s="15"/>
      <c r="Z883" s="15"/>
      <c r="AA883" s="15"/>
      <c r="AB883" s="15"/>
      <c r="AC883" s="103"/>
      <c r="AD883" s="15"/>
      <c r="AE883" s="15"/>
      <c r="AF883" s="15"/>
      <c r="AG883" s="15"/>
      <c r="AH883" s="15"/>
      <c r="AI883" s="15"/>
      <c r="AJ883" s="103"/>
      <c r="AK883" s="15"/>
      <c r="AL883" s="15"/>
      <c r="AM883" s="15"/>
      <c r="AN883" s="15"/>
      <c r="AO883" s="15"/>
      <c r="AP883" s="15"/>
      <c r="AQ883" s="15"/>
    </row>
    <row r="884">
      <c r="A884" s="15"/>
      <c r="B884" s="15"/>
      <c r="C884" s="15"/>
      <c r="D884" s="15"/>
      <c r="E884" s="15"/>
      <c r="F884" s="15"/>
      <c r="G884" s="15"/>
      <c r="H884" s="103"/>
      <c r="I884" s="15"/>
      <c r="J884" s="15"/>
      <c r="K884" s="15"/>
      <c r="L884" s="15"/>
      <c r="M884" s="15"/>
      <c r="N884" s="15"/>
      <c r="O884" s="103"/>
      <c r="P884" s="15"/>
      <c r="Q884" s="15"/>
      <c r="R884" s="15"/>
      <c r="S884" s="15"/>
      <c r="T884" s="15"/>
      <c r="U884" s="15"/>
      <c r="V884" s="103"/>
      <c r="W884" s="15"/>
      <c r="X884" s="15"/>
      <c r="Y884" s="15"/>
      <c r="Z884" s="15"/>
      <c r="AA884" s="15"/>
      <c r="AB884" s="15"/>
      <c r="AC884" s="103"/>
      <c r="AD884" s="15"/>
      <c r="AE884" s="15"/>
      <c r="AF884" s="15"/>
      <c r="AG884" s="15"/>
      <c r="AH884" s="15"/>
      <c r="AI884" s="15"/>
      <c r="AJ884" s="103"/>
      <c r="AK884" s="15"/>
      <c r="AL884" s="15"/>
      <c r="AM884" s="15"/>
      <c r="AN884" s="15"/>
      <c r="AO884" s="15"/>
      <c r="AP884" s="15"/>
      <c r="AQ884" s="15"/>
    </row>
    <row r="885">
      <c r="A885" s="15"/>
      <c r="B885" s="15"/>
      <c r="C885" s="15"/>
      <c r="D885" s="15"/>
      <c r="E885" s="15"/>
      <c r="F885" s="15"/>
      <c r="G885" s="15"/>
      <c r="H885" s="103"/>
      <c r="I885" s="15"/>
      <c r="J885" s="15"/>
      <c r="K885" s="15"/>
      <c r="L885" s="15"/>
      <c r="M885" s="15"/>
      <c r="N885" s="15"/>
      <c r="O885" s="103"/>
      <c r="P885" s="15"/>
      <c r="Q885" s="15"/>
      <c r="R885" s="15"/>
      <c r="S885" s="15"/>
      <c r="T885" s="15"/>
      <c r="U885" s="15"/>
      <c r="V885" s="103"/>
      <c r="W885" s="15"/>
      <c r="X885" s="15"/>
      <c r="Y885" s="15"/>
      <c r="Z885" s="15"/>
      <c r="AA885" s="15"/>
      <c r="AB885" s="15"/>
      <c r="AC885" s="103"/>
      <c r="AD885" s="15"/>
      <c r="AE885" s="15"/>
      <c r="AF885" s="15"/>
      <c r="AG885" s="15"/>
      <c r="AH885" s="15"/>
      <c r="AI885" s="15"/>
      <c r="AJ885" s="103"/>
      <c r="AK885" s="15"/>
      <c r="AL885" s="15"/>
      <c r="AM885" s="15"/>
      <c r="AN885" s="15"/>
      <c r="AO885" s="15"/>
      <c r="AP885" s="15"/>
      <c r="AQ885" s="15"/>
    </row>
    <row r="886">
      <c r="A886" s="15"/>
      <c r="B886" s="15"/>
      <c r="C886" s="15"/>
      <c r="D886" s="15"/>
      <c r="E886" s="15"/>
      <c r="F886" s="15"/>
      <c r="G886" s="15"/>
      <c r="H886" s="103"/>
      <c r="I886" s="15"/>
      <c r="J886" s="15"/>
      <c r="K886" s="15"/>
      <c r="L886" s="15"/>
      <c r="M886" s="15"/>
      <c r="N886" s="15"/>
      <c r="O886" s="103"/>
      <c r="P886" s="15"/>
      <c r="Q886" s="15"/>
      <c r="R886" s="15"/>
      <c r="S886" s="15"/>
      <c r="T886" s="15"/>
      <c r="U886" s="15"/>
      <c r="V886" s="103"/>
      <c r="W886" s="15"/>
      <c r="X886" s="15"/>
      <c r="Y886" s="15"/>
      <c r="Z886" s="15"/>
      <c r="AA886" s="15"/>
      <c r="AB886" s="15"/>
      <c r="AC886" s="103"/>
      <c r="AD886" s="15"/>
      <c r="AE886" s="15"/>
      <c r="AF886" s="15"/>
      <c r="AG886" s="15"/>
      <c r="AH886" s="15"/>
      <c r="AI886" s="15"/>
      <c r="AJ886" s="103"/>
      <c r="AK886" s="15"/>
      <c r="AL886" s="15"/>
      <c r="AM886" s="15"/>
      <c r="AN886" s="15"/>
      <c r="AO886" s="15"/>
      <c r="AP886" s="15"/>
      <c r="AQ886" s="15"/>
    </row>
    <row r="887">
      <c r="A887" s="15"/>
      <c r="B887" s="15"/>
      <c r="C887" s="15"/>
      <c r="D887" s="15"/>
      <c r="E887" s="15"/>
      <c r="F887" s="15"/>
      <c r="G887" s="15"/>
      <c r="H887" s="103"/>
      <c r="I887" s="15"/>
      <c r="J887" s="15"/>
      <c r="K887" s="15"/>
      <c r="L887" s="15"/>
      <c r="M887" s="15"/>
      <c r="N887" s="15"/>
      <c r="O887" s="103"/>
      <c r="P887" s="15"/>
      <c r="Q887" s="15"/>
      <c r="R887" s="15"/>
      <c r="S887" s="15"/>
      <c r="T887" s="15"/>
      <c r="U887" s="15"/>
      <c r="V887" s="103"/>
      <c r="W887" s="15"/>
      <c r="X887" s="15"/>
      <c r="Y887" s="15"/>
      <c r="Z887" s="15"/>
      <c r="AA887" s="15"/>
      <c r="AB887" s="15"/>
      <c r="AC887" s="103"/>
      <c r="AD887" s="15"/>
      <c r="AE887" s="15"/>
      <c r="AF887" s="15"/>
      <c r="AG887" s="15"/>
      <c r="AH887" s="15"/>
      <c r="AI887" s="15"/>
      <c r="AJ887" s="103"/>
      <c r="AK887" s="15"/>
      <c r="AL887" s="15"/>
      <c r="AM887" s="15"/>
      <c r="AN887" s="15"/>
      <c r="AO887" s="15"/>
      <c r="AP887" s="15"/>
      <c r="AQ887" s="15"/>
    </row>
    <row r="888">
      <c r="A888" s="15"/>
      <c r="B888" s="15"/>
      <c r="C888" s="15"/>
      <c r="D888" s="15"/>
      <c r="E888" s="15"/>
      <c r="F888" s="15"/>
      <c r="G888" s="15"/>
      <c r="H888" s="103"/>
      <c r="I888" s="15"/>
      <c r="J888" s="15"/>
      <c r="K888" s="15"/>
      <c r="L888" s="15"/>
      <c r="M888" s="15"/>
      <c r="N888" s="15"/>
      <c r="O888" s="103"/>
      <c r="P888" s="15"/>
      <c r="Q888" s="15"/>
      <c r="R888" s="15"/>
      <c r="S888" s="15"/>
      <c r="T888" s="15"/>
      <c r="U888" s="15"/>
      <c r="V888" s="103"/>
      <c r="W888" s="15"/>
      <c r="X888" s="15"/>
      <c r="Y888" s="15"/>
      <c r="Z888" s="15"/>
      <c r="AA888" s="15"/>
      <c r="AB888" s="15"/>
      <c r="AC888" s="103"/>
      <c r="AD888" s="15"/>
      <c r="AE888" s="15"/>
      <c r="AF888" s="15"/>
      <c r="AG888" s="15"/>
      <c r="AH888" s="15"/>
      <c r="AI888" s="15"/>
      <c r="AJ888" s="103"/>
      <c r="AK888" s="15"/>
      <c r="AL888" s="15"/>
      <c r="AM888" s="15"/>
      <c r="AN888" s="15"/>
      <c r="AO888" s="15"/>
      <c r="AP888" s="15"/>
      <c r="AQ888" s="15"/>
    </row>
    <row r="889">
      <c r="A889" s="15"/>
      <c r="B889" s="15"/>
      <c r="C889" s="15"/>
      <c r="D889" s="15"/>
      <c r="E889" s="15"/>
      <c r="F889" s="15"/>
      <c r="G889" s="15"/>
      <c r="H889" s="103"/>
      <c r="I889" s="15"/>
      <c r="J889" s="15"/>
      <c r="K889" s="15"/>
      <c r="L889" s="15"/>
      <c r="M889" s="15"/>
      <c r="N889" s="15"/>
      <c r="O889" s="103"/>
      <c r="P889" s="15"/>
      <c r="Q889" s="15"/>
      <c r="R889" s="15"/>
      <c r="S889" s="15"/>
      <c r="T889" s="15"/>
      <c r="U889" s="15"/>
      <c r="V889" s="103"/>
      <c r="W889" s="15"/>
      <c r="X889" s="15"/>
      <c r="Y889" s="15"/>
      <c r="Z889" s="15"/>
      <c r="AA889" s="15"/>
      <c r="AB889" s="15"/>
      <c r="AC889" s="103"/>
      <c r="AD889" s="15"/>
      <c r="AE889" s="15"/>
      <c r="AF889" s="15"/>
      <c r="AG889" s="15"/>
      <c r="AH889" s="15"/>
      <c r="AI889" s="15"/>
      <c r="AJ889" s="103"/>
      <c r="AK889" s="15"/>
      <c r="AL889" s="15"/>
      <c r="AM889" s="15"/>
      <c r="AN889" s="15"/>
      <c r="AO889" s="15"/>
      <c r="AP889" s="15"/>
      <c r="AQ889" s="15"/>
    </row>
    <row r="890">
      <c r="A890" s="15"/>
      <c r="B890" s="15"/>
      <c r="C890" s="15"/>
      <c r="D890" s="15"/>
      <c r="E890" s="15"/>
      <c r="F890" s="15"/>
      <c r="G890" s="15"/>
      <c r="H890" s="103"/>
      <c r="I890" s="15"/>
      <c r="J890" s="15"/>
      <c r="K890" s="15"/>
      <c r="L890" s="15"/>
      <c r="M890" s="15"/>
      <c r="N890" s="15"/>
      <c r="O890" s="103"/>
      <c r="P890" s="15"/>
      <c r="Q890" s="15"/>
      <c r="R890" s="15"/>
      <c r="S890" s="15"/>
      <c r="T890" s="15"/>
      <c r="U890" s="15"/>
      <c r="V890" s="103"/>
      <c r="W890" s="15"/>
      <c r="X890" s="15"/>
      <c r="Y890" s="15"/>
      <c r="Z890" s="15"/>
      <c r="AA890" s="15"/>
      <c r="AB890" s="15"/>
      <c r="AC890" s="103"/>
      <c r="AD890" s="15"/>
      <c r="AE890" s="15"/>
      <c r="AF890" s="15"/>
      <c r="AG890" s="15"/>
      <c r="AH890" s="15"/>
      <c r="AI890" s="15"/>
      <c r="AJ890" s="103"/>
      <c r="AK890" s="15"/>
      <c r="AL890" s="15"/>
      <c r="AM890" s="15"/>
      <c r="AN890" s="15"/>
      <c r="AO890" s="15"/>
      <c r="AP890" s="15"/>
      <c r="AQ890" s="15"/>
    </row>
    <row r="891">
      <c r="A891" s="15"/>
      <c r="B891" s="15"/>
      <c r="C891" s="15"/>
      <c r="D891" s="15"/>
      <c r="E891" s="15"/>
      <c r="F891" s="15"/>
      <c r="G891" s="15"/>
      <c r="H891" s="103"/>
      <c r="I891" s="15"/>
      <c r="J891" s="15"/>
      <c r="K891" s="15"/>
      <c r="L891" s="15"/>
      <c r="M891" s="15"/>
      <c r="N891" s="15"/>
      <c r="O891" s="103"/>
      <c r="P891" s="15"/>
      <c r="Q891" s="15"/>
      <c r="R891" s="15"/>
      <c r="S891" s="15"/>
      <c r="T891" s="15"/>
      <c r="U891" s="15"/>
      <c r="V891" s="103"/>
      <c r="W891" s="15"/>
      <c r="X891" s="15"/>
      <c r="Y891" s="15"/>
      <c r="Z891" s="15"/>
      <c r="AA891" s="15"/>
      <c r="AB891" s="15"/>
      <c r="AC891" s="103"/>
      <c r="AD891" s="15"/>
      <c r="AE891" s="15"/>
      <c r="AF891" s="15"/>
      <c r="AG891" s="15"/>
      <c r="AH891" s="15"/>
      <c r="AI891" s="15"/>
      <c r="AJ891" s="103"/>
      <c r="AK891" s="15"/>
      <c r="AL891" s="15"/>
      <c r="AM891" s="15"/>
      <c r="AN891" s="15"/>
      <c r="AO891" s="15"/>
      <c r="AP891" s="15"/>
      <c r="AQ891" s="15"/>
    </row>
    <row r="892">
      <c r="A892" s="15"/>
      <c r="B892" s="15"/>
      <c r="C892" s="15"/>
      <c r="D892" s="15"/>
      <c r="E892" s="15"/>
      <c r="F892" s="15"/>
      <c r="G892" s="15"/>
      <c r="H892" s="103"/>
      <c r="I892" s="15"/>
      <c r="J892" s="15"/>
      <c r="K892" s="15"/>
      <c r="L892" s="15"/>
      <c r="M892" s="15"/>
      <c r="N892" s="15"/>
      <c r="O892" s="103"/>
      <c r="P892" s="15"/>
      <c r="Q892" s="15"/>
      <c r="R892" s="15"/>
      <c r="S892" s="15"/>
      <c r="T892" s="15"/>
      <c r="U892" s="15"/>
      <c r="V892" s="103"/>
      <c r="W892" s="15"/>
      <c r="X892" s="15"/>
      <c r="Y892" s="15"/>
      <c r="Z892" s="15"/>
      <c r="AA892" s="15"/>
      <c r="AB892" s="15"/>
      <c r="AC892" s="103"/>
      <c r="AD892" s="15"/>
      <c r="AE892" s="15"/>
      <c r="AF892" s="15"/>
      <c r="AG892" s="15"/>
      <c r="AH892" s="15"/>
      <c r="AI892" s="15"/>
      <c r="AJ892" s="103"/>
      <c r="AK892" s="15"/>
      <c r="AL892" s="15"/>
      <c r="AM892" s="15"/>
      <c r="AN892" s="15"/>
      <c r="AO892" s="15"/>
      <c r="AP892" s="15"/>
      <c r="AQ892" s="15"/>
    </row>
    <row r="893">
      <c r="A893" s="15"/>
      <c r="B893" s="15"/>
      <c r="C893" s="15"/>
      <c r="D893" s="15"/>
      <c r="E893" s="15"/>
      <c r="F893" s="15"/>
      <c r="G893" s="15"/>
      <c r="H893" s="103"/>
      <c r="I893" s="15"/>
      <c r="J893" s="15"/>
      <c r="K893" s="15"/>
      <c r="L893" s="15"/>
      <c r="M893" s="15"/>
      <c r="N893" s="15"/>
      <c r="O893" s="103"/>
      <c r="P893" s="15"/>
      <c r="Q893" s="15"/>
      <c r="R893" s="15"/>
      <c r="S893" s="15"/>
      <c r="T893" s="15"/>
      <c r="U893" s="15"/>
      <c r="V893" s="103"/>
      <c r="W893" s="15"/>
      <c r="X893" s="15"/>
      <c r="Y893" s="15"/>
      <c r="Z893" s="15"/>
      <c r="AA893" s="15"/>
      <c r="AB893" s="15"/>
      <c r="AC893" s="103"/>
      <c r="AD893" s="15"/>
      <c r="AE893" s="15"/>
      <c r="AF893" s="15"/>
      <c r="AG893" s="15"/>
      <c r="AH893" s="15"/>
      <c r="AI893" s="15"/>
      <c r="AJ893" s="103"/>
      <c r="AK893" s="15"/>
      <c r="AL893" s="15"/>
      <c r="AM893" s="15"/>
      <c r="AN893" s="15"/>
      <c r="AO893" s="15"/>
      <c r="AP893" s="15"/>
      <c r="AQ893" s="15"/>
    </row>
    <row r="894">
      <c r="A894" s="15"/>
      <c r="B894" s="15"/>
      <c r="C894" s="15"/>
      <c r="D894" s="15"/>
      <c r="E894" s="15"/>
      <c r="F894" s="15"/>
      <c r="G894" s="15"/>
      <c r="H894" s="103"/>
      <c r="I894" s="15"/>
      <c r="J894" s="15"/>
      <c r="K894" s="15"/>
      <c r="L894" s="15"/>
      <c r="M894" s="15"/>
      <c r="N894" s="15"/>
      <c r="O894" s="103"/>
      <c r="P894" s="15"/>
      <c r="Q894" s="15"/>
      <c r="R894" s="15"/>
      <c r="S894" s="15"/>
      <c r="T894" s="15"/>
      <c r="U894" s="15"/>
      <c r="V894" s="103"/>
      <c r="W894" s="15"/>
      <c r="X894" s="15"/>
      <c r="Y894" s="15"/>
      <c r="Z894" s="15"/>
      <c r="AA894" s="15"/>
      <c r="AB894" s="15"/>
      <c r="AC894" s="103"/>
      <c r="AD894" s="15"/>
      <c r="AE894" s="15"/>
      <c r="AF894" s="15"/>
      <c r="AG894" s="15"/>
      <c r="AH894" s="15"/>
      <c r="AI894" s="15"/>
      <c r="AJ894" s="103"/>
      <c r="AK894" s="15"/>
      <c r="AL894" s="15"/>
      <c r="AM894" s="15"/>
      <c r="AN894" s="15"/>
      <c r="AO894" s="15"/>
      <c r="AP894" s="15"/>
      <c r="AQ894" s="15"/>
    </row>
    <row r="895">
      <c r="A895" s="15"/>
      <c r="B895" s="15"/>
      <c r="C895" s="15"/>
      <c r="D895" s="15"/>
      <c r="E895" s="15"/>
      <c r="F895" s="15"/>
      <c r="G895" s="15"/>
      <c r="H895" s="103"/>
      <c r="I895" s="15"/>
      <c r="J895" s="15"/>
      <c r="K895" s="15"/>
      <c r="L895" s="15"/>
      <c r="M895" s="15"/>
      <c r="N895" s="15"/>
      <c r="O895" s="103"/>
      <c r="P895" s="15"/>
      <c r="Q895" s="15"/>
      <c r="R895" s="15"/>
      <c r="S895" s="15"/>
      <c r="T895" s="15"/>
      <c r="U895" s="15"/>
      <c r="V895" s="103"/>
      <c r="W895" s="15"/>
      <c r="X895" s="15"/>
      <c r="Y895" s="15"/>
      <c r="Z895" s="15"/>
      <c r="AA895" s="15"/>
      <c r="AB895" s="15"/>
      <c r="AC895" s="103"/>
      <c r="AD895" s="15"/>
      <c r="AE895" s="15"/>
      <c r="AF895" s="15"/>
      <c r="AG895" s="15"/>
      <c r="AH895" s="15"/>
      <c r="AI895" s="15"/>
      <c r="AJ895" s="103"/>
      <c r="AK895" s="15"/>
      <c r="AL895" s="15"/>
      <c r="AM895" s="15"/>
      <c r="AN895" s="15"/>
      <c r="AO895" s="15"/>
      <c r="AP895" s="15"/>
      <c r="AQ895" s="15"/>
    </row>
    <row r="896">
      <c r="A896" s="15"/>
      <c r="B896" s="15"/>
      <c r="C896" s="15"/>
      <c r="D896" s="15"/>
      <c r="E896" s="15"/>
      <c r="F896" s="15"/>
      <c r="G896" s="15"/>
      <c r="H896" s="103"/>
      <c r="I896" s="15"/>
      <c r="J896" s="15"/>
      <c r="K896" s="15"/>
      <c r="L896" s="15"/>
      <c r="M896" s="15"/>
      <c r="N896" s="15"/>
      <c r="O896" s="103"/>
      <c r="P896" s="15"/>
      <c r="Q896" s="15"/>
      <c r="R896" s="15"/>
      <c r="S896" s="15"/>
      <c r="T896" s="15"/>
      <c r="U896" s="15"/>
      <c r="V896" s="103"/>
      <c r="W896" s="15"/>
      <c r="X896" s="15"/>
      <c r="Y896" s="15"/>
      <c r="Z896" s="15"/>
      <c r="AA896" s="15"/>
      <c r="AB896" s="15"/>
      <c r="AC896" s="103"/>
      <c r="AD896" s="15"/>
      <c r="AE896" s="15"/>
      <c r="AF896" s="15"/>
      <c r="AG896" s="15"/>
      <c r="AH896" s="15"/>
      <c r="AI896" s="15"/>
      <c r="AJ896" s="103"/>
      <c r="AK896" s="15"/>
      <c r="AL896" s="15"/>
      <c r="AM896" s="15"/>
      <c r="AN896" s="15"/>
      <c r="AO896" s="15"/>
      <c r="AP896" s="15"/>
      <c r="AQ896" s="15"/>
    </row>
    <row r="897">
      <c r="A897" s="15"/>
      <c r="B897" s="15"/>
      <c r="C897" s="15"/>
      <c r="D897" s="15"/>
      <c r="E897" s="15"/>
      <c r="F897" s="15"/>
      <c r="G897" s="15"/>
      <c r="H897" s="103"/>
      <c r="I897" s="15"/>
      <c r="J897" s="15"/>
      <c r="K897" s="15"/>
      <c r="L897" s="15"/>
      <c r="M897" s="15"/>
      <c r="N897" s="15"/>
      <c r="O897" s="103"/>
      <c r="P897" s="15"/>
      <c r="Q897" s="15"/>
      <c r="R897" s="15"/>
      <c r="S897" s="15"/>
      <c r="T897" s="15"/>
      <c r="U897" s="15"/>
      <c r="V897" s="103"/>
      <c r="W897" s="15"/>
      <c r="X897" s="15"/>
      <c r="Y897" s="15"/>
      <c r="Z897" s="15"/>
      <c r="AA897" s="15"/>
      <c r="AB897" s="15"/>
      <c r="AC897" s="103"/>
      <c r="AD897" s="15"/>
      <c r="AE897" s="15"/>
      <c r="AF897" s="15"/>
      <c r="AG897" s="15"/>
      <c r="AH897" s="15"/>
      <c r="AI897" s="15"/>
      <c r="AJ897" s="103"/>
      <c r="AK897" s="15"/>
      <c r="AL897" s="15"/>
      <c r="AM897" s="15"/>
      <c r="AN897" s="15"/>
      <c r="AO897" s="15"/>
      <c r="AP897" s="15"/>
      <c r="AQ897" s="15"/>
    </row>
    <row r="898">
      <c r="A898" s="15"/>
      <c r="B898" s="15"/>
      <c r="C898" s="15"/>
      <c r="D898" s="15"/>
      <c r="E898" s="15"/>
      <c r="F898" s="15"/>
      <c r="G898" s="15"/>
      <c r="H898" s="103"/>
      <c r="I898" s="15"/>
      <c r="J898" s="15"/>
      <c r="K898" s="15"/>
      <c r="L898" s="15"/>
      <c r="M898" s="15"/>
      <c r="N898" s="15"/>
      <c r="O898" s="103"/>
      <c r="P898" s="15"/>
      <c r="Q898" s="15"/>
      <c r="R898" s="15"/>
      <c r="S898" s="15"/>
      <c r="T898" s="15"/>
      <c r="U898" s="15"/>
      <c r="V898" s="103"/>
      <c r="W898" s="15"/>
      <c r="X898" s="15"/>
      <c r="Y898" s="15"/>
      <c r="Z898" s="15"/>
      <c r="AA898" s="15"/>
      <c r="AB898" s="15"/>
      <c r="AC898" s="103"/>
      <c r="AD898" s="15"/>
      <c r="AE898" s="15"/>
      <c r="AF898" s="15"/>
      <c r="AG898" s="15"/>
      <c r="AH898" s="15"/>
      <c r="AI898" s="15"/>
      <c r="AJ898" s="103"/>
      <c r="AK898" s="15"/>
      <c r="AL898" s="15"/>
      <c r="AM898" s="15"/>
      <c r="AN898" s="15"/>
      <c r="AO898" s="15"/>
      <c r="AP898" s="15"/>
      <c r="AQ898" s="15"/>
    </row>
    <row r="899">
      <c r="A899" s="15"/>
      <c r="B899" s="15"/>
      <c r="C899" s="15"/>
      <c r="D899" s="15"/>
      <c r="E899" s="15"/>
      <c r="F899" s="15"/>
      <c r="G899" s="15"/>
      <c r="H899" s="103"/>
      <c r="I899" s="15"/>
      <c r="J899" s="15"/>
      <c r="K899" s="15"/>
      <c r="L899" s="15"/>
      <c r="M899" s="15"/>
      <c r="N899" s="15"/>
      <c r="O899" s="103"/>
      <c r="P899" s="15"/>
      <c r="Q899" s="15"/>
      <c r="R899" s="15"/>
      <c r="S899" s="15"/>
      <c r="T899" s="15"/>
      <c r="U899" s="15"/>
      <c r="V899" s="103"/>
      <c r="W899" s="15"/>
      <c r="X899" s="15"/>
      <c r="Y899" s="15"/>
      <c r="Z899" s="15"/>
      <c r="AA899" s="15"/>
      <c r="AB899" s="15"/>
      <c r="AC899" s="103"/>
      <c r="AD899" s="15"/>
      <c r="AE899" s="15"/>
      <c r="AF899" s="15"/>
      <c r="AG899" s="15"/>
      <c r="AH899" s="15"/>
      <c r="AI899" s="15"/>
      <c r="AJ899" s="103"/>
      <c r="AK899" s="15"/>
      <c r="AL899" s="15"/>
      <c r="AM899" s="15"/>
      <c r="AN899" s="15"/>
      <c r="AO899" s="15"/>
      <c r="AP899" s="15"/>
      <c r="AQ899" s="15"/>
    </row>
    <row r="900">
      <c r="A900" s="15"/>
      <c r="B900" s="15"/>
      <c r="C900" s="15"/>
      <c r="D900" s="15"/>
      <c r="E900" s="15"/>
      <c r="F900" s="15"/>
      <c r="G900" s="15"/>
      <c r="H900" s="103"/>
      <c r="I900" s="15"/>
      <c r="J900" s="15"/>
      <c r="K900" s="15"/>
      <c r="L900" s="15"/>
      <c r="M900" s="15"/>
      <c r="N900" s="15"/>
      <c r="O900" s="103"/>
      <c r="P900" s="15"/>
      <c r="Q900" s="15"/>
      <c r="R900" s="15"/>
      <c r="S900" s="15"/>
      <c r="T900" s="15"/>
      <c r="U900" s="15"/>
      <c r="V900" s="103"/>
      <c r="W900" s="15"/>
      <c r="X900" s="15"/>
      <c r="Y900" s="15"/>
      <c r="Z900" s="15"/>
      <c r="AA900" s="15"/>
      <c r="AB900" s="15"/>
      <c r="AC900" s="103"/>
      <c r="AD900" s="15"/>
      <c r="AE900" s="15"/>
      <c r="AF900" s="15"/>
      <c r="AG900" s="15"/>
      <c r="AH900" s="15"/>
      <c r="AI900" s="15"/>
      <c r="AJ900" s="103"/>
      <c r="AK900" s="15"/>
      <c r="AL900" s="15"/>
      <c r="AM900" s="15"/>
      <c r="AN900" s="15"/>
      <c r="AO900" s="15"/>
      <c r="AP900" s="15"/>
      <c r="AQ900" s="15"/>
    </row>
    <row r="901">
      <c r="A901" s="15"/>
      <c r="B901" s="15"/>
      <c r="C901" s="15"/>
      <c r="D901" s="15"/>
      <c r="E901" s="15"/>
      <c r="F901" s="15"/>
      <c r="G901" s="15"/>
      <c r="H901" s="103"/>
      <c r="I901" s="15"/>
      <c r="J901" s="15"/>
      <c r="K901" s="15"/>
      <c r="L901" s="15"/>
      <c r="M901" s="15"/>
      <c r="N901" s="15"/>
      <c r="O901" s="103"/>
      <c r="P901" s="15"/>
      <c r="Q901" s="15"/>
      <c r="R901" s="15"/>
      <c r="S901" s="15"/>
      <c r="T901" s="15"/>
      <c r="U901" s="15"/>
      <c r="V901" s="103"/>
      <c r="W901" s="15"/>
      <c r="X901" s="15"/>
      <c r="Y901" s="15"/>
      <c r="Z901" s="15"/>
      <c r="AA901" s="15"/>
      <c r="AB901" s="15"/>
      <c r="AC901" s="103"/>
      <c r="AD901" s="15"/>
      <c r="AE901" s="15"/>
      <c r="AF901" s="15"/>
      <c r="AG901" s="15"/>
      <c r="AH901" s="15"/>
      <c r="AI901" s="15"/>
      <c r="AJ901" s="103"/>
      <c r="AK901" s="15"/>
      <c r="AL901" s="15"/>
      <c r="AM901" s="15"/>
      <c r="AN901" s="15"/>
      <c r="AO901" s="15"/>
      <c r="AP901" s="15"/>
      <c r="AQ901" s="15"/>
    </row>
    <row r="902">
      <c r="A902" s="15"/>
      <c r="B902" s="15"/>
      <c r="C902" s="15"/>
      <c r="D902" s="15"/>
      <c r="E902" s="15"/>
      <c r="F902" s="15"/>
      <c r="G902" s="15"/>
      <c r="H902" s="103"/>
      <c r="I902" s="15"/>
      <c r="J902" s="15"/>
      <c r="K902" s="15"/>
      <c r="L902" s="15"/>
      <c r="M902" s="15"/>
      <c r="N902" s="15"/>
      <c r="O902" s="103"/>
      <c r="P902" s="15"/>
      <c r="Q902" s="15"/>
      <c r="R902" s="15"/>
      <c r="S902" s="15"/>
      <c r="T902" s="15"/>
      <c r="U902" s="15"/>
      <c r="V902" s="103"/>
      <c r="W902" s="15"/>
      <c r="X902" s="15"/>
      <c r="Y902" s="15"/>
      <c r="Z902" s="15"/>
      <c r="AA902" s="15"/>
      <c r="AB902" s="15"/>
      <c r="AC902" s="103"/>
      <c r="AD902" s="15"/>
      <c r="AE902" s="15"/>
      <c r="AF902" s="15"/>
      <c r="AG902" s="15"/>
      <c r="AH902" s="15"/>
      <c r="AI902" s="15"/>
      <c r="AJ902" s="103"/>
      <c r="AK902" s="15"/>
      <c r="AL902" s="15"/>
      <c r="AM902" s="15"/>
      <c r="AN902" s="15"/>
      <c r="AO902" s="15"/>
      <c r="AP902" s="15"/>
      <c r="AQ902" s="15"/>
    </row>
    <row r="903">
      <c r="A903" s="15"/>
      <c r="B903" s="15"/>
      <c r="C903" s="15"/>
      <c r="D903" s="15"/>
      <c r="E903" s="15"/>
      <c r="F903" s="15"/>
      <c r="G903" s="15"/>
      <c r="H903" s="103"/>
      <c r="I903" s="15"/>
      <c r="J903" s="15"/>
      <c r="K903" s="15"/>
      <c r="L903" s="15"/>
      <c r="M903" s="15"/>
      <c r="N903" s="15"/>
      <c r="O903" s="103"/>
      <c r="P903" s="15"/>
      <c r="Q903" s="15"/>
      <c r="R903" s="15"/>
      <c r="S903" s="15"/>
      <c r="T903" s="15"/>
      <c r="U903" s="15"/>
      <c r="V903" s="103"/>
      <c r="W903" s="15"/>
      <c r="X903" s="15"/>
      <c r="Y903" s="15"/>
      <c r="Z903" s="15"/>
      <c r="AA903" s="15"/>
      <c r="AB903" s="15"/>
      <c r="AC903" s="103"/>
      <c r="AD903" s="15"/>
      <c r="AE903" s="15"/>
      <c r="AF903" s="15"/>
      <c r="AG903" s="15"/>
      <c r="AH903" s="15"/>
      <c r="AI903" s="15"/>
      <c r="AJ903" s="103"/>
      <c r="AK903" s="15"/>
      <c r="AL903" s="15"/>
      <c r="AM903" s="15"/>
      <c r="AN903" s="15"/>
      <c r="AO903" s="15"/>
      <c r="AP903" s="15"/>
      <c r="AQ903" s="15"/>
    </row>
    <row r="904">
      <c r="A904" s="15"/>
      <c r="B904" s="15"/>
      <c r="C904" s="15"/>
      <c r="D904" s="15"/>
      <c r="E904" s="15"/>
      <c r="F904" s="15"/>
      <c r="G904" s="15"/>
      <c r="H904" s="103"/>
      <c r="I904" s="15"/>
      <c r="J904" s="15"/>
      <c r="K904" s="15"/>
      <c r="L904" s="15"/>
      <c r="M904" s="15"/>
      <c r="N904" s="15"/>
      <c r="O904" s="103"/>
      <c r="P904" s="15"/>
      <c r="Q904" s="15"/>
      <c r="R904" s="15"/>
      <c r="S904" s="15"/>
      <c r="T904" s="15"/>
      <c r="U904" s="15"/>
      <c r="V904" s="103"/>
      <c r="W904" s="15"/>
      <c r="X904" s="15"/>
      <c r="Y904" s="15"/>
      <c r="Z904" s="15"/>
      <c r="AA904" s="15"/>
      <c r="AB904" s="15"/>
      <c r="AC904" s="103"/>
      <c r="AD904" s="15"/>
      <c r="AE904" s="15"/>
      <c r="AF904" s="15"/>
      <c r="AG904" s="15"/>
      <c r="AH904" s="15"/>
      <c r="AI904" s="15"/>
      <c r="AJ904" s="103"/>
      <c r="AK904" s="15"/>
      <c r="AL904" s="15"/>
      <c r="AM904" s="15"/>
      <c r="AN904" s="15"/>
      <c r="AO904" s="15"/>
      <c r="AP904" s="15"/>
      <c r="AQ904" s="15"/>
    </row>
    <row r="905">
      <c r="A905" s="15"/>
      <c r="B905" s="15"/>
      <c r="C905" s="15"/>
      <c r="D905" s="15"/>
      <c r="E905" s="15"/>
      <c r="F905" s="15"/>
      <c r="G905" s="15"/>
      <c r="H905" s="103"/>
      <c r="I905" s="15"/>
      <c r="J905" s="15"/>
      <c r="K905" s="15"/>
      <c r="L905" s="15"/>
      <c r="M905" s="15"/>
      <c r="N905" s="15"/>
      <c r="O905" s="103"/>
      <c r="P905" s="15"/>
      <c r="Q905" s="15"/>
      <c r="R905" s="15"/>
      <c r="S905" s="15"/>
      <c r="T905" s="15"/>
      <c r="U905" s="15"/>
      <c r="V905" s="103"/>
      <c r="W905" s="15"/>
      <c r="X905" s="15"/>
      <c r="Y905" s="15"/>
      <c r="Z905" s="15"/>
      <c r="AA905" s="15"/>
      <c r="AB905" s="15"/>
      <c r="AC905" s="103"/>
      <c r="AD905" s="15"/>
      <c r="AE905" s="15"/>
      <c r="AF905" s="15"/>
      <c r="AG905" s="15"/>
      <c r="AH905" s="15"/>
      <c r="AI905" s="15"/>
      <c r="AJ905" s="103"/>
      <c r="AK905" s="15"/>
      <c r="AL905" s="15"/>
      <c r="AM905" s="15"/>
      <c r="AN905" s="15"/>
      <c r="AO905" s="15"/>
      <c r="AP905" s="15"/>
      <c r="AQ905" s="15"/>
    </row>
    <row r="906">
      <c r="A906" s="15"/>
      <c r="B906" s="15"/>
      <c r="C906" s="15"/>
      <c r="D906" s="15"/>
      <c r="E906" s="15"/>
      <c r="F906" s="15"/>
      <c r="G906" s="15"/>
      <c r="H906" s="103"/>
      <c r="I906" s="15"/>
      <c r="J906" s="15"/>
      <c r="K906" s="15"/>
      <c r="L906" s="15"/>
      <c r="M906" s="15"/>
      <c r="N906" s="15"/>
      <c r="O906" s="103"/>
      <c r="P906" s="15"/>
      <c r="Q906" s="15"/>
      <c r="R906" s="15"/>
      <c r="S906" s="15"/>
      <c r="T906" s="15"/>
      <c r="U906" s="15"/>
      <c r="V906" s="103"/>
      <c r="W906" s="15"/>
      <c r="X906" s="15"/>
      <c r="Y906" s="15"/>
      <c r="Z906" s="15"/>
      <c r="AA906" s="15"/>
      <c r="AB906" s="15"/>
      <c r="AC906" s="103"/>
      <c r="AD906" s="15"/>
      <c r="AE906" s="15"/>
      <c r="AF906" s="15"/>
      <c r="AG906" s="15"/>
      <c r="AH906" s="15"/>
      <c r="AI906" s="15"/>
      <c r="AJ906" s="103"/>
      <c r="AK906" s="15"/>
      <c r="AL906" s="15"/>
      <c r="AM906" s="15"/>
      <c r="AN906" s="15"/>
      <c r="AO906" s="15"/>
      <c r="AP906" s="15"/>
      <c r="AQ906" s="15"/>
    </row>
    <row r="907">
      <c r="A907" s="15"/>
      <c r="B907" s="15"/>
      <c r="C907" s="15"/>
      <c r="D907" s="15"/>
      <c r="E907" s="15"/>
      <c r="F907" s="15"/>
      <c r="G907" s="15"/>
      <c r="H907" s="103"/>
      <c r="I907" s="15"/>
      <c r="J907" s="15"/>
      <c r="K907" s="15"/>
      <c r="L907" s="15"/>
      <c r="M907" s="15"/>
      <c r="N907" s="15"/>
      <c r="O907" s="103"/>
      <c r="P907" s="15"/>
      <c r="Q907" s="15"/>
      <c r="R907" s="15"/>
      <c r="S907" s="15"/>
      <c r="T907" s="15"/>
      <c r="U907" s="15"/>
      <c r="V907" s="103"/>
      <c r="W907" s="15"/>
      <c r="X907" s="15"/>
      <c r="Y907" s="15"/>
      <c r="Z907" s="15"/>
      <c r="AA907" s="15"/>
      <c r="AB907" s="15"/>
      <c r="AC907" s="103"/>
      <c r="AD907" s="15"/>
      <c r="AE907" s="15"/>
      <c r="AF907" s="15"/>
      <c r="AG907" s="15"/>
      <c r="AH907" s="15"/>
      <c r="AI907" s="15"/>
      <c r="AJ907" s="103"/>
      <c r="AK907" s="15"/>
      <c r="AL907" s="15"/>
      <c r="AM907" s="15"/>
      <c r="AN907" s="15"/>
      <c r="AO907" s="15"/>
      <c r="AP907" s="15"/>
      <c r="AQ907" s="15"/>
    </row>
    <row r="908">
      <c r="A908" s="15"/>
      <c r="B908" s="15"/>
      <c r="C908" s="15"/>
      <c r="D908" s="15"/>
      <c r="E908" s="15"/>
      <c r="F908" s="15"/>
      <c r="G908" s="15"/>
      <c r="H908" s="103"/>
      <c r="I908" s="15"/>
      <c r="J908" s="15"/>
      <c r="K908" s="15"/>
      <c r="L908" s="15"/>
      <c r="M908" s="15"/>
      <c r="N908" s="15"/>
      <c r="O908" s="103"/>
      <c r="P908" s="15"/>
      <c r="Q908" s="15"/>
      <c r="R908" s="15"/>
      <c r="S908" s="15"/>
      <c r="T908" s="15"/>
      <c r="U908" s="15"/>
      <c r="V908" s="103"/>
      <c r="W908" s="15"/>
      <c r="X908" s="15"/>
      <c r="Y908" s="15"/>
      <c r="Z908" s="15"/>
      <c r="AA908" s="15"/>
      <c r="AB908" s="15"/>
      <c r="AC908" s="103"/>
      <c r="AD908" s="15"/>
      <c r="AE908" s="15"/>
      <c r="AF908" s="15"/>
      <c r="AG908" s="15"/>
      <c r="AH908" s="15"/>
      <c r="AI908" s="15"/>
      <c r="AJ908" s="103"/>
      <c r="AK908" s="15"/>
      <c r="AL908" s="15"/>
      <c r="AM908" s="15"/>
      <c r="AN908" s="15"/>
      <c r="AO908" s="15"/>
      <c r="AP908" s="15"/>
      <c r="AQ908" s="15"/>
    </row>
    <row r="909">
      <c r="A909" s="15"/>
      <c r="B909" s="15"/>
      <c r="C909" s="15"/>
      <c r="D909" s="15"/>
      <c r="E909" s="15"/>
      <c r="F909" s="15"/>
      <c r="G909" s="15"/>
      <c r="H909" s="103"/>
      <c r="I909" s="15"/>
      <c r="J909" s="15"/>
      <c r="K909" s="15"/>
      <c r="L909" s="15"/>
      <c r="M909" s="15"/>
      <c r="N909" s="15"/>
      <c r="O909" s="103"/>
      <c r="P909" s="15"/>
      <c r="Q909" s="15"/>
      <c r="R909" s="15"/>
      <c r="S909" s="15"/>
      <c r="T909" s="15"/>
      <c r="U909" s="15"/>
      <c r="V909" s="103"/>
      <c r="W909" s="15"/>
      <c r="X909" s="15"/>
      <c r="Y909" s="15"/>
      <c r="Z909" s="15"/>
      <c r="AA909" s="15"/>
      <c r="AB909" s="15"/>
      <c r="AC909" s="103"/>
      <c r="AD909" s="15"/>
      <c r="AE909" s="15"/>
      <c r="AF909" s="15"/>
      <c r="AG909" s="15"/>
      <c r="AH909" s="15"/>
      <c r="AI909" s="15"/>
      <c r="AJ909" s="103"/>
      <c r="AK909" s="15"/>
      <c r="AL909" s="15"/>
      <c r="AM909" s="15"/>
      <c r="AN909" s="15"/>
      <c r="AO909" s="15"/>
      <c r="AP909" s="15"/>
      <c r="AQ909" s="15"/>
    </row>
    <row r="910">
      <c r="A910" s="15"/>
      <c r="B910" s="15"/>
      <c r="C910" s="15"/>
      <c r="D910" s="15"/>
      <c r="E910" s="15"/>
      <c r="F910" s="15"/>
      <c r="G910" s="15"/>
      <c r="H910" s="103"/>
      <c r="I910" s="15"/>
      <c r="J910" s="15"/>
      <c r="K910" s="15"/>
      <c r="L910" s="15"/>
      <c r="M910" s="15"/>
      <c r="N910" s="15"/>
      <c r="O910" s="103"/>
      <c r="P910" s="15"/>
      <c r="Q910" s="15"/>
      <c r="R910" s="15"/>
      <c r="S910" s="15"/>
      <c r="T910" s="15"/>
      <c r="U910" s="15"/>
      <c r="V910" s="103"/>
      <c r="W910" s="15"/>
      <c r="X910" s="15"/>
      <c r="Y910" s="15"/>
      <c r="Z910" s="15"/>
      <c r="AA910" s="15"/>
      <c r="AB910" s="15"/>
      <c r="AC910" s="103"/>
      <c r="AD910" s="15"/>
      <c r="AE910" s="15"/>
      <c r="AF910" s="15"/>
      <c r="AG910" s="15"/>
      <c r="AH910" s="15"/>
      <c r="AI910" s="15"/>
      <c r="AJ910" s="103"/>
      <c r="AK910" s="15"/>
      <c r="AL910" s="15"/>
      <c r="AM910" s="15"/>
      <c r="AN910" s="15"/>
      <c r="AO910" s="15"/>
      <c r="AP910" s="15"/>
      <c r="AQ910" s="15"/>
    </row>
    <row r="911">
      <c r="A911" s="15"/>
      <c r="B911" s="15"/>
      <c r="C911" s="15"/>
      <c r="D911" s="15"/>
      <c r="E911" s="15"/>
      <c r="F911" s="15"/>
      <c r="G911" s="15"/>
      <c r="H911" s="103"/>
      <c r="I911" s="15"/>
      <c r="J911" s="15"/>
      <c r="K911" s="15"/>
      <c r="L911" s="15"/>
      <c r="M911" s="15"/>
      <c r="N911" s="15"/>
      <c r="O911" s="103"/>
      <c r="P911" s="15"/>
      <c r="Q911" s="15"/>
      <c r="R911" s="15"/>
      <c r="S911" s="15"/>
      <c r="T911" s="15"/>
      <c r="U911" s="15"/>
      <c r="V911" s="103"/>
      <c r="W911" s="15"/>
      <c r="X911" s="15"/>
      <c r="Y911" s="15"/>
      <c r="Z911" s="15"/>
      <c r="AA911" s="15"/>
      <c r="AB911" s="15"/>
      <c r="AC911" s="103"/>
      <c r="AD911" s="15"/>
      <c r="AE911" s="15"/>
      <c r="AF911" s="15"/>
      <c r="AG911" s="15"/>
      <c r="AH911" s="15"/>
      <c r="AI911" s="15"/>
      <c r="AJ911" s="103"/>
      <c r="AK911" s="15"/>
      <c r="AL911" s="15"/>
      <c r="AM911" s="15"/>
      <c r="AN911" s="15"/>
      <c r="AO911" s="15"/>
      <c r="AP911" s="15"/>
      <c r="AQ911" s="15"/>
    </row>
    <row r="912">
      <c r="A912" s="15"/>
      <c r="B912" s="15"/>
      <c r="C912" s="15"/>
      <c r="D912" s="15"/>
      <c r="E912" s="15"/>
      <c r="F912" s="15"/>
      <c r="G912" s="15"/>
      <c r="H912" s="103"/>
      <c r="I912" s="15"/>
      <c r="J912" s="15"/>
      <c r="K912" s="15"/>
      <c r="L912" s="15"/>
      <c r="M912" s="15"/>
      <c r="N912" s="15"/>
      <c r="O912" s="103"/>
      <c r="P912" s="15"/>
      <c r="Q912" s="15"/>
      <c r="R912" s="15"/>
      <c r="S912" s="15"/>
      <c r="T912" s="15"/>
      <c r="U912" s="15"/>
      <c r="V912" s="103"/>
      <c r="W912" s="15"/>
      <c r="X912" s="15"/>
      <c r="Y912" s="15"/>
      <c r="Z912" s="15"/>
      <c r="AA912" s="15"/>
      <c r="AB912" s="15"/>
      <c r="AC912" s="103"/>
      <c r="AD912" s="15"/>
      <c r="AE912" s="15"/>
      <c r="AF912" s="15"/>
      <c r="AG912" s="15"/>
      <c r="AH912" s="15"/>
      <c r="AI912" s="15"/>
      <c r="AJ912" s="103"/>
      <c r="AK912" s="15"/>
      <c r="AL912" s="15"/>
      <c r="AM912" s="15"/>
      <c r="AN912" s="15"/>
      <c r="AO912" s="15"/>
      <c r="AP912" s="15"/>
      <c r="AQ912" s="15"/>
    </row>
    <row r="913">
      <c r="A913" s="15"/>
      <c r="B913" s="15"/>
      <c r="C913" s="15"/>
      <c r="D913" s="15"/>
      <c r="E913" s="15"/>
      <c r="F913" s="15"/>
      <c r="G913" s="15"/>
      <c r="H913" s="103"/>
      <c r="I913" s="15"/>
      <c r="J913" s="15"/>
      <c r="K913" s="15"/>
      <c r="L913" s="15"/>
      <c r="M913" s="15"/>
      <c r="N913" s="15"/>
      <c r="O913" s="103"/>
      <c r="P913" s="15"/>
      <c r="Q913" s="15"/>
      <c r="R913" s="15"/>
      <c r="S913" s="15"/>
      <c r="T913" s="15"/>
      <c r="U913" s="15"/>
      <c r="V913" s="103"/>
      <c r="W913" s="15"/>
      <c r="X913" s="15"/>
      <c r="Y913" s="15"/>
      <c r="Z913" s="15"/>
      <c r="AA913" s="15"/>
      <c r="AB913" s="15"/>
      <c r="AC913" s="103"/>
      <c r="AD913" s="15"/>
      <c r="AE913" s="15"/>
      <c r="AF913" s="15"/>
      <c r="AG913" s="15"/>
      <c r="AH913" s="15"/>
      <c r="AI913" s="15"/>
      <c r="AJ913" s="103"/>
      <c r="AK913" s="15"/>
      <c r="AL913" s="15"/>
      <c r="AM913" s="15"/>
      <c r="AN913" s="15"/>
      <c r="AO913" s="15"/>
      <c r="AP913" s="15"/>
      <c r="AQ913" s="15"/>
    </row>
    <row r="914">
      <c r="A914" s="15"/>
      <c r="B914" s="15"/>
      <c r="C914" s="15"/>
      <c r="D914" s="15"/>
      <c r="E914" s="15"/>
      <c r="F914" s="15"/>
      <c r="G914" s="15"/>
      <c r="H914" s="103"/>
      <c r="I914" s="15"/>
      <c r="J914" s="15"/>
      <c r="K914" s="15"/>
      <c r="L914" s="15"/>
      <c r="M914" s="15"/>
      <c r="N914" s="15"/>
      <c r="O914" s="103"/>
      <c r="P914" s="15"/>
      <c r="Q914" s="15"/>
      <c r="R914" s="15"/>
      <c r="S914" s="15"/>
      <c r="T914" s="15"/>
      <c r="U914" s="15"/>
      <c r="V914" s="103"/>
      <c r="W914" s="15"/>
      <c r="X914" s="15"/>
      <c r="Y914" s="15"/>
      <c r="Z914" s="15"/>
      <c r="AA914" s="15"/>
      <c r="AB914" s="15"/>
      <c r="AC914" s="103"/>
      <c r="AD914" s="15"/>
      <c r="AE914" s="15"/>
      <c r="AF914" s="15"/>
      <c r="AG914" s="15"/>
      <c r="AH914" s="15"/>
      <c r="AI914" s="15"/>
      <c r="AJ914" s="103"/>
      <c r="AK914" s="15"/>
      <c r="AL914" s="15"/>
      <c r="AM914" s="15"/>
      <c r="AN914" s="15"/>
      <c r="AO914" s="15"/>
      <c r="AP914" s="15"/>
      <c r="AQ914" s="15"/>
    </row>
    <row r="915">
      <c r="A915" s="15"/>
      <c r="B915" s="15"/>
      <c r="C915" s="15"/>
      <c r="D915" s="15"/>
      <c r="E915" s="15"/>
      <c r="F915" s="15"/>
      <c r="G915" s="15"/>
      <c r="H915" s="103"/>
      <c r="I915" s="15"/>
      <c r="J915" s="15"/>
      <c r="K915" s="15"/>
      <c r="L915" s="15"/>
      <c r="M915" s="15"/>
      <c r="N915" s="15"/>
      <c r="O915" s="103"/>
      <c r="P915" s="15"/>
      <c r="Q915" s="15"/>
      <c r="R915" s="15"/>
      <c r="S915" s="15"/>
      <c r="T915" s="15"/>
      <c r="U915" s="15"/>
      <c r="V915" s="103"/>
      <c r="W915" s="15"/>
      <c r="X915" s="15"/>
      <c r="Y915" s="15"/>
      <c r="Z915" s="15"/>
      <c r="AA915" s="15"/>
      <c r="AB915" s="15"/>
      <c r="AC915" s="103"/>
      <c r="AD915" s="15"/>
      <c r="AE915" s="15"/>
      <c r="AF915" s="15"/>
      <c r="AG915" s="15"/>
      <c r="AH915" s="15"/>
      <c r="AI915" s="15"/>
      <c r="AJ915" s="103"/>
      <c r="AK915" s="15"/>
      <c r="AL915" s="15"/>
      <c r="AM915" s="15"/>
      <c r="AN915" s="15"/>
      <c r="AO915" s="15"/>
      <c r="AP915" s="15"/>
      <c r="AQ915" s="15"/>
    </row>
    <row r="916">
      <c r="A916" s="15"/>
      <c r="B916" s="15"/>
      <c r="C916" s="15"/>
      <c r="D916" s="15"/>
      <c r="E916" s="15"/>
      <c r="F916" s="15"/>
      <c r="G916" s="15"/>
      <c r="H916" s="103"/>
      <c r="I916" s="15"/>
      <c r="J916" s="15"/>
      <c r="K916" s="15"/>
      <c r="L916" s="15"/>
      <c r="M916" s="15"/>
      <c r="N916" s="15"/>
      <c r="O916" s="103"/>
      <c r="P916" s="15"/>
      <c r="Q916" s="15"/>
      <c r="R916" s="15"/>
      <c r="S916" s="15"/>
      <c r="T916" s="15"/>
      <c r="U916" s="15"/>
      <c r="V916" s="103"/>
      <c r="W916" s="15"/>
      <c r="X916" s="15"/>
      <c r="Y916" s="15"/>
      <c r="Z916" s="15"/>
      <c r="AA916" s="15"/>
      <c r="AB916" s="15"/>
      <c r="AC916" s="103"/>
      <c r="AD916" s="15"/>
      <c r="AE916" s="15"/>
      <c r="AF916" s="15"/>
      <c r="AG916" s="15"/>
      <c r="AH916" s="15"/>
      <c r="AI916" s="15"/>
      <c r="AJ916" s="103"/>
      <c r="AK916" s="15"/>
      <c r="AL916" s="15"/>
      <c r="AM916" s="15"/>
      <c r="AN916" s="15"/>
      <c r="AO916" s="15"/>
      <c r="AP916" s="15"/>
      <c r="AQ916" s="15"/>
    </row>
    <row r="917">
      <c r="A917" s="15"/>
      <c r="B917" s="15"/>
      <c r="C917" s="15"/>
      <c r="D917" s="15"/>
      <c r="E917" s="15"/>
      <c r="F917" s="15"/>
      <c r="G917" s="15"/>
      <c r="H917" s="103"/>
      <c r="I917" s="15"/>
      <c r="J917" s="15"/>
      <c r="K917" s="15"/>
      <c r="L917" s="15"/>
      <c r="M917" s="15"/>
      <c r="N917" s="15"/>
      <c r="O917" s="103"/>
      <c r="P917" s="15"/>
      <c r="Q917" s="15"/>
      <c r="R917" s="15"/>
      <c r="S917" s="15"/>
      <c r="T917" s="15"/>
      <c r="U917" s="15"/>
      <c r="V917" s="103"/>
      <c r="W917" s="15"/>
      <c r="X917" s="15"/>
      <c r="Y917" s="15"/>
      <c r="Z917" s="15"/>
      <c r="AA917" s="15"/>
      <c r="AB917" s="15"/>
      <c r="AC917" s="103"/>
      <c r="AD917" s="15"/>
      <c r="AE917" s="15"/>
      <c r="AF917" s="15"/>
      <c r="AG917" s="15"/>
      <c r="AH917" s="15"/>
      <c r="AI917" s="15"/>
      <c r="AJ917" s="103"/>
      <c r="AK917" s="15"/>
      <c r="AL917" s="15"/>
      <c r="AM917" s="15"/>
      <c r="AN917" s="15"/>
      <c r="AO917" s="15"/>
      <c r="AP917" s="15"/>
      <c r="AQ917" s="15"/>
    </row>
    <row r="918">
      <c r="A918" s="15"/>
      <c r="B918" s="15"/>
      <c r="C918" s="15"/>
      <c r="D918" s="15"/>
      <c r="E918" s="15"/>
      <c r="F918" s="15"/>
      <c r="G918" s="15"/>
      <c r="H918" s="103"/>
      <c r="I918" s="15"/>
      <c r="J918" s="15"/>
      <c r="K918" s="15"/>
      <c r="L918" s="15"/>
      <c r="M918" s="15"/>
      <c r="N918" s="15"/>
      <c r="O918" s="103"/>
      <c r="P918" s="15"/>
      <c r="Q918" s="15"/>
      <c r="R918" s="15"/>
      <c r="S918" s="15"/>
      <c r="T918" s="15"/>
      <c r="U918" s="15"/>
      <c r="V918" s="103"/>
      <c r="W918" s="15"/>
      <c r="X918" s="15"/>
      <c r="Y918" s="15"/>
      <c r="Z918" s="15"/>
      <c r="AA918" s="15"/>
      <c r="AB918" s="15"/>
      <c r="AC918" s="103"/>
      <c r="AD918" s="15"/>
      <c r="AE918" s="15"/>
      <c r="AF918" s="15"/>
      <c r="AG918" s="15"/>
      <c r="AH918" s="15"/>
      <c r="AI918" s="15"/>
      <c r="AJ918" s="103"/>
      <c r="AK918" s="15"/>
      <c r="AL918" s="15"/>
      <c r="AM918" s="15"/>
      <c r="AN918" s="15"/>
      <c r="AO918" s="15"/>
      <c r="AP918" s="15"/>
      <c r="AQ918" s="15"/>
    </row>
    <row r="919">
      <c r="A919" s="15"/>
      <c r="B919" s="15"/>
      <c r="C919" s="15"/>
      <c r="D919" s="15"/>
      <c r="E919" s="15"/>
      <c r="F919" s="15"/>
      <c r="G919" s="15"/>
      <c r="H919" s="103"/>
      <c r="I919" s="15"/>
      <c r="J919" s="15"/>
      <c r="K919" s="15"/>
      <c r="L919" s="15"/>
      <c r="M919" s="15"/>
      <c r="N919" s="15"/>
      <c r="O919" s="103"/>
      <c r="P919" s="15"/>
      <c r="Q919" s="15"/>
      <c r="R919" s="15"/>
      <c r="S919" s="15"/>
      <c r="T919" s="15"/>
      <c r="U919" s="15"/>
      <c r="V919" s="103"/>
      <c r="W919" s="15"/>
      <c r="X919" s="15"/>
      <c r="Y919" s="15"/>
      <c r="Z919" s="15"/>
      <c r="AA919" s="15"/>
      <c r="AB919" s="15"/>
      <c r="AC919" s="103"/>
      <c r="AD919" s="15"/>
      <c r="AE919" s="15"/>
      <c r="AF919" s="15"/>
      <c r="AG919" s="15"/>
      <c r="AH919" s="15"/>
      <c r="AI919" s="15"/>
      <c r="AJ919" s="103"/>
      <c r="AK919" s="15"/>
      <c r="AL919" s="15"/>
      <c r="AM919" s="15"/>
      <c r="AN919" s="15"/>
      <c r="AO919" s="15"/>
      <c r="AP919" s="15"/>
      <c r="AQ919" s="15"/>
    </row>
    <row r="920">
      <c r="A920" s="15"/>
      <c r="B920" s="15"/>
      <c r="C920" s="15"/>
      <c r="D920" s="15"/>
      <c r="E920" s="15"/>
      <c r="F920" s="15"/>
      <c r="G920" s="15"/>
      <c r="H920" s="103"/>
      <c r="I920" s="15"/>
      <c r="J920" s="15"/>
      <c r="K920" s="15"/>
      <c r="L920" s="15"/>
      <c r="M920" s="15"/>
      <c r="N920" s="15"/>
      <c r="O920" s="103"/>
      <c r="P920" s="15"/>
      <c r="Q920" s="15"/>
      <c r="R920" s="15"/>
      <c r="S920" s="15"/>
      <c r="T920" s="15"/>
      <c r="U920" s="15"/>
      <c r="V920" s="103"/>
      <c r="W920" s="15"/>
      <c r="X920" s="15"/>
      <c r="Y920" s="15"/>
      <c r="Z920" s="15"/>
      <c r="AA920" s="15"/>
      <c r="AB920" s="15"/>
      <c r="AC920" s="103"/>
      <c r="AD920" s="15"/>
      <c r="AE920" s="15"/>
      <c r="AF920" s="15"/>
      <c r="AG920" s="15"/>
      <c r="AH920" s="15"/>
      <c r="AI920" s="15"/>
      <c r="AJ920" s="103"/>
      <c r="AK920" s="15"/>
      <c r="AL920" s="15"/>
      <c r="AM920" s="15"/>
      <c r="AN920" s="15"/>
      <c r="AO920" s="15"/>
      <c r="AP920" s="15"/>
      <c r="AQ920" s="15"/>
    </row>
    <row r="921">
      <c r="A921" s="15"/>
      <c r="B921" s="15"/>
      <c r="C921" s="15"/>
      <c r="D921" s="15"/>
      <c r="E921" s="15"/>
      <c r="F921" s="15"/>
      <c r="G921" s="15"/>
      <c r="H921" s="103"/>
      <c r="I921" s="15"/>
      <c r="J921" s="15"/>
      <c r="K921" s="15"/>
      <c r="L921" s="15"/>
      <c r="M921" s="15"/>
      <c r="N921" s="15"/>
      <c r="O921" s="103"/>
      <c r="P921" s="15"/>
      <c r="Q921" s="15"/>
      <c r="R921" s="15"/>
      <c r="S921" s="15"/>
      <c r="T921" s="15"/>
      <c r="U921" s="15"/>
      <c r="V921" s="103"/>
      <c r="W921" s="15"/>
      <c r="X921" s="15"/>
      <c r="Y921" s="15"/>
      <c r="Z921" s="15"/>
      <c r="AA921" s="15"/>
      <c r="AB921" s="15"/>
      <c r="AC921" s="103"/>
      <c r="AD921" s="15"/>
      <c r="AE921" s="15"/>
      <c r="AF921" s="15"/>
      <c r="AG921" s="15"/>
      <c r="AH921" s="15"/>
      <c r="AI921" s="15"/>
      <c r="AJ921" s="103"/>
      <c r="AK921" s="15"/>
      <c r="AL921" s="15"/>
      <c r="AM921" s="15"/>
      <c r="AN921" s="15"/>
      <c r="AO921" s="15"/>
      <c r="AP921" s="15"/>
      <c r="AQ921" s="15"/>
    </row>
    <row r="922">
      <c r="A922" s="15"/>
      <c r="B922" s="15"/>
      <c r="C922" s="15"/>
      <c r="D922" s="15"/>
      <c r="E922" s="15"/>
      <c r="F922" s="15"/>
      <c r="G922" s="15"/>
      <c r="H922" s="103"/>
      <c r="I922" s="15"/>
      <c r="J922" s="15"/>
      <c r="K922" s="15"/>
      <c r="L922" s="15"/>
      <c r="M922" s="15"/>
      <c r="N922" s="15"/>
      <c r="O922" s="103"/>
      <c r="P922" s="15"/>
      <c r="Q922" s="15"/>
      <c r="R922" s="15"/>
      <c r="S922" s="15"/>
      <c r="T922" s="15"/>
      <c r="U922" s="15"/>
      <c r="V922" s="103"/>
      <c r="W922" s="15"/>
      <c r="X922" s="15"/>
      <c r="Y922" s="15"/>
      <c r="Z922" s="15"/>
      <c r="AA922" s="15"/>
      <c r="AB922" s="15"/>
      <c r="AC922" s="103"/>
      <c r="AD922" s="15"/>
      <c r="AE922" s="15"/>
      <c r="AF922" s="15"/>
      <c r="AG922" s="15"/>
      <c r="AH922" s="15"/>
      <c r="AI922" s="15"/>
      <c r="AJ922" s="103"/>
      <c r="AK922" s="15"/>
      <c r="AL922" s="15"/>
      <c r="AM922" s="15"/>
      <c r="AN922" s="15"/>
      <c r="AO922" s="15"/>
      <c r="AP922" s="15"/>
      <c r="AQ922" s="15"/>
    </row>
    <row r="923">
      <c r="A923" s="15"/>
      <c r="B923" s="15"/>
      <c r="C923" s="15"/>
      <c r="D923" s="15"/>
      <c r="E923" s="15"/>
      <c r="F923" s="15"/>
      <c r="G923" s="15"/>
      <c r="H923" s="103"/>
      <c r="I923" s="15"/>
      <c r="J923" s="15"/>
      <c r="K923" s="15"/>
      <c r="L923" s="15"/>
      <c r="M923" s="15"/>
      <c r="N923" s="15"/>
      <c r="O923" s="103"/>
      <c r="P923" s="15"/>
      <c r="Q923" s="15"/>
      <c r="R923" s="15"/>
      <c r="S923" s="15"/>
      <c r="T923" s="15"/>
      <c r="U923" s="15"/>
      <c r="V923" s="103"/>
      <c r="W923" s="15"/>
      <c r="X923" s="15"/>
      <c r="Y923" s="15"/>
      <c r="Z923" s="15"/>
      <c r="AA923" s="15"/>
      <c r="AB923" s="15"/>
      <c r="AC923" s="103"/>
      <c r="AD923" s="15"/>
      <c r="AE923" s="15"/>
      <c r="AF923" s="15"/>
      <c r="AG923" s="15"/>
      <c r="AH923" s="15"/>
      <c r="AI923" s="15"/>
      <c r="AJ923" s="103"/>
      <c r="AK923" s="15"/>
      <c r="AL923" s="15"/>
      <c r="AM923" s="15"/>
      <c r="AN923" s="15"/>
      <c r="AO923" s="15"/>
      <c r="AP923" s="15"/>
      <c r="AQ923" s="15"/>
    </row>
    <row r="924">
      <c r="A924" s="15"/>
      <c r="B924" s="15"/>
      <c r="C924" s="15"/>
      <c r="D924" s="15"/>
      <c r="E924" s="15"/>
      <c r="F924" s="15"/>
      <c r="G924" s="15"/>
      <c r="H924" s="103"/>
      <c r="I924" s="15"/>
      <c r="J924" s="15"/>
      <c r="K924" s="15"/>
      <c r="L924" s="15"/>
      <c r="M924" s="15"/>
      <c r="N924" s="15"/>
      <c r="O924" s="103"/>
      <c r="P924" s="15"/>
      <c r="Q924" s="15"/>
      <c r="R924" s="15"/>
      <c r="S924" s="15"/>
      <c r="T924" s="15"/>
      <c r="U924" s="15"/>
      <c r="V924" s="103"/>
      <c r="W924" s="15"/>
      <c r="X924" s="15"/>
      <c r="Y924" s="15"/>
      <c r="Z924" s="15"/>
      <c r="AA924" s="15"/>
      <c r="AB924" s="15"/>
      <c r="AC924" s="103"/>
      <c r="AD924" s="15"/>
      <c r="AE924" s="15"/>
      <c r="AF924" s="15"/>
      <c r="AG924" s="15"/>
      <c r="AH924" s="15"/>
      <c r="AI924" s="15"/>
      <c r="AJ924" s="103"/>
      <c r="AK924" s="15"/>
      <c r="AL924" s="15"/>
      <c r="AM924" s="15"/>
      <c r="AN924" s="15"/>
      <c r="AO924" s="15"/>
      <c r="AP924" s="15"/>
      <c r="AQ924" s="15"/>
    </row>
    <row r="925">
      <c r="A925" s="15"/>
      <c r="B925" s="15"/>
      <c r="C925" s="15"/>
      <c r="D925" s="15"/>
      <c r="E925" s="15"/>
      <c r="F925" s="15"/>
      <c r="G925" s="15"/>
      <c r="H925" s="103"/>
      <c r="I925" s="15"/>
      <c r="J925" s="15"/>
      <c r="K925" s="15"/>
      <c r="L925" s="15"/>
      <c r="M925" s="15"/>
      <c r="N925" s="15"/>
      <c r="O925" s="103"/>
      <c r="P925" s="15"/>
      <c r="Q925" s="15"/>
      <c r="R925" s="15"/>
      <c r="S925" s="15"/>
      <c r="T925" s="15"/>
      <c r="U925" s="15"/>
      <c r="V925" s="103"/>
      <c r="W925" s="15"/>
      <c r="X925" s="15"/>
      <c r="Y925" s="15"/>
      <c r="Z925" s="15"/>
      <c r="AA925" s="15"/>
      <c r="AB925" s="15"/>
      <c r="AC925" s="103"/>
      <c r="AD925" s="15"/>
      <c r="AE925" s="15"/>
      <c r="AF925" s="15"/>
      <c r="AG925" s="15"/>
      <c r="AH925" s="15"/>
      <c r="AI925" s="15"/>
      <c r="AJ925" s="103"/>
      <c r="AK925" s="15"/>
      <c r="AL925" s="15"/>
      <c r="AM925" s="15"/>
      <c r="AN925" s="15"/>
      <c r="AO925" s="15"/>
      <c r="AP925" s="15"/>
      <c r="AQ925" s="15"/>
    </row>
    <row r="926">
      <c r="A926" s="15"/>
      <c r="B926" s="15"/>
      <c r="C926" s="15"/>
      <c r="D926" s="15"/>
      <c r="E926" s="15"/>
      <c r="F926" s="15"/>
      <c r="G926" s="15"/>
      <c r="H926" s="103"/>
      <c r="I926" s="15"/>
      <c r="J926" s="15"/>
      <c r="K926" s="15"/>
      <c r="L926" s="15"/>
      <c r="M926" s="15"/>
      <c r="N926" s="15"/>
      <c r="O926" s="103"/>
      <c r="P926" s="15"/>
      <c r="Q926" s="15"/>
      <c r="R926" s="15"/>
      <c r="S926" s="15"/>
      <c r="T926" s="15"/>
      <c r="U926" s="15"/>
      <c r="V926" s="103"/>
      <c r="W926" s="15"/>
      <c r="X926" s="15"/>
      <c r="Y926" s="15"/>
      <c r="Z926" s="15"/>
      <c r="AA926" s="15"/>
      <c r="AB926" s="15"/>
      <c r="AC926" s="103"/>
      <c r="AD926" s="15"/>
      <c r="AE926" s="15"/>
      <c r="AF926" s="15"/>
      <c r="AG926" s="15"/>
      <c r="AH926" s="15"/>
      <c r="AI926" s="15"/>
      <c r="AJ926" s="103"/>
      <c r="AK926" s="15"/>
      <c r="AL926" s="15"/>
      <c r="AM926" s="15"/>
      <c r="AN926" s="15"/>
      <c r="AO926" s="15"/>
      <c r="AP926" s="15"/>
      <c r="AQ926" s="15"/>
    </row>
    <row r="927">
      <c r="A927" s="15"/>
      <c r="B927" s="15"/>
      <c r="C927" s="15"/>
      <c r="D927" s="15"/>
      <c r="E927" s="15"/>
      <c r="F927" s="15"/>
      <c r="G927" s="15"/>
      <c r="H927" s="103"/>
      <c r="I927" s="15"/>
      <c r="J927" s="15"/>
      <c r="K927" s="15"/>
      <c r="L927" s="15"/>
      <c r="M927" s="15"/>
      <c r="N927" s="15"/>
      <c r="O927" s="103"/>
      <c r="P927" s="15"/>
      <c r="Q927" s="15"/>
      <c r="R927" s="15"/>
      <c r="S927" s="15"/>
      <c r="T927" s="15"/>
      <c r="U927" s="15"/>
      <c r="V927" s="103"/>
      <c r="W927" s="15"/>
      <c r="X927" s="15"/>
      <c r="Y927" s="15"/>
      <c r="Z927" s="15"/>
      <c r="AA927" s="15"/>
      <c r="AB927" s="15"/>
      <c r="AC927" s="103"/>
      <c r="AD927" s="15"/>
      <c r="AE927" s="15"/>
      <c r="AF927" s="15"/>
      <c r="AG927" s="15"/>
      <c r="AH927" s="15"/>
      <c r="AI927" s="15"/>
      <c r="AJ927" s="103"/>
      <c r="AK927" s="15"/>
      <c r="AL927" s="15"/>
      <c r="AM927" s="15"/>
      <c r="AN927" s="15"/>
      <c r="AO927" s="15"/>
      <c r="AP927" s="15"/>
      <c r="AQ927" s="15"/>
    </row>
    <row r="928">
      <c r="A928" s="15"/>
      <c r="B928" s="15"/>
      <c r="C928" s="15"/>
      <c r="D928" s="15"/>
      <c r="E928" s="15"/>
      <c r="F928" s="15"/>
      <c r="G928" s="15"/>
      <c r="H928" s="103"/>
      <c r="I928" s="15"/>
      <c r="J928" s="15"/>
      <c r="K928" s="15"/>
      <c r="L928" s="15"/>
      <c r="M928" s="15"/>
      <c r="N928" s="15"/>
      <c r="O928" s="103"/>
      <c r="P928" s="15"/>
      <c r="Q928" s="15"/>
      <c r="R928" s="15"/>
      <c r="S928" s="15"/>
      <c r="T928" s="15"/>
      <c r="U928" s="15"/>
      <c r="V928" s="103"/>
      <c r="W928" s="15"/>
      <c r="X928" s="15"/>
      <c r="Y928" s="15"/>
      <c r="Z928" s="15"/>
      <c r="AA928" s="15"/>
      <c r="AB928" s="15"/>
      <c r="AC928" s="103"/>
      <c r="AD928" s="15"/>
      <c r="AE928" s="15"/>
      <c r="AF928" s="15"/>
      <c r="AG928" s="15"/>
      <c r="AH928" s="15"/>
      <c r="AI928" s="15"/>
      <c r="AJ928" s="103"/>
      <c r="AK928" s="15"/>
      <c r="AL928" s="15"/>
      <c r="AM928" s="15"/>
      <c r="AN928" s="15"/>
      <c r="AO928" s="15"/>
      <c r="AP928" s="15"/>
      <c r="AQ928" s="15"/>
    </row>
    <row r="929">
      <c r="A929" s="15"/>
      <c r="B929" s="15"/>
      <c r="C929" s="15"/>
      <c r="D929" s="15"/>
      <c r="E929" s="15"/>
      <c r="F929" s="15"/>
      <c r="G929" s="15"/>
      <c r="H929" s="103"/>
      <c r="I929" s="15"/>
      <c r="J929" s="15"/>
      <c r="K929" s="15"/>
      <c r="L929" s="15"/>
      <c r="M929" s="15"/>
      <c r="N929" s="15"/>
      <c r="O929" s="103"/>
      <c r="P929" s="15"/>
      <c r="Q929" s="15"/>
      <c r="R929" s="15"/>
      <c r="S929" s="15"/>
      <c r="T929" s="15"/>
      <c r="U929" s="15"/>
      <c r="V929" s="103"/>
      <c r="W929" s="15"/>
      <c r="X929" s="15"/>
      <c r="Y929" s="15"/>
      <c r="Z929" s="15"/>
      <c r="AA929" s="15"/>
      <c r="AB929" s="15"/>
      <c r="AC929" s="103"/>
      <c r="AD929" s="15"/>
      <c r="AE929" s="15"/>
      <c r="AF929" s="15"/>
      <c r="AG929" s="15"/>
      <c r="AH929" s="15"/>
      <c r="AI929" s="15"/>
      <c r="AJ929" s="103"/>
      <c r="AK929" s="15"/>
      <c r="AL929" s="15"/>
      <c r="AM929" s="15"/>
      <c r="AN929" s="15"/>
      <c r="AO929" s="15"/>
      <c r="AP929" s="15"/>
      <c r="AQ929" s="15"/>
    </row>
    <row r="930">
      <c r="A930" s="15"/>
      <c r="B930" s="15"/>
      <c r="C930" s="15"/>
      <c r="D930" s="15"/>
      <c r="E930" s="15"/>
      <c r="F930" s="15"/>
      <c r="G930" s="15"/>
      <c r="H930" s="103"/>
      <c r="I930" s="15"/>
      <c r="J930" s="15"/>
      <c r="K930" s="15"/>
      <c r="L930" s="15"/>
      <c r="M930" s="15"/>
      <c r="N930" s="15"/>
      <c r="O930" s="103"/>
      <c r="P930" s="15"/>
      <c r="Q930" s="15"/>
      <c r="R930" s="15"/>
      <c r="S930" s="15"/>
      <c r="T930" s="15"/>
      <c r="U930" s="15"/>
      <c r="V930" s="103"/>
      <c r="W930" s="15"/>
      <c r="X930" s="15"/>
      <c r="Y930" s="15"/>
      <c r="Z930" s="15"/>
      <c r="AA930" s="15"/>
      <c r="AB930" s="15"/>
      <c r="AC930" s="103"/>
      <c r="AD930" s="15"/>
      <c r="AE930" s="15"/>
      <c r="AF930" s="15"/>
      <c r="AG930" s="15"/>
      <c r="AH930" s="15"/>
      <c r="AI930" s="15"/>
      <c r="AJ930" s="103"/>
      <c r="AK930" s="15"/>
      <c r="AL930" s="15"/>
      <c r="AM930" s="15"/>
      <c r="AN930" s="15"/>
      <c r="AO930" s="15"/>
      <c r="AP930" s="15"/>
      <c r="AQ930" s="15"/>
    </row>
    <row r="931">
      <c r="A931" s="15"/>
      <c r="B931" s="15"/>
      <c r="C931" s="15"/>
      <c r="D931" s="15"/>
      <c r="E931" s="15"/>
      <c r="F931" s="15"/>
      <c r="G931" s="15"/>
      <c r="H931" s="103"/>
      <c r="I931" s="15"/>
      <c r="J931" s="15"/>
      <c r="K931" s="15"/>
      <c r="L931" s="15"/>
      <c r="M931" s="15"/>
      <c r="N931" s="15"/>
      <c r="O931" s="103"/>
      <c r="P931" s="15"/>
      <c r="Q931" s="15"/>
      <c r="R931" s="15"/>
      <c r="S931" s="15"/>
      <c r="T931" s="15"/>
      <c r="U931" s="15"/>
      <c r="V931" s="103"/>
      <c r="W931" s="15"/>
      <c r="X931" s="15"/>
      <c r="Y931" s="15"/>
      <c r="Z931" s="15"/>
      <c r="AA931" s="15"/>
      <c r="AB931" s="15"/>
      <c r="AC931" s="103"/>
      <c r="AD931" s="15"/>
      <c r="AE931" s="15"/>
      <c r="AF931" s="15"/>
      <c r="AG931" s="15"/>
      <c r="AH931" s="15"/>
      <c r="AI931" s="15"/>
      <c r="AJ931" s="103"/>
      <c r="AK931" s="15"/>
      <c r="AL931" s="15"/>
      <c r="AM931" s="15"/>
      <c r="AN931" s="15"/>
      <c r="AO931" s="15"/>
      <c r="AP931" s="15"/>
      <c r="AQ931" s="15"/>
    </row>
    <row r="932">
      <c r="A932" s="15"/>
      <c r="B932" s="15"/>
      <c r="C932" s="15"/>
      <c r="D932" s="15"/>
      <c r="E932" s="15"/>
      <c r="F932" s="15"/>
      <c r="G932" s="15"/>
      <c r="H932" s="103"/>
      <c r="I932" s="15"/>
      <c r="J932" s="15"/>
      <c r="K932" s="15"/>
      <c r="L932" s="15"/>
      <c r="M932" s="15"/>
      <c r="N932" s="15"/>
      <c r="O932" s="103"/>
      <c r="P932" s="15"/>
      <c r="Q932" s="15"/>
      <c r="R932" s="15"/>
      <c r="S932" s="15"/>
      <c r="T932" s="15"/>
      <c r="U932" s="15"/>
      <c r="V932" s="103"/>
      <c r="W932" s="15"/>
      <c r="X932" s="15"/>
      <c r="Y932" s="15"/>
      <c r="Z932" s="15"/>
      <c r="AA932" s="15"/>
      <c r="AB932" s="15"/>
      <c r="AC932" s="103"/>
      <c r="AD932" s="15"/>
      <c r="AE932" s="15"/>
      <c r="AF932" s="15"/>
      <c r="AG932" s="15"/>
      <c r="AH932" s="15"/>
      <c r="AI932" s="15"/>
      <c r="AJ932" s="103"/>
      <c r="AK932" s="15"/>
      <c r="AL932" s="15"/>
      <c r="AM932" s="15"/>
      <c r="AN932" s="15"/>
      <c r="AO932" s="15"/>
      <c r="AP932" s="15"/>
      <c r="AQ932" s="15"/>
    </row>
    <row r="933">
      <c r="A933" s="15"/>
      <c r="B933" s="15"/>
      <c r="C933" s="15"/>
      <c r="D933" s="15"/>
      <c r="E933" s="15"/>
      <c r="F933" s="15"/>
      <c r="G933" s="15"/>
      <c r="H933" s="103"/>
      <c r="I933" s="15"/>
      <c r="J933" s="15"/>
      <c r="K933" s="15"/>
      <c r="L933" s="15"/>
      <c r="M933" s="15"/>
      <c r="N933" s="15"/>
      <c r="O933" s="103"/>
      <c r="P933" s="15"/>
      <c r="Q933" s="15"/>
      <c r="R933" s="15"/>
      <c r="S933" s="15"/>
      <c r="T933" s="15"/>
      <c r="U933" s="15"/>
      <c r="V933" s="103"/>
      <c r="W933" s="15"/>
      <c r="X933" s="15"/>
      <c r="Y933" s="15"/>
      <c r="Z933" s="15"/>
      <c r="AA933" s="15"/>
      <c r="AB933" s="15"/>
      <c r="AC933" s="103"/>
      <c r="AD933" s="15"/>
      <c r="AE933" s="15"/>
      <c r="AF933" s="15"/>
      <c r="AG933" s="15"/>
      <c r="AH933" s="15"/>
      <c r="AI933" s="15"/>
      <c r="AJ933" s="103"/>
      <c r="AK933" s="15"/>
      <c r="AL933" s="15"/>
      <c r="AM933" s="15"/>
      <c r="AN933" s="15"/>
      <c r="AO933" s="15"/>
      <c r="AP933" s="15"/>
      <c r="AQ933" s="15"/>
    </row>
    <row r="934">
      <c r="A934" s="15"/>
      <c r="B934" s="15"/>
      <c r="C934" s="15"/>
      <c r="D934" s="15"/>
      <c r="E934" s="15"/>
      <c r="F934" s="15"/>
      <c r="G934" s="15"/>
      <c r="H934" s="103"/>
      <c r="I934" s="15"/>
      <c r="J934" s="15"/>
      <c r="K934" s="15"/>
      <c r="L934" s="15"/>
      <c r="M934" s="15"/>
      <c r="N934" s="15"/>
      <c r="O934" s="103"/>
      <c r="P934" s="15"/>
      <c r="Q934" s="15"/>
      <c r="R934" s="15"/>
      <c r="S934" s="15"/>
      <c r="T934" s="15"/>
      <c r="U934" s="15"/>
      <c r="V934" s="103"/>
      <c r="W934" s="15"/>
      <c r="X934" s="15"/>
      <c r="Y934" s="15"/>
      <c r="Z934" s="15"/>
      <c r="AA934" s="15"/>
      <c r="AB934" s="15"/>
      <c r="AC934" s="103"/>
      <c r="AD934" s="15"/>
      <c r="AE934" s="15"/>
      <c r="AF934" s="15"/>
      <c r="AG934" s="15"/>
      <c r="AH934" s="15"/>
      <c r="AI934" s="15"/>
      <c r="AJ934" s="103"/>
      <c r="AK934" s="15"/>
      <c r="AL934" s="15"/>
      <c r="AM934" s="15"/>
      <c r="AN934" s="15"/>
      <c r="AO934" s="15"/>
      <c r="AP934" s="15"/>
      <c r="AQ934" s="15"/>
    </row>
    <row r="935">
      <c r="A935" s="15"/>
      <c r="B935" s="15"/>
      <c r="C935" s="15"/>
      <c r="D935" s="15"/>
      <c r="E935" s="15"/>
      <c r="F935" s="15"/>
      <c r="G935" s="15"/>
      <c r="H935" s="103"/>
      <c r="I935" s="15"/>
      <c r="J935" s="15"/>
      <c r="K935" s="15"/>
      <c r="L935" s="15"/>
      <c r="M935" s="15"/>
      <c r="N935" s="15"/>
      <c r="O935" s="103"/>
      <c r="P935" s="15"/>
      <c r="Q935" s="15"/>
      <c r="R935" s="15"/>
      <c r="S935" s="15"/>
      <c r="T935" s="15"/>
      <c r="U935" s="15"/>
      <c r="V935" s="103"/>
      <c r="W935" s="15"/>
      <c r="X935" s="15"/>
      <c r="Y935" s="15"/>
      <c r="Z935" s="15"/>
      <c r="AA935" s="15"/>
      <c r="AB935" s="15"/>
      <c r="AC935" s="103"/>
      <c r="AD935" s="15"/>
      <c r="AE935" s="15"/>
      <c r="AF935" s="15"/>
      <c r="AG935" s="15"/>
      <c r="AH935" s="15"/>
      <c r="AI935" s="15"/>
      <c r="AJ935" s="103"/>
      <c r="AK935" s="15"/>
      <c r="AL935" s="15"/>
      <c r="AM935" s="15"/>
      <c r="AN935" s="15"/>
      <c r="AO935" s="15"/>
      <c r="AP935" s="15"/>
      <c r="AQ935" s="15"/>
    </row>
    <row r="936">
      <c r="A936" s="15"/>
      <c r="B936" s="15"/>
      <c r="C936" s="15"/>
      <c r="D936" s="15"/>
      <c r="E936" s="15"/>
      <c r="F936" s="15"/>
      <c r="G936" s="15"/>
      <c r="H936" s="103"/>
      <c r="I936" s="15"/>
      <c r="J936" s="15"/>
      <c r="K936" s="15"/>
      <c r="L936" s="15"/>
      <c r="M936" s="15"/>
      <c r="N936" s="15"/>
      <c r="O936" s="103"/>
      <c r="P936" s="15"/>
      <c r="Q936" s="15"/>
      <c r="R936" s="15"/>
      <c r="S936" s="15"/>
      <c r="T936" s="15"/>
      <c r="U936" s="15"/>
      <c r="V936" s="103"/>
      <c r="W936" s="15"/>
      <c r="X936" s="15"/>
      <c r="Y936" s="15"/>
      <c r="Z936" s="15"/>
      <c r="AA936" s="15"/>
      <c r="AB936" s="15"/>
      <c r="AC936" s="103"/>
      <c r="AD936" s="15"/>
      <c r="AE936" s="15"/>
      <c r="AF936" s="15"/>
      <c r="AG936" s="15"/>
      <c r="AH936" s="15"/>
      <c r="AI936" s="15"/>
      <c r="AJ936" s="103"/>
      <c r="AK936" s="15"/>
      <c r="AL936" s="15"/>
      <c r="AM936" s="15"/>
      <c r="AN936" s="15"/>
      <c r="AO936" s="15"/>
      <c r="AP936" s="15"/>
      <c r="AQ936" s="15"/>
    </row>
    <row r="937">
      <c r="A937" s="15"/>
      <c r="B937" s="15"/>
      <c r="C937" s="15"/>
      <c r="D937" s="15"/>
      <c r="E937" s="15"/>
      <c r="F937" s="15"/>
      <c r="G937" s="15"/>
      <c r="H937" s="103"/>
      <c r="I937" s="15"/>
      <c r="J937" s="15"/>
      <c r="K937" s="15"/>
      <c r="L937" s="15"/>
      <c r="M937" s="15"/>
      <c r="N937" s="15"/>
      <c r="O937" s="103"/>
      <c r="P937" s="15"/>
      <c r="Q937" s="15"/>
      <c r="R937" s="15"/>
      <c r="S937" s="15"/>
      <c r="T937" s="15"/>
      <c r="U937" s="15"/>
      <c r="V937" s="103"/>
      <c r="W937" s="15"/>
      <c r="X937" s="15"/>
      <c r="Y937" s="15"/>
      <c r="Z937" s="15"/>
      <c r="AA937" s="15"/>
      <c r="AB937" s="15"/>
      <c r="AC937" s="103"/>
      <c r="AD937" s="15"/>
      <c r="AE937" s="15"/>
      <c r="AF937" s="15"/>
      <c r="AG937" s="15"/>
      <c r="AH937" s="15"/>
      <c r="AI937" s="15"/>
      <c r="AJ937" s="103"/>
      <c r="AK937" s="15"/>
      <c r="AL937" s="15"/>
      <c r="AM937" s="15"/>
      <c r="AN937" s="15"/>
      <c r="AO937" s="15"/>
      <c r="AP937" s="15"/>
      <c r="AQ937" s="15"/>
    </row>
    <row r="938">
      <c r="A938" s="15"/>
      <c r="B938" s="15"/>
      <c r="C938" s="15"/>
      <c r="D938" s="15"/>
      <c r="E938" s="15"/>
      <c r="F938" s="15"/>
      <c r="G938" s="15"/>
      <c r="H938" s="103"/>
      <c r="I938" s="15"/>
      <c r="J938" s="15"/>
      <c r="K938" s="15"/>
      <c r="L938" s="15"/>
      <c r="M938" s="15"/>
      <c r="N938" s="15"/>
      <c r="O938" s="103"/>
      <c r="P938" s="15"/>
      <c r="Q938" s="15"/>
      <c r="R938" s="15"/>
      <c r="S938" s="15"/>
      <c r="T938" s="15"/>
      <c r="U938" s="15"/>
      <c r="V938" s="103"/>
      <c r="W938" s="15"/>
      <c r="X938" s="15"/>
      <c r="Y938" s="15"/>
      <c r="Z938" s="15"/>
      <c r="AA938" s="15"/>
      <c r="AB938" s="15"/>
      <c r="AC938" s="103"/>
      <c r="AD938" s="15"/>
      <c r="AE938" s="15"/>
      <c r="AF938" s="15"/>
      <c r="AG938" s="15"/>
      <c r="AH938" s="15"/>
      <c r="AI938" s="15"/>
      <c r="AJ938" s="103"/>
      <c r="AK938" s="15"/>
      <c r="AL938" s="15"/>
      <c r="AM938" s="15"/>
      <c r="AN938" s="15"/>
      <c r="AO938" s="15"/>
      <c r="AP938" s="15"/>
      <c r="AQ938" s="15"/>
    </row>
    <row r="939">
      <c r="A939" s="15"/>
      <c r="B939" s="15"/>
      <c r="C939" s="15"/>
      <c r="D939" s="15"/>
      <c r="E939" s="15"/>
      <c r="F939" s="15"/>
      <c r="G939" s="15"/>
      <c r="H939" s="103"/>
      <c r="I939" s="15"/>
      <c r="J939" s="15"/>
      <c r="K939" s="15"/>
      <c r="L939" s="15"/>
      <c r="M939" s="15"/>
      <c r="N939" s="15"/>
      <c r="O939" s="103"/>
      <c r="P939" s="15"/>
      <c r="Q939" s="15"/>
      <c r="R939" s="15"/>
      <c r="S939" s="15"/>
      <c r="T939" s="15"/>
      <c r="U939" s="15"/>
      <c r="V939" s="103"/>
      <c r="W939" s="15"/>
      <c r="X939" s="15"/>
      <c r="Y939" s="15"/>
      <c r="Z939" s="15"/>
      <c r="AA939" s="15"/>
      <c r="AB939" s="15"/>
      <c r="AC939" s="103"/>
      <c r="AD939" s="15"/>
      <c r="AE939" s="15"/>
      <c r="AF939" s="15"/>
      <c r="AG939" s="15"/>
      <c r="AH939" s="15"/>
      <c r="AI939" s="15"/>
      <c r="AJ939" s="103"/>
      <c r="AK939" s="15"/>
      <c r="AL939" s="15"/>
      <c r="AM939" s="15"/>
      <c r="AN939" s="15"/>
      <c r="AO939" s="15"/>
      <c r="AP939" s="15"/>
      <c r="AQ939" s="15"/>
    </row>
    <row r="940">
      <c r="A940" s="15"/>
      <c r="B940" s="15"/>
      <c r="C940" s="15"/>
      <c r="D940" s="15"/>
      <c r="E940" s="15"/>
      <c r="F940" s="15"/>
      <c r="G940" s="15"/>
      <c r="H940" s="103"/>
      <c r="I940" s="15"/>
      <c r="J940" s="15"/>
      <c r="K940" s="15"/>
      <c r="L940" s="15"/>
      <c r="M940" s="15"/>
      <c r="N940" s="15"/>
      <c r="O940" s="103"/>
      <c r="P940" s="15"/>
      <c r="Q940" s="15"/>
      <c r="R940" s="15"/>
      <c r="S940" s="15"/>
      <c r="T940" s="15"/>
      <c r="U940" s="15"/>
      <c r="V940" s="103"/>
      <c r="W940" s="15"/>
      <c r="X940" s="15"/>
      <c r="Y940" s="15"/>
      <c r="Z940" s="15"/>
      <c r="AA940" s="15"/>
      <c r="AB940" s="15"/>
      <c r="AC940" s="103"/>
      <c r="AD940" s="15"/>
      <c r="AE940" s="15"/>
      <c r="AF940" s="15"/>
      <c r="AG940" s="15"/>
      <c r="AH940" s="15"/>
      <c r="AI940" s="15"/>
      <c r="AJ940" s="103"/>
      <c r="AK940" s="15"/>
      <c r="AL940" s="15"/>
      <c r="AM940" s="15"/>
      <c r="AN940" s="15"/>
      <c r="AO940" s="15"/>
      <c r="AP940" s="15"/>
      <c r="AQ940" s="15"/>
    </row>
    <row r="941">
      <c r="A941" s="15"/>
      <c r="B941" s="15"/>
      <c r="C941" s="15"/>
      <c r="D941" s="15"/>
      <c r="E941" s="15"/>
      <c r="F941" s="15"/>
      <c r="G941" s="15"/>
      <c r="H941" s="103"/>
      <c r="I941" s="15"/>
      <c r="J941" s="15"/>
      <c r="K941" s="15"/>
      <c r="L941" s="15"/>
      <c r="M941" s="15"/>
      <c r="N941" s="15"/>
      <c r="O941" s="103"/>
      <c r="P941" s="15"/>
      <c r="Q941" s="15"/>
      <c r="R941" s="15"/>
      <c r="S941" s="15"/>
      <c r="T941" s="15"/>
      <c r="U941" s="15"/>
      <c r="V941" s="103"/>
      <c r="W941" s="15"/>
      <c r="X941" s="15"/>
      <c r="Y941" s="15"/>
      <c r="Z941" s="15"/>
      <c r="AA941" s="15"/>
      <c r="AB941" s="15"/>
      <c r="AC941" s="103"/>
      <c r="AD941" s="15"/>
      <c r="AE941" s="15"/>
      <c r="AF941" s="15"/>
      <c r="AG941" s="15"/>
      <c r="AH941" s="15"/>
      <c r="AI941" s="15"/>
      <c r="AJ941" s="103"/>
      <c r="AK941" s="15"/>
      <c r="AL941" s="15"/>
      <c r="AM941" s="15"/>
      <c r="AN941" s="15"/>
      <c r="AO941" s="15"/>
      <c r="AP941" s="15"/>
      <c r="AQ941" s="15"/>
    </row>
    <row r="942">
      <c r="A942" s="15"/>
      <c r="B942" s="15"/>
      <c r="C942" s="15"/>
      <c r="D942" s="15"/>
      <c r="E942" s="15"/>
      <c r="F942" s="15"/>
      <c r="G942" s="15"/>
      <c r="H942" s="103"/>
      <c r="I942" s="15"/>
      <c r="J942" s="15"/>
      <c r="K942" s="15"/>
      <c r="L942" s="15"/>
      <c r="M942" s="15"/>
      <c r="N942" s="15"/>
      <c r="O942" s="103"/>
      <c r="P942" s="15"/>
      <c r="Q942" s="15"/>
      <c r="R942" s="15"/>
      <c r="S942" s="15"/>
      <c r="T942" s="15"/>
      <c r="U942" s="15"/>
      <c r="V942" s="103"/>
      <c r="W942" s="15"/>
      <c r="X942" s="15"/>
      <c r="Y942" s="15"/>
      <c r="Z942" s="15"/>
      <c r="AA942" s="15"/>
      <c r="AB942" s="15"/>
      <c r="AC942" s="103"/>
      <c r="AD942" s="15"/>
      <c r="AE942" s="15"/>
      <c r="AF942" s="15"/>
      <c r="AG942" s="15"/>
      <c r="AH942" s="15"/>
      <c r="AI942" s="15"/>
      <c r="AJ942" s="103"/>
      <c r="AK942" s="15"/>
      <c r="AL942" s="15"/>
      <c r="AM942" s="15"/>
      <c r="AN942" s="15"/>
      <c r="AO942" s="15"/>
      <c r="AP942" s="15"/>
      <c r="AQ942" s="15"/>
    </row>
    <row r="943">
      <c r="A943" s="15"/>
      <c r="B943" s="15"/>
      <c r="C943" s="15"/>
      <c r="D943" s="15"/>
      <c r="E943" s="15"/>
      <c r="F943" s="15"/>
      <c r="G943" s="15"/>
      <c r="H943" s="103"/>
      <c r="I943" s="15"/>
      <c r="J943" s="15"/>
      <c r="K943" s="15"/>
      <c r="L943" s="15"/>
      <c r="M943" s="15"/>
      <c r="N943" s="15"/>
      <c r="O943" s="103"/>
      <c r="P943" s="15"/>
      <c r="Q943" s="15"/>
      <c r="R943" s="15"/>
      <c r="S943" s="15"/>
      <c r="T943" s="15"/>
      <c r="U943" s="15"/>
      <c r="V943" s="103"/>
      <c r="W943" s="15"/>
      <c r="X943" s="15"/>
      <c r="Y943" s="15"/>
      <c r="Z943" s="15"/>
      <c r="AA943" s="15"/>
      <c r="AB943" s="15"/>
      <c r="AC943" s="103"/>
      <c r="AD943" s="15"/>
      <c r="AE943" s="15"/>
      <c r="AF943" s="15"/>
      <c r="AG943" s="15"/>
      <c r="AH943" s="15"/>
      <c r="AI943" s="15"/>
      <c r="AJ943" s="103"/>
      <c r="AK943" s="15"/>
      <c r="AL943" s="15"/>
      <c r="AM943" s="15"/>
      <c r="AN943" s="15"/>
      <c r="AO943" s="15"/>
      <c r="AP943" s="15"/>
      <c r="AQ943" s="15"/>
    </row>
    <row r="944">
      <c r="A944" s="15"/>
      <c r="B944" s="15"/>
      <c r="C944" s="15"/>
      <c r="D944" s="15"/>
      <c r="E944" s="15"/>
      <c r="F944" s="15"/>
      <c r="G944" s="15"/>
      <c r="H944" s="103"/>
      <c r="I944" s="15"/>
      <c r="J944" s="15"/>
      <c r="K944" s="15"/>
      <c r="L944" s="15"/>
      <c r="M944" s="15"/>
      <c r="N944" s="15"/>
      <c r="O944" s="103"/>
      <c r="P944" s="15"/>
      <c r="Q944" s="15"/>
      <c r="R944" s="15"/>
      <c r="S944" s="15"/>
      <c r="T944" s="15"/>
      <c r="U944" s="15"/>
      <c r="V944" s="103"/>
      <c r="W944" s="15"/>
      <c r="X944" s="15"/>
      <c r="Y944" s="15"/>
      <c r="Z944" s="15"/>
      <c r="AA944" s="15"/>
      <c r="AB944" s="15"/>
      <c r="AC944" s="103"/>
      <c r="AD944" s="15"/>
      <c r="AE944" s="15"/>
      <c r="AF944" s="15"/>
      <c r="AG944" s="15"/>
      <c r="AH944" s="15"/>
      <c r="AI944" s="15"/>
      <c r="AJ944" s="103"/>
      <c r="AK944" s="15"/>
      <c r="AL944" s="15"/>
      <c r="AM944" s="15"/>
      <c r="AN944" s="15"/>
      <c r="AO944" s="15"/>
      <c r="AP944" s="15"/>
      <c r="AQ944" s="15"/>
    </row>
    <row r="945">
      <c r="A945" s="15"/>
      <c r="B945" s="15"/>
      <c r="C945" s="15"/>
      <c r="D945" s="15"/>
      <c r="E945" s="15"/>
      <c r="F945" s="15"/>
      <c r="G945" s="15"/>
      <c r="H945" s="103"/>
      <c r="I945" s="15"/>
      <c r="J945" s="15"/>
      <c r="K945" s="15"/>
      <c r="L945" s="15"/>
      <c r="M945" s="15"/>
      <c r="N945" s="15"/>
      <c r="O945" s="103"/>
      <c r="P945" s="15"/>
      <c r="Q945" s="15"/>
      <c r="R945" s="15"/>
      <c r="S945" s="15"/>
      <c r="T945" s="15"/>
      <c r="U945" s="15"/>
      <c r="V945" s="103"/>
      <c r="W945" s="15"/>
      <c r="X945" s="15"/>
      <c r="Y945" s="15"/>
      <c r="Z945" s="15"/>
      <c r="AA945" s="15"/>
      <c r="AB945" s="15"/>
      <c r="AC945" s="103"/>
      <c r="AD945" s="15"/>
      <c r="AE945" s="15"/>
      <c r="AF945" s="15"/>
      <c r="AG945" s="15"/>
      <c r="AH945" s="15"/>
      <c r="AI945" s="15"/>
      <c r="AJ945" s="103"/>
      <c r="AK945" s="15"/>
      <c r="AL945" s="15"/>
      <c r="AM945" s="15"/>
      <c r="AN945" s="15"/>
      <c r="AO945" s="15"/>
      <c r="AP945" s="15"/>
      <c r="AQ945" s="15"/>
    </row>
    <row r="946">
      <c r="A946" s="15"/>
      <c r="B946" s="15"/>
      <c r="C946" s="15"/>
      <c r="D946" s="15"/>
      <c r="E946" s="15"/>
      <c r="F946" s="15"/>
      <c r="G946" s="15"/>
      <c r="H946" s="103"/>
      <c r="I946" s="15"/>
      <c r="J946" s="15"/>
      <c r="K946" s="15"/>
      <c r="L946" s="15"/>
      <c r="M946" s="15"/>
      <c r="N946" s="15"/>
      <c r="O946" s="103"/>
      <c r="P946" s="15"/>
      <c r="Q946" s="15"/>
      <c r="R946" s="15"/>
      <c r="S946" s="15"/>
      <c r="T946" s="15"/>
      <c r="U946" s="15"/>
      <c r="V946" s="103"/>
      <c r="W946" s="15"/>
      <c r="X946" s="15"/>
      <c r="Y946" s="15"/>
      <c r="Z946" s="15"/>
      <c r="AA946" s="15"/>
      <c r="AB946" s="15"/>
      <c r="AC946" s="103"/>
      <c r="AD946" s="15"/>
      <c r="AE946" s="15"/>
      <c r="AF946" s="15"/>
      <c r="AG946" s="15"/>
      <c r="AH946" s="15"/>
      <c r="AI946" s="15"/>
      <c r="AJ946" s="103"/>
      <c r="AK946" s="15"/>
      <c r="AL946" s="15"/>
      <c r="AM946" s="15"/>
      <c r="AN946" s="15"/>
      <c r="AO946" s="15"/>
      <c r="AP946" s="15"/>
      <c r="AQ946" s="15"/>
    </row>
    <row r="947">
      <c r="A947" s="15"/>
      <c r="B947" s="15"/>
      <c r="C947" s="15"/>
      <c r="D947" s="15"/>
      <c r="E947" s="15"/>
      <c r="F947" s="15"/>
      <c r="G947" s="15"/>
      <c r="H947" s="103"/>
      <c r="I947" s="15"/>
      <c r="J947" s="15"/>
      <c r="K947" s="15"/>
      <c r="L947" s="15"/>
      <c r="M947" s="15"/>
      <c r="N947" s="15"/>
      <c r="O947" s="103"/>
      <c r="P947" s="15"/>
      <c r="Q947" s="15"/>
      <c r="R947" s="15"/>
      <c r="S947" s="15"/>
      <c r="T947" s="15"/>
      <c r="U947" s="15"/>
      <c r="V947" s="103"/>
      <c r="W947" s="15"/>
      <c r="X947" s="15"/>
      <c r="Y947" s="15"/>
      <c r="Z947" s="15"/>
      <c r="AA947" s="15"/>
      <c r="AB947" s="15"/>
      <c r="AC947" s="103"/>
      <c r="AD947" s="15"/>
      <c r="AE947" s="15"/>
      <c r="AF947" s="15"/>
      <c r="AG947" s="15"/>
      <c r="AH947" s="15"/>
      <c r="AI947" s="15"/>
      <c r="AJ947" s="103"/>
      <c r="AK947" s="15"/>
      <c r="AL947" s="15"/>
      <c r="AM947" s="15"/>
      <c r="AN947" s="15"/>
      <c r="AO947" s="15"/>
      <c r="AP947" s="15"/>
      <c r="AQ947" s="15"/>
    </row>
    <row r="948">
      <c r="A948" s="15"/>
      <c r="B948" s="15"/>
      <c r="C948" s="15"/>
      <c r="D948" s="15"/>
      <c r="E948" s="15"/>
      <c r="F948" s="15"/>
      <c r="G948" s="15"/>
      <c r="H948" s="103"/>
      <c r="I948" s="15"/>
      <c r="J948" s="15"/>
      <c r="K948" s="15"/>
      <c r="L948" s="15"/>
      <c r="M948" s="15"/>
      <c r="N948" s="15"/>
      <c r="O948" s="103"/>
      <c r="P948" s="15"/>
      <c r="Q948" s="15"/>
      <c r="R948" s="15"/>
      <c r="S948" s="15"/>
      <c r="T948" s="15"/>
      <c r="U948" s="15"/>
      <c r="V948" s="103"/>
      <c r="W948" s="15"/>
      <c r="X948" s="15"/>
      <c r="Y948" s="15"/>
      <c r="Z948" s="15"/>
      <c r="AA948" s="15"/>
      <c r="AB948" s="15"/>
      <c r="AC948" s="103"/>
      <c r="AD948" s="15"/>
      <c r="AE948" s="15"/>
      <c r="AF948" s="15"/>
      <c r="AG948" s="15"/>
      <c r="AH948" s="15"/>
      <c r="AI948" s="15"/>
      <c r="AJ948" s="103"/>
      <c r="AK948" s="15"/>
      <c r="AL948" s="15"/>
      <c r="AM948" s="15"/>
      <c r="AN948" s="15"/>
      <c r="AO948" s="15"/>
      <c r="AP948" s="15"/>
      <c r="AQ948" s="15"/>
    </row>
    <row r="949">
      <c r="A949" s="15"/>
      <c r="B949" s="15"/>
      <c r="C949" s="15"/>
      <c r="D949" s="15"/>
      <c r="E949" s="15"/>
      <c r="F949" s="15"/>
      <c r="G949" s="15"/>
      <c r="H949" s="103"/>
      <c r="I949" s="15"/>
      <c r="J949" s="15"/>
      <c r="K949" s="15"/>
      <c r="L949" s="15"/>
      <c r="M949" s="15"/>
      <c r="N949" s="15"/>
      <c r="O949" s="103"/>
      <c r="P949" s="15"/>
      <c r="Q949" s="15"/>
      <c r="R949" s="15"/>
      <c r="S949" s="15"/>
      <c r="T949" s="15"/>
      <c r="U949" s="15"/>
      <c r="V949" s="103"/>
      <c r="W949" s="15"/>
      <c r="X949" s="15"/>
      <c r="Y949" s="15"/>
      <c r="Z949" s="15"/>
      <c r="AA949" s="15"/>
      <c r="AB949" s="15"/>
      <c r="AC949" s="103"/>
      <c r="AD949" s="15"/>
      <c r="AE949" s="15"/>
      <c r="AF949" s="15"/>
      <c r="AG949" s="15"/>
      <c r="AH949" s="15"/>
      <c r="AI949" s="15"/>
      <c r="AJ949" s="103"/>
      <c r="AK949" s="15"/>
      <c r="AL949" s="15"/>
      <c r="AM949" s="15"/>
      <c r="AN949" s="15"/>
      <c r="AO949" s="15"/>
      <c r="AP949" s="15"/>
      <c r="AQ949" s="15"/>
    </row>
    <row r="950">
      <c r="A950" s="15"/>
      <c r="B950" s="15"/>
      <c r="C950" s="15"/>
      <c r="D950" s="15"/>
      <c r="E950" s="15"/>
      <c r="F950" s="15"/>
      <c r="G950" s="15"/>
      <c r="H950" s="103"/>
      <c r="I950" s="15"/>
      <c r="J950" s="15"/>
      <c r="K950" s="15"/>
      <c r="L950" s="15"/>
      <c r="M950" s="15"/>
      <c r="N950" s="15"/>
      <c r="O950" s="103"/>
      <c r="P950" s="15"/>
      <c r="Q950" s="15"/>
      <c r="R950" s="15"/>
      <c r="S950" s="15"/>
      <c r="T950" s="15"/>
      <c r="U950" s="15"/>
      <c r="V950" s="103"/>
      <c r="W950" s="15"/>
      <c r="X950" s="15"/>
      <c r="Y950" s="15"/>
      <c r="Z950" s="15"/>
      <c r="AA950" s="15"/>
      <c r="AB950" s="15"/>
      <c r="AC950" s="103"/>
      <c r="AD950" s="15"/>
      <c r="AE950" s="15"/>
      <c r="AF950" s="15"/>
      <c r="AG950" s="15"/>
      <c r="AH950" s="15"/>
      <c r="AI950" s="15"/>
      <c r="AJ950" s="103"/>
      <c r="AK950" s="15"/>
      <c r="AL950" s="15"/>
      <c r="AM950" s="15"/>
      <c r="AN950" s="15"/>
      <c r="AO950" s="15"/>
      <c r="AP950" s="15"/>
      <c r="AQ950" s="15"/>
    </row>
    <row r="951">
      <c r="A951" s="15"/>
      <c r="B951" s="15"/>
      <c r="C951" s="15"/>
      <c r="D951" s="15"/>
      <c r="E951" s="15"/>
      <c r="F951" s="15"/>
      <c r="G951" s="15"/>
      <c r="H951" s="103"/>
      <c r="I951" s="15"/>
      <c r="J951" s="15"/>
      <c r="K951" s="15"/>
      <c r="L951" s="15"/>
      <c r="M951" s="15"/>
      <c r="N951" s="15"/>
      <c r="O951" s="103"/>
      <c r="P951" s="15"/>
      <c r="Q951" s="15"/>
      <c r="R951" s="15"/>
      <c r="S951" s="15"/>
      <c r="T951" s="15"/>
      <c r="U951" s="15"/>
      <c r="V951" s="103"/>
      <c r="W951" s="15"/>
      <c r="X951" s="15"/>
      <c r="Y951" s="15"/>
      <c r="Z951" s="15"/>
      <c r="AA951" s="15"/>
      <c r="AB951" s="15"/>
      <c r="AC951" s="103"/>
      <c r="AD951" s="15"/>
      <c r="AE951" s="15"/>
      <c r="AF951" s="15"/>
      <c r="AG951" s="15"/>
      <c r="AH951" s="15"/>
      <c r="AI951" s="15"/>
      <c r="AJ951" s="103"/>
      <c r="AK951" s="15"/>
      <c r="AL951" s="15"/>
      <c r="AM951" s="15"/>
      <c r="AN951" s="15"/>
      <c r="AO951" s="15"/>
      <c r="AP951" s="15"/>
      <c r="AQ951" s="15"/>
    </row>
    <row r="952">
      <c r="A952" s="15"/>
      <c r="B952" s="15"/>
      <c r="C952" s="15"/>
      <c r="D952" s="15"/>
      <c r="E952" s="15"/>
      <c r="F952" s="15"/>
      <c r="G952" s="15"/>
      <c r="H952" s="103"/>
      <c r="I952" s="15"/>
      <c r="J952" s="15"/>
      <c r="K952" s="15"/>
      <c r="L952" s="15"/>
      <c r="M952" s="15"/>
      <c r="N952" s="15"/>
      <c r="O952" s="103"/>
      <c r="P952" s="15"/>
      <c r="Q952" s="15"/>
      <c r="R952" s="15"/>
      <c r="S952" s="15"/>
      <c r="T952" s="15"/>
      <c r="U952" s="15"/>
      <c r="V952" s="103"/>
      <c r="W952" s="15"/>
      <c r="X952" s="15"/>
      <c r="Y952" s="15"/>
      <c r="Z952" s="15"/>
      <c r="AA952" s="15"/>
      <c r="AB952" s="15"/>
      <c r="AC952" s="103"/>
      <c r="AD952" s="15"/>
      <c r="AE952" s="15"/>
      <c r="AF952" s="15"/>
      <c r="AG952" s="15"/>
      <c r="AH952" s="15"/>
      <c r="AI952" s="15"/>
      <c r="AJ952" s="103"/>
      <c r="AK952" s="15"/>
      <c r="AL952" s="15"/>
      <c r="AM952" s="15"/>
      <c r="AN952" s="15"/>
      <c r="AO952" s="15"/>
      <c r="AP952" s="15"/>
      <c r="AQ952" s="15"/>
    </row>
    <row r="953">
      <c r="A953" s="15"/>
      <c r="B953" s="15"/>
      <c r="C953" s="15"/>
      <c r="D953" s="15"/>
      <c r="E953" s="15"/>
      <c r="F953" s="15"/>
      <c r="G953" s="15"/>
      <c r="H953" s="103"/>
      <c r="I953" s="15"/>
      <c r="J953" s="15"/>
      <c r="K953" s="15"/>
      <c r="L953" s="15"/>
      <c r="M953" s="15"/>
      <c r="N953" s="15"/>
      <c r="O953" s="103"/>
      <c r="P953" s="15"/>
      <c r="Q953" s="15"/>
      <c r="R953" s="15"/>
      <c r="S953" s="15"/>
      <c r="T953" s="15"/>
      <c r="U953" s="15"/>
      <c r="V953" s="103"/>
      <c r="W953" s="15"/>
      <c r="X953" s="15"/>
      <c r="Y953" s="15"/>
      <c r="Z953" s="15"/>
      <c r="AA953" s="15"/>
      <c r="AB953" s="15"/>
      <c r="AC953" s="103"/>
      <c r="AD953" s="15"/>
      <c r="AE953" s="15"/>
      <c r="AF953" s="15"/>
      <c r="AG953" s="15"/>
      <c r="AH953" s="15"/>
      <c r="AI953" s="15"/>
      <c r="AJ953" s="103"/>
      <c r="AK953" s="15"/>
      <c r="AL953" s="15"/>
      <c r="AM953" s="15"/>
      <c r="AN953" s="15"/>
      <c r="AO953" s="15"/>
      <c r="AP953" s="15"/>
      <c r="AQ953" s="15"/>
    </row>
    <row r="954">
      <c r="A954" s="15"/>
      <c r="B954" s="15"/>
      <c r="C954" s="15"/>
      <c r="D954" s="15"/>
      <c r="E954" s="15"/>
      <c r="F954" s="15"/>
      <c r="G954" s="15"/>
      <c r="H954" s="103"/>
      <c r="I954" s="15"/>
      <c r="J954" s="15"/>
      <c r="K954" s="15"/>
      <c r="L954" s="15"/>
      <c r="M954" s="15"/>
      <c r="N954" s="15"/>
      <c r="O954" s="103"/>
      <c r="P954" s="15"/>
      <c r="Q954" s="15"/>
      <c r="R954" s="15"/>
      <c r="S954" s="15"/>
      <c r="T954" s="15"/>
      <c r="U954" s="15"/>
      <c r="V954" s="103"/>
      <c r="W954" s="15"/>
      <c r="X954" s="15"/>
      <c r="Y954" s="15"/>
      <c r="Z954" s="15"/>
      <c r="AA954" s="15"/>
      <c r="AB954" s="15"/>
      <c r="AC954" s="103"/>
      <c r="AD954" s="15"/>
      <c r="AE954" s="15"/>
      <c r="AF954" s="15"/>
      <c r="AG954" s="15"/>
      <c r="AH954" s="15"/>
      <c r="AI954" s="15"/>
      <c r="AJ954" s="103"/>
      <c r="AK954" s="15"/>
      <c r="AL954" s="15"/>
      <c r="AM954" s="15"/>
      <c r="AN954" s="15"/>
      <c r="AO954" s="15"/>
      <c r="AP954" s="15"/>
      <c r="AQ954" s="15"/>
    </row>
    <row r="955">
      <c r="A955" s="15"/>
      <c r="B955" s="15"/>
      <c r="C955" s="15"/>
      <c r="D955" s="15"/>
      <c r="E955" s="15"/>
      <c r="F955" s="15"/>
      <c r="G955" s="15"/>
      <c r="H955" s="103"/>
      <c r="I955" s="15"/>
      <c r="J955" s="15"/>
      <c r="K955" s="15"/>
      <c r="L955" s="15"/>
      <c r="M955" s="15"/>
      <c r="N955" s="15"/>
      <c r="O955" s="103"/>
      <c r="P955" s="15"/>
      <c r="Q955" s="15"/>
      <c r="R955" s="15"/>
      <c r="S955" s="15"/>
      <c r="T955" s="15"/>
      <c r="U955" s="15"/>
      <c r="V955" s="103"/>
      <c r="W955" s="15"/>
      <c r="X955" s="15"/>
      <c r="Y955" s="15"/>
      <c r="Z955" s="15"/>
      <c r="AA955" s="15"/>
      <c r="AB955" s="15"/>
      <c r="AC955" s="103"/>
      <c r="AD955" s="15"/>
      <c r="AE955" s="15"/>
      <c r="AF955" s="15"/>
      <c r="AG955" s="15"/>
      <c r="AH955" s="15"/>
      <c r="AI955" s="15"/>
      <c r="AJ955" s="103"/>
      <c r="AK955" s="15"/>
      <c r="AL955" s="15"/>
      <c r="AM955" s="15"/>
      <c r="AN955" s="15"/>
      <c r="AO955" s="15"/>
      <c r="AP955" s="15"/>
      <c r="AQ955" s="15"/>
    </row>
    <row r="956">
      <c r="A956" s="15"/>
      <c r="B956" s="15"/>
      <c r="C956" s="15"/>
      <c r="D956" s="15"/>
      <c r="E956" s="15"/>
      <c r="F956" s="15"/>
      <c r="G956" s="15"/>
      <c r="H956" s="103"/>
      <c r="I956" s="15"/>
      <c r="J956" s="15"/>
      <c r="K956" s="15"/>
      <c r="L956" s="15"/>
      <c r="M956" s="15"/>
      <c r="N956" s="15"/>
      <c r="O956" s="103"/>
      <c r="P956" s="15"/>
      <c r="Q956" s="15"/>
      <c r="R956" s="15"/>
      <c r="S956" s="15"/>
      <c r="T956" s="15"/>
      <c r="U956" s="15"/>
      <c r="V956" s="103"/>
      <c r="W956" s="15"/>
      <c r="X956" s="15"/>
      <c r="Y956" s="15"/>
      <c r="Z956" s="15"/>
      <c r="AA956" s="15"/>
      <c r="AB956" s="15"/>
      <c r="AC956" s="103"/>
      <c r="AD956" s="15"/>
      <c r="AE956" s="15"/>
      <c r="AF956" s="15"/>
      <c r="AG956" s="15"/>
      <c r="AH956" s="15"/>
      <c r="AI956" s="15"/>
      <c r="AJ956" s="103"/>
      <c r="AK956" s="15"/>
      <c r="AL956" s="15"/>
      <c r="AM956" s="15"/>
      <c r="AN956" s="15"/>
      <c r="AO956" s="15"/>
      <c r="AP956" s="15"/>
      <c r="AQ956" s="15"/>
    </row>
    <row r="957">
      <c r="A957" s="15"/>
      <c r="B957" s="15"/>
      <c r="C957" s="15"/>
      <c r="D957" s="15"/>
      <c r="E957" s="15"/>
      <c r="F957" s="15"/>
      <c r="G957" s="15"/>
      <c r="H957" s="103"/>
      <c r="I957" s="15"/>
      <c r="J957" s="15"/>
      <c r="K957" s="15"/>
      <c r="L957" s="15"/>
      <c r="M957" s="15"/>
      <c r="N957" s="15"/>
      <c r="O957" s="103"/>
      <c r="P957" s="15"/>
      <c r="Q957" s="15"/>
      <c r="R957" s="15"/>
      <c r="S957" s="15"/>
      <c r="T957" s="15"/>
      <c r="U957" s="15"/>
      <c r="V957" s="103"/>
      <c r="W957" s="15"/>
      <c r="X957" s="15"/>
      <c r="Y957" s="15"/>
      <c r="Z957" s="15"/>
      <c r="AA957" s="15"/>
      <c r="AB957" s="15"/>
      <c r="AC957" s="103"/>
      <c r="AD957" s="15"/>
      <c r="AE957" s="15"/>
      <c r="AF957" s="15"/>
      <c r="AG957" s="15"/>
      <c r="AH957" s="15"/>
      <c r="AI957" s="15"/>
      <c r="AJ957" s="103"/>
      <c r="AK957" s="15"/>
      <c r="AL957" s="15"/>
      <c r="AM957" s="15"/>
      <c r="AN957" s="15"/>
      <c r="AO957" s="15"/>
      <c r="AP957" s="15"/>
      <c r="AQ957" s="15"/>
    </row>
    <row r="958">
      <c r="A958" s="15"/>
      <c r="B958" s="15"/>
      <c r="C958" s="15"/>
      <c r="D958" s="15"/>
      <c r="E958" s="15"/>
      <c r="F958" s="15"/>
      <c r="G958" s="15"/>
      <c r="H958" s="103"/>
      <c r="I958" s="15"/>
      <c r="J958" s="15"/>
      <c r="K958" s="15"/>
      <c r="L958" s="15"/>
      <c r="M958" s="15"/>
      <c r="N958" s="15"/>
      <c r="O958" s="103"/>
      <c r="P958" s="15"/>
      <c r="Q958" s="15"/>
      <c r="R958" s="15"/>
      <c r="S958" s="15"/>
      <c r="T958" s="15"/>
      <c r="U958" s="15"/>
      <c r="V958" s="103"/>
      <c r="W958" s="15"/>
      <c r="X958" s="15"/>
      <c r="Y958" s="15"/>
      <c r="Z958" s="15"/>
      <c r="AA958" s="15"/>
      <c r="AB958" s="15"/>
      <c r="AC958" s="103"/>
      <c r="AD958" s="15"/>
      <c r="AE958" s="15"/>
      <c r="AF958" s="15"/>
      <c r="AG958" s="15"/>
      <c r="AH958" s="15"/>
      <c r="AI958" s="15"/>
      <c r="AJ958" s="103"/>
      <c r="AK958" s="15"/>
      <c r="AL958" s="15"/>
      <c r="AM958" s="15"/>
      <c r="AN958" s="15"/>
      <c r="AO958" s="15"/>
      <c r="AP958" s="15"/>
      <c r="AQ958" s="15"/>
    </row>
    <row r="959">
      <c r="A959" s="15"/>
      <c r="B959" s="15"/>
      <c r="C959" s="15"/>
      <c r="D959" s="15"/>
      <c r="E959" s="15"/>
      <c r="F959" s="15"/>
      <c r="G959" s="15"/>
      <c r="H959" s="103"/>
      <c r="I959" s="15"/>
      <c r="J959" s="15"/>
      <c r="K959" s="15"/>
      <c r="L959" s="15"/>
      <c r="M959" s="15"/>
      <c r="N959" s="15"/>
      <c r="O959" s="103"/>
      <c r="P959" s="15"/>
      <c r="Q959" s="15"/>
      <c r="R959" s="15"/>
      <c r="S959" s="15"/>
      <c r="T959" s="15"/>
      <c r="U959" s="15"/>
      <c r="V959" s="103"/>
      <c r="W959" s="15"/>
      <c r="X959" s="15"/>
      <c r="Y959" s="15"/>
      <c r="Z959" s="15"/>
      <c r="AA959" s="15"/>
      <c r="AB959" s="15"/>
      <c r="AC959" s="103"/>
      <c r="AD959" s="15"/>
      <c r="AE959" s="15"/>
      <c r="AF959" s="15"/>
      <c r="AG959" s="15"/>
      <c r="AH959" s="15"/>
      <c r="AI959" s="15"/>
      <c r="AJ959" s="103"/>
      <c r="AK959" s="15"/>
      <c r="AL959" s="15"/>
      <c r="AM959" s="15"/>
      <c r="AN959" s="15"/>
      <c r="AO959" s="15"/>
      <c r="AP959" s="15"/>
      <c r="AQ959" s="15"/>
    </row>
    <row r="960">
      <c r="A960" s="15"/>
      <c r="B960" s="15"/>
      <c r="C960" s="15"/>
      <c r="D960" s="15"/>
      <c r="E960" s="15"/>
      <c r="F960" s="15"/>
      <c r="G960" s="15"/>
      <c r="H960" s="103"/>
      <c r="I960" s="15"/>
      <c r="J960" s="15"/>
      <c r="K960" s="15"/>
      <c r="L960" s="15"/>
      <c r="M960" s="15"/>
      <c r="N960" s="15"/>
      <c r="O960" s="103"/>
      <c r="P960" s="15"/>
      <c r="Q960" s="15"/>
      <c r="R960" s="15"/>
      <c r="S960" s="15"/>
      <c r="T960" s="15"/>
      <c r="U960" s="15"/>
      <c r="V960" s="103"/>
      <c r="W960" s="15"/>
      <c r="X960" s="15"/>
      <c r="Y960" s="15"/>
      <c r="Z960" s="15"/>
      <c r="AA960" s="15"/>
      <c r="AB960" s="15"/>
      <c r="AC960" s="103"/>
      <c r="AD960" s="15"/>
      <c r="AE960" s="15"/>
      <c r="AF960" s="15"/>
      <c r="AG960" s="15"/>
      <c r="AH960" s="15"/>
      <c r="AI960" s="15"/>
      <c r="AJ960" s="103"/>
      <c r="AK960" s="15"/>
      <c r="AL960" s="15"/>
      <c r="AM960" s="15"/>
      <c r="AN960" s="15"/>
      <c r="AO960" s="15"/>
      <c r="AP960" s="15"/>
      <c r="AQ960" s="15"/>
    </row>
    <row r="961">
      <c r="A961" s="15"/>
      <c r="B961" s="15"/>
      <c r="C961" s="15"/>
      <c r="D961" s="15"/>
      <c r="E961" s="15"/>
      <c r="F961" s="15"/>
      <c r="G961" s="15"/>
      <c r="H961" s="103"/>
      <c r="I961" s="15"/>
      <c r="J961" s="15"/>
      <c r="K961" s="15"/>
      <c r="L961" s="15"/>
      <c r="M961" s="15"/>
      <c r="N961" s="15"/>
      <c r="O961" s="103"/>
      <c r="P961" s="15"/>
      <c r="Q961" s="15"/>
      <c r="R961" s="15"/>
      <c r="S961" s="15"/>
      <c r="T961" s="15"/>
      <c r="U961" s="15"/>
      <c r="V961" s="103"/>
      <c r="W961" s="15"/>
      <c r="X961" s="15"/>
      <c r="Y961" s="15"/>
      <c r="Z961" s="15"/>
      <c r="AA961" s="15"/>
      <c r="AB961" s="15"/>
      <c r="AC961" s="103"/>
      <c r="AD961" s="15"/>
      <c r="AE961" s="15"/>
      <c r="AF961" s="15"/>
      <c r="AG961" s="15"/>
      <c r="AH961" s="15"/>
      <c r="AI961" s="15"/>
      <c r="AJ961" s="103"/>
      <c r="AK961" s="15"/>
      <c r="AL961" s="15"/>
      <c r="AM961" s="15"/>
      <c r="AN961" s="15"/>
      <c r="AO961" s="15"/>
      <c r="AP961" s="15"/>
      <c r="AQ961" s="15"/>
    </row>
    <row r="962">
      <c r="A962" s="15"/>
      <c r="B962" s="15"/>
      <c r="C962" s="15"/>
      <c r="D962" s="15"/>
      <c r="E962" s="15"/>
      <c r="F962" s="15"/>
      <c r="G962" s="15"/>
      <c r="H962" s="103"/>
      <c r="I962" s="15"/>
      <c r="J962" s="15"/>
      <c r="K962" s="15"/>
      <c r="L962" s="15"/>
      <c r="M962" s="15"/>
      <c r="N962" s="15"/>
      <c r="O962" s="103"/>
      <c r="P962" s="15"/>
      <c r="Q962" s="15"/>
      <c r="R962" s="15"/>
      <c r="S962" s="15"/>
      <c r="T962" s="15"/>
      <c r="U962" s="15"/>
      <c r="V962" s="103"/>
      <c r="W962" s="15"/>
      <c r="X962" s="15"/>
      <c r="Y962" s="15"/>
      <c r="Z962" s="15"/>
      <c r="AA962" s="15"/>
      <c r="AB962" s="15"/>
      <c r="AC962" s="103"/>
      <c r="AD962" s="15"/>
      <c r="AE962" s="15"/>
      <c r="AF962" s="15"/>
      <c r="AG962" s="15"/>
      <c r="AH962" s="15"/>
      <c r="AI962" s="15"/>
      <c r="AJ962" s="103"/>
      <c r="AK962" s="15"/>
      <c r="AL962" s="15"/>
      <c r="AM962" s="15"/>
      <c r="AN962" s="15"/>
      <c r="AO962" s="15"/>
      <c r="AP962" s="15"/>
      <c r="AQ962" s="15"/>
    </row>
    <row r="963">
      <c r="A963" s="15"/>
      <c r="B963" s="15"/>
      <c r="C963" s="15"/>
      <c r="D963" s="15"/>
      <c r="E963" s="15"/>
      <c r="F963" s="15"/>
      <c r="G963" s="15"/>
      <c r="H963" s="103"/>
      <c r="I963" s="15"/>
      <c r="J963" s="15"/>
      <c r="K963" s="15"/>
      <c r="L963" s="15"/>
      <c r="M963" s="15"/>
      <c r="N963" s="15"/>
      <c r="O963" s="103"/>
      <c r="P963" s="15"/>
      <c r="Q963" s="15"/>
      <c r="R963" s="15"/>
      <c r="S963" s="15"/>
      <c r="T963" s="15"/>
      <c r="U963" s="15"/>
      <c r="V963" s="103"/>
      <c r="W963" s="15"/>
      <c r="X963" s="15"/>
      <c r="Y963" s="15"/>
      <c r="Z963" s="15"/>
      <c r="AA963" s="15"/>
      <c r="AB963" s="15"/>
      <c r="AC963" s="103"/>
      <c r="AD963" s="15"/>
      <c r="AE963" s="15"/>
      <c r="AF963" s="15"/>
      <c r="AG963" s="15"/>
      <c r="AH963" s="15"/>
      <c r="AI963" s="15"/>
      <c r="AJ963" s="103"/>
      <c r="AK963" s="15"/>
      <c r="AL963" s="15"/>
      <c r="AM963" s="15"/>
      <c r="AN963" s="15"/>
      <c r="AO963" s="15"/>
      <c r="AP963" s="15"/>
      <c r="AQ963" s="15"/>
    </row>
    <row r="964">
      <c r="A964" s="15"/>
      <c r="B964" s="15"/>
      <c r="C964" s="15"/>
      <c r="D964" s="15"/>
      <c r="E964" s="15"/>
      <c r="F964" s="15"/>
      <c r="G964" s="15"/>
      <c r="H964" s="103"/>
      <c r="I964" s="15"/>
      <c r="J964" s="15"/>
      <c r="K964" s="15"/>
      <c r="L964" s="15"/>
      <c r="M964" s="15"/>
      <c r="N964" s="15"/>
      <c r="O964" s="103"/>
      <c r="P964" s="15"/>
      <c r="Q964" s="15"/>
      <c r="R964" s="15"/>
      <c r="S964" s="15"/>
      <c r="T964" s="15"/>
      <c r="U964" s="15"/>
      <c r="V964" s="103"/>
      <c r="W964" s="15"/>
      <c r="X964" s="15"/>
      <c r="Y964" s="15"/>
      <c r="Z964" s="15"/>
      <c r="AA964" s="15"/>
      <c r="AB964" s="15"/>
      <c r="AC964" s="103"/>
      <c r="AD964" s="15"/>
      <c r="AE964" s="15"/>
      <c r="AF964" s="15"/>
      <c r="AG964" s="15"/>
      <c r="AH964" s="15"/>
      <c r="AI964" s="15"/>
      <c r="AJ964" s="103"/>
      <c r="AK964" s="15"/>
      <c r="AL964" s="15"/>
      <c r="AM964" s="15"/>
      <c r="AN964" s="15"/>
      <c r="AO964" s="15"/>
      <c r="AP964" s="15"/>
      <c r="AQ964" s="15"/>
    </row>
    <row r="965">
      <c r="A965" s="15"/>
      <c r="B965" s="15"/>
      <c r="C965" s="15"/>
      <c r="D965" s="15"/>
      <c r="E965" s="15"/>
      <c r="F965" s="15"/>
      <c r="G965" s="15"/>
      <c r="H965" s="103"/>
      <c r="I965" s="15"/>
      <c r="J965" s="15"/>
      <c r="K965" s="15"/>
      <c r="L965" s="15"/>
      <c r="M965" s="15"/>
      <c r="N965" s="15"/>
      <c r="O965" s="103"/>
      <c r="P965" s="15"/>
      <c r="Q965" s="15"/>
      <c r="R965" s="15"/>
      <c r="S965" s="15"/>
      <c r="T965" s="15"/>
      <c r="U965" s="15"/>
      <c r="V965" s="103"/>
      <c r="W965" s="15"/>
      <c r="X965" s="15"/>
      <c r="Y965" s="15"/>
      <c r="Z965" s="15"/>
      <c r="AA965" s="15"/>
      <c r="AB965" s="15"/>
      <c r="AC965" s="103"/>
      <c r="AD965" s="15"/>
      <c r="AE965" s="15"/>
      <c r="AF965" s="15"/>
      <c r="AG965" s="15"/>
      <c r="AH965" s="15"/>
      <c r="AI965" s="15"/>
      <c r="AJ965" s="103"/>
      <c r="AK965" s="15"/>
      <c r="AL965" s="15"/>
      <c r="AM965" s="15"/>
      <c r="AN965" s="15"/>
      <c r="AO965" s="15"/>
      <c r="AP965" s="15"/>
      <c r="AQ965" s="15"/>
    </row>
    <row r="966">
      <c r="A966" s="15"/>
      <c r="B966" s="15"/>
      <c r="C966" s="15"/>
      <c r="D966" s="15"/>
      <c r="E966" s="15"/>
      <c r="F966" s="15"/>
      <c r="G966" s="15"/>
      <c r="H966" s="103"/>
      <c r="I966" s="15"/>
      <c r="J966" s="15"/>
      <c r="K966" s="15"/>
      <c r="L966" s="15"/>
      <c r="M966" s="15"/>
      <c r="N966" s="15"/>
      <c r="O966" s="103"/>
      <c r="P966" s="15"/>
      <c r="Q966" s="15"/>
      <c r="R966" s="15"/>
      <c r="S966" s="15"/>
      <c r="T966" s="15"/>
      <c r="U966" s="15"/>
      <c r="V966" s="103"/>
      <c r="W966" s="15"/>
      <c r="X966" s="15"/>
      <c r="Y966" s="15"/>
      <c r="Z966" s="15"/>
      <c r="AA966" s="15"/>
      <c r="AB966" s="15"/>
      <c r="AC966" s="103"/>
      <c r="AD966" s="15"/>
      <c r="AE966" s="15"/>
      <c r="AF966" s="15"/>
      <c r="AG966" s="15"/>
      <c r="AH966" s="15"/>
      <c r="AI966" s="15"/>
      <c r="AJ966" s="103"/>
      <c r="AK966" s="15"/>
      <c r="AL966" s="15"/>
      <c r="AM966" s="15"/>
      <c r="AN966" s="15"/>
      <c r="AO966" s="15"/>
      <c r="AP966" s="15"/>
      <c r="AQ966" s="15"/>
    </row>
    <row r="967">
      <c r="A967" s="15"/>
      <c r="B967" s="15"/>
      <c r="C967" s="15"/>
      <c r="D967" s="15"/>
      <c r="E967" s="15"/>
      <c r="F967" s="15"/>
      <c r="G967" s="15"/>
      <c r="H967" s="103"/>
      <c r="I967" s="15"/>
      <c r="J967" s="15"/>
      <c r="K967" s="15"/>
      <c r="L967" s="15"/>
      <c r="M967" s="15"/>
      <c r="N967" s="15"/>
      <c r="O967" s="103"/>
      <c r="P967" s="15"/>
      <c r="Q967" s="15"/>
      <c r="R967" s="15"/>
      <c r="S967" s="15"/>
      <c r="T967" s="15"/>
      <c r="U967" s="15"/>
      <c r="V967" s="103"/>
      <c r="W967" s="15"/>
      <c r="X967" s="15"/>
      <c r="Y967" s="15"/>
      <c r="Z967" s="15"/>
      <c r="AA967" s="15"/>
      <c r="AB967" s="15"/>
      <c r="AC967" s="103"/>
      <c r="AD967" s="15"/>
      <c r="AE967" s="15"/>
      <c r="AF967" s="15"/>
      <c r="AG967" s="15"/>
      <c r="AH967" s="15"/>
      <c r="AI967" s="15"/>
      <c r="AJ967" s="103"/>
      <c r="AK967" s="15"/>
      <c r="AL967" s="15"/>
      <c r="AM967" s="15"/>
      <c r="AN967" s="15"/>
      <c r="AO967" s="15"/>
      <c r="AP967" s="15"/>
      <c r="AQ967" s="15"/>
    </row>
    <row r="968">
      <c r="A968" s="15"/>
      <c r="B968" s="15"/>
      <c r="C968" s="15"/>
      <c r="D968" s="15"/>
      <c r="E968" s="15"/>
      <c r="F968" s="15"/>
      <c r="G968" s="15"/>
      <c r="H968" s="103"/>
      <c r="I968" s="15"/>
      <c r="J968" s="15"/>
      <c r="K968" s="15"/>
      <c r="L968" s="15"/>
      <c r="M968" s="15"/>
      <c r="N968" s="15"/>
      <c r="O968" s="103"/>
      <c r="P968" s="15"/>
      <c r="Q968" s="15"/>
      <c r="R968" s="15"/>
      <c r="S968" s="15"/>
      <c r="T968" s="15"/>
      <c r="U968" s="15"/>
      <c r="V968" s="103"/>
      <c r="W968" s="15"/>
      <c r="X968" s="15"/>
      <c r="Y968" s="15"/>
      <c r="Z968" s="15"/>
      <c r="AA968" s="15"/>
      <c r="AB968" s="15"/>
      <c r="AC968" s="103"/>
      <c r="AD968" s="15"/>
      <c r="AE968" s="15"/>
      <c r="AF968" s="15"/>
      <c r="AG968" s="15"/>
      <c r="AH968" s="15"/>
      <c r="AI968" s="15"/>
      <c r="AJ968" s="103"/>
      <c r="AK968" s="15"/>
      <c r="AL968" s="15"/>
      <c r="AM968" s="15"/>
      <c r="AN968" s="15"/>
      <c r="AO968" s="15"/>
      <c r="AP968" s="15"/>
      <c r="AQ968" s="15"/>
    </row>
    <row r="969">
      <c r="A969" s="15"/>
      <c r="B969" s="15"/>
      <c r="C969" s="15"/>
      <c r="D969" s="15"/>
      <c r="E969" s="15"/>
      <c r="F969" s="15"/>
      <c r="G969" s="15"/>
      <c r="H969" s="103"/>
      <c r="I969" s="15"/>
      <c r="J969" s="15"/>
      <c r="K969" s="15"/>
      <c r="L969" s="15"/>
      <c r="M969" s="15"/>
      <c r="N969" s="15"/>
      <c r="O969" s="103"/>
      <c r="P969" s="15"/>
      <c r="Q969" s="15"/>
      <c r="R969" s="15"/>
      <c r="S969" s="15"/>
      <c r="T969" s="15"/>
      <c r="U969" s="15"/>
      <c r="V969" s="103"/>
      <c r="W969" s="15"/>
      <c r="X969" s="15"/>
      <c r="Y969" s="15"/>
      <c r="Z969" s="15"/>
      <c r="AA969" s="15"/>
      <c r="AB969" s="15"/>
      <c r="AC969" s="103"/>
      <c r="AD969" s="15"/>
      <c r="AE969" s="15"/>
      <c r="AF969" s="15"/>
      <c r="AG969" s="15"/>
      <c r="AH969" s="15"/>
      <c r="AI969" s="15"/>
      <c r="AJ969" s="103"/>
      <c r="AK969" s="15"/>
      <c r="AL969" s="15"/>
      <c r="AM969" s="15"/>
      <c r="AN969" s="15"/>
      <c r="AO969" s="15"/>
      <c r="AP969" s="15"/>
      <c r="AQ969" s="15"/>
    </row>
    <row r="970">
      <c r="A970" s="15"/>
      <c r="B970" s="15"/>
      <c r="C970" s="15"/>
      <c r="D970" s="15"/>
      <c r="E970" s="15"/>
      <c r="F970" s="15"/>
      <c r="G970" s="15"/>
      <c r="H970" s="103"/>
      <c r="I970" s="15"/>
      <c r="J970" s="15"/>
      <c r="K970" s="15"/>
      <c r="L970" s="15"/>
      <c r="M970" s="15"/>
      <c r="N970" s="15"/>
      <c r="O970" s="103"/>
      <c r="P970" s="15"/>
      <c r="Q970" s="15"/>
      <c r="R970" s="15"/>
      <c r="S970" s="15"/>
      <c r="T970" s="15"/>
      <c r="U970" s="15"/>
      <c r="V970" s="103"/>
      <c r="W970" s="15"/>
      <c r="X970" s="15"/>
      <c r="Y970" s="15"/>
      <c r="Z970" s="15"/>
      <c r="AA970" s="15"/>
      <c r="AB970" s="15"/>
      <c r="AC970" s="103"/>
      <c r="AD970" s="15"/>
      <c r="AE970" s="15"/>
      <c r="AF970" s="15"/>
      <c r="AG970" s="15"/>
      <c r="AH970" s="15"/>
      <c r="AI970" s="15"/>
      <c r="AJ970" s="103"/>
      <c r="AK970" s="15"/>
      <c r="AL970" s="15"/>
      <c r="AM970" s="15"/>
      <c r="AN970" s="15"/>
      <c r="AO970" s="15"/>
      <c r="AP970" s="15"/>
      <c r="AQ970" s="15"/>
    </row>
    <row r="971">
      <c r="A971" s="15"/>
      <c r="B971" s="15"/>
      <c r="C971" s="15"/>
      <c r="D971" s="15"/>
      <c r="E971" s="15"/>
      <c r="F971" s="15"/>
      <c r="G971" s="15"/>
      <c r="H971" s="103"/>
      <c r="I971" s="15"/>
      <c r="J971" s="15"/>
      <c r="K971" s="15"/>
      <c r="L971" s="15"/>
      <c r="M971" s="15"/>
      <c r="N971" s="15"/>
      <c r="O971" s="103"/>
      <c r="P971" s="15"/>
      <c r="Q971" s="15"/>
      <c r="R971" s="15"/>
      <c r="S971" s="15"/>
      <c r="T971" s="15"/>
      <c r="U971" s="15"/>
      <c r="V971" s="103"/>
      <c r="W971" s="15"/>
      <c r="X971" s="15"/>
      <c r="Y971" s="15"/>
      <c r="Z971" s="15"/>
      <c r="AA971" s="15"/>
      <c r="AB971" s="15"/>
      <c r="AC971" s="103"/>
      <c r="AD971" s="15"/>
      <c r="AE971" s="15"/>
      <c r="AF971" s="15"/>
      <c r="AG971" s="15"/>
      <c r="AH971" s="15"/>
      <c r="AI971" s="15"/>
      <c r="AJ971" s="103"/>
      <c r="AK971" s="15"/>
      <c r="AL971" s="15"/>
      <c r="AM971" s="15"/>
      <c r="AN971" s="15"/>
      <c r="AO971" s="15"/>
      <c r="AP971" s="15"/>
      <c r="AQ971" s="15"/>
    </row>
    <row r="972">
      <c r="A972" s="15"/>
      <c r="B972" s="15"/>
      <c r="C972" s="15"/>
      <c r="D972" s="15"/>
      <c r="E972" s="15"/>
      <c r="F972" s="15"/>
      <c r="G972" s="15"/>
      <c r="H972" s="103"/>
      <c r="I972" s="15"/>
      <c r="J972" s="15"/>
      <c r="K972" s="15"/>
      <c r="L972" s="15"/>
      <c r="M972" s="15"/>
      <c r="N972" s="15"/>
      <c r="O972" s="103"/>
      <c r="P972" s="15"/>
      <c r="Q972" s="15"/>
      <c r="R972" s="15"/>
      <c r="S972" s="15"/>
      <c r="T972" s="15"/>
      <c r="U972" s="15"/>
      <c r="V972" s="103"/>
      <c r="W972" s="15"/>
      <c r="X972" s="15"/>
      <c r="Y972" s="15"/>
      <c r="Z972" s="15"/>
      <c r="AA972" s="15"/>
      <c r="AB972" s="15"/>
      <c r="AC972" s="103"/>
      <c r="AD972" s="15"/>
      <c r="AE972" s="15"/>
      <c r="AF972" s="15"/>
      <c r="AG972" s="15"/>
      <c r="AH972" s="15"/>
      <c r="AI972" s="15"/>
      <c r="AJ972" s="103"/>
      <c r="AK972" s="15"/>
      <c r="AL972" s="15"/>
      <c r="AM972" s="15"/>
      <c r="AN972" s="15"/>
      <c r="AO972" s="15"/>
      <c r="AP972" s="15"/>
      <c r="AQ972" s="15"/>
    </row>
    <row r="973">
      <c r="A973" s="15"/>
      <c r="B973" s="15"/>
      <c r="C973" s="15"/>
      <c r="D973" s="15"/>
      <c r="E973" s="15"/>
      <c r="F973" s="15"/>
      <c r="G973" s="15"/>
      <c r="H973" s="103"/>
      <c r="I973" s="15"/>
      <c r="J973" s="15"/>
      <c r="K973" s="15"/>
      <c r="L973" s="15"/>
      <c r="M973" s="15"/>
      <c r="N973" s="15"/>
      <c r="O973" s="103"/>
      <c r="P973" s="15"/>
      <c r="Q973" s="15"/>
      <c r="R973" s="15"/>
      <c r="S973" s="15"/>
      <c r="T973" s="15"/>
      <c r="U973" s="15"/>
      <c r="V973" s="103"/>
      <c r="W973" s="15"/>
      <c r="X973" s="15"/>
      <c r="Y973" s="15"/>
      <c r="Z973" s="15"/>
      <c r="AA973" s="15"/>
      <c r="AB973" s="15"/>
      <c r="AC973" s="103"/>
      <c r="AD973" s="15"/>
      <c r="AE973" s="15"/>
      <c r="AF973" s="15"/>
      <c r="AG973" s="15"/>
      <c r="AH973" s="15"/>
      <c r="AI973" s="15"/>
      <c r="AJ973" s="103"/>
      <c r="AK973" s="15"/>
      <c r="AL973" s="15"/>
      <c r="AM973" s="15"/>
      <c r="AN973" s="15"/>
      <c r="AO973" s="15"/>
      <c r="AP973" s="15"/>
      <c r="AQ973" s="15"/>
    </row>
    <row r="974">
      <c r="A974" s="15"/>
      <c r="B974" s="15"/>
      <c r="C974" s="15"/>
      <c r="D974" s="15"/>
      <c r="E974" s="15"/>
      <c r="F974" s="15"/>
      <c r="G974" s="15"/>
      <c r="H974" s="103"/>
      <c r="I974" s="15"/>
      <c r="J974" s="15"/>
      <c r="K974" s="15"/>
      <c r="L974" s="15"/>
      <c r="M974" s="15"/>
      <c r="N974" s="15"/>
      <c r="O974" s="103"/>
      <c r="P974" s="15"/>
      <c r="Q974" s="15"/>
      <c r="R974" s="15"/>
      <c r="S974" s="15"/>
      <c r="T974" s="15"/>
      <c r="U974" s="15"/>
      <c r="V974" s="103"/>
      <c r="W974" s="15"/>
      <c r="X974" s="15"/>
      <c r="Y974" s="15"/>
      <c r="Z974" s="15"/>
      <c r="AA974" s="15"/>
      <c r="AB974" s="15"/>
      <c r="AC974" s="103"/>
      <c r="AD974" s="15"/>
      <c r="AE974" s="15"/>
      <c r="AF974" s="15"/>
      <c r="AG974" s="15"/>
      <c r="AH974" s="15"/>
      <c r="AI974" s="15"/>
      <c r="AJ974" s="103"/>
      <c r="AK974" s="15"/>
      <c r="AL974" s="15"/>
      <c r="AM974" s="15"/>
      <c r="AN974" s="15"/>
      <c r="AO974" s="15"/>
      <c r="AP974" s="15"/>
      <c r="AQ974" s="15"/>
    </row>
    <row r="975">
      <c r="A975" s="15"/>
      <c r="B975" s="15"/>
      <c r="C975" s="15"/>
      <c r="D975" s="15"/>
      <c r="E975" s="15"/>
      <c r="F975" s="15"/>
      <c r="G975" s="15"/>
      <c r="H975" s="103"/>
      <c r="I975" s="15"/>
      <c r="J975" s="15"/>
      <c r="K975" s="15"/>
      <c r="L975" s="15"/>
      <c r="M975" s="15"/>
      <c r="N975" s="15"/>
      <c r="O975" s="103"/>
      <c r="P975" s="15"/>
      <c r="Q975" s="15"/>
      <c r="R975" s="15"/>
      <c r="S975" s="15"/>
      <c r="T975" s="15"/>
      <c r="U975" s="15"/>
      <c r="V975" s="103"/>
      <c r="W975" s="15"/>
      <c r="X975" s="15"/>
      <c r="Y975" s="15"/>
      <c r="Z975" s="15"/>
      <c r="AA975" s="15"/>
      <c r="AB975" s="15"/>
      <c r="AC975" s="103"/>
      <c r="AD975" s="15"/>
      <c r="AE975" s="15"/>
      <c r="AF975" s="15"/>
      <c r="AG975" s="15"/>
      <c r="AH975" s="15"/>
      <c r="AI975" s="15"/>
      <c r="AJ975" s="103"/>
      <c r="AK975" s="15"/>
      <c r="AL975" s="15"/>
      <c r="AM975" s="15"/>
      <c r="AN975" s="15"/>
      <c r="AO975" s="15"/>
      <c r="AP975" s="15"/>
      <c r="AQ975" s="15"/>
    </row>
    <row r="976">
      <c r="A976" s="15"/>
      <c r="B976" s="15"/>
      <c r="C976" s="15"/>
      <c r="D976" s="15"/>
      <c r="E976" s="15"/>
      <c r="F976" s="15"/>
      <c r="G976" s="15"/>
      <c r="H976" s="103"/>
      <c r="I976" s="15"/>
      <c r="J976" s="15"/>
      <c r="K976" s="15"/>
      <c r="L976" s="15"/>
      <c r="M976" s="15"/>
      <c r="N976" s="15"/>
      <c r="O976" s="103"/>
      <c r="P976" s="15"/>
      <c r="Q976" s="15"/>
      <c r="R976" s="15"/>
      <c r="S976" s="15"/>
      <c r="T976" s="15"/>
      <c r="U976" s="15"/>
      <c r="V976" s="103"/>
      <c r="W976" s="15"/>
      <c r="X976" s="15"/>
      <c r="Y976" s="15"/>
      <c r="Z976" s="15"/>
      <c r="AA976" s="15"/>
      <c r="AB976" s="15"/>
      <c r="AC976" s="103"/>
      <c r="AD976" s="15"/>
      <c r="AE976" s="15"/>
      <c r="AF976" s="15"/>
      <c r="AG976" s="15"/>
      <c r="AH976" s="15"/>
      <c r="AI976" s="15"/>
      <c r="AJ976" s="103"/>
      <c r="AK976" s="15"/>
      <c r="AL976" s="15"/>
      <c r="AM976" s="15"/>
      <c r="AN976" s="15"/>
      <c r="AO976" s="15"/>
      <c r="AP976" s="15"/>
      <c r="AQ976" s="15"/>
    </row>
    <row r="977">
      <c r="A977" s="15"/>
      <c r="B977" s="15"/>
      <c r="C977" s="15"/>
      <c r="D977" s="15"/>
      <c r="E977" s="15"/>
      <c r="F977" s="15"/>
      <c r="G977" s="15"/>
      <c r="H977" s="103"/>
      <c r="I977" s="15"/>
      <c r="J977" s="15"/>
      <c r="K977" s="15"/>
      <c r="L977" s="15"/>
      <c r="M977" s="15"/>
      <c r="N977" s="15"/>
      <c r="O977" s="103"/>
      <c r="P977" s="15"/>
      <c r="Q977" s="15"/>
      <c r="R977" s="15"/>
      <c r="S977" s="15"/>
      <c r="T977" s="15"/>
      <c r="U977" s="15"/>
      <c r="V977" s="103"/>
      <c r="W977" s="15"/>
      <c r="X977" s="15"/>
      <c r="Y977" s="15"/>
      <c r="Z977" s="15"/>
      <c r="AA977" s="15"/>
      <c r="AB977" s="15"/>
      <c r="AC977" s="103"/>
      <c r="AD977" s="15"/>
      <c r="AE977" s="15"/>
      <c r="AF977" s="15"/>
      <c r="AG977" s="15"/>
      <c r="AH977" s="15"/>
      <c r="AI977" s="15"/>
      <c r="AJ977" s="103"/>
      <c r="AK977" s="15"/>
      <c r="AL977" s="15"/>
      <c r="AM977" s="15"/>
      <c r="AN977" s="15"/>
      <c r="AO977" s="15"/>
      <c r="AP977" s="15"/>
      <c r="AQ977" s="15"/>
    </row>
    <row r="978">
      <c r="A978" s="15"/>
      <c r="B978" s="15"/>
      <c r="C978" s="15"/>
      <c r="D978" s="15"/>
      <c r="E978" s="15"/>
      <c r="F978" s="15"/>
      <c r="G978" s="15"/>
      <c r="H978" s="103"/>
      <c r="I978" s="15"/>
      <c r="J978" s="15"/>
      <c r="K978" s="15"/>
      <c r="L978" s="15"/>
      <c r="M978" s="15"/>
      <c r="N978" s="15"/>
      <c r="O978" s="103"/>
      <c r="P978" s="15"/>
      <c r="Q978" s="15"/>
      <c r="R978" s="15"/>
      <c r="S978" s="15"/>
      <c r="T978" s="15"/>
      <c r="U978" s="15"/>
      <c r="V978" s="103"/>
      <c r="W978" s="15"/>
      <c r="X978" s="15"/>
      <c r="Y978" s="15"/>
      <c r="Z978" s="15"/>
      <c r="AA978" s="15"/>
      <c r="AB978" s="15"/>
      <c r="AC978" s="103"/>
      <c r="AD978" s="15"/>
      <c r="AE978" s="15"/>
      <c r="AF978" s="15"/>
      <c r="AG978" s="15"/>
      <c r="AH978" s="15"/>
      <c r="AI978" s="15"/>
      <c r="AJ978" s="103"/>
      <c r="AK978" s="15"/>
      <c r="AL978" s="15"/>
      <c r="AM978" s="15"/>
      <c r="AN978" s="15"/>
      <c r="AO978" s="15"/>
      <c r="AP978" s="15"/>
      <c r="AQ978" s="15"/>
    </row>
    <row r="979">
      <c r="A979" s="15"/>
      <c r="B979" s="15"/>
      <c r="C979" s="15"/>
      <c r="D979" s="15"/>
      <c r="E979" s="15"/>
      <c r="F979" s="15"/>
      <c r="G979" s="15"/>
      <c r="H979" s="103"/>
      <c r="I979" s="15"/>
      <c r="J979" s="15"/>
      <c r="K979" s="15"/>
      <c r="L979" s="15"/>
      <c r="M979" s="15"/>
      <c r="N979" s="15"/>
      <c r="O979" s="103"/>
      <c r="P979" s="15"/>
      <c r="Q979" s="15"/>
      <c r="R979" s="15"/>
      <c r="S979" s="15"/>
      <c r="T979" s="15"/>
      <c r="U979" s="15"/>
      <c r="V979" s="103"/>
      <c r="W979" s="15"/>
      <c r="X979" s="15"/>
      <c r="Y979" s="15"/>
      <c r="Z979" s="15"/>
      <c r="AA979" s="15"/>
      <c r="AB979" s="15"/>
      <c r="AC979" s="103"/>
      <c r="AD979" s="15"/>
      <c r="AE979" s="15"/>
      <c r="AF979" s="15"/>
      <c r="AG979" s="15"/>
      <c r="AH979" s="15"/>
      <c r="AI979" s="15"/>
      <c r="AJ979" s="103"/>
      <c r="AK979" s="15"/>
      <c r="AL979" s="15"/>
      <c r="AM979" s="15"/>
      <c r="AN979" s="15"/>
      <c r="AO979" s="15"/>
      <c r="AP979" s="15"/>
      <c r="AQ979" s="15"/>
    </row>
    <row r="980">
      <c r="A980" s="15"/>
      <c r="B980" s="15"/>
      <c r="C980" s="15"/>
      <c r="D980" s="15"/>
      <c r="E980" s="15"/>
      <c r="F980" s="15"/>
      <c r="G980" s="15"/>
      <c r="H980" s="103"/>
      <c r="I980" s="15"/>
      <c r="J980" s="15"/>
      <c r="K980" s="15"/>
      <c r="L980" s="15"/>
      <c r="M980" s="15"/>
      <c r="N980" s="15"/>
      <c r="O980" s="103"/>
      <c r="P980" s="15"/>
      <c r="Q980" s="15"/>
      <c r="R980" s="15"/>
      <c r="S980" s="15"/>
      <c r="T980" s="15"/>
      <c r="U980" s="15"/>
      <c r="V980" s="103"/>
      <c r="W980" s="15"/>
      <c r="X980" s="15"/>
      <c r="Y980" s="15"/>
      <c r="Z980" s="15"/>
      <c r="AA980" s="15"/>
      <c r="AB980" s="15"/>
      <c r="AC980" s="103"/>
      <c r="AD980" s="15"/>
      <c r="AE980" s="15"/>
      <c r="AF980" s="15"/>
      <c r="AG980" s="15"/>
      <c r="AH980" s="15"/>
      <c r="AI980" s="15"/>
      <c r="AJ980" s="103"/>
      <c r="AK980" s="15"/>
      <c r="AL980" s="15"/>
      <c r="AM980" s="15"/>
      <c r="AN980" s="15"/>
      <c r="AO980" s="15"/>
      <c r="AP980" s="15"/>
      <c r="AQ980" s="15"/>
    </row>
    <row r="981">
      <c r="A981" s="15"/>
      <c r="B981" s="15"/>
      <c r="C981" s="15"/>
      <c r="D981" s="15"/>
      <c r="E981" s="15"/>
      <c r="F981" s="15"/>
      <c r="G981" s="15"/>
      <c r="H981" s="103"/>
      <c r="I981" s="15"/>
      <c r="J981" s="15"/>
      <c r="K981" s="15"/>
      <c r="L981" s="15"/>
      <c r="M981" s="15"/>
      <c r="N981" s="15"/>
      <c r="O981" s="103"/>
      <c r="P981" s="15"/>
      <c r="Q981" s="15"/>
      <c r="R981" s="15"/>
      <c r="S981" s="15"/>
      <c r="T981" s="15"/>
      <c r="U981" s="15"/>
      <c r="V981" s="103"/>
      <c r="W981" s="15"/>
      <c r="X981" s="15"/>
      <c r="Y981" s="15"/>
      <c r="Z981" s="15"/>
      <c r="AA981" s="15"/>
      <c r="AB981" s="15"/>
      <c r="AC981" s="103"/>
      <c r="AD981" s="15"/>
      <c r="AE981" s="15"/>
      <c r="AF981" s="15"/>
      <c r="AG981" s="15"/>
      <c r="AH981" s="15"/>
      <c r="AI981" s="15"/>
      <c r="AJ981" s="103"/>
      <c r="AK981" s="15"/>
      <c r="AL981" s="15"/>
      <c r="AM981" s="15"/>
      <c r="AN981" s="15"/>
      <c r="AO981" s="15"/>
      <c r="AP981" s="15"/>
      <c r="AQ981" s="15"/>
    </row>
    <row r="982">
      <c r="A982" s="15"/>
      <c r="B982" s="15"/>
      <c r="C982" s="15"/>
      <c r="D982" s="15"/>
      <c r="E982" s="15"/>
      <c r="F982" s="15"/>
      <c r="G982" s="15"/>
      <c r="H982" s="103"/>
      <c r="I982" s="15"/>
      <c r="J982" s="15"/>
      <c r="K982" s="15"/>
      <c r="L982" s="15"/>
      <c r="M982" s="15"/>
      <c r="N982" s="15"/>
      <c r="O982" s="103"/>
      <c r="P982" s="15"/>
      <c r="Q982" s="15"/>
      <c r="R982" s="15"/>
      <c r="S982" s="15"/>
      <c r="T982" s="15"/>
      <c r="U982" s="15"/>
      <c r="V982" s="103"/>
      <c r="W982" s="15"/>
      <c r="X982" s="15"/>
      <c r="Y982" s="15"/>
      <c r="Z982" s="15"/>
      <c r="AA982" s="15"/>
      <c r="AB982" s="15"/>
      <c r="AC982" s="103"/>
      <c r="AD982" s="15"/>
      <c r="AE982" s="15"/>
      <c r="AF982" s="15"/>
      <c r="AG982" s="15"/>
      <c r="AH982" s="15"/>
      <c r="AI982" s="15"/>
      <c r="AJ982" s="103"/>
      <c r="AK982" s="15"/>
      <c r="AL982" s="15"/>
      <c r="AM982" s="15"/>
      <c r="AN982" s="15"/>
      <c r="AO982" s="15"/>
      <c r="AP982" s="15"/>
      <c r="AQ982" s="15"/>
    </row>
    <row r="983">
      <c r="A983" s="15"/>
      <c r="B983" s="15"/>
      <c r="C983" s="15"/>
      <c r="D983" s="15"/>
      <c r="E983" s="15"/>
      <c r="F983" s="15"/>
      <c r="G983" s="15"/>
      <c r="H983" s="103"/>
      <c r="I983" s="15"/>
      <c r="J983" s="15"/>
      <c r="K983" s="15"/>
      <c r="L983" s="15"/>
      <c r="M983" s="15"/>
      <c r="N983" s="15"/>
      <c r="O983" s="103"/>
      <c r="P983" s="15"/>
      <c r="Q983" s="15"/>
      <c r="R983" s="15"/>
      <c r="S983" s="15"/>
      <c r="T983" s="15"/>
      <c r="U983" s="15"/>
      <c r="V983" s="103"/>
      <c r="W983" s="15"/>
      <c r="X983" s="15"/>
      <c r="Y983" s="15"/>
      <c r="Z983" s="15"/>
      <c r="AA983" s="15"/>
      <c r="AB983" s="15"/>
      <c r="AC983" s="103"/>
      <c r="AD983" s="15"/>
      <c r="AE983" s="15"/>
      <c r="AF983" s="15"/>
      <c r="AG983" s="15"/>
      <c r="AH983" s="15"/>
      <c r="AI983" s="15"/>
      <c r="AJ983" s="103"/>
      <c r="AK983" s="15"/>
      <c r="AL983" s="15"/>
      <c r="AM983" s="15"/>
      <c r="AN983" s="15"/>
      <c r="AO983" s="15"/>
      <c r="AP983" s="15"/>
      <c r="AQ983" s="15"/>
    </row>
    <row r="984">
      <c r="A984" s="15"/>
      <c r="B984" s="15"/>
      <c r="C984" s="15"/>
      <c r="D984" s="15"/>
      <c r="E984" s="15"/>
      <c r="F984" s="15"/>
      <c r="G984" s="15"/>
      <c r="H984" s="103"/>
      <c r="I984" s="15"/>
      <c r="J984" s="15"/>
      <c r="K984" s="15"/>
      <c r="L984" s="15"/>
      <c r="M984" s="15"/>
      <c r="N984" s="15"/>
      <c r="O984" s="103"/>
      <c r="P984" s="15"/>
      <c r="Q984" s="15"/>
      <c r="R984" s="15"/>
      <c r="S984" s="15"/>
      <c r="T984" s="15"/>
      <c r="U984" s="15"/>
      <c r="V984" s="103"/>
      <c r="W984" s="15"/>
      <c r="X984" s="15"/>
      <c r="Y984" s="15"/>
      <c r="Z984" s="15"/>
      <c r="AA984" s="15"/>
      <c r="AB984" s="15"/>
      <c r="AC984" s="103"/>
      <c r="AD984" s="15"/>
      <c r="AE984" s="15"/>
      <c r="AF984" s="15"/>
      <c r="AG984" s="15"/>
      <c r="AH984" s="15"/>
      <c r="AI984" s="15"/>
      <c r="AJ984" s="103"/>
      <c r="AK984" s="15"/>
      <c r="AL984" s="15"/>
      <c r="AM984" s="15"/>
      <c r="AN984" s="15"/>
      <c r="AO984" s="15"/>
      <c r="AP984" s="15"/>
      <c r="AQ984" s="15"/>
    </row>
    <row r="985">
      <c r="A985" s="15"/>
      <c r="B985" s="15"/>
      <c r="C985" s="15"/>
      <c r="D985" s="15"/>
      <c r="E985" s="15"/>
      <c r="F985" s="15"/>
      <c r="G985" s="15"/>
      <c r="H985" s="103"/>
      <c r="I985" s="15"/>
      <c r="J985" s="15"/>
      <c r="K985" s="15"/>
      <c r="L985" s="15"/>
      <c r="M985" s="15"/>
      <c r="N985" s="15"/>
      <c r="O985" s="103"/>
      <c r="P985" s="15"/>
      <c r="Q985" s="15"/>
      <c r="R985" s="15"/>
      <c r="S985" s="15"/>
      <c r="T985" s="15"/>
      <c r="U985" s="15"/>
      <c r="V985" s="103"/>
      <c r="W985" s="15"/>
      <c r="X985" s="15"/>
      <c r="Y985" s="15"/>
      <c r="Z985" s="15"/>
      <c r="AA985" s="15"/>
      <c r="AB985" s="15"/>
      <c r="AC985" s="103"/>
      <c r="AD985" s="15"/>
      <c r="AE985" s="15"/>
      <c r="AF985" s="15"/>
      <c r="AG985" s="15"/>
      <c r="AH985" s="15"/>
      <c r="AI985" s="15"/>
      <c r="AJ985" s="103"/>
      <c r="AK985" s="15"/>
      <c r="AL985" s="15"/>
      <c r="AM985" s="15"/>
      <c r="AN985" s="15"/>
      <c r="AO985" s="15"/>
      <c r="AP985" s="15"/>
      <c r="AQ985" s="15"/>
    </row>
    <row r="986">
      <c r="A986" s="15"/>
      <c r="B986" s="15"/>
      <c r="C986" s="15"/>
      <c r="D986" s="15"/>
      <c r="E986" s="15"/>
      <c r="F986" s="15"/>
      <c r="G986" s="15"/>
      <c r="H986" s="103"/>
      <c r="I986" s="15"/>
      <c r="J986" s="15"/>
      <c r="K986" s="15"/>
      <c r="L986" s="15"/>
      <c r="M986" s="15"/>
      <c r="N986" s="15"/>
      <c r="O986" s="103"/>
      <c r="P986" s="15"/>
      <c r="Q986" s="15"/>
      <c r="R986" s="15"/>
      <c r="S986" s="15"/>
      <c r="T986" s="15"/>
      <c r="U986" s="15"/>
      <c r="V986" s="103"/>
      <c r="W986" s="15"/>
      <c r="X986" s="15"/>
      <c r="Y986" s="15"/>
      <c r="Z986" s="15"/>
      <c r="AA986" s="15"/>
      <c r="AB986" s="15"/>
      <c r="AC986" s="103"/>
      <c r="AD986" s="15"/>
      <c r="AE986" s="15"/>
      <c r="AF986" s="15"/>
      <c r="AG986" s="15"/>
      <c r="AH986" s="15"/>
      <c r="AI986" s="15"/>
      <c r="AJ986" s="103"/>
      <c r="AK986" s="15"/>
      <c r="AL986" s="15"/>
      <c r="AM986" s="15"/>
      <c r="AN986" s="15"/>
      <c r="AO986" s="15"/>
      <c r="AP986" s="15"/>
      <c r="AQ986" s="15"/>
    </row>
    <row r="987">
      <c r="A987" s="15"/>
      <c r="B987" s="15"/>
      <c r="C987" s="15"/>
      <c r="D987" s="15"/>
      <c r="E987" s="15"/>
      <c r="F987" s="15"/>
      <c r="G987" s="15"/>
      <c r="H987" s="103"/>
      <c r="I987" s="15"/>
      <c r="J987" s="15"/>
      <c r="K987" s="15"/>
      <c r="L987" s="15"/>
      <c r="M987" s="15"/>
      <c r="N987" s="15"/>
      <c r="O987" s="103"/>
      <c r="P987" s="15"/>
      <c r="Q987" s="15"/>
      <c r="R987" s="15"/>
      <c r="S987" s="15"/>
      <c r="T987" s="15"/>
      <c r="U987" s="15"/>
      <c r="V987" s="103"/>
      <c r="W987" s="15"/>
      <c r="X987" s="15"/>
      <c r="Y987" s="15"/>
      <c r="Z987" s="15"/>
      <c r="AA987" s="15"/>
      <c r="AB987" s="15"/>
      <c r="AC987" s="103"/>
      <c r="AD987" s="15"/>
      <c r="AE987" s="15"/>
      <c r="AF987" s="15"/>
      <c r="AG987" s="15"/>
      <c r="AH987" s="15"/>
      <c r="AI987" s="15"/>
      <c r="AJ987" s="103"/>
      <c r="AK987" s="15"/>
      <c r="AL987" s="15"/>
      <c r="AM987" s="15"/>
      <c r="AN987" s="15"/>
      <c r="AO987" s="15"/>
      <c r="AP987" s="15"/>
      <c r="AQ987" s="15"/>
    </row>
    <row r="988">
      <c r="A988" s="15"/>
      <c r="B988" s="15"/>
      <c r="C988" s="15"/>
      <c r="D988" s="15"/>
      <c r="E988" s="15"/>
      <c r="F988" s="15"/>
      <c r="G988" s="15"/>
      <c r="H988" s="103"/>
      <c r="I988" s="15"/>
      <c r="J988" s="15"/>
      <c r="K988" s="15"/>
      <c r="L988" s="15"/>
      <c r="M988" s="15"/>
      <c r="N988" s="15"/>
      <c r="O988" s="103"/>
      <c r="P988" s="15"/>
      <c r="Q988" s="15"/>
      <c r="R988" s="15"/>
      <c r="S988" s="15"/>
      <c r="T988" s="15"/>
      <c r="U988" s="15"/>
      <c r="V988" s="103"/>
      <c r="W988" s="15"/>
      <c r="X988" s="15"/>
      <c r="Y988" s="15"/>
      <c r="Z988" s="15"/>
      <c r="AA988" s="15"/>
      <c r="AB988" s="15"/>
      <c r="AC988" s="103"/>
      <c r="AD988" s="15"/>
      <c r="AE988" s="15"/>
      <c r="AF988" s="15"/>
      <c r="AG988" s="15"/>
      <c r="AH988" s="15"/>
      <c r="AI988" s="15"/>
      <c r="AJ988" s="103"/>
      <c r="AK988" s="15"/>
      <c r="AL988" s="15"/>
      <c r="AM988" s="15"/>
      <c r="AN988" s="15"/>
      <c r="AO988" s="15"/>
      <c r="AP988" s="15"/>
      <c r="AQ988" s="15"/>
    </row>
    <row r="989">
      <c r="A989" s="15"/>
      <c r="B989" s="15"/>
      <c r="C989" s="15"/>
      <c r="D989" s="15"/>
      <c r="E989" s="15"/>
      <c r="F989" s="15"/>
      <c r="G989" s="15"/>
      <c r="H989" s="103"/>
      <c r="I989" s="15"/>
      <c r="J989" s="15"/>
      <c r="K989" s="15"/>
      <c r="L989" s="15"/>
      <c r="M989" s="15"/>
      <c r="N989" s="15"/>
      <c r="O989" s="103"/>
      <c r="P989" s="15"/>
      <c r="Q989" s="15"/>
      <c r="R989" s="15"/>
      <c r="S989" s="15"/>
      <c r="T989" s="15"/>
      <c r="U989" s="15"/>
      <c r="V989" s="103"/>
      <c r="W989" s="15"/>
      <c r="X989" s="15"/>
      <c r="Y989" s="15"/>
      <c r="Z989" s="15"/>
      <c r="AA989" s="15"/>
      <c r="AB989" s="15"/>
      <c r="AC989" s="103"/>
      <c r="AD989" s="15"/>
      <c r="AE989" s="15"/>
      <c r="AF989" s="15"/>
      <c r="AG989" s="15"/>
      <c r="AH989" s="15"/>
      <c r="AI989" s="15"/>
      <c r="AJ989" s="103"/>
      <c r="AK989" s="15"/>
      <c r="AL989" s="15"/>
      <c r="AM989" s="15"/>
      <c r="AN989" s="15"/>
      <c r="AO989" s="15"/>
      <c r="AP989" s="15"/>
      <c r="AQ989" s="15"/>
    </row>
    <row r="990">
      <c r="A990" s="15"/>
      <c r="B990" s="15"/>
      <c r="C990" s="15"/>
      <c r="D990" s="15"/>
      <c r="E990" s="15"/>
      <c r="F990" s="15"/>
      <c r="G990" s="15"/>
      <c r="H990" s="103"/>
      <c r="I990" s="15"/>
      <c r="J990" s="15"/>
      <c r="K990" s="15"/>
      <c r="L990" s="15"/>
      <c r="M990" s="15"/>
      <c r="N990" s="15"/>
      <c r="O990" s="103"/>
      <c r="P990" s="15"/>
      <c r="Q990" s="15"/>
      <c r="R990" s="15"/>
      <c r="S990" s="15"/>
      <c r="T990" s="15"/>
      <c r="U990" s="15"/>
      <c r="V990" s="103"/>
      <c r="W990" s="15"/>
      <c r="X990" s="15"/>
      <c r="Y990" s="15"/>
      <c r="Z990" s="15"/>
      <c r="AA990" s="15"/>
      <c r="AB990" s="15"/>
      <c r="AC990" s="103"/>
      <c r="AD990" s="15"/>
      <c r="AE990" s="15"/>
      <c r="AF990" s="15"/>
      <c r="AG990" s="15"/>
      <c r="AH990" s="15"/>
      <c r="AI990" s="15"/>
      <c r="AJ990" s="103"/>
      <c r="AK990" s="15"/>
      <c r="AL990" s="15"/>
      <c r="AM990" s="15"/>
      <c r="AN990" s="15"/>
      <c r="AO990" s="15"/>
      <c r="AP990" s="15"/>
      <c r="AQ990" s="15"/>
    </row>
    <row r="991">
      <c r="A991" s="15"/>
      <c r="B991" s="15"/>
      <c r="C991" s="15"/>
      <c r="D991" s="15"/>
      <c r="E991" s="15"/>
      <c r="F991" s="15"/>
      <c r="G991" s="15"/>
      <c r="H991" s="103"/>
      <c r="I991" s="15"/>
      <c r="J991" s="15"/>
      <c r="K991" s="15"/>
      <c r="L991" s="15"/>
      <c r="M991" s="15"/>
      <c r="N991" s="15"/>
      <c r="O991" s="103"/>
      <c r="P991" s="15"/>
      <c r="Q991" s="15"/>
      <c r="R991" s="15"/>
      <c r="S991" s="15"/>
      <c r="T991" s="15"/>
      <c r="U991" s="15"/>
      <c r="V991" s="103"/>
      <c r="W991" s="15"/>
      <c r="X991" s="15"/>
      <c r="Y991" s="15"/>
      <c r="Z991" s="15"/>
      <c r="AA991" s="15"/>
      <c r="AB991" s="15"/>
      <c r="AC991" s="103"/>
      <c r="AD991" s="15"/>
      <c r="AE991" s="15"/>
      <c r="AF991" s="15"/>
      <c r="AG991" s="15"/>
      <c r="AH991" s="15"/>
      <c r="AI991" s="15"/>
      <c r="AJ991" s="103"/>
      <c r="AK991" s="15"/>
      <c r="AL991" s="15"/>
      <c r="AM991" s="15"/>
      <c r="AN991" s="15"/>
      <c r="AO991" s="15"/>
      <c r="AP991" s="15"/>
      <c r="AQ991" s="15"/>
    </row>
    <row r="992">
      <c r="A992" s="15"/>
      <c r="B992" s="15"/>
      <c r="C992" s="15"/>
      <c r="D992" s="15"/>
      <c r="E992" s="15"/>
      <c r="F992" s="15"/>
      <c r="G992" s="15"/>
      <c r="H992" s="103"/>
      <c r="I992" s="15"/>
      <c r="J992" s="15"/>
      <c r="K992" s="15"/>
      <c r="L992" s="15"/>
      <c r="M992" s="15"/>
      <c r="N992" s="15"/>
      <c r="O992" s="103"/>
      <c r="P992" s="15"/>
      <c r="Q992" s="15"/>
      <c r="R992" s="15"/>
      <c r="S992" s="15"/>
      <c r="T992" s="15"/>
      <c r="U992" s="15"/>
      <c r="V992" s="103"/>
      <c r="W992" s="15"/>
      <c r="X992" s="15"/>
      <c r="Y992" s="15"/>
      <c r="Z992" s="15"/>
      <c r="AA992" s="15"/>
      <c r="AB992" s="15"/>
      <c r="AC992" s="103"/>
      <c r="AD992" s="15"/>
      <c r="AE992" s="15"/>
      <c r="AF992" s="15"/>
      <c r="AG992" s="15"/>
      <c r="AH992" s="15"/>
      <c r="AI992" s="15"/>
      <c r="AJ992" s="103"/>
      <c r="AK992" s="15"/>
      <c r="AL992" s="15"/>
      <c r="AM992" s="15"/>
      <c r="AN992" s="15"/>
      <c r="AO992" s="15"/>
      <c r="AP992" s="15"/>
      <c r="AQ992" s="15"/>
    </row>
    <row r="993">
      <c r="A993" s="15"/>
      <c r="B993" s="15"/>
      <c r="C993" s="15"/>
      <c r="D993" s="15"/>
      <c r="E993" s="15"/>
      <c r="F993" s="15"/>
      <c r="G993" s="15"/>
      <c r="H993" s="103"/>
      <c r="I993" s="15"/>
      <c r="J993" s="15"/>
      <c r="K993" s="15"/>
      <c r="L993" s="15"/>
      <c r="M993" s="15"/>
      <c r="N993" s="15"/>
      <c r="O993" s="103"/>
      <c r="P993" s="15"/>
      <c r="Q993" s="15"/>
      <c r="R993" s="15"/>
      <c r="S993" s="15"/>
      <c r="T993" s="15"/>
      <c r="U993" s="15"/>
      <c r="V993" s="103"/>
      <c r="W993" s="15"/>
      <c r="X993" s="15"/>
      <c r="Y993" s="15"/>
      <c r="Z993" s="15"/>
      <c r="AA993" s="15"/>
      <c r="AB993" s="15"/>
      <c r="AC993" s="103"/>
      <c r="AD993" s="15"/>
      <c r="AE993" s="15"/>
      <c r="AF993" s="15"/>
      <c r="AG993" s="15"/>
      <c r="AH993" s="15"/>
      <c r="AI993" s="15"/>
      <c r="AJ993" s="103"/>
      <c r="AK993" s="15"/>
      <c r="AL993" s="15"/>
      <c r="AM993" s="15"/>
      <c r="AN993" s="15"/>
      <c r="AO993" s="15"/>
      <c r="AP993" s="15"/>
      <c r="AQ993" s="15"/>
    </row>
    <row r="994">
      <c r="A994" s="15"/>
      <c r="B994" s="15"/>
      <c r="C994" s="15"/>
      <c r="D994" s="15"/>
      <c r="E994" s="15"/>
      <c r="F994" s="15"/>
      <c r="G994" s="15"/>
      <c r="H994" s="103"/>
      <c r="I994" s="15"/>
      <c r="J994" s="15"/>
      <c r="K994" s="15"/>
      <c r="L994" s="15"/>
      <c r="M994" s="15"/>
      <c r="N994" s="15"/>
      <c r="O994" s="103"/>
      <c r="P994" s="15"/>
      <c r="Q994" s="15"/>
      <c r="R994" s="15"/>
      <c r="S994" s="15"/>
      <c r="T994" s="15"/>
      <c r="U994" s="15"/>
      <c r="V994" s="103"/>
      <c r="W994" s="15"/>
      <c r="X994" s="15"/>
      <c r="Y994" s="15"/>
      <c r="Z994" s="15"/>
      <c r="AA994" s="15"/>
      <c r="AB994" s="15"/>
      <c r="AC994" s="103"/>
      <c r="AD994" s="15"/>
      <c r="AE994" s="15"/>
      <c r="AF994" s="15"/>
      <c r="AG994" s="15"/>
      <c r="AH994" s="15"/>
      <c r="AI994" s="15"/>
      <c r="AJ994" s="103"/>
      <c r="AK994" s="15"/>
      <c r="AL994" s="15"/>
      <c r="AM994" s="15"/>
      <c r="AN994" s="15"/>
      <c r="AO994" s="15"/>
      <c r="AP994" s="15"/>
      <c r="AQ994" s="15"/>
    </row>
    <row r="995">
      <c r="A995" s="15"/>
      <c r="B995" s="15"/>
      <c r="C995" s="15"/>
      <c r="D995" s="15"/>
      <c r="E995" s="15"/>
      <c r="F995" s="15"/>
      <c r="G995" s="15"/>
      <c r="H995" s="103"/>
      <c r="I995" s="15"/>
      <c r="J995" s="15"/>
      <c r="K995" s="15"/>
      <c r="L995" s="15"/>
      <c r="M995" s="15"/>
      <c r="N995" s="15"/>
      <c r="O995" s="103"/>
      <c r="P995" s="15"/>
      <c r="Q995" s="15"/>
      <c r="R995" s="15"/>
      <c r="S995" s="15"/>
      <c r="T995" s="15"/>
      <c r="U995" s="15"/>
      <c r="V995" s="103"/>
      <c r="W995" s="15"/>
      <c r="X995" s="15"/>
      <c r="Y995" s="15"/>
      <c r="Z995" s="15"/>
      <c r="AA995" s="15"/>
      <c r="AB995" s="15"/>
      <c r="AC995" s="103"/>
      <c r="AD995" s="15"/>
      <c r="AE995" s="15"/>
      <c r="AF995" s="15"/>
      <c r="AG995" s="15"/>
      <c r="AH995" s="15"/>
      <c r="AI995" s="15"/>
      <c r="AJ995" s="103"/>
      <c r="AK995" s="15"/>
      <c r="AL995" s="15"/>
      <c r="AM995" s="15"/>
      <c r="AN995" s="15"/>
      <c r="AO995" s="15"/>
      <c r="AP995" s="15"/>
      <c r="AQ995" s="15"/>
    </row>
    <row r="996">
      <c r="A996" s="15"/>
      <c r="B996" s="15"/>
      <c r="C996" s="15"/>
      <c r="D996" s="15"/>
      <c r="E996" s="15"/>
      <c r="F996" s="15"/>
      <c r="G996" s="15"/>
      <c r="H996" s="103"/>
      <c r="I996" s="15"/>
      <c r="J996" s="15"/>
      <c r="K996" s="15"/>
      <c r="L996" s="15"/>
      <c r="M996" s="15"/>
      <c r="N996" s="15"/>
      <c r="O996" s="103"/>
      <c r="P996" s="15"/>
      <c r="Q996" s="15"/>
      <c r="R996" s="15"/>
      <c r="S996" s="15"/>
      <c r="T996" s="15"/>
      <c r="U996" s="15"/>
      <c r="V996" s="103"/>
      <c r="W996" s="15"/>
      <c r="X996" s="15"/>
      <c r="Y996" s="15"/>
      <c r="Z996" s="15"/>
      <c r="AA996" s="15"/>
      <c r="AB996" s="15"/>
      <c r="AC996" s="103"/>
      <c r="AD996" s="15"/>
      <c r="AE996" s="15"/>
      <c r="AF996" s="15"/>
      <c r="AG996" s="15"/>
      <c r="AH996" s="15"/>
      <c r="AI996" s="15"/>
      <c r="AJ996" s="103"/>
      <c r="AK996" s="15"/>
      <c r="AL996" s="15"/>
      <c r="AM996" s="15"/>
      <c r="AN996" s="15"/>
      <c r="AO996" s="15"/>
      <c r="AP996" s="15"/>
      <c r="AQ996" s="15"/>
    </row>
    <row r="997">
      <c r="A997" s="15"/>
      <c r="B997" s="15"/>
      <c r="C997" s="15"/>
      <c r="D997" s="15"/>
      <c r="E997" s="15"/>
      <c r="F997" s="15"/>
      <c r="G997" s="15"/>
      <c r="H997" s="103"/>
      <c r="I997" s="15"/>
      <c r="J997" s="15"/>
      <c r="K997" s="15"/>
      <c r="L997" s="15"/>
      <c r="M997" s="15"/>
      <c r="N997" s="15"/>
      <c r="O997" s="103"/>
      <c r="P997" s="15"/>
      <c r="Q997" s="15"/>
      <c r="R997" s="15"/>
      <c r="S997" s="15"/>
      <c r="T997" s="15"/>
      <c r="U997" s="15"/>
      <c r="V997" s="103"/>
      <c r="W997" s="15"/>
      <c r="X997" s="15"/>
      <c r="Y997" s="15"/>
      <c r="Z997" s="15"/>
      <c r="AA997" s="15"/>
      <c r="AB997" s="15"/>
      <c r="AC997" s="103"/>
      <c r="AD997" s="15"/>
      <c r="AE997" s="15"/>
      <c r="AF997" s="15"/>
      <c r="AG997" s="15"/>
      <c r="AH997" s="15"/>
      <c r="AI997" s="15"/>
      <c r="AJ997" s="103"/>
      <c r="AK997" s="15"/>
      <c r="AL997" s="15"/>
      <c r="AM997" s="15"/>
      <c r="AN997" s="15"/>
      <c r="AO997" s="15"/>
      <c r="AP997" s="15"/>
      <c r="AQ997" s="15"/>
    </row>
    <row r="998">
      <c r="A998" s="15"/>
      <c r="B998" s="15"/>
      <c r="C998" s="15"/>
      <c r="D998" s="15"/>
      <c r="E998" s="15"/>
      <c r="F998" s="15"/>
      <c r="G998" s="15"/>
      <c r="H998" s="103"/>
      <c r="I998" s="15"/>
      <c r="J998" s="15"/>
      <c r="K998" s="15"/>
      <c r="L998" s="15"/>
      <c r="M998" s="15"/>
      <c r="N998" s="15"/>
      <c r="O998" s="103"/>
      <c r="P998" s="15"/>
      <c r="Q998" s="15"/>
      <c r="R998" s="15"/>
      <c r="S998" s="15"/>
      <c r="T998" s="15"/>
      <c r="U998" s="15"/>
      <c r="V998" s="103"/>
      <c r="W998" s="15"/>
      <c r="X998" s="15"/>
      <c r="Y998" s="15"/>
      <c r="Z998" s="15"/>
      <c r="AA998" s="15"/>
      <c r="AB998" s="15"/>
      <c r="AC998" s="103"/>
      <c r="AD998" s="15"/>
      <c r="AE998" s="15"/>
      <c r="AF998" s="15"/>
      <c r="AG998" s="15"/>
      <c r="AH998" s="15"/>
      <c r="AI998" s="15"/>
      <c r="AJ998" s="103"/>
      <c r="AK998" s="15"/>
      <c r="AL998" s="15"/>
      <c r="AM998" s="15"/>
      <c r="AN998" s="15"/>
      <c r="AO998" s="15"/>
      <c r="AP998" s="15"/>
      <c r="AQ998" s="15"/>
    </row>
    <row r="999">
      <c r="A999" s="15"/>
      <c r="B999" s="15"/>
      <c r="C999" s="15"/>
      <c r="D999" s="15"/>
      <c r="E999" s="15"/>
      <c r="F999" s="15"/>
      <c r="G999" s="15"/>
      <c r="H999" s="103"/>
      <c r="I999" s="15"/>
      <c r="J999" s="15"/>
      <c r="K999" s="15"/>
      <c r="L999" s="15"/>
      <c r="M999" s="15"/>
      <c r="N999" s="15"/>
      <c r="O999" s="103"/>
      <c r="P999" s="15"/>
      <c r="Q999" s="15"/>
      <c r="R999" s="15"/>
      <c r="S999" s="15"/>
      <c r="T999" s="15"/>
      <c r="U999" s="15"/>
      <c r="V999" s="103"/>
      <c r="W999" s="15"/>
      <c r="X999" s="15"/>
      <c r="Y999" s="15"/>
      <c r="Z999" s="15"/>
      <c r="AA999" s="15"/>
      <c r="AB999" s="15"/>
      <c r="AC999" s="103"/>
      <c r="AD999" s="15"/>
      <c r="AE999" s="15"/>
      <c r="AF999" s="15"/>
      <c r="AG999" s="15"/>
      <c r="AH999" s="15"/>
      <c r="AI999" s="15"/>
      <c r="AJ999" s="103"/>
      <c r="AK999" s="15"/>
      <c r="AL999" s="15"/>
      <c r="AM999" s="15"/>
      <c r="AN999" s="15"/>
      <c r="AO999" s="15"/>
      <c r="AP999" s="15"/>
      <c r="AQ999" s="15"/>
    </row>
    <row r="1000">
      <c r="A1000" s="15"/>
      <c r="B1000" s="15"/>
      <c r="C1000" s="15"/>
      <c r="D1000" s="15"/>
      <c r="E1000" s="15"/>
      <c r="F1000" s="15"/>
      <c r="G1000" s="15"/>
      <c r="H1000" s="103"/>
      <c r="I1000" s="15"/>
      <c r="J1000" s="15"/>
      <c r="K1000" s="15"/>
      <c r="L1000" s="15"/>
      <c r="M1000" s="15"/>
      <c r="N1000" s="15"/>
      <c r="O1000" s="103"/>
      <c r="P1000" s="15"/>
      <c r="Q1000" s="15"/>
      <c r="R1000" s="15"/>
      <c r="S1000" s="15"/>
      <c r="T1000" s="15"/>
      <c r="U1000" s="15"/>
      <c r="V1000" s="103"/>
      <c r="W1000" s="15"/>
      <c r="X1000" s="15"/>
      <c r="Y1000" s="15"/>
      <c r="Z1000" s="15"/>
      <c r="AA1000" s="15"/>
      <c r="AB1000" s="15"/>
      <c r="AC1000" s="103"/>
      <c r="AD1000" s="15"/>
      <c r="AE1000" s="15"/>
      <c r="AF1000" s="15"/>
      <c r="AG1000" s="15"/>
      <c r="AH1000" s="15"/>
      <c r="AI1000" s="15"/>
      <c r="AJ1000" s="103"/>
      <c r="AK1000" s="15"/>
      <c r="AL1000" s="15"/>
      <c r="AM1000" s="15"/>
      <c r="AN1000" s="15"/>
      <c r="AO1000" s="15"/>
      <c r="AP1000" s="15"/>
      <c r="AQ1000" s="15"/>
    </row>
    <row r="1001">
      <c r="A1001" s="15"/>
      <c r="B1001" s="15"/>
      <c r="C1001" s="15"/>
      <c r="D1001" s="15"/>
      <c r="E1001" s="15"/>
      <c r="F1001" s="15"/>
      <c r="G1001" s="15"/>
      <c r="H1001" s="103"/>
      <c r="I1001" s="15"/>
      <c r="J1001" s="15"/>
      <c r="K1001" s="15"/>
      <c r="L1001" s="15"/>
      <c r="M1001" s="15"/>
      <c r="N1001" s="15"/>
      <c r="O1001" s="103"/>
      <c r="P1001" s="15"/>
      <c r="Q1001" s="15"/>
      <c r="R1001" s="15"/>
      <c r="S1001" s="15"/>
      <c r="T1001" s="15"/>
      <c r="U1001" s="15"/>
      <c r="V1001" s="103"/>
      <c r="W1001" s="15"/>
      <c r="X1001" s="15"/>
      <c r="Y1001" s="15"/>
      <c r="Z1001" s="15"/>
      <c r="AA1001" s="15"/>
      <c r="AB1001" s="15"/>
      <c r="AC1001" s="103"/>
      <c r="AD1001" s="15"/>
      <c r="AE1001" s="15"/>
      <c r="AF1001" s="15"/>
      <c r="AG1001" s="15"/>
      <c r="AH1001" s="15"/>
      <c r="AI1001" s="15"/>
      <c r="AJ1001" s="103"/>
      <c r="AK1001" s="15"/>
      <c r="AL1001" s="15"/>
      <c r="AM1001" s="15"/>
      <c r="AN1001" s="15"/>
      <c r="AO1001" s="15"/>
      <c r="AP1001" s="15"/>
      <c r="AQ1001" s="15"/>
    </row>
    <row r="1002">
      <c r="A1002" s="15"/>
      <c r="B1002" s="15"/>
      <c r="C1002" s="15"/>
      <c r="D1002" s="15"/>
      <c r="E1002" s="15"/>
      <c r="F1002" s="15"/>
      <c r="G1002" s="15"/>
      <c r="H1002" s="103"/>
      <c r="I1002" s="15"/>
      <c r="J1002" s="15"/>
      <c r="K1002" s="15"/>
      <c r="L1002" s="15"/>
      <c r="M1002" s="15"/>
      <c r="N1002" s="15"/>
      <c r="O1002" s="103"/>
      <c r="P1002" s="15"/>
      <c r="Q1002" s="15"/>
      <c r="R1002" s="15"/>
      <c r="S1002" s="15"/>
      <c r="T1002" s="15"/>
      <c r="U1002" s="15"/>
      <c r="V1002" s="103"/>
      <c r="W1002" s="15"/>
      <c r="X1002" s="15"/>
      <c r="Y1002" s="15"/>
      <c r="Z1002" s="15"/>
      <c r="AA1002" s="15"/>
      <c r="AB1002" s="15"/>
      <c r="AC1002" s="103"/>
      <c r="AD1002" s="15"/>
      <c r="AE1002" s="15"/>
      <c r="AF1002" s="15"/>
      <c r="AG1002" s="15"/>
      <c r="AH1002" s="15"/>
      <c r="AI1002" s="15"/>
      <c r="AJ1002" s="103"/>
      <c r="AK1002" s="15"/>
      <c r="AL1002" s="15"/>
      <c r="AM1002" s="15"/>
      <c r="AN1002" s="15"/>
      <c r="AO1002" s="15"/>
      <c r="AP1002" s="15"/>
      <c r="AQ1002" s="15"/>
    </row>
    <row r="1003">
      <c r="A1003" s="15"/>
      <c r="B1003" s="15"/>
      <c r="C1003" s="15"/>
      <c r="D1003" s="15"/>
      <c r="E1003" s="15"/>
      <c r="F1003" s="15"/>
      <c r="G1003" s="15"/>
      <c r="H1003" s="103"/>
      <c r="I1003" s="15"/>
      <c r="J1003" s="15"/>
      <c r="K1003" s="15"/>
      <c r="L1003" s="15"/>
      <c r="M1003" s="15"/>
      <c r="N1003" s="15"/>
      <c r="O1003" s="103"/>
      <c r="P1003" s="15"/>
      <c r="Q1003" s="15"/>
      <c r="R1003" s="15"/>
      <c r="S1003" s="15"/>
      <c r="T1003" s="15"/>
      <c r="U1003" s="15"/>
      <c r="V1003" s="103"/>
      <c r="W1003" s="15"/>
      <c r="X1003" s="15"/>
      <c r="Y1003" s="15"/>
      <c r="Z1003" s="15"/>
      <c r="AA1003" s="15"/>
      <c r="AB1003" s="15"/>
      <c r="AC1003" s="103"/>
      <c r="AD1003" s="15"/>
      <c r="AE1003" s="15"/>
      <c r="AF1003" s="15"/>
      <c r="AG1003" s="15"/>
      <c r="AH1003" s="15"/>
      <c r="AI1003" s="15"/>
      <c r="AJ1003" s="103"/>
      <c r="AK1003" s="15"/>
      <c r="AL1003" s="15"/>
      <c r="AM1003" s="15"/>
      <c r="AN1003" s="15"/>
      <c r="AO1003" s="15"/>
      <c r="AP1003" s="15"/>
      <c r="AQ1003" s="15"/>
    </row>
  </sheetData>
  <mergeCells count="19">
    <mergeCell ref="F2:H2"/>
    <mergeCell ref="I2:L2"/>
    <mergeCell ref="A41:B41"/>
    <mergeCell ref="M2:O2"/>
    <mergeCell ref="P2:S2"/>
    <mergeCell ref="T2:V2"/>
    <mergeCell ref="W2:Z2"/>
    <mergeCell ref="AA2:AC2"/>
    <mergeCell ref="AD2:AG2"/>
    <mergeCell ref="AH2:AJ2"/>
    <mergeCell ref="AK2:AN2"/>
    <mergeCell ref="B1:H1"/>
    <mergeCell ref="I1:O1"/>
    <mergeCell ref="P1:V1"/>
    <mergeCell ref="W1:AC1"/>
    <mergeCell ref="AD1:AJ1"/>
    <mergeCell ref="AK1:AQ1"/>
    <mergeCell ref="B2:E2"/>
    <mergeCell ref="AO2:AQ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8.0" ySplit="2.0" topLeftCell="I3" activePane="bottomRight" state="frozen"/>
      <selection activeCell="I1" sqref="I1" pane="topRight"/>
      <selection activeCell="A3" sqref="A3" pane="bottomLeft"/>
      <selection activeCell="I3" sqref="I3" pane="bottomRight"/>
    </sheetView>
  </sheetViews>
  <sheetFormatPr customHeight="1" defaultColWidth="12.63" defaultRowHeight="15.75"/>
  <cols>
    <col customWidth="1" hidden="1" min="1" max="1" width="31.25"/>
    <col customWidth="1" hidden="1" min="2" max="2" width="14.25"/>
    <col customWidth="1" min="3" max="4" width="14.25"/>
    <col customWidth="1" min="5" max="5" width="18.0"/>
    <col customWidth="1" min="6" max="6" width="14.25"/>
    <col customWidth="1" min="7" max="7" width="20.0"/>
    <col customWidth="1" min="8" max="8" width="25.0"/>
    <col customWidth="1" min="9" max="18" width="13.25"/>
  </cols>
  <sheetData>
    <row r="1">
      <c r="A1" s="108"/>
      <c r="B1" s="109" t="s">
        <v>78</v>
      </c>
      <c r="I1" s="110" t="s">
        <v>79</v>
      </c>
      <c r="M1" s="111" t="s">
        <v>80</v>
      </c>
      <c r="S1" s="112" t="s">
        <v>81</v>
      </c>
      <c r="Z1" s="113"/>
      <c r="AA1" s="113"/>
      <c r="AB1" s="113"/>
      <c r="AC1" s="113"/>
      <c r="AD1" s="113"/>
      <c r="AE1" s="113"/>
      <c r="AF1" s="113"/>
    </row>
    <row r="2">
      <c r="A2" s="108"/>
      <c r="C2" s="109" t="s">
        <v>82</v>
      </c>
      <c r="D2" s="109" t="s">
        <v>83</v>
      </c>
      <c r="E2" s="114" t="s">
        <v>84</v>
      </c>
      <c r="F2" s="109" t="s">
        <v>85</v>
      </c>
      <c r="G2" s="114" t="s">
        <v>86</v>
      </c>
      <c r="H2" s="114" t="s">
        <v>87</v>
      </c>
      <c r="I2" s="110" t="s">
        <v>88</v>
      </c>
      <c r="J2" s="110" t="s">
        <v>89</v>
      </c>
      <c r="K2" s="110" t="s">
        <v>90</v>
      </c>
      <c r="L2" s="110" t="s">
        <v>91</v>
      </c>
      <c r="M2" s="111" t="s">
        <v>92</v>
      </c>
      <c r="N2" s="111" t="s">
        <v>93</v>
      </c>
      <c r="O2" s="111" t="s">
        <v>94</v>
      </c>
      <c r="P2" s="111" t="s">
        <v>95</v>
      </c>
      <c r="Q2" s="111" t="s">
        <v>96</v>
      </c>
      <c r="R2" s="111" t="s">
        <v>97</v>
      </c>
      <c r="S2" s="112" t="s">
        <v>98</v>
      </c>
      <c r="T2" s="112" t="s">
        <v>99</v>
      </c>
      <c r="U2" s="112" t="s">
        <v>100</v>
      </c>
      <c r="V2" s="112" t="s">
        <v>101</v>
      </c>
      <c r="W2" s="112" t="s">
        <v>102</v>
      </c>
      <c r="X2" s="112" t="s">
        <v>103</v>
      </c>
      <c r="Y2" s="112" t="s">
        <v>104</v>
      </c>
      <c r="Z2" s="113"/>
      <c r="AA2" s="113"/>
      <c r="AB2" s="113"/>
      <c r="AC2" s="113"/>
      <c r="AD2" s="113"/>
      <c r="AE2" s="113"/>
      <c r="AF2" s="113"/>
    </row>
    <row r="3">
      <c r="C3" s="116"/>
      <c r="D3" s="116"/>
      <c r="E3" s="117"/>
      <c r="F3" s="116"/>
      <c r="G3" s="117"/>
      <c r="H3" s="118"/>
      <c r="I3" s="116"/>
      <c r="J3" s="116"/>
      <c r="K3" s="116"/>
      <c r="L3" s="116"/>
      <c r="M3" s="119" t="b">
        <v>0</v>
      </c>
      <c r="N3" s="113" t="b">
        <v>0</v>
      </c>
      <c r="O3" s="113" t="b">
        <v>0</v>
      </c>
      <c r="P3" s="113" t="b">
        <v>0</v>
      </c>
      <c r="Q3" s="113" t="b">
        <v>0</v>
      </c>
      <c r="R3" s="113"/>
      <c r="S3" s="113" t="b">
        <v>0</v>
      </c>
      <c r="T3" s="113"/>
      <c r="U3" s="113"/>
      <c r="V3" s="113" t="b">
        <v>0</v>
      </c>
      <c r="W3" s="113"/>
      <c r="X3" s="113" t="b">
        <v>0</v>
      </c>
      <c r="Y3" s="113"/>
      <c r="Z3" s="113"/>
      <c r="AA3" s="113"/>
      <c r="AB3" s="113"/>
      <c r="AC3" s="113"/>
      <c r="AD3" s="113"/>
      <c r="AE3" s="113"/>
      <c r="AF3" s="113"/>
    </row>
    <row r="4" hidden="1">
      <c r="C4" s="113"/>
      <c r="D4" s="113"/>
      <c r="E4" s="121"/>
      <c r="F4" s="113"/>
      <c r="G4" s="121"/>
      <c r="H4" s="122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</row>
    <row r="5" ht="15.75" customHeight="1">
      <c r="C5" s="123">
        <f>MINIFS(collexo_data!B:B,collexo_data!A:A,A5)</f>
        <v>46090</v>
      </c>
      <c r="D5" s="120" t="str">
        <f>vlookup(A5,collexo_data!A:M,13,0)</f>
        <v>New Delhi</v>
      </c>
      <c r="E5" s="122" t="str">
        <f>vlookup(A5,collexo_data!A:O,15,0)</f>
        <v>Aryan Gautam</v>
      </c>
      <c r="F5" s="120">
        <f>vlookup(A5,collexo_data!A:S,19,0)</f>
        <v>8979968570</v>
      </c>
      <c r="G5" s="122" t="str">
        <f>vlookup(A5,collexo_data!A:R,18,0)</f>
        <v>GS Foundation Course</v>
      </c>
      <c r="H5" s="122" t="str">
        <f t="shared" ref="H5:H1001" si="1">A5</f>
        <v>007gautamaryan@gmail.com</v>
      </c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</row>
    <row r="6">
      <c r="C6" s="123">
        <f>MINIFS(collexo_data!B:B,collexo_data!A:A,A6)</f>
        <v>46087</v>
      </c>
      <c r="D6" s="120" t="str">
        <f>vlookup(A6,collexo_data!A:M,13,0)</f>
        <v>Lucknow</v>
      </c>
      <c r="E6" s="122" t="str">
        <f>vlookup(A6,collexo_data!A:O,15,0)</f>
        <v>Muskan Sharma</v>
      </c>
      <c r="F6" s="120">
        <f>vlookup(A6,collexo_data!A:S,19,0)</f>
        <v>7985779642</v>
      </c>
      <c r="G6" s="122" t="str">
        <f>vlookup(A6,collexo_data!A:R,18,0)</f>
        <v>GS Foundation Course</v>
      </c>
      <c r="H6" s="122" t="str">
        <f t="shared" si="1"/>
        <v>20muskansharma0712@gmail.com</v>
      </c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</row>
    <row r="7">
      <c r="C7" s="123">
        <f>MINIFS(collexo_data!B:B,collexo_data!A:A,A7)</f>
        <v>46096</v>
      </c>
      <c r="D7" s="120" t="str">
        <f>vlookup(A7,collexo_data!A:M,13,0)</f>
        <v>New Delhi</v>
      </c>
      <c r="E7" s="122" t="str">
        <f>vlookup(A7,collexo_data!A:O,15,0)</f>
        <v>Kartik Singh</v>
      </c>
      <c r="F7" s="120">
        <f>vlookup(A7,collexo_data!A:S,19,0)</f>
        <v>9711083740</v>
      </c>
      <c r="G7" s="122" t="str">
        <f>vlookup(A7,collexo_data!A:R,18,0)</f>
        <v>GS Foundation Course</v>
      </c>
      <c r="H7" s="122" t="str">
        <f t="shared" si="1"/>
        <v>23kartiksinghal@gmail.com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</row>
    <row r="8">
      <c r="C8" s="123">
        <f>MINIFS(collexo_data!B:B,collexo_data!A:A,A8)</f>
        <v>46098</v>
      </c>
      <c r="D8" s="120" t="str">
        <f>vlookup(A8,collexo_data!A:M,13,0)</f>
        <v>Prayagraj</v>
      </c>
      <c r="E8" s="122" t="str">
        <f>vlookup(A8,collexo_data!A:O,15,0)</f>
        <v>Swchchha pandey</v>
      </c>
      <c r="F8" s="120">
        <f>vlookup(A8,collexo_data!A:S,19,0)</f>
        <v>9118567877</v>
      </c>
      <c r="G8" s="122" t="str">
        <f>vlookup(A8,collexo_data!A:R,18,0)</f>
        <v>GS Foundation Course</v>
      </c>
      <c r="H8" s="122" t="str">
        <f t="shared" si="1"/>
        <v>33348swechchhapandey9c@gmail.com</v>
      </c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</row>
    <row r="9">
      <c r="C9" s="123">
        <f>MINIFS(collexo_data!B:B,collexo_data!A:A,A9)</f>
        <v>46104</v>
      </c>
      <c r="D9" s="120" t="str">
        <f>vlookup(A9,collexo_data!A:M,13,0)</f>
        <v>Prayagraj</v>
      </c>
      <c r="E9" s="122" t="str">
        <f>vlookup(A9,collexo_data!A:O,15,0)</f>
        <v>Shivam Pandey</v>
      </c>
      <c r="F9" s="120">
        <f>vlookup(A9,collexo_data!A:S,19,0)</f>
        <v>9170828682</v>
      </c>
      <c r="G9" s="122" t="str">
        <f>vlookup(A9,collexo_data!A:R,18,0)</f>
        <v>Mentorship - Samadhan</v>
      </c>
      <c r="H9" s="122" t="str">
        <f t="shared" si="1"/>
        <v>9170spandey@gmail.com</v>
      </c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</row>
    <row r="10">
      <c r="C10" s="123">
        <f>MINIFS(collexo_data!B:B,collexo_data!A:A,A10)</f>
        <v>46069</v>
      </c>
      <c r="D10" s="120" t="str">
        <f>vlookup(A10,collexo_data!A:M,13,0)</f>
        <v>Prayagraj</v>
      </c>
      <c r="E10" s="122" t="str">
        <f>vlookup(A10,collexo_data!A:O,15,0)</f>
        <v>Ashish</v>
      </c>
      <c r="F10" s="120">
        <f>vlookup(A10,collexo_data!A:S,19,0)</f>
        <v>9554917918</v>
      </c>
      <c r="G10" s="122" t="str">
        <f>vlookup(A10,collexo_data!A:R,18,0)</f>
        <v>GS Foundation Course</v>
      </c>
      <c r="H10" s="122" t="str">
        <f t="shared" si="1"/>
        <v>9918313@gmail.com</v>
      </c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</row>
    <row r="11">
      <c r="C11" s="123">
        <f>MINIFS(collexo_data!B:B,collexo_data!A:A,A11)</f>
        <v>46108</v>
      </c>
      <c r="D11" s="120" t="str">
        <f>vlookup(A11,collexo_data!A:M,13,0)</f>
        <v>Lucknow</v>
      </c>
      <c r="E11" s="122" t="str">
        <f>vlookup(A11,collexo_data!A:O,15,0)</f>
        <v>Amit</v>
      </c>
      <c r="F11" s="120">
        <f>vlookup(A11,collexo_data!A:S,19,0)</f>
        <v>7607984659</v>
      </c>
      <c r="G11" s="122" t="str">
        <f>vlookup(A11,collexo_data!A:R,18,0)</f>
        <v>GS Foundation Course</v>
      </c>
      <c r="H11" s="122" t="str">
        <f t="shared" si="1"/>
        <v>a3754586@gmail.com</v>
      </c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</row>
    <row r="12">
      <c r="C12" s="123">
        <f>MINIFS(collexo_data!B:B,collexo_data!A:A,A12)</f>
        <v>46062</v>
      </c>
      <c r="D12" s="120" t="str">
        <f>vlookup(A12,collexo_data!A:M,13,0)</f>
        <v>New Delhi</v>
      </c>
      <c r="E12" s="122" t="str">
        <f>vlookup(A12,collexo_data!A:O,15,0)</f>
        <v>Yougenderi</v>
      </c>
      <c r="F12" s="120">
        <f>vlookup(A12,collexo_data!A:S,19,0)</f>
        <v>9711642622</v>
      </c>
      <c r="G12" s="122" t="str">
        <f>vlookup(A12,collexo_data!A:R,18,0)</f>
        <v>GS Foundation Course</v>
      </c>
      <c r="H12" s="122" t="str">
        <f t="shared" si="1"/>
        <v>aashi25march@gmail.com</v>
      </c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</row>
    <row r="13">
      <c r="C13" s="123">
        <f>MINIFS(collexo_data!B:B,collexo_data!A:A,A13)</f>
        <v>46036</v>
      </c>
      <c r="D13" s="120" t="str">
        <f>vlookup(A13,collexo_data!A:M,13,0)</f>
        <v>New Delhi</v>
      </c>
      <c r="E13" s="122" t="str">
        <f>vlookup(A13,collexo_data!A:O,15,0)</f>
        <v>Aaysha Gouri</v>
      </c>
      <c r="F13" s="120" t="str">
        <f>vlookup(A13,collexo_data!A:S,19,0)</f>
        <v>Not Available</v>
      </c>
      <c r="G13" s="122" t="str">
        <f>vlookup(A13,collexo_data!A:R,18,0)</f>
        <v>Not Available</v>
      </c>
      <c r="H13" s="122" t="str">
        <f t="shared" si="1"/>
        <v>Aayshag0@gmail.com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</row>
    <row r="14">
      <c r="C14" s="123">
        <f>MINIFS(collexo_data!B:B,collexo_data!A:A,A14)</f>
        <v>46064</v>
      </c>
      <c r="D14" s="120" t="str">
        <f>vlookup(A14,collexo_data!A:M,13,0)</f>
        <v>Lucknow</v>
      </c>
      <c r="E14" s="122" t="str">
        <f>vlookup(A14,collexo_data!A:O,15,0)</f>
        <v>Ayushi Giri</v>
      </c>
      <c r="F14" s="120">
        <f>vlookup(A14,collexo_data!A:S,19,0)</f>
        <v>8470864900</v>
      </c>
      <c r="G14" s="122" t="str">
        <f>vlookup(A14,collexo_data!A:R,18,0)</f>
        <v>GS Foundation Course</v>
      </c>
      <c r="H14" s="122" t="str">
        <f t="shared" si="1"/>
        <v>aayuugoswami@gmail.com</v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</row>
    <row r="15">
      <c r="C15" s="123">
        <f>MINIFS(collexo_data!B:B,collexo_data!A:A,A15)</f>
        <v>46083</v>
      </c>
      <c r="D15" s="120" t="str">
        <f>vlookup(A15,collexo_data!A:M,13,0)</f>
        <v>New Delhi</v>
      </c>
      <c r="E15" s="122" t="str">
        <f>vlookup(A15,collexo_data!A:O,15,0)</f>
        <v>SYED NASIR ABBAS</v>
      </c>
      <c r="F15" s="120">
        <f>vlookup(A15,collexo_data!A:S,19,0)</f>
        <v>7838172035</v>
      </c>
      <c r="G15" s="122" t="str">
        <f>vlookup(A15,collexo_data!A:R,18,0)</f>
        <v>GS Foundation Course</v>
      </c>
      <c r="H15" s="122" t="str">
        <f t="shared" si="1"/>
        <v>abbasnasirsyed73@gmail.com</v>
      </c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</row>
    <row r="16">
      <c r="C16" s="123">
        <f>MINIFS(collexo_data!B:B,collexo_data!A:A,A16)</f>
        <v>46089</v>
      </c>
      <c r="D16" s="120" t="str">
        <f>vlookup(A16,collexo_data!A:M,13,0)</f>
        <v>Prayagraj</v>
      </c>
      <c r="E16" s="122" t="str">
        <f>vlookup(A16,collexo_data!A:O,15,0)</f>
        <v>Abdul Arij</v>
      </c>
      <c r="F16" s="120">
        <f>vlookup(A16,collexo_data!A:S,19,0)</f>
        <v>8429452813</v>
      </c>
      <c r="G16" s="122" t="str">
        <f>vlookup(A16,collexo_data!A:R,18,0)</f>
        <v>GS Foundation Course</v>
      </c>
      <c r="H16" s="122" t="str">
        <f t="shared" si="1"/>
        <v>abdularij2007@gmail.com</v>
      </c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</row>
    <row r="17">
      <c r="C17" s="123">
        <f>MINIFS(collexo_data!B:B,collexo_data!A:A,A17)</f>
        <v>46097</v>
      </c>
      <c r="D17" s="120" t="str">
        <f>vlookup(A17,collexo_data!A:M,13,0)</f>
        <v>Prayagraj</v>
      </c>
      <c r="E17" s="122" t="str">
        <f>vlookup(A17,collexo_data!A:O,15,0)</f>
        <v>Abhyuday singh</v>
      </c>
      <c r="F17" s="120">
        <f>vlookup(A17,collexo_data!A:S,19,0)</f>
        <v>6388221910</v>
      </c>
      <c r="G17" s="122" t="str">
        <f>vlookup(A17,collexo_data!A:R,18,0)</f>
        <v>GS Foundation Course</v>
      </c>
      <c r="H17" s="122" t="str">
        <f t="shared" si="1"/>
        <v>abhyuday9990@gmail.com</v>
      </c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</row>
    <row r="18">
      <c r="C18" s="123">
        <f>MINIFS(collexo_data!B:B,collexo_data!A:A,A18)</f>
        <v>46088</v>
      </c>
      <c r="D18" s="120" t="str">
        <f>vlookup(A18,collexo_data!A:M,13,0)</f>
        <v>Lucknow</v>
      </c>
      <c r="E18" s="122" t="str">
        <f>vlookup(A18,collexo_data!A:O,15,0)</f>
        <v>Chandan</v>
      </c>
      <c r="F18" s="120">
        <f>vlookup(A18,collexo_data!A:S,19,0)</f>
        <v>9648810043</v>
      </c>
      <c r="G18" s="122" t="str">
        <f>vlookup(A18,collexo_data!A:R,18,0)</f>
        <v>GS Foundation Course</v>
      </c>
      <c r="H18" s="122" t="str">
        <f t="shared" si="1"/>
        <v>acmachandan24@gmail.com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</row>
    <row r="19">
      <c r="C19" s="123">
        <f>MINIFS(collexo_data!B:B,collexo_data!A:A,A19)</f>
        <v>46099</v>
      </c>
      <c r="D19" s="120" t="str">
        <f>vlookup(A19,collexo_data!A:M,13,0)</f>
        <v>Indore</v>
      </c>
      <c r="E19" s="122" t="str">
        <f>vlookup(A19,collexo_data!A:O,15,0)</f>
        <v>Ayush Sevetiya</v>
      </c>
      <c r="F19" s="120">
        <f>vlookup(A19,collexo_data!A:S,19,0)</f>
        <v>6265953332</v>
      </c>
      <c r="G19" s="122" t="str">
        <f>vlookup(A19,collexo_data!A:R,18,0)</f>
        <v>State PCS</v>
      </c>
      <c r="H19" s="122" t="str">
        <f t="shared" si="1"/>
        <v>addyaddy626595@gmail.com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</row>
    <row r="20">
      <c r="C20" s="123">
        <f>MINIFS(collexo_data!B:B,collexo_data!A:A,A20)</f>
        <v>46091</v>
      </c>
      <c r="D20" s="120" t="str">
        <f>vlookup(A20,collexo_data!A:M,13,0)</f>
        <v>New Delhi</v>
      </c>
      <c r="E20" s="122" t="str">
        <f>vlookup(A20,collexo_data!A:O,15,0)</f>
        <v>aditi gulia</v>
      </c>
      <c r="F20" s="120">
        <f>vlookup(A20,collexo_data!A:S,19,0)</f>
        <v>7827664144</v>
      </c>
      <c r="G20" s="122" t="str">
        <f>vlookup(A20,collexo_data!A:R,18,0)</f>
        <v>GS Foundation Course</v>
      </c>
      <c r="H20" s="122" t="str">
        <f t="shared" si="1"/>
        <v>aditigulia9@gmail.com</v>
      </c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</row>
    <row r="21">
      <c r="C21" s="123">
        <f>MINIFS(collexo_data!B:B,collexo_data!A:A,A21)</f>
        <v>46055</v>
      </c>
      <c r="D21" s="120" t="str">
        <f>vlookup(A21,collexo_data!A:M,13,0)</f>
        <v>Lucknow</v>
      </c>
      <c r="E21" s="122" t="str">
        <f>vlookup(A21,collexo_data!A:O,15,0)</f>
        <v>Aditi</v>
      </c>
      <c r="F21" s="120">
        <f>vlookup(A21,collexo_data!A:S,19,0)</f>
        <v>9369709052</v>
      </c>
      <c r="G21" s="122" t="str">
        <f>vlookup(A21,collexo_data!A:R,18,0)</f>
        <v>GS Foundation Course</v>
      </c>
      <c r="H21" s="122" t="str">
        <f t="shared" si="1"/>
        <v>aditipatel45678@gmail.com</v>
      </c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</row>
    <row r="22">
      <c r="C22" s="123">
        <f>MINIFS(collexo_data!B:B,collexo_data!A:A,A22)</f>
        <v>46091</v>
      </c>
      <c r="D22" s="120" t="str">
        <f>vlookup(A22,collexo_data!A:M,13,0)</f>
        <v>Lucknow</v>
      </c>
      <c r="E22" s="122" t="str">
        <f>vlookup(A22,collexo_data!A:O,15,0)</f>
        <v>Aditi Srivas</v>
      </c>
      <c r="F22" s="120">
        <f>vlookup(A22,collexo_data!A:S,19,0)</f>
        <v>7307905986</v>
      </c>
      <c r="G22" s="122" t="str">
        <f>vlookup(A22,collexo_data!A:R,18,0)</f>
        <v>GS Foundation Course</v>
      </c>
      <c r="H22" s="122" t="str">
        <f t="shared" si="1"/>
        <v>aditisrivas14@gmail.com</v>
      </c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</row>
    <row r="23">
      <c r="C23" s="123">
        <f>MINIFS(collexo_data!B:B,collexo_data!A:A,A23)</f>
        <v>46094</v>
      </c>
      <c r="D23" s="120" t="str">
        <f>vlookup(A23,collexo_data!A:M,13,0)</f>
        <v>New Delhi</v>
      </c>
      <c r="E23" s="122" t="str">
        <f>vlookup(A23,collexo_data!A:O,15,0)</f>
        <v>Aditya</v>
      </c>
      <c r="F23" s="120">
        <f>vlookup(A23,collexo_data!A:S,19,0)</f>
        <v>7568052526</v>
      </c>
      <c r="G23" s="122" t="str">
        <f>vlookup(A23,collexo_data!A:R,18,0)</f>
        <v>GS Foundation Course</v>
      </c>
      <c r="H23" s="122" t="str">
        <f t="shared" si="1"/>
        <v>aditya2008du@gmail.com</v>
      </c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</row>
    <row r="24">
      <c r="C24" s="123">
        <f>MINIFS(collexo_data!B:B,collexo_data!A:A,A24)</f>
        <v>46108</v>
      </c>
      <c r="D24" s="120" t="str">
        <f>vlookup(A24,collexo_data!A:M,13,0)</f>
        <v>Patna</v>
      </c>
      <c r="E24" s="122" t="str">
        <f>vlookup(A24,collexo_data!A:O,15,0)</f>
        <v>Anjali kumari</v>
      </c>
      <c r="F24" s="120">
        <f>vlookup(A24,collexo_data!A:S,19,0)</f>
        <v>9220585925</v>
      </c>
      <c r="G24" s="122" t="str">
        <f>vlookup(A24,collexo_data!A:R,18,0)</f>
        <v>State PCS</v>
      </c>
      <c r="H24" s="122" t="str">
        <f t="shared" si="1"/>
        <v>adityakr1901@gmail.com</v>
      </c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</row>
    <row r="25">
      <c r="C25" s="123">
        <f>MINIFS(collexo_data!B:B,collexo_data!A:A,A25)</f>
        <v>46097</v>
      </c>
      <c r="D25" s="120" t="str">
        <f>vlookup(A25,collexo_data!A:M,13,0)</f>
        <v>Prayagraj</v>
      </c>
      <c r="E25" s="122" t="str">
        <f>vlookup(A25,collexo_data!A:O,15,0)</f>
        <v>Aditya Modanwal</v>
      </c>
      <c r="F25" s="120">
        <f>vlookup(A25,collexo_data!A:S,19,0)</f>
        <v>7607572412</v>
      </c>
      <c r="G25" s="122" t="str">
        <f>vlookup(A25,collexo_data!A:R,18,0)</f>
        <v>State PCS</v>
      </c>
      <c r="H25" s="122" t="str">
        <f t="shared" si="1"/>
        <v>adityamodanwal56@gmail.com</v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</row>
    <row r="26">
      <c r="C26" s="123">
        <f>MINIFS(collexo_data!B:B,collexo_data!A:A,A26)</f>
        <v>46081</v>
      </c>
      <c r="D26" s="120" t="str">
        <f>vlookup(A26,collexo_data!A:M,13,0)</f>
        <v>Prayagraj</v>
      </c>
      <c r="E26" s="122" t="str">
        <f>vlookup(A26,collexo_data!A:O,15,0)</f>
        <v>Gautam Singh</v>
      </c>
      <c r="F26" s="120">
        <f>vlookup(A26,collexo_data!A:S,19,0)</f>
        <v>9651624387</v>
      </c>
      <c r="G26" s="122" t="str">
        <f>vlookup(A26,collexo_data!A:R,18,0)</f>
        <v>GS Foundation Course</v>
      </c>
      <c r="H26" s="122" t="str">
        <f t="shared" si="1"/>
        <v>advgautamsingh1kbc@gmail.com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</row>
    <row r="27">
      <c r="C27" s="123">
        <f>MINIFS(collexo_data!B:B,collexo_data!A:A,A27)</f>
        <v>46109</v>
      </c>
      <c r="D27" s="120" t="str">
        <f>vlookup(A27,collexo_data!A:M,13,0)</f>
        <v>Lucknow</v>
      </c>
      <c r="E27" s="122" t="str">
        <f>vlookup(A27,collexo_data!A:O,15,0)</f>
        <v>Ishita</v>
      </c>
      <c r="F27" s="120">
        <f>vlookup(A27,collexo_data!A:S,19,0)</f>
        <v>7355776120</v>
      </c>
      <c r="G27" s="122" t="str">
        <f>vlookup(A27,collexo_data!A:R,18,0)</f>
        <v>GS Foundation Course</v>
      </c>
      <c r="H27" s="122" t="str">
        <f t="shared" si="1"/>
        <v>adwikashukla16@gmail.com</v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</row>
    <row r="28">
      <c r="C28" s="123">
        <f>MINIFS(collexo_data!B:B,collexo_data!A:A,A28)</f>
        <v>46041</v>
      </c>
      <c r="D28" s="120" t="str">
        <f>vlookup(A28,collexo_data!A:M,13,0)</f>
        <v>New Delhi</v>
      </c>
      <c r="E28" s="122" t="str">
        <f>vlookup(A28,collexo_data!A:O,15,0)</f>
        <v>Afzal siddiqi</v>
      </c>
      <c r="F28" s="120" t="str">
        <f>vlookup(A28,collexo_data!A:S,19,0)</f>
        <v>Not Available</v>
      </c>
      <c r="G28" s="122" t="str">
        <f>vlookup(A28,collexo_data!A:R,18,0)</f>
        <v>Not Available</v>
      </c>
      <c r="H28" s="122" t="str">
        <f t="shared" si="1"/>
        <v>Afzalsiddiqui227@gmail.com</v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</row>
    <row r="29">
      <c r="C29" s="123">
        <f>MINIFS(collexo_data!B:B,collexo_data!A:A,A29)</f>
        <v>46079</v>
      </c>
      <c r="D29" s="120" t="str">
        <f>vlookup(A29,collexo_data!A:M,13,0)</f>
        <v>Prayagraj</v>
      </c>
      <c r="E29" s="122" t="str">
        <f>vlookup(A29,collexo_data!A:O,15,0)</f>
        <v>Shreyansh Agrahari</v>
      </c>
      <c r="F29" s="120">
        <f>vlookup(A29,collexo_data!A:S,19,0)</f>
        <v>9125646548</v>
      </c>
      <c r="G29" s="122" t="str">
        <f>vlookup(A29,collexo_data!A:R,18,0)</f>
        <v>Mentorship - Samadhan</v>
      </c>
      <c r="H29" s="122" t="str">
        <f t="shared" si="1"/>
        <v>agraharishriyansh05@gmail.com</v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</row>
    <row r="30">
      <c r="C30" s="123">
        <f>MINIFS(collexo_data!B:B,collexo_data!A:A,A30)</f>
        <v>46072</v>
      </c>
      <c r="D30" s="120" t="str">
        <f>vlookup(A30,collexo_data!A:M,13,0)</f>
        <v>New Delhi</v>
      </c>
      <c r="E30" s="122" t="str">
        <f>vlookup(A30,collexo_data!A:O,15,0)</f>
        <v>Akash vaidwan</v>
      </c>
      <c r="F30" s="120">
        <f>vlookup(A30,collexo_data!A:S,19,0)</f>
        <v>9528831545</v>
      </c>
      <c r="G30" s="122" t="str">
        <f>vlookup(A30,collexo_data!A:R,18,0)</f>
        <v>GS Foundation Course</v>
      </c>
      <c r="H30" s="122" t="str">
        <f t="shared" si="1"/>
        <v>akashvaidwan123@gmail.com</v>
      </c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</row>
    <row r="31">
      <c r="C31" s="123">
        <f>MINIFS(collexo_data!B:B,collexo_data!A:A,A31)</f>
        <v>46049</v>
      </c>
      <c r="D31" s="120" t="str">
        <f>vlookup(A31,collexo_data!A:M,13,0)</f>
        <v>New Delhi</v>
      </c>
      <c r="E31" s="122" t="str">
        <f>vlookup(A31,collexo_data!A:O,15,0)</f>
        <v>Akshara AP</v>
      </c>
      <c r="F31" s="120">
        <f>vlookup(A31,collexo_data!A:S,19,0)</f>
        <v>8590366617</v>
      </c>
      <c r="G31" s="122" t="str">
        <f>vlookup(A31,collexo_data!A:R,18,0)</f>
        <v>GS Foundation Course</v>
      </c>
      <c r="H31" s="122" t="str">
        <f t="shared" si="1"/>
        <v>aksharaap0906@gmail.com</v>
      </c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</row>
    <row r="32">
      <c r="C32" s="123">
        <f>MINIFS(collexo_data!B:B,collexo_data!A:A,A32)</f>
        <v>46106</v>
      </c>
      <c r="D32" s="120" t="str">
        <f>vlookup(A32,collexo_data!A:M,13,0)</f>
        <v>Prayagraj</v>
      </c>
      <c r="E32" s="122" t="str">
        <f>vlookup(A32,collexo_data!A:O,15,0)</f>
        <v>Alifa rahman</v>
      </c>
      <c r="F32" s="120">
        <f>vlookup(A32,collexo_data!A:S,19,0)</f>
        <v>6393487536</v>
      </c>
      <c r="G32" s="122" t="str">
        <f>vlookup(A32,collexo_data!A:R,18,0)</f>
        <v>GS Foundation Course</v>
      </c>
      <c r="H32" s="122" t="str">
        <f t="shared" si="1"/>
        <v>alifarahman@gmail.com</v>
      </c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</row>
    <row r="33">
      <c r="C33" s="123">
        <f>MINIFS(collexo_data!B:B,collexo_data!A:A,A33)</f>
        <v>46106</v>
      </c>
      <c r="D33" s="120" t="str">
        <f>vlookup(A33,collexo_data!A:M,13,0)</f>
        <v>Prayagraj</v>
      </c>
      <c r="E33" s="122" t="str">
        <f>vlookup(A33,collexo_data!A:O,15,0)</f>
        <v>Alisha</v>
      </c>
      <c r="F33" s="120">
        <f>vlookup(A33,collexo_data!A:S,19,0)</f>
        <v>9260914814</v>
      </c>
      <c r="G33" s="122" t="str">
        <f>vlookup(A33,collexo_data!A:R,18,0)</f>
        <v>GS Foundation Course</v>
      </c>
      <c r="H33" s="122" t="str">
        <f t="shared" si="1"/>
        <v>alishaahmad1814@gmal.com</v>
      </c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</row>
    <row r="34">
      <c r="C34" s="123">
        <f>MINIFS(collexo_data!B:B,collexo_data!A:A,A34)</f>
        <v>46098</v>
      </c>
      <c r="D34" s="120" t="str">
        <f>vlookup(A34,collexo_data!A:M,13,0)</f>
        <v>Lucknow</v>
      </c>
      <c r="E34" s="122" t="str">
        <f>vlookup(A34,collexo_data!A:O,15,0)</f>
        <v>Alok</v>
      </c>
      <c r="F34" s="120">
        <f>vlookup(A34,collexo_data!A:S,19,0)</f>
        <v>7991564058</v>
      </c>
      <c r="G34" s="122" t="str">
        <f>vlookup(A34,collexo_data!A:R,18,0)</f>
        <v>GS Foundation Course</v>
      </c>
      <c r="H34" s="122" t="str">
        <f t="shared" si="1"/>
        <v>alok27269@gmail.com</v>
      </c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</row>
    <row r="35">
      <c r="C35" s="123">
        <f>MINIFS(collexo_data!B:B,collexo_data!A:A,A35)</f>
        <v>46111</v>
      </c>
      <c r="D35" s="120" t="str">
        <f>vlookup(A35,collexo_data!A:M,13,0)</f>
        <v>Lucknow</v>
      </c>
      <c r="E35" s="122" t="str">
        <f>vlookup(A35,collexo_data!A:O,15,0)</f>
        <v>Alok Singh</v>
      </c>
      <c r="F35" s="120">
        <f>vlookup(A35,collexo_data!A:S,19,0)</f>
        <v>6386716448</v>
      </c>
      <c r="G35" s="122" t="str">
        <f>vlookup(A35,collexo_data!A:R,18,0)</f>
        <v>GS Foundation Course</v>
      </c>
      <c r="H35" s="122" t="str">
        <f t="shared" si="1"/>
        <v>alokpratap226@gmail.com</v>
      </c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</row>
    <row r="36">
      <c r="C36" s="123">
        <f>MINIFS(collexo_data!B:B,collexo_data!A:A,A36)</f>
        <v>46108</v>
      </c>
      <c r="D36" s="120" t="str">
        <f>vlookup(A36,collexo_data!A:M,13,0)</f>
        <v>Lucknow</v>
      </c>
      <c r="E36" s="122" t="str">
        <f>vlookup(A36,collexo_data!A:O,15,0)</f>
        <v>Aman</v>
      </c>
      <c r="F36" s="120">
        <f>vlookup(A36,collexo_data!A:S,19,0)</f>
        <v>8726997266</v>
      </c>
      <c r="G36" s="122" t="str">
        <f>vlookup(A36,collexo_data!A:R,18,0)</f>
        <v>GS Foundation Course</v>
      </c>
      <c r="H36" s="122" t="str">
        <f t="shared" si="1"/>
        <v>aman0800003@gmail.com</v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</row>
    <row r="37">
      <c r="C37" s="123">
        <f>MINIFS(collexo_data!B:B,collexo_data!A:A,A37)</f>
        <v>46093</v>
      </c>
      <c r="D37" s="120" t="str">
        <f>vlookup(A37,collexo_data!A:M,13,0)</f>
        <v>New Delhi</v>
      </c>
      <c r="E37" s="122" t="str">
        <f>vlookup(A37,collexo_data!A:O,15,0)</f>
        <v>Aman</v>
      </c>
      <c r="F37" s="120">
        <f>vlookup(A37,collexo_data!A:S,19,0)</f>
        <v>8006166067</v>
      </c>
      <c r="G37" s="122" t="str">
        <f>vlookup(A37,collexo_data!A:R,18,0)</f>
        <v>GS Foundation Course</v>
      </c>
      <c r="H37" s="122" t="str">
        <f t="shared" si="1"/>
        <v>amanlibro983@gmail.com</v>
      </c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</row>
    <row r="38">
      <c r="C38" s="123">
        <f>MINIFS(collexo_data!B:B,collexo_data!A:A,A38)</f>
        <v>46087</v>
      </c>
      <c r="D38" s="120" t="str">
        <f>vlookup(A38,collexo_data!A:M,13,0)</f>
        <v>Indore</v>
      </c>
      <c r="E38" s="122" t="str">
        <f>vlookup(A38,collexo_data!A:O,15,0)</f>
        <v>Aman sunartiya</v>
      </c>
      <c r="F38" s="120">
        <f>vlookup(A38,collexo_data!A:S,19,0)</f>
        <v>8602962929</v>
      </c>
      <c r="G38" s="122" t="str">
        <f>vlookup(A38,collexo_data!A:R,18,0)</f>
        <v>State PCS</v>
      </c>
      <c r="H38" s="122" t="str">
        <f t="shared" si="1"/>
        <v>amansunartiya09@gmail.com</v>
      </c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</row>
    <row r="39">
      <c r="C39" s="123">
        <f>MINIFS(collexo_data!B:B,collexo_data!A:A,A39)</f>
        <v>46092</v>
      </c>
      <c r="D39" s="120" t="str">
        <f>vlookup(A39,collexo_data!A:M,13,0)</f>
        <v>New Delhi</v>
      </c>
      <c r="E39" s="122" t="str">
        <f>vlookup(A39,collexo_data!A:O,15,0)</f>
        <v>Amisha choudhary</v>
      </c>
      <c r="F39" s="120">
        <f>vlookup(A39,collexo_data!A:S,19,0)</f>
        <v>9508331167</v>
      </c>
      <c r="G39" s="122" t="str">
        <f>vlookup(A39,collexo_data!A:R,18,0)</f>
        <v>GS Foundation Course</v>
      </c>
      <c r="H39" s="122" t="str">
        <f t="shared" si="1"/>
        <v>amishachoudhary956@gmail.com</v>
      </c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</row>
    <row r="40">
      <c r="C40" s="123">
        <f>MINIFS(collexo_data!B:B,collexo_data!A:A,A40)</f>
        <v>46098</v>
      </c>
      <c r="D40" s="120" t="str">
        <f>vlookup(A40,collexo_data!A:M,13,0)</f>
        <v>Lucknow</v>
      </c>
      <c r="E40" s="122" t="str">
        <f>vlookup(A40,collexo_data!A:O,15,0)</f>
        <v>Amit</v>
      </c>
      <c r="F40" s="120">
        <f>vlookup(A40,collexo_data!A:S,19,0)</f>
        <v>9348009702</v>
      </c>
      <c r="G40" s="122" t="str">
        <f>vlookup(A40,collexo_data!A:R,18,0)</f>
        <v>GS Foundation Course</v>
      </c>
      <c r="H40" s="122" t="str">
        <f t="shared" si="1"/>
        <v>amitchakraborty2801@gmail.com</v>
      </c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</row>
    <row r="41">
      <c r="C41" s="123">
        <f>MINIFS(collexo_data!B:B,collexo_data!A:A,A41)</f>
        <v>46076</v>
      </c>
      <c r="D41" s="120" t="str">
        <f>vlookup(A41,collexo_data!A:M,13,0)</f>
        <v>Indore</v>
      </c>
      <c r="E41" s="122" t="str">
        <f>vlookup(A41,collexo_data!A:O,15,0)</f>
        <v>Anand pratap singh</v>
      </c>
      <c r="F41" s="120">
        <f>vlookup(A41,collexo_data!A:S,19,0)</f>
        <v>7389351178</v>
      </c>
      <c r="G41" s="122" t="str">
        <f>vlookup(A41,collexo_data!A:R,18,0)</f>
        <v>GS Foundation Course</v>
      </c>
      <c r="H41" s="122" t="str">
        <f t="shared" si="1"/>
        <v>anandsinghhpking@gmail.com</v>
      </c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</row>
    <row r="42">
      <c r="C42" s="123">
        <f>MINIFS(collexo_data!B:B,collexo_data!A:A,A42)</f>
        <v>46079</v>
      </c>
      <c r="D42" s="120" t="str">
        <f>vlookup(A42,collexo_data!A:M,13,0)</f>
        <v>New Delhi</v>
      </c>
      <c r="E42" s="122" t="str">
        <f>vlookup(A42,collexo_data!A:O,15,0)</f>
        <v>Anannya</v>
      </c>
      <c r="F42" s="120">
        <f>vlookup(A42,collexo_data!A:S,19,0)</f>
        <v>9957591623</v>
      </c>
      <c r="G42" s="122" t="str">
        <f>vlookup(A42,collexo_data!A:R,18,0)</f>
        <v>GS Foundation Course</v>
      </c>
      <c r="H42" s="122" t="str">
        <f t="shared" si="1"/>
        <v>anannyahazarika396@gmail.com</v>
      </c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</row>
    <row r="43">
      <c r="C43" s="123">
        <f>MINIFS(collexo_data!B:B,collexo_data!A:A,A43)</f>
        <v>46090</v>
      </c>
      <c r="D43" s="120" t="str">
        <f>vlookup(A43,collexo_data!A:M,13,0)</f>
        <v>Lucknow</v>
      </c>
      <c r="E43" s="122" t="str">
        <f>vlookup(A43,collexo_data!A:O,15,0)</f>
        <v>ANJALI YADAV</v>
      </c>
      <c r="F43" s="120">
        <f>vlookup(A43,collexo_data!A:S,19,0)</f>
        <v>9354616316</v>
      </c>
      <c r="G43" s="122" t="str">
        <f>vlookup(A43,collexo_data!A:R,18,0)</f>
        <v>GS Foundation Course</v>
      </c>
      <c r="H43" s="122" t="str">
        <f t="shared" si="1"/>
        <v>anjjali28@gmail.com</v>
      </c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</row>
    <row r="44">
      <c r="C44" s="123">
        <f>MINIFS(collexo_data!B:B,collexo_data!A:A,A44)</f>
        <v>46081</v>
      </c>
      <c r="D44" s="120" t="str">
        <f>vlookup(A44,collexo_data!A:M,13,0)</f>
        <v>Prayagraj</v>
      </c>
      <c r="E44" s="122" t="str">
        <f>vlookup(A44,collexo_data!A:O,15,0)</f>
        <v>Ankita Singh</v>
      </c>
      <c r="F44" s="120">
        <f>vlookup(A44,collexo_data!A:S,19,0)</f>
        <v>9670079789</v>
      </c>
      <c r="G44" s="122" t="str">
        <f>vlookup(A44,collexo_data!A:R,18,0)</f>
        <v>GS Foundation Course</v>
      </c>
      <c r="H44" s="122" t="str">
        <f t="shared" si="1"/>
        <v>ankitasingh21102003@gmail.com</v>
      </c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</row>
    <row r="45">
      <c r="C45" s="123">
        <f>MINIFS(collexo_data!B:B,collexo_data!A:A,A45)</f>
        <v>46061</v>
      </c>
      <c r="D45" s="120" t="str">
        <f>vlookup(A45,collexo_data!A:M,13,0)</f>
        <v>New Delhi</v>
      </c>
      <c r="E45" s="122" t="str">
        <f>vlookup(A45,collexo_data!A:O,15,0)</f>
        <v>Ankit Bhagat</v>
      </c>
      <c r="F45" s="120">
        <f>vlookup(A45,collexo_data!A:S,19,0)</f>
        <v>8826668218</v>
      </c>
      <c r="G45" s="122" t="str">
        <f>vlookup(A45,collexo_data!A:R,18,0)</f>
        <v>GS Foundation Course</v>
      </c>
      <c r="H45" s="122" t="str">
        <f t="shared" si="1"/>
        <v>ankitbhagat024@gmail.com</v>
      </c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</row>
    <row r="46">
      <c r="C46" s="123">
        <f>MINIFS(collexo_data!B:B,collexo_data!A:A,A46)</f>
        <v>46099</v>
      </c>
      <c r="D46" s="120" t="str">
        <f>vlookup(A46,collexo_data!A:M,13,0)</f>
        <v>Prayagraj</v>
      </c>
      <c r="E46" s="122" t="str">
        <f>vlookup(A46,collexo_data!A:O,15,0)</f>
        <v>Ankit pandey</v>
      </c>
      <c r="F46" s="120">
        <f>vlookup(A46,collexo_data!A:S,19,0)</f>
        <v>8948404296</v>
      </c>
      <c r="G46" s="122" t="str">
        <f>vlookup(A46,collexo_data!A:R,18,0)</f>
        <v>Mentorship - Samadhan</v>
      </c>
      <c r="H46" s="122" t="str">
        <f t="shared" si="1"/>
        <v>ankitpandeysln2018@gmail.com</v>
      </c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</row>
    <row r="47">
      <c r="C47" s="123">
        <f>MINIFS(collexo_data!B:B,collexo_data!A:A,A47)</f>
        <v>46096</v>
      </c>
      <c r="D47" s="120" t="str">
        <f>vlookup(A47,collexo_data!A:M,13,0)</f>
        <v>Lucknow</v>
      </c>
      <c r="E47" s="122" t="str">
        <f>vlookup(A47,collexo_data!A:O,15,0)</f>
        <v>Anshika</v>
      </c>
      <c r="F47" s="120">
        <f>vlookup(A47,collexo_data!A:S,19,0)</f>
        <v>7310403419</v>
      </c>
      <c r="G47" s="122" t="str">
        <f>vlookup(A47,collexo_data!A:R,18,0)</f>
        <v>GS Foundation Course</v>
      </c>
      <c r="H47" s="122" t="str">
        <f t="shared" si="1"/>
        <v>anshikam224149@gmail.com</v>
      </c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</row>
    <row r="48">
      <c r="C48" s="123">
        <f>MINIFS(collexo_data!B:B,collexo_data!A:A,A48)</f>
        <v>46075</v>
      </c>
      <c r="D48" s="120" t="str">
        <f>vlookup(A48,collexo_data!A:M,13,0)</f>
        <v>Prayagraj</v>
      </c>
      <c r="E48" s="122" t="str">
        <f>vlookup(A48,collexo_data!A:O,15,0)</f>
        <v>Anshu</v>
      </c>
      <c r="F48" s="120">
        <f>vlookup(A48,collexo_data!A:S,19,0)</f>
        <v>6386802316</v>
      </c>
      <c r="G48" s="122" t="str">
        <f>vlookup(A48,collexo_data!A:R,18,0)</f>
        <v>GS Foundation Course</v>
      </c>
      <c r="H48" s="122" t="str">
        <f t="shared" si="1"/>
        <v>anshukuntal41@gmail.com</v>
      </c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</row>
    <row r="49">
      <c r="C49" s="123">
        <f>MINIFS(collexo_data!B:B,collexo_data!A:A,A49)</f>
        <v>46102</v>
      </c>
      <c r="D49" s="120" t="str">
        <f>vlookup(A49,collexo_data!A:M,13,0)</f>
        <v>Patna</v>
      </c>
      <c r="E49" s="122" t="str">
        <f>vlookup(A49,collexo_data!A:O,15,0)</f>
        <v>Anushka Raj</v>
      </c>
      <c r="F49" s="120">
        <f>vlookup(A49,collexo_data!A:S,19,0)</f>
        <v>9798773313</v>
      </c>
      <c r="G49" s="122" t="str">
        <f>vlookup(A49,collexo_data!A:R,18,0)</f>
        <v>State PCS</v>
      </c>
      <c r="H49" s="122" t="str">
        <f t="shared" si="1"/>
        <v>anugoyal2910@gmail.com</v>
      </c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</row>
    <row r="50">
      <c r="C50" s="123">
        <f>MINIFS(collexo_data!B:B,collexo_data!A:A,A50)</f>
        <v>46101</v>
      </c>
      <c r="D50" s="120" t="str">
        <f>vlookup(A50,collexo_data!A:M,13,0)</f>
        <v>Lucknow</v>
      </c>
      <c r="E50" s="122" t="str">
        <f>vlookup(A50,collexo_data!A:O,15,0)</f>
        <v>Anuj Kumar</v>
      </c>
      <c r="F50" s="120">
        <f>vlookup(A50,collexo_data!A:S,19,0)</f>
        <v>8127351647</v>
      </c>
      <c r="G50" s="122" t="str">
        <f>vlookup(A50,collexo_data!A:R,18,0)</f>
        <v>GS Foundation Course</v>
      </c>
      <c r="H50" s="122" t="str">
        <f t="shared" si="1"/>
        <v>anujbiswan03@gmail.com</v>
      </c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</row>
    <row r="51">
      <c r="C51" s="123">
        <f>MINIFS(collexo_data!B:B,collexo_data!A:A,A51)</f>
        <v>46055</v>
      </c>
      <c r="D51" s="120" t="str">
        <f>vlookup(A51,collexo_data!A:M,13,0)</f>
        <v>New Delhi</v>
      </c>
      <c r="E51" s="122" t="str">
        <f>vlookup(A51,collexo_data!A:O,15,0)</f>
        <v>Anuraj singh</v>
      </c>
      <c r="F51" s="120">
        <f>vlookup(A51,collexo_data!A:S,19,0)</f>
        <v>9520111541</v>
      </c>
      <c r="G51" s="122" t="str">
        <f>vlookup(A51,collexo_data!A:R,18,0)</f>
        <v>GS Foundation Course</v>
      </c>
      <c r="H51" s="122" t="str">
        <f t="shared" si="1"/>
        <v>anurajsingh.0376@gmail.com</v>
      </c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</row>
    <row r="52">
      <c r="C52" s="123">
        <f>MINIFS(collexo_data!B:B,collexo_data!A:A,A52)</f>
        <v>46069</v>
      </c>
      <c r="D52" s="120" t="str">
        <f>vlookup(A52,collexo_data!A:M,13,0)</f>
        <v>Indore</v>
      </c>
      <c r="E52" s="122" t="str">
        <f>vlookup(A52,collexo_data!A:O,15,0)</f>
        <v>Anushka Bankar</v>
      </c>
      <c r="F52" s="120">
        <f>vlookup(A52,collexo_data!A:S,19,0)</f>
        <v>9607392999</v>
      </c>
      <c r="G52" s="122" t="str">
        <f>vlookup(A52,collexo_data!A:R,18,0)</f>
        <v>GS Foundation Course</v>
      </c>
      <c r="H52" s="122" t="str">
        <f t="shared" si="1"/>
        <v>anushkabankar529@gmail.com</v>
      </c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</row>
    <row r="53">
      <c r="C53" s="123">
        <f>MINIFS(collexo_data!B:B,collexo_data!A:A,A53)</f>
        <v>46099</v>
      </c>
      <c r="D53" s="120" t="str">
        <f>vlookup(A53,collexo_data!A:M,13,0)</f>
        <v>Prayagraj</v>
      </c>
      <c r="E53" s="122" t="str">
        <f>vlookup(A53,collexo_data!A:O,15,0)</f>
        <v>Anushka</v>
      </c>
      <c r="F53" s="120">
        <f>vlookup(A53,collexo_data!A:S,19,0)</f>
        <v>7004606717</v>
      </c>
      <c r="G53" s="122" t="str">
        <f>vlookup(A53,collexo_data!A:R,18,0)</f>
        <v>GS Foundation Course</v>
      </c>
      <c r="H53" s="122" t="str">
        <f t="shared" si="1"/>
        <v>anushkachoubey56@gmail.com</v>
      </c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</row>
    <row r="54">
      <c r="C54" s="123">
        <f>MINIFS(collexo_data!B:B,collexo_data!A:A,A54)</f>
        <v>46072</v>
      </c>
      <c r="D54" s="120" t="str">
        <f>vlookup(A54,collexo_data!A:M,13,0)</f>
        <v>New Delhi</v>
      </c>
      <c r="E54" s="122" t="str">
        <f>vlookup(A54,collexo_data!A:O,15,0)</f>
        <v>Anushka</v>
      </c>
      <c r="F54" s="120">
        <f>vlookup(A54,collexo_data!A:S,19,0)</f>
        <v>6394479541</v>
      </c>
      <c r="G54" s="122" t="str">
        <f>vlookup(A54,collexo_data!A:R,18,0)</f>
        <v>GS Foundation Course</v>
      </c>
      <c r="H54" s="122" t="str">
        <f t="shared" si="1"/>
        <v>anuskaa0220@gmail.com</v>
      </c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</row>
    <row r="55">
      <c r="C55" s="123">
        <f>MINIFS(collexo_data!B:B,collexo_data!A:A,A55)</f>
        <v>46055</v>
      </c>
      <c r="D55" s="120" t="str">
        <f>vlookup(A55,collexo_data!A:M,13,0)</f>
        <v>New Delhi</v>
      </c>
      <c r="E55" s="122" t="str">
        <f>vlookup(A55,collexo_data!A:O,15,0)</f>
        <v>Apoorva Yadav</v>
      </c>
      <c r="F55" s="120">
        <f>vlookup(A55,collexo_data!A:S,19,0)</f>
        <v>9259496903</v>
      </c>
      <c r="G55" s="122" t="str">
        <f>vlookup(A55,collexo_data!A:R,18,0)</f>
        <v>GS Foundation Course</v>
      </c>
      <c r="H55" s="122" t="str">
        <f t="shared" si="1"/>
        <v>apoorvaydv4959@gmail.com</v>
      </c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</row>
    <row r="56">
      <c r="C56" s="123">
        <f>MINIFS(collexo_data!B:B,collexo_data!A:A,A56)</f>
        <v>46095</v>
      </c>
      <c r="D56" s="120" t="str">
        <f>vlookup(A56,collexo_data!A:M,13,0)</f>
        <v>Indore</v>
      </c>
      <c r="E56" s="122" t="str">
        <f>vlookup(A56,collexo_data!A:O,15,0)</f>
        <v>Aqsha Qureshi</v>
      </c>
      <c r="F56" s="120">
        <f>vlookup(A56,collexo_data!A:S,19,0)</f>
        <v>9009263135</v>
      </c>
      <c r="G56" s="122" t="str">
        <f>vlookup(A56,collexo_data!A:R,18,0)</f>
        <v>GS Foundation Course</v>
      </c>
      <c r="H56" s="122" t="str">
        <f t="shared" si="1"/>
        <v>aqsaq9805@gmail.com</v>
      </c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</row>
    <row r="57">
      <c r="C57" s="123">
        <f>MINIFS(collexo_data!B:B,collexo_data!A:A,A57)</f>
        <v>46097</v>
      </c>
      <c r="D57" s="120" t="str">
        <f>vlookup(A57,collexo_data!A:M,13,0)</f>
        <v>Lucknow</v>
      </c>
      <c r="E57" s="122" t="str">
        <f>vlookup(A57,collexo_data!A:O,15,0)</f>
        <v>Aradhya Agarwal</v>
      </c>
      <c r="F57" s="120">
        <f>vlookup(A57,collexo_data!A:S,19,0)</f>
        <v>8318484017</v>
      </c>
      <c r="G57" s="122" t="str">
        <f>vlookup(A57,collexo_data!A:R,18,0)</f>
        <v>GS Foundation Course</v>
      </c>
      <c r="H57" s="122" t="str">
        <f t="shared" si="1"/>
        <v>aradhyaagrawal79872@gmail.com</v>
      </c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</row>
    <row r="58">
      <c r="C58" s="123">
        <f>MINIFS(collexo_data!B:B,collexo_data!A:A,A58)</f>
        <v>46091</v>
      </c>
      <c r="D58" s="120" t="str">
        <f>vlookup(A58,collexo_data!A:M,13,0)</f>
        <v>Prayagraj</v>
      </c>
      <c r="E58" s="122" t="str">
        <f>vlookup(A58,collexo_data!A:O,15,0)</f>
        <v>Archana Yadav</v>
      </c>
      <c r="F58" s="120">
        <f>vlookup(A58,collexo_data!A:S,19,0)</f>
        <v>9170368955</v>
      </c>
      <c r="G58" s="122" t="str">
        <f>vlookup(A58,collexo_data!A:R,18,0)</f>
        <v>State PCS</v>
      </c>
      <c r="H58" s="122" t="str">
        <f t="shared" si="1"/>
        <v>archananishi8955@gmail.com</v>
      </c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</row>
    <row r="59">
      <c r="C59" s="123">
        <f>MINIFS(collexo_data!B:B,collexo_data!A:A,A59)</f>
        <v>46106</v>
      </c>
      <c r="D59" s="120" t="str">
        <f>vlookup(A59,collexo_data!A:M,13,0)</f>
        <v>New Delhi</v>
      </c>
      <c r="E59" s="122" t="str">
        <f>vlookup(A59,collexo_data!A:O,15,0)</f>
        <v>Arman kujur</v>
      </c>
      <c r="F59" s="120">
        <f>vlookup(A59,collexo_data!A:S,19,0)</f>
        <v>8653960948</v>
      </c>
      <c r="G59" s="122" t="str">
        <f>vlookup(A59,collexo_data!A:R,18,0)</f>
        <v>GS Foundation Course</v>
      </c>
      <c r="H59" s="122" t="str">
        <f t="shared" si="1"/>
        <v>armankujur987@gmail.com</v>
      </c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</row>
    <row r="60">
      <c r="C60" s="123">
        <f>MINIFS(collexo_data!B:B,collexo_data!A:A,A60)</f>
        <v>46052</v>
      </c>
      <c r="D60" s="120" t="str">
        <f>vlookup(A60,collexo_data!A:M,13,0)</f>
        <v>New Delhi</v>
      </c>
      <c r="E60" s="122" t="str">
        <f>vlookup(A60,collexo_data!A:O,15,0)</f>
        <v>Armita Singh</v>
      </c>
      <c r="F60" s="120">
        <f>vlookup(A60,collexo_data!A:S,19,0)</f>
        <v>7379140000</v>
      </c>
      <c r="G60" s="122" t="str">
        <f>vlookup(A60,collexo_data!A:R,18,0)</f>
        <v>GS Foundation Course</v>
      </c>
      <c r="H60" s="122" t="str">
        <f t="shared" si="1"/>
        <v>armita1207s@gmail.com</v>
      </c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</row>
    <row r="61">
      <c r="C61" s="123">
        <f>MINIFS(collexo_data!B:B,collexo_data!A:A,A61)</f>
        <v>46075</v>
      </c>
      <c r="D61" s="120" t="str">
        <f>vlookup(A61,collexo_data!A:M,13,0)</f>
        <v>New Delhi</v>
      </c>
      <c r="E61" s="122" t="str">
        <f>vlookup(A61,collexo_data!A:O,15,0)</f>
        <v>Aryan</v>
      </c>
      <c r="F61" s="120">
        <f>vlookup(A61,collexo_data!A:S,19,0)</f>
        <v>9310471410</v>
      </c>
      <c r="G61" s="122" t="str">
        <f>vlookup(A61,collexo_data!A:R,18,0)</f>
        <v>GS Foundation Course</v>
      </c>
      <c r="H61" s="122" t="str">
        <f t="shared" si="1"/>
        <v>aryanstark2005@gmail.com</v>
      </c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</row>
    <row r="62">
      <c r="C62" s="123">
        <f>MINIFS(collexo_data!B:B,collexo_data!A:A,A62)</f>
        <v>46041</v>
      </c>
      <c r="D62" s="120" t="str">
        <f>vlookup(A62,collexo_data!A:M,13,0)</f>
        <v>New Delhi</v>
      </c>
      <c r="E62" s="122" t="str">
        <f>vlookup(A62,collexo_data!A:O,15,0)</f>
        <v>Aryan Thapa</v>
      </c>
      <c r="F62" s="120" t="str">
        <f>vlookup(A62,collexo_data!A:S,19,0)</f>
        <v>Not Available</v>
      </c>
      <c r="G62" s="122" t="str">
        <f>vlookup(A62,collexo_data!A:R,18,0)</f>
        <v>Not Available</v>
      </c>
      <c r="H62" s="122" t="str">
        <f t="shared" si="1"/>
        <v>aryanthapa2909@gmail.com</v>
      </c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</row>
    <row r="63">
      <c r="C63" s="123">
        <f>MINIFS(collexo_data!B:B,collexo_data!A:A,A63)</f>
        <v>46071</v>
      </c>
      <c r="D63" s="120" t="str">
        <f>vlookup(A63,collexo_data!A:M,13,0)</f>
        <v>New Delhi</v>
      </c>
      <c r="E63" s="122" t="str">
        <f>vlookup(A63,collexo_data!A:O,15,0)</f>
        <v>Aryan</v>
      </c>
      <c r="F63" s="120">
        <f>vlookup(A63,collexo_data!A:S,19,0)</f>
        <v>9871932461</v>
      </c>
      <c r="G63" s="122" t="str">
        <f>vlookup(A63,collexo_data!A:R,18,0)</f>
        <v>GS Foundation Course</v>
      </c>
      <c r="H63" s="122" t="str">
        <f t="shared" si="1"/>
        <v>aryanvats927@gmail.com</v>
      </c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</row>
    <row r="64">
      <c r="C64" s="123">
        <f>MINIFS(collexo_data!B:B,collexo_data!A:A,A64)</f>
        <v>46082</v>
      </c>
      <c r="D64" s="120" t="str">
        <f>vlookup(A64,collexo_data!A:M,13,0)</f>
        <v>Prayagraj</v>
      </c>
      <c r="E64" s="122" t="str">
        <f>vlookup(A64,collexo_data!A:O,15,0)</f>
        <v>Ashwani Singh</v>
      </c>
      <c r="F64" s="120">
        <f>vlookup(A64,collexo_data!A:S,19,0)</f>
        <v>6386828884</v>
      </c>
      <c r="G64" s="122" t="str">
        <f>vlookup(A64,collexo_data!A:R,18,0)</f>
        <v>GS Foundation Course</v>
      </c>
      <c r="H64" s="122" t="str">
        <f t="shared" si="1"/>
        <v>ashwanig405@gmail.com</v>
      </c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</row>
    <row r="65">
      <c r="C65" s="123">
        <f>MINIFS(collexo_data!B:B,collexo_data!A:A,A65)</f>
        <v>46104</v>
      </c>
      <c r="D65" s="120" t="str">
        <f>vlookup(A65,collexo_data!A:M,13,0)</f>
        <v>Prayagraj</v>
      </c>
      <c r="E65" s="122" t="str">
        <f>vlookup(A65,collexo_data!A:O,15,0)</f>
        <v>Ashwani Kumar</v>
      </c>
      <c r="F65" s="120">
        <f>vlookup(A65,collexo_data!A:S,19,0)</f>
        <v>7007031214</v>
      </c>
      <c r="G65" s="122" t="str">
        <f>vlookup(A65,collexo_data!A:R,18,0)</f>
        <v>Mentorship - Samadhan</v>
      </c>
      <c r="H65" s="122" t="str">
        <f t="shared" si="1"/>
        <v>ashwaniks1234@gmail.com</v>
      </c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</row>
    <row r="66">
      <c r="C66" s="123">
        <f>MINIFS(collexo_data!B:B,collexo_data!A:A,A66)</f>
        <v>46074</v>
      </c>
      <c r="D66" s="120" t="str">
        <f>vlookup(A66,collexo_data!A:M,13,0)</f>
        <v>Lucknow</v>
      </c>
      <c r="E66" s="122" t="str">
        <f>vlookup(A66,collexo_data!A:O,15,0)</f>
        <v>Ashwani Singh</v>
      </c>
      <c r="F66" s="120">
        <f>vlookup(A66,collexo_data!A:S,19,0)</f>
        <v>9219932230</v>
      </c>
      <c r="G66" s="122" t="str">
        <f>vlookup(A66,collexo_data!A:R,18,0)</f>
        <v>GS Foundation Course</v>
      </c>
      <c r="H66" s="122" t="str">
        <f t="shared" si="1"/>
        <v>Avinashkumarsoniias@gmail.com</v>
      </c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</row>
    <row r="67">
      <c r="C67" s="123">
        <f>MINIFS(collexo_data!B:B,collexo_data!A:A,A67)</f>
        <v>46093</v>
      </c>
      <c r="D67" s="120" t="str">
        <f>vlookup(A67,collexo_data!A:M,13,0)</f>
        <v>New Delhi</v>
      </c>
      <c r="E67" s="122" t="str">
        <f>vlookup(A67,collexo_data!A:O,15,0)</f>
        <v>AVNESH YADAV</v>
      </c>
      <c r="F67" s="120">
        <f>vlookup(A67,collexo_data!A:S,19,0)</f>
        <v>9718737704</v>
      </c>
      <c r="G67" s="122" t="str">
        <f>vlookup(A67,collexo_data!A:R,18,0)</f>
        <v>GS Foundation Course</v>
      </c>
      <c r="H67" s="122" t="str">
        <f t="shared" si="1"/>
        <v>avnesh7471@gmail.com</v>
      </c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</row>
    <row r="68">
      <c r="C68" s="123">
        <f>MINIFS(collexo_data!B:B,collexo_data!A:A,A68)</f>
        <v>46073</v>
      </c>
      <c r="D68" s="120" t="str">
        <f>vlookup(A68,collexo_data!A:M,13,0)</f>
        <v>Prayagraj</v>
      </c>
      <c r="E68" s="122" t="str">
        <f>vlookup(A68,collexo_data!A:O,15,0)</f>
        <v>Angad YADAV</v>
      </c>
      <c r="F68" s="120">
        <f>vlookup(A68,collexo_data!A:S,19,0)</f>
        <v>6388609078</v>
      </c>
      <c r="G68" s="122" t="str">
        <f>vlookup(A68,collexo_data!A:R,18,0)</f>
        <v>Mentorship - Samadhan</v>
      </c>
      <c r="H68" s="122" t="str">
        <f t="shared" si="1"/>
        <v>AYANGADYADAV638@GMAIL.COM</v>
      </c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</row>
    <row r="69">
      <c r="C69" s="123">
        <f>MINIFS(collexo_data!B:B,collexo_data!A:A,A69)</f>
        <v>46108</v>
      </c>
      <c r="D69" s="120" t="str">
        <f>vlookup(A69,collexo_data!A:M,13,0)</f>
        <v>Indore</v>
      </c>
      <c r="E69" s="122" t="str">
        <f>vlookup(A69,collexo_data!A:O,15,0)</f>
        <v>Ayush kumar ahirwar</v>
      </c>
      <c r="F69" s="120">
        <f>vlookup(A69,collexo_data!A:S,19,0)</f>
        <v>6268467967</v>
      </c>
      <c r="G69" s="122" t="str">
        <f>vlookup(A69,collexo_data!A:R,18,0)</f>
        <v>State PCS</v>
      </c>
      <c r="H69" s="122" t="str">
        <f t="shared" si="1"/>
        <v>ayushkumarahirwar877@gmail.com</v>
      </c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</row>
    <row r="70">
      <c r="C70" s="123">
        <f>MINIFS(collexo_data!B:B,collexo_data!A:A,A70)</f>
        <v>46087</v>
      </c>
      <c r="D70" s="120" t="str">
        <f>vlookup(A70,collexo_data!A:M,13,0)</f>
        <v>Prayagraj</v>
      </c>
      <c r="E70" s="122" t="str">
        <f>vlookup(A70,collexo_data!A:O,15,0)</f>
        <v>Ayush</v>
      </c>
      <c r="F70" s="120">
        <f>vlookup(A70,collexo_data!A:S,19,0)</f>
        <v>7307323495</v>
      </c>
      <c r="G70" s="122" t="str">
        <f>vlookup(A70,collexo_data!A:R,18,0)</f>
        <v>GS Foundation Course</v>
      </c>
      <c r="H70" s="122" t="str">
        <f t="shared" si="1"/>
        <v>ayushprabhakar80@gmail.com</v>
      </c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</row>
    <row r="71">
      <c r="C71" s="123">
        <f>MINIFS(collexo_data!B:B,collexo_data!A:A,A71)</f>
        <v>46091</v>
      </c>
      <c r="D71" s="120" t="str">
        <f>vlookup(A71,collexo_data!A:M,13,0)</f>
        <v>Prayagraj</v>
      </c>
      <c r="E71" s="122" t="str">
        <f>vlookup(A71,collexo_data!A:O,15,0)</f>
        <v>Ayush Prakash</v>
      </c>
      <c r="F71" s="120">
        <f>vlookup(A71,collexo_data!A:S,19,0)</f>
        <v>9648560889</v>
      </c>
      <c r="G71" s="122" t="str">
        <f>vlookup(A71,collexo_data!A:R,18,0)</f>
        <v>State PCS</v>
      </c>
      <c r="H71" s="122" t="str">
        <f t="shared" si="1"/>
        <v>ayushsrivastava556@gmail.com</v>
      </c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</row>
    <row r="72">
      <c r="C72" s="123">
        <f>MINIFS(collexo_data!B:B,collexo_data!A:A,A72)</f>
        <v>46103</v>
      </c>
      <c r="D72" s="120" t="str">
        <f>vlookup(A72,collexo_data!A:M,13,0)</f>
        <v>New Delhi</v>
      </c>
      <c r="E72" s="122" t="str">
        <f>vlookup(A72,collexo_data!A:O,15,0)</f>
        <v>Ayush</v>
      </c>
      <c r="F72" s="120">
        <f>vlookup(A72,collexo_data!A:S,19,0)</f>
        <v>8839808159</v>
      </c>
      <c r="G72" s="122" t="str">
        <f>vlookup(A72,collexo_data!A:R,18,0)</f>
        <v>GS Foundation Course</v>
      </c>
      <c r="H72" s="122" t="str">
        <f t="shared" si="1"/>
        <v>ayushtripathi2024@gmail.com</v>
      </c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</row>
    <row r="73">
      <c r="C73" s="123">
        <f>MINIFS(collexo_data!B:B,collexo_data!A:A,A73)</f>
        <v>46081</v>
      </c>
      <c r="D73" s="120" t="str">
        <f>vlookup(A73,collexo_data!A:M,13,0)</f>
        <v>Prayagraj</v>
      </c>
      <c r="E73" s="122" t="str">
        <f>vlookup(A73,collexo_data!A:O,15,0)</f>
        <v>Badelal</v>
      </c>
      <c r="F73" s="120">
        <f>vlookup(A73,collexo_data!A:S,19,0)</f>
        <v>7880487271</v>
      </c>
      <c r="G73" s="122" t="str">
        <f>vlookup(A73,collexo_data!A:R,18,0)</f>
        <v>GS Foundation Course</v>
      </c>
      <c r="H73" s="122" t="str">
        <f t="shared" si="1"/>
        <v>Badelaltiwari003@gmail.com</v>
      </c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</row>
    <row r="74">
      <c r="C74" s="123">
        <f>MINIFS(collexo_data!B:B,collexo_data!A:A,A74)</f>
        <v>46066</v>
      </c>
      <c r="D74" s="120" t="str">
        <f>vlookup(A74,collexo_data!A:M,13,0)</f>
        <v>New Delhi</v>
      </c>
      <c r="E74" s="122" t="str">
        <f>vlookup(A74,collexo_data!A:O,15,0)</f>
        <v>Vansh</v>
      </c>
      <c r="F74" s="120">
        <f>vlookup(A74,collexo_data!A:S,19,0)</f>
        <v>9041700006</v>
      </c>
      <c r="G74" s="122" t="str">
        <f>vlookup(A74,collexo_data!A:R,18,0)</f>
        <v>GS Foundation Course</v>
      </c>
      <c r="H74" s="122" t="str">
        <f t="shared" si="1"/>
        <v>bajajbajaj2006@gmail.com</v>
      </c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</row>
    <row r="75">
      <c r="C75" s="123">
        <f>MINIFS(collexo_data!B:B,collexo_data!A:A,A75)</f>
        <v>46069</v>
      </c>
      <c r="D75" s="120" t="str">
        <f>vlookup(A75,collexo_data!A:M,13,0)</f>
        <v>Indore</v>
      </c>
      <c r="E75" s="122" t="str">
        <f>vlookup(A75,collexo_data!A:O,15,0)</f>
        <v>Aayush bhalse</v>
      </c>
      <c r="F75" s="120">
        <f>vlookup(A75,collexo_data!A:S,19,0)</f>
        <v>9617487982</v>
      </c>
      <c r="G75" s="122" t="str">
        <f>vlookup(A75,collexo_data!A:R,18,0)</f>
        <v>State PCS</v>
      </c>
      <c r="H75" s="122" t="str">
        <f t="shared" si="1"/>
        <v>bhalseayush777@gmail.com</v>
      </c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</row>
    <row r="76">
      <c r="C76" s="123">
        <f>MINIFS(collexo_data!B:B,collexo_data!A:A,A76)</f>
        <v>46102</v>
      </c>
      <c r="D76" s="120" t="str">
        <f>vlookup(A76,collexo_data!A:M,13,0)</f>
        <v>Indore</v>
      </c>
      <c r="E76" s="122" t="str">
        <f>vlookup(A76,collexo_data!A:O,15,0)</f>
        <v>Bharti Prajapati</v>
      </c>
      <c r="F76" s="120">
        <f>vlookup(A76,collexo_data!A:S,19,0)</f>
        <v>8349217934</v>
      </c>
      <c r="G76" s="122" t="str">
        <f>vlookup(A76,collexo_data!A:R,18,0)</f>
        <v>State PCS</v>
      </c>
      <c r="H76" s="122" t="str">
        <f t="shared" si="1"/>
        <v>bhartiprajapati4691@gmail.com</v>
      </c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</row>
    <row r="77">
      <c r="C77" s="123">
        <f>MINIFS(collexo_data!B:B,collexo_data!A:A,A77)</f>
        <v>46070</v>
      </c>
      <c r="D77" s="120" t="str">
        <f>vlookup(A77,collexo_data!A:M,13,0)</f>
        <v>New Delhi</v>
      </c>
      <c r="E77" s="122" t="str">
        <f>vlookup(A77,collexo_data!A:O,15,0)</f>
        <v>Abhinav bhatia</v>
      </c>
      <c r="F77" s="120">
        <f>vlookup(A77,collexo_data!A:S,19,0)</f>
        <v>8595966649</v>
      </c>
      <c r="G77" s="122" t="str">
        <f>vlookup(A77,collexo_data!A:R,18,0)</f>
        <v>GS Foundation Course</v>
      </c>
      <c r="H77" s="122" t="str">
        <f t="shared" si="1"/>
        <v>bhatiaabhinav964@gmail.com</v>
      </c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  <c r="AD77" s="113"/>
      <c r="AE77" s="113"/>
      <c r="AF77" s="113"/>
    </row>
    <row r="78">
      <c r="C78" s="123">
        <f>MINIFS(collexo_data!B:B,collexo_data!A:A,A78)</f>
        <v>46061</v>
      </c>
      <c r="D78" s="120" t="str">
        <f>vlookup(A78,collexo_data!A:M,13,0)</f>
        <v>New Delhi</v>
      </c>
      <c r="E78" s="122" t="str">
        <f>vlookup(A78,collexo_data!A:O,15,0)</f>
        <v>latasha</v>
      </c>
      <c r="F78" s="120">
        <f>vlookup(A78,collexo_data!A:S,19,0)</f>
        <v>9999038505</v>
      </c>
      <c r="G78" s="122" t="str">
        <f>vlookup(A78,collexo_data!A:R,18,0)</f>
        <v>GS Foundation Course</v>
      </c>
      <c r="H78" s="122" t="str">
        <f t="shared" si="1"/>
        <v>bidhalatasha@gmail.com</v>
      </c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</row>
    <row r="79">
      <c r="C79" s="123">
        <f>MINIFS(collexo_data!B:B,collexo_data!A:A,A79)</f>
        <v>46049</v>
      </c>
      <c r="D79" s="120" t="str">
        <f>vlookup(A79,collexo_data!A:M,13,0)</f>
        <v>New Delhi</v>
      </c>
      <c r="E79" s="122" t="str">
        <f>vlookup(A79,collexo_data!A:O,15,0)</f>
        <v>Vishal</v>
      </c>
      <c r="F79" s="120">
        <f>vlookup(A79,collexo_data!A:S,19,0)</f>
        <v>7505484830</v>
      </c>
      <c r="G79" s="122" t="str">
        <f>vlookup(A79,collexo_data!A:R,18,0)</f>
        <v>GS Foundation Course</v>
      </c>
      <c r="H79" s="122" t="str">
        <f t="shared" si="1"/>
        <v>buntyrathor007@gmail.com</v>
      </c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</row>
    <row r="80">
      <c r="C80" s="123">
        <f>MINIFS(collexo_data!B:B,collexo_data!A:A,A80)</f>
        <v>46065</v>
      </c>
      <c r="D80" s="120" t="str">
        <f>vlookup(A80,collexo_data!A:M,13,0)</f>
        <v>Lucknow</v>
      </c>
      <c r="E80" s="122" t="str">
        <f>vlookup(A80,collexo_data!A:O,15,0)</f>
        <v>ali</v>
      </c>
      <c r="F80" s="120">
        <f>vlookup(A80,collexo_data!A:S,19,0)</f>
        <v>9119967771</v>
      </c>
      <c r="G80" s="122" t="str">
        <f>vlookup(A80,collexo_data!A:R,18,0)</f>
        <v>State PCS</v>
      </c>
      <c r="H80" s="122" t="str">
        <f t="shared" si="1"/>
        <v>Chaudharyalinusrat@gmail.com</v>
      </c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  <c r="AD80" s="113"/>
      <c r="AE80" s="113"/>
      <c r="AF80" s="113"/>
    </row>
    <row r="81">
      <c r="C81" s="123">
        <f>MINIFS(collexo_data!B:B,collexo_data!A:A,A81)</f>
        <v>46106</v>
      </c>
      <c r="D81" s="120" t="str">
        <f>vlookup(A81,collexo_data!A:M,13,0)</f>
        <v>New Delhi</v>
      </c>
      <c r="E81" s="122" t="str">
        <f>vlookup(A81,collexo_data!A:O,15,0)</f>
        <v>Chhavi Rani</v>
      </c>
      <c r="F81" s="120">
        <f>vlookup(A81,collexo_data!A:S,19,0)</f>
        <v>6388540075</v>
      </c>
      <c r="G81" s="122" t="str">
        <f>vlookup(A81,collexo_data!A:R,18,0)</f>
        <v>GS Foundation Course</v>
      </c>
      <c r="H81" s="122" t="str">
        <f t="shared" si="1"/>
        <v>chhavi01040@gmail.com</v>
      </c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</row>
    <row r="82">
      <c r="C82" s="123">
        <f>MINIFS(collexo_data!B:B,collexo_data!A:A,A82)</f>
        <v>46090</v>
      </c>
      <c r="D82" s="120" t="str">
        <f>vlookup(A82,collexo_data!A:M,13,0)</f>
        <v>New Delhi</v>
      </c>
      <c r="E82" s="122" t="str">
        <f>vlookup(A82,collexo_data!A:O,15,0)</f>
        <v>Chintham Avaneesh</v>
      </c>
      <c r="F82" s="120">
        <f>vlookup(A82,collexo_data!A:S,19,0)</f>
        <v>6302647716</v>
      </c>
      <c r="G82" s="122" t="str">
        <f>vlookup(A82,collexo_data!A:R,18,0)</f>
        <v>GS Foundation Course</v>
      </c>
      <c r="H82" s="122" t="str">
        <f t="shared" si="1"/>
        <v>chinthamavaneesh1704@gmail.com</v>
      </c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  <c r="AD82" s="113"/>
      <c r="AE82" s="113"/>
      <c r="AF82" s="113"/>
    </row>
    <row r="83">
      <c r="C83" s="123">
        <f>MINIFS(collexo_data!B:B,collexo_data!A:A,A83)</f>
        <v>46059</v>
      </c>
      <c r="D83" s="120" t="str">
        <f>vlookup(A83,collexo_data!A:M,13,0)</f>
        <v>New Delhi</v>
      </c>
      <c r="E83" s="122" t="str">
        <f>vlookup(A83,collexo_data!A:O,15,0)</f>
        <v>Mahima Choudhary</v>
      </c>
      <c r="F83" s="120">
        <f>vlookup(A83,collexo_data!A:S,19,0)</f>
        <v>7374845032</v>
      </c>
      <c r="G83" s="122" t="str">
        <f>vlookup(A83,collexo_data!A:R,18,0)</f>
        <v>GS Foundation Course</v>
      </c>
      <c r="H83" s="122" t="str">
        <f t="shared" si="1"/>
        <v>choudharymahimasays@gmail.com</v>
      </c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  <c r="AD83" s="113"/>
      <c r="AE83" s="113"/>
      <c r="AF83" s="113"/>
    </row>
    <row r="84">
      <c r="C84" s="123">
        <f>MINIFS(collexo_data!B:B,collexo_data!A:A,A84)</f>
        <v>46099</v>
      </c>
      <c r="D84" s="120" t="str">
        <f>vlookup(A84,collexo_data!A:M,13,0)</f>
        <v>Prayagraj</v>
      </c>
      <c r="E84" s="122" t="str">
        <f>vlookup(A84,collexo_data!A:O,15,0)</f>
        <v>Deeksha</v>
      </c>
      <c r="F84" s="120">
        <f>vlookup(A84,collexo_data!A:S,19,0)</f>
        <v>7395068633</v>
      </c>
      <c r="G84" s="122" t="str">
        <f>vlookup(A84,collexo_data!A:R,18,0)</f>
        <v>GS Foundation Course</v>
      </c>
      <c r="H84" s="122" t="str">
        <f t="shared" si="1"/>
        <v>d14861381@gmail.com</v>
      </c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  <c r="AD84" s="113"/>
      <c r="AE84" s="113"/>
      <c r="AF84" s="113"/>
    </row>
    <row r="85">
      <c r="C85" s="123">
        <f>MINIFS(collexo_data!B:B,collexo_data!A:A,A85)</f>
        <v>46112</v>
      </c>
      <c r="D85" s="120" t="str">
        <f>vlookup(A85,collexo_data!A:M,13,0)</f>
        <v>Prayagraj</v>
      </c>
      <c r="E85" s="122" t="str">
        <f>vlookup(A85,collexo_data!A:O,15,0)</f>
        <v>Deeksha pandey</v>
      </c>
      <c r="F85" s="120">
        <f>vlookup(A85,collexo_data!A:S,19,0)</f>
        <v>9044882557</v>
      </c>
      <c r="G85" s="122" t="str">
        <f>vlookup(A85,collexo_data!A:R,18,0)</f>
        <v>Mentorship - Samadhan</v>
      </c>
      <c r="H85" s="122" t="str">
        <f t="shared" si="1"/>
        <v>deekshap346@gmail.com</v>
      </c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  <c r="AD85" s="113"/>
      <c r="AE85" s="113"/>
      <c r="AF85" s="113"/>
    </row>
    <row r="86">
      <c r="C86" s="123">
        <f>MINIFS(collexo_data!B:B,collexo_data!A:A,A86)</f>
        <v>46091</v>
      </c>
      <c r="D86" s="120" t="str">
        <f>vlookup(A86,collexo_data!A:M,13,0)</f>
        <v>Prayagraj</v>
      </c>
      <c r="E86" s="122" t="str">
        <f>vlookup(A86,collexo_data!A:O,15,0)</f>
        <v>Ved Prakash Mishra</v>
      </c>
      <c r="F86" s="120">
        <f>vlookup(A86,collexo_data!A:S,19,0)</f>
        <v>9305988624</v>
      </c>
      <c r="G86" s="122" t="str">
        <f>vlookup(A86,collexo_data!A:R,18,0)</f>
        <v>GS Foundation Course</v>
      </c>
      <c r="H86" s="122" t="str">
        <f t="shared" si="1"/>
        <v>deep32mishra@gmail.com</v>
      </c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  <c r="AD86" s="113"/>
      <c r="AE86" s="113"/>
      <c r="AF86" s="113"/>
    </row>
    <row r="87">
      <c r="C87" s="123">
        <f>MINIFS(collexo_data!B:B,collexo_data!A:A,A87)</f>
        <v>46066</v>
      </c>
      <c r="D87" s="120" t="str">
        <f>vlookup(A87,collexo_data!A:M,13,0)</f>
        <v>New Delhi</v>
      </c>
      <c r="E87" s="122" t="str">
        <f>vlookup(A87,collexo_data!A:O,15,0)</f>
        <v>Deepak Dhiman</v>
      </c>
      <c r="F87" s="120">
        <f>vlookup(A87,collexo_data!A:S,19,0)</f>
        <v>7206170800</v>
      </c>
      <c r="G87" s="122" t="str">
        <f>vlookup(A87,collexo_data!A:R,18,0)</f>
        <v>GS Foundation Course</v>
      </c>
      <c r="H87" s="122" t="str">
        <f t="shared" si="1"/>
        <v>deepakdhiman8004@gmail.com</v>
      </c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</row>
    <row r="88">
      <c r="C88" s="123">
        <f>MINIFS(collexo_data!B:B,collexo_data!A:A,A88)</f>
        <v>46079</v>
      </c>
      <c r="D88" s="120" t="str">
        <f>vlookup(A88,collexo_data!A:M,13,0)</f>
        <v>New Delhi</v>
      </c>
      <c r="E88" s="122" t="str">
        <f>vlookup(A88,collexo_data!A:O,15,0)</f>
        <v>Deependra Singh Thakur</v>
      </c>
      <c r="F88" s="120">
        <f>vlookup(A88,collexo_data!A:S,19,0)</f>
        <v>8251094489</v>
      </c>
      <c r="G88" s="122" t="str">
        <f>vlookup(A88,collexo_data!A:R,18,0)</f>
        <v>GS Foundation Course</v>
      </c>
      <c r="H88" s="122" t="str">
        <f t="shared" si="1"/>
        <v>deependrathakur567@gmail.com</v>
      </c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  <c r="AD88" s="113"/>
      <c r="AE88" s="113"/>
      <c r="AF88" s="113"/>
    </row>
    <row r="89">
      <c r="C89" s="123">
        <f>MINIFS(collexo_data!B:B,collexo_data!A:A,A89)</f>
        <v>46035</v>
      </c>
      <c r="D89" s="120" t="str">
        <f>vlookup(A89,collexo_data!A:M,13,0)</f>
        <v>New Delhi</v>
      </c>
      <c r="E89" s="122" t="str">
        <f>vlookup(A89,collexo_data!A:O,15,0)</f>
        <v>deepesh attri</v>
      </c>
      <c r="F89" s="120" t="str">
        <f>vlookup(A89,collexo_data!A:S,19,0)</f>
        <v>Not Available</v>
      </c>
      <c r="G89" s="122" t="str">
        <f>vlookup(A89,collexo_data!A:R,18,0)</f>
        <v>Not Available</v>
      </c>
      <c r="H89" s="122" t="str">
        <f t="shared" si="1"/>
        <v>deepeshattri@gmail.com</v>
      </c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</row>
    <row r="90">
      <c r="C90" s="123">
        <f>MINIFS(collexo_data!B:B,collexo_data!A:A,A90)</f>
        <v>46083</v>
      </c>
      <c r="D90" s="120" t="str">
        <f>vlookup(A90,collexo_data!A:M,13,0)</f>
        <v>Indore</v>
      </c>
      <c r="E90" s="122" t="str">
        <f>vlookup(A90,collexo_data!A:O,15,0)</f>
        <v>Devansh Bhargava</v>
      </c>
      <c r="F90" s="120">
        <f>vlookup(A90,collexo_data!A:S,19,0)</f>
        <v>9993110506</v>
      </c>
      <c r="G90" s="122" t="str">
        <f>vlookup(A90,collexo_data!A:R,18,0)</f>
        <v>GS Foundation Course</v>
      </c>
      <c r="H90" s="122" t="str">
        <f t="shared" si="1"/>
        <v>devansh.nitbhopal@gmail.com</v>
      </c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  <c r="AD90" s="113"/>
      <c r="AE90" s="113"/>
      <c r="AF90" s="113"/>
    </row>
    <row r="91">
      <c r="C91" s="123">
        <f>MINIFS(collexo_data!B:B,collexo_data!A:A,A91)</f>
        <v>46069</v>
      </c>
      <c r="D91" s="120" t="str">
        <f>vlookup(A91,collexo_data!A:M,13,0)</f>
        <v>Prayagraj</v>
      </c>
      <c r="E91" s="122" t="str">
        <f>vlookup(A91,collexo_data!A:O,15,0)</f>
        <v>devmani saroj</v>
      </c>
      <c r="F91" s="120">
        <f>vlookup(A91,collexo_data!A:S,19,0)</f>
        <v>9838547727</v>
      </c>
      <c r="G91" s="122" t="str">
        <f>vlookup(A91,collexo_data!A:R,18,0)</f>
        <v>Mentorship - Samadhan</v>
      </c>
      <c r="H91" s="122" t="str">
        <f t="shared" si="1"/>
        <v>DEVMANISAROJ9451@GMAIL.COM</v>
      </c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  <c r="AD91" s="113"/>
      <c r="AE91" s="113"/>
      <c r="AF91" s="113"/>
    </row>
    <row r="92">
      <c r="C92" s="123">
        <f>MINIFS(collexo_data!B:B,collexo_data!A:A,A92)</f>
        <v>46111</v>
      </c>
      <c r="D92" s="120" t="str">
        <f>vlookup(A92,collexo_data!A:M,13,0)</f>
        <v>New Delhi</v>
      </c>
      <c r="E92" s="122" t="str">
        <f>vlookup(A92,collexo_data!A:O,15,0)</f>
        <v>DEEPAK KUMAR GUPTA</v>
      </c>
      <c r="F92" s="120">
        <f>vlookup(A92,collexo_data!A:S,19,0)</f>
        <v>7302726844</v>
      </c>
      <c r="G92" s="122" t="str">
        <f>vlookup(A92,collexo_data!A:R,18,0)</f>
        <v>GS Foundation Course</v>
      </c>
      <c r="H92" s="122" t="str">
        <f t="shared" si="1"/>
        <v>dg8010003@gmail.com</v>
      </c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</row>
    <row r="93">
      <c r="C93" s="123">
        <f>MINIFS(collexo_data!B:B,collexo_data!A:A,A93)</f>
        <v>46051</v>
      </c>
      <c r="D93" s="120" t="str">
        <f>vlookup(A93,collexo_data!A:M,13,0)</f>
        <v>New Delhi</v>
      </c>
      <c r="E93" s="122" t="str">
        <f>vlookup(A93,collexo_data!A:O,15,0)</f>
        <v>Akshay</v>
      </c>
      <c r="F93" s="120">
        <f>vlookup(A93,collexo_data!A:S,19,0)</f>
        <v>8218271839</v>
      </c>
      <c r="G93" s="122" t="str">
        <f>vlookup(A93,collexo_data!A:R,18,0)</f>
        <v>GS Foundation Course</v>
      </c>
      <c r="H93" s="122" t="str">
        <f t="shared" si="1"/>
        <v>dhimanak2004@gmail.com</v>
      </c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  <c r="AD93" s="113"/>
      <c r="AE93" s="113"/>
      <c r="AF93" s="113"/>
    </row>
    <row r="94">
      <c r="C94" s="123">
        <f>MINIFS(collexo_data!B:B,collexo_data!A:A,A94)</f>
        <v>46067</v>
      </c>
      <c r="D94" s="120" t="str">
        <f>vlookup(A94,collexo_data!A:M,13,0)</f>
        <v>Indore</v>
      </c>
      <c r="E94" s="122" t="str">
        <f>vlookup(A94,collexo_data!A:O,15,0)</f>
        <v>DEEPIKA MEDA</v>
      </c>
      <c r="F94" s="120">
        <f>vlookup(A94,collexo_data!A:S,19,0)</f>
        <v>9977913236</v>
      </c>
      <c r="G94" s="122" t="str">
        <f>vlookup(A94,collexo_data!A:R,18,0)</f>
        <v>GS Foundation Course</v>
      </c>
      <c r="H94" s="122" t="str">
        <f t="shared" si="1"/>
        <v>dipeekameda32.36@gmail.com</v>
      </c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  <c r="AD94" s="113"/>
      <c r="AE94" s="113"/>
      <c r="AF94" s="113"/>
    </row>
    <row r="95">
      <c r="C95" s="123">
        <f>MINIFS(collexo_data!B:B,collexo_data!A:A,A95)</f>
        <v>46109</v>
      </c>
      <c r="D95" s="120" t="str">
        <f>vlookup(A95,collexo_data!A:M,13,0)</f>
        <v>New Delhi</v>
      </c>
      <c r="E95" s="122" t="str">
        <f>vlookup(A95,collexo_data!A:O,15,0)</f>
        <v>Divyansh Dubey</v>
      </c>
      <c r="F95" s="120">
        <f>vlookup(A95,collexo_data!A:S,19,0)</f>
        <v>8989620722</v>
      </c>
      <c r="G95" s="122" t="str">
        <f>vlookup(A95,collexo_data!A:R,18,0)</f>
        <v>GS Foundation Course</v>
      </c>
      <c r="H95" s="122" t="str">
        <f t="shared" si="1"/>
        <v>divyanshdubey1605@gmail.com</v>
      </c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</row>
    <row r="96">
      <c r="C96" s="123">
        <f>MINIFS(collexo_data!B:B,collexo_data!A:A,A96)</f>
        <v>46111</v>
      </c>
      <c r="D96" s="120" t="str">
        <f>vlookup(A96,collexo_data!A:M,13,0)</f>
        <v>New Delhi</v>
      </c>
      <c r="E96" s="122" t="str">
        <f>vlookup(A96,collexo_data!A:O,15,0)</f>
        <v>FAHA IRSHAD MIR</v>
      </c>
      <c r="F96" s="120">
        <f>vlookup(A96,collexo_data!A:S,19,0)</f>
        <v>7889367873</v>
      </c>
      <c r="G96" s="122" t="str">
        <f>vlookup(A96,collexo_data!A:R,18,0)</f>
        <v>GS Foundation Course</v>
      </c>
      <c r="H96" s="122" t="str">
        <f t="shared" si="1"/>
        <v>fahadmir1998@gmail.com</v>
      </c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  <c r="AD96" s="113"/>
      <c r="AE96" s="113"/>
      <c r="AF96" s="113"/>
    </row>
    <row r="97">
      <c r="C97" s="123">
        <f>MINIFS(collexo_data!B:B,collexo_data!A:A,A97)</f>
        <v>46109</v>
      </c>
      <c r="D97" s="120" t="str">
        <f>vlookup(A97,collexo_data!A:M,13,0)</f>
        <v>Prayagraj</v>
      </c>
      <c r="E97" s="122" t="str">
        <f>vlookup(A97,collexo_data!A:O,15,0)</f>
        <v>Falak khn</v>
      </c>
      <c r="F97" s="120">
        <f>vlookup(A97,collexo_data!A:S,19,0)</f>
        <v>9956468176</v>
      </c>
      <c r="G97" s="122" t="str">
        <f>vlookup(A97,collexo_data!A:R,18,0)</f>
        <v>GS Foundation Course</v>
      </c>
      <c r="H97" s="122" t="str">
        <f t="shared" si="1"/>
        <v>falakjnp97@gmail.com</v>
      </c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</row>
    <row r="98">
      <c r="C98" s="123">
        <f>MINIFS(collexo_data!B:B,collexo_data!A:A,A98)</f>
        <v>46067</v>
      </c>
      <c r="D98" s="120" t="str">
        <f>vlookup(A98,collexo_data!A:M,13,0)</f>
        <v>New Delhi</v>
      </c>
      <c r="E98" s="122" t="str">
        <f>vlookup(A98,collexo_data!A:O,15,0)</f>
        <v>AYUSH</v>
      </c>
      <c r="F98" s="120">
        <f>vlookup(A98,collexo_data!A:S,19,0)</f>
        <v>7070411838</v>
      </c>
      <c r="G98" s="122" t="str">
        <f>vlookup(A98,collexo_data!A:R,18,0)</f>
        <v>GS Foundation Course</v>
      </c>
      <c r="H98" s="122" t="str">
        <f t="shared" si="1"/>
        <v>fenrir.v@gmail.com</v>
      </c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  <c r="AD98" s="113"/>
      <c r="AE98" s="113"/>
      <c r="AF98" s="113"/>
    </row>
    <row r="99">
      <c r="C99" s="123">
        <f>MINIFS(collexo_data!B:B,collexo_data!A:A,A99)</f>
        <v>46042</v>
      </c>
      <c r="D99" s="120" t="str">
        <f>vlookup(A99,collexo_data!A:M,13,0)</f>
        <v>New Delhi</v>
      </c>
      <c r="E99" s="122" t="str">
        <f>vlookup(A99,collexo_data!A:O,15,0)</f>
        <v>Rishabh Tiwari</v>
      </c>
      <c r="F99" s="120">
        <f>vlookup(A99,collexo_data!A:S,19,0)</f>
        <v>9779996486</v>
      </c>
      <c r="G99" s="122" t="str">
        <f>vlookup(A99,collexo_data!A:R,18,0)</f>
        <v>GS Foundation Course</v>
      </c>
      <c r="H99" s="122" t="str">
        <f t="shared" si="1"/>
        <v>fgdhjgkh@gmail.com</v>
      </c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  <c r="AD99" s="113"/>
      <c r="AE99" s="113"/>
      <c r="AF99" s="113"/>
    </row>
    <row r="100">
      <c r="C100" s="123">
        <f>MINIFS(collexo_data!B:B,collexo_data!A:A,A100)</f>
        <v>46069</v>
      </c>
      <c r="D100" s="120" t="str">
        <f>vlookup(A100,collexo_data!A:M,13,0)</f>
        <v>Indore</v>
      </c>
      <c r="E100" s="122" t="str">
        <f>vlookup(A100,collexo_data!A:O,15,0)</f>
        <v>Galsingh Solanki</v>
      </c>
      <c r="F100" s="120">
        <f>vlookup(A100,collexo_data!A:S,19,0)</f>
        <v>9179382549</v>
      </c>
      <c r="G100" s="122" t="str">
        <f>vlookup(A100,collexo_data!A:R,18,0)</f>
        <v>GS Foundation Course</v>
      </c>
      <c r="H100" s="122" t="str">
        <f t="shared" si="1"/>
        <v>galsinghsolanki40@gmail.com</v>
      </c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  <c r="AD100" s="113"/>
      <c r="AE100" s="113"/>
      <c r="AF100" s="113"/>
    </row>
    <row r="101">
      <c r="C101" s="123">
        <f>MINIFS(collexo_data!B:B,collexo_data!A:A,A101)</f>
        <v>46037</v>
      </c>
      <c r="D101" s="120" t="str">
        <f>vlookup(A101,collexo_data!A:M,13,0)</f>
        <v>New Delhi</v>
      </c>
      <c r="E101" s="122" t="str">
        <f>vlookup(A101,collexo_data!A:O,15,0)</f>
        <v>Gaurav Baliyan</v>
      </c>
      <c r="F101" s="120" t="str">
        <f>vlookup(A101,collexo_data!A:S,19,0)</f>
        <v>Not Available</v>
      </c>
      <c r="G101" s="122" t="str">
        <f>vlookup(A101,collexo_data!A:R,18,0)</f>
        <v>Not Available</v>
      </c>
      <c r="H101" s="122" t="str">
        <f t="shared" si="1"/>
        <v>gauravbaliyan03022003@gmail.com</v>
      </c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  <c r="AD101" s="113"/>
      <c r="AE101" s="113"/>
      <c r="AF101" s="113"/>
    </row>
    <row r="102">
      <c r="C102" s="123">
        <f>MINIFS(collexo_data!B:B,collexo_data!A:A,A102)</f>
        <v>46112</v>
      </c>
      <c r="D102" s="120" t="str">
        <f>vlookup(A102,collexo_data!A:M,13,0)</f>
        <v>Patna</v>
      </c>
      <c r="E102" s="122" t="str">
        <f>vlookup(A102,collexo_data!A:O,15,0)</f>
        <v>Aalok kumar</v>
      </c>
      <c r="F102" s="120">
        <f>vlookup(A102,collexo_data!A:S,19,0)</f>
        <v>9939699505</v>
      </c>
      <c r="G102" s="122" t="str">
        <f>vlookup(A102,collexo_data!A:R,18,0)</f>
        <v>State PCS</v>
      </c>
      <c r="H102" s="122" t="str">
        <f t="shared" si="1"/>
        <v>gauravsinghsiwan8800@gmail.com</v>
      </c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  <c r="AD102" s="113"/>
      <c r="AE102" s="113"/>
      <c r="AF102" s="113"/>
    </row>
    <row r="103">
      <c r="C103" s="123">
        <f>MINIFS(collexo_data!B:B,collexo_data!A:A,A103)</f>
        <v>46110</v>
      </c>
      <c r="D103" s="120" t="str">
        <f>vlookup(A103,collexo_data!A:M,13,0)</f>
        <v>Prayagraj</v>
      </c>
      <c r="E103" s="122" t="str">
        <f>vlookup(A103,collexo_data!A:O,15,0)</f>
        <v>Manisha Yadav</v>
      </c>
      <c r="F103" s="120">
        <f>vlookup(A103,collexo_data!A:S,19,0)</f>
        <v>6307339718</v>
      </c>
      <c r="G103" s="122" t="str">
        <f>vlookup(A103,collexo_data!A:R,18,0)</f>
        <v>State PCS</v>
      </c>
      <c r="H103" s="122" t="str">
        <f t="shared" si="1"/>
        <v>gauravyd2095@gmail.com</v>
      </c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  <c r="AD103" s="113"/>
      <c r="AE103" s="113"/>
      <c r="AF103" s="113"/>
    </row>
    <row r="104">
      <c r="C104" s="123">
        <f>MINIFS(collexo_data!B:B,collexo_data!A:A,A104)</f>
        <v>46103</v>
      </c>
      <c r="D104" s="120" t="str">
        <f>vlookup(A104,collexo_data!A:M,13,0)</f>
        <v>Indore</v>
      </c>
      <c r="E104" s="122" t="str">
        <f>vlookup(A104,collexo_data!A:O,15,0)</f>
        <v>Poonam gautam</v>
      </c>
      <c r="F104" s="120">
        <f>vlookup(A104,collexo_data!A:S,19,0)</f>
        <v>7489704194</v>
      </c>
      <c r="G104" s="122" t="str">
        <f>vlookup(A104,collexo_data!A:R,18,0)</f>
        <v>GS Foundation Course</v>
      </c>
      <c r="H104" s="122" t="str">
        <f t="shared" si="1"/>
        <v>gautampoonam468@gmail.com</v>
      </c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  <c r="AD104" s="113"/>
      <c r="AE104" s="113"/>
      <c r="AF104" s="113"/>
    </row>
    <row r="105">
      <c r="C105" s="123">
        <f>MINIFS(collexo_data!B:B,collexo_data!A:A,A105)</f>
        <v>46100</v>
      </c>
      <c r="D105" s="120" t="str">
        <f>vlookup(A105,collexo_data!A:M,13,0)</f>
        <v>Lucknow</v>
      </c>
      <c r="E105" s="122" t="str">
        <f>vlookup(A105,collexo_data!A:O,15,0)</f>
        <v>Gautmi</v>
      </c>
      <c r="F105" s="120">
        <f>vlookup(A105,collexo_data!A:S,19,0)</f>
        <v>9648302245</v>
      </c>
      <c r="G105" s="122" t="str">
        <f>vlookup(A105,collexo_data!A:R,18,0)</f>
        <v>GS Foundation Course</v>
      </c>
      <c r="H105" s="122" t="str">
        <f t="shared" si="1"/>
        <v>gautmisingh04@gmail.com</v>
      </c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</row>
    <row r="106">
      <c r="C106" s="123">
        <f>MINIFS(collexo_data!B:B,collexo_data!A:A,A106)</f>
        <v>46070</v>
      </c>
      <c r="D106" s="120" t="str">
        <f>vlookup(A106,collexo_data!A:M,13,0)</f>
        <v>Indore</v>
      </c>
      <c r="E106" s="122" t="str">
        <f>vlookup(A106,collexo_data!A:O,15,0)</f>
        <v>Mansi girwal</v>
      </c>
      <c r="F106" s="120">
        <f>vlookup(A106,collexo_data!A:S,19,0)</f>
        <v>6260866300</v>
      </c>
      <c r="G106" s="122" t="str">
        <f>vlookup(A106,collexo_data!A:R,18,0)</f>
        <v>State PCS</v>
      </c>
      <c r="H106" s="122" t="str">
        <f t="shared" si="1"/>
        <v>girwalmansi2004@gmail.com</v>
      </c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  <c r="AD106" s="113"/>
      <c r="AE106" s="113"/>
      <c r="AF106" s="113"/>
    </row>
    <row r="107">
      <c r="C107" s="123">
        <f>MINIFS(collexo_data!B:B,collexo_data!A:A,A107)</f>
        <v>46091</v>
      </c>
      <c r="D107" s="120" t="str">
        <f>vlookup(A107,collexo_data!A:M,13,0)</f>
        <v>Indore</v>
      </c>
      <c r="E107" s="122" t="str">
        <f>vlookup(A107,collexo_data!A:O,15,0)</f>
        <v>Gitendra Dewangan</v>
      </c>
      <c r="F107" s="120">
        <f>vlookup(A107,collexo_data!A:S,19,0)</f>
        <v>8269421615</v>
      </c>
      <c r="G107" s="122" t="str">
        <f>vlookup(A107,collexo_data!A:R,18,0)</f>
        <v>GS Foundation Course</v>
      </c>
      <c r="H107" s="122" t="str">
        <f t="shared" si="1"/>
        <v>gitendradewangan7@gmail.com</v>
      </c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  <c r="AD107" s="113"/>
      <c r="AE107" s="113"/>
      <c r="AF107" s="113"/>
    </row>
    <row r="108">
      <c r="C108" s="123">
        <f>MINIFS(collexo_data!B:B,collexo_data!A:A,A108)</f>
        <v>46054</v>
      </c>
      <c r="D108" s="120" t="str">
        <f>vlookup(A108,collexo_data!A:M,13,0)</f>
        <v>New Delhi</v>
      </c>
      <c r="E108" s="122" t="str">
        <f>vlookup(A108,collexo_data!A:O,15,0)</f>
        <v>Jaishal</v>
      </c>
      <c r="F108" s="120">
        <f>vlookup(A108,collexo_data!A:S,19,0)</f>
        <v>9058402617</v>
      </c>
      <c r="G108" s="122" t="str">
        <f>vlookup(A108,collexo_data!A:R,18,0)</f>
        <v>GS Foundation Course</v>
      </c>
      <c r="H108" s="122" t="str">
        <f t="shared" si="1"/>
        <v>goldyychaudharyy51@gmail.com</v>
      </c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  <c r="AD108" s="113"/>
      <c r="AE108" s="113"/>
      <c r="AF108" s="113"/>
    </row>
    <row r="109">
      <c r="C109" s="123">
        <f>MINIFS(collexo_data!B:B,collexo_data!A:A,A109)</f>
        <v>46091</v>
      </c>
      <c r="D109" s="120" t="str">
        <f>vlookup(A109,collexo_data!A:M,13,0)</f>
        <v>Prayagraj</v>
      </c>
      <c r="E109" s="122" t="str">
        <f>vlookup(A109,collexo_data!A:O,15,0)</f>
        <v>Raj kumari</v>
      </c>
      <c r="F109" s="120">
        <f>vlookup(A109,collexo_data!A:S,19,0)</f>
        <v>8303812163</v>
      </c>
      <c r="G109" s="122" t="str">
        <f>vlookup(A109,collexo_data!A:R,18,0)</f>
        <v>Mentorship - Samadhan</v>
      </c>
      <c r="H109" s="122" t="str">
        <f t="shared" si="1"/>
        <v>grajagraja0987@gmail.com</v>
      </c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</row>
    <row r="110">
      <c r="C110" s="123">
        <f>MINIFS(collexo_data!B:B,collexo_data!A:A,A110)</f>
        <v>46099</v>
      </c>
      <c r="D110" s="120" t="str">
        <f>vlookup(A110,collexo_data!A:M,13,0)</f>
        <v>Indore</v>
      </c>
      <c r="E110" s="122" t="str">
        <f>vlookup(A110,collexo_data!A:O,15,0)</f>
        <v>Khushi gurjar</v>
      </c>
      <c r="F110" s="120">
        <f>vlookup(A110,collexo_data!A:S,19,0)</f>
        <v>9993926036</v>
      </c>
      <c r="G110" s="122" t="str">
        <f>vlookup(A110,collexo_data!A:R,18,0)</f>
        <v>State PCS</v>
      </c>
      <c r="H110" s="122" t="str">
        <f t="shared" si="1"/>
        <v>gurjarkhushi7963@gmail.com</v>
      </c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  <c r="AD110" s="113"/>
      <c r="AE110" s="113"/>
      <c r="AF110" s="113"/>
    </row>
    <row r="111">
      <c r="C111" s="123">
        <f>MINIFS(collexo_data!B:B,collexo_data!A:A,A111)</f>
        <v>46076</v>
      </c>
      <c r="D111" s="120" t="str">
        <f>vlookup(A111,collexo_data!A:M,13,0)</f>
        <v>Lucknow</v>
      </c>
      <c r="E111" s="122" t="str">
        <f>vlookup(A111,collexo_data!A:O,15,0)</f>
        <v>Gyan Prakash</v>
      </c>
      <c r="F111" s="120">
        <f>vlookup(A111,collexo_data!A:S,19,0)</f>
        <v>7905231362</v>
      </c>
      <c r="G111" s="122" t="str">
        <f>vlookup(A111,collexo_data!A:R,18,0)</f>
        <v>State PCS</v>
      </c>
      <c r="H111" s="122" t="str">
        <f t="shared" si="1"/>
        <v>Gyan94422@gmail.com</v>
      </c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  <c r="AD111" s="113"/>
      <c r="AE111" s="113"/>
      <c r="AF111" s="113"/>
    </row>
    <row r="112">
      <c r="C112" s="123">
        <f>MINIFS(collexo_data!B:B,collexo_data!A:A,A112)</f>
        <v>46111</v>
      </c>
      <c r="D112" s="120" t="str">
        <f>vlookup(A112,collexo_data!A:M,13,0)</f>
        <v>New Delhi</v>
      </c>
      <c r="E112" s="122" t="str">
        <f>vlookup(A112,collexo_data!A:O,15,0)</f>
        <v>Gyanendra chaubey</v>
      </c>
      <c r="F112" s="120">
        <f>vlookup(A112,collexo_data!A:S,19,0)</f>
        <v>9923170540</v>
      </c>
      <c r="G112" s="122" t="str">
        <f>vlookup(A112,collexo_data!A:R,18,0)</f>
        <v>GS Foundation Course</v>
      </c>
      <c r="H112" s="122" t="str">
        <f t="shared" si="1"/>
        <v>gyanu14315052002@gmail.com</v>
      </c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  <c r="AD112" s="113"/>
      <c r="AE112" s="113"/>
      <c r="AF112" s="113"/>
    </row>
    <row r="113">
      <c r="C113" s="123">
        <f>MINIFS(collexo_data!B:B,collexo_data!A:A,A113)</f>
        <v>46069</v>
      </c>
      <c r="D113" s="120" t="str">
        <f>vlookup(A113,collexo_data!A:M,13,0)</f>
        <v>New Delhi</v>
      </c>
      <c r="E113" s="122" t="str">
        <f>vlookup(A113,collexo_data!A:O,15,0)</f>
        <v>Akhir</v>
      </c>
      <c r="F113" s="120">
        <f>vlookup(A113,collexo_data!A:S,19,0)</f>
        <v>8609073477</v>
      </c>
      <c r="G113" s="122" t="str">
        <f>vlookup(A113,collexo_data!A:R,18,0)</f>
        <v>GS Foundation Course</v>
      </c>
      <c r="H113" s="122" t="str">
        <f t="shared" si="1"/>
        <v>hansdaboy12@gmail.com</v>
      </c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  <c r="AD113" s="113"/>
      <c r="AE113" s="113"/>
      <c r="AF113" s="113"/>
    </row>
    <row r="114">
      <c r="C114" s="123">
        <f>MINIFS(collexo_data!B:B,collexo_data!A:A,A114)</f>
        <v>46034</v>
      </c>
      <c r="D114" s="120" t="str">
        <f>vlookup(A114,collexo_data!A:M,13,0)</f>
        <v>New Delhi</v>
      </c>
      <c r="E114" s="122" t="str">
        <f>vlookup(A114,collexo_data!A:O,15,0)</f>
        <v>Hardik Uttreja</v>
      </c>
      <c r="F114" s="120" t="str">
        <f>vlookup(A114,collexo_data!A:S,19,0)</f>
        <v>Not Available</v>
      </c>
      <c r="G114" s="122" t="str">
        <f>vlookup(A114,collexo_data!A:R,18,0)</f>
        <v>Not Available</v>
      </c>
      <c r="H114" s="122" t="str">
        <f t="shared" si="1"/>
        <v>hardikuttreja@gmail.com</v>
      </c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  <c r="AD114" s="113"/>
      <c r="AE114" s="113"/>
      <c r="AF114" s="113"/>
    </row>
    <row r="115">
      <c r="C115" s="123">
        <f>MINIFS(collexo_data!B:B,collexo_data!A:A,A115)</f>
        <v>46090</v>
      </c>
      <c r="D115" s="120" t="str">
        <f>vlookup(A115,collexo_data!A:M,13,0)</f>
        <v>Lucknow</v>
      </c>
      <c r="E115" s="122" t="str">
        <f>vlookup(A115,collexo_data!A:O,15,0)</f>
        <v>Hariom Singh</v>
      </c>
      <c r="F115" s="120">
        <f>vlookup(A115,collexo_data!A:S,19,0)</f>
        <v>6389057893</v>
      </c>
      <c r="G115" s="122" t="str">
        <f>vlookup(A115,collexo_data!A:R,18,0)</f>
        <v>GS Foundation Course</v>
      </c>
      <c r="H115" s="122" t="str">
        <f t="shared" si="1"/>
        <v>hari8318651390@gmail.com</v>
      </c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  <c r="AD115" s="113"/>
      <c r="AE115" s="113"/>
      <c r="AF115" s="113"/>
    </row>
    <row r="116">
      <c r="C116" s="123">
        <f>MINIFS(collexo_data!B:B,collexo_data!A:A,A116)</f>
        <v>46099</v>
      </c>
      <c r="D116" s="120" t="str">
        <f>vlookup(A116,collexo_data!A:M,13,0)</f>
        <v>Prayagraj</v>
      </c>
      <c r="E116" s="122" t="str">
        <f>vlookup(A116,collexo_data!A:O,15,0)</f>
        <v>Harshita Rai</v>
      </c>
      <c r="F116" s="120">
        <f>vlookup(A116,collexo_data!A:S,19,0)</f>
        <v>9451060710</v>
      </c>
      <c r="G116" s="122" t="str">
        <f>vlookup(A116,collexo_data!A:R,18,0)</f>
        <v>GS Foundation Course</v>
      </c>
      <c r="H116" s="122" t="str">
        <f t="shared" si="1"/>
        <v>harshitarai7272@gmail.com</v>
      </c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  <c r="AD116" s="113"/>
      <c r="AE116" s="113"/>
      <c r="AF116" s="113"/>
    </row>
    <row r="117">
      <c r="C117" s="123">
        <f>MINIFS(collexo_data!B:B,collexo_data!A:A,A117)</f>
        <v>46112</v>
      </c>
      <c r="D117" s="120" t="str">
        <f>vlookup(A117,collexo_data!A:M,13,0)</f>
        <v>Lucknow</v>
      </c>
      <c r="E117" s="122" t="str">
        <f>vlookup(A117,collexo_data!A:O,15,0)</f>
        <v>Harshit</v>
      </c>
      <c r="F117" s="120">
        <f>vlookup(A117,collexo_data!A:S,19,0)</f>
        <v>9170997725</v>
      </c>
      <c r="G117" s="122" t="str">
        <f>vlookup(A117,collexo_data!A:R,18,0)</f>
        <v>State PCS</v>
      </c>
      <c r="H117" s="122" t="str">
        <f t="shared" si="1"/>
        <v>harshitsrivastav0001@gmail.com</v>
      </c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  <c r="AD117" s="113"/>
      <c r="AE117" s="113"/>
      <c r="AF117" s="113"/>
    </row>
    <row r="118">
      <c r="C118" s="123">
        <f>MINIFS(collexo_data!B:B,collexo_data!A:A,A118)</f>
        <v>46112</v>
      </c>
      <c r="D118" s="120" t="str">
        <f>vlookup(A118,collexo_data!A:M,13,0)</f>
        <v>Prayagraj</v>
      </c>
      <c r="E118" s="122" t="str">
        <f>vlookup(A118,collexo_data!A:O,15,0)</f>
        <v>Hemant Kumar Singh</v>
      </c>
      <c r="F118" s="120">
        <f>vlookup(A118,collexo_data!A:S,19,0)</f>
        <v>8006029476</v>
      </c>
      <c r="G118" s="122" t="str">
        <f>vlookup(A118,collexo_data!A:R,18,0)</f>
        <v>State PCS</v>
      </c>
      <c r="H118" s="122" t="str">
        <f t="shared" si="1"/>
        <v>hemantsingh203203@gmail.com</v>
      </c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  <c r="AD118" s="113"/>
      <c r="AE118" s="113"/>
      <c r="AF118" s="113"/>
    </row>
    <row r="119">
      <c r="C119" s="123">
        <f>MINIFS(collexo_data!B:B,collexo_data!A:A,A119)</f>
        <v>46107</v>
      </c>
      <c r="D119" s="120" t="str">
        <f>vlookup(A119,collexo_data!A:M,13,0)</f>
        <v>New Delhi</v>
      </c>
      <c r="E119" s="122" t="str">
        <f>vlookup(A119,collexo_data!A:O,15,0)</f>
        <v>Harsh raj</v>
      </c>
      <c r="F119" s="120">
        <f>vlookup(A119,collexo_data!A:S,19,0)</f>
        <v>9835624619</v>
      </c>
      <c r="G119" s="122" t="str">
        <f>vlookup(A119,collexo_data!A:R,18,0)</f>
        <v>GS Foundation Course</v>
      </c>
      <c r="H119" s="122" t="str">
        <f t="shared" si="1"/>
        <v>hraj42331@gmail.com</v>
      </c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  <c r="AD119" s="113"/>
      <c r="AE119" s="113"/>
      <c r="AF119" s="113"/>
    </row>
    <row r="120">
      <c r="C120" s="123">
        <f>MINIFS(collexo_data!B:B,collexo_data!A:A,A120)</f>
        <v>46097</v>
      </c>
      <c r="D120" s="120" t="str">
        <f>vlookup(A120,collexo_data!A:M,13,0)</f>
        <v>Prayagraj</v>
      </c>
      <c r="E120" s="122" t="str">
        <f>vlookup(A120,collexo_data!A:O,15,0)</f>
        <v>Hriday Kushwaha</v>
      </c>
      <c r="F120" s="120">
        <f>vlookup(A120,collexo_data!A:S,19,0)</f>
        <v>9455289673</v>
      </c>
      <c r="G120" s="122" t="str">
        <f>vlookup(A120,collexo_data!A:R,18,0)</f>
        <v>GS Foundation Course</v>
      </c>
      <c r="H120" s="122" t="str">
        <f t="shared" si="1"/>
        <v>hridaykushwaha50@gmail.com</v>
      </c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3"/>
      <c r="AF120" s="113"/>
    </row>
    <row r="121">
      <c r="C121" s="123">
        <f>MINIFS(collexo_data!B:B,collexo_data!A:A,A121)</f>
        <v>46103</v>
      </c>
      <c r="D121" s="120" t="str">
        <f>vlookup(A121,collexo_data!A:M,13,0)</f>
        <v>New Delhi</v>
      </c>
      <c r="E121" s="122" t="str">
        <f>vlookup(A121,collexo_data!A:O,15,0)</f>
        <v>Humesh Diwan</v>
      </c>
      <c r="F121" s="120">
        <f>vlookup(A121,collexo_data!A:S,19,0)</f>
        <v>9340831711</v>
      </c>
      <c r="G121" s="122" t="str">
        <f>vlookup(A121,collexo_data!A:R,18,0)</f>
        <v>GS Foundation Course</v>
      </c>
      <c r="H121" s="122" t="str">
        <f t="shared" si="1"/>
        <v>humeshdiwan2003@gmail.com</v>
      </c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  <c r="AD121" s="113"/>
      <c r="AE121" s="113"/>
      <c r="AF121" s="113"/>
    </row>
    <row r="122">
      <c r="C122" s="123">
        <f>MINIFS(collexo_data!B:B,collexo_data!A:A,A122)</f>
        <v>46091</v>
      </c>
      <c r="D122" s="120" t="str">
        <f>vlookup(A122,collexo_data!A:M,13,0)</f>
        <v>Prayagraj</v>
      </c>
      <c r="E122" s="122" t="str">
        <f>vlookup(A122,collexo_data!A:O,15,0)</f>
        <v>Preeti kumari</v>
      </c>
      <c r="F122" s="120">
        <f>vlookup(A122,collexo_data!A:S,19,0)</f>
        <v>7819863991</v>
      </c>
      <c r="G122" s="122" t="str">
        <f>vlookup(A122,collexo_data!A:R,18,0)</f>
        <v>GS Foundation Course</v>
      </c>
      <c r="H122" s="122" t="str">
        <f t="shared" si="1"/>
        <v>impreeti2005@gmail.com</v>
      </c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  <c r="AD122" s="113"/>
      <c r="AE122" s="113"/>
      <c r="AF122" s="113"/>
    </row>
    <row r="123">
      <c r="C123" s="123">
        <f>MINIFS(collexo_data!B:B,collexo_data!A:A,A123)</f>
        <v>46112</v>
      </c>
      <c r="D123" s="120" t="str">
        <f>vlookup(A123,collexo_data!A:M,13,0)</f>
        <v>Patna</v>
      </c>
      <c r="E123" s="122" t="str">
        <f>vlookup(A123,collexo_data!A:O,15,0)</f>
        <v>INDRAJEET</v>
      </c>
      <c r="F123" s="120">
        <f>vlookup(A123,collexo_data!A:S,19,0)</f>
        <v>9229664795</v>
      </c>
      <c r="G123" s="122" t="str">
        <f>vlookup(A123,collexo_data!A:R,18,0)</f>
        <v>GS Foundation Course</v>
      </c>
      <c r="H123" s="122" t="str">
        <f t="shared" si="1"/>
        <v>indrajeet821145@gmail.com</v>
      </c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  <c r="AD123" s="113"/>
      <c r="AE123" s="113"/>
      <c r="AF123" s="113"/>
    </row>
    <row r="124">
      <c r="C124" s="123">
        <f>MINIFS(collexo_data!B:B,collexo_data!A:A,A124)</f>
        <v>46077</v>
      </c>
      <c r="D124" s="120" t="str">
        <f>vlookup(A124,collexo_data!A:M,13,0)</f>
        <v>New Delhi</v>
      </c>
      <c r="E124" s="122" t="str">
        <f>vlookup(A124,collexo_data!A:O,15,0)</f>
        <v>Isha pathak</v>
      </c>
      <c r="F124" s="120">
        <f>vlookup(A124,collexo_data!A:S,19,0)</f>
        <v>8595041975</v>
      </c>
      <c r="G124" s="122" t="str">
        <f>vlookup(A124,collexo_data!A:R,18,0)</f>
        <v>GS Foundation Course</v>
      </c>
      <c r="H124" s="122" t="str">
        <f t="shared" si="1"/>
        <v>ishapathak8@gmail.com</v>
      </c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  <c r="AD124" s="113"/>
      <c r="AE124" s="113"/>
      <c r="AF124" s="113"/>
    </row>
    <row r="125">
      <c r="C125" s="123">
        <f>MINIFS(collexo_data!B:B,collexo_data!A:A,A125)</f>
        <v>46062</v>
      </c>
      <c r="D125" s="120" t="str">
        <f>vlookup(A125,collexo_data!A:M,13,0)</f>
        <v>New Delhi</v>
      </c>
      <c r="E125" s="122" t="str">
        <f>vlookup(A125,collexo_data!A:O,15,0)</f>
        <v>Kajal Jadon</v>
      </c>
      <c r="F125" s="120">
        <f>vlookup(A125,collexo_data!A:S,19,0)</f>
        <v>9589014922</v>
      </c>
      <c r="G125" s="122" t="str">
        <f>vlookup(A125,collexo_data!A:R,18,0)</f>
        <v>GS Foundation Course</v>
      </c>
      <c r="H125" s="122" t="str">
        <f t="shared" si="1"/>
        <v>Jadonkajal@gmail.com</v>
      </c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  <c r="AD125" s="113"/>
      <c r="AE125" s="113"/>
      <c r="AF125" s="113"/>
    </row>
    <row r="126">
      <c r="C126" s="123">
        <f>MINIFS(collexo_data!B:B,collexo_data!A:A,A126)</f>
        <v>46058</v>
      </c>
      <c r="D126" s="120" t="str">
        <f>vlookup(A126,collexo_data!A:M,13,0)</f>
        <v>New Delhi</v>
      </c>
      <c r="E126" s="122" t="str">
        <f>vlookup(A126,collexo_data!A:O,15,0)</f>
        <v>Jahanvi Kashyap</v>
      </c>
      <c r="F126" s="120">
        <f>vlookup(A126,collexo_data!A:S,19,0)</f>
        <v>8814014928</v>
      </c>
      <c r="G126" s="122" t="str">
        <f>vlookup(A126,collexo_data!A:R,18,0)</f>
        <v>GS Foundation Course</v>
      </c>
      <c r="H126" s="122" t="str">
        <f t="shared" si="1"/>
        <v>jahanviikashyap17@gmail.com</v>
      </c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  <c r="AD126" s="113"/>
      <c r="AE126" s="113"/>
      <c r="AF126" s="113"/>
    </row>
    <row r="127">
      <c r="C127" s="123">
        <f>MINIFS(collexo_data!B:B,collexo_data!A:A,A127)</f>
        <v>46097</v>
      </c>
      <c r="D127" s="120" t="str">
        <f>vlookup(A127,collexo_data!A:M,13,0)</f>
        <v>Indore</v>
      </c>
      <c r="E127" s="122" t="str">
        <f>vlookup(A127,collexo_data!A:O,15,0)</f>
        <v>Kanchi jain</v>
      </c>
      <c r="F127" s="120">
        <f>vlookup(A127,collexo_data!A:S,19,0)</f>
        <v>8109610665</v>
      </c>
      <c r="G127" s="122" t="str">
        <f>vlookup(A127,collexo_data!A:R,18,0)</f>
        <v>GS Foundation Course</v>
      </c>
      <c r="H127" s="122" t="str">
        <f t="shared" si="1"/>
        <v>jainkanchi678@gmail.com</v>
      </c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  <c r="AD127" s="113"/>
      <c r="AE127" s="113"/>
      <c r="AF127" s="113"/>
    </row>
    <row r="128">
      <c r="C128" s="123">
        <f>MINIFS(collexo_data!B:B,collexo_data!A:A,A128)</f>
        <v>46079</v>
      </c>
      <c r="D128" s="120" t="str">
        <f>vlookup(A128,collexo_data!A:M,13,0)</f>
        <v>Indore</v>
      </c>
      <c r="E128" s="122" t="str">
        <f>vlookup(A128,collexo_data!A:O,15,0)</f>
        <v>Sachin Jamre</v>
      </c>
      <c r="F128" s="120">
        <f>vlookup(A128,collexo_data!A:S,19,0)</f>
        <v>7000354229</v>
      </c>
      <c r="G128" s="122" t="str">
        <f>vlookup(A128,collexo_data!A:R,18,0)</f>
        <v>GS Foundation Course</v>
      </c>
      <c r="H128" s="122" t="str">
        <f t="shared" si="1"/>
        <v>jamresachin584@gmail.com</v>
      </c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  <c r="AD128" s="113"/>
      <c r="AE128" s="113"/>
      <c r="AF128" s="113"/>
    </row>
    <row r="129">
      <c r="C129" s="123">
        <f>MINIFS(collexo_data!B:B,collexo_data!A:A,A129)</f>
        <v>46077</v>
      </c>
      <c r="D129" s="120" t="str">
        <f>vlookup(A129,collexo_data!A:M,13,0)</f>
        <v>Indore</v>
      </c>
      <c r="E129" s="122" t="str">
        <f>vlookup(A129,collexo_data!A:O,15,0)</f>
        <v>Meena uikey</v>
      </c>
      <c r="F129" s="120">
        <f>vlookup(A129,collexo_data!A:S,19,0)</f>
        <v>9098931351</v>
      </c>
      <c r="G129" s="122" t="str">
        <f>vlookup(A129,collexo_data!A:R,18,0)</f>
        <v>GS Foundation Course</v>
      </c>
      <c r="H129" s="122" t="str">
        <f t="shared" si="1"/>
        <v>jawaharuikey1671@gmail.com</v>
      </c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3"/>
      <c r="AF129" s="113"/>
    </row>
    <row r="130">
      <c r="C130" s="123">
        <f>MINIFS(collexo_data!B:B,collexo_data!A:A,A130)</f>
        <v>46106</v>
      </c>
      <c r="D130" s="120" t="str">
        <f>vlookup(A130,collexo_data!A:M,13,0)</f>
        <v>Prayagraj</v>
      </c>
      <c r="E130" s="122" t="str">
        <f>vlookup(A130,collexo_data!A:O,15,0)</f>
        <v>Jaikant Sinha</v>
      </c>
      <c r="F130" s="120">
        <f>vlookup(A130,collexo_data!A:S,19,0)</f>
        <v>6202156597</v>
      </c>
      <c r="G130" s="122" t="str">
        <f>vlookup(A130,collexo_data!A:R,18,0)</f>
        <v>GS Foundation Course</v>
      </c>
      <c r="H130" s="122" t="str">
        <f t="shared" si="1"/>
        <v>jaykantsinha123@gmail.com</v>
      </c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  <c r="AD130" s="113"/>
      <c r="AE130" s="113"/>
      <c r="AF130" s="113"/>
    </row>
    <row r="131">
      <c r="C131" s="123">
        <f>MINIFS(collexo_data!B:B,collexo_data!A:A,A131)</f>
        <v>46093</v>
      </c>
      <c r="D131" s="120" t="str">
        <f>vlookup(A131,collexo_data!A:M,13,0)</f>
        <v>Patna</v>
      </c>
      <c r="E131" s="122" t="str">
        <f>vlookup(A131,collexo_data!A:O,15,0)</f>
        <v>Jay kumar</v>
      </c>
      <c r="F131" s="120">
        <f>vlookup(A131,collexo_data!A:S,19,0)</f>
        <v>7321826544</v>
      </c>
      <c r="G131" s="122" t="str">
        <f>vlookup(A131,collexo_data!A:R,18,0)</f>
        <v>GS Foundation Course</v>
      </c>
      <c r="H131" s="122" t="str">
        <f t="shared" si="1"/>
        <v>jaykumarb931@gmail.com</v>
      </c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  <c r="AD131" s="113"/>
      <c r="AE131" s="113"/>
      <c r="AF131" s="113"/>
    </row>
    <row r="132">
      <c r="C132" s="123">
        <f>MINIFS(collexo_data!B:B,collexo_data!A:A,A132)</f>
        <v>46109</v>
      </c>
      <c r="D132" s="120" t="str">
        <f>vlookup(A132,collexo_data!A:M,13,0)</f>
        <v>Prayagraj</v>
      </c>
      <c r="E132" s="122" t="str">
        <f>vlookup(A132,collexo_data!A:O,15,0)</f>
        <v>Jang Bahadur</v>
      </c>
      <c r="F132" s="120">
        <f>vlookup(A132,collexo_data!A:S,19,0)</f>
        <v>9129826595</v>
      </c>
      <c r="G132" s="122" t="str">
        <f>vlookup(A132,collexo_data!A:R,18,0)</f>
        <v>GS Foundation Course</v>
      </c>
      <c r="H132" s="122" t="str">
        <f t="shared" si="1"/>
        <v>jbsonkar143@gmail.com</v>
      </c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  <c r="AD132" s="113"/>
      <c r="AE132" s="113"/>
      <c r="AF132" s="113"/>
    </row>
    <row r="133">
      <c r="C133" s="123">
        <f>MINIFS(collexo_data!B:B,collexo_data!A:A,A133)</f>
        <v>46081</v>
      </c>
      <c r="D133" s="120" t="str">
        <f>vlookup(A133,collexo_data!A:M,13,0)</f>
        <v>Prayagraj</v>
      </c>
      <c r="E133" s="122" t="str">
        <f>vlookup(A133,collexo_data!A:O,15,0)</f>
        <v>Jagjeet Singh</v>
      </c>
      <c r="F133" s="120">
        <f>vlookup(A133,collexo_data!A:S,19,0)</f>
        <v>7800324648</v>
      </c>
      <c r="G133" s="122" t="str">
        <f>vlookup(A133,collexo_data!A:R,18,0)</f>
        <v>GS Foundation Course</v>
      </c>
      <c r="H133" s="122" t="str">
        <f t="shared" si="1"/>
        <v>jeetaryan20866@gmail.com</v>
      </c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</row>
    <row r="134">
      <c r="C134" s="123">
        <f>MINIFS(collexo_data!B:B,collexo_data!A:A,A134)</f>
        <v>46093</v>
      </c>
      <c r="D134" s="120" t="str">
        <f>vlookup(A134,collexo_data!A:M,13,0)</f>
        <v>Patna</v>
      </c>
      <c r="E134" s="122" t="str">
        <f>vlookup(A134,collexo_data!A:O,15,0)</f>
        <v>Kshama Jha</v>
      </c>
      <c r="F134" s="120">
        <f>vlookup(A134,collexo_data!A:S,19,0)</f>
        <v>7004569768</v>
      </c>
      <c r="G134" s="122" t="str">
        <f>vlookup(A134,collexo_data!A:R,18,0)</f>
        <v>State PCS</v>
      </c>
      <c r="H134" s="122" t="str">
        <f t="shared" si="1"/>
        <v>jhakshama15@gmail.com</v>
      </c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</row>
    <row r="135">
      <c r="C135" s="123">
        <f>MINIFS(collexo_data!B:B,collexo_data!A:A,A135)</f>
        <v>46104</v>
      </c>
      <c r="D135" s="120" t="str">
        <f>vlookup(A135,collexo_data!A:M,13,0)</f>
        <v>Patna</v>
      </c>
      <c r="E135" s="122" t="str">
        <f>vlookup(A135,collexo_data!A:O,15,0)</f>
        <v>Jessica kumari</v>
      </c>
      <c r="F135" s="120">
        <f>vlookup(A135,collexo_data!A:S,19,0)</f>
        <v>9288647058</v>
      </c>
      <c r="G135" s="122" t="str">
        <f>vlookup(A135,collexo_data!A:R,18,0)</f>
        <v>GS Foundation Course</v>
      </c>
      <c r="H135" s="122" t="str">
        <f t="shared" si="1"/>
        <v>jjessicasingh1@gmail.com</v>
      </c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</row>
    <row r="136">
      <c r="C136" s="123">
        <f>MINIFS(collexo_data!B:B,collexo_data!A:A,A136)</f>
        <v>46098</v>
      </c>
      <c r="D136" s="120" t="str">
        <f>vlookup(A136,collexo_data!A:M,13,0)</f>
        <v>New Delhi</v>
      </c>
      <c r="E136" s="122" t="str">
        <f>vlookup(A136,collexo_data!A:O,15,0)</f>
        <v>shubhi upadhaya</v>
      </c>
      <c r="F136" s="120">
        <f>vlookup(A136,collexo_data!A:S,19,0)</f>
        <v>7017304313</v>
      </c>
      <c r="G136" s="122" t="str">
        <f>vlookup(A136,collexo_data!A:R,18,0)</f>
        <v>GS Foundation Course</v>
      </c>
      <c r="H136" s="122" t="str">
        <f t="shared" si="1"/>
        <v>jupadhyaya058@gmail.com</v>
      </c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</row>
    <row r="137">
      <c r="C137" s="123">
        <f>MINIFS(collexo_data!B:B,collexo_data!A:A,A137)</f>
        <v>46081</v>
      </c>
      <c r="D137" s="120" t="str">
        <f>vlookup(A137,collexo_data!A:M,13,0)</f>
        <v>Patna</v>
      </c>
      <c r="E137" s="122" t="str">
        <f>vlookup(A137,collexo_data!A:O,15,0)</f>
        <v>Kajal kumari</v>
      </c>
      <c r="F137" s="120">
        <f>vlookup(A137,collexo_data!A:S,19,0)</f>
        <v>9153765437</v>
      </c>
      <c r="G137" s="122" t="str">
        <f>vlookup(A137,collexo_data!A:R,18,0)</f>
        <v>State PCS</v>
      </c>
      <c r="H137" s="122" t="str">
        <f t="shared" si="1"/>
        <v>kajalkumariabhis@gmail.com</v>
      </c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</row>
    <row r="138">
      <c r="C138" s="123">
        <f>MINIFS(collexo_data!B:B,collexo_data!A:A,A138)</f>
        <v>46067</v>
      </c>
      <c r="D138" s="120" t="str">
        <f>vlookup(A138,collexo_data!A:M,13,0)</f>
        <v>New Delhi</v>
      </c>
      <c r="E138" s="122" t="str">
        <f>vlookup(A138,collexo_data!A:O,15,0)</f>
        <v>Denim</v>
      </c>
      <c r="F138" s="120">
        <f>vlookup(A138,collexo_data!A:S,19,0)</f>
        <v>7629971971</v>
      </c>
      <c r="G138" s="122" t="str">
        <f>vlookup(A138,collexo_data!A:R,18,0)</f>
        <v>GS Foundation Course</v>
      </c>
      <c r="H138" s="122" t="str">
        <f t="shared" si="1"/>
        <v>kalayidenim@gmail.com</v>
      </c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</row>
    <row r="139">
      <c r="C139" s="123">
        <f>MINIFS(collexo_data!B:B,collexo_data!A:A,A139)</f>
        <v>46093</v>
      </c>
      <c r="D139" s="120" t="str">
        <f>vlookup(A139,collexo_data!A:M,13,0)</f>
        <v>Prayagraj</v>
      </c>
      <c r="E139" s="122" t="str">
        <f>vlookup(A139,collexo_data!A:O,15,0)</f>
        <v>Kalpana</v>
      </c>
      <c r="F139" s="120">
        <f>vlookup(A139,collexo_data!A:S,19,0)</f>
        <v>8299856645</v>
      </c>
      <c r="G139" s="122" t="str">
        <f>vlookup(A139,collexo_data!A:R,18,0)</f>
        <v>GS Foundation Course</v>
      </c>
      <c r="H139" s="122" t="str">
        <f t="shared" si="1"/>
        <v>kalpananishad101@gmail.com</v>
      </c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</row>
    <row r="140">
      <c r="C140" s="123">
        <f>MINIFS(collexo_data!B:B,collexo_data!A:A,A140)</f>
        <v>46058</v>
      </c>
      <c r="D140" s="120" t="str">
        <f>vlookup(A140,collexo_data!A:M,13,0)</f>
        <v>New Delhi</v>
      </c>
      <c r="E140" s="122" t="str">
        <f>vlookup(A140,collexo_data!A:O,15,0)</f>
        <v>Kartik</v>
      </c>
      <c r="F140" s="120">
        <f>vlookup(A140,collexo_data!A:S,19,0)</f>
        <v>9413592675</v>
      </c>
      <c r="G140" s="122" t="str">
        <f>vlookup(A140,collexo_data!A:R,18,0)</f>
        <v>GS Foundation Course</v>
      </c>
      <c r="H140" s="122" t="str">
        <f t="shared" si="1"/>
        <v>kartiksharma98224@gmail.com</v>
      </c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</row>
    <row r="141">
      <c r="C141" s="123">
        <f>MINIFS(collexo_data!B:B,collexo_data!A:A,A141)</f>
        <v>46095</v>
      </c>
      <c r="D141" s="120" t="str">
        <f>vlookup(A141,collexo_data!A:M,13,0)</f>
        <v>Prayagraj</v>
      </c>
      <c r="E141" s="122" t="str">
        <f>vlookup(A141,collexo_data!A:O,15,0)</f>
        <v>Kashish</v>
      </c>
      <c r="F141" s="120">
        <f>vlookup(A141,collexo_data!A:S,19,0)</f>
        <v>9630365630</v>
      </c>
      <c r="G141" s="122" t="str">
        <f>vlookup(A141,collexo_data!A:R,18,0)</f>
        <v>GS Foundation Course</v>
      </c>
      <c r="H141" s="122" t="str">
        <f t="shared" si="1"/>
        <v>kashishguru12345@gmail.com</v>
      </c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</row>
    <row r="142">
      <c r="C142" s="123">
        <f>MINIFS(collexo_data!B:B,collexo_data!A:A,A142)</f>
        <v>46101</v>
      </c>
      <c r="D142" s="120" t="str">
        <f>vlookup(A142,collexo_data!A:M,13,0)</f>
        <v>New Delhi</v>
      </c>
      <c r="E142" s="122" t="str">
        <f>vlookup(A142,collexo_data!A:O,15,0)</f>
        <v>Shreyansh</v>
      </c>
      <c r="F142" s="120">
        <f>vlookup(A142,collexo_data!A:S,19,0)</f>
        <v>9910810797</v>
      </c>
      <c r="G142" s="122" t="str">
        <f>vlookup(A142,collexo_data!A:R,18,0)</f>
        <v>GS Foundation Course</v>
      </c>
      <c r="H142" s="122" t="str">
        <f t="shared" si="1"/>
        <v>Kashyapshreyansh53@gmail.com</v>
      </c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</row>
    <row r="143">
      <c r="C143" s="123">
        <f>MINIFS(collexo_data!B:B,collexo_data!A:A,A143)</f>
        <v>46092</v>
      </c>
      <c r="D143" s="120" t="str">
        <f>vlookup(A143,collexo_data!A:M,13,0)</f>
        <v>Prayagraj</v>
      </c>
      <c r="E143" s="122" t="str">
        <f>vlookup(A143,collexo_data!A:O,15,0)</f>
        <v>Sanya</v>
      </c>
      <c r="F143" s="120">
        <f>vlookup(A143,collexo_data!A:S,19,0)</f>
        <v>8381946988</v>
      </c>
      <c r="G143" s="122" t="str">
        <f>vlookup(A143,collexo_data!A:R,18,0)</f>
        <v>GS Foundation Course</v>
      </c>
      <c r="H143" s="122" t="str">
        <f t="shared" si="1"/>
        <v>keshrisanya53@gmail.com</v>
      </c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  <c r="AD143" s="113"/>
      <c r="AE143" s="113"/>
      <c r="AF143" s="113"/>
    </row>
    <row r="144">
      <c r="C144" s="123">
        <f>MINIFS(collexo_data!B:B,collexo_data!A:A,A144)</f>
        <v>46101</v>
      </c>
      <c r="D144" s="120" t="str">
        <f>vlookup(A144,collexo_data!A:M,13,0)</f>
        <v>Patna</v>
      </c>
      <c r="E144" s="122" t="str">
        <f>vlookup(A144,collexo_data!A:O,15,0)</f>
        <v>kajal</v>
      </c>
      <c r="F144" s="120">
        <f>vlookup(A144,collexo_data!A:S,19,0)</f>
        <v>9508792060</v>
      </c>
      <c r="G144" s="122" t="str">
        <f>vlookup(A144,collexo_data!A:R,18,0)</f>
        <v>State PCS</v>
      </c>
      <c r="H144" s="122" t="str">
        <f t="shared" si="1"/>
        <v>kg082051@gmail.com</v>
      </c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</row>
    <row r="145">
      <c r="C145" s="123">
        <f>MINIFS(collexo_data!B:B,collexo_data!A:A,A145)</f>
        <v>46042</v>
      </c>
      <c r="D145" s="120" t="str">
        <f>vlookup(A145,collexo_data!A:M,13,0)</f>
        <v>New Delhi</v>
      </c>
      <c r="E145" s="122" t="str">
        <f>vlookup(A145,collexo_data!A:O,15,0)</f>
        <v>Khushboo .</v>
      </c>
      <c r="F145" s="120" t="str">
        <f>vlookup(A145,collexo_data!A:S,19,0)</f>
        <v>Not Available</v>
      </c>
      <c r="G145" s="122" t="str">
        <f>vlookup(A145,collexo_data!A:R,18,0)</f>
        <v>Not Available</v>
      </c>
      <c r="H145" s="122" t="str">
        <f t="shared" si="1"/>
        <v>khushboochouhan63758@gmail.com</v>
      </c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</row>
    <row r="146">
      <c r="C146" s="123">
        <f>MINIFS(collexo_data!B:B,collexo_data!A:A,A146)</f>
        <v>46046</v>
      </c>
      <c r="D146" s="120" t="str">
        <f>vlookup(A146,collexo_data!A:M,13,0)</f>
        <v>New Delhi</v>
      </c>
      <c r="E146" s="122" t="str">
        <f>vlookup(A146,collexo_data!A:O,15,0)</f>
        <v>Khushbu Jasavat</v>
      </c>
      <c r="F146" s="120">
        <f>vlookup(A146,collexo_data!A:S,19,0)</f>
        <v>7375013137</v>
      </c>
      <c r="G146" s="122" t="str">
        <f>vlookup(A146,collexo_data!A:R,18,0)</f>
        <v>GS Foundation Course</v>
      </c>
      <c r="H146" s="122" t="str">
        <f t="shared" si="1"/>
        <v>khushbujasavat20@gmail.com</v>
      </c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</row>
    <row r="147">
      <c r="C147" s="123">
        <f>MINIFS(collexo_data!B:B,collexo_data!A:A,A147)</f>
        <v>46035</v>
      </c>
      <c r="D147" s="120" t="str">
        <f>vlookup(A147,collexo_data!A:M,13,0)</f>
        <v>New Delhi</v>
      </c>
      <c r="E147" s="122" t="str">
        <f>vlookup(A147,collexo_data!A:O,15,0)</f>
        <v>KHUSHI KUMARI</v>
      </c>
      <c r="F147" s="120" t="str">
        <f>vlookup(A147,collexo_data!A:S,19,0)</f>
        <v>Not Available</v>
      </c>
      <c r="G147" s="122" t="str">
        <f>vlookup(A147,collexo_data!A:R,18,0)</f>
        <v>Not Available</v>
      </c>
      <c r="H147" s="122" t="str">
        <f t="shared" si="1"/>
        <v>khushidnmps1608@gmail.com</v>
      </c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</row>
    <row r="148">
      <c r="C148" s="123">
        <f>MINIFS(collexo_data!B:B,collexo_data!A:A,A148)</f>
        <v>46106</v>
      </c>
      <c r="D148" s="120" t="str">
        <f>vlookup(A148,collexo_data!A:M,13,0)</f>
        <v>Prayagraj</v>
      </c>
      <c r="E148" s="122" t="str">
        <f>vlookup(A148,collexo_data!A:O,15,0)</f>
        <v>Khushi Maurya</v>
      </c>
      <c r="F148" s="120">
        <f>vlookup(A148,collexo_data!A:S,19,0)</f>
        <v>8417846306</v>
      </c>
      <c r="G148" s="122" t="str">
        <f>vlookup(A148,collexo_data!A:R,18,0)</f>
        <v>GS Foundation Course</v>
      </c>
      <c r="H148" s="122" t="str">
        <f t="shared" si="1"/>
        <v>khushimaurya8473@gmail.com</v>
      </c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</row>
    <row r="149">
      <c r="C149" s="123">
        <f>MINIFS(collexo_data!B:B,collexo_data!A:A,A149)</f>
        <v>46100</v>
      </c>
      <c r="D149" s="120" t="str">
        <f>vlookup(A149,collexo_data!A:M,13,0)</f>
        <v>Prayagraj</v>
      </c>
      <c r="E149" s="122" t="str">
        <f>vlookup(A149,collexo_data!A:O,15,0)</f>
        <v>Nandita pandey</v>
      </c>
      <c r="F149" s="120">
        <f>vlookup(A149,collexo_data!A:S,19,0)</f>
        <v>8400954509</v>
      </c>
      <c r="G149" s="122" t="str">
        <f>vlookup(A149,collexo_data!A:R,18,0)</f>
        <v>GS Foundation Course</v>
      </c>
      <c r="H149" s="122" t="str">
        <f t="shared" si="1"/>
        <v>kinkarkkumarpandey@gmail.com</v>
      </c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</row>
    <row r="150">
      <c r="C150" s="123">
        <f>MINIFS(collexo_data!B:B,collexo_data!A:A,A150)</f>
        <v>46104</v>
      </c>
      <c r="D150" s="120" t="str">
        <f>vlookup(A150,collexo_data!A:M,13,0)</f>
        <v>Prayagraj</v>
      </c>
      <c r="E150" s="122" t="str">
        <f>vlookup(A150,collexo_data!A:O,15,0)</f>
        <v>Shashwat Singh</v>
      </c>
      <c r="F150" s="120">
        <f>vlookup(A150,collexo_data!A:S,19,0)</f>
        <v>7307786815</v>
      </c>
      <c r="G150" s="122" t="str">
        <f>vlookup(A150,collexo_data!A:R,18,0)</f>
        <v>Mentorship - Samadhan</v>
      </c>
      <c r="H150" s="122" t="str">
        <f t="shared" si="1"/>
        <v>kisansingh4840@gmail.com</v>
      </c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</row>
    <row r="151">
      <c r="C151" s="123">
        <f>MINIFS(collexo_data!B:B,collexo_data!A:A,A151)</f>
        <v>46095</v>
      </c>
      <c r="D151" s="120" t="str">
        <f>vlookup(A151,collexo_data!A:M,13,0)</f>
        <v>Prayagraj</v>
      </c>
      <c r="E151" s="122" t="str">
        <f>vlookup(A151,collexo_data!A:O,15,0)</f>
        <v>Kishan Kumarsaroj</v>
      </c>
      <c r="F151" s="120">
        <f>vlookup(A151,collexo_data!A:S,19,0)</f>
        <v>7234804724</v>
      </c>
      <c r="G151" s="122" t="str">
        <f>vlookup(A151,collexo_data!A:R,18,0)</f>
        <v>GS Foundation Course</v>
      </c>
      <c r="H151" s="122" t="str">
        <f t="shared" si="1"/>
        <v>kishankumarsaroj528@gmail.com</v>
      </c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  <c r="AD151" s="113"/>
      <c r="AE151" s="113"/>
      <c r="AF151" s="113"/>
    </row>
    <row r="152">
      <c r="C152" s="123">
        <f>MINIFS(collexo_data!B:B,collexo_data!A:A,A152)</f>
        <v>46101</v>
      </c>
      <c r="D152" s="120" t="str">
        <f>vlookup(A152,collexo_data!A:M,13,0)</f>
        <v>New Delhi</v>
      </c>
      <c r="E152" s="122" t="str">
        <f>vlookup(A152,collexo_data!A:O,15,0)</f>
        <v>Komal</v>
      </c>
      <c r="F152" s="120">
        <f>vlookup(A152,collexo_data!A:S,19,0)</f>
        <v>8882617101</v>
      </c>
      <c r="G152" s="122" t="str">
        <f>vlookup(A152,collexo_data!A:R,18,0)</f>
        <v>GS Foundation Course</v>
      </c>
      <c r="H152" s="122" t="str">
        <f t="shared" si="1"/>
        <v>komal.pandey8178@gmail.com</v>
      </c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  <c r="AD152" s="113"/>
      <c r="AE152" s="113"/>
      <c r="AF152" s="113"/>
    </row>
    <row r="153">
      <c r="C153" s="123">
        <f>MINIFS(collexo_data!B:B,collexo_data!A:A,A153)</f>
        <v>46095</v>
      </c>
      <c r="D153" s="120" t="str">
        <f>vlookup(A153,collexo_data!A:M,13,0)</f>
        <v>Indore</v>
      </c>
      <c r="E153" s="122" t="str">
        <f>vlookup(A153,collexo_data!A:O,15,0)</f>
        <v>Komal Vishwakarma</v>
      </c>
      <c r="F153" s="120">
        <f>vlookup(A153,collexo_data!A:S,19,0)</f>
        <v>7697874912</v>
      </c>
      <c r="G153" s="122" t="str">
        <f>vlookup(A153,collexo_data!A:R,18,0)</f>
        <v>GS Foundation Course</v>
      </c>
      <c r="H153" s="122" t="str">
        <f t="shared" si="1"/>
        <v>komalvishwakarma383@gmail.com</v>
      </c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  <c r="AD153" s="113"/>
      <c r="AE153" s="113"/>
      <c r="AF153" s="113"/>
    </row>
    <row r="154">
      <c r="C154" s="123">
        <f>MINIFS(collexo_data!B:B,collexo_data!A:A,A154)</f>
        <v>46083</v>
      </c>
      <c r="D154" s="120" t="str">
        <f>vlookup(A154,collexo_data!A:M,13,0)</f>
        <v>New Delhi</v>
      </c>
      <c r="E154" s="122" t="str">
        <f>vlookup(A154,collexo_data!A:O,15,0)</f>
        <v>BIJOY KRISHNA HAZARIKA</v>
      </c>
      <c r="F154" s="120">
        <f>vlookup(A154,collexo_data!A:S,19,0)</f>
        <v>7005031489</v>
      </c>
      <c r="G154" s="122" t="str">
        <f>vlookup(A154,collexo_data!A:R,18,0)</f>
        <v>GS Foundation Course</v>
      </c>
      <c r="H154" s="122" t="str">
        <f t="shared" si="1"/>
        <v>krishnabijoy2000@gmail.com</v>
      </c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  <c r="AD154" s="113"/>
      <c r="AE154" s="113"/>
      <c r="AF154" s="113"/>
    </row>
    <row r="155">
      <c r="C155" s="123">
        <f>MINIFS(collexo_data!B:B,collexo_data!A:A,A155)</f>
        <v>46100</v>
      </c>
      <c r="D155" s="120" t="str">
        <f>vlookup(A155,collexo_data!A:M,13,0)</f>
        <v>New Delhi</v>
      </c>
      <c r="E155" s="122" t="str">
        <f>vlookup(A155,collexo_data!A:O,15,0)</f>
        <v>PIYUSH MAURYA</v>
      </c>
      <c r="F155" s="120">
        <f>vlookup(A155,collexo_data!A:S,19,0)</f>
        <v>8957919936</v>
      </c>
      <c r="G155" s="122" t="str">
        <f>vlookup(A155,collexo_data!A:R,18,0)</f>
        <v>GS Foundation Course</v>
      </c>
      <c r="H155" s="122" t="str">
        <f t="shared" si="1"/>
        <v>krpiyushmaurya@gmail.com</v>
      </c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  <c r="AD155" s="113"/>
      <c r="AE155" s="113"/>
      <c r="AF155" s="113"/>
    </row>
    <row r="156">
      <c r="C156" s="123">
        <f>MINIFS(collexo_data!B:B,collexo_data!A:A,A156)</f>
        <v>46087</v>
      </c>
      <c r="D156" s="120" t="str">
        <f>vlookup(A156,collexo_data!A:M,13,0)</f>
        <v>New Delhi</v>
      </c>
      <c r="E156" s="122" t="str">
        <f>vlookup(A156,collexo_data!A:O,15,0)</f>
        <v>Komal</v>
      </c>
      <c r="F156" s="120">
        <f>vlookup(A156,collexo_data!A:S,19,0)</f>
        <v>9053823253</v>
      </c>
      <c r="G156" s="122" t="str">
        <f>vlookup(A156,collexo_data!A:R,18,0)</f>
        <v>GS Foundation Course</v>
      </c>
      <c r="H156" s="122" t="str">
        <f t="shared" si="1"/>
        <v>ks1965532@gmail.com</v>
      </c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  <c r="AD156" s="113"/>
      <c r="AE156" s="113"/>
      <c r="AF156" s="113"/>
    </row>
    <row r="157">
      <c r="C157" s="123">
        <f>MINIFS(collexo_data!B:B,collexo_data!A:A,A157)</f>
        <v>46069</v>
      </c>
      <c r="D157" s="120" t="str">
        <f>vlookup(A157,collexo_data!A:M,13,0)</f>
        <v>Indore</v>
      </c>
      <c r="E157" s="122" t="str">
        <f>vlookup(A157,collexo_data!A:O,15,0)</f>
        <v>Krishnapal Sisodiya</v>
      </c>
      <c r="F157" s="120">
        <f>vlookup(A157,collexo_data!A:S,19,0)</f>
        <v>6260648487</v>
      </c>
      <c r="G157" s="122" t="str">
        <f>vlookup(A157,collexo_data!A:R,18,0)</f>
        <v>GS Foundation Course</v>
      </c>
      <c r="H157" s="122" t="str">
        <f t="shared" si="1"/>
        <v>ks4172665@gmail.com</v>
      </c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</row>
    <row r="158">
      <c r="C158" s="123">
        <f>MINIFS(collexo_data!B:B,collexo_data!A:A,A158)</f>
        <v>46099</v>
      </c>
      <c r="D158" s="120" t="str">
        <f>vlookup(A158,collexo_data!A:M,13,0)</f>
        <v>Prayagraj</v>
      </c>
      <c r="E158" s="122" t="str">
        <f>vlookup(A158,collexo_data!A:O,15,0)</f>
        <v>Kuldeep rajpoot</v>
      </c>
      <c r="F158" s="120">
        <f>vlookup(A158,collexo_data!A:S,19,0)</f>
        <v>9580636288</v>
      </c>
      <c r="G158" s="122" t="str">
        <f>vlookup(A158,collexo_data!A:R,18,0)</f>
        <v>GS Foundation Course</v>
      </c>
      <c r="H158" s="122" t="str">
        <f t="shared" si="1"/>
        <v>kuldeeprajpoot9448@gmail.com</v>
      </c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  <c r="AD158" s="113"/>
      <c r="AE158" s="113"/>
      <c r="AF158" s="113"/>
    </row>
    <row r="159">
      <c r="C159" s="123">
        <f>MINIFS(collexo_data!B:B,collexo_data!A:A,A159)</f>
        <v>46092</v>
      </c>
      <c r="D159" s="120" t="str">
        <f>vlookup(A159,collexo_data!A:M,13,0)</f>
        <v>Lucknow</v>
      </c>
      <c r="E159" s="122" t="str">
        <f>vlookup(A159,collexo_data!A:O,15,0)</f>
        <v>PRIYANKA</v>
      </c>
      <c r="F159" s="120">
        <f>vlookup(A159,collexo_data!A:S,19,0)</f>
        <v>9120491012</v>
      </c>
      <c r="G159" s="122" t="str">
        <f>vlookup(A159,collexo_data!A:R,18,0)</f>
        <v>GS Foundation Course</v>
      </c>
      <c r="H159" s="122" t="str">
        <f t="shared" si="1"/>
        <v>kumaranand45615@gmail.com</v>
      </c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  <c r="AD159" s="113"/>
      <c r="AE159" s="113"/>
      <c r="AF159" s="113"/>
    </row>
    <row r="160">
      <c r="C160" s="123">
        <f>MINIFS(collexo_data!B:B,collexo_data!A:A,A160)</f>
        <v>46112</v>
      </c>
      <c r="D160" s="120" t="str">
        <f>vlookup(A160,collexo_data!A:M,13,0)</f>
        <v>Prayagraj</v>
      </c>
      <c r="E160" s="122" t="str">
        <f>vlookup(A160,collexo_data!A:O,15,0)</f>
        <v>Ankit Sahu</v>
      </c>
      <c r="F160" s="120">
        <f>vlookup(A160,collexo_data!A:S,19,0)</f>
        <v>9628999930</v>
      </c>
      <c r="G160" s="122" t="str">
        <f>vlookup(A160,collexo_data!A:R,18,0)</f>
        <v>Mentorship - Samadhan</v>
      </c>
      <c r="H160" s="122" t="str">
        <f t="shared" si="1"/>
        <v>kumarasalbd@gmail.com</v>
      </c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</row>
    <row r="161">
      <c r="C161" s="123">
        <f>MINIFS(collexo_data!B:B,collexo_data!A:A,A161)</f>
        <v>46109</v>
      </c>
      <c r="D161" s="120" t="str">
        <f>vlookup(A161,collexo_data!A:M,13,0)</f>
        <v>Patna</v>
      </c>
      <c r="E161" s="122" t="str">
        <f>vlookup(A161,collexo_data!A:O,15,0)</f>
        <v>Ashutosh</v>
      </c>
      <c r="F161" s="120">
        <f>vlookup(A161,collexo_data!A:S,19,0)</f>
        <v>6201407029</v>
      </c>
      <c r="G161" s="122" t="str">
        <f>vlookup(A161,collexo_data!A:R,18,0)</f>
        <v>GS Foundation Course</v>
      </c>
      <c r="H161" s="122" t="str">
        <f t="shared" si="1"/>
        <v>kumarashutoshyadav4567@gmail.com</v>
      </c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  <c r="AD161" s="113"/>
      <c r="AE161" s="113"/>
      <c r="AF161" s="113"/>
    </row>
    <row r="162">
      <c r="C162" s="123">
        <f>MINIFS(collexo_data!B:B,collexo_data!A:A,A162)</f>
        <v>46097</v>
      </c>
      <c r="D162" s="120" t="str">
        <f>vlookup(A162,collexo_data!A:M,13,0)</f>
        <v>Prayagraj</v>
      </c>
      <c r="E162" s="122" t="str">
        <f>vlookup(A162,collexo_data!A:O,15,0)</f>
        <v>Ashutosh Kumar</v>
      </c>
      <c r="F162" s="120">
        <f>vlookup(A162,collexo_data!A:S,19,0)</f>
        <v>7080849027</v>
      </c>
      <c r="G162" s="122" t="str">
        <f>vlookup(A162,collexo_data!A:R,18,0)</f>
        <v>GS Foundation Course</v>
      </c>
      <c r="H162" s="122" t="str">
        <f t="shared" si="1"/>
        <v>kumarbindashutosh05@gmail.com</v>
      </c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  <c r="AD162" s="113"/>
      <c r="AE162" s="113"/>
      <c r="AF162" s="113"/>
    </row>
    <row r="163">
      <c r="C163" s="123">
        <f>MINIFS(collexo_data!B:B,collexo_data!A:A,A163)</f>
        <v>46106</v>
      </c>
      <c r="D163" s="120" t="str">
        <f>vlookup(A163,collexo_data!A:M,13,0)</f>
        <v>New Delhi</v>
      </c>
      <c r="E163" s="122" t="str">
        <f>vlookup(A163,collexo_data!A:O,15,0)</f>
        <v>Prince</v>
      </c>
      <c r="F163" s="120">
        <f>vlookup(A163,collexo_data!A:S,19,0)</f>
        <v>6203069840</v>
      </c>
      <c r="G163" s="122" t="str">
        <f>vlookup(A163,collexo_data!A:R,18,0)</f>
        <v>GS Foundation Course</v>
      </c>
      <c r="H163" s="122" t="str">
        <f t="shared" si="1"/>
        <v>kumarprince33899@gmail.com</v>
      </c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  <c r="AD163" s="113"/>
      <c r="AE163" s="113"/>
      <c r="AF163" s="113"/>
    </row>
    <row r="164">
      <c r="C164" s="123">
        <f>MINIFS(collexo_data!B:B,collexo_data!A:A,A164)</f>
        <v>46069</v>
      </c>
      <c r="D164" s="120" t="str">
        <f>vlookup(A164,collexo_data!A:M,13,0)</f>
        <v>New Delhi</v>
      </c>
      <c r="E164" s="122" t="str">
        <f>vlookup(A164,collexo_data!A:O,15,0)</f>
        <v>Kumar Setu</v>
      </c>
      <c r="F164" s="120">
        <f>vlookup(A164,collexo_data!A:S,19,0)</f>
        <v>8287887061</v>
      </c>
      <c r="G164" s="122" t="str">
        <f>vlookup(A164,collexo_data!A:R,18,0)</f>
        <v>GS Foundation Course</v>
      </c>
      <c r="H164" s="122" t="str">
        <f t="shared" si="1"/>
        <v>kumarsetu16.ka@gmail.com</v>
      </c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  <c r="AD164" s="113"/>
      <c r="AE164" s="113"/>
      <c r="AF164" s="113"/>
    </row>
    <row r="165">
      <c r="C165" s="123">
        <f>MINIFS(collexo_data!B:B,collexo_data!A:A,A165)</f>
        <v>46099</v>
      </c>
      <c r="D165" s="120" t="str">
        <f>vlookup(A165,collexo_data!A:M,13,0)</f>
        <v>Prayagraj</v>
      </c>
      <c r="E165" s="122" t="str">
        <f>vlookup(A165,collexo_data!A:O,15,0)</f>
        <v>Shiwangi kumari</v>
      </c>
      <c r="F165" s="120">
        <f>vlookup(A165,collexo_data!A:S,19,0)</f>
        <v>9631918855</v>
      </c>
      <c r="G165" s="122" t="str">
        <f>vlookup(A165,collexo_data!A:R,18,0)</f>
        <v>GS Foundation Course</v>
      </c>
      <c r="H165" s="122" t="str">
        <f t="shared" si="1"/>
        <v>kushikumari@gmail.com</v>
      </c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</row>
    <row r="166">
      <c r="C166" s="123">
        <f>MINIFS(collexo_data!B:B,collexo_data!A:A,A166)</f>
        <v>46050</v>
      </c>
      <c r="D166" s="120" t="str">
        <f>vlookup(A166,collexo_data!A:M,13,0)</f>
        <v>New Delhi</v>
      </c>
      <c r="E166" s="122" t="str">
        <f>vlookup(A166,collexo_data!A:O,15,0)</f>
        <v>Suraj kushwah</v>
      </c>
      <c r="F166" s="120">
        <f>vlookup(A166,collexo_data!A:S,19,0)</f>
        <v>9009637429</v>
      </c>
      <c r="G166" s="122" t="str">
        <f>vlookup(A166,collexo_data!A:R,18,0)</f>
        <v>GS Foundation Course</v>
      </c>
      <c r="H166" s="122" t="str">
        <f t="shared" si="1"/>
        <v>kushwahsuraj17@gmail.com</v>
      </c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</row>
    <row r="167">
      <c r="C167" s="123">
        <f>MINIFS(collexo_data!B:B,collexo_data!A:A,A167)</f>
        <v>46071</v>
      </c>
      <c r="D167" s="120" t="str">
        <f>vlookup(A167,collexo_data!A:M,13,0)</f>
        <v>New Delhi</v>
      </c>
      <c r="E167" s="122" t="str">
        <f>vlookup(A167,collexo_data!A:O,15,0)</f>
        <v>LAKSHAY</v>
      </c>
      <c r="F167" s="120">
        <f>vlookup(A167,collexo_data!A:S,19,0)</f>
        <v>8920811162</v>
      </c>
      <c r="G167" s="122" t="str">
        <f>vlookup(A167,collexo_data!A:R,18,0)</f>
        <v>GS Foundation Course</v>
      </c>
      <c r="H167" s="122" t="str">
        <f t="shared" si="1"/>
        <v>lakshayrana1406@gmail.com</v>
      </c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</row>
    <row r="168">
      <c r="C168" s="123">
        <f>MINIFS(collexo_data!B:B,collexo_data!A:A,A168)</f>
        <v>46046</v>
      </c>
      <c r="D168" s="120" t="str">
        <f>vlookup(A168,collexo_data!A:M,13,0)</f>
        <v>New Delhi</v>
      </c>
      <c r="E168" s="122" t="str">
        <f>vlookup(A168,collexo_data!A:O,15,0)</f>
        <v>lakshmi</v>
      </c>
      <c r="F168" s="120">
        <f>vlookup(A168,collexo_data!A:S,19,0)</f>
        <v>7050309334</v>
      </c>
      <c r="G168" s="122" t="str">
        <f>vlookup(A168,collexo_data!A:R,18,0)</f>
        <v>GS Foundation Course</v>
      </c>
      <c r="H168" s="122" t="str">
        <f t="shared" si="1"/>
        <v>lakshmikumari98168@gmail.com</v>
      </c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</row>
    <row r="169">
      <c r="C169" s="123">
        <f>MINIFS(collexo_data!B:B,collexo_data!A:A,A169)</f>
        <v>46046</v>
      </c>
      <c r="D169" s="120" t="str">
        <f>vlookup(A169,collexo_data!A:M,13,0)</f>
        <v>New Delhi</v>
      </c>
      <c r="E169" s="122" t="str">
        <f>vlookup(A169,collexo_data!A:O,15,0)</f>
        <v>lakshya</v>
      </c>
      <c r="F169" s="120">
        <f>vlookup(A169,collexo_data!A:S,19,0)</f>
        <v>9355666501</v>
      </c>
      <c r="G169" s="122" t="str">
        <f>vlookup(A169,collexo_data!A:R,18,0)</f>
        <v>GS Foundation Course</v>
      </c>
      <c r="H169" s="122" t="str">
        <f t="shared" si="1"/>
        <v>lakshya.guptaforwork@gmail.com</v>
      </c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</row>
    <row r="170">
      <c r="C170" s="123">
        <f>MINIFS(collexo_data!B:B,collexo_data!A:A,A170)</f>
        <v>46075</v>
      </c>
      <c r="D170" s="120" t="str">
        <f>vlookup(A170,collexo_data!A:M,13,0)</f>
        <v>New Delhi</v>
      </c>
      <c r="E170" s="122" t="str">
        <f>vlookup(A170,collexo_data!A:O,15,0)</f>
        <v>Lavanya</v>
      </c>
      <c r="F170" s="120">
        <f>vlookup(A170,collexo_data!A:S,19,0)</f>
        <v>9971763377</v>
      </c>
      <c r="G170" s="122" t="str">
        <f>vlookup(A170,collexo_data!A:R,18,0)</f>
        <v>GS Foundation Course</v>
      </c>
      <c r="H170" s="122" t="str">
        <f t="shared" si="1"/>
        <v>lavanyachoudhary928@gmail.com</v>
      </c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</row>
    <row r="171">
      <c r="C171" s="123">
        <f>MINIFS(collexo_data!B:B,collexo_data!A:A,A171)</f>
        <v>46076</v>
      </c>
      <c r="D171" s="120" t="str">
        <f>vlookup(A171,collexo_data!A:M,13,0)</f>
        <v>New Delhi</v>
      </c>
      <c r="E171" s="122" t="str">
        <f>vlookup(A171,collexo_data!A:O,15,0)</f>
        <v>Lokesh</v>
      </c>
      <c r="F171" s="120">
        <f>vlookup(A171,collexo_data!A:S,19,0)</f>
        <v>8178194044</v>
      </c>
      <c r="G171" s="122" t="str">
        <f>vlookup(A171,collexo_data!A:R,18,0)</f>
        <v>GS Foundation Course</v>
      </c>
      <c r="H171" s="122" t="str">
        <f t="shared" si="1"/>
        <v>lokesh2129verma@gmail.com</v>
      </c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</row>
    <row r="172">
      <c r="C172" s="123">
        <f>MINIFS(collexo_data!B:B,collexo_data!A:A,A172)</f>
        <v>46057</v>
      </c>
      <c r="D172" s="120" t="str">
        <f>vlookup(A172,collexo_data!A:M,13,0)</f>
        <v>New Delhi</v>
      </c>
      <c r="E172" s="122" t="str">
        <f>vlookup(A172,collexo_data!A:O,15,0)</f>
        <v>Vedant Mishra</v>
      </c>
      <c r="F172" s="120">
        <f>vlookup(A172,collexo_data!A:S,19,0)</f>
        <v>8177006887</v>
      </c>
      <c r="G172" s="122" t="str">
        <f>vlookup(A172,collexo_data!A:R,18,0)</f>
        <v>GS Foundation Course</v>
      </c>
      <c r="H172" s="122" t="str">
        <f t="shared" si="1"/>
        <v>lugloadvedant@gmail.com</v>
      </c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  <c r="AD172" s="113"/>
      <c r="AE172" s="113"/>
      <c r="AF172" s="113"/>
    </row>
    <row r="173">
      <c r="C173" s="123">
        <f>MINIFS(collexo_data!B:B,collexo_data!A:A,A173)</f>
        <v>46079</v>
      </c>
      <c r="D173" s="120" t="str">
        <f>vlookup(A173,collexo_data!A:M,13,0)</f>
        <v>Prayagraj</v>
      </c>
      <c r="E173" s="122" t="str">
        <f>vlookup(A173,collexo_data!A:O,15,0)</f>
        <v>Mandavi Singh</v>
      </c>
      <c r="F173" s="120">
        <f>vlookup(A173,collexo_data!A:S,19,0)</f>
        <v>7307431916</v>
      </c>
      <c r="G173" s="122" t="str">
        <f>vlookup(A173,collexo_data!A:R,18,0)</f>
        <v>GS Foundation Course</v>
      </c>
      <c r="H173" s="122" t="str">
        <f t="shared" si="1"/>
        <v>mandavisinghgharwarbarokhar@gmail.com</v>
      </c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  <c r="AD173" s="113"/>
      <c r="AE173" s="113"/>
      <c r="AF173" s="113"/>
    </row>
    <row r="174">
      <c r="C174" s="123">
        <f>MINIFS(collexo_data!B:B,collexo_data!A:A,A174)</f>
        <v>46064</v>
      </c>
      <c r="D174" s="120" t="str">
        <f>vlookup(A174,collexo_data!A:M,13,0)</f>
        <v>Lucknow</v>
      </c>
      <c r="E174" s="122" t="str">
        <f>vlookup(A174,collexo_data!A:O,15,0)</f>
        <v>Manish Maurya</v>
      </c>
      <c r="F174" s="120">
        <f>vlookup(A174,collexo_data!A:S,19,0)</f>
        <v>9554347509</v>
      </c>
      <c r="G174" s="122" t="str">
        <f>vlookup(A174,collexo_data!A:R,18,0)</f>
        <v>GS Foundation Course</v>
      </c>
      <c r="H174" s="122" t="str">
        <f t="shared" si="1"/>
        <v>manishmaurya1772@gmail.com</v>
      </c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  <c r="AD174" s="113"/>
      <c r="AE174" s="113"/>
      <c r="AF174" s="113"/>
    </row>
    <row r="175">
      <c r="C175" s="123">
        <f>MINIFS(collexo_data!B:B,collexo_data!A:A,A175)</f>
        <v>46111</v>
      </c>
      <c r="D175" s="120" t="str">
        <f>vlookup(A175,collexo_data!A:M,13,0)</f>
        <v>Patna</v>
      </c>
      <c r="E175" s="122" t="str">
        <f>vlookup(A175,collexo_data!A:O,15,0)</f>
        <v>Manjee</v>
      </c>
      <c r="F175" s="120">
        <f>vlookup(A175,collexo_data!A:S,19,0)</f>
        <v>9934281413</v>
      </c>
      <c r="G175" s="122" t="str">
        <f>vlookup(A175,collexo_data!A:R,18,0)</f>
        <v>State PCS</v>
      </c>
      <c r="H175" s="122" t="str">
        <f t="shared" si="1"/>
        <v>manjeekumar3198@gmail.com</v>
      </c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</row>
    <row r="176">
      <c r="C176" s="123">
        <f>MINIFS(collexo_data!B:B,collexo_data!A:A,A176)</f>
        <v>46050</v>
      </c>
      <c r="D176" s="120" t="str">
        <f>vlookup(A176,collexo_data!A:M,13,0)</f>
        <v>New Delhi</v>
      </c>
      <c r="E176" s="122" t="str">
        <f>vlookup(A176,collexo_data!A:O,15,0)</f>
        <v>Abhishek singh</v>
      </c>
      <c r="F176" s="120">
        <f>vlookup(A176,collexo_data!A:S,19,0)</f>
        <v>8700177368</v>
      </c>
      <c r="G176" s="122" t="str">
        <f>vlookup(A176,collexo_data!A:R,18,0)</f>
        <v>GS Foundation Course</v>
      </c>
      <c r="H176" s="122" t="str">
        <f t="shared" si="1"/>
        <v>masterabhisheksingh02@gmail.com</v>
      </c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</row>
    <row r="177">
      <c r="C177" s="123">
        <f>MINIFS(collexo_data!B:B,collexo_data!A:A,A177)</f>
        <v>46104</v>
      </c>
      <c r="D177" s="120" t="str">
        <f>vlookup(A177,collexo_data!A:M,13,0)</f>
        <v>Indore</v>
      </c>
      <c r="E177" s="122" t="str">
        <f>vlookup(A177,collexo_data!A:O,15,0)</f>
        <v>Bhavna mishra</v>
      </c>
      <c r="F177" s="120">
        <f>vlookup(A177,collexo_data!A:S,19,0)</f>
        <v>9232009662</v>
      </c>
      <c r="G177" s="122" t="str">
        <f>vlookup(A177,collexo_data!A:R,18,0)</f>
        <v>GS Foundation Course</v>
      </c>
      <c r="H177" s="122" t="str">
        <f t="shared" si="1"/>
        <v>mbhavna078@gmail.com</v>
      </c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</row>
    <row r="178">
      <c r="C178" s="123">
        <f>MINIFS(collexo_data!B:B,collexo_data!A:A,A178)</f>
        <v>46070</v>
      </c>
      <c r="D178" s="120" t="str">
        <f>vlookup(A178,collexo_data!A:M,13,0)</f>
        <v>New Delhi</v>
      </c>
      <c r="E178" s="122" t="str">
        <f>vlookup(A178,collexo_data!A:O,15,0)</f>
        <v>Haseena</v>
      </c>
      <c r="F178" s="120">
        <f>vlookup(A178,collexo_data!A:S,19,0)</f>
        <v>8688883282</v>
      </c>
      <c r="G178" s="122" t="str">
        <f>vlookup(A178,collexo_data!A:R,18,0)</f>
        <v>GS Foundation Course</v>
      </c>
      <c r="H178" s="122" t="str">
        <f t="shared" si="1"/>
        <v>mdhaseena1004@gmail.com</v>
      </c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</row>
    <row r="179">
      <c r="C179" s="123">
        <f>MINIFS(collexo_data!B:B,collexo_data!A:A,A179)</f>
        <v>46106</v>
      </c>
      <c r="D179" s="120" t="str">
        <f>vlookup(A179,collexo_data!A:M,13,0)</f>
        <v>New Delhi</v>
      </c>
      <c r="E179" s="122" t="str">
        <f>vlookup(A179,collexo_data!A:O,15,0)</f>
        <v>SHASHIKANT TIWARI</v>
      </c>
      <c r="F179" s="120">
        <f>vlookup(A179,collexo_data!A:S,19,0)</f>
        <v>9664198337</v>
      </c>
      <c r="G179" s="122" t="str">
        <f>vlookup(A179,collexo_data!A:R,18,0)</f>
        <v>GS Foundation Course</v>
      </c>
      <c r="H179" s="122" t="str">
        <f t="shared" si="1"/>
        <v>metier18@gmail.com</v>
      </c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</row>
    <row r="180">
      <c r="C180" s="123">
        <f>MINIFS(collexo_data!B:B,collexo_data!A:A,A180)</f>
        <v>46057</v>
      </c>
      <c r="D180" s="120" t="str">
        <f>vlookup(A180,collexo_data!A:M,13,0)</f>
        <v>Lucknow</v>
      </c>
      <c r="E180" s="122" t="str">
        <f>vlookup(A180,collexo_data!A:O,15,0)</f>
        <v>Mithlesh</v>
      </c>
      <c r="F180" s="120">
        <f>vlookup(A180,collexo_data!A:S,19,0)</f>
        <v>9648333404</v>
      </c>
      <c r="G180" s="122" t="str">
        <f>vlookup(A180,collexo_data!A:R,18,0)</f>
        <v>GS Foundation Course</v>
      </c>
      <c r="H180" s="122" t="str">
        <f t="shared" si="1"/>
        <v>Mithlish704@gmail.com</v>
      </c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</row>
    <row r="181">
      <c r="C181" s="123">
        <f>MINIFS(collexo_data!B:B,collexo_data!A:A,A181)</f>
        <v>46058</v>
      </c>
      <c r="D181" s="120" t="str">
        <f>vlookup(A181,collexo_data!A:M,13,0)</f>
        <v>New Delhi</v>
      </c>
      <c r="E181" s="122" t="str">
        <f>vlookup(A181,collexo_data!A:O,15,0)</f>
        <v>Mridul singh</v>
      </c>
      <c r="F181" s="120">
        <f>vlookup(A181,collexo_data!A:S,19,0)</f>
        <v>9310313641</v>
      </c>
      <c r="G181" s="122" t="str">
        <f>vlookup(A181,collexo_data!A:R,18,0)</f>
        <v>GS Foundation Course</v>
      </c>
      <c r="H181" s="122" t="str">
        <f t="shared" si="1"/>
        <v>mridulporush30@gmail.com</v>
      </c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</row>
    <row r="182">
      <c r="C182" s="123">
        <f>MINIFS(collexo_data!B:B,collexo_data!A:A,A182)</f>
        <v>46095</v>
      </c>
      <c r="D182" s="120" t="str">
        <f>vlookup(A182,collexo_data!A:M,13,0)</f>
        <v>Indore</v>
      </c>
      <c r="E182" s="122" t="str">
        <f>vlookup(A182,collexo_data!A:O,15,0)</f>
        <v>Mubshara Khan</v>
      </c>
      <c r="F182" s="120">
        <f>vlookup(A182,collexo_data!A:S,19,0)</f>
        <v>9243371112</v>
      </c>
      <c r="G182" s="122" t="str">
        <f>vlookup(A182,collexo_data!A:R,18,0)</f>
        <v>GS Foundation Course</v>
      </c>
      <c r="H182" s="122" t="str">
        <f t="shared" si="1"/>
        <v>mushairakhan6@gmail.com</v>
      </c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</row>
    <row r="183">
      <c r="C183" s="123">
        <f>MINIFS(collexo_data!B:B,collexo_data!A:A,A183)</f>
        <v>46090</v>
      </c>
      <c r="D183" s="120" t="str">
        <f>vlookup(A183,collexo_data!A:M,13,0)</f>
        <v>New Delhi</v>
      </c>
      <c r="E183" s="122" t="str">
        <f>vlookup(A183,collexo_data!A:O,15,0)</f>
        <v>Muskan Behl</v>
      </c>
      <c r="F183" s="120">
        <f>vlookup(A183,collexo_data!A:S,19,0)</f>
        <v>7703949415</v>
      </c>
      <c r="G183" s="122" t="str">
        <f>vlookup(A183,collexo_data!A:R,18,0)</f>
        <v>GS Foundation Course</v>
      </c>
      <c r="H183" s="122" t="str">
        <f t="shared" si="1"/>
        <v>muskanbehl05@gmail.com</v>
      </c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</row>
    <row r="184">
      <c r="C184" s="123">
        <f>MINIFS(collexo_data!B:B,collexo_data!A:A,A184)</f>
        <v>46087</v>
      </c>
      <c r="D184" s="120" t="str">
        <f>vlookup(A184,collexo_data!A:M,13,0)</f>
        <v>Prayagraj</v>
      </c>
      <c r="E184" s="122" t="str">
        <f>vlookup(A184,collexo_data!A:O,15,0)</f>
        <v>Priyanka</v>
      </c>
      <c r="F184" s="120">
        <f>vlookup(A184,collexo_data!A:S,19,0)</f>
        <v>8318000460</v>
      </c>
      <c r="G184" s="122" t="str">
        <f>vlookup(A184,collexo_data!A:R,18,0)</f>
        <v>GS Foundation Course</v>
      </c>
      <c r="H184" s="122" t="str">
        <f t="shared" si="1"/>
        <v>muskanverma9450@gmail.com</v>
      </c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  <c r="AD184" s="113"/>
      <c r="AE184" s="113"/>
      <c r="AF184" s="113"/>
    </row>
    <row r="185">
      <c r="C185" s="123">
        <f>MINIFS(collexo_data!B:B,collexo_data!A:A,A185)</f>
        <v>46105</v>
      </c>
      <c r="D185" s="120" t="str">
        <f>vlookup(A185,collexo_data!A:M,13,0)</f>
        <v>New Delhi</v>
      </c>
      <c r="E185" s="122" t="str">
        <f>vlookup(A185,collexo_data!A:O,15,0)</f>
        <v>Soham nag</v>
      </c>
      <c r="F185" s="120">
        <f>vlookup(A185,collexo_data!A:S,19,0)</f>
        <v>7855045836</v>
      </c>
      <c r="G185" s="122" t="str">
        <f>vlookup(A185,collexo_data!A:R,18,0)</f>
        <v>GS Foundation Course</v>
      </c>
      <c r="H185" s="122" t="str">
        <f t="shared" si="1"/>
        <v>nagsoham31@gmail.com</v>
      </c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</row>
    <row r="186">
      <c r="C186" s="123">
        <f>MINIFS(collexo_data!B:B,collexo_data!A:A,A186)</f>
        <v>46080</v>
      </c>
      <c r="D186" s="120" t="str">
        <f>vlookup(A186,collexo_data!A:M,13,0)</f>
        <v>Prayagraj</v>
      </c>
      <c r="E186" s="122" t="str">
        <f>vlookup(A186,collexo_data!A:O,15,0)</f>
        <v>Naincy Tripathi</v>
      </c>
      <c r="F186" s="120">
        <f>vlookup(A186,collexo_data!A:S,19,0)</f>
        <v>8810926995</v>
      </c>
      <c r="G186" s="122" t="str">
        <f>vlookup(A186,collexo_data!A:R,18,0)</f>
        <v>Mentorship - Samadhan</v>
      </c>
      <c r="H186" s="122" t="str">
        <f t="shared" si="1"/>
        <v>naincyofficial5@gmail.com</v>
      </c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</row>
    <row r="187">
      <c r="C187" s="123">
        <f>MINIFS(collexo_data!B:B,collexo_data!A:A,A187)</f>
        <v>46093</v>
      </c>
      <c r="D187" s="120" t="str">
        <f>vlookup(A187,collexo_data!A:M,13,0)</f>
        <v>Prayagraj</v>
      </c>
      <c r="E187" s="122" t="str">
        <f>vlookup(A187,collexo_data!A:O,15,0)</f>
        <v>Nami Agrahari</v>
      </c>
      <c r="F187" s="120">
        <f>vlookup(A187,collexo_data!A:S,19,0)</f>
        <v>9369428815</v>
      </c>
      <c r="G187" s="122" t="str">
        <f>vlookup(A187,collexo_data!A:R,18,0)</f>
        <v>GS Foundation Course</v>
      </c>
      <c r="H187" s="122" t="str">
        <f t="shared" si="1"/>
        <v>namiagrahari19@gmail.com</v>
      </c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</row>
    <row r="188">
      <c r="C188" s="123">
        <f>MINIFS(collexo_data!B:B,collexo_data!A:A,A188)</f>
        <v>46105</v>
      </c>
      <c r="D188" s="120" t="str">
        <f>vlookup(A188,collexo_data!A:M,13,0)</f>
        <v>New Delhi</v>
      </c>
      <c r="E188" s="122" t="str">
        <f>vlookup(A188,collexo_data!A:O,15,0)</f>
        <v>Namishka</v>
      </c>
      <c r="F188" s="120">
        <f>vlookup(A188,collexo_data!A:S,19,0)</f>
        <v>9654206738</v>
      </c>
      <c r="G188" s="122" t="str">
        <f>vlookup(A188,collexo_data!A:R,18,0)</f>
        <v>GS Foundation Course</v>
      </c>
      <c r="H188" s="122" t="str">
        <f t="shared" si="1"/>
        <v>namishkarajput8d@gmail.com</v>
      </c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</row>
    <row r="189">
      <c r="C189" s="123">
        <f>MINIFS(collexo_data!B:B,collexo_data!A:A,A189)</f>
        <v>46100</v>
      </c>
      <c r="D189" s="120" t="str">
        <f>vlookup(A189,collexo_data!A:M,13,0)</f>
        <v>Lucknow</v>
      </c>
      <c r="E189" s="122" t="str">
        <f>vlookup(A189,collexo_data!A:O,15,0)</f>
        <v>namrita singh</v>
      </c>
      <c r="F189" s="120">
        <f>vlookup(A189,collexo_data!A:S,19,0)</f>
        <v>7007502891</v>
      </c>
      <c r="G189" s="122" t="str">
        <f>vlookup(A189,collexo_data!A:R,18,0)</f>
        <v>GS Foundation Course</v>
      </c>
      <c r="H189" s="122" t="str">
        <f t="shared" si="1"/>
        <v>namritasingh1304@gmail.com</v>
      </c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</row>
    <row r="190">
      <c r="C190" s="123">
        <f>MINIFS(collexo_data!B:B,collexo_data!A:A,A190)</f>
        <v>46108</v>
      </c>
      <c r="D190" s="120" t="str">
        <f>vlookup(A190,collexo_data!A:M,13,0)</f>
        <v>Prayagraj</v>
      </c>
      <c r="E190" s="122" t="str">
        <f>vlookup(A190,collexo_data!A:O,15,0)</f>
        <v>B.N Mishra</v>
      </c>
      <c r="F190" s="120">
        <f>vlookup(A190,collexo_data!A:S,19,0)</f>
        <v>9654053406</v>
      </c>
      <c r="G190" s="122" t="str">
        <f>vlookup(A190,collexo_data!A:R,18,0)</f>
        <v>Mentorship - Samadhan</v>
      </c>
      <c r="H190" s="122" t="str">
        <f t="shared" si="1"/>
        <v>nandmishra2211@gmail.com</v>
      </c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</row>
    <row r="191">
      <c r="C191" s="123">
        <f>MINIFS(collexo_data!B:B,collexo_data!A:A,A191)</f>
        <v>46060</v>
      </c>
      <c r="D191" s="120" t="str">
        <f>vlookup(A191,collexo_data!A:M,13,0)</f>
        <v>New Delhi</v>
      </c>
      <c r="E191" s="122" t="str">
        <f>vlookup(A191,collexo_data!A:O,15,0)</f>
        <v>Preety</v>
      </c>
      <c r="F191" s="120">
        <f>vlookup(A191,collexo_data!A:S,19,0)</f>
        <v>8448319329</v>
      </c>
      <c r="G191" s="122" t="str">
        <f>vlookup(A191,collexo_data!A:R,18,0)</f>
        <v>GS Foundation Course</v>
      </c>
      <c r="H191" s="122" t="str">
        <f t="shared" si="1"/>
        <v>naoremp43@gmail.com</v>
      </c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</row>
    <row r="192">
      <c r="C192" s="123">
        <f>MINIFS(collexo_data!B:B,collexo_data!A:A,A192)</f>
        <v>46070</v>
      </c>
      <c r="D192" s="120" t="str">
        <f>vlookup(A192,collexo_data!A:M,13,0)</f>
        <v>Lucknow</v>
      </c>
      <c r="E192" s="122" t="str">
        <f>vlookup(A192,collexo_data!A:O,15,0)</f>
        <v>nivedita nayak</v>
      </c>
      <c r="F192" s="120">
        <f>vlookup(A192,collexo_data!A:S,19,0)</f>
        <v>8299118540</v>
      </c>
      <c r="G192" s="122" t="str">
        <f>vlookup(A192,collexo_data!A:R,18,0)</f>
        <v>State PCS</v>
      </c>
      <c r="H192" s="122" t="str">
        <f t="shared" si="1"/>
        <v>nayaknivedita2@gmail.com</v>
      </c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  <c r="AD192" s="113"/>
      <c r="AE192" s="113"/>
      <c r="AF192" s="113"/>
    </row>
    <row r="193">
      <c r="C193" s="123">
        <f>MINIFS(collexo_data!B:B,collexo_data!A:A,A193)</f>
        <v>46078</v>
      </c>
      <c r="D193" s="120" t="str">
        <f>vlookup(A193,collexo_data!A:M,13,0)</f>
        <v>Lucknow</v>
      </c>
      <c r="E193" s="122" t="str">
        <f>vlookup(A193,collexo_data!A:O,15,0)</f>
        <v>Neetu</v>
      </c>
      <c r="F193" s="120">
        <f>vlookup(A193,collexo_data!A:S,19,0)</f>
        <v>7895147109</v>
      </c>
      <c r="G193" s="122" t="str">
        <f>vlookup(A193,collexo_data!A:R,18,0)</f>
        <v>GS Foundation Course</v>
      </c>
      <c r="H193" s="122" t="str">
        <f t="shared" si="1"/>
        <v>NEETUGUPTA7617@GMAIL.COM</v>
      </c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  <c r="AD193" s="113"/>
      <c r="AE193" s="113"/>
      <c r="AF193" s="113"/>
    </row>
    <row r="194">
      <c r="C194" s="123">
        <f>MINIFS(collexo_data!B:B,collexo_data!A:A,A194)</f>
        <v>46112</v>
      </c>
      <c r="D194" s="120" t="str">
        <f>vlookup(A194,collexo_data!A:M,13,0)</f>
        <v>Indore</v>
      </c>
      <c r="E194" s="122" t="str">
        <f>vlookup(A194,collexo_data!A:O,15,0)</f>
        <v>Neha Singh</v>
      </c>
      <c r="F194" s="120">
        <f>vlookup(A194,collexo_data!A:S,19,0)</f>
        <v>8236844284</v>
      </c>
      <c r="G194" s="122" t="str">
        <f>vlookup(A194,collexo_data!A:R,18,0)</f>
        <v>State PCS</v>
      </c>
      <c r="H194" s="122" t="str">
        <f t="shared" si="1"/>
        <v>neha1174622@gmail.com</v>
      </c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  <c r="AD194" s="113"/>
      <c r="AE194" s="113"/>
      <c r="AF194" s="113"/>
    </row>
    <row r="195">
      <c r="C195" s="123">
        <f>MINIFS(collexo_data!B:B,collexo_data!A:A,A195)</f>
        <v>46043</v>
      </c>
      <c r="D195" s="120" t="str">
        <f>vlookup(A195,collexo_data!A:M,13,0)</f>
        <v>New Delhi</v>
      </c>
      <c r="E195" s="122" t="str">
        <f>vlookup(A195,collexo_data!A:O,15,0)</f>
        <v>Neha soni</v>
      </c>
      <c r="F195" s="120">
        <f>vlookup(A195,collexo_data!A:S,19,0)</f>
        <v>6299527052</v>
      </c>
      <c r="G195" s="122" t="str">
        <f>vlookup(A195,collexo_data!A:R,18,0)</f>
        <v>GS Foundation Course</v>
      </c>
      <c r="H195" s="122" t="str">
        <f t="shared" si="1"/>
        <v>nehasoni080624@gmail.com</v>
      </c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  <c r="AD195" s="113"/>
      <c r="AE195" s="113"/>
      <c r="AF195" s="113"/>
    </row>
    <row r="196">
      <c r="C196" s="123">
        <f>MINIFS(collexo_data!B:B,collexo_data!A:A,A196)</f>
        <v>46072</v>
      </c>
      <c r="D196" s="120" t="str">
        <f>vlookup(A196,collexo_data!A:M,13,0)</f>
        <v>Indore</v>
      </c>
      <c r="E196" s="122" t="str">
        <f>vlookup(A196,collexo_data!A:O,15,0)</f>
        <v>Neha Yadav</v>
      </c>
      <c r="F196" s="120">
        <f>vlookup(A196,collexo_data!A:S,19,0)</f>
        <v>9203848288</v>
      </c>
      <c r="G196" s="122" t="str">
        <f>vlookup(A196,collexo_data!A:R,18,0)</f>
        <v>GS Foundation Course</v>
      </c>
      <c r="H196" s="122" t="str">
        <f t="shared" si="1"/>
        <v>nehayv.4888@gmail.com</v>
      </c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  <c r="AD196" s="113"/>
      <c r="AE196" s="113"/>
      <c r="AF196" s="113"/>
    </row>
    <row r="197">
      <c r="C197" s="123">
        <f>MINIFS(collexo_data!B:B,collexo_data!A:A,A197)</f>
        <v>46100</v>
      </c>
      <c r="D197" s="120" t="str">
        <f>vlookup(A197,collexo_data!A:M,13,0)</f>
        <v>Prayagraj</v>
      </c>
      <c r="E197" s="122" t="str">
        <f>vlookup(A197,collexo_data!A:O,15,0)</f>
        <v>Tanu</v>
      </c>
      <c r="F197" s="120">
        <f>vlookup(A197,collexo_data!A:S,19,0)</f>
        <v>8960122938</v>
      </c>
      <c r="G197" s="122" t="str">
        <f>vlookup(A197,collexo_data!A:R,18,0)</f>
        <v>GS Foundation Course</v>
      </c>
      <c r="H197" s="122" t="str">
        <f t="shared" si="1"/>
        <v>nidhi8960122938@gmail.com</v>
      </c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  <c r="AD197" s="113"/>
      <c r="AE197" s="113"/>
      <c r="AF197" s="113"/>
    </row>
    <row r="198">
      <c r="C198" s="123">
        <f>MINIFS(collexo_data!B:B,collexo_data!A:A,A198)</f>
        <v>46099</v>
      </c>
      <c r="D198" s="120" t="str">
        <f>vlookup(A198,collexo_data!A:M,13,0)</f>
        <v>Prayagraj</v>
      </c>
      <c r="E198" s="122" t="str">
        <f>vlookup(A198,collexo_data!A:O,15,0)</f>
        <v>Nikita</v>
      </c>
      <c r="F198" s="120">
        <f>vlookup(A198,collexo_data!A:S,19,0)</f>
        <v>9250310684</v>
      </c>
      <c r="G198" s="122" t="str">
        <f>vlookup(A198,collexo_data!A:R,18,0)</f>
        <v>GS Foundation Course</v>
      </c>
      <c r="H198" s="122" t="str">
        <f t="shared" si="1"/>
        <v>nikitabhartiya@gmail.com</v>
      </c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  <c r="AD198" s="113"/>
      <c r="AE198" s="113"/>
      <c r="AF198" s="113"/>
    </row>
    <row r="199">
      <c r="C199" s="123">
        <f>MINIFS(collexo_data!B:B,collexo_data!A:A,A199)</f>
        <v>46101</v>
      </c>
      <c r="D199" s="120" t="str">
        <f>vlookup(A199,collexo_data!A:M,13,0)</f>
        <v>Prayagraj</v>
      </c>
      <c r="E199" s="122" t="str">
        <f>vlookup(A199,collexo_data!A:O,15,0)</f>
        <v>Nilesh yadav</v>
      </c>
      <c r="F199" s="120">
        <f>vlookup(A199,collexo_data!A:S,19,0)</f>
        <v>7355115452</v>
      </c>
      <c r="G199" s="122" t="str">
        <f>vlookup(A199,collexo_data!A:R,18,0)</f>
        <v>GS Foundation Course</v>
      </c>
      <c r="H199" s="122" t="str">
        <f t="shared" si="1"/>
        <v>nileshyadav8765@gmail.com</v>
      </c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  <c r="AD199" s="113"/>
      <c r="AE199" s="113"/>
      <c r="AF199" s="113"/>
    </row>
    <row r="200">
      <c r="C200" s="123">
        <f>MINIFS(collexo_data!B:B,collexo_data!A:A,A200)</f>
        <v>46089</v>
      </c>
      <c r="D200" s="120" t="str">
        <f>vlookup(A200,collexo_data!A:M,13,0)</f>
        <v>New Delhi</v>
      </c>
      <c r="E200" s="122" t="str">
        <f>vlookup(A200,collexo_data!A:O,15,0)</f>
        <v>NISHA</v>
      </c>
      <c r="F200" s="120">
        <f>vlookup(A200,collexo_data!A:S,19,0)</f>
        <v>9216289573</v>
      </c>
      <c r="G200" s="122" t="str">
        <f>vlookup(A200,collexo_data!A:R,18,0)</f>
        <v>GS Foundation Course</v>
      </c>
      <c r="H200" s="122" t="str">
        <f t="shared" si="1"/>
        <v>nishakotra2006@gmail.com</v>
      </c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  <c r="AD200" s="113"/>
      <c r="AE200" s="113"/>
      <c r="AF200" s="113"/>
    </row>
    <row r="201">
      <c r="C201" s="123">
        <f>MINIFS(collexo_data!B:B,collexo_data!A:A,A201)</f>
        <v>46094</v>
      </c>
      <c r="D201" s="120" t="str">
        <f>vlookup(A201,collexo_data!A:M,13,0)</f>
        <v>Patna</v>
      </c>
      <c r="E201" s="122" t="str">
        <f>vlookup(A201,collexo_data!A:O,15,0)</f>
        <v>Nisha Raj</v>
      </c>
      <c r="F201" s="120">
        <f>vlookup(A201,collexo_data!A:S,19,0)</f>
        <v>9102624944</v>
      </c>
      <c r="G201" s="122" t="str">
        <f>vlookup(A201,collexo_data!A:R,18,0)</f>
        <v>State PCS</v>
      </c>
      <c r="H201" s="122" t="str">
        <f t="shared" si="1"/>
        <v>nisharaj3432@gmail.com</v>
      </c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</row>
    <row r="202">
      <c r="C202" s="123">
        <f>MINIFS(collexo_data!B:B,collexo_data!A:A,A202)</f>
        <v>46075</v>
      </c>
      <c r="D202" s="120" t="str">
        <f>vlookup(A202,collexo_data!A:M,13,0)</f>
        <v>Patna</v>
      </c>
      <c r="E202" s="122" t="str">
        <f>vlookup(A202,collexo_data!A:O,15,0)</f>
        <v>Nisha Rajak</v>
      </c>
      <c r="F202" s="120">
        <f>vlookup(A202,collexo_data!A:S,19,0)</f>
        <v>9674337086</v>
      </c>
      <c r="G202" s="122" t="str">
        <f>vlookup(A202,collexo_data!A:R,18,0)</f>
        <v>GS Foundation Course</v>
      </c>
      <c r="H202" s="122" t="str">
        <f t="shared" si="1"/>
        <v>nisharajakgurniya.2007@gmail.com</v>
      </c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  <c r="AD202" s="113"/>
      <c r="AE202" s="113"/>
      <c r="AF202" s="113"/>
    </row>
    <row r="203">
      <c r="C203" s="123">
        <f>MINIFS(collexo_data!B:B,collexo_data!A:A,A203)</f>
        <v>46081</v>
      </c>
      <c r="D203" s="120" t="str">
        <f>vlookup(A203,collexo_data!A:M,13,0)</f>
        <v>Patna</v>
      </c>
      <c r="E203" s="122" t="str">
        <f>vlookup(A203,collexo_data!A:O,15,0)</f>
        <v>Nitish kumar</v>
      </c>
      <c r="F203" s="120">
        <f>vlookup(A203,collexo_data!A:S,19,0)</f>
        <v>8529763971</v>
      </c>
      <c r="G203" s="122" t="str">
        <f>vlookup(A203,collexo_data!A:R,18,0)</f>
        <v>State PCS</v>
      </c>
      <c r="H203" s="122" t="str">
        <f t="shared" si="1"/>
        <v>nitish3671@gmail.com</v>
      </c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  <c r="AD203" s="113"/>
      <c r="AE203" s="113"/>
      <c r="AF203" s="113"/>
    </row>
    <row r="204">
      <c r="C204" s="123">
        <f>MINIFS(collexo_data!B:B,collexo_data!A:A,A204)</f>
        <v>46066</v>
      </c>
      <c r="D204" s="120" t="str">
        <f>vlookup(A204,collexo_data!A:M,13,0)</f>
        <v>New Delhi</v>
      </c>
      <c r="E204" s="122" t="str">
        <f>vlookup(A204,collexo_data!A:O,15,0)</f>
        <v>Nitish</v>
      </c>
      <c r="F204" s="120">
        <f>vlookup(A204,collexo_data!A:S,19,0)</f>
        <v>9555848241</v>
      </c>
      <c r="G204" s="122" t="str">
        <f>vlookup(A204,collexo_data!A:R,18,0)</f>
        <v>GS Foundation Course</v>
      </c>
      <c r="H204" s="122" t="str">
        <f t="shared" si="1"/>
        <v>nitzsha4@gmail.com</v>
      </c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  <c r="AD204" s="113"/>
      <c r="AE204" s="113"/>
      <c r="AF204" s="113"/>
    </row>
    <row r="205">
      <c r="C205" s="123">
        <f>MINIFS(collexo_data!B:B,collexo_data!A:A,A205)</f>
        <v>46112</v>
      </c>
      <c r="D205" s="120" t="str">
        <f>vlookup(A205,collexo_data!A:M,13,0)</f>
        <v>Prayagraj</v>
      </c>
      <c r="E205" s="122" t="str">
        <f>vlookup(A205,collexo_data!A:O,15,0)</f>
        <v>Ahamad</v>
      </c>
      <c r="F205" s="120">
        <f>vlookup(A205,collexo_data!A:S,19,0)</f>
        <v>9044850984</v>
      </c>
      <c r="G205" s="122" t="str">
        <f>vlookup(A205,collexo_data!A:R,18,0)</f>
        <v>State PCS</v>
      </c>
      <c r="H205" s="122" t="str">
        <f t="shared" si="1"/>
        <v>nizammonitor@gmail.com</v>
      </c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  <c r="AD205" s="113"/>
      <c r="AE205" s="113"/>
      <c r="AF205" s="113"/>
    </row>
    <row r="206">
      <c r="C206" s="123">
        <f>MINIFS(collexo_data!B:B,collexo_data!A:A,A206)</f>
        <v>46057</v>
      </c>
      <c r="D206" s="120" t="str">
        <f>vlookup(A206,collexo_data!A:M,13,0)</f>
        <v>New Delhi</v>
      </c>
      <c r="E206" s="122" t="str">
        <f>vlookup(A206,collexo_data!A:O,15,0)</f>
        <v>Nishant</v>
      </c>
      <c r="F206" s="120">
        <f>vlookup(A206,collexo_data!A:S,19,0)</f>
        <v>9137507112</v>
      </c>
      <c r="G206" s="122" t="str">
        <f>vlookup(A206,collexo_data!A:R,18,0)</f>
        <v>GS Foundation Course</v>
      </c>
      <c r="H206" s="122" t="str">
        <f t="shared" si="1"/>
        <v>nntakalkar2229@gmail.com</v>
      </c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  <c r="AD206" s="113"/>
      <c r="AE206" s="113"/>
      <c r="AF206" s="113"/>
    </row>
    <row r="207">
      <c r="C207" s="123">
        <f>MINIFS(collexo_data!B:B,collexo_data!A:A,A207)</f>
        <v>46069</v>
      </c>
      <c r="D207" s="120" t="str">
        <f>vlookup(A207,collexo_data!A:M,13,0)</f>
        <v>New Delhi</v>
      </c>
      <c r="E207" s="122" t="str">
        <f>vlookup(A207,collexo_data!A:O,15,0)</f>
        <v>Noor Sharma</v>
      </c>
      <c r="F207" s="120">
        <f>vlookup(A207,collexo_data!A:S,19,0)</f>
        <v>9773766951</v>
      </c>
      <c r="G207" s="122" t="str">
        <f>vlookup(A207,collexo_data!A:R,18,0)</f>
        <v>GS Foundation Course</v>
      </c>
      <c r="H207" s="122" t="str">
        <f t="shared" si="1"/>
        <v>noorsharma0410@gmail.com</v>
      </c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  <c r="AD207" s="113"/>
      <c r="AE207" s="113"/>
      <c r="AF207" s="113"/>
    </row>
    <row r="208">
      <c r="C208" s="123">
        <f>MINIFS(collexo_data!B:B,collexo_data!A:A,A208)</f>
        <v>46067</v>
      </c>
      <c r="D208" s="120" t="str">
        <f>vlookup(A208,collexo_data!A:M,13,0)</f>
        <v>New Delhi</v>
      </c>
      <c r="E208" s="122" t="str">
        <f>vlookup(A208,collexo_data!A:O,15,0)</f>
        <v>Nowai</v>
      </c>
      <c r="F208" s="120">
        <f>vlookup(A208,collexo_data!A:S,19,0)</f>
        <v>9366087291</v>
      </c>
      <c r="G208" s="122" t="str">
        <f>vlookup(A208,collexo_data!A:R,18,0)</f>
        <v>GS Foundation Course</v>
      </c>
      <c r="H208" s="122" t="str">
        <f t="shared" si="1"/>
        <v>nowaidbrma123@gmail.com</v>
      </c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  <c r="AD208" s="113"/>
      <c r="AE208" s="113"/>
      <c r="AF208" s="113"/>
    </row>
    <row r="209">
      <c r="C209" s="123">
        <f>MINIFS(collexo_data!B:B,collexo_data!A:A,A209)</f>
        <v>46071</v>
      </c>
      <c r="D209" s="120" t="str">
        <f>vlookup(A209,collexo_data!A:M,13,0)</f>
        <v>Lucknow</v>
      </c>
      <c r="E209" s="122" t="str">
        <f>vlookup(A209,collexo_data!A:O,15,0)</f>
        <v>Neha</v>
      </c>
      <c r="F209" s="120">
        <f>vlookup(A209,collexo_data!A:S,19,0)</f>
        <v>9026638188</v>
      </c>
      <c r="G209" s="122" t="str">
        <f>vlookup(A209,collexo_data!A:R,18,0)</f>
        <v>GS Foundation Course</v>
      </c>
      <c r="H209" s="122" t="str">
        <f t="shared" si="1"/>
        <v>ny68525@gmail.com</v>
      </c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  <c r="AD209" s="113"/>
      <c r="AE209" s="113"/>
      <c r="AF209" s="113"/>
    </row>
    <row r="210">
      <c r="C210" s="123">
        <f>MINIFS(collexo_data!B:B,collexo_data!A:A,A210)</f>
        <v>46107</v>
      </c>
      <c r="D210" s="120" t="str">
        <f>vlookup(A210,collexo_data!A:M,13,0)</f>
        <v>Lucknow</v>
      </c>
      <c r="E210" s="122" t="str">
        <f>vlookup(A210,collexo_data!A:O,15,0)</f>
        <v>mrityunjay mishra</v>
      </c>
      <c r="F210" s="120">
        <f>vlookup(A210,collexo_data!A:S,19,0)</f>
        <v>8303105265</v>
      </c>
      <c r="G210" s="122" t="str">
        <f>vlookup(A210,collexo_data!A:R,18,0)</f>
        <v>GS Foundation Course</v>
      </c>
      <c r="H210" s="122" t="str">
        <f t="shared" si="1"/>
        <v>omm48756@gmail.com</v>
      </c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  <c r="AD210" s="113"/>
      <c r="AE210" s="113"/>
      <c r="AF210" s="113"/>
    </row>
    <row r="211">
      <c r="C211" s="123">
        <f>MINIFS(collexo_data!B:B,collexo_data!A:A,A211)</f>
        <v>46101</v>
      </c>
      <c r="D211" s="120" t="str">
        <f>vlookup(A211,collexo_data!A:M,13,0)</f>
        <v>Lucknow</v>
      </c>
      <c r="E211" s="122" t="str">
        <f>vlookup(A211,collexo_data!A:O,15,0)</f>
        <v>Neha Kumari</v>
      </c>
      <c r="F211" s="120">
        <f>vlookup(A211,collexo_data!A:S,19,0)</f>
        <v>9007225824</v>
      </c>
      <c r="G211" s="122" t="str">
        <f>vlookup(A211,collexo_data!A:R,18,0)</f>
        <v>GS Foundation Course</v>
      </c>
      <c r="H211" s="122" t="str">
        <f t="shared" si="1"/>
        <v>onlineneha123321@gmail.com</v>
      </c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  <c r="AD211" s="113"/>
      <c r="AE211" s="113"/>
      <c r="AF211" s="113"/>
    </row>
    <row r="212">
      <c r="C212" s="123">
        <f>MINIFS(collexo_data!B:B,collexo_data!A:A,A212)</f>
        <v>46094</v>
      </c>
      <c r="D212" s="120" t="str">
        <f>vlookup(A212,collexo_data!A:M,13,0)</f>
        <v>Indore</v>
      </c>
      <c r="E212" s="122" t="str">
        <f>vlookup(A212,collexo_data!A:O,15,0)</f>
        <v>Rakshita Parihar</v>
      </c>
      <c r="F212" s="120">
        <f>vlookup(A212,collexo_data!A:S,19,0)</f>
        <v>8989555666</v>
      </c>
      <c r="G212" s="122" t="str">
        <f>vlookup(A212,collexo_data!A:R,18,0)</f>
        <v>Mentorship - Samadhan</v>
      </c>
      <c r="H212" s="122" t="str">
        <f t="shared" si="1"/>
        <v>pariharrakshita23@gmail.com</v>
      </c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  <c r="AD212" s="113"/>
      <c r="AE212" s="113"/>
      <c r="AF212" s="113"/>
    </row>
    <row r="213">
      <c r="C213" s="123">
        <f>MINIFS(collexo_data!B:B,collexo_data!A:A,A213)</f>
        <v>46071</v>
      </c>
      <c r="D213" s="120" t="str">
        <f>vlookup(A213,collexo_data!A:M,13,0)</f>
        <v>Indore</v>
      </c>
      <c r="E213" s="122" t="str">
        <f>vlookup(A213,collexo_data!A:O,15,0)</f>
        <v>Reena patidar</v>
      </c>
      <c r="F213" s="120">
        <f>vlookup(A213,collexo_data!A:S,19,0)</f>
        <v>9109581143</v>
      </c>
      <c r="G213" s="122" t="str">
        <f>vlookup(A213,collexo_data!A:R,18,0)</f>
        <v>State PCS</v>
      </c>
      <c r="H213" s="122" t="str">
        <f t="shared" si="1"/>
        <v>patidarreena291@gmail.com</v>
      </c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  <c r="AD213" s="113"/>
      <c r="AE213" s="113"/>
      <c r="AF213" s="113"/>
    </row>
    <row r="214">
      <c r="C214" s="123">
        <f>MINIFS(collexo_data!B:B,collexo_data!A:A,A214)</f>
        <v>46092</v>
      </c>
      <c r="D214" s="120" t="str">
        <f>vlookup(A214,collexo_data!A:M,13,0)</f>
        <v>Prayagraj</v>
      </c>
      <c r="E214" s="122" t="str">
        <f>vlookup(A214,collexo_data!A:O,15,0)</f>
        <v>Pawan Kumar Sharma</v>
      </c>
      <c r="F214" s="120">
        <f>vlookup(A214,collexo_data!A:S,19,0)</f>
        <v>8303284846</v>
      </c>
      <c r="G214" s="122" t="str">
        <f>vlookup(A214,collexo_data!A:R,18,0)</f>
        <v>Mentorship - Samadhan</v>
      </c>
      <c r="H214" s="122" t="str">
        <f t="shared" si="1"/>
        <v>pawank34550@gmail.com</v>
      </c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  <c r="AD214" s="113"/>
      <c r="AE214" s="113"/>
      <c r="AF214" s="113"/>
    </row>
    <row r="215">
      <c r="C215" s="123">
        <f>MINIFS(collexo_data!B:B,collexo_data!A:A,A215)</f>
        <v>46107</v>
      </c>
      <c r="D215" s="120" t="str">
        <f>vlookup(A215,collexo_data!A:M,13,0)</f>
        <v>Indore</v>
      </c>
      <c r="E215" s="122" t="str">
        <f>vlookup(A215,collexo_data!A:O,15,0)</f>
        <v>Purnesh panwar</v>
      </c>
      <c r="F215" s="120">
        <f>vlookup(A215,collexo_data!A:S,19,0)</f>
        <v>6263180444</v>
      </c>
      <c r="G215" s="122" t="str">
        <f>vlookup(A215,collexo_data!A:R,18,0)</f>
        <v>State PCS</v>
      </c>
      <c r="H215" s="122" t="str">
        <f t="shared" si="1"/>
        <v>pawarpurnesh@gmail.com</v>
      </c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  <c r="AD215" s="113"/>
      <c r="AE215" s="113"/>
      <c r="AF215" s="113"/>
    </row>
    <row r="216">
      <c r="C216" s="123">
        <f>MINIFS(collexo_data!B:B,collexo_data!A:A,A216)</f>
        <v>46058</v>
      </c>
      <c r="D216" s="120" t="str">
        <f>vlookup(A216,collexo_data!A:M,13,0)</f>
        <v>New Delhi</v>
      </c>
      <c r="E216" s="122" t="str">
        <f>vlookup(A216,collexo_data!A:O,15,0)</f>
        <v>Shalu Kumari</v>
      </c>
      <c r="F216" s="120">
        <f>vlookup(A216,collexo_data!A:S,19,0)</f>
        <v>9142599043</v>
      </c>
      <c r="G216" s="122" t="str">
        <f>vlookup(A216,collexo_data!A:R,18,0)</f>
        <v>GS Foundation Course</v>
      </c>
      <c r="H216" s="122" t="str">
        <f t="shared" si="1"/>
        <v>Pihu.kashyappppp@gmail.com</v>
      </c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  <c r="AD216" s="113"/>
      <c r="AE216" s="113"/>
      <c r="AF216" s="113"/>
    </row>
    <row r="217">
      <c r="C217" s="123">
        <f>MINIFS(collexo_data!B:B,collexo_data!A:A,A217)</f>
        <v>46111</v>
      </c>
      <c r="D217" s="120" t="str">
        <f>vlookup(A217,collexo_data!A:M,13,0)</f>
        <v>Patna</v>
      </c>
      <c r="E217" s="122" t="str">
        <f>vlookup(A217,collexo_data!A:O,15,0)</f>
        <v>Pihu Kumari</v>
      </c>
      <c r="F217" s="120">
        <f>vlookup(A217,collexo_data!A:S,19,0)</f>
        <v>9155491641</v>
      </c>
      <c r="G217" s="122" t="str">
        <f>vlookup(A217,collexo_data!A:R,18,0)</f>
        <v>GS Foundation Course</v>
      </c>
      <c r="H217" s="122" t="str">
        <f t="shared" si="1"/>
        <v>pihukr2007@gmail.com</v>
      </c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  <c r="AD217" s="113"/>
      <c r="AE217" s="113"/>
      <c r="AF217" s="113"/>
    </row>
    <row r="218">
      <c r="C218" s="123">
        <f>MINIFS(collexo_data!B:B,collexo_data!A:A,A218)</f>
        <v>46076</v>
      </c>
      <c r="D218" s="120" t="str">
        <f>vlookup(A218,collexo_data!A:M,13,0)</f>
        <v>Indore</v>
      </c>
      <c r="E218" s="122" t="str">
        <f>vlookup(A218,collexo_data!A:O,15,0)</f>
        <v>Piyush</v>
      </c>
      <c r="F218" s="120">
        <f>vlookup(A218,collexo_data!A:S,19,0)</f>
        <v>6262548575</v>
      </c>
      <c r="G218" s="122" t="str">
        <f>vlookup(A218,collexo_data!A:R,18,0)</f>
        <v>GS Foundation Course</v>
      </c>
      <c r="H218" s="122" t="str">
        <f t="shared" si="1"/>
        <v>piyushchouhan2593@gmail.com</v>
      </c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  <c r="AD218" s="113"/>
      <c r="AE218" s="113"/>
      <c r="AF218" s="113"/>
    </row>
    <row r="219">
      <c r="C219" s="123">
        <f>MINIFS(collexo_data!B:B,collexo_data!A:A,A219)</f>
        <v>46069</v>
      </c>
      <c r="D219" s="120" t="str">
        <f>vlookup(A219,collexo_data!A:M,13,0)</f>
        <v>Lucknow</v>
      </c>
      <c r="E219" s="122" t="str">
        <f>vlookup(A219,collexo_data!A:O,15,0)</f>
        <v>Praveen Kumar</v>
      </c>
      <c r="F219" s="120">
        <f>vlookup(A219,collexo_data!A:S,19,0)</f>
        <v>7355582262</v>
      </c>
      <c r="G219" s="122" t="str">
        <f>vlookup(A219,collexo_data!A:R,18,0)</f>
        <v>State PCS</v>
      </c>
      <c r="H219" s="122" t="str">
        <f t="shared" si="1"/>
        <v>pkkumarbc@gmail.com</v>
      </c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  <c r="AD219" s="113"/>
      <c r="AE219" s="113"/>
      <c r="AF219" s="113"/>
    </row>
    <row r="220">
      <c r="C220" s="123">
        <f>MINIFS(collexo_data!B:B,collexo_data!A:A,A220)</f>
        <v>46101</v>
      </c>
      <c r="D220" s="120" t="str">
        <f>vlookup(A220,collexo_data!A:M,13,0)</f>
        <v>Prayagraj</v>
      </c>
      <c r="E220" s="122" t="str">
        <f>vlookup(A220,collexo_data!A:O,15,0)</f>
        <v>Anand Kumar Prajapati</v>
      </c>
      <c r="F220" s="120">
        <f>vlookup(A220,collexo_data!A:S,19,0)</f>
        <v>8299899506</v>
      </c>
      <c r="G220" s="122" t="str">
        <f>vlookup(A220,collexo_data!A:R,18,0)</f>
        <v>GS Foundation Course</v>
      </c>
      <c r="H220" s="122" t="str">
        <f t="shared" si="1"/>
        <v>prajapatianand9999@gmail.com</v>
      </c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  <c r="AD220" s="113"/>
      <c r="AE220" s="113"/>
      <c r="AF220" s="113"/>
    </row>
    <row r="221">
      <c r="C221" s="123">
        <f>MINIFS(collexo_data!B:B,collexo_data!A:A,A221)</f>
        <v>46100</v>
      </c>
      <c r="D221" s="120" t="str">
        <f>vlookup(A221,collexo_data!A:M,13,0)</f>
        <v>New Delhi</v>
      </c>
      <c r="E221" s="122" t="str">
        <f>vlookup(A221,collexo_data!A:O,15,0)</f>
        <v>Mohit prajapat</v>
      </c>
      <c r="F221" s="120">
        <f>vlookup(A221,collexo_data!A:S,19,0)</f>
        <v>9257006657</v>
      </c>
      <c r="G221" s="122" t="str">
        <f>vlookup(A221,collexo_data!A:R,18,0)</f>
        <v>GS Foundation Course</v>
      </c>
      <c r="H221" s="122" t="str">
        <f t="shared" si="1"/>
        <v>prajapatmohit372@gmail.com</v>
      </c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  <c r="AD221" s="113"/>
      <c r="AE221" s="113"/>
      <c r="AF221" s="113"/>
    </row>
    <row r="222">
      <c r="C222" s="123">
        <f>MINIFS(collexo_data!B:B,collexo_data!A:A,A222)</f>
        <v>46101</v>
      </c>
      <c r="D222" s="120" t="str">
        <f>vlookup(A222,collexo_data!A:M,13,0)</f>
        <v>Lucknow</v>
      </c>
      <c r="E222" s="122" t="str">
        <f>vlookup(A222,collexo_data!A:O,15,0)</f>
        <v>Pranshu Chaturved</v>
      </c>
      <c r="F222" s="120">
        <f>vlookup(A222,collexo_data!A:S,19,0)</f>
        <v>8739055507</v>
      </c>
      <c r="G222" s="122" t="str">
        <f>vlookup(A222,collexo_data!A:R,18,0)</f>
        <v>GS Foundation Course</v>
      </c>
      <c r="H222" s="122" t="str">
        <f t="shared" si="1"/>
        <v>Pranshustp041@gmail.com</v>
      </c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13"/>
    </row>
    <row r="223">
      <c r="C223" s="123">
        <f>MINIFS(collexo_data!B:B,collexo_data!A:A,A223)</f>
        <v>46110</v>
      </c>
      <c r="D223" s="120" t="str">
        <f>vlookup(A223,collexo_data!A:M,13,0)</f>
        <v>Indore</v>
      </c>
      <c r="E223" s="122" t="str">
        <f>vlookup(A223,collexo_data!A:O,15,0)</f>
        <v>Prarthana Jat</v>
      </c>
      <c r="F223" s="120">
        <f>vlookup(A223,collexo_data!A:S,19,0)</f>
        <v>9981700320</v>
      </c>
      <c r="G223" s="122" t="str">
        <f>vlookup(A223,collexo_data!A:R,18,0)</f>
        <v>State PCS</v>
      </c>
      <c r="H223" s="122" t="str">
        <f t="shared" si="1"/>
        <v>prarthanajat4@gmail.com</v>
      </c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3"/>
      <c r="AF223" s="113"/>
    </row>
    <row r="224">
      <c r="C224" s="123">
        <f>MINIFS(collexo_data!B:B,collexo_data!A:A,A224)</f>
        <v>46069</v>
      </c>
      <c r="D224" s="120" t="str">
        <f>vlookup(A224,collexo_data!A:M,13,0)</f>
        <v>Lucknow</v>
      </c>
      <c r="E224" s="122" t="str">
        <f>vlookup(A224,collexo_data!A:O,15,0)</f>
        <v>Prateek Tiwari</v>
      </c>
      <c r="F224" s="120">
        <f>vlookup(A224,collexo_data!A:S,19,0)</f>
        <v>9838283474</v>
      </c>
      <c r="G224" s="122" t="str">
        <f>vlookup(A224,collexo_data!A:R,18,0)</f>
        <v>GS Foundation Course</v>
      </c>
      <c r="H224" s="122" t="str">
        <f t="shared" si="1"/>
        <v>prateektiwarinps9800@gmail.com</v>
      </c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13"/>
    </row>
    <row r="225">
      <c r="C225" s="123">
        <f>MINIFS(collexo_data!B:B,collexo_data!A:A,A225)</f>
        <v>46082</v>
      </c>
      <c r="D225" s="120" t="str">
        <f>vlookup(A225,collexo_data!A:M,13,0)</f>
        <v>Prayagraj</v>
      </c>
      <c r="E225" s="122" t="str">
        <f>vlookup(A225,collexo_data!A:O,15,0)</f>
        <v>Prathmesh Kumar Gupta</v>
      </c>
      <c r="F225" s="120">
        <f>vlookup(A225,collexo_data!A:S,19,0)</f>
        <v>7317530189</v>
      </c>
      <c r="G225" s="122" t="str">
        <f>vlookup(A225,collexo_data!A:R,18,0)</f>
        <v>GS Foundation Course</v>
      </c>
      <c r="H225" s="122" t="str">
        <f t="shared" si="1"/>
        <v>prathmesh.archan@gmail.com</v>
      </c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3"/>
      <c r="AE225" s="113"/>
      <c r="AF225" s="113"/>
    </row>
    <row r="226">
      <c r="C226" s="123">
        <f>MINIFS(collexo_data!B:B,collexo_data!A:A,A226)</f>
        <v>46087</v>
      </c>
      <c r="D226" s="120" t="str">
        <f>vlookup(A226,collexo_data!A:M,13,0)</f>
        <v>Indore</v>
      </c>
      <c r="E226" s="122" t="str">
        <f>vlookup(A226,collexo_data!A:O,15,0)</f>
        <v>Prathvi Sharma</v>
      </c>
      <c r="F226" s="120">
        <f>vlookup(A226,collexo_data!A:S,19,0)</f>
        <v>9302103026</v>
      </c>
      <c r="G226" s="122" t="str">
        <f>vlookup(A226,collexo_data!A:R,18,0)</f>
        <v>GS Foundation Course</v>
      </c>
      <c r="H226" s="122" t="str">
        <f t="shared" si="1"/>
        <v>prathvi2515@gmail.com</v>
      </c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3"/>
      <c r="AE226" s="113"/>
      <c r="AF226" s="113"/>
    </row>
    <row r="227">
      <c r="C227" s="123">
        <f>MINIFS(collexo_data!B:B,collexo_data!A:A,A227)</f>
        <v>46106</v>
      </c>
      <c r="D227" s="120" t="str">
        <f>vlookup(A227,collexo_data!A:M,13,0)</f>
        <v>Prayagraj</v>
      </c>
      <c r="E227" s="122" t="str">
        <f>vlookup(A227,collexo_data!A:O,15,0)</f>
        <v>Pratibha</v>
      </c>
      <c r="F227" s="120">
        <f>vlookup(A227,collexo_data!A:S,19,0)</f>
        <v>8881470311</v>
      </c>
      <c r="G227" s="122" t="str">
        <f>vlookup(A227,collexo_data!A:R,18,0)</f>
        <v>Mentorship - Samadhan</v>
      </c>
      <c r="H227" s="122" t="str">
        <f t="shared" si="1"/>
        <v>pratibharao080@gmail.com</v>
      </c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3"/>
      <c r="AE227" s="113"/>
      <c r="AF227" s="113"/>
    </row>
    <row r="228">
      <c r="C228" s="123">
        <f>MINIFS(collexo_data!B:B,collexo_data!A:A,A228)</f>
        <v>46052</v>
      </c>
      <c r="D228" s="120" t="str">
        <f>vlookup(A228,collexo_data!A:M,13,0)</f>
        <v>New Delhi</v>
      </c>
      <c r="E228" s="122" t="str">
        <f>vlookup(A228,collexo_data!A:O,15,0)</f>
        <v>Pratishta</v>
      </c>
      <c r="F228" s="120">
        <f>vlookup(A228,collexo_data!A:S,19,0)</f>
        <v>9735172604</v>
      </c>
      <c r="G228" s="122" t="str">
        <f>vlookup(A228,collexo_data!A:R,18,0)</f>
        <v>GS Foundation Course</v>
      </c>
      <c r="H228" s="122" t="str">
        <f t="shared" si="1"/>
        <v>pratishtharasaily@gmail.com</v>
      </c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3"/>
      <c r="AE228" s="113"/>
      <c r="AF228" s="113"/>
    </row>
    <row r="229">
      <c r="C229" s="123">
        <f>MINIFS(collexo_data!B:B,collexo_data!A:A,A229)</f>
        <v>46081</v>
      </c>
      <c r="D229" s="120" t="str">
        <f>vlookup(A229,collexo_data!A:M,13,0)</f>
        <v>Indore</v>
      </c>
      <c r="E229" s="122" t="str">
        <f>vlookup(A229,collexo_data!A:O,15,0)</f>
        <v>Prince singh rajawat</v>
      </c>
      <c r="F229" s="120">
        <f>vlookup(A229,collexo_data!A:S,19,0)</f>
        <v>7747849792</v>
      </c>
      <c r="G229" s="122" t="str">
        <f>vlookup(A229,collexo_data!A:R,18,0)</f>
        <v>GS Foundation Course</v>
      </c>
      <c r="H229" s="122" t="str">
        <f t="shared" si="1"/>
        <v>princesinghrajawat200@gmail.com</v>
      </c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3"/>
      <c r="AE229" s="113"/>
      <c r="AF229" s="113"/>
    </row>
    <row r="230">
      <c r="C230" s="123">
        <f>MINIFS(collexo_data!B:B,collexo_data!A:A,A230)</f>
        <v>46099</v>
      </c>
      <c r="D230" s="120" t="str">
        <f>vlookup(A230,collexo_data!A:M,13,0)</f>
        <v>Indore</v>
      </c>
      <c r="E230" s="122" t="str">
        <f>vlookup(A230,collexo_data!A:O,15,0)</f>
        <v>Princess Barode</v>
      </c>
      <c r="F230" s="120">
        <f>vlookup(A230,collexo_data!A:S,19,0)</f>
        <v>8839168968</v>
      </c>
      <c r="G230" s="122" t="str">
        <f>vlookup(A230,collexo_data!A:R,18,0)</f>
        <v>GS Foundation Course</v>
      </c>
      <c r="H230" s="122" t="str">
        <f t="shared" si="1"/>
        <v>princessbrd7@gmail.com</v>
      </c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3"/>
      <c r="AE230" s="113"/>
      <c r="AF230" s="113"/>
    </row>
    <row r="231">
      <c r="C231" s="123">
        <f>MINIFS(collexo_data!B:B,collexo_data!A:A,A231)</f>
        <v>46081</v>
      </c>
      <c r="D231" s="120" t="str">
        <f>vlookup(A231,collexo_data!A:M,13,0)</f>
        <v>Patna</v>
      </c>
      <c r="E231" s="122" t="str">
        <f>vlookup(A231,collexo_data!A:O,15,0)</f>
        <v>PRINCESS CHOUDHARY</v>
      </c>
      <c r="F231" s="120">
        <f>vlookup(A231,collexo_data!A:S,19,0)</f>
        <v>8210387950</v>
      </c>
      <c r="G231" s="122" t="str">
        <f>vlookup(A231,collexo_data!A:R,18,0)</f>
        <v>State PCS</v>
      </c>
      <c r="H231" s="122" t="str">
        <f t="shared" si="1"/>
        <v>princesschoudhary847@gmail.com</v>
      </c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13"/>
    </row>
    <row r="232">
      <c r="C232" s="123">
        <f>MINIFS(collexo_data!B:B,collexo_data!A:A,A232)</f>
        <v>46102</v>
      </c>
      <c r="D232" s="120" t="str">
        <f>vlookup(A232,collexo_data!A:M,13,0)</f>
        <v>New Delhi</v>
      </c>
      <c r="E232" s="122" t="str">
        <f>vlookup(A232,collexo_data!A:O,15,0)</f>
        <v>shyam soni</v>
      </c>
      <c r="F232" s="120">
        <f>vlookup(A232,collexo_data!A:S,19,0)</f>
        <v>8736032381</v>
      </c>
      <c r="G232" s="122" t="str">
        <f>vlookup(A232,collexo_data!A:R,18,0)</f>
        <v>GS Foundation Course</v>
      </c>
      <c r="H232" s="122" t="str">
        <f t="shared" si="1"/>
        <v>priyamsoni210@gmail.com</v>
      </c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3"/>
      <c r="AE232" s="113"/>
      <c r="AF232" s="113"/>
    </row>
    <row r="233">
      <c r="C233" s="123">
        <f>MINIFS(collexo_data!B:B,collexo_data!A:A,A233)</f>
        <v>46111</v>
      </c>
      <c r="D233" s="120" t="str">
        <f>vlookup(A233,collexo_data!A:M,13,0)</f>
        <v>Patna</v>
      </c>
      <c r="E233" s="122" t="str">
        <f>vlookup(A233,collexo_data!A:O,15,0)</f>
        <v>Priyanka Gupta</v>
      </c>
      <c r="F233" s="120">
        <f>vlookup(A233,collexo_data!A:S,19,0)</f>
        <v>8986373158</v>
      </c>
      <c r="G233" s="122" t="str">
        <f>vlookup(A233,collexo_data!A:R,18,0)</f>
        <v>State PCS</v>
      </c>
      <c r="H233" s="122" t="str">
        <f t="shared" si="1"/>
        <v>priyankakaimur1@gmail.com</v>
      </c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3"/>
      <c r="AE233" s="113"/>
      <c r="AF233" s="113"/>
    </row>
    <row r="234">
      <c r="C234" s="123">
        <f>MINIFS(collexo_data!B:B,collexo_data!A:A,A234)</f>
        <v>46072</v>
      </c>
      <c r="D234" s="120" t="str">
        <f>vlookup(A234,collexo_data!A:M,13,0)</f>
        <v>New Delhi</v>
      </c>
      <c r="E234" s="122" t="str">
        <f>vlookup(A234,collexo_data!A:O,15,0)</f>
        <v>Priya</v>
      </c>
      <c r="F234" s="120">
        <f>vlookup(A234,collexo_data!A:S,19,0)</f>
        <v>9693807345</v>
      </c>
      <c r="G234" s="122" t="str">
        <f>vlookup(A234,collexo_data!A:R,18,0)</f>
        <v>GS Foundation Course</v>
      </c>
      <c r="H234" s="122" t="str">
        <f t="shared" si="1"/>
        <v>priyasingh28317@gmail.com</v>
      </c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3"/>
      <c r="AE234" s="113"/>
      <c r="AF234" s="113"/>
    </row>
    <row r="235">
      <c r="C235" s="123">
        <f>MINIFS(collexo_data!B:B,collexo_data!A:A,A235)</f>
        <v>46109</v>
      </c>
      <c r="D235" s="120" t="str">
        <f>vlookup(A235,collexo_data!A:M,13,0)</f>
        <v>Prayagraj</v>
      </c>
      <c r="E235" s="122" t="str">
        <f>vlookup(A235,collexo_data!A:O,15,0)</f>
        <v>Purnima kesarwani</v>
      </c>
      <c r="F235" s="120">
        <f>vlookup(A235,collexo_data!A:S,19,0)</f>
        <v>8081636079</v>
      </c>
      <c r="G235" s="122" t="str">
        <f>vlookup(A235,collexo_data!A:R,18,0)</f>
        <v>GS Foundation Course</v>
      </c>
      <c r="H235" s="122" t="str">
        <f t="shared" si="1"/>
        <v>purnimakeshwarwani1@gmail.com</v>
      </c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3"/>
      <c r="AE235" s="113"/>
      <c r="AF235" s="113"/>
    </row>
    <row r="236">
      <c r="C236" s="123">
        <f>MINIFS(collexo_data!B:B,collexo_data!A:A,A236)</f>
        <v>46099</v>
      </c>
      <c r="D236" s="120" t="str">
        <f>vlookup(A236,collexo_data!A:M,13,0)</f>
        <v>Prayagraj</v>
      </c>
      <c r="E236" s="122" t="str">
        <f>vlookup(A236,collexo_data!A:O,15,0)</f>
        <v>brijendra</v>
      </c>
      <c r="F236" s="120">
        <f>vlookup(A236,collexo_data!A:S,19,0)</f>
        <v>7991888982</v>
      </c>
      <c r="G236" s="122" t="str">
        <f>vlookup(A236,collexo_data!A:R,18,0)</f>
        <v>State PCS</v>
      </c>
      <c r="H236" s="122" t="str">
        <f t="shared" si="1"/>
        <v>raghvendraraj8080@gmail.com</v>
      </c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3"/>
      <c r="AE236" s="113"/>
      <c r="AF236" s="113"/>
    </row>
    <row r="237">
      <c r="C237" s="123">
        <f>MINIFS(collexo_data!B:B,collexo_data!A:A,A237)</f>
        <v>46065</v>
      </c>
      <c r="D237" s="120" t="str">
        <f>vlookup(A237,collexo_data!A:M,13,0)</f>
        <v>Patna</v>
      </c>
      <c r="E237" s="122" t="str">
        <f>vlookup(A237,collexo_data!A:O,15,0)</f>
        <v>Raja Ranjan</v>
      </c>
      <c r="F237" s="120">
        <f>vlookup(A237,collexo_data!A:S,19,0)</f>
        <v>9117055890</v>
      </c>
      <c r="G237" s="122" t="str">
        <f>vlookup(A237,collexo_data!A:R,18,0)</f>
        <v>State PCS</v>
      </c>
      <c r="H237" s="122" t="str">
        <f t="shared" si="1"/>
        <v>raja@gmail.com</v>
      </c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3"/>
      <c r="AE237" s="113"/>
      <c r="AF237" s="113"/>
    </row>
    <row r="238">
      <c r="C238" s="123">
        <f>MINIFS(collexo_data!B:B,collexo_data!A:A,A238)</f>
        <v>46102</v>
      </c>
      <c r="D238" s="120" t="str">
        <f>vlookup(A238,collexo_data!A:M,13,0)</f>
        <v>New Delhi</v>
      </c>
      <c r="E238" s="122" t="str">
        <f>vlookup(A238,collexo_data!A:O,15,0)</f>
        <v>Ankit</v>
      </c>
      <c r="F238" s="120">
        <f>vlookup(A238,collexo_data!A:S,19,0)</f>
        <v>9990504871</v>
      </c>
      <c r="G238" s="122" t="str">
        <f>vlookup(A238,collexo_data!A:R,18,0)</f>
        <v>GS Foundation Course</v>
      </c>
      <c r="H238" s="122" t="str">
        <f t="shared" si="1"/>
        <v>rajankitttttt1405@gmail.com</v>
      </c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3"/>
      <c r="AE238" s="113"/>
      <c r="AF238" s="113"/>
    </row>
    <row r="239">
      <c r="C239" s="123">
        <f>MINIFS(collexo_data!B:B,collexo_data!A:A,A239)</f>
        <v>46104</v>
      </c>
      <c r="D239" s="120" t="str">
        <f>vlookup(A239,collexo_data!A:M,13,0)</f>
        <v>Prayagraj</v>
      </c>
      <c r="E239" s="122" t="str">
        <f>vlookup(A239,collexo_data!A:O,15,0)</f>
        <v>Rajesh kumar</v>
      </c>
      <c r="F239" s="120">
        <f>vlookup(A239,collexo_data!A:S,19,0)</f>
        <v>9762412013</v>
      </c>
      <c r="G239" s="122" t="str">
        <f>vlookup(A239,collexo_data!A:R,18,0)</f>
        <v>State PCS</v>
      </c>
      <c r="H239" s="122" t="str">
        <f t="shared" si="1"/>
        <v>rajeshkumarmaurya85@yahoo.com</v>
      </c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3"/>
      <c r="AE239" s="113"/>
      <c r="AF239" s="113"/>
    </row>
    <row r="240">
      <c r="C240" s="123">
        <f>MINIFS(collexo_data!B:B,collexo_data!A:A,A240)</f>
        <v>46112</v>
      </c>
      <c r="D240" s="120" t="str">
        <f>vlookup(A240,collexo_data!A:M,13,0)</f>
        <v>Prayagraj</v>
      </c>
      <c r="E240" s="122" t="str">
        <f>vlookup(A240,collexo_data!A:O,15,0)</f>
        <v>Raj kumar</v>
      </c>
      <c r="F240" s="120">
        <f>vlookup(A240,collexo_data!A:S,19,0)</f>
        <v>9129634941</v>
      </c>
      <c r="G240" s="122" t="str">
        <f>vlookup(A240,collexo_data!A:R,18,0)</f>
        <v>GS Foundation Course</v>
      </c>
      <c r="H240" s="122" t="str">
        <f t="shared" si="1"/>
        <v>rajkumar91296349@gmail.com</v>
      </c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3"/>
      <c r="AE240" s="113"/>
      <c r="AF240" s="113"/>
    </row>
    <row r="241">
      <c r="C241" s="123">
        <f>MINIFS(collexo_data!B:B,collexo_data!A:A,A241)</f>
        <v>46044</v>
      </c>
      <c r="D241" s="120" t="str">
        <f>vlookup(A241,collexo_data!A:M,13,0)</f>
        <v>New Delhi</v>
      </c>
      <c r="E241" s="122" t="str">
        <f>vlookup(A241,collexo_data!A:O,15,0)</f>
        <v>Rakhi</v>
      </c>
      <c r="F241" s="120">
        <f>vlookup(A241,collexo_data!A:S,19,0)</f>
        <v>9306516045</v>
      </c>
      <c r="G241" s="122" t="str">
        <f>vlookup(A241,collexo_data!A:R,18,0)</f>
        <v>GS Foundation Course</v>
      </c>
      <c r="H241" s="122" t="str">
        <f t="shared" si="1"/>
        <v>rakhisankhla799@gmail.com</v>
      </c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3"/>
      <c r="AE241" s="113"/>
      <c r="AF241" s="113"/>
    </row>
    <row r="242">
      <c r="C242" s="123">
        <f>MINIFS(collexo_data!B:B,collexo_data!A:A,A242)</f>
        <v>46062</v>
      </c>
      <c r="D242" s="120" t="str">
        <f>vlookup(A242,collexo_data!A:M,13,0)</f>
        <v>New Delhi</v>
      </c>
      <c r="E242" s="122" t="str">
        <f>vlookup(A242,collexo_data!A:O,15,0)</f>
        <v>Rakshanda dinesh Gedam</v>
      </c>
      <c r="F242" s="120">
        <f>vlookup(A242,collexo_data!A:S,19,0)</f>
        <v>7506300561</v>
      </c>
      <c r="G242" s="122" t="str">
        <f>vlookup(A242,collexo_data!A:R,18,0)</f>
        <v>GS Foundation Course</v>
      </c>
      <c r="H242" s="122" t="str">
        <f t="shared" si="1"/>
        <v>rakshandabusiness3@gmail.com</v>
      </c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3"/>
      <c r="AE242" s="113"/>
      <c r="AF242" s="113"/>
    </row>
    <row r="243">
      <c r="C243" s="123">
        <f>MINIFS(collexo_data!B:B,collexo_data!A:A,A243)</f>
        <v>46106</v>
      </c>
      <c r="D243" s="120" t="str">
        <f>vlookup(A243,collexo_data!A:M,13,0)</f>
        <v>Lucknow</v>
      </c>
      <c r="E243" s="122" t="str">
        <f>vlookup(A243,collexo_data!A:O,15,0)</f>
        <v>Rani Verma</v>
      </c>
      <c r="F243" s="120">
        <f>vlookup(A243,collexo_data!A:S,19,0)</f>
        <v>6387820240</v>
      </c>
      <c r="G243" s="122" t="str">
        <f>vlookup(A243,collexo_data!A:R,18,0)</f>
        <v>GS Foundation Course</v>
      </c>
      <c r="H243" s="122" t="str">
        <f t="shared" si="1"/>
        <v>raniverma107200@gmail.com</v>
      </c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3"/>
      <c r="AE243" s="113"/>
      <c r="AF243" s="113"/>
    </row>
    <row r="244">
      <c r="C244" s="123">
        <f>MINIFS(collexo_data!B:B,collexo_data!A:A,A244)</f>
        <v>46089</v>
      </c>
      <c r="D244" s="120" t="str">
        <f>vlookup(A244,collexo_data!A:M,13,0)</f>
        <v>Prayagraj</v>
      </c>
      <c r="E244" s="122" t="str">
        <f>vlookup(A244,collexo_data!A:O,15,0)</f>
        <v>Ranjit</v>
      </c>
      <c r="F244" s="120">
        <f>vlookup(A244,collexo_data!A:S,19,0)</f>
        <v>6388848525</v>
      </c>
      <c r="G244" s="122" t="str">
        <f>vlookup(A244,collexo_data!A:R,18,0)</f>
        <v>GS Foundation Course</v>
      </c>
      <c r="H244" s="122" t="str">
        <f t="shared" si="1"/>
        <v>ranjit221715@mail.com</v>
      </c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3"/>
      <c r="AE244" s="113"/>
      <c r="AF244" s="113"/>
    </row>
    <row r="245">
      <c r="C245" s="123">
        <f>MINIFS(collexo_data!B:B,collexo_data!A:A,A245)</f>
        <v>46097</v>
      </c>
      <c r="D245" s="120" t="str">
        <f>vlookup(A245,collexo_data!A:M,13,0)</f>
        <v>Prayagraj</v>
      </c>
      <c r="E245" s="122" t="str">
        <f>vlookup(A245,collexo_data!A:O,15,0)</f>
        <v>Ashish yadav</v>
      </c>
      <c r="F245" s="120">
        <f>vlookup(A245,collexo_data!A:S,19,0)</f>
        <v>6394376064</v>
      </c>
      <c r="G245" s="122" t="str">
        <f>vlookup(A245,collexo_data!A:R,18,0)</f>
        <v>GS Foundation Course</v>
      </c>
      <c r="H245" s="122" t="str">
        <f t="shared" si="1"/>
        <v>rashishy1@gmail.com</v>
      </c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3"/>
      <c r="AE245" s="113"/>
      <c r="AF245" s="113"/>
    </row>
    <row r="246">
      <c r="C246" s="123">
        <f>MINIFS(collexo_data!B:B,collexo_data!A:A,A246)</f>
        <v>46108</v>
      </c>
      <c r="D246" s="120" t="str">
        <f>vlookup(A246,collexo_data!A:M,13,0)</f>
        <v>New Delhi</v>
      </c>
      <c r="E246" s="122" t="str">
        <f>vlookup(A246,collexo_data!A:O,15,0)</f>
        <v>Rimjhim</v>
      </c>
      <c r="F246" s="120">
        <f>vlookup(A246,collexo_data!A:S,19,0)</f>
        <v>6202290735</v>
      </c>
      <c r="G246" s="122" t="str">
        <f>vlookup(A246,collexo_data!A:R,18,0)</f>
        <v>GS Foundation Course</v>
      </c>
      <c r="H246" s="122" t="str">
        <f t="shared" si="1"/>
        <v>rimjhim238@gmail.com</v>
      </c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3"/>
      <c r="AE246" s="113"/>
      <c r="AF246" s="113"/>
    </row>
    <row r="247">
      <c r="C247" s="123">
        <f>MINIFS(collexo_data!B:B,collexo_data!A:A,A247)</f>
        <v>46094</v>
      </c>
      <c r="D247" s="120" t="str">
        <f>vlookup(A247,collexo_data!A:M,13,0)</f>
        <v>Patna</v>
      </c>
      <c r="E247" s="122" t="str">
        <f>vlookup(A247,collexo_data!A:O,15,0)</f>
        <v>Rishav Kumar</v>
      </c>
      <c r="F247" s="120">
        <f>vlookup(A247,collexo_data!A:S,19,0)</f>
        <v>9304886426</v>
      </c>
      <c r="G247" s="122" t="str">
        <f>vlookup(A247,collexo_data!A:R,18,0)</f>
        <v>State PCS</v>
      </c>
      <c r="H247" s="122" t="str">
        <f t="shared" si="1"/>
        <v>Rishavyadav@gmail.com</v>
      </c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3"/>
      <c r="AE247" s="113"/>
      <c r="AF247" s="113"/>
    </row>
    <row r="248">
      <c r="C248" s="123">
        <f>MINIFS(collexo_data!B:B,collexo_data!A:A,A248)</f>
        <v>46086</v>
      </c>
      <c r="D248" s="120" t="str">
        <f>vlookup(A248,collexo_data!A:M,13,0)</f>
        <v>New Delhi</v>
      </c>
      <c r="E248" s="122" t="str">
        <f>vlookup(A248,collexo_data!A:O,15,0)</f>
        <v>Ritika</v>
      </c>
      <c r="F248" s="120">
        <f>vlookup(A248,collexo_data!A:S,19,0)</f>
        <v>7011882881</v>
      </c>
      <c r="G248" s="122" t="str">
        <f>vlookup(A248,collexo_data!A:R,18,0)</f>
        <v>GS Foundation Course</v>
      </c>
      <c r="H248" s="122" t="str">
        <f t="shared" si="1"/>
        <v>ritikadalal0216@gmail.com</v>
      </c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3"/>
      <c r="AE248" s="113"/>
      <c r="AF248" s="113"/>
    </row>
    <row r="249">
      <c r="C249" s="123">
        <f>MINIFS(collexo_data!B:B,collexo_data!A:A,A249)</f>
        <v>46041</v>
      </c>
      <c r="D249" s="120" t="str">
        <f>vlookup(A249,collexo_data!A:M,13,0)</f>
        <v>New Delhi</v>
      </c>
      <c r="E249" s="122" t="str">
        <f>vlookup(A249,collexo_data!A:O,15,0)</f>
        <v>Ritik Tiwari</v>
      </c>
      <c r="F249" s="120">
        <f>vlookup(A249,collexo_data!A:S,19,0)</f>
        <v>8318771184</v>
      </c>
      <c r="G249" s="122" t="str">
        <f>vlookup(A249,collexo_data!A:R,18,0)</f>
        <v>GS Foundation Course</v>
      </c>
      <c r="H249" s="122" t="str">
        <f t="shared" si="1"/>
        <v>ritiktiwa1999@gmail.com</v>
      </c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3"/>
      <c r="AE249" s="113"/>
      <c r="AF249" s="113"/>
    </row>
    <row r="250">
      <c r="C250" s="123">
        <f>MINIFS(collexo_data!B:B,collexo_data!A:A,A250)</f>
        <v>46051</v>
      </c>
      <c r="D250" s="120" t="str">
        <f>vlookup(A250,collexo_data!A:M,13,0)</f>
        <v>New Delhi</v>
      </c>
      <c r="E250" s="122" t="str">
        <f>vlookup(A250,collexo_data!A:O,15,0)</f>
        <v>Ruturaj</v>
      </c>
      <c r="F250" s="120">
        <f>vlookup(A250,collexo_data!A:S,19,0)</f>
        <v>9579252596</v>
      </c>
      <c r="G250" s="122" t="str">
        <f>vlookup(A250,collexo_data!A:R,18,0)</f>
        <v>GS Foundation Course</v>
      </c>
      <c r="H250" s="122" t="str">
        <f t="shared" si="1"/>
        <v>rituraj664@gmail.com</v>
      </c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3"/>
      <c r="AE250" s="113"/>
      <c r="AF250" s="113"/>
    </row>
    <row r="251">
      <c r="C251" s="123">
        <f>MINIFS(collexo_data!B:B,collexo_data!A:A,A251)</f>
        <v>46077</v>
      </c>
      <c r="D251" s="120" t="str">
        <f>vlookup(A251,collexo_data!A:M,13,0)</f>
        <v>Patna</v>
      </c>
      <c r="E251" s="122" t="str">
        <f>vlookup(A251,collexo_data!A:O,15,0)</f>
        <v>Rakesh kumar</v>
      </c>
      <c r="F251" s="120">
        <f>vlookup(A251,collexo_data!A:S,19,0)</f>
        <v>9065098868</v>
      </c>
      <c r="G251" s="122" t="str">
        <f>vlookup(A251,collexo_data!A:R,18,0)</f>
        <v>State PCS</v>
      </c>
      <c r="H251" s="122" t="str">
        <f t="shared" si="1"/>
        <v>rks12122001@gmail.com</v>
      </c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3"/>
      <c r="AE251" s="113"/>
      <c r="AF251" s="113"/>
    </row>
    <row r="252">
      <c r="C252" s="123">
        <f>MINIFS(collexo_data!B:B,collexo_data!A:A,A252)</f>
        <v>46092</v>
      </c>
      <c r="D252" s="120" t="str">
        <f>vlookup(A252,collexo_data!A:M,13,0)</f>
        <v>New Delhi</v>
      </c>
      <c r="E252" s="122" t="str">
        <f>vlookup(A252,collexo_data!A:O,15,0)</f>
        <v>Aditya</v>
      </c>
      <c r="F252" s="120">
        <f>vlookup(A252,collexo_data!A:S,19,0)</f>
        <v>9279238076</v>
      </c>
      <c r="G252" s="122" t="str">
        <f>vlookup(A252,collexo_data!A:R,18,0)</f>
        <v>GS Foundation Course</v>
      </c>
      <c r="H252" s="122" t="str">
        <f t="shared" si="1"/>
        <v>robinsinghjee@gmail.com</v>
      </c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3"/>
      <c r="AE252" s="113"/>
      <c r="AF252" s="113"/>
    </row>
    <row r="253">
      <c r="C253" s="123">
        <f>MINIFS(collexo_data!B:B,collexo_data!A:A,A253)</f>
        <v>46097</v>
      </c>
      <c r="D253" s="120" t="str">
        <f>vlookup(A253,collexo_data!A:M,13,0)</f>
        <v>Patna</v>
      </c>
      <c r="E253" s="122" t="str">
        <f>vlookup(A253,collexo_data!A:O,15,0)</f>
        <v>Rohit Kumar</v>
      </c>
      <c r="F253" s="120">
        <f>vlookup(A253,collexo_data!A:S,19,0)</f>
        <v>8210378599</v>
      </c>
      <c r="G253" s="122" t="str">
        <f>vlookup(A253,collexo_data!A:R,18,0)</f>
        <v>GS Foundation Course</v>
      </c>
      <c r="H253" s="122" t="str">
        <f t="shared" si="1"/>
        <v>rohit8210378599@gmail.com</v>
      </c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3"/>
      <c r="AE253" s="113"/>
      <c r="AF253" s="113"/>
    </row>
    <row r="254">
      <c r="C254" s="123">
        <f>MINIFS(collexo_data!B:B,collexo_data!A:A,A254)</f>
        <v>46078</v>
      </c>
      <c r="D254" s="120" t="str">
        <f>vlookup(A254,collexo_data!A:M,13,0)</f>
        <v>Prayagraj</v>
      </c>
      <c r="E254" s="122" t="str">
        <f>vlookup(A254,collexo_data!A:O,15,0)</f>
        <v>Rohit Kumar</v>
      </c>
      <c r="F254" s="120">
        <f>vlookup(A254,collexo_data!A:S,19,0)</f>
        <v>9236532265</v>
      </c>
      <c r="G254" s="122" t="str">
        <f>vlookup(A254,collexo_data!A:R,18,0)</f>
        <v>GS Foundation Course</v>
      </c>
      <c r="H254" s="122" t="str">
        <f t="shared" si="1"/>
        <v>rohitkumarvijayk@gmail.com</v>
      </c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3"/>
      <c r="AE254" s="113"/>
      <c r="AF254" s="113"/>
    </row>
    <row r="255">
      <c r="C255" s="123">
        <f>MINIFS(collexo_data!B:B,collexo_data!A:A,A255)</f>
        <v>46087</v>
      </c>
      <c r="D255" s="120" t="str">
        <f>vlookup(A255,collexo_data!A:M,13,0)</f>
        <v>Indore</v>
      </c>
      <c r="E255" s="122" t="str">
        <f>vlookup(A255,collexo_data!A:O,15,0)</f>
        <v>Rohit more</v>
      </c>
      <c r="F255" s="120">
        <f>vlookup(A255,collexo_data!A:S,19,0)</f>
        <v>7879994300</v>
      </c>
      <c r="G255" s="122" t="str">
        <f>vlookup(A255,collexo_data!A:R,18,0)</f>
        <v>GS Foundation Course</v>
      </c>
      <c r="H255" s="122" t="str">
        <f t="shared" si="1"/>
        <v>rohitmore4300@gmail.com</v>
      </c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3"/>
      <c r="AE255" s="113"/>
      <c r="AF255" s="113"/>
    </row>
    <row r="256">
      <c r="C256" s="123">
        <f>MINIFS(collexo_data!B:B,collexo_data!A:A,A256)</f>
        <v>46105</v>
      </c>
      <c r="D256" s="120" t="str">
        <f>vlookup(A256,collexo_data!A:M,13,0)</f>
        <v>Lucknow</v>
      </c>
      <c r="E256" s="122" t="str">
        <f>vlookup(A256,collexo_data!A:O,15,0)</f>
        <v>ROSANI TIWARI</v>
      </c>
      <c r="F256" s="120">
        <f>vlookup(A256,collexo_data!A:S,19,0)</f>
        <v>9871734417</v>
      </c>
      <c r="G256" s="122" t="str">
        <f>vlookup(A256,collexo_data!A:R,18,0)</f>
        <v>GS Foundation Course</v>
      </c>
      <c r="H256" s="122" t="str">
        <f t="shared" si="1"/>
        <v>roshni2007tiwari.05@gmail.com</v>
      </c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3"/>
      <c r="AE256" s="113"/>
      <c r="AF256" s="113"/>
    </row>
    <row r="257">
      <c r="C257" s="123">
        <f>MINIFS(collexo_data!B:B,collexo_data!A:A,A257)</f>
        <v>46106</v>
      </c>
      <c r="D257" s="120" t="str">
        <f>vlookup(A257,collexo_data!A:M,13,0)</f>
        <v>Prayagraj</v>
      </c>
      <c r="E257" s="122" t="str">
        <f>vlookup(A257,collexo_data!A:O,15,0)</f>
        <v>Rupa</v>
      </c>
      <c r="F257" s="120">
        <f>vlookup(A257,collexo_data!A:S,19,0)</f>
        <v>9335708900</v>
      </c>
      <c r="G257" s="122" t="str">
        <f>vlookup(A257,collexo_data!A:R,18,0)</f>
        <v>Mentorship - Samadhan</v>
      </c>
      <c r="H257" s="122" t="str">
        <f t="shared" si="1"/>
        <v>rupamaddheshiya01@gmail.com</v>
      </c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3"/>
      <c r="AE257" s="113"/>
      <c r="AF257" s="113"/>
    </row>
    <row r="258">
      <c r="C258" s="123">
        <f>MINIFS(collexo_data!B:B,collexo_data!A:A,A258)</f>
        <v>46074</v>
      </c>
      <c r="D258" s="120" t="str">
        <f>vlookup(A258,collexo_data!A:M,13,0)</f>
        <v>Prayagraj</v>
      </c>
      <c r="E258" s="122" t="str">
        <f>vlookup(A258,collexo_data!A:O,15,0)</f>
        <v>Chaitali Singh</v>
      </c>
      <c r="F258" s="120">
        <f>vlookup(A258,collexo_data!A:S,19,0)</f>
        <v>8429895348</v>
      </c>
      <c r="G258" s="122" t="str">
        <f>vlookup(A258,collexo_data!A:R,18,0)</f>
        <v>GS Foundation Course</v>
      </c>
      <c r="H258" s="122" t="str">
        <f t="shared" si="1"/>
        <v>s.chaitali1009@gmail.com</v>
      </c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3"/>
      <c r="AE258" s="113"/>
      <c r="AF258" s="113"/>
    </row>
    <row r="259">
      <c r="C259" s="123">
        <f>MINIFS(collexo_data!B:B,collexo_data!A:A,A259)</f>
        <v>46102</v>
      </c>
      <c r="D259" s="120" t="str">
        <f>vlookup(A259,collexo_data!A:M,13,0)</f>
        <v>Prayagraj</v>
      </c>
      <c r="E259" s="122" t="str">
        <f>vlookup(A259,collexo_data!A:O,15,0)</f>
        <v>Sachin</v>
      </c>
      <c r="F259" s="120">
        <f>vlookup(A259,collexo_data!A:S,19,0)</f>
        <v>7820045097</v>
      </c>
      <c r="G259" s="122" t="str">
        <f>vlookup(A259,collexo_data!A:R,18,0)</f>
        <v>State PCS</v>
      </c>
      <c r="H259" s="122" t="str">
        <f t="shared" si="1"/>
        <v>sachinkushwah3256@gmail.com</v>
      </c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3"/>
      <c r="AE259" s="113"/>
      <c r="AF259" s="113"/>
    </row>
    <row r="260">
      <c r="C260" s="123">
        <f>MINIFS(collexo_data!B:B,collexo_data!A:A,A260)</f>
        <v>46105</v>
      </c>
      <c r="D260" s="120" t="str">
        <f>vlookup(A260,collexo_data!A:M,13,0)</f>
        <v>New Delhi</v>
      </c>
      <c r="E260" s="122" t="str">
        <f>vlookup(A260,collexo_data!A:O,15,0)</f>
        <v>Sahil</v>
      </c>
      <c r="F260" s="120">
        <f>vlookup(A260,collexo_data!A:S,19,0)</f>
        <v>8260489709</v>
      </c>
      <c r="G260" s="122" t="str">
        <f>vlookup(A260,collexo_data!A:R,18,0)</f>
        <v>GS Foundation Course</v>
      </c>
      <c r="H260" s="122" t="str">
        <f t="shared" si="1"/>
        <v>sahilmeher229@gmail.com</v>
      </c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3"/>
      <c r="AE260" s="113"/>
      <c r="AF260" s="113"/>
    </row>
    <row r="261">
      <c r="C261" s="123">
        <f>MINIFS(collexo_data!B:B,collexo_data!A:A,A261)</f>
        <v>46112</v>
      </c>
      <c r="D261" s="120" t="str">
        <f>vlookup(A261,collexo_data!A:M,13,0)</f>
        <v>Lucknow</v>
      </c>
      <c r="E261" s="122" t="str">
        <f>vlookup(A261,collexo_data!A:O,15,0)</f>
        <v>Saima masood</v>
      </c>
      <c r="F261" s="120">
        <f>vlookup(A261,collexo_data!A:S,19,0)</f>
        <v>7860486236</v>
      </c>
      <c r="G261" s="122" t="str">
        <f>vlookup(A261,collexo_data!A:R,18,0)</f>
        <v>GS Foundation Course</v>
      </c>
      <c r="H261" s="122" t="str">
        <f t="shared" si="1"/>
        <v>Saimamasoodalam@gmail.com</v>
      </c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13"/>
    </row>
    <row r="262">
      <c r="C262" s="123">
        <f>MINIFS(collexo_data!B:B,collexo_data!A:A,A262)</f>
        <v>46074</v>
      </c>
      <c r="D262" s="120" t="str">
        <f>vlookup(A262,collexo_data!A:M,13,0)</f>
        <v>Lucknow</v>
      </c>
      <c r="E262" s="122" t="str">
        <f>vlookup(A262,collexo_data!A:O,15,0)</f>
        <v>Sakshi</v>
      </c>
      <c r="F262" s="120">
        <f>vlookup(A262,collexo_data!A:S,19,0)</f>
        <v>7505481168</v>
      </c>
      <c r="G262" s="122" t="str">
        <f>vlookup(A262,collexo_data!A:R,18,0)</f>
        <v>GS Foundation Course</v>
      </c>
      <c r="H262" s="122" t="str">
        <f t="shared" si="1"/>
        <v>sakimaurya0806@gmail.com</v>
      </c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3"/>
      <c r="AE262" s="113"/>
      <c r="AF262" s="113"/>
    </row>
    <row r="263">
      <c r="C263" s="123">
        <f>MINIFS(collexo_data!B:B,collexo_data!A:A,A263)</f>
        <v>46070</v>
      </c>
      <c r="D263" s="120" t="str">
        <f>vlookup(A263,collexo_data!A:M,13,0)</f>
        <v>New Delhi</v>
      </c>
      <c r="E263" s="122" t="str">
        <f>vlookup(A263,collexo_data!A:O,15,0)</f>
        <v>Sakshi</v>
      </c>
      <c r="F263" s="120">
        <f>vlookup(A263,collexo_data!A:S,19,0)</f>
        <v>9211665785</v>
      </c>
      <c r="G263" s="122" t="str">
        <f>vlookup(A263,collexo_data!A:R,18,0)</f>
        <v>GS Foundation Course</v>
      </c>
      <c r="H263" s="122" t="str">
        <f t="shared" si="1"/>
        <v>sakshi04252218@gmail.com</v>
      </c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3"/>
      <c r="AE263" s="113"/>
      <c r="AF263" s="113"/>
    </row>
    <row r="264">
      <c r="C264" s="123">
        <f>MINIFS(collexo_data!B:B,collexo_data!A:A,A264)</f>
        <v>46091</v>
      </c>
      <c r="D264" s="120" t="str">
        <f>vlookup(A264,collexo_data!A:M,13,0)</f>
        <v>Indore</v>
      </c>
      <c r="E264" s="122" t="str">
        <f>vlookup(A264,collexo_data!A:O,15,0)</f>
        <v>Ambika salame</v>
      </c>
      <c r="F264" s="120">
        <f>vlookup(A264,collexo_data!A:S,19,0)</f>
        <v>8450881453</v>
      </c>
      <c r="G264" s="122" t="str">
        <f>vlookup(A264,collexo_data!A:R,18,0)</f>
        <v>State PCS</v>
      </c>
      <c r="H264" s="122" t="str">
        <f t="shared" si="1"/>
        <v>salameambika9@gmail.com</v>
      </c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3"/>
      <c r="AE264" s="113"/>
      <c r="AF264" s="113"/>
    </row>
    <row r="265">
      <c r="C265" s="123">
        <f>MINIFS(collexo_data!B:B,collexo_data!A:A,A265)</f>
        <v>46031</v>
      </c>
      <c r="D265" s="120" t="str">
        <f>vlookup(A265,collexo_data!A:M,13,0)</f>
        <v>New Delhi</v>
      </c>
      <c r="E265" s="122" t="str">
        <f>vlookup(A265,collexo_data!A:O,15,0)</f>
        <v>Saloni Tyagi</v>
      </c>
      <c r="F265" s="120" t="str">
        <f>vlookup(A265,collexo_data!A:S,19,0)</f>
        <v>Not Available</v>
      </c>
      <c r="G265" s="122" t="str">
        <f>vlookup(A265,collexo_data!A:R,18,0)</f>
        <v>Not Available</v>
      </c>
      <c r="H265" s="122" t="str">
        <f t="shared" si="1"/>
        <v>salonityagi340@gmail.com</v>
      </c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3"/>
      <c r="AE265" s="113"/>
      <c r="AF265" s="113"/>
    </row>
    <row r="266">
      <c r="C266" s="123">
        <f>MINIFS(collexo_data!B:B,collexo_data!A:A,A266)</f>
        <v>46107</v>
      </c>
      <c r="D266" s="120" t="str">
        <f>vlookup(A266,collexo_data!A:M,13,0)</f>
        <v>Indore</v>
      </c>
      <c r="E266" s="122" t="str">
        <f>vlookup(A266,collexo_data!A:O,15,0)</f>
        <v>Shanu sengar</v>
      </c>
      <c r="F266" s="120">
        <f>vlookup(A266,collexo_data!A:S,19,0)</f>
        <v>8770821292</v>
      </c>
      <c r="G266" s="122" t="str">
        <f>vlookup(A266,collexo_data!A:R,18,0)</f>
        <v>GS Foundation Course</v>
      </c>
      <c r="H266" s="122" t="str">
        <f t="shared" si="1"/>
        <v>samarthsengar01@gmail.com</v>
      </c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3"/>
      <c r="AE266" s="113"/>
      <c r="AF266" s="113"/>
    </row>
    <row r="267">
      <c r="C267" s="123">
        <f>MINIFS(collexo_data!B:B,collexo_data!A:A,A267)</f>
        <v>46073</v>
      </c>
      <c r="D267" s="120" t="str">
        <f>vlookup(A267,collexo_data!A:M,13,0)</f>
        <v>Lucknow</v>
      </c>
      <c r="E267" s="122" t="str">
        <f>vlookup(A267,collexo_data!A:O,15,0)</f>
        <v>Sandeep</v>
      </c>
      <c r="F267" s="120">
        <f>vlookup(A267,collexo_data!A:S,19,0)</f>
        <v>6387381393</v>
      </c>
      <c r="G267" s="122" t="str">
        <f>vlookup(A267,collexo_data!A:R,18,0)</f>
        <v>GS Foundation Course</v>
      </c>
      <c r="H267" s="122" t="str">
        <f t="shared" si="1"/>
        <v>sandeeprichasaurabh@gmai.com</v>
      </c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3"/>
      <c r="AE267" s="113"/>
      <c r="AF267" s="113"/>
    </row>
    <row r="268">
      <c r="C268" s="123">
        <f>MINIFS(collexo_data!B:B,collexo_data!A:A,A268)</f>
        <v>46043</v>
      </c>
      <c r="D268" s="120" t="str">
        <f>vlookup(A268,collexo_data!A:M,13,0)</f>
        <v>New Delhi</v>
      </c>
      <c r="E268" s="122" t="str">
        <f>vlookup(A268,collexo_data!A:O,15,0)</f>
        <v>sangani</v>
      </c>
      <c r="F268" s="120">
        <f>vlookup(A268,collexo_data!A:S,19,0)</f>
        <v>7267852968</v>
      </c>
      <c r="G268" s="122" t="str">
        <f>vlookup(A268,collexo_data!A:R,18,0)</f>
        <v>GS Foundation Course</v>
      </c>
      <c r="H268" s="122" t="str">
        <f t="shared" si="1"/>
        <v>sanginijalota242@gmail.com</v>
      </c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3"/>
      <c r="AE268" s="113"/>
      <c r="AF268" s="113"/>
    </row>
    <row r="269">
      <c r="C269" s="123">
        <f>MINIFS(collexo_data!B:B,collexo_data!A:A,A269)</f>
        <v>46067</v>
      </c>
      <c r="D269" s="120" t="str">
        <f>vlookup(A269,collexo_data!A:M,13,0)</f>
        <v>Indore</v>
      </c>
      <c r="E269" s="122" t="str">
        <f>vlookup(A269,collexo_data!A:O,15,0)</f>
        <v>Sanjan shrirao</v>
      </c>
      <c r="F269" s="120">
        <f>vlookup(A269,collexo_data!A:S,19,0)</f>
        <v>9960120204</v>
      </c>
      <c r="G269" s="122" t="str">
        <f>vlookup(A269,collexo_data!A:R,18,0)</f>
        <v>GS Foundation Course</v>
      </c>
      <c r="H269" s="122" t="str">
        <f t="shared" si="1"/>
        <v>sanjanshrirao27@gmail.com</v>
      </c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3"/>
      <c r="AE269" s="113"/>
      <c r="AF269" s="113"/>
    </row>
    <row r="270">
      <c r="C270" s="123">
        <f>MINIFS(collexo_data!B:B,collexo_data!A:A,A270)</f>
        <v>46107</v>
      </c>
      <c r="D270" s="120" t="str">
        <f>vlookup(A270,collexo_data!A:M,13,0)</f>
        <v>New Delhi</v>
      </c>
      <c r="E270" s="122" t="str">
        <f>vlookup(A270,collexo_data!A:O,15,0)</f>
        <v>Sanket</v>
      </c>
      <c r="F270" s="120">
        <f>vlookup(A270,collexo_data!A:S,19,0)</f>
        <v>9430914710</v>
      </c>
      <c r="G270" s="122" t="str">
        <f>vlookup(A270,collexo_data!A:R,18,0)</f>
        <v>GS Foundation Course</v>
      </c>
      <c r="H270" s="122" t="str">
        <f t="shared" si="1"/>
        <v>sanketshukriya2630@gmail.com</v>
      </c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</row>
    <row r="271">
      <c r="C271" s="123">
        <f>MINIFS(collexo_data!B:B,collexo_data!A:A,A271)</f>
        <v>46081</v>
      </c>
      <c r="D271" s="120" t="str">
        <f>vlookup(A271,collexo_data!A:M,13,0)</f>
        <v>Prayagraj</v>
      </c>
      <c r="E271" s="122" t="str">
        <f>vlookup(A271,collexo_data!A:O,15,0)</f>
        <v>Sanoj</v>
      </c>
      <c r="F271" s="120">
        <f>vlookup(A271,collexo_data!A:S,19,0)</f>
        <v>9060779354</v>
      </c>
      <c r="G271" s="122" t="str">
        <f>vlookup(A271,collexo_data!A:R,18,0)</f>
        <v>GS Foundation Course</v>
      </c>
      <c r="H271" s="122" t="str">
        <f t="shared" si="1"/>
        <v>sanojkumar0378@gmail.com</v>
      </c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3"/>
      <c r="AE271" s="113"/>
      <c r="AF271" s="113"/>
    </row>
    <row r="272">
      <c r="C272" s="123">
        <f>MINIFS(collexo_data!B:B,collexo_data!A:A,A272)</f>
        <v>46087</v>
      </c>
      <c r="D272" s="120" t="str">
        <f>vlookup(A272,collexo_data!A:M,13,0)</f>
        <v>New Delhi</v>
      </c>
      <c r="E272" s="122" t="str">
        <f>vlookup(A272,collexo_data!A:O,15,0)</f>
        <v>Rishiraj sharma</v>
      </c>
      <c r="F272" s="120">
        <f>vlookup(A272,collexo_data!A:S,19,0)</f>
        <v>7636072099</v>
      </c>
      <c r="G272" s="122" t="str">
        <f>vlookup(A272,collexo_data!A:R,18,0)</f>
        <v>GS Foundation Course</v>
      </c>
      <c r="H272" s="122" t="str">
        <f t="shared" si="1"/>
        <v>sarmah.rishiraj01@gmail.com</v>
      </c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3"/>
      <c r="AE272" s="113"/>
      <c r="AF272" s="113"/>
    </row>
    <row r="273">
      <c r="C273" s="123">
        <f>MINIFS(collexo_data!B:B,collexo_data!A:A,A273)</f>
        <v>46056</v>
      </c>
      <c r="D273" s="120" t="str">
        <f>vlookup(A273,collexo_data!A:M,13,0)</f>
        <v>New Delhi</v>
      </c>
      <c r="E273" s="122" t="str">
        <f>vlookup(A273,collexo_data!A:O,15,0)</f>
        <v>Satish</v>
      </c>
      <c r="F273" s="120">
        <f>vlookup(A273,collexo_data!A:S,19,0)</f>
        <v>8576006471</v>
      </c>
      <c r="G273" s="122" t="str">
        <f>vlookup(A273,collexo_data!A:R,18,0)</f>
        <v>GS Foundation Course</v>
      </c>
      <c r="H273" s="122" t="str">
        <f t="shared" si="1"/>
        <v>satishvishwakarma1913199@gmail.com</v>
      </c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3"/>
      <c r="AE273" s="113"/>
      <c r="AF273" s="113"/>
    </row>
    <row r="274">
      <c r="C274" s="123">
        <f>MINIFS(collexo_data!B:B,collexo_data!A:A,A274)</f>
        <v>46110</v>
      </c>
      <c r="D274" s="120" t="str">
        <f>vlookup(A274,collexo_data!A:M,13,0)</f>
        <v>Prayagraj</v>
      </c>
      <c r="E274" s="122" t="str">
        <f>vlookup(A274,collexo_data!A:O,15,0)</f>
        <v>Saurabh Kumar</v>
      </c>
      <c r="F274" s="120">
        <f>vlookup(A274,collexo_data!A:S,19,0)</f>
        <v>8795174495</v>
      </c>
      <c r="G274" s="122" t="str">
        <f>vlookup(A274,collexo_data!A:R,18,0)</f>
        <v>GS Foundation Course</v>
      </c>
      <c r="H274" s="122" t="str">
        <f t="shared" si="1"/>
        <v>saurabh9990k@gmail.com</v>
      </c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3"/>
      <c r="AE274" s="113"/>
      <c r="AF274" s="113"/>
    </row>
    <row r="275">
      <c r="C275" s="123">
        <f>MINIFS(collexo_data!B:B,collexo_data!A:A,A275)</f>
        <v>46068</v>
      </c>
      <c r="D275" s="120" t="str">
        <f>vlookup(A275,collexo_data!A:M,13,0)</f>
        <v>Prayagraj</v>
      </c>
      <c r="E275" s="122" t="str">
        <f>vlookup(A275,collexo_data!A:O,15,0)</f>
        <v>SURAJ</v>
      </c>
      <c r="F275" s="120">
        <f>vlookup(A275,collexo_data!A:S,19,0)</f>
        <v>7753870534</v>
      </c>
      <c r="G275" s="122" t="str">
        <f>vlookup(A275,collexo_data!A:R,18,0)</f>
        <v>GS Foundation Course</v>
      </c>
      <c r="H275" s="122" t="str">
        <f t="shared" si="1"/>
        <v>sb1409948@gmail.com</v>
      </c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</row>
    <row r="276">
      <c r="C276" s="123">
        <f>MINIFS(collexo_data!B:B,collexo_data!A:A,A276)</f>
        <v>46094</v>
      </c>
      <c r="D276" s="120" t="str">
        <f>vlookup(A276,collexo_data!A:M,13,0)</f>
        <v>Prayagraj</v>
      </c>
      <c r="E276" s="122" t="str">
        <f>vlookup(A276,collexo_data!A:O,15,0)</f>
        <v>Shivani Patel</v>
      </c>
      <c r="F276" s="120">
        <f>vlookup(A276,collexo_data!A:S,19,0)</f>
        <v>8299542739</v>
      </c>
      <c r="G276" s="122" t="str">
        <f>vlookup(A276,collexo_data!A:R,18,0)</f>
        <v>GS Foundation Course</v>
      </c>
      <c r="H276" s="122" t="str">
        <f t="shared" si="1"/>
        <v>sdpatel9839@gmail.com</v>
      </c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3"/>
      <c r="AE276" s="113"/>
      <c r="AF276" s="113"/>
    </row>
    <row r="277">
      <c r="C277" s="123">
        <f>MINIFS(collexo_data!B:B,collexo_data!A:A,A277)</f>
        <v>46108</v>
      </c>
      <c r="D277" s="120" t="str">
        <f>vlookup(A277,collexo_data!A:M,13,0)</f>
        <v>Lucknow</v>
      </c>
      <c r="E277" s="122" t="str">
        <f>vlookup(A277,collexo_data!A:O,15,0)</f>
        <v>Sudhkar</v>
      </c>
      <c r="F277" s="120">
        <f>vlookup(A277,collexo_data!A:S,19,0)</f>
        <v>7652026709</v>
      </c>
      <c r="G277" s="122" t="str">
        <f>vlookup(A277,collexo_data!A:R,18,0)</f>
        <v>GS Foundation Course</v>
      </c>
      <c r="H277" s="122" t="str">
        <f t="shared" si="1"/>
        <v>shantoshpandey43@gmail.com</v>
      </c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3"/>
      <c r="AE277" s="113"/>
      <c r="AF277" s="113"/>
    </row>
    <row r="278">
      <c r="C278" s="123">
        <f>MINIFS(collexo_data!B:B,collexo_data!A:A,A278)</f>
        <v>46102</v>
      </c>
      <c r="D278" s="120" t="str">
        <f>vlookup(A278,collexo_data!A:M,13,0)</f>
        <v>Patna</v>
      </c>
      <c r="E278" s="122" t="str">
        <f>vlookup(A278,collexo_data!A:O,15,0)</f>
        <v>Shanu Kumar</v>
      </c>
      <c r="F278" s="120">
        <f>vlookup(A278,collexo_data!A:S,19,0)</f>
        <v>7870743087</v>
      </c>
      <c r="G278" s="122" t="str">
        <f>vlookup(A278,collexo_data!A:R,18,0)</f>
        <v>State PCS</v>
      </c>
      <c r="H278" s="122" t="str">
        <f t="shared" si="1"/>
        <v>shanukumar7761@gmail.com</v>
      </c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3"/>
      <c r="AE278" s="113"/>
      <c r="AF278" s="113"/>
    </row>
    <row r="279">
      <c r="C279" s="123">
        <f>MINIFS(collexo_data!B:B,collexo_data!A:A,A279)</f>
        <v>46072</v>
      </c>
      <c r="D279" s="120" t="str">
        <f>vlookup(A279,collexo_data!A:M,13,0)</f>
        <v>New Delhi</v>
      </c>
      <c r="E279" s="122" t="str">
        <f>vlookup(A279,collexo_data!A:O,15,0)</f>
        <v>Shrikant</v>
      </c>
      <c r="F279" s="120">
        <f>vlookup(A279,collexo_data!A:S,19,0)</f>
        <v>9643355612</v>
      </c>
      <c r="G279" s="122" t="str">
        <f>vlookup(A279,collexo_data!A:R,18,0)</f>
        <v>GS Foundation Course</v>
      </c>
      <c r="H279" s="122" t="str">
        <f t="shared" si="1"/>
        <v>shiki_mig25@gmail.com</v>
      </c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3"/>
      <c r="AE279" s="113"/>
      <c r="AF279" s="113"/>
    </row>
    <row r="280">
      <c r="C280" s="123">
        <f>MINIFS(collexo_data!B:B,collexo_data!A:A,A280)</f>
        <v>46110</v>
      </c>
      <c r="D280" s="120" t="str">
        <f>vlookup(A280,collexo_data!A:M,13,0)</f>
        <v>Prayagraj</v>
      </c>
      <c r="E280" s="122" t="str">
        <f>vlookup(A280,collexo_data!A:O,15,0)</f>
        <v>Ayush Bhartiya</v>
      </c>
      <c r="F280" s="120">
        <f>vlookup(A280,collexo_data!A:S,19,0)</f>
        <v>7522843157</v>
      </c>
      <c r="G280" s="122" t="str">
        <f>vlookup(A280,collexo_data!A:R,18,0)</f>
        <v>State PCS</v>
      </c>
      <c r="H280" s="122" t="str">
        <f t="shared" si="1"/>
        <v>shivam70265@gmail.com</v>
      </c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3"/>
      <c r="AE280" s="113"/>
      <c r="AF280" s="113"/>
    </row>
    <row r="281">
      <c r="C281" s="123">
        <f>MINIFS(collexo_data!B:B,collexo_data!A:A,A281)</f>
        <v>46070</v>
      </c>
      <c r="D281" s="120" t="str">
        <f>vlookup(A281,collexo_data!A:M,13,0)</f>
        <v>Prayagraj</v>
      </c>
      <c r="E281" s="122" t="str">
        <f>vlookup(A281,collexo_data!A:O,15,0)</f>
        <v>Shivam Kumar</v>
      </c>
      <c r="F281" s="120">
        <f>vlookup(A281,collexo_data!A:S,19,0)</f>
        <v>9369688228</v>
      </c>
      <c r="G281" s="122" t="str">
        <f>vlookup(A281,collexo_data!A:R,18,0)</f>
        <v>GS Foundation Course</v>
      </c>
      <c r="H281" s="122" t="str">
        <f t="shared" si="1"/>
        <v>shivam98485@gmail.com</v>
      </c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3"/>
      <c r="AE281" s="113"/>
      <c r="AF281" s="113"/>
    </row>
    <row r="282">
      <c r="C282" s="123">
        <f>MINIFS(collexo_data!B:B,collexo_data!A:A,A282)</f>
        <v>46110</v>
      </c>
      <c r="D282" s="120" t="str">
        <f>vlookup(A282,collexo_data!A:M,13,0)</f>
        <v>Lucknow</v>
      </c>
      <c r="E282" s="122" t="str">
        <f>vlookup(A282,collexo_data!A:O,15,0)</f>
        <v>Shivangi singh</v>
      </c>
      <c r="F282" s="120">
        <f>vlookup(A282,collexo_data!A:S,19,0)</f>
        <v>7985490470</v>
      </c>
      <c r="G282" s="122" t="str">
        <f>vlookup(A282,collexo_data!A:R,18,0)</f>
        <v>GS Foundation Course</v>
      </c>
      <c r="H282" s="122" t="str">
        <f t="shared" si="1"/>
        <v>shivangisingh5902@gmail.com</v>
      </c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3"/>
      <c r="AE282" s="113"/>
      <c r="AF282" s="113"/>
    </row>
    <row r="283">
      <c r="C283" s="123">
        <f>MINIFS(collexo_data!B:B,collexo_data!A:A,A283)</f>
        <v>46081</v>
      </c>
      <c r="D283" s="120" t="str">
        <f>vlookup(A283,collexo_data!A:M,13,0)</f>
        <v>Prayagraj</v>
      </c>
      <c r="E283" s="122" t="str">
        <f>vlookup(A283,collexo_data!A:O,15,0)</f>
        <v>Pooja Chaurasiya</v>
      </c>
      <c r="F283" s="120">
        <f>vlookup(A283,collexo_data!A:S,19,0)</f>
        <v>8127426997</v>
      </c>
      <c r="G283" s="122" t="str">
        <f>vlookup(A283,collexo_data!A:R,18,0)</f>
        <v>Mentorship - Samadhan</v>
      </c>
      <c r="H283" s="122" t="str">
        <f t="shared" si="1"/>
        <v>shivanikrishan123456@gmail.com</v>
      </c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  <c r="AF283" s="113"/>
    </row>
    <row r="284">
      <c r="C284" s="123">
        <f>MINIFS(collexo_data!B:B,collexo_data!A:A,A284)</f>
        <v>46080</v>
      </c>
      <c r="D284" s="120" t="str">
        <f>vlookup(A284,collexo_data!A:M,13,0)</f>
        <v>New Delhi</v>
      </c>
      <c r="E284" s="122" t="str">
        <f>vlookup(A284,collexo_data!A:O,15,0)</f>
        <v>shivshankar kumar</v>
      </c>
      <c r="F284" s="120">
        <f>vlookup(A284,collexo_data!A:S,19,0)</f>
        <v>7761994508</v>
      </c>
      <c r="G284" s="122" t="str">
        <f>vlookup(A284,collexo_data!A:R,18,0)</f>
        <v>GS Foundation Course</v>
      </c>
      <c r="H284" s="122" t="str">
        <f t="shared" si="1"/>
        <v>shivshankarjaiswal102@gmail.com</v>
      </c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  <c r="AF284" s="113"/>
    </row>
    <row r="285">
      <c r="C285" s="123">
        <f>MINIFS(collexo_data!B:B,collexo_data!A:A,A285)</f>
        <v>46079</v>
      </c>
      <c r="D285" s="120" t="str">
        <f>vlookup(A285,collexo_data!A:M,13,0)</f>
        <v>Prayagraj</v>
      </c>
      <c r="E285" s="122" t="str">
        <f>vlookup(A285,collexo_data!A:O,15,0)</f>
        <v>Shaurya</v>
      </c>
      <c r="F285" s="120">
        <f>vlookup(A285,collexo_data!A:S,19,0)</f>
        <v>9120477442</v>
      </c>
      <c r="G285" s="122" t="str">
        <f>vlookup(A285,collexo_data!A:R,18,0)</f>
        <v>GS Foundation Course</v>
      </c>
      <c r="H285" s="122" t="str">
        <f t="shared" si="1"/>
        <v>shourypratap8@gmail.com</v>
      </c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  <c r="AF285" s="113"/>
    </row>
    <row r="286">
      <c r="C286" s="123">
        <f>MINIFS(collexo_data!B:B,collexo_data!A:A,A286)</f>
        <v>46091</v>
      </c>
      <c r="D286" s="120" t="str">
        <f>vlookup(A286,collexo_data!A:M,13,0)</f>
        <v>Prayagraj</v>
      </c>
      <c r="E286" s="122" t="str">
        <f>vlookup(A286,collexo_data!A:O,15,0)</f>
        <v>Shreya modanwal</v>
      </c>
      <c r="F286" s="120">
        <f>vlookup(A286,collexo_data!A:S,19,0)</f>
        <v>9170552086</v>
      </c>
      <c r="G286" s="122" t="str">
        <f>vlookup(A286,collexo_data!A:R,18,0)</f>
        <v>GS Foundation Course</v>
      </c>
      <c r="H286" s="122" t="str">
        <f t="shared" si="1"/>
        <v>shreyaharwai35@gmail.com</v>
      </c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  <c r="AF286" s="113"/>
    </row>
    <row r="287">
      <c r="C287" s="123">
        <f>MINIFS(collexo_data!B:B,collexo_data!A:A,A287)</f>
        <v>46102</v>
      </c>
      <c r="D287" s="120" t="str">
        <f>vlookup(A287,collexo_data!A:M,13,0)</f>
        <v>Prayagraj</v>
      </c>
      <c r="E287" s="122" t="str">
        <f>vlookup(A287,collexo_data!A:O,15,0)</f>
        <v>Shreya Kushwaha</v>
      </c>
      <c r="F287" s="120">
        <f>vlookup(A287,collexo_data!A:S,19,0)</f>
        <v>7905052194</v>
      </c>
      <c r="G287" s="122" t="str">
        <f>vlookup(A287,collexo_data!A:R,18,0)</f>
        <v>Mentorship - Samadhan</v>
      </c>
      <c r="H287" s="122" t="str">
        <f t="shared" si="1"/>
        <v>shreyakushwaha0105@gmail.com</v>
      </c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  <c r="AF287" s="113"/>
    </row>
    <row r="288">
      <c r="C288" s="123">
        <f>MINIFS(collexo_data!B:B,collexo_data!A:A,A288)</f>
        <v>46108</v>
      </c>
      <c r="D288" s="120" t="str">
        <f>vlookup(A288,collexo_data!A:M,13,0)</f>
        <v>Indore</v>
      </c>
      <c r="E288" s="122" t="str">
        <f>vlookup(A288,collexo_data!A:O,15,0)</f>
        <v>Shreya nagar</v>
      </c>
      <c r="F288" s="120">
        <f>vlookup(A288,collexo_data!A:S,19,0)</f>
        <v>6264319210</v>
      </c>
      <c r="G288" s="122" t="str">
        <f>vlookup(A288,collexo_data!A:R,18,0)</f>
        <v>GS Foundation Course</v>
      </c>
      <c r="H288" s="122" t="str">
        <f t="shared" si="1"/>
        <v>shreyanagar56@gmail.com</v>
      </c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  <c r="AF288" s="113"/>
    </row>
    <row r="289">
      <c r="C289" s="123">
        <f>MINIFS(collexo_data!B:B,collexo_data!A:A,A289)</f>
        <v>46077</v>
      </c>
      <c r="D289" s="120" t="str">
        <f>vlookup(A289,collexo_data!A:M,13,0)</f>
        <v>Indore</v>
      </c>
      <c r="E289" s="122" t="str">
        <f>vlookup(A289,collexo_data!A:O,15,0)</f>
        <v>Shreeram Chouhan</v>
      </c>
      <c r="F289" s="120">
        <f>vlookup(A289,collexo_data!A:S,19,0)</f>
        <v>9302269107</v>
      </c>
      <c r="G289" s="122" t="str">
        <f>vlookup(A289,collexo_data!A:R,18,0)</f>
        <v>State PCS</v>
      </c>
      <c r="H289" s="122" t="str">
        <f t="shared" si="1"/>
        <v>shriramc758@gmail.com</v>
      </c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  <c r="AF289" s="113"/>
    </row>
    <row r="290">
      <c r="C290" s="123">
        <f>MINIFS(collexo_data!B:B,collexo_data!A:A,A290)</f>
        <v>46075</v>
      </c>
      <c r="D290" s="120" t="str">
        <f>vlookup(A290,collexo_data!A:M,13,0)</f>
        <v>New Delhi</v>
      </c>
      <c r="E290" s="122" t="str">
        <f>vlookup(A290,collexo_data!A:O,15,0)</f>
        <v>Ronak</v>
      </c>
      <c r="F290" s="120">
        <f>vlookup(A290,collexo_data!A:S,19,0)</f>
        <v>9968253533</v>
      </c>
      <c r="G290" s="122" t="str">
        <f>vlookup(A290,collexo_data!A:R,18,0)</f>
        <v>GS Foundation Course</v>
      </c>
      <c r="H290" s="122" t="str">
        <f t="shared" si="1"/>
        <v>shuklarunak19@gmail.com</v>
      </c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  <c r="AF290" s="113"/>
    </row>
    <row r="291">
      <c r="C291" s="123">
        <f>MINIFS(collexo_data!B:B,collexo_data!A:A,A291)</f>
        <v>46086</v>
      </c>
      <c r="D291" s="120" t="str">
        <f>vlookup(A291,collexo_data!A:M,13,0)</f>
        <v>Prayagraj</v>
      </c>
      <c r="E291" s="122" t="str">
        <f>vlookup(A291,collexo_data!A:O,15,0)</f>
        <v>Vyomesh Shukla</v>
      </c>
      <c r="F291" s="120">
        <f>vlookup(A291,collexo_data!A:S,19,0)</f>
        <v>8887710938</v>
      </c>
      <c r="G291" s="122" t="str">
        <f>vlookup(A291,collexo_data!A:R,18,0)</f>
        <v>GS Foundation Course</v>
      </c>
      <c r="H291" s="122" t="str">
        <f t="shared" si="1"/>
        <v>shuklavyomax@gmail.com</v>
      </c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  <c r="AF291" s="113"/>
    </row>
    <row r="292">
      <c r="C292" s="123">
        <f>MINIFS(collexo_data!B:B,collexo_data!A:A,A292)</f>
        <v>46090</v>
      </c>
      <c r="D292" s="120" t="str">
        <f>vlookup(A292,collexo_data!A:M,13,0)</f>
        <v>Indore</v>
      </c>
      <c r="E292" s="122" t="str">
        <f>vlookup(A292,collexo_data!A:O,15,0)</f>
        <v>Shweta Kumari</v>
      </c>
      <c r="F292" s="120">
        <f>vlookup(A292,collexo_data!A:S,19,0)</f>
        <v>9863798887</v>
      </c>
      <c r="G292" s="122" t="str">
        <f>vlookup(A292,collexo_data!A:R,18,0)</f>
        <v>GS Foundation Course</v>
      </c>
      <c r="H292" s="122" t="str">
        <f t="shared" si="1"/>
        <v>shweta252jha@gmail.com</v>
      </c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  <c r="AF292" s="113"/>
    </row>
    <row r="293">
      <c r="C293" s="123">
        <f>MINIFS(collexo_data!B:B,collexo_data!A:A,A293)</f>
        <v>46075</v>
      </c>
      <c r="D293" s="120" t="str">
        <f>vlookup(A293,collexo_data!A:M,13,0)</f>
        <v>Lucknow</v>
      </c>
      <c r="E293" s="122" t="str">
        <f>vlookup(A293,collexo_data!A:O,15,0)</f>
        <v>Shweta</v>
      </c>
      <c r="F293" s="120">
        <f>vlookup(A293,collexo_data!A:S,19,0)</f>
        <v>7678644174</v>
      </c>
      <c r="G293" s="122" t="str">
        <f>vlookup(A293,collexo_data!A:R,18,0)</f>
        <v>GS Foundation Course</v>
      </c>
      <c r="H293" s="122" t="str">
        <f t="shared" si="1"/>
        <v>shwetawin25@gmail.com</v>
      </c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  <c r="AF293" s="113"/>
    </row>
    <row r="294">
      <c r="C294" s="123">
        <f>MINIFS(collexo_data!B:B,collexo_data!A:A,A294)</f>
        <v>46037</v>
      </c>
      <c r="D294" s="120" t="str">
        <f>vlookup(A294,collexo_data!A:M,13,0)</f>
        <v>New Delhi</v>
      </c>
      <c r="E294" s="122" t="str">
        <f>vlookup(A294,collexo_data!A:O,15,0)</f>
        <v>Deepmala</v>
      </c>
      <c r="F294" s="120">
        <f>vlookup(A294,collexo_data!A:S,19,0)</f>
        <v>8308052456</v>
      </c>
      <c r="G294" s="122" t="str">
        <f>vlookup(A294,collexo_data!A:R,18,0)</f>
        <v>GS Foundation Course</v>
      </c>
      <c r="H294" s="122" t="str">
        <f t="shared" si="1"/>
        <v>sindoor2020@gmail.com</v>
      </c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  <c r="AF294" s="113"/>
    </row>
    <row r="295">
      <c r="C295" s="123">
        <f>MINIFS(collexo_data!B:B,collexo_data!A:A,A295)</f>
        <v>46089</v>
      </c>
      <c r="D295" s="120" t="str">
        <f>vlookup(A295,collexo_data!A:M,13,0)</f>
        <v>Prayagraj</v>
      </c>
      <c r="E295" s="122" t="str">
        <f>vlookup(A295,collexo_data!A:O,15,0)</f>
        <v>Chetan singh</v>
      </c>
      <c r="F295" s="120">
        <f>vlookup(A295,collexo_data!A:S,19,0)</f>
        <v>9169514355</v>
      </c>
      <c r="G295" s="122" t="str">
        <f>vlookup(A295,collexo_data!A:R,18,0)</f>
        <v>Mentorship - Samadhan</v>
      </c>
      <c r="H295" s="122" t="str">
        <f t="shared" si="1"/>
        <v>singhchetan151295@gmail.com</v>
      </c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  <c r="AF295" s="113"/>
    </row>
    <row r="296">
      <c r="C296" s="123">
        <f>MINIFS(collexo_data!B:B,collexo_data!A:A,A296)</f>
        <v>46107</v>
      </c>
      <c r="D296" s="120" t="str">
        <f>vlookup(A296,collexo_data!A:M,13,0)</f>
        <v>Lucknow</v>
      </c>
      <c r="E296" s="122" t="str">
        <f>vlookup(A296,collexo_data!A:O,15,0)</f>
        <v>Harshita</v>
      </c>
      <c r="F296" s="120">
        <f>vlookup(A296,collexo_data!A:S,19,0)</f>
        <v>9161366059</v>
      </c>
      <c r="G296" s="122" t="str">
        <f>vlookup(A296,collexo_data!A:R,18,0)</f>
        <v>GS Foundation Course</v>
      </c>
      <c r="H296" s="122" t="str">
        <f t="shared" si="1"/>
        <v>singhharshita76@gmail.com</v>
      </c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  <c r="AF296" s="113"/>
    </row>
    <row r="297">
      <c r="C297" s="123">
        <f>MINIFS(collexo_data!B:B,collexo_data!A:A,A297)</f>
        <v>46073</v>
      </c>
      <c r="D297" s="120" t="str">
        <f>vlookup(A297,collexo_data!A:M,13,0)</f>
        <v>Prayagraj</v>
      </c>
      <c r="E297" s="122" t="str">
        <f>vlookup(A297,collexo_data!A:O,15,0)</f>
        <v>Rijul</v>
      </c>
      <c r="F297" s="120">
        <f>vlookup(A297,collexo_data!A:S,19,0)</f>
        <v>9415454975</v>
      </c>
      <c r="G297" s="122" t="str">
        <f>vlookup(A297,collexo_data!A:R,18,0)</f>
        <v>GS Foundation Course</v>
      </c>
      <c r="H297" s="122" t="str">
        <f t="shared" si="1"/>
        <v>singhhrijul@gmail.com</v>
      </c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  <c r="AF297" s="113"/>
    </row>
    <row r="298">
      <c r="C298" s="123">
        <f>MINIFS(collexo_data!B:B,collexo_data!A:A,A298)</f>
        <v>46091</v>
      </c>
      <c r="D298" s="120" t="str">
        <f>vlookup(A298,collexo_data!A:M,13,0)</f>
        <v>Lucknow</v>
      </c>
      <c r="E298" s="122" t="str">
        <f>vlookup(A298,collexo_data!A:O,15,0)</f>
        <v>swati</v>
      </c>
      <c r="F298" s="120">
        <f>vlookup(A298,collexo_data!A:S,19,0)</f>
        <v>9027413432</v>
      </c>
      <c r="G298" s="122" t="str">
        <f>vlookup(A298,collexo_data!A:R,18,0)</f>
        <v>GS Foundation Course</v>
      </c>
      <c r="H298" s="122" t="str">
        <f t="shared" si="1"/>
        <v>sl3590833@gmail.com</v>
      </c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  <c r="AF298" s="113"/>
    </row>
    <row r="299">
      <c r="C299" s="123">
        <f>MINIFS(collexo_data!B:B,collexo_data!A:A,A299)</f>
        <v>46036</v>
      </c>
      <c r="D299" s="120" t="str">
        <f>vlookup(A299,collexo_data!A:M,13,0)</f>
        <v>New Delhi</v>
      </c>
      <c r="E299" s="122" t="str">
        <f>vlookup(A299,collexo_data!A:O,15,0)</f>
        <v>Saurav</v>
      </c>
      <c r="F299" s="120">
        <f>vlookup(A299,collexo_data!A:S,19,0)</f>
        <v>7667109447</v>
      </c>
      <c r="G299" s="122" t="str">
        <f>vlookup(A299,collexo_data!A:R,18,0)</f>
        <v>GS Foundation Course</v>
      </c>
      <c r="H299" s="122" t="str">
        <f t="shared" si="1"/>
        <v>smillingsatyam5284@gmail.com</v>
      </c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  <c r="AF299" s="113"/>
    </row>
    <row r="300">
      <c r="C300" s="123">
        <f>MINIFS(collexo_data!B:B,collexo_data!A:A,A300)</f>
        <v>46052</v>
      </c>
      <c r="D300" s="120" t="str">
        <f>vlookup(A300,collexo_data!A:M,13,0)</f>
        <v>New Delhi</v>
      </c>
      <c r="E300" s="122" t="str">
        <f>vlookup(A300,collexo_data!A:O,15,0)</f>
        <v>Ranjan</v>
      </c>
      <c r="F300" s="120">
        <f>vlookup(A300,collexo_data!A:S,19,0)</f>
        <v>7876496464</v>
      </c>
      <c r="G300" s="122" t="str">
        <f>vlookup(A300,collexo_data!A:R,18,0)</f>
        <v>GS Foundation Course</v>
      </c>
      <c r="H300" s="122" t="str">
        <f t="shared" si="1"/>
        <v>smruthiranjan03@gmail.com</v>
      </c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  <c r="AF300" s="113"/>
    </row>
    <row r="301">
      <c r="C301" s="123">
        <f>MINIFS(collexo_data!B:B,collexo_data!A:A,A301)</f>
        <v>46041</v>
      </c>
      <c r="D301" s="120" t="str">
        <f>vlookup(A301,collexo_data!A:M,13,0)</f>
        <v>New Delhi</v>
      </c>
      <c r="E301" s="122" t="str">
        <f>vlookup(A301,collexo_data!A:O,15,0)</f>
        <v>DR Sneha</v>
      </c>
      <c r="F301" s="120" t="str">
        <f>vlookup(A301,collexo_data!A:S,19,0)</f>
        <v>Not Available</v>
      </c>
      <c r="G301" s="122" t="str">
        <f>vlookup(A301,collexo_data!A:R,18,0)</f>
        <v>Not Available</v>
      </c>
      <c r="H301" s="122" t="str">
        <f t="shared" si="1"/>
        <v>snehakori2016@gmail.com</v>
      </c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  <c r="AF301" s="113"/>
    </row>
    <row r="302">
      <c r="C302" s="123">
        <f>MINIFS(collexo_data!B:B,collexo_data!A:A,A302)</f>
        <v>46063</v>
      </c>
      <c r="D302" s="120" t="str">
        <f>vlookup(A302,collexo_data!A:M,13,0)</f>
        <v>New Delhi</v>
      </c>
      <c r="E302" s="122" t="str">
        <f>vlookup(A302,collexo_data!A:O,15,0)</f>
        <v>Prithviraj singh</v>
      </c>
      <c r="F302" s="120">
        <f>vlookup(A302,collexo_data!A:S,19,0)</f>
        <v>9929462273</v>
      </c>
      <c r="G302" s="122" t="str">
        <f>vlookup(A302,collexo_data!A:R,18,0)</f>
        <v>GS Foundation Course</v>
      </c>
      <c r="H302" s="122" t="str">
        <f t="shared" si="1"/>
        <v>snghprithviraj631@gmail.com</v>
      </c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  <c r="AF302" s="113"/>
    </row>
    <row r="303">
      <c r="C303" s="123">
        <f>MINIFS(collexo_data!B:B,collexo_data!A:A,A303)</f>
        <v>46104</v>
      </c>
      <c r="D303" s="120" t="str">
        <f>vlookup(A303,collexo_data!A:M,13,0)</f>
        <v>Prayagraj</v>
      </c>
      <c r="E303" s="122" t="str">
        <f>vlookup(A303,collexo_data!A:O,15,0)</f>
        <v>Soumesh pandey</v>
      </c>
      <c r="F303" s="120">
        <f>vlookup(A303,collexo_data!A:S,19,0)</f>
        <v>8707242699</v>
      </c>
      <c r="G303" s="122" t="str">
        <f>vlookup(A303,collexo_data!A:R,18,0)</f>
        <v>State PCS</v>
      </c>
      <c r="H303" s="122" t="str">
        <f t="shared" si="1"/>
        <v>someshpandey89611@gmail.com</v>
      </c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  <c r="AF303" s="113"/>
    </row>
    <row r="304">
      <c r="C304" s="123">
        <f>MINIFS(collexo_data!B:B,collexo_data!A:A,A304)</f>
        <v>46093</v>
      </c>
      <c r="D304" s="120" t="str">
        <f>vlookup(A304,collexo_data!A:M,13,0)</f>
        <v>Prayagraj</v>
      </c>
      <c r="E304" s="122" t="str">
        <f>vlookup(A304,collexo_data!A:O,15,0)</f>
        <v>Sonam rani</v>
      </c>
      <c r="F304" s="120">
        <f>vlookup(A304,collexo_data!A:S,19,0)</f>
        <v>8084160900</v>
      </c>
      <c r="G304" s="122" t="str">
        <f>vlookup(A304,collexo_data!A:R,18,0)</f>
        <v>GS Foundation Course</v>
      </c>
      <c r="H304" s="122" t="str">
        <f t="shared" si="1"/>
        <v>sonamrani98355@gmail.com</v>
      </c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  <c r="AF304" s="113"/>
    </row>
    <row r="305">
      <c r="C305" s="123">
        <f>MINIFS(collexo_data!B:B,collexo_data!A:A,A305)</f>
        <v>46092</v>
      </c>
      <c r="D305" s="120" t="str">
        <f>vlookup(A305,collexo_data!A:M,13,0)</f>
        <v>New Delhi</v>
      </c>
      <c r="E305" s="122" t="str">
        <f>vlookup(A305,collexo_data!A:O,15,0)</f>
        <v>Ashutosh kumar</v>
      </c>
      <c r="F305" s="120">
        <f>vlookup(A305,collexo_data!A:S,19,0)</f>
        <v>8340107504</v>
      </c>
      <c r="G305" s="122" t="str">
        <f>vlookup(A305,collexo_data!A:R,18,0)</f>
        <v>GS Foundation Course</v>
      </c>
      <c r="H305" s="122" t="str">
        <f t="shared" si="1"/>
        <v>Sonukumar912217@gmail.com</v>
      </c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3"/>
      <c r="AE305" s="113"/>
      <c r="AF305" s="113"/>
    </row>
    <row r="306">
      <c r="C306" s="123">
        <f>MINIFS(collexo_data!B:B,collexo_data!A:A,A306)</f>
        <v>46099</v>
      </c>
      <c r="D306" s="120" t="str">
        <f>vlookup(A306,collexo_data!A:M,13,0)</f>
        <v>Indore</v>
      </c>
      <c r="E306" s="122" t="str">
        <f>vlookup(A306,collexo_data!A:O,15,0)</f>
        <v>Sorabh solanki</v>
      </c>
      <c r="F306" s="120">
        <f>vlookup(A306,collexo_data!A:S,19,0)</f>
        <v>9644044883</v>
      </c>
      <c r="G306" s="122" t="str">
        <f>vlookup(A306,collexo_data!A:R,18,0)</f>
        <v>State PCS</v>
      </c>
      <c r="H306" s="122" t="str">
        <f t="shared" si="1"/>
        <v>sorabhsolankisorabhsolanki1217@gmail.com</v>
      </c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3"/>
      <c r="AE306" s="113"/>
      <c r="AF306" s="113"/>
    </row>
    <row r="307">
      <c r="C307" s="123">
        <f>MINIFS(collexo_data!B:B,collexo_data!A:A,A307)</f>
        <v>46073</v>
      </c>
      <c r="D307" s="120" t="str">
        <f>vlookup(A307,collexo_data!A:M,13,0)</f>
        <v>Prayagraj</v>
      </c>
      <c r="E307" s="122" t="str">
        <f>vlookup(A307,collexo_data!A:O,15,0)</f>
        <v>Satya Prakash Verma</v>
      </c>
      <c r="F307" s="120">
        <f>vlookup(A307,collexo_data!A:S,19,0)</f>
        <v>7525828802</v>
      </c>
      <c r="G307" s="122" t="str">
        <f>vlookup(A307,collexo_data!A:R,18,0)</f>
        <v>GS Foundation Course</v>
      </c>
      <c r="H307" s="122" t="str">
        <f t="shared" si="1"/>
        <v>sp7954364@gmail.com</v>
      </c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3"/>
      <c r="AE307" s="113"/>
      <c r="AF307" s="113"/>
    </row>
    <row r="308">
      <c r="C308" s="123">
        <f>MINIFS(collexo_data!B:B,collexo_data!A:A,A308)</f>
        <v>46109</v>
      </c>
      <c r="D308" s="120" t="str">
        <f>vlookup(A308,collexo_data!A:M,13,0)</f>
        <v>Indore</v>
      </c>
      <c r="E308" s="122" t="str">
        <f>vlookup(A308,collexo_data!A:O,15,0)</f>
        <v>Ram Sharma</v>
      </c>
      <c r="F308" s="120">
        <f>vlookup(A308,collexo_data!A:S,19,0)</f>
        <v>6266347156</v>
      </c>
      <c r="G308" s="122" t="str">
        <f>vlookup(A308,collexo_data!A:R,18,0)</f>
        <v>GS Foundation Course</v>
      </c>
      <c r="H308" s="122" t="str">
        <f t="shared" si="1"/>
        <v>sram68608@gmail.com</v>
      </c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3"/>
      <c r="AE308" s="113"/>
      <c r="AF308" s="113"/>
    </row>
    <row r="309">
      <c r="C309" s="123">
        <f>MINIFS(collexo_data!B:B,collexo_data!A:A,A309)</f>
        <v>46112</v>
      </c>
      <c r="D309" s="120" t="str">
        <f>vlookup(A309,collexo_data!A:M,13,0)</f>
        <v>Prayagraj</v>
      </c>
      <c r="E309" s="122" t="str">
        <f>vlookup(A309,collexo_data!A:O,15,0)</f>
        <v>Shri Nath Nishad</v>
      </c>
      <c r="F309" s="120">
        <f>vlookup(A309,collexo_data!A:S,19,0)</f>
        <v>9721688620</v>
      </c>
      <c r="G309" s="122" t="str">
        <f>vlookup(A309,collexo_data!A:R,18,0)</f>
        <v>GS Foundation Course</v>
      </c>
      <c r="H309" s="122" t="str">
        <f t="shared" si="1"/>
        <v>srinathnishad6@gmail.com</v>
      </c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3"/>
      <c r="AE309" s="113"/>
      <c r="AF309" s="113"/>
    </row>
    <row r="310">
      <c r="C310" s="123">
        <f>MINIFS(collexo_data!B:B,collexo_data!A:A,A310)</f>
        <v>46093</v>
      </c>
      <c r="D310" s="120" t="str">
        <f>vlookup(A310,collexo_data!A:M,13,0)</f>
        <v>Lucknow</v>
      </c>
      <c r="E310" s="122" t="str">
        <f>vlookup(A310,collexo_data!A:O,15,0)</f>
        <v>Saumya Singh</v>
      </c>
      <c r="F310" s="120">
        <f>vlookup(A310,collexo_data!A:S,19,0)</f>
        <v>9369889813</v>
      </c>
      <c r="G310" s="122" t="str">
        <f>vlookup(A310,collexo_data!A:R,18,0)</f>
        <v>GS Foundation Course</v>
      </c>
      <c r="H310" s="122" t="str">
        <f t="shared" si="1"/>
        <v>stopwastingtime770@gmail.com</v>
      </c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3"/>
      <c r="AE310" s="113"/>
      <c r="AF310" s="113"/>
    </row>
    <row r="311">
      <c r="C311" s="123">
        <f>MINIFS(collexo_data!B:B,collexo_data!A:A,A311)</f>
        <v>46095</v>
      </c>
      <c r="D311" s="120" t="str">
        <f>vlookup(A311,collexo_data!A:M,13,0)</f>
        <v>Lucknow</v>
      </c>
      <c r="E311" s="122" t="str">
        <f>vlookup(A311,collexo_data!A:O,15,0)</f>
        <v>Prem Pratap</v>
      </c>
      <c r="F311" s="120">
        <f>vlookup(A311,collexo_data!A:S,19,0)</f>
        <v>8595802989</v>
      </c>
      <c r="G311" s="122" t="str">
        <f>vlookup(A311,collexo_data!A:R,18,0)</f>
        <v>GS Foundation Course</v>
      </c>
      <c r="H311" s="122" t="str">
        <f t="shared" si="1"/>
        <v>sudha.rani12627272@gmail.com</v>
      </c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3"/>
      <c r="AE311" s="113"/>
      <c r="AF311" s="113"/>
    </row>
    <row r="312">
      <c r="C312" s="123">
        <f>MINIFS(collexo_data!B:B,collexo_data!A:A,A312)</f>
        <v>46106</v>
      </c>
      <c r="D312" s="120" t="str">
        <f>vlookup(A312,collexo_data!A:M,13,0)</f>
        <v>Indore</v>
      </c>
      <c r="E312" s="122" t="str">
        <f>vlookup(A312,collexo_data!A:O,15,0)</f>
        <v>Suhana shah</v>
      </c>
      <c r="F312" s="120">
        <f>vlookup(A312,collexo_data!A:S,19,0)</f>
        <v>8349671082</v>
      </c>
      <c r="G312" s="122" t="str">
        <f>vlookup(A312,collexo_data!A:R,18,0)</f>
        <v>GS Foundation Course</v>
      </c>
      <c r="H312" s="122" t="str">
        <f t="shared" si="1"/>
        <v>suhanashah256@gmail.com</v>
      </c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3"/>
      <c r="AE312" s="113"/>
      <c r="AF312" s="113"/>
    </row>
    <row r="313">
      <c r="C313" s="123">
        <f>MINIFS(collexo_data!B:B,collexo_data!A:A,A313)</f>
        <v>46090</v>
      </c>
      <c r="D313" s="120" t="str">
        <f>vlookup(A313,collexo_data!A:M,13,0)</f>
        <v>Patna</v>
      </c>
      <c r="E313" s="122" t="str">
        <f>vlookup(A313,collexo_data!A:O,15,0)</f>
        <v>Suhani Kumari</v>
      </c>
      <c r="F313" s="120">
        <f>vlookup(A313,collexo_data!A:S,19,0)</f>
        <v>7759066250</v>
      </c>
      <c r="G313" s="122" t="str">
        <f>vlookup(A313,collexo_data!A:R,18,0)</f>
        <v>GS Foundation Course</v>
      </c>
      <c r="H313" s="122" t="str">
        <f t="shared" si="1"/>
        <v>suhanikumarimauryaprofessor@gmail.com</v>
      </c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3"/>
      <c r="AE313" s="113"/>
      <c r="AF313" s="113"/>
    </row>
    <row r="314">
      <c r="C314" s="123">
        <f>MINIFS(collexo_data!B:B,collexo_data!A:A,A314)</f>
        <v>46091</v>
      </c>
      <c r="D314" s="120" t="str">
        <f>vlookup(A314,collexo_data!A:M,13,0)</f>
        <v>Prayagraj</v>
      </c>
      <c r="E314" s="122" t="str">
        <f>vlookup(A314,collexo_data!A:O,15,0)</f>
        <v>Sunaina</v>
      </c>
      <c r="F314" s="120">
        <f>vlookup(A314,collexo_data!A:S,19,0)</f>
        <v>8271204184</v>
      </c>
      <c r="G314" s="122" t="str">
        <f>vlookup(A314,collexo_data!A:R,18,0)</f>
        <v>GS Foundation Course</v>
      </c>
      <c r="H314" s="122" t="str">
        <f t="shared" si="1"/>
        <v>SunainaKumari@gmail.com</v>
      </c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3"/>
      <c r="AE314" s="113"/>
      <c r="AF314" s="113"/>
    </row>
    <row r="315">
      <c r="C315" s="123">
        <f>MINIFS(collexo_data!B:B,collexo_data!A:A,A315)</f>
        <v>46099</v>
      </c>
      <c r="D315" s="120" t="str">
        <f>vlookup(A315,collexo_data!A:M,13,0)</f>
        <v>Prayagraj</v>
      </c>
      <c r="E315" s="122" t="str">
        <f>vlookup(A315,collexo_data!A:O,15,0)</f>
        <v>Sushil kumar maurya</v>
      </c>
      <c r="F315" s="120">
        <f>vlookup(A315,collexo_data!A:S,19,0)</f>
        <v>6394269276</v>
      </c>
      <c r="G315" s="122" t="str">
        <f>vlookup(A315,collexo_data!A:R,18,0)</f>
        <v>GS Foundation Course</v>
      </c>
      <c r="H315" s="122" t="str">
        <f t="shared" si="1"/>
        <v>sushilgolumaurya5555@gmail.com</v>
      </c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3"/>
      <c r="AE315" s="113"/>
      <c r="AF315" s="113"/>
    </row>
    <row r="316">
      <c r="C316" s="123">
        <f>MINIFS(collexo_data!B:B,collexo_data!A:A,A316)</f>
        <v>46078</v>
      </c>
      <c r="D316" s="120" t="str">
        <f>vlookup(A316,collexo_data!A:M,13,0)</f>
        <v>Prayagraj</v>
      </c>
      <c r="E316" s="122" t="str">
        <f>vlookup(A316,collexo_data!A:O,15,0)</f>
        <v>Sushil Maurya</v>
      </c>
      <c r="F316" s="120">
        <f>vlookup(A316,collexo_data!A:S,19,0)</f>
        <v>8112610280</v>
      </c>
      <c r="G316" s="122" t="str">
        <f>vlookup(A316,collexo_data!A:R,18,0)</f>
        <v>GS Foundation Course</v>
      </c>
      <c r="H316" s="122" t="str">
        <f t="shared" si="1"/>
        <v>sushilmaurya7379@gmail.com</v>
      </c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3"/>
      <c r="AE316" s="113"/>
      <c r="AF316" s="113"/>
    </row>
    <row r="317">
      <c r="C317" s="123">
        <f>MINIFS(collexo_data!B:B,collexo_data!A:A,A317)</f>
        <v>46079</v>
      </c>
      <c r="D317" s="120" t="str">
        <f>vlookup(A317,collexo_data!A:M,13,0)</f>
        <v>New Delhi</v>
      </c>
      <c r="E317" s="122" t="str">
        <f>vlookup(A317,collexo_data!A:O,15,0)</f>
        <v>Swarna Kumari</v>
      </c>
      <c r="F317" s="120">
        <f>vlookup(A317,collexo_data!A:S,19,0)</f>
        <v>7569056642</v>
      </c>
      <c r="G317" s="122" t="str">
        <f>vlookup(A317,collexo_data!A:R,18,0)</f>
        <v>GS Foundation Course</v>
      </c>
      <c r="H317" s="122" t="str">
        <f t="shared" si="1"/>
        <v>swarnaavula2@gmail.com</v>
      </c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3"/>
      <c r="AE317" s="113"/>
      <c r="AF317" s="113"/>
    </row>
    <row r="318">
      <c r="C318" s="123">
        <f>MINIFS(collexo_data!B:B,collexo_data!A:A,A318)</f>
        <v>46060</v>
      </c>
      <c r="D318" s="120" t="str">
        <f>vlookup(A318,collexo_data!A:M,13,0)</f>
        <v>New Delhi</v>
      </c>
      <c r="E318" s="122" t="str">
        <f>vlookup(A318,collexo_data!A:O,15,0)</f>
        <v>Shweta</v>
      </c>
      <c r="F318" s="120">
        <f>vlookup(A318,collexo_data!A:S,19,0)</f>
        <v>9301271286</v>
      </c>
      <c r="G318" s="122" t="str">
        <f>vlookup(A318,collexo_data!A:R,18,0)</f>
        <v>GS Foundation Course</v>
      </c>
      <c r="H318" s="122" t="str">
        <f t="shared" si="1"/>
        <v>swetakushwah58@gmail.com</v>
      </c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3"/>
      <c r="AE318" s="113"/>
      <c r="AF318" s="113"/>
    </row>
    <row r="319">
      <c r="C319" s="123">
        <f>MINIFS(collexo_data!B:B,collexo_data!A:A,A319)</f>
        <v>46100</v>
      </c>
      <c r="D319" s="120" t="str">
        <f>vlookup(A319,collexo_data!A:M,13,0)</f>
        <v>Prayagraj</v>
      </c>
      <c r="E319" s="122" t="str">
        <f>vlookup(A319,collexo_data!A:O,15,0)</f>
        <v>Suraj yadav</v>
      </c>
      <c r="F319" s="120">
        <f>vlookup(A319,collexo_data!A:S,19,0)</f>
        <v>9569167599</v>
      </c>
      <c r="G319" s="122" t="str">
        <f>vlookup(A319,collexo_data!A:R,18,0)</f>
        <v>GS Foundation Course</v>
      </c>
      <c r="H319" s="122" t="str">
        <f t="shared" si="1"/>
        <v>sy8840381490@gmail.com</v>
      </c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3"/>
      <c r="AE319" s="113"/>
      <c r="AF319" s="113"/>
    </row>
    <row r="320">
      <c r="C320" s="123">
        <f>MINIFS(collexo_data!B:B,collexo_data!A:A,A320)</f>
        <v>46062</v>
      </c>
      <c r="D320" s="120" t="str">
        <f>vlookup(A320,collexo_data!A:M,13,0)</f>
        <v>Lucknow</v>
      </c>
      <c r="E320" s="122" t="str">
        <f>vlookup(A320,collexo_data!A:O,15,0)</f>
        <v>Syed Rushda Fatima</v>
      </c>
      <c r="F320" s="120">
        <f>vlookup(A320,collexo_data!A:S,19,0)</f>
        <v>7310637294</v>
      </c>
      <c r="G320" s="122" t="str">
        <f>vlookup(A320,collexo_data!A:R,18,0)</f>
        <v>State PCS</v>
      </c>
      <c r="H320" s="122" t="str">
        <f t="shared" si="1"/>
        <v>syedrushda1@gmail.com</v>
      </c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3"/>
      <c r="AE320" s="113"/>
      <c r="AF320" s="113"/>
    </row>
    <row r="321">
      <c r="C321" s="123">
        <f>MINIFS(collexo_data!B:B,collexo_data!A:A,A321)</f>
        <v>46106</v>
      </c>
      <c r="D321" s="120" t="str">
        <f>vlookup(A321,collexo_data!A:M,13,0)</f>
        <v>Prayagraj</v>
      </c>
      <c r="E321" s="122" t="str">
        <f>vlookup(A321,collexo_data!A:O,15,0)</f>
        <v>Satendra Kumar yadav</v>
      </c>
      <c r="F321" s="120">
        <f>vlookup(A321,collexo_data!A:S,19,0)</f>
        <v>7348268798</v>
      </c>
      <c r="G321" s="122" t="str">
        <f>vlookup(A321,collexo_data!A:R,18,0)</f>
        <v>GS Foundation Course</v>
      </c>
      <c r="H321" s="122" t="str">
        <f t="shared" si="1"/>
        <v>taigorsatendra806@gmail.com</v>
      </c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3"/>
      <c r="AE321" s="113"/>
      <c r="AF321" s="113"/>
    </row>
    <row r="322">
      <c r="C322" s="123">
        <f>MINIFS(collexo_data!B:B,collexo_data!A:A,A322)</f>
        <v>46050</v>
      </c>
      <c r="D322" s="120" t="str">
        <f>vlookup(A322,collexo_data!A:M,13,0)</f>
        <v>New Delhi</v>
      </c>
      <c r="E322" s="122" t="str">
        <f>vlookup(A322,collexo_data!A:O,15,0)</f>
        <v>Tanisha</v>
      </c>
      <c r="F322" s="120">
        <f>vlookup(A322,collexo_data!A:S,19,0)</f>
        <v>9971041984</v>
      </c>
      <c r="G322" s="122" t="str">
        <f>vlookup(A322,collexo_data!A:R,18,0)</f>
        <v>GS Foundation Course</v>
      </c>
      <c r="H322" s="122" t="str">
        <f t="shared" si="1"/>
        <v>tanishaverma047@gmail.com</v>
      </c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3"/>
      <c r="AE322" s="113"/>
      <c r="AF322" s="113"/>
    </row>
    <row r="323">
      <c r="C323" s="123">
        <f>MINIFS(collexo_data!B:B,collexo_data!A:A,A323)</f>
        <v>46078</v>
      </c>
      <c r="D323" s="120" t="str">
        <f>vlookup(A323,collexo_data!A:M,13,0)</f>
        <v>New Delhi</v>
      </c>
      <c r="E323" s="122" t="str">
        <f>vlookup(A323,collexo_data!A:O,15,0)</f>
        <v>Tanmay Shanker</v>
      </c>
      <c r="F323" s="120">
        <f>vlookup(A323,collexo_data!A:S,19,0)</f>
        <v>8233763689</v>
      </c>
      <c r="G323" s="122" t="str">
        <f>vlookup(A323,collexo_data!A:R,18,0)</f>
        <v>GS Foundation Course</v>
      </c>
      <c r="H323" s="122" t="str">
        <f t="shared" si="1"/>
        <v>Tanmay8508@gmail.com</v>
      </c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3"/>
      <c r="AE323" s="113"/>
      <c r="AF323" s="113"/>
    </row>
    <row r="324">
      <c r="C324" s="123">
        <f>MINIFS(collexo_data!B:B,collexo_data!A:A,A324)</f>
        <v>46066</v>
      </c>
      <c r="D324" s="120" t="str">
        <f>vlookup(A324,collexo_data!A:M,13,0)</f>
        <v>Indore</v>
      </c>
      <c r="E324" s="122" t="str">
        <f>vlookup(A324,collexo_data!A:O,15,0)</f>
        <v>Tanmay Solanki</v>
      </c>
      <c r="F324" s="120">
        <f>vlookup(A324,collexo_data!A:S,19,0)</f>
        <v>7879818282</v>
      </c>
      <c r="G324" s="122" t="str">
        <f>vlookup(A324,collexo_data!A:R,18,0)</f>
        <v>State PCS</v>
      </c>
      <c r="H324" s="122" t="str">
        <f t="shared" si="1"/>
        <v>tanmaysolanki008@gmail.com</v>
      </c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3"/>
      <c r="AE324" s="113"/>
      <c r="AF324" s="113"/>
    </row>
    <row r="325">
      <c r="C325" s="123">
        <f>MINIFS(collexo_data!B:B,collexo_data!A:A,A325)</f>
        <v>46077</v>
      </c>
      <c r="D325" s="120" t="str">
        <f>vlookup(A325,collexo_data!A:M,13,0)</f>
        <v>Patna</v>
      </c>
      <c r="E325" s="122" t="str">
        <f>vlookup(A325,collexo_data!A:O,15,0)</f>
        <v>TANU PRIYA</v>
      </c>
      <c r="F325" s="120">
        <f>vlookup(A325,collexo_data!A:S,19,0)</f>
        <v>6200988968</v>
      </c>
      <c r="G325" s="122" t="str">
        <f>vlookup(A325,collexo_data!A:R,18,0)</f>
        <v>GS Foundation Course</v>
      </c>
      <c r="H325" s="122" t="str">
        <f t="shared" si="1"/>
        <v>tanupriyanisha3117@gmail.com</v>
      </c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3"/>
      <c r="AE325" s="113"/>
      <c r="AF325" s="113"/>
    </row>
    <row r="326">
      <c r="C326" s="123">
        <f>MINIFS(collexo_data!B:B,collexo_data!A:A,A326)</f>
        <v>46053</v>
      </c>
      <c r="D326" s="120" t="str">
        <f>vlookup(A326,collexo_data!A:M,13,0)</f>
        <v>New Delhi</v>
      </c>
      <c r="E326" s="122" t="str">
        <f>vlookup(A326,collexo_data!A:O,15,0)</f>
        <v>Tarun</v>
      </c>
      <c r="F326" s="120">
        <f>vlookup(A326,collexo_data!A:S,19,0)</f>
        <v>9950214514</v>
      </c>
      <c r="G326" s="122" t="str">
        <f>vlookup(A326,collexo_data!A:R,18,0)</f>
        <v>GS Foundation Course</v>
      </c>
      <c r="H326" s="122" t="str">
        <f t="shared" si="1"/>
        <v>tarun9950214514@gmail.com</v>
      </c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3"/>
      <c r="AE326" s="113"/>
      <c r="AF326" s="113"/>
    </row>
    <row r="327">
      <c r="C327" s="123">
        <f>MINIFS(collexo_data!B:B,collexo_data!A:A,A327)</f>
        <v>46104</v>
      </c>
      <c r="D327" s="120" t="str">
        <f>vlookup(A327,collexo_data!A:M,13,0)</f>
        <v>Lucknow</v>
      </c>
      <c r="E327" s="122" t="str">
        <f>vlookup(A327,collexo_data!A:O,15,0)</f>
        <v>Krishna</v>
      </c>
      <c r="F327" s="120">
        <f>vlookup(A327,collexo_data!A:S,19,0)</f>
        <v>7991314106</v>
      </c>
      <c r="G327" s="122" t="str">
        <f>vlookup(A327,collexo_data!A:R,18,0)</f>
        <v>GS Foundation Course</v>
      </c>
      <c r="H327" s="122" t="str">
        <f t="shared" si="1"/>
        <v>tdhkrishnagupta11@gmail.com</v>
      </c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3"/>
      <c r="AE327" s="113"/>
      <c r="AF327" s="113"/>
    </row>
    <row r="328">
      <c r="C328" s="123">
        <f>MINIFS(collexo_data!B:B,collexo_data!A:A,A328)</f>
        <v>46049</v>
      </c>
      <c r="D328" s="120" t="str">
        <f>vlookup(A328,collexo_data!A:M,13,0)</f>
        <v>New Delhi</v>
      </c>
      <c r="E328" s="122" t="str">
        <f>vlookup(A328,collexo_data!A:O,15,0)</f>
        <v>Tengchang D Shira</v>
      </c>
      <c r="F328" s="120">
        <f>vlookup(A328,collexo_data!A:S,19,0)</f>
        <v>9365264661</v>
      </c>
      <c r="G328" s="122" t="str">
        <f>vlookup(A328,collexo_data!A:R,18,0)</f>
        <v>GS Foundation Course</v>
      </c>
      <c r="H328" s="122" t="str">
        <f t="shared" si="1"/>
        <v>tengchangdshira@gmail.com</v>
      </c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3"/>
      <c r="AE328" s="113"/>
      <c r="AF328" s="113"/>
    </row>
    <row r="329">
      <c r="C329" s="123">
        <f>MINIFS(collexo_data!B:B,collexo_data!A:A,A329)</f>
        <v>46101</v>
      </c>
      <c r="D329" s="120" t="str">
        <f>vlookup(A329,collexo_data!A:M,13,0)</f>
        <v>Prayagraj</v>
      </c>
      <c r="E329" s="122" t="str">
        <f>vlookup(A329,collexo_data!A:O,15,0)</f>
        <v>Prince Patwa</v>
      </c>
      <c r="F329" s="120">
        <f>vlookup(A329,collexo_data!A:S,19,0)</f>
        <v>7800017337</v>
      </c>
      <c r="G329" s="122" t="str">
        <f>vlookup(A329,collexo_data!A:R,18,0)</f>
        <v>GS Foundation Course</v>
      </c>
      <c r="H329" s="122" t="str">
        <f t="shared" si="1"/>
        <v>thecipher0001@gmail.com</v>
      </c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3"/>
      <c r="AE329" s="113"/>
      <c r="AF329" s="113"/>
    </row>
    <row r="330">
      <c r="C330" s="123">
        <f>MINIFS(collexo_data!B:B,collexo_data!A:A,A330)</f>
        <v>46091</v>
      </c>
      <c r="D330" s="120" t="str">
        <f>vlookup(A330,collexo_data!A:M,13,0)</f>
        <v>New Delhi</v>
      </c>
      <c r="E330" s="122" t="str">
        <f>vlookup(A330,collexo_data!A:O,15,0)</f>
        <v>Shivam</v>
      </c>
      <c r="F330" s="120">
        <f>vlookup(A330,collexo_data!A:S,19,0)</f>
        <v>9958856300</v>
      </c>
      <c r="G330" s="122" t="str">
        <f>vlookup(A330,collexo_data!A:R,18,0)</f>
        <v>GS Foundation Course</v>
      </c>
      <c r="H330" s="122" t="str">
        <f t="shared" si="1"/>
        <v>tiger009vip@gmail.com</v>
      </c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3"/>
      <c r="AE330" s="113"/>
      <c r="AF330" s="113"/>
    </row>
    <row r="331">
      <c r="C331" s="123">
        <f>MINIFS(collexo_data!B:B,collexo_data!A:A,A331)</f>
        <v>46044</v>
      </c>
      <c r="D331" s="120" t="str">
        <f>vlookup(A331,collexo_data!A:M,13,0)</f>
        <v>New Delhi</v>
      </c>
      <c r="E331" s="122" t="str">
        <f>vlookup(A331,collexo_data!A:O,15,0)</f>
        <v>Shiwank</v>
      </c>
      <c r="F331" s="120">
        <f>vlookup(A331,collexo_data!A:S,19,0)</f>
        <v>9918526032</v>
      </c>
      <c r="G331" s="122" t="str">
        <f>vlookup(A331,collexo_data!A:R,18,0)</f>
        <v>GS Foundation Course</v>
      </c>
      <c r="H331" s="122" t="str">
        <f t="shared" si="1"/>
        <v>tiwarishivank778@gmail.com</v>
      </c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3"/>
      <c r="AE331" s="113"/>
      <c r="AF331" s="113"/>
    </row>
    <row r="332">
      <c r="C332" s="123">
        <f>MINIFS(collexo_data!B:B,collexo_data!A:A,A332)</f>
        <v>46105</v>
      </c>
      <c r="D332" s="120" t="str">
        <f>vlookup(A332,collexo_data!A:M,13,0)</f>
        <v>Patna</v>
      </c>
      <c r="E332" s="122" t="str">
        <f>vlookup(A332,collexo_data!A:O,15,0)</f>
        <v>Manish Kumar</v>
      </c>
      <c r="F332" s="120">
        <f>vlookup(A332,collexo_data!A:S,19,0)</f>
        <v>8757399474</v>
      </c>
      <c r="G332" s="122" t="str">
        <f>vlookup(A332,collexo_data!A:R,18,0)</f>
        <v>GS Foundation Course</v>
      </c>
      <c r="H332" s="122" t="str">
        <f t="shared" si="1"/>
        <v>trendwithmanish@gmail.com</v>
      </c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3"/>
      <c r="AE332" s="113"/>
      <c r="AF332" s="113"/>
    </row>
    <row r="333">
      <c r="C333" s="123">
        <f>MINIFS(collexo_data!B:B,collexo_data!A:A,A333)</f>
        <v>46099</v>
      </c>
      <c r="D333" s="120" t="str">
        <f>vlookup(A333,collexo_data!A:M,13,0)</f>
        <v>Lucknow</v>
      </c>
      <c r="E333" s="122" t="str">
        <f>vlookup(A333,collexo_data!A:O,15,0)</f>
        <v>Akanksha Tripathi</v>
      </c>
      <c r="F333" s="120">
        <f>vlookup(A333,collexo_data!A:S,19,0)</f>
        <v>9026118306</v>
      </c>
      <c r="G333" s="122" t="str">
        <f>vlookup(A333,collexo_data!A:R,18,0)</f>
        <v>GS Foundation Course</v>
      </c>
      <c r="H333" s="122" t="str">
        <f t="shared" si="1"/>
        <v>tripathiakanksha1530@gmail.com</v>
      </c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3"/>
      <c r="AE333" s="113"/>
      <c r="AF333" s="113"/>
    </row>
    <row r="334">
      <c r="C334" s="123">
        <f>MINIFS(collexo_data!B:B,collexo_data!A:A,A334)</f>
        <v>46068</v>
      </c>
      <c r="D334" s="120" t="str">
        <f>vlookup(A334,collexo_data!A:M,13,0)</f>
        <v>Prayagraj</v>
      </c>
      <c r="E334" s="122" t="str">
        <f>vlookup(A334,collexo_data!A:O,15,0)</f>
        <v>Shwetank Tripathi</v>
      </c>
      <c r="F334" s="120">
        <f>vlookup(A334,collexo_data!A:S,19,0)</f>
        <v>9219573776</v>
      </c>
      <c r="G334" s="122" t="str">
        <f>vlookup(A334,collexo_data!A:R,18,0)</f>
        <v>GS Foundation Course</v>
      </c>
      <c r="H334" s="122" t="str">
        <f t="shared" si="1"/>
        <v>tripathishwetank5@gmail.com</v>
      </c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3"/>
      <c r="AE334" s="113"/>
      <c r="AF334" s="113"/>
    </row>
    <row r="335">
      <c r="C335" s="123">
        <f>MINIFS(collexo_data!B:B,collexo_data!A:A,A335)</f>
        <v>46069</v>
      </c>
      <c r="D335" s="120" t="str">
        <f>vlookup(A335,collexo_data!A:M,13,0)</f>
        <v>New Delhi</v>
      </c>
      <c r="E335" s="122" t="str">
        <f>vlookup(A335,collexo_data!A:O,15,0)</f>
        <v>Ujjwal yadav</v>
      </c>
      <c r="F335" s="120">
        <f>vlookup(A335,collexo_data!A:S,19,0)</f>
        <v>8607197965</v>
      </c>
      <c r="G335" s="122" t="str">
        <f>vlookup(A335,collexo_data!A:R,18,0)</f>
        <v>GS Foundation Course</v>
      </c>
      <c r="H335" s="122" t="str">
        <f t="shared" si="1"/>
        <v>ujjwal.yadav.2414@gmail.com</v>
      </c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3"/>
      <c r="AE335" s="113"/>
      <c r="AF335" s="113"/>
    </row>
    <row r="336">
      <c r="C336" s="123">
        <f>MINIFS(collexo_data!B:B,collexo_data!A:A,A336)</f>
        <v>46064</v>
      </c>
      <c r="D336" s="120" t="str">
        <f>vlookup(A336,collexo_data!A:M,13,0)</f>
        <v>New Delhi</v>
      </c>
      <c r="E336" s="122" t="str">
        <f>vlookup(A336,collexo_data!A:O,15,0)</f>
        <v>Utsav</v>
      </c>
      <c r="F336" s="120">
        <f>vlookup(A336,collexo_data!A:S,19,0)</f>
        <v>6201770972</v>
      </c>
      <c r="G336" s="122" t="str">
        <f>vlookup(A336,collexo_data!A:R,18,0)</f>
        <v>GS Foundation Course</v>
      </c>
      <c r="H336" s="122" t="str">
        <f t="shared" si="1"/>
        <v>utsavumang75@gmail.com</v>
      </c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3"/>
      <c r="AE336" s="113"/>
      <c r="AF336" s="113"/>
    </row>
    <row r="337">
      <c r="C337" s="123">
        <f>MINIFS(collexo_data!B:B,collexo_data!A:A,A337)</f>
        <v>46094</v>
      </c>
      <c r="D337" s="120" t="str">
        <f>vlookup(A337,collexo_data!A:M,13,0)</f>
        <v>New Delhi</v>
      </c>
      <c r="E337" s="122" t="str">
        <f>vlookup(A337,collexo_data!A:O,15,0)</f>
        <v>Vaibhav Pratap</v>
      </c>
      <c r="F337" s="120">
        <f>vlookup(A337,collexo_data!A:S,19,0)</f>
        <v>9258372595</v>
      </c>
      <c r="G337" s="122" t="str">
        <f>vlookup(A337,collexo_data!A:R,18,0)</f>
        <v>GS Foundation Course</v>
      </c>
      <c r="H337" s="122" t="str">
        <f t="shared" si="1"/>
        <v>vaibhavyadav10052005@gmail.com</v>
      </c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3"/>
      <c r="AE337" s="113"/>
      <c r="AF337" s="113"/>
    </row>
    <row r="338">
      <c r="C338" s="123">
        <f>MINIFS(collexo_data!B:B,collexo_data!A:A,A338)</f>
        <v>46045</v>
      </c>
      <c r="D338" s="120" t="str">
        <f>vlookup(A338,collexo_data!A:M,13,0)</f>
        <v>New Delhi</v>
      </c>
      <c r="E338" s="122" t="str">
        <f>vlookup(A338,collexo_data!A:O,15,0)</f>
        <v>vaishnabi</v>
      </c>
      <c r="F338" s="120">
        <f>vlookup(A338,collexo_data!A:S,19,0)</f>
        <v>8101540835</v>
      </c>
      <c r="G338" s="122" t="str">
        <f>vlookup(A338,collexo_data!A:R,18,0)</f>
        <v>GS Foundation Course</v>
      </c>
      <c r="H338" s="122" t="str">
        <f t="shared" si="1"/>
        <v>vaishnabimahata@gmail.com</v>
      </c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3"/>
      <c r="AE338" s="113"/>
      <c r="AF338" s="113"/>
    </row>
    <row r="339">
      <c r="C339" s="123">
        <f>MINIFS(collexo_data!B:B,collexo_data!A:A,A339)</f>
        <v>46107</v>
      </c>
      <c r="D339" s="120" t="str">
        <f>vlookup(A339,collexo_data!A:M,13,0)</f>
        <v>New Delhi</v>
      </c>
      <c r="E339" s="122" t="str">
        <f>vlookup(A339,collexo_data!A:O,15,0)</f>
        <v>Vansh</v>
      </c>
      <c r="F339" s="120">
        <f>vlookup(A339,collexo_data!A:S,19,0)</f>
        <v>8168304118</v>
      </c>
      <c r="G339" s="122" t="str">
        <f>vlookup(A339,collexo_data!A:R,18,0)</f>
        <v>GS Foundation Course</v>
      </c>
      <c r="H339" s="122" t="str">
        <f t="shared" si="1"/>
        <v>vansh666806@gmail.com</v>
      </c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3"/>
      <c r="AE339" s="113"/>
      <c r="AF339" s="113"/>
    </row>
    <row r="340">
      <c r="C340" s="123">
        <f>MINIFS(collexo_data!B:B,collexo_data!A:A,A340)</f>
        <v>46100</v>
      </c>
      <c r="D340" s="120" t="str">
        <f>vlookup(A340,collexo_data!A:M,13,0)</f>
        <v>Patna</v>
      </c>
      <c r="E340" s="122" t="str">
        <f>vlookup(A340,collexo_data!A:O,15,0)</f>
        <v>Varsha Raj</v>
      </c>
      <c r="F340" s="120">
        <f>vlookup(A340,collexo_data!A:S,19,0)</f>
        <v>9122855348</v>
      </c>
      <c r="G340" s="122" t="str">
        <f>vlookup(A340,collexo_data!A:R,18,0)</f>
        <v>State PCS</v>
      </c>
      <c r="H340" s="122" t="str">
        <f t="shared" si="1"/>
        <v>varsharaj076@gmail.com</v>
      </c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  <c r="AB340" s="113"/>
      <c r="AC340" s="113"/>
      <c r="AD340" s="113"/>
      <c r="AE340" s="113"/>
      <c r="AF340" s="113"/>
    </row>
    <row r="341">
      <c r="C341" s="123">
        <f>MINIFS(collexo_data!B:B,collexo_data!A:A,A341)</f>
        <v>46081</v>
      </c>
      <c r="D341" s="120" t="str">
        <f>vlookup(A341,collexo_data!A:M,13,0)</f>
        <v>Patna</v>
      </c>
      <c r="E341" s="122" t="str">
        <f>vlookup(A341,collexo_data!A:O,15,0)</f>
        <v>Varun Sudhanshu</v>
      </c>
      <c r="F341" s="120">
        <f>vlookup(A341,collexo_data!A:S,19,0)</f>
        <v>6287066779</v>
      </c>
      <c r="G341" s="122" t="str">
        <f>vlookup(A341,collexo_data!A:R,18,0)</f>
        <v>State PCS</v>
      </c>
      <c r="H341" s="122" t="str">
        <f t="shared" si="1"/>
        <v>Varunbarman2003@gmail.com</v>
      </c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3"/>
      <c r="AC341" s="113"/>
      <c r="AD341" s="113"/>
      <c r="AE341" s="113"/>
      <c r="AF341" s="113"/>
    </row>
    <row r="342">
      <c r="C342" s="123">
        <f>MINIFS(collexo_data!B:B,collexo_data!A:A,A342)</f>
        <v>46094</v>
      </c>
      <c r="D342" s="120" t="str">
        <f>vlookup(A342,collexo_data!A:M,13,0)</f>
        <v>Patna</v>
      </c>
      <c r="E342" s="122" t="str">
        <f>vlookup(A342,collexo_data!A:O,15,0)</f>
        <v>Varun</v>
      </c>
      <c r="F342" s="120">
        <f>vlookup(A342,collexo_data!A:S,19,0)</f>
        <v>7632867917</v>
      </c>
      <c r="G342" s="122" t="str">
        <f>vlookup(A342,collexo_data!A:R,18,0)</f>
        <v>GS Foundation Course</v>
      </c>
      <c r="H342" s="122" t="str">
        <f t="shared" si="1"/>
        <v>varunpandey79@gmail.com</v>
      </c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  <c r="AB342" s="113"/>
      <c r="AC342" s="113"/>
      <c r="AD342" s="113"/>
      <c r="AE342" s="113"/>
      <c r="AF342" s="113"/>
    </row>
    <row r="343">
      <c r="C343" s="123">
        <f>MINIFS(collexo_data!B:B,collexo_data!A:A,A343)</f>
        <v>46100</v>
      </c>
      <c r="D343" s="120" t="str">
        <f>vlookup(A343,collexo_data!A:M,13,0)</f>
        <v>New Delhi</v>
      </c>
      <c r="E343" s="122" t="str">
        <f>vlookup(A343,collexo_data!A:O,15,0)</f>
        <v>Dev Sharma</v>
      </c>
      <c r="F343" s="120">
        <f>vlookup(A343,collexo_data!A:S,19,0)</f>
        <v>9528979871</v>
      </c>
      <c r="G343" s="122" t="str">
        <f>vlookup(A343,collexo_data!A:R,18,0)</f>
        <v>GS Foundation Course</v>
      </c>
      <c r="H343" s="122" t="str">
        <f t="shared" si="1"/>
        <v>vetdevduvasu@gmail.com</v>
      </c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3"/>
      <c r="AC343" s="113"/>
      <c r="AD343" s="113"/>
      <c r="AE343" s="113"/>
      <c r="AF343" s="113"/>
    </row>
    <row r="344">
      <c r="C344" s="123">
        <f>MINIFS(collexo_data!B:B,collexo_data!A:A,A344)</f>
        <v>46089</v>
      </c>
      <c r="D344" s="120" t="str">
        <f>vlookup(A344,collexo_data!A:M,13,0)</f>
        <v>New Delhi</v>
      </c>
      <c r="E344" s="122" t="str">
        <f>vlookup(A344,collexo_data!A:O,15,0)</f>
        <v>vibhuti bharti</v>
      </c>
      <c r="F344" s="120">
        <f>vlookup(A344,collexo_data!A:S,19,0)</f>
        <v>7870378856</v>
      </c>
      <c r="G344" s="122" t="str">
        <f>vlookup(A344,collexo_data!A:R,18,0)</f>
        <v>GS Foundation Course</v>
      </c>
      <c r="H344" s="122" t="str">
        <f t="shared" si="1"/>
        <v>vibhutibharti5555@gmail.com</v>
      </c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  <c r="AB344" s="113"/>
      <c r="AC344" s="113"/>
      <c r="AD344" s="113"/>
      <c r="AE344" s="113"/>
      <c r="AF344" s="113"/>
    </row>
    <row r="345">
      <c r="C345" s="123">
        <f>MINIFS(collexo_data!B:B,collexo_data!A:A,A345)</f>
        <v>46102</v>
      </c>
      <c r="D345" s="120" t="str">
        <f>vlookup(A345,collexo_data!A:M,13,0)</f>
        <v>New Delhi</v>
      </c>
      <c r="E345" s="122" t="str">
        <f>vlookup(A345,collexo_data!A:O,15,0)</f>
        <v>Vijay</v>
      </c>
      <c r="F345" s="120">
        <f>vlookup(A345,collexo_data!A:S,19,0)</f>
        <v>9341693412</v>
      </c>
      <c r="G345" s="122" t="str">
        <f>vlookup(A345,collexo_data!A:R,18,0)</f>
        <v>GS Foundation Course</v>
      </c>
      <c r="H345" s="122" t="str">
        <f t="shared" si="1"/>
        <v>vijayprakash4549@gmail.com</v>
      </c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3"/>
      <c r="AC345" s="113"/>
      <c r="AD345" s="113"/>
      <c r="AE345" s="113"/>
      <c r="AF345" s="113"/>
    </row>
    <row r="346">
      <c r="C346" s="123">
        <f>MINIFS(collexo_data!B:B,collexo_data!A:A,A346)</f>
        <v>46061</v>
      </c>
      <c r="D346" s="120" t="str">
        <f>vlookup(A346,collexo_data!A:M,13,0)</f>
        <v>New Delhi</v>
      </c>
      <c r="E346" s="122" t="str">
        <f>vlookup(A346,collexo_data!A:O,15,0)</f>
        <v>Vinayak</v>
      </c>
      <c r="F346" s="120">
        <f>vlookup(A346,collexo_data!A:S,19,0)</f>
        <v>8587970069</v>
      </c>
      <c r="G346" s="122" t="str">
        <f>vlookup(A346,collexo_data!A:R,18,0)</f>
        <v>GS Foundation Course</v>
      </c>
      <c r="H346" s="122" t="str">
        <f t="shared" si="1"/>
        <v>vinayaksingh1556698@gmail.com</v>
      </c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  <c r="AB346" s="113"/>
      <c r="AC346" s="113"/>
      <c r="AD346" s="113"/>
      <c r="AE346" s="113"/>
      <c r="AF346" s="113"/>
    </row>
    <row r="347">
      <c r="C347" s="123">
        <f>MINIFS(collexo_data!B:B,collexo_data!A:A,A347)</f>
        <v>46081</v>
      </c>
      <c r="D347" s="120" t="str">
        <f>vlookup(A347,collexo_data!A:M,13,0)</f>
        <v>Prayagraj</v>
      </c>
      <c r="E347" s="122" t="str">
        <f>vlookup(A347,collexo_data!A:O,15,0)</f>
        <v>Vishakha Singh Yadav</v>
      </c>
      <c r="F347" s="120">
        <f>vlookup(A347,collexo_data!A:S,19,0)</f>
        <v>7309210289</v>
      </c>
      <c r="G347" s="122" t="str">
        <f>vlookup(A347,collexo_data!A:R,18,0)</f>
        <v>GS Foundation Course</v>
      </c>
      <c r="H347" s="122" t="str">
        <f t="shared" si="1"/>
        <v>vishakhasinghyadav00@gmail.com</v>
      </c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3"/>
      <c r="AC347" s="113"/>
      <c r="AD347" s="113"/>
      <c r="AE347" s="113"/>
      <c r="AF347" s="113"/>
    </row>
    <row r="348">
      <c r="C348" s="123">
        <f>MINIFS(collexo_data!B:B,collexo_data!A:A,A348)</f>
        <v>46107</v>
      </c>
      <c r="D348" s="120" t="str">
        <f>vlookup(A348,collexo_data!A:M,13,0)</f>
        <v>Indore</v>
      </c>
      <c r="E348" s="122" t="str">
        <f>vlookup(A348,collexo_data!A:O,15,0)</f>
        <v>Vishal thavliya</v>
      </c>
      <c r="F348" s="120">
        <f>vlookup(A348,collexo_data!A:S,19,0)</f>
        <v>7049420230</v>
      </c>
      <c r="G348" s="122" t="str">
        <f>vlookup(A348,collexo_data!A:R,18,0)</f>
        <v>State PCS</v>
      </c>
      <c r="H348" s="122" t="str">
        <f t="shared" si="1"/>
        <v>vishalthavliya2@gmail.com</v>
      </c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  <c r="AB348" s="113"/>
      <c r="AC348" s="113"/>
      <c r="AD348" s="113"/>
      <c r="AE348" s="113"/>
      <c r="AF348" s="113"/>
    </row>
    <row r="349">
      <c r="C349" s="123">
        <f>MINIFS(collexo_data!B:B,collexo_data!A:A,A349)</f>
        <v>46106</v>
      </c>
      <c r="D349" s="120" t="str">
        <f>vlookup(A349,collexo_data!A:M,13,0)</f>
        <v>New Delhi</v>
      </c>
      <c r="E349" s="122" t="str">
        <f>vlookup(A349,collexo_data!A:O,15,0)</f>
        <v>VIVEK KAJLA</v>
      </c>
      <c r="F349" s="120">
        <f>vlookup(A349,collexo_data!A:S,19,0)</f>
        <v>9351151508</v>
      </c>
      <c r="G349" s="122" t="str">
        <f>vlookup(A349,collexo_data!A:R,18,0)</f>
        <v>GS Foundation Course</v>
      </c>
      <c r="H349" s="122" t="str">
        <f t="shared" si="1"/>
        <v>vivekkajla168@gmail.com</v>
      </c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3"/>
      <c r="AC349" s="113"/>
      <c r="AD349" s="113"/>
      <c r="AE349" s="113"/>
      <c r="AF349" s="113"/>
    </row>
    <row r="350">
      <c r="C350" s="123">
        <f>MINIFS(collexo_data!B:B,collexo_data!A:A,A350)</f>
        <v>46104</v>
      </c>
      <c r="D350" s="120" t="str">
        <f>vlookup(A350,collexo_data!A:M,13,0)</f>
        <v>Prayagraj</v>
      </c>
      <c r="E350" s="122" t="str">
        <f>vlookup(A350,collexo_data!A:O,15,0)</f>
        <v>Vicky yadav</v>
      </c>
      <c r="F350" s="120">
        <f>vlookup(A350,collexo_data!A:S,19,0)</f>
        <v>9555756930</v>
      </c>
      <c r="G350" s="122" t="str">
        <f>vlookup(A350,collexo_data!A:R,18,0)</f>
        <v>Mentorship - Samadhan</v>
      </c>
      <c r="H350" s="122" t="str">
        <f t="shared" si="1"/>
        <v>vivkyyadav33855@gmail.com</v>
      </c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  <c r="AB350" s="113"/>
      <c r="AC350" s="113"/>
      <c r="AD350" s="113"/>
      <c r="AE350" s="113"/>
      <c r="AF350" s="113"/>
    </row>
    <row r="351">
      <c r="C351" s="123">
        <f>MINIFS(collexo_data!B:B,collexo_data!A:A,A351)</f>
        <v>46095</v>
      </c>
      <c r="D351" s="120" t="str">
        <f>vlookup(A351,collexo_data!A:M,13,0)</f>
        <v>Prayagraj</v>
      </c>
      <c r="E351" s="122" t="str">
        <f>vlookup(A351,collexo_data!A:O,15,0)</f>
        <v>Vikram singh</v>
      </c>
      <c r="F351" s="120">
        <f>vlookup(A351,collexo_data!A:S,19,0)</f>
        <v>8957695712</v>
      </c>
      <c r="G351" s="122" t="str">
        <f>vlookup(A351,collexo_data!A:R,18,0)</f>
        <v>GS Foundation Course</v>
      </c>
      <c r="H351" s="122" t="str">
        <f t="shared" si="1"/>
        <v>vs8473676@gmail.com</v>
      </c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3"/>
      <c r="AC351" s="113"/>
      <c r="AD351" s="113"/>
      <c r="AE351" s="113"/>
      <c r="AF351" s="113"/>
    </row>
    <row r="352">
      <c r="C352" s="123">
        <f>MINIFS(collexo_data!B:B,collexo_data!A:A,A352)</f>
        <v>46032</v>
      </c>
      <c r="D352" s="120" t="str">
        <f>vlookup(A352,collexo_data!A:M,13,0)</f>
        <v>New Delhi</v>
      </c>
      <c r="E352" s="122" t="str">
        <f>vlookup(A352,collexo_data!A:O,15,0)</f>
        <v>Vaishnavi Badghare</v>
      </c>
      <c r="F352" s="120" t="str">
        <f>vlookup(A352,collexo_data!A:S,19,0)</f>
        <v>Not Available</v>
      </c>
      <c r="G352" s="122" t="str">
        <f>vlookup(A352,collexo_data!A:R,18,0)</f>
        <v>Not Available</v>
      </c>
      <c r="H352" s="122" t="str">
        <f t="shared" si="1"/>
        <v>vsbadghare2007@gmail.com</v>
      </c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  <c r="AB352" s="113"/>
      <c r="AC352" s="113"/>
      <c r="AD352" s="113"/>
      <c r="AE352" s="113"/>
      <c r="AF352" s="113"/>
    </row>
    <row r="353">
      <c r="C353" s="123">
        <f>MINIFS(collexo_data!B:B,collexo_data!A:A,A353)</f>
        <v>46099</v>
      </c>
      <c r="D353" s="120" t="str">
        <f>vlookup(A353,collexo_data!A:M,13,0)</f>
        <v>Lucknow</v>
      </c>
      <c r="E353" s="122" t="str">
        <f>vlookup(A353,collexo_data!A:O,15,0)</f>
        <v>risbha</v>
      </c>
      <c r="F353" s="120">
        <f>vlookup(A353,collexo_data!A:S,19,0)</f>
        <v>8009878073</v>
      </c>
      <c r="G353" s="122" t="str">
        <f>vlookup(A353,collexo_data!A:R,18,0)</f>
        <v>GS Foundation Course</v>
      </c>
      <c r="H353" s="122" t="str">
        <f t="shared" si="1"/>
        <v>xcluzive.ai@gmail.com</v>
      </c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3"/>
      <c r="AC353" s="113"/>
      <c r="AD353" s="113"/>
      <c r="AE353" s="113"/>
      <c r="AF353" s="113"/>
    </row>
    <row r="354">
      <c r="C354" s="123">
        <f>MINIFS(collexo_data!B:B,collexo_data!A:A,A354)</f>
        <v>46089</v>
      </c>
      <c r="D354" s="120" t="str">
        <f>vlookup(A354,collexo_data!A:M,13,0)</f>
        <v>New Delhi</v>
      </c>
      <c r="E354" s="122" t="str">
        <f>vlookup(A354,collexo_data!A:O,15,0)</f>
        <v>Vedansh Yadav</v>
      </c>
      <c r="F354" s="120">
        <f>vlookup(A354,collexo_data!A:S,19,0)</f>
        <v>9220581260</v>
      </c>
      <c r="G354" s="122" t="str">
        <f>vlookup(A354,collexo_data!A:R,18,0)</f>
        <v>GS Foundation Course</v>
      </c>
      <c r="H354" s="122" t="str">
        <f t="shared" si="1"/>
        <v>yadavvedansh07@gmail.com</v>
      </c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  <c r="AB354" s="113"/>
      <c r="AC354" s="113"/>
      <c r="AD354" s="113"/>
      <c r="AE354" s="113"/>
      <c r="AF354" s="113"/>
    </row>
    <row r="355">
      <c r="C355" s="123">
        <f>MINIFS(collexo_data!B:B,collexo_data!A:A,A355)</f>
        <v>46100</v>
      </c>
      <c r="D355" s="120" t="str">
        <f>vlookup(A355,collexo_data!A:M,13,0)</f>
        <v>New Delhi</v>
      </c>
      <c r="E355" s="122" t="str">
        <f>vlookup(A355,collexo_data!A:O,15,0)</f>
        <v>yash Siriya</v>
      </c>
      <c r="F355" s="120">
        <f>vlookup(A355,collexo_data!A:S,19,0)</f>
        <v>7024125255</v>
      </c>
      <c r="G355" s="122" t="str">
        <f>vlookup(A355,collexo_data!A:R,18,0)</f>
        <v>GS Foundation Course</v>
      </c>
      <c r="H355" s="122" t="str">
        <f t="shared" si="1"/>
        <v>yashrajs9700@gmail.com</v>
      </c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3"/>
      <c r="AC355" s="113"/>
      <c r="AD355" s="113"/>
      <c r="AE355" s="113"/>
      <c r="AF355" s="113"/>
    </row>
    <row r="356">
      <c r="C356" s="123">
        <f>MINIFS(collexo_data!B:B,collexo_data!A:A,A356)</f>
        <v>46109</v>
      </c>
      <c r="D356" s="120" t="str">
        <f>vlookup(A356,collexo_data!A:M,13,0)</f>
        <v>Lucknow</v>
      </c>
      <c r="E356" s="122" t="str">
        <f>vlookup(A356,collexo_data!A:O,15,0)</f>
        <v>Vivek Lav Yadav</v>
      </c>
      <c r="F356" s="120">
        <f>vlookup(A356,collexo_data!A:S,19,0)</f>
        <v>6394233709</v>
      </c>
      <c r="G356" s="122" t="str">
        <f>vlookup(A356,collexo_data!A:R,18,0)</f>
        <v>GS Foundation Course</v>
      </c>
      <c r="H356" s="122" t="str">
        <f t="shared" si="1"/>
        <v>yv5895774@gmail.com</v>
      </c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  <c r="AB356" s="113"/>
      <c r="AC356" s="113"/>
      <c r="AD356" s="113"/>
      <c r="AE356" s="113"/>
      <c r="AF356" s="113"/>
    </row>
    <row r="357">
      <c r="C357" s="123">
        <f>MINIFS(collexo_data!B:B,collexo_data!A:A,A357)</f>
        <v>46089</v>
      </c>
      <c r="D357" s="120" t="str">
        <f>vlookup(A357,collexo_data!A:M,13,0)</f>
        <v>Prayagraj</v>
      </c>
      <c r="E357" s="122" t="str">
        <f>vlookup(A357,collexo_data!A:O,15,0)</f>
        <v>Zuhaib</v>
      </c>
      <c r="F357" s="120">
        <f>vlookup(A357,collexo_data!A:S,19,0)</f>
        <v>9795461010</v>
      </c>
      <c r="G357" s="122" t="str">
        <f>vlookup(A357,collexo_data!A:R,18,0)</f>
        <v>GS Foundation Course</v>
      </c>
      <c r="H357" s="122" t="str">
        <f t="shared" si="1"/>
        <v>zuhaibgujjar69@gmai.com</v>
      </c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3"/>
      <c r="AC357" s="113"/>
      <c r="AD357" s="113"/>
      <c r="AE357" s="113"/>
      <c r="AF357" s="113"/>
    </row>
    <row r="358">
      <c r="A358" s="120"/>
      <c r="B358" s="113"/>
      <c r="C358" s="123">
        <f>MINIFS(collexo_data!B:B,collexo_data!A:A,A358)</f>
        <v>0</v>
      </c>
      <c r="D358" s="120" t="str">
        <f>vlookup(A358,collexo_data!A:M,13,0)</f>
        <v>#N/A</v>
      </c>
      <c r="E358" s="122" t="str">
        <f>vlookup(A358,collexo_data!A:O,15,0)</f>
        <v>#N/A</v>
      </c>
      <c r="F358" s="120" t="str">
        <f>vlookup(A358,collexo_data!A:S,19,0)</f>
        <v>#N/A</v>
      </c>
      <c r="G358" s="122" t="str">
        <f>vlookup(A358,collexo_data!A:R,18,0)</f>
        <v>#N/A</v>
      </c>
      <c r="H358" s="122" t="str">
        <f t="shared" si="1"/>
        <v/>
      </c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  <c r="AB358" s="113"/>
      <c r="AC358" s="113"/>
      <c r="AD358" s="113"/>
      <c r="AE358" s="113"/>
      <c r="AF358" s="113"/>
    </row>
    <row r="359">
      <c r="A359" s="120"/>
      <c r="B359" s="113"/>
      <c r="C359" s="123">
        <f>MINIFS(collexo_data!B:B,collexo_data!A:A,A359)</f>
        <v>0</v>
      </c>
      <c r="D359" s="120" t="str">
        <f>vlookup(A359,collexo_data!A:M,13,0)</f>
        <v>#N/A</v>
      </c>
      <c r="E359" s="122" t="str">
        <f>vlookup(A359,collexo_data!A:O,15,0)</f>
        <v>#N/A</v>
      </c>
      <c r="F359" s="120" t="str">
        <f>vlookup(A359,collexo_data!A:S,19,0)</f>
        <v>#N/A</v>
      </c>
      <c r="G359" s="122" t="str">
        <f>vlookup(A359,collexo_data!A:R,18,0)</f>
        <v>#N/A</v>
      </c>
      <c r="H359" s="122" t="str">
        <f t="shared" si="1"/>
        <v/>
      </c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3"/>
      <c r="AC359" s="113"/>
      <c r="AD359" s="113"/>
      <c r="AE359" s="113"/>
      <c r="AF359" s="113"/>
    </row>
    <row r="360">
      <c r="A360" s="120"/>
      <c r="B360" s="113"/>
      <c r="C360" s="123">
        <f>MINIFS(collexo_data!B:B,collexo_data!A:A,A360)</f>
        <v>0</v>
      </c>
      <c r="D360" s="120" t="str">
        <f>vlookup(A360,collexo_data!A:M,13,0)</f>
        <v>#N/A</v>
      </c>
      <c r="E360" s="122" t="str">
        <f>vlookup(A360,collexo_data!A:O,15,0)</f>
        <v>#N/A</v>
      </c>
      <c r="F360" s="120" t="str">
        <f>vlookup(A360,collexo_data!A:S,19,0)</f>
        <v>#N/A</v>
      </c>
      <c r="G360" s="122" t="str">
        <f>vlookup(A360,collexo_data!A:R,18,0)</f>
        <v>#N/A</v>
      </c>
      <c r="H360" s="122" t="str">
        <f t="shared" si="1"/>
        <v/>
      </c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  <c r="AB360" s="113"/>
      <c r="AC360" s="113"/>
      <c r="AD360" s="113"/>
      <c r="AE360" s="113"/>
      <c r="AF360" s="113"/>
    </row>
    <row r="361">
      <c r="A361" s="120"/>
      <c r="B361" s="113"/>
      <c r="C361" s="123">
        <f>MINIFS(collexo_data!B:B,collexo_data!A:A,A361)</f>
        <v>0</v>
      </c>
      <c r="D361" s="120" t="str">
        <f>vlookup(A361,collexo_data!A:M,13,0)</f>
        <v>#N/A</v>
      </c>
      <c r="E361" s="122" t="str">
        <f>vlookup(A361,collexo_data!A:O,15,0)</f>
        <v>#N/A</v>
      </c>
      <c r="F361" s="120" t="str">
        <f>vlookup(A361,collexo_data!A:S,19,0)</f>
        <v>#N/A</v>
      </c>
      <c r="G361" s="122" t="str">
        <f>vlookup(A361,collexo_data!A:R,18,0)</f>
        <v>#N/A</v>
      </c>
      <c r="H361" s="122" t="str">
        <f t="shared" si="1"/>
        <v/>
      </c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3"/>
      <c r="AC361" s="113"/>
      <c r="AD361" s="113"/>
      <c r="AE361" s="113"/>
      <c r="AF361" s="113"/>
    </row>
    <row r="362">
      <c r="A362" s="120"/>
      <c r="B362" s="113"/>
      <c r="C362" s="123">
        <f>MINIFS(collexo_data!B:B,collexo_data!A:A,A362)</f>
        <v>0</v>
      </c>
      <c r="D362" s="120" t="str">
        <f>vlookup(A362,collexo_data!A:M,13,0)</f>
        <v>#N/A</v>
      </c>
      <c r="E362" s="122" t="str">
        <f>vlookup(A362,collexo_data!A:O,15,0)</f>
        <v>#N/A</v>
      </c>
      <c r="F362" s="120" t="str">
        <f>vlookup(A362,collexo_data!A:S,19,0)</f>
        <v>#N/A</v>
      </c>
      <c r="G362" s="122" t="str">
        <f>vlookup(A362,collexo_data!A:R,18,0)</f>
        <v>#N/A</v>
      </c>
      <c r="H362" s="122" t="str">
        <f t="shared" si="1"/>
        <v/>
      </c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  <c r="AB362" s="113"/>
      <c r="AC362" s="113"/>
      <c r="AD362" s="113"/>
      <c r="AE362" s="113"/>
      <c r="AF362" s="113"/>
    </row>
    <row r="363">
      <c r="A363" s="120"/>
      <c r="B363" s="113"/>
      <c r="C363" s="123">
        <f>MINIFS(collexo_data!B:B,collexo_data!A:A,A363)</f>
        <v>0</v>
      </c>
      <c r="D363" s="120" t="str">
        <f>vlookup(A363,collexo_data!A:M,13,0)</f>
        <v>#N/A</v>
      </c>
      <c r="E363" s="122" t="str">
        <f>vlookup(A363,collexo_data!A:O,15,0)</f>
        <v>#N/A</v>
      </c>
      <c r="F363" s="120" t="str">
        <f>vlookup(A363,collexo_data!A:S,19,0)</f>
        <v>#N/A</v>
      </c>
      <c r="G363" s="122" t="str">
        <f>vlookup(A363,collexo_data!A:R,18,0)</f>
        <v>#N/A</v>
      </c>
      <c r="H363" s="122" t="str">
        <f t="shared" si="1"/>
        <v/>
      </c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3"/>
      <c r="AC363" s="113"/>
      <c r="AD363" s="113"/>
      <c r="AE363" s="113"/>
      <c r="AF363" s="113"/>
    </row>
    <row r="364">
      <c r="A364" s="120"/>
      <c r="B364" s="113"/>
      <c r="C364" s="123">
        <f>MINIFS(collexo_data!B:B,collexo_data!A:A,A364)</f>
        <v>0</v>
      </c>
      <c r="D364" s="120" t="str">
        <f>vlookup(A364,collexo_data!A:M,13,0)</f>
        <v>#N/A</v>
      </c>
      <c r="E364" s="122" t="str">
        <f>vlookup(A364,collexo_data!A:O,15,0)</f>
        <v>#N/A</v>
      </c>
      <c r="F364" s="120" t="str">
        <f>vlookup(A364,collexo_data!A:S,19,0)</f>
        <v>#N/A</v>
      </c>
      <c r="G364" s="122" t="str">
        <f>vlookup(A364,collexo_data!A:R,18,0)</f>
        <v>#N/A</v>
      </c>
      <c r="H364" s="122" t="str">
        <f t="shared" si="1"/>
        <v/>
      </c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  <c r="AB364" s="113"/>
      <c r="AC364" s="113"/>
      <c r="AD364" s="113"/>
      <c r="AE364" s="113"/>
      <c r="AF364" s="113"/>
    </row>
    <row r="365">
      <c r="A365" s="120"/>
      <c r="B365" s="113"/>
      <c r="C365" s="123">
        <f>MINIFS(collexo_data!B:B,collexo_data!A:A,A365)</f>
        <v>0</v>
      </c>
      <c r="D365" s="120" t="str">
        <f>vlookup(A365,collexo_data!A:M,13,0)</f>
        <v>#N/A</v>
      </c>
      <c r="E365" s="122" t="str">
        <f>vlookup(A365,collexo_data!A:O,15,0)</f>
        <v>#N/A</v>
      </c>
      <c r="F365" s="120" t="str">
        <f>vlookup(A365,collexo_data!A:S,19,0)</f>
        <v>#N/A</v>
      </c>
      <c r="G365" s="122" t="str">
        <f>vlookup(A365,collexo_data!A:R,18,0)</f>
        <v>#N/A</v>
      </c>
      <c r="H365" s="122" t="str">
        <f t="shared" si="1"/>
        <v/>
      </c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3"/>
      <c r="AC365" s="113"/>
      <c r="AD365" s="113"/>
      <c r="AE365" s="113"/>
      <c r="AF365" s="113"/>
    </row>
    <row r="366">
      <c r="A366" s="120"/>
      <c r="B366" s="113"/>
      <c r="C366" s="123">
        <f>MINIFS(collexo_data!B:B,collexo_data!A:A,A366)</f>
        <v>0</v>
      </c>
      <c r="D366" s="120" t="str">
        <f>vlookup(A366,collexo_data!A:M,13,0)</f>
        <v>#N/A</v>
      </c>
      <c r="E366" s="122" t="str">
        <f>vlookup(A366,collexo_data!A:O,15,0)</f>
        <v>#N/A</v>
      </c>
      <c r="F366" s="120" t="str">
        <f>vlookup(A366,collexo_data!A:S,19,0)</f>
        <v>#N/A</v>
      </c>
      <c r="G366" s="122" t="str">
        <f>vlookup(A366,collexo_data!A:R,18,0)</f>
        <v>#N/A</v>
      </c>
      <c r="H366" s="122" t="str">
        <f t="shared" si="1"/>
        <v/>
      </c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  <c r="AB366" s="113"/>
      <c r="AC366" s="113"/>
      <c r="AD366" s="113"/>
      <c r="AE366" s="113"/>
      <c r="AF366" s="113"/>
    </row>
    <row r="367">
      <c r="A367" s="120"/>
      <c r="B367" s="113"/>
      <c r="C367" s="123">
        <f>MINIFS(collexo_data!B:B,collexo_data!A:A,A367)</f>
        <v>0</v>
      </c>
      <c r="D367" s="120" t="str">
        <f>vlookup(A367,collexo_data!A:M,13,0)</f>
        <v>#N/A</v>
      </c>
      <c r="E367" s="122" t="str">
        <f>vlookup(A367,collexo_data!A:O,15,0)</f>
        <v>#N/A</v>
      </c>
      <c r="F367" s="120" t="str">
        <f>vlookup(A367,collexo_data!A:S,19,0)</f>
        <v>#N/A</v>
      </c>
      <c r="G367" s="122" t="str">
        <f>vlookup(A367,collexo_data!A:R,18,0)</f>
        <v>#N/A</v>
      </c>
      <c r="H367" s="122" t="str">
        <f t="shared" si="1"/>
        <v/>
      </c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3"/>
      <c r="AC367" s="113"/>
      <c r="AD367" s="113"/>
      <c r="AE367" s="113"/>
      <c r="AF367" s="113"/>
    </row>
    <row r="368">
      <c r="A368" s="120"/>
      <c r="B368" s="113"/>
      <c r="C368" s="123">
        <f>MINIFS(collexo_data!B:B,collexo_data!A:A,A368)</f>
        <v>0</v>
      </c>
      <c r="D368" s="120" t="str">
        <f>vlookup(A368,collexo_data!A:M,13,0)</f>
        <v>#N/A</v>
      </c>
      <c r="E368" s="122" t="str">
        <f>vlookup(A368,collexo_data!A:O,15,0)</f>
        <v>#N/A</v>
      </c>
      <c r="F368" s="120" t="str">
        <f>vlookup(A368,collexo_data!A:S,19,0)</f>
        <v>#N/A</v>
      </c>
      <c r="G368" s="122" t="str">
        <f>vlookup(A368,collexo_data!A:R,18,0)</f>
        <v>#N/A</v>
      </c>
      <c r="H368" s="122" t="str">
        <f t="shared" si="1"/>
        <v/>
      </c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  <c r="AB368" s="113"/>
      <c r="AC368" s="113"/>
      <c r="AD368" s="113"/>
      <c r="AE368" s="113"/>
      <c r="AF368" s="113"/>
    </row>
    <row r="369">
      <c r="A369" s="120"/>
      <c r="B369" s="113"/>
      <c r="C369" s="123">
        <f>MINIFS(collexo_data!B:B,collexo_data!A:A,A369)</f>
        <v>0</v>
      </c>
      <c r="D369" s="120" t="str">
        <f>vlookup(A369,collexo_data!A:M,13,0)</f>
        <v>#N/A</v>
      </c>
      <c r="E369" s="122" t="str">
        <f>vlookup(A369,collexo_data!A:O,15,0)</f>
        <v>#N/A</v>
      </c>
      <c r="F369" s="120" t="str">
        <f>vlookup(A369,collexo_data!A:S,19,0)</f>
        <v>#N/A</v>
      </c>
      <c r="G369" s="122" t="str">
        <f>vlookup(A369,collexo_data!A:R,18,0)</f>
        <v>#N/A</v>
      </c>
      <c r="H369" s="122" t="str">
        <f t="shared" si="1"/>
        <v/>
      </c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3"/>
      <c r="AC369" s="113"/>
      <c r="AD369" s="113"/>
      <c r="AE369" s="113"/>
      <c r="AF369" s="113"/>
    </row>
    <row r="370">
      <c r="A370" s="120"/>
      <c r="B370" s="113"/>
      <c r="C370" s="123">
        <f>MINIFS(collexo_data!B:B,collexo_data!A:A,A370)</f>
        <v>0</v>
      </c>
      <c r="D370" s="120" t="str">
        <f>vlookup(A370,collexo_data!A:M,13,0)</f>
        <v>#N/A</v>
      </c>
      <c r="E370" s="122" t="str">
        <f>vlookup(A370,collexo_data!A:O,15,0)</f>
        <v>#N/A</v>
      </c>
      <c r="F370" s="120" t="str">
        <f>vlookup(A370,collexo_data!A:S,19,0)</f>
        <v>#N/A</v>
      </c>
      <c r="G370" s="122" t="str">
        <f>vlookup(A370,collexo_data!A:R,18,0)</f>
        <v>#N/A</v>
      </c>
      <c r="H370" s="122" t="str">
        <f t="shared" si="1"/>
        <v/>
      </c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  <c r="AB370" s="113"/>
      <c r="AC370" s="113"/>
      <c r="AD370" s="113"/>
      <c r="AE370" s="113"/>
      <c r="AF370" s="113"/>
    </row>
    <row r="371">
      <c r="A371" s="120"/>
      <c r="B371" s="113"/>
      <c r="C371" s="123">
        <f>MINIFS(collexo_data!B:B,collexo_data!A:A,A371)</f>
        <v>0</v>
      </c>
      <c r="D371" s="120" t="str">
        <f>vlookup(A371,collexo_data!A:M,13,0)</f>
        <v>#N/A</v>
      </c>
      <c r="E371" s="122" t="str">
        <f>vlookup(A371,collexo_data!A:O,15,0)</f>
        <v>#N/A</v>
      </c>
      <c r="F371" s="120" t="str">
        <f>vlookup(A371,collexo_data!A:S,19,0)</f>
        <v>#N/A</v>
      </c>
      <c r="G371" s="122" t="str">
        <f>vlookup(A371,collexo_data!A:R,18,0)</f>
        <v>#N/A</v>
      </c>
      <c r="H371" s="122" t="str">
        <f t="shared" si="1"/>
        <v/>
      </c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3"/>
      <c r="AC371" s="113"/>
      <c r="AD371" s="113"/>
      <c r="AE371" s="113"/>
      <c r="AF371" s="113"/>
    </row>
    <row r="372">
      <c r="A372" s="120"/>
      <c r="B372" s="113"/>
      <c r="C372" s="123">
        <f>MINIFS(collexo_data!B:B,collexo_data!A:A,A372)</f>
        <v>0</v>
      </c>
      <c r="D372" s="120" t="str">
        <f>vlookup(A372,collexo_data!A:M,13,0)</f>
        <v>#N/A</v>
      </c>
      <c r="E372" s="122" t="str">
        <f>vlookup(A372,collexo_data!A:O,15,0)</f>
        <v>#N/A</v>
      </c>
      <c r="F372" s="120" t="str">
        <f>vlookup(A372,collexo_data!A:S,19,0)</f>
        <v>#N/A</v>
      </c>
      <c r="G372" s="122" t="str">
        <f>vlookup(A372,collexo_data!A:R,18,0)</f>
        <v>#N/A</v>
      </c>
      <c r="H372" s="122" t="str">
        <f t="shared" si="1"/>
        <v/>
      </c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  <c r="AB372" s="113"/>
      <c r="AC372" s="113"/>
      <c r="AD372" s="113"/>
      <c r="AE372" s="113"/>
      <c r="AF372" s="113"/>
    </row>
    <row r="373">
      <c r="A373" s="120"/>
      <c r="B373" s="113"/>
      <c r="C373" s="123">
        <f>MINIFS(collexo_data!B:B,collexo_data!A:A,A373)</f>
        <v>0</v>
      </c>
      <c r="D373" s="120" t="str">
        <f>vlookup(A373,collexo_data!A:M,13,0)</f>
        <v>#N/A</v>
      </c>
      <c r="E373" s="122" t="str">
        <f>vlookup(A373,collexo_data!A:O,15,0)</f>
        <v>#N/A</v>
      </c>
      <c r="F373" s="120" t="str">
        <f>vlookup(A373,collexo_data!A:S,19,0)</f>
        <v>#N/A</v>
      </c>
      <c r="G373" s="122" t="str">
        <f>vlookup(A373,collexo_data!A:R,18,0)</f>
        <v>#N/A</v>
      </c>
      <c r="H373" s="122" t="str">
        <f t="shared" si="1"/>
        <v/>
      </c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3"/>
      <c r="AC373" s="113"/>
      <c r="AD373" s="113"/>
      <c r="AE373" s="113"/>
      <c r="AF373" s="113"/>
    </row>
    <row r="374">
      <c r="A374" s="120"/>
      <c r="B374" s="113"/>
      <c r="C374" s="123">
        <f>MINIFS(collexo_data!B:B,collexo_data!A:A,A374)</f>
        <v>0</v>
      </c>
      <c r="D374" s="120" t="str">
        <f>vlookup(A374,collexo_data!A:M,13,0)</f>
        <v>#N/A</v>
      </c>
      <c r="E374" s="122" t="str">
        <f>vlookup(A374,collexo_data!A:O,15,0)</f>
        <v>#N/A</v>
      </c>
      <c r="F374" s="120" t="str">
        <f>vlookup(A374,collexo_data!A:S,19,0)</f>
        <v>#N/A</v>
      </c>
      <c r="G374" s="122" t="str">
        <f>vlookup(A374,collexo_data!A:R,18,0)</f>
        <v>#N/A</v>
      </c>
      <c r="H374" s="122" t="str">
        <f t="shared" si="1"/>
        <v/>
      </c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  <c r="AB374" s="113"/>
      <c r="AC374" s="113"/>
      <c r="AD374" s="113"/>
      <c r="AE374" s="113"/>
      <c r="AF374" s="113"/>
    </row>
    <row r="375">
      <c r="A375" s="120"/>
      <c r="B375" s="113"/>
      <c r="C375" s="123">
        <f>MINIFS(collexo_data!B:B,collexo_data!A:A,A375)</f>
        <v>0</v>
      </c>
      <c r="D375" s="120" t="str">
        <f>vlookup(A375,collexo_data!A:M,13,0)</f>
        <v>#N/A</v>
      </c>
      <c r="E375" s="122" t="str">
        <f>vlookup(A375,collexo_data!A:O,15,0)</f>
        <v>#N/A</v>
      </c>
      <c r="F375" s="120" t="str">
        <f>vlookup(A375,collexo_data!A:S,19,0)</f>
        <v>#N/A</v>
      </c>
      <c r="G375" s="122" t="str">
        <f>vlookup(A375,collexo_data!A:R,18,0)</f>
        <v>#N/A</v>
      </c>
      <c r="H375" s="122" t="str">
        <f t="shared" si="1"/>
        <v/>
      </c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3"/>
      <c r="AC375" s="113"/>
      <c r="AD375" s="113"/>
      <c r="AE375" s="113"/>
      <c r="AF375" s="113"/>
    </row>
    <row r="376">
      <c r="A376" s="120"/>
      <c r="B376" s="113"/>
      <c r="C376" s="123">
        <f>MINIFS(collexo_data!B:B,collexo_data!A:A,A376)</f>
        <v>0</v>
      </c>
      <c r="D376" s="120" t="str">
        <f>vlookup(A376,collexo_data!A:M,13,0)</f>
        <v>#N/A</v>
      </c>
      <c r="E376" s="122" t="str">
        <f>vlookup(A376,collexo_data!A:O,15,0)</f>
        <v>#N/A</v>
      </c>
      <c r="F376" s="120" t="str">
        <f>vlookup(A376,collexo_data!A:S,19,0)</f>
        <v>#N/A</v>
      </c>
      <c r="G376" s="122" t="str">
        <f>vlookup(A376,collexo_data!A:R,18,0)</f>
        <v>#N/A</v>
      </c>
      <c r="H376" s="122" t="str">
        <f t="shared" si="1"/>
        <v/>
      </c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  <c r="AB376" s="113"/>
      <c r="AC376" s="113"/>
      <c r="AD376" s="113"/>
      <c r="AE376" s="113"/>
      <c r="AF376" s="113"/>
    </row>
    <row r="377">
      <c r="A377" s="120"/>
      <c r="B377" s="113"/>
      <c r="C377" s="123">
        <f>MINIFS(collexo_data!B:B,collexo_data!A:A,A377)</f>
        <v>0</v>
      </c>
      <c r="D377" s="120" t="str">
        <f>vlookup(A377,collexo_data!A:M,13,0)</f>
        <v>#N/A</v>
      </c>
      <c r="E377" s="122" t="str">
        <f>vlookup(A377,collexo_data!A:O,15,0)</f>
        <v>#N/A</v>
      </c>
      <c r="F377" s="120" t="str">
        <f>vlookup(A377,collexo_data!A:S,19,0)</f>
        <v>#N/A</v>
      </c>
      <c r="G377" s="122" t="str">
        <f>vlookup(A377,collexo_data!A:R,18,0)</f>
        <v>#N/A</v>
      </c>
      <c r="H377" s="122" t="str">
        <f t="shared" si="1"/>
        <v/>
      </c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3"/>
      <c r="AC377" s="113"/>
      <c r="AD377" s="113"/>
      <c r="AE377" s="113"/>
      <c r="AF377" s="113"/>
    </row>
    <row r="378">
      <c r="A378" s="120"/>
      <c r="B378" s="113"/>
      <c r="C378" s="123">
        <f>MINIFS(collexo_data!B:B,collexo_data!A:A,A378)</f>
        <v>0</v>
      </c>
      <c r="D378" s="120" t="str">
        <f>vlookup(A378,collexo_data!A:M,13,0)</f>
        <v>#N/A</v>
      </c>
      <c r="E378" s="122" t="str">
        <f>vlookup(A378,collexo_data!A:O,15,0)</f>
        <v>#N/A</v>
      </c>
      <c r="F378" s="120" t="str">
        <f>vlookup(A378,collexo_data!A:S,19,0)</f>
        <v>#N/A</v>
      </c>
      <c r="G378" s="122" t="str">
        <f>vlookup(A378,collexo_data!A:R,18,0)</f>
        <v>#N/A</v>
      </c>
      <c r="H378" s="122" t="str">
        <f t="shared" si="1"/>
        <v/>
      </c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  <c r="AB378" s="113"/>
      <c r="AC378" s="113"/>
      <c r="AD378" s="113"/>
      <c r="AE378" s="113"/>
      <c r="AF378" s="113"/>
    </row>
    <row r="379">
      <c r="A379" s="120"/>
      <c r="B379" s="113"/>
      <c r="C379" s="123">
        <f>MINIFS(collexo_data!B:B,collexo_data!A:A,A379)</f>
        <v>0</v>
      </c>
      <c r="D379" s="120" t="str">
        <f>vlookup(A379,collexo_data!A:M,13,0)</f>
        <v>#N/A</v>
      </c>
      <c r="E379" s="122" t="str">
        <f>vlookup(A379,collexo_data!A:O,15,0)</f>
        <v>#N/A</v>
      </c>
      <c r="F379" s="120" t="str">
        <f>vlookup(A379,collexo_data!A:S,19,0)</f>
        <v>#N/A</v>
      </c>
      <c r="G379" s="122" t="str">
        <f>vlookup(A379,collexo_data!A:R,18,0)</f>
        <v>#N/A</v>
      </c>
      <c r="H379" s="122" t="str">
        <f t="shared" si="1"/>
        <v/>
      </c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</row>
    <row r="380">
      <c r="A380" s="120"/>
      <c r="B380" s="113"/>
      <c r="C380" s="123">
        <f>MINIFS(collexo_data!B:B,collexo_data!A:A,A380)</f>
        <v>0</v>
      </c>
      <c r="D380" s="120" t="str">
        <f>vlookup(A380,collexo_data!A:M,13,0)</f>
        <v>#N/A</v>
      </c>
      <c r="E380" s="122" t="str">
        <f>vlookup(A380,collexo_data!A:O,15,0)</f>
        <v>#N/A</v>
      </c>
      <c r="F380" s="120" t="str">
        <f>vlookup(A380,collexo_data!A:S,19,0)</f>
        <v>#N/A</v>
      </c>
      <c r="G380" s="122" t="str">
        <f>vlookup(A380,collexo_data!A:R,18,0)</f>
        <v>#N/A</v>
      </c>
      <c r="H380" s="122" t="str">
        <f t="shared" si="1"/>
        <v/>
      </c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  <c r="AB380" s="113"/>
      <c r="AC380" s="113"/>
      <c r="AD380" s="113"/>
      <c r="AE380" s="113"/>
      <c r="AF380" s="113"/>
    </row>
    <row r="381">
      <c r="A381" s="120"/>
      <c r="B381" s="113"/>
      <c r="C381" s="123">
        <f>MINIFS(collexo_data!B:B,collexo_data!A:A,A381)</f>
        <v>0</v>
      </c>
      <c r="D381" s="120" t="str">
        <f>vlookup(A381,collexo_data!A:M,13,0)</f>
        <v>#N/A</v>
      </c>
      <c r="E381" s="122" t="str">
        <f>vlookup(A381,collexo_data!A:O,15,0)</f>
        <v>#N/A</v>
      </c>
      <c r="F381" s="120" t="str">
        <f>vlookup(A381,collexo_data!A:S,19,0)</f>
        <v>#N/A</v>
      </c>
      <c r="G381" s="122" t="str">
        <f>vlookup(A381,collexo_data!A:R,18,0)</f>
        <v>#N/A</v>
      </c>
      <c r="H381" s="122" t="str">
        <f t="shared" si="1"/>
        <v/>
      </c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3"/>
      <c r="AC381" s="113"/>
      <c r="AD381" s="113"/>
      <c r="AE381" s="113"/>
      <c r="AF381" s="113"/>
    </row>
    <row r="382">
      <c r="A382" s="120"/>
      <c r="B382" s="113"/>
      <c r="C382" s="123">
        <f>MINIFS(collexo_data!B:B,collexo_data!A:A,A382)</f>
        <v>0</v>
      </c>
      <c r="D382" s="120" t="str">
        <f>vlookup(A382,collexo_data!A:M,13,0)</f>
        <v>#N/A</v>
      </c>
      <c r="E382" s="122" t="str">
        <f>vlookup(A382,collexo_data!A:O,15,0)</f>
        <v>#N/A</v>
      </c>
      <c r="F382" s="120" t="str">
        <f>vlookup(A382,collexo_data!A:S,19,0)</f>
        <v>#N/A</v>
      </c>
      <c r="G382" s="122" t="str">
        <f>vlookup(A382,collexo_data!A:R,18,0)</f>
        <v>#N/A</v>
      </c>
      <c r="H382" s="122" t="str">
        <f t="shared" si="1"/>
        <v/>
      </c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  <c r="AB382" s="113"/>
      <c r="AC382" s="113"/>
      <c r="AD382" s="113"/>
      <c r="AE382" s="113"/>
      <c r="AF382" s="113"/>
    </row>
    <row r="383">
      <c r="A383" s="120"/>
      <c r="B383" s="113"/>
      <c r="C383" s="123">
        <f>MINIFS(collexo_data!B:B,collexo_data!A:A,A383)</f>
        <v>0</v>
      </c>
      <c r="D383" s="120" t="str">
        <f>vlookup(A383,collexo_data!A:M,13,0)</f>
        <v>#N/A</v>
      </c>
      <c r="E383" s="122" t="str">
        <f>vlookup(A383,collexo_data!A:O,15,0)</f>
        <v>#N/A</v>
      </c>
      <c r="F383" s="120" t="str">
        <f>vlookup(A383,collexo_data!A:S,19,0)</f>
        <v>#N/A</v>
      </c>
      <c r="G383" s="122" t="str">
        <f>vlookup(A383,collexo_data!A:R,18,0)</f>
        <v>#N/A</v>
      </c>
      <c r="H383" s="122" t="str">
        <f t="shared" si="1"/>
        <v/>
      </c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3"/>
      <c r="AC383" s="113"/>
      <c r="AD383" s="113"/>
      <c r="AE383" s="113"/>
      <c r="AF383" s="113"/>
    </row>
    <row r="384">
      <c r="A384" s="120"/>
      <c r="B384" s="113"/>
      <c r="C384" s="123">
        <f>MINIFS(collexo_data!B:B,collexo_data!A:A,A384)</f>
        <v>0</v>
      </c>
      <c r="D384" s="120" t="str">
        <f>vlookup(A384,collexo_data!A:M,13,0)</f>
        <v>#N/A</v>
      </c>
      <c r="E384" s="122" t="str">
        <f>vlookup(A384,collexo_data!A:O,15,0)</f>
        <v>#N/A</v>
      </c>
      <c r="F384" s="120" t="str">
        <f>vlookup(A384,collexo_data!A:S,19,0)</f>
        <v>#N/A</v>
      </c>
      <c r="G384" s="122" t="str">
        <f>vlookup(A384,collexo_data!A:R,18,0)</f>
        <v>#N/A</v>
      </c>
      <c r="H384" s="122" t="str">
        <f t="shared" si="1"/>
        <v/>
      </c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  <c r="AB384" s="113"/>
      <c r="AC384" s="113"/>
      <c r="AD384" s="113"/>
      <c r="AE384" s="113"/>
      <c r="AF384" s="113"/>
    </row>
    <row r="385">
      <c r="A385" s="120"/>
      <c r="B385" s="113"/>
      <c r="C385" s="123">
        <f>MINIFS(collexo_data!B:B,collexo_data!A:A,A385)</f>
        <v>0</v>
      </c>
      <c r="D385" s="120" t="str">
        <f>vlookup(A385,collexo_data!A:M,13,0)</f>
        <v>#N/A</v>
      </c>
      <c r="E385" s="122" t="str">
        <f>vlookup(A385,collexo_data!A:O,15,0)</f>
        <v>#N/A</v>
      </c>
      <c r="F385" s="120" t="str">
        <f>vlookup(A385,collexo_data!A:S,19,0)</f>
        <v>#N/A</v>
      </c>
      <c r="G385" s="122" t="str">
        <f>vlookup(A385,collexo_data!A:R,18,0)</f>
        <v>#N/A</v>
      </c>
      <c r="H385" s="122" t="str">
        <f t="shared" si="1"/>
        <v/>
      </c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3"/>
      <c r="AC385" s="113"/>
      <c r="AD385" s="113"/>
      <c r="AE385" s="113"/>
      <c r="AF385" s="113"/>
    </row>
    <row r="386">
      <c r="A386" s="120"/>
      <c r="B386" s="113"/>
      <c r="C386" s="123">
        <f>MINIFS(collexo_data!B:B,collexo_data!A:A,A386)</f>
        <v>0</v>
      </c>
      <c r="D386" s="120" t="str">
        <f>vlookup(A386,collexo_data!A:M,13,0)</f>
        <v>#N/A</v>
      </c>
      <c r="E386" s="122" t="str">
        <f>vlookup(A386,collexo_data!A:O,15,0)</f>
        <v>#N/A</v>
      </c>
      <c r="F386" s="120" t="str">
        <f>vlookup(A386,collexo_data!A:S,19,0)</f>
        <v>#N/A</v>
      </c>
      <c r="G386" s="122" t="str">
        <f>vlookup(A386,collexo_data!A:R,18,0)</f>
        <v>#N/A</v>
      </c>
      <c r="H386" s="122" t="str">
        <f t="shared" si="1"/>
        <v/>
      </c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</row>
    <row r="387">
      <c r="A387" s="120"/>
      <c r="B387" s="113"/>
      <c r="C387" s="123">
        <f>MINIFS(collexo_data!B:B,collexo_data!A:A,A387)</f>
        <v>0</v>
      </c>
      <c r="D387" s="120" t="str">
        <f>vlookup(A387,collexo_data!A:M,13,0)</f>
        <v>#N/A</v>
      </c>
      <c r="E387" s="122" t="str">
        <f>vlookup(A387,collexo_data!A:O,15,0)</f>
        <v>#N/A</v>
      </c>
      <c r="F387" s="120" t="str">
        <f>vlookup(A387,collexo_data!A:S,19,0)</f>
        <v>#N/A</v>
      </c>
      <c r="G387" s="122" t="str">
        <f>vlookup(A387,collexo_data!A:R,18,0)</f>
        <v>#N/A</v>
      </c>
      <c r="H387" s="122" t="str">
        <f t="shared" si="1"/>
        <v/>
      </c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3"/>
      <c r="AC387" s="113"/>
      <c r="AD387" s="113"/>
      <c r="AE387" s="113"/>
      <c r="AF387" s="113"/>
    </row>
    <row r="388">
      <c r="A388" s="120"/>
      <c r="B388" s="113"/>
      <c r="C388" s="123">
        <f>MINIFS(collexo_data!B:B,collexo_data!A:A,A388)</f>
        <v>0</v>
      </c>
      <c r="D388" s="120" t="str">
        <f>vlookup(A388,collexo_data!A:M,13,0)</f>
        <v>#N/A</v>
      </c>
      <c r="E388" s="122" t="str">
        <f>vlookup(A388,collexo_data!A:O,15,0)</f>
        <v>#N/A</v>
      </c>
      <c r="F388" s="120" t="str">
        <f>vlookup(A388,collexo_data!A:S,19,0)</f>
        <v>#N/A</v>
      </c>
      <c r="G388" s="122" t="str">
        <f>vlookup(A388,collexo_data!A:R,18,0)</f>
        <v>#N/A</v>
      </c>
      <c r="H388" s="122" t="str">
        <f t="shared" si="1"/>
        <v/>
      </c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  <c r="AB388" s="113"/>
      <c r="AC388" s="113"/>
      <c r="AD388" s="113"/>
      <c r="AE388" s="113"/>
      <c r="AF388" s="113"/>
    </row>
    <row r="389">
      <c r="A389" s="120"/>
      <c r="B389" s="113"/>
      <c r="C389" s="123">
        <f>MINIFS(collexo_data!B:B,collexo_data!A:A,A389)</f>
        <v>0</v>
      </c>
      <c r="D389" s="120" t="str">
        <f>vlookup(A389,collexo_data!A:M,13,0)</f>
        <v>#N/A</v>
      </c>
      <c r="E389" s="122" t="str">
        <f>vlookup(A389,collexo_data!A:O,15,0)</f>
        <v>#N/A</v>
      </c>
      <c r="F389" s="120" t="str">
        <f>vlookup(A389,collexo_data!A:S,19,0)</f>
        <v>#N/A</v>
      </c>
      <c r="G389" s="122" t="str">
        <f>vlookup(A389,collexo_data!A:R,18,0)</f>
        <v>#N/A</v>
      </c>
      <c r="H389" s="122" t="str">
        <f t="shared" si="1"/>
        <v/>
      </c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3"/>
      <c r="AC389" s="113"/>
      <c r="AD389" s="113"/>
      <c r="AE389" s="113"/>
      <c r="AF389" s="113"/>
    </row>
    <row r="390">
      <c r="A390" s="120"/>
      <c r="B390" s="113"/>
      <c r="C390" s="123">
        <f>MINIFS(collexo_data!B:B,collexo_data!A:A,A390)</f>
        <v>0</v>
      </c>
      <c r="D390" s="120" t="str">
        <f>vlookup(A390,collexo_data!A:M,13,0)</f>
        <v>#N/A</v>
      </c>
      <c r="E390" s="122" t="str">
        <f>vlookup(A390,collexo_data!A:O,15,0)</f>
        <v>#N/A</v>
      </c>
      <c r="F390" s="120" t="str">
        <f>vlookup(A390,collexo_data!A:S,19,0)</f>
        <v>#N/A</v>
      </c>
      <c r="G390" s="122" t="str">
        <f>vlookup(A390,collexo_data!A:R,18,0)</f>
        <v>#N/A</v>
      </c>
      <c r="H390" s="122" t="str">
        <f t="shared" si="1"/>
        <v/>
      </c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  <c r="AB390" s="113"/>
      <c r="AC390" s="113"/>
      <c r="AD390" s="113"/>
      <c r="AE390" s="113"/>
      <c r="AF390" s="113"/>
    </row>
    <row r="391">
      <c r="A391" s="120"/>
      <c r="B391" s="113"/>
      <c r="C391" s="123">
        <f>MINIFS(collexo_data!B:B,collexo_data!A:A,A391)</f>
        <v>0</v>
      </c>
      <c r="D391" s="120" t="str">
        <f>vlookup(A391,collexo_data!A:M,13,0)</f>
        <v>#N/A</v>
      </c>
      <c r="E391" s="122" t="str">
        <f>vlookup(A391,collexo_data!A:O,15,0)</f>
        <v>#N/A</v>
      </c>
      <c r="F391" s="120" t="str">
        <f>vlookup(A391,collexo_data!A:S,19,0)</f>
        <v>#N/A</v>
      </c>
      <c r="G391" s="122" t="str">
        <f>vlookup(A391,collexo_data!A:R,18,0)</f>
        <v>#N/A</v>
      </c>
      <c r="H391" s="122" t="str">
        <f t="shared" si="1"/>
        <v/>
      </c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3"/>
      <c r="AC391" s="113"/>
      <c r="AD391" s="113"/>
      <c r="AE391" s="113"/>
      <c r="AF391" s="113"/>
    </row>
    <row r="392">
      <c r="A392" s="120"/>
      <c r="B392" s="113"/>
      <c r="C392" s="123">
        <f>MINIFS(collexo_data!B:B,collexo_data!A:A,A392)</f>
        <v>0</v>
      </c>
      <c r="D392" s="120" t="str">
        <f>vlookup(A392,collexo_data!A:M,13,0)</f>
        <v>#N/A</v>
      </c>
      <c r="E392" s="122" t="str">
        <f>vlookup(A392,collexo_data!A:O,15,0)</f>
        <v>#N/A</v>
      </c>
      <c r="F392" s="120" t="str">
        <f>vlookup(A392,collexo_data!A:S,19,0)</f>
        <v>#N/A</v>
      </c>
      <c r="G392" s="122" t="str">
        <f>vlookup(A392,collexo_data!A:R,18,0)</f>
        <v>#N/A</v>
      </c>
      <c r="H392" s="122" t="str">
        <f t="shared" si="1"/>
        <v/>
      </c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  <c r="AB392" s="113"/>
      <c r="AC392" s="113"/>
      <c r="AD392" s="113"/>
      <c r="AE392" s="113"/>
      <c r="AF392" s="113"/>
    </row>
    <row r="393">
      <c r="A393" s="120"/>
      <c r="B393" s="113"/>
      <c r="C393" s="123">
        <f>MINIFS(collexo_data!B:B,collexo_data!A:A,A393)</f>
        <v>0</v>
      </c>
      <c r="D393" s="120" t="str">
        <f>vlookup(A393,collexo_data!A:M,13,0)</f>
        <v>#N/A</v>
      </c>
      <c r="E393" s="122" t="str">
        <f>vlookup(A393,collexo_data!A:O,15,0)</f>
        <v>#N/A</v>
      </c>
      <c r="F393" s="120" t="str">
        <f>vlookup(A393,collexo_data!A:S,19,0)</f>
        <v>#N/A</v>
      </c>
      <c r="G393" s="122" t="str">
        <f>vlookup(A393,collexo_data!A:R,18,0)</f>
        <v>#N/A</v>
      </c>
      <c r="H393" s="122" t="str">
        <f t="shared" si="1"/>
        <v/>
      </c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3"/>
      <c r="AC393" s="113"/>
      <c r="AD393" s="113"/>
      <c r="AE393" s="113"/>
      <c r="AF393" s="113"/>
    </row>
    <row r="394">
      <c r="A394" s="120"/>
      <c r="B394" s="113"/>
      <c r="C394" s="123">
        <f>MINIFS(collexo_data!B:B,collexo_data!A:A,A394)</f>
        <v>0</v>
      </c>
      <c r="D394" s="120" t="str">
        <f>vlookup(A394,collexo_data!A:M,13,0)</f>
        <v>#N/A</v>
      </c>
      <c r="E394" s="122" t="str">
        <f>vlookup(A394,collexo_data!A:O,15,0)</f>
        <v>#N/A</v>
      </c>
      <c r="F394" s="120" t="str">
        <f>vlookup(A394,collexo_data!A:S,19,0)</f>
        <v>#N/A</v>
      </c>
      <c r="G394" s="122" t="str">
        <f>vlookup(A394,collexo_data!A:R,18,0)</f>
        <v>#N/A</v>
      </c>
      <c r="H394" s="122" t="str">
        <f t="shared" si="1"/>
        <v/>
      </c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  <c r="AB394" s="113"/>
      <c r="AC394" s="113"/>
      <c r="AD394" s="113"/>
      <c r="AE394" s="113"/>
      <c r="AF394" s="113"/>
    </row>
    <row r="395">
      <c r="A395" s="120"/>
      <c r="B395" s="113"/>
      <c r="C395" s="123">
        <f>MINIFS(collexo_data!B:B,collexo_data!A:A,A395)</f>
        <v>0</v>
      </c>
      <c r="D395" s="120" t="str">
        <f>vlookup(A395,collexo_data!A:M,13,0)</f>
        <v>#N/A</v>
      </c>
      <c r="E395" s="122" t="str">
        <f>vlookup(A395,collexo_data!A:O,15,0)</f>
        <v>#N/A</v>
      </c>
      <c r="F395" s="120" t="str">
        <f>vlookup(A395,collexo_data!A:S,19,0)</f>
        <v>#N/A</v>
      </c>
      <c r="G395" s="122" t="str">
        <f>vlookup(A395,collexo_data!A:R,18,0)</f>
        <v>#N/A</v>
      </c>
      <c r="H395" s="122" t="str">
        <f t="shared" si="1"/>
        <v/>
      </c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3"/>
      <c r="AC395" s="113"/>
      <c r="AD395" s="113"/>
      <c r="AE395" s="113"/>
      <c r="AF395" s="113"/>
    </row>
    <row r="396">
      <c r="A396" s="120"/>
      <c r="B396" s="113"/>
      <c r="C396" s="123">
        <f>MINIFS(collexo_data!B:B,collexo_data!A:A,A396)</f>
        <v>0</v>
      </c>
      <c r="D396" s="120" t="str">
        <f>vlookup(A396,collexo_data!A:M,13,0)</f>
        <v>#N/A</v>
      </c>
      <c r="E396" s="122" t="str">
        <f>vlookup(A396,collexo_data!A:O,15,0)</f>
        <v>#N/A</v>
      </c>
      <c r="F396" s="120" t="str">
        <f>vlookup(A396,collexo_data!A:S,19,0)</f>
        <v>#N/A</v>
      </c>
      <c r="G396" s="122" t="str">
        <f>vlookup(A396,collexo_data!A:R,18,0)</f>
        <v>#N/A</v>
      </c>
      <c r="H396" s="122" t="str">
        <f t="shared" si="1"/>
        <v/>
      </c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</row>
    <row r="397">
      <c r="A397" s="120"/>
      <c r="B397" s="113"/>
      <c r="C397" s="123">
        <f>MINIFS(collexo_data!B:B,collexo_data!A:A,A397)</f>
        <v>0</v>
      </c>
      <c r="D397" s="120" t="str">
        <f>vlookup(A397,collexo_data!A:M,13,0)</f>
        <v>#N/A</v>
      </c>
      <c r="E397" s="122" t="str">
        <f>vlookup(A397,collexo_data!A:O,15,0)</f>
        <v>#N/A</v>
      </c>
      <c r="F397" s="120" t="str">
        <f>vlookup(A397,collexo_data!A:S,19,0)</f>
        <v>#N/A</v>
      </c>
      <c r="G397" s="122" t="str">
        <f>vlookup(A397,collexo_data!A:R,18,0)</f>
        <v>#N/A</v>
      </c>
      <c r="H397" s="122" t="str">
        <f t="shared" si="1"/>
        <v/>
      </c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3"/>
      <c r="AC397" s="113"/>
      <c r="AD397" s="113"/>
      <c r="AE397" s="113"/>
      <c r="AF397" s="113"/>
    </row>
    <row r="398">
      <c r="A398" s="120"/>
      <c r="B398" s="113"/>
      <c r="C398" s="123">
        <f>MINIFS(collexo_data!B:B,collexo_data!A:A,A398)</f>
        <v>0</v>
      </c>
      <c r="D398" s="120" t="str">
        <f>vlookup(A398,collexo_data!A:M,13,0)</f>
        <v>#N/A</v>
      </c>
      <c r="E398" s="122" t="str">
        <f>vlookup(A398,collexo_data!A:O,15,0)</f>
        <v>#N/A</v>
      </c>
      <c r="F398" s="120" t="str">
        <f>vlookup(A398,collexo_data!A:S,19,0)</f>
        <v>#N/A</v>
      </c>
      <c r="G398" s="122" t="str">
        <f>vlookup(A398,collexo_data!A:R,18,0)</f>
        <v>#N/A</v>
      </c>
      <c r="H398" s="122" t="str">
        <f t="shared" si="1"/>
        <v/>
      </c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  <c r="AB398" s="113"/>
      <c r="AC398" s="113"/>
      <c r="AD398" s="113"/>
      <c r="AE398" s="113"/>
      <c r="AF398" s="113"/>
    </row>
    <row r="399">
      <c r="A399" s="120"/>
      <c r="B399" s="113"/>
      <c r="C399" s="123">
        <f>MINIFS(collexo_data!B:B,collexo_data!A:A,A399)</f>
        <v>0</v>
      </c>
      <c r="D399" s="120" t="str">
        <f>vlookup(A399,collexo_data!A:M,13,0)</f>
        <v>#N/A</v>
      </c>
      <c r="E399" s="122" t="str">
        <f>vlookup(A399,collexo_data!A:O,15,0)</f>
        <v>#N/A</v>
      </c>
      <c r="F399" s="120" t="str">
        <f>vlookup(A399,collexo_data!A:S,19,0)</f>
        <v>#N/A</v>
      </c>
      <c r="G399" s="122" t="str">
        <f>vlookup(A399,collexo_data!A:R,18,0)</f>
        <v>#N/A</v>
      </c>
      <c r="H399" s="122" t="str">
        <f t="shared" si="1"/>
        <v/>
      </c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3"/>
      <c r="AC399" s="113"/>
      <c r="AD399" s="113"/>
      <c r="AE399" s="113"/>
      <c r="AF399" s="113"/>
    </row>
    <row r="400">
      <c r="A400" s="120"/>
      <c r="B400" s="113"/>
      <c r="C400" s="123">
        <f>MINIFS(collexo_data!B:B,collexo_data!A:A,A400)</f>
        <v>0</v>
      </c>
      <c r="D400" s="120" t="str">
        <f>vlookup(A400,collexo_data!A:M,13,0)</f>
        <v>#N/A</v>
      </c>
      <c r="E400" s="122" t="str">
        <f>vlookup(A400,collexo_data!A:O,15,0)</f>
        <v>#N/A</v>
      </c>
      <c r="F400" s="120" t="str">
        <f>vlookup(A400,collexo_data!A:S,19,0)</f>
        <v>#N/A</v>
      </c>
      <c r="G400" s="122" t="str">
        <f>vlookup(A400,collexo_data!A:R,18,0)</f>
        <v>#N/A</v>
      </c>
      <c r="H400" s="122" t="str">
        <f t="shared" si="1"/>
        <v/>
      </c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</row>
    <row r="401">
      <c r="A401" s="120"/>
      <c r="B401" s="113"/>
      <c r="C401" s="123">
        <f>MINIFS(collexo_data!B:B,collexo_data!A:A,A401)</f>
        <v>0</v>
      </c>
      <c r="D401" s="120" t="str">
        <f>vlookup(A401,collexo_data!A:M,13,0)</f>
        <v>#N/A</v>
      </c>
      <c r="E401" s="122" t="str">
        <f>vlookup(A401,collexo_data!A:O,15,0)</f>
        <v>#N/A</v>
      </c>
      <c r="F401" s="120" t="str">
        <f>vlookup(A401,collexo_data!A:S,19,0)</f>
        <v>#N/A</v>
      </c>
      <c r="G401" s="122" t="str">
        <f>vlookup(A401,collexo_data!A:R,18,0)</f>
        <v>#N/A</v>
      </c>
      <c r="H401" s="122" t="str">
        <f t="shared" si="1"/>
        <v/>
      </c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3"/>
      <c r="AC401" s="113"/>
      <c r="AD401" s="113"/>
      <c r="AE401" s="113"/>
      <c r="AF401" s="113"/>
    </row>
    <row r="402">
      <c r="A402" s="120"/>
      <c r="B402" s="113"/>
      <c r="C402" s="123">
        <f>MINIFS(collexo_data!B:B,collexo_data!A:A,A402)</f>
        <v>0</v>
      </c>
      <c r="D402" s="120" t="str">
        <f>vlookup(A402,collexo_data!A:M,13,0)</f>
        <v>#N/A</v>
      </c>
      <c r="E402" s="122" t="str">
        <f>vlookup(A402,collexo_data!A:O,15,0)</f>
        <v>#N/A</v>
      </c>
      <c r="F402" s="120" t="str">
        <f>vlookup(A402,collexo_data!A:S,19,0)</f>
        <v>#N/A</v>
      </c>
      <c r="G402" s="122" t="str">
        <f>vlookup(A402,collexo_data!A:R,18,0)</f>
        <v>#N/A</v>
      </c>
      <c r="H402" s="122" t="str">
        <f t="shared" si="1"/>
        <v/>
      </c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</row>
    <row r="403">
      <c r="A403" s="120"/>
      <c r="B403" s="113"/>
      <c r="C403" s="123">
        <f>MINIFS(collexo_data!B:B,collexo_data!A:A,A403)</f>
        <v>0</v>
      </c>
      <c r="D403" s="120" t="str">
        <f>vlookup(A403,collexo_data!A:M,13,0)</f>
        <v>#N/A</v>
      </c>
      <c r="E403" s="122" t="str">
        <f>vlookup(A403,collexo_data!A:O,15,0)</f>
        <v>#N/A</v>
      </c>
      <c r="F403" s="120" t="str">
        <f>vlookup(A403,collexo_data!A:S,19,0)</f>
        <v>#N/A</v>
      </c>
      <c r="G403" s="122" t="str">
        <f>vlookup(A403,collexo_data!A:R,18,0)</f>
        <v>#N/A</v>
      </c>
      <c r="H403" s="122" t="str">
        <f t="shared" si="1"/>
        <v/>
      </c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3"/>
      <c r="AC403" s="113"/>
      <c r="AD403" s="113"/>
      <c r="AE403" s="113"/>
      <c r="AF403" s="113"/>
    </row>
    <row r="404">
      <c r="A404" s="120"/>
      <c r="B404" s="113"/>
      <c r="C404" s="123">
        <f>MINIFS(collexo_data!B:B,collexo_data!A:A,A404)</f>
        <v>0</v>
      </c>
      <c r="D404" s="120" t="str">
        <f>vlookup(A404,collexo_data!A:M,13,0)</f>
        <v>#N/A</v>
      </c>
      <c r="E404" s="122" t="str">
        <f>vlookup(A404,collexo_data!A:O,15,0)</f>
        <v>#N/A</v>
      </c>
      <c r="F404" s="120" t="str">
        <f>vlookup(A404,collexo_data!A:S,19,0)</f>
        <v>#N/A</v>
      </c>
      <c r="G404" s="122" t="str">
        <f>vlookup(A404,collexo_data!A:R,18,0)</f>
        <v>#N/A</v>
      </c>
      <c r="H404" s="122" t="str">
        <f t="shared" si="1"/>
        <v/>
      </c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  <c r="AB404" s="113"/>
      <c r="AC404" s="113"/>
      <c r="AD404" s="113"/>
      <c r="AE404" s="113"/>
      <c r="AF404" s="113"/>
    </row>
    <row r="405">
      <c r="A405" s="120"/>
      <c r="B405" s="113"/>
      <c r="C405" s="123">
        <f>MINIFS(collexo_data!B:B,collexo_data!A:A,A405)</f>
        <v>0</v>
      </c>
      <c r="D405" s="120" t="str">
        <f>vlookup(A405,collexo_data!A:M,13,0)</f>
        <v>#N/A</v>
      </c>
      <c r="E405" s="122" t="str">
        <f>vlookup(A405,collexo_data!A:O,15,0)</f>
        <v>#N/A</v>
      </c>
      <c r="F405" s="120" t="str">
        <f>vlookup(A405,collexo_data!A:S,19,0)</f>
        <v>#N/A</v>
      </c>
      <c r="G405" s="122" t="str">
        <f>vlookup(A405,collexo_data!A:R,18,0)</f>
        <v>#N/A</v>
      </c>
      <c r="H405" s="122" t="str">
        <f t="shared" si="1"/>
        <v/>
      </c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3"/>
      <c r="AC405" s="113"/>
      <c r="AD405" s="113"/>
      <c r="AE405" s="113"/>
      <c r="AF405" s="113"/>
    </row>
    <row r="406">
      <c r="A406" s="120"/>
      <c r="B406" s="113"/>
      <c r="C406" s="123">
        <f>MINIFS(collexo_data!B:B,collexo_data!A:A,A406)</f>
        <v>0</v>
      </c>
      <c r="D406" s="120" t="str">
        <f>vlookup(A406,collexo_data!A:M,13,0)</f>
        <v>#N/A</v>
      </c>
      <c r="E406" s="122" t="str">
        <f>vlookup(A406,collexo_data!A:O,15,0)</f>
        <v>#N/A</v>
      </c>
      <c r="F406" s="120" t="str">
        <f>vlookup(A406,collexo_data!A:S,19,0)</f>
        <v>#N/A</v>
      </c>
      <c r="G406" s="122" t="str">
        <f>vlookup(A406,collexo_data!A:R,18,0)</f>
        <v>#N/A</v>
      </c>
      <c r="H406" s="122" t="str">
        <f t="shared" si="1"/>
        <v/>
      </c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  <c r="AB406" s="113"/>
      <c r="AC406" s="113"/>
      <c r="AD406" s="113"/>
      <c r="AE406" s="113"/>
      <c r="AF406" s="113"/>
    </row>
    <row r="407">
      <c r="A407" s="120"/>
      <c r="B407" s="113"/>
      <c r="C407" s="123">
        <f>MINIFS(collexo_data!B:B,collexo_data!A:A,A407)</f>
        <v>0</v>
      </c>
      <c r="D407" s="120" t="str">
        <f>vlookup(A407,collexo_data!A:M,13,0)</f>
        <v>#N/A</v>
      </c>
      <c r="E407" s="122" t="str">
        <f>vlookup(A407,collexo_data!A:O,15,0)</f>
        <v>#N/A</v>
      </c>
      <c r="F407" s="120" t="str">
        <f>vlookup(A407,collexo_data!A:S,19,0)</f>
        <v>#N/A</v>
      </c>
      <c r="G407" s="122" t="str">
        <f>vlookup(A407,collexo_data!A:R,18,0)</f>
        <v>#N/A</v>
      </c>
      <c r="H407" s="122" t="str">
        <f t="shared" si="1"/>
        <v/>
      </c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3"/>
      <c r="AC407" s="113"/>
      <c r="AD407" s="113"/>
      <c r="AE407" s="113"/>
      <c r="AF407" s="113"/>
    </row>
    <row r="408">
      <c r="A408" s="120"/>
      <c r="B408" s="113"/>
      <c r="C408" s="123">
        <f>MINIFS(collexo_data!B:B,collexo_data!A:A,A408)</f>
        <v>0</v>
      </c>
      <c r="D408" s="120" t="str">
        <f>vlookup(A408,collexo_data!A:M,13,0)</f>
        <v>#N/A</v>
      </c>
      <c r="E408" s="122" t="str">
        <f>vlookup(A408,collexo_data!A:O,15,0)</f>
        <v>#N/A</v>
      </c>
      <c r="F408" s="120" t="str">
        <f>vlookup(A408,collexo_data!A:S,19,0)</f>
        <v>#N/A</v>
      </c>
      <c r="G408" s="122" t="str">
        <f>vlookup(A408,collexo_data!A:R,18,0)</f>
        <v>#N/A</v>
      </c>
      <c r="H408" s="122" t="str">
        <f t="shared" si="1"/>
        <v/>
      </c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</row>
    <row r="409">
      <c r="A409" s="120"/>
      <c r="B409" s="113"/>
      <c r="C409" s="123">
        <f>MINIFS(collexo_data!B:B,collexo_data!A:A,A409)</f>
        <v>0</v>
      </c>
      <c r="D409" s="120" t="str">
        <f>vlookup(A409,collexo_data!A:M,13,0)</f>
        <v>#N/A</v>
      </c>
      <c r="E409" s="122" t="str">
        <f>vlookup(A409,collexo_data!A:O,15,0)</f>
        <v>#N/A</v>
      </c>
      <c r="F409" s="120" t="str">
        <f>vlookup(A409,collexo_data!A:S,19,0)</f>
        <v>#N/A</v>
      </c>
      <c r="G409" s="122" t="str">
        <f>vlookup(A409,collexo_data!A:R,18,0)</f>
        <v>#N/A</v>
      </c>
      <c r="H409" s="122" t="str">
        <f t="shared" si="1"/>
        <v/>
      </c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3"/>
      <c r="AC409" s="113"/>
      <c r="AD409" s="113"/>
      <c r="AE409" s="113"/>
      <c r="AF409" s="113"/>
    </row>
    <row r="410">
      <c r="A410" s="120"/>
      <c r="B410" s="113"/>
      <c r="C410" s="123">
        <f>MINIFS(collexo_data!B:B,collexo_data!A:A,A410)</f>
        <v>0</v>
      </c>
      <c r="D410" s="120" t="str">
        <f>vlookup(A410,collexo_data!A:M,13,0)</f>
        <v>#N/A</v>
      </c>
      <c r="E410" s="122" t="str">
        <f>vlookup(A410,collexo_data!A:O,15,0)</f>
        <v>#N/A</v>
      </c>
      <c r="F410" s="120" t="str">
        <f>vlookup(A410,collexo_data!A:S,19,0)</f>
        <v>#N/A</v>
      </c>
      <c r="G410" s="122" t="str">
        <f>vlookup(A410,collexo_data!A:R,18,0)</f>
        <v>#N/A</v>
      </c>
      <c r="H410" s="122" t="str">
        <f t="shared" si="1"/>
        <v/>
      </c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  <c r="AB410" s="113"/>
      <c r="AC410" s="113"/>
      <c r="AD410" s="113"/>
      <c r="AE410" s="113"/>
      <c r="AF410" s="113"/>
    </row>
    <row r="411">
      <c r="A411" s="120"/>
      <c r="B411" s="113"/>
      <c r="C411" s="123">
        <f>MINIFS(collexo_data!B:B,collexo_data!A:A,A411)</f>
        <v>0</v>
      </c>
      <c r="D411" s="120" t="str">
        <f>vlookup(A411,collexo_data!A:M,13,0)</f>
        <v>#N/A</v>
      </c>
      <c r="E411" s="122" t="str">
        <f>vlookup(A411,collexo_data!A:O,15,0)</f>
        <v>#N/A</v>
      </c>
      <c r="F411" s="120" t="str">
        <f>vlookup(A411,collexo_data!A:S,19,0)</f>
        <v>#N/A</v>
      </c>
      <c r="G411" s="122" t="str">
        <f>vlookup(A411,collexo_data!A:R,18,0)</f>
        <v>#N/A</v>
      </c>
      <c r="H411" s="122" t="str">
        <f t="shared" si="1"/>
        <v/>
      </c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</row>
    <row r="412">
      <c r="A412" s="120"/>
      <c r="B412" s="113"/>
      <c r="C412" s="123">
        <f>MINIFS(collexo_data!B:B,collexo_data!A:A,A412)</f>
        <v>0</v>
      </c>
      <c r="D412" s="120" t="str">
        <f>vlookup(A412,collexo_data!A:M,13,0)</f>
        <v>#N/A</v>
      </c>
      <c r="E412" s="122" t="str">
        <f>vlookup(A412,collexo_data!A:O,15,0)</f>
        <v>#N/A</v>
      </c>
      <c r="F412" s="120" t="str">
        <f>vlookup(A412,collexo_data!A:S,19,0)</f>
        <v>#N/A</v>
      </c>
      <c r="G412" s="122" t="str">
        <f>vlookup(A412,collexo_data!A:R,18,0)</f>
        <v>#N/A</v>
      </c>
      <c r="H412" s="122" t="str">
        <f t="shared" si="1"/>
        <v/>
      </c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</row>
    <row r="413">
      <c r="A413" s="120"/>
      <c r="B413" s="113"/>
      <c r="C413" s="123">
        <f>MINIFS(collexo_data!B:B,collexo_data!A:A,A413)</f>
        <v>0</v>
      </c>
      <c r="D413" s="120" t="str">
        <f>vlookup(A413,collexo_data!A:M,13,0)</f>
        <v>#N/A</v>
      </c>
      <c r="E413" s="122" t="str">
        <f>vlookup(A413,collexo_data!A:O,15,0)</f>
        <v>#N/A</v>
      </c>
      <c r="F413" s="120" t="str">
        <f>vlookup(A413,collexo_data!A:S,19,0)</f>
        <v>#N/A</v>
      </c>
      <c r="G413" s="122" t="str">
        <f>vlookup(A413,collexo_data!A:R,18,0)</f>
        <v>#N/A</v>
      </c>
      <c r="H413" s="122" t="str">
        <f t="shared" si="1"/>
        <v/>
      </c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</row>
    <row r="414">
      <c r="A414" s="120"/>
      <c r="B414" s="113"/>
      <c r="C414" s="123">
        <f>MINIFS(collexo_data!B:B,collexo_data!A:A,A414)</f>
        <v>0</v>
      </c>
      <c r="D414" s="120" t="str">
        <f>vlookup(A414,collexo_data!A:M,13,0)</f>
        <v>#N/A</v>
      </c>
      <c r="E414" s="122" t="str">
        <f>vlookup(A414,collexo_data!A:O,15,0)</f>
        <v>#N/A</v>
      </c>
      <c r="F414" s="120" t="str">
        <f>vlookup(A414,collexo_data!A:S,19,0)</f>
        <v>#N/A</v>
      </c>
      <c r="G414" s="122" t="str">
        <f>vlookup(A414,collexo_data!A:R,18,0)</f>
        <v>#N/A</v>
      </c>
      <c r="H414" s="122" t="str">
        <f t="shared" si="1"/>
        <v/>
      </c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  <c r="AB414" s="113"/>
      <c r="AC414" s="113"/>
      <c r="AD414" s="113"/>
      <c r="AE414" s="113"/>
      <c r="AF414" s="113"/>
    </row>
    <row r="415">
      <c r="A415" s="120"/>
      <c r="B415" s="113"/>
      <c r="C415" s="123">
        <f>MINIFS(collexo_data!B:B,collexo_data!A:A,A415)</f>
        <v>0</v>
      </c>
      <c r="D415" s="120" t="str">
        <f>vlookup(A415,collexo_data!A:M,13,0)</f>
        <v>#N/A</v>
      </c>
      <c r="E415" s="122" t="str">
        <f>vlookup(A415,collexo_data!A:O,15,0)</f>
        <v>#N/A</v>
      </c>
      <c r="F415" s="120" t="str">
        <f>vlookup(A415,collexo_data!A:S,19,0)</f>
        <v>#N/A</v>
      </c>
      <c r="G415" s="122" t="str">
        <f>vlookup(A415,collexo_data!A:R,18,0)</f>
        <v>#N/A</v>
      </c>
      <c r="H415" s="122" t="str">
        <f t="shared" si="1"/>
        <v/>
      </c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3"/>
      <c r="AC415" s="113"/>
      <c r="AD415" s="113"/>
      <c r="AE415" s="113"/>
      <c r="AF415" s="113"/>
    </row>
    <row r="416">
      <c r="A416" s="120"/>
      <c r="B416" s="113"/>
      <c r="C416" s="123">
        <f>MINIFS(collexo_data!B:B,collexo_data!A:A,A416)</f>
        <v>0</v>
      </c>
      <c r="D416" s="120" t="str">
        <f>vlookup(A416,collexo_data!A:M,13,0)</f>
        <v>#N/A</v>
      </c>
      <c r="E416" s="122" t="str">
        <f>vlookup(A416,collexo_data!A:O,15,0)</f>
        <v>#N/A</v>
      </c>
      <c r="F416" s="120" t="str">
        <f>vlookup(A416,collexo_data!A:S,19,0)</f>
        <v>#N/A</v>
      </c>
      <c r="G416" s="122" t="str">
        <f>vlookup(A416,collexo_data!A:R,18,0)</f>
        <v>#N/A</v>
      </c>
      <c r="H416" s="122" t="str">
        <f t="shared" si="1"/>
        <v/>
      </c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  <c r="AB416" s="113"/>
      <c r="AC416" s="113"/>
      <c r="AD416" s="113"/>
      <c r="AE416" s="113"/>
      <c r="AF416" s="113"/>
    </row>
    <row r="417">
      <c r="A417" s="120"/>
      <c r="B417" s="113"/>
      <c r="C417" s="123">
        <f>MINIFS(collexo_data!B:B,collexo_data!A:A,A417)</f>
        <v>0</v>
      </c>
      <c r="D417" s="120" t="str">
        <f>vlookup(A417,collexo_data!A:M,13,0)</f>
        <v>#N/A</v>
      </c>
      <c r="E417" s="122" t="str">
        <f>vlookup(A417,collexo_data!A:O,15,0)</f>
        <v>#N/A</v>
      </c>
      <c r="F417" s="120" t="str">
        <f>vlookup(A417,collexo_data!A:S,19,0)</f>
        <v>#N/A</v>
      </c>
      <c r="G417" s="122" t="str">
        <f>vlookup(A417,collexo_data!A:R,18,0)</f>
        <v>#N/A</v>
      </c>
      <c r="H417" s="122" t="str">
        <f t="shared" si="1"/>
        <v/>
      </c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3"/>
      <c r="AC417" s="113"/>
      <c r="AD417" s="113"/>
      <c r="AE417" s="113"/>
      <c r="AF417" s="113"/>
    </row>
    <row r="418">
      <c r="A418" s="120"/>
      <c r="B418" s="113"/>
      <c r="C418" s="123">
        <f>MINIFS(collexo_data!B:B,collexo_data!A:A,A418)</f>
        <v>0</v>
      </c>
      <c r="D418" s="120" t="str">
        <f>vlookup(A418,collexo_data!A:M,13,0)</f>
        <v>#N/A</v>
      </c>
      <c r="E418" s="122" t="str">
        <f>vlookup(A418,collexo_data!A:O,15,0)</f>
        <v>#N/A</v>
      </c>
      <c r="F418" s="120" t="str">
        <f>vlookup(A418,collexo_data!A:S,19,0)</f>
        <v>#N/A</v>
      </c>
      <c r="G418" s="122" t="str">
        <f>vlookup(A418,collexo_data!A:R,18,0)</f>
        <v>#N/A</v>
      </c>
      <c r="H418" s="122" t="str">
        <f t="shared" si="1"/>
        <v/>
      </c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  <c r="AB418" s="113"/>
      <c r="AC418" s="113"/>
      <c r="AD418" s="113"/>
      <c r="AE418" s="113"/>
      <c r="AF418" s="113"/>
    </row>
    <row r="419">
      <c r="A419" s="120"/>
      <c r="B419" s="113"/>
      <c r="C419" s="123">
        <f>MINIFS(collexo_data!B:B,collexo_data!A:A,A419)</f>
        <v>0</v>
      </c>
      <c r="D419" s="120" t="str">
        <f>vlookup(A419,collexo_data!A:M,13,0)</f>
        <v>#N/A</v>
      </c>
      <c r="E419" s="122" t="str">
        <f>vlookup(A419,collexo_data!A:O,15,0)</f>
        <v>#N/A</v>
      </c>
      <c r="F419" s="120" t="str">
        <f>vlookup(A419,collexo_data!A:S,19,0)</f>
        <v>#N/A</v>
      </c>
      <c r="G419" s="122" t="str">
        <f>vlookup(A419,collexo_data!A:R,18,0)</f>
        <v>#N/A</v>
      </c>
      <c r="H419" s="122" t="str">
        <f t="shared" si="1"/>
        <v/>
      </c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</row>
    <row r="420">
      <c r="A420" s="120"/>
      <c r="B420" s="113"/>
      <c r="C420" s="123">
        <f>MINIFS(collexo_data!B:B,collexo_data!A:A,A420)</f>
        <v>0</v>
      </c>
      <c r="D420" s="120" t="str">
        <f>vlookup(A420,collexo_data!A:M,13,0)</f>
        <v>#N/A</v>
      </c>
      <c r="E420" s="122" t="str">
        <f>vlookup(A420,collexo_data!A:O,15,0)</f>
        <v>#N/A</v>
      </c>
      <c r="F420" s="120" t="str">
        <f>vlookup(A420,collexo_data!A:S,19,0)</f>
        <v>#N/A</v>
      </c>
      <c r="G420" s="122" t="str">
        <f>vlookup(A420,collexo_data!A:R,18,0)</f>
        <v>#N/A</v>
      </c>
      <c r="H420" s="122" t="str">
        <f t="shared" si="1"/>
        <v/>
      </c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  <c r="AB420" s="113"/>
      <c r="AC420" s="113"/>
      <c r="AD420" s="113"/>
      <c r="AE420" s="113"/>
      <c r="AF420" s="113"/>
    </row>
    <row r="421">
      <c r="A421" s="120"/>
      <c r="B421" s="113"/>
      <c r="C421" s="123">
        <f>MINIFS(collexo_data!B:B,collexo_data!A:A,A421)</f>
        <v>0</v>
      </c>
      <c r="D421" s="120" t="str">
        <f>vlookup(A421,collexo_data!A:M,13,0)</f>
        <v>#N/A</v>
      </c>
      <c r="E421" s="122" t="str">
        <f>vlookup(A421,collexo_data!A:O,15,0)</f>
        <v>#N/A</v>
      </c>
      <c r="F421" s="120" t="str">
        <f>vlookup(A421,collexo_data!A:S,19,0)</f>
        <v>#N/A</v>
      </c>
      <c r="G421" s="122" t="str">
        <f>vlookup(A421,collexo_data!A:R,18,0)</f>
        <v>#N/A</v>
      </c>
      <c r="H421" s="122" t="str">
        <f t="shared" si="1"/>
        <v/>
      </c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3"/>
      <c r="AC421" s="113"/>
      <c r="AD421" s="113"/>
      <c r="AE421" s="113"/>
      <c r="AF421" s="113"/>
    </row>
    <row r="422">
      <c r="A422" s="120"/>
      <c r="B422" s="113"/>
      <c r="C422" s="123">
        <f>MINIFS(collexo_data!B:B,collexo_data!A:A,A422)</f>
        <v>0</v>
      </c>
      <c r="D422" s="120" t="str">
        <f>vlookup(A422,collexo_data!A:M,13,0)</f>
        <v>#N/A</v>
      </c>
      <c r="E422" s="122" t="str">
        <f>vlookup(A422,collexo_data!A:O,15,0)</f>
        <v>#N/A</v>
      </c>
      <c r="F422" s="120" t="str">
        <f>vlookup(A422,collexo_data!A:S,19,0)</f>
        <v>#N/A</v>
      </c>
      <c r="G422" s="122" t="str">
        <f>vlookup(A422,collexo_data!A:R,18,0)</f>
        <v>#N/A</v>
      </c>
      <c r="H422" s="122" t="str">
        <f t="shared" si="1"/>
        <v/>
      </c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  <c r="AB422" s="113"/>
      <c r="AC422" s="113"/>
      <c r="AD422" s="113"/>
      <c r="AE422" s="113"/>
      <c r="AF422" s="113"/>
    </row>
    <row r="423">
      <c r="A423" s="120"/>
      <c r="B423" s="113"/>
      <c r="C423" s="123">
        <f>MINIFS(collexo_data!B:B,collexo_data!A:A,A423)</f>
        <v>0</v>
      </c>
      <c r="D423" s="120" t="str">
        <f>vlookup(A423,collexo_data!A:M,13,0)</f>
        <v>#N/A</v>
      </c>
      <c r="E423" s="122" t="str">
        <f>vlookup(A423,collexo_data!A:O,15,0)</f>
        <v>#N/A</v>
      </c>
      <c r="F423" s="120" t="str">
        <f>vlookup(A423,collexo_data!A:S,19,0)</f>
        <v>#N/A</v>
      </c>
      <c r="G423" s="122" t="str">
        <f>vlookup(A423,collexo_data!A:R,18,0)</f>
        <v>#N/A</v>
      </c>
      <c r="H423" s="122" t="str">
        <f t="shared" si="1"/>
        <v/>
      </c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3"/>
      <c r="AC423" s="113"/>
      <c r="AD423" s="113"/>
      <c r="AE423" s="113"/>
      <c r="AF423" s="113"/>
    </row>
    <row r="424">
      <c r="A424" s="120"/>
      <c r="B424" s="113"/>
      <c r="C424" s="123">
        <f>MINIFS(collexo_data!B:B,collexo_data!A:A,A424)</f>
        <v>0</v>
      </c>
      <c r="D424" s="120" t="str">
        <f>vlookup(A424,collexo_data!A:M,13,0)</f>
        <v>#N/A</v>
      </c>
      <c r="E424" s="122" t="str">
        <f>vlookup(A424,collexo_data!A:O,15,0)</f>
        <v>#N/A</v>
      </c>
      <c r="F424" s="120" t="str">
        <f>vlookup(A424,collexo_data!A:S,19,0)</f>
        <v>#N/A</v>
      </c>
      <c r="G424" s="122" t="str">
        <f>vlookup(A424,collexo_data!A:R,18,0)</f>
        <v>#N/A</v>
      </c>
      <c r="H424" s="122" t="str">
        <f t="shared" si="1"/>
        <v/>
      </c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  <c r="AB424" s="113"/>
      <c r="AC424" s="113"/>
      <c r="AD424" s="113"/>
      <c r="AE424" s="113"/>
      <c r="AF424" s="113"/>
    </row>
    <row r="425">
      <c r="A425" s="120"/>
      <c r="B425" s="113"/>
      <c r="C425" s="123">
        <f>MINIFS(collexo_data!B:B,collexo_data!A:A,A425)</f>
        <v>0</v>
      </c>
      <c r="D425" s="120" t="str">
        <f>vlookup(A425,collexo_data!A:M,13,0)</f>
        <v>#N/A</v>
      </c>
      <c r="E425" s="122" t="str">
        <f>vlookup(A425,collexo_data!A:O,15,0)</f>
        <v>#N/A</v>
      </c>
      <c r="F425" s="120" t="str">
        <f>vlookup(A425,collexo_data!A:S,19,0)</f>
        <v>#N/A</v>
      </c>
      <c r="G425" s="122" t="str">
        <f>vlookup(A425,collexo_data!A:R,18,0)</f>
        <v>#N/A</v>
      </c>
      <c r="H425" s="122" t="str">
        <f t="shared" si="1"/>
        <v/>
      </c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3"/>
      <c r="AC425" s="113"/>
      <c r="AD425" s="113"/>
      <c r="AE425" s="113"/>
      <c r="AF425" s="113"/>
    </row>
    <row r="426">
      <c r="A426" s="120"/>
      <c r="B426" s="113"/>
      <c r="C426" s="123">
        <f>MINIFS(collexo_data!B:B,collexo_data!A:A,A426)</f>
        <v>0</v>
      </c>
      <c r="D426" s="120" t="str">
        <f>vlookup(A426,collexo_data!A:M,13,0)</f>
        <v>#N/A</v>
      </c>
      <c r="E426" s="122" t="str">
        <f>vlookup(A426,collexo_data!A:O,15,0)</f>
        <v>#N/A</v>
      </c>
      <c r="F426" s="120" t="str">
        <f>vlookup(A426,collexo_data!A:S,19,0)</f>
        <v>#N/A</v>
      </c>
      <c r="G426" s="122" t="str">
        <f>vlookup(A426,collexo_data!A:R,18,0)</f>
        <v>#N/A</v>
      </c>
      <c r="H426" s="122" t="str">
        <f t="shared" si="1"/>
        <v/>
      </c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  <c r="AB426" s="113"/>
      <c r="AC426" s="113"/>
      <c r="AD426" s="113"/>
      <c r="AE426" s="113"/>
      <c r="AF426" s="113"/>
    </row>
    <row r="427">
      <c r="A427" s="120"/>
      <c r="B427" s="113"/>
      <c r="C427" s="123">
        <f>MINIFS(collexo_data!B:B,collexo_data!A:A,A427)</f>
        <v>0</v>
      </c>
      <c r="D427" s="120" t="str">
        <f>vlookup(A427,collexo_data!A:M,13,0)</f>
        <v>#N/A</v>
      </c>
      <c r="E427" s="122" t="str">
        <f>vlookup(A427,collexo_data!A:O,15,0)</f>
        <v>#N/A</v>
      </c>
      <c r="F427" s="120" t="str">
        <f>vlookup(A427,collexo_data!A:S,19,0)</f>
        <v>#N/A</v>
      </c>
      <c r="G427" s="122" t="str">
        <f>vlookup(A427,collexo_data!A:R,18,0)</f>
        <v>#N/A</v>
      </c>
      <c r="H427" s="122" t="str">
        <f t="shared" si="1"/>
        <v/>
      </c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</row>
    <row r="428">
      <c r="A428" s="120"/>
      <c r="B428" s="113"/>
      <c r="C428" s="123">
        <f>MINIFS(collexo_data!B:B,collexo_data!A:A,A428)</f>
        <v>0</v>
      </c>
      <c r="D428" s="120" t="str">
        <f>vlookup(A428,collexo_data!A:M,13,0)</f>
        <v>#N/A</v>
      </c>
      <c r="E428" s="122" t="str">
        <f>vlookup(A428,collexo_data!A:O,15,0)</f>
        <v>#N/A</v>
      </c>
      <c r="F428" s="120" t="str">
        <f>vlookup(A428,collexo_data!A:S,19,0)</f>
        <v>#N/A</v>
      </c>
      <c r="G428" s="122" t="str">
        <f>vlookup(A428,collexo_data!A:R,18,0)</f>
        <v>#N/A</v>
      </c>
      <c r="H428" s="122" t="str">
        <f t="shared" si="1"/>
        <v/>
      </c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  <c r="AB428" s="113"/>
      <c r="AC428" s="113"/>
      <c r="AD428" s="113"/>
      <c r="AE428" s="113"/>
      <c r="AF428" s="113"/>
    </row>
    <row r="429">
      <c r="A429" s="120"/>
      <c r="B429" s="113"/>
      <c r="C429" s="123">
        <f>MINIFS(collexo_data!B:B,collexo_data!A:A,A429)</f>
        <v>0</v>
      </c>
      <c r="D429" s="120" t="str">
        <f>vlookup(A429,collexo_data!A:M,13,0)</f>
        <v>#N/A</v>
      </c>
      <c r="E429" s="122" t="str">
        <f>vlookup(A429,collexo_data!A:O,15,0)</f>
        <v>#N/A</v>
      </c>
      <c r="F429" s="120" t="str">
        <f>vlookup(A429,collexo_data!A:S,19,0)</f>
        <v>#N/A</v>
      </c>
      <c r="G429" s="122" t="str">
        <f>vlookup(A429,collexo_data!A:R,18,0)</f>
        <v>#N/A</v>
      </c>
      <c r="H429" s="122" t="str">
        <f t="shared" si="1"/>
        <v/>
      </c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3"/>
      <c r="AC429" s="113"/>
      <c r="AD429" s="113"/>
      <c r="AE429" s="113"/>
      <c r="AF429" s="113"/>
    </row>
    <row r="430">
      <c r="A430" s="120"/>
      <c r="B430" s="113"/>
      <c r="C430" s="123">
        <f>MINIFS(collexo_data!B:B,collexo_data!A:A,A430)</f>
        <v>0</v>
      </c>
      <c r="D430" s="120" t="str">
        <f>vlookup(A430,collexo_data!A:M,13,0)</f>
        <v>#N/A</v>
      </c>
      <c r="E430" s="122" t="str">
        <f>vlookup(A430,collexo_data!A:O,15,0)</f>
        <v>#N/A</v>
      </c>
      <c r="F430" s="120" t="str">
        <f>vlookup(A430,collexo_data!A:S,19,0)</f>
        <v>#N/A</v>
      </c>
      <c r="G430" s="122" t="str">
        <f>vlookup(A430,collexo_data!A:R,18,0)</f>
        <v>#N/A</v>
      </c>
      <c r="H430" s="122" t="str">
        <f t="shared" si="1"/>
        <v/>
      </c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</row>
    <row r="431">
      <c r="A431" s="120"/>
      <c r="B431" s="113"/>
      <c r="C431" s="123">
        <f>MINIFS(collexo_data!B:B,collexo_data!A:A,A431)</f>
        <v>0</v>
      </c>
      <c r="D431" s="120" t="str">
        <f>vlookup(A431,collexo_data!A:M,13,0)</f>
        <v>#N/A</v>
      </c>
      <c r="E431" s="122" t="str">
        <f>vlookup(A431,collexo_data!A:O,15,0)</f>
        <v>#N/A</v>
      </c>
      <c r="F431" s="120" t="str">
        <f>vlookup(A431,collexo_data!A:S,19,0)</f>
        <v>#N/A</v>
      </c>
      <c r="G431" s="122" t="str">
        <f>vlookup(A431,collexo_data!A:R,18,0)</f>
        <v>#N/A</v>
      </c>
      <c r="H431" s="122" t="str">
        <f t="shared" si="1"/>
        <v/>
      </c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3"/>
      <c r="AC431" s="113"/>
      <c r="AD431" s="113"/>
      <c r="AE431" s="113"/>
      <c r="AF431" s="113"/>
    </row>
    <row r="432">
      <c r="A432" s="120"/>
      <c r="B432" s="113"/>
      <c r="C432" s="123">
        <f>MINIFS(collexo_data!B:B,collexo_data!A:A,A432)</f>
        <v>0</v>
      </c>
      <c r="D432" s="120" t="str">
        <f>vlookup(A432,collexo_data!A:M,13,0)</f>
        <v>#N/A</v>
      </c>
      <c r="E432" s="122" t="str">
        <f>vlookup(A432,collexo_data!A:O,15,0)</f>
        <v>#N/A</v>
      </c>
      <c r="F432" s="120" t="str">
        <f>vlookup(A432,collexo_data!A:S,19,0)</f>
        <v>#N/A</v>
      </c>
      <c r="G432" s="122" t="str">
        <f>vlookup(A432,collexo_data!A:R,18,0)</f>
        <v>#N/A</v>
      </c>
      <c r="H432" s="122" t="str">
        <f t="shared" si="1"/>
        <v/>
      </c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  <c r="AB432" s="113"/>
      <c r="AC432" s="113"/>
      <c r="AD432" s="113"/>
      <c r="AE432" s="113"/>
      <c r="AF432" s="113"/>
    </row>
    <row r="433">
      <c r="A433" s="120"/>
      <c r="B433" s="113"/>
      <c r="C433" s="123">
        <f>MINIFS(collexo_data!B:B,collexo_data!A:A,A433)</f>
        <v>0</v>
      </c>
      <c r="D433" s="120" t="str">
        <f>vlookup(A433,collexo_data!A:M,13,0)</f>
        <v>#N/A</v>
      </c>
      <c r="E433" s="122" t="str">
        <f>vlookup(A433,collexo_data!A:O,15,0)</f>
        <v>#N/A</v>
      </c>
      <c r="F433" s="120" t="str">
        <f>vlookup(A433,collexo_data!A:S,19,0)</f>
        <v>#N/A</v>
      </c>
      <c r="G433" s="122" t="str">
        <f>vlookup(A433,collexo_data!A:R,18,0)</f>
        <v>#N/A</v>
      </c>
      <c r="H433" s="122" t="str">
        <f t="shared" si="1"/>
        <v/>
      </c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3"/>
      <c r="AC433" s="113"/>
      <c r="AD433" s="113"/>
      <c r="AE433" s="113"/>
      <c r="AF433" s="113"/>
    </row>
    <row r="434">
      <c r="A434" s="120"/>
      <c r="B434" s="113"/>
      <c r="C434" s="123">
        <f>MINIFS(collexo_data!B:B,collexo_data!A:A,A434)</f>
        <v>0</v>
      </c>
      <c r="D434" s="120" t="str">
        <f>vlookup(A434,collexo_data!A:M,13,0)</f>
        <v>#N/A</v>
      </c>
      <c r="E434" s="122" t="str">
        <f>vlookup(A434,collexo_data!A:O,15,0)</f>
        <v>#N/A</v>
      </c>
      <c r="F434" s="120" t="str">
        <f>vlookup(A434,collexo_data!A:S,19,0)</f>
        <v>#N/A</v>
      </c>
      <c r="G434" s="122" t="str">
        <f>vlookup(A434,collexo_data!A:R,18,0)</f>
        <v>#N/A</v>
      </c>
      <c r="H434" s="122" t="str">
        <f t="shared" si="1"/>
        <v/>
      </c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  <c r="AB434" s="113"/>
      <c r="AC434" s="113"/>
      <c r="AD434" s="113"/>
      <c r="AE434" s="113"/>
      <c r="AF434" s="113"/>
    </row>
    <row r="435">
      <c r="A435" s="120"/>
      <c r="B435" s="113"/>
      <c r="C435" s="123">
        <f>MINIFS(collexo_data!B:B,collexo_data!A:A,A435)</f>
        <v>0</v>
      </c>
      <c r="D435" s="120" t="str">
        <f>vlookup(A435,collexo_data!A:M,13,0)</f>
        <v>#N/A</v>
      </c>
      <c r="E435" s="122" t="str">
        <f>vlookup(A435,collexo_data!A:O,15,0)</f>
        <v>#N/A</v>
      </c>
      <c r="F435" s="120" t="str">
        <f>vlookup(A435,collexo_data!A:S,19,0)</f>
        <v>#N/A</v>
      </c>
      <c r="G435" s="122" t="str">
        <f>vlookup(A435,collexo_data!A:R,18,0)</f>
        <v>#N/A</v>
      </c>
      <c r="H435" s="122" t="str">
        <f t="shared" si="1"/>
        <v/>
      </c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3"/>
      <c r="AC435" s="113"/>
      <c r="AD435" s="113"/>
      <c r="AE435" s="113"/>
      <c r="AF435" s="113"/>
    </row>
    <row r="436">
      <c r="A436" s="120"/>
      <c r="B436" s="113"/>
      <c r="C436" s="123">
        <f>MINIFS(collexo_data!B:B,collexo_data!A:A,A436)</f>
        <v>0</v>
      </c>
      <c r="D436" s="120" t="str">
        <f>vlookup(A436,collexo_data!A:M,13,0)</f>
        <v>#N/A</v>
      </c>
      <c r="E436" s="122" t="str">
        <f>vlookup(A436,collexo_data!A:O,15,0)</f>
        <v>#N/A</v>
      </c>
      <c r="F436" s="120" t="str">
        <f>vlookup(A436,collexo_data!A:S,19,0)</f>
        <v>#N/A</v>
      </c>
      <c r="G436" s="122" t="str">
        <f>vlookup(A436,collexo_data!A:R,18,0)</f>
        <v>#N/A</v>
      </c>
      <c r="H436" s="122" t="str">
        <f t="shared" si="1"/>
        <v/>
      </c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  <c r="AB436" s="113"/>
      <c r="AC436" s="113"/>
      <c r="AD436" s="113"/>
      <c r="AE436" s="113"/>
      <c r="AF436" s="113"/>
    </row>
    <row r="437">
      <c r="A437" s="120"/>
      <c r="B437" s="113"/>
      <c r="C437" s="123">
        <f>MINIFS(collexo_data!B:B,collexo_data!A:A,A437)</f>
        <v>0</v>
      </c>
      <c r="D437" s="120" t="str">
        <f>vlookup(A437,collexo_data!A:M,13,0)</f>
        <v>#N/A</v>
      </c>
      <c r="E437" s="122" t="str">
        <f>vlookup(A437,collexo_data!A:O,15,0)</f>
        <v>#N/A</v>
      </c>
      <c r="F437" s="120" t="str">
        <f>vlookup(A437,collexo_data!A:S,19,0)</f>
        <v>#N/A</v>
      </c>
      <c r="G437" s="122" t="str">
        <f>vlookup(A437,collexo_data!A:R,18,0)</f>
        <v>#N/A</v>
      </c>
      <c r="H437" s="122" t="str">
        <f t="shared" si="1"/>
        <v/>
      </c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3"/>
      <c r="AC437" s="113"/>
      <c r="AD437" s="113"/>
      <c r="AE437" s="113"/>
      <c r="AF437" s="113"/>
    </row>
    <row r="438">
      <c r="A438" s="120"/>
      <c r="B438" s="113"/>
      <c r="C438" s="123">
        <f>MINIFS(collexo_data!B:B,collexo_data!A:A,A438)</f>
        <v>0</v>
      </c>
      <c r="D438" s="120" t="str">
        <f>vlookup(A438,collexo_data!A:M,13,0)</f>
        <v>#N/A</v>
      </c>
      <c r="E438" s="122" t="str">
        <f>vlookup(A438,collexo_data!A:O,15,0)</f>
        <v>#N/A</v>
      </c>
      <c r="F438" s="120" t="str">
        <f>vlookup(A438,collexo_data!A:S,19,0)</f>
        <v>#N/A</v>
      </c>
      <c r="G438" s="122" t="str">
        <f>vlookup(A438,collexo_data!A:R,18,0)</f>
        <v>#N/A</v>
      </c>
      <c r="H438" s="122" t="str">
        <f t="shared" si="1"/>
        <v/>
      </c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  <c r="AB438" s="113"/>
      <c r="AC438" s="113"/>
      <c r="AD438" s="113"/>
      <c r="AE438" s="113"/>
      <c r="AF438" s="113"/>
    </row>
    <row r="439">
      <c r="A439" s="120"/>
      <c r="B439" s="113"/>
      <c r="C439" s="123">
        <f>MINIFS(collexo_data!B:B,collexo_data!A:A,A439)</f>
        <v>0</v>
      </c>
      <c r="D439" s="120" t="str">
        <f>vlookup(A439,collexo_data!A:M,13,0)</f>
        <v>#N/A</v>
      </c>
      <c r="E439" s="122" t="str">
        <f>vlookup(A439,collexo_data!A:O,15,0)</f>
        <v>#N/A</v>
      </c>
      <c r="F439" s="120" t="str">
        <f>vlookup(A439,collexo_data!A:S,19,0)</f>
        <v>#N/A</v>
      </c>
      <c r="G439" s="122" t="str">
        <f>vlookup(A439,collexo_data!A:R,18,0)</f>
        <v>#N/A</v>
      </c>
      <c r="H439" s="122" t="str">
        <f t="shared" si="1"/>
        <v/>
      </c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3"/>
      <c r="AC439" s="113"/>
      <c r="AD439" s="113"/>
      <c r="AE439" s="113"/>
      <c r="AF439" s="113"/>
    </row>
    <row r="440">
      <c r="A440" s="120"/>
      <c r="B440" s="113"/>
      <c r="C440" s="123">
        <f>MINIFS(collexo_data!B:B,collexo_data!A:A,A440)</f>
        <v>0</v>
      </c>
      <c r="D440" s="120" t="str">
        <f>vlookup(A440,collexo_data!A:M,13,0)</f>
        <v>#N/A</v>
      </c>
      <c r="E440" s="122" t="str">
        <f>vlookup(A440,collexo_data!A:O,15,0)</f>
        <v>#N/A</v>
      </c>
      <c r="F440" s="120" t="str">
        <f>vlookup(A440,collexo_data!A:S,19,0)</f>
        <v>#N/A</v>
      </c>
      <c r="G440" s="122" t="str">
        <f>vlookup(A440,collexo_data!A:R,18,0)</f>
        <v>#N/A</v>
      </c>
      <c r="H440" s="122" t="str">
        <f t="shared" si="1"/>
        <v/>
      </c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  <c r="AB440" s="113"/>
      <c r="AC440" s="113"/>
      <c r="AD440" s="113"/>
      <c r="AE440" s="113"/>
      <c r="AF440" s="113"/>
    </row>
    <row r="441">
      <c r="A441" s="120"/>
      <c r="B441" s="113"/>
      <c r="C441" s="123">
        <f>MINIFS(collexo_data!B:B,collexo_data!A:A,A441)</f>
        <v>0</v>
      </c>
      <c r="D441" s="120" t="str">
        <f>vlookup(A441,collexo_data!A:M,13,0)</f>
        <v>#N/A</v>
      </c>
      <c r="E441" s="122" t="str">
        <f>vlookup(A441,collexo_data!A:O,15,0)</f>
        <v>#N/A</v>
      </c>
      <c r="F441" s="120" t="str">
        <f>vlookup(A441,collexo_data!A:S,19,0)</f>
        <v>#N/A</v>
      </c>
      <c r="G441" s="122" t="str">
        <f>vlookup(A441,collexo_data!A:R,18,0)</f>
        <v>#N/A</v>
      </c>
      <c r="H441" s="122" t="str">
        <f t="shared" si="1"/>
        <v/>
      </c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3"/>
      <c r="AC441" s="113"/>
      <c r="AD441" s="113"/>
      <c r="AE441" s="113"/>
      <c r="AF441" s="113"/>
    </row>
    <row r="442">
      <c r="A442" s="120"/>
      <c r="B442" s="113"/>
      <c r="C442" s="123">
        <f>MINIFS(collexo_data!B:B,collexo_data!A:A,A442)</f>
        <v>0</v>
      </c>
      <c r="D442" s="120" t="str">
        <f>vlookup(A442,collexo_data!A:M,13,0)</f>
        <v>#N/A</v>
      </c>
      <c r="E442" s="122" t="str">
        <f>vlookup(A442,collexo_data!A:O,15,0)</f>
        <v>#N/A</v>
      </c>
      <c r="F442" s="120" t="str">
        <f>vlookup(A442,collexo_data!A:S,19,0)</f>
        <v>#N/A</v>
      </c>
      <c r="G442" s="122" t="str">
        <f>vlookup(A442,collexo_data!A:R,18,0)</f>
        <v>#N/A</v>
      </c>
      <c r="H442" s="122" t="str">
        <f t="shared" si="1"/>
        <v/>
      </c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  <c r="AB442" s="113"/>
      <c r="AC442" s="113"/>
      <c r="AD442" s="113"/>
      <c r="AE442" s="113"/>
      <c r="AF442" s="113"/>
    </row>
    <row r="443">
      <c r="A443" s="120"/>
      <c r="B443" s="113"/>
      <c r="C443" s="123">
        <f>MINIFS(collexo_data!B:B,collexo_data!A:A,A443)</f>
        <v>0</v>
      </c>
      <c r="D443" s="120" t="str">
        <f>vlookup(A443,collexo_data!A:M,13,0)</f>
        <v>#N/A</v>
      </c>
      <c r="E443" s="122" t="str">
        <f>vlookup(A443,collexo_data!A:O,15,0)</f>
        <v>#N/A</v>
      </c>
      <c r="F443" s="120" t="str">
        <f>vlookup(A443,collexo_data!A:S,19,0)</f>
        <v>#N/A</v>
      </c>
      <c r="G443" s="122" t="str">
        <f>vlookup(A443,collexo_data!A:R,18,0)</f>
        <v>#N/A</v>
      </c>
      <c r="H443" s="122" t="str">
        <f t="shared" si="1"/>
        <v/>
      </c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3"/>
      <c r="AC443" s="113"/>
      <c r="AD443" s="113"/>
      <c r="AE443" s="113"/>
      <c r="AF443" s="113"/>
    </row>
    <row r="444">
      <c r="A444" s="120"/>
      <c r="B444" s="113"/>
      <c r="C444" s="123">
        <f>MINIFS(collexo_data!B:B,collexo_data!A:A,A444)</f>
        <v>0</v>
      </c>
      <c r="D444" s="120" t="str">
        <f>vlookup(A444,collexo_data!A:M,13,0)</f>
        <v>#N/A</v>
      </c>
      <c r="E444" s="122" t="str">
        <f>vlookup(A444,collexo_data!A:O,15,0)</f>
        <v>#N/A</v>
      </c>
      <c r="F444" s="120" t="str">
        <f>vlookup(A444,collexo_data!A:S,19,0)</f>
        <v>#N/A</v>
      </c>
      <c r="G444" s="122" t="str">
        <f>vlookup(A444,collexo_data!A:R,18,0)</f>
        <v>#N/A</v>
      </c>
      <c r="H444" s="122" t="str">
        <f t="shared" si="1"/>
        <v/>
      </c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  <c r="AB444" s="113"/>
      <c r="AC444" s="113"/>
      <c r="AD444" s="113"/>
      <c r="AE444" s="113"/>
      <c r="AF444" s="113"/>
    </row>
    <row r="445">
      <c r="A445" s="120"/>
      <c r="B445" s="113"/>
      <c r="C445" s="123">
        <f>MINIFS(collexo_data!B:B,collexo_data!A:A,A445)</f>
        <v>0</v>
      </c>
      <c r="D445" s="120" t="str">
        <f>vlookup(A445,collexo_data!A:M,13,0)</f>
        <v>#N/A</v>
      </c>
      <c r="E445" s="122" t="str">
        <f>vlookup(A445,collexo_data!A:O,15,0)</f>
        <v>#N/A</v>
      </c>
      <c r="F445" s="120" t="str">
        <f>vlookup(A445,collexo_data!A:S,19,0)</f>
        <v>#N/A</v>
      </c>
      <c r="G445" s="122" t="str">
        <f>vlookup(A445,collexo_data!A:R,18,0)</f>
        <v>#N/A</v>
      </c>
      <c r="H445" s="122" t="str">
        <f t="shared" si="1"/>
        <v/>
      </c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3"/>
      <c r="AC445" s="113"/>
      <c r="AD445" s="113"/>
      <c r="AE445" s="113"/>
      <c r="AF445" s="113"/>
    </row>
    <row r="446">
      <c r="A446" s="120"/>
      <c r="B446" s="113"/>
      <c r="C446" s="123">
        <f>MINIFS(collexo_data!B:B,collexo_data!A:A,A446)</f>
        <v>0</v>
      </c>
      <c r="D446" s="120" t="str">
        <f>vlookup(A446,collexo_data!A:M,13,0)</f>
        <v>#N/A</v>
      </c>
      <c r="E446" s="122" t="str">
        <f>vlookup(A446,collexo_data!A:O,15,0)</f>
        <v>#N/A</v>
      </c>
      <c r="F446" s="120" t="str">
        <f>vlookup(A446,collexo_data!A:S,19,0)</f>
        <v>#N/A</v>
      </c>
      <c r="G446" s="122" t="str">
        <f>vlookup(A446,collexo_data!A:R,18,0)</f>
        <v>#N/A</v>
      </c>
      <c r="H446" s="122" t="str">
        <f t="shared" si="1"/>
        <v/>
      </c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  <c r="AB446" s="113"/>
      <c r="AC446" s="113"/>
      <c r="AD446" s="113"/>
      <c r="AE446" s="113"/>
      <c r="AF446" s="113"/>
    </row>
    <row r="447">
      <c r="A447" s="120"/>
      <c r="B447" s="113"/>
      <c r="C447" s="123">
        <f>MINIFS(collexo_data!B:B,collexo_data!A:A,A447)</f>
        <v>0</v>
      </c>
      <c r="D447" s="120" t="str">
        <f>vlookup(A447,collexo_data!A:M,13,0)</f>
        <v>#N/A</v>
      </c>
      <c r="E447" s="122" t="str">
        <f>vlookup(A447,collexo_data!A:O,15,0)</f>
        <v>#N/A</v>
      </c>
      <c r="F447" s="120" t="str">
        <f>vlookup(A447,collexo_data!A:S,19,0)</f>
        <v>#N/A</v>
      </c>
      <c r="G447" s="122" t="str">
        <f>vlookup(A447,collexo_data!A:R,18,0)</f>
        <v>#N/A</v>
      </c>
      <c r="H447" s="122" t="str">
        <f t="shared" si="1"/>
        <v/>
      </c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3"/>
      <c r="AC447" s="113"/>
      <c r="AD447" s="113"/>
      <c r="AE447" s="113"/>
      <c r="AF447" s="113"/>
    </row>
    <row r="448">
      <c r="A448" s="120"/>
      <c r="B448" s="113"/>
      <c r="C448" s="123">
        <f>MINIFS(collexo_data!B:B,collexo_data!A:A,A448)</f>
        <v>0</v>
      </c>
      <c r="D448" s="120" t="str">
        <f>vlookup(A448,collexo_data!A:M,13,0)</f>
        <v>#N/A</v>
      </c>
      <c r="E448" s="122" t="str">
        <f>vlookup(A448,collexo_data!A:O,15,0)</f>
        <v>#N/A</v>
      </c>
      <c r="F448" s="120" t="str">
        <f>vlookup(A448,collexo_data!A:S,19,0)</f>
        <v>#N/A</v>
      </c>
      <c r="G448" s="122" t="str">
        <f>vlookup(A448,collexo_data!A:R,18,0)</f>
        <v>#N/A</v>
      </c>
      <c r="H448" s="122" t="str">
        <f t="shared" si="1"/>
        <v/>
      </c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  <c r="AB448" s="113"/>
      <c r="AC448" s="113"/>
      <c r="AD448" s="113"/>
      <c r="AE448" s="113"/>
      <c r="AF448" s="113"/>
    </row>
    <row r="449">
      <c r="A449" s="120"/>
      <c r="B449" s="113"/>
      <c r="C449" s="123">
        <f>MINIFS(collexo_data!B:B,collexo_data!A:A,A449)</f>
        <v>0</v>
      </c>
      <c r="D449" s="120" t="str">
        <f>vlookup(A449,collexo_data!A:M,13,0)</f>
        <v>#N/A</v>
      </c>
      <c r="E449" s="122" t="str">
        <f>vlookup(A449,collexo_data!A:O,15,0)</f>
        <v>#N/A</v>
      </c>
      <c r="F449" s="120" t="str">
        <f>vlookup(A449,collexo_data!A:S,19,0)</f>
        <v>#N/A</v>
      </c>
      <c r="G449" s="122" t="str">
        <f>vlookup(A449,collexo_data!A:R,18,0)</f>
        <v>#N/A</v>
      </c>
      <c r="H449" s="122" t="str">
        <f t="shared" si="1"/>
        <v/>
      </c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3"/>
      <c r="AC449" s="113"/>
      <c r="AD449" s="113"/>
      <c r="AE449" s="113"/>
      <c r="AF449" s="113"/>
    </row>
    <row r="450">
      <c r="A450" s="120"/>
      <c r="B450" s="113"/>
      <c r="C450" s="123">
        <f>MINIFS(collexo_data!B:B,collexo_data!A:A,A450)</f>
        <v>0</v>
      </c>
      <c r="D450" s="120" t="str">
        <f>vlookup(A450,collexo_data!A:M,13,0)</f>
        <v>#N/A</v>
      </c>
      <c r="E450" s="122" t="str">
        <f>vlookup(A450,collexo_data!A:O,15,0)</f>
        <v>#N/A</v>
      </c>
      <c r="F450" s="120" t="str">
        <f>vlookup(A450,collexo_data!A:S,19,0)</f>
        <v>#N/A</v>
      </c>
      <c r="G450" s="122" t="str">
        <f>vlookup(A450,collexo_data!A:R,18,0)</f>
        <v>#N/A</v>
      </c>
      <c r="H450" s="122" t="str">
        <f t="shared" si="1"/>
        <v/>
      </c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  <c r="AB450" s="113"/>
      <c r="AC450" s="113"/>
      <c r="AD450" s="113"/>
      <c r="AE450" s="113"/>
      <c r="AF450" s="113"/>
    </row>
    <row r="451">
      <c r="A451" s="120"/>
      <c r="B451" s="113"/>
      <c r="C451" s="123">
        <f>MINIFS(collexo_data!B:B,collexo_data!A:A,A451)</f>
        <v>0</v>
      </c>
      <c r="D451" s="120" t="str">
        <f>vlookup(A451,collexo_data!A:M,13,0)</f>
        <v>#N/A</v>
      </c>
      <c r="E451" s="122" t="str">
        <f>vlookup(A451,collexo_data!A:O,15,0)</f>
        <v>#N/A</v>
      </c>
      <c r="F451" s="120" t="str">
        <f>vlookup(A451,collexo_data!A:S,19,0)</f>
        <v>#N/A</v>
      </c>
      <c r="G451" s="122" t="str">
        <f>vlookup(A451,collexo_data!A:R,18,0)</f>
        <v>#N/A</v>
      </c>
      <c r="H451" s="122" t="str">
        <f t="shared" si="1"/>
        <v/>
      </c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3"/>
      <c r="AC451" s="113"/>
      <c r="AD451" s="113"/>
      <c r="AE451" s="113"/>
      <c r="AF451" s="113"/>
    </row>
    <row r="452">
      <c r="A452" s="120"/>
      <c r="B452" s="113"/>
      <c r="C452" s="123">
        <f>MINIFS(collexo_data!B:B,collexo_data!A:A,A452)</f>
        <v>0</v>
      </c>
      <c r="D452" s="120" t="str">
        <f>vlookup(A452,collexo_data!A:M,13,0)</f>
        <v>#N/A</v>
      </c>
      <c r="E452" s="122" t="str">
        <f>vlookup(A452,collexo_data!A:O,15,0)</f>
        <v>#N/A</v>
      </c>
      <c r="F452" s="120" t="str">
        <f>vlookup(A452,collexo_data!A:S,19,0)</f>
        <v>#N/A</v>
      </c>
      <c r="G452" s="122" t="str">
        <f>vlookup(A452,collexo_data!A:R,18,0)</f>
        <v>#N/A</v>
      </c>
      <c r="H452" s="122" t="str">
        <f t="shared" si="1"/>
        <v/>
      </c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  <c r="AB452" s="113"/>
      <c r="AC452" s="113"/>
      <c r="AD452" s="113"/>
      <c r="AE452" s="113"/>
      <c r="AF452" s="113"/>
    </row>
    <row r="453">
      <c r="A453" s="120"/>
      <c r="B453" s="113"/>
      <c r="C453" s="123">
        <f>MINIFS(collexo_data!B:B,collexo_data!A:A,A453)</f>
        <v>0</v>
      </c>
      <c r="D453" s="120" t="str">
        <f>vlookup(A453,collexo_data!A:M,13,0)</f>
        <v>#N/A</v>
      </c>
      <c r="E453" s="122" t="str">
        <f>vlookup(A453,collexo_data!A:O,15,0)</f>
        <v>#N/A</v>
      </c>
      <c r="F453" s="120" t="str">
        <f>vlookup(A453,collexo_data!A:S,19,0)</f>
        <v>#N/A</v>
      </c>
      <c r="G453" s="122" t="str">
        <f>vlookup(A453,collexo_data!A:R,18,0)</f>
        <v>#N/A</v>
      </c>
      <c r="H453" s="122" t="str">
        <f t="shared" si="1"/>
        <v/>
      </c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3"/>
      <c r="AC453" s="113"/>
      <c r="AD453" s="113"/>
      <c r="AE453" s="113"/>
      <c r="AF453" s="113"/>
    </row>
    <row r="454">
      <c r="A454" s="120"/>
      <c r="B454" s="113"/>
      <c r="C454" s="123">
        <f>MINIFS(collexo_data!B:B,collexo_data!A:A,A454)</f>
        <v>0</v>
      </c>
      <c r="D454" s="120" t="str">
        <f>vlookup(A454,collexo_data!A:M,13,0)</f>
        <v>#N/A</v>
      </c>
      <c r="E454" s="122" t="str">
        <f>vlookup(A454,collexo_data!A:O,15,0)</f>
        <v>#N/A</v>
      </c>
      <c r="F454" s="120" t="str">
        <f>vlookup(A454,collexo_data!A:S,19,0)</f>
        <v>#N/A</v>
      </c>
      <c r="G454" s="122" t="str">
        <f>vlookup(A454,collexo_data!A:R,18,0)</f>
        <v>#N/A</v>
      </c>
      <c r="H454" s="122" t="str">
        <f t="shared" si="1"/>
        <v/>
      </c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  <c r="AB454" s="113"/>
      <c r="AC454" s="113"/>
      <c r="AD454" s="113"/>
      <c r="AE454" s="113"/>
      <c r="AF454" s="113"/>
    </row>
    <row r="455">
      <c r="A455" s="120"/>
      <c r="B455" s="113"/>
      <c r="C455" s="123">
        <f>MINIFS(collexo_data!B:B,collexo_data!A:A,A455)</f>
        <v>0</v>
      </c>
      <c r="D455" s="120" t="str">
        <f>vlookup(A455,collexo_data!A:M,13,0)</f>
        <v>#N/A</v>
      </c>
      <c r="E455" s="122" t="str">
        <f>vlookup(A455,collexo_data!A:O,15,0)</f>
        <v>#N/A</v>
      </c>
      <c r="F455" s="120" t="str">
        <f>vlookup(A455,collexo_data!A:S,19,0)</f>
        <v>#N/A</v>
      </c>
      <c r="G455" s="122" t="str">
        <f>vlookup(A455,collexo_data!A:R,18,0)</f>
        <v>#N/A</v>
      </c>
      <c r="H455" s="122" t="str">
        <f t="shared" si="1"/>
        <v/>
      </c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3"/>
      <c r="AC455" s="113"/>
      <c r="AD455" s="113"/>
      <c r="AE455" s="113"/>
      <c r="AF455" s="113"/>
    </row>
    <row r="456">
      <c r="A456" s="120"/>
      <c r="B456" s="113"/>
      <c r="C456" s="123">
        <f>MINIFS(collexo_data!B:B,collexo_data!A:A,A456)</f>
        <v>0</v>
      </c>
      <c r="D456" s="120" t="str">
        <f>vlookup(A456,collexo_data!A:M,13,0)</f>
        <v>#N/A</v>
      </c>
      <c r="E456" s="122" t="str">
        <f>vlookup(A456,collexo_data!A:O,15,0)</f>
        <v>#N/A</v>
      </c>
      <c r="F456" s="120" t="str">
        <f>vlookup(A456,collexo_data!A:S,19,0)</f>
        <v>#N/A</v>
      </c>
      <c r="G456" s="122" t="str">
        <f>vlookup(A456,collexo_data!A:R,18,0)</f>
        <v>#N/A</v>
      </c>
      <c r="H456" s="122" t="str">
        <f t="shared" si="1"/>
        <v/>
      </c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  <c r="AB456" s="113"/>
      <c r="AC456" s="113"/>
      <c r="AD456" s="113"/>
      <c r="AE456" s="113"/>
      <c r="AF456" s="113"/>
    </row>
    <row r="457">
      <c r="A457" s="120"/>
      <c r="B457" s="113"/>
      <c r="C457" s="123">
        <f>MINIFS(collexo_data!B:B,collexo_data!A:A,A457)</f>
        <v>0</v>
      </c>
      <c r="D457" s="120" t="str">
        <f>vlookup(A457,collexo_data!A:M,13,0)</f>
        <v>#N/A</v>
      </c>
      <c r="E457" s="122" t="str">
        <f>vlookup(A457,collexo_data!A:O,15,0)</f>
        <v>#N/A</v>
      </c>
      <c r="F457" s="120" t="str">
        <f>vlookup(A457,collexo_data!A:S,19,0)</f>
        <v>#N/A</v>
      </c>
      <c r="G457" s="122" t="str">
        <f>vlookup(A457,collexo_data!A:R,18,0)</f>
        <v>#N/A</v>
      </c>
      <c r="H457" s="122" t="str">
        <f t="shared" si="1"/>
        <v/>
      </c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3"/>
      <c r="AC457" s="113"/>
      <c r="AD457" s="113"/>
      <c r="AE457" s="113"/>
      <c r="AF457" s="113"/>
    </row>
    <row r="458">
      <c r="A458" s="120"/>
      <c r="B458" s="113"/>
      <c r="C458" s="123">
        <f>MINIFS(collexo_data!B:B,collexo_data!A:A,A458)</f>
        <v>0</v>
      </c>
      <c r="D458" s="120" t="str">
        <f>vlookup(A458,collexo_data!A:M,13,0)</f>
        <v>#N/A</v>
      </c>
      <c r="E458" s="122" t="str">
        <f>vlookup(A458,collexo_data!A:O,15,0)</f>
        <v>#N/A</v>
      </c>
      <c r="F458" s="120" t="str">
        <f>vlookup(A458,collexo_data!A:S,19,0)</f>
        <v>#N/A</v>
      </c>
      <c r="G458" s="122" t="str">
        <f>vlookup(A458,collexo_data!A:R,18,0)</f>
        <v>#N/A</v>
      </c>
      <c r="H458" s="122" t="str">
        <f t="shared" si="1"/>
        <v/>
      </c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  <c r="AB458" s="113"/>
      <c r="AC458" s="113"/>
      <c r="AD458" s="113"/>
      <c r="AE458" s="113"/>
      <c r="AF458" s="113"/>
    </row>
    <row r="459">
      <c r="A459" s="120"/>
      <c r="B459" s="113"/>
      <c r="C459" s="123">
        <f>MINIFS(collexo_data!B:B,collexo_data!A:A,A459)</f>
        <v>0</v>
      </c>
      <c r="D459" s="120" t="str">
        <f>vlookup(A459,collexo_data!A:M,13,0)</f>
        <v>#N/A</v>
      </c>
      <c r="E459" s="122" t="str">
        <f>vlookup(A459,collexo_data!A:O,15,0)</f>
        <v>#N/A</v>
      </c>
      <c r="F459" s="120" t="str">
        <f>vlookup(A459,collexo_data!A:S,19,0)</f>
        <v>#N/A</v>
      </c>
      <c r="G459" s="122" t="str">
        <f>vlookup(A459,collexo_data!A:R,18,0)</f>
        <v>#N/A</v>
      </c>
      <c r="H459" s="122" t="str">
        <f t="shared" si="1"/>
        <v/>
      </c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3"/>
      <c r="AC459" s="113"/>
      <c r="AD459" s="113"/>
      <c r="AE459" s="113"/>
      <c r="AF459" s="113"/>
    </row>
    <row r="460">
      <c r="A460" s="120"/>
      <c r="B460" s="113"/>
      <c r="C460" s="123">
        <f>MINIFS(collexo_data!B:B,collexo_data!A:A,A460)</f>
        <v>0</v>
      </c>
      <c r="D460" s="120" t="str">
        <f>vlookup(A460,collexo_data!A:M,13,0)</f>
        <v>#N/A</v>
      </c>
      <c r="E460" s="122" t="str">
        <f>vlookup(A460,collexo_data!A:O,15,0)</f>
        <v>#N/A</v>
      </c>
      <c r="F460" s="120" t="str">
        <f>vlookup(A460,collexo_data!A:S,19,0)</f>
        <v>#N/A</v>
      </c>
      <c r="G460" s="122" t="str">
        <f>vlookup(A460,collexo_data!A:R,18,0)</f>
        <v>#N/A</v>
      </c>
      <c r="H460" s="122" t="str">
        <f t="shared" si="1"/>
        <v/>
      </c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  <c r="AB460" s="113"/>
      <c r="AC460" s="113"/>
      <c r="AD460" s="113"/>
      <c r="AE460" s="113"/>
      <c r="AF460" s="113"/>
    </row>
    <row r="461">
      <c r="A461" s="120"/>
      <c r="B461" s="113"/>
      <c r="C461" s="123">
        <f>MINIFS(collexo_data!B:B,collexo_data!A:A,A461)</f>
        <v>0</v>
      </c>
      <c r="D461" s="120" t="str">
        <f>vlookup(A461,collexo_data!A:M,13,0)</f>
        <v>#N/A</v>
      </c>
      <c r="E461" s="122" t="str">
        <f>vlookup(A461,collexo_data!A:O,15,0)</f>
        <v>#N/A</v>
      </c>
      <c r="F461" s="120" t="str">
        <f>vlookup(A461,collexo_data!A:S,19,0)</f>
        <v>#N/A</v>
      </c>
      <c r="G461" s="122" t="str">
        <f>vlookup(A461,collexo_data!A:R,18,0)</f>
        <v>#N/A</v>
      </c>
      <c r="H461" s="122" t="str">
        <f t="shared" si="1"/>
        <v/>
      </c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3"/>
      <c r="AC461" s="113"/>
      <c r="AD461" s="113"/>
      <c r="AE461" s="113"/>
      <c r="AF461" s="113"/>
    </row>
    <row r="462">
      <c r="A462" s="120"/>
      <c r="B462" s="113"/>
      <c r="C462" s="123">
        <f>MINIFS(collexo_data!B:B,collexo_data!A:A,A462)</f>
        <v>0</v>
      </c>
      <c r="D462" s="120" t="str">
        <f>vlookup(A462,collexo_data!A:M,13,0)</f>
        <v>#N/A</v>
      </c>
      <c r="E462" s="122" t="str">
        <f>vlookup(A462,collexo_data!A:O,15,0)</f>
        <v>#N/A</v>
      </c>
      <c r="F462" s="120" t="str">
        <f>vlookup(A462,collexo_data!A:S,19,0)</f>
        <v>#N/A</v>
      </c>
      <c r="G462" s="122" t="str">
        <f>vlookup(A462,collexo_data!A:R,18,0)</f>
        <v>#N/A</v>
      </c>
      <c r="H462" s="122" t="str">
        <f t="shared" si="1"/>
        <v/>
      </c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  <c r="AB462" s="113"/>
      <c r="AC462" s="113"/>
      <c r="AD462" s="113"/>
      <c r="AE462" s="113"/>
      <c r="AF462" s="113"/>
    </row>
    <row r="463">
      <c r="A463" s="120"/>
      <c r="B463" s="113"/>
      <c r="C463" s="123">
        <f>MINIFS(collexo_data!B:B,collexo_data!A:A,A463)</f>
        <v>0</v>
      </c>
      <c r="D463" s="120" t="str">
        <f>vlookup(A463,collexo_data!A:M,13,0)</f>
        <v>#N/A</v>
      </c>
      <c r="E463" s="122" t="str">
        <f>vlookup(A463,collexo_data!A:O,15,0)</f>
        <v>#N/A</v>
      </c>
      <c r="F463" s="120" t="str">
        <f>vlookup(A463,collexo_data!A:S,19,0)</f>
        <v>#N/A</v>
      </c>
      <c r="G463" s="122" t="str">
        <f>vlookup(A463,collexo_data!A:R,18,0)</f>
        <v>#N/A</v>
      </c>
      <c r="H463" s="122" t="str">
        <f t="shared" si="1"/>
        <v/>
      </c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3"/>
      <c r="AC463" s="113"/>
      <c r="AD463" s="113"/>
      <c r="AE463" s="113"/>
      <c r="AF463" s="113"/>
    </row>
    <row r="464">
      <c r="A464" s="120"/>
      <c r="B464" s="113"/>
      <c r="C464" s="123">
        <f>MINIFS(collexo_data!B:B,collexo_data!A:A,A464)</f>
        <v>0</v>
      </c>
      <c r="D464" s="120" t="str">
        <f>vlookup(A464,collexo_data!A:M,13,0)</f>
        <v>#N/A</v>
      </c>
      <c r="E464" s="122" t="str">
        <f>vlookup(A464,collexo_data!A:O,15,0)</f>
        <v>#N/A</v>
      </c>
      <c r="F464" s="120" t="str">
        <f>vlookup(A464,collexo_data!A:S,19,0)</f>
        <v>#N/A</v>
      </c>
      <c r="G464" s="122" t="str">
        <f>vlookup(A464,collexo_data!A:R,18,0)</f>
        <v>#N/A</v>
      </c>
      <c r="H464" s="122" t="str">
        <f t="shared" si="1"/>
        <v/>
      </c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  <c r="AB464" s="113"/>
      <c r="AC464" s="113"/>
      <c r="AD464" s="113"/>
      <c r="AE464" s="113"/>
      <c r="AF464" s="113"/>
    </row>
    <row r="465">
      <c r="A465" s="120"/>
      <c r="B465" s="113"/>
      <c r="C465" s="123">
        <f>MINIFS(collexo_data!B:B,collexo_data!A:A,A465)</f>
        <v>0</v>
      </c>
      <c r="D465" s="120" t="str">
        <f>vlookup(A465,collexo_data!A:M,13,0)</f>
        <v>#N/A</v>
      </c>
      <c r="E465" s="122" t="str">
        <f>vlookup(A465,collexo_data!A:O,15,0)</f>
        <v>#N/A</v>
      </c>
      <c r="F465" s="120" t="str">
        <f>vlookup(A465,collexo_data!A:S,19,0)</f>
        <v>#N/A</v>
      </c>
      <c r="G465" s="122" t="str">
        <f>vlookup(A465,collexo_data!A:R,18,0)</f>
        <v>#N/A</v>
      </c>
      <c r="H465" s="122" t="str">
        <f t="shared" si="1"/>
        <v/>
      </c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3"/>
      <c r="AC465" s="113"/>
      <c r="AD465" s="113"/>
      <c r="AE465" s="113"/>
      <c r="AF465" s="113"/>
    </row>
    <row r="466">
      <c r="A466" s="120"/>
      <c r="B466" s="113"/>
      <c r="C466" s="123">
        <f>MINIFS(collexo_data!B:B,collexo_data!A:A,A466)</f>
        <v>0</v>
      </c>
      <c r="D466" s="120" t="str">
        <f>vlookup(A466,collexo_data!A:M,13,0)</f>
        <v>#N/A</v>
      </c>
      <c r="E466" s="122" t="str">
        <f>vlookup(A466,collexo_data!A:O,15,0)</f>
        <v>#N/A</v>
      </c>
      <c r="F466" s="120" t="str">
        <f>vlookup(A466,collexo_data!A:S,19,0)</f>
        <v>#N/A</v>
      </c>
      <c r="G466" s="122" t="str">
        <f>vlookup(A466,collexo_data!A:R,18,0)</f>
        <v>#N/A</v>
      </c>
      <c r="H466" s="122" t="str">
        <f t="shared" si="1"/>
        <v/>
      </c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  <c r="AB466" s="113"/>
      <c r="AC466" s="113"/>
      <c r="AD466" s="113"/>
      <c r="AE466" s="113"/>
      <c r="AF466" s="113"/>
    </row>
    <row r="467">
      <c r="A467" s="120"/>
      <c r="B467" s="113"/>
      <c r="C467" s="123">
        <f>MINIFS(collexo_data!B:B,collexo_data!A:A,A467)</f>
        <v>0</v>
      </c>
      <c r="D467" s="120" t="str">
        <f>vlookup(A467,collexo_data!A:M,13,0)</f>
        <v>#N/A</v>
      </c>
      <c r="E467" s="122" t="str">
        <f>vlookup(A467,collexo_data!A:O,15,0)</f>
        <v>#N/A</v>
      </c>
      <c r="F467" s="120" t="str">
        <f>vlookup(A467,collexo_data!A:S,19,0)</f>
        <v>#N/A</v>
      </c>
      <c r="G467" s="122" t="str">
        <f>vlookup(A467,collexo_data!A:R,18,0)</f>
        <v>#N/A</v>
      </c>
      <c r="H467" s="122" t="str">
        <f t="shared" si="1"/>
        <v/>
      </c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3"/>
      <c r="AC467" s="113"/>
      <c r="AD467" s="113"/>
      <c r="AE467" s="113"/>
      <c r="AF467" s="113"/>
    </row>
    <row r="468">
      <c r="A468" s="120"/>
      <c r="B468" s="113"/>
      <c r="C468" s="123">
        <f>MINIFS(collexo_data!B:B,collexo_data!A:A,A468)</f>
        <v>0</v>
      </c>
      <c r="D468" s="120" t="str">
        <f>vlookup(A468,collexo_data!A:M,13,0)</f>
        <v>#N/A</v>
      </c>
      <c r="E468" s="122" t="str">
        <f>vlookup(A468,collexo_data!A:O,15,0)</f>
        <v>#N/A</v>
      </c>
      <c r="F468" s="120" t="str">
        <f>vlookup(A468,collexo_data!A:S,19,0)</f>
        <v>#N/A</v>
      </c>
      <c r="G468" s="122" t="str">
        <f>vlookup(A468,collexo_data!A:R,18,0)</f>
        <v>#N/A</v>
      </c>
      <c r="H468" s="122" t="str">
        <f t="shared" si="1"/>
        <v/>
      </c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  <c r="AB468" s="113"/>
      <c r="AC468" s="113"/>
      <c r="AD468" s="113"/>
      <c r="AE468" s="113"/>
      <c r="AF468" s="113"/>
    </row>
    <row r="469">
      <c r="A469" s="120"/>
      <c r="B469" s="113"/>
      <c r="C469" s="123">
        <f>MINIFS(collexo_data!B:B,collexo_data!A:A,A469)</f>
        <v>0</v>
      </c>
      <c r="D469" s="120" t="str">
        <f>vlookup(A469,collexo_data!A:M,13,0)</f>
        <v>#N/A</v>
      </c>
      <c r="E469" s="122" t="str">
        <f>vlookup(A469,collexo_data!A:O,15,0)</f>
        <v>#N/A</v>
      </c>
      <c r="F469" s="120" t="str">
        <f>vlookup(A469,collexo_data!A:S,19,0)</f>
        <v>#N/A</v>
      </c>
      <c r="G469" s="122" t="str">
        <f>vlookup(A469,collexo_data!A:R,18,0)</f>
        <v>#N/A</v>
      </c>
      <c r="H469" s="122" t="str">
        <f t="shared" si="1"/>
        <v/>
      </c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3"/>
      <c r="AC469" s="113"/>
      <c r="AD469" s="113"/>
      <c r="AE469" s="113"/>
      <c r="AF469" s="113"/>
    </row>
    <row r="470">
      <c r="A470" s="120"/>
      <c r="B470" s="113"/>
      <c r="C470" s="123">
        <f>MINIFS(collexo_data!B:B,collexo_data!A:A,A470)</f>
        <v>0</v>
      </c>
      <c r="D470" s="120" t="str">
        <f>vlookup(A470,collexo_data!A:M,13,0)</f>
        <v>#N/A</v>
      </c>
      <c r="E470" s="122" t="str">
        <f>vlookup(A470,collexo_data!A:O,15,0)</f>
        <v>#N/A</v>
      </c>
      <c r="F470" s="120" t="str">
        <f>vlookup(A470,collexo_data!A:S,19,0)</f>
        <v>#N/A</v>
      </c>
      <c r="G470" s="122" t="str">
        <f>vlookup(A470,collexo_data!A:R,18,0)</f>
        <v>#N/A</v>
      </c>
      <c r="H470" s="122" t="str">
        <f t="shared" si="1"/>
        <v/>
      </c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  <c r="AB470" s="113"/>
      <c r="AC470" s="113"/>
      <c r="AD470" s="113"/>
      <c r="AE470" s="113"/>
      <c r="AF470" s="113"/>
    </row>
    <row r="471">
      <c r="A471" s="120"/>
      <c r="B471" s="113"/>
      <c r="C471" s="123">
        <f>MINIFS(collexo_data!B:B,collexo_data!A:A,A471)</f>
        <v>0</v>
      </c>
      <c r="D471" s="120" t="str">
        <f>vlookup(A471,collexo_data!A:M,13,0)</f>
        <v>#N/A</v>
      </c>
      <c r="E471" s="122" t="str">
        <f>vlookup(A471,collexo_data!A:O,15,0)</f>
        <v>#N/A</v>
      </c>
      <c r="F471" s="120" t="str">
        <f>vlookup(A471,collexo_data!A:S,19,0)</f>
        <v>#N/A</v>
      </c>
      <c r="G471" s="122" t="str">
        <f>vlookup(A471,collexo_data!A:R,18,0)</f>
        <v>#N/A</v>
      </c>
      <c r="H471" s="122" t="str">
        <f t="shared" si="1"/>
        <v/>
      </c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3"/>
      <c r="AC471" s="113"/>
      <c r="AD471" s="113"/>
      <c r="AE471" s="113"/>
      <c r="AF471" s="113"/>
    </row>
    <row r="472">
      <c r="A472" s="120"/>
      <c r="B472" s="113"/>
      <c r="C472" s="123">
        <f>MINIFS(collexo_data!B:B,collexo_data!A:A,A472)</f>
        <v>0</v>
      </c>
      <c r="D472" s="120" t="str">
        <f>vlookup(A472,collexo_data!A:M,13,0)</f>
        <v>#N/A</v>
      </c>
      <c r="E472" s="122" t="str">
        <f>vlookup(A472,collexo_data!A:O,15,0)</f>
        <v>#N/A</v>
      </c>
      <c r="F472" s="120" t="str">
        <f>vlookup(A472,collexo_data!A:S,19,0)</f>
        <v>#N/A</v>
      </c>
      <c r="G472" s="122" t="str">
        <f>vlookup(A472,collexo_data!A:R,18,0)</f>
        <v>#N/A</v>
      </c>
      <c r="H472" s="122" t="str">
        <f t="shared" si="1"/>
        <v/>
      </c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  <c r="AB472" s="113"/>
      <c r="AC472" s="113"/>
      <c r="AD472" s="113"/>
      <c r="AE472" s="113"/>
      <c r="AF472" s="113"/>
    </row>
    <row r="473">
      <c r="A473" s="120"/>
      <c r="B473" s="113"/>
      <c r="C473" s="123">
        <f>MINIFS(collexo_data!B:B,collexo_data!A:A,A473)</f>
        <v>0</v>
      </c>
      <c r="D473" s="120" t="str">
        <f>vlookup(A473,collexo_data!A:M,13,0)</f>
        <v>#N/A</v>
      </c>
      <c r="E473" s="122" t="str">
        <f>vlookup(A473,collexo_data!A:O,15,0)</f>
        <v>#N/A</v>
      </c>
      <c r="F473" s="120" t="str">
        <f>vlookup(A473,collexo_data!A:S,19,0)</f>
        <v>#N/A</v>
      </c>
      <c r="G473" s="122" t="str">
        <f>vlookup(A473,collexo_data!A:R,18,0)</f>
        <v>#N/A</v>
      </c>
      <c r="H473" s="122" t="str">
        <f t="shared" si="1"/>
        <v/>
      </c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3"/>
      <c r="AC473" s="113"/>
      <c r="AD473" s="113"/>
      <c r="AE473" s="113"/>
      <c r="AF473" s="113"/>
    </row>
    <row r="474">
      <c r="A474" s="120"/>
      <c r="B474" s="113"/>
      <c r="C474" s="123">
        <f>MINIFS(collexo_data!B:B,collexo_data!A:A,A474)</f>
        <v>0</v>
      </c>
      <c r="D474" s="120" t="str">
        <f>vlookup(A474,collexo_data!A:M,13,0)</f>
        <v>#N/A</v>
      </c>
      <c r="E474" s="122" t="str">
        <f>vlookup(A474,collexo_data!A:O,15,0)</f>
        <v>#N/A</v>
      </c>
      <c r="F474" s="120" t="str">
        <f>vlookup(A474,collexo_data!A:S,19,0)</f>
        <v>#N/A</v>
      </c>
      <c r="G474" s="122" t="str">
        <f>vlookup(A474,collexo_data!A:R,18,0)</f>
        <v>#N/A</v>
      </c>
      <c r="H474" s="122" t="str">
        <f t="shared" si="1"/>
        <v/>
      </c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  <c r="AB474" s="113"/>
      <c r="AC474" s="113"/>
      <c r="AD474" s="113"/>
      <c r="AE474" s="113"/>
      <c r="AF474" s="113"/>
    </row>
    <row r="475">
      <c r="A475" s="120"/>
      <c r="B475" s="113"/>
      <c r="C475" s="123">
        <f>MINIFS(collexo_data!B:B,collexo_data!A:A,A475)</f>
        <v>0</v>
      </c>
      <c r="D475" s="120" t="str">
        <f>vlookup(A475,collexo_data!A:M,13,0)</f>
        <v>#N/A</v>
      </c>
      <c r="E475" s="122" t="str">
        <f>vlookup(A475,collexo_data!A:O,15,0)</f>
        <v>#N/A</v>
      </c>
      <c r="F475" s="120" t="str">
        <f>vlookup(A475,collexo_data!A:S,19,0)</f>
        <v>#N/A</v>
      </c>
      <c r="G475" s="122" t="str">
        <f>vlookup(A475,collexo_data!A:R,18,0)</f>
        <v>#N/A</v>
      </c>
      <c r="H475" s="122" t="str">
        <f t="shared" si="1"/>
        <v/>
      </c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3"/>
      <c r="AC475" s="113"/>
      <c r="AD475" s="113"/>
      <c r="AE475" s="113"/>
      <c r="AF475" s="113"/>
    </row>
    <row r="476">
      <c r="A476" s="120"/>
      <c r="B476" s="113"/>
      <c r="C476" s="123">
        <f>MINIFS(collexo_data!B:B,collexo_data!A:A,A476)</f>
        <v>0</v>
      </c>
      <c r="D476" s="120" t="str">
        <f>vlookup(A476,collexo_data!A:M,13,0)</f>
        <v>#N/A</v>
      </c>
      <c r="E476" s="122" t="str">
        <f>vlookup(A476,collexo_data!A:O,15,0)</f>
        <v>#N/A</v>
      </c>
      <c r="F476" s="120" t="str">
        <f>vlookup(A476,collexo_data!A:S,19,0)</f>
        <v>#N/A</v>
      </c>
      <c r="G476" s="122" t="str">
        <f>vlookup(A476,collexo_data!A:R,18,0)</f>
        <v>#N/A</v>
      </c>
      <c r="H476" s="122" t="str">
        <f t="shared" si="1"/>
        <v/>
      </c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  <c r="AB476" s="113"/>
      <c r="AC476" s="113"/>
      <c r="AD476" s="113"/>
      <c r="AE476" s="113"/>
      <c r="AF476" s="113"/>
    </row>
    <row r="477">
      <c r="A477" s="120"/>
      <c r="B477" s="113"/>
      <c r="C477" s="123">
        <f>MINIFS(collexo_data!B:B,collexo_data!A:A,A477)</f>
        <v>0</v>
      </c>
      <c r="D477" s="120" t="str">
        <f>vlookup(A477,collexo_data!A:M,13,0)</f>
        <v>#N/A</v>
      </c>
      <c r="E477" s="122" t="str">
        <f>vlookup(A477,collexo_data!A:O,15,0)</f>
        <v>#N/A</v>
      </c>
      <c r="F477" s="120" t="str">
        <f>vlookup(A477,collexo_data!A:S,19,0)</f>
        <v>#N/A</v>
      </c>
      <c r="G477" s="122" t="str">
        <f>vlookup(A477,collexo_data!A:R,18,0)</f>
        <v>#N/A</v>
      </c>
      <c r="H477" s="122" t="str">
        <f t="shared" si="1"/>
        <v/>
      </c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3"/>
      <c r="AC477" s="113"/>
      <c r="AD477" s="113"/>
      <c r="AE477" s="113"/>
      <c r="AF477" s="113"/>
    </row>
    <row r="478">
      <c r="A478" s="120"/>
      <c r="B478" s="113"/>
      <c r="C478" s="123">
        <f>MINIFS(collexo_data!B:B,collexo_data!A:A,A478)</f>
        <v>0</v>
      </c>
      <c r="D478" s="120" t="str">
        <f>vlookup(A478,collexo_data!A:M,13,0)</f>
        <v>#N/A</v>
      </c>
      <c r="E478" s="122" t="str">
        <f>vlookup(A478,collexo_data!A:O,15,0)</f>
        <v>#N/A</v>
      </c>
      <c r="F478" s="120" t="str">
        <f>vlookup(A478,collexo_data!A:S,19,0)</f>
        <v>#N/A</v>
      </c>
      <c r="G478" s="122" t="str">
        <f>vlookup(A478,collexo_data!A:R,18,0)</f>
        <v>#N/A</v>
      </c>
      <c r="H478" s="122" t="str">
        <f t="shared" si="1"/>
        <v/>
      </c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  <c r="AB478" s="113"/>
      <c r="AC478" s="113"/>
      <c r="AD478" s="113"/>
      <c r="AE478" s="113"/>
      <c r="AF478" s="113"/>
    </row>
    <row r="479">
      <c r="A479" s="120"/>
      <c r="B479" s="113"/>
      <c r="C479" s="123">
        <f>MINIFS(collexo_data!B:B,collexo_data!A:A,A479)</f>
        <v>0</v>
      </c>
      <c r="D479" s="120" t="str">
        <f>vlookup(A479,collexo_data!A:M,13,0)</f>
        <v>#N/A</v>
      </c>
      <c r="E479" s="122" t="str">
        <f>vlookup(A479,collexo_data!A:O,15,0)</f>
        <v>#N/A</v>
      </c>
      <c r="F479" s="120" t="str">
        <f>vlookup(A479,collexo_data!A:S,19,0)</f>
        <v>#N/A</v>
      </c>
      <c r="G479" s="122" t="str">
        <f>vlookup(A479,collexo_data!A:R,18,0)</f>
        <v>#N/A</v>
      </c>
      <c r="H479" s="122" t="str">
        <f t="shared" si="1"/>
        <v/>
      </c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3"/>
      <c r="AC479" s="113"/>
      <c r="AD479" s="113"/>
      <c r="AE479" s="113"/>
      <c r="AF479" s="113"/>
    </row>
    <row r="480">
      <c r="A480" s="120"/>
      <c r="B480" s="113"/>
      <c r="C480" s="123">
        <f>MINIFS(collexo_data!B:B,collexo_data!A:A,A480)</f>
        <v>0</v>
      </c>
      <c r="D480" s="120" t="str">
        <f>vlookup(A480,collexo_data!A:M,13,0)</f>
        <v>#N/A</v>
      </c>
      <c r="E480" s="122" t="str">
        <f>vlookup(A480,collexo_data!A:O,15,0)</f>
        <v>#N/A</v>
      </c>
      <c r="F480" s="120" t="str">
        <f>vlookup(A480,collexo_data!A:S,19,0)</f>
        <v>#N/A</v>
      </c>
      <c r="G480" s="122" t="str">
        <f>vlookup(A480,collexo_data!A:R,18,0)</f>
        <v>#N/A</v>
      </c>
      <c r="H480" s="122" t="str">
        <f t="shared" si="1"/>
        <v/>
      </c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  <c r="AB480" s="113"/>
      <c r="AC480" s="113"/>
      <c r="AD480" s="113"/>
      <c r="AE480" s="113"/>
      <c r="AF480" s="113"/>
    </row>
    <row r="481">
      <c r="A481" s="120"/>
      <c r="B481" s="113"/>
      <c r="C481" s="123">
        <f>MINIFS(collexo_data!B:B,collexo_data!A:A,A481)</f>
        <v>0</v>
      </c>
      <c r="D481" s="120" t="str">
        <f>vlookup(A481,collexo_data!A:M,13,0)</f>
        <v>#N/A</v>
      </c>
      <c r="E481" s="122" t="str">
        <f>vlookup(A481,collexo_data!A:O,15,0)</f>
        <v>#N/A</v>
      </c>
      <c r="F481" s="120" t="str">
        <f>vlookup(A481,collexo_data!A:S,19,0)</f>
        <v>#N/A</v>
      </c>
      <c r="G481" s="122" t="str">
        <f>vlookup(A481,collexo_data!A:R,18,0)</f>
        <v>#N/A</v>
      </c>
      <c r="H481" s="122" t="str">
        <f t="shared" si="1"/>
        <v/>
      </c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3"/>
      <c r="AC481" s="113"/>
      <c r="AD481" s="113"/>
      <c r="AE481" s="113"/>
      <c r="AF481" s="113"/>
    </row>
    <row r="482">
      <c r="A482" s="120"/>
      <c r="B482" s="113"/>
      <c r="C482" s="123">
        <f>MINIFS(collexo_data!B:B,collexo_data!A:A,A482)</f>
        <v>0</v>
      </c>
      <c r="D482" s="120" t="str">
        <f>vlookup(A482,collexo_data!A:M,13,0)</f>
        <v>#N/A</v>
      </c>
      <c r="E482" s="122" t="str">
        <f>vlookup(A482,collexo_data!A:O,15,0)</f>
        <v>#N/A</v>
      </c>
      <c r="F482" s="120" t="str">
        <f>vlookup(A482,collexo_data!A:S,19,0)</f>
        <v>#N/A</v>
      </c>
      <c r="G482" s="122" t="str">
        <f>vlookup(A482,collexo_data!A:R,18,0)</f>
        <v>#N/A</v>
      </c>
      <c r="H482" s="122" t="str">
        <f t="shared" si="1"/>
        <v/>
      </c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  <c r="AB482" s="113"/>
      <c r="AC482" s="113"/>
      <c r="AD482" s="113"/>
      <c r="AE482" s="113"/>
      <c r="AF482" s="113"/>
    </row>
    <row r="483">
      <c r="A483" s="120"/>
      <c r="B483" s="113"/>
      <c r="C483" s="123">
        <f>MINIFS(collexo_data!B:B,collexo_data!A:A,A483)</f>
        <v>0</v>
      </c>
      <c r="D483" s="120" t="str">
        <f>vlookup(A483,collexo_data!A:M,13,0)</f>
        <v>#N/A</v>
      </c>
      <c r="E483" s="122" t="str">
        <f>vlookup(A483,collexo_data!A:O,15,0)</f>
        <v>#N/A</v>
      </c>
      <c r="F483" s="120" t="str">
        <f>vlookup(A483,collexo_data!A:S,19,0)</f>
        <v>#N/A</v>
      </c>
      <c r="G483" s="122" t="str">
        <f>vlookup(A483,collexo_data!A:R,18,0)</f>
        <v>#N/A</v>
      </c>
      <c r="H483" s="122" t="str">
        <f t="shared" si="1"/>
        <v/>
      </c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3"/>
      <c r="AC483" s="113"/>
      <c r="AD483" s="113"/>
      <c r="AE483" s="113"/>
      <c r="AF483" s="113"/>
    </row>
    <row r="484">
      <c r="A484" s="120"/>
      <c r="B484" s="113"/>
      <c r="C484" s="123">
        <f>MINIFS(collexo_data!B:B,collexo_data!A:A,A484)</f>
        <v>0</v>
      </c>
      <c r="D484" s="120" t="str">
        <f>vlookup(A484,collexo_data!A:M,13,0)</f>
        <v>#N/A</v>
      </c>
      <c r="E484" s="122" t="str">
        <f>vlookup(A484,collexo_data!A:O,15,0)</f>
        <v>#N/A</v>
      </c>
      <c r="F484" s="120" t="str">
        <f>vlookup(A484,collexo_data!A:S,19,0)</f>
        <v>#N/A</v>
      </c>
      <c r="G484" s="122" t="str">
        <f>vlookup(A484,collexo_data!A:R,18,0)</f>
        <v>#N/A</v>
      </c>
      <c r="H484" s="122" t="str">
        <f t="shared" si="1"/>
        <v/>
      </c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  <c r="AB484" s="113"/>
      <c r="AC484" s="113"/>
      <c r="AD484" s="113"/>
      <c r="AE484" s="113"/>
      <c r="AF484" s="113"/>
    </row>
    <row r="485">
      <c r="A485" s="120"/>
      <c r="B485" s="113"/>
      <c r="C485" s="123">
        <f>MINIFS(collexo_data!B:B,collexo_data!A:A,A485)</f>
        <v>0</v>
      </c>
      <c r="D485" s="120" t="str">
        <f>vlookup(A485,collexo_data!A:M,13,0)</f>
        <v>#N/A</v>
      </c>
      <c r="E485" s="122" t="str">
        <f>vlookup(A485,collexo_data!A:O,15,0)</f>
        <v>#N/A</v>
      </c>
      <c r="F485" s="120" t="str">
        <f>vlookup(A485,collexo_data!A:S,19,0)</f>
        <v>#N/A</v>
      </c>
      <c r="G485" s="122" t="str">
        <f>vlookup(A485,collexo_data!A:R,18,0)</f>
        <v>#N/A</v>
      </c>
      <c r="H485" s="122" t="str">
        <f t="shared" si="1"/>
        <v/>
      </c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3"/>
      <c r="AC485" s="113"/>
      <c r="AD485" s="113"/>
      <c r="AE485" s="113"/>
      <c r="AF485" s="113"/>
    </row>
    <row r="486">
      <c r="A486" s="120"/>
      <c r="B486" s="113"/>
      <c r="C486" s="123">
        <f>MINIFS(collexo_data!B:B,collexo_data!A:A,A486)</f>
        <v>0</v>
      </c>
      <c r="D486" s="120" t="str">
        <f>vlookup(A486,collexo_data!A:M,13,0)</f>
        <v>#N/A</v>
      </c>
      <c r="E486" s="122" t="str">
        <f>vlookup(A486,collexo_data!A:O,15,0)</f>
        <v>#N/A</v>
      </c>
      <c r="F486" s="120" t="str">
        <f>vlookup(A486,collexo_data!A:S,19,0)</f>
        <v>#N/A</v>
      </c>
      <c r="G486" s="122" t="str">
        <f>vlookup(A486,collexo_data!A:R,18,0)</f>
        <v>#N/A</v>
      </c>
      <c r="H486" s="122" t="str">
        <f t="shared" si="1"/>
        <v/>
      </c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  <c r="AB486" s="113"/>
      <c r="AC486" s="113"/>
      <c r="AD486" s="113"/>
      <c r="AE486" s="113"/>
      <c r="AF486" s="113"/>
    </row>
    <row r="487">
      <c r="A487" s="120"/>
      <c r="B487" s="113"/>
      <c r="C487" s="123">
        <f>MINIFS(collexo_data!B:B,collexo_data!A:A,A487)</f>
        <v>0</v>
      </c>
      <c r="D487" s="120" t="str">
        <f>vlookup(A487,collexo_data!A:M,13,0)</f>
        <v>#N/A</v>
      </c>
      <c r="E487" s="122" t="str">
        <f>vlookup(A487,collexo_data!A:O,15,0)</f>
        <v>#N/A</v>
      </c>
      <c r="F487" s="120" t="str">
        <f>vlookup(A487,collexo_data!A:S,19,0)</f>
        <v>#N/A</v>
      </c>
      <c r="G487" s="122" t="str">
        <f>vlookup(A487,collexo_data!A:R,18,0)</f>
        <v>#N/A</v>
      </c>
      <c r="H487" s="122" t="str">
        <f t="shared" si="1"/>
        <v/>
      </c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3"/>
      <c r="AC487" s="113"/>
      <c r="AD487" s="113"/>
      <c r="AE487" s="113"/>
      <c r="AF487" s="113"/>
    </row>
    <row r="488">
      <c r="A488" s="120"/>
      <c r="B488" s="113"/>
      <c r="C488" s="123">
        <f>MINIFS(collexo_data!B:B,collexo_data!A:A,A488)</f>
        <v>0</v>
      </c>
      <c r="D488" s="120" t="str">
        <f>vlookup(A488,collexo_data!A:M,13,0)</f>
        <v>#N/A</v>
      </c>
      <c r="E488" s="122" t="str">
        <f>vlookup(A488,collexo_data!A:O,15,0)</f>
        <v>#N/A</v>
      </c>
      <c r="F488" s="120" t="str">
        <f>vlookup(A488,collexo_data!A:S,19,0)</f>
        <v>#N/A</v>
      </c>
      <c r="G488" s="122" t="str">
        <f>vlookup(A488,collexo_data!A:R,18,0)</f>
        <v>#N/A</v>
      </c>
      <c r="H488" s="122" t="str">
        <f t="shared" si="1"/>
        <v/>
      </c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  <c r="AB488" s="113"/>
      <c r="AC488" s="113"/>
      <c r="AD488" s="113"/>
      <c r="AE488" s="113"/>
      <c r="AF488" s="113"/>
    </row>
    <row r="489">
      <c r="A489" s="120"/>
      <c r="B489" s="113"/>
      <c r="C489" s="123">
        <f>MINIFS(collexo_data!B:B,collexo_data!A:A,A489)</f>
        <v>0</v>
      </c>
      <c r="D489" s="120" t="str">
        <f>vlookup(A489,collexo_data!A:M,13,0)</f>
        <v>#N/A</v>
      </c>
      <c r="E489" s="122" t="str">
        <f>vlookup(A489,collexo_data!A:O,15,0)</f>
        <v>#N/A</v>
      </c>
      <c r="F489" s="120" t="str">
        <f>vlookup(A489,collexo_data!A:S,19,0)</f>
        <v>#N/A</v>
      </c>
      <c r="G489" s="122" t="str">
        <f>vlookup(A489,collexo_data!A:R,18,0)</f>
        <v>#N/A</v>
      </c>
      <c r="H489" s="122" t="str">
        <f t="shared" si="1"/>
        <v/>
      </c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3"/>
      <c r="AC489" s="113"/>
      <c r="AD489" s="113"/>
      <c r="AE489" s="113"/>
      <c r="AF489" s="113"/>
    </row>
    <row r="490">
      <c r="A490" s="120"/>
      <c r="B490" s="113"/>
      <c r="C490" s="123">
        <f>MINIFS(collexo_data!B:B,collexo_data!A:A,A490)</f>
        <v>0</v>
      </c>
      <c r="D490" s="120" t="str">
        <f>vlookup(A490,collexo_data!A:M,13,0)</f>
        <v>#N/A</v>
      </c>
      <c r="E490" s="122" t="str">
        <f>vlookup(A490,collexo_data!A:O,15,0)</f>
        <v>#N/A</v>
      </c>
      <c r="F490" s="120" t="str">
        <f>vlookup(A490,collexo_data!A:S,19,0)</f>
        <v>#N/A</v>
      </c>
      <c r="G490" s="122" t="str">
        <f>vlookup(A490,collexo_data!A:R,18,0)</f>
        <v>#N/A</v>
      </c>
      <c r="H490" s="122" t="str">
        <f t="shared" si="1"/>
        <v/>
      </c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  <c r="AB490" s="113"/>
      <c r="AC490" s="113"/>
      <c r="AD490" s="113"/>
      <c r="AE490" s="113"/>
      <c r="AF490" s="113"/>
    </row>
    <row r="491">
      <c r="A491" s="120"/>
      <c r="B491" s="113"/>
      <c r="C491" s="123">
        <f>MINIFS(collexo_data!B:B,collexo_data!A:A,A491)</f>
        <v>0</v>
      </c>
      <c r="D491" s="120" t="str">
        <f>vlookup(A491,collexo_data!A:M,13,0)</f>
        <v>#N/A</v>
      </c>
      <c r="E491" s="122" t="str">
        <f>vlookup(A491,collexo_data!A:O,15,0)</f>
        <v>#N/A</v>
      </c>
      <c r="F491" s="120" t="str">
        <f>vlookup(A491,collexo_data!A:S,19,0)</f>
        <v>#N/A</v>
      </c>
      <c r="G491" s="122" t="str">
        <f>vlookup(A491,collexo_data!A:R,18,0)</f>
        <v>#N/A</v>
      </c>
      <c r="H491" s="122" t="str">
        <f t="shared" si="1"/>
        <v/>
      </c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3"/>
      <c r="AC491" s="113"/>
      <c r="AD491" s="113"/>
      <c r="AE491" s="113"/>
      <c r="AF491" s="113"/>
    </row>
    <row r="492">
      <c r="A492" s="120"/>
      <c r="B492" s="113"/>
      <c r="C492" s="123">
        <f>MINIFS(collexo_data!B:B,collexo_data!A:A,A492)</f>
        <v>0</v>
      </c>
      <c r="D492" s="120" t="str">
        <f>vlookup(A492,collexo_data!A:M,13,0)</f>
        <v>#N/A</v>
      </c>
      <c r="E492" s="122" t="str">
        <f>vlookup(A492,collexo_data!A:O,15,0)</f>
        <v>#N/A</v>
      </c>
      <c r="F492" s="120" t="str">
        <f>vlookup(A492,collexo_data!A:S,19,0)</f>
        <v>#N/A</v>
      </c>
      <c r="G492" s="122" t="str">
        <f>vlookup(A492,collexo_data!A:R,18,0)</f>
        <v>#N/A</v>
      </c>
      <c r="H492" s="122" t="str">
        <f t="shared" si="1"/>
        <v/>
      </c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  <c r="AB492" s="113"/>
      <c r="AC492" s="113"/>
      <c r="AD492" s="113"/>
      <c r="AE492" s="113"/>
      <c r="AF492" s="113"/>
    </row>
    <row r="493">
      <c r="A493" s="120"/>
      <c r="B493" s="113"/>
      <c r="C493" s="123">
        <f>MINIFS(collexo_data!B:B,collexo_data!A:A,A493)</f>
        <v>0</v>
      </c>
      <c r="D493" s="120" t="str">
        <f>vlookup(A493,collexo_data!A:M,13,0)</f>
        <v>#N/A</v>
      </c>
      <c r="E493" s="122" t="str">
        <f>vlookup(A493,collexo_data!A:O,15,0)</f>
        <v>#N/A</v>
      </c>
      <c r="F493" s="120" t="str">
        <f>vlookup(A493,collexo_data!A:S,19,0)</f>
        <v>#N/A</v>
      </c>
      <c r="G493" s="122" t="str">
        <f>vlookup(A493,collexo_data!A:R,18,0)</f>
        <v>#N/A</v>
      </c>
      <c r="H493" s="122" t="str">
        <f t="shared" si="1"/>
        <v/>
      </c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3"/>
      <c r="AC493" s="113"/>
      <c r="AD493" s="113"/>
      <c r="AE493" s="113"/>
      <c r="AF493" s="113"/>
    </row>
    <row r="494">
      <c r="A494" s="120"/>
      <c r="B494" s="113"/>
      <c r="C494" s="123">
        <f>MINIFS(collexo_data!B:B,collexo_data!A:A,A494)</f>
        <v>0</v>
      </c>
      <c r="D494" s="120" t="str">
        <f>vlookup(A494,collexo_data!A:M,13,0)</f>
        <v>#N/A</v>
      </c>
      <c r="E494" s="122" t="str">
        <f>vlookup(A494,collexo_data!A:O,15,0)</f>
        <v>#N/A</v>
      </c>
      <c r="F494" s="120" t="str">
        <f>vlookup(A494,collexo_data!A:S,19,0)</f>
        <v>#N/A</v>
      </c>
      <c r="G494" s="122" t="str">
        <f>vlookup(A494,collexo_data!A:R,18,0)</f>
        <v>#N/A</v>
      </c>
      <c r="H494" s="122" t="str">
        <f t="shared" si="1"/>
        <v/>
      </c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  <c r="AB494" s="113"/>
      <c r="AC494" s="113"/>
      <c r="AD494" s="113"/>
      <c r="AE494" s="113"/>
      <c r="AF494" s="113"/>
    </row>
    <row r="495">
      <c r="A495" s="120"/>
      <c r="B495" s="113"/>
      <c r="C495" s="123">
        <f>MINIFS(collexo_data!B:B,collexo_data!A:A,A495)</f>
        <v>0</v>
      </c>
      <c r="D495" s="120" t="str">
        <f>vlookup(A495,collexo_data!A:M,13,0)</f>
        <v>#N/A</v>
      </c>
      <c r="E495" s="122" t="str">
        <f>vlookup(A495,collexo_data!A:O,15,0)</f>
        <v>#N/A</v>
      </c>
      <c r="F495" s="120" t="str">
        <f>vlookup(A495,collexo_data!A:S,19,0)</f>
        <v>#N/A</v>
      </c>
      <c r="G495" s="122" t="str">
        <f>vlookup(A495,collexo_data!A:R,18,0)</f>
        <v>#N/A</v>
      </c>
      <c r="H495" s="122" t="str">
        <f t="shared" si="1"/>
        <v/>
      </c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3"/>
      <c r="AC495" s="113"/>
      <c r="AD495" s="113"/>
      <c r="AE495" s="113"/>
      <c r="AF495" s="113"/>
    </row>
    <row r="496">
      <c r="A496" s="120"/>
      <c r="B496" s="113"/>
      <c r="C496" s="123">
        <f>MINIFS(collexo_data!B:B,collexo_data!A:A,A496)</f>
        <v>0</v>
      </c>
      <c r="D496" s="120" t="str">
        <f>vlookup(A496,collexo_data!A:M,13,0)</f>
        <v>#N/A</v>
      </c>
      <c r="E496" s="122" t="str">
        <f>vlookup(A496,collexo_data!A:O,15,0)</f>
        <v>#N/A</v>
      </c>
      <c r="F496" s="120" t="str">
        <f>vlookup(A496,collexo_data!A:S,19,0)</f>
        <v>#N/A</v>
      </c>
      <c r="G496" s="122" t="str">
        <f>vlookup(A496,collexo_data!A:R,18,0)</f>
        <v>#N/A</v>
      </c>
      <c r="H496" s="122" t="str">
        <f t="shared" si="1"/>
        <v/>
      </c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  <c r="AB496" s="113"/>
      <c r="AC496" s="113"/>
      <c r="AD496" s="113"/>
      <c r="AE496" s="113"/>
      <c r="AF496" s="113"/>
    </row>
    <row r="497">
      <c r="A497" s="120"/>
      <c r="B497" s="113"/>
      <c r="C497" s="123">
        <f>MINIFS(collexo_data!B:B,collexo_data!A:A,A497)</f>
        <v>0</v>
      </c>
      <c r="D497" s="120" t="str">
        <f>vlookup(A497,collexo_data!A:M,13,0)</f>
        <v>#N/A</v>
      </c>
      <c r="E497" s="122" t="str">
        <f>vlookup(A497,collexo_data!A:O,15,0)</f>
        <v>#N/A</v>
      </c>
      <c r="F497" s="120" t="str">
        <f>vlookup(A497,collexo_data!A:S,19,0)</f>
        <v>#N/A</v>
      </c>
      <c r="G497" s="122" t="str">
        <f>vlookup(A497,collexo_data!A:R,18,0)</f>
        <v>#N/A</v>
      </c>
      <c r="H497" s="122" t="str">
        <f t="shared" si="1"/>
        <v/>
      </c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3"/>
      <c r="AC497" s="113"/>
      <c r="AD497" s="113"/>
      <c r="AE497" s="113"/>
      <c r="AF497" s="113"/>
    </row>
    <row r="498">
      <c r="A498" s="120"/>
      <c r="B498" s="113"/>
      <c r="C498" s="123">
        <f>MINIFS(collexo_data!B:B,collexo_data!A:A,A498)</f>
        <v>0</v>
      </c>
      <c r="D498" s="120" t="str">
        <f>vlookup(A498,collexo_data!A:M,13,0)</f>
        <v>#N/A</v>
      </c>
      <c r="E498" s="122" t="str">
        <f>vlookup(A498,collexo_data!A:O,15,0)</f>
        <v>#N/A</v>
      </c>
      <c r="F498" s="120" t="str">
        <f>vlookup(A498,collexo_data!A:S,19,0)</f>
        <v>#N/A</v>
      </c>
      <c r="G498" s="122" t="str">
        <f>vlookup(A498,collexo_data!A:R,18,0)</f>
        <v>#N/A</v>
      </c>
      <c r="H498" s="122" t="str">
        <f t="shared" si="1"/>
        <v/>
      </c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  <c r="AB498" s="113"/>
      <c r="AC498" s="113"/>
      <c r="AD498" s="113"/>
      <c r="AE498" s="113"/>
      <c r="AF498" s="113"/>
    </row>
    <row r="499">
      <c r="A499" s="120"/>
      <c r="B499" s="113"/>
      <c r="C499" s="123">
        <f>MINIFS(collexo_data!B:B,collexo_data!A:A,A499)</f>
        <v>0</v>
      </c>
      <c r="D499" s="120" t="str">
        <f>vlookup(A499,collexo_data!A:M,13,0)</f>
        <v>#N/A</v>
      </c>
      <c r="E499" s="122" t="str">
        <f>vlookup(A499,collexo_data!A:O,15,0)</f>
        <v>#N/A</v>
      </c>
      <c r="F499" s="120" t="str">
        <f>vlookup(A499,collexo_data!A:S,19,0)</f>
        <v>#N/A</v>
      </c>
      <c r="G499" s="122" t="str">
        <f>vlookup(A499,collexo_data!A:R,18,0)</f>
        <v>#N/A</v>
      </c>
      <c r="H499" s="122" t="str">
        <f t="shared" si="1"/>
        <v/>
      </c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3"/>
      <c r="AC499" s="113"/>
      <c r="AD499" s="113"/>
      <c r="AE499" s="113"/>
      <c r="AF499" s="113"/>
    </row>
    <row r="500">
      <c r="A500" s="120"/>
      <c r="B500" s="113"/>
      <c r="C500" s="123">
        <f>MINIFS(collexo_data!B:B,collexo_data!A:A,A500)</f>
        <v>0</v>
      </c>
      <c r="D500" s="120" t="str">
        <f>vlookup(A500,collexo_data!A:M,13,0)</f>
        <v>#N/A</v>
      </c>
      <c r="E500" s="122" t="str">
        <f>vlookup(A500,collexo_data!A:O,15,0)</f>
        <v>#N/A</v>
      </c>
      <c r="F500" s="120" t="str">
        <f>vlookup(A500,collexo_data!A:S,19,0)</f>
        <v>#N/A</v>
      </c>
      <c r="G500" s="122" t="str">
        <f>vlookup(A500,collexo_data!A:R,18,0)</f>
        <v>#N/A</v>
      </c>
      <c r="H500" s="122" t="str">
        <f t="shared" si="1"/>
        <v/>
      </c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  <c r="AB500" s="113"/>
      <c r="AC500" s="113"/>
      <c r="AD500" s="113"/>
      <c r="AE500" s="113"/>
      <c r="AF500" s="113"/>
    </row>
    <row r="501">
      <c r="A501" s="120"/>
      <c r="B501" s="113"/>
      <c r="C501" s="123">
        <f>MINIFS(collexo_data!B:B,collexo_data!A:A,A501)</f>
        <v>0</v>
      </c>
      <c r="D501" s="120" t="str">
        <f>vlookup(A501,collexo_data!A:M,13,0)</f>
        <v>#N/A</v>
      </c>
      <c r="E501" s="122" t="str">
        <f>vlookup(A501,collexo_data!A:O,15,0)</f>
        <v>#N/A</v>
      </c>
      <c r="F501" s="120" t="str">
        <f>vlookup(A501,collexo_data!A:S,19,0)</f>
        <v>#N/A</v>
      </c>
      <c r="G501" s="122" t="str">
        <f>vlookup(A501,collexo_data!A:R,18,0)</f>
        <v>#N/A</v>
      </c>
      <c r="H501" s="122" t="str">
        <f t="shared" si="1"/>
        <v/>
      </c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  <c r="AB501" s="113"/>
      <c r="AC501" s="113"/>
      <c r="AD501" s="113"/>
      <c r="AE501" s="113"/>
      <c r="AF501" s="113"/>
    </row>
    <row r="502">
      <c r="A502" s="120"/>
      <c r="B502" s="113"/>
      <c r="C502" s="123">
        <f>MINIFS(collexo_data!B:B,collexo_data!A:A,A502)</f>
        <v>0</v>
      </c>
      <c r="D502" s="120" t="str">
        <f>vlookup(A502,collexo_data!A:M,13,0)</f>
        <v>#N/A</v>
      </c>
      <c r="E502" s="122" t="str">
        <f>vlookup(A502,collexo_data!A:O,15,0)</f>
        <v>#N/A</v>
      </c>
      <c r="F502" s="120" t="str">
        <f>vlookup(A502,collexo_data!A:S,19,0)</f>
        <v>#N/A</v>
      </c>
      <c r="G502" s="122" t="str">
        <f>vlookup(A502,collexo_data!A:R,18,0)</f>
        <v>#N/A</v>
      </c>
      <c r="H502" s="122" t="str">
        <f t="shared" si="1"/>
        <v/>
      </c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  <c r="AB502" s="113"/>
      <c r="AC502" s="113"/>
      <c r="AD502" s="113"/>
      <c r="AE502" s="113"/>
      <c r="AF502" s="113"/>
    </row>
    <row r="503">
      <c r="A503" s="120"/>
      <c r="B503" s="113"/>
      <c r="C503" s="123">
        <f>MINIFS(collexo_data!B:B,collexo_data!A:A,A503)</f>
        <v>0</v>
      </c>
      <c r="D503" s="120" t="str">
        <f>vlookup(A503,collexo_data!A:M,13,0)</f>
        <v>#N/A</v>
      </c>
      <c r="E503" s="122" t="str">
        <f>vlookup(A503,collexo_data!A:O,15,0)</f>
        <v>#N/A</v>
      </c>
      <c r="F503" s="120" t="str">
        <f>vlookup(A503,collexo_data!A:S,19,0)</f>
        <v>#N/A</v>
      </c>
      <c r="G503" s="122" t="str">
        <f>vlookup(A503,collexo_data!A:R,18,0)</f>
        <v>#N/A</v>
      </c>
      <c r="H503" s="122" t="str">
        <f t="shared" si="1"/>
        <v/>
      </c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  <c r="AB503" s="113"/>
      <c r="AC503" s="113"/>
      <c r="AD503" s="113"/>
      <c r="AE503" s="113"/>
      <c r="AF503" s="113"/>
    </row>
    <row r="504">
      <c r="A504" s="120"/>
      <c r="B504" s="113"/>
      <c r="C504" s="123">
        <f>MINIFS(collexo_data!B:B,collexo_data!A:A,A504)</f>
        <v>0</v>
      </c>
      <c r="D504" s="120" t="str">
        <f>vlookup(A504,collexo_data!A:M,13,0)</f>
        <v>#N/A</v>
      </c>
      <c r="E504" s="122" t="str">
        <f>vlookup(A504,collexo_data!A:O,15,0)</f>
        <v>#N/A</v>
      </c>
      <c r="F504" s="120" t="str">
        <f>vlookup(A504,collexo_data!A:S,19,0)</f>
        <v>#N/A</v>
      </c>
      <c r="G504" s="122" t="str">
        <f>vlookup(A504,collexo_data!A:R,18,0)</f>
        <v>#N/A</v>
      </c>
      <c r="H504" s="122" t="str">
        <f t="shared" si="1"/>
        <v/>
      </c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  <c r="AB504" s="113"/>
      <c r="AC504" s="113"/>
      <c r="AD504" s="113"/>
      <c r="AE504" s="113"/>
      <c r="AF504" s="113"/>
    </row>
    <row r="505">
      <c r="A505" s="120"/>
      <c r="B505" s="113"/>
      <c r="C505" s="123">
        <f>MINIFS(collexo_data!B:B,collexo_data!A:A,A505)</f>
        <v>0</v>
      </c>
      <c r="D505" s="120" t="str">
        <f>vlookup(A505,collexo_data!A:M,13,0)</f>
        <v>#N/A</v>
      </c>
      <c r="E505" s="122" t="str">
        <f>vlookup(A505,collexo_data!A:O,15,0)</f>
        <v>#N/A</v>
      </c>
      <c r="F505" s="120" t="str">
        <f>vlookup(A505,collexo_data!A:S,19,0)</f>
        <v>#N/A</v>
      </c>
      <c r="G505" s="122" t="str">
        <f>vlookup(A505,collexo_data!A:R,18,0)</f>
        <v>#N/A</v>
      </c>
      <c r="H505" s="122" t="str">
        <f t="shared" si="1"/>
        <v/>
      </c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  <c r="AB505" s="113"/>
      <c r="AC505" s="113"/>
      <c r="AD505" s="113"/>
      <c r="AE505" s="113"/>
      <c r="AF505" s="113"/>
    </row>
    <row r="506">
      <c r="A506" s="120"/>
      <c r="B506" s="113"/>
      <c r="C506" s="123">
        <f>MINIFS(collexo_data!B:B,collexo_data!A:A,A506)</f>
        <v>0</v>
      </c>
      <c r="D506" s="120" t="str">
        <f>vlookup(A506,collexo_data!A:M,13,0)</f>
        <v>#N/A</v>
      </c>
      <c r="E506" s="122" t="str">
        <f>vlookup(A506,collexo_data!A:O,15,0)</f>
        <v>#N/A</v>
      </c>
      <c r="F506" s="120" t="str">
        <f>vlookup(A506,collexo_data!A:S,19,0)</f>
        <v>#N/A</v>
      </c>
      <c r="G506" s="122" t="str">
        <f>vlookup(A506,collexo_data!A:R,18,0)</f>
        <v>#N/A</v>
      </c>
      <c r="H506" s="122" t="str">
        <f t="shared" si="1"/>
        <v/>
      </c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  <c r="AB506" s="113"/>
      <c r="AC506" s="113"/>
      <c r="AD506" s="113"/>
      <c r="AE506" s="113"/>
      <c r="AF506" s="113"/>
    </row>
    <row r="507">
      <c r="A507" s="120"/>
      <c r="B507" s="113"/>
      <c r="C507" s="123">
        <f>MINIFS(collexo_data!B:B,collexo_data!A:A,A507)</f>
        <v>0</v>
      </c>
      <c r="D507" s="120" t="str">
        <f>vlookup(A507,collexo_data!A:M,13,0)</f>
        <v>#N/A</v>
      </c>
      <c r="E507" s="122" t="str">
        <f>vlookup(A507,collexo_data!A:O,15,0)</f>
        <v>#N/A</v>
      </c>
      <c r="F507" s="120" t="str">
        <f>vlookup(A507,collexo_data!A:S,19,0)</f>
        <v>#N/A</v>
      </c>
      <c r="G507" s="122" t="str">
        <f>vlookup(A507,collexo_data!A:R,18,0)</f>
        <v>#N/A</v>
      </c>
      <c r="H507" s="122" t="str">
        <f t="shared" si="1"/>
        <v/>
      </c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  <c r="AB507" s="113"/>
      <c r="AC507" s="113"/>
      <c r="AD507" s="113"/>
      <c r="AE507" s="113"/>
      <c r="AF507" s="113"/>
    </row>
    <row r="508">
      <c r="A508" s="120"/>
      <c r="B508" s="113"/>
      <c r="C508" s="123">
        <f>MINIFS(collexo_data!B:B,collexo_data!A:A,A508)</f>
        <v>0</v>
      </c>
      <c r="D508" s="120" t="str">
        <f>vlookup(A508,collexo_data!A:M,13,0)</f>
        <v>#N/A</v>
      </c>
      <c r="E508" s="122" t="str">
        <f>vlookup(A508,collexo_data!A:O,15,0)</f>
        <v>#N/A</v>
      </c>
      <c r="F508" s="120" t="str">
        <f>vlookup(A508,collexo_data!A:S,19,0)</f>
        <v>#N/A</v>
      </c>
      <c r="G508" s="122" t="str">
        <f>vlookup(A508,collexo_data!A:R,18,0)</f>
        <v>#N/A</v>
      </c>
      <c r="H508" s="122" t="str">
        <f t="shared" si="1"/>
        <v/>
      </c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  <c r="AB508" s="113"/>
      <c r="AC508" s="113"/>
      <c r="AD508" s="113"/>
      <c r="AE508" s="113"/>
      <c r="AF508" s="113"/>
    </row>
    <row r="509">
      <c r="A509" s="120"/>
      <c r="B509" s="113"/>
      <c r="C509" s="123">
        <f>MINIFS(collexo_data!B:B,collexo_data!A:A,A509)</f>
        <v>0</v>
      </c>
      <c r="D509" s="120" t="str">
        <f>vlookup(A509,collexo_data!A:M,13,0)</f>
        <v>#N/A</v>
      </c>
      <c r="E509" s="122" t="str">
        <f>vlookup(A509,collexo_data!A:O,15,0)</f>
        <v>#N/A</v>
      </c>
      <c r="F509" s="120" t="str">
        <f>vlookup(A509,collexo_data!A:S,19,0)</f>
        <v>#N/A</v>
      </c>
      <c r="G509" s="122" t="str">
        <f>vlookup(A509,collexo_data!A:R,18,0)</f>
        <v>#N/A</v>
      </c>
      <c r="H509" s="122" t="str">
        <f t="shared" si="1"/>
        <v/>
      </c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  <c r="AB509" s="113"/>
      <c r="AC509" s="113"/>
      <c r="AD509" s="113"/>
      <c r="AE509" s="113"/>
      <c r="AF509" s="113"/>
    </row>
    <row r="510">
      <c r="A510" s="120"/>
      <c r="B510" s="113"/>
      <c r="C510" s="123">
        <f>MINIFS(collexo_data!B:B,collexo_data!A:A,A510)</f>
        <v>0</v>
      </c>
      <c r="D510" s="120" t="str">
        <f>vlookup(A510,collexo_data!A:M,13,0)</f>
        <v>#N/A</v>
      </c>
      <c r="E510" s="122" t="str">
        <f>vlookup(A510,collexo_data!A:O,15,0)</f>
        <v>#N/A</v>
      </c>
      <c r="F510" s="120" t="str">
        <f>vlookup(A510,collexo_data!A:S,19,0)</f>
        <v>#N/A</v>
      </c>
      <c r="G510" s="122" t="str">
        <f>vlookup(A510,collexo_data!A:R,18,0)</f>
        <v>#N/A</v>
      </c>
      <c r="H510" s="122" t="str">
        <f t="shared" si="1"/>
        <v/>
      </c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  <c r="AB510" s="113"/>
      <c r="AC510" s="113"/>
      <c r="AD510" s="113"/>
      <c r="AE510" s="113"/>
      <c r="AF510" s="113"/>
    </row>
    <row r="511">
      <c r="A511" s="120"/>
      <c r="B511" s="113"/>
      <c r="C511" s="123">
        <f>MINIFS(collexo_data!B:B,collexo_data!A:A,A511)</f>
        <v>0</v>
      </c>
      <c r="D511" s="120" t="str">
        <f>vlookup(A511,collexo_data!A:M,13,0)</f>
        <v>#N/A</v>
      </c>
      <c r="E511" s="122" t="str">
        <f>vlookup(A511,collexo_data!A:O,15,0)</f>
        <v>#N/A</v>
      </c>
      <c r="F511" s="120" t="str">
        <f>vlookup(A511,collexo_data!A:S,19,0)</f>
        <v>#N/A</v>
      </c>
      <c r="G511" s="122" t="str">
        <f>vlookup(A511,collexo_data!A:R,18,0)</f>
        <v>#N/A</v>
      </c>
      <c r="H511" s="122" t="str">
        <f t="shared" si="1"/>
        <v/>
      </c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  <c r="AB511" s="113"/>
      <c r="AC511" s="113"/>
      <c r="AD511" s="113"/>
      <c r="AE511" s="113"/>
      <c r="AF511" s="113"/>
    </row>
    <row r="512">
      <c r="A512" s="120"/>
      <c r="B512" s="113"/>
      <c r="C512" s="123">
        <f>MINIFS(collexo_data!B:B,collexo_data!A:A,A512)</f>
        <v>0</v>
      </c>
      <c r="D512" s="120" t="str">
        <f>vlookup(A512,collexo_data!A:M,13,0)</f>
        <v>#N/A</v>
      </c>
      <c r="E512" s="122" t="str">
        <f>vlookup(A512,collexo_data!A:O,15,0)</f>
        <v>#N/A</v>
      </c>
      <c r="F512" s="120" t="str">
        <f>vlookup(A512,collexo_data!A:S,19,0)</f>
        <v>#N/A</v>
      </c>
      <c r="G512" s="122" t="str">
        <f>vlookup(A512,collexo_data!A:R,18,0)</f>
        <v>#N/A</v>
      </c>
      <c r="H512" s="122" t="str">
        <f t="shared" si="1"/>
        <v/>
      </c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  <c r="AB512" s="113"/>
      <c r="AC512" s="113"/>
      <c r="AD512" s="113"/>
      <c r="AE512" s="113"/>
      <c r="AF512" s="113"/>
    </row>
    <row r="513">
      <c r="A513" s="120"/>
      <c r="B513" s="113"/>
      <c r="C513" s="123">
        <f>MINIFS(collexo_data!B:B,collexo_data!A:A,A513)</f>
        <v>0</v>
      </c>
      <c r="D513" s="120" t="str">
        <f>vlookup(A513,collexo_data!A:M,13,0)</f>
        <v>#N/A</v>
      </c>
      <c r="E513" s="122" t="str">
        <f>vlookup(A513,collexo_data!A:O,15,0)</f>
        <v>#N/A</v>
      </c>
      <c r="F513" s="120" t="str">
        <f>vlookup(A513,collexo_data!A:S,19,0)</f>
        <v>#N/A</v>
      </c>
      <c r="G513" s="122" t="str">
        <f>vlookup(A513,collexo_data!A:R,18,0)</f>
        <v>#N/A</v>
      </c>
      <c r="H513" s="122" t="str">
        <f t="shared" si="1"/>
        <v/>
      </c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  <c r="AB513" s="113"/>
      <c r="AC513" s="113"/>
      <c r="AD513" s="113"/>
      <c r="AE513" s="113"/>
      <c r="AF513" s="113"/>
    </row>
    <row r="514">
      <c r="A514" s="120"/>
      <c r="B514" s="113"/>
      <c r="C514" s="123">
        <f>MINIFS(collexo_data!B:B,collexo_data!A:A,A514)</f>
        <v>0</v>
      </c>
      <c r="D514" s="120" t="str">
        <f>vlookup(A514,collexo_data!A:M,13,0)</f>
        <v>#N/A</v>
      </c>
      <c r="E514" s="122" t="str">
        <f>vlookup(A514,collexo_data!A:O,15,0)</f>
        <v>#N/A</v>
      </c>
      <c r="F514" s="120" t="str">
        <f>vlookup(A514,collexo_data!A:S,19,0)</f>
        <v>#N/A</v>
      </c>
      <c r="G514" s="122" t="str">
        <f>vlookup(A514,collexo_data!A:R,18,0)</f>
        <v>#N/A</v>
      </c>
      <c r="H514" s="122" t="str">
        <f t="shared" si="1"/>
        <v/>
      </c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  <c r="AB514" s="113"/>
      <c r="AC514" s="113"/>
      <c r="AD514" s="113"/>
      <c r="AE514" s="113"/>
      <c r="AF514" s="113"/>
    </row>
    <row r="515">
      <c r="A515" s="120"/>
      <c r="B515" s="113"/>
      <c r="C515" s="123">
        <f>MINIFS(collexo_data!B:B,collexo_data!A:A,A515)</f>
        <v>0</v>
      </c>
      <c r="D515" s="120" t="str">
        <f>vlookup(A515,collexo_data!A:M,13,0)</f>
        <v>#N/A</v>
      </c>
      <c r="E515" s="122" t="str">
        <f>vlookup(A515,collexo_data!A:O,15,0)</f>
        <v>#N/A</v>
      </c>
      <c r="F515" s="120" t="str">
        <f>vlookup(A515,collexo_data!A:S,19,0)</f>
        <v>#N/A</v>
      </c>
      <c r="G515" s="122" t="str">
        <f>vlookup(A515,collexo_data!A:R,18,0)</f>
        <v>#N/A</v>
      </c>
      <c r="H515" s="122" t="str">
        <f t="shared" si="1"/>
        <v/>
      </c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  <c r="AB515" s="113"/>
      <c r="AC515" s="113"/>
      <c r="AD515" s="113"/>
      <c r="AE515" s="113"/>
      <c r="AF515" s="113"/>
    </row>
    <row r="516">
      <c r="A516" s="120"/>
      <c r="B516" s="113"/>
      <c r="C516" s="123">
        <f>MINIFS(collexo_data!B:B,collexo_data!A:A,A516)</f>
        <v>0</v>
      </c>
      <c r="D516" s="120" t="str">
        <f>vlookup(A516,collexo_data!A:M,13,0)</f>
        <v>#N/A</v>
      </c>
      <c r="E516" s="122" t="str">
        <f>vlookup(A516,collexo_data!A:O,15,0)</f>
        <v>#N/A</v>
      </c>
      <c r="F516" s="120" t="str">
        <f>vlookup(A516,collexo_data!A:S,19,0)</f>
        <v>#N/A</v>
      </c>
      <c r="G516" s="122" t="str">
        <f>vlookup(A516,collexo_data!A:R,18,0)</f>
        <v>#N/A</v>
      </c>
      <c r="H516" s="122" t="str">
        <f t="shared" si="1"/>
        <v/>
      </c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  <c r="AB516" s="113"/>
      <c r="AC516" s="113"/>
      <c r="AD516" s="113"/>
      <c r="AE516" s="113"/>
      <c r="AF516" s="113"/>
    </row>
    <row r="517">
      <c r="A517" s="120"/>
      <c r="B517" s="113"/>
      <c r="C517" s="123">
        <f>MINIFS(collexo_data!B:B,collexo_data!A:A,A517)</f>
        <v>0</v>
      </c>
      <c r="D517" s="120" t="str">
        <f>vlookup(A517,collexo_data!A:M,13,0)</f>
        <v>#N/A</v>
      </c>
      <c r="E517" s="122" t="str">
        <f>vlookup(A517,collexo_data!A:O,15,0)</f>
        <v>#N/A</v>
      </c>
      <c r="F517" s="120" t="str">
        <f>vlookup(A517,collexo_data!A:S,19,0)</f>
        <v>#N/A</v>
      </c>
      <c r="G517" s="122" t="str">
        <f>vlookup(A517,collexo_data!A:R,18,0)</f>
        <v>#N/A</v>
      </c>
      <c r="H517" s="122" t="str">
        <f t="shared" si="1"/>
        <v/>
      </c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  <c r="AB517" s="113"/>
      <c r="AC517" s="113"/>
      <c r="AD517" s="113"/>
      <c r="AE517" s="113"/>
      <c r="AF517" s="113"/>
    </row>
    <row r="518">
      <c r="A518" s="120"/>
      <c r="B518" s="113"/>
      <c r="C518" s="123">
        <f>MINIFS(collexo_data!B:B,collexo_data!A:A,A518)</f>
        <v>0</v>
      </c>
      <c r="D518" s="120" t="str">
        <f>vlookup(A518,collexo_data!A:M,13,0)</f>
        <v>#N/A</v>
      </c>
      <c r="E518" s="122" t="str">
        <f>vlookup(A518,collexo_data!A:O,15,0)</f>
        <v>#N/A</v>
      </c>
      <c r="F518" s="120" t="str">
        <f>vlookup(A518,collexo_data!A:S,19,0)</f>
        <v>#N/A</v>
      </c>
      <c r="G518" s="122" t="str">
        <f>vlookup(A518,collexo_data!A:R,18,0)</f>
        <v>#N/A</v>
      </c>
      <c r="H518" s="122" t="str">
        <f t="shared" si="1"/>
        <v/>
      </c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  <c r="AB518" s="113"/>
      <c r="AC518" s="113"/>
      <c r="AD518" s="113"/>
      <c r="AE518" s="113"/>
      <c r="AF518" s="113"/>
    </row>
    <row r="519">
      <c r="A519" s="120"/>
      <c r="B519" s="113"/>
      <c r="C519" s="123">
        <f>MINIFS(collexo_data!B:B,collexo_data!A:A,A519)</f>
        <v>0</v>
      </c>
      <c r="D519" s="120" t="str">
        <f>vlookup(A519,collexo_data!A:M,13,0)</f>
        <v>#N/A</v>
      </c>
      <c r="E519" s="122" t="str">
        <f>vlookup(A519,collexo_data!A:O,15,0)</f>
        <v>#N/A</v>
      </c>
      <c r="F519" s="120" t="str">
        <f>vlookup(A519,collexo_data!A:S,19,0)</f>
        <v>#N/A</v>
      </c>
      <c r="G519" s="122" t="str">
        <f>vlookup(A519,collexo_data!A:R,18,0)</f>
        <v>#N/A</v>
      </c>
      <c r="H519" s="122" t="str">
        <f t="shared" si="1"/>
        <v/>
      </c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  <c r="AB519" s="113"/>
      <c r="AC519" s="113"/>
      <c r="AD519" s="113"/>
      <c r="AE519" s="113"/>
      <c r="AF519" s="113"/>
    </row>
    <row r="520">
      <c r="A520" s="120"/>
      <c r="B520" s="113"/>
      <c r="C520" s="123">
        <f>MINIFS(collexo_data!B:B,collexo_data!A:A,A520)</f>
        <v>0</v>
      </c>
      <c r="D520" s="120" t="str">
        <f>vlookup(A520,collexo_data!A:M,13,0)</f>
        <v>#N/A</v>
      </c>
      <c r="E520" s="122" t="str">
        <f>vlookup(A520,collexo_data!A:O,15,0)</f>
        <v>#N/A</v>
      </c>
      <c r="F520" s="120" t="str">
        <f>vlookup(A520,collexo_data!A:S,19,0)</f>
        <v>#N/A</v>
      </c>
      <c r="G520" s="122" t="str">
        <f>vlookup(A520,collexo_data!A:R,18,0)</f>
        <v>#N/A</v>
      </c>
      <c r="H520" s="122" t="str">
        <f t="shared" si="1"/>
        <v/>
      </c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  <c r="AB520" s="113"/>
      <c r="AC520" s="113"/>
      <c r="AD520" s="113"/>
      <c r="AE520" s="113"/>
      <c r="AF520" s="113"/>
    </row>
    <row r="521">
      <c r="A521" s="120"/>
      <c r="B521" s="113"/>
      <c r="C521" s="123">
        <f>MINIFS(collexo_data!B:B,collexo_data!A:A,A521)</f>
        <v>0</v>
      </c>
      <c r="D521" s="120" t="str">
        <f>vlookup(A521,collexo_data!A:M,13,0)</f>
        <v>#N/A</v>
      </c>
      <c r="E521" s="122" t="str">
        <f>vlookup(A521,collexo_data!A:O,15,0)</f>
        <v>#N/A</v>
      </c>
      <c r="F521" s="120" t="str">
        <f>vlookup(A521,collexo_data!A:S,19,0)</f>
        <v>#N/A</v>
      </c>
      <c r="G521" s="122" t="str">
        <f>vlookup(A521,collexo_data!A:R,18,0)</f>
        <v>#N/A</v>
      </c>
      <c r="H521" s="122" t="str">
        <f t="shared" si="1"/>
        <v/>
      </c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  <c r="AB521" s="113"/>
      <c r="AC521" s="113"/>
      <c r="AD521" s="113"/>
      <c r="AE521" s="113"/>
      <c r="AF521" s="113"/>
    </row>
    <row r="522">
      <c r="A522" s="120"/>
      <c r="B522" s="113"/>
      <c r="C522" s="123">
        <f>MINIFS(collexo_data!B:B,collexo_data!A:A,A522)</f>
        <v>0</v>
      </c>
      <c r="D522" s="120" t="str">
        <f>vlookup(A522,collexo_data!A:M,13,0)</f>
        <v>#N/A</v>
      </c>
      <c r="E522" s="122" t="str">
        <f>vlookup(A522,collexo_data!A:O,15,0)</f>
        <v>#N/A</v>
      </c>
      <c r="F522" s="120" t="str">
        <f>vlookup(A522,collexo_data!A:S,19,0)</f>
        <v>#N/A</v>
      </c>
      <c r="G522" s="122" t="str">
        <f>vlookup(A522,collexo_data!A:R,18,0)</f>
        <v>#N/A</v>
      </c>
      <c r="H522" s="122" t="str">
        <f t="shared" si="1"/>
        <v/>
      </c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  <c r="AB522" s="113"/>
      <c r="AC522" s="113"/>
      <c r="AD522" s="113"/>
      <c r="AE522" s="113"/>
      <c r="AF522" s="113"/>
    </row>
    <row r="523">
      <c r="A523" s="120"/>
      <c r="B523" s="113"/>
      <c r="C523" s="123">
        <f>MINIFS(collexo_data!B:B,collexo_data!A:A,A523)</f>
        <v>0</v>
      </c>
      <c r="D523" s="120" t="str">
        <f>vlookup(A523,collexo_data!A:M,13,0)</f>
        <v>#N/A</v>
      </c>
      <c r="E523" s="122" t="str">
        <f>vlookup(A523,collexo_data!A:O,15,0)</f>
        <v>#N/A</v>
      </c>
      <c r="F523" s="120" t="str">
        <f>vlookup(A523,collexo_data!A:S,19,0)</f>
        <v>#N/A</v>
      </c>
      <c r="G523" s="122" t="str">
        <f>vlookup(A523,collexo_data!A:R,18,0)</f>
        <v>#N/A</v>
      </c>
      <c r="H523" s="122" t="str">
        <f t="shared" si="1"/>
        <v/>
      </c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  <c r="AB523" s="113"/>
      <c r="AC523" s="113"/>
      <c r="AD523" s="113"/>
      <c r="AE523" s="113"/>
      <c r="AF523" s="113"/>
    </row>
    <row r="524">
      <c r="A524" s="120"/>
      <c r="B524" s="113"/>
      <c r="C524" s="123">
        <f>MINIFS(collexo_data!B:B,collexo_data!A:A,A524)</f>
        <v>0</v>
      </c>
      <c r="D524" s="120" t="str">
        <f>vlookup(A524,collexo_data!A:M,13,0)</f>
        <v>#N/A</v>
      </c>
      <c r="E524" s="122" t="str">
        <f>vlookup(A524,collexo_data!A:O,15,0)</f>
        <v>#N/A</v>
      </c>
      <c r="F524" s="120" t="str">
        <f>vlookup(A524,collexo_data!A:S,19,0)</f>
        <v>#N/A</v>
      </c>
      <c r="G524" s="122" t="str">
        <f>vlookup(A524,collexo_data!A:R,18,0)</f>
        <v>#N/A</v>
      </c>
      <c r="H524" s="122" t="str">
        <f t="shared" si="1"/>
        <v/>
      </c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  <c r="AB524" s="113"/>
      <c r="AC524" s="113"/>
      <c r="AD524" s="113"/>
      <c r="AE524" s="113"/>
      <c r="AF524" s="113"/>
    </row>
    <row r="525">
      <c r="A525" s="120"/>
      <c r="B525" s="113"/>
      <c r="C525" s="123">
        <f>MINIFS(collexo_data!B:B,collexo_data!A:A,A525)</f>
        <v>0</v>
      </c>
      <c r="D525" s="120" t="str">
        <f>vlookup(A525,collexo_data!A:M,13,0)</f>
        <v>#N/A</v>
      </c>
      <c r="E525" s="122" t="str">
        <f>vlookup(A525,collexo_data!A:O,15,0)</f>
        <v>#N/A</v>
      </c>
      <c r="F525" s="120" t="str">
        <f>vlookup(A525,collexo_data!A:S,19,0)</f>
        <v>#N/A</v>
      </c>
      <c r="G525" s="122" t="str">
        <f>vlookup(A525,collexo_data!A:R,18,0)</f>
        <v>#N/A</v>
      </c>
      <c r="H525" s="122" t="str">
        <f t="shared" si="1"/>
        <v/>
      </c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  <c r="AB525" s="113"/>
      <c r="AC525" s="113"/>
      <c r="AD525" s="113"/>
      <c r="AE525" s="113"/>
      <c r="AF525" s="113"/>
    </row>
    <row r="526">
      <c r="A526" s="120"/>
      <c r="B526" s="113"/>
      <c r="C526" s="123">
        <f>MINIFS(collexo_data!B:B,collexo_data!A:A,A526)</f>
        <v>0</v>
      </c>
      <c r="D526" s="120" t="str">
        <f>vlookup(A526,collexo_data!A:M,13,0)</f>
        <v>#N/A</v>
      </c>
      <c r="E526" s="122" t="str">
        <f>vlookup(A526,collexo_data!A:O,15,0)</f>
        <v>#N/A</v>
      </c>
      <c r="F526" s="120" t="str">
        <f>vlookup(A526,collexo_data!A:S,19,0)</f>
        <v>#N/A</v>
      </c>
      <c r="G526" s="122" t="str">
        <f>vlookup(A526,collexo_data!A:R,18,0)</f>
        <v>#N/A</v>
      </c>
      <c r="H526" s="122" t="str">
        <f t="shared" si="1"/>
        <v/>
      </c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  <c r="AB526" s="113"/>
      <c r="AC526" s="113"/>
      <c r="AD526" s="113"/>
      <c r="AE526" s="113"/>
      <c r="AF526" s="113"/>
    </row>
    <row r="527">
      <c r="A527" s="120"/>
      <c r="B527" s="113"/>
      <c r="C527" s="123">
        <f>MINIFS(collexo_data!B:B,collexo_data!A:A,A527)</f>
        <v>0</v>
      </c>
      <c r="D527" s="120" t="str">
        <f>vlookup(A527,collexo_data!A:M,13,0)</f>
        <v>#N/A</v>
      </c>
      <c r="E527" s="122" t="str">
        <f>vlookup(A527,collexo_data!A:O,15,0)</f>
        <v>#N/A</v>
      </c>
      <c r="F527" s="120" t="str">
        <f>vlookup(A527,collexo_data!A:S,19,0)</f>
        <v>#N/A</v>
      </c>
      <c r="G527" s="122" t="str">
        <f>vlookup(A527,collexo_data!A:R,18,0)</f>
        <v>#N/A</v>
      </c>
      <c r="H527" s="122" t="str">
        <f t="shared" si="1"/>
        <v/>
      </c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  <c r="AB527" s="113"/>
      <c r="AC527" s="113"/>
      <c r="AD527" s="113"/>
      <c r="AE527" s="113"/>
      <c r="AF527" s="113"/>
    </row>
    <row r="528">
      <c r="A528" s="120"/>
      <c r="B528" s="113"/>
      <c r="C528" s="123">
        <f>MINIFS(collexo_data!B:B,collexo_data!A:A,A528)</f>
        <v>0</v>
      </c>
      <c r="D528" s="120" t="str">
        <f>vlookup(A528,collexo_data!A:M,13,0)</f>
        <v>#N/A</v>
      </c>
      <c r="E528" s="122" t="str">
        <f>vlookup(A528,collexo_data!A:O,15,0)</f>
        <v>#N/A</v>
      </c>
      <c r="F528" s="120" t="str">
        <f>vlookup(A528,collexo_data!A:S,19,0)</f>
        <v>#N/A</v>
      </c>
      <c r="G528" s="122" t="str">
        <f>vlookup(A528,collexo_data!A:R,18,0)</f>
        <v>#N/A</v>
      </c>
      <c r="H528" s="122" t="str">
        <f t="shared" si="1"/>
        <v/>
      </c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  <c r="AB528" s="113"/>
      <c r="AC528" s="113"/>
      <c r="AD528" s="113"/>
      <c r="AE528" s="113"/>
      <c r="AF528" s="113"/>
    </row>
    <row r="529">
      <c r="A529" s="120"/>
      <c r="B529" s="113"/>
      <c r="C529" s="123">
        <f>MINIFS(collexo_data!B:B,collexo_data!A:A,A529)</f>
        <v>0</v>
      </c>
      <c r="D529" s="120" t="str">
        <f>vlookup(A529,collexo_data!A:M,13,0)</f>
        <v>#N/A</v>
      </c>
      <c r="E529" s="122" t="str">
        <f>vlookup(A529,collexo_data!A:O,15,0)</f>
        <v>#N/A</v>
      </c>
      <c r="F529" s="120" t="str">
        <f>vlookup(A529,collexo_data!A:S,19,0)</f>
        <v>#N/A</v>
      </c>
      <c r="G529" s="122" t="str">
        <f>vlookup(A529,collexo_data!A:R,18,0)</f>
        <v>#N/A</v>
      </c>
      <c r="H529" s="122" t="str">
        <f t="shared" si="1"/>
        <v/>
      </c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  <c r="AB529" s="113"/>
      <c r="AC529" s="113"/>
      <c r="AD529" s="113"/>
      <c r="AE529" s="113"/>
      <c r="AF529" s="113"/>
    </row>
    <row r="530">
      <c r="A530" s="120"/>
      <c r="B530" s="113"/>
      <c r="C530" s="123">
        <f>MINIFS(collexo_data!B:B,collexo_data!A:A,A530)</f>
        <v>0</v>
      </c>
      <c r="D530" s="120" t="str">
        <f>vlookup(A530,collexo_data!A:M,13,0)</f>
        <v>#N/A</v>
      </c>
      <c r="E530" s="122" t="str">
        <f>vlookup(A530,collexo_data!A:O,15,0)</f>
        <v>#N/A</v>
      </c>
      <c r="F530" s="120" t="str">
        <f>vlookup(A530,collexo_data!A:S,19,0)</f>
        <v>#N/A</v>
      </c>
      <c r="G530" s="122" t="str">
        <f>vlookup(A530,collexo_data!A:R,18,0)</f>
        <v>#N/A</v>
      </c>
      <c r="H530" s="122" t="str">
        <f t="shared" si="1"/>
        <v/>
      </c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  <c r="AB530" s="113"/>
      <c r="AC530" s="113"/>
      <c r="AD530" s="113"/>
      <c r="AE530" s="113"/>
      <c r="AF530" s="113"/>
    </row>
    <row r="531">
      <c r="A531" s="120"/>
      <c r="B531" s="113"/>
      <c r="C531" s="123">
        <f>MINIFS(collexo_data!B:B,collexo_data!A:A,A531)</f>
        <v>0</v>
      </c>
      <c r="D531" s="120" t="str">
        <f>vlookup(A531,collexo_data!A:M,13,0)</f>
        <v>#N/A</v>
      </c>
      <c r="E531" s="122" t="str">
        <f>vlookup(A531,collexo_data!A:O,15,0)</f>
        <v>#N/A</v>
      </c>
      <c r="F531" s="120" t="str">
        <f>vlookup(A531,collexo_data!A:S,19,0)</f>
        <v>#N/A</v>
      </c>
      <c r="G531" s="122" t="str">
        <f>vlookup(A531,collexo_data!A:R,18,0)</f>
        <v>#N/A</v>
      </c>
      <c r="H531" s="122" t="str">
        <f t="shared" si="1"/>
        <v/>
      </c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  <c r="AB531" s="113"/>
      <c r="AC531" s="113"/>
      <c r="AD531" s="113"/>
      <c r="AE531" s="113"/>
      <c r="AF531" s="113"/>
    </row>
    <row r="532">
      <c r="A532" s="120"/>
      <c r="B532" s="113"/>
      <c r="C532" s="123">
        <f>MINIFS(collexo_data!B:B,collexo_data!A:A,A532)</f>
        <v>0</v>
      </c>
      <c r="D532" s="120" t="str">
        <f>vlookup(A532,collexo_data!A:M,13,0)</f>
        <v>#N/A</v>
      </c>
      <c r="E532" s="122" t="str">
        <f>vlookup(A532,collexo_data!A:O,15,0)</f>
        <v>#N/A</v>
      </c>
      <c r="F532" s="120" t="str">
        <f>vlookup(A532,collexo_data!A:S,19,0)</f>
        <v>#N/A</v>
      </c>
      <c r="G532" s="122" t="str">
        <f>vlookup(A532,collexo_data!A:R,18,0)</f>
        <v>#N/A</v>
      </c>
      <c r="H532" s="122" t="str">
        <f t="shared" si="1"/>
        <v/>
      </c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  <c r="AB532" s="113"/>
      <c r="AC532" s="113"/>
      <c r="AD532" s="113"/>
      <c r="AE532" s="113"/>
      <c r="AF532" s="113"/>
    </row>
    <row r="533">
      <c r="A533" s="120"/>
      <c r="B533" s="113"/>
      <c r="C533" s="123">
        <f>MINIFS(collexo_data!B:B,collexo_data!A:A,A533)</f>
        <v>0</v>
      </c>
      <c r="D533" s="120" t="str">
        <f>vlookup(A533,collexo_data!A:M,13,0)</f>
        <v>#N/A</v>
      </c>
      <c r="E533" s="122" t="str">
        <f>vlookup(A533,collexo_data!A:O,15,0)</f>
        <v>#N/A</v>
      </c>
      <c r="F533" s="120" t="str">
        <f>vlookup(A533,collexo_data!A:S,19,0)</f>
        <v>#N/A</v>
      </c>
      <c r="G533" s="122" t="str">
        <f>vlookup(A533,collexo_data!A:R,18,0)</f>
        <v>#N/A</v>
      </c>
      <c r="H533" s="122" t="str">
        <f t="shared" si="1"/>
        <v/>
      </c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  <c r="AB533" s="113"/>
      <c r="AC533" s="113"/>
      <c r="AD533" s="113"/>
      <c r="AE533" s="113"/>
      <c r="AF533" s="113"/>
    </row>
    <row r="534">
      <c r="A534" s="120"/>
      <c r="B534" s="113"/>
      <c r="C534" s="123">
        <f>MINIFS(collexo_data!B:B,collexo_data!A:A,A534)</f>
        <v>0</v>
      </c>
      <c r="D534" s="120" t="str">
        <f>vlookup(A534,collexo_data!A:M,13,0)</f>
        <v>#N/A</v>
      </c>
      <c r="E534" s="122" t="str">
        <f>vlookup(A534,collexo_data!A:O,15,0)</f>
        <v>#N/A</v>
      </c>
      <c r="F534" s="120" t="str">
        <f>vlookup(A534,collexo_data!A:S,19,0)</f>
        <v>#N/A</v>
      </c>
      <c r="G534" s="122" t="str">
        <f>vlookup(A534,collexo_data!A:R,18,0)</f>
        <v>#N/A</v>
      </c>
      <c r="H534" s="122" t="str">
        <f t="shared" si="1"/>
        <v/>
      </c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  <c r="AB534" s="113"/>
      <c r="AC534" s="113"/>
      <c r="AD534" s="113"/>
      <c r="AE534" s="113"/>
      <c r="AF534" s="113"/>
    </row>
    <row r="535">
      <c r="A535" s="120"/>
      <c r="B535" s="113"/>
      <c r="C535" s="123">
        <f>MINIFS(collexo_data!B:B,collexo_data!A:A,A535)</f>
        <v>0</v>
      </c>
      <c r="D535" s="120" t="str">
        <f>vlookup(A535,collexo_data!A:M,13,0)</f>
        <v>#N/A</v>
      </c>
      <c r="E535" s="122" t="str">
        <f>vlookup(A535,collexo_data!A:O,15,0)</f>
        <v>#N/A</v>
      </c>
      <c r="F535" s="120" t="str">
        <f>vlookup(A535,collexo_data!A:S,19,0)</f>
        <v>#N/A</v>
      </c>
      <c r="G535" s="122" t="str">
        <f>vlookup(A535,collexo_data!A:R,18,0)</f>
        <v>#N/A</v>
      </c>
      <c r="H535" s="122" t="str">
        <f t="shared" si="1"/>
        <v/>
      </c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  <c r="AB535" s="113"/>
      <c r="AC535" s="113"/>
      <c r="AD535" s="113"/>
      <c r="AE535" s="113"/>
      <c r="AF535" s="113"/>
    </row>
    <row r="536">
      <c r="A536" s="120"/>
      <c r="B536" s="113"/>
      <c r="C536" s="123">
        <f>MINIFS(collexo_data!B:B,collexo_data!A:A,A536)</f>
        <v>0</v>
      </c>
      <c r="D536" s="120" t="str">
        <f>vlookup(A536,collexo_data!A:M,13,0)</f>
        <v>#N/A</v>
      </c>
      <c r="E536" s="122" t="str">
        <f>vlookup(A536,collexo_data!A:O,15,0)</f>
        <v>#N/A</v>
      </c>
      <c r="F536" s="120" t="str">
        <f>vlookup(A536,collexo_data!A:S,19,0)</f>
        <v>#N/A</v>
      </c>
      <c r="G536" s="122" t="str">
        <f>vlookup(A536,collexo_data!A:R,18,0)</f>
        <v>#N/A</v>
      </c>
      <c r="H536" s="122" t="str">
        <f t="shared" si="1"/>
        <v/>
      </c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  <c r="AB536" s="113"/>
      <c r="AC536" s="113"/>
      <c r="AD536" s="113"/>
      <c r="AE536" s="113"/>
      <c r="AF536" s="113"/>
    </row>
    <row r="537">
      <c r="A537" s="120"/>
      <c r="B537" s="113"/>
      <c r="C537" s="123">
        <f>MINIFS(collexo_data!B:B,collexo_data!A:A,A537)</f>
        <v>0</v>
      </c>
      <c r="D537" s="120" t="str">
        <f>vlookup(A537,collexo_data!A:M,13,0)</f>
        <v>#N/A</v>
      </c>
      <c r="E537" s="122" t="str">
        <f>vlookup(A537,collexo_data!A:O,15,0)</f>
        <v>#N/A</v>
      </c>
      <c r="F537" s="120" t="str">
        <f>vlookup(A537,collexo_data!A:S,19,0)</f>
        <v>#N/A</v>
      </c>
      <c r="G537" s="122" t="str">
        <f>vlookup(A537,collexo_data!A:R,18,0)</f>
        <v>#N/A</v>
      </c>
      <c r="H537" s="122" t="str">
        <f t="shared" si="1"/>
        <v/>
      </c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  <c r="AB537" s="113"/>
      <c r="AC537" s="113"/>
      <c r="AD537" s="113"/>
      <c r="AE537" s="113"/>
      <c r="AF537" s="113"/>
    </row>
    <row r="538">
      <c r="A538" s="120"/>
      <c r="B538" s="113"/>
      <c r="C538" s="123">
        <f>MINIFS(collexo_data!B:B,collexo_data!A:A,A538)</f>
        <v>0</v>
      </c>
      <c r="D538" s="120" t="str">
        <f>vlookup(A538,collexo_data!A:M,13,0)</f>
        <v>#N/A</v>
      </c>
      <c r="E538" s="122" t="str">
        <f>vlookup(A538,collexo_data!A:O,15,0)</f>
        <v>#N/A</v>
      </c>
      <c r="F538" s="120" t="str">
        <f>vlookup(A538,collexo_data!A:S,19,0)</f>
        <v>#N/A</v>
      </c>
      <c r="G538" s="122" t="str">
        <f>vlookup(A538,collexo_data!A:R,18,0)</f>
        <v>#N/A</v>
      </c>
      <c r="H538" s="122" t="str">
        <f t="shared" si="1"/>
        <v/>
      </c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  <c r="AB538" s="113"/>
      <c r="AC538" s="113"/>
      <c r="AD538" s="113"/>
      <c r="AE538" s="113"/>
      <c r="AF538" s="113"/>
    </row>
    <row r="539">
      <c r="A539" s="120"/>
      <c r="B539" s="113"/>
      <c r="C539" s="123">
        <f>MINIFS(collexo_data!B:B,collexo_data!A:A,A539)</f>
        <v>0</v>
      </c>
      <c r="D539" s="120" t="str">
        <f>vlookup(A539,collexo_data!A:M,13,0)</f>
        <v>#N/A</v>
      </c>
      <c r="E539" s="122" t="str">
        <f>vlookup(A539,collexo_data!A:O,15,0)</f>
        <v>#N/A</v>
      </c>
      <c r="F539" s="120" t="str">
        <f>vlookup(A539,collexo_data!A:S,19,0)</f>
        <v>#N/A</v>
      </c>
      <c r="G539" s="122" t="str">
        <f>vlookup(A539,collexo_data!A:R,18,0)</f>
        <v>#N/A</v>
      </c>
      <c r="H539" s="122" t="str">
        <f t="shared" si="1"/>
        <v/>
      </c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  <c r="AB539" s="113"/>
      <c r="AC539" s="113"/>
      <c r="AD539" s="113"/>
      <c r="AE539" s="113"/>
      <c r="AF539" s="113"/>
    </row>
    <row r="540">
      <c r="A540" s="120"/>
      <c r="B540" s="113"/>
      <c r="C540" s="123">
        <f>MINIFS(collexo_data!B:B,collexo_data!A:A,A540)</f>
        <v>0</v>
      </c>
      <c r="D540" s="120" t="str">
        <f>vlookup(A540,collexo_data!A:M,13,0)</f>
        <v>#N/A</v>
      </c>
      <c r="E540" s="122" t="str">
        <f>vlookup(A540,collexo_data!A:O,15,0)</f>
        <v>#N/A</v>
      </c>
      <c r="F540" s="120" t="str">
        <f>vlookup(A540,collexo_data!A:S,19,0)</f>
        <v>#N/A</v>
      </c>
      <c r="G540" s="122" t="str">
        <f>vlookup(A540,collexo_data!A:R,18,0)</f>
        <v>#N/A</v>
      </c>
      <c r="H540" s="122" t="str">
        <f t="shared" si="1"/>
        <v/>
      </c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  <c r="AB540" s="113"/>
      <c r="AC540" s="113"/>
      <c r="AD540" s="113"/>
      <c r="AE540" s="113"/>
      <c r="AF540" s="113"/>
    </row>
    <row r="541">
      <c r="A541" s="120"/>
      <c r="B541" s="113"/>
      <c r="C541" s="123">
        <f>MINIFS(collexo_data!B:B,collexo_data!A:A,A541)</f>
        <v>0</v>
      </c>
      <c r="D541" s="120" t="str">
        <f>vlookup(A541,collexo_data!A:M,13,0)</f>
        <v>#N/A</v>
      </c>
      <c r="E541" s="122" t="str">
        <f>vlookup(A541,collexo_data!A:O,15,0)</f>
        <v>#N/A</v>
      </c>
      <c r="F541" s="120" t="str">
        <f>vlookup(A541,collexo_data!A:S,19,0)</f>
        <v>#N/A</v>
      </c>
      <c r="G541" s="122" t="str">
        <f>vlookup(A541,collexo_data!A:R,18,0)</f>
        <v>#N/A</v>
      </c>
      <c r="H541" s="122" t="str">
        <f t="shared" si="1"/>
        <v/>
      </c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  <c r="AB541" s="113"/>
      <c r="AC541" s="113"/>
      <c r="AD541" s="113"/>
      <c r="AE541" s="113"/>
      <c r="AF541" s="113"/>
    </row>
    <row r="542">
      <c r="A542" s="120"/>
      <c r="B542" s="113"/>
      <c r="C542" s="123">
        <f>MINIFS(collexo_data!B:B,collexo_data!A:A,A542)</f>
        <v>0</v>
      </c>
      <c r="D542" s="120" t="str">
        <f>vlookup(A542,collexo_data!A:M,13,0)</f>
        <v>#N/A</v>
      </c>
      <c r="E542" s="122" t="str">
        <f>vlookup(A542,collexo_data!A:O,15,0)</f>
        <v>#N/A</v>
      </c>
      <c r="F542" s="120" t="str">
        <f>vlookup(A542,collexo_data!A:S,19,0)</f>
        <v>#N/A</v>
      </c>
      <c r="G542" s="122" t="str">
        <f>vlookup(A542,collexo_data!A:R,18,0)</f>
        <v>#N/A</v>
      </c>
      <c r="H542" s="122" t="str">
        <f t="shared" si="1"/>
        <v/>
      </c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  <c r="AB542" s="113"/>
      <c r="AC542" s="113"/>
      <c r="AD542" s="113"/>
      <c r="AE542" s="113"/>
      <c r="AF542" s="113"/>
    </row>
    <row r="543">
      <c r="A543" s="120"/>
      <c r="B543" s="113"/>
      <c r="C543" s="123">
        <f>MINIFS(collexo_data!B:B,collexo_data!A:A,A543)</f>
        <v>0</v>
      </c>
      <c r="D543" s="120" t="str">
        <f>vlookup(A543,collexo_data!A:M,13,0)</f>
        <v>#N/A</v>
      </c>
      <c r="E543" s="122" t="str">
        <f>vlookup(A543,collexo_data!A:O,15,0)</f>
        <v>#N/A</v>
      </c>
      <c r="F543" s="120" t="str">
        <f>vlookup(A543,collexo_data!A:S,19,0)</f>
        <v>#N/A</v>
      </c>
      <c r="G543" s="122" t="str">
        <f>vlookup(A543,collexo_data!A:R,18,0)</f>
        <v>#N/A</v>
      </c>
      <c r="H543" s="122" t="str">
        <f t="shared" si="1"/>
        <v/>
      </c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  <c r="AB543" s="113"/>
      <c r="AC543" s="113"/>
      <c r="AD543" s="113"/>
      <c r="AE543" s="113"/>
      <c r="AF543" s="113"/>
    </row>
    <row r="544">
      <c r="A544" s="120"/>
      <c r="B544" s="113"/>
      <c r="C544" s="123">
        <f>MINIFS(collexo_data!B:B,collexo_data!A:A,A544)</f>
        <v>0</v>
      </c>
      <c r="D544" s="120" t="str">
        <f>vlookup(A544,collexo_data!A:M,13,0)</f>
        <v>#N/A</v>
      </c>
      <c r="E544" s="122" t="str">
        <f>vlookup(A544,collexo_data!A:O,15,0)</f>
        <v>#N/A</v>
      </c>
      <c r="F544" s="120" t="str">
        <f>vlookup(A544,collexo_data!A:S,19,0)</f>
        <v>#N/A</v>
      </c>
      <c r="G544" s="122" t="str">
        <f>vlookup(A544,collexo_data!A:R,18,0)</f>
        <v>#N/A</v>
      </c>
      <c r="H544" s="122" t="str">
        <f t="shared" si="1"/>
        <v/>
      </c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  <c r="AB544" s="113"/>
      <c r="AC544" s="113"/>
      <c r="AD544" s="113"/>
      <c r="AE544" s="113"/>
      <c r="AF544" s="113"/>
    </row>
    <row r="545">
      <c r="A545" s="120"/>
      <c r="B545" s="113"/>
      <c r="C545" s="123">
        <f>MINIFS(collexo_data!B:B,collexo_data!A:A,A545)</f>
        <v>0</v>
      </c>
      <c r="D545" s="120" t="str">
        <f>vlookup(A545,collexo_data!A:M,13,0)</f>
        <v>#N/A</v>
      </c>
      <c r="E545" s="122" t="str">
        <f>vlookup(A545,collexo_data!A:O,15,0)</f>
        <v>#N/A</v>
      </c>
      <c r="F545" s="120" t="str">
        <f>vlookup(A545,collexo_data!A:S,19,0)</f>
        <v>#N/A</v>
      </c>
      <c r="G545" s="122" t="str">
        <f>vlookup(A545,collexo_data!A:R,18,0)</f>
        <v>#N/A</v>
      </c>
      <c r="H545" s="122" t="str">
        <f t="shared" si="1"/>
        <v/>
      </c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  <c r="AB545" s="113"/>
      <c r="AC545" s="113"/>
      <c r="AD545" s="113"/>
      <c r="AE545" s="113"/>
      <c r="AF545" s="113"/>
    </row>
    <row r="546">
      <c r="A546" s="120"/>
      <c r="B546" s="113"/>
      <c r="C546" s="123">
        <f>MINIFS(collexo_data!B:B,collexo_data!A:A,A546)</f>
        <v>0</v>
      </c>
      <c r="D546" s="120" t="str">
        <f>vlookup(A546,collexo_data!A:M,13,0)</f>
        <v>#N/A</v>
      </c>
      <c r="E546" s="122" t="str">
        <f>vlookup(A546,collexo_data!A:O,15,0)</f>
        <v>#N/A</v>
      </c>
      <c r="F546" s="120" t="str">
        <f>vlookup(A546,collexo_data!A:S,19,0)</f>
        <v>#N/A</v>
      </c>
      <c r="G546" s="122" t="str">
        <f>vlookup(A546,collexo_data!A:R,18,0)</f>
        <v>#N/A</v>
      </c>
      <c r="H546" s="122" t="str">
        <f t="shared" si="1"/>
        <v/>
      </c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  <c r="AB546" s="113"/>
      <c r="AC546" s="113"/>
      <c r="AD546" s="113"/>
      <c r="AE546" s="113"/>
      <c r="AF546" s="113"/>
    </row>
    <row r="547">
      <c r="A547" s="120"/>
      <c r="B547" s="113"/>
      <c r="C547" s="123">
        <f>MINIFS(collexo_data!B:B,collexo_data!A:A,A547)</f>
        <v>0</v>
      </c>
      <c r="D547" s="120" t="str">
        <f>vlookup(A547,collexo_data!A:M,13,0)</f>
        <v>#N/A</v>
      </c>
      <c r="E547" s="122" t="str">
        <f>vlookup(A547,collexo_data!A:O,15,0)</f>
        <v>#N/A</v>
      </c>
      <c r="F547" s="120" t="str">
        <f>vlookup(A547,collexo_data!A:S,19,0)</f>
        <v>#N/A</v>
      </c>
      <c r="G547" s="122" t="str">
        <f>vlookup(A547,collexo_data!A:R,18,0)</f>
        <v>#N/A</v>
      </c>
      <c r="H547" s="122" t="str">
        <f t="shared" si="1"/>
        <v/>
      </c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  <c r="AB547" s="113"/>
      <c r="AC547" s="113"/>
      <c r="AD547" s="113"/>
      <c r="AE547" s="113"/>
      <c r="AF547" s="113"/>
    </row>
    <row r="548">
      <c r="A548" s="120"/>
      <c r="B548" s="113"/>
      <c r="C548" s="123">
        <f>MINIFS(collexo_data!B:B,collexo_data!A:A,A548)</f>
        <v>0</v>
      </c>
      <c r="D548" s="120" t="str">
        <f>vlookup(A548,collexo_data!A:M,13,0)</f>
        <v>#N/A</v>
      </c>
      <c r="E548" s="122" t="str">
        <f>vlookup(A548,collexo_data!A:O,15,0)</f>
        <v>#N/A</v>
      </c>
      <c r="F548" s="120" t="str">
        <f>vlookup(A548,collexo_data!A:S,19,0)</f>
        <v>#N/A</v>
      </c>
      <c r="G548" s="122" t="str">
        <f>vlookup(A548,collexo_data!A:R,18,0)</f>
        <v>#N/A</v>
      </c>
      <c r="H548" s="122" t="str">
        <f t="shared" si="1"/>
        <v/>
      </c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  <c r="AB548" s="113"/>
      <c r="AC548" s="113"/>
      <c r="AD548" s="113"/>
      <c r="AE548" s="113"/>
      <c r="AF548" s="113"/>
    </row>
    <row r="549">
      <c r="A549" s="120"/>
      <c r="B549" s="113"/>
      <c r="C549" s="123">
        <f>MINIFS(collexo_data!B:B,collexo_data!A:A,A549)</f>
        <v>0</v>
      </c>
      <c r="D549" s="120" t="str">
        <f>vlookup(A549,collexo_data!A:M,13,0)</f>
        <v>#N/A</v>
      </c>
      <c r="E549" s="122" t="str">
        <f>vlookup(A549,collexo_data!A:O,15,0)</f>
        <v>#N/A</v>
      </c>
      <c r="F549" s="120" t="str">
        <f>vlookup(A549,collexo_data!A:S,19,0)</f>
        <v>#N/A</v>
      </c>
      <c r="G549" s="122" t="str">
        <f>vlookup(A549,collexo_data!A:R,18,0)</f>
        <v>#N/A</v>
      </c>
      <c r="H549" s="122" t="str">
        <f t="shared" si="1"/>
        <v/>
      </c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  <c r="AB549" s="113"/>
      <c r="AC549" s="113"/>
      <c r="AD549" s="113"/>
      <c r="AE549" s="113"/>
      <c r="AF549" s="113"/>
    </row>
    <row r="550">
      <c r="A550" s="120"/>
      <c r="B550" s="113"/>
      <c r="C550" s="123">
        <f>MINIFS(collexo_data!B:B,collexo_data!A:A,A550)</f>
        <v>0</v>
      </c>
      <c r="D550" s="120" t="str">
        <f>vlookup(A550,collexo_data!A:M,13,0)</f>
        <v>#N/A</v>
      </c>
      <c r="E550" s="122" t="str">
        <f>vlookup(A550,collexo_data!A:O,15,0)</f>
        <v>#N/A</v>
      </c>
      <c r="F550" s="120" t="str">
        <f>vlookup(A550,collexo_data!A:S,19,0)</f>
        <v>#N/A</v>
      </c>
      <c r="G550" s="122" t="str">
        <f>vlookup(A550,collexo_data!A:R,18,0)</f>
        <v>#N/A</v>
      </c>
      <c r="H550" s="122" t="str">
        <f t="shared" si="1"/>
        <v/>
      </c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  <c r="AB550" s="113"/>
      <c r="AC550" s="113"/>
      <c r="AD550" s="113"/>
      <c r="AE550" s="113"/>
      <c r="AF550" s="113"/>
    </row>
    <row r="551">
      <c r="A551" s="120"/>
      <c r="B551" s="113"/>
      <c r="C551" s="123">
        <f>MINIFS(collexo_data!B:B,collexo_data!A:A,A551)</f>
        <v>0</v>
      </c>
      <c r="D551" s="120" t="str">
        <f>vlookup(A551,collexo_data!A:M,13,0)</f>
        <v>#N/A</v>
      </c>
      <c r="E551" s="122" t="str">
        <f>vlookup(A551,collexo_data!A:O,15,0)</f>
        <v>#N/A</v>
      </c>
      <c r="F551" s="120" t="str">
        <f>vlookup(A551,collexo_data!A:S,19,0)</f>
        <v>#N/A</v>
      </c>
      <c r="G551" s="122" t="str">
        <f>vlookup(A551,collexo_data!A:R,18,0)</f>
        <v>#N/A</v>
      </c>
      <c r="H551" s="122" t="str">
        <f t="shared" si="1"/>
        <v/>
      </c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  <c r="AB551" s="113"/>
      <c r="AC551" s="113"/>
      <c r="AD551" s="113"/>
      <c r="AE551" s="113"/>
      <c r="AF551" s="113"/>
    </row>
    <row r="552">
      <c r="A552" s="120"/>
      <c r="B552" s="113"/>
      <c r="C552" s="123">
        <f>MINIFS(collexo_data!B:B,collexo_data!A:A,A552)</f>
        <v>0</v>
      </c>
      <c r="D552" s="120" t="str">
        <f>vlookup(A552,collexo_data!A:M,13,0)</f>
        <v>#N/A</v>
      </c>
      <c r="E552" s="122" t="str">
        <f>vlookup(A552,collexo_data!A:O,15,0)</f>
        <v>#N/A</v>
      </c>
      <c r="F552" s="120" t="str">
        <f>vlookup(A552,collexo_data!A:S,19,0)</f>
        <v>#N/A</v>
      </c>
      <c r="G552" s="122" t="str">
        <f>vlookup(A552,collexo_data!A:R,18,0)</f>
        <v>#N/A</v>
      </c>
      <c r="H552" s="122" t="str">
        <f t="shared" si="1"/>
        <v/>
      </c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  <c r="AB552" s="113"/>
      <c r="AC552" s="113"/>
      <c r="AD552" s="113"/>
      <c r="AE552" s="113"/>
      <c r="AF552" s="113"/>
    </row>
    <row r="553">
      <c r="A553" s="120"/>
      <c r="B553" s="113"/>
      <c r="C553" s="123">
        <f>MINIFS(collexo_data!B:B,collexo_data!A:A,A553)</f>
        <v>0</v>
      </c>
      <c r="D553" s="120" t="str">
        <f>vlookup(A553,collexo_data!A:M,13,0)</f>
        <v>#N/A</v>
      </c>
      <c r="E553" s="122" t="str">
        <f>vlookup(A553,collexo_data!A:O,15,0)</f>
        <v>#N/A</v>
      </c>
      <c r="F553" s="120" t="str">
        <f>vlookup(A553,collexo_data!A:S,19,0)</f>
        <v>#N/A</v>
      </c>
      <c r="G553" s="122" t="str">
        <f>vlookup(A553,collexo_data!A:R,18,0)</f>
        <v>#N/A</v>
      </c>
      <c r="H553" s="122" t="str">
        <f t="shared" si="1"/>
        <v/>
      </c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  <c r="AB553" s="113"/>
      <c r="AC553" s="113"/>
      <c r="AD553" s="113"/>
      <c r="AE553" s="113"/>
      <c r="AF553" s="113"/>
    </row>
    <row r="554">
      <c r="A554" s="120"/>
      <c r="B554" s="113"/>
      <c r="C554" s="123">
        <f>MINIFS(collexo_data!B:B,collexo_data!A:A,A554)</f>
        <v>0</v>
      </c>
      <c r="D554" s="120" t="str">
        <f>vlookup(A554,collexo_data!A:M,13,0)</f>
        <v>#N/A</v>
      </c>
      <c r="E554" s="122" t="str">
        <f>vlookup(A554,collexo_data!A:O,15,0)</f>
        <v>#N/A</v>
      </c>
      <c r="F554" s="120" t="str">
        <f>vlookup(A554,collexo_data!A:S,19,0)</f>
        <v>#N/A</v>
      </c>
      <c r="G554" s="122" t="str">
        <f>vlookup(A554,collexo_data!A:R,18,0)</f>
        <v>#N/A</v>
      </c>
      <c r="H554" s="122" t="str">
        <f t="shared" si="1"/>
        <v/>
      </c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  <c r="AB554" s="113"/>
      <c r="AC554" s="113"/>
      <c r="AD554" s="113"/>
      <c r="AE554" s="113"/>
      <c r="AF554" s="113"/>
    </row>
    <row r="555">
      <c r="A555" s="120"/>
      <c r="B555" s="113"/>
      <c r="C555" s="123">
        <f>MINIFS(collexo_data!B:B,collexo_data!A:A,A555)</f>
        <v>0</v>
      </c>
      <c r="D555" s="120" t="str">
        <f>vlookup(A555,collexo_data!A:M,13,0)</f>
        <v>#N/A</v>
      </c>
      <c r="E555" s="122" t="str">
        <f>vlookup(A555,collexo_data!A:O,15,0)</f>
        <v>#N/A</v>
      </c>
      <c r="F555" s="120" t="str">
        <f>vlookup(A555,collexo_data!A:S,19,0)</f>
        <v>#N/A</v>
      </c>
      <c r="G555" s="122" t="str">
        <f>vlookup(A555,collexo_data!A:R,18,0)</f>
        <v>#N/A</v>
      </c>
      <c r="H555" s="122" t="str">
        <f t="shared" si="1"/>
        <v/>
      </c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  <c r="AB555" s="113"/>
      <c r="AC555" s="113"/>
      <c r="AD555" s="113"/>
      <c r="AE555" s="113"/>
      <c r="AF555" s="113"/>
    </row>
    <row r="556">
      <c r="A556" s="120"/>
      <c r="B556" s="113"/>
      <c r="C556" s="123">
        <f>MINIFS(collexo_data!B:B,collexo_data!A:A,A556)</f>
        <v>0</v>
      </c>
      <c r="D556" s="120" t="str">
        <f>vlookup(A556,collexo_data!A:M,13,0)</f>
        <v>#N/A</v>
      </c>
      <c r="E556" s="122" t="str">
        <f>vlookup(A556,collexo_data!A:O,15,0)</f>
        <v>#N/A</v>
      </c>
      <c r="F556" s="120" t="str">
        <f>vlookup(A556,collexo_data!A:S,19,0)</f>
        <v>#N/A</v>
      </c>
      <c r="G556" s="122" t="str">
        <f>vlookup(A556,collexo_data!A:R,18,0)</f>
        <v>#N/A</v>
      </c>
      <c r="H556" s="122" t="str">
        <f t="shared" si="1"/>
        <v/>
      </c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  <c r="AB556" s="113"/>
      <c r="AC556" s="113"/>
      <c r="AD556" s="113"/>
      <c r="AE556" s="113"/>
      <c r="AF556" s="113"/>
    </row>
    <row r="557">
      <c r="A557" s="120"/>
      <c r="B557" s="113"/>
      <c r="C557" s="123">
        <f>MINIFS(collexo_data!B:B,collexo_data!A:A,A557)</f>
        <v>0</v>
      </c>
      <c r="D557" s="120" t="str">
        <f>vlookup(A557,collexo_data!A:M,13,0)</f>
        <v>#N/A</v>
      </c>
      <c r="E557" s="122" t="str">
        <f>vlookup(A557,collexo_data!A:O,15,0)</f>
        <v>#N/A</v>
      </c>
      <c r="F557" s="120" t="str">
        <f>vlookup(A557,collexo_data!A:S,19,0)</f>
        <v>#N/A</v>
      </c>
      <c r="G557" s="122" t="str">
        <f>vlookup(A557,collexo_data!A:R,18,0)</f>
        <v>#N/A</v>
      </c>
      <c r="H557" s="122" t="str">
        <f t="shared" si="1"/>
        <v/>
      </c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  <c r="AB557" s="113"/>
      <c r="AC557" s="113"/>
      <c r="AD557" s="113"/>
      <c r="AE557" s="113"/>
      <c r="AF557" s="113"/>
    </row>
    <row r="558">
      <c r="A558" s="120"/>
      <c r="B558" s="113"/>
      <c r="C558" s="123">
        <f>MINIFS(collexo_data!B:B,collexo_data!A:A,A558)</f>
        <v>0</v>
      </c>
      <c r="D558" s="120" t="str">
        <f>vlookup(A558,collexo_data!A:M,13,0)</f>
        <v>#N/A</v>
      </c>
      <c r="E558" s="122" t="str">
        <f>vlookup(A558,collexo_data!A:O,15,0)</f>
        <v>#N/A</v>
      </c>
      <c r="F558" s="120" t="str">
        <f>vlookup(A558,collexo_data!A:S,19,0)</f>
        <v>#N/A</v>
      </c>
      <c r="G558" s="122" t="str">
        <f>vlookup(A558,collexo_data!A:R,18,0)</f>
        <v>#N/A</v>
      </c>
      <c r="H558" s="122" t="str">
        <f t="shared" si="1"/>
        <v/>
      </c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  <c r="AB558" s="113"/>
      <c r="AC558" s="113"/>
      <c r="AD558" s="113"/>
      <c r="AE558" s="113"/>
      <c r="AF558" s="113"/>
    </row>
    <row r="559">
      <c r="A559" s="120"/>
      <c r="B559" s="113"/>
      <c r="C559" s="123">
        <f>MINIFS(collexo_data!B:B,collexo_data!A:A,A559)</f>
        <v>0</v>
      </c>
      <c r="D559" s="120" t="str">
        <f>vlookup(A559,collexo_data!A:M,13,0)</f>
        <v>#N/A</v>
      </c>
      <c r="E559" s="122" t="str">
        <f>vlookup(A559,collexo_data!A:O,15,0)</f>
        <v>#N/A</v>
      </c>
      <c r="F559" s="120" t="str">
        <f>vlookup(A559,collexo_data!A:S,19,0)</f>
        <v>#N/A</v>
      </c>
      <c r="G559" s="122" t="str">
        <f>vlookup(A559,collexo_data!A:R,18,0)</f>
        <v>#N/A</v>
      </c>
      <c r="H559" s="122" t="str">
        <f t="shared" si="1"/>
        <v/>
      </c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  <c r="AB559" s="113"/>
      <c r="AC559" s="113"/>
      <c r="AD559" s="113"/>
      <c r="AE559" s="113"/>
      <c r="AF559" s="113"/>
    </row>
    <row r="560">
      <c r="A560" s="120"/>
      <c r="B560" s="113"/>
      <c r="C560" s="123">
        <f>MINIFS(collexo_data!B:B,collexo_data!A:A,A560)</f>
        <v>0</v>
      </c>
      <c r="D560" s="120" t="str">
        <f>vlookup(A560,collexo_data!A:M,13,0)</f>
        <v>#N/A</v>
      </c>
      <c r="E560" s="122" t="str">
        <f>vlookup(A560,collexo_data!A:O,15,0)</f>
        <v>#N/A</v>
      </c>
      <c r="F560" s="120" t="str">
        <f>vlookup(A560,collexo_data!A:S,19,0)</f>
        <v>#N/A</v>
      </c>
      <c r="G560" s="122" t="str">
        <f>vlookup(A560,collexo_data!A:R,18,0)</f>
        <v>#N/A</v>
      </c>
      <c r="H560" s="122" t="str">
        <f t="shared" si="1"/>
        <v/>
      </c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  <c r="AB560" s="113"/>
      <c r="AC560" s="113"/>
      <c r="AD560" s="113"/>
      <c r="AE560" s="113"/>
      <c r="AF560" s="113"/>
    </row>
    <row r="561">
      <c r="A561" s="120"/>
      <c r="B561" s="113"/>
      <c r="C561" s="123">
        <f>MINIFS(collexo_data!B:B,collexo_data!A:A,A561)</f>
        <v>0</v>
      </c>
      <c r="D561" s="120" t="str">
        <f>vlookup(A561,collexo_data!A:M,13,0)</f>
        <v>#N/A</v>
      </c>
      <c r="E561" s="122" t="str">
        <f>vlookup(A561,collexo_data!A:O,15,0)</f>
        <v>#N/A</v>
      </c>
      <c r="F561" s="120" t="str">
        <f>vlookup(A561,collexo_data!A:S,19,0)</f>
        <v>#N/A</v>
      </c>
      <c r="G561" s="122" t="str">
        <f>vlookup(A561,collexo_data!A:R,18,0)</f>
        <v>#N/A</v>
      </c>
      <c r="H561" s="122" t="str">
        <f t="shared" si="1"/>
        <v/>
      </c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  <c r="AB561" s="113"/>
      <c r="AC561" s="113"/>
      <c r="AD561" s="113"/>
      <c r="AE561" s="113"/>
      <c r="AF561" s="113"/>
    </row>
    <row r="562">
      <c r="A562" s="120"/>
      <c r="B562" s="113"/>
      <c r="C562" s="123">
        <f>MINIFS(collexo_data!B:B,collexo_data!A:A,A562)</f>
        <v>0</v>
      </c>
      <c r="D562" s="120" t="str">
        <f>vlookup(A562,collexo_data!A:M,13,0)</f>
        <v>#N/A</v>
      </c>
      <c r="E562" s="122" t="str">
        <f>vlookup(A562,collexo_data!A:O,15,0)</f>
        <v>#N/A</v>
      </c>
      <c r="F562" s="120" t="str">
        <f>vlookup(A562,collexo_data!A:S,19,0)</f>
        <v>#N/A</v>
      </c>
      <c r="G562" s="122" t="str">
        <f>vlookup(A562,collexo_data!A:R,18,0)</f>
        <v>#N/A</v>
      </c>
      <c r="H562" s="122" t="str">
        <f t="shared" si="1"/>
        <v/>
      </c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  <c r="AB562" s="113"/>
      <c r="AC562" s="113"/>
      <c r="AD562" s="113"/>
      <c r="AE562" s="113"/>
      <c r="AF562" s="113"/>
    </row>
    <row r="563">
      <c r="A563" s="120"/>
      <c r="B563" s="113"/>
      <c r="C563" s="123">
        <f>MINIFS(collexo_data!B:B,collexo_data!A:A,A563)</f>
        <v>0</v>
      </c>
      <c r="D563" s="120" t="str">
        <f>vlookup(A563,collexo_data!A:M,13,0)</f>
        <v>#N/A</v>
      </c>
      <c r="E563" s="122" t="str">
        <f>vlookup(A563,collexo_data!A:O,15,0)</f>
        <v>#N/A</v>
      </c>
      <c r="F563" s="120" t="str">
        <f>vlookup(A563,collexo_data!A:S,19,0)</f>
        <v>#N/A</v>
      </c>
      <c r="G563" s="122" t="str">
        <f>vlookup(A563,collexo_data!A:R,18,0)</f>
        <v>#N/A</v>
      </c>
      <c r="H563" s="122" t="str">
        <f t="shared" si="1"/>
        <v/>
      </c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  <c r="AB563" s="113"/>
      <c r="AC563" s="113"/>
      <c r="AD563" s="113"/>
      <c r="AE563" s="113"/>
      <c r="AF563" s="113"/>
    </row>
    <row r="564">
      <c r="A564" s="120"/>
      <c r="B564" s="113"/>
      <c r="C564" s="123">
        <f>MINIFS(collexo_data!B:B,collexo_data!A:A,A564)</f>
        <v>0</v>
      </c>
      <c r="D564" s="120" t="str">
        <f>vlookup(A564,collexo_data!A:M,13,0)</f>
        <v>#N/A</v>
      </c>
      <c r="E564" s="122" t="str">
        <f>vlookup(A564,collexo_data!A:O,15,0)</f>
        <v>#N/A</v>
      </c>
      <c r="F564" s="120" t="str">
        <f>vlookup(A564,collexo_data!A:S,19,0)</f>
        <v>#N/A</v>
      </c>
      <c r="G564" s="122" t="str">
        <f>vlookup(A564,collexo_data!A:R,18,0)</f>
        <v>#N/A</v>
      </c>
      <c r="H564" s="122" t="str">
        <f t="shared" si="1"/>
        <v/>
      </c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  <c r="AB564" s="113"/>
      <c r="AC564" s="113"/>
      <c r="AD564" s="113"/>
      <c r="AE564" s="113"/>
      <c r="AF564" s="113"/>
    </row>
    <row r="565">
      <c r="A565" s="120"/>
      <c r="B565" s="113"/>
      <c r="C565" s="123">
        <f>MINIFS(collexo_data!B:B,collexo_data!A:A,A565)</f>
        <v>0</v>
      </c>
      <c r="D565" s="120" t="str">
        <f>vlookup(A565,collexo_data!A:M,13,0)</f>
        <v>#N/A</v>
      </c>
      <c r="E565" s="122" t="str">
        <f>vlookup(A565,collexo_data!A:O,15,0)</f>
        <v>#N/A</v>
      </c>
      <c r="F565" s="120" t="str">
        <f>vlookup(A565,collexo_data!A:S,19,0)</f>
        <v>#N/A</v>
      </c>
      <c r="G565" s="122" t="str">
        <f>vlookup(A565,collexo_data!A:R,18,0)</f>
        <v>#N/A</v>
      </c>
      <c r="H565" s="122" t="str">
        <f t="shared" si="1"/>
        <v/>
      </c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  <c r="AB565" s="113"/>
      <c r="AC565" s="113"/>
      <c r="AD565" s="113"/>
      <c r="AE565" s="113"/>
      <c r="AF565" s="113"/>
    </row>
    <row r="566">
      <c r="A566" s="120"/>
      <c r="B566" s="113"/>
      <c r="C566" s="123">
        <f>MINIFS(collexo_data!B:B,collexo_data!A:A,A566)</f>
        <v>0</v>
      </c>
      <c r="D566" s="120" t="str">
        <f>vlookup(A566,collexo_data!A:M,13,0)</f>
        <v>#N/A</v>
      </c>
      <c r="E566" s="122" t="str">
        <f>vlookup(A566,collexo_data!A:O,15,0)</f>
        <v>#N/A</v>
      </c>
      <c r="F566" s="120" t="str">
        <f>vlookup(A566,collexo_data!A:S,19,0)</f>
        <v>#N/A</v>
      </c>
      <c r="G566" s="122" t="str">
        <f>vlookup(A566,collexo_data!A:R,18,0)</f>
        <v>#N/A</v>
      </c>
      <c r="H566" s="122" t="str">
        <f t="shared" si="1"/>
        <v/>
      </c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  <c r="AB566" s="113"/>
      <c r="AC566" s="113"/>
      <c r="AD566" s="113"/>
      <c r="AE566" s="113"/>
      <c r="AF566" s="113"/>
    </row>
    <row r="567">
      <c r="A567" s="120"/>
      <c r="B567" s="113"/>
      <c r="C567" s="123">
        <f>MINIFS(collexo_data!B:B,collexo_data!A:A,A567)</f>
        <v>0</v>
      </c>
      <c r="D567" s="120" t="str">
        <f>vlookup(A567,collexo_data!A:M,13,0)</f>
        <v>#N/A</v>
      </c>
      <c r="E567" s="122" t="str">
        <f>vlookup(A567,collexo_data!A:O,15,0)</f>
        <v>#N/A</v>
      </c>
      <c r="F567" s="120" t="str">
        <f>vlookup(A567,collexo_data!A:S,19,0)</f>
        <v>#N/A</v>
      </c>
      <c r="G567" s="122" t="str">
        <f>vlookup(A567,collexo_data!A:R,18,0)</f>
        <v>#N/A</v>
      </c>
      <c r="H567" s="122" t="str">
        <f t="shared" si="1"/>
        <v/>
      </c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  <c r="AB567" s="113"/>
      <c r="AC567" s="113"/>
      <c r="AD567" s="113"/>
      <c r="AE567" s="113"/>
      <c r="AF567" s="113"/>
    </row>
    <row r="568">
      <c r="A568" s="120"/>
      <c r="B568" s="113"/>
      <c r="C568" s="123">
        <f>MINIFS(collexo_data!B:B,collexo_data!A:A,A568)</f>
        <v>0</v>
      </c>
      <c r="D568" s="120" t="str">
        <f>vlookup(A568,collexo_data!A:M,13,0)</f>
        <v>#N/A</v>
      </c>
      <c r="E568" s="122" t="str">
        <f>vlookup(A568,collexo_data!A:O,15,0)</f>
        <v>#N/A</v>
      </c>
      <c r="F568" s="120" t="str">
        <f>vlookup(A568,collexo_data!A:S,19,0)</f>
        <v>#N/A</v>
      </c>
      <c r="G568" s="122" t="str">
        <f>vlookup(A568,collexo_data!A:R,18,0)</f>
        <v>#N/A</v>
      </c>
      <c r="H568" s="122" t="str">
        <f t="shared" si="1"/>
        <v/>
      </c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  <c r="AB568" s="113"/>
      <c r="AC568" s="113"/>
      <c r="AD568" s="113"/>
      <c r="AE568" s="113"/>
      <c r="AF568" s="113"/>
    </row>
    <row r="569">
      <c r="A569" s="120"/>
      <c r="B569" s="113"/>
      <c r="C569" s="123">
        <f>MINIFS(collexo_data!B:B,collexo_data!A:A,A569)</f>
        <v>0</v>
      </c>
      <c r="D569" s="120" t="str">
        <f>vlookup(A569,collexo_data!A:M,13,0)</f>
        <v>#N/A</v>
      </c>
      <c r="E569" s="122" t="str">
        <f>vlookup(A569,collexo_data!A:O,15,0)</f>
        <v>#N/A</v>
      </c>
      <c r="F569" s="120" t="str">
        <f>vlookup(A569,collexo_data!A:S,19,0)</f>
        <v>#N/A</v>
      </c>
      <c r="G569" s="122" t="str">
        <f>vlookup(A569,collexo_data!A:R,18,0)</f>
        <v>#N/A</v>
      </c>
      <c r="H569" s="122" t="str">
        <f t="shared" si="1"/>
        <v/>
      </c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  <c r="AB569" s="113"/>
      <c r="AC569" s="113"/>
      <c r="AD569" s="113"/>
      <c r="AE569" s="113"/>
      <c r="AF569" s="113"/>
    </row>
    <row r="570">
      <c r="A570" s="120"/>
      <c r="B570" s="113"/>
      <c r="C570" s="123">
        <f>MINIFS(collexo_data!B:B,collexo_data!A:A,A570)</f>
        <v>0</v>
      </c>
      <c r="D570" s="120" t="str">
        <f>vlookup(A570,collexo_data!A:M,13,0)</f>
        <v>#N/A</v>
      </c>
      <c r="E570" s="122" t="str">
        <f>vlookup(A570,collexo_data!A:O,15,0)</f>
        <v>#N/A</v>
      </c>
      <c r="F570" s="120" t="str">
        <f>vlookup(A570,collexo_data!A:S,19,0)</f>
        <v>#N/A</v>
      </c>
      <c r="G570" s="122" t="str">
        <f>vlookup(A570,collexo_data!A:R,18,0)</f>
        <v>#N/A</v>
      </c>
      <c r="H570" s="122" t="str">
        <f t="shared" si="1"/>
        <v/>
      </c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  <c r="AB570" s="113"/>
      <c r="AC570" s="113"/>
      <c r="AD570" s="113"/>
      <c r="AE570" s="113"/>
      <c r="AF570" s="113"/>
    </row>
    <row r="571">
      <c r="A571" s="120"/>
      <c r="B571" s="113"/>
      <c r="C571" s="123">
        <f>MINIFS(collexo_data!B:B,collexo_data!A:A,A571)</f>
        <v>0</v>
      </c>
      <c r="D571" s="120" t="str">
        <f>vlookup(A571,collexo_data!A:M,13,0)</f>
        <v>#N/A</v>
      </c>
      <c r="E571" s="122" t="str">
        <f>vlookup(A571,collexo_data!A:O,15,0)</f>
        <v>#N/A</v>
      </c>
      <c r="F571" s="120" t="str">
        <f>vlookup(A571,collexo_data!A:S,19,0)</f>
        <v>#N/A</v>
      </c>
      <c r="G571" s="122" t="str">
        <f>vlookup(A571,collexo_data!A:R,18,0)</f>
        <v>#N/A</v>
      </c>
      <c r="H571" s="122" t="str">
        <f t="shared" si="1"/>
        <v/>
      </c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  <c r="AB571" s="113"/>
      <c r="AC571" s="113"/>
      <c r="AD571" s="113"/>
      <c r="AE571" s="113"/>
      <c r="AF571" s="113"/>
    </row>
    <row r="572">
      <c r="A572" s="120"/>
      <c r="B572" s="113"/>
      <c r="C572" s="123">
        <f>MINIFS(collexo_data!B:B,collexo_data!A:A,A572)</f>
        <v>0</v>
      </c>
      <c r="D572" s="120" t="str">
        <f>vlookup(A572,collexo_data!A:M,13,0)</f>
        <v>#N/A</v>
      </c>
      <c r="E572" s="122" t="str">
        <f>vlookup(A572,collexo_data!A:O,15,0)</f>
        <v>#N/A</v>
      </c>
      <c r="F572" s="120" t="str">
        <f>vlookup(A572,collexo_data!A:S,19,0)</f>
        <v>#N/A</v>
      </c>
      <c r="G572" s="122" t="str">
        <f>vlookup(A572,collexo_data!A:R,18,0)</f>
        <v>#N/A</v>
      </c>
      <c r="H572" s="122" t="str">
        <f t="shared" si="1"/>
        <v/>
      </c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  <c r="AB572" s="113"/>
      <c r="AC572" s="113"/>
      <c r="AD572" s="113"/>
      <c r="AE572" s="113"/>
      <c r="AF572" s="113"/>
    </row>
    <row r="573">
      <c r="A573" s="120"/>
      <c r="B573" s="113"/>
      <c r="C573" s="123">
        <f>MINIFS(collexo_data!B:B,collexo_data!A:A,A573)</f>
        <v>0</v>
      </c>
      <c r="D573" s="120" t="str">
        <f>vlookup(A573,collexo_data!A:M,13,0)</f>
        <v>#N/A</v>
      </c>
      <c r="E573" s="122" t="str">
        <f>vlookup(A573,collexo_data!A:O,15,0)</f>
        <v>#N/A</v>
      </c>
      <c r="F573" s="120" t="str">
        <f>vlookup(A573,collexo_data!A:S,19,0)</f>
        <v>#N/A</v>
      </c>
      <c r="G573" s="122" t="str">
        <f>vlookup(A573,collexo_data!A:R,18,0)</f>
        <v>#N/A</v>
      </c>
      <c r="H573" s="122" t="str">
        <f t="shared" si="1"/>
        <v/>
      </c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  <c r="AB573" s="113"/>
      <c r="AC573" s="113"/>
      <c r="AD573" s="113"/>
      <c r="AE573" s="113"/>
      <c r="AF573" s="113"/>
    </row>
    <row r="574">
      <c r="A574" s="120"/>
      <c r="B574" s="113"/>
      <c r="C574" s="123">
        <f>MINIFS(collexo_data!B:B,collexo_data!A:A,A574)</f>
        <v>0</v>
      </c>
      <c r="D574" s="120" t="str">
        <f>vlookup(A574,collexo_data!A:M,13,0)</f>
        <v>#N/A</v>
      </c>
      <c r="E574" s="122" t="str">
        <f>vlookup(A574,collexo_data!A:O,15,0)</f>
        <v>#N/A</v>
      </c>
      <c r="F574" s="120" t="str">
        <f>vlookup(A574,collexo_data!A:S,19,0)</f>
        <v>#N/A</v>
      </c>
      <c r="G574" s="122" t="str">
        <f>vlookup(A574,collexo_data!A:R,18,0)</f>
        <v>#N/A</v>
      </c>
      <c r="H574" s="122" t="str">
        <f t="shared" si="1"/>
        <v/>
      </c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  <c r="AB574" s="113"/>
      <c r="AC574" s="113"/>
      <c r="AD574" s="113"/>
      <c r="AE574" s="113"/>
      <c r="AF574" s="113"/>
    </row>
    <row r="575">
      <c r="A575" s="120"/>
      <c r="B575" s="113"/>
      <c r="C575" s="123">
        <f>MINIFS(collexo_data!B:B,collexo_data!A:A,A575)</f>
        <v>0</v>
      </c>
      <c r="D575" s="120" t="str">
        <f>vlookup(A575,collexo_data!A:M,13,0)</f>
        <v>#N/A</v>
      </c>
      <c r="E575" s="122" t="str">
        <f>vlookup(A575,collexo_data!A:O,15,0)</f>
        <v>#N/A</v>
      </c>
      <c r="F575" s="120" t="str">
        <f>vlookup(A575,collexo_data!A:S,19,0)</f>
        <v>#N/A</v>
      </c>
      <c r="G575" s="122" t="str">
        <f>vlookup(A575,collexo_data!A:R,18,0)</f>
        <v>#N/A</v>
      </c>
      <c r="H575" s="122" t="str">
        <f t="shared" si="1"/>
        <v/>
      </c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  <c r="AB575" s="113"/>
      <c r="AC575" s="113"/>
      <c r="AD575" s="113"/>
      <c r="AE575" s="113"/>
      <c r="AF575" s="113"/>
    </row>
    <row r="576">
      <c r="A576" s="120"/>
      <c r="B576" s="113"/>
      <c r="C576" s="123">
        <f>MINIFS(collexo_data!B:B,collexo_data!A:A,A576)</f>
        <v>0</v>
      </c>
      <c r="D576" s="120" t="str">
        <f>vlookup(A576,collexo_data!A:M,13,0)</f>
        <v>#N/A</v>
      </c>
      <c r="E576" s="122" t="str">
        <f>vlookup(A576,collexo_data!A:O,15,0)</f>
        <v>#N/A</v>
      </c>
      <c r="F576" s="120" t="str">
        <f>vlookup(A576,collexo_data!A:S,19,0)</f>
        <v>#N/A</v>
      </c>
      <c r="G576" s="122" t="str">
        <f>vlookup(A576,collexo_data!A:R,18,0)</f>
        <v>#N/A</v>
      </c>
      <c r="H576" s="122" t="str">
        <f t="shared" si="1"/>
        <v/>
      </c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  <c r="AB576" s="113"/>
      <c r="AC576" s="113"/>
      <c r="AD576" s="113"/>
      <c r="AE576" s="113"/>
      <c r="AF576" s="113"/>
    </row>
    <row r="577">
      <c r="A577" s="120"/>
      <c r="B577" s="113"/>
      <c r="C577" s="123">
        <f>MINIFS(collexo_data!B:B,collexo_data!A:A,A577)</f>
        <v>0</v>
      </c>
      <c r="D577" s="120" t="str">
        <f>vlookup(A577,collexo_data!A:M,13,0)</f>
        <v>#N/A</v>
      </c>
      <c r="E577" s="122" t="str">
        <f>vlookup(A577,collexo_data!A:O,15,0)</f>
        <v>#N/A</v>
      </c>
      <c r="F577" s="120" t="str">
        <f>vlookup(A577,collexo_data!A:S,19,0)</f>
        <v>#N/A</v>
      </c>
      <c r="G577" s="122" t="str">
        <f>vlookup(A577,collexo_data!A:R,18,0)</f>
        <v>#N/A</v>
      </c>
      <c r="H577" s="122" t="str">
        <f t="shared" si="1"/>
        <v/>
      </c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  <c r="AB577" s="113"/>
      <c r="AC577" s="113"/>
      <c r="AD577" s="113"/>
      <c r="AE577" s="113"/>
      <c r="AF577" s="113"/>
    </row>
    <row r="578">
      <c r="A578" s="120"/>
      <c r="B578" s="113"/>
      <c r="C578" s="123">
        <f>MINIFS(collexo_data!B:B,collexo_data!A:A,A578)</f>
        <v>0</v>
      </c>
      <c r="D578" s="120" t="str">
        <f>vlookup(A578,collexo_data!A:M,13,0)</f>
        <v>#N/A</v>
      </c>
      <c r="E578" s="122" t="str">
        <f>vlookup(A578,collexo_data!A:O,15,0)</f>
        <v>#N/A</v>
      </c>
      <c r="F578" s="120" t="str">
        <f>vlookup(A578,collexo_data!A:S,19,0)</f>
        <v>#N/A</v>
      </c>
      <c r="G578" s="122" t="str">
        <f>vlookup(A578,collexo_data!A:R,18,0)</f>
        <v>#N/A</v>
      </c>
      <c r="H578" s="122" t="str">
        <f t="shared" si="1"/>
        <v/>
      </c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  <c r="AB578" s="113"/>
      <c r="AC578" s="113"/>
      <c r="AD578" s="113"/>
      <c r="AE578" s="113"/>
      <c r="AF578" s="113"/>
    </row>
    <row r="579">
      <c r="A579" s="120"/>
      <c r="B579" s="113"/>
      <c r="C579" s="123">
        <f>MINIFS(collexo_data!B:B,collexo_data!A:A,A579)</f>
        <v>0</v>
      </c>
      <c r="D579" s="120" t="str">
        <f>vlookup(A579,collexo_data!A:M,13,0)</f>
        <v>#N/A</v>
      </c>
      <c r="E579" s="122" t="str">
        <f>vlookup(A579,collexo_data!A:O,15,0)</f>
        <v>#N/A</v>
      </c>
      <c r="F579" s="120" t="str">
        <f>vlookup(A579,collexo_data!A:S,19,0)</f>
        <v>#N/A</v>
      </c>
      <c r="G579" s="122" t="str">
        <f>vlookup(A579,collexo_data!A:R,18,0)</f>
        <v>#N/A</v>
      </c>
      <c r="H579" s="122" t="str">
        <f t="shared" si="1"/>
        <v/>
      </c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  <c r="AB579" s="113"/>
      <c r="AC579" s="113"/>
      <c r="AD579" s="113"/>
      <c r="AE579" s="113"/>
      <c r="AF579" s="113"/>
    </row>
    <row r="580">
      <c r="A580" s="120"/>
      <c r="B580" s="113"/>
      <c r="C580" s="123">
        <f>MINIFS(collexo_data!B:B,collexo_data!A:A,A580)</f>
        <v>0</v>
      </c>
      <c r="D580" s="120" t="str">
        <f>vlookup(A580,collexo_data!A:M,13,0)</f>
        <v>#N/A</v>
      </c>
      <c r="E580" s="122" t="str">
        <f>vlookup(A580,collexo_data!A:O,15,0)</f>
        <v>#N/A</v>
      </c>
      <c r="F580" s="120" t="str">
        <f>vlookup(A580,collexo_data!A:S,19,0)</f>
        <v>#N/A</v>
      </c>
      <c r="G580" s="122" t="str">
        <f>vlookup(A580,collexo_data!A:R,18,0)</f>
        <v>#N/A</v>
      </c>
      <c r="H580" s="122" t="str">
        <f t="shared" si="1"/>
        <v/>
      </c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  <c r="AB580" s="113"/>
      <c r="AC580" s="113"/>
      <c r="AD580" s="113"/>
      <c r="AE580" s="113"/>
      <c r="AF580" s="113"/>
    </row>
    <row r="581">
      <c r="A581" s="120"/>
      <c r="B581" s="113"/>
      <c r="C581" s="123">
        <f>MINIFS(collexo_data!B:B,collexo_data!A:A,A581)</f>
        <v>0</v>
      </c>
      <c r="D581" s="120" t="str">
        <f>vlookup(A581,collexo_data!A:M,13,0)</f>
        <v>#N/A</v>
      </c>
      <c r="E581" s="122" t="str">
        <f>vlookup(A581,collexo_data!A:O,15,0)</f>
        <v>#N/A</v>
      </c>
      <c r="F581" s="120" t="str">
        <f>vlookup(A581,collexo_data!A:S,19,0)</f>
        <v>#N/A</v>
      </c>
      <c r="G581" s="122" t="str">
        <f>vlookup(A581,collexo_data!A:R,18,0)</f>
        <v>#N/A</v>
      </c>
      <c r="H581" s="122" t="str">
        <f t="shared" si="1"/>
        <v/>
      </c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  <c r="AB581" s="113"/>
      <c r="AC581" s="113"/>
      <c r="AD581" s="113"/>
      <c r="AE581" s="113"/>
      <c r="AF581" s="113"/>
    </row>
    <row r="582">
      <c r="A582" s="120"/>
      <c r="B582" s="113"/>
      <c r="C582" s="123">
        <f>MINIFS(collexo_data!B:B,collexo_data!A:A,A582)</f>
        <v>0</v>
      </c>
      <c r="D582" s="120" t="str">
        <f>vlookup(A582,collexo_data!A:M,13,0)</f>
        <v>#N/A</v>
      </c>
      <c r="E582" s="122" t="str">
        <f>vlookup(A582,collexo_data!A:O,15,0)</f>
        <v>#N/A</v>
      </c>
      <c r="F582" s="120" t="str">
        <f>vlookup(A582,collexo_data!A:S,19,0)</f>
        <v>#N/A</v>
      </c>
      <c r="G582" s="122" t="str">
        <f>vlookup(A582,collexo_data!A:R,18,0)</f>
        <v>#N/A</v>
      </c>
      <c r="H582" s="122" t="str">
        <f t="shared" si="1"/>
        <v/>
      </c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  <c r="AB582" s="113"/>
      <c r="AC582" s="113"/>
      <c r="AD582" s="113"/>
      <c r="AE582" s="113"/>
      <c r="AF582" s="113"/>
    </row>
    <row r="583">
      <c r="A583" s="120"/>
      <c r="B583" s="113"/>
      <c r="C583" s="123">
        <f>MINIFS(collexo_data!B:B,collexo_data!A:A,A583)</f>
        <v>0</v>
      </c>
      <c r="D583" s="120" t="str">
        <f>vlookup(A583,collexo_data!A:M,13,0)</f>
        <v>#N/A</v>
      </c>
      <c r="E583" s="122" t="str">
        <f>vlookup(A583,collexo_data!A:O,15,0)</f>
        <v>#N/A</v>
      </c>
      <c r="F583" s="120" t="str">
        <f>vlookup(A583,collexo_data!A:S,19,0)</f>
        <v>#N/A</v>
      </c>
      <c r="G583" s="122" t="str">
        <f>vlookup(A583,collexo_data!A:R,18,0)</f>
        <v>#N/A</v>
      </c>
      <c r="H583" s="122" t="str">
        <f t="shared" si="1"/>
        <v/>
      </c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  <c r="AB583" s="113"/>
      <c r="AC583" s="113"/>
      <c r="AD583" s="113"/>
      <c r="AE583" s="113"/>
      <c r="AF583" s="113"/>
    </row>
    <row r="584">
      <c r="A584" s="120"/>
      <c r="B584" s="113"/>
      <c r="C584" s="123">
        <f>MINIFS(collexo_data!B:B,collexo_data!A:A,A584)</f>
        <v>0</v>
      </c>
      <c r="D584" s="120" t="str">
        <f>vlookup(A584,collexo_data!A:M,13,0)</f>
        <v>#N/A</v>
      </c>
      <c r="E584" s="122" t="str">
        <f>vlookup(A584,collexo_data!A:O,15,0)</f>
        <v>#N/A</v>
      </c>
      <c r="F584" s="120" t="str">
        <f>vlookup(A584,collexo_data!A:S,19,0)</f>
        <v>#N/A</v>
      </c>
      <c r="G584" s="122" t="str">
        <f>vlookup(A584,collexo_data!A:R,18,0)</f>
        <v>#N/A</v>
      </c>
      <c r="H584" s="122" t="str">
        <f t="shared" si="1"/>
        <v/>
      </c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  <c r="AB584" s="113"/>
      <c r="AC584" s="113"/>
      <c r="AD584" s="113"/>
      <c r="AE584" s="113"/>
      <c r="AF584" s="113"/>
    </row>
    <row r="585">
      <c r="A585" s="120"/>
      <c r="B585" s="113"/>
      <c r="C585" s="123">
        <f>MINIFS(collexo_data!B:B,collexo_data!A:A,A585)</f>
        <v>0</v>
      </c>
      <c r="D585" s="120" t="str">
        <f>vlookup(A585,collexo_data!A:M,13,0)</f>
        <v>#N/A</v>
      </c>
      <c r="E585" s="122" t="str">
        <f>vlookup(A585,collexo_data!A:O,15,0)</f>
        <v>#N/A</v>
      </c>
      <c r="F585" s="120" t="str">
        <f>vlookup(A585,collexo_data!A:S,19,0)</f>
        <v>#N/A</v>
      </c>
      <c r="G585" s="122" t="str">
        <f>vlookup(A585,collexo_data!A:R,18,0)</f>
        <v>#N/A</v>
      </c>
      <c r="H585" s="122" t="str">
        <f t="shared" si="1"/>
        <v/>
      </c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  <c r="AB585" s="113"/>
      <c r="AC585" s="113"/>
      <c r="AD585" s="113"/>
      <c r="AE585" s="113"/>
      <c r="AF585" s="113"/>
    </row>
    <row r="586">
      <c r="A586" s="120"/>
      <c r="B586" s="113"/>
      <c r="C586" s="123">
        <f>MINIFS(collexo_data!B:B,collexo_data!A:A,A586)</f>
        <v>0</v>
      </c>
      <c r="D586" s="120" t="str">
        <f>vlookup(A586,collexo_data!A:M,13,0)</f>
        <v>#N/A</v>
      </c>
      <c r="E586" s="122" t="str">
        <f>vlookup(A586,collexo_data!A:O,15,0)</f>
        <v>#N/A</v>
      </c>
      <c r="F586" s="120" t="str">
        <f>vlookup(A586,collexo_data!A:S,19,0)</f>
        <v>#N/A</v>
      </c>
      <c r="G586" s="122" t="str">
        <f>vlookup(A586,collexo_data!A:R,18,0)</f>
        <v>#N/A</v>
      </c>
      <c r="H586" s="122" t="str">
        <f t="shared" si="1"/>
        <v/>
      </c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</row>
    <row r="587">
      <c r="A587" s="120"/>
      <c r="B587" s="113"/>
      <c r="C587" s="123">
        <f>MINIFS(collexo_data!B:B,collexo_data!A:A,A587)</f>
        <v>0</v>
      </c>
      <c r="D587" s="120" t="str">
        <f>vlookup(A587,collexo_data!A:M,13,0)</f>
        <v>#N/A</v>
      </c>
      <c r="E587" s="122" t="str">
        <f>vlookup(A587,collexo_data!A:O,15,0)</f>
        <v>#N/A</v>
      </c>
      <c r="F587" s="120" t="str">
        <f>vlookup(A587,collexo_data!A:S,19,0)</f>
        <v>#N/A</v>
      </c>
      <c r="G587" s="122" t="str">
        <f>vlookup(A587,collexo_data!A:R,18,0)</f>
        <v>#N/A</v>
      </c>
      <c r="H587" s="122" t="str">
        <f t="shared" si="1"/>
        <v/>
      </c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  <c r="AB587" s="113"/>
      <c r="AC587" s="113"/>
      <c r="AD587" s="113"/>
      <c r="AE587" s="113"/>
      <c r="AF587" s="113"/>
    </row>
    <row r="588">
      <c r="A588" s="120"/>
      <c r="B588" s="113"/>
      <c r="C588" s="123">
        <f>MINIFS(collexo_data!B:B,collexo_data!A:A,A588)</f>
        <v>0</v>
      </c>
      <c r="D588" s="120" t="str">
        <f>vlookup(A588,collexo_data!A:M,13,0)</f>
        <v>#N/A</v>
      </c>
      <c r="E588" s="122" t="str">
        <f>vlookup(A588,collexo_data!A:O,15,0)</f>
        <v>#N/A</v>
      </c>
      <c r="F588" s="120" t="str">
        <f>vlookup(A588,collexo_data!A:S,19,0)</f>
        <v>#N/A</v>
      </c>
      <c r="G588" s="122" t="str">
        <f>vlookup(A588,collexo_data!A:R,18,0)</f>
        <v>#N/A</v>
      </c>
      <c r="H588" s="122" t="str">
        <f t="shared" si="1"/>
        <v/>
      </c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  <c r="AB588" s="113"/>
      <c r="AC588" s="113"/>
      <c r="AD588" s="113"/>
      <c r="AE588" s="113"/>
      <c r="AF588" s="113"/>
    </row>
    <row r="589">
      <c r="A589" s="120"/>
      <c r="B589" s="113"/>
      <c r="C589" s="123">
        <f>MINIFS(collexo_data!B:B,collexo_data!A:A,A589)</f>
        <v>0</v>
      </c>
      <c r="D589" s="120" t="str">
        <f>vlookup(A589,collexo_data!A:M,13,0)</f>
        <v>#N/A</v>
      </c>
      <c r="E589" s="122" t="str">
        <f>vlookup(A589,collexo_data!A:O,15,0)</f>
        <v>#N/A</v>
      </c>
      <c r="F589" s="120" t="str">
        <f>vlookup(A589,collexo_data!A:S,19,0)</f>
        <v>#N/A</v>
      </c>
      <c r="G589" s="122" t="str">
        <f>vlookup(A589,collexo_data!A:R,18,0)</f>
        <v>#N/A</v>
      </c>
      <c r="H589" s="122" t="str">
        <f t="shared" si="1"/>
        <v/>
      </c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  <c r="AB589" s="113"/>
      <c r="AC589" s="113"/>
      <c r="AD589" s="113"/>
      <c r="AE589" s="113"/>
      <c r="AF589" s="113"/>
    </row>
    <row r="590">
      <c r="A590" s="120"/>
      <c r="B590" s="113"/>
      <c r="C590" s="123">
        <f>MINIFS(collexo_data!B:B,collexo_data!A:A,A590)</f>
        <v>0</v>
      </c>
      <c r="D590" s="120" t="str">
        <f>vlookup(A590,collexo_data!A:M,13,0)</f>
        <v>#N/A</v>
      </c>
      <c r="E590" s="122" t="str">
        <f>vlookup(A590,collexo_data!A:O,15,0)</f>
        <v>#N/A</v>
      </c>
      <c r="F590" s="120" t="str">
        <f>vlookup(A590,collexo_data!A:S,19,0)</f>
        <v>#N/A</v>
      </c>
      <c r="G590" s="122" t="str">
        <f>vlookup(A590,collexo_data!A:R,18,0)</f>
        <v>#N/A</v>
      </c>
      <c r="H590" s="122" t="str">
        <f t="shared" si="1"/>
        <v/>
      </c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  <c r="AB590" s="113"/>
      <c r="AC590" s="113"/>
      <c r="AD590" s="113"/>
      <c r="AE590" s="113"/>
      <c r="AF590" s="113"/>
    </row>
    <row r="591">
      <c r="A591" s="120"/>
      <c r="B591" s="113"/>
      <c r="C591" s="123">
        <f>MINIFS(collexo_data!B:B,collexo_data!A:A,A591)</f>
        <v>0</v>
      </c>
      <c r="D591" s="120" t="str">
        <f>vlookup(A591,collexo_data!A:M,13,0)</f>
        <v>#N/A</v>
      </c>
      <c r="E591" s="122" t="str">
        <f>vlookup(A591,collexo_data!A:O,15,0)</f>
        <v>#N/A</v>
      </c>
      <c r="F591" s="120" t="str">
        <f>vlookup(A591,collexo_data!A:S,19,0)</f>
        <v>#N/A</v>
      </c>
      <c r="G591" s="122" t="str">
        <f>vlookup(A591,collexo_data!A:R,18,0)</f>
        <v>#N/A</v>
      </c>
      <c r="H591" s="122" t="str">
        <f t="shared" si="1"/>
        <v/>
      </c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  <c r="AB591" s="113"/>
      <c r="AC591" s="113"/>
      <c r="AD591" s="113"/>
      <c r="AE591" s="113"/>
      <c r="AF591" s="113"/>
    </row>
    <row r="592">
      <c r="A592" s="120"/>
      <c r="B592" s="113"/>
      <c r="C592" s="123">
        <f>MINIFS(collexo_data!B:B,collexo_data!A:A,A592)</f>
        <v>0</v>
      </c>
      <c r="D592" s="120" t="str">
        <f>vlookup(A592,collexo_data!A:M,13,0)</f>
        <v>#N/A</v>
      </c>
      <c r="E592" s="122" t="str">
        <f>vlookup(A592,collexo_data!A:O,15,0)</f>
        <v>#N/A</v>
      </c>
      <c r="F592" s="120" t="str">
        <f>vlookup(A592,collexo_data!A:S,19,0)</f>
        <v>#N/A</v>
      </c>
      <c r="G592" s="122" t="str">
        <f>vlookup(A592,collexo_data!A:R,18,0)</f>
        <v>#N/A</v>
      </c>
      <c r="H592" s="122" t="str">
        <f t="shared" si="1"/>
        <v/>
      </c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  <c r="AB592" s="113"/>
      <c r="AC592" s="113"/>
      <c r="AD592" s="113"/>
      <c r="AE592" s="113"/>
      <c r="AF592" s="113"/>
    </row>
    <row r="593">
      <c r="A593" s="120"/>
      <c r="B593" s="113"/>
      <c r="C593" s="123">
        <f>MINIFS(collexo_data!B:B,collexo_data!A:A,A593)</f>
        <v>0</v>
      </c>
      <c r="D593" s="120" t="str">
        <f>vlookup(A593,collexo_data!A:M,13,0)</f>
        <v>#N/A</v>
      </c>
      <c r="E593" s="122" t="str">
        <f>vlookup(A593,collexo_data!A:O,15,0)</f>
        <v>#N/A</v>
      </c>
      <c r="F593" s="120" t="str">
        <f>vlookup(A593,collexo_data!A:S,19,0)</f>
        <v>#N/A</v>
      </c>
      <c r="G593" s="122" t="str">
        <f>vlookup(A593,collexo_data!A:R,18,0)</f>
        <v>#N/A</v>
      </c>
      <c r="H593" s="122" t="str">
        <f t="shared" si="1"/>
        <v/>
      </c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  <c r="AB593" s="113"/>
      <c r="AC593" s="113"/>
      <c r="AD593" s="113"/>
      <c r="AE593" s="113"/>
      <c r="AF593" s="113"/>
    </row>
    <row r="594">
      <c r="A594" s="120"/>
      <c r="B594" s="113"/>
      <c r="C594" s="123">
        <f>MINIFS(collexo_data!B:B,collexo_data!A:A,A594)</f>
        <v>0</v>
      </c>
      <c r="D594" s="120" t="str">
        <f>vlookup(A594,collexo_data!A:M,13,0)</f>
        <v>#N/A</v>
      </c>
      <c r="E594" s="122" t="str">
        <f>vlookup(A594,collexo_data!A:O,15,0)</f>
        <v>#N/A</v>
      </c>
      <c r="F594" s="120" t="str">
        <f>vlookup(A594,collexo_data!A:S,19,0)</f>
        <v>#N/A</v>
      </c>
      <c r="G594" s="122" t="str">
        <f>vlookup(A594,collexo_data!A:R,18,0)</f>
        <v>#N/A</v>
      </c>
      <c r="H594" s="122" t="str">
        <f t="shared" si="1"/>
        <v/>
      </c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  <c r="AB594" s="113"/>
      <c r="AC594" s="113"/>
      <c r="AD594" s="113"/>
      <c r="AE594" s="113"/>
      <c r="AF594" s="113"/>
    </row>
    <row r="595">
      <c r="A595" s="120"/>
      <c r="B595" s="113"/>
      <c r="C595" s="123">
        <f>MINIFS(collexo_data!B:B,collexo_data!A:A,A595)</f>
        <v>0</v>
      </c>
      <c r="D595" s="120" t="str">
        <f>vlookup(A595,collexo_data!A:M,13,0)</f>
        <v>#N/A</v>
      </c>
      <c r="E595" s="122" t="str">
        <f>vlookup(A595,collexo_data!A:O,15,0)</f>
        <v>#N/A</v>
      </c>
      <c r="F595" s="120" t="str">
        <f>vlookup(A595,collexo_data!A:S,19,0)</f>
        <v>#N/A</v>
      </c>
      <c r="G595" s="122" t="str">
        <f>vlookup(A595,collexo_data!A:R,18,0)</f>
        <v>#N/A</v>
      </c>
      <c r="H595" s="122" t="str">
        <f t="shared" si="1"/>
        <v/>
      </c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  <c r="AB595" s="113"/>
      <c r="AC595" s="113"/>
      <c r="AD595" s="113"/>
      <c r="AE595" s="113"/>
      <c r="AF595" s="113"/>
    </row>
    <row r="596">
      <c r="A596" s="120"/>
      <c r="B596" s="113"/>
      <c r="C596" s="123">
        <f>MINIFS(collexo_data!B:B,collexo_data!A:A,A596)</f>
        <v>0</v>
      </c>
      <c r="D596" s="120" t="str">
        <f>vlookup(A596,collexo_data!A:M,13,0)</f>
        <v>#N/A</v>
      </c>
      <c r="E596" s="122" t="str">
        <f>vlookup(A596,collexo_data!A:O,15,0)</f>
        <v>#N/A</v>
      </c>
      <c r="F596" s="120" t="str">
        <f>vlookup(A596,collexo_data!A:S,19,0)</f>
        <v>#N/A</v>
      </c>
      <c r="G596" s="122" t="str">
        <f>vlookup(A596,collexo_data!A:R,18,0)</f>
        <v>#N/A</v>
      </c>
      <c r="H596" s="122" t="str">
        <f t="shared" si="1"/>
        <v/>
      </c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  <c r="AB596" s="113"/>
      <c r="AC596" s="113"/>
      <c r="AD596" s="113"/>
      <c r="AE596" s="113"/>
      <c r="AF596" s="113"/>
    </row>
    <row r="597">
      <c r="A597" s="120"/>
      <c r="B597" s="113"/>
      <c r="C597" s="123">
        <f>MINIFS(collexo_data!B:B,collexo_data!A:A,A597)</f>
        <v>0</v>
      </c>
      <c r="D597" s="120" t="str">
        <f>vlookup(A597,collexo_data!A:M,13,0)</f>
        <v>#N/A</v>
      </c>
      <c r="E597" s="122" t="str">
        <f>vlookup(A597,collexo_data!A:O,15,0)</f>
        <v>#N/A</v>
      </c>
      <c r="F597" s="120" t="str">
        <f>vlookup(A597,collexo_data!A:S,19,0)</f>
        <v>#N/A</v>
      </c>
      <c r="G597" s="122" t="str">
        <f>vlookup(A597,collexo_data!A:R,18,0)</f>
        <v>#N/A</v>
      </c>
      <c r="H597" s="122" t="str">
        <f t="shared" si="1"/>
        <v/>
      </c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  <c r="AB597" s="113"/>
      <c r="AC597" s="113"/>
      <c r="AD597" s="113"/>
      <c r="AE597" s="113"/>
      <c r="AF597" s="113"/>
    </row>
    <row r="598">
      <c r="A598" s="120"/>
      <c r="B598" s="113"/>
      <c r="C598" s="123">
        <f>MINIFS(collexo_data!B:B,collexo_data!A:A,A598)</f>
        <v>0</v>
      </c>
      <c r="D598" s="120" t="str">
        <f>vlookup(A598,collexo_data!A:M,13,0)</f>
        <v>#N/A</v>
      </c>
      <c r="E598" s="122" t="str">
        <f>vlookup(A598,collexo_data!A:O,15,0)</f>
        <v>#N/A</v>
      </c>
      <c r="F598" s="120" t="str">
        <f>vlookup(A598,collexo_data!A:S,19,0)</f>
        <v>#N/A</v>
      </c>
      <c r="G598" s="122" t="str">
        <f>vlookup(A598,collexo_data!A:R,18,0)</f>
        <v>#N/A</v>
      </c>
      <c r="H598" s="122" t="str">
        <f t="shared" si="1"/>
        <v/>
      </c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  <c r="AB598" s="113"/>
      <c r="AC598" s="113"/>
      <c r="AD598" s="113"/>
      <c r="AE598" s="113"/>
      <c r="AF598" s="113"/>
    </row>
    <row r="599">
      <c r="A599" s="120"/>
      <c r="B599" s="113"/>
      <c r="C599" s="123">
        <f>MINIFS(collexo_data!B:B,collexo_data!A:A,A599)</f>
        <v>0</v>
      </c>
      <c r="D599" s="120" t="str">
        <f>vlookup(A599,collexo_data!A:M,13,0)</f>
        <v>#N/A</v>
      </c>
      <c r="E599" s="122" t="str">
        <f>vlookup(A599,collexo_data!A:O,15,0)</f>
        <v>#N/A</v>
      </c>
      <c r="F599" s="120" t="str">
        <f>vlookup(A599,collexo_data!A:S,19,0)</f>
        <v>#N/A</v>
      </c>
      <c r="G599" s="122" t="str">
        <f>vlookup(A599,collexo_data!A:R,18,0)</f>
        <v>#N/A</v>
      </c>
      <c r="H599" s="122" t="str">
        <f t="shared" si="1"/>
        <v/>
      </c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  <c r="AB599" s="113"/>
      <c r="AC599" s="113"/>
      <c r="AD599" s="113"/>
      <c r="AE599" s="113"/>
      <c r="AF599" s="113"/>
    </row>
    <row r="600">
      <c r="A600" s="120"/>
      <c r="B600" s="113"/>
      <c r="C600" s="123">
        <f>MINIFS(collexo_data!B:B,collexo_data!A:A,A600)</f>
        <v>0</v>
      </c>
      <c r="D600" s="120" t="str">
        <f>vlookup(A600,collexo_data!A:M,13,0)</f>
        <v>#N/A</v>
      </c>
      <c r="E600" s="122" t="str">
        <f>vlookup(A600,collexo_data!A:O,15,0)</f>
        <v>#N/A</v>
      </c>
      <c r="F600" s="120" t="str">
        <f>vlookup(A600,collexo_data!A:S,19,0)</f>
        <v>#N/A</v>
      </c>
      <c r="G600" s="122" t="str">
        <f>vlookup(A600,collexo_data!A:R,18,0)</f>
        <v>#N/A</v>
      </c>
      <c r="H600" s="122" t="str">
        <f t="shared" si="1"/>
        <v/>
      </c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  <c r="AB600" s="113"/>
      <c r="AC600" s="113"/>
      <c r="AD600" s="113"/>
      <c r="AE600" s="113"/>
      <c r="AF600" s="113"/>
    </row>
    <row r="601">
      <c r="A601" s="120"/>
      <c r="B601" s="113"/>
      <c r="C601" s="123">
        <f>MINIFS(collexo_data!B:B,collexo_data!A:A,A601)</f>
        <v>0</v>
      </c>
      <c r="D601" s="120" t="str">
        <f>vlookup(A601,collexo_data!A:M,13,0)</f>
        <v>#N/A</v>
      </c>
      <c r="E601" s="122" t="str">
        <f>vlookup(A601,collexo_data!A:O,15,0)</f>
        <v>#N/A</v>
      </c>
      <c r="F601" s="120" t="str">
        <f>vlookup(A601,collexo_data!A:S,19,0)</f>
        <v>#N/A</v>
      </c>
      <c r="G601" s="122" t="str">
        <f>vlookup(A601,collexo_data!A:R,18,0)</f>
        <v>#N/A</v>
      </c>
      <c r="H601" s="122" t="str">
        <f t="shared" si="1"/>
        <v/>
      </c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  <c r="AB601" s="113"/>
      <c r="AC601" s="113"/>
      <c r="AD601" s="113"/>
      <c r="AE601" s="113"/>
      <c r="AF601" s="113"/>
    </row>
    <row r="602">
      <c r="A602" s="120"/>
      <c r="B602" s="113"/>
      <c r="C602" s="123">
        <f>MINIFS(collexo_data!B:B,collexo_data!A:A,A602)</f>
        <v>0</v>
      </c>
      <c r="D602" s="120" t="str">
        <f>vlookup(A602,collexo_data!A:M,13,0)</f>
        <v>#N/A</v>
      </c>
      <c r="E602" s="122" t="str">
        <f>vlookup(A602,collexo_data!A:O,15,0)</f>
        <v>#N/A</v>
      </c>
      <c r="F602" s="120" t="str">
        <f>vlookup(A602,collexo_data!A:S,19,0)</f>
        <v>#N/A</v>
      </c>
      <c r="G602" s="122" t="str">
        <f>vlookup(A602,collexo_data!A:R,18,0)</f>
        <v>#N/A</v>
      </c>
      <c r="H602" s="122" t="str">
        <f t="shared" si="1"/>
        <v/>
      </c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  <c r="AB602" s="113"/>
      <c r="AC602" s="113"/>
      <c r="AD602" s="113"/>
      <c r="AE602" s="113"/>
      <c r="AF602" s="113"/>
    </row>
    <row r="603">
      <c r="A603" s="120"/>
      <c r="B603" s="113"/>
      <c r="C603" s="123">
        <f>MINIFS(collexo_data!B:B,collexo_data!A:A,A603)</f>
        <v>0</v>
      </c>
      <c r="D603" s="120" t="str">
        <f>vlookup(A603,collexo_data!A:M,13,0)</f>
        <v>#N/A</v>
      </c>
      <c r="E603" s="122" t="str">
        <f>vlookup(A603,collexo_data!A:O,15,0)</f>
        <v>#N/A</v>
      </c>
      <c r="F603" s="120" t="str">
        <f>vlookup(A603,collexo_data!A:S,19,0)</f>
        <v>#N/A</v>
      </c>
      <c r="G603" s="122" t="str">
        <f>vlookup(A603,collexo_data!A:R,18,0)</f>
        <v>#N/A</v>
      </c>
      <c r="H603" s="122" t="str">
        <f t="shared" si="1"/>
        <v/>
      </c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  <c r="AB603" s="113"/>
      <c r="AC603" s="113"/>
      <c r="AD603" s="113"/>
      <c r="AE603" s="113"/>
      <c r="AF603" s="113"/>
    </row>
    <row r="604">
      <c r="A604" s="120"/>
      <c r="B604" s="113"/>
      <c r="C604" s="123">
        <f>MINIFS(collexo_data!B:B,collexo_data!A:A,A604)</f>
        <v>0</v>
      </c>
      <c r="D604" s="120" t="str">
        <f>vlookup(A604,collexo_data!A:M,13,0)</f>
        <v>#N/A</v>
      </c>
      <c r="E604" s="122" t="str">
        <f>vlookup(A604,collexo_data!A:O,15,0)</f>
        <v>#N/A</v>
      </c>
      <c r="F604" s="120" t="str">
        <f>vlookup(A604,collexo_data!A:S,19,0)</f>
        <v>#N/A</v>
      </c>
      <c r="G604" s="122" t="str">
        <f>vlookup(A604,collexo_data!A:R,18,0)</f>
        <v>#N/A</v>
      </c>
      <c r="H604" s="122" t="str">
        <f t="shared" si="1"/>
        <v/>
      </c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  <c r="AB604" s="113"/>
      <c r="AC604" s="113"/>
      <c r="AD604" s="113"/>
      <c r="AE604" s="113"/>
      <c r="AF604" s="113"/>
    </row>
    <row r="605">
      <c r="A605" s="120"/>
      <c r="B605" s="113"/>
      <c r="C605" s="123">
        <f>MINIFS(collexo_data!B:B,collexo_data!A:A,A605)</f>
        <v>0</v>
      </c>
      <c r="D605" s="120" t="str">
        <f>vlookup(A605,collexo_data!A:M,13,0)</f>
        <v>#N/A</v>
      </c>
      <c r="E605" s="122" t="str">
        <f>vlookup(A605,collexo_data!A:O,15,0)</f>
        <v>#N/A</v>
      </c>
      <c r="F605" s="120" t="str">
        <f>vlookup(A605,collexo_data!A:S,19,0)</f>
        <v>#N/A</v>
      </c>
      <c r="G605" s="122" t="str">
        <f>vlookup(A605,collexo_data!A:R,18,0)</f>
        <v>#N/A</v>
      </c>
      <c r="H605" s="122" t="str">
        <f t="shared" si="1"/>
        <v/>
      </c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  <c r="AB605" s="113"/>
      <c r="AC605" s="113"/>
      <c r="AD605" s="113"/>
      <c r="AE605" s="113"/>
      <c r="AF605" s="113"/>
    </row>
    <row r="606">
      <c r="A606" s="120"/>
      <c r="B606" s="113"/>
      <c r="C606" s="123">
        <f>MINIFS(collexo_data!B:B,collexo_data!A:A,A606)</f>
        <v>0</v>
      </c>
      <c r="D606" s="120" t="str">
        <f>vlookup(A606,collexo_data!A:M,13,0)</f>
        <v>#N/A</v>
      </c>
      <c r="E606" s="122" t="str">
        <f>vlookup(A606,collexo_data!A:O,15,0)</f>
        <v>#N/A</v>
      </c>
      <c r="F606" s="120" t="str">
        <f>vlookup(A606,collexo_data!A:S,19,0)</f>
        <v>#N/A</v>
      </c>
      <c r="G606" s="122" t="str">
        <f>vlookup(A606,collexo_data!A:R,18,0)</f>
        <v>#N/A</v>
      </c>
      <c r="H606" s="122" t="str">
        <f t="shared" si="1"/>
        <v/>
      </c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  <c r="AB606" s="113"/>
      <c r="AC606" s="113"/>
      <c r="AD606" s="113"/>
      <c r="AE606" s="113"/>
      <c r="AF606" s="113"/>
    </row>
    <row r="607">
      <c r="A607" s="120"/>
      <c r="B607" s="113"/>
      <c r="C607" s="123">
        <f>MINIFS(collexo_data!B:B,collexo_data!A:A,A607)</f>
        <v>0</v>
      </c>
      <c r="D607" s="120" t="str">
        <f>vlookup(A607,collexo_data!A:M,13,0)</f>
        <v>#N/A</v>
      </c>
      <c r="E607" s="122" t="str">
        <f>vlookup(A607,collexo_data!A:O,15,0)</f>
        <v>#N/A</v>
      </c>
      <c r="F607" s="120" t="str">
        <f>vlookup(A607,collexo_data!A:S,19,0)</f>
        <v>#N/A</v>
      </c>
      <c r="G607" s="122" t="str">
        <f>vlookup(A607,collexo_data!A:R,18,0)</f>
        <v>#N/A</v>
      </c>
      <c r="H607" s="122" t="str">
        <f t="shared" si="1"/>
        <v/>
      </c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  <c r="AB607" s="113"/>
      <c r="AC607" s="113"/>
      <c r="AD607" s="113"/>
      <c r="AE607" s="113"/>
      <c r="AF607" s="113"/>
    </row>
    <row r="608">
      <c r="A608" s="120"/>
      <c r="B608" s="113"/>
      <c r="C608" s="123">
        <f>MINIFS(collexo_data!B:B,collexo_data!A:A,A608)</f>
        <v>0</v>
      </c>
      <c r="D608" s="120" t="str">
        <f>vlookup(A608,collexo_data!A:M,13,0)</f>
        <v>#N/A</v>
      </c>
      <c r="E608" s="122" t="str">
        <f>vlookup(A608,collexo_data!A:O,15,0)</f>
        <v>#N/A</v>
      </c>
      <c r="F608" s="120" t="str">
        <f>vlookup(A608,collexo_data!A:S,19,0)</f>
        <v>#N/A</v>
      </c>
      <c r="G608" s="122" t="str">
        <f>vlookup(A608,collexo_data!A:R,18,0)</f>
        <v>#N/A</v>
      </c>
      <c r="H608" s="122" t="str">
        <f t="shared" si="1"/>
        <v/>
      </c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  <c r="AB608" s="113"/>
      <c r="AC608" s="113"/>
      <c r="AD608" s="113"/>
      <c r="AE608" s="113"/>
      <c r="AF608" s="113"/>
    </row>
    <row r="609">
      <c r="A609" s="120"/>
      <c r="B609" s="113"/>
      <c r="C609" s="123">
        <f>MINIFS(collexo_data!B:B,collexo_data!A:A,A609)</f>
        <v>0</v>
      </c>
      <c r="D609" s="120" t="str">
        <f>vlookup(A609,collexo_data!A:M,13,0)</f>
        <v>#N/A</v>
      </c>
      <c r="E609" s="122" t="str">
        <f>vlookup(A609,collexo_data!A:O,15,0)</f>
        <v>#N/A</v>
      </c>
      <c r="F609" s="120" t="str">
        <f>vlookup(A609,collexo_data!A:S,19,0)</f>
        <v>#N/A</v>
      </c>
      <c r="G609" s="122" t="str">
        <f>vlookup(A609,collexo_data!A:R,18,0)</f>
        <v>#N/A</v>
      </c>
      <c r="H609" s="122" t="str">
        <f t="shared" si="1"/>
        <v/>
      </c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  <c r="AB609" s="113"/>
      <c r="AC609" s="113"/>
      <c r="AD609" s="113"/>
      <c r="AE609" s="113"/>
      <c r="AF609" s="113"/>
    </row>
    <row r="610">
      <c r="A610" s="120"/>
      <c r="B610" s="113"/>
      <c r="C610" s="123">
        <f>MINIFS(collexo_data!B:B,collexo_data!A:A,A610)</f>
        <v>0</v>
      </c>
      <c r="D610" s="120" t="str">
        <f>vlookup(A610,collexo_data!A:M,13,0)</f>
        <v>#N/A</v>
      </c>
      <c r="E610" s="122" t="str">
        <f>vlookup(A610,collexo_data!A:O,15,0)</f>
        <v>#N/A</v>
      </c>
      <c r="F610" s="120" t="str">
        <f>vlookup(A610,collexo_data!A:S,19,0)</f>
        <v>#N/A</v>
      </c>
      <c r="G610" s="122" t="str">
        <f>vlookup(A610,collexo_data!A:R,18,0)</f>
        <v>#N/A</v>
      </c>
      <c r="H610" s="122" t="str">
        <f t="shared" si="1"/>
        <v/>
      </c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  <c r="AB610" s="113"/>
      <c r="AC610" s="113"/>
      <c r="AD610" s="113"/>
      <c r="AE610" s="113"/>
      <c r="AF610" s="113"/>
    </row>
    <row r="611">
      <c r="A611" s="120"/>
      <c r="B611" s="113"/>
      <c r="C611" s="123">
        <f>MINIFS(collexo_data!B:B,collexo_data!A:A,A611)</f>
        <v>0</v>
      </c>
      <c r="D611" s="120" t="str">
        <f>vlookup(A611,collexo_data!A:M,13,0)</f>
        <v>#N/A</v>
      </c>
      <c r="E611" s="122" t="str">
        <f>vlookup(A611,collexo_data!A:O,15,0)</f>
        <v>#N/A</v>
      </c>
      <c r="F611" s="120" t="str">
        <f>vlookup(A611,collexo_data!A:S,19,0)</f>
        <v>#N/A</v>
      </c>
      <c r="G611" s="122" t="str">
        <f>vlookup(A611,collexo_data!A:R,18,0)</f>
        <v>#N/A</v>
      </c>
      <c r="H611" s="122" t="str">
        <f t="shared" si="1"/>
        <v/>
      </c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  <c r="AB611" s="113"/>
      <c r="AC611" s="113"/>
      <c r="AD611" s="113"/>
      <c r="AE611" s="113"/>
      <c r="AF611" s="113"/>
    </row>
    <row r="612">
      <c r="A612" s="120"/>
      <c r="B612" s="113"/>
      <c r="C612" s="123">
        <f>MINIFS(collexo_data!B:B,collexo_data!A:A,A612)</f>
        <v>0</v>
      </c>
      <c r="D612" s="120" t="str">
        <f>vlookup(A612,collexo_data!A:M,13,0)</f>
        <v>#N/A</v>
      </c>
      <c r="E612" s="122" t="str">
        <f>vlookup(A612,collexo_data!A:O,15,0)</f>
        <v>#N/A</v>
      </c>
      <c r="F612" s="120" t="str">
        <f>vlookup(A612,collexo_data!A:S,19,0)</f>
        <v>#N/A</v>
      </c>
      <c r="G612" s="122" t="str">
        <f>vlookup(A612,collexo_data!A:R,18,0)</f>
        <v>#N/A</v>
      </c>
      <c r="H612" s="122" t="str">
        <f t="shared" si="1"/>
        <v/>
      </c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  <c r="AB612" s="113"/>
      <c r="AC612" s="113"/>
      <c r="AD612" s="113"/>
      <c r="AE612" s="113"/>
      <c r="AF612" s="113"/>
    </row>
    <row r="613">
      <c r="A613" s="120"/>
      <c r="B613" s="113"/>
      <c r="C613" s="123">
        <f>MINIFS(collexo_data!B:B,collexo_data!A:A,A613)</f>
        <v>0</v>
      </c>
      <c r="D613" s="120" t="str">
        <f>vlookup(A613,collexo_data!A:M,13,0)</f>
        <v>#N/A</v>
      </c>
      <c r="E613" s="122" t="str">
        <f>vlookup(A613,collexo_data!A:O,15,0)</f>
        <v>#N/A</v>
      </c>
      <c r="F613" s="120" t="str">
        <f>vlookup(A613,collexo_data!A:S,19,0)</f>
        <v>#N/A</v>
      </c>
      <c r="G613" s="122" t="str">
        <f>vlookup(A613,collexo_data!A:R,18,0)</f>
        <v>#N/A</v>
      </c>
      <c r="H613" s="122" t="str">
        <f t="shared" si="1"/>
        <v/>
      </c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  <c r="AB613" s="113"/>
      <c r="AC613" s="113"/>
      <c r="AD613" s="113"/>
      <c r="AE613" s="113"/>
      <c r="AF613" s="113"/>
    </row>
    <row r="614">
      <c r="A614" s="120"/>
      <c r="B614" s="113"/>
      <c r="C614" s="123">
        <f>MINIFS(collexo_data!B:B,collexo_data!A:A,A614)</f>
        <v>0</v>
      </c>
      <c r="D614" s="120" t="str">
        <f>vlookup(A614,collexo_data!A:M,13,0)</f>
        <v>#N/A</v>
      </c>
      <c r="E614" s="122" t="str">
        <f>vlookup(A614,collexo_data!A:O,15,0)</f>
        <v>#N/A</v>
      </c>
      <c r="F614" s="120" t="str">
        <f>vlookup(A614,collexo_data!A:S,19,0)</f>
        <v>#N/A</v>
      </c>
      <c r="G614" s="122" t="str">
        <f>vlookup(A614,collexo_data!A:R,18,0)</f>
        <v>#N/A</v>
      </c>
      <c r="H614" s="122" t="str">
        <f t="shared" si="1"/>
        <v/>
      </c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  <c r="AB614" s="113"/>
      <c r="AC614" s="113"/>
      <c r="AD614" s="113"/>
      <c r="AE614" s="113"/>
      <c r="AF614" s="113"/>
    </row>
    <row r="615">
      <c r="A615" s="120"/>
      <c r="B615" s="113"/>
      <c r="C615" s="123">
        <f>MINIFS(collexo_data!B:B,collexo_data!A:A,A615)</f>
        <v>0</v>
      </c>
      <c r="D615" s="120" t="str">
        <f>vlookup(A615,collexo_data!A:M,13,0)</f>
        <v>#N/A</v>
      </c>
      <c r="E615" s="122" t="str">
        <f>vlookup(A615,collexo_data!A:O,15,0)</f>
        <v>#N/A</v>
      </c>
      <c r="F615" s="120" t="str">
        <f>vlookup(A615,collexo_data!A:S,19,0)</f>
        <v>#N/A</v>
      </c>
      <c r="G615" s="122" t="str">
        <f>vlookup(A615,collexo_data!A:R,18,0)</f>
        <v>#N/A</v>
      </c>
      <c r="H615" s="122" t="str">
        <f t="shared" si="1"/>
        <v/>
      </c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  <c r="AB615" s="113"/>
      <c r="AC615" s="113"/>
      <c r="AD615" s="113"/>
      <c r="AE615" s="113"/>
      <c r="AF615" s="113"/>
    </row>
    <row r="616">
      <c r="A616" s="120"/>
      <c r="B616" s="113"/>
      <c r="C616" s="123">
        <f>MINIFS(collexo_data!B:B,collexo_data!A:A,A616)</f>
        <v>0</v>
      </c>
      <c r="D616" s="120" t="str">
        <f>vlookup(A616,collexo_data!A:M,13,0)</f>
        <v>#N/A</v>
      </c>
      <c r="E616" s="122" t="str">
        <f>vlookup(A616,collexo_data!A:O,15,0)</f>
        <v>#N/A</v>
      </c>
      <c r="F616" s="120" t="str">
        <f>vlookup(A616,collexo_data!A:S,19,0)</f>
        <v>#N/A</v>
      </c>
      <c r="G616" s="122" t="str">
        <f>vlookup(A616,collexo_data!A:R,18,0)</f>
        <v>#N/A</v>
      </c>
      <c r="H616" s="122" t="str">
        <f t="shared" si="1"/>
        <v/>
      </c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  <c r="AB616" s="113"/>
      <c r="AC616" s="113"/>
      <c r="AD616" s="113"/>
      <c r="AE616" s="113"/>
      <c r="AF616" s="113"/>
    </row>
    <row r="617">
      <c r="A617" s="120"/>
      <c r="B617" s="113"/>
      <c r="C617" s="123">
        <f>MINIFS(collexo_data!B:B,collexo_data!A:A,A617)</f>
        <v>0</v>
      </c>
      <c r="D617" s="120" t="str">
        <f>vlookup(A617,collexo_data!A:M,13,0)</f>
        <v>#N/A</v>
      </c>
      <c r="E617" s="122" t="str">
        <f>vlookup(A617,collexo_data!A:O,15,0)</f>
        <v>#N/A</v>
      </c>
      <c r="F617" s="120" t="str">
        <f>vlookup(A617,collexo_data!A:S,19,0)</f>
        <v>#N/A</v>
      </c>
      <c r="G617" s="122" t="str">
        <f>vlookup(A617,collexo_data!A:R,18,0)</f>
        <v>#N/A</v>
      </c>
      <c r="H617" s="122" t="str">
        <f t="shared" si="1"/>
        <v/>
      </c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  <c r="AB617" s="113"/>
      <c r="AC617" s="113"/>
      <c r="AD617" s="113"/>
      <c r="AE617" s="113"/>
      <c r="AF617" s="113"/>
    </row>
    <row r="618">
      <c r="A618" s="120"/>
      <c r="B618" s="113"/>
      <c r="C618" s="123">
        <f>MINIFS(collexo_data!B:B,collexo_data!A:A,A618)</f>
        <v>0</v>
      </c>
      <c r="D618" s="120" t="str">
        <f>vlookup(A618,collexo_data!A:M,13,0)</f>
        <v>#N/A</v>
      </c>
      <c r="E618" s="122" t="str">
        <f>vlookup(A618,collexo_data!A:O,15,0)</f>
        <v>#N/A</v>
      </c>
      <c r="F618" s="120" t="str">
        <f>vlookup(A618,collexo_data!A:S,19,0)</f>
        <v>#N/A</v>
      </c>
      <c r="G618" s="122" t="str">
        <f>vlookup(A618,collexo_data!A:R,18,0)</f>
        <v>#N/A</v>
      </c>
      <c r="H618" s="122" t="str">
        <f t="shared" si="1"/>
        <v/>
      </c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  <c r="AB618" s="113"/>
      <c r="AC618" s="113"/>
      <c r="AD618" s="113"/>
      <c r="AE618" s="113"/>
      <c r="AF618" s="113"/>
    </row>
    <row r="619">
      <c r="A619" s="120"/>
      <c r="B619" s="113"/>
      <c r="C619" s="123">
        <f>MINIFS(collexo_data!B:B,collexo_data!A:A,A619)</f>
        <v>0</v>
      </c>
      <c r="D619" s="120" t="str">
        <f>vlookup(A619,collexo_data!A:M,13,0)</f>
        <v>#N/A</v>
      </c>
      <c r="E619" s="122" t="str">
        <f>vlookup(A619,collexo_data!A:O,15,0)</f>
        <v>#N/A</v>
      </c>
      <c r="F619" s="120" t="str">
        <f>vlookup(A619,collexo_data!A:S,19,0)</f>
        <v>#N/A</v>
      </c>
      <c r="G619" s="122" t="str">
        <f>vlookup(A619,collexo_data!A:R,18,0)</f>
        <v>#N/A</v>
      </c>
      <c r="H619" s="122" t="str">
        <f t="shared" si="1"/>
        <v/>
      </c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  <c r="AB619" s="113"/>
      <c r="AC619" s="113"/>
      <c r="AD619" s="113"/>
      <c r="AE619" s="113"/>
      <c r="AF619" s="113"/>
    </row>
    <row r="620">
      <c r="A620" s="120"/>
      <c r="B620" s="113"/>
      <c r="C620" s="123">
        <f>MINIFS(collexo_data!B:B,collexo_data!A:A,A620)</f>
        <v>0</v>
      </c>
      <c r="D620" s="120" t="str">
        <f>vlookup(A620,collexo_data!A:M,13,0)</f>
        <v>#N/A</v>
      </c>
      <c r="E620" s="122" t="str">
        <f>vlookup(A620,collexo_data!A:O,15,0)</f>
        <v>#N/A</v>
      </c>
      <c r="F620" s="120" t="str">
        <f>vlookup(A620,collexo_data!A:S,19,0)</f>
        <v>#N/A</v>
      </c>
      <c r="G620" s="122" t="str">
        <f>vlookup(A620,collexo_data!A:R,18,0)</f>
        <v>#N/A</v>
      </c>
      <c r="H620" s="122" t="str">
        <f t="shared" si="1"/>
        <v/>
      </c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  <c r="AB620" s="113"/>
      <c r="AC620" s="113"/>
      <c r="AD620" s="113"/>
      <c r="AE620" s="113"/>
      <c r="AF620" s="113"/>
    </row>
    <row r="621">
      <c r="A621" s="120"/>
      <c r="B621" s="113"/>
      <c r="C621" s="123">
        <f>MINIFS(collexo_data!B:B,collexo_data!A:A,A621)</f>
        <v>0</v>
      </c>
      <c r="D621" s="120" t="str">
        <f>vlookup(A621,collexo_data!A:M,13,0)</f>
        <v>#N/A</v>
      </c>
      <c r="E621" s="122" t="str">
        <f>vlookup(A621,collexo_data!A:O,15,0)</f>
        <v>#N/A</v>
      </c>
      <c r="F621" s="120" t="str">
        <f>vlookup(A621,collexo_data!A:S,19,0)</f>
        <v>#N/A</v>
      </c>
      <c r="G621" s="122" t="str">
        <f>vlookup(A621,collexo_data!A:R,18,0)</f>
        <v>#N/A</v>
      </c>
      <c r="H621" s="122" t="str">
        <f t="shared" si="1"/>
        <v/>
      </c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  <c r="AB621" s="113"/>
      <c r="AC621" s="113"/>
      <c r="AD621" s="113"/>
      <c r="AE621" s="113"/>
      <c r="AF621" s="113"/>
    </row>
    <row r="622">
      <c r="A622" s="120"/>
      <c r="B622" s="113"/>
      <c r="C622" s="123">
        <f>MINIFS(collexo_data!B:B,collexo_data!A:A,A622)</f>
        <v>0</v>
      </c>
      <c r="D622" s="120" t="str">
        <f>vlookup(A622,collexo_data!A:M,13,0)</f>
        <v>#N/A</v>
      </c>
      <c r="E622" s="122" t="str">
        <f>vlookup(A622,collexo_data!A:O,15,0)</f>
        <v>#N/A</v>
      </c>
      <c r="F622" s="120" t="str">
        <f>vlookup(A622,collexo_data!A:S,19,0)</f>
        <v>#N/A</v>
      </c>
      <c r="G622" s="122" t="str">
        <f>vlookup(A622,collexo_data!A:R,18,0)</f>
        <v>#N/A</v>
      </c>
      <c r="H622" s="122" t="str">
        <f t="shared" si="1"/>
        <v/>
      </c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  <c r="AB622" s="113"/>
      <c r="AC622" s="113"/>
      <c r="AD622" s="113"/>
      <c r="AE622" s="113"/>
      <c r="AF622" s="113"/>
    </row>
    <row r="623">
      <c r="A623" s="120"/>
      <c r="B623" s="113"/>
      <c r="C623" s="123">
        <f>MINIFS(collexo_data!B:B,collexo_data!A:A,A623)</f>
        <v>0</v>
      </c>
      <c r="D623" s="120" t="str">
        <f>vlookup(A623,collexo_data!A:M,13,0)</f>
        <v>#N/A</v>
      </c>
      <c r="E623" s="122" t="str">
        <f>vlookup(A623,collexo_data!A:O,15,0)</f>
        <v>#N/A</v>
      </c>
      <c r="F623" s="120" t="str">
        <f>vlookup(A623,collexo_data!A:S,19,0)</f>
        <v>#N/A</v>
      </c>
      <c r="G623" s="122" t="str">
        <f>vlookup(A623,collexo_data!A:R,18,0)</f>
        <v>#N/A</v>
      </c>
      <c r="H623" s="122" t="str">
        <f t="shared" si="1"/>
        <v/>
      </c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  <c r="AB623" s="113"/>
      <c r="AC623" s="113"/>
      <c r="AD623" s="113"/>
      <c r="AE623" s="113"/>
      <c r="AF623" s="113"/>
    </row>
    <row r="624">
      <c r="A624" s="120"/>
      <c r="B624" s="113"/>
      <c r="C624" s="123">
        <f>MINIFS(collexo_data!B:B,collexo_data!A:A,A624)</f>
        <v>0</v>
      </c>
      <c r="D624" s="120" t="str">
        <f>vlookup(A624,collexo_data!A:M,13,0)</f>
        <v>#N/A</v>
      </c>
      <c r="E624" s="122" t="str">
        <f>vlookup(A624,collexo_data!A:O,15,0)</f>
        <v>#N/A</v>
      </c>
      <c r="F624" s="120" t="str">
        <f>vlookup(A624,collexo_data!A:S,19,0)</f>
        <v>#N/A</v>
      </c>
      <c r="G624" s="122" t="str">
        <f>vlookup(A624,collexo_data!A:R,18,0)</f>
        <v>#N/A</v>
      </c>
      <c r="H624" s="122" t="str">
        <f t="shared" si="1"/>
        <v/>
      </c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  <c r="AB624" s="113"/>
      <c r="AC624" s="113"/>
      <c r="AD624" s="113"/>
      <c r="AE624" s="113"/>
      <c r="AF624" s="113"/>
    </row>
    <row r="625">
      <c r="A625" s="120"/>
      <c r="B625" s="113"/>
      <c r="C625" s="123">
        <f>MINIFS(collexo_data!B:B,collexo_data!A:A,A625)</f>
        <v>0</v>
      </c>
      <c r="D625" s="120" t="str">
        <f>vlookup(A625,collexo_data!A:M,13,0)</f>
        <v>#N/A</v>
      </c>
      <c r="E625" s="122" t="str">
        <f>vlookup(A625,collexo_data!A:O,15,0)</f>
        <v>#N/A</v>
      </c>
      <c r="F625" s="120" t="str">
        <f>vlookup(A625,collexo_data!A:S,19,0)</f>
        <v>#N/A</v>
      </c>
      <c r="G625" s="122" t="str">
        <f>vlookup(A625,collexo_data!A:R,18,0)</f>
        <v>#N/A</v>
      </c>
      <c r="H625" s="122" t="str">
        <f t="shared" si="1"/>
        <v/>
      </c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  <c r="AB625" s="113"/>
      <c r="AC625" s="113"/>
      <c r="AD625" s="113"/>
      <c r="AE625" s="113"/>
      <c r="AF625" s="113"/>
    </row>
    <row r="626">
      <c r="A626" s="120"/>
      <c r="B626" s="113"/>
      <c r="C626" s="123">
        <f>MINIFS(collexo_data!B:B,collexo_data!A:A,A626)</f>
        <v>0</v>
      </c>
      <c r="D626" s="120" t="str">
        <f>vlookup(A626,collexo_data!A:M,13,0)</f>
        <v>#N/A</v>
      </c>
      <c r="E626" s="122" t="str">
        <f>vlookup(A626,collexo_data!A:O,15,0)</f>
        <v>#N/A</v>
      </c>
      <c r="F626" s="120" t="str">
        <f>vlookup(A626,collexo_data!A:S,19,0)</f>
        <v>#N/A</v>
      </c>
      <c r="G626" s="122" t="str">
        <f>vlookup(A626,collexo_data!A:R,18,0)</f>
        <v>#N/A</v>
      </c>
      <c r="H626" s="122" t="str">
        <f t="shared" si="1"/>
        <v/>
      </c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  <c r="AB626" s="113"/>
      <c r="AC626" s="113"/>
      <c r="AD626" s="113"/>
      <c r="AE626" s="113"/>
      <c r="AF626" s="113"/>
    </row>
    <row r="627">
      <c r="A627" s="120"/>
      <c r="B627" s="113"/>
      <c r="C627" s="123">
        <f>MINIFS(collexo_data!B:B,collexo_data!A:A,A627)</f>
        <v>0</v>
      </c>
      <c r="D627" s="120" t="str">
        <f>vlookup(A627,collexo_data!A:M,13,0)</f>
        <v>#N/A</v>
      </c>
      <c r="E627" s="122" t="str">
        <f>vlookup(A627,collexo_data!A:O,15,0)</f>
        <v>#N/A</v>
      </c>
      <c r="F627" s="120" t="str">
        <f>vlookup(A627,collexo_data!A:S,19,0)</f>
        <v>#N/A</v>
      </c>
      <c r="G627" s="122" t="str">
        <f>vlookup(A627,collexo_data!A:R,18,0)</f>
        <v>#N/A</v>
      </c>
      <c r="H627" s="122" t="str">
        <f t="shared" si="1"/>
        <v/>
      </c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  <c r="AB627" s="113"/>
      <c r="AC627" s="113"/>
      <c r="AD627" s="113"/>
      <c r="AE627" s="113"/>
      <c r="AF627" s="113"/>
    </row>
    <row r="628">
      <c r="A628" s="120"/>
      <c r="B628" s="113"/>
      <c r="C628" s="123">
        <f>MINIFS(collexo_data!B:B,collexo_data!A:A,A628)</f>
        <v>0</v>
      </c>
      <c r="D628" s="120" t="str">
        <f>vlookup(A628,collexo_data!A:M,13,0)</f>
        <v>#N/A</v>
      </c>
      <c r="E628" s="122" t="str">
        <f>vlookup(A628,collexo_data!A:O,15,0)</f>
        <v>#N/A</v>
      </c>
      <c r="F628" s="120" t="str">
        <f>vlookup(A628,collexo_data!A:S,19,0)</f>
        <v>#N/A</v>
      </c>
      <c r="G628" s="122" t="str">
        <f>vlookup(A628,collexo_data!A:R,18,0)</f>
        <v>#N/A</v>
      </c>
      <c r="H628" s="122" t="str">
        <f t="shared" si="1"/>
        <v/>
      </c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  <c r="AB628" s="113"/>
      <c r="AC628" s="113"/>
      <c r="AD628" s="113"/>
      <c r="AE628" s="113"/>
      <c r="AF628" s="113"/>
    </row>
    <row r="629">
      <c r="A629" s="120"/>
      <c r="B629" s="113"/>
      <c r="C629" s="123">
        <f>MINIFS(collexo_data!B:B,collexo_data!A:A,A629)</f>
        <v>0</v>
      </c>
      <c r="D629" s="120" t="str">
        <f>vlookup(A629,collexo_data!A:M,13,0)</f>
        <v>#N/A</v>
      </c>
      <c r="E629" s="122" t="str">
        <f>vlookup(A629,collexo_data!A:O,15,0)</f>
        <v>#N/A</v>
      </c>
      <c r="F629" s="120" t="str">
        <f>vlookup(A629,collexo_data!A:S,19,0)</f>
        <v>#N/A</v>
      </c>
      <c r="G629" s="122" t="str">
        <f>vlookup(A629,collexo_data!A:R,18,0)</f>
        <v>#N/A</v>
      </c>
      <c r="H629" s="122" t="str">
        <f t="shared" si="1"/>
        <v/>
      </c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  <c r="AB629" s="113"/>
      <c r="AC629" s="113"/>
      <c r="AD629" s="113"/>
      <c r="AE629" s="113"/>
      <c r="AF629" s="113"/>
    </row>
    <row r="630">
      <c r="A630" s="120"/>
      <c r="B630" s="113"/>
      <c r="C630" s="123">
        <f>MINIFS(collexo_data!B:B,collexo_data!A:A,A630)</f>
        <v>0</v>
      </c>
      <c r="D630" s="120" t="str">
        <f>vlookup(A630,collexo_data!A:M,13,0)</f>
        <v>#N/A</v>
      </c>
      <c r="E630" s="122" t="str">
        <f>vlookup(A630,collexo_data!A:O,15,0)</f>
        <v>#N/A</v>
      </c>
      <c r="F630" s="120" t="str">
        <f>vlookup(A630,collexo_data!A:S,19,0)</f>
        <v>#N/A</v>
      </c>
      <c r="G630" s="122" t="str">
        <f>vlookup(A630,collexo_data!A:R,18,0)</f>
        <v>#N/A</v>
      </c>
      <c r="H630" s="122" t="str">
        <f t="shared" si="1"/>
        <v/>
      </c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  <c r="AB630" s="113"/>
      <c r="AC630" s="113"/>
      <c r="AD630" s="113"/>
      <c r="AE630" s="113"/>
      <c r="AF630" s="113"/>
    </row>
    <row r="631">
      <c r="A631" s="120"/>
      <c r="B631" s="113"/>
      <c r="C631" s="123">
        <f>MINIFS(collexo_data!B:B,collexo_data!A:A,A631)</f>
        <v>0</v>
      </c>
      <c r="D631" s="120" t="str">
        <f>vlookup(A631,collexo_data!A:M,13,0)</f>
        <v>#N/A</v>
      </c>
      <c r="E631" s="122" t="str">
        <f>vlookup(A631,collexo_data!A:O,15,0)</f>
        <v>#N/A</v>
      </c>
      <c r="F631" s="120" t="str">
        <f>vlookup(A631,collexo_data!A:S,19,0)</f>
        <v>#N/A</v>
      </c>
      <c r="G631" s="122" t="str">
        <f>vlookup(A631,collexo_data!A:R,18,0)</f>
        <v>#N/A</v>
      </c>
      <c r="H631" s="122" t="str">
        <f t="shared" si="1"/>
        <v/>
      </c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  <c r="AB631" s="113"/>
      <c r="AC631" s="113"/>
      <c r="AD631" s="113"/>
      <c r="AE631" s="113"/>
      <c r="AF631" s="113"/>
    </row>
    <row r="632">
      <c r="A632" s="120"/>
      <c r="B632" s="113"/>
      <c r="C632" s="123">
        <f>MINIFS(collexo_data!B:B,collexo_data!A:A,A632)</f>
        <v>0</v>
      </c>
      <c r="D632" s="120" t="str">
        <f>vlookup(A632,collexo_data!A:M,13,0)</f>
        <v>#N/A</v>
      </c>
      <c r="E632" s="122" t="str">
        <f>vlookup(A632,collexo_data!A:O,15,0)</f>
        <v>#N/A</v>
      </c>
      <c r="F632" s="120" t="str">
        <f>vlookup(A632,collexo_data!A:S,19,0)</f>
        <v>#N/A</v>
      </c>
      <c r="G632" s="122" t="str">
        <f>vlookup(A632,collexo_data!A:R,18,0)</f>
        <v>#N/A</v>
      </c>
      <c r="H632" s="122" t="str">
        <f t="shared" si="1"/>
        <v/>
      </c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  <c r="AB632" s="113"/>
      <c r="AC632" s="113"/>
      <c r="AD632" s="113"/>
      <c r="AE632" s="113"/>
      <c r="AF632" s="113"/>
    </row>
    <row r="633">
      <c r="A633" s="120"/>
      <c r="B633" s="113"/>
      <c r="C633" s="123">
        <f>MINIFS(collexo_data!B:B,collexo_data!A:A,A633)</f>
        <v>0</v>
      </c>
      <c r="D633" s="120" t="str">
        <f>vlookup(A633,collexo_data!A:M,13,0)</f>
        <v>#N/A</v>
      </c>
      <c r="E633" s="122" t="str">
        <f>vlookup(A633,collexo_data!A:O,15,0)</f>
        <v>#N/A</v>
      </c>
      <c r="F633" s="120" t="str">
        <f>vlookup(A633,collexo_data!A:S,19,0)</f>
        <v>#N/A</v>
      </c>
      <c r="G633" s="122" t="str">
        <f>vlookup(A633,collexo_data!A:R,18,0)</f>
        <v>#N/A</v>
      </c>
      <c r="H633" s="122" t="str">
        <f t="shared" si="1"/>
        <v/>
      </c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  <c r="AB633" s="113"/>
      <c r="AC633" s="113"/>
      <c r="AD633" s="113"/>
      <c r="AE633" s="113"/>
      <c r="AF633" s="113"/>
    </row>
    <row r="634">
      <c r="A634" s="120"/>
      <c r="B634" s="113"/>
      <c r="C634" s="123">
        <f>MINIFS(collexo_data!B:B,collexo_data!A:A,A634)</f>
        <v>0</v>
      </c>
      <c r="D634" s="120" t="str">
        <f>vlookup(A634,collexo_data!A:M,13,0)</f>
        <v>#N/A</v>
      </c>
      <c r="E634" s="122" t="str">
        <f>vlookup(A634,collexo_data!A:O,15,0)</f>
        <v>#N/A</v>
      </c>
      <c r="F634" s="120" t="str">
        <f>vlookup(A634,collexo_data!A:S,19,0)</f>
        <v>#N/A</v>
      </c>
      <c r="G634" s="122" t="str">
        <f>vlookup(A634,collexo_data!A:R,18,0)</f>
        <v>#N/A</v>
      </c>
      <c r="H634" s="122" t="str">
        <f t="shared" si="1"/>
        <v/>
      </c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  <c r="AB634" s="113"/>
      <c r="AC634" s="113"/>
      <c r="AD634" s="113"/>
      <c r="AE634" s="113"/>
      <c r="AF634" s="113"/>
    </row>
    <row r="635">
      <c r="A635" s="120"/>
      <c r="B635" s="113"/>
      <c r="C635" s="123">
        <f>MINIFS(collexo_data!B:B,collexo_data!A:A,A635)</f>
        <v>0</v>
      </c>
      <c r="D635" s="120" t="str">
        <f>vlookup(A635,collexo_data!A:M,13,0)</f>
        <v>#N/A</v>
      </c>
      <c r="E635" s="122" t="str">
        <f>vlookup(A635,collexo_data!A:O,15,0)</f>
        <v>#N/A</v>
      </c>
      <c r="F635" s="120" t="str">
        <f>vlookup(A635,collexo_data!A:S,19,0)</f>
        <v>#N/A</v>
      </c>
      <c r="G635" s="122" t="str">
        <f>vlookup(A635,collexo_data!A:R,18,0)</f>
        <v>#N/A</v>
      </c>
      <c r="H635" s="122" t="str">
        <f t="shared" si="1"/>
        <v/>
      </c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  <c r="AB635" s="113"/>
      <c r="AC635" s="113"/>
      <c r="AD635" s="113"/>
      <c r="AE635" s="113"/>
      <c r="AF635" s="113"/>
    </row>
    <row r="636">
      <c r="A636" s="120"/>
      <c r="B636" s="113"/>
      <c r="C636" s="123">
        <f>MINIFS(collexo_data!B:B,collexo_data!A:A,A636)</f>
        <v>0</v>
      </c>
      <c r="D636" s="120" t="str">
        <f>vlookup(A636,collexo_data!A:M,13,0)</f>
        <v>#N/A</v>
      </c>
      <c r="E636" s="122" t="str">
        <f>vlookup(A636,collexo_data!A:O,15,0)</f>
        <v>#N/A</v>
      </c>
      <c r="F636" s="120" t="str">
        <f>vlookup(A636,collexo_data!A:S,19,0)</f>
        <v>#N/A</v>
      </c>
      <c r="G636" s="122" t="str">
        <f>vlookup(A636,collexo_data!A:R,18,0)</f>
        <v>#N/A</v>
      </c>
      <c r="H636" s="122" t="str">
        <f t="shared" si="1"/>
        <v/>
      </c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  <c r="AB636" s="113"/>
      <c r="AC636" s="113"/>
      <c r="AD636" s="113"/>
      <c r="AE636" s="113"/>
      <c r="AF636" s="113"/>
    </row>
    <row r="637">
      <c r="A637" s="120"/>
      <c r="B637" s="113"/>
      <c r="C637" s="123">
        <f>MINIFS(collexo_data!B:B,collexo_data!A:A,A637)</f>
        <v>0</v>
      </c>
      <c r="D637" s="120" t="str">
        <f>vlookup(A637,collexo_data!A:M,13,0)</f>
        <v>#N/A</v>
      </c>
      <c r="E637" s="122" t="str">
        <f>vlookup(A637,collexo_data!A:O,15,0)</f>
        <v>#N/A</v>
      </c>
      <c r="F637" s="120" t="str">
        <f>vlookup(A637,collexo_data!A:S,19,0)</f>
        <v>#N/A</v>
      </c>
      <c r="G637" s="122" t="str">
        <f>vlookup(A637,collexo_data!A:R,18,0)</f>
        <v>#N/A</v>
      </c>
      <c r="H637" s="122" t="str">
        <f t="shared" si="1"/>
        <v/>
      </c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  <c r="AB637" s="113"/>
      <c r="AC637" s="113"/>
      <c r="AD637" s="113"/>
      <c r="AE637" s="113"/>
      <c r="AF637" s="113"/>
    </row>
    <row r="638">
      <c r="A638" s="120"/>
      <c r="B638" s="113"/>
      <c r="C638" s="123">
        <f>MINIFS(collexo_data!B:B,collexo_data!A:A,A638)</f>
        <v>0</v>
      </c>
      <c r="D638" s="120" t="str">
        <f>vlookup(A638,collexo_data!A:M,13,0)</f>
        <v>#N/A</v>
      </c>
      <c r="E638" s="122" t="str">
        <f>vlookup(A638,collexo_data!A:O,15,0)</f>
        <v>#N/A</v>
      </c>
      <c r="F638" s="120" t="str">
        <f>vlookup(A638,collexo_data!A:S,19,0)</f>
        <v>#N/A</v>
      </c>
      <c r="G638" s="122" t="str">
        <f>vlookup(A638,collexo_data!A:R,18,0)</f>
        <v>#N/A</v>
      </c>
      <c r="H638" s="122" t="str">
        <f t="shared" si="1"/>
        <v/>
      </c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  <c r="AB638" s="113"/>
      <c r="AC638" s="113"/>
      <c r="AD638" s="113"/>
      <c r="AE638" s="113"/>
      <c r="AF638" s="113"/>
    </row>
    <row r="639">
      <c r="A639" s="120"/>
      <c r="B639" s="113"/>
      <c r="C639" s="123">
        <f>MINIFS(collexo_data!B:B,collexo_data!A:A,A639)</f>
        <v>0</v>
      </c>
      <c r="D639" s="120" t="str">
        <f>vlookup(A639,collexo_data!A:M,13,0)</f>
        <v>#N/A</v>
      </c>
      <c r="E639" s="122" t="str">
        <f>vlookup(A639,collexo_data!A:O,15,0)</f>
        <v>#N/A</v>
      </c>
      <c r="F639" s="120" t="str">
        <f>vlookup(A639,collexo_data!A:S,19,0)</f>
        <v>#N/A</v>
      </c>
      <c r="G639" s="122" t="str">
        <f>vlookup(A639,collexo_data!A:R,18,0)</f>
        <v>#N/A</v>
      </c>
      <c r="H639" s="122" t="str">
        <f t="shared" si="1"/>
        <v/>
      </c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  <c r="AB639" s="113"/>
      <c r="AC639" s="113"/>
      <c r="AD639" s="113"/>
      <c r="AE639" s="113"/>
      <c r="AF639" s="113"/>
    </row>
    <row r="640">
      <c r="A640" s="120"/>
      <c r="B640" s="113"/>
      <c r="C640" s="123">
        <f>MINIFS(collexo_data!B:B,collexo_data!A:A,A640)</f>
        <v>0</v>
      </c>
      <c r="D640" s="120" t="str">
        <f>vlookup(A640,collexo_data!A:M,13,0)</f>
        <v>#N/A</v>
      </c>
      <c r="E640" s="122" t="str">
        <f>vlookup(A640,collexo_data!A:O,15,0)</f>
        <v>#N/A</v>
      </c>
      <c r="F640" s="120" t="str">
        <f>vlookup(A640,collexo_data!A:S,19,0)</f>
        <v>#N/A</v>
      </c>
      <c r="G640" s="122" t="str">
        <f>vlookup(A640,collexo_data!A:R,18,0)</f>
        <v>#N/A</v>
      </c>
      <c r="H640" s="122" t="str">
        <f t="shared" si="1"/>
        <v/>
      </c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  <c r="AB640" s="113"/>
      <c r="AC640" s="113"/>
      <c r="AD640" s="113"/>
      <c r="AE640" s="113"/>
      <c r="AF640" s="113"/>
    </row>
    <row r="641">
      <c r="A641" s="120"/>
      <c r="B641" s="113"/>
      <c r="C641" s="123">
        <f>MINIFS(collexo_data!B:B,collexo_data!A:A,A641)</f>
        <v>0</v>
      </c>
      <c r="D641" s="120" t="str">
        <f>vlookup(A641,collexo_data!A:M,13,0)</f>
        <v>#N/A</v>
      </c>
      <c r="E641" s="122" t="str">
        <f>vlookup(A641,collexo_data!A:O,15,0)</f>
        <v>#N/A</v>
      </c>
      <c r="F641" s="120" t="str">
        <f>vlookup(A641,collexo_data!A:S,19,0)</f>
        <v>#N/A</v>
      </c>
      <c r="G641" s="122" t="str">
        <f>vlookup(A641,collexo_data!A:R,18,0)</f>
        <v>#N/A</v>
      </c>
      <c r="H641" s="122" t="str">
        <f t="shared" si="1"/>
        <v/>
      </c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  <c r="AB641" s="113"/>
      <c r="AC641" s="113"/>
      <c r="AD641" s="113"/>
      <c r="AE641" s="113"/>
      <c r="AF641" s="113"/>
    </row>
    <row r="642">
      <c r="A642" s="120"/>
      <c r="B642" s="113"/>
      <c r="C642" s="123">
        <f>MINIFS(collexo_data!B:B,collexo_data!A:A,A642)</f>
        <v>0</v>
      </c>
      <c r="D642" s="120" t="str">
        <f>vlookup(A642,collexo_data!A:M,13,0)</f>
        <v>#N/A</v>
      </c>
      <c r="E642" s="122" t="str">
        <f>vlookup(A642,collexo_data!A:O,15,0)</f>
        <v>#N/A</v>
      </c>
      <c r="F642" s="120" t="str">
        <f>vlookup(A642,collexo_data!A:S,19,0)</f>
        <v>#N/A</v>
      </c>
      <c r="G642" s="122" t="str">
        <f>vlookup(A642,collexo_data!A:R,18,0)</f>
        <v>#N/A</v>
      </c>
      <c r="H642" s="122" t="str">
        <f t="shared" si="1"/>
        <v/>
      </c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  <c r="AB642" s="113"/>
      <c r="AC642" s="113"/>
      <c r="AD642" s="113"/>
      <c r="AE642" s="113"/>
      <c r="AF642" s="113"/>
    </row>
    <row r="643">
      <c r="A643" s="120"/>
      <c r="B643" s="113"/>
      <c r="C643" s="123">
        <f>MINIFS(collexo_data!B:B,collexo_data!A:A,A643)</f>
        <v>0</v>
      </c>
      <c r="D643" s="120" t="str">
        <f>vlookup(A643,collexo_data!A:M,13,0)</f>
        <v>#N/A</v>
      </c>
      <c r="E643" s="122" t="str">
        <f>vlookup(A643,collexo_data!A:O,15,0)</f>
        <v>#N/A</v>
      </c>
      <c r="F643" s="120" t="str">
        <f>vlookup(A643,collexo_data!A:S,19,0)</f>
        <v>#N/A</v>
      </c>
      <c r="G643" s="122" t="str">
        <f>vlookup(A643,collexo_data!A:R,18,0)</f>
        <v>#N/A</v>
      </c>
      <c r="H643" s="122" t="str">
        <f t="shared" si="1"/>
        <v/>
      </c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  <c r="AB643" s="113"/>
      <c r="AC643" s="113"/>
      <c r="AD643" s="113"/>
      <c r="AE643" s="113"/>
      <c r="AF643" s="113"/>
    </row>
    <row r="644">
      <c r="A644" s="120"/>
      <c r="B644" s="113"/>
      <c r="C644" s="123">
        <f>MINIFS(collexo_data!B:B,collexo_data!A:A,A644)</f>
        <v>0</v>
      </c>
      <c r="D644" s="120" t="str">
        <f>vlookup(A644,collexo_data!A:M,13,0)</f>
        <v>#N/A</v>
      </c>
      <c r="E644" s="122" t="str">
        <f>vlookup(A644,collexo_data!A:O,15,0)</f>
        <v>#N/A</v>
      </c>
      <c r="F644" s="120" t="str">
        <f>vlookup(A644,collexo_data!A:S,19,0)</f>
        <v>#N/A</v>
      </c>
      <c r="G644" s="122" t="str">
        <f>vlookup(A644,collexo_data!A:R,18,0)</f>
        <v>#N/A</v>
      </c>
      <c r="H644" s="122" t="str">
        <f t="shared" si="1"/>
        <v/>
      </c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  <c r="AB644" s="113"/>
      <c r="AC644" s="113"/>
      <c r="AD644" s="113"/>
      <c r="AE644" s="113"/>
      <c r="AF644" s="113"/>
    </row>
    <row r="645">
      <c r="A645" s="120"/>
      <c r="B645" s="113"/>
      <c r="C645" s="123">
        <f>MINIFS(collexo_data!B:B,collexo_data!A:A,A645)</f>
        <v>0</v>
      </c>
      <c r="D645" s="120" t="str">
        <f>vlookup(A645,collexo_data!A:M,13,0)</f>
        <v>#N/A</v>
      </c>
      <c r="E645" s="122" t="str">
        <f>vlookup(A645,collexo_data!A:O,15,0)</f>
        <v>#N/A</v>
      </c>
      <c r="F645" s="120" t="str">
        <f>vlookup(A645,collexo_data!A:S,19,0)</f>
        <v>#N/A</v>
      </c>
      <c r="G645" s="122" t="str">
        <f>vlookup(A645,collexo_data!A:R,18,0)</f>
        <v>#N/A</v>
      </c>
      <c r="H645" s="122" t="str">
        <f t="shared" si="1"/>
        <v/>
      </c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  <c r="AB645" s="113"/>
      <c r="AC645" s="113"/>
      <c r="AD645" s="113"/>
      <c r="AE645" s="113"/>
      <c r="AF645" s="113"/>
    </row>
    <row r="646">
      <c r="A646" s="120"/>
      <c r="B646" s="113"/>
      <c r="C646" s="123">
        <f>MINIFS(collexo_data!B:B,collexo_data!A:A,A646)</f>
        <v>0</v>
      </c>
      <c r="D646" s="120" t="str">
        <f>vlookup(A646,collexo_data!A:M,13,0)</f>
        <v>#N/A</v>
      </c>
      <c r="E646" s="122" t="str">
        <f>vlookup(A646,collexo_data!A:O,15,0)</f>
        <v>#N/A</v>
      </c>
      <c r="F646" s="120" t="str">
        <f>vlookup(A646,collexo_data!A:S,19,0)</f>
        <v>#N/A</v>
      </c>
      <c r="G646" s="122" t="str">
        <f>vlookup(A646,collexo_data!A:R,18,0)</f>
        <v>#N/A</v>
      </c>
      <c r="H646" s="122" t="str">
        <f t="shared" si="1"/>
        <v/>
      </c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  <c r="AB646" s="113"/>
      <c r="AC646" s="113"/>
      <c r="AD646" s="113"/>
      <c r="AE646" s="113"/>
      <c r="AF646" s="113"/>
    </row>
    <row r="647">
      <c r="A647" s="120"/>
      <c r="B647" s="113"/>
      <c r="C647" s="123">
        <f>MINIFS(collexo_data!B:B,collexo_data!A:A,A647)</f>
        <v>0</v>
      </c>
      <c r="D647" s="120" t="str">
        <f>vlookup(A647,collexo_data!A:M,13,0)</f>
        <v>#N/A</v>
      </c>
      <c r="E647" s="122" t="str">
        <f>vlookup(A647,collexo_data!A:O,15,0)</f>
        <v>#N/A</v>
      </c>
      <c r="F647" s="120" t="str">
        <f>vlookup(A647,collexo_data!A:S,19,0)</f>
        <v>#N/A</v>
      </c>
      <c r="G647" s="122" t="str">
        <f>vlookup(A647,collexo_data!A:R,18,0)</f>
        <v>#N/A</v>
      </c>
      <c r="H647" s="122" t="str">
        <f t="shared" si="1"/>
        <v/>
      </c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  <c r="AB647" s="113"/>
      <c r="AC647" s="113"/>
      <c r="AD647" s="113"/>
      <c r="AE647" s="113"/>
      <c r="AF647" s="113"/>
    </row>
    <row r="648">
      <c r="A648" s="120"/>
      <c r="B648" s="113"/>
      <c r="C648" s="123">
        <f>MINIFS(collexo_data!B:B,collexo_data!A:A,A648)</f>
        <v>0</v>
      </c>
      <c r="D648" s="120" t="str">
        <f>vlookup(A648,collexo_data!A:M,13,0)</f>
        <v>#N/A</v>
      </c>
      <c r="E648" s="122" t="str">
        <f>vlookup(A648,collexo_data!A:O,15,0)</f>
        <v>#N/A</v>
      </c>
      <c r="F648" s="120" t="str">
        <f>vlookup(A648,collexo_data!A:S,19,0)</f>
        <v>#N/A</v>
      </c>
      <c r="G648" s="122" t="str">
        <f>vlookup(A648,collexo_data!A:R,18,0)</f>
        <v>#N/A</v>
      </c>
      <c r="H648" s="122" t="str">
        <f t="shared" si="1"/>
        <v/>
      </c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  <c r="AB648" s="113"/>
      <c r="AC648" s="113"/>
      <c r="AD648" s="113"/>
      <c r="AE648" s="113"/>
      <c r="AF648" s="113"/>
    </row>
    <row r="649">
      <c r="A649" s="120"/>
      <c r="B649" s="113"/>
      <c r="C649" s="123">
        <f>MINIFS(collexo_data!B:B,collexo_data!A:A,A649)</f>
        <v>0</v>
      </c>
      <c r="D649" s="120" t="str">
        <f>vlookup(A649,collexo_data!A:M,13,0)</f>
        <v>#N/A</v>
      </c>
      <c r="E649" s="122" t="str">
        <f>vlookup(A649,collexo_data!A:O,15,0)</f>
        <v>#N/A</v>
      </c>
      <c r="F649" s="120" t="str">
        <f>vlookup(A649,collexo_data!A:S,19,0)</f>
        <v>#N/A</v>
      </c>
      <c r="G649" s="122" t="str">
        <f>vlookup(A649,collexo_data!A:R,18,0)</f>
        <v>#N/A</v>
      </c>
      <c r="H649" s="122" t="str">
        <f t="shared" si="1"/>
        <v/>
      </c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  <c r="AB649" s="113"/>
      <c r="AC649" s="113"/>
      <c r="AD649" s="113"/>
      <c r="AE649" s="113"/>
      <c r="AF649" s="113"/>
    </row>
    <row r="650">
      <c r="A650" s="120"/>
      <c r="B650" s="113"/>
      <c r="C650" s="123">
        <f>MINIFS(collexo_data!B:B,collexo_data!A:A,A650)</f>
        <v>0</v>
      </c>
      <c r="D650" s="120" t="str">
        <f>vlookup(A650,collexo_data!A:M,13,0)</f>
        <v>#N/A</v>
      </c>
      <c r="E650" s="122" t="str">
        <f>vlookup(A650,collexo_data!A:O,15,0)</f>
        <v>#N/A</v>
      </c>
      <c r="F650" s="120" t="str">
        <f>vlookup(A650,collexo_data!A:S,19,0)</f>
        <v>#N/A</v>
      </c>
      <c r="G650" s="122" t="str">
        <f>vlookup(A650,collexo_data!A:R,18,0)</f>
        <v>#N/A</v>
      </c>
      <c r="H650" s="122" t="str">
        <f t="shared" si="1"/>
        <v/>
      </c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  <c r="AB650" s="113"/>
      <c r="AC650" s="113"/>
      <c r="AD650" s="113"/>
      <c r="AE650" s="113"/>
      <c r="AF650" s="113"/>
    </row>
    <row r="651">
      <c r="A651" s="120"/>
      <c r="B651" s="113"/>
      <c r="C651" s="123">
        <f>MINIFS(collexo_data!B:B,collexo_data!A:A,A651)</f>
        <v>0</v>
      </c>
      <c r="D651" s="120" t="str">
        <f>vlookup(A651,collexo_data!A:M,13,0)</f>
        <v>#N/A</v>
      </c>
      <c r="E651" s="122" t="str">
        <f>vlookup(A651,collexo_data!A:O,15,0)</f>
        <v>#N/A</v>
      </c>
      <c r="F651" s="120" t="str">
        <f>vlookup(A651,collexo_data!A:S,19,0)</f>
        <v>#N/A</v>
      </c>
      <c r="G651" s="122" t="str">
        <f>vlookup(A651,collexo_data!A:R,18,0)</f>
        <v>#N/A</v>
      </c>
      <c r="H651" s="122" t="str">
        <f t="shared" si="1"/>
        <v/>
      </c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  <c r="AB651" s="113"/>
      <c r="AC651" s="113"/>
      <c r="AD651" s="113"/>
      <c r="AE651" s="113"/>
      <c r="AF651" s="113"/>
    </row>
    <row r="652">
      <c r="A652" s="120"/>
      <c r="B652" s="113"/>
      <c r="C652" s="123">
        <f>MINIFS(collexo_data!B:B,collexo_data!A:A,A652)</f>
        <v>0</v>
      </c>
      <c r="D652" s="120" t="str">
        <f>vlookup(A652,collexo_data!A:M,13,0)</f>
        <v>#N/A</v>
      </c>
      <c r="E652" s="122" t="str">
        <f>vlookup(A652,collexo_data!A:O,15,0)</f>
        <v>#N/A</v>
      </c>
      <c r="F652" s="120" t="str">
        <f>vlookup(A652,collexo_data!A:S,19,0)</f>
        <v>#N/A</v>
      </c>
      <c r="G652" s="122" t="str">
        <f>vlookup(A652,collexo_data!A:R,18,0)</f>
        <v>#N/A</v>
      </c>
      <c r="H652" s="122" t="str">
        <f t="shared" si="1"/>
        <v/>
      </c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  <c r="AB652" s="113"/>
      <c r="AC652" s="113"/>
      <c r="AD652" s="113"/>
      <c r="AE652" s="113"/>
      <c r="AF652" s="113"/>
    </row>
    <row r="653">
      <c r="A653" s="120"/>
      <c r="B653" s="113"/>
      <c r="C653" s="123">
        <f>MINIFS(collexo_data!B:B,collexo_data!A:A,A653)</f>
        <v>0</v>
      </c>
      <c r="D653" s="120" t="str">
        <f>vlookup(A653,collexo_data!A:M,13,0)</f>
        <v>#N/A</v>
      </c>
      <c r="E653" s="122" t="str">
        <f>vlookup(A653,collexo_data!A:O,15,0)</f>
        <v>#N/A</v>
      </c>
      <c r="F653" s="120" t="str">
        <f>vlookup(A653,collexo_data!A:S,19,0)</f>
        <v>#N/A</v>
      </c>
      <c r="G653" s="122" t="str">
        <f>vlookup(A653,collexo_data!A:R,18,0)</f>
        <v>#N/A</v>
      </c>
      <c r="H653" s="122" t="str">
        <f t="shared" si="1"/>
        <v/>
      </c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  <c r="AB653" s="113"/>
      <c r="AC653" s="113"/>
      <c r="AD653" s="113"/>
      <c r="AE653" s="113"/>
      <c r="AF653" s="113"/>
    </row>
    <row r="654">
      <c r="A654" s="120"/>
      <c r="B654" s="113"/>
      <c r="C654" s="123">
        <f>MINIFS(collexo_data!B:B,collexo_data!A:A,A654)</f>
        <v>0</v>
      </c>
      <c r="D654" s="120" t="str">
        <f>vlookup(A654,collexo_data!A:M,13,0)</f>
        <v>#N/A</v>
      </c>
      <c r="E654" s="122" t="str">
        <f>vlookup(A654,collexo_data!A:O,15,0)</f>
        <v>#N/A</v>
      </c>
      <c r="F654" s="120" t="str">
        <f>vlookup(A654,collexo_data!A:S,19,0)</f>
        <v>#N/A</v>
      </c>
      <c r="G654" s="122" t="str">
        <f>vlookup(A654,collexo_data!A:R,18,0)</f>
        <v>#N/A</v>
      </c>
      <c r="H654" s="122" t="str">
        <f t="shared" si="1"/>
        <v/>
      </c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  <c r="AB654" s="113"/>
      <c r="AC654" s="113"/>
      <c r="AD654" s="113"/>
      <c r="AE654" s="113"/>
      <c r="AF654" s="113"/>
    </row>
    <row r="655">
      <c r="A655" s="120"/>
      <c r="B655" s="113"/>
      <c r="C655" s="123">
        <f>MINIFS(collexo_data!B:B,collexo_data!A:A,A655)</f>
        <v>0</v>
      </c>
      <c r="D655" s="120" t="str">
        <f>vlookup(A655,collexo_data!A:M,13,0)</f>
        <v>#N/A</v>
      </c>
      <c r="E655" s="122" t="str">
        <f>vlookup(A655,collexo_data!A:O,15,0)</f>
        <v>#N/A</v>
      </c>
      <c r="F655" s="120" t="str">
        <f>vlookup(A655,collexo_data!A:S,19,0)</f>
        <v>#N/A</v>
      </c>
      <c r="G655" s="122" t="str">
        <f>vlookup(A655,collexo_data!A:R,18,0)</f>
        <v>#N/A</v>
      </c>
      <c r="H655" s="122" t="str">
        <f t="shared" si="1"/>
        <v/>
      </c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  <c r="AB655" s="113"/>
      <c r="AC655" s="113"/>
      <c r="AD655" s="113"/>
      <c r="AE655" s="113"/>
      <c r="AF655" s="113"/>
    </row>
    <row r="656">
      <c r="A656" s="120"/>
      <c r="B656" s="113"/>
      <c r="C656" s="123">
        <f>MINIFS(collexo_data!B:B,collexo_data!A:A,A656)</f>
        <v>0</v>
      </c>
      <c r="D656" s="120" t="str">
        <f>vlookup(A656,collexo_data!A:M,13,0)</f>
        <v>#N/A</v>
      </c>
      <c r="E656" s="122" t="str">
        <f>vlookup(A656,collexo_data!A:O,15,0)</f>
        <v>#N/A</v>
      </c>
      <c r="F656" s="120" t="str">
        <f>vlookup(A656,collexo_data!A:S,19,0)</f>
        <v>#N/A</v>
      </c>
      <c r="G656" s="122" t="str">
        <f>vlookup(A656,collexo_data!A:R,18,0)</f>
        <v>#N/A</v>
      </c>
      <c r="H656" s="122" t="str">
        <f t="shared" si="1"/>
        <v/>
      </c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  <c r="AB656" s="113"/>
      <c r="AC656" s="113"/>
      <c r="AD656" s="113"/>
      <c r="AE656" s="113"/>
      <c r="AF656" s="113"/>
    </row>
    <row r="657">
      <c r="A657" s="120"/>
      <c r="B657" s="113"/>
      <c r="C657" s="123">
        <f>MINIFS(collexo_data!B:B,collexo_data!A:A,A657)</f>
        <v>0</v>
      </c>
      <c r="D657" s="120" t="str">
        <f>vlookup(A657,collexo_data!A:M,13,0)</f>
        <v>#N/A</v>
      </c>
      <c r="E657" s="122" t="str">
        <f>vlookup(A657,collexo_data!A:O,15,0)</f>
        <v>#N/A</v>
      </c>
      <c r="F657" s="120" t="str">
        <f>vlookup(A657,collexo_data!A:S,19,0)</f>
        <v>#N/A</v>
      </c>
      <c r="G657" s="122" t="str">
        <f>vlookup(A657,collexo_data!A:R,18,0)</f>
        <v>#N/A</v>
      </c>
      <c r="H657" s="122" t="str">
        <f t="shared" si="1"/>
        <v/>
      </c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  <c r="AB657" s="113"/>
      <c r="AC657" s="113"/>
      <c r="AD657" s="113"/>
      <c r="AE657" s="113"/>
      <c r="AF657" s="113"/>
    </row>
    <row r="658">
      <c r="A658" s="120"/>
      <c r="B658" s="113"/>
      <c r="C658" s="123">
        <f>MINIFS(collexo_data!B:B,collexo_data!A:A,A658)</f>
        <v>0</v>
      </c>
      <c r="D658" s="120" t="str">
        <f>vlookup(A658,collexo_data!A:M,13,0)</f>
        <v>#N/A</v>
      </c>
      <c r="E658" s="122" t="str">
        <f>vlookup(A658,collexo_data!A:O,15,0)</f>
        <v>#N/A</v>
      </c>
      <c r="F658" s="120" t="str">
        <f>vlookup(A658,collexo_data!A:S,19,0)</f>
        <v>#N/A</v>
      </c>
      <c r="G658" s="122" t="str">
        <f>vlookup(A658,collexo_data!A:R,18,0)</f>
        <v>#N/A</v>
      </c>
      <c r="H658" s="122" t="str">
        <f t="shared" si="1"/>
        <v/>
      </c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  <c r="AB658" s="113"/>
      <c r="AC658" s="113"/>
      <c r="AD658" s="113"/>
      <c r="AE658" s="113"/>
      <c r="AF658" s="113"/>
    </row>
    <row r="659">
      <c r="A659" s="120"/>
      <c r="B659" s="113"/>
      <c r="C659" s="123">
        <f>MINIFS(collexo_data!B:B,collexo_data!A:A,A659)</f>
        <v>0</v>
      </c>
      <c r="D659" s="120" t="str">
        <f>vlookup(A659,collexo_data!A:M,13,0)</f>
        <v>#N/A</v>
      </c>
      <c r="E659" s="122" t="str">
        <f>vlookup(A659,collexo_data!A:O,15,0)</f>
        <v>#N/A</v>
      </c>
      <c r="F659" s="120" t="str">
        <f>vlookup(A659,collexo_data!A:S,19,0)</f>
        <v>#N/A</v>
      </c>
      <c r="G659" s="122" t="str">
        <f>vlookup(A659,collexo_data!A:R,18,0)</f>
        <v>#N/A</v>
      </c>
      <c r="H659" s="122" t="str">
        <f t="shared" si="1"/>
        <v/>
      </c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  <c r="AB659" s="113"/>
      <c r="AC659" s="113"/>
      <c r="AD659" s="113"/>
      <c r="AE659" s="113"/>
      <c r="AF659" s="113"/>
    </row>
    <row r="660">
      <c r="A660" s="120"/>
      <c r="B660" s="113"/>
      <c r="C660" s="123">
        <f>MINIFS(collexo_data!B:B,collexo_data!A:A,A660)</f>
        <v>0</v>
      </c>
      <c r="D660" s="120" t="str">
        <f>vlookup(A660,collexo_data!A:M,13,0)</f>
        <v>#N/A</v>
      </c>
      <c r="E660" s="122" t="str">
        <f>vlookup(A660,collexo_data!A:O,15,0)</f>
        <v>#N/A</v>
      </c>
      <c r="F660" s="120" t="str">
        <f>vlookup(A660,collexo_data!A:S,19,0)</f>
        <v>#N/A</v>
      </c>
      <c r="G660" s="122" t="str">
        <f>vlookup(A660,collexo_data!A:R,18,0)</f>
        <v>#N/A</v>
      </c>
      <c r="H660" s="122" t="str">
        <f t="shared" si="1"/>
        <v/>
      </c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  <c r="AB660" s="113"/>
      <c r="AC660" s="113"/>
      <c r="AD660" s="113"/>
      <c r="AE660" s="113"/>
      <c r="AF660" s="113"/>
    </row>
    <row r="661">
      <c r="A661" s="120"/>
      <c r="B661" s="113"/>
      <c r="C661" s="123">
        <f>MINIFS(collexo_data!B:B,collexo_data!A:A,A661)</f>
        <v>0</v>
      </c>
      <c r="D661" s="120" t="str">
        <f>vlookup(A661,collexo_data!A:M,13,0)</f>
        <v>#N/A</v>
      </c>
      <c r="E661" s="122" t="str">
        <f>vlookup(A661,collexo_data!A:O,15,0)</f>
        <v>#N/A</v>
      </c>
      <c r="F661" s="120" t="str">
        <f>vlookup(A661,collexo_data!A:S,19,0)</f>
        <v>#N/A</v>
      </c>
      <c r="G661" s="122" t="str">
        <f>vlookup(A661,collexo_data!A:R,18,0)</f>
        <v>#N/A</v>
      </c>
      <c r="H661" s="122" t="str">
        <f t="shared" si="1"/>
        <v/>
      </c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  <c r="AB661" s="113"/>
      <c r="AC661" s="113"/>
      <c r="AD661" s="113"/>
      <c r="AE661" s="113"/>
      <c r="AF661" s="113"/>
    </row>
    <row r="662">
      <c r="A662" s="120"/>
      <c r="B662" s="113"/>
      <c r="C662" s="123">
        <f>MINIFS(collexo_data!B:B,collexo_data!A:A,A662)</f>
        <v>0</v>
      </c>
      <c r="D662" s="120" t="str">
        <f>vlookup(A662,collexo_data!A:M,13,0)</f>
        <v>#N/A</v>
      </c>
      <c r="E662" s="122" t="str">
        <f>vlookup(A662,collexo_data!A:O,15,0)</f>
        <v>#N/A</v>
      </c>
      <c r="F662" s="120" t="str">
        <f>vlookup(A662,collexo_data!A:S,19,0)</f>
        <v>#N/A</v>
      </c>
      <c r="G662" s="122" t="str">
        <f>vlookup(A662,collexo_data!A:R,18,0)</f>
        <v>#N/A</v>
      </c>
      <c r="H662" s="122" t="str">
        <f t="shared" si="1"/>
        <v/>
      </c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  <c r="AB662" s="113"/>
      <c r="AC662" s="113"/>
      <c r="AD662" s="113"/>
      <c r="AE662" s="113"/>
      <c r="AF662" s="113"/>
    </row>
    <row r="663">
      <c r="A663" s="120"/>
      <c r="B663" s="113"/>
      <c r="C663" s="123">
        <f>MINIFS(collexo_data!B:B,collexo_data!A:A,A663)</f>
        <v>0</v>
      </c>
      <c r="D663" s="120" t="str">
        <f>vlookup(A663,collexo_data!A:M,13,0)</f>
        <v>#N/A</v>
      </c>
      <c r="E663" s="122" t="str">
        <f>vlookup(A663,collexo_data!A:O,15,0)</f>
        <v>#N/A</v>
      </c>
      <c r="F663" s="120" t="str">
        <f>vlookup(A663,collexo_data!A:S,19,0)</f>
        <v>#N/A</v>
      </c>
      <c r="G663" s="122" t="str">
        <f>vlookup(A663,collexo_data!A:R,18,0)</f>
        <v>#N/A</v>
      </c>
      <c r="H663" s="122" t="str">
        <f t="shared" si="1"/>
        <v/>
      </c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  <c r="AB663" s="113"/>
      <c r="AC663" s="113"/>
      <c r="AD663" s="113"/>
      <c r="AE663" s="113"/>
      <c r="AF663" s="113"/>
    </row>
    <row r="664">
      <c r="A664" s="120"/>
      <c r="B664" s="113"/>
      <c r="C664" s="123">
        <f>MINIFS(collexo_data!B:B,collexo_data!A:A,A664)</f>
        <v>0</v>
      </c>
      <c r="D664" s="120" t="str">
        <f>vlookup(A664,collexo_data!A:M,13,0)</f>
        <v>#N/A</v>
      </c>
      <c r="E664" s="122" t="str">
        <f>vlookup(A664,collexo_data!A:O,15,0)</f>
        <v>#N/A</v>
      </c>
      <c r="F664" s="120" t="str">
        <f>vlookup(A664,collexo_data!A:S,19,0)</f>
        <v>#N/A</v>
      </c>
      <c r="G664" s="122" t="str">
        <f>vlookup(A664,collexo_data!A:R,18,0)</f>
        <v>#N/A</v>
      </c>
      <c r="H664" s="122" t="str">
        <f t="shared" si="1"/>
        <v/>
      </c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  <c r="AB664" s="113"/>
      <c r="AC664" s="113"/>
      <c r="AD664" s="113"/>
      <c r="AE664" s="113"/>
      <c r="AF664" s="113"/>
    </row>
    <row r="665">
      <c r="A665" s="120"/>
      <c r="B665" s="113"/>
      <c r="C665" s="123">
        <f>MINIFS(collexo_data!B:B,collexo_data!A:A,A665)</f>
        <v>0</v>
      </c>
      <c r="D665" s="120" t="str">
        <f>vlookup(A665,collexo_data!A:M,13,0)</f>
        <v>#N/A</v>
      </c>
      <c r="E665" s="122" t="str">
        <f>vlookup(A665,collexo_data!A:O,15,0)</f>
        <v>#N/A</v>
      </c>
      <c r="F665" s="120" t="str">
        <f>vlookup(A665,collexo_data!A:S,19,0)</f>
        <v>#N/A</v>
      </c>
      <c r="G665" s="122" t="str">
        <f>vlookup(A665,collexo_data!A:R,18,0)</f>
        <v>#N/A</v>
      </c>
      <c r="H665" s="122" t="str">
        <f t="shared" si="1"/>
        <v/>
      </c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  <c r="AB665" s="113"/>
      <c r="AC665" s="113"/>
      <c r="AD665" s="113"/>
      <c r="AE665" s="113"/>
      <c r="AF665" s="113"/>
    </row>
    <row r="666">
      <c r="A666" s="120"/>
      <c r="B666" s="113"/>
      <c r="C666" s="123">
        <f>MINIFS(collexo_data!B:B,collexo_data!A:A,A666)</f>
        <v>0</v>
      </c>
      <c r="D666" s="120" t="str">
        <f>vlookup(A666,collexo_data!A:M,13,0)</f>
        <v>#N/A</v>
      </c>
      <c r="E666" s="122" t="str">
        <f>vlookup(A666,collexo_data!A:O,15,0)</f>
        <v>#N/A</v>
      </c>
      <c r="F666" s="120" t="str">
        <f>vlookup(A666,collexo_data!A:S,19,0)</f>
        <v>#N/A</v>
      </c>
      <c r="G666" s="122" t="str">
        <f>vlookup(A666,collexo_data!A:R,18,0)</f>
        <v>#N/A</v>
      </c>
      <c r="H666" s="122" t="str">
        <f t="shared" si="1"/>
        <v/>
      </c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  <c r="AB666" s="113"/>
      <c r="AC666" s="113"/>
      <c r="AD666" s="113"/>
      <c r="AE666" s="113"/>
      <c r="AF666" s="113"/>
    </row>
    <row r="667">
      <c r="A667" s="120"/>
      <c r="B667" s="113"/>
      <c r="C667" s="123">
        <f>MINIFS(collexo_data!B:B,collexo_data!A:A,A667)</f>
        <v>0</v>
      </c>
      <c r="D667" s="120" t="str">
        <f>vlookup(A667,collexo_data!A:M,13,0)</f>
        <v>#N/A</v>
      </c>
      <c r="E667" s="122" t="str">
        <f>vlookup(A667,collexo_data!A:O,15,0)</f>
        <v>#N/A</v>
      </c>
      <c r="F667" s="120" t="str">
        <f>vlookup(A667,collexo_data!A:S,19,0)</f>
        <v>#N/A</v>
      </c>
      <c r="G667" s="122" t="str">
        <f>vlookup(A667,collexo_data!A:R,18,0)</f>
        <v>#N/A</v>
      </c>
      <c r="H667" s="122" t="str">
        <f t="shared" si="1"/>
        <v/>
      </c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  <c r="AB667" s="113"/>
      <c r="AC667" s="113"/>
      <c r="AD667" s="113"/>
      <c r="AE667" s="113"/>
      <c r="AF667" s="113"/>
    </row>
    <row r="668">
      <c r="A668" s="120"/>
      <c r="B668" s="113"/>
      <c r="C668" s="123">
        <f>MINIFS(collexo_data!B:B,collexo_data!A:A,A668)</f>
        <v>0</v>
      </c>
      <c r="D668" s="120" t="str">
        <f>vlookup(A668,collexo_data!A:M,13,0)</f>
        <v>#N/A</v>
      </c>
      <c r="E668" s="122" t="str">
        <f>vlookup(A668,collexo_data!A:O,15,0)</f>
        <v>#N/A</v>
      </c>
      <c r="F668" s="120" t="str">
        <f>vlookup(A668,collexo_data!A:S,19,0)</f>
        <v>#N/A</v>
      </c>
      <c r="G668" s="122" t="str">
        <f>vlookup(A668,collexo_data!A:R,18,0)</f>
        <v>#N/A</v>
      </c>
      <c r="H668" s="122" t="str">
        <f t="shared" si="1"/>
        <v/>
      </c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  <c r="AB668" s="113"/>
      <c r="AC668" s="113"/>
      <c r="AD668" s="113"/>
      <c r="AE668" s="113"/>
      <c r="AF668" s="113"/>
    </row>
    <row r="669">
      <c r="A669" s="120"/>
      <c r="B669" s="113"/>
      <c r="C669" s="123">
        <f>MINIFS(collexo_data!B:B,collexo_data!A:A,A669)</f>
        <v>0</v>
      </c>
      <c r="D669" s="120" t="str">
        <f>vlookup(A669,collexo_data!A:M,13,0)</f>
        <v>#N/A</v>
      </c>
      <c r="E669" s="122" t="str">
        <f>vlookup(A669,collexo_data!A:O,15,0)</f>
        <v>#N/A</v>
      </c>
      <c r="F669" s="120" t="str">
        <f>vlookup(A669,collexo_data!A:S,19,0)</f>
        <v>#N/A</v>
      </c>
      <c r="G669" s="122" t="str">
        <f>vlookup(A669,collexo_data!A:R,18,0)</f>
        <v>#N/A</v>
      </c>
      <c r="H669" s="122" t="str">
        <f t="shared" si="1"/>
        <v/>
      </c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  <c r="AB669" s="113"/>
      <c r="AC669" s="113"/>
      <c r="AD669" s="113"/>
      <c r="AE669" s="113"/>
      <c r="AF669" s="113"/>
    </row>
    <row r="670">
      <c r="A670" s="120"/>
      <c r="B670" s="113"/>
      <c r="C670" s="123">
        <f>MINIFS(collexo_data!B:B,collexo_data!A:A,A670)</f>
        <v>0</v>
      </c>
      <c r="D670" s="120" t="str">
        <f>vlookup(A670,collexo_data!A:M,13,0)</f>
        <v>#N/A</v>
      </c>
      <c r="E670" s="122" t="str">
        <f>vlookup(A670,collexo_data!A:O,15,0)</f>
        <v>#N/A</v>
      </c>
      <c r="F670" s="120" t="str">
        <f>vlookup(A670,collexo_data!A:S,19,0)</f>
        <v>#N/A</v>
      </c>
      <c r="G670" s="122" t="str">
        <f>vlookup(A670,collexo_data!A:R,18,0)</f>
        <v>#N/A</v>
      </c>
      <c r="H670" s="122" t="str">
        <f t="shared" si="1"/>
        <v/>
      </c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  <c r="AB670" s="113"/>
      <c r="AC670" s="113"/>
      <c r="AD670" s="113"/>
      <c r="AE670" s="113"/>
      <c r="AF670" s="113"/>
    </row>
    <row r="671">
      <c r="A671" s="120"/>
      <c r="B671" s="113"/>
      <c r="C671" s="123">
        <f>MINIFS(collexo_data!B:B,collexo_data!A:A,A671)</f>
        <v>0</v>
      </c>
      <c r="D671" s="120" t="str">
        <f>vlookup(A671,collexo_data!A:M,13,0)</f>
        <v>#N/A</v>
      </c>
      <c r="E671" s="122" t="str">
        <f>vlookup(A671,collexo_data!A:O,15,0)</f>
        <v>#N/A</v>
      </c>
      <c r="F671" s="120" t="str">
        <f>vlookup(A671,collexo_data!A:S,19,0)</f>
        <v>#N/A</v>
      </c>
      <c r="G671" s="122" t="str">
        <f>vlookup(A671,collexo_data!A:R,18,0)</f>
        <v>#N/A</v>
      </c>
      <c r="H671" s="122" t="str">
        <f t="shared" si="1"/>
        <v/>
      </c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  <c r="AB671" s="113"/>
      <c r="AC671" s="113"/>
      <c r="AD671" s="113"/>
      <c r="AE671" s="113"/>
      <c r="AF671" s="113"/>
    </row>
    <row r="672">
      <c r="A672" s="120"/>
      <c r="B672" s="113"/>
      <c r="C672" s="123">
        <f>MINIFS(collexo_data!B:B,collexo_data!A:A,A672)</f>
        <v>0</v>
      </c>
      <c r="D672" s="120" t="str">
        <f>vlookup(A672,collexo_data!A:M,13,0)</f>
        <v>#N/A</v>
      </c>
      <c r="E672" s="122" t="str">
        <f>vlookup(A672,collexo_data!A:O,15,0)</f>
        <v>#N/A</v>
      </c>
      <c r="F672" s="120" t="str">
        <f>vlookup(A672,collexo_data!A:S,19,0)</f>
        <v>#N/A</v>
      </c>
      <c r="G672" s="122" t="str">
        <f>vlookup(A672,collexo_data!A:R,18,0)</f>
        <v>#N/A</v>
      </c>
      <c r="H672" s="122" t="str">
        <f t="shared" si="1"/>
        <v/>
      </c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  <c r="AB672" s="113"/>
      <c r="AC672" s="113"/>
      <c r="AD672" s="113"/>
      <c r="AE672" s="113"/>
      <c r="AF672" s="113"/>
    </row>
    <row r="673">
      <c r="A673" s="120"/>
      <c r="B673" s="113"/>
      <c r="C673" s="123">
        <f>MINIFS(collexo_data!B:B,collexo_data!A:A,A673)</f>
        <v>0</v>
      </c>
      <c r="D673" s="120" t="str">
        <f>vlookup(A673,collexo_data!A:M,13,0)</f>
        <v>#N/A</v>
      </c>
      <c r="E673" s="122" t="str">
        <f>vlookup(A673,collexo_data!A:O,15,0)</f>
        <v>#N/A</v>
      </c>
      <c r="F673" s="120" t="str">
        <f>vlookup(A673,collexo_data!A:S,19,0)</f>
        <v>#N/A</v>
      </c>
      <c r="G673" s="122" t="str">
        <f>vlookup(A673,collexo_data!A:R,18,0)</f>
        <v>#N/A</v>
      </c>
      <c r="H673" s="122" t="str">
        <f t="shared" si="1"/>
        <v/>
      </c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  <c r="AB673" s="113"/>
      <c r="AC673" s="113"/>
      <c r="AD673" s="113"/>
      <c r="AE673" s="113"/>
      <c r="AF673" s="113"/>
    </row>
    <row r="674">
      <c r="A674" s="120"/>
      <c r="B674" s="113"/>
      <c r="C674" s="123">
        <f>MINIFS(collexo_data!B:B,collexo_data!A:A,A674)</f>
        <v>0</v>
      </c>
      <c r="D674" s="120" t="str">
        <f>vlookup(A674,collexo_data!A:M,13,0)</f>
        <v>#N/A</v>
      </c>
      <c r="E674" s="122" t="str">
        <f>vlookup(A674,collexo_data!A:O,15,0)</f>
        <v>#N/A</v>
      </c>
      <c r="F674" s="120" t="str">
        <f>vlookup(A674,collexo_data!A:S,19,0)</f>
        <v>#N/A</v>
      </c>
      <c r="G674" s="122" t="str">
        <f>vlookup(A674,collexo_data!A:R,18,0)</f>
        <v>#N/A</v>
      </c>
      <c r="H674" s="122" t="str">
        <f t="shared" si="1"/>
        <v/>
      </c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  <c r="AB674" s="113"/>
      <c r="AC674" s="113"/>
      <c r="AD674" s="113"/>
      <c r="AE674" s="113"/>
      <c r="AF674" s="113"/>
    </row>
    <row r="675">
      <c r="A675" s="120"/>
      <c r="B675" s="113"/>
      <c r="C675" s="123">
        <f>MINIFS(collexo_data!B:B,collexo_data!A:A,A675)</f>
        <v>0</v>
      </c>
      <c r="D675" s="120" t="str">
        <f>vlookup(A675,collexo_data!A:M,13,0)</f>
        <v>#N/A</v>
      </c>
      <c r="E675" s="122" t="str">
        <f>vlookup(A675,collexo_data!A:O,15,0)</f>
        <v>#N/A</v>
      </c>
      <c r="F675" s="120" t="str">
        <f>vlookup(A675,collexo_data!A:S,19,0)</f>
        <v>#N/A</v>
      </c>
      <c r="G675" s="122" t="str">
        <f>vlookup(A675,collexo_data!A:R,18,0)</f>
        <v>#N/A</v>
      </c>
      <c r="H675" s="122" t="str">
        <f t="shared" si="1"/>
        <v/>
      </c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  <c r="AB675" s="113"/>
      <c r="AC675" s="113"/>
      <c r="AD675" s="113"/>
      <c r="AE675" s="113"/>
      <c r="AF675" s="113"/>
    </row>
    <row r="676">
      <c r="A676" s="120"/>
      <c r="B676" s="113"/>
      <c r="C676" s="123">
        <f>MINIFS(collexo_data!B:B,collexo_data!A:A,A676)</f>
        <v>0</v>
      </c>
      <c r="D676" s="120" t="str">
        <f>vlookup(A676,collexo_data!A:M,13,0)</f>
        <v>#N/A</v>
      </c>
      <c r="E676" s="122" t="str">
        <f>vlookup(A676,collexo_data!A:O,15,0)</f>
        <v>#N/A</v>
      </c>
      <c r="F676" s="120" t="str">
        <f>vlookup(A676,collexo_data!A:S,19,0)</f>
        <v>#N/A</v>
      </c>
      <c r="G676" s="122" t="str">
        <f>vlookup(A676,collexo_data!A:R,18,0)</f>
        <v>#N/A</v>
      </c>
      <c r="H676" s="122" t="str">
        <f t="shared" si="1"/>
        <v/>
      </c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  <c r="AB676" s="113"/>
      <c r="AC676" s="113"/>
      <c r="AD676" s="113"/>
      <c r="AE676" s="113"/>
      <c r="AF676" s="113"/>
    </row>
    <row r="677">
      <c r="A677" s="120"/>
      <c r="B677" s="113"/>
      <c r="C677" s="123">
        <f>MINIFS(collexo_data!B:B,collexo_data!A:A,A677)</f>
        <v>0</v>
      </c>
      <c r="D677" s="120" t="str">
        <f>vlookup(A677,collexo_data!A:M,13,0)</f>
        <v>#N/A</v>
      </c>
      <c r="E677" s="122" t="str">
        <f>vlookup(A677,collexo_data!A:O,15,0)</f>
        <v>#N/A</v>
      </c>
      <c r="F677" s="120" t="str">
        <f>vlookup(A677,collexo_data!A:S,19,0)</f>
        <v>#N/A</v>
      </c>
      <c r="G677" s="122" t="str">
        <f>vlookup(A677,collexo_data!A:R,18,0)</f>
        <v>#N/A</v>
      </c>
      <c r="H677" s="122" t="str">
        <f t="shared" si="1"/>
        <v/>
      </c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  <c r="AB677" s="113"/>
      <c r="AC677" s="113"/>
      <c r="AD677" s="113"/>
      <c r="AE677" s="113"/>
      <c r="AF677" s="113"/>
    </row>
    <row r="678">
      <c r="A678" s="120"/>
      <c r="B678" s="113"/>
      <c r="C678" s="123">
        <f>MINIFS(collexo_data!B:B,collexo_data!A:A,A678)</f>
        <v>0</v>
      </c>
      <c r="D678" s="120" t="str">
        <f>vlookup(A678,collexo_data!A:M,13,0)</f>
        <v>#N/A</v>
      </c>
      <c r="E678" s="122" t="str">
        <f>vlookup(A678,collexo_data!A:O,15,0)</f>
        <v>#N/A</v>
      </c>
      <c r="F678" s="120" t="str">
        <f>vlookup(A678,collexo_data!A:S,19,0)</f>
        <v>#N/A</v>
      </c>
      <c r="G678" s="122" t="str">
        <f>vlookup(A678,collexo_data!A:R,18,0)</f>
        <v>#N/A</v>
      </c>
      <c r="H678" s="122" t="str">
        <f t="shared" si="1"/>
        <v/>
      </c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  <c r="AB678" s="113"/>
      <c r="AC678" s="113"/>
      <c r="AD678" s="113"/>
      <c r="AE678" s="113"/>
      <c r="AF678" s="113"/>
    </row>
    <row r="679">
      <c r="A679" s="120"/>
      <c r="B679" s="113"/>
      <c r="C679" s="123">
        <f>MINIFS(collexo_data!B:B,collexo_data!A:A,A679)</f>
        <v>0</v>
      </c>
      <c r="D679" s="120" t="str">
        <f>vlookup(A679,collexo_data!A:M,13,0)</f>
        <v>#N/A</v>
      </c>
      <c r="E679" s="122" t="str">
        <f>vlookup(A679,collexo_data!A:O,15,0)</f>
        <v>#N/A</v>
      </c>
      <c r="F679" s="120" t="str">
        <f>vlookup(A679,collexo_data!A:S,19,0)</f>
        <v>#N/A</v>
      </c>
      <c r="G679" s="122" t="str">
        <f>vlookup(A679,collexo_data!A:R,18,0)</f>
        <v>#N/A</v>
      </c>
      <c r="H679" s="122" t="str">
        <f t="shared" si="1"/>
        <v/>
      </c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  <c r="AB679" s="113"/>
      <c r="AC679" s="113"/>
      <c r="AD679" s="113"/>
      <c r="AE679" s="113"/>
      <c r="AF679" s="113"/>
    </row>
    <row r="680">
      <c r="A680" s="120"/>
      <c r="B680" s="113"/>
      <c r="C680" s="123">
        <f>MINIFS(collexo_data!B:B,collexo_data!A:A,A680)</f>
        <v>0</v>
      </c>
      <c r="D680" s="120" t="str">
        <f>vlookup(A680,collexo_data!A:M,13,0)</f>
        <v>#N/A</v>
      </c>
      <c r="E680" s="122" t="str">
        <f>vlookup(A680,collexo_data!A:O,15,0)</f>
        <v>#N/A</v>
      </c>
      <c r="F680" s="120" t="str">
        <f>vlookup(A680,collexo_data!A:S,19,0)</f>
        <v>#N/A</v>
      </c>
      <c r="G680" s="122" t="str">
        <f>vlookup(A680,collexo_data!A:R,18,0)</f>
        <v>#N/A</v>
      </c>
      <c r="H680" s="122" t="str">
        <f t="shared" si="1"/>
        <v/>
      </c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  <c r="AB680" s="113"/>
      <c r="AC680" s="113"/>
      <c r="AD680" s="113"/>
      <c r="AE680" s="113"/>
      <c r="AF680" s="113"/>
    </row>
    <row r="681">
      <c r="A681" s="120"/>
      <c r="B681" s="113"/>
      <c r="C681" s="123">
        <f>MINIFS(collexo_data!B:B,collexo_data!A:A,A681)</f>
        <v>0</v>
      </c>
      <c r="D681" s="120" t="str">
        <f>vlookup(A681,collexo_data!A:M,13,0)</f>
        <v>#N/A</v>
      </c>
      <c r="E681" s="122" t="str">
        <f>vlookup(A681,collexo_data!A:O,15,0)</f>
        <v>#N/A</v>
      </c>
      <c r="F681" s="120" t="str">
        <f>vlookup(A681,collexo_data!A:S,19,0)</f>
        <v>#N/A</v>
      </c>
      <c r="G681" s="122" t="str">
        <f>vlookup(A681,collexo_data!A:R,18,0)</f>
        <v>#N/A</v>
      </c>
      <c r="H681" s="122" t="str">
        <f t="shared" si="1"/>
        <v/>
      </c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  <c r="AB681" s="113"/>
      <c r="AC681" s="113"/>
      <c r="AD681" s="113"/>
      <c r="AE681" s="113"/>
      <c r="AF681" s="113"/>
    </row>
    <row r="682">
      <c r="A682" s="120"/>
      <c r="B682" s="113"/>
      <c r="C682" s="123">
        <f>MINIFS(collexo_data!B:B,collexo_data!A:A,A682)</f>
        <v>0</v>
      </c>
      <c r="D682" s="120" t="str">
        <f>vlookup(A682,collexo_data!A:M,13,0)</f>
        <v>#N/A</v>
      </c>
      <c r="E682" s="122" t="str">
        <f>vlookup(A682,collexo_data!A:O,15,0)</f>
        <v>#N/A</v>
      </c>
      <c r="F682" s="120" t="str">
        <f>vlookup(A682,collexo_data!A:S,19,0)</f>
        <v>#N/A</v>
      </c>
      <c r="G682" s="122" t="str">
        <f>vlookup(A682,collexo_data!A:R,18,0)</f>
        <v>#N/A</v>
      </c>
      <c r="H682" s="122" t="str">
        <f t="shared" si="1"/>
        <v/>
      </c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  <c r="AB682" s="113"/>
      <c r="AC682" s="113"/>
      <c r="AD682" s="113"/>
      <c r="AE682" s="113"/>
      <c r="AF682" s="113"/>
    </row>
    <row r="683">
      <c r="A683" s="120"/>
      <c r="B683" s="113"/>
      <c r="C683" s="123">
        <f>MINIFS(collexo_data!B:B,collexo_data!A:A,A683)</f>
        <v>0</v>
      </c>
      <c r="D683" s="120" t="str">
        <f>vlookup(A683,collexo_data!A:M,13,0)</f>
        <v>#N/A</v>
      </c>
      <c r="E683" s="122" t="str">
        <f>vlookup(A683,collexo_data!A:O,15,0)</f>
        <v>#N/A</v>
      </c>
      <c r="F683" s="120" t="str">
        <f>vlookup(A683,collexo_data!A:S,19,0)</f>
        <v>#N/A</v>
      </c>
      <c r="G683" s="122" t="str">
        <f>vlookup(A683,collexo_data!A:R,18,0)</f>
        <v>#N/A</v>
      </c>
      <c r="H683" s="122" t="str">
        <f t="shared" si="1"/>
        <v/>
      </c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  <c r="AB683" s="113"/>
      <c r="AC683" s="113"/>
      <c r="AD683" s="113"/>
      <c r="AE683" s="113"/>
      <c r="AF683" s="113"/>
    </row>
    <row r="684">
      <c r="A684" s="120"/>
      <c r="B684" s="113"/>
      <c r="C684" s="123">
        <f>MINIFS(collexo_data!B:B,collexo_data!A:A,A684)</f>
        <v>0</v>
      </c>
      <c r="D684" s="120" t="str">
        <f>vlookup(A684,collexo_data!A:M,13,0)</f>
        <v>#N/A</v>
      </c>
      <c r="E684" s="122" t="str">
        <f>vlookup(A684,collexo_data!A:O,15,0)</f>
        <v>#N/A</v>
      </c>
      <c r="F684" s="120" t="str">
        <f>vlookup(A684,collexo_data!A:S,19,0)</f>
        <v>#N/A</v>
      </c>
      <c r="G684" s="122" t="str">
        <f>vlookup(A684,collexo_data!A:R,18,0)</f>
        <v>#N/A</v>
      </c>
      <c r="H684" s="122" t="str">
        <f t="shared" si="1"/>
        <v/>
      </c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  <c r="AB684" s="113"/>
      <c r="AC684" s="113"/>
      <c r="AD684" s="113"/>
      <c r="AE684" s="113"/>
      <c r="AF684" s="113"/>
    </row>
    <row r="685">
      <c r="A685" s="120"/>
      <c r="B685" s="113"/>
      <c r="C685" s="123">
        <f>MINIFS(collexo_data!B:B,collexo_data!A:A,A685)</f>
        <v>0</v>
      </c>
      <c r="D685" s="120" t="str">
        <f>vlookup(A685,collexo_data!A:M,13,0)</f>
        <v>#N/A</v>
      </c>
      <c r="E685" s="122" t="str">
        <f>vlookup(A685,collexo_data!A:O,15,0)</f>
        <v>#N/A</v>
      </c>
      <c r="F685" s="120" t="str">
        <f>vlookup(A685,collexo_data!A:S,19,0)</f>
        <v>#N/A</v>
      </c>
      <c r="G685" s="122" t="str">
        <f>vlookup(A685,collexo_data!A:R,18,0)</f>
        <v>#N/A</v>
      </c>
      <c r="H685" s="122" t="str">
        <f t="shared" si="1"/>
        <v/>
      </c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  <c r="AB685" s="113"/>
      <c r="AC685" s="113"/>
      <c r="AD685" s="113"/>
      <c r="AE685" s="113"/>
      <c r="AF685" s="113"/>
    </row>
    <row r="686">
      <c r="A686" s="120"/>
      <c r="B686" s="113"/>
      <c r="C686" s="123">
        <f>MINIFS(collexo_data!B:B,collexo_data!A:A,A686)</f>
        <v>0</v>
      </c>
      <c r="D686" s="120" t="str">
        <f>vlookup(A686,collexo_data!A:M,13,0)</f>
        <v>#N/A</v>
      </c>
      <c r="E686" s="122" t="str">
        <f>vlookup(A686,collexo_data!A:O,15,0)</f>
        <v>#N/A</v>
      </c>
      <c r="F686" s="120" t="str">
        <f>vlookup(A686,collexo_data!A:S,19,0)</f>
        <v>#N/A</v>
      </c>
      <c r="G686" s="122" t="str">
        <f>vlookup(A686,collexo_data!A:R,18,0)</f>
        <v>#N/A</v>
      </c>
      <c r="H686" s="122" t="str">
        <f t="shared" si="1"/>
        <v/>
      </c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  <c r="AB686" s="113"/>
      <c r="AC686" s="113"/>
      <c r="AD686" s="113"/>
      <c r="AE686" s="113"/>
      <c r="AF686" s="113"/>
    </row>
    <row r="687">
      <c r="A687" s="120"/>
      <c r="B687" s="113"/>
      <c r="C687" s="123">
        <f>MINIFS(collexo_data!B:B,collexo_data!A:A,A687)</f>
        <v>0</v>
      </c>
      <c r="D687" s="120" t="str">
        <f>vlookup(A687,collexo_data!A:M,13,0)</f>
        <v>#N/A</v>
      </c>
      <c r="E687" s="122" t="str">
        <f>vlookup(A687,collexo_data!A:O,15,0)</f>
        <v>#N/A</v>
      </c>
      <c r="F687" s="120" t="str">
        <f>vlookup(A687,collexo_data!A:S,19,0)</f>
        <v>#N/A</v>
      </c>
      <c r="G687" s="122" t="str">
        <f>vlookup(A687,collexo_data!A:R,18,0)</f>
        <v>#N/A</v>
      </c>
      <c r="H687" s="122" t="str">
        <f t="shared" si="1"/>
        <v/>
      </c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  <c r="AB687" s="113"/>
      <c r="AC687" s="113"/>
      <c r="AD687" s="113"/>
      <c r="AE687" s="113"/>
      <c r="AF687" s="113"/>
    </row>
    <row r="688">
      <c r="A688" s="120"/>
      <c r="B688" s="113"/>
      <c r="C688" s="123">
        <f>MINIFS(collexo_data!B:B,collexo_data!A:A,A688)</f>
        <v>0</v>
      </c>
      <c r="D688" s="120" t="str">
        <f>vlookup(A688,collexo_data!A:M,13,0)</f>
        <v>#N/A</v>
      </c>
      <c r="E688" s="122" t="str">
        <f>vlookup(A688,collexo_data!A:O,15,0)</f>
        <v>#N/A</v>
      </c>
      <c r="F688" s="120" t="str">
        <f>vlookup(A688,collexo_data!A:S,19,0)</f>
        <v>#N/A</v>
      </c>
      <c r="G688" s="122" t="str">
        <f>vlookup(A688,collexo_data!A:R,18,0)</f>
        <v>#N/A</v>
      </c>
      <c r="H688" s="122" t="str">
        <f t="shared" si="1"/>
        <v/>
      </c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  <c r="AB688" s="113"/>
      <c r="AC688" s="113"/>
      <c r="AD688" s="113"/>
      <c r="AE688" s="113"/>
      <c r="AF688" s="113"/>
    </row>
    <row r="689">
      <c r="A689" s="120"/>
      <c r="B689" s="113"/>
      <c r="C689" s="123">
        <f>MINIFS(collexo_data!B:B,collexo_data!A:A,A689)</f>
        <v>0</v>
      </c>
      <c r="D689" s="120" t="str">
        <f>vlookup(A689,collexo_data!A:M,13,0)</f>
        <v>#N/A</v>
      </c>
      <c r="E689" s="122" t="str">
        <f>vlookup(A689,collexo_data!A:O,15,0)</f>
        <v>#N/A</v>
      </c>
      <c r="F689" s="120" t="str">
        <f>vlookup(A689,collexo_data!A:S,19,0)</f>
        <v>#N/A</v>
      </c>
      <c r="G689" s="122" t="str">
        <f>vlookup(A689,collexo_data!A:R,18,0)</f>
        <v>#N/A</v>
      </c>
      <c r="H689" s="122" t="str">
        <f t="shared" si="1"/>
        <v/>
      </c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  <c r="AB689" s="113"/>
      <c r="AC689" s="113"/>
      <c r="AD689" s="113"/>
      <c r="AE689" s="113"/>
      <c r="AF689" s="113"/>
    </row>
    <row r="690">
      <c r="A690" s="120"/>
      <c r="B690" s="113"/>
      <c r="C690" s="123">
        <f>MINIFS(collexo_data!B:B,collexo_data!A:A,A690)</f>
        <v>0</v>
      </c>
      <c r="D690" s="120" t="str">
        <f>vlookup(A690,collexo_data!A:M,13,0)</f>
        <v>#N/A</v>
      </c>
      <c r="E690" s="122" t="str">
        <f>vlookup(A690,collexo_data!A:O,15,0)</f>
        <v>#N/A</v>
      </c>
      <c r="F690" s="120" t="str">
        <f>vlookup(A690,collexo_data!A:S,19,0)</f>
        <v>#N/A</v>
      </c>
      <c r="G690" s="122" t="str">
        <f>vlookup(A690,collexo_data!A:R,18,0)</f>
        <v>#N/A</v>
      </c>
      <c r="H690" s="122" t="str">
        <f t="shared" si="1"/>
        <v/>
      </c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  <c r="AB690" s="113"/>
      <c r="AC690" s="113"/>
      <c r="AD690" s="113"/>
      <c r="AE690" s="113"/>
      <c r="AF690" s="113"/>
    </row>
    <row r="691">
      <c r="A691" s="120"/>
      <c r="B691" s="113"/>
      <c r="C691" s="123">
        <f>MINIFS(collexo_data!B:B,collexo_data!A:A,A691)</f>
        <v>0</v>
      </c>
      <c r="D691" s="120" t="str">
        <f>vlookup(A691,collexo_data!A:M,13,0)</f>
        <v>#N/A</v>
      </c>
      <c r="E691" s="122" t="str">
        <f>vlookup(A691,collexo_data!A:O,15,0)</f>
        <v>#N/A</v>
      </c>
      <c r="F691" s="120" t="str">
        <f>vlookup(A691,collexo_data!A:S,19,0)</f>
        <v>#N/A</v>
      </c>
      <c r="G691" s="122" t="str">
        <f>vlookup(A691,collexo_data!A:R,18,0)</f>
        <v>#N/A</v>
      </c>
      <c r="H691" s="122" t="str">
        <f t="shared" si="1"/>
        <v/>
      </c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  <c r="AB691" s="113"/>
      <c r="AC691" s="113"/>
      <c r="AD691" s="113"/>
      <c r="AE691" s="113"/>
      <c r="AF691" s="113"/>
    </row>
    <row r="692">
      <c r="A692" s="120"/>
      <c r="B692" s="113"/>
      <c r="C692" s="123">
        <f>MINIFS(collexo_data!B:B,collexo_data!A:A,A692)</f>
        <v>0</v>
      </c>
      <c r="D692" s="120" t="str">
        <f>vlookup(A692,collexo_data!A:M,13,0)</f>
        <v>#N/A</v>
      </c>
      <c r="E692" s="122" t="str">
        <f>vlookup(A692,collexo_data!A:O,15,0)</f>
        <v>#N/A</v>
      </c>
      <c r="F692" s="120" t="str">
        <f>vlookup(A692,collexo_data!A:S,19,0)</f>
        <v>#N/A</v>
      </c>
      <c r="G692" s="122" t="str">
        <f>vlookup(A692,collexo_data!A:R,18,0)</f>
        <v>#N/A</v>
      </c>
      <c r="H692" s="122" t="str">
        <f t="shared" si="1"/>
        <v/>
      </c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  <c r="AB692" s="113"/>
      <c r="AC692" s="113"/>
      <c r="AD692" s="113"/>
      <c r="AE692" s="113"/>
      <c r="AF692" s="113"/>
    </row>
    <row r="693">
      <c r="A693" s="120"/>
      <c r="B693" s="113"/>
      <c r="C693" s="123">
        <f>MINIFS(collexo_data!B:B,collexo_data!A:A,A693)</f>
        <v>0</v>
      </c>
      <c r="D693" s="120" t="str">
        <f>vlookup(A693,collexo_data!A:M,13,0)</f>
        <v>#N/A</v>
      </c>
      <c r="E693" s="122" t="str">
        <f>vlookup(A693,collexo_data!A:O,15,0)</f>
        <v>#N/A</v>
      </c>
      <c r="F693" s="120" t="str">
        <f>vlookup(A693,collexo_data!A:S,19,0)</f>
        <v>#N/A</v>
      </c>
      <c r="G693" s="122" t="str">
        <f>vlookup(A693,collexo_data!A:R,18,0)</f>
        <v>#N/A</v>
      </c>
      <c r="H693" s="122" t="str">
        <f t="shared" si="1"/>
        <v/>
      </c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  <c r="AB693" s="113"/>
      <c r="AC693" s="113"/>
      <c r="AD693" s="113"/>
      <c r="AE693" s="113"/>
      <c r="AF693" s="113"/>
    </row>
    <row r="694">
      <c r="A694" s="120"/>
      <c r="B694" s="113"/>
      <c r="C694" s="123">
        <f>MINIFS(collexo_data!B:B,collexo_data!A:A,A694)</f>
        <v>0</v>
      </c>
      <c r="D694" s="120" t="str">
        <f>vlookup(A694,collexo_data!A:M,13,0)</f>
        <v>#N/A</v>
      </c>
      <c r="E694" s="122" t="str">
        <f>vlookup(A694,collexo_data!A:O,15,0)</f>
        <v>#N/A</v>
      </c>
      <c r="F694" s="120" t="str">
        <f>vlookup(A694,collexo_data!A:S,19,0)</f>
        <v>#N/A</v>
      </c>
      <c r="G694" s="122" t="str">
        <f>vlookup(A694,collexo_data!A:R,18,0)</f>
        <v>#N/A</v>
      </c>
      <c r="H694" s="122" t="str">
        <f t="shared" si="1"/>
        <v/>
      </c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  <c r="AB694" s="113"/>
      <c r="AC694" s="113"/>
      <c r="AD694" s="113"/>
      <c r="AE694" s="113"/>
      <c r="AF694" s="113"/>
    </row>
    <row r="695">
      <c r="A695" s="120"/>
      <c r="B695" s="113"/>
      <c r="C695" s="123">
        <f>MINIFS(collexo_data!B:B,collexo_data!A:A,A695)</f>
        <v>0</v>
      </c>
      <c r="D695" s="120" t="str">
        <f>vlookup(A695,collexo_data!A:M,13,0)</f>
        <v>#N/A</v>
      </c>
      <c r="E695" s="122" t="str">
        <f>vlookup(A695,collexo_data!A:O,15,0)</f>
        <v>#N/A</v>
      </c>
      <c r="F695" s="120" t="str">
        <f>vlookup(A695,collexo_data!A:S,19,0)</f>
        <v>#N/A</v>
      </c>
      <c r="G695" s="122" t="str">
        <f>vlookup(A695,collexo_data!A:R,18,0)</f>
        <v>#N/A</v>
      </c>
      <c r="H695" s="122" t="str">
        <f t="shared" si="1"/>
        <v/>
      </c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  <c r="AB695" s="113"/>
      <c r="AC695" s="113"/>
      <c r="AD695" s="113"/>
      <c r="AE695" s="113"/>
      <c r="AF695" s="113"/>
    </row>
    <row r="696">
      <c r="A696" s="120"/>
      <c r="B696" s="113"/>
      <c r="C696" s="123">
        <f>MINIFS(collexo_data!B:B,collexo_data!A:A,A696)</f>
        <v>0</v>
      </c>
      <c r="D696" s="120" t="str">
        <f>vlookup(A696,collexo_data!A:M,13,0)</f>
        <v>#N/A</v>
      </c>
      <c r="E696" s="122" t="str">
        <f>vlookup(A696,collexo_data!A:O,15,0)</f>
        <v>#N/A</v>
      </c>
      <c r="F696" s="120" t="str">
        <f>vlookup(A696,collexo_data!A:S,19,0)</f>
        <v>#N/A</v>
      </c>
      <c r="G696" s="122" t="str">
        <f>vlookup(A696,collexo_data!A:R,18,0)</f>
        <v>#N/A</v>
      </c>
      <c r="H696" s="122" t="str">
        <f t="shared" si="1"/>
        <v/>
      </c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  <c r="AB696" s="113"/>
      <c r="AC696" s="113"/>
      <c r="AD696" s="113"/>
      <c r="AE696" s="113"/>
      <c r="AF696" s="113"/>
    </row>
    <row r="697">
      <c r="A697" s="120"/>
      <c r="B697" s="113"/>
      <c r="C697" s="123">
        <f>MINIFS(collexo_data!B:B,collexo_data!A:A,A697)</f>
        <v>0</v>
      </c>
      <c r="D697" s="120" t="str">
        <f>vlookup(A697,collexo_data!A:M,13,0)</f>
        <v>#N/A</v>
      </c>
      <c r="E697" s="122" t="str">
        <f>vlookup(A697,collexo_data!A:O,15,0)</f>
        <v>#N/A</v>
      </c>
      <c r="F697" s="120" t="str">
        <f>vlookup(A697,collexo_data!A:S,19,0)</f>
        <v>#N/A</v>
      </c>
      <c r="G697" s="122" t="str">
        <f>vlookup(A697,collexo_data!A:R,18,0)</f>
        <v>#N/A</v>
      </c>
      <c r="H697" s="122" t="str">
        <f t="shared" si="1"/>
        <v/>
      </c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  <c r="AB697" s="113"/>
      <c r="AC697" s="113"/>
      <c r="AD697" s="113"/>
      <c r="AE697" s="113"/>
      <c r="AF697" s="113"/>
    </row>
    <row r="698">
      <c r="A698" s="120"/>
      <c r="B698" s="113"/>
      <c r="C698" s="123">
        <f>MINIFS(collexo_data!B:B,collexo_data!A:A,A698)</f>
        <v>0</v>
      </c>
      <c r="D698" s="120" t="str">
        <f>vlookup(A698,collexo_data!A:M,13,0)</f>
        <v>#N/A</v>
      </c>
      <c r="E698" s="122" t="str">
        <f>vlookup(A698,collexo_data!A:O,15,0)</f>
        <v>#N/A</v>
      </c>
      <c r="F698" s="120" t="str">
        <f>vlookup(A698,collexo_data!A:S,19,0)</f>
        <v>#N/A</v>
      </c>
      <c r="G698" s="122" t="str">
        <f>vlookup(A698,collexo_data!A:R,18,0)</f>
        <v>#N/A</v>
      </c>
      <c r="H698" s="122" t="str">
        <f t="shared" si="1"/>
        <v/>
      </c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  <c r="AB698" s="113"/>
      <c r="AC698" s="113"/>
      <c r="AD698" s="113"/>
      <c r="AE698" s="113"/>
      <c r="AF698" s="113"/>
    </row>
    <row r="699">
      <c r="A699" s="120"/>
      <c r="B699" s="113"/>
      <c r="C699" s="123">
        <f>MINIFS(collexo_data!B:B,collexo_data!A:A,A699)</f>
        <v>0</v>
      </c>
      <c r="D699" s="120" t="str">
        <f>vlookup(A699,collexo_data!A:M,13,0)</f>
        <v>#N/A</v>
      </c>
      <c r="E699" s="122" t="str">
        <f>vlookup(A699,collexo_data!A:O,15,0)</f>
        <v>#N/A</v>
      </c>
      <c r="F699" s="120" t="str">
        <f>vlookup(A699,collexo_data!A:S,19,0)</f>
        <v>#N/A</v>
      </c>
      <c r="G699" s="122" t="str">
        <f>vlookup(A699,collexo_data!A:R,18,0)</f>
        <v>#N/A</v>
      </c>
      <c r="H699" s="122" t="str">
        <f t="shared" si="1"/>
        <v/>
      </c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  <c r="AB699" s="113"/>
      <c r="AC699" s="113"/>
      <c r="AD699" s="113"/>
      <c r="AE699" s="113"/>
      <c r="AF699" s="113"/>
    </row>
    <row r="700">
      <c r="A700" s="120"/>
      <c r="B700" s="113"/>
      <c r="C700" s="123">
        <f>MINIFS(collexo_data!B:B,collexo_data!A:A,A700)</f>
        <v>0</v>
      </c>
      <c r="D700" s="120" t="str">
        <f>vlookup(A700,collexo_data!A:M,13,0)</f>
        <v>#N/A</v>
      </c>
      <c r="E700" s="122" t="str">
        <f>vlookup(A700,collexo_data!A:O,15,0)</f>
        <v>#N/A</v>
      </c>
      <c r="F700" s="120" t="str">
        <f>vlookup(A700,collexo_data!A:S,19,0)</f>
        <v>#N/A</v>
      </c>
      <c r="G700" s="122" t="str">
        <f>vlookup(A700,collexo_data!A:R,18,0)</f>
        <v>#N/A</v>
      </c>
      <c r="H700" s="122" t="str">
        <f t="shared" si="1"/>
        <v/>
      </c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  <c r="AB700" s="113"/>
      <c r="AC700" s="113"/>
      <c r="AD700" s="113"/>
      <c r="AE700" s="113"/>
      <c r="AF700" s="113"/>
    </row>
    <row r="701">
      <c r="A701" s="120"/>
      <c r="B701" s="113"/>
      <c r="C701" s="123">
        <f>MINIFS(collexo_data!B:B,collexo_data!A:A,A701)</f>
        <v>0</v>
      </c>
      <c r="D701" s="120" t="str">
        <f>vlookup(A701,collexo_data!A:M,13,0)</f>
        <v>#N/A</v>
      </c>
      <c r="E701" s="122" t="str">
        <f>vlookup(A701,collexo_data!A:O,15,0)</f>
        <v>#N/A</v>
      </c>
      <c r="F701" s="120" t="str">
        <f>vlookup(A701,collexo_data!A:S,19,0)</f>
        <v>#N/A</v>
      </c>
      <c r="G701" s="122" t="str">
        <f>vlookup(A701,collexo_data!A:R,18,0)</f>
        <v>#N/A</v>
      </c>
      <c r="H701" s="122" t="str">
        <f t="shared" si="1"/>
        <v/>
      </c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  <c r="AB701" s="113"/>
      <c r="AC701" s="113"/>
      <c r="AD701" s="113"/>
      <c r="AE701" s="113"/>
      <c r="AF701" s="113"/>
    </row>
    <row r="702">
      <c r="A702" s="120"/>
      <c r="B702" s="113"/>
      <c r="C702" s="123">
        <f>MINIFS(collexo_data!B:B,collexo_data!A:A,A702)</f>
        <v>0</v>
      </c>
      <c r="D702" s="120" t="str">
        <f>vlookup(A702,collexo_data!A:M,13,0)</f>
        <v>#N/A</v>
      </c>
      <c r="E702" s="122" t="str">
        <f>vlookup(A702,collexo_data!A:O,15,0)</f>
        <v>#N/A</v>
      </c>
      <c r="F702" s="120" t="str">
        <f>vlookup(A702,collexo_data!A:S,19,0)</f>
        <v>#N/A</v>
      </c>
      <c r="G702" s="122" t="str">
        <f>vlookup(A702,collexo_data!A:R,18,0)</f>
        <v>#N/A</v>
      </c>
      <c r="H702" s="122" t="str">
        <f t="shared" si="1"/>
        <v/>
      </c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  <c r="AB702" s="113"/>
      <c r="AC702" s="113"/>
      <c r="AD702" s="113"/>
      <c r="AE702" s="113"/>
      <c r="AF702" s="113"/>
    </row>
    <row r="703">
      <c r="A703" s="120"/>
      <c r="B703" s="113"/>
      <c r="C703" s="123">
        <f>MINIFS(collexo_data!B:B,collexo_data!A:A,A703)</f>
        <v>0</v>
      </c>
      <c r="D703" s="120" t="str">
        <f>vlookup(A703,collexo_data!A:M,13,0)</f>
        <v>#N/A</v>
      </c>
      <c r="E703" s="122" t="str">
        <f>vlookup(A703,collexo_data!A:O,15,0)</f>
        <v>#N/A</v>
      </c>
      <c r="F703" s="120" t="str">
        <f>vlookup(A703,collexo_data!A:S,19,0)</f>
        <v>#N/A</v>
      </c>
      <c r="G703" s="122" t="str">
        <f>vlookup(A703,collexo_data!A:R,18,0)</f>
        <v>#N/A</v>
      </c>
      <c r="H703" s="122" t="str">
        <f t="shared" si="1"/>
        <v/>
      </c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  <c r="AB703" s="113"/>
      <c r="AC703" s="113"/>
      <c r="AD703" s="113"/>
      <c r="AE703" s="113"/>
      <c r="AF703" s="113"/>
    </row>
    <row r="704">
      <c r="A704" s="120"/>
      <c r="B704" s="113"/>
      <c r="C704" s="123">
        <f>MINIFS(collexo_data!B:B,collexo_data!A:A,A704)</f>
        <v>0</v>
      </c>
      <c r="D704" s="120" t="str">
        <f>vlookup(A704,collexo_data!A:M,13,0)</f>
        <v>#N/A</v>
      </c>
      <c r="E704" s="122" t="str">
        <f>vlookup(A704,collexo_data!A:O,15,0)</f>
        <v>#N/A</v>
      </c>
      <c r="F704" s="120" t="str">
        <f>vlookup(A704,collexo_data!A:S,19,0)</f>
        <v>#N/A</v>
      </c>
      <c r="G704" s="122" t="str">
        <f>vlookup(A704,collexo_data!A:R,18,0)</f>
        <v>#N/A</v>
      </c>
      <c r="H704" s="122" t="str">
        <f t="shared" si="1"/>
        <v/>
      </c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  <c r="AB704" s="113"/>
      <c r="AC704" s="113"/>
      <c r="AD704" s="113"/>
      <c r="AE704" s="113"/>
      <c r="AF704" s="113"/>
    </row>
    <row r="705">
      <c r="A705" s="120"/>
      <c r="B705" s="113"/>
      <c r="C705" s="123">
        <f>MINIFS(collexo_data!B:B,collexo_data!A:A,A705)</f>
        <v>0</v>
      </c>
      <c r="D705" s="120" t="str">
        <f>vlookup(A705,collexo_data!A:M,13,0)</f>
        <v>#N/A</v>
      </c>
      <c r="E705" s="122" t="str">
        <f>vlookup(A705,collexo_data!A:O,15,0)</f>
        <v>#N/A</v>
      </c>
      <c r="F705" s="120" t="str">
        <f>vlookup(A705,collexo_data!A:S,19,0)</f>
        <v>#N/A</v>
      </c>
      <c r="G705" s="122" t="str">
        <f>vlookup(A705,collexo_data!A:R,18,0)</f>
        <v>#N/A</v>
      </c>
      <c r="H705" s="122" t="str">
        <f t="shared" si="1"/>
        <v/>
      </c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  <c r="AB705" s="113"/>
      <c r="AC705" s="113"/>
      <c r="AD705" s="113"/>
      <c r="AE705" s="113"/>
      <c r="AF705" s="113"/>
    </row>
    <row r="706">
      <c r="A706" s="120"/>
      <c r="B706" s="113"/>
      <c r="C706" s="123">
        <f>MINIFS(collexo_data!B:B,collexo_data!A:A,A706)</f>
        <v>0</v>
      </c>
      <c r="D706" s="120" t="str">
        <f>vlookup(A706,collexo_data!A:M,13,0)</f>
        <v>#N/A</v>
      </c>
      <c r="E706" s="122" t="str">
        <f>vlookup(A706,collexo_data!A:O,15,0)</f>
        <v>#N/A</v>
      </c>
      <c r="F706" s="120" t="str">
        <f>vlookup(A706,collexo_data!A:S,19,0)</f>
        <v>#N/A</v>
      </c>
      <c r="G706" s="122" t="str">
        <f>vlookup(A706,collexo_data!A:R,18,0)</f>
        <v>#N/A</v>
      </c>
      <c r="H706" s="122" t="str">
        <f t="shared" si="1"/>
        <v/>
      </c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  <c r="AB706" s="113"/>
      <c r="AC706" s="113"/>
      <c r="AD706" s="113"/>
      <c r="AE706" s="113"/>
      <c r="AF706" s="113"/>
    </row>
    <row r="707">
      <c r="A707" s="120"/>
      <c r="B707" s="113"/>
      <c r="C707" s="123">
        <f>MINIFS(collexo_data!B:B,collexo_data!A:A,A707)</f>
        <v>0</v>
      </c>
      <c r="D707" s="120" t="str">
        <f>vlookup(A707,collexo_data!A:M,13,0)</f>
        <v>#N/A</v>
      </c>
      <c r="E707" s="122" t="str">
        <f>vlookup(A707,collexo_data!A:O,15,0)</f>
        <v>#N/A</v>
      </c>
      <c r="F707" s="120" t="str">
        <f>vlookup(A707,collexo_data!A:S,19,0)</f>
        <v>#N/A</v>
      </c>
      <c r="G707" s="122" t="str">
        <f>vlookup(A707,collexo_data!A:R,18,0)</f>
        <v>#N/A</v>
      </c>
      <c r="H707" s="122" t="str">
        <f t="shared" si="1"/>
        <v/>
      </c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  <c r="AB707" s="113"/>
      <c r="AC707" s="113"/>
      <c r="AD707" s="113"/>
      <c r="AE707" s="113"/>
      <c r="AF707" s="113"/>
    </row>
    <row r="708">
      <c r="A708" s="120"/>
      <c r="B708" s="113"/>
      <c r="C708" s="123">
        <f>MINIFS(collexo_data!B:B,collexo_data!A:A,A708)</f>
        <v>0</v>
      </c>
      <c r="D708" s="120" t="str">
        <f>vlookup(A708,collexo_data!A:M,13,0)</f>
        <v>#N/A</v>
      </c>
      <c r="E708" s="122" t="str">
        <f>vlookup(A708,collexo_data!A:O,15,0)</f>
        <v>#N/A</v>
      </c>
      <c r="F708" s="120" t="str">
        <f>vlookup(A708,collexo_data!A:S,19,0)</f>
        <v>#N/A</v>
      </c>
      <c r="G708" s="122" t="str">
        <f>vlookup(A708,collexo_data!A:R,18,0)</f>
        <v>#N/A</v>
      </c>
      <c r="H708" s="122" t="str">
        <f t="shared" si="1"/>
        <v/>
      </c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  <c r="AB708" s="113"/>
      <c r="AC708" s="113"/>
      <c r="AD708" s="113"/>
      <c r="AE708" s="113"/>
      <c r="AF708" s="113"/>
    </row>
    <row r="709">
      <c r="A709" s="120"/>
      <c r="B709" s="113"/>
      <c r="C709" s="123">
        <f>MINIFS(collexo_data!B:B,collexo_data!A:A,A709)</f>
        <v>0</v>
      </c>
      <c r="D709" s="120" t="str">
        <f>vlookup(A709,collexo_data!A:M,13,0)</f>
        <v>#N/A</v>
      </c>
      <c r="E709" s="122" t="str">
        <f>vlookup(A709,collexo_data!A:O,15,0)</f>
        <v>#N/A</v>
      </c>
      <c r="F709" s="120" t="str">
        <f>vlookup(A709,collexo_data!A:S,19,0)</f>
        <v>#N/A</v>
      </c>
      <c r="G709" s="122" t="str">
        <f>vlookup(A709,collexo_data!A:R,18,0)</f>
        <v>#N/A</v>
      </c>
      <c r="H709" s="122" t="str">
        <f t="shared" si="1"/>
        <v/>
      </c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  <c r="AB709" s="113"/>
      <c r="AC709" s="113"/>
      <c r="AD709" s="113"/>
      <c r="AE709" s="113"/>
      <c r="AF709" s="113"/>
    </row>
    <row r="710">
      <c r="A710" s="120"/>
      <c r="B710" s="113"/>
      <c r="C710" s="123">
        <f>MINIFS(collexo_data!B:B,collexo_data!A:A,A710)</f>
        <v>0</v>
      </c>
      <c r="D710" s="120" t="str">
        <f>vlookup(A710,collexo_data!A:M,13,0)</f>
        <v>#N/A</v>
      </c>
      <c r="E710" s="122" t="str">
        <f>vlookup(A710,collexo_data!A:O,15,0)</f>
        <v>#N/A</v>
      </c>
      <c r="F710" s="120" t="str">
        <f>vlookup(A710,collexo_data!A:S,19,0)</f>
        <v>#N/A</v>
      </c>
      <c r="G710" s="122" t="str">
        <f>vlookup(A710,collexo_data!A:R,18,0)</f>
        <v>#N/A</v>
      </c>
      <c r="H710" s="122" t="str">
        <f t="shared" si="1"/>
        <v/>
      </c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  <c r="AB710" s="113"/>
      <c r="AC710" s="113"/>
      <c r="AD710" s="113"/>
      <c r="AE710" s="113"/>
      <c r="AF710" s="113"/>
    </row>
    <row r="711">
      <c r="A711" s="120"/>
      <c r="B711" s="113"/>
      <c r="C711" s="123">
        <f>MINIFS(collexo_data!B:B,collexo_data!A:A,A711)</f>
        <v>0</v>
      </c>
      <c r="D711" s="120" t="str">
        <f>vlookup(A711,collexo_data!A:M,13,0)</f>
        <v>#N/A</v>
      </c>
      <c r="E711" s="122" t="str">
        <f>vlookup(A711,collexo_data!A:O,15,0)</f>
        <v>#N/A</v>
      </c>
      <c r="F711" s="120" t="str">
        <f>vlookup(A711,collexo_data!A:S,19,0)</f>
        <v>#N/A</v>
      </c>
      <c r="G711" s="122" t="str">
        <f>vlookup(A711,collexo_data!A:R,18,0)</f>
        <v>#N/A</v>
      </c>
      <c r="H711" s="122" t="str">
        <f t="shared" si="1"/>
        <v/>
      </c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  <c r="AB711" s="113"/>
      <c r="AC711" s="113"/>
      <c r="AD711" s="113"/>
      <c r="AE711" s="113"/>
      <c r="AF711" s="113"/>
    </row>
    <row r="712">
      <c r="A712" s="120"/>
      <c r="B712" s="113"/>
      <c r="C712" s="123">
        <f>MINIFS(collexo_data!B:B,collexo_data!A:A,A712)</f>
        <v>0</v>
      </c>
      <c r="D712" s="120" t="str">
        <f>vlookup(A712,collexo_data!A:M,13,0)</f>
        <v>#N/A</v>
      </c>
      <c r="E712" s="122" t="str">
        <f>vlookup(A712,collexo_data!A:O,15,0)</f>
        <v>#N/A</v>
      </c>
      <c r="F712" s="120" t="str">
        <f>vlookup(A712,collexo_data!A:S,19,0)</f>
        <v>#N/A</v>
      </c>
      <c r="G712" s="122" t="str">
        <f>vlookup(A712,collexo_data!A:R,18,0)</f>
        <v>#N/A</v>
      </c>
      <c r="H712" s="122" t="str">
        <f t="shared" si="1"/>
        <v/>
      </c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  <c r="AB712" s="113"/>
      <c r="AC712" s="113"/>
      <c r="AD712" s="113"/>
      <c r="AE712" s="113"/>
      <c r="AF712" s="113"/>
    </row>
    <row r="713">
      <c r="A713" s="120"/>
      <c r="B713" s="113"/>
      <c r="C713" s="123">
        <f>MINIFS(collexo_data!B:B,collexo_data!A:A,A713)</f>
        <v>0</v>
      </c>
      <c r="D713" s="120" t="str">
        <f>vlookup(A713,collexo_data!A:M,13,0)</f>
        <v>#N/A</v>
      </c>
      <c r="E713" s="122" t="str">
        <f>vlookup(A713,collexo_data!A:O,15,0)</f>
        <v>#N/A</v>
      </c>
      <c r="F713" s="120" t="str">
        <f>vlookup(A713,collexo_data!A:S,19,0)</f>
        <v>#N/A</v>
      </c>
      <c r="G713" s="122" t="str">
        <f>vlookup(A713,collexo_data!A:R,18,0)</f>
        <v>#N/A</v>
      </c>
      <c r="H713" s="122" t="str">
        <f t="shared" si="1"/>
        <v/>
      </c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  <c r="AB713" s="113"/>
      <c r="AC713" s="113"/>
      <c r="AD713" s="113"/>
      <c r="AE713" s="113"/>
      <c r="AF713" s="113"/>
    </row>
    <row r="714">
      <c r="A714" s="120"/>
      <c r="B714" s="113"/>
      <c r="C714" s="123">
        <f>MINIFS(collexo_data!B:B,collexo_data!A:A,A714)</f>
        <v>0</v>
      </c>
      <c r="D714" s="120" t="str">
        <f>vlookup(A714,collexo_data!A:M,13,0)</f>
        <v>#N/A</v>
      </c>
      <c r="E714" s="122" t="str">
        <f>vlookup(A714,collexo_data!A:O,15,0)</f>
        <v>#N/A</v>
      </c>
      <c r="F714" s="120" t="str">
        <f>vlookup(A714,collexo_data!A:S,19,0)</f>
        <v>#N/A</v>
      </c>
      <c r="G714" s="122" t="str">
        <f>vlookup(A714,collexo_data!A:R,18,0)</f>
        <v>#N/A</v>
      </c>
      <c r="H714" s="122" t="str">
        <f t="shared" si="1"/>
        <v/>
      </c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  <c r="AB714" s="113"/>
      <c r="AC714" s="113"/>
      <c r="AD714" s="113"/>
      <c r="AE714" s="113"/>
      <c r="AF714" s="113"/>
    </row>
    <row r="715">
      <c r="A715" s="120"/>
      <c r="B715" s="113"/>
      <c r="C715" s="123">
        <f>MINIFS(collexo_data!B:B,collexo_data!A:A,A715)</f>
        <v>0</v>
      </c>
      <c r="D715" s="120" t="str">
        <f>vlookup(A715,collexo_data!A:M,13,0)</f>
        <v>#N/A</v>
      </c>
      <c r="E715" s="122" t="str">
        <f>vlookup(A715,collexo_data!A:O,15,0)</f>
        <v>#N/A</v>
      </c>
      <c r="F715" s="120" t="str">
        <f>vlookup(A715,collexo_data!A:S,19,0)</f>
        <v>#N/A</v>
      </c>
      <c r="G715" s="122" t="str">
        <f>vlookup(A715,collexo_data!A:R,18,0)</f>
        <v>#N/A</v>
      </c>
      <c r="H715" s="122" t="str">
        <f t="shared" si="1"/>
        <v/>
      </c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  <c r="AB715" s="113"/>
      <c r="AC715" s="113"/>
      <c r="AD715" s="113"/>
      <c r="AE715" s="113"/>
      <c r="AF715" s="113"/>
    </row>
    <row r="716">
      <c r="A716" s="120"/>
      <c r="B716" s="113"/>
      <c r="C716" s="123">
        <f>MINIFS(collexo_data!B:B,collexo_data!A:A,A716)</f>
        <v>0</v>
      </c>
      <c r="D716" s="120" t="str">
        <f>vlookup(A716,collexo_data!A:M,13,0)</f>
        <v>#N/A</v>
      </c>
      <c r="E716" s="122" t="str">
        <f>vlookup(A716,collexo_data!A:O,15,0)</f>
        <v>#N/A</v>
      </c>
      <c r="F716" s="120" t="str">
        <f>vlookup(A716,collexo_data!A:S,19,0)</f>
        <v>#N/A</v>
      </c>
      <c r="G716" s="122" t="str">
        <f>vlookup(A716,collexo_data!A:R,18,0)</f>
        <v>#N/A</v>
      </c>
      <c r="H716" s="122" t="str">
        <f t="shared" si="1"/>
        <v/>
      </c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  <c r="AB716" s="113"/>
      <c r="AC716" s="113"/>
      <c r="AD716" s="113"/>
      <c r="AE716" s="113"/>
      <c r="AF716" s="113"/>
    </row>
    <row r="717">
      <c r="A717" s="120"/>
      <c r="B717" s="113"/>
      <c r="C717" s="123">
        <f>MINIFS(collexo_data!B:B,collexo_data!A:A,A717)</f>
        <v>0</v>
      </c>
      <c r="D717" s="120" t="str">
        <f>vlookup(A717,collexo_data!A:M,13,0)</f>
        <v>#N/A</v>
      </c>
      <c r="E717" s="122" t="str">
        <f>vlookup(A717,collexo_data!A:O,15,0)</f>
        <v>#N/A</v>
      </c>
      <c r="F717" s="120" t="str">
        <f>vlookup(A717,collexo_data!A:S,19,0)</f>
        <v>#N/A</v>
      </c>
      <c r="G717" s="122" t="str">
        <f>vlookup(A717,collexo_data!A:R,18,0)</f>
        <v>#N/A</v>
      </c>
      <c r="H717" s="122" t="str">
        <f t="shared" si="1"/>
        <v/>
      </c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  <c r="AB717" s="113"/>
      <c r="AC717" s="113"/>
      <c r="AD717" s="113"/>
      <c r="AE717" s="113"/>
      <c r="AF717" s="113"/>
    </row>
    <row r="718">
      <c r="A718" s="120"/>
      <c r="B718" s="113"/>
      <c r="C718" s="123">
        <f>MINIFS(collexo_data!B:B,collexo_data!A:A,A718)</f>
        <v>0</v>
      </c>
      <c r="D718" s="120" t="str">
        <f>vlookup(A718,collexo_data!A:M,13,0)</f>
        <v>#N/A</v>
      </c>
      <c r="E718" s="122" t="str">
        <f>vlookup(A718,collexo_data!A:O,15,0)</f>
        <v>#N/A</v>
      </c>
      <c r="F718" s="120" t="str">
        <f>vlookup(A718,collexo_data!A:S,19,0)</f>
        <v>#N/A</v>
      </c>
      <c r="G718" s="122" t="str">
        <f>vlookup(A718,collexo_data!A:R,18,0)</f>
        <v>#N/A</v>
      </c>
      <c r="H718" s="122" t="str">
        <f t="shared" si="1"/>
        <v/>
      </c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  <c r="AB718" s="113"/>
      <c r="AC718" s="113"/>
      <c r="AD718" s="113"/>
      <c r="AE718" s="113"/>
      <c r="AF718" s="113"/>
    </row>
    <row r="719">
      <c r="A719" s="120"/>
      <c r="B719" s="113"/>
      <c r="C719" s="123">
        <f>MINIFS(collexo_data!B:B,collexo_data!A:A,A719)</f>
        <v>0</v>
      </c>
      <c r="D719" s="120" t="str">
        <f>vlookup(A719,collexo_data!A:M,13,0)</f>
        <v>#N/A</v>
      </c>
      <c r="E719" s="122" t="str">
        <f>vlookup(A719,collexo_data!A:O,15,0)</f>
        <v>#N/A</v>
      </c>
      <c r="F719" s="120" t="str">
        <f>vlookup(A719,collexo_data!A:S,19,0)</f>
        <v>#N/A</v>
      </c>
      <c r="G719" s="122" t="str">
        <f>vlookup(A719,collexo_data!A:R,18,0)</f>
        <v>#N/A</v>
      </c>
      <c r="H719" s="122" t="str">
        <f t="shared" si="1"/>
        <v/>
      </c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  <c r="AB719" s="113"/>
      <c r="AC719" s="113"/>
      <c r="AD719" s="113"/>
      <c r="AE719" s="113"/>
      <c r="AF719" s="113"/>
    </row>
    <row r="720">
      <c r="A720" s="120"/>
      <c r="B720" s="113"/>
      <c r="C720" s="123">
        <f>MINIFS(collexo_data!B:B,collexo_data!A:A,A720)</f>
        <v>0</v>
      </c>
      <c r="D720" s="120" t="str">
        <f>vlookup(A720,collexo_data!A:M,13,0)</f>
        <v>#N/A</v>
      </c>
      <c r="E720" s="122" t="str">
        <f>vlookup(A720,collexo_data!A:O,15,0)</f>
        <v>#N/A</v>
      </c>
      <c r="F720" s="120" t="str">
        <f>vlookup(A720,collexo_data!A:S,19,0)</f>
        <v>#N/A</v>
      </c>
      <c r="G720" s="122" t="str">
        <f>vlookup(A720,collexo_data!A:R,18,0)</f>
        <v>#N/A</v>
      </c>
      <c r="H720" s="122" t="str">
        <f t="shared" si="1"/>
        <v/>
      </c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  <c r="AB720" s="113"/>
      <c r="AC720" s="113"/>
      <c r="AD720" s="113"/>
      <c r="AE720" s="113"/>
      <c r="AF720" s="113"/>
    </row>
    <row r="721">
      <c r="A721" s="120"/>
      <c r="B721" s="113"/>
      <c r="C721" s="123">
        <f>MINIFS(collexo_data!B:B,collexo_data!A:A,A721)</f>
        <v>0</v>
      </c>
      <c r="D721" s="120" t="str">
        <f>vlookup(A721,collexo_data!A:M,13,0)</f>
        <v>#N/A</v>
      </c>
      <c r="E721" s="122" t="str">
        <f>vlookup(A721,collexo_data!A:O,15,0)</f>
        <v>#N/A</v>
      </c>
      <c r="F721" s="120" t="str">
        <f>vlookup(A721,collexo_data!A:S,19,0)</f>
        <v>#N/A</v>
      </c>
      <c r="G721" s="122" t="str">
        <f>vlookup(A721,collexo_data!A:R,18,0)</f>
        <v>#N/A</v>
      </c>
      <c r="H721" s="122" t="str">
        <f t="shared" si="1"/>
        <v/>
      </c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  <c r="AB721" s="113"/>
      <c r="AC721" s="113"/>
      <c r="AD721" s="113"/>
      <c r="AE721" s="113"/>
      <c r="AF721" s="113"/>
    </row>
    <row r="722">
      <c r="A722" s="120"/>
      <c r="B722" s="113"/>
      <c r="C722" s="123">
        <f>MINIFS(collexo_data!B:B,collexo_data!A:A,A722)</f>
        <v>0</v>
      </c>
      <c r="D722" s="120" t="str">
        <f>vlookup(A722,collexo_data!A:M,13,0)</f>
        <v>#N/A</v>
      </c>
      <c r="E722" s="122" t="str">
        <f>vlookup(A722,collexo_data!A:O,15,0)</f>
        <v>#N/A</v>
      </c>
      <c r="F722" s="120" t="str">
        <f>vlookup(A722,collexo_data!A:S,19,0)</f>
        <v>#N/A</v>
      </c>
      <c r="G722" s="122" t="str">
        <f>vlookup(A722,collexo_data!A:R,18,0)</f>
        <v>#N/A</v>
      </c>
      <c r="H722" s="122" t="str">
        <f t="shared" si="1"/>
        <v/>
      </c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  <c r="AB722" s="113"/>
      <c r="AC722" s="113"/>
      <c r="AD722" s="113"/>
      <c r="AE722" s="113"/>
      <c r="AF722" s="113"/>
    </row>
    <row r="723">
      <c r="A723" s="120"/>
      <c r="B723" s="113"/>
      <c r="C723" s="123">
        <f>MINIFS(collexo_data!B:B,collexo_data!A:A,A723)</f>
        <v>0</v>
      </c>
      <c r="D723" s="120" t="str">
        <f>vlookup(A723,collexo_data!A:M,13,0)</f>
        <v>#N/A</v>
      </c>
      <c r="E723" s="122" t="str">
        <f>vlookup(A723,collexo_data!A:O,15,0)</f>
        <v>#N/A</v>
      </c>
      <c r="F723" s="120" t="str">
        <f>vlookup(A723,collexo_data!A:S,19,0)</f>
        <v>#N/A</v>
      </c>
      <c r="G723" s="122" t="str">
        <f>vlookup(A723,collexo_data!A:R,18,0)</f>
        <v>#N/A</v>
      </c>
      <c r="H723" s="122" t="str">
        <f t="shared" si="1"/>
        <v/>
      </c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  <c r="AB723" s="113"/>
      <c r="AC723" s="113"/>
      <c r="AD723" s="113"/>
      <c r="AE723" s="113"/>
      <c r="AF723" s="113"/>
    </row>
    <row r="724">
      <c r="A724" s="120"/>
      <c r="B724" s="113"/>
      <c r="C724" s="123">
        <f>MINIFS(collexo_data!B:B,collexo_data!A:A,A724)</f>
        <v>0</v>
      </c>
      <c r="D724" s="120" t="str">
        <f>vlookup(A724,collexo_data!A:M,13,0)</f>
        <v>#N/A</v>
      </c>
      <c r="E724" s="122" t="str">
        <f>vlookup(A724,collexo_data!A:O,15,0)</f>
        <v>#N/A</v>
      </c>
      <c r="F724" s="120" t="str">
        <f>vlookup(A724,collexo_data!A:S,19,0)</f>
        <v>#N/A</v>
      </c>
      <c r="G724" s="122" t="str">
        <f>vlookup(A724,collexo_data!A:R,18,0)</f>
        <v>#N/A</v>
      </c>
      <c r="H724" s="122" t="str">
        <f t="shared" si="1"/>
        <v/>
      </c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  <c r="AB724" s="113"/>
      <c r="AC724" s="113"/>
      <c r="AD724" s="113"/>
      <c r="AE724" s="113"/>
      <c r="AF724" s="113"/>
    </row>
    <row r="725">
      <c r="A725" s="120"/>
      <c r="B725" s="113"/>
      <c r="C725" s="123">
        <f>MINIFS(collexo_data!B:B,collexo_data!A:A,A725)</f>
        <v>0</v>
      </c>
      <c r="D725" s="120" t="str">
        <f>vlookup(A725,collexo_data!A:M,13,0)</f>
        <v>#N/A</v>
      </c>
      <c r="E725" s="122" t="str">
        <f>vlookup(A725,collexo_data!A:O,15,0)</f>
        <v>#N/A</v>
      </c>
      <c r="F725" s="120" t="str">
        <f>vlookup(A725,collexo_data!A:S,19,0)</f>
        <v>#N/A</v>
      </c>
      <c r="G725" s="122" t="str">
        <f>vlookup(A725,collexo_data!A:R,18,0)</f>
        <v>#N/A</v>
      </c>
      <c r="H725" s="122" t="str">
        <f t="shared" si="1"/>
        <v/>
      </c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  <c r="AB725" s="113"/>
      <c r="AC725" s="113"/>
      <c r="AD725" s="113"/>
      <c r="AE725" s="113"/>
      <c r="AF725" s="113"/>
    </row>
    <row r="726">
      <c r="A726" s="120"/>
      <c r="B726" s="113"/>
      <c r="C726" s="123">
        <f>MINIFS(collexo_data!B:B,collexo_data!A:A,A726)</f>
        <v>0</v>
      </c>
      <c r="D726" s="120" t="str">
        <f>vlookup(A726,collexo_data!A:M,13,0)</f>
        <v>#N/A</v>
      </c>
      <c r="E726" s="122" t="str">
        <f>vlookup(A726,collexo_data!A:O,15,0)</f>
        <v>#N/A</v>
      </c>
      <c r="F726" s="120" t="str">
        <f>vlookup(A726,collexo_data!A:S,19,0)</f>
        <v>#N/A</v>
      </c>
      <c r="G726" s="122" t="str">
        <f>vlookup(A726,collexo_data!A:R,18,0)</f>
        <v>#N/A</v>
      </c>
      <c r="H726" s="122" t="str">
        <f t="shared" si="1"/>
        <v/>
      </c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  <c r="AB726" s="113"/>
      <c r="AC726" s="113"/>
      <c r="AD726" s="113"/>
      <c r="AE726" s="113"/>
      <c r="AF726" s="113"/>
    </row>
    <row r="727">
      <c r="A727" s="120"/>
      <c r="B727" s="113"/>
      <c r="C727" s="123">
        <f>MINIFS(collexo_data!B:B,collexo_data!A:A,A727)</f>
        <v>0</v>
      </c>
      <c r="D727" s="120" t="str">
        <f>vlookup(A727,collexo_data!A:M,13,0)</f>
        <v>#N/A</v>
      </c>
      <c r="E727" s="122" t="str">
        <f>vlookup(A727,collexo_data!A:O,15,0)</f>
        <v>#N/A</v>
      </c>
      <c r="F727" s="120" t="str">
        <f>vlookup(A727,collexo_data!A:S,19,0)</f>
        <v>#N/A</v>
      </c>
      <c r="G727" s="122" t="str">
        <f>vlookup(A727,collexo_data!A:R,18,0)</f>
        <v>#N/A</v>
      </c>
      <c r="H727" s="122" t="str">
        <f t="shared" si="1"/>
        <v/>
      </c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  <c r="AB727" s="113"/>
      <c r="AC727" s="113"/>
      <c r="AD727" s="113"/>
      <c r="AE727" s="113"/>
      <c r="AF727" s="113"/>
    </row>
    <row r="728">
      <c r="A728" s="120"/>
      <c r="B728" s="113"/>
      <c r="C728" s="123">
        <f>MINIFS(collexo_data!B:B,collexo_data!A:A,A728)</f>
        <v>0</v>
      </c>
      <c r="D728" s="120" t="str">
        <f>vlookup(A728,collexo_data!A:M,13,0)</f>
        <v>#N/A</v>
      </c>
      <c r="E728" s="122" t="str">
        <f>vlookup(A728,collexo_data!A:O,15,0)</f>
        <v>#N/A</v>
      </c>
      <c r="F728" s="120" t="str">
        <f>vlookup(A728,collexo_data!A:S,19,0)</f>
        <v>#N/A</v>
      </c>
      <c r="G728" s="122" t="str">
        <f>vlookup(A728,collexo_data!A:R,18,0)</f>
        <v>#N/A</v>
      </c>
      <c r="H728" s="122" t="str">
        <f t="shared" si="1"/>
        <v/>
      </c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  <c r="AB728" s="113"/>
      <c r="AC728" s="113"/>
      <c r="AD728" s="113"/>
      <c r="AE728" s="113"/>
      <c r="AF728" s="113"/>
    </row>
    <row r="729">
      <c r="A729" s="120"/>
      <c r="B729" s="113"/>
      <c r="C729" s="123">
        <f>MINIFS(collexo_data!B:B,collexo_data!A:A,A729)</f>
        <v>0</v>
      </c>
      <c r="D729" s="120" t="str">
        <f>vlookup(A729,collexo_data!A:M,13,0)</f>
        <v>#N/A</v>
      </c>
      <c r="E729" s="122" t="str">
        <f>vlookup(A729,collexo_data!A:O,15,0)</f>
        <v>#N/A</v>
      </c>
      <c r="F729" s="120" t="str">
        <f>vlookup(A729,collexo_data!A:S,19,0)</f>
        <v>#N/A</v>
      </c>
      <c r="G729" s="122" t="str">
        <f>vlookup(A729,collexo_data!A:R,18,0)</f>
        <v>#N/A</v>
      </c>
      <c r="H729" s="122" t="str">
        <f t="shared" si="1"/>
        <v/>
      </c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  <c r="AB729" s="113"/>
      <c r="AC729" s="113"/>
      <c r="AD729" s="113"/>
      <c r="AE729" s="113"/>
      <c r="AF729" s="113"/>
    </row>
    <row r="730">
      <c r="A730" s="120"/>
      <c r="B730" s="113"/>
      <c r="C730" s="123">
        <f>MINIFS(collexo_data!B:B,collexo_data!A:A,A730)</f>
        <v>0</v>
      </c>
      <c r="D730" s="120" t="str">
        <f>vlookup(A730,collexo_data!A:M,13,0)</f>
        <v>#N/A</v>
      </c>
      <c r="E730" s="122" t="str">
        <f>vlookup(A730,collexo_data!A:O,15,0)</f>
        <v>#N/A</v>
      </c>
      <c r="F730" s="120" t="str">
        <f>vlookup(A730,collexo_data!A:S,19,0)</f>
        <v>#N/A</v>
      </c>
      <c r="G730" s="122" t="str">
        <f>vlookup(A730,collexo_data!A:R,18,0)</f>
        <v>#N/A</v>
      </c>
      <c r="H730" s="122" t="str">
        <f t="shared" si="1"/>
        <v/>
      </c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  <c r="AB730" s="113"/>
      <c r="AC730" s="113"/>
      <c r="AD730" s="113"/>
      <c r="AE730" s="113"/>
      <c r="AF730" s="113"/>
    </row>
    <row r="731">
      <c r="A731" s="120"/>
      <c r="B731" s="113"/>
      <c r="C731" s="123">
        <f>MINIFS(collexo_data!B:B,collexo_data!A:A,A731)</f>
        <v>0</v>
      </c>
      <c r="D731" s="120" t="str">
        <f>vlookup(A731,collexo_data!A:M,13,0)</f>
        <v>#N/A</v>
      </c>
      <c r="E731" s="122" t="str">
        <f>vlookup(A731,collexo_data!A:O,15,0)</f>
        <v>#N/A</v>
      </c>
      <c r="F731" s="120" t="str">
        <f>vlookup(A731,collexo_data!A:S,19,0)</f>
        <v>#N/A</v>
      </c>
      <c r="G731" s="122" t="str">
        <f>vlookup(A731,collexo_data!A:R,18,0)</f>
        <v>#N/A</v>
      </c>
      <c r="H731" s="122" t="str">
        <f t="shared" si="1"/>
        <v/>
      </c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  <c r="AB731" s="113"/>
      <c r="AC731" s="113"/>
      <c r="AD731" s="113"/>
      <c r="AE731" s="113"/>
      <c r="AF731" s="113"/>
    </row>
    <row r="732">
      <c r="A732" s="120"/>
      <c r="B732" s="113"/>
      <c r="C732" s="123">
        <f>MINIFS(collexo_data!B:B,collexo_data!A:A,A732)</f>
        <v>0</v>
      </c>
      <c r="D732" s="120" t="str">
        <f>vlookup(A732,collexo_data!A:M,13,0)</f>
        <v>#N/A</v>
      </c>
      <c r="E732" s="122" t="str">
        <f>vlookup(A732,collexo_data!A:O,15,0)</f>
        <v>#N/A</v>
      </c>
      <c r="F732" s="120" t="str">
        <f>vlookup(A732,collexo_data!A:S,19,0)</f>
        <v>#N/A</v>
      </c>
      <c r="G732" s="122" t="str">
        <f>vlookup(A732,collexo_data!A:R,18,0)</f>
        <v>#N/A</v>
      </c>
      <c r="H732" s="122" t="str">
        <f t="shared" si="1"/>
        <v/>
      </c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  <c r="AB732" s="113"/>
      <c r="AC732" s="113"/>
      <c r="AD732" s="113"/>
      <c r="AE732" s="113"/>
      <c r="AF732" s="113"/>
    </row>
    <row r="733">
      <c r="A733" s="120"/>
      <c r="B733" s="113"/>
      <c r="C733" s="123">
        <f>MINIFS(collexo_data!B:B,collexo_data!A:A,A733)</f>
        <v>0</v>
      </c>
      <c r="D733" s="120" t="str">
        <f>vlookup(A733,collexo_data!A:M,13,0)</f>
        <v>#N/A</v>
      </c>
      <c r="E733" s="122" t="str">
        <f>vlookup(A733,collexo_data!A:O,15,0)</f>
        <v>#N/A</v>
      </c>
      <c r="F733" s="120" t="str">
        <f>vlookup(A733,collexo_data!A:S,19,0)</f>
        <v>#N/A</v>
      </c>
      <c r="G733" s="122" t="str">
        <f>vlookup(A733,collexo_data!A:R,18,0)</f>
        <v>#N/A</v>
      </c>
      <c r="H733" s="122" t="str">
        <f t="shared" si="1"/>
        <v/>
      </c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  <c r="AB733" s="113"/>
      <c r="AC733" s="113"/>
      <c r="AD733" s="113"/>
      <c r="AE733" s="113"/>
      <c r="AF733" s="113"/>
    </row>
    <row r="734">
      <c r="A734" s="120"/>
      <c r="B734" s="113"/>
      <c r="C734" s="123">
        <f>MINIFS(collexo_data!B:B,collexo_data!A:A,A734)</f>
        <v>0</v>
      </c>
      <c r="D734" s="120" t="str">
        <f>vlookup(A734,collexo_data!A:M,13,0)</f>
        <v>#N/A</v>
      </c>
      <c r="E734" s="122" t="str">
        <f>vlookup(A734,collexo_data!A:O,15,0)</f>
        <v>#N/A</v>
      </c>
      <c r="F734" s="120" t="str">
        <f>vlookup(A734,collexo_data!A:S,19,0)</f>
        <v>#N/A</v>
      </c>
      <c r="G734" s="122" t="str">
        <f>vlookup(A734,collexo_data!A:R,18,0)</f>
        <v>#N/A</v>
      </c>
      <c r="H734" s="122" t="str">
        <f t="shared" si="1"/>
        <v/>
      </c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  <c r="AB734" s="113"/>
      <c r="AC734" s="113"/>
      <c r="AD734" s="113"/>
      <c r="AE734" s="113"/>
      <c r="AF734" s="113"/>
    </row>
    <row r="735">
      <c r="A735" s="120"/>
      <c r="B735" s="113"/>
      <c r="C735" s="123">
        <f>MINIFS(collexo_data!B:B,collexo_data!A:A,A735)</f>
        <v>0</v>
      </c>
      <c r="D735" s="120" t="str">
        <f>vlookup(A735,collexo_data!A:M,13,0)</f>
        <v>#N/A</v>
      </c>
      <c r="E735" s="122" t="str">
        <f>vlookup(A735,collexo_data!A:O,15,0)</f>
        <v>#N/A</v>
      </c>
      <c r="F735" s="120" t="str">
        <f>vlookup(A735,collexo_data!A:S,19,0)</f>
        <v>#N/A</v>
      </c>
      <c r="G735" s="122" t="str">
        <f>vlookup(A735,collexo_data!A:R,18,0)</f>
        <v>#N/A</v>
      </c>
      <c r="H735" s="122" t="str">
        <f t="shared" si="1"/>
        <v/>
      </c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  <c r="AB735" s="113"/>
      <c r="AC735" s="113"/>
      <c r="AD735" s="113"/>
      <c r="AE735" s="113"/>
      <c r="AF735" s="113"/>
    </row>
    <row r="736">
      <c r="A736" s="120"/>
      <c r="B736" s="113"/>
      <c r="C736" s="123">
        <f>MINIFS(collexo_data!B:B,collexo_data!A:A,A736)</f>
        <v>0</v>
      </c>
      <c r="D736" s="120" t="str">
        <f>vlookup(A736,collexo_data!A:M,13,0)</f>
        <v>#N/A</v>
      </c>
      <c r="E736" s="122" t="str">
        <f>vlookup(A736,collexo_data!A:O,15,0)</f>
        <v>#N/A</v>
      </c>
      <c r="F736" s="120" t="str">
        <f>vlookup(A736,collexo_data!A:S,19,0)</f>
        <v>#N/A</v>
      </c>
      <c r="G736" s="122" t="str">
        <f>vlookup(A736,collexo_data!A:R,18,0)</f>
        <v>#N/A</v>
      </c>
      <c r="H736" s="122" t="str">
        <f t="shared" si="1"/>
        <v/>
      </c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  <c r="AB736" s="113"/>
      <c r="AC736" s="113"/>
      <c r="AD736" s="113"/>
      <c r="AE736" s="113"/>
      <c r="AF736" s="113"/>
    </row>
    <row r="737">
      <c r="A737" s="120"/>
      <c r="B737" s="113"/>
      <c r="C737" s="123">
        <f>MINIFS(collexo_data!B:B,collexo_data!A:A,A737)</f>
        <v>0</v>
      </c>
      <c r="D737" s="120" t="str">
        <f>vlookup(A737,collexo_data!A:M,13,0)</f>
        <v>#N/A</v>
      </c>
      <c r="E737" s="122" t="str">
        <f>vlookup(A737,collexo_data!A:O,15,0)</f>
        <v>#N/A</v>
      </c>
      <c r="F737" s="120" t="str">
        <f>vlookup(A737,collexo_data!A:S,19,0)</f>
        <v>#N/A</v>
      </c>
      <c r="G737" s="122" t="str">
        <f>vlookup(A737,collexo_data!A:R,18,0)</f>
        <v>#N/A</v>
      </c>
      <c r="H737" s="122" t="str">
        <f t="shared" si="1"/>
        <v/>
      </c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  <c r="AB737" s="113"/>
      <c r="AC737" s="113"/>
      <c r="AD737" s="113"/>
      <c r="AE737" s="113"/>
      <c r="AF737" s="113"/>
    </row>
    <row r="738">
      <c r="A738" s="120"/>
      <c r="B738" s="113"/>
      <c r="C738" s="123">
        <f>MINIFS(collexo_data!B:B,collexo_data!A:A,A738)</f>
        <v>0</v>
      </c>
      <c r="D738" s="120" t="str">
        <f>vlookup(A738,collexo_data!A:M,13,0)</f>
        <v>#N/A</v>
      </c>
      <c r="E738" s="122" t="str">
        <f>vlookup(A738,collexo_data!A:O,15,0)</f>
        <v>#N/A</v>
      </c>
      <c r="F738" s="120" t="str">
        <f>vlookup(A738,collexo_data!A:S,19,0)</f>
        <v>#N/A</v>
      </c>
      <c r="G738" s="122" t="str">
        <f>vlookup(A738,collexo_data!A:R,18,0)</f>
        <v>#N/A</v>
      </c>
      <c r="H738" s="122" t="str">
        <f t="shared" si="1"/>
        <v/>
      </c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  <c r="AB738" s="113"/>
      <c r="AC738" s="113"/>
      <c r="AD738" s="113"/>
      <c r="AE738" s="113"/>
      <c r="AF738" s="113"/>
    </row>
    <row r="739">
      <c r="A739" s="120"/>
      <c r="B739" s="113"/>
      <c r="C739" s="123">
        <f>MINIFS(collexo_data!B:B,collexo_data!A:A,A739)</f>
        <v>0</v>
      </c>
      <c r="D739" s="120" t="str">
        <f>vlookup(A739,collexo_data!A:M,13,0)</f>
        <v>#N/A</v>
      </c>
      <c r="E739" s="122" t="str">
        <f>vlookup(A739,collexo_data!A:O,15,0)</f>
        <v>#N/A</v>
      </c>
      <c r="F739" s="120" t="str">
        <f>vlookup(A739,collexo_data!A:S,19,0)</f>
        <v>#N/A</v>
      </c>
      <c r="G739" s="122" t="str">
        <f>vlookup(A739,collexo_data!A:R,18,0)</f>
        <v>#N/A</v>
      </c>
      <c r="H739" s="122" t="str">
        <f t="shared" si="1"/>
        <v/>
      </c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  <c r="AB739" s="113"/>
      <c r="AC739" s="113"/>
      <c r="AD739" s="113"/>
      <c r="AE739" s="113"/>
      <c r="AF739" s="113"/>
    </row>
    <row r="740">
      <c r="A740" s="120"/>
      <c r="B740" s="113"/>
      <c r="C740" s="123">
        <f>MINIFS(collexo_data!B:B,collexo_data!A:A,A740)</f>
        <v>0</v>
      </c>
      <c r="D740" s="120" t="str">
        <f>vlookup(A740,collexo_data!A:M,13,0)</f>
        <v>#N/A</v>
      </c>
      <c r="E740" s="122" t="str">
        <f>vlookup(A740,collexo_data!A:O,15,0)</f>
        <v>#N/A</v>
      </c>
      <c r="F740" s="120" t="str">
        <f>vlookup(A740,collexo_data!A:S,19,0)</f>
        <v>#N/A</v>
      </c>
      <c r="G740" s="122" t="str">
        <f>vlookup(A740,collexo_data!A:R,18,0)</f>
        <v>#N/A</v>
      </c>
      <c r="H740" s="122" t="str">
        <f t="shared" si="1"/>
        <v/>
      </c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  <c r="AB740" s="113"/>
      <c r="AC740" s="113"/>
      <c r="AD740" s="113"/>
      <c r="AE740" s="113"/>
      <c r="AF740" s="113"/>
    </row>
    <row r="741">
      <c r="A741" s="120"/>
      <c r="B741" s="113"/>
      <c r="C741" s="123">
        <f>MINIFS(collexo_data!B:B,collexo_data!A:A,A741)</f>
        <v>0</v>
      </c>
      <c r="D741" s="120" t="str">
        <f>vlookup(A741,collexo_data!A:M,13,0)</f>
        <v>#N/A</v>
      </c>
      <c r="E741" s="122" t="str">
        <f>vlookup(A741,collexo_data!A:O,15,0)</f>
        <v>#N/A</v>
      </c>
      <c r="F741" s="120" t="str">
        <f>vlookup(A741,collexo_data!A:S,19,0)</f>
        <v>#N/A</v>
      </c>
      <c r="G741" s="122" t="str">
        <f>vlookup(A741,collexo_data!A:R,18,0)</f>
        <v>#N/A</v>
      </c>
      <c r="H741" s="122" t="str">
        <f t="shared" si="1"/>
        <v/>
      </c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  <c r="AB741" s="113"/>
      <c r="AC741" s="113"/>
      <c r="AD741" s="113"/>
      <c r="AE741" s="113"/>
      <c r="AF741" s="113"/>
    </row>
    <row r="742">
      <c r="A742" s="120"/>
      <c r="B742" s="113"/>
      <c r="C742" s="123">
        <f>MINIFS(collexo_data!B:B,collexo_data!A:A,A742)</f>
        <v>0</v>
      </c>
      <c r="D742" s="120" t="str">
        <f>vlookup(A742,collexo_data!A:M,13,0)</f>
        <v>#N/A</v>
      </c>
      <c r="E742" s="122" t="str">
        <f>vlookup(A742,collexo_data!A:O,15,0)</f>
        <v>#N/A</v>
      </c>
      <c r="F742" s="120" t="str">
        <f>vlookup(A742,collexo_data!A:S,19,0)</f>
        <v>#N/A</v>
      </c>
      <c r="G742" s="122" t="str">
        <f>vlookup(A742,collexo_data!A:R,18,0)</f>
        <v>#N/A</v>
      </c>
      <c r="H742" s="122" t="str">
        <f t="shared" si="1"/>
        <v/>
      </c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  <c r="AB742" s="113"/>
      <c r="AC742" s="113"/>
      <c r="AD742" s="113"/>
      <c r="AE742" s="113"/>
      <c r="AF742" s="113"/>
    </row>
    <row r="743">
      <c r="A743" s="120"/>
      <c r="B743" s="113"/>
      <c r="C743" s="123">
        <f>MINIFS(collexo_data!B:B,collexo_data!A:A,A743)</f>
        <v>0</v>
      </c>
      <c r="D743" s="120" t="str">
        <f>vlookup(A743,collexo_data!A:M,13,0)</f>
        <v>#N/A</v>
      </c>
      <c r="E743" s="122" t="str">
        <f>vlookup(A743,collexo_data!A:O,15,0)</f>
        <v>#N/A</v>
      </c>
      <c r="F743" s="120" t="str">
        <f>vlookup(A743,collexo_data!A:S,19,0)</f>
        <v>#N/A</v>
      </c>
      <c r="G743" s="122" t="str">
        <f>vlookup(A743,collexo_data!A:R,18,0)</f>
        <v>#N/A</v>
      </c>
      <c r="H743" s="122" t="str">
        <f t="shared" si="1"/>
        <v/>
      </c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  <c r="AB743" s="113"/>
      <c r="AC743" s="113"/>
      <c r="AD743" s="113"/>
      <c r="AE743" s="113"/>
      <c r="AF743" s="113"/>
    </row>
    <row r="744">
      <c r="A744" s="120"/>
      <c r="B744" s="113"/>
      <c r="C744" s="123">
        <f>MINIFS(collexo_data!B:B,collexo_data!A:A,A744)</f>
        <v>0</v>
      </c>
      <c r="D744" s="120" t="str">
        <f>vlookup(A744,collexo_data!A:M,13,0)</f>
        <v>#N/A</v>
      </c>
      <c r="E744" s="122" t="str">
        <f>vlookup(A744,collexo_data!A:O,15,0)</f>
        <v>#N/A</v>
      </c>
      <c r="F744" s="120" t="str">
        <f>vlookup(A744,collexo_data!A:S,19,0)</f>
        <v>#N/A</v>
      </c>
      <c r="G744" s="122" t="str">
        <f>vlookup(A744,collexo_data!A:R,18,0)</f>
        <v>#N/A</v>
      </c>
      <c r="H744" s="122" t="str">
        <f t="shared" si="1"/>
        <v/>
      </c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  <c r="AB744" s="113"/>
      <c r="AC744" s="113"/>
      <c r="AD744" s="113"/>
      <c r="AE744" s="113"/>
      <c r="AF744" s="113"/>
    </row>
    <row r="745">
      <c r="A745" s="120"/>
      <c r="B745" s="113"/>
      <c r="C745" s="123">
        <f>MINIFS(collexo_data!B:B,collexo_data!A:A,A745)</f>
        <v>0</v>
      </c>
      <c r="D745" s="120" t="str">
        <f>vlookup(A745,collexo_data!A:M,13,0)</f>
        <v>#N/A</v>
      </c>
      <c r="E745" s="122" t="str">
        <f>vlookup(A745,collexo_data!A:O,15,0)</f>
        <v>#N/A</v>
      </c>
      <c r="F745" s="120" t="str">
        <f>vlookup(A745,collexo_data!A:S,19,0)</f>
        <v>#N/A</v>
      </c>
      <c r="G745" s="122" t="str">
        <f>vlookup(A745,collexo_data!A:R,18,0)</f>
        <v>#N/A</v>
      </c>
      <c r="H745" s="122" t="str">
        <f t="shared" si="1"/>
        <v/>
      </c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  <c r="AB745" s="113"/>
      <c r="AC745" s="113"/>
      <c r="AD745" s="113"/>
      <c r="AE745" s="113"/>
      <c r="AF745" s="113"/>
    </row>
    <row r="746">
      <c r="A746" s="120"/>
      <c r="B746" s="113"/>
      <c r="C746" s="123">
        <f>MINIFS(collexo_data!B:B,collexo_data!A:A,A746)</f>
        <v>0</v>
      </c>
      <c r="D746" s="120" t="str">
        <f>vlookup(A746,collexo_data!A:M,13,0)</f>
        <v>#N/A</v>
      </c>
      <c r="E746" s="122" t="str">
        <f>vlookup(A746,collexo_data!A:O,15,0)</f>
        <v>#N/A</v>
      </c>
      <c r="F746" s="120" t="str">
        <f>vlookup(A746,collexo_data!A:S,19,0)</f>
        <v>#N/A</v>
      </c>
      <c r="G746" s="122" t="str">
        <f>vlookup(A746,collexo_data!A:R,18,0)</f>
        <v>#N/A</v>
      </c>
      <c r="H746" s="122" t="str">
        <f t="shared" si="1"/>
        <v/>
      </c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  <c r="AB746" s="113"/>
      <c r="AC746" s="113"/>
      <c r="AD746" s="113"/>
      <c r="AE746" s="113"/>
      <c r="AF746" s="113"/>
    </row>
    <row r="747">
      <c r="A747" s="120"/>
      <c r="B747" s="113"/>
      <c r="C747" s="123">
        <f>MINIFS(collexo_data!B:B,collexo_data!A:A,A747)</f>
        <v>0</v>
      </c>
      <c r="D747" s="120" t="str">
        <f>vlookup(A747,collexo_data!A:M,13,0)</f>
        <v>#N/A</v>
      </c>
      <c r="E747" s="122" t="str">
        <f>vlookup(A747,collexo_data!A:O,15,0)</f>
        <v>#N/A</v>
      </c>
      <c r="F747" s="120" t="str">
        <f>vlookup(A747,collexo_data!A:S,19,0)</f>
        <v>#N/A</v>
      </c>
      <c r="G747" s="122" t="str">
        <f>vlookup(A747,collexo_data!A:R,18,0)</f>
        <v>#N/A</v>
      </c>
      <c r="H747" s="122" t="str">
        <f t="shared" si="1"/>
        <v/>
      </c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  <c r="AB747" s="113"/>
      <c r="AC747" s="113"/>
      <c r="AD747" s="113"/>
      <c r="AE747" s="113"/>
      <c r="AF747" s="113"/>
    </row>
    <row r="748">
      <c r="A748" s="120"/>
      <c r="B748" s="113"/>
      <c r="C748" s="123">
        <f>MINIFS(collexo_data!B:B,collexo_data!A:A,A748)</f>
        <v>0</v>
      </c>
      <c r="D748" s="120" t="str">
        <f>vlookup(A748,collexo_data!A:M,13,0)</f>
        <v>#N/A</v>
      </c>
      <c r="E748" s="122" t="str">
        <f>vlookup(A748,collexo_data!A:O,15,0)</f>
        <v>#N/A</v>
      </c>
      <c r="F748" s="120" t="str">
        <f>vlookup(A748,collexo_data!A:S,19,0)</f>
        <v>#N/A</v>
      </c>
      <c r="G748" s="122" t="str">
        <f>vlookup(A748,collexo_data!A:R,18,0)</f>
        <v>#N/A</v>
      </c>
      <c r="H748" s="122" t="str">
        <f t="shared" si="1"/>
        <v/>
      </c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  <c r="AB748" s="113"/>
      <c r="AC748" s="113"/>
      <c r="AD748" s="113"/>
      <c r="AE748" s="113"/>
      <c r="AF748" s="113"/>
    </row>
    <row r="749">
      <c r="A749" s="120"/>
      <c r="B749" s="113"/>
      <c r="C749" s="123">
        <f>MINIFS(collexo_data!B:B,collexo_data!A:A,A749)</f>
        <v>0</v>
      </c>
      <c r="D749" s="120" t="str">
        <f>vlookup(A749,collexo_data!A:M,13,0)</f>
        <v>#N/A</v>
      </c>
      <c r="E749" s="122" t="str">
        <f>vlookup(A749,collexo_data!A:O,15,0)</f>
        <v>#N/A</v>
      </c>
      <c r="F749" s="120" t="str">
        <f>vlookup(A749,collexo_data!A:S,19,0)</f>
        <v>#N/A</v>
      </c>
      <c r="G749" s="122" t="str">
        <f>vlookup(A749,collexo_data!A:R,18,0)</f>
        <v>#N/A</v>
      </c>
      <c r="H749" s="122" t="str">
        <f t="shared" si="1"/>
        <v/>
      </c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  <c r="AB749" s="113"/>
      <c r="AC749" s="113"/>
      <c r="AD749" s="113"/>
      <c r="AE749" s="113"/>
      <c r="AF749" s="113"/>
    </row>
    <row r="750">
      <c r="A750" s="120"/>
      <c r="B750" s="113"/>
      <c r="C750" s="123">
        <f>MINIFS(collexo_data!B:B,collexo_data!A:A,A750)</f>
        <v>0</v>
      </c>
      <c r="D750" s="120" t="str">
        <f>vlookup(A750,collexo_data!A:M,13,0)</f>
        <v>#N/A</v>
      </c>
      <c r="E750" s="122" t="str">
        <f>vlookup(A750,collexo_data!A:O,15,0)</f>
        <v>#N/A</v>
      </c>
      <c r="F750" s="120" t="str">
        <f>vlookup(A750,collexo_data!A:S,19,0)</f>
        <v>#N/A</v>
      </c>
      <c r="G750" s="122" t="str">
        <f>vlookup(A750,collexo_data!A:R,18,0)</f>
        <v>#N/A</v>
      </c>
      <c r="H750" s="122" t="str">
        <f t="shared" si="1"/>
        <v/>
      </c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  <c r="AB750" s="113"/>
      <c r="AC750" s="113"/>
      <c r="AD750" s="113"/>
      <c r="AE750" s="113"/>
      <c r="AF750" s="113"/>
    </row>
    <row r="751">
      <c r="A751" s="120"/>
      <c r="B751" s="113"/>
      <c r="C751" s="123">
        <f>MINIFS(collexo_data!B:B,collexo_data!A:A,A751)</f>
        <v>0</v>
      </c>
      <c r="D751" s="120" t="str">
        <f>vlookup(A751,collexo_data!A:M,13,0)</f>
        <v>#N/A</v>
      </c>
      <c r="E751" s="122" t="str">
        <f>vlookup(A751,collexo_data!A:O,15,0)</f>
        <v>#N/A</v>
      </c>
      <c r="F751" s="120" t="str">
        <f>vlookup(A751,collexo_data!A:S,19,0)</f>
        <v>#N/A</v>
      </c>
      <c r="G751" s="122" t="str">
        <f>vlookup(A751,collexo_data!A:R,18,0)</f>
        <v>#N/A</v>
      </c>
      <c r="H751" s="122" t="str">
        <f t="shared" si="1"/>
        <v/>
      </c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  <c r="AB751" s="113"/>
      <c r="AC751" s="113"/>
      <c r="AD751" s="113"/>
      <c r="AE751" s="113"/>
      <c r="AF751" s="113"/>
    </row>
    <row r="752">
      <c r="A752" s="120"/>
      <c r="B752" s="113"/>
      <c r="C752" s="123">
        <f>MINIFS(collexo_data!B:B,collexo_data!A:A,A752)</f>
        <v>0</v>
      </c>
      <c r="D752" s="120" t="str">
        <f>vlookup(A752,collexo_data!A:M,13,0)</f>
        <v>#N/A</v>
      </c>
      <c r="E752" s="122" t="str">
        <f>vlookup(A752,collexo_data!A:O,15,0)</f>
        <v>#N/A</v>
      </c>
      <c r="F752" s="120" t="str">
        <f>vlookup(A752,collexo_data!A:S,19,0)</f>
        <v>#N/A</v>
      </c>
      <c r="G752" s="122" t="str">
        <f>vlookup(A752,collexo_data!A:R,18,0)</f>
        <v>#N/A</v>
      </c>
      <c r="H752" s="122" t="str">
        <f t="shared" si="1"/>
        <v/>
      </c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  <c r="AB752" s="113"/>
      <c r="AC752" s="113"/>
      <c r="AD752" s="113"/>
      <c r="AE752" s="113"/>
      <c r="AF752" s="113"/>
    </row>
    <row r="753">
      <c r="A753" s="120"/>
      <c r="B753" s="113"/>
      <c r="C753" s="123">
        <f>MINIFS(collexo_data!B:B,collexo_data!A:A,A753)</f>
        <v>0</v>
      </c>
      <c r="D753" s="120" t="str">
        <f>vlookup(A753,collexo_data!A:M,13,0)</f>
        <v>#N/A</v>
      </c>
      <c r="E753" s="122" t="str">
        <f>vlookup(A753,collexo_data!A:O,15,0)</f>
        <v>#N/A</v>
      </c>
      <c r="F753" s="120" t="str">
        <f>vlookup(A753,collexo_data!A:S,19,0)</f>
        <v>#N/A</v>
      </c>
      <c r="G753" s="122" t="str">
        <f>vlookup(A753,collexo_data!A:R,18,0)</f>
        <v>#N/A</v>
      </c>
      <c r="H753" s="122" t="str">
        <f t="shared" si="1"/>
        <v/>
      </c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  <c r="AB753" s="113"/>
      <c r="AC753" s="113"/>
      <c r="AD753" s="113"/>
      <c r="AE753" s="113"/>
      <c r="AF753" s="113"/>
    </row>
    <row r="754">
      <c r="A754" s="120"/>
      <c r="B754" s="113"/>
      <c r="C754" s="123">
        <f>MINIFS(collexo_data!B:B,collexo_data!A:A,A754)</f>
        <v>0</v>
      </c>
      <c r="D754" s="120" t="str">
        <f>vlookup(A754,collexo_data!A:M,13,0)</f>
        <v>#N/A</v>
      </c>
      <c r="E754" s="122" t="str">
        <f>vlookup(A754,collexo_data!A:O,15,0)</f>
        <v>#N/A</v>
      </c>
      <c r="F754" s="120" t="str">
        <f>vlookup(A754,collexo_data!A:S,19,0)</f>
        <v>#N/A</v>
      </c>
      <c r="G754" s="122" t="str">
        <f>vlookup(A754,collexo_data!A:R,18,0)</f>
        <v>#N/A</v>
      </c>
      <c r="H754" s="122" t="str">
        <f t="shared" si="1"/>
        <v/>
      </c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  <c r="AB754" s="113"/>
      <c r="AC754" s="113"/>
      <c r="AD754" s="113"/>
      <c r="AE754" s="113"/>
      <c r="AF754" s="113"/>
    </row>
    <row r="755">
      <c r="A755" s="120"/>
      <c r="B755" s="113"/>
      <c r="C755" s="123">
        <f>MINIFS(collexo_data!B:B,collexo_data!A:A,A755)</f>
        <v>0</v>
      </c>
      <c r="D755" s="120" t="str">
        <f>vlookup(A755,collexo_data!A:M,13,0)</f>
        <v>#N/A</v>
      </c>
      <c r="E755" s="122" t="str">
        <f>vlookup(A755,collexo_data!A:O,15,0)</f>
        <v>#N/A</v>
      </c>
      <c r="F755" s="120" t="str">
        <f>vlookup(A755,collexo_data!A:S,19,0)</f>
        <v>#N/A</v>
      </c>
      <c r="G755" s="122" t="str">
        <f>vlookup(A755,collexo_data!A:R,18,0)</f>
        <v>#N/A</v>
      </c>
      <c r="H755" s="122" t="str">
        <f t="shared" si="1"/>
        <v/>
      </c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  <c r="AB755" s="113"/>
      <c r="AC755" s="113"/>
      <c r="AD755" s="113"/>
      <c r="AE755" s="113"/>
      <c r="AF755" s="113"/>
    </row>
    <row r="756">
      <c r="A756" s="120"/>
      <c r="B756" s="113"/>
      <c r="C756" s="123">
        <f>MINIFS(collexo_data!B:B,collexo_data!A:A,A756)</f>
        <v>0</v>
      </c>
      <c r="D756" s="120" t="str">
        <f>vlookup(A756,collexo_data!A:M,13,0)</f>
        <v>#N/A</v>
      </c>
      <c r="E756" s="122" t="str">
        <f>vlookup(A756,collexo_data!A:O,15,0)</f>
        <v>#N/A</v>
      </c>
      <c r="F756" s="120" t="str">
        <f>vlookup(A756,collexo_data!A:S,19,0)</f>
        <v>#N/A</v>
      </c>
      <c r="G756" s="122" t="str">
        <f>vlookup(A756,collexo_data!A:R,18,0)</f>
        <v>#N/A</v>
      </c>
      <c r="H756" s="122" t="str">
        <f t="shared" si="1"/>
        <v/>
      </c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  <c r="AB756" s="113"/>
      <c r="AC756" s="113"/>
      <c r="AD756" s="113"/>
      <c r="AE756" s="113"/>
      <c r="AF756" s="113"/>
    </row>
    <row r="757">
      <c r="A757" s="120"/>
      <c r="B757" s="113"/>
      <c r="C757" s="123">
        <f>MINIFS(collexo_data!B:B,collexo_data!A:A,A757)</f>
        <v>0</v>
      </c>
      <c r="D757" s="120" t="str">
        <f>vlookup(A757,collexo_data!A:M,13,0)</f>
        <v>#N/A</v>
      </c>
      <c r="E757" s="122" t="str">
        <f>vlookup(A757,collexo_data!A:O,15,0)</f>
        <v>#N/A</v>
      </c>
      <c r="F757" s="120" t="str">
        <f>vlookup(A757,collexo_data!A:S,19,0)</f>
        <v>#N/A</v>
      </c>
      <c r="G757" s="122" t="str">
        <f>vlookup(A757,collexo_data!A:R,18,0)</f>
        <v>#N/A</v>
      </c>
      <c r="H757" s="122" t="str">
        <f t="shared" si="1"/>
        <v/>
      </c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  <c r="AB757" s="113"/>
      <c r="AC757" s="113"/>
      <c r="AD757" s="113"/>
      <c r="AE757" s="113"/>
      <c r="AF757" s="113"/>
    </row>
    <row r="758">
      <c r="A758" s="120"/>
      <c r="B758" s="113"/>
      <c r="C758" s="123">
        <f>MINIFS(collexo_data!B:B,collexo_data!A:A,A758)</f>
        <v>0</v>
      </c>
      <c r="D758" s="120" t="str">
        <f>vlookup(A758,collexo_data!A:M,13,0)</f>
        <v>#N/A</v>
      </c>
      <c r="E758" s="122" t="str">
        <f>vlookup(A758,collexo_data!A:O,15,0)</f>
        <v>#N/A</v>
      </c>
      <c r="F758" s="120" t="str">
        <f>vlookup(A758,collexo_data!A:S,19,0)</f>
        <v>#N/A</v>
      </c>
      <c r="G758" s="122" t="str">
        <f>vlookup(A758,collexo_data!A:R,18,0)</f>
        <v>#N/A</v>
      </c>
      <c r="H758" s="122" t="str">
        <f t="shared" si="1"/>
        <v/>
      </c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  <c r="AB758" s="113"/>
      <c r="AC758" s="113"/>
      <c r="AD758" s="113"/>
      <c r="AE758" s="113"/>
      <c r="AF758" s="113"/>
    </row>
    <row r="759">
      <c r="A759" s="120"/>
      <c r="B759" s="113"/>
      <c r="C759" s="123">
        <f>MINIFS(collexo_data!B:B,collexo_data!A:A,A759)</f>
        <v>0</v>
      </c>
      <c r="D759" s="120" t="str">
        <f>vlookup(A759,collexo_data!A:M,13,0)</f>
        <v>#N/A</v>
      </c>
      <c r="E759" s="122" t="str">
        <f>vlookup(A759,collexo_data!A:O,15,0)</f>
        <v>#N/A</v>
      </c>
      <c r="F759" s="120" t="str">
        <f>vlookup(A759,collexo_data!A:S,19,0)</f>
        <v>#N/A</v>
      </c>
      <c r="G759" s="122" t="str">
        <f>vlookup(A759,collexo_data!A:R,18,0)</f>
        <v>#N/A</v>
      </c>
      <c r="H759" s="122" t="str">
        <f t="shared" si="1"/>
        <v/>
      </c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  <c r="AB759" s="113"/>
      <c r="AC759" s="113"/>
      <c r="AD759" s="113"/>
      <c r="AE759" s="113"/>
      <c r="AF759" s="113"/>
    </row>
    <row r="760">
      <c r="A760" s="120"/>
      <c r="B760" s="113"/>
      <c r="C760" s="123">
        <f>MINIFS(collexo_data!B:B,collexo_data!A:A,A760)</f>
        <v>0</v>
      </c>
      <c r="D760" s="120" t="str">
        <f>vlookup(A760,collexo_data!A:M,13,0)</f>
        <v>#N/A</v>
      </c>
      <c r="E760" s="122" t="str">
        <f>vlookup(A760,collexo_data!A:O,15,0)</f>
        <v>#N/A</v>
      </c>
      <c r="F760" s="120" t="str">
        <f>vlookup(A760,collexo_data!A:S,19,0)</f>
        <v>#N/A</v>
      </c>
      <c r="G760" s="122" t="str">
        <f>vlookup(A760,collexo_data!A:R,18,0)</f>
        <v>#N/A</v>
      </c>
      <c r="H760" s="122" t="str">
        <f t="shared" si="1"/>
        <v/>
      </c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  <c r="AB760" s="113"/>
      <c r="AC760" s="113"/>
      <c r="AD760" s="113"/>
      <c r="AE760" s="113"/>
      <c r="AF760" s="113"/>
    </row>
    <row r="761">
      <c r="A761" s="120"/>
      <c r="B761" s="113"/>
      <c r="C761" s="123">
        <f>MINIFS(collexo_data!B:B,collexo_data!A:A,A761)</f>
        <v>0</v>
      </c>
      <c r="D761" s="120" t="str">
        <f>vlookup(A761,collexo_data!A:M,13,0)</f>
        <v>#N/A</v>
      </c>
      <c r="E761" s="122" t="str">
        <f>vlookup(A761,collexo_data!A:O,15,0)</f>
        <v>#N/A</v>
      </c>
      <c r="F761" s="120" t="str">
        <f>vlookup(A761,collexo_data!A:S,19,0)</f>
        <v>#N/A</v>
      </c>
      <c r="G761" s="122" t="str">
        <f>vlookup(A761,collexo_data!A:R,18,0)</f>
        <v>#N/A</v>
      </c>
      <c r="H761" s="122" t="str">
        <f t="shared" si="1"/>
        <v/>
      </c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  <c r="AB761" s="113"/>
      <c r="AC761" s="113"/>
      <c r="AD761" s="113"/>
      <c r="AE761" s="113"/>
      <c r="AF761" s="113"/>
    </row>
    <row r="762">
      <c r="A762" s="120"/>
      <c r="B762" s="113"/>
      <c r="C762" s="123">
        <f>MINIFS(collexo_data!B:B,collexo_data!A:A,A762)</f>
        <v>0</v>
      </c>
      <c r="D762" s="120" t="str">
        <f>vlookup(A762,collexo_data!A:M,13,0)</f>
        <v>#N/A</v>
      </c>
      <c r="E762" s="122" t="str">
        <f>vlookup(A762,collexo_data!A:O,15,0)</f>
        <v>#N/A</v>
      </c>
      <c r="F762" s="120" t="str">
        <f>vlookup(A762,collexo_data!A:S,19,0)</f>
        <v>#N/A</v>
      </c>
      <c r="G762" s="122" t="str">
        <f>vlookup(A762,collexo_data!A:R,18,0)</f>
        <v>#N/A</v>
      </c>
      <c r="H762" s="122" t="str">
        <f t="shared" si="1"/>
        <v/>
      </c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  <c r="AB762" s="113"/>
      <c r="AC762" s="113"/>
      <c r="AD762" s="113"/>
      <c r="AE762" s="113"/>
      <c r="AF762" s="113"/>
    </row>
    <row r="763">
      <c r="A763" s="120"/>
      <c r="B763" s="113"/>
      <c r="C763" s="123">
        <f>MINIFS(collexo_data!B:B,collexo_data!A:A,A763)</f>
        <v>0</v>
      </c>
      <c r="D763" s="120" t="str">
        <f>vlookup(A763,collexo_data!A:M,13,0)</f>
        <v>#N/A</v>
      </c>
      <c r="E763" s="122" t="str">
        <f>vlookup(A763,collexo_data!A:O,15,0)</f>
        <v>#N/A</v>
      </c>
      <c r="F763" s="120" t="str">
        <f>vlookup(A763,collexo_data!A:S,19,0)</f>
        <v>#N/A</v>
      </c>
      <c r="G763" s="122" t="str">
        <f>vlookup(A763,collexo_data!A:R,18,0)</f>
        <v>#N/A</v>
      </c>
      <c r="H763" s="122" t="str">
        <f t="shared" si="1"/>
        <v/>
      </c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  <c r="AB763" s="113"/>
      <c r="AC763" s="113"/>
      <c r="AD763" s="113"/>
      <c r="AE763" s="113"/>
      <c r="AF763" s="113"/>
    </row>
    <row r="764">
      <c r="A764" s="120"/>
      <c r="B764" s="113"/>
      <c r="C764" s="123">
        <f>MINIFS(collexo_data!B:B,collexo_data!A:A,A764)</f>
        <v>0</v>
      </c>
      <c r="D764" s="120" t="str">
        <f>vlookup(A764,collexo_data!A:M,13,0)</f>
        <v>#N/A</v>
      </c>
      <c r="E764" s="122" t="str">
        <f>vlookup(A764,collexo_data!A:O,15,0)</f>
        <v>#N/A</v>
      </c>
      <c r="F764" s="120" t="str">
        <f>vlookup(A764,collexo_data!A:S,19,0)</f>
        <v>#N/A</v>
      </c>
      <c r="G764" s="122" t="str">
        <f>vlookup(A764,collexo_data!A:R,18,0)</f>
        <v>#N/A</v>
      </c>
      <c r="H764" s="122" t="str">
        <f t="shared" si="1"/>
        <v/>
      </c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  <c r="AB764" s="113"/>
      <c r="AC764" s="113"/>
      <c r="AD764" s="113"/>
      <c r="AE764" s="113"/>
      <c r="AF764" s="113"/>
    </row>
    <row r="765">
      <c r="A765" s="120"/>
      <c r="B765" s="113"/>
      <c r="C765" s="123">
        <f>MINIFS(collexo_data!B:B,collexo_data!A:A,A765)</f>
        <v>0</v>
      </c>
      <c r="D765" s="120" t="str">
        <f>vlookup(A765,collexo_data!A:M,13,0)</f>
        <v>#N/A</v>
      </c>
      <c r="E765" s="122" t="str">
        <f>vlookup(A765,collexo_data!A:O,15,0)</f>
        <v>#N/A</v>
      </c>
      <c r="F765" s="120" t="str">
        <f>vlookup(A765,collexo_data!A:S,19,0)</f>
        <v>#N/A</v>
      </c>
      <c r="G765" s="122" t="str">
        <f>vlookup(A765,collexo_data!A:R,18,0)</f>
        <v>#N/A</v>
      </c>
      <c r="H765" s="122" t="str">
        <f t="shared" si="1"/>
        <v/>
      </c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  <c r="AB765" s="113"/>
      <c r="AC765" s="113"/>
      <c r="AD765" s="113"/>
      <c r="AE765" s="113"/>
      <c r="AF765" s="113"/>
    </row>
    <row r="766">
      <c r="A766" s="120"/>
      <c r="B766" s="113"/>
      <c r="C766" s="123">
        <f>MINIFS(collexo_data!B:B,collexo_data!A:A,A766)</f>
        <v>0</v>
      </c>
      <c r="D766" s="120" t="str">
        <f>vlookup(A766,collexo_data!A:M,13,0)</f>
        <v>#N/A</v>
      </c>
      <c r="E766" s="122" t="str">
        <f>vlookup(A766,collexo_data!A:O,15,0)</f>
        <v>#N/A</v>
      </c>
      <c r="F766" s="120" t="str">
        <f>vlookup(A766,collexo_data!A:S,19,0)</f>
        <v>#N/A</v>
      </c>
      <c r="G766" s="122" t="str">
        <f>vlookup(A766,collexo_data!A:R,18,0)</f>
        <v>#N/A</v>
      </c>
      <c r="H766" s="122" t="str">
        <f t="shared" si="1"/>
        <v/>
      </c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  <c r="AB766" s="113"/>
      <c r="AC766" s="113"/>
      <c r="AD766" s="113"/>
      <c r="AE766" s="113"/>
      <c r="AF766" s="113"/>
    </row>
    <row r="767">
      <c r="A767" s="120"/>
      <c r="B767" s="113"/>
      <c r="C767" s="123">
        <f>MINIFS(collexo_data!B:B,collexo_data!A:A,A767)</f>
        <v>0</v>
      </c>
      <c r="D767" s="120" t="str">
        <f>vlookup(A767,collexo_data!A:M,13,0)</f>
        <v>#N/A</v>
      </c>
      <c r="E767" s="122" t="str">
        <f>vlookup(A767,collexo_data!A:O,15,0)</f>
        <v>#N/A</v>
      </c>
      <c r="F767" s="120" t="str">
        <f>vlookup(A767,collexo_data!A:S,19,0)</f>
        <v>#N/A</v>
      </c>
      <c r="G767" s="122" t="str">
        <f>vlookup(A767,collexo_data!A:R,18,0)</f>
        <v>#N/A</v>
      </c>
      <c r="H767" s="122" t="str">
        <f t="shared" si="1"/>
        <v/>
      </c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  <c r="AB767" s="113"/>
      <c r="AC767" s="113"/>
      <c r="AD767" s="113"/>
      <c r="AE767" s="113"/>
      <c r="AF767" s="113"/>
    </row>
    <row r="768">
      <c r="A768" s="120"/>
      <c r="B768" s="113"/>
      <c r="C768" s="123">
        <f>MINIFS(collexo_data!B:B,collexo_data!A:A,A768)</f>
        <v>0</v>
      </c>
      <c r="D768" s="120" t="str">
        <f>vlookup(A768,collexo_data!A:M,13,0)</f>
        <v>#N/A</v>
      </c>
      <c r="E768" s="122" t="str">
        <f>vlookup(A768,collexo_data!A:O,15,0)</f>
        <v>#N/A</v>
      </c>
      <c r="F768" s="120" t="str">
        <f>vlookup(A768,collexo_data!A:S,19,0)</f>
        <v>#N/A</v>
      </c>
      <c r="G768" s="122" t="str">
        <f>vlookup(A768,collexo_data!A:R,18,0)</f>
        <v>#N/A</v>
      </c>
      <c r="H768" s="122" t="str">
        <f t="shared" si="1"/>
        <v/>
      </c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  <c r="AB768" s="113"/>
      <c r="AC768" s="113"/>
      <c r="AD768" s="113"/>
      <c r="AE768" s="113"/>
      <c r="AF768" s="113"/>
    </row>
    <row r="769">
      <c r="A769" s="120"/>
      <c r="B769" s="113"/>
      <c r="C769" s="123">
        <f>MINIFS(collexo_data!B:B,collexo_data!A:A,A769)</f>
        <v>0</v>
      </c>
      <c r="D769" s="120" t="str">
        <f>vlookup(A769,collexo_data!A:M,13,0)</f>
        <v>#N/A</v>
      </c>
      <c r="E769" s="122" t="str">
        <f>vlookup(A769,collexo_data!A:O,15,0)</f>
        <v>#N/A</v>
      </c>
      <c r="F769" s="120" t="str">
        <f>vlookup(A769,collexo_data!A:S,19,0)</f>
        <v>#N/A</v>
      </c>
      <c r="G769" s="122" t="str">
        <f>vlookup(A769,collexo_data!A:R,18,0)</f>
        <v>#N/A</v>
      </c>
      <c r="H769" s="122" t="str">
        <f t="shared" si="1"/>
        <v/>
      </c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  <c r="AB769" s="113"/>
      <c r="AC769" s="113"/>
      <c r="AD769" s="113"/>
      <c r="AE769" s="113"/>
      <c r="AF769" s="113"/>
    </row>
    <row r="770">
      <c r="A770" s="120"/>
      <c r="B770" s="113"/>
      <c r="C770" s="123">
        <f>MINIFS(collexo_data!B:B,collexo_data!A:A,A770)</f>
        <v>0</v>
      </c>
      <c r="D770" s="120" t="str">
        <f>vlookup(A770,collexo_data!A:M,13,0)</f>
        <v>#N/A</v>
      </c>
      <c r="E770" s="122" t="str">
        <f>vlookup(A770,collexo_data!A:O,15,0)</f>
        <v>#N/A</v>
      </c>
      <c r="F770" s="120" t="str">
        <f>vlookup(A770,collexo_data!A:S,19,0)</f>
        <v>#N/A</v>
      </c>
      <c r="G770" s="122" t="str">
        <f>vlookup(A770,collexo_data!A:R,18,0)</f>
        <v>#N/A</v>
      </c>
      <c r="H770" s="122" t="str">
        <f t="shared" si="1"/>
        <v/>
      </c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  <c r="AB770" s="113"/>
      <c r="AC770" s="113"/>
      <c r="AD770" s="113"/>
      <c r="AE770" s="113"/>
      <c r="AF770" s="113"/>
    </row>
    <row r="771">
      <c r="A771" s="120"/>
      <c r="B771" s="113"/>
      <c r="C771" s="123">
        <f>MINIFS(collexo_data!B:B,collexo_data!A:A,A771)</f>
        <v>0</v>
      </c>
      <c r="D771" s="120" t="str">
        <f>vlookup(A771,collexo_data!A:M,13,0)</f>
        <v>#N/A</v>
      </c>
      <c r="E771" s="122" t="str">
        <f>vlookup(A771,collexo_data!A:O,15,0)</f>
        <v>#N/A</v>
      </c>
      <c r="F771" s="120" t="str">
        <f>vlookup(A771,collexo_data!A:S,19,0)</f>
        <v>#N/A</v>
      </c>
      <c r="G771" s="122" t="str">
        <f>vlookup(A771,collexo_data!A:R,18,0)</f>
        <v>#N/A</v>
      </c>
      <c r="H771" s="122" t="str">
        <f t="shared" si="1"/>
        <v/>
      </c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  <c r="AB771" s="113"/>
      <c r="AC771" s="113"/>
      <c r="AD771" s="113"/>
      <c r="AE771" s="113"/>
      <c r="AF771" s="113"/>
    </row>
    <row r="772">
      <c r="A772" s="120"/>
      <c r="B772" s="113"/>
      <c r="C772" s="123">
        <f>MINIFS(collexo_data!B:B,collexo_data!A:A,A772)</f>
        <v>0</v>
      </c>
      <c r="D772" s="120" t="str">
        <f>vlookup(A772,collexo_data!A:M,13,0)</f>
        <v>#N/A</v>
      </c>
      <c r="E772" s="122" t="str">
        <f>vlookup(A772,collexo_data!A:O,15,0)</f>
        <v>#N/A</v>
      </c>
      <c r="F772" s="120" t="str">
        <f>vlookup(A772,collexo_data!A:S,19,0)</f>
        <v>#N/A</v>
      </c>
      <c r="G772" s="122" t="str">
        <f>vlookup(A772,collexo_data!A:R,18,0)</f>
        <v>#N/A</v>
      </c>
      <c r="H772" s="122" t="str">
        <f t="shared" si="1"/>
        <v/>
      </c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  <c r="AB772" s="113"/>
      <c r="AC772" s="113"/>
      <c r="AD772" s="113"/>
      <c r="AE772" s="113"/>
      <c r="AF772" s="113"/>
    </row>
    <row r="773">
      <c r="A773" s="120"/>
      <c r="B773" s="113"/>
      <c r="C773" s="123">
        <f>MINIFS(collexo_data!B:B,collexo_data!A:A,A773)</f>
        <v>0</v>
      </c>
      <c r="D773" s="120" t="str">
        <f>vlookup(A773,collexo_data!A:M,13,0)</f>
        <v>#N/A</v>
      </c>
      <c r="E773" s="122" t="str">
        <f>vlookup(A773,collexo_data!A:O,15,0)</f>
        <v>#N/A</v>
      </c>
      <c r="F773" s="120" t="str">
        <f>vlookup(A773,collexo_data!A:S,19,0)</f>
        <v>#N/A</v>
      </c>
      <c r="G773" s="122" t="str">
        <f>vlookup(A773,collexo_data!A:R,18,0)</f>
        <v>#N/A</v>
      </c>
      <c r="H773" s="122" t="str">
        <f t="shared" si="1"/>
        <v/>
      </c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  <c r="AB773" s="113"/>
      <c r="AC773" s="113"/>
      <c r="AD773" s="113"/>
      <c r="AE773" s="113"/>
      <c r="AF773" s="113"/>
    </row>
    <row r="774">
      <c r="A774" s="120"/>
      <c r="B774" s="113"/>
      <c r="C774" s="123">
        <f>MINIFS(collexo_data!B:B,collexo_data!A:A,A774)</f>
        <v>0</v>
      </c>
      <c r="D774" s="120" t="str">
        <f>vlookup(A774,collexo_data!A:M,13,0)</f>
        <v>#N/A</v>
      </c>
      <c r="E774" s="122" t="str">
        <f>vlookup(A774,collexo_data!A:O,15,0)</f>
        <v>#N/A</v>
      </c>
      <c r="F774" s="120" t="str">
        <f>vlookup(A774,collexo_data!A:S,19,0)</f>
        <v>#N/A</v>
      </c>
      <c r="G774" s="122" t="str">
        <f>vlookup(A774,collexo_data!A:R,18,0)</f>
        <v>#N/A</v>
      </c>
      <c r="H774" s="122" t="str">
        <f t="shared" si="1"/>
        <v/>
      </c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  <c r="AB774" s="113"/>
      <c r="AC774" s="113"/>
      <c r="AD774" s="113"/>
      <c r="AE774" s="113"/>
      <c r="AF774" s="113"/>
    </row>
    <row r="775">
      <c r="A775" s="120"/>
      <c r="B775" s="113"/>
      <c r="C775" s="123">
        <f>MINIFS(collexo_data!B:B,collexo_data!A:A,A775)</f>
        <v>0</v>
      </c>
      <c r="D775" s="120" t="str">
        <f>vlookup(A775,collexo_data!A:M,13,0)</f>
        <v>#N/A</v>
      </c>
      <c r="E775" s="122" t="str">
        <f>vlookup(A775,collexo_data!A:O,15,0)</f>
        <v>#N/A</v>
      </c>
      <c r="F775" s="120" t="str">
        <f>vlookup(A775,collexo_data!A:S,19,0)</f>
        <v>#N/A</v>
      </c>
      <c r="G775" s="122" t="str">
        <f>vlookup(A775,collexo_data!A:R,18,0)</f>
        <v>#N/A</v>
      </c>
      <c r="H775" s="122" t="str">
        <f t="shared" si="1"/>
        <v/>
      </c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  <c r="AB775" s="113"/>
      <c r="AC775" s="113"/>
      <c r="AD775" s="113"/>
      <c r="AE775" s="113"/>
      <c r="AF775" s="113"/>
    </row>
    <row r="776">
      <c r="A776" s="120"/>
      <c r="B776" s="113"/>
      <c r="C776" s="123">
        <f>MINIFS(collexo_data!B:B,collexo_data!A:A,A776)</f>
        <v>0</v>
      </c>
      <c r="D776" s="120" t="str">
        <f>vlookup(A776,collexo_data!A:M,13,0)</f>
        <v>#N/A</v>
      </c>
      <c r="E776" s="122" t="str">
        <f>vlookup(A776,collexo_data!A:O,15,0)</f>
        <v>#N/A</v>
      </c>
      <c r="F776" s="120" t="str">
        <f>vlookup(A776,collexo_data!A:S,19,0)</f>
        <v>#N/A</v>
      </c>
      <c r="G776" s="122" t="str">
        <f>vlookup(A776,collexo_data!A:R,18,0)</f>
        <v>#N/A</v>
      </c>
      <c r="H776" s="122" t="str">
        <f t="shared" si="1"/>
        <v/>
      </c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  <c r="AB776" s="113"/>
      <c r="AC776" s="113"/>
      <c r="AD776" s="113"/>
      <c r="AE776" s="113"/>
      <c r="AF776" s="113"/>
    </row>
    <row r="777">
      <c r="A777" s="120"/>
      <c r="B777" s="113"/>
      <c r="C777" s="123">
        <f>MINIFS(collexo_data!B:B,collexo_data!A:A,A777)</f>
        <v>0</v>
      </c>
      <c r="D777" s="120" t="str">
        <f>vlookup(A777,collexo_data!A:M,13,0)</f>
        <v>#N/A</v>
      </c>
      <c r="E777" s="122" t="str">
        <f>vlookup(A777,collexo_data!A:O,15,0)</f>
        <v>#N/A</v>
      </c>
      <c r="F777" s="120" t="str">
        <f>vlookup(A777,collexo_data!A:S,19,0)</f>
        <v>#N/A</v>
      </c>
      <c r="G777" s="122" t="str">
        <f>vlookup(A777,collexo_data!A:R,18,0)</f>
        <v>#N/A</v>
      </c>
      <c r="H777" s="122" t="str">
        <f t="shared" si="1"/>
        <v/>
      </c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  <c r="AB777" s="113"/>
      <c r="AC777" s="113"/>
      <c r="AD777" s="113"/>
      <c r="AE777" s="113"/>
      <c r="AF777" s="113"/>
    </row>
    <row r="778">
      <c r="A778" s="120"/>
      <c r="B778" s="113"/>
      <c r="C778" s="123">
        <f>MINIFS(collexo_data!B:B,collexo_data!A:A,A778)</f>
        <v>0</v>
      </c>
      <c r="D778" s="120" t="str">
        <f>vlookup(A778,collexo_data!A:M,13,0)</f>
        <v>#N/A</v>
      </c>
      <c r="E778" s="122" t="str">
        <f>vlookup(A778,collexo_data!A:O,15,0)</f>
        <v>#N/A</v>
      </c>
      <c r="F778" s="120" t="str">
        <f>vlookup(A778,collexo_data!A:S,19,0)</f>
        <v>#N/A</v>
      </c>
      <c r="G778" s="122" t="str">
        <f>vlookup(A778,collexo_data!A:R,18,0)</f>
        <v>#N/A</v>
      </c>
      <c r="H778" s="122" t="str">
        <f t="shared" si="1"/>
        <v/>
      </c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  <c r="AB778" s="113"/>
      <c r="AC778" s="113"/>
      <c r="AD778" s="113"/>
      <c r="AE778" s="113"/>
      <c r="AF778" s="113"/>
    </row>
    <row r="779">
      <c r="A779" s="120"/>
      <c r="B779" s="113"/>
      <c r="C779" s="123">
        <f>MINIFS(collexo_data!B:B,collexo_data!A:A,A779)</f>
        <v>0</v>
      </c>
      <c r="D779" s="120" t="str">
        <f>vlookup(A779,collexo_data!A:M,13,0)</f>
        <v>#N/A</v>
      </c>
      <c r="E779" s="122" t="str">
        <f>vlookup(A779,collexo_data!A:O,15,0)</f>
        <v>#N/A</v>
      </c>
      <c r="F779" s="120" t="str">
        <f>vlookup(A779,collexo_data!A:S,19,0)</f>
        <v>#N/A</v>
      </c>
      <c r="G779" s="122" t="str">
        <f>vlookup(A779,collexo_data!A:R,18,0)</f>
        <v>#N/A</v>
      </c>
      <c r="H779" s="122" t="str">
        <f t="shared" si="1"/>
        <v/>
      </c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  <c r="AB779" s="113"/>
      <c r="AC779" s="113"/>
      <c r="AD779" s="113"/>
      <c r="AE779" s="113"/>
      <c r="AF779" s="113"/>
    </row>
    <row r="780">
      <c r="A780" s="120"/>
      <c r="B780" s="113"/>
      <c r="C780" s="123">
        <f>MINIFS(collexo_data!B:B,collexo_data!A:A,A780)</f>
        <v>0</v>
      </c>
      <c r="D780" s="120" t="str">
        <f>vlookup(A780,collexo_data!A:M,13,0)</f>
        <v>#N/A</v>
      </c>
      <c r="E780" s="122" t="str">
        <f>vlookup(A780,collexo_data!A:O,15,0)</f>
        <v>#N/A</v>
      </c>
      <c r="F780" s="120" t="str">
        <f>vlookup(A780,collexo_data!A:S,19,0)</f>
        <v>#N/A</v>
      </c>
      <c r="G780" s="122" t="str">
        <f>vlookup(A780,collexo_data!A:R,18,0)</f>
        <v>#N/A</v>
      </c>
      <c r="H780" s="122" t="str">
        <f t="shared" si="1"/>
        <v/>
      </c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  <c r="AB780" s="113"/>
      <c r="AC780" s="113"/>
      <c r="AD780" s="113"/>
      <c r="AE780" s="113"/>
      <c r="AF780" s="113"/>
    </row>
    <row r="781">
      <c r="A781" s="120"/>
      <c r="B781" s="113"/>
      <c r="C781" s="123">
        <f>MINIFS(collexo_data!B:B,collexo_data!A:A,A781)</f>
        <v>0</v>
      </c>
      <c r="D781" s="120" t="str">
        <f>vlookup(A781,collexo_data!A:M,13,0)</f>
        <v>#N/A</v>
      </c>
      <c r="E781" s="122" t="str">
        <f>vlookup(A781,collexo_data!A:O,15,0)</f>
        <v>#N/A</v>
      </c>
      <c r="F781" s="120" t="str">
        <f>vlookup(A781,collexo_data!A:S,19,0)</f>
        <v>#N/A</v>
      </c>
      <c r="G781" s="122" t="str">
        <f>vlookup(A781,collexo_data!A:R,18,0)</f>
        <v>#N/A</v>
      </c>
      <c r="H781" s="122" t="str">
        <f t="shared" si="1"/>
        <v/>
      </c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  <c r="AB781" s="113"/>
      <c r="AC781" s="113"/>
      <c r="AD781" s="113"/>
      <c r="AE781" s="113"/>
      <c r="AF781" s="113"/>
    </row>
    <row r="782">
      <c r="A782" s="120"/>
      <c r="B782" s="113"/>
      <c r="C782" s="123">
        <f>MINIFS(collexo_data!B:B,collexo_data!A:A,A782)</f>
        <v>0</v>
      </c>
      <c r="D782" s="120" t="str">
        <f>vlookup(A782,collexo_data!A:M,13,0)</f>
        <v>#N/A</v>
      </c>
      <c r="E782" s="122" t="str">
        <f>vlookup(A782,collexo_data!A:O,15,0)</f>
        <v>#N/A</v>
      </c>
      <c r="F782" s="120" t="str">
        <f>vlookup(A782,collexo_data!A:S,19,0)</f>
        <v>#N/A</v>
      </c>
      <c r="G782" s="122" t="str">
        <f>vlookup(A782,collexo_data!A:R,18,0)</f>
        <v>#N/A</v>
      </c>
      <c r="H782" s="122" t="str">
        <f t="shared" si="1"/>
        <v/>
      </c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  <c r="AB782" s="113"/>
      <c r="AC782" s="113"/>
      <c r="AD782" s="113"/>
      <c r="AE782" s="113"/>
      <c r="AF782" s="113"/>
    </row>
    <row r="783">
      <c r="A783" s="120"/>
      <c r="B783" s="113"/>
      <c r="C783" s="123">
        <f>MINIFS(collexo_data!B:B,collexo_data!A:A,A783)</f>
        <v>0</v>
      </c>
      <c r="D783" s="120" t="str">
        <f>vlookup(A783,collexo_data!A:M,13,0)</f>
        <v>#N/A</v>
      </c>
      <c r="E783" s="122" t="str">
        <f>vlookup(A783,collexo_data!A:O,15,0)</f>
        <v>#N/A</v>
      </c>
      <c r="F783" s="120" t="str">
        <f>vlookup(A783,collexo_data!A:S,19,0)</f>
        <v>#N/A</v>
      </c>
      <c r="G783" s="122" t="str">
        <f>vlookup(A783,collexo_data!A:R,18,0)</f>
        <v>#N/A</v>
      </c>
      <c r="H783" s="122" t="str">
        <f t="shared" si="1"/>
        <v/>
      </c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  <c r="AB783" s="113"/>
      <c r="AC783" s="113"/>
      <c r="AD783" s="113"/>
      <c r="AE783" s="113"/>
      <c r="AF783" s="113"/>
    </row>
    <row r="784">
      <c r="A784" s="120"/>
      <c r="B784" s="113"/>
      <c r="C784" s="123">
        <f>MINIFS(collexo_data!B:B,collexo_data!A:A,A784)</f>
        <v>0</v>
      </c>
      <c r="D784" s="120" t="str">
        <f>vlookup(A784,collexo_data!A:M,13,0)</f>
        <v>#N/A</v>
      </c>
      <c r="E784" s="122" t="str">
        <f>vlookup(A784,collexo_data!A:O,15,0)</f>
        <v>#N/A</v>
      </c>
      <c r="F784" s="120" t="str">
        <f>vlookup(A784,collexo_data!A:S,19,0)</f>
        <v>#N/A</v>
      </c>
      <c r="G784" s="122" t="str">
        <f>vlookup(A784,collexo_data!A:R,18,0)</f>
        <v>#N/A</v>
      </c>
      <c r="H784" s="122" t="str">
        <f t="shared" si="1"/>
        <v/>
      </c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  <c r="AB784" s="113"/>
      <c r="AC784" s="113"/>
      <c r="AD784" s="113"/>
      <c r="AE784" s="113"/>
      <c r="AF784" s="113"/>
    </row>
    <row r="785">
      <c r="A785" s="120"/>
      <c r="B785" s="113"/>
      <c r="C785" s="123">
        <f>MINIFS(collexo_data!B:B,collexo_data!A:A,A785)</f>
        <v>0</v>
      </c>
      <c r="D785" s="120" t="str">
        <f>vlookup(A785,collexo_data!A:M,13,0)</f>
        <v>#N/A</v>
      </c>
      <c r="E785" s="122" t="str">
        <f>vlookup(A785,collexo_data!A:O,15,0)</f>
        <v>#N/A</v>
      </c>
      <c r="F785" s="120" t="str">
        <f>vlookup(A785,collexo_data!A:S,19,0)</f>
        <v>#N/A</v>
      </c>
      <c r="G785" s="122" t="str">
        <f>vlookup(A785,collexo_data!A:R,18,0)</f>
        <v>#N/A</v>
      </c>
      <c r="H785" s="122" t="str">
        <f t="shared" si="1"/>
        <v/>
      </c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  <c r="AB785" s="113"/>
      <c r="AC785" s="113"/>
      <c r="AD785" s="113"/>
      <c r="AE785" s="113"/>
      <c r="AF785" s="113"/>
    </row>
    <row r="786">
      <c r="A786" s="120"/>
      <c r="B786" s="113"/>
      <c r="C786" s="123">
        <f>MINIFS(collexo_data!B:B,collexo_data!A:A,A786)</f>
        <v>0</v>
      </c>
      <c r="D786" s="120" t="str">
        <f>vlookup(A786,collexo_data!A:M,13,0)</f>
        <v>#N/A</v>
      </c>
      <c r="E786" s="122" t="str">
        <f>vlookup(A786,collexo_data!A:O,15,0)</f>
        <v>#N/A</v>
      </c>
      <c r="F786" s="120" t="str">
        <f>vlookup(A786,collexo_data!A:S,19,0)</f>
        <v>#N/A</v>
      </c>
      <c r="G786" s="122" t="str">
        <f>vlookup(A786,collexo_data!A:R,18,0)</f>
        <v>#N/A</v>
      </c>
      <c r="H786" s="122" t="str">
        <f t="shared" si="1"/>
        <v/>
      </c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  <c r="AB786" s="113"/>
      <c r="AC786" s="113"/>
      <c r="AD786" s="113"/>
      <c r="AE786" s="113"/>
      <c r="AF786" s="113"/>
    </row>
    <row r="787">
      <c r="A787" s="120"/>
      <c r="B787" s="113"/>
      <c r="C787" s="123">
        <f>MINIFS(collexo_data!B:B,collexo_data!A:A,A787)</f>
        <v>0</v>
      </c>
      <c r="D787" s="120" t="str">
        <f>vlookup(A787,collexo_data!A:M,13,0)</f>
        <v>#N/A</v>
      </c>
      <c r="E787" s="122" t="str">
        <f>vlookup(A787,collexo_data!A:O,15,0)</f>
        <v>#N/A</v>
      </c>
      <c r="F787" s="120" t="str">
        <f>vlookup(A787,collexo_data!A:S,19,0)</f>
        <v>#N/A</v>
      </c>
      <c r="G787" s="122" t="str">
        <f>vlookup(A787,collexo_data!A:R,18,0)</f>
        <v>#N/A</v>
      </c>
      <c r="H787" s="122" t="str">
        <f t="shared" si="1"/>
        <v/>
      </c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  <c r="AB787" s="113"/>
      <c r="AC787" s="113"/>
      <c r="AD787" s="113"/>
      <c r="AE787" s="113"/>
      <c r="AF787" s="113"/>
    </row>
    <row r="788">
      <c r="A788" s="120"/>
      <c r="B788" s="113"/>
      <c r="C788" s="123">
        <f>MINIFS(collexo_data!B:B,collexo_data!A:A,A788)</f>
        <v>0</v>
      </c>
      <c r="D788" s="120" t="str">
        <f>vlookup(A788,collexo_data!A:M,13,0)</f>
        <v>#N/A</v>
      </c>
      <c r="E788" s="122" t="str">
        <f>vlookup(A788,collexo_data!A:O,15,0)</f>
        <v>#N/A</v>
      </c>
      <c r="F788" s="120" t="str">
        <f>vlookup(A788,collexo_data!A:S,19,0)</f>
        <v>#N/A</v>
      </c>
      <c r="G788" s="122" t="str">
        <f>vlookup(A788,collexo_data!A:R,18,0)</f>
        <v>#N/A</v>
      </c>
      <c r="H788" s="122" t="str">
        <f t="shared" si="1"/>
        <v/>
      </c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  <c r="AB788" s="113"/>
      <c r="AC788" s="113"/>
      <c r="AD788" s="113"/>
      <c r="AE788" s="113"/>
      <c r="AF788" s="113"/>
    </row>
    <row r="789">
      <c r="A789" s="120"/>
      <c r="B789" s="113"/>
      <c r="C789" s="123">
        <f>MINIFS(collexo_data!B:B,collexo_data!A:A,A789)</f>
        <v>0</v>
      </c>
      <c r="D789" s="120" t="str">
        <f>vlookup(A789,collexo_data!A:M,13,0)</f>
        <v>#N/A</v>
      </c>
      <c r="E789" s="122" t="str">
        <f>vlookup(A789,collexo_data!A:O,15,0)</f>
        <v>#N/A</v>
      </c>
      <c r="F789" s="120" t="str">
        <f>vlookup(A789,collexo_data!A:S,19,0)</f>
        <v>#N/A</v>
      </c>
      <c r="G789" s="122" t="str">
        <f>vlookup(A789,collexo_data!A:R,18,0)</f>
        <v>#N/A</v>
      </c>
      <c r="H789" s="122" t="str">
        <f t="shared" si="1"/>
        <v/>
      </c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  <c r="AB789" s="113"/>
      <c r="AC789" s="113"/>
      <c r="AD789" s="113"/>
      <c r="AE789" s="113"/>
      <c r="AF789" s="113"/>
    </row>
    <row r="790">
      <c r="A790" s="120"/>
      <c r="B790" s="113"/>
      <c r="C790" s="123">
        <f>MINIFS(collexo_data!B:B,collexo_data!A:A,A790)</f>
        <v>0</v>
      </c>
      <c r="D790" s="120" t="str">
        <f>vlookup(A790,collexo_data!A:M,13,0)</f>
        <v>#N/A</v>
      </c>
      <c r="E790" s="122" t="str">
        <f>vlookup(A790,collexo_data!A:O,15,0)</f>
        <v>#N/A</v>
      </c>
      <c r="F790" s="120" t="str">
        <f>vlookup(A790,collexo_data!A:S,19,0)</f>
        <v>#N/A</v>
      </c>
      <c r="G790" s="122" t="str">
        <f>vlookup(A790,collexo_data!A:R,18,0)</f>
        <v>#N/A</v>
      </c>
      <c r="H790" s="122" t="str">
        <f t="shared" si="1"/>
        <v/>
      </c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  <c r="AB790" s="113"/>
      <c r="AC790" s="113"/>
      <c r="AD790" s="113"/>
      <c r="AE790" s="113"/>
      <c r="AF790" s="113"/>
    </row>
    <row r="791">
      <c r="A791" s="120"/>
      <c r="B791" s="113"/>
      <c r="C791" s="123">
        <f>MINIFS(collexo_data!B:B,collexo_data!A:A,A791)</f>
        <v>0</v>
      </c>
      <c r="D791" s="120" t="str">
        <f>vlookup(A791,collexo_data!A:M,13,0)</f>
        <v>#N/A</v>
      </c>
      <c r="E791" s="122" t="str">
        <f>vlookup(A791,collexo_data!A:O,15,0)</f>
        <v>#N/A</v>
      </c>
      <c r="F791" s="120" t="str">
        <f>vlookup(A791,collexo_data!A:S,19,0)</f>
        <v>#N/A</v>
      </c>
      <c r="G791" s="122" t="str">
        <f>vlookup(A791,collexo_data!A:R,18,0)</f>
        <v>#N/A</v>
      </c>
      <c r="H791" s="122" t="str">
        <f t="shared" si="1"/>
        <v/>
      </c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  <c r="AB791" s="113"/>
      <c r="AC791" s="113"/>
      <c r="AD791" s="113"/>
      <c r="AE791" s="113"/>
      <c r="AF791" s="113"/>
    </row>
    <row r="792">
      <c r="A792" s="120"/>
      <c r="B792" s="113"/>
      <c r="C792" s="123">
        <f>MINIFS(collexo_data!B:B,collexo_data!A:A,A792)</f>
        <v>0</v>
      </c>
      <c r="D792" s="120" t="str">
        <f>vlookup(A792,collexo_data!A:M,13,0)</f>
        <v>#N/A</v>
      </c>
      <c r="E792" s="122" t="str">
        <f>vlookup(A792,collexo_data!A:O,15,0)</f>
        <v>#N/A</v>
      </c>
      <c r="F792" s="120" t="str">
        <f>vlookup(A792,collexo_data!A:S,19,0)</f>
        <v>#N/A</v>
      </c>
      <c r="G792" s="122" t="str">
        <f>vlookup(A792,collexo_data!A:R,18,0)</f>
        <v>#N/A</v>
      </c>
      <c r="H792" s="122" t="str">
        <f t="shared" si="1"/>
        <v/>
      </c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  <c r="AB792" s="113"/>
      <c r="AC792" s="113"/>
      <c r="AD792" s="113"/>
      <c r="AE792" s="113"/>
      <c r="AF792" s="113"/>
    </row>
    <row r="793">
      <c r="A793" s="120"/>
      <c r="B793" s="113"/>
      <c r="C793" s="123">
        <f>MINIFS(collexo_data!B:B,collexo_data!A:A,A793)</f>
        <v>0</v>
      </c>
      <c r="D793" s="120" t="str">
        <f>vlookup(A793,collexo_data!A:M,13,0)</f>
        <v>#N/A</v>
      </c>
      <c r="E793" s="122" t="str">
        <f>vlookup(A793,collexo_data!A:O,15,0)</f>
        <v>#N/A</v>
      </c>
      <c r="F793" s="120" t="str">
        <f>vlookup(A793,collexo_data!A:S,19,0)</f>
        <v>#N/A</v>
      </c>
      <c r="G793" s="122" t="str">
        <f>vlookup(A793,collexo_data!A:R,18,0)</f>
        <v>#N/A</v>
      </c>
      <c r="H793" s="122" t="str">
        <f t="shared" si="1"/>
        <v/>
      </c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  <c r="AB793" s="113"/>
      <c r="AC793" s="113"/>
      <c r="AD793" s="113"/>
      <c r="AE793" s="113"/>
      <c r="AF793" s="113"/>
    </row>
    <row r="794">
      <c r="A794" s="120"/>
      <c r="B794" s="113"/>
      <c r="C794" s="123">
        <f>MINIFS(collexo_data!B:B,collexo_data!A:A,A794)</f>
        <v>0</v>
      </c>
      <c r="D794" s="120" t="str">
        <f>vlookup(A794,collexo_data!A:M,13,0)</f>
        <v>#N/A</v>
      </c>
      <c r="E794" s="122" t="str">
        <f>vlookup(A794,collexo_data!A:O,15,0)</f>
        <v>#N/A</v>
      </c>
      <c r="F794" s="120" t="str">
        <f>vlookup(A794,collexo_data!A:S,19,0)</f>
        <v>#N/A</v>
      </c>
      <c r="G794" s="122" t="str">
        <f>vlookup(A794,collexo_data!A:R,18,0)</f>
        <v>#N/A</v>
      </c>
      <c r="H794" s="122" t="str">
        <f t="shared" si="1"/>
        <v/>
      </c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  <c r="AB794" s="113"/>
      <c r="AC794" s="113"/>
      <c r="AD794" s="113"/>
      <c r="AE794" s="113"/>
      <c r="AF794" s="113"/>
    </row>
    <row r="795">
      <c r="A795" s="120"/>
      <c r="B795" s="113"/>
      <c r="C795" s="123">
        <f>MINIFS(collexo_data!B:B,collexo_data!A:A,A795)</f>
        <v>0</v>
      </c>
      <c r="D795" s="120" t="str">
        <f>vlookup(A795,collexo_data!A:M,13,0)</f>
        <v>#N/A</v>
      </c>
      <c r="E795" s="122" t="str">
        <f>vlookup(A795,collexo_data!A:O,15,0)</f>
        <v>#N/A</v>
      </c>
      <c r="F795" s="120" t="str">
        <f>vlookup(A795,collexo_data!A:S,19,0)</f>
        <v>#N/A</v>
      </c>
      <c r="G795" s="122" t="str">
        <f>vlookup(A795,collexo_data!A:R,18,0)</f>
        <v>#N/A</v>
      </c>
      <c r="H795" s="122" t="str">
        <f t="shared" si="1"/>
        <v/>
      </c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  <c r="AB795" s="113"/>
      <c r="AC795" s="113"/>
      <c r="AD795" s="113"/>
      <c r="AE795" s="113"/>
      <c r="AF795" s="113"/>
    </row>
    <row r="796">
      <c r="A796" s="120"/>
      <c r="B796" s="113"/>
      <c r="C796" s="123">
        <f>MINIFS(collexo_data!B:B,collexo_data!A:A,A796)</f>
        <v>0</v>
      </c>
      <c r="D796" s="120" t="str">
        <f>vlookup(A796,collexo_data!A:M,13,0)</f>
        <v>#N/A</v>
      </c>
      <c r="E796" s="122" t="str">
        <f>vlookup(A796,collexo_data!A:O,15,0)</f>
        <v>#N/A</v>
      </c>
      <c r="F796" s="120" t="str">
        <f>vlookup(A796,collexo_data!A:S,19,0)</f>
        <v>#N/A</v>
      </c>
      <c r="G796" s="122" t="str">
        <f>vlookup(A796,collexo_data!A:R,18,0)</f>
        <v>#N/A</v>
      </c>
      <c r="H796" s="122" t="str">
        <f t="shared" si="1"/>
        <v/>
      </c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  <c r="AB796" s="113"/>
      <c r="AC796" s="113"/>
      <c r="AD796" s="113"/>
      <c r="AE796" s="113"/>
      <c r="AF796" s="113"/>
    </row>
    <row r="797">
      <c r="A797" s="120"/>
      <c r="B797" s="113"/>
      <c r="C797" s="123">
        <f>MINIFS(collexo_data!B:B,collexo_data!A:A,A797)</f>
        <v>0</v>
      </c>
      <c r="D797" s="120" t="str">
        <f>vlookup(A797,collexo_data!A:M,13,0)</f>
        <v>#N/A</v>
      </c>
      <c r="E797" s="122" t="str">
        <f>vlookup(A797,collexo_data!A:O,15,0)</f>
        <v>#N/A</v>
      </c>
      <c r="F797" s="120" t="str">
        <f>vlookup(A797,collexo_data!A:S,19,0)</f>
        <v>#N/A</v>
      </c>
      <c r="G797" s="122" t="str">
        <f>vlookup(A797,collexo_data!A:R,18,0)</f>
        <v>#N/A</v>
      </c>
      <c r="H797" s="122" t="str">
        <f t="shared" si="1"/>
        <v/>
      </c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  <c r="AB797" s="113"/>
      <c r="AC797" s="113"/>
      <c r="AD797" s="113"/>
      <c r="AE797" s="113"/>
      <c r="AF797" s="113"/>
    </row>
    <row r="798">
      <c r="A798" s="120"/>
      <c r="B798" s="113"/>
      <c r="C798" s="123">
        <f>MINIFS(collexo_data!B:B,collexo_data!A:A,A798)</f>
        <v>0</v>
      </c>
      <c r="D798" s="120" t="str">
        <f>vlookup(A798,collexo_data!A:M,13,0)</f>
        <v>#N/A</v>
      </c>
      <c r="E798" s="122" t="str">
        <f>vlookup(A798,collexo_data!A:O,15,0)</f>
        <v>#N/A</v>
      </c>
      <c r="F798" s="120" t="str">
        <f>vlookup(A798,collexo_data!A:S,19,0)</f>
        <v>#N/A</v>
      </c>
      <c r="G798" s="122" t="str">
        <f>vlookup(A798,collexo_data!A:R,18,0)</f>
        <v>#N/A</v>
      </c>
      <c r="H798" s="122" t="str">
        <f t="shared" si="1"/>
        <v/>
      </c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  <c r="AB798" s="113"/>
      <c r="AC798" s="113"/>
      <c r="AD798" s="113"/>
      <c r="AE798" s="113"/>
      <c r="AF798" s="113"/>
    </row>
    <row r="799">
      <c r="A799" s="120"/>
      <c r="B799" s="113"/>
      <c r="C799" s="123">
        <f>MINIFS(collexo_data!B:B,collexo_data!A:A,A799)</f>
        <v>0</v>
      </c>
      <c r="D799" s="120" t="str">
        <f>vlookup(A799,collexo_data!A:M,13,0)</f>
        <v>#N/A</v>
      </c>
      <c r="E799" s="122" t="str">
        <f>vlookup(A799,collexo_data!A:O,15,0)</f>
        <v>#N/A</v>
      </c>
      <c r="F799" s="120" t="str">
        <f>vlookup(A799,collexo_data!A:S,19,0)</f>
        <v>#N/A</v>
      </c>
      <c r="G799" s="122" t="str">
        <f>vlookup(A799,collexo_data!A:R,18,0)</f>
        <v>#N/A</v>
      </c>
      <c r="H799" s="122" t="str">
        <f t="shared" si="1"/>
        <v/>
      </c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  <c r="AB799" s="113"/>
      <c r="AC799" s="113"/>
      <c r="AD799" s="113"/>
      <c r="AE799" s="113"/>
      <c r="AF799" s="113"/>
    </row>
    <row r="800">
      <c r="A800" s="120"/>
      <c r="B800" s="113"/>
      <c r="C800" s="123">
        <f>MINIFS(collexo_data!B:B,collexo_data!A:A,A800)</f>
        <v>0</v>
      </c>
      <c r="D800" s="120" t="str">
        <f>vlookup(A800,collexo_data!A:M,13,0)</f>
        <v>#N/A</v>
      </c>
      <c r="E800" s="122" t="str">
        <f>vlookup(A800,collexo_data!A:O,15,0)</f>
        <v>#N/A</v>
      </c>
      <c r="F800" s="120" t="str">
        <f>vlookup(A800,collexo_data!A:S,19,0)</f>
        <v>#N/A</v>
      </c>
      <c r="G800" s="122" t="str">
        <f>vlookup(A800,collexo_data!A:R,18,0)</f>
        <v>#N/A</v>
      </c>
      <c r="H800" s="122" t="str">
        <f t="shared" si="1"/>
        <v/>
      </c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  <c r="AB800" s="113"/>
      <c r="AC800" s="113"/>
      <c r="AD800" s="113"/>
      <c r="AE800" s="113"/>
      <c r="AF800" s="113"/>
    </row>
    <row r="801">
      <c r="A801" s="120"/>
      <c r="B801" s="113"/>
      <c r="C801" s="123">
        <f>MINIFS(collexo_data!B:B,collexo_data!A:A,A801)</f>
        <v>0</v>
      </c>
      <c r="D801" s="120" t="str">
        <f>vlookup(A801,collexo_data!A:M,13,0)</f>
        <v>#N/A</v>
      </c>
      <c r="E801" s="122" t="str">
        <f>vlookup(A801,collexo_data!A:O,15,0)</f>
        <v>#N/A</v>
      </c>
      <c r="F801" s="120" t="str">
        <f>vlookup(A801,collexo_data!A:S,19,0)</f>
        <v>#N/A</v>
      </c>
      <c r="G801" s="122" t="str">
        <f>vlookup(A801,collexo_data!A:R,18,0)</f>
        <v>#N/A</v>
      </c>
      <c r="H801" s="122" t="str">
        <f t="shared" si="1"/>
        <v/>
      </c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  <c r="AB801" s="113"/>
      <c r="AC801" s="113"/>
      <c r="AD801" s="113"/>
      <c r="AE801" s="113"/>
      <c r="AF801" s="113"/>
    </row>
    <row r="802">
      <c r="A802" s="120"/>
      <c r="B802" s="113"/>
      <c r="C802" s="123">
        <f>MINIFS(collexo_data!B:B,collexo_data!A:A,A802)</f>
        <v>0</v>
      </c>
      <c r="D802" s="120" t="str">
        <f>vlookup(A802,collexo_data!A:M,13,0)</f>
        <v>#N/A</v>
      </c>
      <c r="E802" s="122" t="str">
        <f>vlookup(A802,collexo_data!A:O,15,0)</f>
        <v>#N/A</v>
      </c>
      <c r="F802" s="120" t="str">
        <f>vlookup(A802,collexo_data!A:S,19,0)</f>
        <v>#N/A</v>
      </c>
      <c r="G802" s="122" t="str">
        <f>vlookup(A802,collexo_data!A:R,18,0)</f>
        <v>#N/A</v>
      </c>
      <c r="H802" s="122" t="str">
        <f t="shared" si="1"/>
        <v/>
      </c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  <c r="AB802" s="113"/>
      <c r="AC802" s="113"/>
      <c r="AD802" s="113"/>
      <c r="AE802" s="113"/>
      <c r="AF802" s="113"/>
    </row>
    <row r="803">
      <c r="A803" s="120"/>
      <c r="B803" s="113"/>
      <c r="C803" s="123">
        <f>MINIFS(collexo_data!B:B,collexo_data!A:A,A803)</f>
        <v>0</v>
      </c>
      <c r="D803" s="120" t="str">
        <f>vlookup(A803,collexo_data!A:M,13,0)</f>
        <v>#N/A</v>
      </c>
      <c r="E803" s="122" t="str">
        <f>vlookup(A803,collexo_data!A:O,15,0)</f>
        <v>#N/A</v>
      </c>
      <c r="F803" s="120" t="str">
        <f>vlookup(A803,collexo_data!A:S,19,0)</f>
        <v>#N/A</v>
      </c>
      <c r="G803" s="122" t="str">
        <f>vlookup(A803,collexo_data!A:R,18,0)</f>
        <v>#N/A</v>
      </c>
      <c r="H803" s="122" t="str">
        <f t="shared" si="1"/>
        <v/>
      </c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  <c r="AB803" s="113"/>
      <c r="AC803" s="113"/>
      <c r="AD803" s="113"/>
      <c r="AE803" s="113"/>
      <c r="AF803" s="113"/>
    </row>
    <row r="804">
      <c r="A804" s="120"/>
      <c r="B804" s="113"/>
      <c r="C804" s="123">
        <f>MINIFS(collexo_data!B:B,collexo_data!A:A,A804)</f>
        <v>0</v>
      </c>
      <c r="D804" s="120" t="str">
        <f>vlookup(A804,collexo_data!A:M,13,0)</f>
        <v>#N/A</v>
      </c>
      <c r="E804" s="122" t="str">
        <f>vlookup(A804,collexo_data!A:O,15,0)</f>
        <v>#N/A</v>
      </c>
      <c r="F804" s="120" t="str">
        <f>vlookup(A804,collexo_data!A:S,19,0)</f>
        <v>#N/A</v>
      </c>
      <c r="G804" s="122" t="str">
        <f>vlookup(A804,collexo_data!A:R,18,0)</f>
        <v>#N/A</v>
      </c>
      <c r="H804" s="122" t="str">
        <f t="shared" si="1"/>
        <v/>
      </c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  <c r="AB804" s="113"/>
      <c r="AC804" s="113"/>
      <c r="AD804" s="113"/>
      <c r="AE804" s="113"/>
      <c r="AF804" s="113"/>
    </row>
    <row r="805">
      <c r="A805" s="120"/>
      <c r="B805" s="113"/>
      <c r="C805" s="123">
        <f>MINIFS(collexo_data!B:B,collexo_data!A:A,A805)</f>
        <v>0</v>
      </c>
      <c r="D805" s="120" t="str">
        <f>vlookup(A805,collexo_data!A:M,13,0)</f>
        <v>#N/A</v>
      </c>
      <c r="E805" s="122" t="str">
        <f>vlookup(A805,collexo_data!A:O,15,0)</f>
        <v>#N/A</v>
      </c>
      <c r="F805" s="120" t="str">
        <f>vlookup(A805,collexo_data!A:S,19,0)</f>
        <v>#N/A</v>
      </c>
      <c r="G805" s="122" t="str">
        <f>vlookup(A805,collexo_data!A:R,18,0)</f>
        <v>#N/A</v>
      </c>
      <c r="H805" s="122" t="str">
        <f t="shared" si="1"/>
        <v/>
      </c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  <c r="AB805" s="113"/>
      <c r="AC805" s="113"/>
      <c r="AD805" s="113"/>
      <c r="AE805" s="113"/>
      <c r="AF805" s="113"/>
    </row>
    <row r="806">
      <c r="A806" s="120"/>
      <c r="B806" s="113"/>
      <c r="C806" s="123">
        <f>MINIFS(collexo_data!B:B,collexo_data!A:A,A806)</f>
        <v>0</v>
      </c>
      <c r="D806" s="120" t="str">
        <f>vlookup(A806,collexo_data!A:M,13,0)</f>
        <v>#N/A</v>
      </c>
      <c r="E806" s="122" t="str">
        <f>vlookup(A806,collexo_data!A:O,15,0)</f>
        <v>#N/A</v>
      </c>
      <c r="F806" s="120" t="str">
        <f>vlookup(A806,collexo_data!A:S,19,0)</f>
        <v>#N/A</v>
      </c>
      <c r="G806" s="122" t="str">
        <f>vlookup(A806,collexo_data!A:R,18,0)</f>
        <v>#N/A</v>
      </c>
      <c r="H806" s="122" t="str">
        <f t="shared" si="1"/>
        <v/>
      </c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  <c r="AB806" s="113"/>
      <c r="AC806" s="113"/>
      <c r="AD806" s="113"/>
      <c r="AE806" s="113"/>
      <c r="AF806" s="113"/>
    </row>
    <row r="807">
      <c r="A807" s="120"/>
      <c r="B807" s="113"/>
      <c r="C807" s="123">
        <f>MINIFS(collexo_data!B:B,collexo_data!A:A,A807)</f>
        <v>0</v>
      </c>
      <c r="D807" s="120" t="str">
        <f>vlookup(A807,collexo_data!A:M,13,0)</f>
        <v>#N/A</v>
      </c>
      <c r="E807" s="122" t="str">
        <f>vlookup(A807,collexo_data!A:O,15,0)</f>
        <v>#N/A</v>
      </c>
      <c r="F807" s="120" t="str">
        <f>vlookup(A807,collexo_data!A:S,19,0)</f>
        <v>#N/A</v>
      </c>
      <c r="G807" s="122" t="str">
        <f>vlookup(A807,collexo_data!A:R,18,0)</f>
        <v>#N/A</v>
      </c>
      <c r="H807" s="122" t="str">
        <f t="shared" si="1"/>
        <v/>
      </c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  <c r="AB807" s="113"/>
      <c r="AC807" s="113"/>
      <c r="AD807" s="113"/>
      <c r="AE807" s="113"/>
      <c r="AF807" s="113"/>
    </row>
    <row r="808">
      <c r="A808" s="120"/>
      <c r="B808" s="113"/>
      <c r="C808" s="123">
        <f>MINIFS(collexo_data!B:B,collexo_data!A:A,A808)</f>
        <v>0</v>
      </c>
      <c r="D808" s="120" t="str">
        <f>vlookup(A808,collexo_data!A:M,13,0)</f>
        <v>#N/A</v>
      </c>
      <c r="E808" s="122" t="str">
        <f>vlookup(A808,collexo_data!A:O,15,0)</f>
        <v>#N/A</v>
      </c>
      <c r="F808" s="120" t="str">
        <f>vlookup(A808,collexo_data!A:S,19,0)</f>
        <v>#N/A</v>
      </c>
      <c r="G808" s="122" t="str">
        <f>vlookup(A808,collexo_data!A:R,18,0)</f>
        <v>#N/A</v>
      </c>
      <c r="H808" s="122" t="str">
        <f t="shared" si="1"/>
        <v/>
      </c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  <c r="AB808" s="113"/>
      <c r="AC808" s="113"/>
      <c r="AD808" s="113"/>
      <c r="AE808" s="113"/>
      <c r="AF808" s="113"/>
    </row>
    <row r="809">
      <c r="A809" s="120"/>
      <c r="B809" s="113"/>
      <c r="C809" s="123">
        <f>MINIFS(collexo_data!B:B,collexo_data!A:A,A809)</f>
        <v>0</v>
      </c>
      <c r="D809" s="120" t="str">
        <f>vlookup(A809,collexo_data!A:M,13,0)</f>
        <v>#N/A</v>
      </c>
      <c r="E809" s="122" t="str">
        <f>vlookup(A809,collexo_data!A:O,15,0)</f>
        <v>#N/A</v>
      </c>
      <c r="F809" s="120" t="str">
        <f>vlookup(A809,collexo_data!A:S,19,0)</f>
        <v>#N/A</v>
      </c>
      <c r="G809" s="122" t="str">
        <f>vlookup(A809,collexo_data!A:R,18,0)</f>
        <v>#N/A</v>
      </c>
      <c r="H809" s="122" t="str">
        <f t="shared" si="1"/>
        <v/>
      </c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  <c r="AB809" s="113"/>
      <c r="AC809" s="113"/>
      <c r="AD809" s="113"/>
      <c r="AE809" s="113"/>
      <c r="AF809" s="113"/>
    </row>
    <row r="810">
      <c r="A810" s="120"/>
      <c r="B810" s="113"/>
      <c r="C810" s="123">
        <f>MINIFS(collexo_data!B:B,collexo_data!A:A,A810)</f>
        <v>0</v>
      </c>
      <c r="D810" s="120" t="str">
        <f>vlookup(A810,collexo_data!A:M,13,0)</f>
        <v>#N/A</v>
      </c>
      <c r="E810" s="122" t="str">
        <f>vlookup(A810,collexo_data!A:O,15,0)</f>
        <v>#N/A</v>
      </c>
      <c r="F810" s="120" t="str">
        <f>vlookup(A810,collexo_data!A:S,19,0)</f>
        <v>#N/A</v>
      </c>
      <c r="G810" s="122" t="str">
        <f>vlookup(A810,collexo_data!A:R,18,0)</f>
        <v>#N/A</v>
      </c>
      <c r="H810" s="122" t="str">
        <f t="shared" si="1"/>
        <v/>
      </c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  <c r="AB810" s="113"/>
      <c r="AC810" s="113"/>
      <c r="AD810" s="113"/>
      <c r="AE810" s="113"/>
      <c r="AF810" s="113"/>
    </row>
    <row r="811">
      <c r="A811" s="120"/>
      <c r="B811" s="113"/>
      <c r="C811" s="123">
        <f>MINIFS(collexo_data!B:B,collexo_data!A:A,A811)</f>
        <v>0</v>
      </c>
      <c r="D811" s="120" t="str">
        <f>vlookup(A811,collexo_data!A:M,13,0)</f>
        <v>#N/A</v>
      </c>
      <c r="E811" s="122" t="str">
        <f>vlookup(A811,collexo_data!A:O,15,0)</f>
        <v>#N/A</v>
      </c>
      <c r="F811" s="120" t="str">
        <f>vlookup(A811,collexo_data!A:S,19,0)</f>
        <v>#N/A</v>
      </c>
      <c r="G811" s="122" t="str">
        <f>vlookup(A811,collexo_data!A:R,18,0)</f>
        <v>#N/A</v>
      </c>
      <c r="H811" s="122" t="str">
        <f t="shared" si="1"/>
        <v/>
      </c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  <c r="AB811" s="113"/>
      <c r="AC811" s="113"/>
      <c r="AD811" s="113"/>
      <c r="AE811" s="113"/>
      <c r="AF811" s="113"/>
    </row>
    <row r="812">
      <c r="A812" s="120"/>
      <c r="B812" s="113"/>
      <c r="C812" s="123">
        <f>MINIFS(collexo_data!B:B,collexo_data!A:A,A812)</f>
        <v>0</v>
      </c>
      <c r="D812" s="120" t="str">
        <f>vlookup(A812,collexo_data!A:M,13,0)</f>
        <v>#N/A</v>
      </c>
      <c r="E812" s="122" t="str">
        <f>vlookup(A812,collexo_data!A:O,15,0)</f>
        <v>#N/A</v>
      </c>
      <c r="F812" s="120" t="str">
        <f>vlookup(A812,collexo_data!A:S,19,0)</f>
        <v>#N/A</v>
      </c>
      <c r="G812" s="122" t="str">
        <f>vlookup(A812,collexo_data!A:R,18,0)</f>
        <v>#N/A</v>
      </c>
      <c r="H812" s="122" t="str">
        <f t="shared" si="1"/>
        <v/>
      </c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  <c r="AB812" s="113"/>
      <c r="AC812" s="113"/>
      <c r="AD812" s="113"/>
      <c r="AE812" s="113"/>
      <c r="AF812" s="113"/>
    </row>
    <row r="813">
      <c r="A813" s="120"/>
      <c r="B813" s="113"/>
      <c r="C813" s="123">
        <f>MINIFS(collexo_data!B:B,collexo_data!A:A,A813)</f>
        <v>0</v>
      </c>
      <c r="D813" s="120" t="str">
        <f>vlookup(A813,collexo_data!A:M,13,0)</f>
        <v>#N/A</v>
      </c>
      <c r="E813" s="122" t="str">
        <f>vlookup(A813,collexo_data!A:O,15,0)</f>
        <v>#N/A</v>
      </c>
      <c r="F813" s="120" t="str">
        <f>vlookup(A813,collexo_data!A:S,19,0)</f>
        <v>#N/A</v>
      </c>
      <c r="G813" s="122" t="str">
        <f>vlookup(A813,collexo_data!A:R,18,0)</f>
        <v>#N/A</v>
      </c>
      <c r="H813" s="122" t="str">
        <f t="shared" si="1"/>
        <v/>
      </c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  <c r="AB813" s="113"/>
      <c r="AC813" s="113"/>
      <c r="AD813" s="113"/>
      <c r="AE813" s="113"/>
      <c r="AF813" s="113"/>
    </row>
    <row r="814">
      <c r="A814" s="120"/>
      <c r="B814" s="113"/>
      <c r="C814" s="123">
        <f>MINIFS(collexo_data!B:B,collexo_data!A:A,A814)</f>
        <v>0</v>
      </c>
      <c r="D814" s="120" t="str">
        <f>vlookup(A814,collexo_data!A:M,13,0)</f>
        <v>#N/A</v>
      </c>
      <c r="E814" s="122" t="str">
        <f>vlookup(A814,collexo_data!A:O,15,0)</f>
        <v>#N/A</v>
      </c>
      <c r="F814" s="120" t="str">
        <f>vlookup(A814,collexo_data!A:S,19,0)</f>
        <v>#N/A</v>
      </c>
      <c r="G814" s="122" t="str">
        <f>vlookup(A814,collexo_data!A:R,18,0)</f>
        <v>#N/A</v>
      </c>
      <c r="H814" s="122" t="str">
        <f t="shared" si="1"/>
        <v/>
      </c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  <c r="AB814" s="113"/>
      <c r="AC814" s="113"/>
      <c r="AD814" s="113"/>
      <c r="AE814" s="113"/>
      <c r="AF814" s="113"/>
    </row>
    <row r="815">
      <c r="A815" s="120"/>
      <c r="B815" s="113"/>
      <c r="C815" s="123">
        <f>MINIFS(collexo_data!B:B,collexo_data!A:A,A815)</f>
        <v>0</v>
      </c>
      <c r="D815" s="120" t="str">
        <f>vlookup(A815,collexo_data!A:M,13,0)</f>
        <v>#N/A</v>
      </c>
      <c r="E815" s="122" t="str">
        <f>vlookup(A815,collexo_data!A:O,15,0)</f>
        <v>#N/A</v>
      </c>
      <c r="F815" s="120" t="str">
        <f>vlookup(A815,collexo_data!A:S,19,0)</f>
        <v>#N/A</v>
      </c>
      <c r="G815" s="122" t="str">
        <f>vlookup(A815,collexo_data!A:R,18,0)</f>
        <v>#N/A</v>
      </c>
      <c r="H815" s="122" t="str">
        <f t="shared" si="1"/>
        <v/>
      </c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  <c r="AB815" s="113"/>
      <c r="AC815" s="113"/>
      <c r="AD815" s="113"/>
      <c r="AE815" s="113"/>
      <c r="AF815" s="113"/>
    </row>
    <row r="816">
      <c r="A816" s="120"/>
      <c r="B816" s="113"/>
      <c r="C816" s="123">
        <f>MINIFS(collexo_data!B:B,collexo_data!A:A,A816)</f>
        <v>0</v>
      </c>
      <c r="D816" s="120" t="str">
        <f>vlookup(A816,collexo_data!A:M,13,0)</f>
        <v>#N/A</v>
      </c>
      <c r="E816" s="122" t="str">
        <f>vlookup(A816,collexo_data!A:O,15,0)</f>
        <v>#N/A</v>
      </c>
      <c r="F816" s="120" t="str">
        <f>vlookup(A816,collexo_data!A:S,19,0)</f>
        <v>#N/A</v>
      </c>
      <c r="G816" s="122" t="str">
        <f>vlookup(A816,collexo_data!A:R,18,0)</f>
        <v>#N/A</v>
      </c>
      <c r="H816" s="122" t="str">
        <f t="shared" si="1"/>
        <v/>
      </c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  <c r="AB816" s="113"/>
      <c r="AC816" s="113"/>
      <c r="AD816" s="113"/>
      <c r="AE816" s="113"/>
      <c r="AF816" s="113"/>
    </row>
    <row r="817">
      <c r="A817" s="120"/>
      <c r="B817" s="113"/>
      <c r="C817" s="123">
        <f>MINIFS(collexo_data!B:B,collexo_data!A:A,A817)</f>
        <v>0</v>
      </c>
      <c r="D817" s="120" t="str">
        <f>vlookup(A817,collexo_data!A:M,13,0)</f>
        <v>#N/A</v>
      </c>
      <c r="E817" s="122" t="str">
        <f>vlookup(A817,collexo_data!A:O,15,0)</f>
        <v>#N/A</v>
      </c>
      <c r="F817" s="120" t="str">
        <f>vlookup(A817,collexo_data!A:S,19,0)</f>
        <v>#N/A</v>
      </c>
      <c r="G817" s="122" t="str">
        <f>vlookup(A817,collexo_data!A:R,18,0)</f>
        <v>#N/A</v>
      </c>
      <c r="H817" s="122" t="str">
        <f t="shared" si="1"/>
        <v/>
      </c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  <c r="AB817" s="113"/>
      <c r="AC817" s="113"/>
      <c r="AD817" s="113"/>
      <c r="AE817" s="113"/>
      <c r="AF817" s="113"/>
    </row>
    <row r="818">
      <c r="A818" s="120"/>
      <c r="B818" s="113"/>
      <c r="C818" s="123">
        <f>MINIFS(collexo_data!B:B,collexo_data!A:A,A818)</f>
        <v>0</v>
      </c>
      <c r="D818" s="120" t="str">
        <f>vlookup(A818,collexo_data!A:M,13,0)</f>
        <v>#N/A</v>
      </c>
      <c r="E818" s="122" t="str">
        <f>vlookup(A818,collexo_data!A:O,15,0)</f>
        <v>#N/A</v>
      </c>
      <c r="F818" s="120" t="str">
        <f>vlookup(A818,collexo_data!A:S,19,0)</f>
        <v>#N/A</v>
      </c>
      <c r="G818" s="122" t="str">
        <f>vlookup(A818,collexo_data!A:R,18,0)</f>
        <v>#N/A</v>
      </c>
      <c r="H818" s="122" t="str">
        <f t="shared" si="1"/>
        <v/>
      </c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  <c r="AB818" s="113"/>
      <c r="AC818" s="113"/>
      <c r="AD818" s="113"/>
      <c r="AE818" s="113"/>
      <c r="AF818" s="113"/>
    </row>
    <row r="819">
      <c r="A819" s="120"/>
      <c r="B819" s="113"/>
      <c r="C819" s="123">
        <f>MINIFS(collexo_data!B:B,collexo_data!A:A,A819)</f>
        <v>0</v>
      </c>
      <c r="D819" s="120" t="str">
        <f>vlookup(A819,collexo_data!A:M,13,0)</f>
        <v>#N/A</v>
      </c>
      <c r="E819" s="122" t="str">
        <f>vlookup(A819,collexo_data!A:O,15,0)</f>
        <v>#N/A</v>
      </c>
      <c r="F819" s="120" t="str">
        <f>vlookup(A819,collexo_data!A:S,19,0)</f>
        <v>#N/A</v>
      </c>
      <c r="G819" s="122" t="str">
        <f>vlookup(A819,collexo_data!A:R,18,0)</f>
        <v>#N/A</v>
      </c>
      <c r="H819" s="122" t="str">
        <f t="shared" si="1"/>
        <v/>
      </c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  <c r="AB819" s="113"/>
      <c r="AC819" s="113"/>
      <c r="AD819" s="113"/>
      <c r="AE819" s="113"/>
      <c r="AF819" s="113"/>
    </row>
    <row r="820">
      <c r="A820" s="120"/>
      <c r="B820" s="113"/>
      <c r="C820" s="123">
        <f>MINIFS(collexo_data!B:B,collexo_data!A:A,A820)</f>
        <v>0</v>
      </c>
      <c r="D820" s="120" t="str">
        <f>vlookup(A820,collexo_data!A:M,13,0)</f>
        <v>#N/A</v>
      </c>
      <c r="E820" s="122" t="str">
        <f>vlookup(A820,collexo_data!A:O,15,0)</f>
        <v>#N/A</v>
      </c>
      <c r="F820" s="120" t="str">
        <f>vlookup(A820,collexo_data!A:S,19,0)</f>
        <v>#N/A</v>
      </c>
      <c r="G820" s="122" t="str">
        <f>vlookup(A820,collexo_data!A:R,18,0)</f>
        <v>#N/A</v>
      </c>
      <c r="H820" s="122" t="str">
        <f t="shared" si="1"/>
        <v/>
      </c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  <c r="AB820" s="113"/>
      <c r="AC820" s="113"/>
      <c r="AD820" s="113"/>
      <c r="AE820" s="113"/>
      <c r="AF820" s="113"/>
    </row>
    <row r="821">
      <c r="A821" s="120"/>
      <c r="B821" s="113"/>
      <c r="C821" s="123">
        <f>MINIFS(collexo_data!B:B,collexo_data!A:A,A821)</f>
        <v>0</v>
      </c>
      <c r="D821" s="120" t="str">
        <f>vlookup(A821,collexo_data!A:M,13,0)</f>
        <v>#N/A</v>
      </c>
      <c r="E821" s="122" t="str">
        <f>vlookup(A821,collexo_data!A:O,15,0)</f>
        <v>#N/A</v>
      </c>
      <c r="F821" s="120" t="str">
        <f>vlookup(A821,collexo_data!A:S,19,0)</f>
        <v>#N/A</v>
      </c>
      <c r="G821" s="122" t="str">
        <f>vlookup(A821,collexo_data!A:R,18,0)</f>
        <v>#N/A</v>
      </c>
      <c r="H821" s="122" t="str">
        <f t="shared" si="1"/>
        <v/>
      </c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  <c r="AB821" s="113"/>
      <c r="AC821" s="113"/>
      <c r="AD821" s="113"/>
      <c r="AE821" s="113"/>
      <c r="AF821" s="113"/>
    </row>
    <row r="822">
      <c r="A822" s="120"/>
      <c r="B822" s="113"/>
      <c r="C822" s="123">
        <f>MINIFS(collexo_data!B:B,collexo_data!A:A,A822)</f>
        <v>0</v>
      </c>
      <c r="D822" s="120" t="str">
        <f>vlookup(A822,collexo_data!A:M,13,0)</f>
        <v>#N/A</v>
      </c>
      <c r="E822" s="122" t="str">
        <f>vlookup(A822,collexo_data!A:O,15,0)</f>
        <v>#N/A</v>
      </c>
      <c r="F822" s="120" t="str">
        <f>vlookup(A822,collexo_data!A:S,19,0)</f>
        <v>#N/A</v>
      </c>
      <c r="G822" s="122" t="str">
        <f>vlookup(A822,collexo_data!A:R,18,0)</f>
        <v>#N/A</v>
      </c>
      <c r="H822" s="122" t="str">
        <f t="shared" si="1"/>
        <v/>
      </c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  <c r="AB822" s="113"/>
      <c r="AC822" s="113"/>
      <c r="AD822" s="113"/>
      <c r="AE822" s="113"/>
      <c r="AF822" s="113"/>
    </row>
    <row r="823">
      <c r="A823" s="120"/>
      <c r="B823" s="113"/>
      <c r="C823" s="123">
        <f>MINIFS(collexo_data!B:B,collexo_data!A:A,A823)</f>
        <v>0</v>
      </c>
      <c r="D823" s="120" t="str">
        <f>vlookup(A823,collexo_data!A:M,13,0)</f>
        <v>#N/A</v>
      </c>
      <c r="E823" s="122" t="str">
        <f>vlookup(A823,collexo_data!A:O,15,0)</f>
        <v>#N/A</v>
      </c>
      <c r="F823" s="120" t="str">
        <f>vlookup(A823,collexo_data!A:S,19,0)</f>
        <v>#N/A</v>
      </c>
      <c r="G823" s="122" t="str">
        <f>vlookup(A823,collexo_data!A:R,18,0)</f>
        <v>#N/A</v>
      </c>
      <c r="H823" s="122" t="str">
        <f t="shared" si="1"/>
        <v/>
      </c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  <c r="AB823" s="113"/>
      <c r="AC823" s="113"/>
      <c r="AD823" s="113"/>
      <c r="AE823" s="113"/>
      <c r="AF823" s="113"/>
    </row>
    <row r="824">
      <c r="A824" s="120"/>
      <c r="B824" s="113"/>
      <c r="C824" s="123">
        <f>MINIFS(collexo_data!B:B,collexo_data!A:A,A824)</f>
        <v>0</v>
      </c>
      <c r="D824" s="120" t="str">
        <f>vlookup(A824,collexo_data!A:M,13,0)</f>
        <v>#N/A</v>
      </c>
      <c r="E824" s="122" t="str">
        <f>vlookup(A824,collexo_data!A:O,15,0)</f>
        <v>#N/A</v>
      </c>
      <c r="F824" s="120" t="str">
        <f>vlookup(A824,collexo_data!A:S,19,0)</f>
        <v>#N/A</v>
      </c>
      <c r="G824" s="122" t="str">
        <f>vlookup(A824,collexo_data!A:R,18,0)</f>
        <v>#N/A</v>
      </c>
      <c r="H824" s="122" t="str">
        <f t="shared" si="1"/>
        <v/>
      </c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  <c r="AB824" s="113"/>
      <c r="AC824" s="113"/>
      <c r="AD824" s="113"/>
      <c r="AE824" s="113"/>
      <c r="AF824" s="113"/>
    </row>
    <row r="825">
      <c r="A825" s="120"/>
      <c r="B825" s="113"/>
      <c r="C825" s="123">
        <f>MINIFS(collexo_data!B:B,collexo_data!A:A,A825)</f>
        <v>0</v>
      </c>
      <c r="D825" s="120" t="str">
        <f>vlookup(A825,collexo_data!A:M,13,0)</f>
        <v>#N/A</v>
      </c>
      <c r="E825" s="122" t="str">
        <f>vlookup(A825,collexo_data!A:O,15,0)</f>
        <v>#N/A</v>
      </c>
      <c r="F825" s="120" t="str">
        <f>vlookup(A825,collexo_data!A:S,19,0)</f>
        <v>#N/A</v>
      </c>
      <c r="G825" s="122" t="str">
        <f>vlookup(A825,collexo_data!A:R,18,0)</f>
        <v>#N/A</v>
      </c>
      <c r="H825" s="122" t="str">
        <f t="shared" si="1"/>
        <v/>
      </c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  <c r="AB825" s="113"/>
      <c r="AC825" s="113"/>
      <c r="AD825" s="113"/>
      <c r="AE825" s="113"/>
      <c r="AF825" s="113"/>
    </row>
    <row r="826">
      <c r="A826" s="120"/>
      <c r="B826" s="113"/>
      <c r="C826" s="123">
        <f>MINIFS(collexo_data!B:B,collexo_data!A:A,A826)</f>
        <v>0</v>
      </c>
      <c r="D826" s="120" t="str">
        <f>vlookup(A826,collexo_data!A:M,13,0)</f>
        <v>#N/A</v>
      </c>
      <c r="E826" s="122" t="str">
        <f>vlookup(A826,collexo_data!A:O,15,0)</f>
        <v>#N/A</v>
      </c>
      <c r="F826" s="120" t="str">
        <f>vlookup(A826,collexo_data!A:S,19,0)</f>
        <v>#N/A</v>
      </c>
      <c r="G826" s="122" t="str">
        <f>vlookup(A826,collexo_data!A:R,18,0)</f>
        <v>#N/A</v>
      </c>
      <c r="H826" s="122" t="str">
        <f t="shared" si="1"/>
        <v/>
      </c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  <c r="AB826" s="113"/>
      <c r="AC826" s="113"/>
      <c r="AD826" s="113"/>
      <c r="AE826" s="113"/>
      <c r="AF826" s="113"/>
    </row>
    <row r="827">
      <c r="A827" s="120"/>
      <c r="B827" s="113"/>
      <c r="C827" s="123">
        <f>MINIFS(collexo_data!B:B,collexo_data!A:A,A827)</f>
        <v>0</v>
      </c>
      <c r="D827" s="120" t="str">
        <f>vlookup(A827,collexo_data!A:M,13,0)</f>
        <v>#N/A</v>
      </c>
      <c r="E827" s="122" t="str">
        <f>vlookup(A827,collexo_data!A:O,15,0)</f>
        <v>#N/A</v>
      </c>
      <c r="F827" s="120" t="str">
        <f>vlookup(A827,collexo_data!A:S,19,0)</f>
        <v>#N/A</v>
      </c>
      <c r="G827" s="122" t="str">
        <f>vlookup(A827,collexo_data!A:R,18,0)</f>
        <v>#N/A</v>
      </c>
      <c r="H827" s="122" t="str">
        <f t="shared" si="1"/>
        <v/>
      </c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  <c r="AB827" s="113"/>
      <c r="AC827" s="113"/>
      <c r="AD827" s="113"/>
      <c r="AE827" s="113"/>
      <c r="AF827" s="113"/>
    </row>
    <row r="828">
      <c r="A828" s="120"/>
      <c r="B828" s="113"/>
      <c r="C828" s="123">
        <f>MINIFS(collexo_data!B:B,collexo_data!A:A,A828)</f>
        <v>0</v>
      </c>
      <c r="D828" s="120" t="str">
        <f>vlookup(A828,collexo_data!A:M,13,0)</f>
        <v>#N/A</v>
      </c>
      <c r="E828" s="122" t="str">
        <f>vlookup(A828,collexo_data!A:O,15,0)</f>
        <v>#N/A</v>
      </c>
      <c r="F828" s="120" t="str">
        <f>vlookup(A828,collexo_data!A:S,19,0)</f>
        <v>#N/A</v>
      </c>
      <c r="G828" s="122" t="str">
        <f>vlookup(A828,collexo_data!A:R,18,0)</f>
        <v>#N/A</v>
      </c>
      <c r="H828" s="122" t="str">
        <f t="shared" si="1"/>
        <v/>
      </c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  <c r="AB828" s="113"/>
      <c r="AC828" s="113"/>
      <c r="AD828" s="113"/>
      <c r="AE828" s="113"/>
      <c r="AF828" s="113"/>
    </row>
    <row r="829">
      <c r="A829" s="120"/>
      <c r="B829" s="113"/>
      <c r="C829" s="123">
        <f>MINIFS(collexo_data!B:B,collexo_data!A:A,A829)</f>
        <v>0</v>
      </c>
      <c r="D829" s="120" t="str">
        <f>vlookup(A829,collexo_data!A:M,13,0)</f>
        <v>#N/A</v>
      </c>
      <c r="E829" s="122" t="str">
        <f>vlookup(A829,collexo_data!A:O,15,0)</f>
        <v>#N/A</v>
      </c>
      <c r="F829" s="120" t="str">
        <f>vlookup(A829,collexo_data!A:S,19,0)</f>
        <v>#N/A</v>
      </c>
      <c r="G829" s="122" t="str">
        <f>vlookup(A829,collexo_data!A:R,18,0)</f>
        <v>#N/A</v>
      </c>
      <c r="H829" s="122" t="str">
        <f t="shared" si="1"/>
        <v/>
      </c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  <c r="AB829" s="113"/>
      <c r="AC829" s="113"/>
      <c r="AD829" s="113"/>
      <c r="AE829" s="113"/>
      <c r="AF829" s="113"/>
    </row>
    <row r="830">
      <c r="A830" s="120"/>
      <c r="B830" s="113"/>
      <c r="C830" s="123">
        <f>MINIFS(collexo_data!B:B,collexo_data!A:A,A830)</f>
        <v>0</v>
      </c>
      <c r="D830" s="120" t="str">
        <f>vlookup(A830,collexo_data!A:M,13,0)</f>
        <v>#N/A</v>
      </c>
      <c r="E830" s="122" t="str">
        <f>vlookup(A830,collexo_data!A:O,15,0)</f>
        <v>#N/A</v>
      </c>
      <c r="F830" s="120" t="str">
        <f>vlookup(A830,collexo_data!A:S,19,0)</f>
        <v>#N/A</v>
      </c>
      <c r="G830" s="122" t="str">
        <f>vlookup(A830,collexo_data!A:R,18,0)</f>
        <v>#N/A</v>
      </c>
      <c r="H830" s="122" t="str">
        <f t="shared" si="1"/>
        <v/>
      </c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  <c r="AB830" s="113"/>
      <c r="AC830" s="113"/>
      <c r="AD830" s="113"/>
      <c r="AE830" s="113"/>
      <c r="AF830" s="113"/>
    </row>
    <row r="831">
      <c r="A831" s="120"/>
      <c r="B831" s="113"/>
      <c r="C831" s="123">
        <f>MINIFS(collexo_data!B:B,collexo_data!A:A,A831)</f>
        <v>0</v>
      </c>
      <c r="D831" s="120" t="str">
        <f>vlookup(A831,collexo_data!A:M,13,0)</f>
        <v>#N/A</v>
      </c>
      <c r="E831" s="122" t="str">
        <f>vlookup(A831,collexo_data!A:O,15,0)</f>
        <v>#N/A</v>
      </c>
      <c r="F831" s="120" t="str">
        <f>vlookup(A831,collexo_data!A:S,19,0)</f>
        <v>#N/A</v>
      </c>
      <c r="G831" s="122" t="str">
        <f>vlookup(A831,collexo_data!A:R,18,0)</f>
        <v>#N/A</v>
      </c>
      <c r="H831" s="122" t="str">
        <f t="shared" si="1"/>
        <v/>
      </c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  <c r="AB831" s="113"/>
      <c r="AC831" s="113"/>
      <c r="AD831" s="113"/>
      <c r="AE831" s="113"/>
      <c r="AF831" s="113"/>
    </row>
    <row r="832">
      <c r="A832" s="120"/>
      <c r="B832" s="113"/>
      <c r="C832" s="123">
        <f>MINIFS(collexo_data!B:B,collexo_data!A:A,A832)</f>
        <v>0</v>
      </c>
      <c r="D832" s="120" t="str">
        <f>vlookup(A832,collexo_data!A:M,13,0)</f>
        <v>#N/A</v>
      </c>
      <c r="E832" s="122" t="str">
        <f>vlookup(A832,collexo_data!A:O,15,0)</f>
        <v>#N/A</v>
      </c>
      <c r="F832" s="120" t="str">
        <f>vlookup(A832,collexo_data!A:S,19,0)</f>
        <v>#N/A</v>
      </c>
      <c r="G832" s="122" t="str">
        <f>vlookup(A832,collexo_data!A:R,18,0)</f>
        <v>#N/A</v>
      </c>
      <c r="H832" s="122" t="str">
        <f t="shared" si="1"/>
        <v/>
      </c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  <c r="AB832" s="113"/>
      <c r="AC832" s="113"/>
      <c r="AD832" s="113"/>
      <c r="AE832" s="113"/>
      <c r="AF832" s="113"/>
    </row>
    <row r="833">
      <c r="A833" s="120"/>
      <c r="B833" s="113"/>
      <c r="C833" s="123">
        <f>MINIFS(collexo_data!B:B,collexo_data!A:A,A833)</f>
        <v>0</v>
      </c>
      <c r="D833" s="120" t="str">
        <f>vlookup(A833,collexo_data!A:M,13,0)</f>
        <v>#N/A</v>
      </c>
      <c r="E833" s="122" t="str">
        <f>vlookup(A833,collexo_data!A:O,15,0)</f>
        <v>#N/A</v>
      </c>
      <c r="F833" s="120" t="str">
        <f>vlookup(A833,collexo_data!A:S,19,0)</f>
        <v>#N/A</v>
      </c>
      <c r="G833" s="122" t="str">
        <f>vlookup(A833,collexo_data!A:R,18,0)</f>
        <v>#N/A</v>
      </c>
      <c r="H833" s="122" t="str">
        <f t="shared" si="1"/>
        <v/>
      </c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  <c r="AB833" s="113"/>
      <c r="AC833" s="113"/>
      <c r="AD833" s="113"/>
      <c r="AE833" s="113"/>
      <c r="AF833" s="113"/>
    </row>
    <row r="834">
      <c r="A834" s="120"/>
      <c r="B834" s="113"/>
      <c r="C834" s="123">
        <f>MINIFS(collexo_data!B:B,collexo_data!A:A,A834)</f>
        <v>0</v>
      </c>
      <c r="D834" s="120" t="str">
        <f>vlookup(A834,collexo_data!A:M,13,0)</f>
        <v>#N/A</v>
      </c>
      <c r="E834" s="122" t="str">
        <f>vlookup(A834,collexo_data!A:O,15,0)</f>
        <v>#N/A</v>
      </c>
      <c r="F834" s="120" t="str">
        <f>vlookup(A834,collexo_data!A:S,19,0)</f>
        <v>#N/A</v>
      </c>
      <c r="G834" s="122" t="str">
        <f>vlookup(A834,collexo_data!A:R,18,0)</f>
        <v>#N/A</v>
      </c>
      <c r="H834" s="122" t="str">
        <f t="shared" si="1"/>
        <v/>
      </c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  <c r="AB834" s="113"/>
      <c r="AC834" s="113"/>
      <c r="AD834" s="113"/>
      <c r="AE834" s="113"/>
      <c r="AF834" s="113"/>
    </row>
    <row r="835">
      <c r="A835" s="120"/>
      <c r="B835" s="113"/>
      <c r="C835" s="123">
        <f>MINIFS(collexo_data!B:B,collexo_data!A:A,A835)</f>
        <v>0</v>
      </c>
      <c r="D835" s="120" t="str">
        <f>vlookup(A835,collexo_data!A:M,13,0)</f>
        <v>#N/A</v>
      </c>
      <c r="E835" s="122" t="str">
        <f>vlookup(A835,collexo_data!A:O,15,0)</f>
        <v>#N/A</v>
      </c>
      <c r="F835" s="120" t="str">
        <f>vlookup(A835,collexo_data!A:S,19,0)</f>
        <v>#N/A</v>
      </c>
      <c r="G835" s="122" t="str">
        <f>vlookup(A835,collexo_data!A:R,18,0)</f>
        <v>#N/A</v>
      </c>
      <c r="H835" s="122" t="str">
        <f t="shared" si="1"/>
        <v/>
      </c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  <c r="AB835" s="113"/>
      <c r="AC835" s="113"/>
      <c r="AD835" s="113"/>
      <c r="AE835" s="113"/>
      <c r="AF835" s="113"/>
    </row>
    <row r="836">
      <c r="A836" s="120"/>
      <c r="B836" s="113"/>
      <c r="C836" s="123">
        <f>MINIFS(collexo_data!B:B,collexo_data!A:A,A836)</f>
        <v>0</v>
      </c>
      <c r="D836" s="120" t="str">
        <f>vlookup(A836,collexo_data!A:M,13,0)</f>
        <v>#N/A</v>
      </c>
      <c r="E836" s="122" t="str">
        <f>vlookup(A836,collexo_data!A:O,15,0)</f>
        <v>#N/A</v>
      </c>
      <c r="F836" s="120" t="str">
        <f>vlookup(A836,collexo_data!A:S,19,0)</f>
        <v>#N/A</v>
      </c>
      <c r="G836" s="122" t="str">
        <f>vlookup(A836,collexo_data!A:R,18,0)</f>
        <v>#N/A</v>
      </c>
      <c r="H836" s="122" t="str">
        <f t="shared" si="1"/>
        <v/>
      </c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  <c r="AB836" s="113"/>
      <c r="AC836" s="113"/>
      <c r="AD836" s="113"/>
      <c r="AE836" s="113"/>
      <c r="AF836" s="113"/>
    </row>
    <row r="837">
      <c r="A837" s="120"/>
      <c r="B837" s="113"/>
      <c r="C837" s="123">
        <f>MINIFS(collexo_data!B:B,collexo_data!A:A,A837)</f>
        <v>0</v>
      </c>
      <c r="D837" s="120" t="str">
        <f>vlookup(A837,collexo_data!A:M,13,0)</f>
        <v>#N/A</v>
      </c>
      <c r="E837" s="122" t="str">
        <f>vlookup(A837,collexo_data!A:O,15,0)</f>
        <v>#N/A</v>
      </c>
      <c r="F837" s="120" t="str">
        <f>vlookup(A837,collexo_data!A:S,19,0)</f>
        <v>#N/A</v>
      </c>
      <c r="G837" s="122" t="str">
        <f>vlookup(A837,collexo_data!A:R,18,0)</f>
        <v>#N/A</v>
      </c>
      <c r="H837" s="122" t="str">
        <f t="shared" si="1"/>
        <v/>
      </c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  <c r="AB837" s="113"/>
      <c r="AC837" s="113"/>
      <c r="AD837" s="113"/>
      <c r="AE837" s="113"/>
      <c r="AF837" s="113"/>
    </row>
    <row r="838">
      <c r="A838" s="120"/>
      <c r="B838" s="113"/>
      <c r="C838" s="123">
        <f>MINIFS(collexo_data!B:B,collexo_data!A:A,A838)</f>
        <v>0</v>
      </c>
      <c r="D838" s="120" t="str">
        <f>vlookup(A838,collexo_data!A:M,13,0)</f>
        <v>#N/A</v>
      </c>
      <c r="E838" s="122" t="str">
        <f>vlookup(A838,collexo_data!A:O,15,0)</f>
        <v>#N/A</v>
      </c>
      <c r="F838" s="120" t="str">
        <f>vlookup(A838,collexo_data!A:S,19,0)</f>
        <v>#N/A</v>
      </c>
      <c r="G838" s="122" t="str">
        <f>vlookup(A838,collexo_data!A:R,18,0)</f>
        <v>#N/A</v>
      </c>
      <c r="H838" s="122" t="str">
        <f t="shared" si="1"/>
        <v/>
      </c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  <c r="AB838" s="113"/>
      <c r="AC838" s="113"/>
      <c r="AD838" s="113"/>
      <c r="AE838" s="113"/>
      <c r="AF838" s="113"/>
    </row>
    <row r="839">
      <c r="A839" s="120"/>
      <c r="B839" s="113"/>
      <c r="C839" s="123">
        <f>MINIFS(collexo_data!B:B,collexo_data!A:A,A839)</f>
        <v>0</v>
      </c>
      <c r="D839" s="120" t="str">
        <f>vlookup(A839,collexo_data!A:M,13,0)</f>
        <v>#N/A</v>
      </c>
      <c r="E839" s="122" t="str">
        <f>vlookup(A839,collexo_data!A:O,15,0)</f>
        <v>#N/A</v>
      </c>
      <c r="F839" s="120" t="str">
        <f>vlookup(A839,collexo_data!A:S,19,0)</f>
        <v>#N/A</v>
      </c>
      <c r="G839" s="122" t="str">
        <f>vlookup(A839,collexo_data!A:R,18,0)</f>
        <v>#N/A</v>
      </c>
      <c r="H839" s="122" t="str">
        <f t="shared" si="1"/>
        <v/>
      </c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  <c r="AB839" s="113"/>
      <c r="AC839" s="113"/>
      <c r="AD839" s="113"/>
      <c r="AE839" s="113"/>
      <c r="AF839" s="113"/>
    </row>
    <row r="840">
      <c r="A840" s="120"/>
      <c r="B840" s="113"/>
      <c r="C840" s="123">
        <f>MINIFS(collexo_data!B:B,collexo_data!A:A,A840)</f>
        <v>0</v>
      </c>
      <c r="D840" s="120" t="str">
        <f>vlookup(A840,collexo_data!A:M,13,0)</f>
        <v>#N/A</v>
      </c>
      <c r="E840" s="122" t="str">
        <f>vlookup(A840,collexo_data!A:O,15,0)</f>
        <v>#N/A</v>
      </c>
      <c r="F840" s="120" t="str">
        <f>vlookup(A840,collexo_data!A:S,19,0)</f>
        <v>#N/A</v>
      </c>
      <c r="G840" s="122" t="str">
        <f>vlookup(A840,collexo_data!A:R,18,0)</f>
        <v>#N/A</v>
      </c>
      <c r="H840" s="122" t="str">
        <f t="shared" si="1"/>
        <v/>
      </c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  <c r="AB840" s="113"/>
      <c r="AC840" s="113"/>
      <c r="AD840" s="113"/>
      <c r="AE840" s="113"/>
      <c r="AF840" s="113"/>
    </row>
    <row r="841">
      <c r="A841" s="120"/>
      <c r="B841" s="113"/>
      <c r="C841" s="123">
        <f>MINIFS(collexo_data!B:B,collexo_data!A:A,A841)</f>
        <v>0</v>
      </c>
      <c r="D841" s="120" t="str">
        <f>vlookup(A841,collexo_data!A:M,13,0)</f>
        <v>#N/A</v>
      </c>
      <c r="E841" s="122" t="str">
        <f>vlookup(A841,collexo_data!A:O,15,0)</f>
        <v>#N/A</v>
      </c>
      <c r="F841" s="120" t="str">
        <f>vlookup(A841,collexo_data!A:S,19,0)</f>
        <v>#N/A</v>
      </c>
      <c r="G841" s="122" t="str">
        <f>vlookup(A841,collexo_data!A:R,18,0)</f>
        <v>#N/A</v>
      </c>
      <c r="H841" s="122" t="str">
        <f t="shared" si="1"/>
        <v/>
      </c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  <c r="AB841" s="113"/>
      <c r="AC841" s="113"/>
      <c r="AD841" s="113"/>
      <c r="AE841" s="113"/>
      <c r="AF841" s="113"/>
    </row>
    <row r="842">
      <c r="A842" s="120"/>
      <c r="B842" s="113"/>
      <c r="C842" s="123">
        <f>MINIFS(collexo_data!B:B,collexo_data!A:A,A842)</f>
        <v>0</v>
      </c>
      <c r="D842" s="120" t="str">
        <f>vlookup(A842,collexo_data!A:M,13,0)</f>
        <v>#N/A</v>
      </c>
      <c r="E842" s="122" t="str">
        <f>vlookup(A842,collexo_data!A:O,15,0)</f>
        <v>#N/A</v>
      </c>
      <c r="F842" s="120" t="str">
        <f>vlookup(A842,collexo_data!A:S,19,0)</f>
        <v>#N/A</v>
      </c>
      <c r="G842" s="122" t="str">
        <f>vlookup(A842,collexo_data!A:R,18,0)</f>
        <v>#N/A</v>
      </c>
      <c r="H842" s="122" t="str">
        <f t="shared" si="1"/>
        <v/>
      </c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  <c r="AB842" s="113"/>
      <c r="AC842" s="113"/>
      <c r="AD842" s="113"/>
      <c r="AE842" s="113"/>
      <c r="AF842" s="113"/>
    </row>
    <row r="843">
      <c r="A843" s="120"/>
      <c r="B843" s="113"/>
      <c r="C843" s="123">
        <f>MINIFS(collexo_data!B:B,collexo_data!A:A,A843)</f>
        <v>0</v>
      </c>
      <c r="D843" s="120" t="str">
        <f>vlookup(A843,collexo_data!A:M,13,0)</f>
        <v>#N/A</v>
      </c>
      <c r="E843" s="122" t="str">
        <f>vlookup(A843,collexo_data!A:O,15,0)</f>
        <v>#N/A</v>
      </c>
      <c r="F843" s="120" t="str">
        <f>vlookup(A843,collexo_data!A:S,19,0)</f>
        <v>#N/A</v>
      </c>
      <c r="G843" s="122" t="str">
        <f>vlookup(A843,collexo_data!A:R,18,0)</f>
        <v>#N/A</v>
      </c>
      <c r="H843" s="122" t="str">
        <f t="shared" si="1"/>
        <v/>
      </c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  <c r="AB843" s="113"/>
      <c r="AC843" s="113"/>
      <c r="AD843" s="113"/>
      <c r="AE843" s="113"/>
      <c r="AF843" s="113"/>
    </row>
    <row r="844">
      <c r="A844" s="120"/>
      <c r="B844" s="113"/>
      <c r="C844" s="123">
        <f>MINIFS(collexo_data!B:B,collexo_data!A:A,A844)</f>
        <v>0</v>
      </c>
      <c r="D844" s="120" t="str">
        <f>vlookup(A844,collexo_data!A:M,13,0)</f>
        <v>#N/A</v>
      </c>
      <c r="E844" s="122" t="str">
        <f>vlookup(A844,collexo_data!A:O,15,0)</f>
        <v>#N/A</v>
      </c>
      <c r="F844" s="120" t="str">
        <f>vlookup(A844,collexo_data!A:S,19,0)</f>
        <v>#N/A</v>
      </c>
      <c r="G844" s="122" t="str">
        <f>vlookup(A844,collexo_data!A:R,18,0)</f>
        <v>#N/A</v>
      </c>
      <c r="H844" s="122" t="str">
        <f t="shared" si="1"/>
        <v/>
      </c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  <c r="AB844" s="113"/>
      <c r="AC844" s="113"/>
      <c r="AD844" s="113"/>
      <c r="AE844" s="113"/>
      <c r="AF844" s="113"/>
    </row>
    <row r="845">
      <c r="A845" s="120"/>
      <c r="B845" s="113"/>
      <c r="C845" s="123">
        <f>MINIFS(collexo_data!B:B,collexo_data!A:A,A845)</f>
        <v>0</v>
      </c>
      <c r="D845" s="120" t="str">
        <f>vlookup(A845,collexo_data!A:M,13,0)</f>
        <v>#N/A</v>
      </c>
      <c r="E845" s="122" t="str">
        <f>vlookup(A845,collexo_data!A:O,15,0)</f>
        <v>#N/A</v>
      </c>
      <c r="F845" s="120" t="str">
        <f>vlookup(A845,collexo_data!A:S,19,0)</f>
        <v>#N/A</v>
      </c>
      <c r="G845" s="122" t="str">
        <f>vlookup(A845,collexo_data!A:R,18,0)</f>
        <v>#N/A</v>
      </c>
      <c r="H845" s="122" t="str">
        <f t="shared" si="1"/>
        <v/>
      </c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  <c r="AB845" s="113"/>
      <c r="AC845" s="113"/>
      <c r="AD845" s="113"/>
      <c r="AE845" s="113"/>
      <c r="AF845" s="113"/>
    </row>
    <row r="846">
      <c r="A846" s="120"/>
      <c r="B846" s="113"/>
      <c r="C846" s="123">
        <f>MINIFS(collexo_data!B:B,collexo_data!A:A,A846)</f>
        <v>0</v>
      </c>
      <c r="D846" s="120" t="str">
        <f>vlookup(A846,collexo_data!A:M,13,0)</f>
        <v>#N/A</v>
      </c>
      <c r="E846" s="122" t="str">
        <f>vlookup(A846,collexo_data!A:O,15,0)</f>
        <v>#N/A</v>
      </c>
      <c r="F846" s="120" t="str">
        <f>vlookup(A846,collexo_data!A:S,19,0)</f>
        <v>#N/A</v>
      </c>
      <c r="G846" s="122" t="str">
        <f>vlookup(A846,collexo_data!A:R,18,0)</f>
        <v>#N/A</v>
      </c>
      <c r="H846" s="122" t="str">
        <f t="shared" si="1"/>
        <v/>
      </c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  <c r="AB846" s="113"/>
      <c r="AC846" s="113"/>
      <c r="AD846" s="113"/>
      <c r="AE846" s="113"/>
      <c r="AF846" s="113"/>
    </row>
    <row r="847">
      <c r="A847" s="120"/>
      <c r="B847" s="113"/>
      <c r="C847" s="123">
        <f>MINIFS(collexo_data!B:B,collexo_data!A:A,A847)</f>
        <v>0</v>
      </c>
      <c r="D847" s="120" t="str">
        <f>vlookup(A847,collexo_data!A:M,13,0)</f>
        <v>#N/A</v>
      </c>
      <c r="E847" s="122" t="str">
        <f>vlookup(A847,collexo_data!A:O,15,0)</f>
        <v>#N/A</v>
      </c>
      <c r="F847" s="120" t="str">
        <f>vlookup(A847,collexo_data!A:S,19,0)</f>
        <v>#N/A</v>
      </c>
      <c r="G847" s="122" t="str">
        <f>vlookup(A847,collexo_data!A:R,18,0)</f>
        <v>#N/A</v>
      </c>
      <c r="H847" s="122" t="str">
        <f t="shared" si="1"/>
        <v/>
      </c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  <c r="AB847" s="113"/>
      <c r="AC847" s="113"/>
      <c r="AD847" s="113"/>
      <c r="AE847" s="113"/>
      <c r="AF847" s="113"/>
    </row>
    <row r="848">
      <c r="A848" s="120"/>
      <c r="B848" s="113"/>
      <c r="C848" s="123">
        <f>MINIFS(collexo_data!B:B,collexo_data!A:A,A848)</f>
        <v>0</v>
      </c>
      <c r="D848" s="120" t="str">
        <f>vlookup(A848,collexo_data!A:M,13,0)</f>
        <v>#N/A</v>
      </c>
      <c r="E848" s="122" t="str">
        <f>vlookup(A848,collexo_data!A:O,15,0)</f>
        <v>#N/A</v>
      </c>
      <c r="F848" s="120" t="str">
        <f>vlookup(A848,collexo_data!A:S,19,0)</f>
        <v>#N/A</v>
      </c>
      <c r="G848" s="122" t="str">
        <f>vlookup(A848,collexo_data!A:R,18,0)</f>
        <v>#N/A</v>
      </c>
      <c r="H848" s="122" t="str">
        <f t="shared" si="1"/>
        <v/>
      </c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  <c r="AB848" s="113"/>
      <c r="AC848" s="113"/>
      <c r="AD848" s="113"/>
      <c r="AE848" s="113"/>
      <c r="AF848" s="113"/>
    </row>
    <row r="849">
      <c r="A849" s="120"/>
      <c r="B849" s="113"/>
      <c r="C849" s="123">
        <f>MINIFS(collexo_data!B:B,collexo_data!A:A,A849)</f>
        <v>0</v>
      </c>
      <c r="D849" s="120" t="str">
        <f>vlookup(A849,collexo_data!A:M,13,0)</f>
        <v>#N/A</v>
      </c>
      <c r="E849" s="122" t="str">
        <f>vlookup(A849,collexo_data!A:O,15,0)</f>
        <v>#N/A</v>
      </c>
      <c r="F849" s="120" t="str">
        <f>vlookup(A849,collexo_data!A:S,19,0)</f>
        <v>#N/A</v>
      </c>
      <c r="G849" s="122" t="str">
        <f>vlookup(A849,collexo_data!A:R,18,0)</f>
        <v>#N/A</v>
      </c>
      <c r="H849" s="122" t="str">
        <f t="shared" si="1"/>
        <v/>
      </c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  <c r="AB849" s="113"/>
      <c r="AC849" s="113"/>
      <c r="AD849" s="113"/>
      <c r="AE849" s="113"/>
      <c r="AF849" s="113"/>
    </row>
    <row r="850">
      <c r="A850" s="120"/>
      <c r="B850" s="113"/>
      <c r="C850" s="123">
        <f>MINIFS(collexo_data!B:B,collexo_data!A:A,A850)</f>
        <v>0</v>
      </c>
      <c r="D850" s="120" t="str">
        <f>vlookup(A850,collexo_data!A:M,13,0)</f>
        <v>#N/A</v>
      </c>
      <c r="E850" s="122" t="str">
        <f>vlookup(A850,collexo_data!A:O,15,0)</f>
        <v>#N/A</v>
      </c>
      <c r="F850" s="120" t="str">
        <f>vlookup(A850,collexo_data!A:S,19,0)</f>
        <v>#N/A</v>
      </c>
      <c r="G850" s="122" t="str">
        <f>vlookup(A850,collexo_data!A:R,18,0)</f>
        <v>#N/A</v>
      </c>
      <c r="H850" s="122" t="str">
        <f t="shared" si="1"/>
        <v/>
      </c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  <c r="AB850" s="113"/>
      <c r="AC850" s="113"/>
      <c r="AD850" s="113"/>
      <c r="AE850" s="113"/>
      <c r="AF850" s="113"/>
    </row>
    <row r="851">
      <c r="A851" s="120"/>
      <c r="B851" s="113"/>
      <c r="C851" s="123">
        <f>MINIFS(collexo_data!B:B,collexo_data!A:A,A851)</f>
        <v>0</v>
      </c>
      <c r="D851" s="120" t="str">
        <f>vlookup(A851,collexo_data!A:M,13,0)</f>
        <v>#N/A</v>
      </c>
      <c r="E851" s="122" t="str">
        <f>vlookup(A851,collexo_data!A:O,15,0)</f>
        <v>#N/A</v>
      </c>
      <c r="F851" s="120" t="str">
        <f>vlookup(A851,collexo_data!A:S,19,0)</f>
        <v>#N/A</v>
      </c>
      <c r="G851" s="122" t="str">
        <f>vlookup(A851,collexo_data!A:R,18,0)</f>
        <v>#N/A</v>
      </c>
      <c r="H851" s="122" t="str">
        <f t="shared" si="1"/>
        <v/>
      </c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  <c r="AB851" s="113"/>
      <c r="AC851" s="113"/>
      <c r="AD851" s="113"/>
      <c r="AE851" s="113"/>
      <c r="AF851" s="113"/>
    </row>
    <row r="852">
      <c r="A852" s="120"/>
      <c r="B852" s="113"/>
      <c r="C852" s="123">
        <f>MINIFS(collexo_data!B:B,collexo_data!A:A,A852)</f>
        <v>0</v>
      </c>
      <c r="D852" s="120" t="str">
        <f>vlookup(A852,collexo_data!A:M,13,0)</f>
        <v>#N/A</v>
      </c>
      <c r="E852" s="122" t="str">
        <f>vlookup(A852,collexo_data!A:O,15,0)</f>
        <v>#N/A</v>
      </c>
      <c r="F852" s="120" t="str">
        <f>vlookup(A852,collexo_data!A:S,19,0)</f>
        <v>#N/A</v>
      </c>
      <c r="G852" s="122" t="str">
        <f>vlookup(A852,collexo_data!A:R,18,0)</f>
        <v>#N/A</v>
      </c>
      <c r="H852" s="122" t="str">
        <f t="shared" si="1"/>
        <v/>
      </c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  <c r="AB852" s="113"/>
      <c r="AC852" s="113"/>
      <c r="AD852" s="113"/>
      <c r="AE852" s="113"/>
      <c r="AF852" s="113"/>
    </row>
    <row r="853">
      <c r="A853" s="120"/>
      <c r="B853" s="113"/>
      <c r="C853" s="123">
        <f>MINIFS(collexo_data!B:B,collexo_data!A:A,A853)</f>
        <v>0</v>
      </c>
      <c r="D853" s="120" t="str">
        <f>vlookup(A853,collexo_data!A:M,13,0)</f>
        <v>#N/A</v>
      </c>
      <c r="E853" s="122" t="str">
        <f>vlookup(A853,collexo_data!A:O,15,0)</f>
        <v>#N/A</v>
      </c>
      <c r="F853" s="120" t="str">
        <f>vlookup(A853,collexo_data!A:S,19,0)</f>
        <v>#N/A</v>
      </c>
      <c r="G853" s="122" t="str">
        <f>vlookup(A853,collexo_data!A:R,18,0)</f>
        <v>#N/A</v>
      </c>
      <c r="H853" s="122" t="str">
        <f t="shared" si="1"/>
        <v/>
      </c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  <c r="AB853" s="113"/>
      <c r="AC853" s="113"/>
      <c r="AD853" s="113"/>
      <c r="AE853" s="113"/>
      <c r="AF853" s="113"/>
    </row>
    <row r="854">
      <c r="A854" s="120"/>
      <c r="B854" s="113"/>
      <c r="C854" s="123">
        <f>MINIFS(collexo_data!B:B,collexo_data!A:A,A854)</f>
        <v>0</v>
      </c>
      <c r="D854" s="120" t="str">
        <f>vlookup(A854,collexo_data!A:M,13,0)</f>
        <v>#N/A</v>
      </c>
      <c r="E854" s="122" t="str">
        <f>vlookup(A854,collexo_data!A:O,15,0)</f>
        <v>#N/A</v>
      </c>
      <c r="F854" s="120" t="str">
        <f>vlookup(A854,collexo_data!A:S,19,0)</f>
        <v>#N/A</v>
      </c>
      <c r="G854" s="122" t="str">
        <f>vlookup(A854,collexo_data!A:R,18,0)</f>
        <v>#N/A</v>
      </c>
      <c r="H854" s="122" t="str">
        <f t="shared" si="1"/>
        <v/>
      </c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  <c r="AB854" s="113"/>
      <c r="AC854" s="113"/>
      <c r="AD854" s="113"/>
      <c r="AE854" s="113"/>
      <c r="AF854" s="113"/>
    </row>
    <row r="855">
      <c r="A855" s="120"/>
      <c r="B855" s="113"/>
      <c r="C855" s="123">
        <f>MINIFS(collexo_data!B:B,collexo_data!A:A,A855)</f>
        <v>0</v>
      </c>
      <c r="D855" s="120" t="str">
        <f>vlookup(A855,collexo_data!A:M,13,0)</f>
        <v>#N/A</v>
      </c>
      <c r="E855" s="122" t="str">
        <f>vlookup(A855,collexo_data!A:O,15,0)</f>
        <v>#N/A</v>
      </c>
      <c r="F855" s="120" t="str">
        <f>vlookup(A855,collexo_data!A:S,19,0)</f>
        <v>#N/A</v>
      </c>
      <c r="G855" s="122" t="str">
        <f>vlookup(A855,collexo_data!A:R,18,0)</f>
        <v>#N/A</v>
      </c>
      <c r="H855" s="122" t="str">
        <f t="shared" si="1"/>
        <v/>
      </c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  <c r="AB855" s="113"/>
      <c r="AC855" s="113"/>
      <c r="AD855" s="113"/>
      <c r="AE855" s="113"/>
      <c r="AF855" s="113"/>
    </row>
    <row r="856">
      <c r="A856" s="120"/>
      <c r="B856" s="113"/>
      <c r="C856" s="123">
        <f>MINIFS(collexo_data!B:B,collexo_data!A:A,A856)</f>
        <v>0</v>
      </c>
      <c r="D856" s="120" t="str">
        <f>vlookup(A856,collexo_data!A:M,13,0)</f>
        <v>#N/A</v>
      </c>
      <c r="E856" s="122" t="str">
        <f>vlookup(A856,collexo_data!A:O,15,0)</f>
        <v>#N/A</v>
      </c>
      <c r="F856" s="120" t="str">
        <f>vlookup(A856,collexo_data!A:S,19,0)</f>
        <v>#N/A</v>
      </c>
      <c r="G856" s="122" t="str">
        <f>vlookup(A856,collexo_data!A:R,18,0)</f>
        <v>#N/A</v>
      </c>
      <c r="H856" s="122" t="str">
        <f t="shared" si="1"/>
        <v/>
      </c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  <c r="AB856" s="113"/>
      <c r="AC856" s="113"/>
      <c r="AD856" s="113"/>
      <c r="AE856" s="113"/>
      <c r="AF856" s="113"/>
    </row>
    <row r="857">
      <c r="A857" s="120"/>
      <c r="B857" s="113"/>
      <c r="C857" s="123">
        <f>MINIFS(collexo_data!B:B,collexo_data!A:A,A857)</f>
        <v>0</v>
      </c>
      <c r="D857" s="120" t="str">
        <f>vlookup(A857,collexo_data!A:M,13,0)</f>
        <v>#N/A</v>
      </c>
      <c r="E857" s="122" t="str">
        <f>vlookup(A857,collexo_data!A:O,15,0)</f>
        <v>#N/A</v>
      </c>
      <c r="F857" s="120" t="str">
        <f>vlookup(A857,collexo_data!A:S,19,0)</f>
        <v>#N/A</v>
      </c>
      <c r="G857" s="122" t="str">
        <f>vlookup(A857,collexo_data!A:R,18,0)</f>
        <v>#N/A</v>
      </c>
      <c r="H857" s="122" t="str">
        <f t="shared" si="1"/>
        <v/>
      </c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  <c r="AB857" s="113"/>
      <c r="AC857" s="113"/>
      <c r="AD857" s="113"/>
      <c r="AE857" s="113"/>
      <c r="AF857" s="113"/>
    </row>
    <row r="858">
      <c r="A858" s="120"/>
      <c r="B858" s="113"/>
      <c r="C858" s="123">
        <f>MINIFS(collexo_data!B:B,collexo_data!A:A,A858)</f>
        <v>0</v>
      </c>
      <c r="D858" s="120" t="str">
        <f>vlookup(A858,collexo_data!A:M,13,0)</f>
        <v>#N/A</v>
      </c>
      <c r="E858" s="122" t="str">
        <f>vlookup(A858,collexo_data!A:O,15,0)</f>
        <v>#N/A</v>
      </c>
      <c r="F858" s="120" t="str">
        <f>vlookup(A858,collexo_data!A:S,19,0)</f>
        <v>#N/A</v>
      </c>
      <c r="G858" s="122" t="str">
        <f>vlookup(A858,collexo_data!A:R,18,0)</f>
        <v>#N/A</v>
      </c>
      <c r="H858" s="122" t="str">
        <f t="shared" si="1"/>
        <v/>
      </c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  <c r="AB858" s="113"/>
      <c r="AC858" s="113"/>
      <c r="AD858" s="113"/>
      <c r="AE858" s="113"/>
      <c r="AF858" s="113"/>
    </row>
    <row r="859">
      <c r="A859" s="120"/>
      <c r="B859" s="113"/>
      <c r="C859" s="123">
        <f>MINIFS(collexo_data!B:B,collexo_data!A:A,A859)</f>
        <v>0</v>
      </c>
      <c r="D859" s="120" t="str">
        <f>vlookup(A859,collexo_data!A:M,13,0)</f>
        <v>#N/A</v>
      </c>
      <c r="E859" s="122" t="str">
        <f>vlookup(A859,collexo_data!A:O,15,0)</f>
        <v>#N/A</v>
      </c>
      <c r="F859" s="120" t="str">
        <f>vlookup(A859,collexo_data!A:S,19,0)</f>
        <v>#N/A</v>
      </c>
      <c r="G859" s="122" t="str">
        <f>vlookup(A859,collexo_data!A:R,18,0)</f>
        <v>#N/A</v>
      </c>
      <c r="H859" s="122" t="str">
        <f t="shared" si="1"/>
        <v/>
      </c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  <c r="AB859" s="113"/>
      <c r="AC859" s="113"/>
      <c r="AD859" s="113"/>
      <c r="AE859" s="113"/>
      <c r="AF859" s="113"/>
    </row>
    <row r="860">
      <c r="A860" s="120"/>
      <c r="B860" s="113"/>
      <c r="C860" s="123">
        <f>MINIFS(collexo_data!B:B,collexo_data!A:A,A860)</f>
        <v>0</v>
      </c>
      <c r="D860" s="120" t="str">
        <f>vlookup(A860,collexo_data!A:M,13,0)</f>
        <v>#N/A</v>
      </c>
      <c r="E860" s="122" t="str">
        <f>vlookup(A860,collexo_data!A:O,15,0)</f>
        <v>#N/A</v>
      </c>
      <c r="F860" s="120" t="str">
        <f>vlookup(A860,collexo_data!A:S,19,0)</f>
        <v>#N/A</v>
      </c>
      <c r="G860" s="122" t="str">
        <f>vlookup(A860,collexo_data!A:R,18,0)</f>
        <v>#N/A</v>
      </c>
      <c r="H860" s="122" t="str">
        <f t="shared" si="1"/>
        <v/>
      </c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  <c r="AB860" s="113"/>
      <c r="AC860" s="113"/>
      <c r="AD860" s="113"/>
      <c r="AE860" s="113"/>
      <c r="AF860" s="113"/>
    </row>
    <row r="861">
      <c r="A861" s="120"/>
      <c r="B861" s="113"/>
      <c r="C861" s="123">
        <f>MINIFS(collexo_data!B:B,collexo_data!A:A,A861)</f>
        <v>0</v>
      </c>
      <c r="D861" s="120" t="str">
        <f>vlookup(A861,collexo_data!A:M,13,0)</f>
        <v>#N/A</v>
      </c>
      <c r="E861" s="122" t="str">
        <f>vlookup(A861,collexo_data!A:O,15,0)</f>
        <v>#N/A</v>
      </c>
      <c r="F861" s="120" t="str">
        <f>vlookup(A861,collexo_data!A:S,19,0)</f>
        <v>#N/A</v>
      </c>
      <c r="G861" s="122" t="str">
        <f>vlookup(A861,collexo_data!A:R,18,0)</f>
        <v>#N/A</v>
      </c>
      <c r="H861" s="122" t="str">
        <f t="shared" si="1"/>
        <v/>
      </c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  <c r="AB861" s="113"/>
      <c r="AC861" s="113"/>
      <c r="AD861" s="113"/>
      <c r="AE861" s="113"/>
      <c r="AF861" s="113"/>
    </row>
    <row r="862">
      <c r="A862" s="120"/>
      <c r="B862" s="113"/>
      <c r="C862" s="123">
        <f>MINIFS(collexo_data!B:B,collexo_data!A:A,A862)</f>
        <v>0</v>
      </c>
      <c r="D862" s="120" t="str">
        <f>vlookup(A862,collexo_data!A:M,13,0)</f>
        <v>#N/A</v>
      </c>
      <c r="E862" s="122" t="str">
        <f>vlookup(A862,collexo_data!A:O,15,0)</f>
        <v>#N/A</v>
      </c>
      <c r="F862" s="120" t="str">
        <f>vlookup(A862,collexo_data!A:S,19,0)</f>
        <v>#N/A</v>
      </c>
      <c r="G862" s="122" t="str">
        <f>vlookup(A862,collexo_data!A:R,18,0)</f>
        <v>#N/A</v>
      </c>
      <c r="H862" s="122" t="str">
        <f t="shared" si="1"/>
        <v/>
      </c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  <c r="AB862" s="113"/>
      <c r="AC862" s="113"/>
      <c r="AD862" s="113"/>
      <c r="AE862" s="113"/>
      <c r="AF862" s="113"/>
    </row>
    <row r="863">
      <c r="A863" s="120"/>
      <c r="B863" s="113"/>
      <c r="C863" s="123">
        <f>MINIFS(collexo_data!B:B,collexo_data!A:A,A863)</f>
        <v>0</v>
      </c>
      <c r="D863" s="120" t="str">
        <f>vlookup(A863,collexo_data!A:M,13,0)</f>
        <v>#N/A</v>
      </c>
      <c r="E863" s="122" t="str">
        <f>vlookup(A863,collexo_data!A:O,15,0)</f>
        <v>#N/A</v>
      </c>
      <c r="F863" s="120" t="str">
        <f>vlookup(A863,collexo_data!A:S,19,0)</f>
        <v>#N/A</v>
      </c>
      <c r="G863" s="122" t="str">
        <f>vlookup(A863,collexo_data!A:R,18,0)</f>
        <v>#N/A</v>
      </c>
      <c r="H863" s="122" t="str">
        <f t="shared" si="1"/>
        <v/>
      </c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  <c r="AB863" s="113"/>
      <c r="AC863" s="113"/>
      <c r="AD863" s="113"/>
      <c r="AE863" s="113"/>
      <c r="AF863" s="113"/>
    </row>
    <row r="864">
      <c r="A864" s="120"/>
      <c r="B864" s="113"/>
      <c r="C864" s="123">
        <f>MINIFS(collexo_data!B:B,collexo_data!A:A,A864)</f>
        <v>0</v>
      </c>
      <c r="D864" s="120" t="str">
        <f>vlookup(A864,collexo_data!A:M,13,0)</f>
        <v>#N/A</v>
      </c>
      <c r="E864" s="122" t="str">
        <f>vlookup(A864,collexo_data!A:O,15,0)</f>
        <v>#N/A</v>
      </c>
      <c r="F864" s="120" t="str">
        <f>vlookup(A864,collexo_data!A:S,19,0)</f>
        <v>#N/A</v>
      </c>
      <c r="G864" s="122" t="str">
        <f>vlookup(A864,collexo_data!A:R,18,0)</f>
        <v>#N/A</v>
      </c>
      <c r="H864" s="122" t="str">
        <f t="shared" si="1"/>
        <v/>
      </c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  <c r="AB864" s="113"/>
      <c r="AC864" s="113"/>
      <c r="AD864" s="113"/>
      <c r="AE864" s="113"/>
      <c r="AF864" s="113"/>
    </row>
    <row r="865">
      <c r="A865" s="120"/>
      <c r="B865" s="113"/>
      <c r="C865" s="123">
        <f>MINIFS(collexo_data!B:B,collexo_data!A:A,A865)</f>
        <v>0</v>
      </c>
      <c r="D865" s="120" t="str">
        <f>vlookup(A865,collexo_data!A:M,13,0)</f>
        <v>#N/A</v>
      </c>
      <c r="E865" s="122" t="str">
        <f>vlookup(A865,collexo_data!A:O,15,0)</f>
        <v>#N/A</v>
      </c>
      <c r="F865" s="120" t="str">
        <f>vlookup(A865,collexo_data!A:S,19,0)</f>
        <v>#N/A</v>
      </c>
      <c r="G865" s="122" t="str">
        <f>vlookup(A865,collexo_data!A:R,18,0)</f>
        <v>#N/A</v>
      </c>
      <c r="H865" s="122" t="str">
        <f t="shared" si="1"/>
        <v/>
      </c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  <c r="AB865" s="113"/>
      <c r="AC865" s="113"/>
      <c r="AD865" s="113"/>
      <c r="AE865" s="113"/>
      <c r="AF865" s="113"/>
    </row>
    <row r="866">
      <c r="A866" s="120"/>
      <c r="B866" s="113"/>
      <c r="C866" s="123">
        <f>MINIFS(collexo_data!B:B,collexo_data!A:A,A866)</f>
        <v>0</v>
      </c>
      <c r="D866" s="120" t="str">
        <f>vlookup(A866,collexo_data!A:M,13,0)</f>
        <v>#N/A</v>
      </c>
      <c r="E866" s="122" t="str">
        <f>vlookup(A866,collexo_data!A:O,15,0)</f>
        <v>#N/A</v>
      </c>
      <c r="F866" s="120" t="str">
        <f>vlookup(A866,collexo_data!A:S,19,0)</f>
        <v>#N/A</v>
      </c>
      <c r="G866" s="122" t="str">
        <f>vlookup(A866,collexo_data!A:R,18,0)</f>
        <v>#N/A</v>
      </c>
      <c r="H866" s="122" t="str">
        <f t="shared" si="1"/>
        <v/>
      </c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  <c r="AB866" s="113"/>
      <c r="AC866" s="113"/>
      <c r="AD866" s="113"/>
      <c r="AE866" s="113"/>
      <c r="AF866" s="113"/>
    </row>
    <row r="867">
      <c r="A867" s="120"/>
      <c r="B867" s="113"/>
      <c r="C867" s="123">
        <f>MINIFS(collexo_data!B:B,collexo_data!A:A,A867)</f>
        <v>0</v>
      </c>
      <c r="D867" s="120" t="str">
        <f>vlookup(A867,collexo_data!A:M,13,0)</f>
        <v>#N/A</v>
      </c>
      <c r="E867" s="122" t="str">
        <f>vlookup(A867,collexo_data!A:O,15,0)</f>
        <v>#N/A</v>
      </c>
      <c r="F867" s="120" t="str">
        <f>vlookup(A867,collexo_data!A:S,19,0)</f>
        <v>#N/A</v>
      </c>
      <c r="G867" s="122" t="str">
        <f>vlookup(A867,collexo_data!A:R,18,0)</f>
        <v>#N/A</v>
      </c>
      <c r="H867" s="122" t="str">
        <f t="shared" si="1"/>
        <v/>
      </c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  <c r="AB867" s="113"/>
      <c r="AC867" s="113"/>
      <c r="AD867" s="113"/>
      <c r="AE867" s="113"/>
      <c r="AF867" s="113"/>
    </row>
    <row r="868">
      <c r="A868" s="120"/>
      <c r="B868" s="113"/>
      <c r="C868" s="123">
        <f>MINIFS(collexo_data!B:B,collexo_data!A:A,A868)</f>
        <v>0</v>
      </c>
      <c r="D868" s="120" t="str">
        <f>vlookup(A868,collexo_data!A:M,13,0)</f>
        <v>#N/A</v>
      </c>
      <c r="E868" s="122" t="str">
        <f>vlookup(A868,collexo_data!A:O,15,0)</f>
        <v>#N/A</v>
      </c>
      <c r="F868" s="120" t="str">
        <f>vlookup(A868,collexo_data!A:S,19,0)</f>
        <v>#N/A</v>
      </c>
      <c r="G868" s="122" t="str">
        <f>vlookup(A868,collexo_data!A:R,18,0)</f>
        <v>#N/A</v>
      </c>
      <c r="H868" s="122" t="str">
        <f t="shared" si="1"/>
        <v/>
      </c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  <c r="AB868" s="113"/>
      <c r="AC868" s="113"/>
      <c r="AD868" s="113"/>
      <c r="AE868" s="113"/>
      <c r="AF868" s="113"/>
    </row>
    <row r="869">
      <c r="A869" s="120"/>
      <c r="B869" s="113"/>
      <c r="C869" s="123">
        <f>MINIFS(collexo_data!B:B,collexo_data!A:A,A869)</f>
        <v>0</v>
      </c>
      <c r="D869" s="120" t="str">
        <f>vlookup(A869,collexo_data!A:M,13,0)</f>
        <v>#N/A</v>
      </c>
      <c r="E869" s="122" t="str">
        <f>vlookup(A869,collexo_data!A:O,15,0)</f>
        <v>#N/A</v>
      </c>
      <c r="F869" s="120" t="str">
        <f>vlookup(A869,collexo_data!A:S,19,0)</f>
        <v>#N/A</v>
      </c>
      <c r="G869" s="122" t="str">
        <f>vlookup(A869,collexo_data!A:R,18,0)</f>
        <v>#N/A</v>
      </c>
      <c r="H869" s="122" t="str">
        <f t="shared" si="1"/>
        <v/>
      </c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  <c r="AB869" s="113"/>
      <c r="AC869" s="113"/>
      <c r="AD869" s="113"/>
      <c r="AE869" s="113"/>
      <c r="AF869" s="113"/>
    </row>
    <row r="870">
      <c r="A870" s="120"/>
      <c r="B870" s="113"/>
      <c r="C870" s="123">
        <f>MINIFS(collexo_data!B:B,collexo_data!A:A,A870)</f>
        <v>0</v>
      </c>
      <c r="D870" s="120" t="str">
        <f>vlookup(A870,collexo_data!A:M,13,0)</f>
        <v>#N/A</v>
      </c>
      <c r="E870" s="122" t="str">
        <f>vlookup(A870,collexo_data!A:O,15,0)</f>
        <v>#N/A</v>
      </c>
      <c r="F870" s="120" t="str">
        <f>vlookup(A870,collexo_data!A:S,19,0)</f>
        <v>#N/A</v>
      </c>
      <c r="G870" s="122" t="str">
        <f>vlookup(A870,collexo_data!A:R,18,0)</f>
        <v>#N/A</v>
      </c>
      <c r="H870" s="122" t="str">
        <f t="shared" si="1"/>
        <v/>
      </c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  <c r="AB870" s="113"/>
      <c r="AC870" s="113"/>
      <c r="AD870" s="113"/>
      <c r="AE870" s="113"/>
      <c r="AF870" s="113"/>
    </row>
    <row r="871">
      <c r="A871" s="120"/>
      <c r="B871" s="113"/>
      <c r="C871" s="123">
        <f>MINIFS(collexo_data!B:B,collexo_data!A:A,A871)</f>
        <v>0</v>
      </c>
      <c r="D871" s="120" t="str">
        <f>vlookup(A871,collexo_data!A:M,13,0)</f>
        <v>#N/A</v>
      </c>
      <c r="E871" s="122" t="str">
        <f>vlookup(A871,collexo_data!A:O,15,0)</f>
        <v>#N/A</v>
      </c>
      <c r="F871" s="120" t="str">
        <f>vlookup(A871,collexo_data!A:S,19,0)</f>
        <v>#N/A</v>
      </c>
      <c r="G871" s="122" t="str">
        <f>vlookup(A871,collexo_data!A:R,18,0)</f>
        <v>#N/A</v>
      </c>
      <c r="H871" s="122" t="str">
        <f t="shared" si="1"/>
        <v/>
      </c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  <c r="AB871" s="113"/>
      <c r="AC871" s="113"/>
      <c r="AD871" s="113"/>
      <c r="AE871" s="113"/>
      <c r="AF871" s="113"/>
    </row>
    <row r="872">
      <c r="A872" s="120"/>
      <c r="B872" s="113"/>
      <c r="C872" s="123">
        <f>MINIFS(collexo_data!B:B,collexo_data!A:A,A872)</f>
        <v>0</v>
      </c>
      <c r="D872" s="120" t="str">
        <f>vlookup(A872,collexo_data!A:M,13,0)</f>
        <v>#N/A</v>
      </c>
      <c r="E872" s="122" t="str">
        <f>vlookup(A872,collexo_data!A:O,15,0)</f>
        <v>#N/A</v>
      </c>
      <c r="F872" s="120" t="str">
        <f>vlookup(A872,collexo_data!A:S,19,0)</f>
        <v>#N/A</v>
      </c>
      <c r="G872" s="122" t="str">
        <f>vlookup(A872,collexo_data!A:R,18,0)</f>
        <v>#N/A</v>
      </c>
      <c r="H872" s="122" t="str">
        <f t="shared" si="1"/>
        <v/>
      </c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  <c r="AB872" s="113"/>
      <c r="AC872" s="113"/>
      <c r="AD872" s="113"/>
      <c r="AE872" s="113"/>
      <c r="AF872" s="113"/>
    </row>
    <row r="873">
      <c r="A873" s="120"/>
      <c r="B873" s="113"/>
      <c r="C873" s="123">
        <f>MINIFS(collexo_data!B:B,collexo_data!A:A,A873)</f>
        <v>0</v>
      </c>
      <c r="D873" s="120" t="str">
        <f>vlookup(A873,collexo_data!A:M,13,0)</f>
        <v>#N/A</v>
      </c>
      <c r="E873" s="122" t="str">
        <f>vlookup(A873,collexo_data!A:O,15,0)</f>
        <v>#N/A</v>
      </c>
      <c r="F873" s="120" t="str">
        <f>vlookup(A873,collexo_data!A:S,19,0)</f>
        <v>#N/A</v>
      </c>
      <c r="G873" s="122" t="str">
        <f>vlookup(A873,collexo_data!A:R,18,0)</f>
        <v>#N/A</v>
      </c>
      <c r="H873" s="122" t="str">
        <f t="shared" si="1"/>
        <v/>
      </c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  <c r="AB873" s="113"/>
      <c r="AC873" s="113"/>
      <c r="AD873" s="113"/>
      <c r="AE873" s="113"/>
      <c r="AF873" s="113"/>
    </row>
    <row r="874">
      <c r="A874" s="120"/>
      <c r="B874" s="113"/>
      <c r="C874" s="123">
        <f>MINIFS(collexo_data!B:B,collexo_data!A:A,A874)</f>
        <v>0</v>
      </c>
      <c r="D874" s="120" t="str">
        <f>vlookup(A874,collexo_data!A:M,13,0)</f>
        <v>#N/A</v>
      </c>
      <c r="E874" s="122" t="str">
        <f>vlookup(A874,collexo_data!A:O,15,0)</f>
        <v>#N/A</v>
      </c>
      <c r="F874" s="120" t="str">
        <f>vlookup(A874,collexo_data!A:S,19,0)</f>
        <v>#N/A</v>
      </c>
      <c r="G874" s="122" t="str">
        <f>vlookup(A874,collexo_data!A:R,18,0)</f>
        <v>#N/A</v>
      </c>
      <c r="H874" s="122" t="str">
        <f t="shared" si="1"/>
        <v/>
      </c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  <c r="AB874" s="113"/>
      <c r="AC874" s="113"/>
      <c r="AD874" s="113"/>
      <c r="AE874" s="113"/>
      <c r="AF874" s="113"/>
    </row>
    <row r="875">
      <c r="A875" s="120"/>
      <c r="B875" s="113"/>
      <c r="C875" s="123">
        <f>MINIFS(collexo_data!B:B,collexo_data!A:A,A875)</f>
        <v>0</v>
      </c>
      <c r="D875" s="120" t="str">
        <f>vlookup(A875,collexo_data!A:M,13,0)</f>
        <v>#N/A</v>
      </c>
      <c r="E875" s="122" t="str">
        <f>vlookup(A875,collexo_data!A:O,15,0)</f>
        <v>#N/A</v>
      </c>
      <c r="F875" s="120" t="str">
        <f>vlookup(A875,collexo_data!A:S,19,0)</f>
        <v>#N/A</v>
      </c>
      <c r="G875" s="122" t="str">
        <f>vlookup(A875,collexo_data!A:R,18,0)</f>
        <v>#N/A</v>
      </c>
      <c r="H875" s="122" t="str">
        <f t="shared" si="1"/>
        <v/>
      </c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  <c r="AB875" s="113"/>
      <c r="AC875" s="113"/>
      <c r="AD875" s="113"/>
      <c r="AE875" s="113"/>
      <c r="AF875" s="113"/>
    </row>
    <row r="876">
      <c r="A876" s="120"/>
      <c r="B876" s="113"/>
      <c r="C876" s="123">
        <f>MINIFS(collexo_data!B:B,collexo_data!A:A,A876)</f>
        <v>0</v>
      </c>
      <c r="D876" s="120" t="str">
        <f>vlookup(A876,collexo_data!A:M,13,0)</f>
        <v>#N/A</v>
      </c>
      <c r="E876" s="122" t="str">
        <f>vlookup(A876,collexo_data!A:O,15,0)</f>
        <v>#N/A</v>
      </c>
      <c r="F876" s="120" t="str">
        <f>vlookup(A876,collexo_data!A:S,19,0)</f>
        <v>#N/A</v>
      </c>
      <c r="G876" s="122" t="str">
        <f>vlookup(A876,collexo_data!A:R,18,0)</f>
        <v>#N/A</v>
      </c>
      <c r="H876" s="122" t="str">
        <f t="shared" si="1"/>
        <v/>
      </c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  <c r="AB876" s="113"/>
      <c r="AC876" s="113"/>
      <c r="AD876" s="113"/>
      <c r="AE876" s="113"/>
      <c r="AF876" s="113"/>
    </row>
    <row r="877">
      <c r="A877" s="120"/>
      <c r="B877" s="113"/>
      <c r="C877" s="123">
        <f>MINIFS(collexo_data!B:B,collexo_data!A:A,A877)</f>
        <v>0</v>
      </c>
      <c r="D877" s="120" t="str">
        <f>vlookup(A877,collexo_data!A:M,13,0)</f>
        <v>#N/A</v>
      </c>
      <c r="E877" s="122" t="str">
        <f>vlookup(A877,collexo_data!A:O,15,0)</f>
        <v>#N/A</v>
      </c>
      <c r="F877" s="120" t="str">
        <f>vlookup(A877,collexo_data!A:S,19,0)</f>
        <v>#N/A</v>
      </c>
      <c r="G877" s="122" t="str">
        <f>vlookup(A877,collexo_data!A:R,18,0)</f>
        <v>#N/A</v>
      </c>
      <c r="H877" s="122" t="str">
        <f t="shared" si="1"/>
        <v/>
      </c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  <c r="AB877" s="113"/>
      <c r="AC877" s="113"/>
      <c r="AD877" s="113"/>
      <c r="AE877" s="113"/>
      <c r="AF877" s="113"/>
    </row>
    <row r="878">
      <c r="A878" s="120"/>
      <c r="B878" s="113"/>
      <c r="C878" s="123">
        <f>MINIFS(collexo_data!B:B,collexo_data!A:A,A878)</f>
        <v>0</v>
      </c>
      <c r="D878" s="120" t="str">
        <f>vlookup(A878,collexo_data!A:M,13,0)</f>
        <v>#N/A</v>
      </c>
      <c r="E878" s="122" t="str">
        <f>vlookup(A878,collexo_data!A:O,15,0)</f>
        <v>#N/A</v>
      </c>
      <c r="F878" s="120" t="str">
        <f>vlookup(A878,collexo_data!A:S,19,0)</f>
        <v>#N/A</v>
      </c>
      <c r="G878" s="122" t="str">
        <f>vlookup(A878,collexo_data!A:R,18,0)</f>
        <v>#N/A</v>
      </c>
      <c r="H878" s="122" t="str">
        <f t="shared" si="1"/>
        <v/>
      </c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  <c r="AB878" s="113"/>
      <c r="AC878" s="113"/>
      <c r="AD878" s="113"/>
      <c r="AE878" s="113"/>
      <c r="AF878" s="113"/>
    </row>
    <row r="879">
      <c r="A879" s="120"/>
      <c r="B879" s="113"/>
      <c r="C879" s="123">
        <f>MINIFS(collexo_data!B:B,collexo_data!A:A,A879)</f>
        <v>0</v>
      </c>
      <c r="D879" s="120" t="str">
        <f>vlookup(A879,collexo_data!A:M,13,0)</f>
        <v>#N/A</v>
      </c>
      <c r="E879" s="122" t="str">
        <f>vlookup(A879,collexo_data!A:O,15,0)</f>
        <v>#N/A</v>
      </c>
      <c r="F879" s="120" t="str">
        <f>vlookup(A879,collexo_data!A:S,19,0)</f>
        <v>#N/A</v>
      </c>
      <c r="G879" s="122" t="str">
        <f>vlookup(A879,collexo_data!A:R,18,0)</f>
        <v>#N/A</v>
      </c>
      <c r="H879" s="122" t="str">
        <f t="shared" si="1"/>
        <v/>
      </c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  <c r="AB879" s="113"/>
      <c r="AC879" s="113"/>
      <c r="AD879" s="113"/>
      <c r="AE879" s="113"/>
      <c r="AF879" s="113"/>
    </row>
    <row r="880">
      <c r="A880" s="120"/>
      <c r="B880" s="113"/>
      <c r="C880" s="123">
        <f>MINIFS(collexo_data!B:B,collexo_data!A:A,A880)</f>
        <v>0</v>
      </c>
      <c r="D880" s="120" t="str">
        <f>vlookup(A880,collexo_data!A:M,13,0)</f>
        <v>#N/A</v>
      </c>
      <c r="E880" s="122" t="str">
        <f>vlookup(A880,collexo_data!A:O,15,0)</f>
        <v>#N/A</v>
      </c>
      <c r="F880" s="120" t="str">
        <f>vlookup(A880,collexo_data!A:S,19,0)</f>
        <v>#N/A</v>
      </c>
      <c r="G880" s="122" t="str">
        <f>vlookup(A880,collexo_data!A:R,18,0)</f>
        <v>#N/A</v>
      </c>
      <c r="H880" s="122" t="str">
        <f t="shared" si="1"/>
        <v/>
      </c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  <c r="AB880" s="113"/>
      <c r="AC880" s="113"/>
      <c r="AD880" s="113"/>
      <c r="AE880" s="113"/>
      <c r="AF880" s="113"/>
    </row>
    <row r="881">
      <c r="A881" s="120"/>
      <c r="B881" s="113"/>
      <c r="C881" s="123">
        <f>MINIFS(collexo_data!B:B,collexo_data!A:A,A881)</f>
        <v>0</v>
      </c>
      <c r="D881" s="120" t="str">
        <f>vlookup(A881,collexo_data!A:M,13,0)</f>
        <v>#N/A</v>
      </c>
      <c r="E881" s="122" t="str">
        <f>vlookup(A881,collexo_data!A:O,15,0)</f>
        <v>#N/A</v>
      </c>
      <c r="F881" s="120" t="str">
        <f>vlookup(A881,collexo_data!A:S,19,0)</f>
        <v>#N/A</v>
      </c>
      <c r="G881" s="122" t="str">
        <f>vlookup(A881,collexo_data!A:R,18,0)</f>
        <v>#N/A</v>
      </c>
      <c r="H881" s="122" t="str">
        <f t="shared" si="1"/>
        <v/>
      </c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  <c r="AB881" s="113"/>
      <c r="AC881" s="113"/>
      <c r="AD881" s="113"/>
      <c r="AE881" s="113"/>
      <c r="AF881" s="113"/>
    </row>
    <row r="882">
      <c r="A882" s="120"/>
      <c r="B882" s="113"/>
      <c r="C882" s="123">
        <f>MINIFS(collexo_data!B:B,collexo_data!A:A,A882)</f>
        <v>0</v>
      </c>
      <c r="D882" s="120" t="str">
        <f>vlookup(A882,collexo_data!A:M,13,0)</f>
        <v>#N/A</v>
      </c>
      <c r="E882" s="122" t="str">
        <f>vlookup(A882,collexo_data!A:O,15,0)</f>
        <v>#N/A</v>
      </c>
      <c r="F882" s="120" t="str">
        <f>vlookup(A882,collexo_data!A:S,19,0)</f>
        <v>#N/A</v>
      </c>
      <c r="G882" s="122" t="str">
        <f>vlookup(A882,collexo_data!A:R,18,0)</f>
        <v>#N/A</v>
      </c>
      <c r="H882" s="122" t="str">
        <f t="shared" si="1"/>
        <v/>
      </c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  <c r="AB882" s="113"/>
      <c r="AC882" s="113"/>
      <c r="AD882" s="113"/>
      <c r="AE882" s="113"/>
      <c r="AF882" s="113"/>
    </row>
    <row r="883">
      <c r="A883" s="120"/>
      <c r="B883" s="113"/>
      <c r="C883" s="123">
        <f>MINIFS(collexo_data!B:B,collexo_data!A:A,A883)</f>
        <v>0</v>
      </c>
      <c r="D883" s="120" t="str">
        <f>vlookup(A883,collexo_data!A:M,13,0)</f>
        <v>#N/A</v>
      </c>
      <c r="E883" s="122" t="str">
        <f>vlookup(A883,collexo_data!A:O,15,0)</f>
        <v>#N/A</v>
      </c>
      <c r="F883" s="120" t="str">
        <f>vlookup(A883,collexo_data!A:S,19,0)</f>
        <v>#N/A</v>
      </c>
      <c r="G883" s="122" t="str">
        <f>vlookup(A883,collexo_data!A:R,18,0)</f>
        <v>#N/A</v>
      </c>
      <c r="H883" s="122" t="str">
        <f t="shared" si="1"/>
        <v/>
      </c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  <c r="AB883" s="113"/>
      <c r="AC883" s="113"/>
      <c r="AD883" s="113"/>
      <c r="AE883" s="113"/>
      <c r="AF883" s="113"/>
    </row>
    <row r="884">
      <c r="A884" s="120"/>
      <c r="B884" s="113"/>
      <c r="C884" s="123">
        <f>MINIFS(collexo_data!B:B,collexo_data!A:A,A884)</f>
        <v>0</v>
      </c>
      <c r="D884" s="120" t="str">
        <f>vlookup(A884,collexo_data!A:M,13,0)</f>
        <v>#N/A</v>
      </c>
      <c r="E884" s="122" t="str">
        <f>vlookup(A884,collexo_data!A:O,15,0)</f>
        <v>#N/A</v>
      </c>
      <c r="F884" s="120" t="str">
        <f>vlookup(A884,collexo_data!A:S,19,0)</f>
        <v>#N/A</v>
      </c>
      <c r="G884" s="122" t="str">
        <f>vlookup(A884,collexo_data!A:R,18,0)</f>
        <v>#N/A</v>
      </c>
      <c r="H884" s="122" t="str">
        <f t="shared" si="1"/>
        <v/>
      </c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  <c r="AB884" s="113"/>
      <c r="AC884" s="113"/>
      <c r="AD884" s="113"/>
      <c r="AE884" s="113"/>
      <c r="AF884" s="113"/>
    </row>
    <row r="885">
      <c r="A885" s="120"/>
      <c r="B885" s="113"/>
      <c r="C885" s="123">
        <f>MINIFS(collexo_data!B:B,collexo_data!A:A,A885)</f>
        <v>0</v>
      </c>
      <c r="D885" s="120" t="str">
        <f>vlookup(A885,collexo_data!A:M,13,0)</f>
        <v>#N/A</v>
      </c>
      <c r="E885" s="122" t="str">
        <f>vlookup(A885,collexo_data!A:O,15,0)</f>
        <v>#N/A</v>
      </c>
      <c r="F885" s="120" t="str">
        <f>vlookup(A885,collexo_data!A:S,19,0)</f>
        <v>#N/A</v>
      </c>
      <c r="G885" s="122" t="str">
        <f>vlookup(A885,collexo_data!A:R,18,0)</f>
        <v>#N/A</v>
      </c>
      <c r="H885" s="122" t="str">
        <f t="shared" si="1"/>
        <v/>
      </c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  <c r="AB885" s="113"/>
      <c r="AC885" s="113"/>
      <c r="AD885" s="113"/>
      <c r="AE885" s="113"/>
      <c r="AF885" s="113"/>
    </row>
    <row r="886">
      <c r="A886" s="120"/>
      <c r="B886" s="113"/>
      <c r="C886" s="123">
        <f>MINIFS(collexo_data!B:B,collexo_data!A:A,A886)</f>
        <v>0</v>
      </c>
      <c r="D886" s="120" t="str">
        <f>vlookup(A886,collexo_data!A:M,13,0)</f>
        <v>#N/A</v>
      </c>
      <c r="E886" s="122" t="str">
        <f>vlookup(A886,collexo_data!A:O,15,0)</f>
        <v>#N/A</v>
      </c>
      <c r="F886" s="120" t="str">
        <f>vlookup(A886,collexo_data!A:S,19,0)</f>
        <v>#N/A</v>
      </c>
      <c r="G886" s="122" t="str">
        <f>vlookup(A886,collexo_data!A:R,18,0)</f>
        <v>#N/A</v>
      </c>
      <c r="H886" s="122" t="str">
        <f t="shared" si="1"/>
        <v/>
      </c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  <c r="AB886" s="113"/>
      <c r="AC886" s="113"/>
      <c r="AD886" s="113"/>
      <c r="AE886" s="113"/>
      <c r="AF886" s="113"/>
    </row>
    <row r="887">
      <c r="A887" s="120"/>
      <c r="B887" s="113"/>
      <c r="C887" s="123">
        <f>MINIFS(collexo_data!B:B,collexo_data!A:A,A887)</f>
        <v>0</v>
      </c>
      <c r="D887" s="120" t="str">
        <f>vlookup(A887,collexo_data!A:M,13,0)</f>
        <v>#N/A</v>
      </c>
      <c r="E887" s="122" t="str">
        <f>vlookup(A887,collexo_data!A:O,15,0)</f>
        <v>#N/A</v>
      </c>
      <c r="F887" s="120" t="str">
        <f>vlookup(A887,collexo_data!A:S,19,0)</f>
        <v>#N/A</v>
      </c>
      <c r="G887" s="122" t="str">
        <f>vlookup(A887,collexo_data!A:R,18,0)</f>
        <v>#N/A</v>
      </c>
      <c r="H887" s="122" t="str">
        <f t="shared" si="1"/>
        <v/>
      </c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  <c r="AB887" s="113"/>
      <c r="AC887" s="113"/>
      <c r="AD887" s="113"/>
      <c r="AE887" s="113"/>
      <c r="AF887" s="113"/>
    </row>
    <row r="888">
      <c r="A888" s="120"/>
      <c r="B888" s="113"/>
      <c r="C888" s="123">
        <f>MINIFS(collexo_data!B:B,collexo_data!A:A,A888)</f>
        <v>0</v>
      </c>
      <c r="D888" s="120" t="str">
        <f>vlookup(A888,collexo_data!A:M,13,0)</f>
        <v>#N/A</v>
      </c>
      <c r="E888" s="122" t="str">
        <f>vlookup(A888,collexo_data!A:O,15,0)</f>
        <v>#N/A</v>
      </c>
      <c r="F888" s="120" t="str">
        <f>vlookup(A888,collexo_data!A:S,19,0)</f>
        <v>#N/A</v>
      </c>
      <c r="G888" s="122" t="str">
        <f>vlookup(A888,collexo_data!A:R,18,0)</f>
        <v>#N/A</v>
      </c>
      <c r="H888" s="122" t="str">
        <f t="shared" si="1"/>
        <v/>
      </c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  <c r="AB888" s="113"/>
      <c r="AC888" s="113"/>
      <c r="AD888" s="113"/>
      <c r="AE888" s="113"/>
      <c r="AF888" s="113"/>
    </row>
    <row r="889">
      <c r="A889" s="120"/>
      <c r="B889" s="113"/>
      <c r="C889" s="123">
        <f>MINIFS(collexo_data!B:B,collexo_data!A:A,A889)</f>
        <v>0</v>
      </c>
      <c r="D889" s="120" t="str">
        <f>vlookup(A889,collexo_data!A:M,13,0)</f>
        <v>#N/A</v>
      </c>
      <c r="E889" s="122" t="str">
        <f>vlookup(A889,collexo_data!A:O,15,0)</f>
        <v>#N/A</v>
      </c>
      <c r="F889" s="120" t="str">
        <f>vlookup(A889,collexo_data!A:S,19,0)</f>
        <v>#N/A</v>
      </c>
      <c r="G889" s="122" t="str">
        <f>vlookup(A889,collexo_data!A:R,18,0)</f>
        <v>#N/A</v>
      </c>
      <c r="H889" s="122" t="str">
        <f t="shared" si="1"/>
        <v/>
      </c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  <c r="AB889" s="113"/>
      <c r="AC889" s="113"/>
      <c r="AD889" s="113"/>
      <c r="AE889" s="113"/>
      <c r="AF889" s="113"/>
    </row>
    <row r="890">
      <c r="A890" s="120"/>
      <c r="B890" s="113"/>
      <c r="C890" s="123">
        <f>MINIFS(collexo_data!B:B,collexo_data!A:A,A890)</f>
        <v>0</v>
      </c>
      <c r="D890" s="120" t="str">
        <f>vlookup(A890,collexo_data!A:M,13,0)</f>
        <v>#N/A</v>
      </c>
      <c r="E890" s="122" t="str">
        <f>vlookup(A890,collexo_data!A:O,15,0)</f>
        <v>#N/A</v>
      </c>
      <c r="F890" s="120" t="str">
        <f>vlookup(A890,collexo_data!A:S,19,0)</f>
        <v>#N/A</v>
      </c>
      <c r="G890" s="122" t="str">
        <f>vlookup(A890,collexo_data!A:R,18,0)</f>
        <v>#N/A</v>
      </c>
      <c r="H890" s="122" t="str">
        <f t="shared" si="1"/>
        <v/>
      </c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  <c r="AB890" s="113"/>
      <c r="AC890" s="113"/>
      <c r="AD890" s="113"/>
      <c r="AE890" s="113"/>
      <c r="AF890" s="113"/>
    </row>
    <row r="891">
      <c r="A891" s="120"/>
      <c r="B891" s="113"/>
      <c r="C891" s="123">
        <f>MINIFS(collexo_data!B:B,collexo_data!A:A,A891)</f>
        <v>0</v>
      </c>
      <c r="D891" s="120" t="str">
        <f>vlookup(A891,collexo_data!A:M,13,0)</f>
        <v>#N/A</v>
      </c>
      <c r="E891" s="122" t="str">
        <f>vlookup(A891,collexo_data!A:O,15,0)</f>
        <v>#N/A</v>
      </c>
      <c r="F891" s="120" t="str">
        <f>vlookup(A891,collexo_data!A:S,19,0)</f>
        <v>#N/A</v>
      </c>
      <c r="G891" s="122" t="str">
        <f>vlookup(A891,collexo_data!A:R,18,0)</f>
        <v>#N/A</v>
      </c>
      <c r="H891" s="122" t="str">
        <f t="shared" si="1"/>
        <v/>
      </c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  <c r="AB891" s="113"/>
      <c r="AC891" s="113"/>
      <c r="AD891" s="113"/>
      <c r="AE891" s="113"/>
      <c r="AF891" s="113"/>
    </row>
    <row r="892">
      <c r="A892" s="120"/>
      <c r="B892" s="113"/>
      <c r="C892" s="123">
        <f>MINIFS(collexo_data!B:B,collexo_data!A:A,A892)</f>
        <v>0</v>
      </c>
      <c r="D892" s="120" t="str">
        <f>vlookup(A892,collexo_data!A:M,13,0)</f>
        <v>#N/A</v>
      </c>
      <c r="E892" s="122" t="str">
        <f>vlookup(A892,collexo_data!A:O,15,0)</f>
        <v>#N/A</v>
      </c>
      <c r="F892" s="120" t="str">
        <f>vlookup(A892,collexo_data!A:S,19,0)</f>
        <v>#N/A</v>
      </c>
      <c r="G892" s="122" t="str">
        <f>vlookup(A892,collexo_data!A:R,18,0)</f>
        <v>#N/A</v>
      </c>
      <c r="H892" s="122" t="str">
        <f t="shared" si="1"/>
        <v/>
      </c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  <c r="AB892" s="113"/>
      <c r="AC892" s="113"/>
      <c r="AD892" s="113"/>
      <c r="AE892" s="113"/>
      <c r="AF892" s="113"/>
    </row>
    <row r="893">
      <c r="A893" s="120"/>
      <c r="B893" s="113"/>
      <c r="C893" s="123">
        <f>MINIFS(collexo_data!B:B,collexo_data!A:A,A893)</f>
        <v>0</v>
      </c>
      <c r="D893" s="120" t="str">
        <f>vlookup(A893,collexo_data!A:M,13,0)</f>
        <v>#N/A</v>
      </c>
      <c r="E893" s="122" t="str">
        <f>vlookup(A893,collexo_data!A:O,15,0)</f>
        <v>#N/A</v>
      </c>
      <c r="F893" s="120" t="str">
        <f>vlookup(A893,collexo_data!A:S,19,0)</f>
        <v>#N/A</v>
      </c>
      <c r="G893" s="122" t="str">
        <f>vlookup(A893,collexo_data!A:R,18,0)</f>
        <v>#N/A</v>
      </c>
      <c r="H893" s="122" t="str">
        <f t="shared" si="1"/>
        <v/>
      </c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  <c r="AB893" s="113"/>
      <c r="AC893" s="113"/>
      <c r="AD893" s="113"/>
      <c r="AE893" s="113"/>
      <c r="AF893" s="113"/>
    </row>
    <row r="894">
      <c r="A894" s="120"/>
      <c r="B894" s="113"/>
      <c r="C894" s="123">
        <f>MINIFS(collexo_data!B:B,collexo_data!A:A,A894)</f>
        <v>0</v>
      </c>
      <c r="D894" s="120" t="str">
        <f>vlookup(A894,collexo_data!A:M,13,0)</f>
        <v>#N/A</v>
      </c>
      <c r="E894" s="122" t="str">
        <f>vlookup(A894,collexo_data!A:O,15,0)</f>
        <v>#N/A</v>
      </c>
      <c r="F894" s="120" t="str">
        <f>vlookup(A894,collexo_data!A:S,19,0)</f>
        <v>#N/A</v>
      </c>
      <c r="G894" s="122" t="str">
        <f>vlookup(A894,collexo_data!A:R,18,0)</f>
        <v>#N/A</v>
      </c>
      <c r="H894" s="122" t="str">
        <f t="shared" si="1"/>
        <v/>
      </c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  <c r="AB894" s="113"/>
      <c r="AC894" s="113"/>
      <c r="AD894" s="113"/>
      <c r="AE894" s="113"/>
      <c r="AF894" s="113"/>
    </row>
    <row r="895">
      <c r="A895" s="120"/>
      <c r="B895" s="113"/>
      <c r="C895" s="123">
        <f>MINIFS(collexo_data!B:B,collexo_data!A:A,A895)</f>
        <v>0</v>
      </c>
      <c r="D895" s="120" t="str">
        <f>vlookup(A895,collexo_data!A:M,13,0)</f>
        <v>#N/A</v>
      </c>
      <c r="E895" s="122" t="str">
        <f>vlookup(A895,collexo_data!A:O,15,0)</f>
        <v>#N/A</v>
      </c>
      <c r="F895" s="120" t="str">
        <f>vlookup(A895,collexo_data!A:S,19,0)</f>
        <v>#N/A</v>
      </c>
      <c r="G895" s="122" t="str">
        <f>vlookup(A895,collexo_data!A:R,18,0)</f>
        <v>#N/A</v>
      </c>
      <c r="H895" s="122" t="str">
        <f t="shared" si="1"/>
        <v/>
      </c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  <c r="AB895" s="113"/>
      <c r="AC895" s="113"/>
      <c r="AD895" s="113"/>
      <c r="AE895" s="113"/>
      <c r="AF895" s="113"/>
    </row>
    <row r="896">
      <c r="A896" s="120"/>
      <c r="B896" s="113"/>
      <c r="C896" s="123">
        <f>MINIFS(collexo_data!B:B,collexo_data!A:A,A896)</f>
        <v>0</v>
      </c>
      <c r="D896" s="120" t="str">
        <f>vlookup(A896,collexo_data!A:M,13,0)</f>
        <v>#N/A</v>
      </c>
      <c r="E896" s="122" t="str">
        <f>vlookup(A896,collexo_data!A:O,15,0)</f>
        <v>#N/A</v>
      </c>
      <c r="F896" s="120" t="str">
        <f>vlookup(A896,collexo_data!A:S,19,0)</f>
        <v>#N/A</v>
      </c>
      <c r="G896" s="122" t="str">
        <f>vlookup(A896,collexo_data!A:R,18,0)</f>
        <v>#N/A</v>
      </c>
      <c r="H896" s="122" t="str">
        <f t="shared" si="1"/>
        <v/>
      </c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  <c r="AB896" s="113"/>
      <c r="AC896" s="113"/>
      <c r="AD896" s="113"/>
      <c r="AE896" s="113"/>
      <c r="AF896" s="113"/>
    </row>
    <row r="897">
      <c r="A897" s="120"/>
      <c r="B897" s="113"/>
      <c r="C897" s="123">
        <f>MINIFS(collexo_data!B:B,collexo_data!A:A,A897)</f>
        <v>0</v>
      </c>
      <c r="D897" s="120" t="str">
        <f>vlookup(A897,collexo_data!A:M,13,0)</f>
        <v>#N/A</v>
      </c>
      <c r="E897" s="122" t="str">
        <f>vlookup(A897,collexo_data!A:O,15,0)</f>
        <v>#N/A</v>
      </c>
      <c r="F897" s="120" t="str">
        <f>vlookup(A897,collexo_data!A:S,19,0)</f>
        <v>#N/A</v>
      </c>
      <c r="G897" s="122" t="str">
        <f>vlookup(A897,collexo_data!A:R,18,0)</f>
        <v>#N/A</v>
      </c>
      <c r="H897" s="122" t="str">
        <f t="shared" si="1"/>
        <v/>
      </c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  <c r="AB897" s="113"/>
      <c r="AC897" s="113"/>
      <c r="AD897" s="113"/>
      <c r="AE897" s="113"/>
      <c r="AF897" s="113"/>
    </row>
    <row r="898">
      <c r="A898" s="120"/>
      <c r="B898" s="113"/>
      <c r="C898" s="123">
        <f>MINIFS(collexo_data!B:B,collexo_data!A:A,A898)</f>
        <v>0</v>
      </c>
      <c r="D898" s="120" t="str">
        <f>vlookup(A898,collexo_data!A:M,13,0)</f>
        <v>#N/A</v>
      </c>
      <c r="E898" s="122" t="str">
        <f>vlookup(A898,collexo_data!A:O,15,0)</f>
        <v>#N/A</v>
      </c>
      <c r="F898" s="120" t="str">
        <f>vlookup(A898,collexo_data!A:S,19,0)</f>
        <v>#N/A</v>
      </c>
      <c r="G898" s="122" t="str">
        <f>vlookup(A898,collexo_data!A:R,18,0)</f>
        <v>#N/A</v>
      </c>
      <c r="H898" s="122" t="str">
        <f t="shared" si="1"/>
        <v/>
      </c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  <c r="AB898" s="113"/>
      <c r="AC898" s="113"/>
      <c r="AD898" s="113"/>
      <c r="AE898" s="113"/>
      <c r="AF898" s="113"/>
    </row>
    <row r="899">
      <c r="A899" s="120"/>
      <c r="B899" s="113"/>
      <c r="C899" s="123">
        <f>MINIFS(collexo_data!B:B,collexo_data!A:A,A899)</f>
        <v>0</v>
      </c>
      <c r="D899" s="120" t="str">
        <f>vlookup(A899,collexo_data!A:M,13,0)</f>
        <v>#N/A</v>
      </c>
      <c r="E899" s="122" t="str">
        <f>vlookup(A899,collexo_data!A:O,15,0)</f>
        <v>#N/A</v>
      </c>
      <c r="F899" s="120" t="str">
        <f>vlookup(A899,collexo_data!A:S,19,0)</f>
        <v>#N/A</v>
      </c>
      <c r="G899" s="122" t="str">
        <f>vlookup(A899,collexo_data!A:R,18,0)</f>
        <v>#N/A</v>
      </c>
      <c r="H899" s="122" t="str">
        <f t="shared" si="1"/>
        <v/>
      </c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  <c r="AB899" s="113"/>
      <c r="AC899" s="113"/>
      <c r="AD899" s="113"/>
      <c r="AE899" s="113"/>
      <c r="AF899" s="113"/>
    </row>
    <row r="900">
      <c r="A900" s="120"/>
      <c r="B900" s="113"/>
      <c r="C900" s="123">
        <f>MINIFS(collexo_data!B:B,collexo_data!A:A,A900)</f>
        <v>0</v>
      </c>
      <c r="D900" s="120" t="str">
        <f>vlookup(A900,collexo_data!A:M,13,0)</f>
        <v>#N/A</v>
      </c>
      <c r="E900" s="122" t="str">
        <f>vlookup(A900,collexo_data!A:O,15,0)</f>
        <v>#N/A</v>
      </c>
      <c r="F900" s="120" t="str">
        <f>vlookup(A900,collexo_data!A:S,19,0)</f>
        <v>#N/A</v>
      </c>
      <c r="G900" s="122" t="str">
        <f>vlookup(A900,collexo_data!A:R,18,0)</f>
        <v>#N/A</v>
      </c>
      <c r="H900" s="122" t="str">
        <f t="shared" si="1"/>
        <v/>
      </c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  <c r="AB900" s="113"/>
      <c r="AC900" s="113"/>
      <c r="AD900" s="113"/>
      <c r="AE900" s="113"/>
      <c r="AF900" s="113"/>
    </row>
    <row r="901">
      <c r="A901" s="120"/>
      <c r="B901" s="113"/>
      <c r="C901" s="123">
        <f>MINIFS(collexo_data!B:B,collexo_data!A:A,A901)</f>
        <v>0</v>
      </c>
      <c r="D901" s="120" t="str">
        <f>vlookup(A901,collexo_data!A:M,13,0)</f>
        <v>#N/A</v>
      </c>
      <c r="E901" s="122" t="str">
        <f>vlookup(A901,collexo_data!A:O,15,0)</f>
        <v>#N/A</v>
      </c>
      <c r="F901" s="120" t="str">
        <f>vlookup(A901,collexo_data!A:S,19,0)</f>
        <v>#N/A</v>
      </c>
      <c r="G901" s="122" t="str">
        <f>vlookup(A901,collexo_data!A:R,18,0)</f>
        <v>#N/A</v>
      </c>
      <c r="H901" s="122" t="str">
        <f t="shared" si="1"/>
        <v/>
      </c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  <c r="AB901" s="113"/>
      <c r="AC901" s="113"/>
      <c r="AD901" s="113"/>
      <c r="AE901" s="113"/>
      <c r="AF901" s="113"/>
    </row>
    <row r="902">
      <c r="A902" s="120"/>
      <c r="B902" s="113"/>
      <c r="C902" s="123">
        <f>MINIFS(collexo_data!B:B,collexo_data!A:A,A902)</f>
        <v>0</v>
      </c>
      <c r="D902" s="120" t="str">
        <f>vlookup(A902,collexo_data!A:M,13,0)</f>
        <v>#N/A</v>
      </c>
      <c r="E902" s="122" t="str">
        <f>vlookup(A902,collexo_data!A:O,15,0)</f>
        <v>#N/A</v>
      </c>
      <c r="F902" s="120" t="str">
        <f>vlookup(A902,collexo_data!A:S,19,0)</f>
        <v>#N/A</v>
      </c>
      <c r="G902" s="122" t="str">
        <f>vlookup(A902,collexo_data!A:R,18,0)</f>
        <v>#N/A</v>
      </c>
      <c r="H902" s="122" t="str">
        <f t="shared" si="1"/>
        <v/>
      </c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  <c r="AB902" s="113"/>
      <c r="AC902" s="113"/>
      <c r="AD902" s="113"/>
      <c r="AE902" s="113"/>
      <c r="AF902" s="113"/>
    </row>
    <row r="903">
      <c r="A903" s="120"/>
      <c r="B903" s="113"/>
      <c r="C903" s="123">
        <f>MINIFS(collexo_data!B:B,collexo_data!A:A,A903)</f>
        <v>0</v>
      </c>
      <c r="D903" s="120" t="str">
        <f>vlookup(A903,collexo_data!A:M,13,0)</f>
        <v>#N/A</v>
      </c>
      <c r="E903" s="122" t="str">
        <f>vlookup(A903,collexo_data!A:O,15,0)</f>
        <v>#N/A</v>
      </c>
      <c r="F903" s="120" t="str">
        <f>vlookup(A903,collexo_data!A:S,19,0)</f>
        <v>#N/A</v>
      </c>
      <c r="G903" s="122" t="str">
        <f>vlookup(A903,collexo_data!A:R,18,0)</f>
        <v>#N/A</v>
      </c>
      <c r="H903" s="122" t="str">
        <f t="shared" si="1"/>
        <v/>
      </c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  <c r="AB903" s="113"/>
      <c r="AC903" s="113"/>
      <c r="AD903" s="113"/>
      <c r="AE903" s="113"/>
      <c r="AF903" s="113"/>
    </row>
    <row r="904">
      <c r="A904" s="120"/>
      <c r="B904" s="113"/>
      <c r="C904" s="123">
        <f>MINIFS(collexo_data!B:B,collexo_data!A:A,A904)</f>
        <v>0</v>
      </c>
      <c r="D904" s="120" t="str">
        <f>vlookup(A904,collexo_data!A:M,13,0)</f>
        <v>#N/A</v>
      </c>
      <c r="E904" s="122" t="str">
        <f>vlookup(A904,collexo_data!A:O,15,0)</f>
        <v>#N/A</v>
      </c>
      <c r="F904" s="120" t="str">
        <f>vlookup(A904,collexo_data!A:S,19,0)</f>
        <v>#N/A</v>
      </c>
      <c r="G904" s="122" t="str">
        <f>vlookup(A904,collexo_data!A:R,18,0)</f>
        <v>#N/A</v>
      </c>
      <c r="H904" s="122" t="str">
        <f t="shared" si="1"/>
        <v/>
      </c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  <c r="AB904" s="113"/>
      <c r="AC904" s="113"/>
      <c r="AD904" s="113"/>
      <c r="AE904" s="113"/>
      <c r="AF904" s="113"/>
    </row>
    <row r="905">
      <c r="A905" s="120"/>
      <c r="B905" s="113"/>
      <c r="C905" s="123">
        <f>MINIFS(collexo_data!B:B,collexo_data!A:A,A905)</f>
        <v>0</v>
      </c>
      <c r="D905" s="120" t="str">
        <f>vlookup(A905,collexo_data!A:M,13,0)</f>
        <v>#N/A</v>
      </c>
      <c r="E905" s="122" t="str">
        <f>vlookup(A905,collexo_data!A:O,15,0)</f>
        <v>#N/A</v>
      </c>
      <c r="F905" s="120" t="str">
        <f>vlookup(A905,collexo_data!A:S,19,0)</f>
        <v>#N/A</v>
      </c>
      <c r="G905" s="122" t="str">
        <f>vlookup(A905,collexo_data!A:R,18,0)</f>
        <v>#N/A</v>
      </c>
      <c r="H905" s="122" t="str">
        <f t="shared" si="1"/>
        <v/>
      </c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  <c r="AB905" s="113"/>
      <c r="AC905" s="113"/>
      <c r="AD905" s="113"/>
      <c r="AE905" s="113"/>
      <c r="AF905" s="113"/>
    </row>
    <row r="906">
      <c r="A906" s="120"/>
      <c r="B906" s="113"/>
      <c r="C906" s="123">
        <f>MINIFS(collexo_data!B:B,collexo_data!A:A,A906)</f>
        <v>0</v>
      </c>
      <c r="D906" s="120" t="str">
        <f>vlookup(A906,collexo_data!A:M,13,0)</f>
        <v>#N/A</v>
      </c>
      <c r="E906" s="122" t="str">
        <f>vlookup(A906,collexo_data!A:O,15,0)</f>
        <v>#N/A</v>
      </c>
      <c r="F906" s="120" t="str">
        <f>vlookup(A906,collexo_data!A:S,19,0)</f>
        <v>#N/A</v>
      </c>
      <c r="G906" s="122" t="str">
        <f>vlookup(A906,collexo_data!A:R,18,0)</f>
        <v>#N/A</v>
      </c>
      <c r="H906" s="122" t="str">
        <f t="shared" si="1"/>
        <v/>
      </c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  <c r="AB906" s="113"/>
      <c r="AC906" s="113"/>
      <c r="AD906" s="113"/>
      <c r="AE906" s="113"/>
      <c r="AF906" s="113"/>
    </row>
    <row r="907">
      <c r="A907" s="120"/>
      <c r="B907" s="113"/>
      <c r="C907" s="123">
        <f>MINIFS(collexo_data!B:B,collexo_data!A:A,A907)</f>
        <v>0</v>
      </c>
      <c r="D907" s="120" t="str">
        <f>vlookup(A907,collexo_data!A:M,13,0)</f>
        <v>#N/A</v>
      </c>
      <c r="E907" s="122" t="str">
        <f>vlookup(A907,collexo_data!A:O,15,0)</f>
        <v>#N/A</v>
      </c>
      <c r="F907" s="120" t="str">
        <f>vlookup(A907,collexo_data!A:S,19,0)</f>
        <v>#N/A</v>
      </c>
      <c r="G907" s="122" t="str">
        <f>vlookup(A907,collexo_data!A:R,18,0)</f>
        <v>#N/A</v>
      </c>
      <c r="H907" s="122" t="str">
        <f t="shared" si="1"/>
        <v/>
      </c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  <c r="AB907" s="113"/>
      <c r="AC907" s="113"/>
      <c r="AD907" s="113"/>
      <c r="AE907" s="113"/>
      <c r="AF907" s="113"/>
    </row>
    <row r="908">
      <c r="A908" s="120"/>
      <c r="B908" s="113"/>
      <c r="C908" s="123">
        <f>MINIFS(collexo_data!B:B,collexo_data!A:A,A908)</f>
        <v>0</v>
      </c>
      <c r="D908" s="120" t="str">
        <f>vlookup(A908,collexo_data!A:M,13,0)</f>
        <v>#N/A</v>
      </c>
      <c r="E908" s="122" t="str">
        <f>vlookup(A908,collexo_data!A:O,15,0)</f>
        <v>#N/A</v>
      </c>
      <c r="F908" s="120" t="str">
        <f>vlookup(A908,collexo_data!A:S,19,0)</f>
        <v>#N/A</v>
      </c>
      <c r="G908" s="122" t="str">
        <f>vlookup(A908,collexo_data!A:R,18,0)</f>
        <v>#N/A</v>
      </c>
      <c r="H908" s="122" t="str">
        <f t="shared" si="1"/>
        <v/>
      </c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  <c r="AB908" s="113"/>
      <c r="AC908" s="113"/>
      <c r="AD908" s="113"/>
      <c r="AE908" s="113"/>
      <c r="AF908" s="113"/>
    </row>
    <row r="909">
      <c r="A909" s="120"/>
      <c r="B909" s="113"/>
      <c r="C909" s="123">
        <f>MINIFS(collexo_data!B:B,collexo_data!A:A,A909)</f>
        <v>0</v>
      </c>
      <c r="D909" s="120" t="str">
        <f>vlookup(A909,collexo_data!A:M,13,0)</f>
        <v>#N/A</v>
      </c>
      <c r="E909" s="122" t="str">
        <f>vlookup(A909,collexo_data!A:O,15,0)</f>
        <v>#N/A</v>
      </c>
      <c r="F909" s="120" t="str">
        <f>vlookup(A909,collexo_data!A:S,19,0)</f>
        <v>#N/A</v>
      </c>
      <c r="G909" s="122" t="str">
        <f>vlookup(A909,collexo_data!A:R,18,0)</f>
        <v>#N/A</v>
      </c>
      <c r="H909" s="122" t="str">
        <f t="shared" si="1"/>
        <v/>
      </c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  <c r="AB909" s="113"/>
      <c r="AC909" s="113"/>
      <c r="AD909" s="113"/>
      <c r="AE909" s="113"/>
      <c r="AF909" s="113"/>
    </row>
    <row r="910">
      <c r="A910" s="120"/>
      <c r="B910" s="113"/>
      <c r="C910" s="123">
        <f>MINIFS(collexo_data!B:B,collexo_data!A:A,A910)</f>
        <v>0</v>
      </c>
      <c r="D910" s="120" t="str">
        <f>vlookup(A910,collexo_data!A:M,13,0)</f>
        <v>#N/A</v>
      </c>
      <c r="E910" s="122" t="str">
        <f>vlookup(A910,collexo_data!A:O,15,0)</f>
        <v>#N/A</v>
      </c>
      <c r="F910" s="120" t="str">
        <f>vlookup(A910,collexo_data!A:S,19,0)</f>
        <v>#N/A</v>
      </c>
      <c r="G910" s="122" t="str">
        <f>vlookup(A910,collexo_data!A:R,18,0)</f>
        <v>#N/A</v>
      </c>
      <c r="H910" s="122" t="str">
        <f t="shared" si="1"/>
        <v/>
      </c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  <c r="AB910" s="113"/>
      <c r="AC910" s="113"/>
      <c r="AD910" s="113"/>
      <c r="AE910" s="113"/>
      <c r="AF910" s="113"/>
    </row>
    <row r="911">
      <c r="A911" s="120"/>
      <c r="B911" s="113"/>
      <c r="C911" s="123">
        <f>MINIFS(collexo_data!B:B,collexo_data!A:A,A911)</f>
        <v>0</v>
      </c>
      <c r="D911" s="120" t="str">
        <f>vlookup(A911,collexo_data!A:M,13,0)</f>
        <v>#N/A</v>
      </c>
      <c r="E911" s="122" t="str">
        <f>vlookup(A911,collexo_data!A:O,15,0)</f>
        <v>#N/A</v>
      </c>
      <c r="F911" s="120" t="str">
        <f>vlookup(A911,collexo_data!A:S,19,0)</f>
        <v>#N/A</v>
      </c>
      <c r="G911" s="122" t="str">
        <f>vlookup(A911,collexo_data!A:R,18,0)</f>
        <v>#N/A</v>
      </c>
      <c r="H911" s="122" t="str">
        <f t="shared" si="1"/>
        <v/>
      </c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  <c r="AB911" s="113"/>
      <c r="AC911" s="113"/>
      <c r="AD911" s="113"/>
      <c r="AE911" s="113"/>
      <c r="AF911" s="113"/>
    </row>
    <row r="912">
      <c r="A912" s="120"/>
      <c r="B912" s="113"/>
      <c r="C912" s="123">
        <f>MINIFS(collexo_data!B:B,collexo_data!A:A,A912)</f>
        <v>0</v>
      </c>
      <c r="D912" s="120" t="str">
        <f>vlookup(A912,collexo_data!A:M,13,0)</f>
        <v>#N/A</v>
      </c>
      <c r="E912" s="122" t="str">
        <f>vlookup(A912,collexo_data!A:O,15,0)</f>
        <v>#N/A</v>
      </c>
      <c r="F912" s="120" t="str">
        <f>vlookup(A912,collexo_data!A:S,19,0)</f>
        <v>#N/A</v>
      </c>
      <c r="G912" s="122" t="str">
        <f>vlookup(A912,collexo_data!A:R,18,0)</f>
        <v>#N/A</v>
      </c>
      <c r="H912" s="122" t="str">
        <f t="shared" si="1"/>
        <v/>
      </c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  <c r="AB912" s="113"/>
      <c r="AC912" s="113"/>
      <c r="AD912" s="113"/>
      <c r="AE912" s="113"/>
      <c r="AF912" s="113"/>
    </row>
    <row r="913">
      <c r="A913" s="120"/>
      <c r="B913" s="113"/>
      <c r="C913" s="123">
        <f>MINIFS(collexo_data!B:B,collexo_data!A:A,A913)</f>
        <v>0</v>
      </c>
      <c r="D913" s="120" t="str">
        <f>vlookup(A913,collexo_data!A:M,13,0)</f>
        <v>#N/A</v>
      </c>
      <c r="E913" s="122" t="str">
        <f>vlookup(A913,collexo_data!A:O,15,0)</f>
        <v>#N/A</v>
      </c>
      <c r="F913" s="120" t="str">
        <f>vlookup(A913,collexo_data!A:S,19,0)</f>
        <v>#N/A</v>
      </c>
      <c r="G913" s="122" t="str">
        <f>vlookup(A913,collexo_data!A:R,18,0)</f>
        <v>#N/A</v>
      </c>
      <c r="H913" s="122" t="str">
        <f t="shared" si="1"/>
        <v/>
      </c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  <c r="AB913" s="113"/>
      <c r="AC913" s="113"/>
      <c r="AD913" s="113"/>
      <c r="AE913" s="113"/>
      <c r="AF913" s="113"/>
    </row>
    <row r="914">
      <c r="A914" s="120"/>
      <c r="B914" s="113"/>
      <c r="C914" s="123">
        <f>MINIFS(collexo_data!B:B,collexo_data!A:A,A914)</f>
        <v>0</v>
      </c>
      <c r="D914" s="120" t="str">
        <f>vlookup(A914,collexo_data!A:M,13,0)</f>
        <v>#N/A</v>
      </c>
      <c r="E914" s="122" t="str">
        <f>vlookup(A914,collexo_data!A:O,15,0)</f>
        <v>#N/A</v>
      </c>
      <c r="F914" s="120" t="str">
        <f>vlookup(A914,collexo_data!A:S,19,0)</f>
        <v>#N/A</v>
      </c>
      <c r="G914" s="122" t="str">
        <f>vlookup(A914,collexo_data!A:R,18,0)</f>
        <v>#N/A</v>
      </c>
      <c r="H914" s="122" t="str">
        <f t="shared" si="1"/>
        <v/>
      </c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  <c r="AB914" s="113"/>
      <c r="AC914" s="113"/>
      <c r="AD914" s="113"/>
      <c r="AE914" s="113"/>
      <c r="AF914" s="113"/>
    </row>
    <row r="915">
      <c r="A915" s="120"/>
      <c r="B915" s="113"/>
      <c r="C915" s="123">
        <f>MINIFS(collexo_data!B:B,collexo_data!A:A,A915)</f>
        <v>0</v>
      </c>
      <c r="D915" s="120" t="str">
        <f>vlookup(A915,collexo_data!A:M,13,0)</f>
        <v>#N/A</v>
      </c>
      <c r="E915" s="122" t="str">
        <f>vlookup(A915,collexo_data!A:O,15,0)</f>
        <v>#N/A</v>
      </c>
      <c r="F915" s="120" t="str">
        <f>vlookup(A915,collexo_data!A:S,19,0)</f>
        <v>#N/A</v>
      </c>
      <c r="G915" s="122" t="str">
        <f>vlookup(A915,collexo_data!A:R,18,0)</f>
        <v>#N/A</v>
      </c>
      <c r="H915" s="122" t="str">
        <f t="shared" si="1"/>
        <v/>
      </c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  <c r="AB915" s="113"/>
      <c r="AC915" s="113"/>
      <c r="AD915" s="113"/>
      <c r="AE915" s="113"/>
      <c r="AF915" s="113"/>
    </row>
    <row r="916">
      <c r="A916" s="120"/>
      <c r="B916" s="113"/>
      <c r="C916" s="123">
        <f>MINIFS(collexo_data!B:B,collexo_data!A:A,A916)</f>
        <v>0</v>
      </c>
      <c r="D916" s="120" t="str">
        <f>vlookup(A916,collexo_data!A:M,13,0)</f>
        <v>#N/A</v>
      </c>
      <c r="E916" s="122" t="str">
        <f>vlookup(A916,collexo_data!A:O,15,0)</f>
        <v>#N/A</v>
      </c>
      <c r="F916" s="120" t="str">
        <f>vlookup(A916,collexo_data!A:S,19,0)</f>
        <v>#N/A</v>
      </c>
      <c r="G916" s="122" t="str">
        <f>vlookup(A916,collexo_data!A:R,18,0)</f>
        <v>#N/A</v>
      </c>
      <c r="H916" s="122" t="str">
        <f t="shared" si="1"/>
        <v/>
      </c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  <c r="AB916" s="113"/>
      <c r="AC916" s="113"/>
      <c r="AD916" s="113"/>
      <c r="AE916" s="113"/>
      <c r="AF916" s="113"/>
    </row>
    <row r="917">
      <c r="A917" s="120"/>
      <c r="B917" s="113"/>
      <c r="C917" s="123">
        <f>MINIFS(collexo_data!B:B,collexo_data!A:A,A917)</f>
        <v>0</v>
      </c>
      <c r="D917" s="120" t="str">
        <f>vlookup(A917,collexo_data!A:M,13,0)</f>
        <v>#N/A</v>
      </c>
      <c r="E917" s="122" t="str">
        <f>vlookup(A917,collexo_data!A:O,15,0)</f>
        <v>#N/A</v>
      </c>
      <c r="F917" s="120" t="str">
        <f>vlookup(A917,collexo_data!A:S,19,0)</f>
        <v>#N/A</v>
      </c>
      <c r="G917" s="122" t="str">
        <f>vlookup(A917,collexo_data!A:R,18,0)</f>
        <v>#N/A</v>
      </c>
      <c r="H917" s="122" t="str">
        <f t="shared" si="1"/>
        <v/>
      </c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  <c r="AB917" s="113"/>
      <c r="AC917" s="113"/>
      <c r="AD917" s="113"/>
      <c r="AE917" s="113"/>
      <c r="AF917" s="113"/>
    </row>
    <row r="918">
      <c r="A918" s="120"/>
      <c r="B918" s="113"/>
      <c r="C918" s="123">
        <f>MINIFS(collexo_data!B:B,collexo_data!A:A,A918)</f>
        <v>0</v>
      </c>
      <c r="D918" s="120" t="str">
        <f>vlookup(A918,collexo_data!A:M,13,0)</f>
        <v>#N/A</v>
      </c>
      <c r="E918" s="122" t="str">
        <f>vlookup(A918,collexo_data!A:O,15,0)</f>
        <v>#N/A</v>
      </c>
      <c r="F918" s="120" t="str">
        <f>vlookup(A918,collexo_data!A:S,19,0)</f>
        <v>#N/A</v>
      </c>
      <c r="G918" s="122" t="str">
        <f>vlookup(A918,collexo_data!A:R,18,0)</f>
        <v>#N/A</v>
      </c>
      <c r="H918" s="122" t="str">
        <f t="shared" si="1"/>
        <v/>
      </c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  <c r="AB918" s="113"/>
      <c r="AC918" s="113"/>
      <c r="AD918" s="113"/>
      <c r="AE918" s="113"/>
      <c r="AF918" s="113"/>
    </row>
    <row r="919">
      <c r="A919" s="120"/>
      <c r="B919" s="113"/>
      <c r="C919" s="123">
        <f>MINIFS(collexo_data!B:B,collexo_data!A:A,A919)</f>
        <v>0</v>
      </c>
      <c r="D919" s="120" t="str">
        <f>vlookup(A919,collexo_data!A:M,13,0)</f>
        <v>#N/A</v>
      </c>
      <c r="E919" s="122" t="str">
        <f>vlookup(A919,collexo_data!A:O,15,0)</f>
        <v>#N/A</v>
      </c>
      <c r="F919" s="120" t="str">
        <f>vlookup(A919,collexo_data!A:S,19,0)</f>
        <v>#N/A</v>
      </c>
      <c r="G919" s="122" t="str">
        <f>vlookup(A919,collexo_data!A:R,18,0)</f>
        <v>#N/A</v>
      </c>
      <c r="H919" s="122" t="str">
        <f t="shared" si="1"/>
        <v/>
      </c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  <c r="AB919" s="113"/>
      <c r="AC919" s="113"/>
      <c r="AD919" s="113"/>
      <c r="AE919" s="113"/>
      <c r="AF919" s="113"/>
    </row>
    <row r="920">
      <c r="A920" s="120"/>
      <c r="B920" s="113"/>
      <c r="C920" s="123">
        <f>MINIFS(collexo_data!B:B,collexo_data!A:A,A920)</f>
        <v>0</v>
      </c>
      <c r="D920" s="120" t="str">
        <f>vlookup(A920,collexo_data!A:M,13,0)</f>
        <v>#N/A</v>
      </c>
      <c r="E920" s="122" t="str">
        <f>vlookup(A920,collexo_data!A:O,15,0)</f>
        <v>#N/A</v>
      </c>
      <c r="F920" s="120" t="str">
        <f>vlookup(A920,collexo_data!A:S,19,0)</f>
        <v>#N/A</v>
      </c>
      <c r="G920" s="122" t="str">
        <f>vlookup(A920,collexo_data!A:R,18,0)</f>
        <v>#N/A</v>
      </c>
      <c r="H920" s="122" t="str">
        <f t="shared" si="1"/>
        <v/>
      </c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  <c r="AB920" s="113"/>
      <c r="AC920" s="113"/>
      <c r="AD920" s="113"/>
      <c r="AE920" s="113"/>
      <c r="AF920" s="113"/>
    </row>
    <row r="921">
      <c r="A921" s="120"/>
      <c r="B921" s="113"/>
      <c r="C921" s="123">
        <f>MINIFS(collexo_data!B:B,collexo_data!A:A,A921)</f>
        <v>0</v>
      </c>
      <c r="D921" s="120" t="str">
        <f>vlookup(A921,collexo_data!A:M,13,0)</f>
        <v>#N/A</v>
      </c>
      <c r="E921" s="122" t="str">
        <f>vlookup(A921,collexo_data!A:O,15,0)</f>
        <v>#N/A</v>
      </c>
      <c r="F921" s="120" t="str">
        <f>vlookup(A921,collexo_data!A:S,19,0)</f>
        <v>#N/A</v>
      </c>
      <c r="G921" s="122" t="str">
        <f>vlookup(A921,collexo_data!A:R,18,0)</f>
        <v>#N/A</v>
      </c>
      <c r="H921" s="122" t="str">
        <f t="shared" si="1"/>
        <v/>
      </c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  <c r="AB921" s="113"/>
      <c r="AC921" s="113"/>
      <c r="AD921" s="113"/>
      <c r="AE921" s="113"/>
      <c r="AF921" s="113"/>
    </row>
    <row r="922">
      <c r="A922" s="120"/>
      <c r="B922" s="113"/>
      <c r="C922" s="123">
        <f>MINIFS(collexo_data!B:B,collexo_data!A:A,A922)</f>
        <v>0</v>
      </c>
      <c r="D922" s="120" t="str">
        <f>vlookup(A922,collexo_data!A:M,13,0)</f>
        <v>#N/A</v>
      </c>
      <c r="E922" s="122" t="str">
        <f>vlookup(A922,collexo_data!A:O,15,0)</f>
        <v>#N/A</v>
      </c>
      <c r="F922" s="120" t="str">
        <f>vlookup(A922,collexo_data!A:S,19,0)</f>
        <v>#N/A</v>
      </c>
      <c r="G922" s="122" t="str">
        <f>vlookup(A922,collexo_data!A:R,18,0)</f>
        <v>#N/A</v>
      </c>
      <c r="H922" s="122" t="str">
        <f t="shared" si="1"/>
        <v/>
      </c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  <c r="AB922" s="113"/>
      <c r="AC922" s="113"/>
      <c r="AD922" s="113"/>
      <c r="AE922" s="113"/>
      <c r="AF922" s="113"/>
    </row>
    <row r="923">
      <c r="A923" s="120"/>
      <c r="B923" s="113"/>
      <c r="C923" s="123">
        <f>MINIFS(collexo_data!B:B,collexo_data!A:A,A923)</f>
        <v>0</v>
      </c>
      <c r="D923" s="120" t="str">
        <f>vlookup(A923,collexo_data!A:M,13,0)</f>
        <v>#N/A</v>
      </c>
      <c r="E923" s="122" t="str">
        <f>vlookup(A923,collexo_data!A:O,15,0)</f>
        <v>#N/A</v>
      </c>
      <c r="F923" s="120" t="str">
        <f>vlookup(A923,collexo_data!A:S,19,0)</f>
        <v>#N/A</v>
      </c>
      <c r="G923" s="122" t="str">
        <f>vlookup(A923,collexo_data!A:R,18,0)</f>
        <v>#N/A</v>
      </c>
      <c r="H923" s="122" t="str">
        <f t="shared" si="1"/>
        <v/>
      </c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  <c r="AB923" s="113"/>
      <c r="AC923" s="113"/>
      <c r="AD923" s="113"/>
      <c r="AE923" s="113"/>
      <c r="AF923" s="113"/>
    </row>
    <row r="924">
      <c r="A924" s="120"/>
      <c r="B924" s="113"/>
      <c r="C924" s="123">
        <f>MINIFS(collexo_data!B:B,collexo_data!A:A,A924)</f>
        <v>0</v>
      </c>
      <c r="D924" s="120" t="str">
        <f>vlookup(A924,collexo_data!A:M,13,0)</f>
        <v>#N/A</v>
      </c>
      <c r="E924" s="122" t="str">
        <f>vlookup(A924,collexo_data!A:O,15,0)</f>
        <v>#N/A</v>
      </c>
      <c r="F924" s="120" t="str">
        <f>vlookup(A924,collexo_data!A:S,19,0)</f>
        <v>#N/A</v>
      </c>
      <c r="G924" s="122" t="str">
        <f>vlookup(A924,collexo_data!A:R,18,0)</f>
        <v>#N/A</v>
      </c>
      <c r="H924" s="122" t="str">
        <f t="shared" si="1"/>
        <v/>
      </c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  <c r="AB924" s="113"/>
      <c r="AC924" s="113"/>
      <c r="AD924" s="113"/>
      <c r="AE924" s="113"/>
      <c r="AF924" s="113"/>
    </row>
    <row r="925">
      <c r="A925" s="120"/>
      <c r="B925" s="113"/>
      <c r="C925" s="123">
        <f>MINIFS(collexo_data!B:B,collexo_data!A:A,A925)</f>
        <v>0</v>
      </c>
      <c r="D925" s="120" t="str">
        <f>vlookup(A925,collexo_data!A:M,13,0)</f>
        <v>#N/A</v>
      </c>
      <c r="E925" s="122" t="str">
        <f>vlookup(A925,collexo_data!A:O,15,0)</f>
        <v>#N/A</v>
      </c>
      <c r="F925" s="120" t="str">
        <f>vlookup(A925,collexo_data!A:S,19,0)</f>
        <v>#N/A</v>
      </c>
      <c r="G925" s="122" t="str">
        <f>vlookup(A925,collexo_data!A:R,18,0)</f>
        <v>#N/A</v>
      </c>
      <c r="H925" s="122" t="str">
        <f t="shared" si="1"/>
        <v/>
      </c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  <c r="AB925" s="113"/>
      <c r="AC925" s="113"/>
      <c r="AD925" s="113"/>
      <c r="AE925" s="113"/>
      <c r="AF925" s="113"/>
    </row>
    <row r="926">
      <c r="A926" s="120"/>
      <c r="B926" s="113"/>
      <c r="C926" s="123">
        <f>MINIFS(collexo_data!B:B,collexo_data!A:A,A926)</f>
        <v>0</v>
      </c>
      <c r="D926" s="120" t="str">
        <f>vlookup(A926,collexo_data!A:M,13,0)</f>
        <v>#N/A</v>
      </c>
      <c r="E926" s="122" t="str">
        <f>vlookup(A926,collexo_data!A:O,15,0)</f>
        <v>#N/A</v>
      </c>
      <c r="F926" s="120" t="str">
        <f>vlookup(A926,collexo_data!A:S,19,0)</f>
        <v>#N/A</v>
      </c>
      <c r="G926" s="122" t="str">
        <f>vlookup(A926,collexo_data!A:R,18,0)</f>
        <v>#N/A</v>
      </c>
      <c r="H926" s="122" t="str">
        <f t="shared" si="1"/>
        <v/>
      </c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  <c r="AB926" s="113"/>
      <c r="AC926" s="113"/>
      <c r="AD926" s="113"/>
      <c r="AE926" s="113"/>
      <c r="AF926" s="113"/>
    </row>
    <row r="927">
      <c r="A927" s="120"/>
      <c r="B927" s="113"/>
      <c r="C927" s="123">
        <f>MINIFS(collexo_data!B:B,collexo_data!A:A,A927)</f>
        <v>0</v>
      </c>
      <c r="D927" s="120" t="str">
        <f>vlookup(A927,collexo_data!A:M,13,0)</f>
        <v>#N/A</v>
      </c>
      <c r="E927" s="122" t="str">
        <f>vlookup(A927,collexo_data!A:O,15,0)</f>
        <v>#N/A</v>
      </c>
      <c r="F927" s="120" t="str">
        <f>vlookup(A927,collexo_data!A:S,19,0)</f>
        <v>#N/A</v>
      </c>
      <c r="G927" s="122" t="str">
        <f>vlookup(A927,collexo_data!A:R,18,0)</f>
        <v>#N/A</v>
      </c>
      <c r="H927" s="122" t="str">
        <f t="shared" si="1"/>
        <v/>
      </c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  <c r="AB927" s="113"/>
      <c r="AC927" s="113"/>
      <c r="AD927" s="113"/>
      <c r="AE927" s="113"/>
      <c r="AF927" s="113"/>
    </row>
    <row r="928">
      <c r="A928" s="120"/>
      <c r="B928" s="113"/>
      <c r="C928" s="123">
        <f>MINIFS(collexo_data!B:B,collexo_data!A:A,A928)</f>
        <v>0</v>
      </c>
      <c r="D928" s="120" t="str">
        <f>vlookup(A928,collexo_data!A:M,13,0)</f>
        <v>#N/A</v>
      </c>
      <c r="E928" s="122" t="str">
        <f>vlookup(A928,collexo_data!A:O,15,0)</f>
        <v>#N/A</v>
      </c>
      <c r="F928" s="120" t="str">
        <f>vlookup(A928,collexo_data!A:S,19,0)</f>
        <v>#N/A</v>
      </c>
      <c r="G928" s="122" t="str">
        <f>vlookup(A928,collexo_data!A:R,18,0)</f>
        <v>#N/A</v>
      </c>
      <c r="H928" s="122" t="str">
        <f t="shared" si="1"/>
        <v/>
      </c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  <c r="AB928" s="113"/>
      <c r="AC928" s="113"/>
      <c r="AD928" s="113"/>
      <c r="AE928" s="113"/>
      <c r="AF928" s="113"/>
    </row>
    <row r="929">
      <c r="A929" s="120"/>
      <c r="B929" s="113"/>
      <c r="C929" s="123">
        <f>MINIFS(collexo_data!B:B,collexo_data!A:A,A929)</f>
        <v>0</v>
      </c>
      <c r="D929" s="120" t="str">
        <f>vlookup(A929,collexo_data!A:M,13,0)</f>
        <v>#N/A</v>
      </c>
      <c r="E929" s="122" t="str">
        <f>vlookup(A929,collexo_data!A:O,15,0)</f>
        <v>#N/A</v>
      </c>
      <c r="F929" s="120" t="str">
        <f>vlookup(A929,collexo_data!A:S,19,0)</f>
        <v>#N/A</v>
      </c>
      <c r="G929" s="122" t="str">
        <f>vlookup(A929,collexo_data!A:R,18,0)</f>
        <v>#N/A</v>
      </c>
      <c r="H929" s="122" t="str">
        <f t="shared" si="1"/>
        <v/>
      </c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  <c r="AB929" s="113"/>
      <c r="AC929" s="113"/>
      <c r="AD929" s="113"/>
      <c r="AE929" s="113"/>
      <c r="AF929" s="113"/>
    </row>
    <row r="930">
      <c r="A930" s="120"/>
      <c r="B930" s="113"/>
      <c r="C930" s="123">
        <f>MINIFS(collexo_data!B:B,collexo_data!A:A,A930)</f>
        <v>0</v>
      </c>
      <c r="D930" s="120" t="str">
        <f>vlookup(A930,collexo_data!A:M,13,0)</f>
        <v>#N/A</v>
      </c>
      <c r="E930" s="122" t="str">
        <f>vlookup(A930,collexo_data!A:O,15,0)</f>
        <v>#N/A</v>
      </c>
      <c r="F930" s="120" t="str">
        <f>vlookup(A930,collexo_data!A:S,19,0)</f>
        <v>#N/A</v>
      </c>
      <c r="G930" s="122" t="str">
        <f>vlookup(A930,collexo_data!A:R,18,0)</f>
        <v>#N/A</v>
      </c>
      <c r="H930" s="122" t="str">
        <f t="shared" si="1"/>
        <v/>
      </c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  <c r="AB930" s="113"/>
      <c r="AC930" s="113"/>
      <c r="AD930" s="113"/>
      <c r="AE930" s="113"/>
      <c r="AF930" s="113"/>
    </row>
    <row r="931">
      <c r="A931" s="120"/>
      <c r="B931" s="113"/>
      <c r="C931" s="123">
        <f>MINIFS(collexo_data!B:B,collexo_data!A:A,A931)</f>
        <v>0</v>
      </c>
      <c r="D931" s="120" t="str">
        <f>vlookup(A931,collexo_data!A:M,13,0)</f>
        <v>#N/A</v>
      </c>
      <c r="E931" s="122" t="str">
        <f>vlookup(A931,collexo_data!A:O,15,0)</f>
        <v>#N/A</v>
      </c>
      <c r="F931" s="120" t="str">
        <f>vlookup(A931,collexo_data!A:S,19,0)</f>
        <v>#N/A</v>
      </c>
      <c r="G931" s="122" t="str">
        <f>vlookup(A931,collexo_data!A:R,18,0)</f>
        <v>#N/A</v>
      </c>
      <c r="H931" s="122" t="str">
        <f t="shared" si="1"/>
        <v/>
      </c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  <c r="AB931" s="113"/>
      <c r="AC931" s="113"/>
      <c r="AD931" s="113"/>
      <c r="AE931" s="113"/>
      <c r="AF931" s="113"/>
    </row>
    <row r="932">
      <c r="A932" s="120"/>
      <c r="B932" s="113"/>
      <c r="C932" s="123">
        <f>MINIFS(collexo_data!B:B,collexo_data!A:A,A932)</f>
        <v>0</v>
      </c>
      <c r="D932" s="120" t="str">
        <f>vlookup(A932,collexo_data!A:M,13,0)</f>
        <v>#N/A</v>
      </c>
      <c r="E932" s="122" t="str">
        <f>vlookup(A932,collexo_data!A:O,15,0)</f>
        <v>#N/A</v>
      </c>
      <c r="F932" s="120" t="str">
        <f>vlookup(A932,collexo_data!A:S,19,0)</f>
        <v>#N/A</v>
      </c>
      <c r="G932" s="122" t="str">
        <f>vlookup(A932,collexo_data!A:R,18,0)</f>
        <v>#N/A</v>
      </c>
      <c r="H932" s="122" t="str">
        <f t="shared" si="1"/>
        <v/>
      </c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  <c r="AB932" s="113"/>
      <c r="AC932" s="113"/>
      <c r="AD932" s="113"/>
      <c r="AE932" s="113"/>
      <c r="AF932" s="113"/>
    </row>
    <row r="933">
      <c r="A933" s="120"/>
      <c r="B933" s="113"/>
      <c r="C933" s="123">
        <f>MINIFS(collexo_data!B:B,collexo_data!A:A,A933)</f>
        <v>0</v>
      </c>
      <c r="D933" s="120" t="str">
        <f>vlookup(A933,collexo_data!A:M,13,0)</f>
        <v>#N/A</v>
      </c>
      <c r="E933" s="122" t="str">
        <f>vlookup(A933,collexo_data!A:O,15,0)</f>
        <v>#N/A</v>
      </c>
      <c r="F933" s="120" t="str">
        <f>vlookup(A933,collexo_data!A:S,19,0)</f>
        <v>#N/A</v>
      </c>
      <c r="G933" s="122" t="str">
        <f>vlookup(A933,collexo_data!A:R,18,0)</f>
        <v>#N/A</v>
      </c>
      <c r="H933" s="122" t="str">
        <f t="shared" si="1"/>
        <v/>
      </c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  <c r="AB933" s="113"/>
      <c r="AC933" s="113"/>
      <c r="AD933" s="113"/>
      <c r="AE933" s="113"/>
      <c r="AF933" s="113"/>
    </row>
    <row r="934">
      <c r="A934" s="120"/>
      <c r="B934" s="113"/>
      <c r="C934" s="123">
        <f>MINIFS(collexo_data!B:B,collexo_data!A:A,A934)</f>
        <v>0</v>
      </c>
      <c r="D934" s="120" t="str">
        <f>vlookup(A934,collexo_data!A:M,13,0)</f>
        <v>#N/A</v>
      </c>
      <c r="E934" s="122" t="str">
        <f>vlookup(A934,collexo_data!A:O,15,0)</f>
        <v>#N/A</v>
      </c>
      <c r="F934" s="120" t="str">
        <f>vlookup(A934,collexo_data!A:S,19,0)</f>
        <v>#N/A</v>
      </c>
      <c r="G934" s="122" t="str">
        <f>vlookup(A934,collexo_data!A:R,18,0)</f>
        <v>#N/A</v>
      </c>
      <c r="H934" s="122" t="str">
        <f t="shared" si="1"/>
        <v/>
      </c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  <c r="AB934" s="113"/>
      <c r="AC934" s="113"/>
      <c r="AD934" s="113"/>
      <c r="AE934" s="113"/>
      <c r="AF934" s="113"/>
    </row>
    <row r="935">
      <c r="A935" s="120"/>
      <c r="B935" s="113"/>
      <c r="C935" s="123">
        <f>MINIFS(collexo_data!B:B,collexo_data!A:A,A935)</f>
        <v>0</v>
      </c>
      <c r="D935" s="120" t="str">
        <f>vlookup(A935,collexo_data!A:M,13,0)</f>
        <v>#N/A</v>
      </c>
      <c r="E935" s="122" t="str">
        <f>vlookup(A935,collexo_data!A:O,15,0)</f>
        <v>#N/A</v>
      </c>
      <c r="F935" s="120" t="str">
        <f>vlookup(A935,collexo_data!A:S,19,0)</f>
        <v>#N/A</v>
      </c>
      <c r="G935" s="122" t="str">
        <f>vlookup(A935,collexo_data!A:R,18,0)</f>
        <v>#N/A</v>
      </c>
      <c r="H935" s="122" t="str">
        <f t="shared" si="1"/>
        <v/>
      </c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  <c r="AB935" s="113"/>
      <c r="AC935" s="113"/>
      <c r="AD935" s="113"/>
      <c r="AE935" s="113"/>
      <c r="AF935" s="113"/>
    </row>
    <row r="936">
      <c r="A936" s="120"/>
      <c r="B936" s="113"/>
      <c r="C936" s="123">
        <f>MINIFS(collexo_data!B:B,collexo_data!A:A,A936)</f>
        <v>0</v>
      </c>
      <c r="D936" s="120" t="str">
        <f>vlookup(A936,collexo_data!A:M,13,0)</f>
        <v>#N/A</v>
      </c>
      <c r="E936" s="122" t="str">
        <f>vlookup(A936,collexo_data!A:O,15,0)</f>
        <v>#N/A</v>
      </c>
      <c r="F936" s="120" t="str">
        <f>vlookup(A936,collexo_data!A:S,19,0)</f>
        <v>#N/A</v>
      </c>
      <c r="G936" s="122" t="str">
        <f>vlookup(A936,collexo_data!A:R,18,0)</f>
        <v>#N/A</v>
      </c>
      <c r="H936" s="122" t="str">
        <f t="shared" si="1"/>
        <v/>
      </c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  <c r="AB936" s="113"/>
      <c r="AC936" s="113"/>
      <c r="AD936" s="113"/>
      <c r="AE936" s="113"/>
      <c r="AF936" s="113"/>
    </row>
    <row r="937">
      <c r="A937" s="120"/>
      <c r="B937" s="113"/>
      <c r="C937" s="123">
        <f>MINIFS(collexo_data!B:B,collexo_data!A:A,A937)</f>
        <v>0</v>
      </c>
      <c r="D937" s="120" t="str">
        <f>vlookup(A937,collexo_data!A:M,13,0)</f>
        <v>#N/A</v>
      </c>
      <c r="E937" s="122" t="str">
        <f>vlookup(A937,collexo_data!A:O,15,0)</f>
        <v>#N/A</v>
      </c>
      <c r="F937" s="120" t="str">
        <f>vlookup(A937,collexo_data!A:S,19,0)</f>
        <v>#N/A</v>
      </c>
      <c r="G937" s="122" t="str">
        <f>vlookup(A937,collexo_data!A:R,18,0)</f>
        <v>#N/A</v>
      </c>
      <c r="H937" s="122" t="str">
        <f t="shared" si="1"/>
        <v/>
      </c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  <c r="AB937" s="113"/>
      <c r="AC937" s="113"/>
      <c r="AD937" s="113"/>
      <c r="AE937" s="113"/>
      <c r="AF937" s="113"/>
    </row>
    <row r="938">
      <c r="A938" s="120"/>
      <c r="B938" s="113"/>
      <c r="C938" s="123">
        <f>MINIFS(collexo_data!B:B,collexo_data!A:A,A938)</f>
        <v>0</v>
      </c>
      <c r="D938" s="120" t="str">
        <f>vlookup(A938,collexo_data!A:M,13,0)</f>
        <v>#N/A</v>
      </c>
      <c r="E938" s="122" t="str">
        <f>vlookup(A938,collexo_data!A:O,15,0)</f>
        <v>#N/A</v>
      </c>
      <c r="F938" s="120" t="str">
        <f>vlookup(A938,collexo_data!A:S,19,0)</f>
        <v>#N/A</v>
      </c>
      <c r="G938" s="122" t="str">
        <f>vlookup(A938,collexo_data!A:R,18,0)</f>
        <v>#N/A</v>
      </c>
      <c r="H938" s="122" t="str">
        <f t="shared" si="1"/>
        <v/>
      </c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  <c r="AB938" s="113"/>
      <c r="AC938" s="113"/>
      <c r="AD938" s="113"/>
      <c r="AE938" s="113"/>
      <c r="AF938" s="113"/>
    </row>
    <row r="939">
      <c r="A939" s="120"/>
      <c r="B939" s="113"/>
      <c r="C939" s="123">
        <f>MINIFS(collexo_data!B:B,collexo_data!A:A,A939)</f>
        <v>0</v>
      </c>
      <c r="D939" s="120" t="str">
        <f>vlookup(A939,collexo_data!A:M,13,0)</f>
        <v>#N/A</v>
      </c>
      <c r="E939" s="122" t="str">
        <f>vlookup(A939,collexo_data!A:O,15,0)</f>
        <v>#N/A</v>
      </c>
      <c r="F939" s="120" t="str">
        <f>vlookup(A939,collexo_data!A:S,19,0)</f>
        <v>#N/A</v>
      </c>
      <c r="G939" s="122" t="str">
        <f>vlookup(A939,collexo_data!A:R,18,0)</f>
        <v>#N/A</v>
      </c>
      <c r="H939" s="122" t="str">
        <f t="shared" si="1"/>
        <v/>
      </c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  <c r="AB939" s="113"/>
      <c r="AC939" s="113"/>
      <c r="AD939" s="113"/>
      <c r="AE939" s="113"/>
      <c r="AF939" s="113"/>
    </row>
    <row r="940">
      <c r="A940" s="120"/>
      <c r="B940" s="113"/>
      <c r="C940" s="123">
        <f>MINIFS(collexo_data!B:B,collexo_data!A:A,A940)</f>
        <v>0</v>
      </c>
      <c r="D940" s="120" t="str">
        <f>vlookup(A940,collexo_data!A:M,13,0)</f>
        <v>#N/A</v>
      </c>
      <c r="E940" s="122" t="str">
        <f>vlookup(A940,collexo_data!A:O,15,0)</f>
        <v>#N/A</v>
      </c>
      <c r="F940" s="120" t="str">
        <f>vlookup(A940,collexo_data!A:S,19,0)</f>
        <v>#N/A</v>
      </c>
      <c r="G940" s="122" t="str">
        <f>vlookup(A940,collexo_data!A:R,18,0)</f>
        <v>#N/A</v>
      </c>
      <c r="H940" s="122" t="str">
        <f t="shared" si="1"/>
        <v/>
      </c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  <c r="AB940" s="113"/>
      <c r="AC940" s="113"/>
      <c r="AD940" s="113"/>
      <c r="AE940" s="113"/>
      <c r="AF940" s="113"/>
    </row>
    <row r="941">
      <c r="A941" s="120"/>
      <c r="B941" s="113"/>
      <c r="C941" s="123">
        <f>MINIFS(collexo_data!B:B,collexo_data!A:A,A941)</f>
        <v>0</v>
      </c>
      <c r="D941" s="120" t="str">
        <f>vlookup(A941,collexo_data!A:M,13,0)</f>
        <v>#N/A</v>
      </c>
      <c r="E941" s="122" t="str">
        <f>vlookup(A941,collexo_data!A:O,15,0)</f>
        <v>#N/A</v>
      </c>
      <c r="F941" s="120" t="str">
        <f>vlookup(A941,collexo_data!A:S,19,0)</f>
        <v>#N/A</v>
      </c>
      <c r="G941" s="122" t="str">
        <f>vlookup(A941,collexo_data!A:R,18,0)</f>
        <v>#N/A</v>
      </c>
      <c r="H941" s="122" t="str">
        <f t="shared" si="1"/>
        <v/>
      </c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  <c r="AB941" s="113"/>
      <c r="AC941" s="113"/>
      <c r="AD941" s="113"/>
      <c r="AE941" s="113"/>
      <c r="AF941" s="113"/>
    </row>
    <row r="942">
      <c r="A942" s="120"/>
      <c r="B942" s="113"/>
      <c r="C942" s="123">
        <f>MINIFS(collexo_data!B:B,collexo_data!A:A,A942)</f>
        <v>0</v>
      </c>
      <c r="D942" s="120" t="str">
        <f>vlookup(A942,collexo_data!A:M,13,0)</f>
        <v>#N/A</v>
      </c>
      <c r="E942" s="122" t="str">
        <f>vlookup(A942,collexo_data!A:O,15,0)</f>
        <v>#N/A</v>
      </c>
      <c r="F942" s="120" t="str">
        <f>vlookup(A942,collexo_data!A:S,19,0)</f>
        <v>#N/A</v>
      </c>
      <c r="G942" s="122" t="str">
        <f>vlookup(A942,collexo_data!A:R,18,0)</f>
        <v>#N/A</v>
      </c>
      <c r="H942" s="122" t="str">
        <f t="shared" si="1"/>
        <v/>
      </c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  <c r="AB942" s="113"/>
      <c r="AC942" s="113"/>
      <c r="AD942" s="113"/>
      <c r="AE942" s="113"/>
      <c r="AF942" s="113"/>
    </row>
    <row r="943">
      <c r="A943" s="120"/>
      <c r="B943" s="113"/>
      <c r="C943" s="123">
        <f>MINIFS(collexo_data!B:B,collexo_data!A:A,A943)</f>
        <v>0</v>
      </c>
      <c r="D943" s="120" t="str">
        <f>vlookup(A943,collexo_data!A:M,13,0)</f>
        <v>#N/A</v>
      </c>
      <c r="E943" s="122" t="str">
        <f>vlookup(A943,collexo_data!A:O,15,0)</f>
        <v>#N/A</v>
      </c>
      <c r="F943" s="120" t="str">
        <f>vlookup(A943,collexo_data!A:S,19,0)</f>
        <v>#N/A</v>
      </c>
      <c r="G943" s="122" t="str">
        <f>vlookup(A943,collexo_data!A:R,18,0)</f>
        <v>#N/A</v>
      </c>
      <c r="H943" s="122" t="str">
        <f t="shared" si="1"/>
        <v/>
      </c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  <c r="AB943" s="113"/>
      <c r="AC943" s="113"/>
      <c r="AD943" s="113"/>
      <c r="AE943" s="113"/>
      <c r="AF943" s="113"/>
    </row>
    <row r="944">
      <c r="A944" s="120"/>
      <c r="B944" s="113"/>
      <c r="C944" s="123">
        <f>MINIFS(collexo_data!B:B,collexo_data!A:A,A944)</f>
        <v>0</v>
      </c>
      <c r="D944" s="120" t="str">
        <f>vlookup(A944,collexo_data!A:M,13,0)</f>
        <v>#N/A</v>
      </c>
      <c r="E944" s="122" t="str">
        <f>vlookup(A944,collexo_data!A:O,15,0)</f>
        <v>#N/A</v>
      </c>
      <c r="F944" s="120" t="str">
        <f>vlookup(A944,collexo_data!A:S,19,0)</f>
        <v>#N/A</v>
      </c>
      <c r="G944" s="122" t="str">
        <f>vlookup(A944,collexo_data!A:R,18,0)</f>
        <v>#N/A</v>
      </c>
      <c r="H944" s="122" t="str">
        <f t="shared" si="1"/>
        <v/>
      </c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  <c r="AB944" s="113"/>
      <c r="AC944" s="113"/>
      <c r="AD944" s="113"/>
      <c r="AE944" s="113"/>
      <c r="AF944" s="113"/>
    </row>
    <row r="945">
      <c r="A945" s="120"/>
      <c r="B945" s="113"/>
      <c r="C945" s="123">
        <f>MINIFS(collexo_data!B:B,collexo_data!A:A,A945)</f>
        <v>0</v>
      </c>
      <c r="D945" s="120" t="str">
        <f>vlookup(A945,collexo_data!A:M,13,0)</f>
        <v>#N/A</v>
      </c>
      <c r="E945" s="122" t="str">
        <f>vlookup(A945,collexo_data!A:O,15,0)</f>
        <v>#N/A</v>
      </c>
      <c r="F945" s="120" t="str">
        <f>vlookup(A945,collexo_data!A:S,19,0)</f>
        <v>#N/A</v>
      </c>
      <c r="G945" s="122" t="str">
        <f>vlookup(A945,collexo_data!A:R,18,0)</f>
        <v>#N/A</v>
      </c>
      <c r="H945" s="122" t="str">
        <f t="shared" si="1"/>
        <v/>
      </c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  <c r="AB945" s="113"/>
      <c r="AC945" s="113"/>
      <c r="AD945" s="113"/>
      <c r="AE945" s="113"/>
      <c r="AF945" s="113"/>
    </row>
    <row r="946">
      <c r="A946" s="120"/>
      <c r="B946" s="113"/>
      <c r="C946" s="123">
        <f>MINIFS(collexo_data!B:B,collexo_data!A:A,A946)</f>
        <v>0</v>
      </c>
      <c r="D946" s="120" t="str">
        <f>vlookup(A946,collexo_data!A:M,13,0)</f>
        <v>#N/A</v>
      </c>
      <c r="E946" s="122" t="str">
        <f>vlookup(A946,collexo_data!A:O,15,0)</f>
        <v>#N/A</v>
      </c>
      <c r="F946" s="120" t="str">
        <f>vlookup(A946,collexo_data!A:S,19,0)</f>
        <v>#N/A</v>
      </c>
      <c r="G946" s="122" t="str">
        <f>vlookup(A946,collexo_data!A:R,18,0)</f>
        <v>#N/A</v>
      </c>
      <c r="H946" s="122" t="str">
        <f t="shared" si="1"/>
        <v/>
      </c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  <c r="AB946" s="113"/>
      <c r="AC946" s="113"/>
      <c r="AD946" s="113"/>
      <c r="AE946" s="113"/>
      <c r="AF946" s="113"/>
    </row>
    <row r="947">
      <c r="A947" s="120"/>
      <c r="B947" s="113"/>
      <c r="C947" s="123">
        <f>MINIFS(collexo_data!B:B,collexo_data!A:A,A947)</f>
        <v>0</v>
      </c>
      <c r="D947" s="120" t="str">
        <f>vlookup(A947,collexo_data!A:M,13,0)</f>
        <v>#N/A</v>
      </c>
      <c r="E947" s="122" t="str">
        <f>vlookup(A947,collexo_data!A:O,15,0)</f>
        <v>#N/A</v>
      </c>
      <c r="F947" s="120" t="str">
        <f>vlookup(A947,collexo_data!A:S,19,0)</f>
        <v>#N/A</v>
      </c>
      <c r="G947" s="122" t="str">
        <f>vlookup(A947,collexo_data!A:R,18,0)</f>
        <v>#N/A</v>
      </c>
      <c r="H947" s="122" t="str">
        <f t="shared" si="1"/>
        <v/>
      </c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  <c r="AB947" s="113"/>
      <c r="AC947" s="113"/>
      <c r="AD947" s="113"/>
      <c r="AE947" s="113"/>
      <c r="AF947" s="113"/>
    </row>
    <row r="948">
      <c r="A948" s="120"/>
      <c r="B948" s="113"/>
      <c r="C948" s="123">
        <f>MINIFS(collexo_data!B:B,collexo_data!A:A,A948)</f>
        <v>0</v>
      </c>
      <c r="D948" s="120" t="str">
        <f>vlookup(A948,collexo_data!A:M,13,0)</f>
        <v>#N/A</v>
      </c>
      <c r="E948" s="122" t="str">
        <f>vlookup(A948,collexo_data!A:O,15,0)</f>
        <v>#N/A</v>
      </c>
      <c r="F948" s="120" t="str">
        <f>vlookup(A948,collexo_data!A:S,19,0)</f>
        <v>#N/A</v>
      </c>
      <c r="G948" s="122" t="str">
        <f>vlookup(A948,collexo_data!A:R,18,0)</f>
        <v>#N/A</v>
      </c>
      <c r="H948" s="122" t="str">
        <f t="shared" si="1"/>
        <v/>
      </c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  <c r="AB948" s="113"/>
      <c r="AC948" s="113"/>
      <c r="AD948" s="113"/>
      <c r="AE948" s="113"/>
      <c r="AF948" s="113"/>
    </row>
    <row r="949">
      <c r="A949" s="120"/>
      <c r="B949" s="113"/>
      <c r="C949" s="123">
        <f>MINIFS(collexo_data!B:B,collexo_data!A:A,A949)</f>
        <v>0</v>
      </c>
      <c r="D949" s="120" t="str">
        <f>vlookup(A949,collexo_data!A:M,13,0)</f>
        <v>#N/A</v>
      </c>
      <c r="E949" s="122" t="str">
        <f>vlookup(A949,collexo_data!A:O,15,0)</f>
        <v>#N/A</v>
      </c>
      <c r="F949" s="120" t="str">
        <f>vlookup(A949,collexo_data!A:S,19,0)</f>
        <v>#N/A</v>
      </c>
      <c r="G949" s="122" t="str">
        <f>vlookup(A949,collexo_data!A:R,18,0)</f>
        <v>#N/A</v>
      </c>
      <c r="H949" s="122" t="str">
        <f t="shared" si="1"/>
        <v/>
      </c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  <c r="AB949" s="113"/>
      <c r="AC949" s="113"/>
      <c r="AD949" s="113"/>
      <c r="AE949" s="113"/>
      <c r="AF949" s="113"/>
    </row>
    <row r="950">
      <c r="A950" s="120"/>
      <c r="B950" s="113"/>
      <c r="C950" s="123">
        <f>MINIFS(collexo_data!B:B,collexo_data!A:A,A950)</f>
        <v>0</v>
      </c>
      <c r="D950" s="120" t="str">
        <f>vlookup(A950,collexo_data!A:M,13,0)</f>
        <v>#N/A</v>
      </c>
      <c r="E950" s="122" t="str">
        <f>vlookup(A950,collexo_data!A:O,15,0)</f>
        <v>#N/A</v>
      </c>
      <c r="F950" s="120" t="str">
        <f>vlookup(A950,collexo_data!A:S,19,0)</f>
        <v>#N/A</v>
      </c>
      <c r="G950" s="122" t="str">
        <f>vlookup(A950,collexo_data!A:R,18,0)</f>
        <v>#N/A</v>
      </c>
      <c r="H950" s="122" t="str">
        <f t="shared" si="1"/>
        <v/>
      </c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  <c r="AB950" s="113"/>
      <c r="AC950" s="113"/>
      <c r="AD950" s="113"/>
      <c r="AE950" s="113"/>
      <c r="AF950" s="113"/>
    </row>
    <row r="951">
      <c r="A951" s="120"/>
      <c r="B951" s="113"/>
      <c r="C951" s="123">
        <f>MINIFS(collexo_data!B:B,collexo_data!A:A,A951)</f>
        <v>0</v>
      </c>
      <c r="D951" s="120" t="str">
        <f>vlookup(A951,collexo_data!A:M,13,0)</f>
        <v>#N/A</v>
      </c>
      <c r="E951" s="122" t="str">
        <f>vlookup(A951,collexo_data!A:O,15,0)</f>
        <v>#N/A</v>
      </c>
      <c r="F951" s="120" t="str">
        <f>vlookup(A951,collexo_data!A:S,19,0)</f>
        <v>#N/A</v>
      </c>
      <c r="G951" s="122" t="str">
        <f>vlookup(A951,collexo_data!A:R,18,0)</f>
        <v>#N/A</v>
      </c>
      <c r="H951" s="122" t="str">
        <f t="shared" si="1"/>
        <v/>
      </c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  <c r="AB951" s="113"/>
      <c r="AC951" s="113"/>
      <c r="AD951" s="113"/>
      <c r="AE951" s="113"/>
      <c r="AF951" s="113"/>
    </row>
    <row r="952">
      <c r="A952" s="120"/>
      <c r="B952" s="113"/>
      <c r="C952" s="123">
        <f>MINIFS(collexo_data!B:B,collexo_data!A:A,A952)</f>
        <v>0</v>
      </c>
      <c r="D952" s="120" t="str">
        <f>vlookup(A952,collexo_data!A:M,13,0)</f>
        <v>#N/A</v>
      </c>
      <c r="E952" s="122" t="str">
        <f>vlookup(A952,collexo_data!A:O,15,0)</f>
        <v>#N/A</v>
      </c>
      <c r="F952" s="120" t="str">
        <f>vlookup(A952,collexo_data!A:S,19,0)</f>
        <v>#N/A</v>
      </c>
      <c r="G952" s="122" t="str">
        <f>vlookup(A952,collexo_data!A:R,18,0)</f>
        <v>#N/A</v>
      </c>
      <c r="H952" s="122" t="str">
        <f t="shared" si="1"/>
        <v/>
      </c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  <c r="AB952" s="113"/>
      <c r="AC952" s="113"/>
      <c r="AD952" s="113"/>
      <c r="AE952" s="113"/>
      <c r="AF952" s="113"/>
    </row>
    <row r="953">
      <c r="A953" s="120"/>
      <c r="B953" s="113"/>
      <c r="C953" s="123">
        <f>MINIFS(collexo_data!B:B,collexo_data!A:A,A953)</f>
        <v>0</v>
      </c>
      <c r="D953" s="120" t="str">
        <f>vlookup(A953,collexo_data!A:M,13,0)</f>
        <v>#N/A</v>
      </c>
      <c r="E953" s="122" t="str">
        <f>vlookup(A953,collexo_data!A:O,15,0)</f>
        <v>#N/A</v>
      </c>
      <c r="F953" s="120" t="str">
        <f>vlookup(A953,collexo_data!A:S,19,0)</f>
        <v>#N/A</v>
      </c>
      <c r="G953" s="122" t="str">
        <f>vlookup(A953,collexo_data!A:R,18,0)</f>
        <v>#N/A</v>
      </c>
      <c r="H953" s="122" t="str">
        <f t="shared" si="1"/>
        <v/>
      </c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  <c r="AB953" s="113"/>
      <c r="AC953" s="113"/>
      <c r="AD953" s="113"/>
      <c r="AE953" s="113"/>
      <c r="AF953" s="113"/>
    </row>
    <row r="954">
      <c r="A954" s="120"/>
      <c r="B954" s="113"/>
      <c r="C954" s="123">
        <f>MINIFS(collexo_data!B:B,collexo_data!A:A,A954)</f>
        <v>0</v>
      </c>
      <c r="D954" s="120" t="str">
        <f>vlookup(A954,collexo_data!A:M,13,0)</f>
        <v>#N/A</v>
      </c>
      <c r="E954" s="122" t="str">
        <f>vlookup(A954,collexo_data!A:O,15,0)</f>
        <v>#N/A</v>
      </c>
      <c r="F954" s="120" t="str">
        <f>vlookup(A954,collexo_data!A:S,19,0)</f>
        <v>#N/A</v>
      </c>
      <c r="G954" s="122" t="str">
        <f>vlookup(A954,collexo_data!A:R,18,0)</f>
        <v>#N/A</v>
      </c>
      <c r="H954" s="122" t="str">
        <f t="shared" si="1"/>
        <v/>
      </c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  <c r="AB954" s="113"/>
      <c r="AC954" s="113"/>
      <c r="AD954" s="113"/>
      <c r="AE954" s="113"/>
      <c r="AF954" s="113"/>
    </row>
    <row r="955">
      <c r="A955" s="120"/>
      <c r="B955" s="113"/>
      <c r="C955" s="123">
        <f>MINIFS(collexo_data!B:B,collexo_data!A:A,A955)</f>
        <v>0</v>
      </c>
      <c r="D955" s="120" t="str">
        <f>vlookup(A955,collexo_data!A:M,13,0)</f>
        <v>#N/A</v>
      </c>
      <c r="E955" s="122" t="str">
        <f>vlookup(A955,collexo_data!A:O,15,0)</f>
        <v>#N/A</v>
      </c>
      <c r="F955" s="120" t="str">
        <f>vlookup(A955,collexo_data!A:S,19,0)</f>
        <v>#N/A</v>
      </c>
      <c r="G955" s="122" t="str">
        <f>vlookup(A955,collexo_data!A:R,18,0)</f>
        <v>#N/A</v>
      </c>
      <c r="H955" s="122" t="str">
        <f t="shared" si="1"/>
        <v/>
      </c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  <c r="AB955" s="113"/>
      <c r="AC955" s="113"/>
      <c r="AD955" s="113"/>
      <c r="AE955" s="113"/>
      <c r="AF955" s="113"/>
    </row>
    <row r="956">
      <c r="A956" s="120"/>
      <c r="B956" s="113"/>
      <c r="C956" s="123">
        <f>MINIFS(collexo_data!B:B,collexo_data!A:A,A956)</f>
        <v>0</v>
      </c>
      <c r="D956" s="120" t="str">
        <f>vlookup(A956,collexo_data!A:M,13,0)</f>
        <v>#N/A</v>
      </c>
      <c r="E956" s="122" t="str">
        <f>vlookup(A956,collexo_data!A:O,15,0)</f>
        <v>#N/A</v>
      </c>
      <c r="F956" s="120" t="str">
        <f>vlookup(A956,collexo_data!A:S,19,0)</f>
        <v>#N/A</v>
      </c>
      <c r="G956" s="122" t="str">
        <f>vlookup(A956,collexo_data!A:R,18,0)</f>
        <v>#N/A</v>
      </c>
      <c r="H956" s="122" t="str">
        <f t="shared" si="1"/>
        <v/>
      </c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  <c r="AB956" s="113"/>
      <c r="AC956" s="113"/>
      <c r="AD956" s="113"/>
      <c r="AE956" s="113"/>
      <c r="AF956" s="113"/>
    </row>
    <row r="957">
      <c r="A957" s="120"/>
      <c r="B957" s="113"/>
      <c r="C957" s="123">
        <f>MINIFS(collexo_data!B:B,collexo_data!A:A,A957)</f>
        <v>0</v>
      </c>
      <c r="D957" s="120" t="str">
        <f>vlookup(A957,collexo_data!A:M,13,0)</f>
        <v>#N/A</v>
      </c>
      <c r="E957" s="122" t="str">
        <f>vlookup(A957,collexo_data!A:O,15,0)</f>
        <v>#N/A</v>
      </c>
      <c r="F957" s="120" t="str">
        <f>vlookup(A957,collexo_data!A:S,19,0)</f>
        <v>#N/A</v>
      </c>
      <c r="G957" s="122" t="str">
        <f>vlookup(A957,collexo_data!A:R,18,0)</f>
        <v>#N/A</v>
      </c>
      <c r="H957" s="122" t="str">
        <f t="shared" si="1"/>
        <v/>
      </c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  <c r="AB957" s="113"/>
      <c r="AC957" s="113"/>
      <c r="AD957" s="113"/>
      <c r="AE957" s="113"/>
      <c r="AF957" s="113"/>
    </row>
    <row r="958">
      <c r="A958" s="120"/>
      <c r="B958" s="113"/>
      <c r="C958" s="123">
        <f>MINIFS(collexo_data!B:B,collexo_data!A:A,A958)</f>
        <v>0</v>
      </c>
      <c r="D958" s="120" t="str">
        <f>vlookup(A958,collexo_data!A:M,13,0)</f>
        <v>#N/A</v>
      </c>
      <c r="E958" s="122" t="str">
        <f>vlookup(A958,collexo_data!A:O,15,0)</f>
        <v>#N/A</v>
      </c>
      <c r="F958" s="120" t="str">
        <f>vlookup(A958,collexo_data!A:S,19,0)</f>
        <v>#N/A</v>
      </c>
      <c r="G958" s="122" t="str">
        <f>vlookup(A958,collexo_data!A:R,18,0)</f>
        <v>#N/A</v>
      </c>
      <c r="H958" s="122" t="str">
        <f t="shared" si="1"/>
        <v/>
      </c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  <c r="AB958" s="113"/>
      <c r="AC958" s="113"/>
      <c r="AD958" s="113"/>
      <c r="AE958" s="113"/>
      <c r="AF958" s="113"/>
    </row>
    <row r="959">
      <c r="A959" s="120"/>
      <c r="B959" s="113"/>
      <c r="C959" s="123">
        <f>MINIFS(collexo_data!B:B,collexo_data!A:A,A959)</f>
        <v>0</v>
      </c>
      <c r="D959" s="120" t="str">
        <f>vlookup(A959,collexo_data!A:M,13,0)</f>
        <v>#N/A</v>
      </c>
      <c r="E959" s="122" t="str">
        <f>vlookup(A959,collexo_data!A:O,15,0)</f>
        <v>#N/A</v>
      </c>
      <c r="F959" s="120" t="str">
        <f>vlookup(A959,collexo_data!A:S,19,0)</f>
        <v>#N/A</v>
      </c>
      <c r="G959" s="122" t="str">
        <f>vlookup(A959,collexo_data!A:R,18,0)</f>
        <v>#N/A</v>
      </c>
      <c r="H959" s="122" t="str">
        <f t="shared" si="1"/>
        <v/>
      </c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  <c r="AB959" s="113"/>
      <c r="AC959" s="113"/>
      <c r="AD959" s="113"/>
      <c r="AE959" s="113"/>
      <c r="AF959" s="113"/>
    </row>
    <row r="960">
      <c r="A960" s="120"/>
      <c r="B960" s="113"/>
      <c r="C960" s="123">
        <f>MINIFS(collexo_data!B:B,collexo_data!A:A,A960)</f>
        <v>0</v>
      </c>
      <c r="D960" s="120" t="str">
        <f>vlookup(A960,collexo_data!A:M,13,0)</f>
        <v>#N/A</v>
      </c>
      <c r="E960" s="122" t="str">
        <f>vlookup(A960,collexo_data!A:O,15,0)</f>
        <v>#N/A</v>
      </c>
      <c r="F960" s="120" t="str">
        <f>vlookup(A960,collexo_data!A:S,19,0)</f>
        <v>#N/A</v>
      </c>
      <c r="G960" s="122" t="str">
        <f>vlookup(A960,collexo_data!A:R,18,0)</f>
        <v>#N/A</v>
      </c>
      <c r="H960" s="122" t="str">
        <f t="shared" si="1"/>
        <v/>
      </c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  <c r="AB960" s="113"/>
      <c r="AC960" s="113"/>
      <c r="AD960" s="113"/>
      <c r="AE960" s="113"/>
      <c r="AF960" s="113"/>
    </row>
    <row r="961">
      <c r="A961" s="120"/>
      <c r="B961" s="113"/>
      <c r="C961" s="123">
        <f>MINIFS(collexo_data!B:B,collexo_data!A:A,A961)</f>
        <v>0</v>
      </c>
      <c r="D961" s="120" t="str">
        <f>vlookup(A961,collexo_data!A:M,13,0)</f>
        <v>#N/A</v>
      </c>
      <c r="E961" s="122" t="str">
        <f>vlookup(A961,collexo_data!A:O,15,0)</f>
        <v>#N/A</v>
      </c>
      <c r="F961" s="120" t="str">
        <f>vlookup(A961,collexo_data!A:S,19,0)</f>
        <v>#N/A</v>
      </c>
      <c r="G961" s="122" t="str">
        <f>vlookup(A961,collexo_data!A:R,18,0)</f>
        <v>#N/A</v>
      </c>
      <c r="H961" s="122" t="str">
        <f t="shared" si="1"/>
        <v/>
      </c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  <c r="AB961" s="113"/>
      <c r="AC961" s="113"/>
      <c r="AD961" s="113"/>
      <c r="AE961" s="113"/>
      <c r="AF961" s="113"/>
    </row>
    <row r="962">
      <c r="A962" s="120"/>
      <c r="B962" s="113"/>
      <c r="C962" s="123">
        <f>MINIFS(collexo_data!B:B,collexo_data!A:A,A962)</f>
        <v>0</v>
      </c>
      <c r="D962" s="120" t="str">
        <f>vlookup(A962,collexo_data!A:M,13,0)</f>
        <v>#N/A</v>
      </c>
      <c r="E962" s="122" t="str">
        <f>vlookup(A962,collexo_data!A:O,15,0)</f>
        <v>#N/A</v>
      </c>
      <c r="F962" s="120" t="str">
        <f>vlookup(A962,collexo_data!A:S,19,0)</f>
        <v>#N/A</v>
      </c>
      <c r="G962" s="122" t="str">
        <f>vlookup(A962,collexo_data!A:R,18,0)</f>
        <v>#N/A</v>
      </c>
      <c r="H962" s="122" t="str">
        <f t="shared" si="1"/>
        <v/>
      </c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  <c r="AB962" s="113"/>
      <c r="AC962" s="113"/>
      <c r="AD962" s="113"/>
      <c r="AE962" s="113"/>
      <c r="AF962" s="113"/>
    </row>
    <row r="963">
      <c r="A963" s="120"/>
      <c r="B963" s="113"/>
      <c r="C963" s="123">
        <f>MINIFS(collexo_data!B:B,collexo_data!A:A,A963)</f>
        <v>0</v>
      </c>
      <c r="D963" s="120" t="str">
        <f>vlookup(A963,collexo_data!A:M,13,0)</f>
        <v>#N/A</v>
      </c>
      <c r="E963" s="122" t="str">
        <f>vlookup(A963,collexo_data!A:O,15,0)</f>
        <v>#N/A</v>
      </c>
      <c r="F963" s="120" t="str">
        <f>vlookup(A963,collexo_data!A:S,19,0)</f>
        <v>#N/A</v>
      </c>
      <c r="G963" s="122" t="str">
        <f>vlookup(A963,collexo_data!A:R,18,0)</f>
        <v>#N/A</v>
      </c>
      <c r="H963" s="122" t="str">
        <f t="shared" si="1"/>
        <v/>
      </c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  <c r="AB963" s="113"/>
      <c r="AC963" s="113"/>
      <c r="AD963" s="113"/>
      <c r="AE963" s="113"/>
      <c r="AF963" s="113"/>
    </row>
    <row r="964">
      <c r="A964" s="120"/>
      <c r="B964" s="113"/>
      <c r="C964" s="123">
        <f>MINIFS(collexo_data!B:B,collexo_data!A:A,A964)</f>
        <v>0</v>
      </c>
      <c r="D964" s="120" t="str">
        <f>vlookup(A964,collexo_data!A:M,13,0)</f>
        <v>#N/A</v>
      </c>
      <c r="E964" s="122" t="str">
        <f>vlookup(A964,collexo_data!A:O,15,0)</f>
        <v>#N/A</v>
      </c>
      <c r="F964" s="120" t="str">
        <f>vlookup(A964,collexo_data!A:S,19,0)</f>
        <v>#N/A</v>
      </c>
      <c r="G964" s="122" t="str">
        <f>vlookup(A964,collexo_data!A:R,18,0)</f>
        <v>#N/A</v>
      </c>
      <c r="H964" s="122" t="str">
        <f t="shared" si="1"/>
        <v/>
      </c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  <c r="AB964" s="113"/>
      <c r="AC964" s="113"/>
      <c r="AD964" s="113"/>
      <c r="AE964" s="113"/>
      <c r="AF964" s="113"/>
    </row>
    <row r="965">
      <c r="A965" s="120"/>
      <c r="B965" s="113"/>
      <c r="C965" s="123">
        <f>MINIFS(collexo_data!B:B,collexo_data!A:A,A965)</f>
        <v>0</v>
      </c>
      <c r="D965" s="120" t="str">
        <f>vlookup(A965,collexo_data!A:M,13,0)</f>
        <v>#N/A</v>
      </c>
      <c r="E965" s="122" t="str">
        <f>vlookup(A965,collexo_data!A:O,15,0)</f>
        <v>#N/A</v>
      </c>
      <c r="F965" s="120" t="str">
        <f>vlookup(A965,collexo_data!A:S,19,0)</f>
        <v>#N/A</v>
      </c>
      <c r="G965" s="122" t="str">
        <f>vlookup(A965,collexo_data!A:R,18,0)</f>
        <v>#N/A</v>
      </c>
      <c r="H965" s="122" t="str">
        <f t="shared" si="1"/>
        <v/>
      </c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  <c r="AB965" s="113"/>
      <c r="AC965" s="113"/>
      <c r="AD965" s="113"/>
      <c r="AE965" s="113"/>
      <c r="AF965" s="113"/>
    </row>
    <row r="966">
      <c r="A966" s="120"/>
      <c r="B966" s="113"/>
      <c r="C966" s="123">
        <f>MINIFS(collexo_data!B:B,collexo_data!A:A,A966)</f>
        <v>0</v>
      </c>
      <c r="D966" s="120" t="str">
        <f>vlookup(A966,collexo_data!A:M,13,0)</f>
        <v>#N/A</v>
      </c>
      <c r="E966" s="122" t="str">
        <f>vlookup(A966,collexo_data!A:O,15,0)</f>
        <v>#N/A</v>
      </c>
      <c r="F966" s="120" t="str">
        <f>vlookup(A966,collexo_data!A:S,19,0)</f>
        <v>#N/A</v>
      </c>
      <c r="G966" s="122" t="str">
        <f>vlookup(A966,collexo_data!A:R,18,0)</f>
        <v>#N/A</v>
      </c>
      <c r="H966" s="122" t="str">
        <f t="shared" si="1"/>
        <v/>
      </c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  <c r="AB966" s="113"/>
      <c r="AC966" s="113"/>
      <c r="AD966" s="113"/>
      <c r="AE966" s="113"/>
      <c r="AF966" s="113"/>
    </row>
    <row r="967">
      <c r="A967" s="120"/>
      <c r="B967" s="113"/>
      <c r="C967" s="123">
        <f>MINIFS(collexo_data!B:B,collexo_data!A:A,A967)</f>
        <v>0</v>
      </c>
      <c r="D967" s="120" t="str">
        <f>vlookup(A967,collexo_data!A:M,13,0)</f>
        <v>#N/A</v>
      </c>
      <c r="E967" s="122" t="str">
        <f>vlookup(A967,collexo_data!A:O,15,0)</f>
        <v>#N/A</v>
      </c>
      <c r="F967" s="120" t="str">
        <f>vlookup(A967,collexo_data!A:S,19,0)</f>
        <v>#N/A</v>
      </c>
      <c r="G967" s="122" t="str">
        <f>vlookup(A967,collexo_data!A:R,18,0)</f>
        <v>#N/A</v>
      </c>
      <c r="H967" s="122" t="str">
        <f t="shared" si="1"/>
        <v/>
      </c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  <c r="AB967" s="113"/>
      <c r="AC967" s="113"/>
      <c r="AD967" s="113"/>
      <c r="AE967" s="113"/>
      <c r="AF967" s="113"/>
    </row>
    <row r="968">
      <c r="A968" s="120"/>
      <c r="B968" s="113"/>
      <c r="C968" s="123">
        <f>MINIFS(collexo_data!B:B,collexo_data!A:A,A968)</f>
        <v>0</v>
      </c>
      <c r="D968" s="120" t="str">
        <f>vlookup(A968,collexo_data!A:M,13,0)</f>
        <v>#N/A</v>
      </c>
      <c r="E968" s="122" t="str">
        <f>vlookup(A968,collexo_data!A:O,15,0)</f>
        <v>#N/A</v>
      </c>
      <c r="F968" s="120" t="str">
        <f>vlookup(A968,collexo_data!A:S,19,0)</f>
        <v>#N/A</v>
      </c>
      <c r="G968" s="122" t="str">
        <f>vlookup(A968,collexo_data!A:R,18,0)</f>
        <v>#N/A</v>
      </c>
      <c r="H968" s="122" t="str">
        <f t="shared" si="1"/>
        <v/>
      </c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  <c r="AB968" s="113"/>
      <c r="AC968" s="113"/>
      <c r="AD968" s="113"/>
      <c r="AE968" s="113"/>
      <c r="AF968" s="113"/>
    </row>
    <row r="969">
      <c r="A969" s="120"/>
      <c r="B969" s="113"/>
      <c r="C969" s="123">
        <f>MINIFS(collexo_data!B:B,collexo_data!A:A,A969)</f>
        <v>0</v>
      </c>
      <c r="D969" s="120" t="str">
        <f>vlookup(A969,collexo_data!A:M,13,0)</f>
        <v>#N/A</v>
      </c>
      <c r="E969" s="122" t="str">
        <f>vlookup(A969,collexo_data!A:O,15,0)</f>
        <v>#N/A</v>
      </c>
      <c r="F969" s="120" t="str">
        <f>vlookup(A969,collexo_data!A:S,19,0)</f>
        <v>#N/A</v>
      </c>
      <c r="G969" s="122" t="str">
        <f>vlookup(A969,collexo_data!A:R,18,0)</f>
        <v>#N/A</v>
      </c>
      <c r="H969" s="122" t="str">
        <f t="shared" si="1"/>
        <v/>
      </c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  <c r="AB969" s="113"/>
      <c r="AC969" s="113"/>
      <c r="AD969" s="113"/>
      <c r="AE969" s="113"/>
      <c r="AF969" s="113"/>
    </row>
    <row r="970">
      <c r="A970" s="120"/>
      <c r="B970" s="113"/>
      <c r="C970" s="123">
        <f>MINIFS(collexo_data!B:B,collexo_data!A:A,A970)</f>
        <v>0</v>
      </c>
      <c r="D970" s="120" t="str">
        <f>vlookup(A970,collexo_data!A:M,13,0)</f>
        <v>#N/A</v>
      </c>
      <c r="E970" s="122" t="str">
        <f>vlookup(A970,collexo_data!A:O,15,0)</f>
        <v>#N/A</v>
      </c>
      <c r="F970" s="120" t="str">
        <f>vlookup(A970,collexo_data!A:S,19,0)</f>
        <v>#N/A</v>
      </c>
      <c r="G970" s="122" t="str">
        <f>vlookup(A970,collexo_data!A:R,18,0)</f>
        <v>#N/A</v>
      </c>
      <c r="H970" s="122" t="str">
        <f t="shared" si="1"/>
        <v/>
      </c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  <c r="AB970" s="113"/>
      <c r="AC970" s="113"/>
      <c r="AD970" s="113"/>
      <c r="AE970" s="113"/>
      <c r="AF970" s="113"/>
    </row>
    <row r="971">
      <c r="A971" s="120"/>
      <c r="B971" s="113"/>
      <c r="C971" s="123">
        <f>MINIFS(collexo_data!B:B,collexo_data!A:A,A971)</f>
        <v>0</v>
      </c>
      <c r="D971" s="120" t="str">
        <f>vlookup(A971,collexo_data!A:M,13,0)</f>
        <v>#N/A</v>
      </c>
      <c r="E971" s="122" t="str">
        <f>vlookup(A971,collexo_data!A:O,15,0)</f>
        <v>#N/A</v>
      </c>
      <c r="F971" s="120" t="str">
        <f>vlookup(A971,collexo_data!A:S,19,0)</f>
        <v>#N/A</v>
      </c>
      <c r="G971" s="122" t="str">
        <f>vlookup(A971,collexo_data!A:R,18,0)</f>
        <v>#N/A</v>
      </c>
      <c r="H971" s="122" t="str">
        <f t="shared" si="1"/>
        <v/>
      </c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  <c r="AB971" s="113"/>
      <c r="AC971" s="113"/>
      <c r="AD971" s="113"/>
      <c r="AE971" s="113"/>
      <c r="AF971" s="113"/>
    </row>
    <row r="972">
      <c r="A972" s="120"/>
      <c r="B972" s="113"/>
      <c r="C972" s="123">
        <f>MINIFS(collexo_data!B:B,collexo_data!A:A,A972)</f>
        <v>0</v>
      </c>
      <c r="D972" s="120" t="str">
        <f>vlookup(A972,collexo_data!A:M,13,0)</f>
        <v>#N/A</v>
      </c>
      <c r="E972" s="122" t="str">
        <f>vlookup(A972,collexo_data!A:O,15,0)</f>
        <v>#N/A</v>
      </c>
      <c r="F972" s="120" t="str">
        <f>vlookup(A972,collexo_data!A:S,19,0)</f>
        <v>#N/A</v>
      </c>
      <c r="G972" s="122" t="str">
        <f>vlookup(A972,collexo_data!A:R,18,0)</f>
        <v>#N/A</v>
      </c>
      <c r="H972" s="122" t="str">
        <f t="shared" si="1"/>
        <v/>
      </c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  <c r="AB972" s="113"/>
      <c r="AC972" s="113"/>
      <c r="AD972" s="113"/>
      <c r="AE972" s="113"/>
      <c r="AF972" s="113"/>
    </row>
    <row r="973">
      <c r="A973" s="120"/>
      <c r="B973" s="113"/>
      <c r="C973" s="123">
        <f>MINIFS(collexo_data!B:B,collexo_data!A:A,A973)</f>
        <v>0</v>
      </c>
      <c r="D973" s="120" t="str">
        <f>vlookup(A973,collexo_data!A:M,13,0)</f>
        <v>#N/A</v>
      </c>
      <c r="E973" s="122" t="str">
        <f>vlookup(A973,collexo_data!A:O,15,0)</f>
        <v>#N/A</v>
      </c>
      <c r="F973" s="120" t="str">
        <f>vlookup(A973,collexo_data!A:S,19,0)</f>
        <v>#N/A</v>
      </c>
      <c r="G973" s="122" t="str">
        <f>vlookup(A973,collexo_data!A:R,18,0)</f>
        <v>#N/A</v>
      </c>
      <c r="H973" s="122" t="str">
        <f t="shared" si="1"/>
        <v/>
      </c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  <c r="AB973" s="113"/>
      <c r="AC973" s="113"/>
      <c r="AD973" s="113"/>
      <c r="AE973" s="113"/>
      <c r="AF973" s="113"/>
    </row>
    <row r="974">
      <c r="A974" s="120"/>
      <c r="B974" s="113"/>
      <c r="C974" s="123">
        <f>MINIFS(collexo_data!B:B,collexo_data!A:A,A974)</f>
        <v>0</v>
      </c>
      <c r="D974" s="120" t="str">
        <f>vlookup(A974,collexo_data!A:M,13,0)</f>
        <v>#N/A</v>
      </c>
      <c r="E974" s="122" t="str">
        <f>vlookup(A974,collexo_data!A:O,15,0)</f>
        <v>#N/A</v>
      </c>
      <c r="F974" s="120" t="str">
        <f>vlookup(A974,collexo_data!A:S,19,0)</f>
        <v>#N/A</v>
      </c>
      <c r="G974" s="122" t="str">
        <f>vlookup(A974,collexo_data!A:R,18,0)</f>
        <v>#N/A</v>
      </c>
      <c r="H974" s="122" t="str">
        <f t="shared" si="1"/>
        <v/>
      </c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  <c r="AB974" s="113"/>
      <c r="AC974" s="113"/>
      <c r="AD974" s="113"/>
      <c r="AE974" s="113"/>
      <c r="AF974" s="113"/>
    </row>
    <row r="975">
      <c r="A975" s="120"/>
      <c r="B975" s="113"/>
      <c r="C975" s="123">
        <f>MINIFS(collexo_data!B:B,collexo_data!A:A,A975)</f>
        <v>0</v>
      </c>
      <c r="D975" s="120" t="str">
        <f>vlookup(A975,collexo_data!A:M,13,0)</f>
        <v>#N/A</v>
      </c>
      <c r="E975" s="122" t="str">
        <f>vlookup(A975,collexo_data!A:O,15,0)</f>
        <v>#N/A</v>
      </c>
      <c r="F975" s="120" t="str">
        <f>vlookup(A975,collexo_data!A:S,19,0)</f>
        <v>#N/A</v>
      </c>
      <c r="G975" s="122" t="str">
        <f>vlookup(A975,collexo_data!A:R,18,0)</f>
        <v>#N/A</v>
      </c>
      <c r="H975" s="122" t="str">
        <f t="shared" si="1"/>
        <v/>
      </c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  <c r="AB975" s="113"/>
      <c r="AC975" s="113"/>
      <c r="AD975" s="113"/>
      <c r="AE975" s="113"/>
      <c r="AF975" s="113"/>
    </row>
    <row r="976">
      <c r="A976" s="120"/>
      <c r="B976" s="113"/>
      <c r="C976" s="123">
        <f>MINIFS(collexo_data!B:B,collexo_data!A:A,A976)</f>
        <v>0</v>
      </c>
      <c r="D976" s="120" t="str">
        <f>vlookup(A976,collexo_data!A:M,13,0)</f>
        <v>#N/A</v>
      </c>
      <c r="E976" s="122" t="str">
        <f>vlookup(A976,collexo_data!A:O,15,0)</f>
        <v>#N/A</v>
      </c>
      <c r="F976" s="120" t="str">
        <f>vlookup(A976,collexo_data!A:S,19,0)</f>
        <v>#N/A</v>
      </c>
      <c r="G976" s="122" t="str">
        <f>vlookup(A976,collexo_data!A:R,18,0)</f>
        <v>#N/A</v>
      </c>
      <c r="H976" s="122" t="str">
        <f t="shared" si="1"/>
        <v/>
      </c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  <c r="AB976" s="113"/>
      <c r="AC976" s="113"/>
      <c r="AD976" s="113"/>
      <c r="AE976" s="113"/>
      <c r="AF976" s="113"/>
    </row>
    <row r="977">
      <c r="A977" s="120"/>
      <c r="B977" s="113"/>
      <c r="C977" s="123">
        <f>MINIFS(collexo_data!B:B,collexo_data!A:A,A977)</f>
        <v>0</v>
      </c>
      <c r="D977" s="120" t="str">
        <f>vlookup(A977,collexo_data!A:M,13,0)</f>
        <v>#N/A</v>
      </c>
      <c r="E977" s="122" t="str">
        <f>vlookup(A977,collexo_data!A:O,15,0)</f>
        <v>#N/A</v>
      </c>
      <c r="F977" s="120" t="str">
        <f>vlookup(A977,collexo_data!A:S,19,0)</f>
        <v>#N/A</v>
      </c>
      <c r="G977" s="122" t="str">
        <f>vlookup(A977,collexo_data!A:R,18,0)</f>
        <v>#N/A</v>
      </c>
      <c r="H977" s="122" t="str">
        <f t="shared" si="1"/>
        <v/>
      </c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  <c r="AB977" s="113"/>
      <c r="AC977" s="113"/>
      <c r="AD977" s="113"/>
      <c r="AE977" s="113"/>
      <c r="AF977" s="113"/>
    </row>
    <row r="978">
      <c r="A978" s="120"/>
      <c r="B978" s="113"/>
      <c r="C978" s="123">
        <f>MINIFS(collexo_data!B:B,collexo_data!A:A,A978)</f>
        <v>0</v>
      </c>
      <c r="D978" s="120" t="str">
        <f>vlookup(A978,collexo_data!A:M,13,0)</f>
        <v>#N/A</v>
      </c>
      <c r="E978" s="122" t="str">
        <f>vlookup(A978,collexo_data!A:O,15,0)</f>
        <v>#N/A</v>
      </c>
      <c r="F978" s="120" t="str">
        <f>vlookup(A978,collexo_data!A:S,19,0)</f>
        <v>#N/A</v>
      </c>
      <c r="G978" s="122" t="str">
        <f>vlookup(A978,collexo_data!A:R,18,0)</f>
        <v>#N/A</v>
      </c>
      <c r="H978" s="122" t="str">
        <f t="shared" si="1"/>
        <v/>
      </c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  <c r="AB978" s="113"/>
      <c r="AC978" s="113"/>
      <c r="AD978" s="113"/>
      <c r="AE978" s="113"/>
      <c r="AF978" s="113"/>
    </row>
    <row r="979">
      <c r="A979" s="120"/>
      <c r="B979" s="113"/>
      <c r="C979" s="123">
        <f>MINIFS(collexo_data!B:B,collexo_data!A:A,A979)</f>
        <v>0</v>
      </c>
      <c r="D979" s="120" t="str">
        <f>vlookup(A979,collexo_data!A:M,13,0)</f>
        <v>#N/A</v>
      </c>
      <c r="E979" s="122" t="str">
        <f>vlookup(A979,collexo_data!A:O,15,0)</f>
        <v>#N/A</v>
      </c>
      <c r="F979" s="120" t="str">
        <f>vlookup(A979,collexo_data!A:S,19,0)</f>
        <v>#N/A</v>
      </c>
      <c r="G979" s="122" t="str">
        <f>vlookup(A979,collexo_data!A:R,18,0)</f>
        <v>#N/A</v>
      </c>
      <c r="H979" s="122" t="str">
        <f t="shared" si="1"/>
        <v/>
      </c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  <c r="AB979" s="113"/>
      <c r="AC979" s="113"/>
      <c r="AD979" s="113"/>
      <c r="AE979" s="113"/>
      <c r="AF979" s="113"/>
    </row>
    <row r="980">
      <c r="A980" s="120"/>
      <c r="B980" s="113"/>
      <c r="C980" s="123">
        <f>MINIFS(collexo_data!B:B,collexo_data!A:A,A980)</f>
        <v>0</v>
      </c>
      <c r="D980" s="120" t="str">
        <f>vlookup(A980,collexo_data!A:M,13,0)</f>
        <v>#N/A</v>
      </c>
      <c r="E980" s="122" t="str">
        <f>vlookup(A980,collexo_data!A:O,15,0)</f>
        <v>#N/A</v>
      </c>
      <c r="F980" s="120" t="str">
        <f>vlookup(A980,collexo_data!A:S,19,0)</f>
        <v>#N/A</v>
      </c>
      <c r="G980" s="122" t="str">
        <f>vlookup(A980,collexo_data!A:R,18,0)</f>
        <v>#N/A</v>
      </c>
      <c r="H980" s="122" t="str">
        <f t="shared" si="1"/>
        <v/>
      </c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  <c r="AB980" s="113"/>
      <c r="AC980" s="113"/>
      <c r="AD980" s="113"/>
      <c r="AE980" s="113"/>
      <c r="AF980" s="113"/>
    </row>
    <row r="981">
      <c r="A981" s="120"/>
      <c r="B981" s="113"/>
      <c r="C981" s="123">
        <f>MINIFS(collexo_data!B:B,collexo_data!A:A,A981)</f>
        <v>0</v>
      </c>
      <c r="D981" s="120" t="str">
        <f>vlookup(A981,collexo_data!A:M,13,0)</f>
        <v>#N/A</v>
      </c>
      <c r="E981" s="122" t="str">
        <f>vlookup(A981,collexo_data!A:O,15,0)</f>
        <v>#N/A</v>
      </c>
      <c r="F981" s="120" t="str">
        <f>vlookup(A981,collexo_data!A:S,19,0)</f>
        <v>#N/A</v>
      </c>
      <c r="G981" s="122" t="str">
        <f>vlookup(A981,collexo_data!A:R,18,0)</f>
        <v>#N/A</v>
      </c>
      <c r="H981" s="122" t="str">
        <f t="shared" si="1"/>
        <v/>
      </c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  <c r="AB981" s="113"/>
      <c r="AC981" s="113"/>
      <c r="AD981" s="113"/>
      <c r="AE981" s="113"/>
      <c r="AF981" s="113"/>
    </row>
    <row r="982">
      <c r="A982" s="120"/>
      <c r="B982" s="113"/>
      <c r="C982" s="123">
        <f>MINIFS(collexo_data!B:B,collexo_data!A:A,A982)</f>
        <v>0</v>
      </c>
      <c r="D982" s="120" t="str">
        <f>vlookup(A982,collexo_data!A:M,13,0)</f>
        <v>#N/A</v>
      </c>
      <c r="E982" s="122" t="str">
        <f>vlookup(A982,collexo_data!A:O,15,0)</f>
        <v>#N/A</v>
      </c>
      <c r="F982" s="120" t="str">
        <f>vlookup(A982,collexo_data!A:S,19,0)</f>
        <v>#N/A</v>
      </c>
      <c r="G982" s="122" t="str">
        <f>vlookup(A982,collexo_data!A:R,18,0)</f>
        <v>#N/A</v>
      </c>
      <c r="H982" s="122" t="str">
        <f t="shared" si="1"/>
        <v/>
      </c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  <c r="AB982" s="113"/>
      <c r="AC982" s="113"/>
      <c r="AD982" s="113"/>
      <c r="AE982" s="113"/>
      <c r="AF982" s="113"/>
    </row>
    <row r="983">
      <c r="A983" s="120"/>
      <c r="B983" s="113"/>
      <c r="C983" s="123">
        <f>MINIFS(collexo_data!B:B,collexo_data!A:A,A983)</f>
        <v>0</v>
      </c>
      <c r="D983" s="120" t="str">
        <f>vlookup(A983,collexo_data!A:M,13,0)</f>
        <v>#N/A</v>
      </c>
      <c r="E983" s="122" t="str">
        <f>vlookup(A983,collexo_data!A:O,15,0)</f>
        <v>#N/A</v>
      </c>
      <c r="F983" s="120" t="str">
        <f>vlookup(A983,collexo_data!A:S,19,0)</f>
        <v>#N/A</v>
      </c>
      <c r="G983" s="122" t="str">
        <f>vlookup(A983,collexo_data!A:R,18,0)</f>
        <v>#N/A</v>
      </c>
      <c r="H983" s="122" t="str">
        <f t="shared" si="1"/>
        <v/>
      </c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  <c r="AB983" s="113"/>
      <c r="AC983" s="113"/>
      <c r="AD983" s="113"/>
      <c r="AE983" s="113"/>
      <c r="AF983" s="113"/>
    </row>
    <row r="984">
      <c r="A984" s="120"/>
      <c r="B984" s="113"/>
      <c r="C984" s="123">
        <f>MINIFS(collexo_data!B:B,collexo_data!A:A,A984)</f>
        <v>0</v>
      </c>
      <c r="D984" s="120" t="str">
        <f>vlookup(A984,collexo_data!A:M,13,0)</f>
        <v>#N/A</v>
      </c>
      <c r="E984" s="122" t="str">
        <f>vlookup(A984,collexo_data!A:O,15,0)</f>
        <v>#N/A</v>
      </c>
      <c r="F984" s="120" t="str">
        <f>vlookup(A984,collexo_data!A:S,19,0)</f>
        <v>#N/A</v>
      </c>
      <c r="G984" s="122" t="str">
        <f>vlookup(A984,collexo_data!A:R,18,0)</f>
        <v>#N/A</v>
      </c>
      <c r="H984" s="122" t="str">
        <f t="shared" si="1"/>
        <v/>
      </c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  <c r="AB984" s="113"/>
      <c r="AC984" s="113"/>
      <c r="AD984" s="113"/>
      <c r="AE984" s="113"/>
      <c r="AF984" s="113"/>
    </row>
    <row r="985">
      <c r="A985" s="120"/>
      <c r="B985" s="113"/>
      <c r="C985" s="123">
        <f>MINIFS(collexo_data!B:B,collexo_data!A:A,A985)</f>
        <v>0</v>
      </c>
      <c r="D985" s="120" t="str">
        <f>vlookup(A985,collexo_data!A:M,13,0)</f>
        <v>#N/A</v>
      </c>
      <c r="E985" s="122" t="str">
        <f>vlookup(A985,collexo_data!A:O,15,0)</f>
        <v>#N/A</v>
      </c>
      <c r="F985" s="120" t="str">
        <f>vlookup(A985,collexo_data!A:S,19,0)</f>
        <v>#N/A</v>
      </c>
      <c r="G985" s="122" t="str">
        <f>vlookup(A985,collexo_data!A:R,18,0)</f>
        <v>#N/A</v>
      </c>
      <c r="H985" s="122" t="str">
        <f t="shared" si="1"/>
        <v/>
      </c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  <c r="AB985" s="113"/>
      <c r="AC985" s="113"/>
      <c r="AD985" s="113"/>
      <c r="AE985" s="113"/>
      <c r="AF985" s="113"/>
    </row>
    <row r="986">
      <c r="A986" s="120"/>
      <c r="B986" s="113"/>
      <c r="C986" s="123">
        <f>MINIFS(collexo_data!B:B,collexo_data!A:A,A986)</f>
        <v>0</v>
      </c>
      <c r="D986" s="120" t="str">
        <f>vlookup(A986,collexo_data!A:M,13,0)</f>
        <v>#N/A</v>
      </c>
      <c r="E986" s="122" t="str">
        <f>vlookup(A986,collexo_data!A:O,15,0)</f>
        <v>#N/A</v>
      </c>
      <c r="F986" s="120" t="str">
        <f>vlookup(A986,collexo_data!A:S,19,0)</f>
        <v>#N/A</v>
      </c>
      <c r="G986" s="122" t="str">
        <f>vlookup(A986,collexo_data!A:R,18,0)</f>
        <v>#N/A</v>
      </c>
      <c r="H986" s="122" t="str">
        <f t="shared" si="1"/>
        <v/>
      </c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  <c r="AB986" s="113"/>
      <c r="AC986" s="113"/>
      <c r="AD986" s="113"/>
      <c r="AE986" s="113"/>
      <c r="AF986" s="113"/>
    </row>
    <row r="987">
      <c r="A987" s="120"/>
      <c r="B987" s="113"/>
      <c r="C987" s="123">
        <f>MINIFS(collexo_data!B:B,collexo_data!A:A,A987)</f>
        <v>0</v>
      </c>
      <c r="D987" s="120" t="str">
        <f>vlookup(A987,collexo_data!A:M,13,0)</f>
        <v>#N/A</v>
      </c>
      <c r="E987" s="122" t="str">
        <f>vlookup(A987,collexo_data!A:O,15,0)</f>
        <v>#N/A</v>
      </c>
      <c r="F987" s="120" t="str">
        <f>vlookup(A987,collexo_data!A:S,19,0)</f>
        <v>#N/A</v>
      </c>
      <c r="G987" s="122" t="str">
        <f>vlookup(A987,collexo_data!A:R,18,0)</f>
        <v>#N/A</v>
      </c>
      <c r="H987" s="122" t="str">
        <f t="shared" si="1"/>
        <v/>
      </c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  <c r="AB987" s="113"/>
      <c r="AC987" s="113"/>
      <c r="AD987" s="113"/>
      <c r="AE987" s="113"/>
      <c r="AF987" s="113"/>
    </row>
    <row r="988">
      <c r="A988" s="120"/>
      <c r="B988" s="113"/>
      <c r="C988" s="123">
        <f>MINIFS(collexo_data!B:B,collexo_data!A:A,A988)</f>
        <v>0</v>
      </c>
      <c r="D988" s="120" t="str">
        <f>vlookup(A988,collexo_data!A:M,13,0)</f>
        <v>#N/A</v>
      </c>
      <c r="E988" s="122" t="str">
        <f>vlookup(A988,collexo_data!A:O,15,0)</f>
        <v>#N/A</v>
      </c>
      <c r="F988" s="120" t="str">
        <f>vlookup(A988,collexo_data!A:S,19,0)</f>
        <v>#N/A</v>
      </c>
      <c r="G988" s="122" t="str">
        <f>vlookup(A988,collexo_data!A:R,18,0)</f>
        <v>#N/A</v>
      </c>
      <c r="H988" s="122" t="str">
        <f t="shared" si="1"/>
        <v/>
      </c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  <c r="AB988" s="113"/>
      <c r="AC988" s="113"/>
      <c r="AD988" s="113"/>
      <c r="AE988" s="113"/>
      <c r="AF988" s="113"/>
    </row>
    <row r="989">
      <c r="A989" s="120"/>
      <c r="B989" s="113"/>
      <c r="C989" s="123">
        <f>MINIFS(collexo_data!B:B,collexo_data!A:A,A989)</f>
        <v>0</v>
      </c>
      <c r="D989" s="120" t="str">
        <f>vlookup(A989,collexo_data!A:M,13,0)</f>
        <v>#N/A</v>
      </c>
      <c r="E989" s="122" t="str">
        <f>vlookup(A989,collexo_data!A:O,15,0)</f>
        <v>#N/A</v>
      </c>
      <c r="F989" s="120" t="str">
        <f>vlookup(A989,collexo_data!A:S,19,0)</f>
        <v>#N/A</v>
      </c>
      <c r="G989" s="122" t="str">
        <f>vlookup(A989,collexo_data!A:R,18,0)</f>
        <v>#N/A</v>
      </c>
      <c r="H989" s="122" t="str">
        <f t="shared" si="1"/>
        <v/>
      </c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  <c r="AB989" s="113"/>
      <c r="AC989" s="113"/>
      <c r="AD989" s="113"/>
      <c r="AE989" s="113"/>
      <c r="AF989" s="113"/>
    </row>
    <row r="990">
      <c r="A990" s="120"/>
      <c r="B990" s="113"/>
      <c r="C990" s="123">
        <f>MINIFS(collexo_data!B:B,collexo_data!A:A,A990)</f>
        <v>0</v>
      </c>
      <c r="D990" s="120" t="str">
        <f>vlookup(A990,collexo_data!A:M,13,0)</f>
        <v>#N/A</v>
      </c>
      <c r="E990" s="122" t="str">
        <f>vlookup(A990,collexo_data!A:O,15,0)</f>
        <v>#N/A</v>
      </c>
      <c r="F990" s="120" t="str">
        <f>vlookup(A990,collexo_data!A:S,19,0)</f>
        <v>#N/A</v>
      </c>
      <c r="G990" s="122" t="str">
        <f>vlookup(A990,collexo_data!A:R,18,0)</f>
        <v>#N/A</v>
      </c>
      <c r="H990" s="122" t="str">
        <f t="shared" si="1"/>
        <v/>
      </c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  <c r="AB990" s="113"/>
      <c r="AC990" s="113"/>
      <c r="AD990" s="113"/>
      <c r="AE990" s="113"/>
      <c r="AF990" s="113"/>
    </row>
    <row r="991">
      <c r="A991" s="120"/>
      <c r="B991" s="113"/>
      <c r="C991" s="123">
        <f>MINIFS(collexo_data!B:B,collexo_data!A:A,A991)</f>
        <v>0</v>
      </c>
      <c r="D991" s="120" t="str">
        <f>vlookup(A991,collexo_data!A:M,13,0)</f>
        <v>#N/A</v>
      </c>
      <c r="E991" s="122" t="str">
        <f>vlookup(A991,collexo_data!A:O,15,0)</f>
        <v>#N/A</v>
      </c>
      <c r="F991" s="120" t="str">
        <f>vlookup(A991,collexo_data!A:S,19,0)</f>
        <v>#N/A</v>
      </c>
      <c r="G991" s="122" t="str">
        <f>vlookup(A991,collexo_data!A:R,18,0)</f>
        <v>#N/A</v>
      </c>
      <c r="H991" s="122" t="str">
        <f t="shared" si="1"/>
        <v/>
      </c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  <c r="AB991" s="113"/>
      <c r="AC991" s="113"/>
      <c r="AD991" s="113"/>
      <c r="AE991" s="113"/>
      <c r="AF991" s="113"/>
    </row>
    <row r="992">
      <c r="A992" s="120"/>
      <c r="B992" s="113"/>
      <c r="C992" s="123">
        <f>MINIFS(collexo_data!B:B,collexo_data!A:A,A992)</f>
        <v>0</v>
      </c>
      <c r="D992" s="120" t="str">
        <f>vlookup(A992,collexo_data!A:M,13,0)</f>
        <v>#N/A</v>
      </c>
      <c r="E992" s="122" t="str">
        <f>vlookup(A992,collexo_data!A:O,15,0)</f>
        <v>#N/A</v>
      </c>
      <c r="F992" s="120" t="str">
        <f>vlookup(A992,collexo_data!A:S,19,0)</f>
        <v>#N/A</v>
      </c>
      <c r="G992" s="122" t="str">
        <f>vlookup(A992,collexo_data!A:R,18,0)</f>
        <v>#N/A</v>
      </c>
      <c r="H992" s="122" t="str">
        <f t="shared" si="1"/>
        <v/>
      </c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  <c r="AB992" s="113"/>
      <c r="AC992" s="113"/>
      <c r="AD992" s="113"/>
      <c r="AE992" s="113"/>
      <c r="AF992" s="113"/>
    </row>
    <row r="993">
      <c r="A993" s="120"/>
      <c r="B993" s="113"/>
      <c r="C993" s="123">
        <f>MINIFS(collexo_data!B:B,collexo_data!A:A,A993)</f>
        <v>0</v>
      </c>
      <c r="D993" s="120" t="str">
        <f>vlookup(A993,collexo_data!A:M,13,0)</f>
        <v>#N/A</v>
      </c>
      <c r="E993" s="122" t="str">
        <f>vlookup(A993,collexo_data!A:O,15,0)</f>
        <v>#N/A</v>
      </c>
      <c r="F993" s="120" t="str">
        <f>vlookup(A993,collexo_data!A:S,19,0)</f>
        <v>#N/A</v>
      </c>
      <c r="G993" s="122" t="str">
        <f>vlookup(A993,collexo_data!A:R,18,0)</f>
        <v>#N/A</v>
      </c>
      <c r="H993" s="122" t="str">
        <f t="shared" si="1"/>
        <v/>
      </c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  <c r="AB993" s="113"/>
      <c r="AC993" s="113"/>
      <c r="AD993" s="113"/>
      <c r="AE993" s="113"/>
      <c r="AF993" s="113"/>
    </row>
    <row r="994">
      <c r="A994" s="120"/>
      <c r="B994" s="113"/>
      <c r="C994" s="123">
        <f>MINIFS(collexo_data!B:B,collexo_data!A:A,A994)</f>
        <v>0</v>
      </c>
      <c r="D994" s="120" t="str">
        <f>vlookup(A994,collexo_data!A:M,13,0)</f>
        <v>#N/A</v>
      </c>
      <c r="E994" s="122" t="str">
        <f>vlookup(A994,collexo_data!A:O,15,0)</f>
        <v>#N/A</v>
      </c>
      <c r="F994" s="120" t="str">
        <f>vlookup(A994,collexo_data!A:S,19,0)</f>
        <v>#N/A</v>
      </c>
      <c r="G994" s="122" t="str">
        <f>vlookup(A994,collexo_data!A:R,18,0)</f>
        <v>#N/A</v>
      </c>
      <c r="H994" s="122" t="str">
        <f t="shared" si="1"/>
        <v/>
      </c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  <c r="AB994" s="113"/>
      <c r="AC994" s="113"/>
      <c r="AD994" s="113"/>
      <c r="AE994" s="113"/>
      <c r="AF994" s="113"/>
    </row>
    <row r="995">
      <c r="A995" s="120"/>
      <c r="B995" s="113"/>
      <c r="C995" s="123">
        <f>MINIFS(collexo_data!B:B,collexo_data!A:A,A995)</f>
        <v>0</v>
      </c>
      <c r="D995" s="120" t="str">
        <f>vlookup(A995,collexo_data!A:M,13,0)</f>
        <v>#N/A</v>
      </c>
      <c r="E995" s="122" t="str">
        <f>vlookup(A995,collexo_data!A:O,15,0)</f>
        <v>#N/A</v>
      </c>
      <c r="F995" s="120" t="str">
        <f>vlookup(A995,collexo_data!A:S,19,0)</f>
        <v>#N/A</v>
      </c>
      <c r="G995" s="122" t="str">
        <f>vlookup(A995,collexo_data!A:R,18,0)</f>
        <v>#N/A</v>
      </c>
      <c r="H995" s="122" t="str">
        <f t="shared" si="1"/>
        <v/>
      </c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  <c r="AB995" s="113"/>
      <c r="AC995" s="113"/>
      <c r="AD995" s="113"/>
      <c r="AE995" s="113"/>
      <c r="AF995" s="113"/>
    </row>
    <row r="996">
      <c r="A996" s="120"/>
      <c r="B996" s="113"/>
      <c r="C996" s="123">
        <f>MINIFS(collexo_data!B:B,collexo_data!A:A,A996)</f>
        <v>0</v>
      </c>
      <c r="D996" s="120" t="str">
        <f>vlookup(A996,collexo_data!A:M,13,0)</f>
        <v>#N/A</v>
      </c>
      <c r="E996" s="122" t="str">
        <f>vlookup(A996,collexo_data!A:O,15,0)</f>
        <v>#N/A</v>
      </c>
      <c r="F996" s="120" t="str">
        <f>vlookup(A996,collexo_data!A:S,19,0)</f>
        <v>#N/A</v>
      </c>
      <c r="G996" s="122" t="str">
        <f>vlookup(A996,collexo_data!A:R,18,0)</f>
        <v>#N/A</v>
      </c>
      <c r="H996" s="122" t="str">
        <f t="shared" si="1"/>
        <v/>
      </c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  <c r="AB996" s="113"/>
      <c r="AC996" s="113"/>
      <c r="AD996" s="113"/>
      <c r="AE996" s="113"/>
      <c r="AF996" s="113"/>
    </row>
    <row r="997">
      <c r="A997" s="120"/>
      <c r="B997" s="113"/>
      <c r="C997" s="123">
        <f>MINIFS(collexo_data!B:B,collexo_data!A:A,A997)</f>
        <v>0</v>
      </c>
      <c r="D997" s="120" t="str">
        <f>vlookup(A997,collexo_data!A:M,13,0)</f>
        <v>#N/A</v>
      </c>
      <c r="E997" s="122" t="str">
        <f>vlookup(A997,collexo_data!A:O,15,0)</f>
        <v>#N/A</v>
      </c>
      <c r="F997" s="120" t="str">
        <f>vlookup(A997,collexo_data!A:S,19,0)</f>
        <v>#N/A</v>
      </c>
      <c r="G997" s="122" t="str">
        <f>vlookup(A997,collexo_data!A:R,18,0)</f>
        <v>#N/A</v>
      </c>
      <c r="H997" s="122" t="str">
        <f t="shared" si="1"/>
        <v/>
      </c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  <c r="AB997" s="113"/>
      <c r="AC997" s="113"/>
      <c r="AD997" s="113"/>
      <c r="AE997" s="113"/>
      <c r="AF997" s="113"/>
    </row>
    <row r="998">
      <c r="A998" s="120"/>
      <c r="B998" s="113"/>
      <c r="C998" s="123">
        <f>MINIFS(collexo_data!B:B,collexo_data!A:A,A998)</f>
        <v>0</v>
      </c>
      <c r="D998" s="120" t="str">
        <f>vlookup(A998,collexo_data!A:M,13,0)</f>
        <v>#N/A</v>
      </c>
      <c r="E998" s="122" t="str">
        <f>vlookup(A998,collexo_data!A:O,15,0)</f>
        <v>#N/A</v>
      </c>
      <c r="F998" s="120" t="str">
        <f>vlookup(A998,collexo_data!A:S,19,0)</f>
        <v>#N/A</v>
      </c>
      <c r="G998" s="122" t="str">
        <f>vlookup(A998,collexo_data!A:R,18,0)</f>
        <v>#N/A</v>
      </c>
      <c r="H998" s="122" t="str">
        <f t="shared" si="1"/>
        <v/>
      </c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  <c r="AB998" s="113"/>
      <c r="AC998" s="113"/>
      <c r="AD998" s="113"/>
      <c r="AE998" s="113"/>
      <c r="AF998" s="113"/>
    </row>
    <row r="999">
      <c r="A999" s="120"/>
      <c r="B999" s="113"/>
      <c r="C999" s="123">
        <f>MINIFS(collexo_data!B:B,collexo_data!A:A,A999)</f>
        <v>0</v>
      </c>
      <c r="D999" s="120" t="str">
        <f>vlookup(A999,collexo_data!A:M,13,0)</f>
        <v>#N/A</v>
      </c>
      <c r="E999" s="122" t="str">
        <f>vlookup(A999,collexo_data!A:O,15,0)</f>
        <v>#N/A</v>
      </c>
      <c r="F999" s="120" t="str">
        <f>vlookup(A999,collexo_data!A:S,19,0)</f>
        <v>#N/A</v>
      </c>
      <c r="G999" s="122" t="str">
        <f>vlookup(A999,collexo_data!A:R,18,0)</f>
        <v>#N/A</v>
      </c>
      <c r="H999" s="122" t="str">
        <f t="shared" si="1"/>
        <v/>
      </c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  <c r="AB999" s="113"/>
      <c r="AC999" s="113"/>
      <c r="AD999" s="113"/>
      <c r="AE999" s="113"/>
      <c r="AF999" s="113"/>
    </row>
    <row r="1000">
      <c r="A1000" s="120"/>
      <c r="B1000" s="113"/>
      <c r="C1000" s="123">
        <f>MINIFS(collexo_data!B:B,collexo_data!A:A,A1000)</f>
        <v>0</v>
      </c>
      <c r="D1000" s="120" t="str">
        <f>vlookup(A1000,collexo_data!A:M,13,0)</f>
        <v>#N/A</v>
      </c>
      <c r="E1000" s="122" t="str">
        <f>vlookup(A1000,collexo_data!A:O,15,0)</f>
        <v>#N/A</v>
      </c>
      <c r="F1000" s="120" t="str">
        <f>vlookup(A1000,collexo_data!A:S,19,0)</f>
        <v>#N/A</v>
      </c>
      <c r="G1000" s="122" t="str">
        <f>vlookup(A1000,collexo_data!A:R,18,0)</f>
        <v>#N/A</v>
      </c>
      <c r="H1000" s="122" t="str">
        <f t="shared" si="1"/>
        <v/>
      </c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  <c r="AB1000" s="113"/>
      <c r="AC1000" s="113"/>
      <c r="AD1000" s="113"/>
      <c r="AE1000" s="113"/>
      <c r="AF1000" s="113"/>
    </row>
    <row r="1001">
      <c r="A1001" s="120"/>
      <c r="B1001" s="113"/>
      <c r="C1001" s="123">
        <f>MINIFS(collexo_data!B:B,collexo_data!A:A,A1001)</f>
        <v>0</v>
      </c>
      <c r="D1001" s="120" t="str">
        <f>vlookup(A1001,collexo_data!A:M,13,0)</f>
        <v>#N/A</v>
      </c>
      <c r="E1001" s="122" t="str">
        <f>vlookup(A1001,collexo_data!A:O,15,0)</f>
        <v>#N/A</v>
      </c>
      <c r="F1001" s="120" t="str">
        <f>vlookup(A1001,collexo_data!A:S,19,0)</f>
        <v>#N/A</v>
      </c>
      <c r="G1001" s="122" t="str">
        <f>vlookup(A1001,collexo_data!A:R,18,0)</f>
        <v>#N/A</v>
      </c>
      <c r="H1001" s="122" t="str">
        <f t="shared" si="1"/>
        <v/>
      </c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  <c r="AA1001" s="113"/>
      <c r="AB1001" s="113"/>
      <c r="AC1001" s="113"/>
      <c r="AD1001" s="113"/>
      <c r="AE1001" s="113"/>
      <c r="AF1001" s="113"/>
    </row>
    <row r="1002">
      <c r="A1002" s="115"/>
      <c r="B1002" s="116"/>
      <c r="C1002" s="116"/>
      <c r="D1002" s="116"/>
      <c r="E1002" s="117"/>
      <c r="F1002" s="116"/>
      <c r="G1002" s="117"/>
      <c r="H1002" s="118"/>
      <c r="I1002" s="116"/>
      <c r="J1002" s="116"/>
      <c r="K1002" s="116"/>
      <c r="L1002" s="116"/>
      <c r="M1002" s="119" t="b">
        <v>0</v>
      </c>
      <c r="N1002" s="113" t="b">
        <v>0</v>
      </c>
      <c r="O1002" s="113" t="b">
        <v>0</v>
      </c>
      <c r="P1002" s="113" t="b">
        <v>0</v>
      </c>
      <c r="Q1002" s="113" t="b">
        <v>0</v>
      </c>
      <c r="R1002" s="113"/>
      <c r="S1002" s="113" t="b">
        <v>0</v>
      </c>
      <c r="T1002" s="113"/>
      <c r="U1002" s="113"/>
      <c r="V1002" s="113" t="b">
        <v>0</v>
      </c>
      <c r="W1002" s="113"/>
      <c r="X1002" s="113" t="b">
        <v>0</v>
      </c>
      <c r="Y1002" s="113"/>
      <c r="Z1002" s="113"/>
      <c r="AA1002" s="113"/>
      <c r="AB1002" s="113"/>
      <c r="AC1002" s="113"/>
      <c r="AD1002" s="113"/>
      <c r="AE1002" s="113"/>
      <c r="AF1002" s="113"/>
    </row>
    <row r="1003">
      <c r="A1003" s="115"/>
      <c r="B1003" s="116"/>
      <c r="C1003" s="116"/>
      <c r="D1003" s="116"/>
      <c r="E1003" s="117"/>
      <c r="F1003" s="116"/>
      <c r="G1003" s="117"/>
      <c r="H1003" s="118"/>
      <c r="I1003" s="116"/>
      <c r="J1003" s="116"/>
      <c r="K1003" s="116"/>
      <c r="L1003" s="116"/>
      <c r="M1003" s="119" t="b">
        <v>0</v>
      </c>
      <c r="N1003" s="113" t="b">
        <v>0</v>
      </c>
      <c r="O1003" s="113" t="b">
        <v>0</v>
      </c>
      <c r="P1003" s="113" t="b">
        <v>0</v>
      </c>
      <c r="Q1003" s="113" t="b">
        <v>0</v>
      </c>
      <c r="R1003" s="113"/>
      <c r="S1003" s="113" t="b">
        <v>0</v>
      </c>
      <c r="T1003" s="113"/>
      <c r="U1003" s="113"/>
      <c r="V1003" s="113" t="b">
        <v>0</v>
      </c>
      <c r="W1003" s="113"/>
      <c r="X1003" s="113" t="b">
        <v>0</v>
      </c>
      <c r="Y1003" s="113"/>
      <c r="Z1003" s="113"/>
      <c r="AA1003" s="113"/>
      <c r="AB1003" s="113"/>
      <c r="AC1003" s="113"/>
      <c r="AD1003" s="113"/>
      <c r="AE1003" s="113"/>
      <c r="AF1003" s="113"/>
    </row>
    <row r="1004">
      <c r="A1004" s="115"/>
      <c r="B1004" s="116"/>
      <c r="C1004" s="116"/>
      <c r="D1004" s="116"/>
      <c r="E1004" s="117"/>
      <c r="F1004" s="116"/>
      <c r="G1004" s="117"/>
      <c r="H1004" s="118"/>
      <c r="I1004" s="116"/>
      <c r="J1004" s="116"/>
      <c r="K1004" s="116"/>
      <c r="L1004" s="116"/>
      <c r="M1004" s="119" t="b">
        <v>0</v>
      </c>
      <c r="N1004" s="113" t="b">
        <v>0</v>
      </c>
      <c r="O1004" s="113" t="b">
        <v>0</v>
      </c>
      <c r="P1004" s="113" t="b">
        <v>0</v>
      </c>
      <c r="Q1004" s="113" t="b">
        <v>0</v>
      </c>
      <c r="R1004" s="113"/>
      <c r="S1004" s="113" t="b">
        <v>0</v>
      </c>
      <c r="T1004" s="113"/>
      <c r="U1004" s="113"/>
      <c r="V1004" s="113" t="b">
        <v>0</v>
      </c>
      <c r="W1004" s="113"/>
      <c r="X1004" s="113" t="b">
        <v>0</v>
      </c>
      <c r="Y1004" s="113"/>
      <c r="Z1004" s="113"/>
      <c r="AA1004" s="113"/>
      <c r="AB1004" s="113"/>
      <c r="AC1004" s="113"/>
      <c r="AD1004" s="113"/>
      <c r="AE1004" s="113"/>
      <c r="AF1004" s="113"/>
    </row>
    <row r="1005">
      <c r="A1005" s="115"/>
      <c r="B1005" s="116"/>
      <c r="C1005" s="116"/>
      <c r="D1005" s="116"/>
      <c r="E1005" s="117"/>
      <c r="F1005" s="116"/>
      <c r="G1005" s="117"/>
      <c r="H1005" s="118"/>
      <c r="I1005" s="116"/>
      <c r="J1005" s="116"/>
      <c r="K1005" s="116"/>
      <c r="L1005" s="116"/>
      <c r="M1005" s="119" t="b">
        <v>0</v>
      </c>
      <c r="N1005" s="113" t="b">
        <v>0</v>
      </c>
      <c r="O1005" s="113" t="b">
        <v>0</v>
      </c>
      <c r="P1005" s="113" t="b">
        <v>0</v>
      </c>
      <c r="Q1005" s="113" t="b">
        <v>0</v>
      </c>
      <c r="R1005" s="113"/>
      <c r="S1005" s="113" t="b">
        <v>0</v>
      </c>
      <c r="T1005" s="113"/>
      <c r="U1005" s="113"/>
      <c r="V1005" s="113" t="b">
        <v>0</v>
      </c>
      <c r="W1005" s="113"/>
      <c r="X1005" s="113" t="b">
        <v>0</v>
      </c>
      <c r="Y1005" s="113"/>
      <c r="Z1005" s="113"/>
      <c r="AA1005" s="113"/>
      <c r="AB1005" s="113"/>
      <c r="AC1005" s="113"/>
      <c r="AD1005" s="113"/>
      <c r="AE1005" s="113"/>
      <c r="AF1005" s="113"/>
    </row>
    <row r="1006">
      <c r="A1006" s="115"/>
      <c r="B1006" s="116"/>
      <c r="C1006" s="116"/>
      <c r="D1006" s="116"/>
      <c r="E1006" s="117"/>
      <c r="F1006" s="116"/>
      <c r="G1006" s="117"/>
      <c r="H1006" s="118"/>
      <c r="I1006" s="116"/>
      <c r="J1006" s="116"/>
      <c r="K1006" s="116"/>
      <c r="L1006" s="116"/>
      <c r="M1006" s="119" t="b">
        <v>0</v>
      </c>
      <c r="N1006" s="113" t="b">
        <v>0</v>
      </c>
      <c r="O1006" s="113" t="b">
        <v>0</v>
      </c>
      <c r="P1006" s="113" t="b">
        <v>0</v>
      </c>
      <c r="Q1006" s="113" t="b">
        <v>0</v>
      </c>
      <c r="R1006" s="113"/>
      <c r="S1006" s="113" t="b">
        <v>0</v>
      </c>
      <c r="T1006" s="113"/>
      <c r="U1006" s="113"/>
      <c r="V1006" s="113" t="b">
        <v>0</v>
      </c>
      <c r="W1006" s="113"/>
      <c r="X1006" s="113" t="b">
        <v>0</v>
      </c>
      <c r="Y1006" s="113"/>
      <c r="Z1006" s="113"/>
      <c r="AA1006" s="113"/>
      <c r="AB1006" s="113"/>
      <c r="AC1006" s="113"/>
      <c r="AD1006" s="113"/>
      <c r="AE1006" s="113"/>
      <c r="AF1006" s="113"/>
    </row>
    <row r="1007">
      <c r="A1007" s="115"/>
      <c r="B1007" s="116"/>
      <c r="C1007" s="116"/>
      <c r="D1007" s="116"/>
      <c r="E1007" s="117"/>
      <c r="F1007" s="116"/>
      <c r="G1007" s="117"/>
      <c r="H1007" s="118"/>
      <c r="I1007" s="116"/>
      <c r="J1007" s="116"/>
      <c r="K1007" s="116"/>
      <c r="L1007" s="116"/>
      <c r="M1007" s="119" t="b">
        <v>0</v>
      </c>
      <c r="N1007" s="113" t="b">
        <v>0</v>
      </c>
      <c r="O1007" s="113" t="b">
        <v>0</v>
      </c>
      <c r="P1007" s="113" t="b">
        <v>0</v>
      </c>
      <c r="Q1007" s="113" t="b">
        <v>0</v>
      </c>
      <c r="R1007" s="113"/>
      <c r="S1007" s="113" t="b">
        <v>0</v>
      </c>
      <c r="T1007" s="113"/>
      <c r="U1007" s="113"/>
      <c r="V1007" s="113" t="b">
        <v>0</v>
      </c>
      <c r="W1007" s="113"/>
      <c r="X1007" s="113" t="b">
        <v>0</v>
      </c>
      <c r="Y1007" s="113"/>
      <c r="Z1007" s="113"/>
      <c r="AA1007" s="113"/>
      <c r="AB1007" s="113"/>
      <c r="AC1007" s="113"/>
      <c r="AD1007" s="113"/>
      <c r="AE1007" s="113"/>
      <c r="AF1007" s="113"/>
    </row>
    <row r="1008">
      <c r="A1008" s="115"/>
      <c r="B1008" s="116"/>
      <c r="C1008" s="116"/>
      <c r="D1008" s="116"/>
      <c r="E1008" s="117"/>
      <c r="F1008" s="116"/>
      <c r="G1008" s="117"/>
      <c r="H1008" s="118"/>
      <c r="I1008" s="116"/>
      <c r="J1008" s="116"/>
      <c r="K1008" s="116"/>
      <c r="L1008" s="116"/>
      <c r="M1008" s="119" t="b">
        <v>0</v>
      </c>
      <c r="N1008" s="113" t="b">
        <v>0</v>
      </c>
      <c r="O1008" s="113" t="b">
        <v>0</v>
      </c>
      <c r="P1008" s="113" t="b">
        <v>0</v>
      </c>
      <c r="Q1008" s="113" t="b">
        <v>0</v>
      </c>
      <c r="R1008" s="113"/>
      <c r="S1008" s="113" t="b">
        <v>0</v>
      </c>
      <c r="T1008" s="113"/>
      <c r="U1008" s="113"/>
      <c r="V1008" s="113" t="b">
        <v>0</v>
      </c>
      <c r="W1008" s="113"/>
      <c r="X1008" s="113" t="b">
        <v>0</v>
      </c>
      <c r="Y1008" s="113"/>
      <c r="Z1008" s="113"/>
      <c r="AA1008" s="113"/>
      <c r="AB1008" s="113"/>
      <c r="AC1008" s="113"/>
      <c r="AD1008" s="113"/>
      <c r="AE1008" s="113"/>
      <c r="AF1008" s="113"/>
    </row>
    <row r="1009">
      <c r="A1009" s="115"/>
      <c r="B1009" s="116"/>
      <c r="C1009" s="116"/>
      <c r="D1009" s="116"/>
      <c r="E1009" s="117"/>
      <c r="F1009" s="116"/>
      <c r="G1009" s="117"/>
      <c r="H1009" s="118"/>
      <c r="I1009" s="116"/>
      <c r="J1009" s="116"/>
      <c r="K1009" s="116"/>
      <c r="L1009" s="116"/>
      <c r="M1009" s="119" t="b">
        <v>0</v>
      </c>
      <c r="N1009" s="113" t="b">
        <v>0</v>
      </c>
      <c r="O1009" s="113" t="b">
        <v>0</v>
      </c>
      <c r="P1009" s="113" t="b">
        <v>0</v>
      </c>
      <c r="Q1009" s="113" t="b">
        <v>0</v>
      </c>
      <c r="R1009" s="113"/>
      <c r="S1009" s="113" t="b">
        <v>0</v>
      </c>
      <c r="T1009" s="113"/>
      <c r="U1009" s="113"/>
      <c r="V1009" s="113" t="b">
        <v>0</v>
      </c>
      <c r="W1009" s="113"/>
      <c r="X1009" s="113" t="b">
        <v>0</v>
      </c>
      <c r="Y1009" s="113"/>
      <c r="Z1009" s="113"/>
      <c r="AA1009" s="113"/>
      <c r="AB1009" s="113"/>
      <c r="AC1009" s="113"/>
      <c r="AD1009" s="113"/>
      <c r="AE1009" s="113"/>
      <c r="AF1009" s="113"/>
    </row>
    <row r="1010">
      <c r="A1010" s="115"/>
      <c r="B1010" s="116"/>
      <c r="C1010" s="116"/>
      <c r="D1010" s="116"/>
      <c r="E1010" s="117"/>
      <c r="F1010" s="116"/>
      <c r="G1010" s="117"/>
      <c r="H1010" s="118"/>
      <c r="I1010" s="116"/>
      <c r="J1010" s="116"/>
      <c r="K1010" s="116"/>
      <c r="L1010" s="116"/>
      <c r="M1010" s="119" t="b">
        <v>0</v>
      </c>
      <c r="N1010" s="113" t="b">
        <v>0</v>
      </c>
      <c r="O1010" s="113" t="b">
        <v>0</v>
      </c>
      <c r="P1010" s="113" t="b">
        <v>0</v>
      </c>
      <c r="Q1010" s="113" t="b">
        <v>0</v>
      </c>
      <c r="R1010" s="113"/>
      <c r="S1010" s="113" t="b">
        <v>0</v>
      </c>
      <c r="T1010" s="113"/>
      <c r="U1010" s="113"/>
      <c r="V1010" s="113" t="b">
        <v>0</v>
      </c>
      <c r="W1010" s="113"/>
      <c r="X1010" s="113" t="b">
        <v>0</v>
      </c>
      <c r="Y1010" s="113"/>
      <c r="Z1010" s="113"/>
      <c r="AA1010" s="113"/>
      <c r="AB1010" s="113"/>
      <c r="AC1010" s="113"/>
      <c r="AD1010" s="113"/>
      <c r="AE1010" s="113"/>
      <c r="AF1010" s="113"/>
    </row>
    <row r="1011">
      <c r="A1011" s="115"/>
      <c r="B1011" s="116"/>
      <c r="C1011" s="116"/>
      <c r="D1011" s="116"/>
      <c r="E1011" s="117"/>
      <c r="F1011" s="116"/>
      <c r="G1011" s="117"/>
      <c r="H1011" s="118"/>
      <c r="I1011" s="116"/>
      <c r="J1011" s="116"/>
      <c r="K1011" s="116"/>
      <c r="L1011" s="116"/>
      <c r="M1011" s="119" t="b">
        <v>0</v>
      </c>
      <c r="N1011" s="113" t="b">
        <v>0</v>
      </c>
      <c r="O1011" s="113" t="b">
        <v>0</v>
      </c>
      <c r="P1011" s="113" t="b">
        <v>0</v>
      </c>
      <c r="Q1011" s="113" t="b">
        <v>0</v>
      </c>
      <c r="R1011" s="113"/>
      <c r="S1011" s="113" t="b">
        <v>0</v>
      </c>
      <c r="T1011" s="113"/>
      <c r="U1011" s="113"/>
      <c r="V1011" s="113" t="b">
        <v>0</v>
      </c>
      <c r="W1011" s="113"/>
      <c r="X1011" s="113" t="b">
        <v>0</v>
      </c>
      <c r="Y1011" s="113"/>
      <c r="Z1011" s="113"/>
      <c r="AA1011" s="113"/>
      <c r="AB1011" s="113"/>
      <c r="AC1011" s="113"/>
      <c r="AD1011" s="113"/>
      <c r="AE1011" s="113"/>
      <c r="AF1011" s="113"/>
    </row>
    <row r="1012">
      <c r="A1012" s="115"/>
      <c r="B1012" s="116"/>
      <c r="C1012" s="116"/>
      <c r="D1012" s="116"/>
      <c r="E1012" s="117"/>
      <c r="F1012" s="116"/>
      <c r="G1012" s="117"/>
      <c r="H1012" s="118"/>
      <c r="I1012" s="116"/>
      <c r="J1012" s="116"/>
      <c r="K1012" s="116"/>
      <c r="L1012" s="116"/>
      <c r="M1012" s="119" t="b">
        <v>0</v>
      </c>
      <c r="N1012" s="113" t="b">
        <v>0</v>
      </c>
      <c r="O1012" s="113" t="b">
        <v>0</v>
      </c>
      <c r="P1012" s="113" t="b">
        <v>0</v>
      </c>
      <c r="Q1012" s="113" t="b">
        <v>0</v>
      </c>
      <c r="R1012" s="113"/>
      <c r="S1012" s="113" t="b">
        <v>0</v>
      </c>
      <c r="T1012" s="113"/>
      <c r="U1012" s="113"/>
      <c r="V1012" s="113" t="b">
        <v>0</v>
      </c>
      <c r="W1012" s="113"/>
      <c r="X1012" s="113" t="b">
        <v>0</v>
      </c>
      <c r="Y1012" s="113"/>
      <c r="Z1012" s="113"/>
      <c r="AA1012" s="113"/>
      <c r="AB1012" s="113"/>
      <c r="AC1012" s="113"/>
      <c r="AD1012" s="113"/>
      <c r="AE1012" s="113"/>
      <c r="AF1012" s="113"/>
    </row>
    <row r="1013">
      <c r="A1013" s="115"/>
      <c r="B1013" s="116"/>
      <c r="C1013" s="116"/>
      <c r="D1013" s="116"/>
      <c r="E1013" s="117"/>
      <c r="F1013" s="116"/>
      <c r="G1013" s="117"/>
      <c r="H1013" s="118"/>
      <c r="I1013" s="116"/>
      <c r="J1013" s="116"/>
      <c r="K1013" s="116"/>
      <c r="L1013" s="116"/>
      <c r="M1013" s="119" t="b">
        <v>0</v>
      </c>
      <c r="N1013" s="113" t="b">
        <v>0</v>
      </c>
      <c r="O1013" s="113" t="b">
        <v>0</v>
      </c>
      <c r="P1013" s="113" t="b">
        <v>0</v>
      </c>
      <c r="Q1013" s="113" t="b">
        <v>0</v>
      </c>
      <c r="R1013" s="113"/>
      <c r="S1013" s="113" t="b">
        <v>0</v>
      </c>
      <c r="T1013" s="113"/>
      <c r="U1013" s="113"/>
      <c r="V1013" s="113" t="b">
        <v>0</v>
      </c>
      <c r="W1013" s="113"/>
      <c r="X1013" s="113" t="b">
        <v>0</v>
      </c>
      <c r="Y1013" s="113"/>
      <c r="Z1013" s="113"/>
      <c r="AA1013" s="113"/>
      <c r="AB1013" s="113"/>
      <c r="AC1013" s="113"/>
      <c r="AD1013" s="113"/>
      <c r="AE1013" s="113"/>
      <c r="AF1013" s="113"/>
    </row>
    <row r="1014">
      <c r="A1014" s="115"/>
      <c r="B1014" s="116"/>
      <c r="C1014" s="116"/>
      <c r="D1014" s="116"/>
      <c r="E1014" s="117"/>
      <c r="F1014" s="116"/>
      <c r="G1014" s="117"/>
      <c r="H1014" s="118"/>
      <c r="I1014" s="116"/>
      <c r="J1014" s="116"/>
      <c r="K1014" s="116"/>
      <c r="L1014" s="116"/>
      <c r="M1014" s="119" t="b">
        <v>0</v>
      </c>
      <c r="N1014" s="113" t="b">
        <v>0</v>
      </c>
      <c r="O1014" s="113" t="b">
        <v>0</v>
      </c>
      <c r="P1014" s="113" t="b">
        <v>0</v>
      </c>
      <c r="Q1014" s="113" t="b">
        <v>0</v>
      </c>
      <c r="R1014" s="113"/>
      <c r="S1014" s="113" t="b">
        <v>0</v>
      </c>
      <c r="T1014" s="113"/>
      <c r="U1014" s="113"/>
      <c r="V1014" s="113" t="b">
        <v>0</v>
      </c>
      <c r="W1014" s="113"/>
      <c r="X1014" s="113" t="b">
        <v>0</v>
      </c>
      <c r="Y1014" s="113"/>
      <c r="Z1014" s="113"/>
      <c r="AA1014" s="113"/>
      <c r="AB1014" s="113"/>
      <c r="AC1014" s="113"/>
      <c r="AD1014" s="113"/>
      <c r="AE1014" s="113"/>
      <c r="AF1014" s="113"/>
    </row>
    <row r="1015">
      <c r="A1015" s="115"/>
      <c r="B1015" s="116"/>
      <c r="C1015" s="116"/>
      <c r="D1015" s="116"/>
      <c r="E1015" s="117"/>
      <c r="F1015" s="116"/>
      <c r="G1015" s="117"/>
      <c r="H1015" s="118"/>
      <c r="I1015" s="116"/>
      <c r="J1015" s="116"/>
      <c r="K1015" s="116"/>
      <c r="L1015" s="116"/>
      <c r="M1015" s="119" t="b">
        <v>0</v>
      </c>
      <c r="N1015" s="113" t="b">
        <v>0</v>
      </c>
      <c r="O1015" s="113" t="b">
        <v>0</v>
      </c>
      <c r="P1015" s="113" t="b">
        <v>0</v>
      </c>
      <c r="Q1015" s="113" t="b">
        <v>0</v>
      </c>
      <c r="R1015" s="113"/>
      <c r="S1015" s="113" t="b">
        <v>0</v>
      </c>
      <c r="T1015" s="113"/>
      <c r="U1015" s="113"/>
      <c r="V1015" s="113" t="b">
        <v>0</v>
      </c>
      <c r="W1015" s="113"/>
      <c r="X1015" s="113" t="b">
        <v>0</v>
      </c>
      <c r="Y1015" s="113"/>
      <c r="Z1015" s="113"/>
      <c r="AA1015" s="113"/>
      <c r="AB1015" s="113"/>
      <c r="AC1015" s="113"/>
      <c r="AD1015" s="113"/>
      <c r="AE1015" s="113"/>
      <c r="AF1015" s="113"/>
    </row>
    <row r="1016">
      <c r="A1016" s="115"/>
      <c r="B1016" s="116"/>
      <c r="C1016" s="116"/>
      <c r="D1016" s="116"/>
      <c r="E1016" s="117"/>
      <c r="F1016" s="116"/>
      <c r="G1016" s="117"/>
      <c r="H1016" s="118"/>
      <c r="I1016" s="116"/>
      <c r="J1016" s="116"/>
      <c r="K1016" s="116"/>
      <c r="L1016" s="116"/>
      <c r="M1016" s="119" t="b">
        <v>0</v>
      </c>
      <c r="N1016" s="113" t="b">
        <v>0</v>
      </c>
      <c r="O1016" s="113" t="b">
        <v>0</v>
      </c>
      <c r="P1016" s="113" t="b">
        <v>0</v>
      </c>
      <c r="Q1016" s="113" t="b">
        <v>0</v>
      </c>
      <c r="R1016" s="113"/>
      <c r="S1016" s="113" t="b">
        <v>0</v>
      </c>
      <c r="T1016" s="113"/>
      <c r="U1016" s="113"/>
      <c r="V1016" s="113" t="b">
        <v>0</v>
      </c>
      <c r="W1016" s="113"/>
      <c r="X1016" s="113" t="b">
        <v>0</v>
      </c>
      <c r="Y1016" s="113"/>
      <c r="Z1016" s="113"/>
      <c r="AA1016" s="113"/>
      <c r="AB1016" s="113"/>
      <c r="AC1016" s="113"/>
      <c r="AD1016" s="113"/>
      <c r="AE1016" s="113"/>
      <c r="AF1016" s="113"/>
    </row>
    <row r="1017">
      <c r="A1017" s="115"/>
      <c r="B1017" s="116"/>
      <c r="C1017" s="116"/>
      <c r="D1017" s="116"/>
      <c r="E1017" s="117"/>
      <c r="F1017" s="116"/>
      <c r="G1017" s="117"/>
      <c r="H1017" s="118"/>
      <c r="I1017" s="116"/>
      <c r="J1017" s="116"/>
      <c r="K1017" s="116"/>
      <c r="L1017" s="116"/>
      <c r="M1017" s="119" t="b">
        <v>0</v>
      </c>
      <c r="N1017" s="113" t="b">
        <v>0</v>
      </c>
      <c r="O1017" s="113" t="b">
        <v>0</v>
      </c>
      <c r="P1017" s="113" t="b">
        <v>0</v>
      </c>
      <c r="Q1017" s="113" t="b">
        <v>0</v>
      </c>
      <c r="R1017" s="113"/>
      <c r="S1017" s="113" t="b">
        <v>0</v>
      </c>
      <c r="T1017" s="113"/>
      <c r="U1017" s="113"/>
      <c r="V1017" s="113" t="b">
        <v>0</v>
      </c>
      <c r="W1017" s="113"/>
      <c r="X1017" s="113" t="b">
        <v>0</v>
      </c>
      <c r="Y1017" s="113"/>
      <c r="Z1017" s="113"/>
      <c r="AA1017" s="113"/>
      <c r="AB1017" s="113"/>
      <c r="AC1017" s="113"/>
      <c r="AD1017" s="113"/>
      <c r="AE1017" s="113"/>
      <c r="AF1017" s="113"/>
    </row>
    <row r="1018">
      <c r="A1018" s="115"/>
      <c r="B1018" s="116"/>
      <c r="C1018" s="116"/>
      <c r="D1018" s="116"/>
      <c r="E1018" s="117"/>
      <c r="F1018" s="116"/>
      <c r="G1018" s="117"/>
      <c r="H1018" s="118"/>
      <c r="I1018" s="116"/>
      <c r="J1018" s="116"/>
      <c r="K1018" s="116"/>
      <c r="L1018" s="116"/>
      <c r="M1018" s="119" t="b">
        <v>0</v>
      </c>
      <c r="N1018" s="113" t="b">
        <v>0</v>
      </c>
      <c r="O1018" s="113" t="b">
        <v>0</v>
      </c>
      <c r="P1018" s="113" t="b">
        <v>0</v>
      </c>
      <c r="Q1018" s="113" t="b">
        <v>0</v>
      </c>
      <c r="R1018" s="113"/>
      <c r="S1018" s="113" t="b">
        <v>0</v>
      </c>
      <c r="T1018" s="113"/>
      <c r="U1018" s="113"/>
      <c r="V1018" s="113" t="b">
        <v>0</v>
      </c>
      <c r="W1018" s="113"/>
      <c r="X1018" s="113" t="b">
        <v>0</v>
      </c>
      <c r="Y1018" s="113"/>
      <c r="Z1018" s="113"/>
      <c r="AA1018" s="113"/>
      <c r="AB1018" s="113"/>
      <c r="AC1018" s="113"/>
      <c r="AD1018" s="113"/>
      <c r="AE1018" s="113"/>
      <c r="AF1018" s="113"/>
    </row>
    <row r="1019">
      <c r="A1019" s="115"/>
      <c r="B1019" s="116"/>
      <c r="C1019" s="116"/>
      <c r="D1019" s="116"/>
      <c r="E1019" s="117"/>
      <c r="F1019" s="116"/>
      <c r="G1019" s="117"/>
      <c r="H1019" s="118"/>
      <c r="I1019" s="116"/>
      <c r="J1019" s="116"/>
      <c r="K1019" s="116"/>
      <c r="L1019" s="116"/>
      <c r="M1019" s="119" t="b">
        <v>0</v>
      </c>
      <c r="N1019" s="113" t="b">
        <v>0</v>
      </c>
      <c r="O1019" s="113" t="b">
        <v>0</v>
      </c>
      <c r="P1019" s="113" t="b">
        <v>0</v>
      </c>
      <c r="Q1019" s="113" t="b">
        <v>0</v>
      </c>
      <c r="R1019" s="113"/>
      <c r="S1019" s="113" t="b">
        <v>0</v>
      </c>
      <c r="T1019" s="113"/>
      <c r="U1019" s="113"/>
      <c r="V1019" s="113" t="b">
        <v>0</v>
      </c>
      <c r="W1019" s="113"/>
      <c r="X1019" s="113" t="b">
        <v>0</v>
      </c>
      <c r="Y1019" s="113"/>
      <c r="Z1019" s="113"/>
      <c r="AA1019" s="113"/>
      <c r="AB1019" s="113"/>
      <c r="AC1019" s="113"/>
      <c r="AD1019" s="113"/>
      <c r="AE1019" s="113"/>
      <c r="AF1019" s="113"/>
    </row>
    <row r="1020">
      <c r="A1020" s="115"/>
      <c r="B1020" s="116"/>
      <c r="C1020" s="116"/>
      <c r="D1020" s="116"/>
      <c r="E1020" s="117"/>
      <c r="F1020" s="116"/>
      <c r="G1020" s="117"/>
      <c r="H1020" s="118"/>
      <c r="I1020" s="116"/>
      <c r="J1020" s="116"/>
      <c r="K1020" s="116"/>
      <c r="L1020" s="116"/>
      <c r="M1020" s="119" t="b">
        <v>0</v>
      </c>
      <c r="N1020" s="113" t="b">
        <v>0</v>
      </c>
      <c r="O1020" s="113" t="b">
        <v>0</v>
      </c>
      <c r="P1020" s="113" t="b">
        <v>0</v>
      </c>
      <c r="Q1020" s="113" t="b">
        <v>0</v>
      </c>
      <c r="R1020" s="113"/>
      <c r="S1020" s="113" t="b">
        <v>0</v>
      </c>
      <c r="T1020" s="113"/>
      <c r="U1020" s="113"/>
      <c r="V1020" s="113" t="b">
        <v>0</v>
      </c>
      <c r="W1020" s="113"/>
      <c r="X1020" s="113" t="b">
        <v>0</v>
      </c>
      <c r="Y1020" s="113"/>
      <c r="Z1020" s="113"/>
      <c r="AA1020" s="113"/>
      <c r="AB1020" s="113"/>
      <c r="AC1020" s="113"/>
      <c r="AD1020" s="113"/>
      <c r="AE1020" s="113"/>
      <c r="AF1020" s="113"/>
    </row>
    <row r="1021">
      <c r="A1021" s="115"/>
      <c r="B1021" s="116"/>
      <c r="C1021" s="116"/>
      <c r="D1021" s="116"/>
      <c r="E1021" s="117"/>
      <c r="F1021" s="116"/>
      <c r="G1021" s="117"/>
      <c r="H1021" s="118"/>
      <c r="I1021" s="116"/>
      <c r="J1021" s="116"/>
      <c r="K1021" s="116"/>
      <c r="L1021" s="116"/>
      <c r="M1021" s="119" t="b">
        <v>0</v>
      </c>
      <c r="N1021" s="113" t="b">
        <v>0</v>
      </c>
      <c r="O1021" s="113" t="b">
        <v>0</v>
      </c>
      <c r="P1021" s="113" t="b">
        <v>0</v>
      </c>
      <c r="Q1021" s="113" t="b">
        <v>0</v>
      </c>
      <c r="R1021" s="113"/>
      <c r="S1021" s="113" t="b">
        <v>0</v>
      </c>
      <c r="T1021" s="113"/>
      <c r="U1021" s="113"/>
      <c r="V1021" s="113" t="b">
        <v>0</v>
      </c>
      <c r="W1021" s="113"/>
      <c r="X1021" s="113" t="b">
        <v>0</v>
      </c>
      <c r="Y1021" s="113"/>
      <c r="Z1021" s="113"/>
      <c r="AA1021" s="113"/>
      <c r="AB1021" s="113"/>
      <c r="AC1021" s="113"/>
      <c r="AD1021" s="113"/>
      <c r="AE1021" s="113"/>
      <c r="AF1021" s="113"/>
    </row>
    <row r="1022">
      <c r="A1022" s="115"/>
      <c r="B1022" s="116"/>
      <c r="C1022" s="116"/>
      <c r="D1022" s="116"/>
      <c r="E1022" s="117"/>
      <c r="F1022" s="116"/>
      <c r="G1022" s="117"/>
      <c r="H1022" s="118"/>
      <c r="I1022" s="116"/>
      <c r="J1022" s="116"/>
      <c r="K1022" s="116"/>
      <c r="L1022" s="116"/>
      <c r="M1022" s="119" t="b">
        <v>0</v>
      </c>
      <c r="N1022" s="113" t="b">
        <v>0</v>
      </c>
      <c r="O1022" s="113" t="b">
        <v>0</v>
      </c>
      <c r="P1022" s="113" t="b">
        <v>0</v>
      </c>
      <c r="Q1022" s="113" t="b">
        <v>0</v>
      </c>
      <c r="R1022" s="113"/>
      <c r="S1022" s="113" t="b">
        <v>0</v>
      </c>
      <c r="T1022" s="113"/>
      <c r="U1022" s="113"/>
      <c r="V1022" s="113" t="b">
        <v>0</v>
      </c>
      <c r="W1022" s="113"/>
      <c r="X1022" s="113" t="b">
        <v>0</v>
      </c>
      <c r="Y1022" s="113"/>
      <c r="Z1022" s="113"/>
      <c r="AA1022" s="113"/>
      <c r="AB1022" s="113"/>
      <c r="AC1022" s="113"/>
      <c r="AD1022" s="113"/>
      <c r="AE1022" s="113"/>
      <c r="AF1022" s="113"/>
    </row>
    <row r="1023">
      <c r="A1023" s="115"/>
      <c r="B1023" s="116"/>
      <c r="C1023" s="116"/>
      <c r="D1023" s="116"/>
      <c r="E1023" s="117"/>
      <c r="F1023" s="116"/>
      <c r="G1023" s="117"/>
      <c r="H1023" s="118"/>
      <c r="I1023" s="116"/>
      <c r="J1023" s="116"/>
      <c r="K1023" s="116"/>
      <c r="L1023" s="116"/>
      <c r="M1023" s="119" t="b">
        <v>0</v>
      </c>
      <c r="N1023" s="113" t="b">
        <v>0</v>
      </c>
      <c r="O1023" s="113" t="b">
        <v>0</v>
      </c>
      <c r="P1023" s="113" t="b">
        <v>0</v>
      </c>
      <c r="Q1023" s="113" t="b">
        <v>0</v>
      </c>
      <c r="R1023" s="113"/>
      <c r="S1023" s="113" t="b">
        <v>0</v>
      </c>
      <c r="T1023" s="113"/>
      <c r="U1023" s="113"/>
      <c r="V1023" s="113" t="b">
        <v>0</v>
      </c>
      <c r="W1023" s="113"/>
      <c r="X1023" s="113" t="b">
        <v>0</v>
      </c>
      <c r="Y1023" s="113"/>
      <c r="Z1023" s="113"/>
      <c r="AA1023" s="113"/>
      <c r="AB1023" s="113"/>
      <c r="AC1023" s="113"/>
      <c r="AD1023" s="113"/>
      <c r="AE1023" s="113"/>
      <c r="AF1023" s="113"/>
    </row>
    <row r="1024">
      <c r="A1024" s="115"/>
      <c r="B1024" s="116"/>
      <c r="C1024" s="116"/>
      <c r="D1024" s="116"/>
      <c r="E1024" s="117"/>
      <c r="F1024" s="116"/>
      <c r="G1024" s="117"/>
      <c r="H1024" s="118"/>
      <c r="I1024" s="116"/>
      <c r="J1024" s="116"/>
      <c r="K1024" s="116"/>
      <c r="L1024" s="116"/>
      <c r="M1024" s="119" t="b">
        <v>0</v>
      </c>
      <c r="N1024" s="113" t="b">
        <v>0</v>
      </c>
      <c r="O1024" s="113" t="b">
        <v>0</v>
      </c>
      <c r="P1024" s="113" t="b">
        <v>0</v>
      </c>
      <c r="Q1024" s="113" t="b">
        <v>0</v>
      </c>
      <c r="R1024" s="113"/>
      <c r="S1024" s="113" t="b">
        <v>0</v>
      </c>
      <c r="T1024" s="113"/>
      <c r="U1024" s="113"/>
      <c r="V1024" s="113" t="b">
        <v>0</v>
      </c>
      <c r="W1024" s="113"/>
      <c r="X1024" s="113" t="b">
        <v>0</v>
      </c>
      <c r="Y1024" s="113"/>
      <c r="Z1024" s="113"/>
      <c r="AA1024" s="113"/>
      <c r="AB1024" s="113"/>
      <c r="AC1024" s="113"/>
      <c r="AD1024" s="113"/>
      <c r="AE1024" s="113"/>
      <c r="AF1024" s="113"/>
    </row>
    <row r="1025">
      <c r="A1025" s="115"/>
      <c r="B1025" s="116"/>
      <c r="C1025" s="116"/>
      <c r="D1025" s="116"/>
      <c r="E1025" s="117"/>
      <c r="F1025" s="116"/>
      <c r="G1025" s="117"/>
      <c r="H1025" s="118"/>
      <c r="I1025" s="116"/>
      <c r="J1025" s="116"/>
      <c r="K1025" s="116"/>
      <c r="L1025" s="116"/>
      <c r="M1025" s="119" t="b">
        <v>0</v>
      </c>
      <c r="N1025" s="113" t="b">
        <v>0</v>
      </c>
      <c r="O1025" s="113" t="b">
        <v>0</v>
      </c>
      <c r="P1025" s="113" t="b">
        <v>0</v>
      </c>
      <c r="Q1025" s="113" t="b">
        <v>0</v>
      </c>
      <c r="R1025" s="113"/>
      <c r="S1025" s="113" t="b">
        <v>0</v>
      </c>
      <c r="T1025" s="113"/>
      <c r="U1025" s="113"/>
      <c r="V1025" s="113" t="b">
        <v>0</v>
      </c>
      <c r="W1025" s="113"/>
      <c r="X1025" s="113" t="b">
        <v>0</v>
      </c>
      <c r="Y1025" s="113"/>
      <c r="Z1025" s="113"/>
      <c r="AA1025" s="113"/>
      <c r="AB1025" s="113"/>
      <c r="AC1025" s="113"/>
      <c r="AD1025" s="113"/>
      <c r="AE1025" s="113"/>
      <c r="AF1025" s="113"/>
    </row>
    <row r="1026">
      <c r="A1026" s="115"/>
      <c r="B1026" s="116"/>
      <c r="C1026" s="116"/>
      <c r="D1026" s="116"/>
      <c r="E1026" s="117"/>
      <c r="F1026" s="116"/>
      <c r="G1026" s="117"/>
      <c r="H1026" s="118"/>
      <c r="I1026" s="116"/>
      <c r="J1026" s="116"/>
      <c r="K1026" s="116"/>
      <c r="L1026" s="116"/>
      <c r="M1026" s="119" t="b">
        <v>0</v>
      </c>
      <c r="N1026" s="113" t="b">
        <v>0</v>
      </c>
      <c r="O1026" s="113" t="b">
        <v>0</v>
      </c>
      <c r="P1026" s="113" t="b">
        <v>0</v>
      </c>
      <c r="Q1026" s="113" t="b">
        <v>0</v>
      </c>
      <c r="R1026" s="113"/>
      <c r="S1026" s="113" t="b">
        <v>0</v>
      </c>
      <c r="T1026" s="113"/>
      <c r="U1026" s="113"/>
      <c r="V1026" s="113" t="b">
        <v>0</v>
      </c>
      <c r="W1026" s="113"/>
      <c r="X1026" s="113" t="b">
        <v>0</v>
      </c>
      <c r="Y1026" s="113"/>
      <c r="Z1026" s="113"/>
      <c r="AA1026" s="113"/>
      <c r="AB1026" s="113"/>
      <c r="AC1026" s="113"/>
      <c r="AD1026" s="113"/>
      <c r="AE1026" s="113"/>
      <c r="AF1026" s="113"/>
    </row>
    <row r="1027">
      <c r="A1027" s="115"/>
      <c r="B1027" s="116"/>
      <c r="C1027" s="116"/>
      <c r="D1027" s="116"/>
      <c r="E1027" s="117"/>
      <c r="F1027" s="116"/>
      <c r="G1027" s="117"/>
      <c r="H1027" s="118"/>
      <c r="I1027" s="116"/>
      <c r="J1027" s="116"/>
      <c r="K1027" s="116"/>
      <c r="L1027" s="116"/>
      <c r="M1027" s="119" t="b">
        <v>0</v>
      </c>
      <c r="N1027" s="113" t="b">
        <v>0</v>
      </c>
      <c r="O1027" s="113" t="b">
        <v>0</v>
      </c>
      <c r="P1027" s="113" t="b">
        <v>0</v>
      </c>
      <c r="Q1027" s="113" t="b">
        <v>0</v>
      </c>
      <c r="R1027" s="113"/>
      <c r="S1027" s="113" t="b">
        <v>0</v>
      </c>
      <c r="T1027" s="113"/>
      <c r="U1027" s="113"/>
      <c r="V1027" s="113" t="b">
        <v>0</v>
      </c>
      <c r="W1027" s="113"/>
      <c r="X1027" s="113" t="b">
        <v>0</v>
      </c>
      <c r="Y1027" s="113"/>
      <c r="Z1027" s="113"/>
      <c r="AA1027" s="113"/>
      <c r="AB1027" s="113"/>
      <c r="AC1027" s="113"/>
      <c r="AD1027" s="113"/>
      <c r="AE1027" s="113"/>
      <c r="AF1027" s="113"/>
    </row>
    <row r="1028">
      <c r="A1028" s="115"/>
      <c r="B1028" s="116"/>
      <c r="C1028" s="116"/>
      <c r="D1028" s="116"/>
      <c r="E1028" s="117"/>
      <c r="F1028" s="116"/>
      <c r="G1028" s="117"/>
      <c r="H1028" s="118"/>
      <c r="I1028" s="116"/>
      <c r="J1028" s="116"/>
      <c r="K1028" s="116"/>
      <c r="L1028" s="116"/>
      <c r="M1028" s="119" t="b">
        <v>0</v>
      </c>
      <c r="N1028" s="113" t="b">
        <v>0</v>
      </c>
      <c r="O1028" s="113" t="b">
        <v>0</v>
      </c>
      <c r="P1028" s="113" t="b">
        <v>0</v>
      </c>
      <c r="Q1028" s="113" t="b">
        <v>0</v>
      </c>
      <c r="R1028" s="113"/>
      <c r="S1028" s="113" t="b">
        <v>0</v>
      </c>
      <c r="T1028" s="113"/>
      <c r="U1028" s="113"/>
      <c r="V1028" s="113" t="b">
        <v>0</v>
      </c>
      <c r="W1028" s="113"/>
      <c r="X1028" s="113" t="b">
        <v>0</v>
      </c>
      <c r="Y1028" s="113"/>
      <c r="Z1028" s="113"/>
      <c r="AA1028" s="113"/>
      <c r="AB1028" s="113"/>
      <c r="AC1028" s="113"/>
      <c r="AD1028" s="113"/>
      <c r="AE1028" s="113"/>
      <c r="AF1028" s="113"/>
    </row>
    <row r="1029">
      <c r="A1029" s="115"/>
      <c r="B1029" s="116"/>
      <c r="C1029" s="116"/>
      <c r="D1029" s="116"/>
      <c r="E1029" s="117"/>
      <c r="F1029" s="116"/>
      <c r="G1029" s="117"/>
      <c r="H1029" s="118"/>
      <c r="I1029" s="116"/>
      <c r="J1029" s="116"/>
      <c r="K1029" s="116"/>
      <c r="L1029" s="116"/>
      <c r="M1029" s="119" t="b">
        <v>0</v>
      </c>
      <c r="N1029" s="113" t="b">
        <v>0</v>
      </c>
      <c r="O1029" s="113" t="b">
        <v>0</v>
      </c>
      <c r="P1029" s="113" t="b">
        <v>0</v>
      </c>
      <c r="Q1029" s="113" t="b">
        <v>0</v>
      </c>
      <c r="R1029" s="113"/>
      <c r="S1029" s="113" t="b">
        <v>0</v>
      </c>
      <c r="T1029" s="113"/>
      <c r="U1029" s="113"/>
      <c r="V1029" s="113" t="b">
        <v>0</v>
      </c>
      <c r="W1029" s="113"/>
      <c r="X1029" s="113" t="b">
        <v>0</v>
      </c>
      <c r="Y1029" s="113"/>
      <c r="Z1029" s="113"/>
      <c r="AA1029" s="113"/>
      <c r="AB1029" s="113"/>
      <c r="AC1029" s="113"/>
      <c r="AD1029" s="113"/>
      <c r="AE1029" s="113"/>
      <c r="AF1029" s="113"/>
    </row>
    <row r="1030">
      <c r="A1030" s="115"/>
      <c r="B1030" s="116"/>
      <c r="C1030" s="116"/>
      <c r="D1030" s="116"/>
      <c r="E1030" s="117"/>
      <c r="F1030" s="116"/>
      <c r="G1030" s="117"/>
      <c r="H1030" s="118"/>
      <c r="I1030" s="116"/>
      <c r="J1030" s="116"/>
      <c r="K1030" s="116"/>
      <c r="L1030" s="116"/>
      <c r="M1030" s="119" t="b">
        <v>0</v>
      </c>
      <c r="N1030" s="113" t="b">
        <v>0</v>
      </c>
      <c r="O1030" s="113" t="b">
        <v>0</v>
      </c>
      <c r="P1030" s="113" t="b">
        <v>0</v>
      </c>
      <c r="Q1030" s="113" t="b">
        <v>0</v>
      </c>
      <c r="R1030" s="113"/>
      <c r="S1030" s="113" t="b">
        <v>0</v>
      </c>
      <c r="T1030" s="113"/>
      <c r="U1030" s="113"/>
      <c r="V1030" s="113" t="b">
        <v>0</v>
      </c>
      <c r="W1030" s="113"/>
      <c r="X1030" s="113" t="b">
        <v>0</v>
      </c>
      <c r="Y1030" s="113"/>
      <c r="Z1030" s="113"/>
      <c r="AA1030" s="113"/>
      <c r="AB1030" s="113"/>
      <c r="AC1030" s="113"/>
      <c r="AD1030" s="113"/>
      <c r="AE1030" s="113"/>
      <c r="AF1030" s="113"/>
    </row>
    <row r="1031">
      <c r="A1031" s="115"/>
      <c r="B1031" s="116"/>
      <c r="C1031" s="116"/>
      <c r="D1031" s="116"/>
      <c r="E1031" s="117"/>
      <c r="F1031" s="116"/>
      <c r="G1031" s="117"/>
      <c r="H1031" s="118"/>
      <c r="I1031" s="116"/>
      <c r="J1031" s="116"/>
      <c r="K1031" s="116"/>
      <c r="L1031" s="116"/>
      <c r="M1031" s="119" t="b">
        <v>0</v>
      </c>
      <c r="N1031" s="113" t="b">
        <v>0</v>
      </c>
      <c r="O1031" s="113" t="b">
        <v>0</v>
      </c>
      <c r="P1031" s="113" t="b">
        <v>0</v>
      </c>
      <c r="Q1031" s="113" t="b">
        <v>0</v>
      </c>
      <c r="R1031" s="113"/>
      <c r="S1031" s="113" t="b">
        <v>0</v>
      </c>
      <c r="T1031" s="113"/>
      <c r="U1031" s="113"/>
      <c r="V1031" s="113" t="b">
        <v>0</v>
      </c>
      <c r="W1031" s="113"/>
      <c r="X1031" s="113" t="b">
        <v>0</v>
      </c>
      <c r="Y1031" s="113"/>
      <c r="Z1031" s="113"/>
      <c r="AA1031" s="113"/>
      <c r="AB1031" s="113"/>
      <c r="AC1031" s="113"/>
      <c r="AD1031" s="113"/>
      <c r="AE1031" s="113"/>
      <c r="AF1031" s="113"/>
    </row>
    <row r="1032">
      <c r="A1032" s="115"/>
      <c r="B1032" s="116"/>
      <c r="C1032" s="116"/>
      <c r="D1032" s="116"/>
      <c r="E1032" s="117"/>
      <c r="F1032" s="116"/>
      <c r="G1032" s="117"/>
      <c r="H1032" s="118"/>
      <c r="I1032" s="116"/>
      <c r="J1032" s="116"/>
      <c r="K1032" s="116"/>
      <c r="L1032" s="116"/>
      <c r="M1032" s="119" t="b">
        <v>0</v>
      </c>
      <c r="N1032" s="113" t="b">
        <v>0</v>
      </c>
      <c r="O1032" s="113" t="b">
        <v>0</v>
      </c>
      <c r="P1032" s="113" t="b">
        <v>0</v>
      </c>
      <c r="Q1032" s="113" t="b">
        <v>0</v>
      </c>
      <c r="R1032" s="113"/>
      <c r="S1032" s="113" t="b">
        <v>0</v>
      </c>
      <c r="T1032" s="113"/>
      <c r="U1032" s="113"/>
      <c r="V1032" s="113" t="b">
        <v>0</v>
      </c>
      <c r="W1032" s="113"/>
      <c r="X1032" s="113" t="b">
        <v>0</v>
      </c>
      <c r="Y1032" s="113"/>
      <c r="Z1032" s="113"/>
      <c r="AA1032" s="113"/>
      <c r="AB1032" s="113"/>
      <c r="AC1032" s="113"/>
      <c r="AD1032" s="113"/>
      <c r="AE1032" s="113"/>
      <c r="AF1032" s="113"/>
    </row>
    <row r="1033">
      <c r="A1033" s="115"/>
      <c r="B1033" s="116"/>
      <c r="C1033" s="116"/>
      <c r="D1033" s="116"/>
      <c r="E1033" s="117"/>
      <c r="F1033" s="116"/>
      <c r="G1033" s="117"/>
      <c r="H1033" s="118"/>
      <c r="I1033" s="116"/>
      <c r="J1033" s="116"/>
      <c r="K1033" s="116"/>
      <c r="L1033" s="116"/>
      <c r="M1033" s="119" t="b">
        <v>0</v>
      </c>
      <c r="N1033" s="113" t="b">
        <v>0</v>
      </c>
      <c r="O1033" s="113" t="b">
        <v>0</v>
      </c>
      <c r="P1033" s="113" t="b">
        <v>0</v>
      </c>
      <c r="Q1033" s="113" t="b">
        <v>0</v>
      </c>
      <c r="R1033" s="113"/>
      <c r="S1033" s="113" t="b">
        <v>0</v>
      </c>
      <c r="T1033" s="113"/>
      <c r="U1033" s="113"/>
      <c r="V1033" s="113" t="b">
        <v>0</v>
      </c>
      <c r="W1033" s="113"/>
      <c r="X1033" s="113" t="b">
        <v>0</v>
      </c>
      <c r="Y1033" s="113"/>
      <c r="Z1033" s="113"/>
      <c r="AA1033" s="113"/>
      <c r="AB1033" s="113"/>
      <c r="AC1033" s="113"/>
      <c r="AD1033" s="113"/>
      <c r="AE1033" s="113"/>
      <c r="AF1033" s="113"/>
    </row>
    <row r="1034">
      <c r="A1034" s="115"/>
      <c r="B1034" s="116"/>
      <c r="C1034" s="116"/>
      <c r="D1034" s="116"/>
      <c r="E1034" s="117"/>
      <c r="F1034" s="116"/>
      <c r="G1034" s="117"/>
      <c r="H1034" s="118"/>
      <c r="I1034" s="116"/>
      <c r="J1034" s="116"/>
      <c r="K1034" s="116"/>
      <c r="L1034" s="116"/>
      <c r="M1034" s="119" t="b">
        <v>0</v>
      </c>
      <c r="N1034" s="113" t="b">
        <v>0</v>
      </c>
      <c r="O1034" s="113" t="b">
        <v>0</v>
      </c>
      <c r="P1034" s="113" t="b">
        <v>0</v>
      </c>
      <c r="Q1034" s="113" t="b">
        <v>0</v>
      </c>
      <c r="R1034" s="113"/>
      <c r="S1034" s="113" t="b">
        <v>0</v>
      </c>
      <c r="T1034" s="113"/>
      <c r="U1034" s="113"/>
      <c r="V1034" s="113" t="b">
        <v>0</v>
      </c>
      <c r="W1034" s="113"/>
      <c r="X1034" s="113" t="b">
        <v>0</v>
      </c>
      <c r="Y1034" s="113"/>
      <c r="Z1034" s="113"/>
      <c r="AA1034" s="113"/>
      <c r="AB1034" s="113"/>
      <c r="AC1034" s="113"/>
      <c r="AD1034" s="113"/>
      <c r="AE1034" s="113"/>
      <c r="AF1034" s="113"/>
    </row>
    <row r="1035">
      <c r="A1035" s="115"/>
      <c r="B1035" s="116"/>
      <c r="C1035" s="116"/>
      <c r="D1035" s="116"/>
      <c r="E1035" s="117"/>
      <c r="F1035" s="116"/>
      <c r="G1035" s="117"/>
      <c r="H1035" s="118"/>
      <c r="I1035" s="116"/>
      <c r="J1035" s="116"/>
      <c r="K1035" s="116"/>
      <c r="L1035" s="116"/>
      <c r="M1035" s="119" t="b">
        <v>0</v>
      </c>
      <c r="N1035" s="113" t="b">
        <v>0</v>
      </c>
      <c r="O1035" s="113" t="b">
        <v>0</v>
      </c>
      <c r="P1035" s="113" t="b">
        <v>0</v>
      </c>
      <c r="Q1035" s="113" t="b">
        <v>0</v>
      </c>
      <c r="R1035" s="113"/>
      <c r="S1035" s="113" t="b">
        <v>0</v>
      </c>
      <c r="T1035" s="113"/>
      <c r="U1035" s="113"/>
      <c r="V1035" s="113" t="b">
        <v>0</v>
      </c>
      <c r="W1035" s="113"/>
      <c r="X1035" s="113" t="b">
        <v>0</v>
      </c>
      <c r="Y1035" s="113"/>
      <c r="Z1035" s="113"/>
      <c r="AA1035" s="113"/>
      <c r="AB1035" s="113"/>
      <c r="AC1035" s="113"/>
      <c r="AD1035" s="113"/>
      <c r="AE1035" s="113"/>
      <c r="AF1035" s="113"/>
    </row>
    <row r="1036">
      <c r="A1036" s="115"/>
      <c r="B1036" s="116"/>
      <c r="C1036" s="116"/>
      <c r="D1036" s="116"/>
      <c r="E1036" s="117"/>
      <c r="F1036" s="116"/>
      <c r="G1036" s="117"/>
      <c r="H1036" s="118"/>
      <c r="I1036" s="116"/>
      <c r="J1036" s="116"/>
      <c r="K1036" s="116"/>
      <c r="L1036" s="116"/>
      <c r="M1036" s="119" t="b">
        <v>0</v>
      </c>
      <c r="N1036" s="113" t="b">
        <v>0</v>
      </c>
      <c r="O1036" s="113" t="b">
        <v>0</v>
      </c>
      <c r="P1036" s="113" t="b">
        <v>0</v>
      </c>
      <c r="Q1036" s="113" t="b">
        <v>0</v>
      </c>
      <c r="R1036" s="113"/>
      <c r="S1036" s="113" t="b">
        <v>0</v>
      </c>
      <c r="T1036" s="113"/>
      <c r="U1036" s="113"/>
      <c r="V1036" s="113" t="b">
        <v>0</v>
      </c>
      <c r="W1036" s="113"/>
      <c r="X1036" s="113" t="b">
        <v>0</v>
      </c>
      <c r="Y1036" s="113"/>
      <c r="Z1036" s="113"/>
      <c r="AA1036" s="113"/>
      <c r="AB1036" s="113"/>
      <c r="AC1036" s="113"/>
      <c r="AD1036" s="113"/>
      <c r="AE1036" s="113"/>
      <c r="AF1036" s="113"/>
    </row>
    <row r="1037">
      <c r="A1037" s="115"/>
      <c r="B1037" s="116"/>
      <c r="C1037" s="116"/>
      <c r="D1037" s="116"/>
      <c r="E1037" s="117"/>
      <c r="F1037" s="116"/>
      <c r="G1037" s="117"/>
      <c r="H1037" s="118"/>
      <c r="I1037" s="116"/>
      <c r="J1037" s="116"/>
      <c r="K1037" s="116"/>
      <c r="L1037" s="116"/>
      <c r="M1037" s="119" t="b">
        <v>0</v>
      </c>
      <c r="N1037" s="113" t="b">
        <v>0</v>
      </c>
      <c r="O1037" s="113" t="b">
        <v>0</v>
      </c>
      <c r="P1037" s="113" t="b">
        <v>0</v>
      </c>
      <c r="Q1037" s="113" t="b">
        <v>0</v>
      </c>
      <c r="R1037" s="113"/>
      <c r="S1037" s="113" t="b">
        <v>0</v>
      </c>
      <c r="T1037" s="113"/>
      <c r="U1037" s="113"/>
      <c r="V1037" s="113" t="b">
        <v>0</v>
      </c>
      <c r="W1037" s="113"/>
      <c r="X1037" s="113" t="b">
        <v>0</v>
      </c>
      <c r="Y1037" s="113"/>
      <c r="Z1037" s="113"/>
      <c r="AA1037" s="113"/>
      <c r="AB1037" s="113"/>
      <c r="AC1037" s="113"/>
      <c r="AD1037" s="113"/>
      <c r="AE1037" s="113"/>
      <c r="AF1037" s="113"/>
    </row>
    <row r="1038">
      <c r="A1038" s="115"/>
      <c r="B1038" s="116"/>
      <c r="C1038" s="116"/>
      <c r="D1038" s="116"/>
      <c r="E1038" s="117"/>
      <c r="F1038" s="116"/>
      <c r="G1038" s="117"/>
      <c r="H1038" s="118"/>
      <c r="I1038" s="116"/>
      <c r="J1038" s="116"/>
      <c r="K1038" s="116"/>
      <c r="L1038" s="116"/>
      <c r="M1038" s="119" t="b">
        <v>0</v>
      </c>
      <c r="N1038" s="113" t="b">
        <v>0</v>
      </c>
      <c r="O1038" s="113" t="b">
        <v>0</v>
      </c>
      <c r="P1038" s="113" t="b">
        <v>0</v>
      </c>
      <c r="Q1038" s="113" t="b">
        <v>0</v>
      </c>
      <c r="R1038" s="113"/>
      <c r="S1038" s="113" t="b">
        <v>0</v>
      </c>
      <c r="T1038" s="113"/>
      <c r="U1038" s="113"/>
      <c r="V1038" s="113" t="b">
        <v>0</v>
      </c>
      <c r="W1038" s="113"/>
      <c r="X1038" s="113" t="b">
        <v>0</v>
      </c>
      <c r="Y1038" s="113"/>
      <c r="Z1038" s="113"/>
      <c r="AA1038" s="113"/>
      <c r="AB1038" s="113"/>
      <c r="AC1038" s="113"/>
      <c r="AD1038" s="113"/>
      <c r="AE1038" s="113"/>
      <c r="AF1038" s="113"/>
    </row>
    <row r="1039">
      <c r="A1039" s="115"/>
      <c r="B1039" s="116"/>
      <c r="C1039" s="116"/>
      <c r="D1039" s="116"/>
      <c r="E1039" s="117"/>
      <c r="F1039" s="116"/>
      <c r="G1039" s="117"/>
      <c r="H1039" s="118"/>
      <c r="I1039" s="116"/>
      <c r="J1039" s="116"/>
      <c r="K1039" s="116"/>
      <c r="L1039" s="116"/>
      <c r="M1039" s="119" t="b">
        <v>0</v>
      </c>
      <c r="N1039" s="113" t="b">
        <v>0</v>
      </c>
      <c r="O1039" s="113" t="b">
        <v>0</v>
      </c>
      <c r="P1039" s="113" t="b">
        <v>0</v>
      </c>
      <c r="Q1039" s="113" t="b">
        <v>0</v>
      </c>
      <c r="R1039" s="113"/>
      <c r="S1039" s="113" t="b">
        <v>0</v>
      </c>
      <c r="T1039" s="113"/>
      <c r="U1039" s="113"/>
      <c r="V1039" s="113" t="b">
        <v>0</v>
      </c>
      <c r="W1039" s="113"/>
      <c r="X1039" s="113" t="b">
        <v>0</v>
      </c>
      <c r="Y1039" s="113"/>
      <c r="Z1039" s="113"/>
      <c r="AA1039" s="113"/>
      <c r="AB1039" s="113"/>
      <c r="AC1039" s="113"/>
      <c r="AD1039" s="113"/>
      <c r="AE1039" s="113"/>
      <c r="AF1039" s="113"/>
    </row>
    <row r="1040">
      <c r="A1040" s="115"/>
      <c r="B1040" s="116"/>
      <c r="C1040" s="116"/>
      <c r="D1040" s="116"/>
      <c r="E1040" s="117"/>
      <c r="F1040" s="116"/>
      <c r="G1040" s="117"/>
      <c r="H1040" s="118"/>
      <c r="I1040" s="116"/>
      <c r="J1040" s="116"/>
      <c r="K1040" s="116"/>
      <c r="L1040" s="116"/>
      <c r="M1040" s="119" t="b">
        <v>0</v>
      </c>
      <c r="N1040" s="113" t="b">
        <v>0</v>
      </c>
      <c r="O1040" s="113" t="b">
        <v>0</v>
      </c>
      <c r="P1040" s="113" t="b">
        <v>0</v>
      </c>
      <c r="Q1040" s="113" t="b">
        <v>0</v>
      </c>
      <c r="R1040" s="113"/>
      <c r="S1040" s="113" t="b">
        <v>0</v>
      </c>
      <c r="T1040" s="113"/>
      <c r="U1040" s="113"/>
      <c r="V1040" s="113" t="b">
        <v>0</v>
      </c>
      <c r="W1040" s="113"/>
      <c r="X1040" s="113" t="b">
        <v>0</v>
      </c>
      <c r="Y1040" s="113"/>
      <c r="Z1040" s="113"/>
      <c r="AA1040" s="113"/>
      <c r="AB1040" s="113"/>
      <c r="AC1040" s="113"/>
      <c r="AD1040" s="113"/>
      <c r="AE1040" s="113"/>
      <c r="AF1040" s="113"/>
    </row>
    <row r="1041">
      <c r="A1041" s="115"/>
      <c r="B1041" s="116"/>
      <c r="C1041" s="116"/>
      <c r="D1041" s="116"/>
      <c r="E1041" s="117"/>
      <c r="F1041" s="116"/>
      <c r="G1041" s="117"/>
      <c r="H1041" s="118"/>
      <c r="I1041" s="116"/>
      <c r="J1041" s="116"/>
      <c r="K1041" s="116"/>
      <c r="L1041" s="116"/>
      <c r="M1041" s="119" t="b">
        <v>0</v>
      </c>
      <c r="N1041" s="113" t="b">
        <v>0</v>
      </c>
      <c r="O1041" s="113" t="b">
        <v>0</v>
      </c>
      <c r="P1041" s="113" t="b">
        <v>0</v>
      </c>
      <c r="Q1041" s="113" t="b">
        <v>0</v>
      </c>
      <c r="R1041" s="113"/>
      <c r="S1041" s="113" t="b">
        <v>0</v>
      </c>
      <c r="T1041" s="113"/>
      <c r="U1041" s="113"/>
      <c r="V1041" s="113" t="b">
        <v>0</v>
      </c>
      <c r="W1041" s="113"/>
      <c r="X1041" s="113" t="b">
        <v>0</v>
      </c>
      <c r="Y1041" s="113"/>
      <c r="Z1041" s="113"/>
      <c r="AA1041" s="113"/>
      <c r="AB1041" s="113"/>
      <c r="AC1041" s="113"/>
      <c r="AD1041" s="113"/>
      <c r="AE1041" s="113"/>
      <c r="AF1041" s="113"/>
    </row>
    <row r="1042">
      <c r="A1042" s="115"/>
      <c r="B1042" s="116"/>
      <c r="C1042" s="116"/>
      <c r="D1042" s="116"/>
      <c r="E1042" s="117"/>
      <c r="F1042" s="116"/>
      <c r="G1042" s="117"/>
      <c r="H1042" s="118"/>
      <c r="I1042" s="116"/>
      <c r="J1042" s="116"/>
      <c r="K1042" s="116"/>
      <c r="L1042" s="116"/>
      <c r="M1042" s="119" t="b">
        <v>0</v>
      </c>
      <c r="N1042" s="113" t="b">
        <v>0</v>
      </c>
      <c r="O1042" s="113" t="b">
        <v>0</v>
      </c>
      <c r="P1042" s="113" t="b">
        <v>0</v>
      </c>
      <c r="Q1042" s="113" t="b">
        <v>0</v>
      </c>
      <c r="R1042" s="113"/>
      <c r="S1042" s="113" t="b">
        <v>0</v>
      </c>
      <c r="T1042" s="113"/>
      <c r="U1042" s="113"/>
      <c r="V1042" s="113" t="b">
        <v>0</v>
      </c>
      <c r="W1042" s="113"/>
      <c r="X1042" s="113" t="b">
        <v>0</v>
      </c>
      <c r="Y1042" s="113"/>
      <c r="Z1042" s="113"/>
      <c r="AA1042" s="113"/>
      <c r="AB1042" s="113"/>
      <c r="AC1042" s="113"/>
      <c r="AD1042" s="113"/>
      <c r="AE1042" s="113"/>
      <c r="AF1042" s="113"/>
    </row>
    <row r="1043">
      <c r="A1043" s="115"/>
      <c r="B1043" s="116"/>
      <c r="C1043" s="116"/>
      <c r="D1043" s="116"/>
      <c r="E1043" s="117"/>
      <c r="F1043" s="116"/>
      <c r="G1043" s="117"/>
      <c r="H1043" s="118"/>
      <c r="I1043" s="116"/>
      <c r="J1043" s="116"/>
      <c r="K1043" s="116"/>
      <c r="L1043" s="116"/>
      <c r="M1043" s="119" t="b">
        <v>0</v>
      </c>
      <c r="N1043" s="113" t="b">
        <v>0</v>
      </c>
      <c r="O1043" s="113" t="b">
        <v>0</v>
      </c>
      <c r="P1043" s="113" t="b">
        <v>0</v>
      </c>
      <c r="Q1043" s="113" t="b">
        <v>0</v>
      </c>
      <c r="R1043" s="113"/>
      <c r="S1043" s="113" t="b">
        <v>0</v>
      </c>
      <c r="T1043" s="113"/>
      <c r="U1043" s="113"/>
      <c r="V1043" s="113" t="b">
        <v>0</v>
      </c>
      <c r="W1043" s="113"/>
      <c r="X1043" s="113" t="b">
        <v>0</v>
      </c>
      <c r="Y1043" s="113"/>
      <c r="Z1043" s="113"/>
      <c r="AA1043" s="113"/>
      <c r="AB1043" s="113"/>
      <c r="AC1043" s="113"/>
      <c r="AD1043" s="113"/>
      <c r="AE1043" s="113"/>
      <c r="AF1043" s="113"/>
    </row>
    <row r="1044">
      <c r="A1044" s="115"/>
      <c r="B1044" s="116"/>
      <c r="C1044" s="116"/>
      <c r="D1044" s="116"/>
      <c r="E1044" s="117"/>
      <c r="F1044" s="116"/>
      <c r="G1044" s="117"/>
      <c r="H1044" s="118"/>
      <c r="I1044" s="116"/>
      <c r="J1044" s="116"/>
      <c r="K1044" s="116"/>
      <c r="L1044" s="116"/>
      <c r="M1044" s="119" t="b">
        <v>0</v>
      </c>
      <c r="N1044" s="113" t="b">
        <v>0</v>
      </c>
      <c r="O1044" s="113" t="b">
        <v>0</v>
      </c>
      <c r="P1044" s="113" t="b">
        <v>0</v>
      </c>
      <c r="Q1044" s="113" t="b">
        <v>0</v>
      </c>
      <c r="R1044" s="113"/>
      <c r="S1044" s="113" t="b">
        <v>0</v>
      </c>
      <c r="T1044" s="113"/>
      <c r="U1044" s="113"/>
      <c r="V1044" s="113" t="b">
        <v>0</v>
      </c>
      <c r="W1044" s="113"/>
      <c r="X1044" s="113" t="b">
        <v>0</v>
      </c>
      <c r="Y1044" s="113"/>
      <c r="Z1044" s="113"/>
      <c r="AA1044" s="113"/>
      <c r="AB1044" s="113"/>
      <c r="AC1044" s="113"/>
      <c r="AD1044" s="113"/>
      <c r="AE1044" s="113"/>
      <c r="AF1044" s="113"/>
    </row>
    <row r="1045">
      <c r="A1045" s="115"/>
      <c r="B1045" s="116"/>
      <c r="C1045" s="116"/>
      <c r="D1045" s="116"/>
      <c r="E1045" s="117"/>
      <c r="F1045" s="116"/>
      <c r="G1045" s="117"/>
      <c r="H1045" s="118"/>
      <c r="I1045" s="116"/>
      <c r="J1045" s="116"/>
      <c r="K1045" s="116"/>
      <c r="L1045" s="116"/>
      <c r="M1045" s="119" t="b">
        <v>0</v>
      </c>
      <c r="N1045" s="113" t="b">
        <v>0</v>
      </c>
      <c r="O1045" s="113" t="b">
        <v>0</v>
      </c>
      <c r="P1045" s="113" t="b">
        <v>0</v>
      </c>
      <c r="Q1045" s="113" t="b">
        <v>0</v>
      </c>
      <c r="R1045" s="113"/>
      <c r="S1045" s="113" t="b">
        <v>0</v>
      </c>
      <c r="T1045" s="113"/>
      <c r="U1045" s="113"/>
      <c r="V1045" s="113" t="b">
        <v>0</v>
      </c>
      <c r="W1045" s="113"/>
      <c r="X1045" s="113" t="b">
        <v>0</v>
      </c>
      <c r="Y1045" s="113"/>
      <c r="Z1045" s="113"/>
      <c r="AA1045" s="113"/>
      <c r="AB1045" s="113"/>
      <c r="AC1045" s="113"/>
      <c r="AD1045" s="113"/>
      <c r="AE1045" s="113"/>
      <c r="AF1045" s="113"/>
    </row>
    <row r="1046">
      <c r="A1046" s="115"/>
      <c r="B1046" s="116"/>
      <c r="C1046" s="116"/>
      <c r="D1046" s="116"/>
      <c r="E1046" s="117"/>
      <c r="F1046" s="116"/>
      <c r="G1046" s="117"/>
      <c r="H1046" s="118"/>
      <c r="I1046" s="116"/>
      <c r="J1046" s="116"/>
      <c r="K1046" s="116"/>
      <c r="L1046" s="116"/>
      <c r="M1046" s="119" t="b">
        <v>0</v>
      </c>
      <c r="N1046" s="113" t="b">
        <v>0</v>
      </c>
      <c r="O1046" s="113" t="b">
        <v>0</v>
      </c>
      <c r="P1046" s="113" t="b">
        <v>0</v>
      </c>
      <c r="Q1046" s="113" t="b">
        <v>0</v>
      </c>
      <c r="R1046" s="113"/>
      <c r="S1046" s="113" t="b">
        <v>0</v>
      </c>
      <c r="T1046" s="113"/>
      <c r="U1046" s="113"/>
      <c r="V1046" s="113" t="b">
        <v>0</v>
      </c>
      <c r="W1046" s="113"/>
      <c r="X1046" s="113" t="b">
        <v>0</v>
      </c>
      <c r="Y1046" s="113"/>
      <c r="Z1046" s="113"/>
      <c r="AA1046" s="113"/>
      <c r="AB1046" s="113"/>
      <c r="AC1046" s="113"/>
      <c r="AD1046" s="113"/>
      <c r="AE1046" s="113"/>
      <c r="AF1046" s="113"/>
    </row>
    <row r="1047">
      <c r="A1047" s="115"/>
      <c r="B1047" s="116"/>
      <c r="C1047" s="116"/>
      <c r="D1047" s="116"/>
      <c r="E1047" s="117"/>
      <c r="F1047" s="116"/>
      <c r="G1047" s="117"/>
      <c r="H1047" s="118"/>
      <c r="I1047" s="116"/>
      <c r="J1047" s="116"/>
      <c r="K1047" s="116"/>
      <c r="L1047" s="116"/>
      <c r="M1047" s="119" t="b">
        <v>0</v>
      </c>
      <c r="N1047" s="113" t="b">
        <v>0</v>
      </c>
      <c r="O1047" s="113" t="b">
        <v>0</v>
      </c>
      <c r="P1047" s="113" t="b">
        <v>0</v>
      </c>
      <c r="Q1047" s="113" t="b">
        <v>0</v>
      </c>
      <c r="R1047" s="113"/>
      <c r="S1047" s="113" t="b">
        <v>0</v>
      </c>
      <c r="T1047" s="113"/>
      <c r="U1047" s="113"/>
      <c r="V1047" s="113" t="b">
        <v>0</v>
      </c>
      <c r="W1047" s="113"/>
      <c r="X1047" s="113" t="b">
        <v>0</v>
      </c>
      <c r="Y1047" s="113"/>
      <c r="Z1047" s="113"/>
      <c r="AA1047" s="113"/>
      <c r="AB1047" s="113"/>
      <c r="AC1047" s="113"/>
      <c r="AD1047" s="113"/>
      <c r="AE1047" s="113"/>
      <c r="AF1047" s="113"/>
    </row>
    <row r="1048">
      <c r="A1048" s="115"/>
      <c r="B1048" s="116"/>
      <c r="C1048" s="116"/>
      <c r="D1048" s="116"/>
      <c r="E1048" s="117"/>
      <c r="F1048" s="116"/>
      <c r="G1048" s="117"/>
      <c r="H1048" s="118"/>
      <c r="I1048" s="116"/>
      <c r="J1048" s="116"/>
      <c r="K1048" s="116"/>
      <c r="L1048" s="116"/>
      <c r="M1048" s="119" t="b">
        <v>0</v>
      </c>
      <c r="N1048" s="113" t="b">
        <v>0</v>
      </c>
      <c r="O1048" s="113" t="b">
        <v>0</v>
      </c>
      <c r="P1048" s="113" t="b">
        <v>0</v>
      </c>
      <c r="Q1048" s="113" t="b">
        <v>0</v>
      </c>
      <c r="R1048" s="113"/>
      <c r="S1048" s="113" t="b">
        <v>0</v>
      </c>
      <c r="T1048" s="113"/>
      <c r="U1048" s="113"/>
      <c r="V1048" s="113" t="b">
        <v>0</v>
      </c>
      <c r="W1048" s="113"/>
      <c r="X1048" s="113" t="b">
        <v>0</v>
      </c>
      <c r="Y1048" s="113"/>
      <c r="Z1048" s="113"/>
      <c r="AA1048" s="113"/>
      <c r="AB1048" s="113"/>
      <c r="AC1048" s="113"/>
      <c r="AD1048" s="113"/>
      <c r="AE1048" s="113"/>
      <c r="AF1048" s="113"/>
    </row>
    <row r="1049">
      <c r="A1049" s="115"/>
      <c r="B1049" s="116"/>
      <c r="C1049" s="116"/>
      <c r="D1049" s="116"/>
      <c r="E1049" s="117"/>
      <c r="F1049" s="116"/>
      <c r="G1049" s="117"/>
      <c r="H1049" s="118"/>
      <c r="I1049" s="116"/>
      <c r="J1049" s="116"/>
      <c r="K1049" s="116"/>
      <c r="L1049" s="116"/>
      <c r="M1049" s="119" t="b">
        <v>0</v>
      </c>
      <c r="N1049" s="113" t="b">
        <v>0</v>
      </c>
      <c r="O1049" s="113" t="b">
        <v>0</v>
      </c>
      <c r="P1049" s="113" t="b">
        <v>0</v>
      </c>
      <c r="Q1049" s="113" t="b">
        <v>0</v>
      </c>
      <c r="R1049" s="113"/>
      <c r="S1049" s="113" t="b">
        <v>0</v>
      </c>
      <c r="T1049" s="113"/>
      <c r="U1049" s="113"/>
      <c r="V1049" s="113" t="b">
        <v>0</v>
      </c>
      <c r="W1049" s="113"/>
      <c r="X1049" s="113" t="b">
        <v>0</v>
      </c>
      <c r="Y1049" s="113"/>
      <c r="Z1049" s="113"/>
      <c r="AA1049" s="113"/>
      <c r="AB1049" s="113"/>
      <c r="AC1049" s="113"/>
      <c r="AD1049" s="113"/>
      <c r="AE1049" s="113"/>
      <c r="AF1049" s="113"/>
    </row>
    <row r="1050">
      <c r="A1050" s="115"/>
      <c r="B1050" s="116"/>
      <c r="C1050" s="116"/>
      <c r="D1050" s="116"/>
      <c r="E1050" s="117"/>
      <c r="F1050" s="116"/>
      <c r="G1050" s="117"/>
      <c r="H1050" s="118"/>
      <c r="I1050" s="116"/>
      <c r="J1050" s="116"/>
      <c r="K1050" s="116"/>
      <c r="L1050" s="116"/>
      <c r="M1050" s="119" t="b">
        <v>0</v>
      </c>
      <c r="N1050" s="113" t="b">
        <v>0</v>
      </c>
      <c r="O1050" s="113" t="b">
        <v>0</v>
      </c>
      <c r="P1050" s="113" t="b">
        <v>0</v>
      </c>
      <c r="Q1050" s="113" t="b">
        <v>0</v>
      </c>
      <c r="R1050" s="113"/>
      <c r="S1050" s="113" t="b">
        <v>0</v>
      </c>
      <c r="T1050" s="113"/>
      <c r="U1050" s="113"/>
      <c r="V1050" s="113" t="b">
        <v>0</v>
      </c>
      <c r="W1050" s="113"/>
      <c r="X1050" s="113" t="b">
        <v>0</v>
      </c>
      <c r="Y1050" s="113"/>
      <c r="Z1050" s="113"/>
      <c r="AA1050" s="113"/>
      <c r="AB1050" s="113"/>
      <c r="AC1050" s="113"/>
      <c r="AD1050" s="113"/>
      <c r="AE1050" s="113"/>
      <c r="AF1050" s="113"/>
    </row>
    <row r="1051">
      <c r="A1051" s="115"/>
      <c r="B1051" s="116"/>
      <c r="C1051" s="116"/>
      <c r="D1051" s="116"/>
      <c r="E1051" s="117"/>
      <c r="F1051" s="116"/>
      <c r="G1051" s="117"/>
      <c r="H1051" s="118"/>
      <c r="I1051" s="116"/>
      <c r="J1051" s="116"/>
      <c r="K1051" s="116"/>
      <c r="L1051" s="116"/>
      <c r="M1051" s="119" t="b">
        <v>0</v>
      </c>
      <c r="N1051" s="113" t="b">
        <v>0</v>
      </c>
      <c r="O1051" s="113" t="b">
        <v>0</v>
      </c>
      <c r="P1051" s="113" t="b">
        <v>0</v>
      </c>
      <c r="Q1051" s="113" t="b">
        <v>0</v>
      </c>
      <c r="R1051" s="113"/>
      <c r="S1051" s="113" t="b">
        <v>0</v>
      </c>
      <c r="T1051" s="113"/>
      <c r="U1051" s="113"/>
      <c r="V1051" s="113" t="b">
        <v>0</v>
      </c>
      <c r="W1051" s="113"/>
      <c r="X1051" s="113" t="b">
        <v>0</v>
      </c>
      <c r="Y1051" s="113"/>
      <c r="Z1051" s="113"/>
      <c r="AA1051" s="113"/>
      <c r="AB1051" s="113"/>
      <c r="AC1051" s="113"/>
      <c r="AD1051" s="113"/>
      <c r="AE1051" s="113"/>
      <c r="AF1051" s="113"/>
    </row>
    <row r="1052">
      <c r="A1052" s="115"/>
      <c r="B1052" s="116"/>
      <c r="C1052" s="116"/>
      <c r="D1052" s="116"/>
      <c r="E1052" s="117"/>
      <c r="F1052" s="116"/>
      <c r="G1052" s="117"/>
      <c r="H1052" s="118"/>
      <c r="I1052" s="116"/>
      <c r="J1052" s="116"/>
      <c r="K1052" s="116"/>
      <c r="L1052" s="116"/>
      <c r="M1052" s="119" t="b">
        <v>0</v>
      </c>
      <c r="N1052" s="113" t="b">
        <v>0</v>
      </c>
      <c r="O1052" s="113" t="b">
        <v>0</v>
      </c>
      <c r="P1052" s="113" t="b">
        <v>0</v>
      </c>
      <c r="Q1052" s="113" t="b">
        <v>0</v>
      </c>
      <c r="R1052" s="113"/>
      <c r="S1052" s="113" t="b">
        <v>0</v>
      </c>
      <c r="T1052" s="113"/>
      <c r="U1052" s="113"/>
      <c r="V1052" s="113" t="b">
        <v>0</v>
      </c>
      <c r="W1052" s="113"/>
      <c r="X1052" s="113" t="b">
        <v>0</v>
      </c>
      <c r="Y1052" s="113"/>
      <c r="Z1052" s="113"/>
      <c r="AA1052" s="113"/>
      <c r="AB1052" s="113"/>
      <c r="AC1052" s="113"/>
      <c r="AD1052" s="113"/>
      <c r="AE1052" s="113"/>
      <c r="AF1052" s="113"/>
    </row>
    <row r="1053">
      <c r="A1053" s="115"/>
      <c r="B1053" s="116"/>
      <c r="C1053" s="116"/>
      <c r="D1053" s="116"/>
      <c r="E1053" s="117"/>
      <c r="F1053" s="116"/>
      <c r="G1053" s="117"/>
      <c r="H1053" s="118"/>
      <c r="I1053" s="116"/>
      <c r="J1053" s="116"/>
      <c r="K1053" s="116"/>
      <c r="L1053" s="116"/>
      <c r="M1053" s="119" t="b">
        <v>0</v>
      </c>
      <c r="N1053" s="113" t="b">
        <v>0</v>
      </c>
      <c r="O1053" s="113" t="b">
        <v>0</v>
      </c>
      <c r="P1053" s="113" t="b">
        <v>0</v>
      </c>
      <c r="Q1053" s="113" t="b">
        <v>0</v>
      </c>
      <c r="R1053" s="113"/>
      <c r="S1053" s="113" t="b">
        <v>0</v>
      </c>
      <c r="T1053" s="113"/>
      <c r="U1053" s="113"/>
      <c r="V1053" s="113" t="b">
        <v>0</v>
      </c>
      <c r="W1053" s="113"/>
      <c r="X1053" s="113" t="b">
        <v>0</v>
      </c>
      <c r="Y1053" s="113"/>
      <c r="Z1053" s="113"/>
      <c r="AA1053" s="113"/>
      <c r="AB1053" s="113"/>
      <c r="AC1053" s="113"/>
      <c r="AD1053" s="113"/>
      <c r="AE1053" s="113"/>
      <c r="AF1053" s="113"/>
    </row>
    <row r="1054">
      <c r="A1054" s="115"/>
      <c r="B1054" s="116"/>
      <c r="C1054" s="116"/>
      <c r="D1054" s="116"/>
      <c r="E1054" s="117"/>
      <c r="F1054" s="116"/>
      <c r="G1054" s="117"/>
      <c r="H1054" s="118"/>
      <c r="I1054" s="116"/>
      <c r="J1054" s="116"/>
      <c r="K1054" s="116"/>
      <c r="L1054" s="116"/>
      <c r="M1054" s="119" t="b">
        <v>0</v>
      </c>
      <c r="N1054" s="113" t="b">
        <v>0</v>
      </c>
      <c r="O1054" s="113" t="b">
        <v>0</v>
      </c>
      <c r="P1054" s="113" t="b">
        <v>0</v>
      </c>
      <c r="Q1054" s="113" t="b">
        <v>0</v>
      </c>
      <c r="R1054" s="113"/>
      <c r="S1054" s="113" t="b">
        <v>0</v>
      </c>
      <c r="T1054" s="113"/>
      <c r="U1054" s="113"/>
      <c r="V1054" s="113" t="b">
        <v>0</v>
      </c>
      <c r="W1054" s="113"/>
      <c r="X1054" s="113" t="b">
        <v>0</v>
      </c>
      <c r="Y1054" s="113"/>
      <c r="Z1054" s="113"/>
      <c r="AA1054" s="113"/>
      <c r="AB1054" s="113"/>
      <c r="AC1054" s="113"/>
      <c r="AD1054" s="113"/>
      <c r="AE1054" s="113"/>
      <c r="AF1054" s="113"/>
    </row>
    <row r="1055">
      <c r="A1055" s="115"/>
      <c r="B1055" s="116"/>
      <c r="C1055" s="116"/>
      <c r="D1055" s="116"/>
      <c r="E1055" s="117"/>
      <c r="F1055" s="116"/>
      <c r="G1055" s="117"/>
      <c r="H1055" s="118"/>
      <c r="I1055" s="116"/>
      <c r="J1055" s="116"/>
      <c r="K1055" s="116"/>
      <c r="L1055" s="116"/>
      <c r="M1055" s="119" t="b">
        <v>0</v>
      </c>
      <c r="N1055" s="113" t="b">
        <v>0</v>
      </c>
      <c r="O1055" s="113" t="b">
        <v>0</v>
      </c>
      <c r="P1055" s="113" t="b">
        <v>0</v>
      </c>
      <c r="Q1055" s="113" t="b">
        <v>0</v>
      </c>
      <c r="R1055" s="113"/>
      <c r="S1055" s="113" t="b">
        <v>0</v>
      </c>
      <c r="T1055" s="113"/>
      <c r="U1055" s="113"/>
      <c r="V1055" s="113" t="b">
        <v>0</v>
      </c>
      <c r="W1055" s="113"/>
      <c r="X1055" s="113" t="b">
        <v>0</v>
      </c>
      <c r="Y1055" s="113"/>
      <c r="Z1055" s="113"/>
      <c r="AA1055" s="113"/>
      <c r="AB1055" s="113"/>
      <c r="AC1055" s="113"/>
      <c r="AD1055" s="113"/>
      <c r="AE1055" s="113"/>
      <c r="AF1055" s="113"/>
    </row>
    <row r="1056">
      <c r="A1056" s="115"/>
      <c r="B1056" s="116"/>
      <c r="C1056" s="116"/>
      <c r="D1056" s="116"/>
      <c r="E1056" s="117"/>
      <c r="F1056" s="116"/>
      <c r="G1056" s="117"/>
      <c r="H1056" s="118"/>
      <c r="I1056" s="116"/>
      <c r="J1056" s="116"/>
      <c r="K1056" s="116"/>
      <c r="L1056" s="116"/>
      <c r="M1056" s="119" t="b">
        <v>0</v>
      </c>
      <c r="N1056" s="113" t="b">
        <v>0</v>
      </c>
      <c r="O1056" s="113" t="b">
        <v>0</v>
      </c>
      <c r="P1056" s="113" t="b">
        <v>0</v>
      </c>
      <c r="Q1056" s="113" t="b">
        <v>0</v>
      </c>
      <c r="R1056" s="113"/>
      <c r="S1056" s="113" t="b">
        <v>0</v>
      </c>
      <c r="T1056" s="113"/>
      <c r="U1056" s="113"/>
      <c r="V1056" s="113" t="b">
        <v>0</v>
      </c>
      <c r="W1056" s="113"/>
      <c r="X1056" s="113" t="b">
        <v>0</v>
      </c>
      <c r="Y1056" s="113"/>
      <c r="Z1056" s="113"/>
      <c r="AA1056" s="113"/>
      <c r="AB1056" s="113"/>
      <c r="AC1056" s="113"/>
      <c r="AD1056" s="113"/>
      <c r="AE1056" s="113"/>
      <c r="AF1056" s="113"/>
    </row>
    <row r="1057">
      <c r="A1057" s="115"/>
      <c r="B1057" s="116"/>
      <c r="C1057" s="116"/>
      <c r="D1057" s="116"/>
      <c r="E1057" s="117"/>
      <c r="F1057" s="116"/>
      <c r="G1057" s="117"/>
      <c r="H1057" s="118"/>
      <c r="I1057" s="116"/>
      <c r="J1057" s="116"/>
      <c r="K1057" s="116"/>
      <c r="L1057" s="116"/>
      <c r="M1057" s="119" t="b">
        <v>0</v>
      </c>
      <c r="N1057" s="113" t="b">
        <v>0</v>
      </c>
      <c r="O1057" s="113" t="b">
        <v>0</v>
      </c>
      <c r="P1057" s="113" t="b">
        <v>0</v>
      </c>
      <c r="Q1057" s="113" t="b">
        <v>0</v>
      </c>
      <c r="R1057" s="113"/>
      <c r="S1057" s="113" t="b">
        <v>0</v>
      </c>
      <c r="T1057" s="113"/>
      <c r="U1057" s="113"/>
      <c r="V1057" s="113" t="b">
        <v>0</v>
      </c>
      <c r="W1057" s="113"/>
      <c r="X1057" s="113" t="b">
        <v>0</v>
      </c>
      <c r="Y1057" s="113"/>
      <c r="Z1057" s="113"/>
      <c r="AA1057" s="113"/>
      <c r="AB1057" s="113"/>
      <c r="AC1057" s="113"/>
      <c r="AD1057" s="113"/>
      <c r="AE1057" s="113"/>
      <c r="AF1057" s="113"/>
    </row>
    <row r="1058">
      <c r="A1058" s="115"/>
      <c r="B1058" s="116"/>
      <c r="C1058" s="116"/>
      <c r="D1058" s="116"/>
      <c r="E1058" s="117"/>
      <c r="F1058" s="116"/>
      <c r="G1058" s="117"/>
      <c r="H1058" s="118"/>
      <c r="I1058" s="116"/>
      <c r="J1058" s="116"/>
      <c r="K1058" s="116"/>
      <c r="L1058" s="116"/>
      <c r="M1058" s="119" t="b">
        <v>0</v>
      </c>
      <c r="N1058" s="113" t="b">
        <v>0</v>
      </c>
      <c r="O1058" s="113" t="b">
        <v>0</v>
      </c>
      <c r="P1058" s="113" t="b">
        <v>0</v>
      </c>
      <c r="Q1058" s="113" t="b">
        <v>0</v>
      </c>
      <c r="R1058" s="113"/>
      <c r="S1058" s="113" t="b">
        <v>0</v>
      </c>
      <c r="T1058" s="113"/>
      <c r="U1058" s="113"/>
      <c r="V1058" s="113" t="b">
        <v>0</v>
      </c>
      <c r="W1058" s="113"/>
      <c r="X1058" s="113" t="b">
        <v>0</v>
      </c>
      <c r="Y1058" s="113"/>
      <c r="Z1058" s="113"/>
      <c r="AA1058" s="113"/>
      <c r="AB1058" s="113"/>
      <c r="AC1058" s="113"/>
      <c r="AD1058" s="113"/>
      <c r="AE1058" s="113"/>
      <c r="AF1058" s="113"/>
    </row>
    <row r="1059">
      <c r="A1059" s="115"/>
      <c r="B1059" s="116"/>
      <c r="C1059" s="116"/>
      <c r="D1059" s="116"/>
      <c r="E1059" s="117"/>
      <c r="F1059" s="116"/>
      <c r="G1059" s="117"/>
      <c r="H1059" s="118"/>
      <c r="I1059" s="116"/>
      <c r="J1059" s="116"/>
      <c r="K1059" s="116"/>
      <c r="L1059" s="116"/>
      <c r="M1059" s="119" t="b">
        <v>0</v>
      </c>
      <c r="N1059" s="113" t="b">
        <v>0</v>
      </c>
      <c r="O1059" s="113" t="b">
        <v>0</v>
      </c>
      <c r="P1059" s="113" t="b">
        <v>0</v>
      </c>
      <c r="Q1059" s="113" t="b">
        <v>0</v>
      </c>
      <c r="R1059" s="113"/>
      <c r="S1059" s="113" t="b">
        <v>0</v>
      </c>
      <c r="T1059" s="113"/>
      <c r="U1059" s="113"/>
      <c r="V1059" s="113" t="b">
        <v>0</v>
      </c>
      <c r="W1059" s="113"/>
      <c r="X1059" s="113" t="b">
        <v>0</v>
      </c>
      <c r="Y1059" s="113"/>
      <c r="Z1059" s="113"/>
      <c r="AA1059" s="113"/>
      <c r="AB1059" s="113"/>
      <c r="AC1059" s="113"/>
      <c r="AD1059" s="113"/>
      <c r="AE1059" s="113"/>
      <c r="AF1059" s="113"/>
    </row>
    <row r="1060">
      <c r="A1060" s="115"/>
      <c r="B1060" s="116"/>
      <c r="C1060" s="116"/>
      <c r="D1060" s="116"/>
      <c r="E1060" s="117"/>
      <c r="F1060" s="116"/>
      <c r="G1060" s="117"/>
      <c r="H1060" s="118"/>
      <c r="I1060" s="116"/>
      <c r="J1060" s="116"/>
      <c r="K1060" s="116"/>
      <c r="L1060" s="116"/>
      <c r="M1060" s="119" t="b">
        <v>0</v>
      </c>
      <c r="N1060" s="113" t="b">
        <v>0</v>
      </c>
      <c r="O1060" s="113" t="b">
        <v>0</v>
      </c>
      <c r="P1060" s="113" t="b">
        <v>0</v>
      </c>
      <c r="Q1060" s="113" t="b">
        <v>0</v>
      </c>
      <c r="R1060" s="113"/>
      <c r="S1060" s="113" t="b">
        <v>0</v>
      </c>
      <c r="T1060" s="113"/>
      <c r="U1060" s="113"/>
      <c r="V1060" s="113" t="b">
        <v>0</v>
      </c>
      <c r="W1060" s="113"/>
      <c r="X1060" s="113" t="b">
        <v>0</v>
      </c>
      <c r="Y1060" s="113"/>
      <c r="Z1060" s="113"/>
      <c r="AA1060" s="113"/>
      <c r="AB1060" s="113"/>
      <c r="AC1060" s="113"/>
      <c r="AD1060" s="113"/>
      <c r="AE1060" s="113"/>
      <c r="AF1060" s="113"/>
    </row>
    <row r="1061">
      <c r="A1061" s="115"/>
      <c r="B1061" s="116"/>
      <c r="C1061" s="116"/>
      <c r="D1061" s="116"/>
      <c r="E1061" s="117"/>
      <c r="F1061" s="116"/>
      <c r="G1061" s="117"/>
      <c r="H1061" s="118"/>
      <c r="I1061" s="116"/>
      <c r="J1061" s="116"/>
      <c r="K1061" s="116"/>
      <c r="L1061" s="116"/>
      <c r="M1061" s="119" t="b">
        <v>0</v>
      </c>
      <c r="N1061" s="113" t="b">
        <v>0</v>
      </c>
      <c r="O1061" s="113" t="b">
        <v>0</v>
      </c>
      <c r="P1061" s="113" t="b">
        <v>0</v>
      </c>
      <c r="Q1061" s="113" t="b">
        <v>0</v>
      </c>
      <c r="R1061" s="113"/>
      <c r="S1061" s="113" t="b">
        <v>0</v>
      </c>
      <c r="T1061" s="113"/>
      <c r="U1061" s="113"/>
      <c r="V1061" s="113" t="b">
        <v>0</v>
      </c>
      <c r="W1061" s="113"/>
      <c r="X1061" s="113" t="b">
        <v>0</v>
      </c>
      <c r="Y1061" s="113"/>
      <c r="Z1061" s="113"/>
      <c r="AA1061" s="113"/>
      <c r="AB1061" s="113"/>
      <c r="AC1061" s="113"/>
      <c r="AD1061" s="113"/>
      <c r="AE1061" s="113"/>
      <c r="AF1061" s="113"/>
    </row>
    <row r="1062">
      <c r="A1062" s="115"/>
      <c r="B1062" s="116"/>
      <c r="C1062" s="116"/>
      <c r="D1062" s="116"/>
      <c r="E1062" s="117"/>
      <c r="F1062" s="116"/>
      <c r="G1062" s="117"/>
      <c r="H1062" s="118"/>
      <c r="I1062" s="116"/>
      <c r="J1062" s="116"/>
      <c r="K1062" s="116"/>
      <c r="L1062" s="116"/>
      <c r="M1062" s="119" t="b">
        <v>0</v>
      </c>
      <c r="N1062" s="113" t="b">
        <v>0</v>
      </c>
      <c r="O1062" s="113" t="b">
        <v>0</v>
      </c>
      <c r="P1062" s="113" t="b">
        <v>0</v>
      </c>
      <c r="Q1062" s="113" t="b">
        <v>0</v>
      </c>
      <c r="R1062" s="113"/>
      <c r="S1062" s="113" t="b">
        <v>0</v>
      </c>
      <c r="T1062" s="113"/>
      <c r="U1062" s="113"/>
      <c r="V1062" s="113" t="b">
        <v>0</v>
      </c>
      <c r="W1062" s="113"/>
      <c r="X1062" s="113" t="b">
        <v>0</v>
      </c>
      <c r="Y1062" s="113"/>
      <c r="Z1062" s="113"/>
      <c r="AA1062" s="113"/>
      <c r="AB1062" s="113"/>
      <c r="AC1062" s="113"/>
      <c r="AD1062" s="113"/>
      <c r="AE1062" s="113"/>
      <c r="AF1062" s="113"/>
    </row>
    <row r="1063">
      <c r="A1063" s="115"/>
      <c r="B1063" s="116"/>
      <c r="C1063" s="116"/>
      <c r="D1063" s="116"/>
      <c r="E1063" s="117"/>
      <c r="F1063" s="116"/>
      <c r="G1063" s="117"/>
      <c r="H1063" s="118"/>
      <c r="I1063" s="116"/>
      <c r="J1063" s="116"/>
      <c r="K1063" s="116"/>
      <c r="L1063" s="116"/>
      <c r="M1063" s="119" t="b">
        <v>0</v>
      </c>
      <c r="N1063" s="113" t="b">
        <v>0</v>
      </c>
      <c r="O1063" s="113" t="b">
        <v>0</v>
      </c>
      <c r="P1063" s="113" t="b">
        <v>0</v>
      </c>
      <c r="Q1063" s="113" t="b">
        <v>0</v>
      </c>
      <c r="R1063" s="113"/>
      <c r="S1063" s="113" t="b">
        <v>0</v>
      </c>
      <c r="T1063" s="113"/>
      <c r="U1063" s="113"/>
      <c r="V1063" s="113" t="b">
        <v>0</v>
      </c>
      <c r="W1063" s="113"/>
      <c r="X1063" s="113" t="b">
        <v>0</v>
      </c>
      <c r="Y1063" s="113"/>
      <c r="Z1063" s="113"/>
      <c r="AA1063" s="113"/>
      <c r="AB1063" s="113"/>
      <c r="AC1063" s="113"/>
      <c r="AD1063" s="113"/>
      <c r="AE1063" s="113"/>
      <c r="AF1063" s="113"/>
    </row>
    <row r="1064">
      <c r="A1064" s="115"/>
      <c r="B1064" s="116"/>
      <c r="C1064" s="116"/>
      <c r="D1064" s="116"/>
      <c r="E1064" s="117"/>
      <c r="F1064" s="116"/>
      <c r="G1064" s="117"/>
      <c r="H1064" s="118"/>
      <c r="I1064" s="116"/>
      <c r="J1064" s="116"/>
      <c r="K1064" s="116"/>
      <c r="L1064" s="116"/>
      <c r="M1064" s="119" t="b">
        <v>0</v>
      </c>
      <c r="N1064" s="113" t="b">
        <v>0</v>
      </c>
      <c r="O1064" s="113" t="b">
        <v>0</v>
      </c>
      <c r="P1064" s="113" t="b">
        <v>0</v>
      </c>
      <c r="Q1064" s="113" t="b">
        <v>0</v>
      </c>
      <c r="R1064" s="113"/>
      <c r="S1064" s="113" t="b">
        <v>0</v>
      </c>
      <c r="T1064" s="113"/>
      <c r="U1064" s="113"/>
      <c r="V1064" s="113" t="b">
        <v>0</v>
      </c>
      <c r="W1064" s="113"/>
      <c r="X1064" s="113" t="b">
        <v>0</v>
      </c>
      <c r="Y1064" s="113"/>
      <c r="Z1064" s="113"/>
      <c r="AA1064" s="113"/>
      <c r="AB1064" s="113"/>
      <c r="AC1064" s="113"/>
      <c r="AD1064" s="113"/>
      <c r="AE1064" s="113"/>
      <c r="AF1064" s="113"/>
    </row>
    <row r="1065">
      <c r="A1065" s="115"/>
      <c r="B1065" s="116"/>
      <c r="C1065" s="116"/>
      <c r="D1065" s="116"/>
      <c r="E1065" s="117"/>
      <c r="F1065" s="116"/>
      <c r="G1065" s="117"/>
      <c r="H1065" s="118"/>
      <c r="I1065" s="116"/>
      <c r="J1065" s="116"/>
      <c r="K1065" s="116"/>
      <c r="L1065" s="116"/>
      <c r="M1065" s="119" t="b">
        <v>0</v>
      </c>
      <c r="N1065" s="113" t="b">
        <v>0</v>
      </c>
      <c r="O1065" s="113" t="b">
        <v>0</v>
      </c>
      <c r="P1065" s="113" t="b">
        <v>0</v>
      </c>
      <c r="Q1065" s="113" t="b">
        <v>0</v>
      </c>
      <c r="R1065" s="113"/>
      <c r="S1065" s="113" t="b">
        <v>0</v>
      </c>
      <c r="T1065" s="113"/>
      <c r="U1065" s="113"/>
      <c r="V1065" s="113" t="b">
        <v>0</v>
      </c>
      <c r="W1065" s="113"/>
      <c r="X1065" s="113" t="b">
        <v>0</v>
      </c>
      <c r="Y1065" s="113"/>
      <c r="Z1065" s="113"/>
      <c r="AA1065" s="113"/>
      <c r="AB1065" s="113"/>
      <c r="AC1065" s="113"/>
      <c r="AD1065" s="113"/>
      <c r="AE1065" s="113"/>
      <c r="AF1065" s="113"/>
    </row>
    <row r="1066">
      <c r="A1066" s="115"/>
      <c r="B1066" s="116"/>
      <c r="C1066" s="116"/>
      <c r="D1066" s="116"/>
      <c r="E1066" s="117"/>
      <c r="F1066" s="116"/>
      <c r="G1066" s="117"/>
      <c r="H1066" s="118"/>
      <c r="I1066" s="116"/>
      <c r="J1066" s="116"/>
      <c r="K1066" s="116"/>
      <c r="L1066" s="116"/>
      <c r="M1066" s="119" t="b">
        <v>0</v>
      </c>
      <c r="N1066" s="113" t="b">
        <v>0</v>
      </c>
      <c r="O1066" s="113" t="b">
        <v>0</v>
      </c>
      <c r="P1066" s="113" t="b">
        <v>0</v>
      </c>
      <c r="Q1066" s="113" t="b">
        <v>0</v>
      </c>
      <c r="R1066" s="113"/>
      <c r="S1066" s="113" t="b">
        <v>0</v>
      </c>
      <c r="T1066" s="113"/>
      <c r="U1066" s="113"/>
      <c r="V1066" s="113" t="b">
        <v>0</v>
      </c>
      <c r="W1066" s="113"/>
      <c r="X1066" s="113" t="b">
        <v>0</v>
      </c>
      <c r="Y1066" s="113"/>
      <c r="Z1066" s="113"/>
      <c r="AA1066" s="113"/>
      <c r="AB1066" s="113"/>
      <c r="AC1066" s="113"/>
      <c r="AD1066" s="113"/>
      <c r="AE1066" s="113"/>
      <c r="AF1066" s="113"/>
    </row>
    <row r="1067">
      <c r="A1067" s="115"/>
      <c r="B1067" s="116"/>
      <c r="C1067" s="116"/>
      <c r="D1067" s="116"/>
      <c r="E1067" s="117"/>
      <c r="F1067" s="116"/>
      <c r="G1067" s="117"/>
      <c r="H1067" s="118"/>
      <c r="I1067" s="116"/>
      <c r="J1067" s="116"/>
      <c r="K1067" s="116"/>
      <c r="L1067" s="116"/>
      <c r="M1067" s="119" t="b">
        <v>0</v>
      </c>
      <c r="N1067" s="113" t="b">
        <v>0</v>
      </c>
      <c r="O1067" s="113" t="b">
        <v>0</v>
      </c>
      <c r="P1067" s="113" t="b">
        <v>0</v>
      </c>
      <c r="Q1067" s="113" t="b">
        <v>0</v>
      </c>
      <c r="R1067" s="113"/>
      <c r="S1067" s="113" t="b">
        <v>0</v>
      </c>
      <c r="T1067" s="113"/>
      <c r="U1067" s="113"/>
      <c r="V1067" s="113" t="b">
        <v>0</v>
      </c>
      <c r="W1067" s="113"/>
      <c r="X1067" s="113" t="b">
        <v>0</v>
      </c>
      <c r="Y1067" s="113"/>
      <c r="Z1067" s="113"/>
      <c r="AA1067" s="113"/>
      <c r="AB1067" s="113"/>
      <c r="AC1067" s="113"/>
      <c r="AD1067" s="113"/>
      <c r="AE1067" s="113"/>
      <c r="AF1067" s="113"/>
    </row>
    <row r="1068">
      <c r="A1068" s="115"/>
      <c r="B1068" s="116"/>
      <c r="C1068" s="116"/>
      <c r="D1068" s="116"/>
      <c r="E1068" s="117"/>
      <c r="F1068" s="116"/>
      <c r="G1068" s="117"/>
      <c r="H1068" s="118"/>
      <c r="I1068" s="116"/>
      <c r="J1068" s="116"/>
      <c r="K1068" s="116"/>
      <c r="L1068" s="116"/>
      <c r="M1068" s="119" t="b">
        <v>0</v>
      </c>
      <c r="N1068" s="113" t="b">
        <v>0</v>
      </c>
      <c r="O1068" s="113" t="b">
        <v>0</v>
      </c>
      <c r="P1068" s="113" t="b">
        <v>0</v>
      </c>
      <c r="Q1068" s="113" t="b">
        <v>0</v>
      </c>
      <c r="R1068" s="113"/>
      <c r="S1068" s="113" t="b">
        <v>0</v>
      </c>
      <c r="T1068" s="113"/>
      <c r="U1068" s="113"/>
      <c r="V1068" s="113" t="b">
        <v>0</v>
      </c>
      <c r="W1068" s="113"/>
      <c r="X1068" s="113" t="b">
        <v>0</v>
      </c>
      <c r="Y1068" s="113"/>
      <c r="Z1068" s="113"/>
      <c r="AA1068" s="113"/>
      <c r="AB1068" s="113"/>
      <c r="AC1068" s="113"/>
      <c r="AD1068" s="113"/>
      <c r="AE1068" s="113"/>
      <c r="AF1068" s="113"/>
    </row>
    <row r="1069">
      <c r="A1069" s="115"/>
      <c r="B1069" s="116"/>
      <c r="C1069" s="116"/>
      <c r="D1069" s="116"/>
      <c r="E1069" s="117"/>
      <c r="F1069" s="116"/>
      <c r="G1069" s="117"/>
      <c r="H1069" s="118"/>
      <c r="I1069" s="116"/>
      <c r="J1069" s="116"/>
      <c r="K1069" s="116"/>
      <c r="L1069" s="116"/>
      <c r="M1069" s="119" t="b">
        <v>0</v>
      </c>
      <c r="N1069" s="113" t="b">
        <v>0</v>
      </c>
      <c r="O1069" s="113" t="b">
        <v>0</v>
      </c>
      <c r="P1069" s="113" t="b">
        <v>0</v>
      </c>
      <c r="Q1069" s="113" t="b">
        <v>0</v>
      </c>
      <c r="R1069" s="113"/>
      <c r="S1069" s="113" t="b">
        <v>0</v>
      </c>
      <c r="T1069" s="113"/>
      <c r="U1069" s="113"/>
      <c r="V1069" s="113" t="b">
        <v>0</v>
      </c>
      <c r="W1069" s="113"/>
      <c r="X1069" s="113" t="b">
        <v>0</v>
      </c>
      <c r="Y1069" s="113"/>
      <c r="Z1069" s="113"/>
      <c r="AA1069" s="113"/>
      <c r="AB1069" s="113"/>
      <c r="AC1069" s="113"/>
      <c r="AD1069" s="113"/>
      <c r="AE1069" s="113"/>
      <c r="AF1069" s="113"/>
    </row>
    <row r="1070">
      <c r="A1070" s="115"/>
      <c r="B1070" s="116"/>
      <c r="C1070" s="116"/>
      <c r="D1070" s="116"/>
      <c r="E1070" s="117"/>
      <c r="F1070" s="116"/>
      <c r="G1070" s="117"/>
      <c r="H1070" s="118"/>
      <c r="I1070" s="116"/>
      <c r="J1070" s="116"/>
      <c r="K1070" s="116"/>
      <c r="L1070" s="116"/>
      <c r="M1070" s="119" t="b">
        <v>0</v>
      </c>
      <c r="N1070" s="113" t="b">
        <v>0</v>
      </c>
      <c r="O1070" s="113" t="b">
        <v>0</v>
      </c>
      <c r="P1070" s="113" t="b">
        <v>0</v>
      </c>
      <c r="Q1070" s="113" t="b">
        <v>0</v>
      </c>
      <c r="R1070" s="113"/>
      <c r="S1070" s="113" t="b">
        <v>0</v>
      </c>
      <c r="T1070" s="113"/>
      <c r="U1070" s="113"/>
      <c r="V1070" s="113" t="b">
        <v>0</v>
      </c>
      <c r="W1070" s="113"/>
      <c r="X1070" s="113" t="b">
        <v>0</v>
      </c>
      <c r="Y1070" s="113"/>
      <c r="Z1070" s="113"/>
      <c r="AA1070" s="113"/>
      <c r="AB1070" s="113"/>
      <c r="AC1070" s="113"/>
      <c r="AD1070" s="113"/>
      <c r="AE1070" s="113"/>
      <c r="AF1070" s="113"/>
    </row>
    <row r="1071">
      <c r="A1071" s="115"/>
      <c r="B1071" s="116"/>
      <c r="C1071" s="116"/>
      <c r="D1071" s="116"/>
      <c r="E1071" s="117"/>
      <c r="F1071" s="116"/>
      <c r="G1071" s="117"/>
      <c r="H1071" s="118"/>
      <c r="I1071" s="116"/>
      <c r="J1071" s="116"/>
      <c r="K1071" s="116"/>
      <c r="L1071" s="116"/>
      <c r="M1071" s="119" t="b">
        <v>0</v>
      </c>
      <c r="N1071" s="113" t="b">
        <v>0</v>
      </c>
      <c r="O1071" s="113" t="b">
        <v>0</v>
      </c>
      <c r="P1071" s="113" t="b">
        <v>0</v>
      </c>
      <c r="Q1071" s="113" t="b">
        <v>0</v>
      </c>
      <c r="R1071" s="113"/>
      <c r="S1071" s="113" t="b">
        <v>0</v>
      </c>
      <c r="T1071" s="113"/>
      <c r="U1071" s="113"/>
      <c r="V1071" s="113" t="b">
        <v>0</v>
      </c>
      <c r="W1071" s="113"/>
      <c r="X1071" s="113" t="b">
        <v>0</v>
      </c>
      <c r="Y1071" s="113"/>
      <c r="Z1071" s="113"/>
      <c r="AA1071" s="113"/>
      <c r="AB1071" s="113"/>
      <c r="AC1071" s="113"/>
      <c r="AD1071" s="113"/>
      <c r="AE1071" s="113"/>
      <c r="AF1071" s="113"/>
    </row>
    <row r="1072">
      <c r="A1072" s="115"/>
      <c r="B1072" s="116"/>
      <c r="C1072" s="116"/>
      <c r="D1072" s="116"/>
      <c r="E1072" s="117"/>
      <c r="F1072" s="116"/>
      <c r="G1072" s="117"/>
      <c r="H1072" s="118"/>
      <c r="I1072" s="116"/>
      <c r="J1072" s="116"/>
      <c r="K1072" s="116"/>
      <c r="L1072" s="116"/>
      <c r="M1072" s="119" t="b">
        <v>0</v>
      </c>
      <c r="N1072" s="113" t="b">
        <v>0</v>
      </c>
      <c r="O1072" s="113" t="b">
        <v>0</v>
      </c>
      <c r="P1072" s="113" t="b">
        <v>0</v>
      </c>
      <c r="Q1072" s="113" t="b">
        <v>0</v>
      </c>
      <c r="R1072" s="113"/>
      <c r="S1072" s="113" t="b">
        <v>0</v>
      </c>
      <c r="T1072" s="113"/>
      <c r="U1072" s="113"/>
      <c r="V1072" s="113" t="b">
        <v>0</v>
      </c>
      <c r="W1072" s="113"/>
      <c r="X1072" s="113" t="b">
        <v>0</v>
      </c>
      <c r="Y1072" s="113"/>
      <c r="Z1072" s="113"/>
      <c r="AA1072" s="113"/>
      <c r="AB1072" s="113"/>
      <c r="AC1072" s="113"/>
      <c r="AD1072" s="113"/>
      <c r="AE1072" s="113"/>
      <c r="AF1072" s="113"/>
    </row>
    <row r="1073">
      <c r="A1073" s="115"/>
      <c r="B1073" s="116"/>
      <c r="C1073" s="116"/>
      <c r="D1073" s="116"/>
      <c r="E1073" s="117"/>
      <c r="F1073" s="116"/>
      <c r="G1073" s="117"/>
      <c r="H1073" s="118"/>
      <c r="I1073" s="116"/>
      <c r="J1073" s="116"/>
      <c r="K1073" s="116"/>
      <c r="L1073" s="116"/>
      <c r="M1073" s="119" t="b">
        <v>0</v>
      </c>
      <c r="N1073" s="113" t="b">
        <v>0</v>
      </c>
      <c r="O1073" s="113" t="b">
        <v>0</v>
      </c>
      <c r="P1073" s="113" t="b">
        <v>0</v>
      </c>
      <c r="Q1073" s="113" t="b">
        <v>0</v>
      </c>
      <c r="R1073" s="113"/>
      <c r="S1073" s="113" t="b">
        <v>0</v>
      </c>
      <c r="T1073" s="113"/>
      <c r="U1073" s="113"/>
      <c r="V1073" s="113" t="b">
        <v>0</v>
      </c>
      <c r="W1073" s="113"/>
      <c r="X1073" s="113" t="b">
        <v>0</v>
      </c>
      <c r="Y1073" s="113"/>
      <c r="Z1073" s="113"/>
      <c r="AA1073" s="113"/>
      <c r="AB1073" s="113"/>
      <c r="AC1073" s="113"/>
      <c r="AD1073" s="113"/>
      <c r="AE1073" s="113"/>
      <c r="AF1073" s="113"/>
    </row>
    <row r="1074">
      <c r="A1074" s="115"/>
      <c r="B1074" s="116"/>
      <c r="C1074" s="116"/>
      <c r="D1074" s="116"/>
      <c r="E1074" s="117"/>
      <c r="F1074" s="116"/>
      <c r="G1074" s="117"/>
      <c r="H1074" s="118"/>
      <c r="I1074" s="116"/>
      <c r="J1074" s="116"/>
      <c r="K1074" s="116"/>
      <c r="L1074" s="116"/>
      <c r="M1074" s="119" t="b">
        <v>0</v>
      </c>
      <c r="N1074" s="113" t="b">
        <v>0</v>
      </c>
      <c r="O1074" s="113" t="b">
        <v>0</v>
      </c>
      <c r="P1074" s="113" t="b">
        <v>0</v>
      </c>
      <c r="Q1074" s="113" t="b">
        <v>0</v>
      </c>
      <c r="R1074" s="113"/>
      <c r="S1074" s="113" t="b">
        <v>0</v>
      </c>
      <c r="T1074" s="113"/>
      <c r="U1074" s="113"/>
      <c r="V1074" s="113" t="b">
        <v>0</v>
      </c>
      <c r="W1074" s="113"/>
      <c r="X1074" s="113" t="b">
        <v>0</v>
      </c>
      <c r="Y1074" s="113"/>
      <c r="Z1074" s="113"/>
      <c r="AA1074" s="113"/>
      <c r="AB1074" s="113"/>
      <c r="AC1074" s="113"/>
      <c r="AD1074" s="113"/>
      <c r="AE1074" s="113"/>
      <c r="AF1074" s="113"/>
    </row>
    <row r="1075">
      <c r="A1075" s="115"/>
      <c r="B1075" s="116"/>
      <c r="C1075" s="116"/>
      <c r="D1075" s="116"/>
      <c r="E1075" s="117"/>
      <c r="F1075" s="116"/>
      <c r="G1075" s="117"/>
      <c r="H1075" s="118"/>
      <c r="I1075" s="116"/>
      <c r="J1075" s="116"/>
      <c r="K1075" s="116"/>
      <c r="L1075" s="116"/>
      <c r="M1075" s="119" t="b">
        <v>0</v>
      </c>
      <c r="N1075" s="113" t="b">
        <v>0</v>
      </c>
      <c r="O1075" s="113" t="b">
        <v>0</v>
      </c>
      <c r="P1075" s="113" t="b">
        <v>0</v>
      </c>
      <c r="Q1075" s="113" t="b">
        <v>0</v>
      </c>
      <c r="R1075" s="113"/>
      <c r="S1075" s="113" t="b">
        <v>0</v>
      </c>
      <c r="T1075" s="113"/>
      <c r="U1075" s="113"/>
      <c r="V1075" s="113" t="b">
        <v>0</v>
      </c>
      <c r="W1075" s="113"/>
      <c r="X1075" s="113" t="b">
        <v>0</v>
      </c>
      <c r="Y1075" s="113"/>
      <c r="Z1075" s="113"/>
      <c r="AA1075" s="113"/>
      <c r="AB1075" s="113"/>
      <c r="AC1075" s="113"/>
      <c r="AD1075" s="113"/>
      <c r="AE1075" s="113"/>
      <c r="AF1075" s="113"/>
    </row>
    <row r="1076">
      <c r="A1076" s="115"/>
      <c r="B1076" s="116"/>
      <c r="C1076" s="116"/>
      <c r="D1076" s="116"/>
      <c r="E1076" s="117"/>
      <c r="F1076" s="116"/>
      <c r="G1076" s="117"/>
      <c r="H1076" s="118"/>
      <c r="I1076" s="116"/>
      <c r="J1076" s="116"/>
      <c r="K1076" s="116"/>
      <c r="L1076" s="116"/>
      <c r="M1076" s="119" t="b">
        <v>0</v>
      </c>
      <c r="N1076" s="113" t="b">
        <v>0</v>
      </c>
      <c r="O1076" s="113" t="b">
        <v>0</v>
      </c>
      <c r="P1076" s="113" t="b">
        <v>0</v>
      </c>
      <c r="Q1076" s="113" t="b">
        <v>0</v>
      </c>
      <c r="R1076" s="113"/>
      <c r="S1076" s="113" t="b">
        <v>0</v>
      </c>
      <c r="T1076" s="113"/>
      <c r="U1076" s="113"/>
      <c r="V1076" s="113" t="b">
        <v>0</v>
      </c>
      <c r="W1076" s="113"/>
      <c r="X1076" s="113" t="b">
        <v>0</v>
      </c>
      <c r="Y1076" s="113"/>
      <c r="Z1076" s="113"/>
      <c r="AA1076" s="113"/>
      <c r="AB1076" s="113"/>
      <c r="AC1076" s="113"/>
      <c r="AD1076" s="113"/>
      <c r="AE1076" s="113"/>
      <c r="AF1076" s="113"/>
    </row>
    <row r="1077">
      <c r="A1077" s="115"/>
      <c r="B1077" s="116"/>
      <c r="C1077" s="116"/>
      <c r="D1077" s="116"/>
      <c r="E1077" s="117"/>
      <c r="F1077" s="116"/>
      <c r="G1077" s="117"/>
      <c r="H1077" s="118"/>
      <c r="I1077" s="116"/>
      <c r="J1077" s="116"/>
      <c r="K1077" s="116"/>
      <c r="L1077" s="116"/>
      <c r="M1077" s="119" t="b">
        <v>0</v>
      </c>
      <c r="N1077" s="113" t="b">
        <v>0</v>
      </c>
      <c r="O1077" s="113" t="b">
        <v>0</v>
      </c>
      <c r="P1077" s="113" t="b">
        <v>0</v>
      </c>
      <c r="Q1077" s="113" t="b">
        <v>0</v>
      </c>
      <c r="R1077" s="113"/>
      <c r="S1077" s="113" t="b">
        <v>0</v>
      </c>
      <c r="T1077" s="113"/>
      <c r="U1077" s="113"/>
      <c r="V1077" s="113" t="b">
        <v>0</v>
      </c>
      <c r="W1077" s="113"/>
      <c r="X1077" s="113" t="b">
        <v>0</v>
      </c>
      <c r="Y1077" s="113"/>
      <c r="Z1077" s="113"/>
      <c r="AA1077" s="113"/>
      <c r="AB1077" s="113"/>
      <c r="AC1077" s="113"/>
      <c r="AD1077" s="113"/>
      <c r="AE1077" s="113"/>
      <c r="AF1077" s="113"/>
    </row>
    <row r="1078">
      <c r="A1078" s="115"/>
      <c r="B1078" s="116"/>
      <c r="C1078" s="116"/>
      <c r="D1078" s="116"/>
      <c r="E1078" s="117"/>
      <c r="F1078" s="116"/>
      <c r="G1078" s="117"/>
      <c r="H1078" s="118"/>
      <c r="I1078" s="116"/>
      <c r="J1078" s="116"/>
      <c r="K1078" s="116"/>
      <c r="L1078" s="116"/>
      <c r="M1078" s="119" t="b">
        <v>0</v>
      </c>
      <c r="N1078" s="113" t="b">
        <v>0</v>
      </c>
      <c r="O1078" s="113" t="b">
        <v>0</v>
      </c>
      <c r="P1078" s="113" t="b">
        <v>0</v>
      </c>
      <c r="Q1078" s="113" t="b">
        <v>0</v>
      </c>
      <c r="R1078" s="113"/>
      <c r="S1078" s="113" t="b">
        <v>0</v>
      </c>
      <c r="T1078" s="113"/>
      <c r="U1078" s="113"/>
      <c r="V1078" s="113" t="b">
        <v>0</v>
      </c>
      <c r="W1078" s="113"/>
      <c r="X1078" s="113" t="b">
        <v>0</v>
      </c>
      <c r="Y1078" s="113"/>
      <c r="Z1078" s="113"/>
      <c r="AA1078" s="113"/>
      <c r="AB1078" s="113"/>
      <c r="AC1078" s="113"/>
      <c r="AD1078" s="113"/>
      <c r="AE1078" s="113"/>
      <c r="AF1078" s="113"/>
    </row>
    <row r="1079">
      <c r="A1079" s="115"/>
      <c r="B1079" s="116"/>
      <c r="C1079" s="116"/>
      <c r="D1079" s="116"/>
      <c r="E1079" s="117"/>
      <c r="F1079" s="116"/>
      <c r="G1079" s="117"/>
      <c r="H1079" s="118"/>
      <c r="I1079" s="116"/>
      <c r="J1079" s="116"/>
      <c r="K1079" s="116"/>
      <c r="L1079" s="116"/>
      <c r="M1079" s="119" t="b">
        <v>0</v>
      </c>
      <c r="N1079" s="113" t="b">
        <v>0</v>
      </c>
      <c r="O1079" s="113" t="b">
        <v>0</v>
      </c>
      <c r="P1079" s="113" t="b">
        <v>0</v>
      </c>
      <c r="Q1079" s="113" t="b">
        <v>0</v>
      </c>
      <c r="R1079" s="113"/>
      <c r="S1079" s="113" t="b">
        <v>0</v>
      </c>
      <c r="T1079" s="113"/>
      <c r="U1079" s="113"/>
      <c r="V1079" s="113" t="b">
        <v>0</v>
      </c>
      <c r="W1079" s="113"/>
      <c r="X1079" s="113" t="b">
        <v>0</v>
      </c>
      <c r="Y1079" s="113"/>
      <c r="Z1079" s="113"/>
      <c r="AA1079" s="113"/>
      <c r="AB1079" s="113"/>
      <c r="AC1079" s="113"/>
      <c r="AD1079" s="113"/>
      <c r="AE1079" s="113"/>
      <c r="AF1079" s="113"/>
    </row>
    <row r="1080">
      <c r="A1080" s="115"/>
      <c r="B1080" s="116"/>
      <c r="C1080" s="116"/>
      <c r="D1080" s="116"/>
      <c r="E1080" s="117"/>
      <c r="F1080" s="116"/>
      <c r="G1080" s="117"/>
      <c r="H1080" s="118"/>
      <c r="I1080" s="116"/>
      <c r="J1080" s="116"/>
      <c r="K1080" s="116"/>
      <c r="L1080" s="116"/>
      <c r="M1080" s="119" t="b">
        <v>0</v>
      </c>
      <c r="N1080" s="113" t="b">
        <v>0</v>
      </c>
      <c r="O1080" s="113" t="b">
        <v>0</v>
      </c>
      <c r="P1080" s="113" t="b">
        <v>0</v>
      </c>
      <c r="Q1080" s="113" t="b">
        <v>0</v>
      </c>
      <c r="R1080" s="113"/>
      <c r="S1080" s="113" t="b">
        <v>0</v>
      </c>
      <c r="T1080" s="113"/>
      <c r="U1080" s="113"/>
      <c r="V1080" s="113" t="b">
        <v>0</v>
      </c>
      <c r="W1080" s="113"/>
      <c r="X1080" s="113" t="b">
        <v>0</v>
      </c>
      <c r="Y1080" s="113"/>
      <c r="Z1080" s="113"/>
      <c r="AA1080" s="113"/>
      <c r="AB1080" s="113"/>
      <c r="AC1080" s="113"/>
      <c r="AD1080" s="113"/>
      <c r="AE1080" s="113"/>
      <c r="AF1080" s="113"/>
    </row>
    <row r="1081">
      <c r="A1081" s="115"/>
      <c r="B1081" s="116"/>
      <c r="C1081" s="116"/>
      <c r="D1081" s="116"/>
      <c r="E1081" s="117"/>
      <c r="F1081" s="116"/>
      <c r="G1081" s="117"/>
      <c r="H1081" s="118"/>
      <c r="I1081" s="116"/>
      <c r="J1081" s="116"/>
      <c r="K1081" s="116"/>
      <c r="L1081" s="116"/>
      <c r="M1081" s="119" t="b">
        <v>0</v>
      </c>
      <c r="N1081" s="113" t="b">
        <v>0</v>
      </c>
      <c r="O1081" s="113" t="b">
        <v>0</v>
      </c>
      <c r="P1081" s="113" t="b">
        <v>0</v>
      </c>
      <c r="Q1081" s="113" t="b">
        <v>0</v>
      </c>
      <c r="R1081" s="113"/>
      <c r="S1081" s="113" t="b">
        <v>0</v>
      </c>
      <c r="T1081" s="113"/>
      <c r="U1081" s="113"/>
      <c r="V1081" s="113" t="b">
        <v>0</v>
      </c>
      <c r="W1081" s="113"/>
      <c r="X1081" s="113" t="b">
        <v>0</v>
      </c>
      <c r="Y1081" s="113"/>
      <c r="Z1081" s="113"/>
      <c r="AA1081" s="113"/>
      <c r="AB1081" s="113"/>
      <c r="AC1081" s="113"/>
      <c r="AD1081" s="113"/>
      <c r="AE1081" s="113"/>
      <c r="AF1081" s="113"/>
    </row>
    <row r="1082">
      <c r="A1082" s="115"/>
      <c r="B1082" s="116"/>
      <c r="C1082" s="116"/>
      <c r="D1082" s="116"/>
      <c r="E1082" s="117"/>
      <c r="F1082" s="116"/>
      <c r="G1082" s="117"/>
      <c r="H1082" s="118"/>
      <c r="I1082" s="116"/>
      <c r="J1082" s="116"/>
      <c r="K1082" s="116"/>
      <c r="L1082" s="116"/>
      <c r="M1082" s="119" t="b">
        <v>0</v>
      </c>
      <c r="N1082" s="113" t="b">
        <v>0</v>
      </c>
      <c r="O1082" s="113" t="b">
        <v>0</v>
      </c>
      <c r="P1082" s="113" t="b">
        <v>0</v>
      </c>
      <c r="Q1082" s="113" t="b">
        <v>0</v>
      </c>
      <c r="R1082" s="113"/>
      <c r="S1082" s="113" t="b">
        <v>0</v>
      </c>
      <c r="T1082" s="113"/>
      <c r="U1082" s="113"/>
      <c r="V1082" s="113" t="b">
        <v>0</v>
      </c>
      <c r="W1082" s="113"/>
      <c r="X1082" s="113" t="b">
        <v>0</v>
      </c>
      <c r="Y1082" s="113"/>
      <c r="Z1082" s="113"/>
      <c r="AA1082" s="113"/>
      <c r="AB1082" s="113"/>
      <c r="AC1082" s="113"/>
      <c r="AD1082" s="113"/>
      <c r="AE1082" s="113"/>
      <c r="AF1082" s="113"/>
    </row>
    <row r="1083">
      <c r="A1083" s="115"/>
      <c r="B1083" s="116"/>
      <c r="C1083" s="116"/>
      <c r="D1083" s="116"/>
      <c r="E1083" s="117"/>
      <c r="F1083" s="116"/>
      <c r="G1083" s="117"/>
      <c r="H1083" s="118"/>
      <c r="I1083" s="116"/>
      <c r="J1083" s="116"/>
      <c r="K1083" s="116"/>
      <c r="L1083" s="116"/>
      <c r="M1083" s="119" t="b">
        <v>0</v>
      </c>
      <c r="N1083" s="113" t="b">
        <v>0</v>
      </c>
      <c r="O1083" s="113" t="b">
        <v>0</v>
      </c>
      <c r="P1083" s="113" t="b">
        <v>0</v>
      </c>
      <c r="Q1083" s="113" t="b">
        <v>0</v>
      </c>
      <c r="R1083" s="113"/>
      <c r="S1083" s="113" t="b">
        <v>0</v>
      </c>
      <c r="T1083" s="113"/>
      <c r="U1083" s="113"/>
      <c r="V1083" s="113" t="b">
        <v>0</v>
      </c>
      <c r="W1083" s="113"/>
      <c r="X1083" s="113" t="b">
        <v>0</v>
      </c>
      <c r="Y1083" s="113"/>
      <c r="Z1083" s="113"/>
      <c r="AA1083" s="113"/>
      <c r="AB1083" s="113"/>
      <c r="AC1083" s="113"/>
      <c r="AD1083" s="113"/>
      <c r="AE1083" s="113"/>
      <c r="AF1083" s="113"/>
    </row>
    <row r="1084">
      <c r="A1084" s="115"/>
      <c r="B1084" s="116"/>
      <c r="C1084" s="116"/>
      <c r="D1084" s="116"/>
      <c r="E1084" s="117"/>
      <c r="F1084" s="116"/>
      <c r="G1084" s="117"/>
      <c r="H1084" s="118"/>
      <c r="I1084" s="116"/>
      <c r="J1084" s="116"/>
      <c r="K1084" s="116"/>
      <c r="L1084" s="116"/>
      <c r="M1084" s="119" t="b">
        <v>0</v>
      </c>
      <c r="N1084" s="113" t="b">
        <v>0</v>
      </c>
      <c r="O1084" s="113" t="b">
        <v>0</v>
      </c>
      <c r="P1084" s="113" t="b">
        <v>0</v>
      </c>
      <c r="Q1084" s="113" t="b">
        <v>0</v>
      </c>
      <c r="R1084" s="113"/>
      <c r="S1084" s="113" t="b">
        <v>0</v>
      </c>
      <c r="T1084" s="113"/>
      <c r="U1084" s="113"/>
      <c r="V1084" s="113" t="b">
        <v>0</v>
      </c>
      <c r="W1084" s="113"/>
      <c r="X1084" s="113" t="b">
        <v>0</v>
      </c>
      <c r="Y1084" s="113"/>
      <c r="Z1084" s="113"/>
      <c r="AA1084" s="113"/>
      <c r="AB1084" s="113"/>
      <c r="AC1084" s="113"/>
      <c r="AD1084" s="113"/>
      <c r="AE1084" s="113"/>
      <c r="AF1084" s="113"/>
    </row>
    <row r="1085">
      <c r="A1085" s="115"/>
      <c r="B1085" s="116"/>
      <c r="C1085" s="116"/>
      <c r="D1085" s="116"/>
      <c r="E1085" s="117"/>
      <c r="F1085" s="116"/>
      <c r="G1085" s="117"/>
      <c r="H1085" s="118"/>
      <c r="I1085" s="116"/>
      <c r="J1085" s="116"/>
      <c r="K1085" s="116"/>
      <c r="L1085" s="116"/>
      <c r="M1085" s="119" t="b">
        <v>0</v>
      </c>
      <c r="N1085" s="113" t="b">
        <v>0</v>
      </c>
      <c r="O1085" s="113" t="b">
        <v>0</v>
      </c>
      <c r="P1085" s="113" t="b">
        <v>0</v>
      </c>
      <c r="Q1085" s="113" t="b">
        <v>0</v>
      </c>
      <c r="R1085" s="113"/>
      <c r="S1085" s="113" t="b">
        <v>0</v>
      </c>
      <c r="T1085" s="113"/>
      <c r="U1085" s="113"/>
      <c r="V1085" s="113" t="b">
        <v>0</v>
      </c>
      <c r="W1085" s="113"/>
      <c r="X1085" s="113" t="b">
        <v>0</v>
      </c>
      <c r="Y1085" s="113"/>
      <c r="Z1085" s="113"/>
      <c r="AA1085" s="113"/>
      <c r="AB1085" s="113"/>
      <c r="AC1085" s="113"/>
      <c r="AD1085" s="113"/>
      <c r="AE1085" s="113"/>
      <c r="AF1085" s="113"/>
    </row>
    <row r="1086">
      <c r="A1086" s="115"/>
      <c r="B1086" s="116"/>
      <c r="C1086" s="116"/>
      <c r="D1086" s="116"/>
      <c r="E1086" s="117"/>
      <c r="F1086" s="116"/>
      <c r="G1086" s="117"/>
      <c r="H1086" s="118"/>
      <c r="I1086" s="116"/>
      <c r="J1086" s="116"/>
      <c r="K1086" s="116"/>
      <c r="L1086" s="116"/>
      <c r="M1086" s="119" t="b">
        <v>0</v>
      </c>
      <c r="N1086" s="113" t="b">
        <v>0</v>
      </c>
      <c r="O1086" s="113" t="b">
        <v>0</v>
      </c>
      <c r="P1086" s="113" t="b">
        <v>0</v>
      </c>
      <c r="Q1086" s="113" t="b">
        <v>0</v>
      </c>
      <c r="R1086" s="113"/>
      <c r="S1086" s="113" t="b">
        <v>0</v>
      </c>
      <c r="T1086" s="113"/>
      <c r="U1086" s="113"/>
      <c r="V1086" s="113" t="b">
        <v>0</v>
      </c>
      <c r="W1086" s="113"/>
      <c r="X1086" s="113" t="b">
        <v>0</v>
      </c>
      <c r="Y1086" s="113"/>
      <c r="Z1086" s="113"/>
      <c r="AA1086" s="113"/>
      <c r="AB1086" s="113"/>
      <c r="AC1086" s="113"/>
      <c r="AD1086" s="113"/>
      <c r="AE1086" s="113"/>
      <c r="AF1086" s="113"/>
    </row>
    <row r="1087">
      <c r="A1087" s="115"/>
      <c r="B1087" s="116"/>
      <c r="C1087" s="116"/>
      <c r="D1087" s="116"/>
      <c r="E1087" s="117"/>
      <c r="F1087" s="116"/>
      <c r="G1087" s="117"/>
      <c r="H1087" s="118"/>
      <c r="I1087" s="116"/>
      <c r="J1087" s="116"/>
      <c r="K1087" s="116"/>
      <c r="L1087" s="116"/>
      <c r="M1087" s="119" t="b">
        <v>0</v>
      </c>
      <c r="N1087" s="113" t="b">
        <v>0</v>
      </c>
      <c r="O1087" s="113" t="b">
        <v>0</v>
      </c>
      <c r="P1087" s="113" t="b">
        <v>0</v>
      </c>
      <c r="Q1087" s="113" t="b">
        <v>0</v>
      </c>
      <c r="R1087" s="113"/>
      <c r="S1087" s="113" t="b">
        <v>0</v>
      </c>
      <c r="T1087" s="113"/>
      <c r="U1087" s="113"/>
      <c r="V1087" s="113" t="b">
        <v>0</v>
      </c>
      <c r="W1087" s="113"/>
      <c r="X1087" s="113" t="b">
        <v>0</v>
      </c>
      <c r="Y1087" s="113"/>
      <c r="Z1087" s="113"/>
      <c r="AA1087" s="113"/>
      <c r="AB1087" s="113"/>
      <c r="AC1087" s="113"/>
      <c r="AD1087" s="113"/>
      <c r="AE1087" s="113"/>
      <c r="AF1087" s="113"/>
    </row>
    <row r="1088">
      <c r="A1088" s="115"/>
      <c r="B1088" s="116"/>
      <c r="C1088" s="116"/>
      <c r="D1088" s="116"/>
      <c r="E1088" s="117"/>
      <c r="F1088" s="116"/>
      <c r="G1088" s="117"/>
      <c r="H1088" s="118"/>
      <c r="I1088" s="116"/>
      <c r="J1088" s="116"/>
      <c r="K1088" s="116"/>
      <c r="L1088" s="116"/>
      <c r="M1088" s="119" t="b">
        <v>0</v>
      </c>
      <c r="N1088" s="113" t="b">
        <v>0</v>
      </c>
      <c r="O1088" s="113" t="b">
        <v>0</v>
      </c>
      <c r="P1088" s="113" t="b">
        <v>0</v>
      </c>
      <c r="Q1088" s="113" t="b">
        <v>0</v>
      </c>
      <c r="R1088" s="113"/>
      <c r="S1088" s="113" t="b">
        <v>0</v>
      </c>
      <c r="T1088" s="113"/>
      <c r="U1088" s="113"/>
      <c r="V1088" s="113" t="b">
        <v>0</v>
      </c>
      <c r="W1088" s="113"/>
      <c r="X1088" s="113" t="b">
        <v>0</v>
      </c>
      <c r="Y1088" s="113"/>
      <c r="Z1088" s="113"/>
      <c r="AA1088" s="113"/>
      <c r="AB1088" s="113"/>
      <c r="AC1088" s="113"/>
      <c r="AD1088" s="113"/>
      <c r="AE1088" s="113"/>
      <c r="AF1088" s="113"/>
    </row>
    <row r="1089">
      <c r="A1089" s="115"/>
      <c r="B1089" s="116"/>
      <c r="C1089" s="116"/>
      <c r="D1089" s="116"/>
      <c r="E1089" s="117"/>
      <c r="F1089" s="116"/>
      <c r="G1089" s="117"/>
      <c r="H1089" s="118"/>
      <c r="I1089" s="116"/>
      <c r="J1089" s="116"/>
      <c r="K1089" s="116"/>
      <c r="L1089" s="116"/>
      <c r="M1089" s="119" t="b">
        <v>0</v>
      </c>
      <c r="N1089" s="113" t="b">
        <v>0</v>
      </c>
      <c r="O1089" s="113" t="b">
        <v>0</v>
      </c>
      <c r="P1089" s="113" t="b">
        <v>0</v>
      </c>
      <c r="Q1089" s="113" t="b">
        <v>0</v>
      </c>
      <c r="R1089" s="113"/>
      <c r="S1089" s="113" t="b">
        <v>0</v>
      </c>
      <c r="T1089" s="113"/>
      <c r="U1089" s="113"/>
      <c r="V1089" s="113" t="b">
        <v>0</v>
      </c>
      <c r="W1089" s="113"/>
      <c r="X1089" s="113" t="b">
        <v>0</v>
      </c>
      <c r="Y1089" s="113"/>
      <c r="Z1089" s="113"/>
      <c r="AA1089" s="113"/>
      <c r="AB1089" s="113"/>
      <c r="AC1089" s="113"/>
      <c r="AD1089" s="113"/>
      <c r="AE1089" s="113"/>
      <c r="AF1089" s="113"/>
    </row>
    <row r="1090">
      <c r="A1090" s="115"/>
      <c r="B1090" s="116"/>
      <c r="C1090" s="116"/>
      <c r="D1090" s="116"/>
      <c r="E1090" s="117"/>
      <c r="F1090" s="116"/>
      <c r="G1090" s="117"/>
      <c r="H1090" s="118"/>
      <c r="I1090" s="116"/>
      <c r="J1090" s="116"/>
      <c r="K1090" s="116"/>
      <c r="L1090" s="116"/>
      <c r="M1090" s="119" t="b">
        <v>0</v>
      </c>
      <c r="N1090" s="113" t="b">
        <v>0</v>
      </c>
      <c r="O1090" s="113" t="b">
        <v>0</v>
      </c>
      <c r="P1090" s="113" t="b">
        <v>0</v>
      </c>
      <c r="Q1090" s="113" t="b">
        <v>0</v>
      </c>
      <c r="R1090" s="113"/>
      <c r="S1090" s="113" t="b">
        <v>0</v>
      </c>
      <c r="T1090" s="113"/>
      <c r="U1090" s="113"/>
      <c r="V1090" s="113" t="b">
        <v>0</v>
      </c>
      <c r="W1090" s="113"/>
      <c r="X1090" s="113" t="b">
        <v>0</v>
      </c>
      <c r="Y1090" s="113"/>
      <c r="Z1090" s="113"/>
      <c r="AA1090" s="113"/>
      <c r="AB1090" s="113"/>
      <c r="AC1090" s="113"/>
      <c r="AD1090" s="113"/>
      <c r="AE1090" s="113"/>
      <c r="AF1090" s="113"/>
    </row>
    <row r="1091">
      <c r="A1091" s="115"/>
      <c r="B1091" s="116"/>
      <c r="C1091" s="116"/>
      <c r="D1091" s="116"/>
      <c r="E1091" s="117"/>
      <c r="F1091" s="116"/>
      <c r="G1091" s="117"/>
      <c r="H1091" s="118"/>
      <c r="I1091" s="116"/>
      <c r="J1091" s="116"/>
      <c r="K1091" s="116"/>
      <c r="L1091" s="116"/>
      <c r="M1091" s="119" t="b">
        <v>0</v>
      </c>
      <c r="N1091" s="113" t="b">
        <v>0</v>
      </c>
      <c r="O1091" s="113" t="b">
        <v>0</v>
      </c>
      <c r="P1091" s="113" t="b">
        <v>0</v>
      </c>
      <c r="Q1091" s="113" t="b">
        <v>0</v>
      </c>
      <c r="R1091" s="113"/>
      <c r="S1091" s="113" t="b">
        <v>0</v>
      </c>
      <c r="T1091" s="113"/>
      <c r="U1091" s="113"/>
      <c r="V1091" s="113" t="b">
        <v>0</v>
      </c>
      <c r="W1091" s="113"/>
      <c r="X1091" s="113" t="b">
        <v>0</v>
      </c>
      <c r="Y1091" s="113"/>
      <c r="Z1091" s="113"/>
      <c r="AA1091" s="113"/>
      <c r="AB1091" s="113"/>
      <c r="AC1091" s="113"/>
      <c r="AD1091" s="113"/>
      <c r="AE1091" s="113"/>
      <c r="AF1091" s="113"/>
    </row>
    <row r="1092">
      <c r="A1092" s="115"/>
      <c r="B1092" s="116"/>
      <c r="C1092" s="116"/>
      <c r="D1092" s="116"/>
      <c r="E1092" s="117"/>
      <c r="F1092" s="116"/>
      <c r="G1092" s="117"/>
      <c r="H1092" s="118"/>
      <c r="I1092" s="116"/>
      <c r="J1092" s="116"/>
      <c r="K1092" s="116"/>
      <c r="L1092" s="116"/>
      <c r="M1092" s="119" t="b">
        <v>0</v>
      </c>
      <c r="N1092" s="113" t="b">
        <v>0</v>
      </c>
      <c r="O1092" s="113" t="b">
        <v>0</v>
      </c>
      <c r="P1092" s="113" t="b">
        <v>0</v>
      </c>
      <c r="Q1092" s="113" t="b">
        <v>0</v>
      </c>
      <c r="R1092" s="113"/>
      <c r="S1092" s="113" t="b">
        <v>0</v>
      </c>
      <c r="T1092" s="113"/>
      <c r="U1092" s="113"/>
      <c r="V1092" s="113" t="b">
        <v>0</v>
      </c>
      <c r="W1092" s="113"/>
      <c r="X1092" s="113" t="b">
        <v>0</v>
      </c>
      <c r="Y1092" s="113"/>
      <c r="Z1092" s="113"/>
      <c r="AA1092" s="113"/>
      <c r="AB1092" s="113"/>
      <c r="AC1092" s="113"/>
      <c r="AD1092" s="113"/>
      <c r="AE1092" s="113"/>
      <c r="AF1092" s="113"/>
    </row>
    <row r="1093">
      <c r="A1093" s="115"/>
      <c r="B1093" s="116"/>
      <c r="C1093" s="116"/>
      <c r="D1093" s="116"/>
      <c r="E1093" s="117"/>
      <c r="F1093" s="116"/>
      <c r="G1093" s="117"/>
      <c r="H1093" s="118"/>
      <c r="I1093" s="116"/>
      <c r="J1093" s="116"/>
      <c r="K1093" s="116"/>
      <c r="L1093" s="116"/>
      <c r="M1093" s="119" t="b">
        <v>0</v>
      </c>
      <c r="N1093" s="113" t="b">
        <v>0</v>
      </c>
      <c r="O1093" s="113" t="b">
        <v>0</v>
      </c>
      <c r="P1093" s="113" t="b">
        <v>0</v>
      </c>
      <c r="Q1093" s="113" t="b">
        <v>0</v>
      </c>
      <c r="R1093" s="113"/>
      <c r="S1093" s="113" t="b">
        <v>0</v>
      </c>
      <c r="T1093" s="113"/>
      <c r="U1093" s="113"/>
      <c r="V1093" s="113" t="b">
        <v>0</v>
      </c>
      <c r="W1093" s="113"/>
      <c r="X1093" s="113" t="b">
        <v>0</v>
      </c>
      <c r="Y1093" s="113"/>
      <c r="Z1093" s="113"/>
      <c r="AA1093" s="113"/>
      <c r="AB1093" s="113"/>
      <c r="AC1093" s="113"/>
      <c r="AD1093" s="113"/>
      <c r="AE1093" s="113"/>
      <c r="AF1093" s="113"/>
    </row>
    <row r="1094">
      <c r="A1094" s="115"/>
      <c r="B1094" s="116"/>
      <c r="C1094" s="116"/>
      <c r="D1094" s="116"/>
      <c r="E1094" s="117"/>
      <c r="F1094" s="116"/>
      <c r="G1094" s="117"/>
      <c r="H1094" s="118"/>
      <c r="I1094" s="116"/>
      <c r="J1094" s="116"/>
      <c r="K1094" s="116"/>
      <c r="L1094" s="116"/>
      <c r="M1094" s="119" t="b">
        <v>0</v>
      </c>
      <c r="N1094" s="113" t="b">
        <v>0</v>
      </c>
      <c r="O1094" s="113" t="b">
        <v>0</v>
      </c>
      <c r="P1094" s="113" t="b">
        <v>0</v>
      </c>
      <c r="Q1094" s="113" t="b">
        <v>0</v>
      </c>
      <c r="R1094" s="113"/>
      <c r="S1094" s="113" t="b">
        <v>0</v>
      </c>
      <c r="T1094" s="113"/>
      <c r="U1094" s="113"/>
      <c r="V1094" s="113" t="b">
        <v>0</v>
      </c>
      <c r="W1094" s="113"/>
      <c r="X1094" s="113" t="b">
        <v>0</v>
      </c>
      <c r="Y1094" s="113"/>
      <c r="Z1094" s="113"/>
      <c r="AA1094" s="113"/>
      <c r="AB1094" s="113"/>
      <c r="AC1094" s="113"/>
      <c r="AD1094" s="113"/>
      <c r="AE1094" s="113"/>
      <c r="AF1094" s="113"/>
    </row>
    <row r="1095">
      <c r="A1095" s="115"/>
      <c r="B1095" s="116"/>
      <c r="C1095" s="116"/>
      <c r="D1095" s="116"/>
      <c r="E1095" s="117"/>
      <c r="F1095" s="116"/>
      <c r="G1095" s="117"/>
      <c r="H1095" s="118"/>
      <c r="I1095" s="116"/>
      <c r="J1095" s="116"/>
      <c r="K1095" s="116"/>
      <c r="L1095" s="116"/>
      <c r="M1095" s="119" t="b">
        <v>0</v>
      </c>
      <c r="N1095" s="113" t="b">
        <v>0</v>
      </c>
      <c r="O1095" s="113" t="b">
        <v>0</v>
      </c>
      <c r="P1095" s="113" t="b">
        <v>0</v>
      </c>
      <c r="Q1095" s="113" t="b">
        <v>0</v>
      </c>
      <c r="R1095" s="113"/>
      <c r="S1095" s="113" t="b">
        <v>0</v>
      </c>
      <c r="T1095" s="113"/>
      <c r="U1095" s="113"/>
      <c r="V1095" s="113" t="b">
        <v>0</v>
      </c>
      <c r="W1095" s="113"/>
      <c r="X1095" s="113" t="b">
        <v>0</v>
      </c>
      <c r="Y1095" s="113"/>
      <c r="Z1095" s="113"/>
      <c r="AA1095" s="113"/>
      <c r="AB1095" s="113"/>
      <c r="AC1095" s="113"/>
      <c r="AD1095" s="113"/>
      <c r="AE1095" s="113"/>
      <c r="AF1095" s="113"/>
    </row>
    <row r="1096">
      <c r="A1096" s="115"/>
      <c r="B1096" s="116"/>
      <c r="C1096" s="116"/>
      <c r="D1096" s="116"/>
      <c r="E1096" s="117"/>
      <c r="F1096" s="116"/>
      <c r="G1096" s="117"/>
      <c r="H1096" s="118"/>
      <c r="I1096" s="116"/>
      <c r="J1096" s="116"/>
      <c r="K1096" s="116"/>
      <c r="L1096" s="116"/>
      <c r="M1096" s="119" t="b">
        <v>0</v>
      </c>
      <c r="N1096" s="113" t="b">
        <v>0</v>
      </c>
      <c r="O1096" s="113" t="b">
        <v>0</v>
      </c>
      <c r="P1096" s="113" t="b">
        <v>0</v>
      </c>
      <c r="Q1096" s="113" t="b">
        <v>0</v>
      </c>
      <c r="R1096" s="113"/>
      <c r="S1096" s="113" t="b">
        <v>0</v>
      </c>
      <c r="T1096" s="113"/>
      <c r="U1096" s="113"/>
      <c r="V1096" s="113" t="b">
        <v>0</v>
      </c>
      <c r="W1096" s="113"/>
      <c r="X1096" s="113" t="b">
        <v>0</v>
      </c>
      <c r="Y1096" s="113"/>
      <c r="Z1096" s="113"/>
      <c r="AA1096" s="113"/>
      <c r="AB1096" s="113"/>
      <c r="AC1096" s="113"/>
      <c r="AD1096" s="113"/>
      <c r="AE1096" s="113"/>
      <c r="AF1096" s="113"/>
    </row>
    <row r="1097">
      <c r="A1097" s="115"/>
      <c r="B1097" s="116"/>
      <c r="C1097" s="116"/>
      <c r="D1097" s="116"/>
      <c r="E1097" s="117"/>
      <c r="F1097" s="116"/>
      <c r="G1097" s="117"/>
      <c r="H1097" s="118"/>
      <c r="I1097" s="116"/>
      <c r="J1097" s="116"/>
      <c r="K1097" s="116"/>
      <c r="L1097" s="116"/>
      <c r="M1097" s="119" t="b">
        <v>0</v>
      </c>
      <c r="N1097" s="113" t="b">
        <v>0</v>
      </c>
      <c r="O1097" s="113" t="b">
        <v>0</v>
      </c>
      <c r="P1097" s="113" t="b">
        <v>0</v>
      </c>
      <c r="Q1097" s="113" t="b">
        <v>0</v>
      </c>
      <c r="R1097" s="113"/>
      <c r="S1097" s="113" t="b">
        <v>0</v>
      </c>
      <c r="T1097" s="113"/>
      <c r="U1097" s="113"/>
      <c r="V1097" s="113" t="b">
        <v>0</v>
      </c>
      <c r="W1097" s="113"/>
      <c r="X1097" s="113" t="b">
        <v>0</v>
      </c>
      <c r="Y1097" s="113"/>
      <c r="Z1097" s="113"/>
      <c r="AA1097" s="113"/>
      <c r="AB1097" s="113"/>
      <c r="AC1097" s="113"/>
      <c r="AD1097" s="113"/>
      <c r="AE1097" s="113"/>
      <c r="AF1097" s="113"/>
    </row>
    <row r="1098">
      <c r="A1098" s="115"/>
      <c r="B1098" s="116"/>
      <c r="C1098" s="116"/>
      <c r="D1098" s="116"/>
      <c r="E1098" s="117"/>
      <c r="F1098" s="116"/>
      <c r="G1098" s="117"/>
      <c r="H1098" s="118"/>
      <c r="I1098" s="116"/>
      <c r="J1098" s="116"/>
      <c r="K1098" s="116"/>
      <c r="L1098" s="116"/>
      <c r="M1098" s="119" t="b">
        <v>0</v>
      </c>
      <c r="N1098" s="113" t="b">
        <v>0</v>
      </c>
      <c r="O1098" s="113" t="b">
        <v>0</v>
      </c>
      <c r="P1098" s="113" t="b">
        <v>0</v>
      </c>
      <c r="Q1098" s="113" t="b">
        <v>0</v>
      </c>
      <c r="R1098" s="113"/>
      <c r="S1098" s="113" t="b">
        <v>0</v>
      </c>
      <c r="T1098" s="113"/>
      <c r="U1098" s="113"/>
      <c r="V1098" s="113" t="b">
        <v>0</v>
      </c>
      <c r="W1098" s="113"/>
      <c r="X1098" s="113" t="b">
        <v>0</v>
      </c>
      <c r="Y1098" s="113"/>
      <c r="Z1098" s="113"/>
      <c r="AA1098" s="113"/>
      <c r="AB1098" s="113"/>
      <c r="AC1098" s="113"/>
      <c r="AD1098" s="113"/>
      <c r="AE1098" s="113"/>
      <c r="AF1098" s="113"/>
    </row>
    <row r="1099">
      <c r="A1099" s="115"/>
      <c r="B1099" s="116"/>
      <c r="C1099" s="116"/>
      <c r="D1099" s="116"/>
      <c r="E1099" s="117"/>
      <c r="F1099" s="116"/>
      <c r="G1099" s="117"/>
      <c r="H1099" s="118"/>
      <c r="I1099" s="116"/>
      <c r="J1099" s="116"/>
      <c r="K1099" s="116"/>
      <c r="L1099" s="116"/>
      <c r="M1099" s="119" t="b">
        <v>0</v>
      </c>
      <c r="N1099" s="113" t="b">
        <v>0</v>
      </c>
      <c r="O1099" s="113" t="b">
        <v>0</v>
      </c>
      <c r="P1099" s="113" t="b">
        <v>0</v>
      </c>
      <c r="Q1099" s="113" t="b">
        <v>0</v>
      </c>
      <c r="R1099" s="113"/>
      <c r="S1099" s="113" t="b">
        <v>0</v>
      </c>
      <c r="T1099" s="113"/>
      <c r="U1099" s="113"/>
      <c r="V1099" s="113" t="b">
        <v>0</v>
      </c>
      <c r="W1099" s="113"/>
      <c r="X1099" s="113" t="b">
        <v>0</v>
      </c>
      <c r="Y1099" s="113"/>
      <c r="Z1099" s="113"/>
      <c r="AA1099" s="113"/>
      <c r="AB1099" s="113"/>
      <c r="AC1099" s="113"/>
      <c r="AD1099" s="113"/>
      <c r="AE1099" s="113"/>
      <c r="AF1099" s="113"/>
    </row>
    <row r="1100">
      <c r="A1100" s="115"/>
      <c r="B1100" s="116"/>
      <c r="C1100" s="116"/>
      <c r="D1100" s="116"/>
      <c r="E1100" s="117"/>
      <c r="F1100" s="116"/>
      <c r="G1100" s="117"/>
      <c r="H1100" s="118"/>
      <c r="I1100" s="116"/>
      <c r="J1100" s="116"/>
      <c r="K1100" s="116"/>
      <c r="L1100" s="116"/>
      <c r="M1100" s="119" t="b">
        <v>0</v>
      </c>
      <c r="N1100" s="113" t="b">
        <v>0</v>
      </c>
      <c r="O1100" s="113" t="b">
        <v>0</v>
      </c>
      <c r="P1100" s="113" t="b">
        <v>0</v>
      </c>
      <c r="Q1100" s="113" t="b">
        <v>0</v>
      </c>
      <c r="R1100" s="113"/>
      <c r="S1100" s="113" t="b">
        <v>0</v>
      </c>
      <c r="T1100" s="113"/>
      <c r="U1100" s="113"/>
      <c r="V1100" s="113" t="b">
        <v>0</v>
      </c>
      <c r="W1100" s="113"/>
      <c r="X1100" s="113" t="b">
        <v>0</v>
      </c>
      <c r="Y1100" s="113"/>
      <c r="Z1100" s="113"/>
      <c r="AA1100" s="113"/>
      <c r="AB1100" s="113"/>
      <c r="AC1100" s="113"/>
      <c r="AD1100" s="113"/>
      <c r="AE1100" s="113"/>
      <c r="AF1100" s="113"/>
    </row>
    <row r="1101">
      <c r="A1101" s="115"/>
      <c r="B1101" s="116"/>
      <c r="C1101" s="116"/>
      <c r="D1101" s="116"/>
      <c r="E1101" s="117"/>
      <c r="F1101" s="116"/>
      <c r="G1101" s="117"/>
      <c r="H1101" s="118"/>
      <c r="I1101" s="116"/>
      <c r="J1101" s="116"/>
      <c r="K1101" s="116"/>
      <c r="L1101" s="116"/>
      <c r="M1101" s="119" t="b">
        <v>0</v>
      </c>
      <c r="N1101" s="113" t="b">
        <v>0</v>
      </c>
      <c r="O1101" s="113" t="b">
        <v>0</v>
      </c>
      <c r="P1101" s="113" t="b">
        <v>0</v>
      </c>
      <c r="Q1101" s="113" t="b">
        <v>0</v>
      </c>
      <c r="R1101" s="113"/>
      <c r="S1101" s="113" t="b">
        <v>0</v>
      </c>
      <c r="T1101" s="113"/>
      <c r="U1101" s="113"/>
      <c r="V1101" s="113" t="b">
        <v>0</v>
      </c>
      <c r="W1101" s="113"/>
      <c r="X1101" s="113" t="b">
        <v>0</v>
      </c>
      <c r="Y1101" s="113"/>
      <c r="Z1101" s="113"/>
      <c r="AA1101" s="113"/>
      <c r="AB1101" s="113"/>
      <c r="AC1101" s="113"/>
      <c r="AD1101" s="113"/>
      <c r="AE1101" s="113"/>
      <c r="AF1101" s="113"/>
    </row>
    <row r="1102">
      <c r="A1102" s="115"/>
      <c r="B1102" s="116"/>
      <c r="C1102" s="116"/>
      <c r="D1102" s="116"/>
      <c r="E1102" s="117"/>
      <c r="F1102" s="116"/>
      <c r="G1102" s="117"/>
      <c r="H1102" s="118"/>
      <c r="I1102" s="116"/>
      <c r="J1102" s="116"/>
      <c r="K1102" s="116"/>
      <c r="L1102" s="116"/>
      <c r="M1102" s="119" t="b">
        <v>0</v>
      </c>
      <c r="N1102" s="113" t="b">
        <v>0</v>
      </c>
      <c r="O1102" s="113" t="b">
        <v>0</v>
      </c>
      <c r="P1102" s="113" t="b">
        <v>0</v>
      </c>
      <c r="Q1102" s="113" t="b">
        <v>0</v>
      </c>
      <c r="R1102" s="113"/>
      <c r="S1102" s="113" t="b">
        <v>0</v>
      </c>
      <c r="T1102" s="113"/>
      <c r="U1102" s="113"/>
      <c r="V1102" s="113" t="b">
        <v>0</v>
      </c>
      <c r="W1102" s="113"/>
      <c r="X1102" s="113" t="b">
        <v>0</v>
      </c>
      <c r="Y1102" s="113"/>
      <c r="Z1102" s="113"/>
      <c r="AA1102" s="113"/>
      <c r="AB1102" s="113"/>
      <c r="AC1102" s="113"/>
      <c r="AD1102" s="113"/>
      <c r="AE1102" s="113"/>
      <c r="AF1102" s="113"/>
    </row>
    <row r="1103">
      <c r="A1103" s="115"/>
      <c r="B1103" s="116"/>
      <c r="C1103" s="116"/>
      <c r="D1103" s="116"/>
      <c r="E1103" s="117"/>
      <c r="F1103" s="116"/>
      <c r="G1103" s="117"/>
      <c r="H1103" s="118"/>
      <c r="I1103" s="116"/>
      <c r="J1103" s="116"/>
      <c r="K1103" s="116"/>
      <c r="L1103" s="116"/>
      <c r="M1103" s="119" t="b">
        <v>0</v>
      </c>
      <c r="N1103" s="113" t="b">
        <v>0</v>
      </c>
      <c r="O1103" s="113" t="b">
        <v>0</v>
      </c>
      <c r="P1103" s="113" t="b">
        <v>0</v>
      </c>
      <c r="Q1103" s="113" t="b">
        <v>0</v>
      </c>
      <c r="R1103" s="113"/>
      <c r="S1103" s="113" t="b">
        <v>0</v>
      </c>
      <c r="T1103" s="113"/>
      <c r="U1103" s="113"/>
      <c r="V1103" s="113" t="b">
        <v>0</v>
      </c>
      <c r="W1103" s="113"/>
      <c r="X1103" s="113" t="b">
        <v>0</v>
      </c>
      <c r="Y1103" s="113"/>
      <c r="Z1103" s="113"/>
      <c r="AA1103" s="113"/>
      <c r="AB1103" s="113"/>
      <c r="AC1103" s="113"/>
      <c r="AD1103" s="113"/>
      <c r="AE1103" s="113"/>
      <c r="AF1103" s="113"/>
    </row>
    <row r="1104">
      <c r="A1104" s="115"/>
      <c r="B1104" s="116"/>
      <c r="C1104" s="116"/>
      <c r="D1104" s="116"/>
      <c r="E1104" s="117"/>
      <c r="F1104" s="116"/>
      <c r="G1104" s="117"/>
      <c r="H1104" s="118"/>
      <c r="I1104" s="116"/>
      <c r="J1104" s="116"/>
      <c r="K1104" s="116"/>
      <c r="L1104" s="116"/>
      <c r="M1104" s="119" t="b">
        <v>0</v>
      </c>
      <c r="N1104" s="113" t="b">
        <v>0</v>
      </c>
      <c r="O1104" s="113" t="b">
        <v>0</v>
      </c>
      <c r="P1104" s="113" t="b">
        <v>0</v>
      </c>
      <c r="Q1104" s="113" t="b">
        <v>0</v>
      </c>
      <c r="R1104" s="113"/>
      <c r="S1104" s="113" t="b">
        <v>0</v>
      </c>
      <c r="T1104" s="113"/>
      <c r="U1104" s="113"/>
      <c r="V1104" s="113" t="b">
        <v>0</v>
      </c>
      <c r="W1104" s="113"/>
      <c r="X1104" s="113" t="b">
        <v>0</v>
      </c>
      <c r="Y1104" s="113"/>
      <c r="Z1104" s="113"/>
      <c r="AA1104" s="113"/>
      <c r="AB1104" s="113"/>
      <c r="AC1104" s="113"/>
      <c r="AD1104" s="113"/>
      <c r="AE1104" s="113"/>
      <c r="AF1104" s="113"/>
    </row>
    <row r="1105">
      <c r="A1105" s="115"/>
      <c r="B1105" s="116"/>
      <c r="C1105" s="116"/>
      <c r="D1105" s="116"/>
      <c r="E1105" s="117"/>
      <c r="F1105" s="116"/>
      <c r="G1105" s="117"/>
      <c r="H1105" s="118"/>
      <c r="I1105" s="116"/>
      <c r="J1105" s="116"/>
      <c r="K1105" s="116"/>
      <c r="L1105" s="116"/>
      <c r="M1105" s="119" t="b">
        <v>0</v>
      </c>
      <c r="N1105" s="113" t="b">
        <v>0</v>
      </c>
      <c r="O1105" s="113" t="b">
        <v>0</v>
      </c>
      <c r="P1105" s="113" t="b">
        <v>0</v>
      </c>
      <c r="Q1105" s="113" t="b">
        <v>0</v>
      </c>
      <c r="R1105" s="113"/>
      <c r="S1105" s="113" t="b">
        <v>0</v>
      </c>
      <c r="T1105" s="113"/>
      <c r="U1105" s="113"/>
      <c r="V1105" s="113" t="b">
        <v>0</v>
      </c>
      <c r="W1105" s="113"/>
      <c r="X1105" s="113" t="b">
        <v>0</v>
      </c>
      <c r="Y1105" s="113"/>
      <c r="Z1105" s="113"/>
      <c r="AA1105" s="113"/>
      <c r="AB1105" s="113"/>
      <c r="AC1105" s="113"/>
      <c r="AD1105" s="113"/>
      <c r="AE1105" s="113"/>
      <c r="AF1105" s="113"/>
    </row>
    <row r="1106">
      <c r="A1106" s="115"/>
      <c r="B1106" s="116"/>
      <c r="C1106" s="116"/>
      <c r="D1106" s="116"/>
      <c r="E1106" s="117"/>
      <c r="F1106" s="116"/>
      <c r="G1106" s="117"/>
      <c r="H1106" s="118"/>
      <c r="I1106" s="116"/>
      <c r="J1106" s="116"/>
      <c r="K1106" s="116"/>
      <c r="L1106" s="116"/>
      <c r="M1106" s="119" t="b">
        <v>0</v>
      </c>
      <c r="N1106" s="113" t="b">
        <v>0</v>
      </c>
      <c r="O1106" s="113" t="b">
        <v>0</v>
      </c>
      <c r="P1106" s="113" t="b">
        <v>0</v>
      </c>
      <c r="Q1106" s="113" t="b">
        <v>0</v>
      </c>
      <c r="R1106" s="113"/>
      <c r="S1106" s="113" t="b">
        <v>0</v>
      </c>
      <c r="T1106" s="113"/>
      <c r="U1106" s="113"/>
      <c r="V1106" s="113" t="b">
        <v>0</v>
      </c>
      <c r="W1106" s="113"/>
      <c r="X1106" s="113" t="b">
        <v>0</v>
      </c>
      <c r="Y1106" s="113"/>
      <c r="Z1106" s="113"/>
      <c r="AA1106" s="113"/>
      <c r="AB1106" s="113"/>
      <c r="AC1106" s="113"/>
      <c r="AD1106" s="113"/>
      <c r="AE1106" s="113"/>
      <c r="AF1106" s="113"/>
    </row>
    <row r="1107">
      <c r="A1107" s="115"/>
      <c r="B1107" s="116"/>
      <c r="C1107" s="116"/>
      <c r="D1107" s="116"/>
      <c r="E1107" s="117"/>
      <c r="F1107" s="116"/>
      <c r="G1107" s="117"/>
      <c r="H1107" s="118"/>
      <c r="I1107" s="116"/>
      <c r="J1107" s="116"/>
      <c r="K1107" s="116"/>
      <c r="L1107" s="116"/>
      <c r="M1107" s="119" t="b">
        <v>0</v>
      </c>
      <c r="N1107" s="113" t="b">
        <v>0</v>
      </c>
      <c r="O1107" s="113" t="b">
        <v>0</v>
      </c>
      <c r="P1107" s="113" t="b">
        <v>0</v>
      </c>
      <c r="Q1107" s="113" t="b">
        <v>0</v>
      </c>
      <c r="R1107" s="113"/>
      <c r="S1107" s="113" t="b">
        <v>0</v>
      </c>
      <c r="T1107" s="113"/>
      <c r="U1107" s="113"/>
      <c r="V1107" s="113" t="b">
        <v>0</v>
      </c>
      <c r="W1107" s="113"/>
      <c r="X1107" s="113" t="b">
        <v>0</v>
      </c>
      <c r="Y1107" s="113"/>
      <c r="Z1107" s="113"/>
      <c r="AA1107" s="113"/>
      <c r="AB1107" s="113"/>
      <c r="AC1107" s="113"/>
      <c r="AD1107" s="113"/>
      <c r="AE1107" s="113"/>
      <c r="AF1107" s="113"/>
    </row>
    <row r="1108">
      <c r="A1108" s="115"/>
      <c r="B1108" s="116"/>
      <c r="C1108" s="116"/>
      <c r="D1108" s="116"/>
      <c r="E1108" s="117"/>
      <c r="F1108" s="116"/>
      <c r="G1108" s="117"/>
      <c r="H1108" s="118"/>
      <c r="I1108" s="116"/>
      <c r="J1108" s="116"/>
      <c r="K1108" s="116"/>
      <c r="L1108" s="116"/>
      <c r="M1108" s="119" t="b">
        <v>0</v>
      </c>
      <c r="N1108" s="113" t="b">
        <v>0</v>
      </c>
      <c r="O1108" s="113" t="b">
        <v>0</v>
      </c>
      <c r="P1108" s="113" t="b">
        <v>0</v>
      </c>
      <c r="Q1108" s="113" t="b">
        <v>0</v>
      </c>
      <c r="R1108" s="113"/>
      <c r="S1108" s="113" t="b">
        <v>0</v>
      </c>
      <c r="T1108" s="113"/>
      <c r="U1108" s="113"/>
      <c r="V1108" s="113" t="b">
        <v>0</v>
      </c>
      <c r="W1108" s="113"/>
      <c r="X1108" s="113" t="b">
        <v>0</v>
      </c>
      <c r="Y1108" s="113"/>
      <c r="Z1108" s="113"/>
      <c r="AA1108" s="113"/>
      <c r="AB1108" s="113"/>
      <c r="AC1108" s="113"/>
      <c r="AD1108" s="113"/>
      <c r="AE1108" s="113"/>
      <c r="AF1108" s="113"/>
    </row>
    <row r="1109">
      <c r="A1109" s="115"/>
      <c r="B1109" s="116"/>
      <c r="C1109" s="116"/>
      <c r="D1109" s="116"/>
      <c r="E1109" s="117"/>
      <c r="F1109" s="116"/>
      <c r="G1109" s="117"/>
      <c r="H1109" s="118"/>
      <c r="I1109" s="116"/>
      <c r="J1109" s="116"/>
      <c r="K1109" s="116"/>
      <c r="L1109" s="116"/>
      <c r="M1109" s="119" t="b">
        <v>0</v>
      </c>
      <c r="N1109" s="113" t="b">
        <v>0</v>
      </c>
      <c r="O1109" s="113" t="b">
        <v>0</v>
      </c>
      <c r="P1109" s="113" t="b">
        <v>0</v>
      </c>
      <c r="Q1109" s="113" t="b">
        <v>0</v>
      </c>
      <c r="R1109" s="113"/>
      <c r="S1109" s="113" t="b">
        <v>0</v>
      </c>
      <c r="T1109" s="113"/>
      <c r="U1109" s="113"/>
      <c r="V1109" s="113" t="b">
        <v>0</v>
      </c>
      <c r="W1109" s="113"/>
      <c r="X1109" s="113" t="b">
        <v>0</v>
      </c>
      <c r="Y1109" s="113"/>
      <c r="Z1109" s="113"/>
      <c r="AA1109" s="113"/>
      <c r="AB1109" s="113"/>
      <c r="AC1109" s="113"/>
      <c r="AD1109" s="113"/>
      <c r="AE1109" s="113"/>
      <c r="AF1109" s="113"/>
    </row>
    <row r="1110">
      <c r="A1110" s="115"/>
      <c r="B1110" s="116"/>
      <c r="C1110" s="116"/>
      <c r="D1110" s="116"/>
      <c r="E1110" s="117"/>
      <c r="F1110" s="116"/>
      <c r="G1110" s="117"/>
      <c r="H1110" s="118"/>
      <c r="I1110" s="116"/>
      <c r="J1110" s="116"/>
      <c r="K1110" s="116"/>
      <c r="L1110" s="116"/>
      <c r="M1110" s="119" t="b">
        <v>0</v>
      </c>
      <c r="N1110" s="113" t="b">
        <v>0</v>
      </c>
      <c r="O1110" s="113" t="b">
        <v>0</v>
      </c>
      <c r="P1110" s="113" t="b">
        <v>0</v>
      </c>
      <c r="Q1110" s="113" t="b">
        <v>0</v>
      </c>
      <c r="R1110" s="113"/>
      <c r="S1110" s="113" t="b">
        <v>0</v>
      </c>
      <c r="T1110" s="113"/>
      <c r="U1110" s="113"/>
      <c r="V1110" s="113" t="b">
        <v>0</v>
      </c>
      <c r="W1110" s="113"/>
      <c r="X1110" s="113" t="b">
        <v>0</v>
      </c>
      <c r="Y1110" s="113"/>
      <c r="Z1110" s="113"/>
      <c r="AA1110" s="113"/>
      <c r="AB1110" s="113"/>
      <c r="AC1110" s="113"/>
      <c r="AD1110" s="113"/>
      <c r="AE1110" s="113"/>
      <c r="AF1110" s="113"/>
    </row>
    <row r="1111">
      <c r="A1111" s="115"/>
      <c r="B1111" s="116"/>
      <c r="C1111" s="116"/>
      <c r="D1111" s="116"/>
      <c r="E1111" s="117"/>
      <c r="F1111" s="116"/>
      <c r="G1111" s="117"/>
      <c r="H1111" s="118"/>
      <c r="I1111" s="116"/>
      <c r="J1111" s="116"/>
      <c r="K1111" s="116"/>
      <c r="L1111" s="116"/>
      <c r="M1111" s="119" t="b">
        <v>0</v>
      </c>
      <c r="N1111" s="113" t="b">
        <v>0</v>
      </c>
      <c r="O1111" s="113" t="b">
        <v>0</v>
      </c>
      <c r="P1111" s="113" t="b">
        <v>0</v>
      </c>
      <c r="Q1111" s="113" t="b">
        <v>0</v>
      </c>
      <c r="R1111" s="113"/>
      <c r="S1111" s="113" t="b">
        <v>0</v>
      </c>
      <c r="T1111" s="113"/>
      <c r="U1111" s="113"/>
      <c r="V1111" s="113" t="b">
        <v>0</v>
      </c>
      <c r="W1111" s="113"/>
      <c r="X1111" s="113" t="b">
        <v>0</v>
      </c>
      <c r="Y1111" s="113"/>
      <c r="Z1111" s="113"/>
      <c r="AA1111" s="113"/>
      <c r="AB1111" s="113"/>
      <c r="AC1111" s="113"/>
      <c r="AD1111" s="113"/>
      <c r="AE1111" s="113"/>
      <c r="AF1111" s="113"/>
    </row>
    <row r="1112">
      <c r="A1112" s="115"/>
      <c r="B1112" s="116"/>
      <c r="C1112" s="116"/>
      <c r="D1112" s="116"/>
      <c r="E1112" s="117"/>
      <c r="F1112" s="116"/>
      <c r="G1112" s="117"/>
      <c r="H1112" s="118"/>
      <c r="I1112" s="116"/>
      <c r="J1112" s="116"/>
      <c r="K1112" s="116"/>
      <c r="L1112" s="116"/>
      <c r="M1112" s="119" t="b">
        <v>0</v>
      </c>
      <c r="N1112" s="113" t="b">
        <v>0</v>
      </c>
      <c r="O1112" s="113" t="b">
        <v>0</v>
      </c>
      <c r="P1112" s="113" t="b">
        <v>0</v>
      </c>
      <c r="Q1112" s="113" t="b">
        <v>0</v>
      </c>
      <c r="R1112" s="113"/>
      <c r="S1112" s="113" t="b">
        <v>0</v>
      </c>
      <c r="T1112" s="113"/>
      <c r="U1112" s="113"/>
      <c r="V1112" s="113" t="b">
        <v>0</v>
      </c>
      <c r="W1112" s="113"/>
      <c r="X1112" s="113" t="b">
        <v>0</v>
      </c>
      <c r="Y1112" s="113"/>
      <c r="Z1112" s="113"/>
      <c r="AA1112" s="113"/>
      <c r="AB1112" s="113"/>
      <c r="AC1112" s="113"/>
      <c r="AD1112" s="113"/>
      <c r="AE1112" s="113"/>
      <c r="AF1112" s="113"/>
    </row>
    <row r="1113">
      <c r="A1113" s="115"/>
      <c r="B1113" s="116"/>
      <c r="C1113" s="116"/>
      <c r="D1113" s="116"/>
      <c r="E1113" s="117"/>
      <c r="F1113" s="116"/>
      <c r="G1113" s="117"/>
      <c r="H1113" s="118"/>
      <c r="I1113" s="116"/>
      <c r="J1113" s="116"/>
      <c r="K1113" s="116"/>
      <c r="L1113" s="116"/>
      <c r="M1113" s="119" t="b">
        <v>0</v>
      </c>
      <c r="N1113" s="113" t="b">
        <v>0</v>
      </c>
      <c r="O1113" s="113" t="b">
        <v>0</v>
      </c>
      <c r="P1113" s="113" t="b">
        <v>0</v>
      </c>
      <c r="Q1113" s="113" t="b">
        <v>0</v>
      </c>
      <c r="R1113" s="113"/>
      <c r="S1113" s="113" t="b">
        <v>0</v>
      </c>
      <c r="T1113" s="113"/>
      <c r="U1113" s="113"/>
      <c r="V1113" s="113" t="b">
        <v>0</v>
      </c>
      <c r="W1113" s="113"/>
      <c r="X1113" s="113" t="b">
        <v>0</v>
      </c>
      <c r="Y1113" s="113"/>
      <c r="Z1113" s="113"/>
      <c r="AA1113" s="113"/>
      <c r="AB1113" s="113"/>
      <c r="AC1113" s="113"/>
      <c r="AD1113" s="113"/>
      <c r="AE1113" s="113"/>
      <c r="AF1113" s="113"/>
    </row>
    <row r="1114">
      <c r="A1114" s="115"/>
      <c r="B1114" s="116"/>
      <c r="C1114" s="116"/>
      <c r="D1114" s="116"/>
      <c r="E1114" s="117"/>
      <c r="F1114" s="116"/>
      <c r="G1114" s="117"/>
      <c r="H1114" s="118"/>
      <c r="I1114" s="116"/>
      <c r="J1114" s="116"/>
      <c r="K1114" s="116"/>
      <c r="L1114" s="116"/>
      <c r="M1114" s="119" t="b">
        <v>0</v>
      </c>
      <c r="N1114" s="113" t="b">
        <v>0</v>
      </c>
      <c r="O1114" s="113" t="b">
        <v>0</v>
      </c>
      <c r="P1114" s="113" t="b">
        <v>0</v>
      </c>
      <c r="Q1114" s="113" t="b">
        <v>0</v>
      </c>
      <c r="R1114" s="113"/>
      <c r="S1114" s="113" t="b">
        <v>0</v>
      </c>
      <c r="T1114" s="113"/>
      <c r="U1114" s="113"/>
      <c r="V1114" s="113" t="b">
        <v>0</v>
      </c>
      <c r="W1114" s="113"/>
      <c r="X1114" s="113" t="b">
        <v>0</v>
      </c>
      <c r="Y1114" s="113"/>
      <c r="Z1114" s="113"/>
      <c r="AA1114" s="113"/>
      <c r="AB1114" s="113"/>
      <c r="AC1114" s="113"/>
      <c r="AD1114" s="113"/>
      <c r="AE1114" s="113"/>
      <c r="AF1114" s="113"/>
    </row>
    <row r="1115">
      <c r="A1115" s="115"/>
      <c r="B1115" s="116"/>
      <c r="C1115" s="116"/>
      <c r="D1115" s="116"/>
      <c r="E1115" s="117"/>
      <c r="F1115" s="116"/>
      <c r="G1115" s="117"/>
      <c r="H1115" s="118"/>
      <c r="I1115" s="116"/>
      <c r="J1115" s="116"/>
      <c r="K1115" s="116"/>
      <c r="L1115" s="116"/>
      <c r="M1115" s="119" t="b">
        <v>0</v>
      </c>
      <c r="N1115" s="113" t="b">
        <v>0</v>
      </c>
      <c r="O1115" s="113" t="b">
        <v>0</v>
      </c>
      <c r="P1115" s="113" t="b">
        <v>0</v>
      </c>
      <c r="Q1115" s="113" t="b">
        <v>0</v>
      </c>
      <c r="R1115" s="113"/>
      <c r="S1115" s="113" t="b">
        <v>0</v>
      </c>
      <c r="T1115" s="113"/>
      <c r="U1115" s="113"/>
      <c r="V1115" s="113" t="b">
        <v>0</v>
      </c>
      <c r="W1115" s="113"/>
      <c r="X1115" s="113" t="b">
        <v>0</v>
      </c>
      <c r="Y1115" s="113"/>
      <c r="Z1115" s="113"/>
      <c r="AA1115" s="113"/>
      <c r="AB1115" s="113"/>
      <c r="AC1115" s="113"/>
      <c r="AD1115" s="113"/>
      <c r="AE1115" s="113"/>
      <c r="AF1115" s="113"/>
    </row>
    <row r="1116">
      <c r="A1116" s="115"/>
      <c r="B1116" s="116"/>
      <c r="C1116" s="116"/>
      <c r="D1116" s="116"/>
      <c r="E1116" s="117"/>
      <c r="F1116" s="116"/>
      <c r="G1116" s="117"/>
      <c r="H1116" s="118"/>
      <c r="I1116" s="116"/>
      <c r="J1116" s="116"/>
      <c r="K1116" s="116"/>
      <c r="L1116" s="116"/>
      <c r="M1116" s="119" t="b">
        <v>0</v>
      </c>
      <c r="N1116" s="113" t="b">
        <v>0</v>
      </c>
      <c r="O1116" s="113" t="b">
        <v>0</v>
      </c>
      <c r="P1116" s="113" t="b">
        <v>0</v>
      </c>
      <c r="Q1116" s="113" t="b">
        <v>0</v>
      </c>
      <c r="R1116" s="113"/>
      <c r="S1116" s="113" t="b">
        <v>0</v>
      </c>
      <c r="T1116" s="113"/>
      <c r="U1116" s="113"/>
      <c r="V1116" s="113" t="b">
        <v>0</v>
      </c>
      <c r="W1116" s="113"/>
      <c r="X1116" s="113" t="b">
        <v>0</v>
      </c>
      <c r="Y1116" s="113"/>
      <c r="Z1116" s="113"/>
      <c r="AA1116" s="113"/>
      <c r="AB1116" s="113"/>
      <c r="AC1116" s="113"/>
      <c r="AD1116" s="113"/>
      <c r="AE1116" s="113"/>
      <c r="AF1116" s="113"/>
    </row>
    <row r="1117">
      <c r="A1117" s="115"/>
      <c r="B1117" s="116"/>
      <c r="C1117" s="116"/>
      <c r="D1117" s="116"/>
      <c r="E1117" s="117"/>
      <c r="F1117" s="116"/>
      <c r="G1117" s="117"/>
      <c r="H1117" s="118"/>
      <c r="I1117" s="116"/>
      <c r="J1117" s="116"/>
      <c r="K1117" s="116"/>
      <c r="L1117" s="116"/>
      <c r="M1117" s="119" t="b">
        <v>0</v>
      </c>
      <c r="N1117" s="113" t="b">
        <v>0</v>
      </c>
      <c r="O1117" s="113" t="b">
        <v>0</v>
      </c>
      <c r="P1117" s="113" t="b">
        <v>0</v>
      </c>
      <c r="Q1117" s="113" t="b">
        <v>0</v>
      </c>
      <c r="R1117" s="113"/>
      <c r="S1117" s="113" t="b">
        <v>0</v>
      </c>
      <c r="T1117" s="113"/>
      <c r="U1117" s="113"/>
      <c r="V1117" s="113" t="b">
        <v>0</v>
      </c>
      <c r="W1117" s="113"/>
      <c r="X1117" s="113" t="b">
        <v>0</v>
      </c>
      <c r="Y1117" s="113"/>
      <c r="Z1117" s="113"/>
      <c r="AA1117" s="113"/>
      <c r="AB1117" s="113"/>
      <c r="AC1117" s="113"/>
      <c r="AD1117" s="113"/>
      <c r="AE1117" s="113"/>
      <c r="AF1117" s="113"/>
    </row>
    <row r="1118">
      <c r="A1118" s="115"/>
      <c r="B1118" s="116"/>
      <c r="C1118" s="116"/>
      <c r="D1118" s="116"/>
      <c r="E1118" s="117"/>
      <c r="F1118" s="116"/>
      <c r="G1118" s="117"/>
      <c r="H1118" s="118"/>
      <c r="I1118" s="116"/>
      <c r="J1118" s="116"/>
      <c r="K1118" s="116"/>
      <c r="L1118" s="116"/>
      <c r="M1118" s="119" t="b">
        <v>0</v>
      </c>
      <c r="N1118" s="113" t="b">
        <v>0</v>
      </c>
      <c r="O1118" s="113" t="b">
        <v>0</v>
      </c>
      <c r="P1118" s="113" t="b">
        <v>0</v>
      </c>
      <c r="Q1118" s="113" t="b">
        <v>0</v>
      </c>
      <c r="R1118" s="113"/>
      <c r="S1118" s="113" t="b">
        <v>0</v>
      </c>
      <c r="T1118" s="113"/>
      <c r="U1118" s="113"/>
      <c r="V1118" s="113" t="b">
        <v>0</v>
      </c>
      <c r="W1118" s="113"/>
      <c r="X1118" s="113" t="b">
        <v>0</v>
      </c>
      <c r="Y1118" s="113"/>
      <c r="Z1118" s="113"/>
      <c r="AA1118" s="113"/>
      <c r="AB1118" s="113"/>
      <c r="AC1118" s="113"/>
      <c r="AD1118" s="113"/>
      <c r="AE1118" s="113"/>
      <c r="AF1118" s="113"/>
    </row>
    <row r="1119">
      <c r="A1119" s="115"/>
      <c r="B1119" s="116"/>
      <c r="C1119" s="116"/>
      <c r="D1119" s="116"/>
      <c r="E1119" s="117"/>
      <c r="F1119" s="116"/>
      <c r="G1119" s="117"/>
      <c r="H1119" s="118"/>
      <c r="I1119" s="116"/>
      <c r="J1119" s="116"/>
      <c r="K1119" s="116"/>
      <c r="L1119" s="116"/>
      <c r="M1119" s="119" t="b">
        <v>0</v>
      </c>
      <c r="N1119" s="113" t="b">
        <v>0</v>
      </c>
      <c r="O1119" s="113" t="b">
        <v>0</v>
      </c>
      <c r="P1119" s="113" t="b">
        <v>0</v>
      </c>
      <c r="Q1119" s="113" t="b">
        <v>0</v>
      </c>
      <c r="R1119" s="113"/>
      <c r="S1119" s="113" t="b">
        <v>0</v>
      </c>
      <c r="T1119" s="113"/>
      <c r="U1119" s="113"/>
      <c r="V1119" s="113" t="b">
        <v>0</v>
      </c>
      <c r="W1119" s="113"/>
      <c r="X1119" s="113" t="b">
        <v>0</v>
      </c>
      <c r="Y1119" s="113"/>
      <c r="Z1119" s="113"/>
      <c r="AA1119" s="113"/>
      <c r="AB1119" s="113"/>
      <c r="AC1119" s="113"/>
      <c r="AD1119" s="113"/>
      <c r="AE1119" s="113"/>
      <c r="AF1119" s="113"/>
    </row>
    <row r="1120">
      <c r="A1120" s="115"/>
      <c r="B1120" s="116"/>
      <c r="C1120" s="116"/>
      <c r="D1120" s="116"/>
      <c r="E1120" s="117"/>
      <c r="F1120" s="116"/>
      <c r="G1120" s="117"/>
      <c r="H1120" s="118"/>
      <c r="I1120" s="116"/>
      <c r="J1120" s="116"/>
      <c r="K1120" s="116"/>
      <c r="L1120" s="116"/>
      <c r="M1120" s="119" t="b">
        <v>0</v>
      </c>
      <c r="N1120" s="113" t="b">
        <v>0</v>
      </c>
      <c r="O1120" s="113" t="b">
        <v>0</v>
      </c>
      <c r="P1120" s="113" t="b">
        <v>0</v>
      </c>
      <c r="Q1120" s="113" t="b">
        <v>0</v>
      </c>
      <c r="R1120" s="113"/>
      <c r="S1120" s="113" t="b">
        <v>0</v>
      </c>
      <c r="T1120" s="113"/>
      <c r="U1120" s="113"/>
      <c r="V1120" s="113" t="b">
        <v>0</v>
      </c>
      <c r="W1120" s="113"/>
      <c r="X1120" s="113" t="b">
        <v>0</v>
      </c>
      <c r="Y1120" s="113"/>
      <c r="Z1120" s="113"/>
      <c r="AA1120" s="113"/>
      <c r="AB1120" s="113"/>
      <c r="AC1120" s="113"/>
      <c r="AD1120" s="113"/>
      <c r="AE1120" s="113"/>
      <c r="AF1120" s="113"/>
    </row>
    <row r="1121">
      <c r="A1121" s="115"/>
      <c r="B1121" s="116"/>
      <c r="C1121" s="116"/>
      <c r="D1121" s="116"/>
      <c r="E1121" s="117"/>
      <c r="F1121" s="116"/>
      <c r="G1121" s="117"/>
      <c r="H1121" s="118"/>
      <c r="I1121" s="116"/>
      <c r="J1121" s="116"/>
      <c r="K1121" s="116"/>
      <c r="L1121" s="116"/>
      <c r="M1121" s="119" t="b">
        <v>0</v>
      </c>
      <c r="N1121" s="113" t="b">
        <v>0</v>
      </c>
      <c r="O1121" s="113" t="b">
        <v>0</v>
      </c>
      <c r="P1121" s="113" t="b">
        <v>0</v>
      </c>
      <c r="Q1121" s="113" t="b">
        <v>0</v>
      </c>
      <c r="R1121" s="113"/>
      <c r="S1121" s="113" t="b">
        <v>0</v>
      </c>
      <c r="T1121" s="113"/>
      <c r="U1121" s="113"/>
      <c r="V1121" s="113" t="b">
        <v>0</v>
      </c>
      <c r="W1121" s="113"/>
      <c r="X1121" s="113" t="b">
        <v>0</v>
      </c>
      <c r="Y1121" s="113"/>
      <c r="Z1121" s="113"/>
      <c r="AA1121" s="113"/>
      <c r="AB1121" s="113"/>
      <c r="AC1121" s="113"/>
      <c r="AD1121" s="113"/>
      <c r="AE1121" s="113"/>
      <c r="AF1121" s="113"/>
    </row>
    <row r="1122">
      <c r="A1122" s="115"/>
      <c r="B1122" s="116"/>
      <c r="C1122" s="116"/>
      <c r="D1122" s="116"/>
      <c r="E1122" s="117"/>
      <c r="F1122" s="116"/>
      <c r="G1122" s="117"/>
      <c r="H1122" s="118"/>
      <c r="I1122" s="116"/>
      <c r="J1122" s="116"/>
      <c r="K1122" s="116"/>
      <c r="L1122" s="116"/>
      <c r="M1122" s="119" t="b">
        <v>0</v>
      </c>
      <c r="N1122" s="113" t="b">
        <v>0</v>
      </c>
      <c r="O1122" s="113" t="b">
        <v>0</v>
      </c>
      <c r="P1122" s="113" t="b">
        <v>0</v>
      </c>
      <c r="Q1122" s="113" t="b">
        <v>0</v>
      </c>
      <c r="R1122" s="113"/>
      <c r="S1122" s="113" t="b">
        <v>0</v>
      </c>
      <c r="T1122" s="113"/>
      <c r="U1122" s="113"/>
      <c r="V1122" s="113" t="b">
        <v>0</v>
      </c>
      <c r="W1122" s="113"/>
      <c r="X1122" s="113" t="b">
        <v>0</v>
      </c>
      <c r="Y1122" s="113"/>
      <c r="Z1122" s="113"/>
      <c r="AA1122" s="113"/>
      <c r="AB1122" s="113"/>
      <c r="AC1122" s="113"/>
      <c r="AD1122" s="113"/>
      <c r="AE1122" s="113"/>
      <c r="AF1122" s="113"/>
    </row>
    <row r="1123">
      <c r="A1123" s="115"/>
      <c r="B1123" s="116"/>
      <c r="C1123" s="116"/>
      <c r="D1123" s="116"/>
      <c r="E1123" s="117"/>
      <c r="F1123" s="116"/>
      <c r="G1123" s="117"/>
      <c r="H1123" s="118"/>
      <c r="I1123" s="116"/>
      <c r="J1123" s="116"/>
      <c r="K1123" s="116"/>
      <c r="L1123" s="116"/>
      <c r="M1123" s="119" t="b">
        <v>0</v>
      </c>
      <c r="N1123" s="113" t="b">
        <v>0</v>
      </c>
      <c r="O1123" s="113" t="b">
        <v>0</v>
      </c>
      <c r="P1123" s="113" t="b">
        <v>0</v>
      </c>
      <c r="Q1123" s="113" t="b">
        <v>0</v>
      </c>
      <c r="R1123" s="113"/>
      <c r="S1123" s="113" t="b">
        <v>0</v>
      </c>
      <c r="T1123" s="113"/>
      <c r="U1123" s="113"/>
      <c r="V1123" s="113" t="b">
        <v>0</v>
      </c>
      <c r="W1123" s="113"/>
      <c r="X1123" s="113" t="b">
        <v>0</v>
      </c>
      <c r="Y1123" s="113"/>
      <c r="Z1123" s="113"/>
      <c r="AA1123" s="113"/>
      <c r="AB1123" s="113"/>
      <c r="AC1123" s="113"/>
      <c r="AD1123" s="113"/>
      <c r="AE1123" s="113"/>
      <c r="AF1123" s="113"/>
    </row>
    <row r="1124">
      <c r="A1124" s="115"/>
      <c r="B1124" s="116"/>
      <c r="C1124" s="116"/>
      <c r="D1124" s="116"/>
      <c r="E1124" s="117"/>
      <c r="F1124" s="116"/>
      <c r="G1124" s="117"/>
      <c r="H1124" s="118"/>
      <c r="I1124" s="116"/>
      <c r="J1124" s="116"/>
      <c r="K1124" s="116"/>
      <c r="L1124" s="116"/>
      <c r="M1124" s="119" t="b">
        <v>0</v>
      </c>
      <c r="N1124" s="113" t="b">
        <v>0</v>
      </c>
      <c r="O1124" s="113" t="b">
        <v>0</v>
      </c>
      <c r="P1124" s="113" t="b">
        <v>0</v>
      </c>
      <c r="Q1124" s="113" t="b">
        <v>0</v>
      </c>
      <c r="R1124" s="113"/>
      <c r="S1124" s="113" t="b">
        <v>0</v>
      </c>
      <c r="T1124" s="113"/>
      <c r="U1124" s="113"/>
      <c r="V1124" s="113" t="b">
        <v>0</v>
      </c>
      <c r="W1124" s="113"/>
      <c r="X1124" s="113" t="b">
        <v>0</v>
      </c>
      <c r="Y1124" s="113"/>
      <c r="Z1124" s="113"/>
      <c r="AA1124" s="113"/>
      <c r="AB1124" s="113"/>
      <c r="AC1124" s="113"/>
      <c r="AD1124" s="113"/>
      <c r="AE1124" s="113"/>
      <c r="AF1124" s="113"/>
    </row>
    <row r="1125">
      <c r="A1125" s="115"/>
      <c r="B1125" s="116"/>
      <c r="C1125" s="116"/>
      <c r="D1125" s="116"/>
      <c r="E1125" s="117"/>
      <c r="F1125" s="116"/>
      <c r="G1125" s="117"/>
      <c r="H1125" s="118"/>
      <c r="I1125" s="116"/>
      <c r="J1125" s="116"/>
      <c r="K1125" s="116"/>
      <c r="L1125" s="116"/>
      <c r="M1125" s="119" t="b">
        <v>0</v>
      </c>
      <c r="N1125" s="113" t="b">
        <v>0</v>
      </c>
      <c r="O1125" s="113" t="b">
        <v>0</v>
      </c>
      <c r="P1125" s="113" t="b">
        <v>0</v>
      </c>
      <c r="Q1125" s="113" t="b">
        <v>0</v>
      </c>
      <c r="R1125" s="113"/>
      <c r="S1125" s="113" t="b">
        <v>0</v>
      </c>
      <c r="T1125" s="113"/>
      <c r="U1125" s="113"/>
      <c r="V1125" s="113" t="b">
        <v>0</v>
      </c>
      <c r="W1125" s="113"/>
      <c r="X1125" s="113" t="b">
        <v>0</v>
      </c>
      <c r="Y1125" s="113"/>
      <c r="Z1125" s="113"/>
      <c r="AA1125" s="113"/>
      <c r="AB1125" s="113"/>
      <c r="AC1125" s="113"/>
      <c r="AD1125" s="113"/>
      <c r="AE1125" s="113"/>
      <c r="AF1125" s="113"/>
    </row>
    <row r="1126">
      <c r="A1126" s="115"/>
      <c r="B1126" s="116"/>
      <c r="C1126" s="116"/>
      <c r="D1126" s="116"/>
      <c r="E1126" s="117"/>
      <c r="F1126" s="116"/>
      <c r="G1126" s="117"/>
      <c r="H1126" s="118"/>
      <c r="I1126" s="116"/>
      <c r="J1126" s="116"/>
      <c r="K1126" s="116"/>
      <c r="L1126" s="116"/>
      <c r="M1126" s="119" t="b">
        <v>0</v>
      </c>
      <c r="N1126" s="113" t="b">
        <v>0</v>
      </c>
      <c r="O1126" s="113" t="b">
        <v>0</v>
      </c>
      <c r="P1126" s="113" t="b">
        <v>0</v>
      </c>
      <c r="Q1126" s="113" t="b">
        <v>0</v>
      </c>
      <c r="R1126" s="113"/>
      <c r="S1126" s="113" t="b">
        <v>0</v>
      </c>
      <c r="T1126" s="113"/>
      <c r="U1126" s="113"/>
      <c r="V1126" s="113" t="b">
        <v>0</v>
      </c>
      <c r="W1126" s="113"/>
      <c r="X1126" s="113" t="b">
        <v>0</v>
      </c>
      <c r="Y1126" s="113"/>
      <c r="Z1126" s="113"/>
      <c r="AA1126" s="113"/>
      <c r="AB1126" s="113"/>
      <c r="AC1126" s="113"/>
      <c r="AD1126" s="113"/>
      <c r="AE1126" s="113"/>
      <c r="AF1126" s="113"/>
    </row>
    <row r="1127">
      <c r="A1127" s="115"/>
      <c r="B1127" s="116"/>
      <c r="C1127" s="116"/>
      <c r="D1127" s="116"/>
      <c r="E1127" s="117"/>
      <c r="F1127" s="116"/>
      <c r="G1127" s="117"/>
      <c r="H1127" s="118"/>
      <c r="I1127" s="116"/>
      <c r="J1127" s="116"/>
      <c r="K1127" s="116"/>
      <c r="L1127" s="116"/>
      <c r="M1127" s="119" t="b">
        <v>0</v>
      </c>
      <c r="N1127" s="113" t="b">
        <v>0</v>
      </c>
      <c r="O1127" s="113" t="b">
        <v>0</v>
      </c>
      <c r="P1127" s="113" t="b">
        <v>0</v>
      </c>
      <c r="Q1127" s="113" t="b">
        <v>0</v>
      </c>
      <c r="R1127" s="113"/>
      <c r="S1127" s="113" t="b">
        <v>0</v>
      </c>
      <c r="T1127" s="113"/>
      <c r="U1127" s="113"/>
      <c r="V1127" s="113" t="b">
        <v>0</v>
      </c>
      <c r="W1127" s="113"/>
      <c r="X1127" s="113" t="b">
        <v>0</v>
      </c>
      <c r="Y1127" s="113"/>
      <c r="Z1127" s="113"/>
      <c r="AA1127" s="113"/>
      <c r="AB1127" s="113"/>
      <c r="AC1127" s="113"/>
      <c r="AD1127" s="113"/>
      <c r="AE1127" s="113"/>
      <c r="AF1127" s="113"/>
    </row>
    <row r="1128">
      <c r="A1128" s="115"/>
      <c r="B1128" s="116"/>
      <c r="C1128" s="116"/>
      <c r="D1128" s="116"/>
      <c r="E1128" s="117"/>
      <c r="F1128" s="116"/>
      <c r="G1128" s="117"/>
      <c r="H1128" s="118"/>
      <c r="I1128" s="116"/>
      <c r="J1128" s="116"/>
      <c r="K1128" s="116"/>
      <c r="L1128" s="116"/>
      <c r="M1128" s="119" t="b">
        <v>0</v>
      </c>
      <c r="N1128" s="113" t="b">
        <v>0</v>
      </c>
      <c r="O1128" s="113" t="b">
        <v>0</v>
      </c>
      <c r="P1128" s="113" t="b">
        <v>0</v>
      </c>
      <c r="Q1128" s="113" t="b">
        <v>0</v>
      </c>
      <c r="R1128" s="113"/>
      <c r="S1128" s="113" t="b">
        <v>0</v>
      </c>
      <c r="T1128" s="113"/>
      <c r="U1128" s="113"/>
      <c r="V1128" s="113" t="b">
        <v>0</v>
      </c>
      <c r="W1128" s="113"/>
      <c r="X1128" s="113" t="b">
        <v>0</v>
      </c>
      <c r="Y1128" s="113"/>
      <c r="Z1128" s="113"/>
      <c r="AA1128" s="113"/>
      <c r="AB1128" s="113"/>
      <c r="AC1128" s="113"/>
      <c r="AD1128" s="113"/>
      <c r="AE1128" s="113"/>
      <c r="AF1128" s="113"/>
    </row>
    <row r="1129">
      <c r="A1129" s="115"/>
      <c r="B1129" s="116"/>
      <c r="C1129" s="116"/>
      <c r="D1129" s="116"/>
      <c r="E1129" s="117"/>
      <c r="F1129" s="116"/>
      <c r="G1129" s="117"/>
      <c r="H1129" s="118"/>
      <c r="I1129" s="116"/>
      <c r="J1129" s="116"/>
      <c r="K1129" s="116"/>
      <c r="L1129" s="116"/>
      <c r="M1129" s="119" t="b">
        <v>0</v>
      </c>
      <c r="N1129" s="113" t="b">
        <v>0</v>
      </c>
      <c r="O1129" s="113" t="b">
        <v>0</v>
      </c>
      <c r="P1129" s="113" t="b">
        <v>0</v>
      </c>
      <c r="Q1129" s="113" t="b">
        <v>0</v>
      </c>
      <c r="R1129" s="113"/>
      <c r="S1129" s="113" t="b">
        <v>0</v>
      </c>
      <c r="T1129" s="113"/>
      <c r="U1129" s="113"/>
      <c r="V1129" s="113" t="b">
        <v>0</v>
      </c>
      <c r="W1129" s="113"/>
      <c r="X1129" s="113" t="b">
        <v>0</v>
      </c>
      <c r="Y1129" s="113"/>
      <c r="Z1129" s="113"/>
      <c r="AA1129" s="113"/>
      <c r="AB1129" s="113"/>
      <c r="AC1129" s="113"/>
      <c r="AD1129" s="113"/>
      <c r="AE1129" s="113"/>
      <c r="AF1129" s="113"/>
    </row>
    <row r="1130">
      <c r="A1130" s="115"/>
      <c r="B1130" s="116"/>
      <c r="C1130" s="116"/>
      <c r="D1130" s="116"/>
      <c r="E1130" s="117"/>
      <c r="F1130" s="116"/>
      <c r="G1130" s="117"/>
      <c r="H1130" s="118"/>
      <c r="I1130" s="116"/>
      <c r="J1130" s="116"/>
      <c r="K1130" s="116"/>
      <c r="L1130" s="116"/>
      <c r="M1130" s="119" t="b">
        <v>0</v>
      </c>
      <c r="N1130" s="113" t="b">
        <v>0</v>
      </c>
      <c r="O1130" s="113" t="b">
        <v>0</v>
      </c>
      <c r="P1130" s="113" t="b">
        <v>0</v>
      </c>
      <c r="Q1130" s="113" t="b">
        <v>0</v>
      </c>
      <c r="R1130" s="113"/>
      <c r="S1130" s="113" t="b">
        <v>0</v>
      </c>
      <c r="T1130" s="113"/>
      <c r="U1130" s="113"/>
      <c r="V1130" s="113" t="b">
        <v>0</v>
      </c>
      <c r="W1130" s="113"/>
      <c r="X1130" s="113" t="b">
        <v>0</v>
      </c>
      <c r="Y1130" s="113"/>
      <c r="Z1130" s="113"/>
      <c r="AA1130" s="113"/>
      <c r="AB1130" s="113"/>
      <c r="AC1130" s="113"/>
      <c r="AD1130" s="113"/>
      <c r="AE1130" s="113"/>
      <c r="AF1130" s="113"/>
    </row>
    <row r="1131">
      <c r="A1131" s="115"/>
      <c r="B1131" s="116"/>
      <c r="C1131" s="116"/>
      <c r="D1131" s="116"/>
      <c r="E1131" s="117"/>
      <c r="F1131" s="116"/>
      <c r="G1131" s="117"/>
      <c r="H1131" s="118"/>
      <c r="I1131" s="116"/>
      <c r="J1131" s="116"/>
      <c r="K1131" s="116"/>
      <c r="L1131" s="116"/>
      <c r="M1131" s="119" t="b">
        <v>0</v>
      </c>
      <c r="N1131" s="113" t="b">
        <v>0</v>
      </c>
      <c r="O1131" s="113" t="b">
        <v>0</v>
      </c>
      <c r="P1131" s="113" t="b">
        <v>0</v>
      </c>
      <c r="Q1131" s="113" t="b">
        <v>0</v>
      </c>
      <c r="R1131" s="113"/>
      <c r="S1131" s="113" t="b">
        <v>0</v>
      </c>
      <c r="T1131" s="113"/>
      <c r="U1131" s="113"/>
      <c r="V1131" s="113" t="b">
        <v>0</v>
      </c>
      <c r="W1131" s="113"/>
      <c r="X1131" s="113" t="b">
        <v>0</v>
      </c>
      <c r="Y1131" s="113"/>
      <c r="Z1131" s="113"/>
      <c r="AA1131" s="113"/>
      <c r="AB1131" s="113"/>
      <c r="AC1131" s="113"/>
      <c r="AD1131" s="113"/>
      <c r="AE1131" s="113"/>
      <c r="AF1131" s="113"/>
    </row>
    <row r="1132">
      <c r="A1132" s="115"/>
      <c r="B1132" s="116"/>
      <c r="C1132" s="116"/>
      <c r="D1132" s="116"/>
      <c r="E1132" s="117"/>
      <c r="F1132" s="116"/>
      <c r="G1132" s="117"/>
      <c r="H1132" s="118"/>
      <c r="I1132" s="116"/>
      <c r="J1132" s="116"/>
      <c r="K1132" s="116"/>
      <c r="L1132" s="116"/>
      <c r="M1132" s="119" t="b">
        <v>0</v>
      </c>
      <c r="N1132" s="113" t="b">
        <v>0</v>
      </c>
      <c r="O1132" s="113" t="b">
        <v>0</v>
      </c>
      <c r="P1132" s="113" t="b">
        <v>0</v>
      </c>
      <c r="Q1132" s="113" t="b">
        <v>0</v>
      </c>
      <c r="R1132" s="113"/>
      <c r="S1132" s="113" t="b">
        <v>0</v>
      </c>
      <c r="T1132" s="113"/>
      <c r="U1132" s="113"/>
      <c r="V1132" s="113" t="b">
        <v>0</v>
      </c>
      <c r="W1132" s="113"/>
      <c r="X1132" s="113" t="b">
        <v>0</v>
      </c>
      <c r="Y1132" s="113"/>
      <c r="Z1132" s="113"/>
      <c r="AA1132" s="113"/>
      <c r="AB1132" s="113"/>
      <c r="AC1132" s="113"/>
      <c r="AD1132" s="113"/>
      <c r="AE1132" s="113"/>
      <c r="AF1132" s="113"/>
    </row>
    <row r="1133">
      <c r="A1133" s="115"/>
      <c r="B1133" s="116"/>
      <c r="C1133" s="116"/>
      <c r="D1133" s="116"/>
      <c r="E1133" s="117"/>
      <c r="F1133" s="116"/>
      <c r="G1133" s="117"/>
      <c r="H1133" s="118"/>
      <c r="I1133" s="116"/>
      <c r="J1133" s="116"/>
      <c r="K1133" s="116"/>
      <c r="L1133" s="116"/>
      <c r="M1133" s="119" t="b">
        <v>0</v>
      </c>
      <c r="N1133" s="113" t="b">
        <v>0</v>
      </c>
      <c r="O1133" s="113" t="b">
        <v>0</v>
      </c>
      <c r="P1133" s="113" t="b">
        <v>0</v>
      </c>
      <c r="Q1133" s="113" t="b">
        <v>0</v>
      </c>
      <c r="R1133" s="113"/>
      <c r="S1133" s="113" t="b">
        <v>0</v>
      </c>
      <c r="T1133" s="113"/>
      <c r="U1133" s="113"/>
      <c r="V1133" s="113" t="b">
        <v>0</v>
      </c>
      <c r="W1133" s="113"/>
      <c r="X1133" s="113" t="b">
        <v>0</v>
      </c>
      <c r="Y1133" s="113"/>
      <c r="Z1133" s="113"/>
      <c r="AA1133" s="113"/>
      <c r="AB1133" s="113"/>
      <c r="AC1133" s="113"/>
      <c r="AD1133" s="113"/>
      <c r="AE1133" s="113"/>
      <c r="AF1133" s="113"/>
    </row>
    <row r="1134">
      <c r="A1134" s="115"/>
      <c r="B1134" s="116"/>
      <c r="C1134" s="116"/>
      <c r="D1134" s="116"/>
      <c r="E1134" s="117"/>
      <c r="F1134" s="116"/>
      <c r="G1134" s="117"/>
      <c r="H1134" s="118"/>
      <c r="I1134" s="116"/>
      <c r="J1134" s="116"/>
      <c r="K1134" s="116"/>
      <c r="L1134" s="116"/>
      <c r="M1134" s="119" t="b">
        <v>0</v>
      </c>
      <c r="N1134" s="113" t="b">
        <v>0</v>
      </c>
      <c r="O1134" s="113" t="b">
        <v>0</v>
      </c>
      <c r="P1134" s="113" t="b">
        <v>0</v>
      </c>
      <c r="Q1134" s="113" t="b">
        <v>0</v>
      </c>
      <c r="R1134" s="113"/>
      <c r="S1134" s="113" t="b">
        <v>0</v>
      </c>
      <c r="T1134" s="113"/>
      <c r="U1134" s="113"/>
      <c r="V1134" s="113" t="b">
        <v>0</v>
      </c>
      <c r="W1134" s="113"/>
      <c r="X1134" s="113" t="b">
        <v>0</v>
      </c>
      <c r="Y1134" s="113"/>
      <c r="Z1134" s="113"/>
      <c r="AA1134" s="113"/>
      <c r="AB1134" s="113"/>
      <c r="AC1134" s="113"/>
      <c r="AD1134" s="113"/>
      <c r="AE1134" s="113"/>
      <c r="AF1134" s="113"/>
    </row>
    <row r="1135">
      <c r="A1135" s="115"/>
      <c r="B1135" s="116"/>
      <c r="C1135" s="116"/>
      <c r="D1135" s="116"/>
      <c r="E1135" s="117"/>
      <c r="F1135" s="116"/>
      <c r="G1135" s="117"/>
      <c r="H1135" s="118"/>
      <c r="I1135" s="116"/>
      <c r="J1135" s="116"/>
      <c r="K1135" s="116"/>
      <c r="L1135" s="116"/>
      <c r="M1135" s="119" t="b">
        <v>0</v>
      </c>
      <c r="N1135" s="113" t="b">
        <v>0</v>
      </c>
      <c r="O1135" s="113" t="b">
        <v>0</v>
      </c>
      <c r="P1135" s="113" t="b">
        <v>0</v>
      </c>
      <c r="Q1135" s="113" t="b">
        <v>0</v>
      </c>
      <c r="R1135" s="113"/>
      <c r="S1135" s="113" t="b">
        <v>0</v>
      </c>
      <c r="T1135" s="113"/>
      <c r="U1135" s="113"/>
      <c r="V1135" s="113" t="b">
        <v>0</v>
      </c>
      <c r="W1135" s="113"/>
      <c r="X1135" s="113" t="b">
        <v>0</v>
      </c>
      <c r="Y1135" s="113"/>
      <c r="Z1135" s="113"/>
      <c r="AA1135" s="113"/>
      <c r="AB1135" s="113"/>
      <c r="AC1135" s="113"/>
      <c r="AD1135" s="113"/>
      <c r="AE1135" s="113"/>
      <c r="AF1135" s="113"/>
    </row>
    <row r="1136">
      <c r="A1136" s="115"/>
      <c r="B1136" s="116"/>
      <c r="C1136" s="116"/>
      <c r="D1136" s="116"/>
      <c r="E1136" s="117"/>
      <c r="F1136" s="116"/>
      <c r="G1136" s="117"/>
      <c r="H1136" s="118"/>
      <c r="I1136" s="116"/>
      <c r="J1136" s="116"/>
      <c r="K1136" s="116"/>
      <c r="L1136" s="116"/>
      <c r="M1136" s="119" t="b">
        <v>0</v>
      </c>
      <c r="N1136" s="113" t="b">
        <v>0</v>
      </c>
      <c r="O1136" s="113" t="b">
        <v>0</v>
      </c>
      <c r="P1136" s="113" t="b">
        <v>0</v>
      </c>
      <c r="Q1136" s="113" t="b">
        <v>0</v>
      </c>
      <c r="R1136" s="113"/>
      <c r="S1136" s="113" t="b">
        <v>0</v>
      </c>
      <c r="T1136" s="113"/>
      <c r="U1136" s="113"/>
      <c r="V1136" s="113" t="b">
        <v>0</v>
      </c>
      <c r="W1136" s="113"/>
      <c r="X1136" s="113" t="b">
        <v>0</v>
      </c>
      <c r="Y1136" s="113"/>
      <c r="Z1136" s="113"/>
      <c r="AA1136" s="113"/>
      <c r="AB1136" s="113"/>
      <c r="AC1136" s="113"/>
      <c r="AD1136" s="113"/>
      <c r="AE1136" s="113"/>
      <c r="AF1136" s="113"/>
    </row>
    <row r="1137">
      <c r="A1137" s="115"/>
      <c r="B1137" s="116"/>
      <c r="C1137" s="116"/>
      <c r="D1137" s="116"/>
      <c r="E1137" s="117"/>
      <c r="F1137" s="116"/>
      <c r="G1137" s="117"/>
      <c r="H1137" s="118"/>
      <c r="I1137" s="116"/>
      <c r="J1137" s="116"/>
      <c r="K1137" s="116"/>
      <c r="L1137" s="116"/>
      <c r="M1137" s="119" t="b">
        <v>0</v>
      </c>
      <c r="N1137" s="113" t="b">
        <v>0</v>
      </c>
      <c r="O1137" s="113" t="b">
        <v>0</v>
      </c>
      <c r="P1137" s="113" t="b">
        <v>0</v>
      </c>
      <c r="Q1137" s="113" t="b">
        <v>0</v>
      </c>
      <c r="R1137" s="113"/>
      <c r="S1137" s="113" t="b">
        <v>0</v>
      </c>
      <c r="T1137" s="113"/>
      <c r="U1137" s="113"/>
      <c r="V1137" s="113" t="b">
        <v>0</v>
      </c>
      <c r="W1137" s="113"/>
      <c r="X1137" s="113" t="b">
        <v>0</v>
      </c>
      <c r="Y1137" s="113"/>
      <c r="Z1137" s="113"/>
      <c r="AA1137" s="113"/>
      <c r="AB1137" s="113"/>
      <c r="AC1137" s="113"/>
      <c r="AD1137" s="113"/>
      <c r="AE1137" s="113"/>
      <c r="AF1137" s="113"/>
    </row>
    <row r="1138">
      <c r="A1138" s="115"/>
      <c r="B1138" s="116"/>
      <c r="C1138" s="116"/>
      <c r="D1138" s="116"/>
      <c r="E1138" s="117"/>
      <c r="F1138" s="116"/>
      <c r="G1138" s="117"/>
      <c r="H1138" s="118"/>
      <c r="I1138" s="116"/>
      <c r="J1138" s="116"/>
      <c r="K1138" s="116"/>
      <c r="L1138" s="116"/>
      <c r="M1138" s="119" t="b">
        <v>0</v>
      </c>
      <c r="N1138" s="113" t="b">
        <v>0</v>
      </c>
      <c r="O1138" s="113" t="b">
        <v>0</v>
      </c>
      <c r="P1138" s="113" t="b">
        <v>0</v>
      </c>
      <c r="Q1138" s="113" t="b">
        <v>0</v>
      </c>
      <c r="R1138" s="113"/>
      <c r="S1138" s="113" t="b">
        <v>0</v>
      </c>
      <c r="T1138" s="113"/>
      <c r="U1138" s="113"/>
      <c r="V1138" s="113" t="b">
        <v>0</v>
      </c>
      <c r="W1138" s="113"/>
      <c r="X1138" s="113" t="b">
        <v>0</v>
      </c>
      <c r="Y1138" s="113"/>
      <c r="Z1138" s="113"/>
      <c r="AA1138" s="113"/>
      <c r="AB1138" s="113"/>
      <c r="AC1138" s="113"/>
      <c r="AD1138" s="113"/>
      <c r="AE1138" s="113"/>
      <c r="AF1138" s="113"/>
    </row>
    <row r="1139">
      <c r="A1139" s="115"/>
      <c r="B1139" s="116"/>
      <c r="C1139" s="116"/>
      <c r="D1139" s="116"/>
      <c r="E1139" s="117"/>
      <c r="F1139" s="116"/>
      <c r="G1139" s="117"/>
      <c r="H1139" s="118"/>
      <c r="I1139" s="116"/>
      <c r="J1139" s="116"/>
      <c r="K1139" s="116"/>
      <c r="L1139" s="116"/>
      <c r="M1139" s="119" t="b">
        <v>0</v>
      </c>
      <c r="N1139" s="113" t="b">
        <v>0</v>
      </c>
      <c r="O1139" s="113" t="b">
        <v>0</v>
      </c>
      <c r="P1139" s="113" t="b">
        <v>0</v>
      </c>
      <c r="Q1139" s="113" t="b">
        <v>0</v>
      </c>
      <c r="R1139" s="113"/>
      <c r="S1139" s="113" t="b">
        <v>0</v>
      </c>
      <c r="T1139" s="113"/>
      <c r="U1139" s="113"/>
      <c r="V1139" s="113" t="b">
        <v>0</v>
      </c>
      <c r="W1139" s="113"/>
      <c r="X1139" s="113" t="b">
        <v>0</v>
      </c>
      <c r="Y1139" s="113"/>
      <c r="Z1139" s="113"/>
      <c r="AA1139" s="113"/>
      <c r="AB1139" s="113"/>
      <c r="AC1139" s="113"/>
      <c r="AD1139" s="113"/>
      <c r="AE1139" s="113"/>
      <c r="AF1139" s="113"/>
    </row>
    <row r="1140">
      <c r="A1140" s="115"/>
      <c r="B1140" s="116"/>
      <c r="C1140" s="116"/>
      <c r="D1140" s="116"/>
      <c r="E1140" s="117"/>
      <c r="F1140" s="116"/>
      <c r="G1140" s="117"/>
      <c r="H1140" s="118"/>
      <c r="I1140" s="116"/>
      <c r="J1140" s="116"/>
      <c r="K1140" s="116"/>
      <c r="L1140" s="116"/>
      <c r="M1140" s="119" t="b">
        <v>0</v>
      </c>
      <c r="N1140" s="113" t="b">
        <v>0</v>
      </c>
      <c r="O1140" s="113" t="b">
        <v>0</v>
      </c>
      <c r="P1140" s="113" t="b">
        <v>0</v>
      </c>
      <c r="Q1140" s="113" t="b">
        <v>0</v>
      </c>
      <c r="R1140" s="113"/>
      <c r="S1140" s="113" t="b">
        <v>0</v>
      </c>
      <c r="T1140" s="113"/>
      <c r="U1140" s="113"/>
      <c r="V1140" s="113" t="b">
        <v>0</v>
      </c>
      <c r="W1140" s="113"/>
      <c r="X1140" s="113" t="b">
        <v>0</v>
      </c>
      <c r="Y1140" s="113"/>
      <c r="Z1140" s="113"/>
      <c r="AA1140" s="113"/>
      <c r="AB1140" s="113"/>
      <c r="AC1140" s="113"/>
      <c r="AD1140" s="113"/>
      <c r="AE1140" s="113"/>
      <c r="AF1140" s="113"/>
    </row>
    <row r="1141">
      <c r="A1141" s="115"/>
      <c r="B1141" s="116"/>
      <c r="C1141" s="116"/>
      <c r="D1141" s="116"/>
      <c r="E1141" s="117"/>
      <c r="F1141" s="116"/>
      <c r="G1141" s="117"/>
      <c r="H1141" s="118"/>
      <c r="I1141" s="116"/>
      <c r="J1141" s="116"/>
      <c r="K1141" s="116"/>
      <c r="L1141" s="116"/>
      <c r="M1141" s="119" t="b">
        <v>0</v>
      </c>
      <c r="N1141" s="113" t="b">
        <v>0</v>
      </c>
      <c r="O1141" s="113" t="b">
        <v>0</v>
      </c>
      <c r="P1141" s="113" t="b">
        <v>0</v>
      </c>
      <c r="Q1141" s="113" t="b">
        <v>0</v>
      </c>
      <c r="R1141" s="113"/>
      <c r="S1141" s="113" t="b">
        <v>0</v>
      </c>
      <c r="T1141" s="113"/>
      <c r="U1141" s="113"/>
      <c r="V1141" s="113" t="b">
        <v>0</v>
      </c>
      <c r="W1141" s="113"/>
      <c r="X1141" s="113" t="b">
        <v>0</v>
      </c>
      <c r="Y1141" s="113"/>
      <c r="Z1141" s="113"/>
      <c r="AA1141" s="113"/>
      <c r="AB1141" s="113"/>
      <c r="AC1141" s="113"/>
      <c r="AD1141" s="113"/>
      <c r="AE1141" s="113"/>
      <c r="AF1141" s="113"/>
    </row>
    <row r="1142">
      <c r="A1142" s="115"/>
      <c r="B1142" s="116"/>
      <c r="C1142" s="116"/>
      <c r="D1142" s="116"/>
      <c r="E1142" s="117"/>
      <c r="F1142" s="116"/>
      <c r="G1142" s="117"/>
      <c r="H1142" s="118"/>
      <c r="I1142" s="116"/>
      <c r="J1142" s="116"/>
      <c r="K1142" s="116"/>
      <c r="L1142" s="116"/>
      <c r="M1142" s="119" t="b">
        <v>0</v>
      </c>
      <c r="N1142" s="113" t="b">
        <v>0</v>
      </c>
      <c r="O1142" s="113" t="b">
        <v>0</v>
      </c>
      <c r="P1142" s="113" t="b">
        <v>0</v>
      </c>
      <c r="Q1142" s="113" t="b">
        <v>0</v>
      </c>
      <c r="R1142" s="113"/>
      <c r="S1142" s="113" t="b">
        <v>0</v>
      </c>
      <c r="T1142" s="113"/>
      <c r="U1142" s="113"/>
      <c r="V1142" s="113" t="b">
        <v>0</v>
      </c>
      <c r="W1142" s="113"/>
      <c r="X1142" s="113" t="b">
        <v>0</v>
      </c>
      <c r="Y1142" s="113"/>
      <c r="Z1142" s="113"/>
      <c r="AA1142" s="113"/>
      <c r="AB1142" s="113"/>
      <c r="AC1142" s="113"/>
      <c r="AD1142" s="113"/>
      <c r="AE1142" s="113"/>
      <c r="AF1142" s="113"/>
    </row>
    <row r="1143">
      <c r="A1143" s="115"/>
      <c r="B1143" s="116"/>
      <c r="C1143" s="116"/>
      <c r="D1143" s="116"/>
      <c r="E1143" s="117"/>
      <c r="F1143" s="116"/>
      <c r="G1143" s="117"/>
      <c r="H1143" s="118"/>
      <c r="I1143" s="116"/>
      <c r="J1143" s="116"/>
      <c r="K1143" s="116"/>
      <c r="L1143" s="116"/>
      <c r="M1143" s="119" t="b">
        <v>0</v>
      </c>
      <c r="N1143" s="113" t="b">
        <v>0</v>
      </c>
      <c r="O1143" s="113" t="b">
        <v>0</v>
      </c>
      <c r="P1143" s="113" t="b">
        <v>0</v>
      </c>
      <c r="Q1143" s="113" t="b">
        <v>0</v>
      </c>
      <c r="R1143" s="113"/>
      <c r="S1143" s="113" t="b">
        <v>0</v>
      </c>
      <c r="T1143" s="113"/>
      <c r="U1143" s="113"/>
      <c r="V1143" s="113" t="b">
        <v>0</v>
      </c>
      <c r="W1143" s="113"/>
      <c r="X1143" s="113" t="b">
        <v>0</v>
      </c>
      <c r="Y1143" s="113"/>
      <c r="Z1143" s="113"/>
      <c r="AA1143" s="113"/>
      <c r="AB1143" s="113"/>
      <c r="AC1143" s="113"/>
      <c r="AD1143" s="113"/>
      <c r="AE1143" s="113"/>
      <c r="AF1143" s="113"/>
    </row>
    <row r="1144">
      <c r="A1144" s="115"/>
      <c r="B1144" s="116"/>
      <c r="C1144" s="116"/>
      <c r="D1144" s="116"/>
      <c r="E1144" s="117"/>
      <c r="F1144" s="116"/>
      <c r="G1144" s="117"/>
      <c r="H1144" s="118"/>
      <c r="I1144" s="116"/>
      <c r="J1144" s="116"/>
      <c r="K1144" s="116"/>
      <c r="L1144" s="116"/>
      <c r="M1144" s="119" t="b">
        <v>0</v>
      </c>
      <c r="N1144" s="113" t="b">
        <v>0</v>
      </c>
      <c r="O1144" s="113" t="b">
        <v>0</v>
      </c>
      <c r="P1144" s="113" t="b">
        <v>0</v>
      </c>
      <c r="Q1144" s="113" t="b">
        <v>0</v>
      </c>
      <c r="R1144" s="113"/>
      <c r="S1144" s="113" t="b">
        <v>0</v>
      </c>
      <c r="T1144" s="113"/>
      <c r="U1144" s="113"/>
      <c r="V1144" s="113" t="b">
        <v>0</v>
      </c>
      <c r="W1144" s="113"/>
      <c r="X1144" s="113" t="b">
        <v>0</v>
      </c>
      <c r="Y1144" s="113"/>
      <c r="Z1144" s="113"/>
      <c r="AA1144" s="113"/>
      <c r="AB1144" s="113"/>
      <c r="AC1144" s="113"/>
      <c r="AD1144" s="113"/>
      <c r="AE1144" s="113"/>
      <c r="AF1144" s="113"/>
    </row>
    <row r="1145">
      <c r="A1145" s="115"/>
      <c r="B1145" s="116"/>
      <c r="C1145" s="116"/>
      <c r="D1145" s="116"/>
      <c r="E1145" s="117"/>
      <c r="F1145" s="116"/>
      <c r="G1145" s="117"/>
      <c r="H1145" s="118"/>
      <c r="I1145" s="116"/>
      <c r="J1145" s="116"/>
      <c r="K1145" s="116"/>
      <c r="L1145" s="116"/>
      <c r="M1145" s="119" t="b">
        <v>0</v>
      </c>
      <c r="N1145" s="113" t="b">
        <v>0</v>
      </c>
      <c r="O1145" s="113" t="b">
        <v>0</v>
      </c>
      <c r="P1145" s="113" t="b">
        <v>0</v>
      </c>
      <c r="Q1145" s="113" t="b">
        <v>0</v>
      </c>
      <c r="R1145" s="113"/>
      <c r="S1145" s="113" t="b">
        <v>0</v>
      </c>
      <c r="T1145" s="113"/>
      <c r="U1145" s="113"/>
      <c r="V1145" s="113" t="b">
        <v>0</v>
      </c>
      <c r="W1145" s="113"/>
      <c r="X1145" s="113" t="b">
        <v>0</v>
      </c>
      <c r="Y1145" s="113"/>
      <c r="Z1145" s="113"/>
      <c r="AA1145" s="113"/>
      <c r="AB1145" s="113"/>
      <c r="AC1145" s="113"/>
      <c r="AD1145" s="113"/>
      <c r="AE1145" s="113"/>
      <c r="AF1145" s="113"/>
    </row>
    <row r="1146">
      <c r="A1146" s="115"/>
      <c r="B1146" s="116"/>
      <c r="C1146" s="116"/>
      <c r="D1146" s="116"/>
      <c r="E1146" s="117"/>
      <c r="F1146" s="116"/>
      <c r="G1146" s="117"/>
      <c r="H1146" s="118"/>
      <c r="I1146" s="116"/>
      <c r="J1146" s="116"/>
      <c r="K1146" s="116"/>
      <c r="L1146" s="116"/>
      <c r="M1146" s="119" t="b">
        <v>0</v>
      </c>
      <c r="N1146" s="113" t="b">
        <v>0</v>
      </c>
      <c r="O1146" s="113" t="b">
        <v>0</v>
      </c>
      <c r="P1146" s="113" t="b">
        <v>0</v>
      </c>
      <c r="Q1146" s="113" t="b">
        <v>0</v>
      </c>
      <c r="R1146" s="113"/>
      <c r="S1146" s="113" t="b">
        <v>0</v>
      </c>
      <c r="T1146" s="113"/>
      <c r="U1146" s="113"/>
      <c r="V1146" s="113" t="b">
        <v>0</v>
      </c>
      <c r="W1146" s="113"/>
      <c r="X1146" s="113" t="b">
        <v>0</v>
      </c>
      <c r="Y1146" s="113"/>
      <c r="Z1146" s="113"/>
      <c r="AA1146" s="113"/>
      <c r="AB1146" s="113"/>
      <c r="AC1146" s="113"/>
      <c r="AD1146" s="113"/>
      <c r="AE1146" s="113"/>
      <c r="AF1146" s="113"/>
    </row>
    <row r="1147">
      <c r="A1147" s="115"/>
      <c r="B1147" s="116"/>
      <c r="C1147" s="116"/>
      <c r="D1147" s="116"/>
      <c r="E1147" s="117"/>
      <c r="F1147" s="116"/>
      <c r="G1147" s="117"/>
      <c r="H1147" s="118"/>
      <c r="I1147" s="116"/>
      <c r="J1147" s="116"/>
      <c r="K1147" s="116"/>
      <c r="L1147" s="116"/>
      <c r="M1147" s="119" t="b">
        <v>0</v>
      </c>
      <c r="N1147" s="113" t="b">
        <v>0</v>
      </c>
      <c r="O1147" s="113" t="b">
        <v>0</v>
      </c>
      <c r="P1147" s="113" t="b">
        <v>0</v>
      </c>
      <c r="Q1147" s="113" t="b">
        <v>0</v>
      </c>
      <c r="R1147" s="113"/>
      <c r="S1147" s="113" t="b">
        <v>0</v>
      </c>
      <c r="T1147" s="113"/>
      <c r="U1147" s="113"/>
      <c r="V1147" s="113" t="b">
        <v>0</v>
      </c>
      <c r="W1147" s="113"/>
      <c r="X1147" s="113" t="b">
        <v>0</v>
      </c>
      <c r="Y1147" s="113"/>
      <c r="Z1147" s="113"/>
      <c r="AA1147" s="113"/>
      <c r="AB1147" s="113"/>
      <c r="AC1147" s="113"/>
      <c r="AD1147" s="113"/>
      <c r="AE1147" s="113"/>
      <c r="AF1147" s="113"/>
    </row>
    <row r="1148">
      <c r="A1148" s="115"/>
      <c r="B1148" s="116"/>
      <c r="C1148" s="116"/>
      <c r="D1148" s="116"/>
      <c r="E1148" s="117"/>
      <c r="F1148" s="116"/>
      <c r="G1148" s="117"/>
      <c r="H1148" s="118"/>
      <c r="I1148" s="116"/>
      <c r="J1148" s="116"/>
      <c r="K1148" s="116"/>
      <c r="L1148" s="116"/>
      <c r="M1148" s="119" t="b">
        <v>0</v>
      </c>
      <c r="N1148" s="113" t="b">
        <v>0</v>
      </c>
      <c r="O1148" s="113" t="b">
        <v>0</v>
      </c>
      <c r="P1148" s="113" t="b">
        <v>0</v>
      </c>
      <c r="Q1148" s="113" t="b">
        <v>0</v>
      </c>
      <c r="R1148" s="113"/>
      <c r="S1148" s="113" t="b">
        <v>0</v>
      </c>
      <c r="T1148" s="113"/>
      <c r="U1148" s="113"/>
      <c r="V1148" s="113" t="b">
        <v>0</v>
      </c>
      <c r="W1148" s="113"/>
      <c r="X1148" s="113" t="b">
        <v>0</v>
      </c>
      <c r="Y1148" s="113"/>
      <c r="Z1148" s="113"/>
      <c r="AA1148" s="113"/>
      <c r="AB1148" s="113"/>
      <c r="AC1148" s="113"/>
      <c r="AD1148" s="113"/>
      <c r="AE1148" s="113"/>
      <c r="AF1148" s="113"/>
    </row>
    <row r="1149">
      <c r="A1149" s="115"/>
      <c r="B1149" s="116"/>
      <c r="C1149" s="116"/>
      <c r="D1149" s="116"/>
      <c r="E1149" s="117"/>
      <c r="F1149" s="116"/>
      <c r="G1149" s="117"/>
      <c r="H1149" s="118"/>
      <c r="I1149" s="116"/>
      <c r="J1149" s="116"/>
      <c r="K1149" s="116"/>
      <c r="L1149" s="116"/>
      <c r="M1149" s="119" t="b">
        <v>0</v>
      </c>
      <c r="N1149" s="113" t="b">
        <v>0</v>
      </c>
      <c r="O1149" s="113" t="b">
        <v>0</v>
      </c>
      <c r="P1149" s="113" t="b">
        <v>0</v>
      </c>
      <c r="Q1149" s="113" t="b">
        <v>0</v>
      </c>
      <c r="R1149" s="113"/>
      <c r="S1149" s="113" t="b">
        <v>0</v>
      </c>
      <c r="T1149" s="113"/>
      <c r="U1149" s="113"/>
      <c r="V1149" s="113" t="b">
        <v>0</v>
      </c>
      <c r="W1149" s="113"/>
      <c r="X1149" s="113" t="b">
        <v>0</v>
      </c>
      <c r="Y1149" s="113"/>
      <c r="Z1149" s="113"/>
      <c r="AA1149" s="113"/>
      <c r="AB1149" s="113"/>
      <c r="AC1149" s="113"/>
      <c r="AD1149" s="113"/>
      <c r="AE1149" s="113"/>
      <c r="AF1149" s="113"/>
    </row>
    <row r="1150">
      <c r="A1150" s="115"/>
      <c r="B1150" s="116"/>
      <c r="C1150" s="116"/>
      <c r="D1150" s="116"/>
      <c r="E1150" s="117"/>
      <c r="F1150" s="116"/>
      <c r="G1150" s="117"/>
      <c r="H1150" s="118"/>
      <c r="I1150" s="116"/>
      <c r="J1150" s="116"/>
      <c r="K1150" s="116"/>
      <c r="L1150" s="116"/>
      <c r="M1150" s="119" t="b">
        <v>0</v>
      </c>
      <c r="N1150" s="113" t="b">
        <v>0</v>
      </c>
      <c r="O1150" s="113" t="b">
        <v>0</v>
      </c>
      <c r="P1150" s="113" t="b">
        <v>0</v>
      </c>
      <c r="Q1150" s="113" t="b">
        <v>0</v>
      </c>
      <c r="R1150" s="113"/>
      <c r="S1150" s="113" t="b">
        <v>0</v>
      </c>
      <c r="T1150" s="113"/>
      <c r="U1150" s="113"/>
      <c r="V1150" s="113" t="b">
        <v>0</v>
      </c>
      <c r="W1150" s="113"/>
      <c r="X1150" s="113" t="b">
        <v>0</v>
      </c>
      <c r="Y1150" s="113"/>
      <c r="Z1150" s="113"/>
      <c r="AA1150" s="113"/>
      <c r="AB1150" s="113"/>
      <c r="AC1150" s="113"/>
      <c r="AD1150" s="113"/>
      <c r="AE1150" s="113"/>
      <c r="AF1150" s="113"/>
    </row>
    <row r="1151">
      <c r="A1151" s="115"/>
      <c r="B1151" s="116"/>
      <c r="C1151" s="116"/>
      <c r="D1151" s="116"/>
      <c r="E1151" s="117"/>
      <c r="F1151" s="116"/>
      <c r="G1151" s="117"/>
      <c r="H1151" s="118"/>
      <c r="I1151" s="116"/>
      <c r="J1151" s="116"/>
      <c r="K1151" s="116"/>
      <c r="L1151" s="116"/>
      <c r="M1151" s="119" t="b">
        <v>0</v>
      </c>
      <c r="N1151" s="113" t="b">
        <v>0</v>
      </c>
      <c r="O1151" s="113" t="b">
        <v>0</v>
      </c>
      <c r="P1151" s="113" t="b">
        <v>0</v>
      </c>
      <c r="Q1151" s="113" t="b">
        <v>0</v>
      </c>
      <c r="R1151" s="113"/>
      <c r="S1151" s="113" t="b">
        <v>0</v>
      </c>
      <c r="T1151" s="113"/>
      <c r="U1151" s="113"/>
      <c r="V1151" s="113" t="b">
        <v>0</v>
      </c>
      <c r="W1151" s="113"/>
      <c r="X1151" s="113" t="b">
        <v>0</v>
      </c>
      <c r="Y1151" s="113"/>
      <c r="Z1151" s="113"/>
      <c r="AA1151" s="113"/>
      <c r="AB1151" s="113"/>
      <c r="AC1151" s="113"/>
      <c r="AD1151" s="113"/>
      <c r="AE1151" s="113"/>
      <c r="AF1151" s="113"/>
    </row>
    <row r="1152">
      <c r="A1152" s="115"/>
      <c r="B1152" s="116"/>
      <c r="C1152" s="116"/>
      <c r="D1152" s="116"/>
      <c r="E1152" s="117"/>
      <c r="F1152" s="116"/>
      <c r="G1152" s="117"/>
      <c r="H1152" s="118"/>
      <c r="I1152" s="116"/>
      <c r="J1152" s="116"/>
      <c r="K1152" s="116"/>
      <c r="L1152" s="116"/>
      <c r="M1152" s="119" t="b">
        <v>0</v>
      </c>
      <c r="N1152" s="113" t="b">
        <v>0</v>
      </c>
      <c r="O1152" s="113" t="b">
        <v>0</v>
      </c>
      <c r="P1152" s="113" t="b">
        <v>0</v>
      </c>
      <c r="Q1152" s="113" t="b">
        <v>0</v>
      </c>
      <c r="R1152" s="113"/>
      <c r="S1152" s="113" t="b">
        <v>0</v>
      </c>
      <c r="T1152" s="113"/>
      <c r="U1152" s="113"/>
      <c r="V1152" s="113" t="b">
        <v>0</v>
      </c>
      <c r="W1152" s="113"/>
      <c r="X1152" s="113" t="b">
        <v>0</v>
      </c>
      <c r="Y1152" s="113"/>
      <c r="Z1152" s="113"/>
      <c r="AA1152" s="113"/>
      <c r="AB1152" s="113"/>
      <c r="AC1152" s="113"/>
      <c r="AD1152" s="113"/>
      <c r="AE1152" s="113"/>
      <c r="AF1152" s="113"/>
    </row>
    <row r="1153">
      <c r="A1153" s="115"/>
      <c r="B1153" s="116"/>
      <c r="C1153" s="116"/>
      <c r="D1153" s="116"/>
      <c r="E1153" s="117"/>
      <c r="F1153" s="116"/>
      <c r="G1153" s="117"/>
      <c r="H1153" s="118"/>
      <c r="I1153" s="116"/>
      <c r="J1153" s="116"/>
      <c r="K1153" s="116"/>
      <c r="L1153" s="116"/>
      <c r="M1153" s="119" t="b">
        <v>0</v>
      </c>
      <c r="N1153" s="113" t="b">
        <v>0</v>
      </c>
      <c r="O1153" s="113" t="b">
        <v>0</v>
      </c>
      <c r="P1153" s="113" t="b">
        <v>0</v>
      </c>
      <c r="Q1153" s="113" t="b">
        <v>0</v>
      </c>
      <c r="R1153" s="113"/>
      <c r="S1153" s="113" t="b">
        <v>0</v>
      </c>
      <c r="T1153" s="113"/>
      <c r="U1153" s="113"/>
      <c r="V1153" s="113" t="b">
        <v>0</v>
      </c>
      <c r="W1153" s="113"/>
      <c r="X1153" s="113" t="b">
        <v>0</v>
      </c>
      <c r="Y1153" s="113"/>
      <c r="Z1153" s="113"/>
      <c r="AA1153" s="113"/>
      <c r="AB1153" s="113"/>
      <c r="AC1153" s="113"/>
      <c r="AD1153" s="113"/>
      <c r="AE1153" s="113"/>
      <c r="AF1153" s="113"/>
    </row>
    <row r="1154">
      <c r="A1154" s="115"/>
      <c r="B1154" s="116"/>
      <c r="C1154" s="116"/>
      <c r="D1154" s="116"/>
      <c r="E1154" s="117"/>
      <c r="F1154" s="116"/>
      <c r="G1154" s="117"/>
      <c r="H1154" s="118"/>
      <c r="I1154" s="116"/>
      <c r="J1154" s="116"/>
      <c r="K1154" s="116"/>
      <c r="L1154" s="116"/>
      <c r="M1154" s="119" t="b">
        <v>0</v>
      </c>
      <c r="N1154" s="113" t="b">
        <v>0</v>
      </c>
      <c r="O1154" s="113" t="b">
        <v>0</v>
      </c>
      <c r="P1154" s="113" t="b">
        <v>0</v>
      </c>
      <c r="Q1154" s="113" t="b">
        <v>0</v>
      </c>
      <c r="R1154" s="113"/>
      <c r="S1154" s="113" t="b">
        <v>0</v>
      </c>
      <c r="T1154" s="113"/>
      <c r="U1154" s="113"/>
      <c r="V1154" s="113" t="b">
        <v>0</v>
      </c>
      <c r="W1154" s="113"/>
      <c r="X1154" s="113" t="b">
        <v>0</v>
      </c>
      <c r="Y1154" s="113"/>
      <c r="Z1154" s="113"/>
      <c r="AA1154" s="113"/>
      <c r="AB1154" s="113"/>
      <c r="AC1154" s="113"/>
      <c r="AD1154" s="113"/>
      <c r="AE1154" s="113"/>
      <c r="AF1154" s="113"/>
    </row>
    <row r="1155">
      <c r="A1155" s="115"/>
      <c r="B1155" s="116"/>
      <c r="C1155" s="116"/>
      <c r="D1155" s="116"/>
      <c r="E1155" s="117"/>
      <c r="F1155" s="116"/>
      <c r="G1155" s="117"/>
      <c r="H1155" s="118"/>
      <c r="I1155" s="116"/>
      <c r="J1155" s="116"/>
      <c r="K1155" s="116"/>
      <c r="L1155" s="116"/>
      <c r="M1155" s="119" t="b">
        <v>0</v>
      </c>
      <c r="N1155" s="113" t="b">
        <v>0</v>
      </c>
      <c r="O1155" s="113" t="b">
        <v>0</v>
      </c>
      <c r="P1155" s="113" t="b">
        <v>0</v>
      </c>
      <c r="Q1155" s="113" t="b">
        <v>0</v>
      </c>
      <c r="R1155" s="113"/>
      <c r="S1155" s="113" t="b">
        <v>0</v>
      </c>
      <c r="T1155" s="113"/>
      <c r="U1155" s="113"/>
      <c r="V1155" s="113" t="b">
        <v>0</v>
      </c>
      <c r="W1155" s="113"/>
      <c r="X1155" s="113" t="b">
        <v>0</v>
      </c>
      <c r="Y1155" s="113"/>
      <c r="Z1155" s="113"/>
      <c r="AA1155" s="113"/>
      <c r="AB1155" s="113"/>
      <c r="AC1155" s="113"/>
      <c r="AD1155" s="113"/>
      <c r="AE1155" s="113"/>
      <c r="AF1155" s="113"/>
    </row>
    <row r="1156">
      <c r="A1156" s="115"/>
      <c r="B1156" s="116"/>
      <c r="C1156" s="116"/>
      <c r="D1156" s="116"/>
      <c r="E1156" s="117"/>
      <c r="F1156" s="116"/>
      <c r="G1156" s="117"/>
      <c r="H1156" s="118"/>
      <c r="I1156" s="116"/>
      <c r="J1156" s="116"/>
      <c r="K1156" s="116"/>
      <c r="L1156" s="116"/>
      <c r="M1156" s="119" t="b">
        <v>0</v>
      </c>
      <c r="N1156" s="113" t="b">
        <v>0</v>
      </c>
      <c r="O1156" s="113" t="b">
        <v>0</v>
      </c>
      <c r="P1156" s="113" t="b">
        <v>0</v>
      </c>
      <c r="Q1156" s="113" t="b">
        <v>0</v>
      </c>
      <c r="R1156" s="113"/>
      <c r="S1156" s="113" t="b">
        <v>0</v>
      </c>
      <c r="T1156" s="113"/>
      <c r="U1156" s="113"/>
      <c r="V1156" s="113" t="b">
        <v>0</v>
      </c>
      <c r="W1156" s="113"/>
      <c r="X1156" s="113" t="b">
        <v>0</v>
      </c>
      <c r="Y1156" s="113"/>
      <c r="Z1156" s="113"/>
      <c r="AA1156" s="113"/>
      <c r="AB1156" s="113"/>
      <c r="AC1156" s="113"/>
      <c r="AD1156" s="113"/>
      <c r="AE1156" s="113"/>
      <c r="AF1156" s="113"/>
    </row>
    <row r="1157">
      <c r="A1157" s="115"/>
      <c r="B1157" s="116"/>
      <c r="C1157" s="116"/>
      <c r="D1157" s="116"/>
      <c r="E1157" s="117"/>
      <c r="F1157" s="116"/>
      <c r="G1157" s="117"/>
      <c r="H1157" s="118"/>
      <c r="I1157" s="116"/>
      <c r="J1157" s="116"/>
      <c r="K1157" s="116"/>
      <c r="L1157" s="116"/>
      <c r="M1157" s="119" t="b">
        <v>0</v>
      </c>
      <c r="N1157" s="113" t="b">
        <v>0</v>
      </c>
      <c r="O1157" s="113" t="b">
        <v>0</v>
      </c>
      <c r="P1157" s="113" t="b">
        <v>0</v>
      </c>
      <c r="Q1157" s="113" t="b">
        <v>0</v>
      </c>
      <c r="R1157" s="113"/>
      <c r="S1157" s="113" t="b">
        <v>0</v>
      </c>
      <c r="T1157" s="113"/>
      <c r="U1157" s="113"/>
      <c r="V1157" s="113" t="b">
        <v>0</v>
      </c>
      <c r="W1157" s="113"/>
      <c r="X1157" s="113" t="b">
        <v>0</v>
      </c>
      <c r="Y1157" s="113"/>
      <c r="Z1157" s="113"/>
      <c r="AA1157" s="113"/>
      <c r="AB1157" s="113"/>
      <c r="AC1157" s="113"/>
      <c r="AD1157" s="113"/>
      <c r="AE1157" s="113"/>
      <c r="AF1157" s="113"/>
    </row>
    <row r="1158">
      <c r="A1158" s="115"/>
      <c r="B1158" s="116"/>
      <c r="C1158" s="116"/>
      <c r="D1158" s="116"/>
      <c r="E1158" s="117"/>
      <c r="F1158" s="116"/>
      <c r="G1158" s="117"/>
      <c r="H1158" s="118"/>
      <c r="I1158" s="116"/>
      <c r="J1158" s="116"/>
      <c r="K1158" s="116"/>
      <c r="L1158" s="116"/>
      <c r="M1158" s="119" t="b">
        <v>0</v>
      </c>
      <c r="N1158" s="113" t="b">
        <v>0</v>
      </c>
      <c r="O1158" s="113" t="b">
        <v>0</v>
      </c>
      <c r="P1158" s="113" t="b">
        <v>0</v>
      </c>
      <c r="Q1158" s="113" t="b">
        <v>0</v>
      </c>
      <c r="R1158" s="113"/>
      <c r="S1158" s="113" t="b">
        <v>0</v>
      </c>
      <c r="T1158" s="113"/>
      <c r="U1158" s="113"/>
      <c r="V1158" s="113" t="b">
        <v>0</v>
      </c>
      <c r="W1158" s="113"/>
      <c r="X1158" s="113" t="b">
        <v>0</v>
      </c>
      <c r="Y1158" s="113"/>
      <c r="Z1158" s="113"/>
      <c r="AA1158" s="113"/>
      <c r="AB1158" s="113"/>
      <c r="AC1158" s="113"/>
      <c r="AD1158" s="113"/>
      <c r="AE1158" s="113"/>
      <c r="AF1158" s="113"/>
    </row>
    <row r="1159">
      <c r="A1159" s="115"/>
      <c r="B1159" s="116"/>
      <c r="C1159" s="116"/>
      <c r="D1159" s="116"/>
      <c r="E1159" s="117"/>
      <c r="F1159" s="116"/>
      <c r="G1159" s="117"/>
      <c r="H1159" s="118"/>
      <c r="I1159" s="116"/>
      <c r="J1159" s="116"/>
      <c r="K1159" s="116"/>
      <c r="L1159" s="116"/>
      <c r="M1159" s="119" t="b">
        <v>0</v>
      </c>
      <c r="N1159" s="113" t="b">
        <v>0</v>
      </c>
      <c r="O1159" s="113" t="b">
        <v>0</v>
      </c>
      <c r="P1159" s="113" t="b">
        <v>0</v>
      </c>
      <c r="Q1159" s="113" t="b">
        <v>0</v>
      </c>
      <c r="R1159" s="113"/>
      <c r="S1159" s="113" t="b">
        <v>0</v>
      </c>
      <c r="T1159" s="113"/>
      <c r="U1159" s="113"/>
      <c r="V1159" s="113" t="b">
        <v>0</v>
      </c>
      <c r="W1159" s="113"/>
      <c r="X1159" s="113" t="b">
        <v>0</v>
      </c>
      <c r="Y1159" s="113"/>
      <c r="Z1159" s="113"/>
      <c r="AA1159" s="113"/>
      <c r="AB1159" s="113"/>
      <c r="AC1159" s="113"/>
      <c r="AD1159" s="113"/>
      <c r="AE1159" s="113"/>
      <c r="AF1159" s="113"/>
    </row>
    <row r="1160">
      <c r="A1160" s="115"/>
      <c r="B1160" s="116"/>
      <c r="C1160" s="116"/>
      <c r="D1160" s="116"/>
      <c r="E1160" s="117"/>
      <c r="F1160" s="116"/>
      <c r="G1160" s="117"/>
      <c r="H1160" s="118"/>
      <c r="I1160" s="116"/>
      <c r="J1160" s="116"/>
      <c r="K1160" s="116"/>
      <c r="L1160" s="116"/>
      <c r="M1160" s="119" t="b">
        <v>0</v>
      </c>
      <c r="N1160" s="113" t="b">
        <v>0</v>
      </c>
      <c r="O1160" s="113" t="b">
        <v>0</v>
      </c>
      <c r="P1160" s="113" t="b">
        <v>0</v>
      </c>
      <c r="Q1160" s="113" t="b">
        <v>0</v>
      </c>
      <c r="R1160" s="113"/>
      <c r="S1160" s="113" t="b">
        <v>0</v>
      </c>
      <c r="T1160" s="113"/>
      <c r="U1160" s="113"/>
      <c r="V1160" s="113" t="b">
        <v>0</v>
      </c>
      <c r="W1160" s="113"/>
      <c r="X1160" s="113" t="b">
        <v>0</v>
      </c>
      <c r="Y1160" s="113"/>
      <c r="Z1160" s="113"/>
      <c r="AA1160" s="113"/>
      <c r="AB1160" s="113"/>
      <c r="AC1160" s="113"/>
      <c r="AD1160" s="113"/>
      <c r="AE1160" s="113"/>
      <c r="AF1160" s="113"/>
    </row>
    <row r="1161">
      <c r="A1161" s="115"/>
      <c r="B1161" s="116"/>
      <c r="C1161" s="116"/>
      <c r="D1161" s="116"/>
      <c r="E1161" s="117"/>
      <c r="F1161" s="116"/>
      <c r="G1161" s="117"/>
      <c r="H1161" s="118"/>
      <c r="I1161" s="116"/>
      <c r="J1161" s="116"/>
      <c r="K1161" s="116"/>
      <c r="L1161" s="116"/>
      <c r="M1161" s="119" t="b">
        <v>0</v>
      </c>
      <c r="N1161" s="113" t="b">
        <v>0</v>
      </c>
      <c r="O1161" s="113" t="b">
        <v>0</v>
      </c>
      <c r="P1161" s="113" t="b">
        <v>0</v>
      </c>
      <c r="Q1161" s="113" t="b">
        <v>0</v>
      </c>
      <c r="R1161" s="113"/>
      <c r="S1161" s="113" t="b">
        <v>0</v>
      </c>
      <c r="T1161" s="113"/>
      <c r="U1161" s="113"/>
      <c r="V1161" s="113" t="b">
        <v>0</v>
      </c>
      <c r="W1161" s="113"/>
      <c r="X1161" s="113" t="b">
        <v>0</v>
      </c>
      <c r="Y1161" s="113"/>
      <c r="Z1161" s="113"/>
      <c r="AA1161" s="113"/>
      <c r="AB1161" s="113"/>
      <c r="AC1161" s="113"/>
      <c r="AD1161" s="113"/>
      <c r="AE1161" s="113"/>
      <c r="AF1161" s="113"/>
    </row>
    <row r="1162">
      <c r="A1162" s="115"/>
      <c r="B1162" s="116"/>
      <c r="C1162" s="116"/>
      <c r="D1162" s="116"/>
      <c r="E1162" s="117"/>
      <c r="F1162" s="116"/>
      <c r="G1162" s="117"/>
      <c r="H1162" s="118"/>
      <c r="I1162" s="116"/>
      <c r="J1162" s="116"/>
      <c r="K1162" s="116"/>
      <c r="L1162" s="116"/>
      <c r="M1162" s="119" t="b">
        <v>0</v>
      </c>
      <c r="N1162" s="113" t="b">
        <v>0</v>
      </c>
      <c r="O1162" s="113" t="b">
        <v>0</v>
      </c>
      <c r="P1162" s="113" t="b">
        <v>0</v>
      </c>
      <c r="Q1162" s="113" t="b">
        <v>0</v>
      </c>
      <c r="R1162" s="113"/>
      <c r="S1162" s="113" t="b">
        <v>0</v>
      </c>
      <c r="T1162" s="113"/>
      <c r="U1162" s="113"/>
      <c r="V1162" s="113" t="b">
        <v>0</v>
      </c>
      <c r="W1162" s="113"/>
      <c r="X1162" s="113" t="b">
        <v>0</v>
      </c>
      <c r="Y1162" s="113"/>
      <c r="Z1162" s="113"/>
      <c r="AA1162" s="113"/>
      <c r="AB1162" s="113"/>
      <c r="AC1162" s="113"/>
      <c r="AD1162" s="113"/>
      <c r="AE1162" s="113"/>
      <c r="AF1162" s="113"/>
    </row>
    <row r="1163">
      <c r="A1163" s="115"/>
      <c r="B1163" s="116"/>
      <c r="C1163" s="116"/>
      <c r="D1163" s="116"/>
      <c r="E1163" s="117"/>
      <c r="F1163" s="116"/>
      <c r="G1163" s="117"/>
      <c r="H1163" s="118"/>
      <c r="I1163" s="116"/>
      <c r="J1163" s="116"/>
      <c r="K1163" s="116"/>
      <c r="L1163" s="116"/>
      <c r="M1163" s="119" t="b">
        <v>0</v>
      </c>
      <c r="N1163" s="113" t="b">
        <v>0</v>
      </c>
      <c r="O1163" s="113" t="b">
        <v>0</v>
      </c>
      <c r="P1163" s="113" t="b">
        <v>0</v>
      </c>
      <c r="Q1163" s="113" t="b">
        <v>0</v>
      </c>
      <c r="R1163" s="113"/>
      <c r="S1163" s="113" t="b">
        <v>0</v>
      </c>
      <c r="T1163" s="113"/>
      <c r="U1163" s="113"/>
      <c r="V1163" s="113" t="b">
        <v>0</v>
      </c>
      <c r="W1163" s="113"/>
      <c r="X1163" s="113" t="b">
        <v>0</v>
      </c>
      <c r="Y1163" s="113"/>
      <c r="Z1163" s="113"/>
      <c r="AA1163" s="113"/>
      <c r="AB1163" s="113"/>
      <c r="AC1163" s="113"/>
      <c r="AD1163" s="113"/>
      <c r="AE1163" s="113"/>
      <c r="AF1163" s="113"/>
    </row>
    <row r="1164">
      <c r="A1164" s="115"/>
      <c r="B1164" s="116"/>
      <c r="C1164" s="116"/>
      <c r="D1164" s="116"/>
      <c r="E1164" s="117"/>
      <c r="F1164" s="116"/>
      <c r="G1164" s="117"/>
      <c r="H1164" s="118"/>
      <c r="I1164" s="116"/>
      <c r="J1164" s="116"/>
      <c r="K1164" s="116"/>
      <c r="L1164" s="116"/>
      <c r="M1164" s="119" t="b">
        <v>0</v>
      </c>
      <c r="N1164" s="113" t="b">
        <v>0</v>
      </c>
      <c r="O1164" s="113" t="b">
        <v>0</v>
      </c>
      <c r="P1164" s="113" t="b">
        <v>0</v>
      </c>
      <c r="Q1164" s="113" t="b">
        <v>0</v>
      </c>
      <c r="R1164" s="113"/>
      <c r="S1164" s="113" t="b">
        <v>0</v>
      </c>
      <c r="T1164" s="113"/>
      <c r="U1164" s="113"/>
      <c r="V1164" s="113" t="b">
        <v>0</v>
      </c>
      <c r="W1164" s="113"/>
      <c r="X1164" s="113" t="b">
        <v>0</v>
      </c>
      <c r="Y1164" s="113"/>
      <c r="Z1164" s="113"/>
      <c r="AA1164" s="113"/>
      <c r="AB1164" s="113"/>
      <c r="AC1164" s="113"/>
      <c r="AD1164" s="113"/>
      <c r="AE1164" s="113"/>
      <c r="AF1164" s="113"/>
    </row>
    <row r="1165">
      <c r="A1165" s="115"/>
      <c r="B1165" s="116"/>
      <c r="C1165" s="116"/>
      <c r="D1165" s="116"/>
      <c r="E1165" s="117"/>
      <c r="F1165" s="116"/>
      <c r="G1165" s="117"/>
      <c r="H1165" s="118"/>
      <c r="I1165" s="116"/>
      <c r="J1165" s="116"/>
      <c r="K1165" s="116"/>
      <c r="L1165" s="116"/>
      <c r="M1165" s="119" t="b">
        <v>0</v>
      </c>
      <c r="N1165" s="113" t="b">
        <v>0</v>
      </c>
      <c r="O1165" s="113" t="b">
        <v>0</v>
      </c>
      <c r="P1165" s="113" t="b">
        <v>0</v>
      </c>
      <c r="Q1165" s="113" t="b">
        <v>0</v>
      </c>
      <c r="R1165" s="113"/>
      <c r="S1165" s="113" t="b">
        <v>0</v>
      </c>
      <c r="T1165" s="113"/>
      <c r="U1165" s="113"/>
      <c r="V1165" s="113" t="b">
        <v>0</v>
      </c>
      <c r="W1165" s="113"/>
      <c r="X1165" s="113" t="b">
        <v>0</v>
      </c>
      <c r="Y1165" s="113"/>
      <c r="Z1165" s="113"/>
      <c r="AA1165" s="113"/>
      <c r="AB1165" s="113"/>
      <c r="AC1165" s="113"/>
      <c r="AD1165" s="113"/>
      <c r="AE1165" s="113"/>
      <c r="AF1165" s="113"/>
    </row>
    <row r="1166">
      <c r="A1166" s="115"/>
      <c r="B1166" s="116"/>
      <c r="C1166" s="116"/>
      <c r="D1166" s="116"/>
      <c r="E1166" s="117"/>
      <c r="F1166" s="116"/>
      <c r="G1166" s="117"/>
      <c r="H1166" s="118"/>
      <c r="I1166" s="116"/>
      <c r="J1166" s="116"/>
      <c r="K1166" s="116"/>
      <c r="L1166" s="116"/>
      <c r="M1166" s="119" t="b">
        <v>0</v>
      </c>
      <c r="N1166" s="113" t="b">
        <v>0</v>
      </c>
      <c r="O1166" s="113" t="b">
        <v>0</v>
      </c>
      <c r="P1166" s="113" t="b">
        <v>0</v>
      </c>
      <c r="Q1166" s="113" t="b">
        <v>0</v>
      </c>
      <c r="R1166" s="113"/>
      <c r="S1166" s="113" t="b">
        <v>0</v>
      </c>
      <c r="T1166" s="113"/>
      <c r="U1166" s="113"/>
      <c r="V1166" s="113" t="b">
        <v>0</v>
      </c>
      <c r="W1166" s="113"/>
      <c r="X1166" s="113" t="b">
        <v>0</v>
      </c>
      <c r="Y1166" s="113"/>
      <c r="Z1166" s="113"/>
      <c r="AA1166" s="113"/>
      <c r="AB1166" s="113"/>
      <c r="AC1166" s="113"/>
      <c r="AD1166" s="113"/>
      <c r="AE1166" s="113"/>
      <c r="AF1166" s="113"/>
    </row>
    <row r="1167">
      <c r="A1167" s="115"/>
      <c r="B1167" s="116"/>
      <c r="C1167" s="116"/>
      <c r="D1167" s="116"/>
      <c r="E1167" s="117"/>
      <c r="F1167" s="116"/>
      <c r="G1167" s="117"/>
      <c r="H1167" s="118"/>
      <c r="I1167" s="116"/>
      <c r="J1167" s="116"/>
      <c r="K1167" s="116"/>
      <c r="L1167" s="116"/>
      <c r="M1167" s="119" t="b">
        <v>0</v>
      </c>
      <c r="N1167" s="113" t="b">
        <v>0</v>
      </c>
      <c r="O1167" s="113" t="b">
        <v>0</v>
      </c>
      <c r="P1167" s="113" t="b">
        <v>0</v>
      </c>
      <c r="Q1167" s="113" t="b">
        <v>0</v>
      </c>
      <c r="R1167" s="113"/>
      <c r="S1167" s="113" t="b">
        <v>0</v>
      </c>
      <c r="T1167" s="113"/>
      <c r="U1167" s="113"/>
      <c r="V1167" s="113" t="b">
        <v>0</v>
      </c>
      <c r="W1167" s="113"/>
      <c r="X1167" s="113" t="b">
        <v>0</v>
      </c>
      <c r="Y1167" s="113"/>
      <c r="Z1167" s="113"/>
      <c r="AA1167" s="113"/>
      <c r="AB1167" s="113"/>
      <c r="AC1167" s="113"/>
      <c r="AD1167" s="113"/>
      <c r="AE1167" s="113"/>
      <c r="AF1167" s="113"/>
    </row>
    <row r="1168">
      <c r="A1168" s="115"/>
      <c r="B1168" s="116"/>
      <c r="C1168" s="116"/>
      <c r="D1168" s="116"/>
      <c r="E1168" s="117"/>
      <c r="F1168" s="116"/>
      <c r="G1168" s="117"/>
      <c r="H1168" s="118"/>
      <c r="I1168" s="116"/>
      <c r="J1168" s="116"/>
      <c r="K1168" s="116"/>
      <c r="L1168" s="116"/>
      <c r="M1168" s="119" t="b">
        <v>0</v>
      </c>
      <c r="N1168" s="113" t="b">
        <v>0</v>
      </c>
      <c r="O1168" s="113" t="b">
        <v>0</v>
      </c>
      <c r="P1168" s="113" t="b">
        <v>0</v>
      </c>
      <c r="Q1168" s="113" t="b">
        <v>0</v>
      </c>
      <c r="R1168" s="113"/>
      <c r="S1168" s="113" t="b">
        <v>0</v>
      </c>
      <c r="T1168" s="113"/>
      <c r="U1168" s="113"/>
      <c r="V1168" s="113" t="b">
        <v>0</v>
      </c>
      <c r="W1168" s="113"/>
      <c r="X1168" s="113" t="b">
        <v>0</v>
      </c>
      <c r="Y1168" s="113"/>
      <c r="Z1168" s="113"/>
      <c r="AA1168" s="113"/>
      <c r="AB1168" s="113"/>
      <c r="AC1168" s="113"/>
      <c r="AD1168" s="113"/>
      <c r="AE1168" s="113"/>
      <c r="AF1168" s="113"/>
    </row>
    <row r="1169">
      <c r="A1169" s="115"/>
      <c r="B1169" s="116"/>
      <c r="C1169" s="116"/>
      <c r="D1169" s="116"/>
      <c r="E1169" s="117"/>
      <c r="F1169" s="116"/>
      <c r="G1169" s="117"/>
      <c r="H1169" s="118"/>
      <c r="I1169" s="116"/>
      <c r="J1169" s="116"/>
      <c r="K1169" s="116"/>
      <c r="L1169" s="116"/>
      <c r="M1169" s="119" t="b">
        <v>0</v>
      </c>
      <c r="N1169" s="113" t="b">
        <v>0</v>
      </c>
      <c r="O1169" s="113" t="b">
        <v>0</v>
      </c>
      <c r="P1169" s="113" t="b">
        <v>0</v>
      </c>
      <c r="Q1169" s="113" t="b">
        <v>0</v>
      </c>
      <c r="R1169" s="113"/>
      <c r="S1169" s="113" t="b">
        <v>0</v>
      </c>
      <c r="T1169" s="113"/>
      <c r="U1169" s="113"/>
      <c r="V1169" s="113" t="b">
        <v>0</v>
      </c>
      <c r="W1169" s="113"/>
      <c r="X1169" s="113" t="b">
        <v>0</v>
      </c>
      <c r="Y1169" s="113"/>
      <c r="Z1169" s="113"/>
      <c r="AA1169" s="113"/>
      <c r="AB1169" s="113"/>
      <c r="AC1169" s="113"/>
      <c r="AD1169" s="113"/>
      <c r="AE1169" s="113"/>
      <c r="AF1169" s="113"/>
    </row>
    <row r="1170">
      <c r="A1170" s="115"/>
      <c r="B1170" s="116"/>
      <c r="C1170" s="116"/>
      <c r="D1170" s="116"/>
      <c r="E1170" s="117"/>
      <c r="F1170" s="116"/>
      <c r="G1170" s="117"/>
      <c r="H1170" s="118"/>
      <c r="I1170" s="116"/>
      <c r="J1170" s="116"/>
      <c r="K1170" s="116"/>
      <c r="L1170" s="116"/>
      <c r="M1170" s="119" t="b">
        <v>0</v>
      </c>
      <c r="N1170" s="113" t="b">
        <v>0</v>
      </c>
      <c r="O1170" s="113" t="b">
        <v>0</v>
      </c>
      <c r="P1170" s="113" t="b">
        <v>0</v>
      </c>
      <c r="Q1170" s="113" t="b">
        <v>0</v>
      </c>
      <c r="R1170" s="113"/>
      <c r="S1170" s="113" t="b">
        <v>0</v>
      </c>
      <c r="T1170" s="113"/>
      <c r="U1170" s="113"/>
      <c r="V1170" s="113" t="b">
        <v>0</v>
      </c>
      <c r="W1170" s="113"/>
      <c r="X1170" s="113" t="b">
        <v>0</v>
      </c>
      <c r="Y1170" s="113"/>
      <c r="Z1170" s="113"/>
      <c r="AA1170" s="113"/>
      <c r="AB1170" s="113"/>
      <c r="AC1170" s="113"/>
      <c r="AD1170" s="113"/>
      <c r="AE1170" s="113"/>
      <c r="AF1170" s="113"/>
    </row>
    <row r="1171">
      <c r="A1171" s="115"/>
      <c r="B1171" s="116"/>
      <c r="C1171" s="116"/>
      <c r="D1171" s="116"/>
      <c r="E1171" s="117"/>
      <c r="F1171" s="116"/>
      <c r="G1171" s="117"/>
      <c r="H1171" s="118"/>
      <c r="I1171" s="116"/>
      <c r="J1171" s="116"/>
      <c r="K1171" s="116"/>
      <c r="L1171" s="116"/>
      <c r="M1171" s="119" t="b">
        <v>0</v>
      </c>
      <c r="N1171" s="113" t="b">
        <v>0</v>
      </c>
      <c r="O1171" s="113" t="b">
        <v>0</v>
      </c>
      <c r="P1171" s="113" t="b">
        <v>0</v>
      </c>
      <c r="Q1171" s="113" t="b">
        <v>0</v>
      </c>
      <c r="R1171" s="113"/>
      <c r="S1171" s="113" t="b">
        <v>0</v>
      </c>
      <c r="T1171" s="113"/>
      <c r="U1171" s="113"/>
      <c r="V1171" s="113" t="b">
        <v>0</v>
      </c>
      <c r="W1171" s="113"/>
      <c r="X1171" s="113" t="b">
        <v>0</v>
      </c>
      <c r="Y1171" s="113"/>
      <c r="Z1171" s="113"/>
      <c r="AA1171" s="113"/>
      <c r="AB1171" s="113"/>
      <c r="AC1171" s="113"/>
      <c r="AD1171" s="113"/>
      <c r="AE1171" s="113"/>
      <c r="AF1171" s="113"/>
    </row>
    <row r="1172">
      <c r="A1172" s="115"/>
      <c r="B1172" s="116"/>
      <c r="C1172" s="116"/>
      <c r="D1172" s="116"/>
      <c r="E1172" s="117"/>
      <c r="F1172" s="116"/>
      <c r="G1172" s="117"/>
      <c r="H1172" s="118"/>
      <c r="I1172" s="116"/>
      <c r="J1172" s="116"/>
      <c r="K1172" s="116"/>
      <c r="L1172" s="116"/>
      <c r="M1172" s="119" t="b">
        <v>0</v>
      </c>
      <c r="N1172" s="113" t="b">
        <v>0</v>
      </c>
      <c r="O1172" s="113" t="b">
        <v>0</v>
      </c>
      <c r="P1172" s="113" t="b">
        <v>0</v>
      </c>
      <c r="Q1172" s="113" t="b">
        <v>0</v>
      </c>
      <c r="R1172" s="113"/>
      <c r="S1172" s="113" t="b">
        <v>0</v>
      </c>
      <c r="T1172" s="113"/>
      <c r="U1172" s="113"/>
      <c r="V1172" s="113" t="b">
        <v>0</v>
      </c>
      <c r="W1172" s="113"/>
      <c r="X1172" s="113" t="b">
        <v>0</v>
      </c>
      <c r="Y1172" s="113"/>
      <c r="Z1172" s="113"/>
      <c r="AA1172" s="113"/>
      <c r="AB1172" s="113"/>
      <c r="AC1172" s="113"/>
      <c r="AD1172" s="113"/>
      <c r="AE1172" s="113"/>
      <c r="AF1172" s="113"/>
    </row>
    <row r="1173">
      <c r="A1173" s="115"/>
      <c r="B1173" s="116"/>
      <c r="C1173" s="116"/>
      <c r="D1173" s="116"/>
      <c r="E1173" s="117"/>
      <c r="F1173" s="116"/>
      <c r="G1173" s="117"/>
      <c r="H1173" s="118"/>
      <c r="I1173" s="116"/>
      <c r="J1173" s="116"/>
      <c r="K1173" s="116"/>
      <c r="L1173" s="116"/>
      <c r="M1173" s="119" t="b">
        <v>0</v>
      </c>
      <c r="N1173" s="113" t="b">
        <v>0</v>
      </c>
      <c r="O1173" s="113" t="b">
        <v>0</v>
      </c>
      <c r="P1173" s="113" t="b">
        <v>0</v>
      </c>
      <c r="Q1173" s="113" t="b">
        <v>0</v>
      </c>
      <c r="R1173" s="113"/>
      <c r="S1173" s="113" t="b">
        <v>0</v>
      </c>
      <c r="T1173" s="113"/>
      <c r="U1173" s="113"/>
      <c r="V1173" s="113" t="b">
        <v>0</v>
      </c>
      <c r="W1173" s="113"/>
      <c r="X1173" s="113" t="b">
        <v>0</v>
      </c>
      <c r="Y1173" s="113"/>
      <c r="Z1173" s="113"/>
      <c r="AA1173" s="113"/>
      <c r="AB1173" s="113"/>
      <c r="AC1173" s="113"/>
      <c r="AD1173" s="113"/>
      <c r="AE1173" s="113"/>
      <c r="AF1173" s="113"/>
    </row>
    <row r="1174">
      <c r="A1174" s="115"/>
      <c r="B1174" s="116"/>
      <c r="C1174" s="116"/>
      <c r="D1174" s="116"/>
      <c r="E1174" s="117"/>
      <c r="F1174" s="116"/>
      <c r="G1174" s="117"/>
      <c r="H1174" s="118"/>
      <c r="I1174" s="116"/>
      <c r="J1174" s="116"/>
      <c r="K1174" s="116"/>
      <c r="L1174" s="116"/>
      <c r="M1174" s="119" t="b">
        <v>0</v>
      </c>
      <c r="N1174" s="113" t="b">
        <v>0</v>
      </c>
      <c r="O1174" s="113" t="b">
        <v>0</v>
      </c>
      <c r="P1174" s="113" t="b">
        <v>0</v>
      </c>
      <c r="Q1174" s="113" t="b">
        <v>0</v>
      </c>
      <c r="R1174" s="113"/>
      <c r="S1174" s="113" t="b">
        <v>0</v>
      </c>
      <c r="T1174" s="113"/>
      <c r="U1174" s="113"/>
      <c r="V1174" s="113" t="b">
        <v>0</v>
      </c>
      <c r="W1174" s="113"/>
      <c r="X1174" s="113" t="b">
        <v>0</v>
      </c>
      <c r="Y1174" s="113"/>
      <c r="Z1174" s="113"/>
      <c r="AA1174" s="113"/>
      <c r="AB1174" s="113"/>
      <c r="AC1174" s="113"/>
      <c r="AD1174" s="113"/>
      <c r="AE1174" s="113"/>
      <c r="AF1174" s="113"/>
    </row>
    <row r="1175">
      <c r="A1175" s="115"/>
      <c r="B1175" s="116"/>
      <c r="C1175" s="116"/>
      <c r="D1175" s="116"/>
      <c r="E1175" s="117"/>
      <c r="F1175" s="116"/>
      <c r="G1175" s="117"/>
      <c r="H1175" s="118"/>
      <c r="I1175" s="116"/>
      <c r="J1175" s="116"/>
      <c r="K1175" s="116"/>
      <c r="L1175" s="116"/>
      <c r="M1175" s="119" t="b">
        <v>0</v>
      </c>
      <c r="N1175" s="113" t="b">
        <v>0</v>
      </c>
      <c r="O1175" s="113" t="b">
        <v>0</v>
      </c>
      <c r="P1175" s="113" t="b">
        <v>0</v>
      </c>
      <c r="Q1175" s="113" t="b">
        <v>0</v>
      </c>
      <c r="R1175" s="113"/>
      <c r="S1175" s="113" t="b">
        <v>0</v>
      </c>
      <c r="T1175" s="113"/>
      <c r="U1175" s="113"/>
      <c r="V1175" s="113" t="b">
        <v>0</v>
      </c>
      <c r="W1175" s="113"/>
      <c r="X1175" s="113" t="b">
        <v>0</v>
      </c>
      <c r="Y1175" s="113"/>
      <c r="Z1175" s="113"/>
      <c r="AA1175" s="113"/>
      <c r="AB1175" s="113"/>
      <c r="AC1175" s="113"/>
      <c r="AD1175" s="113"/>
      <c r="AE1175" s="113"/>
      <c r="AF1175" s="113"/>
    </row>
    <row r="1176">
      <c r="A1176" s="115"/>
      <c r="B1176" s="116"/>
      <c r="C1176" s="116"/>
      <c r="D1176" s="116"/>
      <c r="E1176" s="117"/>
      <c r="F1176" s="116"/>
      <c r="G1176" s="117"/>
      <c r="H1176" s="118"/>
      <c r="I1176" s="116"/>
      <c r="J1176" s="116"/>
      <c r="K1176" s="116"/>
      <c r="L1176" s="116"/>
      <c r="M1176" s="119" t="b">
        <v>0</v>
      </c>
      <c r="N1176" s="113" t="b">
        <v>0</v>
      </c>
      <c r="O1176" s="113" t="b">
        <v>0</v>
      </c>
      <c r="P1176" s="113" t="b">
        <v>0</v>
      </c>
      <c r="Q1176" s="113" t="b">
        <v>0</v>
      </c>
      <c r="R1176" s="113"/>
      <c r="S1176" s="113" t="b">
        <v>0</v>
      </c>
      <c r="T1176" s="113"/>
      <c r="U1176" s="113"/>
      <c r="V1176" s="113" t="b">
        <v>0</v>
      </c>
      <c r="W1176" s="113"/>
      <c r="X1176" s="113" t="b">
        <v>0</v>
      </c>
      <c r="Y1176" s="113"/>
      <c r="Z1176" s="113"/>
      <c r="AA1176" s="113"/>
      <c r="AB1176" s="113"/>
      <c r="AC1176" s="113"/>
      <c r="AD1176" s="113"/>
      <c r="AE1176" s="113"/>
      <c r="AF1176" s="113"/>
    </row>
    <row r="1177">
      <c r="A1177" s="115"/>
      <c r="B1177" s="116"/>
      <c r="C1177" s="116"/>
      <c r="D1177" s="116"/>
      <c r="E1177" s="117"/>
      <c r="F1177" s="116"/>
      <c r="G1177" s="117"/>
      <c r="H1177" s="118"/>
      <c r="I1177" s="116"/>
      <c r="J1177" s="116"/>
      <c r="K1177" s="116"/>
      <c r="L1177" s="116"/>
      <c r="M1177" s="119" t="b">
        <v>0</v>
      </c>
      <c r="N1177" s="113" t="b">
        <v>0</v>
      </c>
      <c r="O1177" s="113" t="b">
        <v>0</v>
      </c>
      <c r="P1177" s="113" t="b">
        <v>0</v>
      </c>
      <c r="Q1177" s="113" t="b">
        <v>0</v>
      </c>
      <c r="R1177" s="113"/>
      <c r="S1177" s="113" t="b">
        <v>0</v>
      </c>
      <c r="T1177" s="113"/>
      <c r="U1177" s="113"/>
      <c r="V1177" s="113" t="b">
        <v>0</v>
      </c>
      <c r="W1177" s="113"/>
      <c r="X1177" s="113" t="b">
        <v>0</v>
      </c>
      <c r="Y1177" s="113"/>
      <c r="Z1177" s="113"/>
      <c r="AA1177" s="113"/>
      <c r="AB1177" s="113"/>
      <c r="AC1177" s="113"/>
      <c r="AD1177" s="113"/>
      <c r="AE1177" s="113"/>
      <c r="AF1177" s="113"/>
    </row>
    <row r="1178">
      <c r="A1178" s="115"/>
      <c r="B1178" s="116"/>
      <c r="C1178" s="116"/>
      <c r="D1178" s="116"/>
      <c r="E1178" s="117"/>
      <c r="F1178" s="116"/>
      <c r="G1178" s="117"/>
      <c r="H1178" s="118"/>
      <c r="I1178" s="116"/>
      <c r="J1178" s="116"/>
      <c r="K1178" s="116"/>
      <c r="L1178" s="116"/>
      <c r="M1178" s="119" t="b">
        <v>0</v>
      </c>
      <c r="N1178" s="113" t="b">
        <v>0</v>
      </c>
      <c r="O1178" s="113" t="b">
        <v>0</v>
      </c>
      <c r="P1178" s="113" t="b">
        <v>0</v>
      </c>
      <c r="Q1178" s="113" t="b">
        <v>0</v>
      </c>
      <c r="R1178" s="113"/>
      <c r="S1178" s="113" t="b">
        <v>0</v>
      </c>
      <c r="T1178" s="113"/>
      <c r="U1178" s="113"/>
      <c r="V1178" s="113" t="b">
        <v>0</v>
      </c>
      <c r="W1178" s="113"/>
      <c r="X1178" s="113" t="b">
        <v>0</v>
      </c>
      <c r="Y1178" s="113"/>
      <c r="Z1178" s="113"/>
      <c r="AA1178" s="113"/>
      <c r="AB1178" s="113"/>
      <c r="AC1178" s="113"/>
      <c r="AD1178" s="113"/>
      <c r="AE1178" s="113"/>
      <c r="AF1178" s="113"/>
    </row>
    <row r="1179">
      <c r="A1179" s="115"/>
      <c r="B1179" s="116"/>
      <c r="C1179" s="116"/>
      <c r="D1179" s="116"/>
      <c r="E1179" s="117"/>
      <c r="F1179" s="116"/>
      <c r="G1179" s="117"/>
      <c r="H1179" s="118"/>
      <c r="I1179" s="116"/>
      <c r="J1179" s="116"/>
      <c r="K1179" s="116"/>
      <c r="L1179" s="116"/>
      <c r="M1179" s="119" t="b">
        <v>0</v>
      </c>
      <c r="N1179" s="113" t="b">
        <v>0</v>
      </c>
      <c r="O1179" s="113" t="b">
        <v>0</v>
      </c>
      <c r="P1179" s="113" t="b">
        <v>0</v>
      </c>
      <c r="Q1179" s="113" t="b">
        <v>0</v>
      </c>
      <c r="R1179" s="113"/>
      <c r="S1179" s="113" t="b">
        <v>0</v>
      </c>
      <c r="T1179" s="113"/>
      <c r="U1179" s="113"/>
      <c r="V1179" s="113" t="b">
        <v>0</v>
      </c>
      <c r="W1179" s="113"/>
      <c r="X1179" s="113" t="b">
        <v>0</v>
      </c>
      <c r="Y1179" s="113"/>
      <c r="Z1179" s="113"/>
      <c r="AA1179" s="113"/>
      <c r="AB1179" s="113"/>
      <c r="AC1179" s="113"/>
      <c r="AD1179" s="113"/>
      <c r="AE1179" s="113"/>
      <c r="AF1179" s="113"/>
    </row>
    <row r="1180">
      <c r="A1180" s="115"/>
      <c r="B1180" s="116"/>
      <c r="C1180" s="116"/>
      <c r="D1180" s="116"/>
      <c r="E1180" s="117"/>
      <c r="F1180" s="116"/>
      <c r="G1180" s="117"/>
      <c r="H1180" s="118"/>
      <c r="I1180" s="116"/>
      <c r="J1180" s="116"/>
      <c r="K1180" s="116"/>
      <c r="L1180" s="116"/>
      <c r="M1180" s="119" t="b">
        <v>0</v>
      </c>
      <c r="N1180" s="113" t="b">
        <v>0</v>
      </c>
      <c r="O1180" s="113" t="b">
        <v>0</v>
      </c>
      <c r="P1180" s="113" t="b">
        <v>0</v>
      </c>
      <c r="Q1180" s="113" t="b">
        <v>0</v>
      </c>
      <c r="R1180" s="113"/>
      <c r="S1180" s="113" t="b">
        <v>0</v>
      </c>
      <c r="T1180" s="113"/>
      <c r="U1180" s="113"/>
      <c r="V1180" s="113" t="b">
        <v>0</v>
      </c>
      <c r="W1180" s="113"/>
      <c r="X1180" s="113" t="b">
        <v>0</v>
      </c>
      <c r="Y1180" s="113"/>
      <c r="Z1180" s="113"/>
      <c r="AA1180" s="113"/>
      <c r="AB1180" s="113"/>
      <c r="AC1180" s="113"/>
      <c r="AD1180" s="113"/>
      <c r="AE1180" s="113"/>
      <c r="AF1180" s="113"/>
    </row>
    <row r="1181">
      <c r="A1181" s="115"/>
      <c r="B1181" s="116"/>
      <c r="C1181" s="116"/>
      <c r="D1181" s="116"/>
      <c r="E1181" s="117"/>
      <c r="F1181" s="116"/>
      <c r="G1181" s="117"/>
      <c r="H1181" s="118"/>
      <c r="I1181" s="116"/>
      <c r="J1181" s="116"/>
      <c r="K1181" s="116"/>
      <c r="L1181" s="116"/>
      <c r="M1181" s="119" t="b">
        <v>0</v>
      </c>
      <c r="N1181" s="113" t="b">
        <v>0</v>
      </c>
      <c r="O1181" s="113" t="b">
        <v>0</v>
      </c>
      <c r="P1181" s="113" t="b">
        <v>0</v>
      </c>
      <c r="Q1181" s="113" t="b">
        <v>0</v>
      </c>
      <c r="R1181" s="113"/>
      <c r="S1181" s="113" t="b">
        <v>0</v>
      </c>
      <c r="T1181" s="113"/>
      <c r="U1181" s="113"/>
      <c r="V1181" s="113" t="b">
        <v>0</v>
      </c>
      <c r="W1181" s="113"/>
      <c r="X1181" s="113" t="b">
        <v>0</v>
      </c>
      <c r="Y1181" s="113"/>
      <c r="Z1181" s="113"/>
      <c r="AA1181" s="113"/>
      <c r="AB1181" s="113"/>
      <c r="AC1181" s="113"/>
      <c r="AD1181" s="113"/>
      <c r="AE1181" s="113"/>
      <c r="AF1181" s="113"/>
    </row>
    <row r="1182">
      <c r="A1182" s="115"/>
      <c r="B1182" s="116"/>
      <c r="C1182" s="116"/>
      <c r="D1182" s="116"/>
      <c r="E1182" s="117"/>
      <c r="F1182" s="116"/>
      <c r="G1182" s="117"/>
      <c r="H1182" s="118"/>
      <c r="I1182" s="116"/>
      <c r="J1182" s="116"/>
      <c r="K1182" s="116"/>
      <c r="L1182" s="116"/>
      <c r="M1182" s="119" t="b">
        <v>0</v>
      </c>
      <c r="N1182" s="113" t="b">
        <v>0</v>
      </c>
      <c r="O1182" s="113" t="b">
        <v>0</v>
      </c>
      <c r="P1182" s="113" t="b">
        <v>0</v>
      </c>
      <c r="Q1182" s="113" t="b">
        <v>0</v>
      </c>
      <c r="R1182" s="113"/>
      <c r="S1182" s="113" t="b">
        <v>0</v>
      </c>
      <c r="T1182" s="113"/>
      <c r="U1182" s="113"/>
      <c r="V1182" s="113" t="b">
        <v>0</v>
      </c>
      <c r="W1182" s="113"/>
      <c r="X1182" s="113" t="b">
        <v>0</v>
      </c>
      <c r="Y1182" s="113"/>
      <c r="Z1182" s="113"/>
      <c r="AA1182" s="113"/>
      <c r="AB1182" s="113"/>
      <c r="AC1182" s="113"/>
      <c r="AD1182" s="113"/>
      <c r="AE1182" s="113"/>
      <c r="AF1182" s="113"/>
    </row>
    <row r="1183">
      <c r="A1183" s="115"/>
      <c r="B1183" s="116"/>
      <c r="C1183" s="116"/>
      <c r="D1183" s="116"/>
      <c r="E1183" s="117"/>
      <c r="F1183" s="116"/>
      <c r="G1183" s="117"/>
      <c r="H1183" s="118"/>
      <c r="I1183" s="116"/>
      <c r="J1183" s="116"/>
      <c r="K1183" s="116"/>
      <c r="L1183" s="116"/>
      <c r="M1183" s="119" t="b">
        <v>0</v>
      </c>
      <c r="N1183" s="113" t="b">
        <v>0</v>
      </c>
      <c r="O1183" s="113" t="b">
        <v>0</v>
      </c>
      <c r="P1183" s="113" t="b">
        <v>0</v>
      </c>
      <c r="Q1183" s="113" t="b">
        <v>0</v>
      </c>
      <c r="R1183" s="113"/>
      <c r="S1183" s="113" t="b">
        <v>0</v>
      </c>
      <c r="T1183" s="113"/>
      <c r="U1183" s="113"/>
      <c r="V1183" s="113" t="b">
        <v>0</v>
      </c>
      <c r="W1183" s="113"/>
      <c r="X1183" s="113" t="b">
        <v>0</v>
      </c>
      <c r="Y1183" s="113"/>
      <c r="Z1183" s="113"/>
      <c r="AA1183" s="113"/>
      <c r="AB1183" s="113"/>
      <c r="AC1183" s="113"/>
      <c r="AD1183" s="113"/>
      <c r="AE1183" s="113"/>
      <c r="AF1183" s="113"/>
    </row>
    <row r="1184">
      <c r="A1184" s="115"/>
      <c r="B1184" s="116"/>
      <c r="C1184" s="116"/>
      <c r="D1184" s="116"/>
      <c r="E1184" s="117"/>
      <c r="F1184" s="116"/>
      <c r="G1184" s="117"/>
      <c r="H1184" s="118"/>
      <c r="I1184" s="116"/>
      <c r="J1184" s="116"/>
      <c r="K1184" s="116"/>
      <c r="L1184" s="116"/>
      <c r="M1184" s="119" t="b">
        <v>0</v>
      </c>
      <c r="N1184" s="113" t="b">
        <v>0</v>
      </c>
      <c r="O1184" s="113" t="b">
        <v>0</v>
      </c>
      <c r="P1184" s="113" t="b">
        <v>0</v>
      </c>
      <c r="Q1184" s="113" t="b">
        <v>0</v>
      </c>
      <c r="R1184" s="113"/>
      <c r="S1184" s="113" t="b">
        <v>0</v>
      </c>
      <c r="T1184" s="113"/>
      <c r="U1184" s="113"/>
      <c r="V1184" s="113" t="b">
        <v>0</v>
      </c>
      <c r="W1184" s="113"/>
      <c r="X1184" s="113" t="b">
        <v>0</v>
      </c>
      <c r="Y1184" s="113"/>
      <c r="Z1184" s="113"/>
      <c r="AA1184" s="113"/>
      <c r="AB1184" s="113"/>
      <c r="AC1184" s="113"/>
      <c r="AD1184" s="113"/>
      <c r="AE1184" s="113"/>
      <c r="AF1184" s="113"/>
    </row>
    <row r="1185">
      <c r="A1185" s="115"/>
      <c r="B1185" s="116"/>
      <c r="C1185" s="116"/>
      <c r="D1185" s="116"/>
      <c r="E1185" s="117"/>
      <c r="F1185" s="116"/>
      <c r="G1185" s="117"/>
      <c r="H1185" s="118"/>
      <c r="I1185" s="116"/>
      <c r="J1185" s="116"/>
      <c r="K1185" s="116"/>
      <c r="L1185" s="116"/>
      <c r="M1185" s="119" t="b">
        <v>0</v>
      </c>
      <c r="N1185" s="113" t="b">
        <v>0</v>
      </c>
      <c r="O1185" s="113" t="b">
        <v>0</v>
      </c>
      <c r="P1185" s="113" t="b">
        <v>0</v>
      </c>
      <c r="Q1185" s="113" t="b">
        <v>0</v>
      </c>
      <c r="R1185" s="113"/>
      <c r="S1185" s="113" t="b">
        <v>0</v>
      </c>
      <c r="T1185" s="113"/>
      <c r="U1185" s="113"/>
      <c r="V1185" s="113" t="b">
        <v>0</v>
      </c>
      <c r="W1185" s="113"/>
      <c r="X1185" s="113" t="b">
        <v>0</v>
      </c>
      <c r="Y1185" s="113"/>
      <c r="Z1185" s="113"/>
      <c r="AA1185" s="113"/>
      <c r="AB1185" s="113"/>
      <c r="AC1185" s="113"/>
      <c r="AD1185" s="113"/>
      <c r="AE1185" s="113"/>
      <c r="AF1185" s="113"/>
    </row>
    <row r="1186">
      <c r="A1186" s="115"/>
      <c r="B1186" s="116"/>
      <c r="C1186" s="116"/>
      <c r="D1186" s="116"/>
      <c r="E1186" s="117"/>
      <c r="F1186" s="116"/>
      <c r="G1186" s="117"/>
      <c r="H1186" s="118"/>
      <c r="I1186" s="116"/>
      <c r="J1186" s="116"/>
      <c r="K1186" s="116"/>
      <c r="L1186" s="116"/>
      <c r="M1186" s="119" t="b">
        <v>0</v>
      </c>
      <c r="N1186" s="113" t="b">
        <v>0</v>
      </c>
      <c r="O1186" s="113" t="b">
        <v>0</v>
      </c>
      <c r="P1186" s="113" t="b">
        <v>0</v>
      </c>
      <c r="Q1186" s="113" t="b">
        <v>0</v>
      </c>
      <c r="R1186" s="113"/>
      <c r="S1186" s="113" t="b">
        <v>0</v>
      </c>
      <c r="T1186" s="113"/>
      <c r="U1186" s="113"/>
      <c r="V1186" s="113" t="b">
        <v>0</v>
      </c>
      <c r="W1186" s="113"/>
      <c r="X1186" s="113" t="b">
        <v>0</v>
      </c>
      <c r="Y1186" s="113"/>
      <c r="Z1186" s="113"/>
      <c r="AA1186" s="113"/>
      <c r="AB1186" s="113"/>
      <c r="AC1186" s="113"/>
      <c r="AD1186" s="113"/>
      <c r="AE1186" s="113"/>
      <c r="AF1186" s="113"/>
    </row>
    <row r="1187">
      <c r="A1187" s="115"/>
      <c r="B1187" s="116"/>
      <c r="C1187" s="116"/>
      <c r="D1187" s="116"/>
      <c r="E1187" s="117"/>
      <c r="F1187" s="116"/>
      <c r="G1187" s="117"/>
      <c r="H1187" s="118"/>
      <c r="I1187" s="116"/>
      <c r="J1187" s="116"/>
      <c r="K1187" s="116"/>
      <c r="L1187" s="116"/>
      <c r="M1187" s="119" t="b">
        <v>0</v>
      </c>
      <c r="N1187" s="113" t="b">
        <v>0</v>
      </c>
      <c r="O1187" s="113" t="b">
        <v>0</v>
      </c>
      <c r="P1187" s="113" t="b">
        <v>0</v>
      </c>
      <c r="Q1187" s="113" t="b">
        <v>0</v>
      </c>
      <c r="R1187" s="113"/>
      <c r="S1187" s="113" t="b">
        <v>0</v>
      </c>
      <c r="T1187" s="113"/>
      <c r="U1187" s="113"/>
      <c r="V1187" s="113" t="b">
        <v>0</v>
      </c>
      <c r="W1187" s="113"/>
      <c r="X1187" s="113" t="b">
        <v>0</v>
      </c>
      <c r="Y1187" s="113"/>
      <c r="Z1187" s="113"/>
      <c r="AA1187" s="113"/>
      <c r="AB1187" s="113"/>
      <c r="AC1187" s="113"/>
      <c r="AD1187" s="113"/>
      <c r="AE1187" s="113"/>
      <c r="AF1187" s="113"/>
    </row>
    <row r="1188">
      <c r="A1188" s="115"/>
      <c r="B1188" s="116"/>
      <c r="C1188" s="116"/>
      <c r="D1188" s="116"/>
      <c r="E1188" s="117"/>
      <c r="F1188" s="116"/>
      <c r="G1188" s="117"/>
      <c r="H1188" s="118"/>
      <c r="I1188" s="116"/>
      <c r="J1188" s="116"/>
      <c r="K1188" s="116"/>
      <c r="L1188" s="116"/>
      <c r="M1188" s="119" t="b">
        <v>0</v>
      </c>
      <c r="N1188" s="113" t="b">
        <v>0</v>
      </c>
      <c r="O1188" s="113" t="b">
        <v>0</v>
      </c>
      <c r="P1188" s="113" t="b">
        <v>0</v>
      </c>
      <c r="Q1188" s="113" t="b">
        <v>0</v>
      </c>
      <c r="R1188" s="113"/>
      <c r="S1188" s="113" t="b">
        <v>0</v>
      </c>
      <c r="T1188" s="113"/>
      <c r="U1188" s="113"/>
      <c r="V1188" s="113" t="b">
        <v>0</v>
      </c>
      <c r="W1188" s="113"/>
      <c r="X1188" s="113" t="b">
        <v>0</v>
      </c>
      <c r="Y1188" s="113"/>
      <c r="Z1188" s="113"/>
      <c r="AA1188" s="113"/>
      <c r="AB1188" s="113"/>
      <c r="AC1188" s="113"/>
      <c r="AD1188" s="113"/>
      <c r="AE1188" s="113"/>
      <c r="AF1188" s="113"/>
    </row>
    <row r="1189">
      <c r="A1189" s="115"/>
      <c r="B1189" s="116"/>
      <c r="C1189" s="116"/>
      <c r="D1189" s="116"/>
      <c r="E1189" s="117"/>
      <c r="F1189" s="116"/>
      <c r="G1189" s="117"/>
      <c r="H1189" s="118"/>
      <c r="I1189" s="116"/>
      <c r="J1189" s="116"/>
      <c r="K1189" s="116"/>
      <c r="L1189" s="116"/>
      <c r="M1189" s="119" t="b">
        <v>0</v>
      </c>
      <c r="N1189" s="113" t="b">
        <v>0</v>
      </c>
      <c r="O1189" s="113" t="b">
        <v>0</v>
      </c>
      <c r="P1189" s="113" t="b">
        <v>0</v>
      </c>
      <c r="Q1189" s="113" t="b">
        <v>0</v>
      </c>
      <c r="R1189" s="113"/>
      <c r="S1189" s="113" t="b">
        <v>0</v>
      </c>
      <c r="T1189" s="113"/>
      <c r="U1189" s="113"/>
      <c r="V1189" s="113" t="b">
        <v>0</v>
      </c>
      <c r="W1189" s="113"/>
      <c r="X1189" s="113" t="b">
        <v>0</v>
      </c>
      <c r="Y1189" s="113"/>
      <c r="Z1189" s="113"/>
      <c r="AA1189" s="113"/>
      <c r="AB1189" s="113"/>
      <c r="AC1189" s="113"/>
      <c r="AD1189" s="113"/>
      <c r="AE1189" s="113"/>
      <c r="AF1189" s="113"/>
    </row>
    <row r="1190">
      <c r="A1190" s="115"/>
      <c r="B1190" s="116"/>
      <c r="C1190" s="116"/>
      <c r="D1190" s="116"/>
      <c r="E1190" s="117"/>
      <c r="F1190" s="116"/>
      <c r="G1190" s="117"/>
      <c r="H1190" s="118"/>
      <c r="I1190" s="116"/>
      <c r="J1190" s="116"/>
      <c r="K1190" s="116"/>
      <c r="L1190" s="116"/>
      <c r="M1190" s="119" t="b">
        <v>0</v>
      </c>
      <c r="N1190" s="113" t="b">
        <v>0</v>
      </c>
      <c r="O1190" s="113" t="b">
        <v>0</v>
      </c>
      <c r="P1190" s="113" t="b">
        <v>0</v>
      </c>
      <c r="Q1190" s="113" t="b">
        <v>0</v>
      </c>
      <c r="R1190" s="113"/>
      <c r="S1190" s="113" t="b">
        <v>0</v>
      </c>
      <c r="T1190" s="113"/>
      <c r="U1190" s="113"/>
      <c r="V1190" s="113" t="b">
        <v>0</v>
      </c>
      <c r="W1190" s="113"/>
      <c r="X1190" s="113" t="b">
        <v>0</v>
      </c>
      <c r="Y1190" s="113"/>
      <c r="Z1190" s="113"/>
      <c r="AA1190" s="113"/>
      <c r="AB1190" s="113"/>
      <c r="AC1190" s="113"/>
      <c r="AD1190" s="113"/>
      <c r="AE1190" s="113"/>
      <c r="AF1190" s="113"/>
    </row>
    <row r="1191">
      <c r="A1191" s="115"/>
      <c r="B1191" s="116"/>
      <c r="C1191" s="116"/>
      <c r="D1191" s="116"/>
      <c r="E1191" s="117"/>
      <c r="F1191" s="116"/>
      <c r="G1191" s="117"/>
      <c r="H1191" s="118"/>
      <c r="I1191" s="116"/>
      <c r="J1191" s="116"/>
      <c r="K1191" s="116"/>
      <c r="L1191" s="116"/>
      <c r="M1191" s="119" t="b">
        <v>0</v>
      </c>
      <c r="N1191" s="113" t="b">
        <v>0</v>
      </c>
      <c r="O1191" s="113" t="b">
        <v>0</v>
      </c>
      <c r="P1191" s="113" t="b">
        <v>0</v>
      </c>
      <c r="Q1191" s="113" t="b">
        <v>0</v>
      </c>
      <c r="R1191" s="113"/>
      <c r="S1191" s="113" t="b">
        <v>0</v>
      </c>
      <c r="T1191" s="113"/>
      <c r="U1191" s="113"/>
      <c r="V1191" s="113" t="b">
        <v>0</v>
      </c>
      <c r="W1191" s="113"/>
      <c r="X1191" s="113" t="b">
        <v>0</v>
      </c>
      <c r="Y1191" s="113"/>
      <c r="Z1191" s="113"/>
      <c r="AA1191" s="113"/>
      <c r="AB1191" s="113"/>
      <c r="AC1191" s="113"/>
      <c r="AD1191" s="113"/>
      <c r="AE1191" s="113"/>
      <c r="AF1191" s="113"/>
    </row>
    <row r="1192">
      <c r="A1192" s="115"/>
      <c r="B1192" s="116"/>
      <c r="C1192" s="116"/>
      <c r="D1192" s="116"/>
      <c r="E1192" s="117"/>
      <c r="F1192" s="116"/>
      <c r="G1192" s="117"/>
      <c r="H1192" s="118"/>
      <c r="I1192" s="116"/>
      <c r="J1192" s="116"/>
      <c r="K1192" s="116"/>
      <c r="L1192" s="116"/>
      <c r="M1192" s="119" t="b">
        <v>0</v>
      </c>
      <c r="N1192" s="113" t="b">
        <v>0</v>
      </c>
      <c r="O1192" s="113" t="b">
        <v>0</v>
      </c>
      <c r="P1192" s="113" t="b">
        <v>0</v>
      </c>
      <c r="Q1192" s="113" t="b">
        <v>0</v>
      </c>
      <c r="R1192" s="113"/>
      <c r="S1192" s="113" t="b">
        <v>0</v>
      </c>
      <c r="T1192" s="113"/>
      <c r="U1192" s="113"/>
      <c r="V1192" s="113" t="b">
        <v>0</v>
      </c>
      <c r="W1192" s="113"/>
      <c r="X1192" s="113" t="b">
        <v>0</v>
      </c>
      <c r="Y1192" s="113"/>
      <c r="Z1192" s="113"/>
      <c r="AA1192" s="113"/>
      <c r="AB1192" s="113"/>
      <c r="AC1192" s="113"/>
      <c r="AD1192" s="113"/>
      <c r="AE1192" s="113"/>
      <c r="AF1192" s="113"/>
    </row>
    <row r="1193">
      <c r="A1193" s="115"/>
      <c r="B1193" s="116"/>
      <c r="C1193" s="116"/>
      <c r="D1193" s="116"/>
      <c r="E1193" s="117"/>
      <c r="F1193" s="116"/>
      <c r="G1193" s="117"/>
      <c r="H1193" s="118"/>
      <c r="I1193" s="116"/>
      <c r="J1193" s="116"/>
      <c r="K1193" s="116"/>
      <c r="L1193" s="116"/>
      <c r="M1193" s="119" t="b">
        <v>0</v>
      </c>
      <c r="N1193" s="113" t="b">
        <v>0</v>
      </c>
      <c r="O1193" s="113" t="b">
        <v>0</v>
      </c>
      <c r="P1193" s="113" t="b">
        <v>0</v>
      </c>
      <c r="Q1193" s="113" t="b">
        <v>0</v>
      </c>
      <c r="R1193" s="113"/>
      <c r="S1193" s="113" t="b">
        <v>0</v>
      </c>
      <c r="T1193" s="113"/>
      <c r="U1193" s="113"/>
      <c r="V1193" s="113" t="b">
        <v>0</v>
      </c>
      <c r="W1193" s="113"/>
      <c r="X1193" s="113" t="b">
        <v>0</v>
      </c>
      <c r="Y1193" s="113"/>
      <c r="Z1193" s="113"/>
      <c r="AA1193" s="113"/>
      <c r="AB1193" s="113"/>
      <c r="AC1193" s="113"/>
      <c r="AD1193" s="113"/>
      <c r="AE1193" s="113"/>
      <c r="AF1193" s="113"/>
    </row>
    <row r="1194">
      <c r="A1194" s="115"/>
      <c r="B1194" s="116"/>
      <c r="C1194" s="116"/>
      <c r="D1194" s="116"/>
      <c r="E1194" s="117"/>
      <c r="F1194" s="116"/>
      <c r="G1194" s="117"/>
      <c r="H1194" s="118"/>
      <c r="I1194" s="116"/>
      <c r="J1194" s="116"/>
      <c r="K1194" s="116"/>
      <c r="L1194" s="116"/>
      <c r="M1194" s="119" t="b">
        <v>0</v>
      </c>
      <c r="N1194" s="113" t="b">
        <v>0</v>
      </c>
      <c r="O1194" s="113" t="b">
        <v>0</v>
      </c>
      <c r="P1194" s="113" t="b">
        <v>0</v>
      </c>
      <c r="Q1194" s="113" t="b">
        <v>0</v>
      </c>
      <c r="R1194" s="113"/>
      <c r="S1194" s="113" t="b">
        <v>0</v>
      </c>
      <c r="T1194" s="113"/>
      <c r="U1194" s="113"/>
      <c r="V1194" s="113" t="b">
        <v>0</v>
      </c>
      <c r="W1194" s="113"/>
      <c r="X1194" s="113" t="b">
        <v>0</v>
      </c>
      <c r="Y1194" s="113"/>
      <c r="Z1194" s="113"/>
      <c r="AA1194" s="113"/>
      <c r="AB1194" s="113"/>
      <c r="AC1194" s="113"/>
      <c r="AD1194" s="113"/>
      <c r="AE1194" s="113"/>
      <c r="AF1194" s="113"/>
    </row>
    <row r="1195">
      <c r="A1195" s="115"/>
      <c r="B1195" s="116"/>
      <c r="C1195" s="116"/>
      <c r="D1195" s="116"/>
      <c r="E1195" s="117"/>
      <c r="F1195" s="116"/>
      <c r="G1195" s="117"/>
      <c r="H1195" s="118"/>
      <c r="I1195" s="116"/>
      <c r="J1195" s="116"/>
      <c r="K1195" s="116"/>
      <c r="L1195" s="116"/>
      <c r="M1195" s="119" t="b">
        <v>0</v>
      </c>
      <c r="N1195" s="113" t="b">
        <v>0</v>
      </c>
      <c r="O1195" s="113" t="b">
        <v>0</v>
      </c>
      <c r="P1195" s="113" t="b">
        <v>0</v>
      </c>
      <c r="Q1195" s="113" t="b">
        <v>0</v>
      </c>
      <c r="R1195" s="113"/>
      <c r="S1195" s="113" t="b">
        <v>0</v>
      </c>
      <c r="T1195" s="113"/>
      <c r="U1195" s="113"/>
      <c r="V1195" s="113" t="b">
        <v>0</v>
      </c>
      <c r="W1195" s="113"/>
      <c r="X1195" s="113" t="b">
        <v>0</v>
      </c>
      <c r="Y1195" s="113"/>
      <c r="Z1195" s="113"/>
      <c r="AA1195" s="113"/>
      <c r="AB1195" s="113"/>
      <c r="AC1195" s="113"/>
      <c r="AD1195" s="113"/>
      <c r="AE1195" s="113"/>
      <c r="AF1195" s="113"/>
    </row>
    <row r="1196">
      <c r="A1196" s="115"/>
      <c r="B1196" s="116"/>
      <c r="C1196" s="116"/>
      <c r="D1196" s="116"/>
      <c r="E1196" s="117"/>
      <c r="F1196" s="116"/>
      <c r="G1196" s="117"/>
      <c r="H1196" s="118"/>
      <c r="I1196" s="116"/>
      <c r="J1196" s="116"/>
      <c r="K1196" s="116"/>
      <c r="L1196" s="116"/>
      <c r="M1196" s="119" t="b">
        <v>0</v>
      </c>
      <c r="N1196" s="113" t="b">
        <v>0</v>
      </c>
      <c r="O1196" s="113" t="b">
        <v>0</v>
      </c>
      <c r="P1196" s="113" t="b">
        <v>0</v>
      </c>
      <c r="Q1196" s="113" t="b">
        <v>0</v>
      </c>
      <c r="R1196" s="113"/>
      <c r="S1196" s="113" t="b">
        <v>0</v>
      </c>
      <c r="T1196" s="113"/>
      <c r="U1196" s="113"/>
      <c r="V1196" s="113" t="b">
        <v>0</v>
      </c>
      <c r="W1196" s="113"/>
      <c r="X1196" s="113" t="b">
        <v>0</v>
      </c>
      <c r="Y1196" s="113"/>
      <c r="Z1196" s="113"/>
      <c r="AA1196" s="113"/>
      <c r="AB1196" s="113"/>
      <c r="AC1196" s="113"/>
      <c r="AD1196" s="113"/>
      <c r="AE1196" s="113"/>
      <c r="AF1196" s="113"/>
    </row>
    <row r="1197">
      <c r="A1197" s="115"/>
      <c r="B1197" s="116"/>
      <c r="C1197" s="116"/>
      <c r="D1197" s="116"/>
      <c r="E1197" s="117"/>
      <c r="F1197" s="116"/>
      <c r="G1197" s="117"/>
      <c r="H1197" s="118"/>
      <c r="I1197" s="116"/>
      <c r="J1197" s="116"/>
      <c r="K1197" s="116"/>
      <c r="L1197" s="116"/>
      <c r="M1197" s="119" t="b">
        <v>0</v>
      </c>
      <c r="N1197" s="113" t="b">
        <v>0</v>
      </c>
      <c r="O1197" s="113" t="b">
        <v>0</v>
      </c>
      <c r="P1197" s="113" t="b">
        <v>0</v>
      </c>
      <c r="Q1197" s="113" t="b">
        <v>0</v>
      </c>
      <c r="R1197" s="113"/>
      <c r="S1197" s="113" t="b">
        <v>0</v>
      </c>
      <c r="T1197" s="113"/>
      <c r="U1197" s="113"/>
      <c r="V1197" s="113" t="b">
        <v>0</v>
      </c>
      <c r="W1197" s="113"/>
      <c r="X1197" s="113" t="b">
        <v>0</v>
      </c>
      <c r="Y1197" s="113"/>
      <c r="Z1197" s="113"/>
      <c r="AA1197" s="113"/>
      <c r="AB1197" s="113"/>
      <c r="AC1197" s="113"/>
      <c r="AD1197" s="113"/>
      <c r="AE1197" s="113"/>
      <c r="AF1197" s="113"/>
    </row>
    <row r="1198">
      <c r="A1198" s="115"/>
      <c r="B1198" s="116"/>
      <c r="C1198" s="116"/>
      <c r="D1198" s="116"/>
      <c r="E1198" s="117"/>
      <c r="F1198" s="116"/>
      <c r="G1198" s="117"/>
      <c r="H1198" s="118"/>
      <c r="I1198" s="116"/>
      <c r="J1198" s="116"/>
      <c r="K1198" s="116"/>
      <c r="L1198" s="116"/>
      <c r="M1198" s="119" t="b">
        <v>0</v>
      </c>
      <c r="N1198" s="113" t="b">
        <v>0</v>
      </c>
      <c r="O1198" s="113" t="b">
        <v>0</v>
      </c>
      <c r="P1198" s="113" t="b">
        <v>0</v>
      </c>
      <c r="Q1198" s="113" t="b">
        <v>0</v>
      </c>
      <c r="R1198" s="113"/>
      <c r="S1198" s="113" t="b">
        <v>0</v>
      </c>
      <c r="T1198" s="113"/>
      <c r="U1198" s="113"/>
      <c r="V1198" s="113" t="b">
        <v>0</v>
      </c>
      <c r="W1198" s="113"/>
      <c r="X1198" s="113" t="b">
        <v>0</v>
      </c>
      <c r="Y1198" s="113"/>
      <c r="Z1198" s="113"/>
      <c r="AA1198" s="113"/>
      <c r="AB1198" s="113"/>
      <c r="AC1198" s="113"/>
      <c r="AD1198" s="113"/>
      <c r="AE1198" s="113"/>
      <c r="AF1198" s="113"/>
    </row>
    <row r="1199">
      <c r="A1199" s="115"/>
      <c r="B1199" s="116"/>
      <c r="C1199" s="116"/>
      <c r="D1199" s="116"/>
      <c r="E1199" s="117"/>
      <c r="F1199" s="116"/>
      <c r="G1199" s="117"/>
      <c r="H1199" s="118"/>
      <c r="I1199" s="116"/>
      <c r="J1199" s="116"/>
      <c r="K1199" s="116"/>
      <c r="L1199" s="116"/>
      <c r="M1199" s="119" t="b">
        <v>0</v>
      </c>
      <c r="N1199" s="113" t="b">
        <v>0</v>
      </c>
      <c r="O1199" s="113" t="b">
        <v>0</v>
      </c>
      <c r="P1199" s="113" t="b">
        <v>0</v>
      </c>
      <c r="Q1199" s="113" t="b">
        <v>0</v>
      </c>
      <c r="R1199" s="113"/>
      <c r="S1199" s="113" t="b">
        <v>0</v>
      </c>
      <c r="T1199" s="113"/>
      <c r="U1199" s="113"/>
      <c r="V1199" s="113" t="b">
        <v>0</v>
      </c>
      <c r="W1199" s="113"/>
      <c r="X1199" s="113" t="b">
        <v>0</v>
      </c>
      <c r="Y1199" s="113"/>
      <c r="Z1199" s="113"/>
      <c r="AA1199" s="113"/>
      <c r="AB1199" s="113"/>
      <c r="AC1199" s="113"/>
      <c r="AD1199" s="113"/>
      <c r="AE1199" s="113"/>
      <c r="AF1199" s="113"/>
    </row>
    <row r="1200">
      <c r="A1200" s="115"/>
      <c r="B1200" s="116"/>
      <c r="C1200" s="116"/>
      <c r="D1200" s="116"/>
      <c r="E1200" s="117"/>
      <c r="F1200" s="116"/>
      <c r="G1200" s="117"/>
      <c r="H1200" s="118"/>
      <c r="I1200" s="116"/>
      <c r="J1200" s="116"/>
      <c r="K1200" s="116"/>
      <c r="L1200" s="116"/>
      <c r="M1200" s="119" t="b">
        <v>0</v>
      </c>
      <c r="N1200" s="113" t="b">
        <v>0</v>
      </c>
      <c r="O1200" s="113" t="b">
        <v>0</v>
      </c>
      <c r="P1200" s="113" t="b">
        <v>0</v>
      </c>
      <c r="Q1200" s="113" t="b">
        <v>0</v>
      </c>
      <c r="R1200" s="113"/>
      <c r="S1200" s="113" t="b">
        <v>0</v>
      </c>
      <c r="T1200" s="113"/>
      <c r="U1200" s="113"/>
      <c r="V1200" s="113" t="b">
        <v>0</v>
      </c>
      <c r="W1200" s="113"/>
      <c r="X1200" s="113" t="b">
        <v>0</v>
      </c>
      <c r="Y1200" s="113"/>
      <c r="Z1200" s="113"/>
      <c r="AA1200" s="113"/>
      <c r="AB1200" s="113"/>
      <c r="AC1200" s="113"/>
      <c r="AD1200" s="113"/>
      <c r="AE1200" s="113"/>
      <c r="AF1200" s="113"/>
    </row>
    <row r="1201">
      <c r="A1201" s="115"/>
      <c r="B1201" s="116"/>
      <c r="C1201" s="116"/>
      <c r="D1201" s="116"/>
      <c r="E1201" s="117"/>
      <c r="F1201" s="116"/>
      <c r="G1201" s="117"/>
      <c r="H1201" s="118"/>
      <c r="I1201" s="116"/>
      <c r="J1201" s="116"/>
      <c r="K1201" s="116"/>
      <c r="L1201" s="116"/>
      <c r="M1201" s="119" t="b">
        <v>0</v>
      </c>
      <c r="N1201" s="113" t="b">
        <v>0</v>
      </c>
      <c r="O1201" s="113" t="b">
        <v>0</v>
      </c>
      <c r="P1201" s="113" t="b">
        <v>0</v>
      </c>
      <c r="Q1201" s="113" t="b">
        <v>0</v>
      </c>
      <c r="R1201" s="113"/>
      <c r="S1201" s="113" t="b">
        <v>0</v>
      </c>
      <c r="T1201" s="113"/>
      <c r="U1201" s="113"/>
      <c r="V1201" s="113" t="b">
        <v>0</v>
      </c>
      <c r="W1201" s="113"/>
      <c r="X1201" s="113" t="b">
        <v>0</v>
      </c>
      <c r="Y1201" s="113"/>
      <c r="Z1201" s="113"/>
      <c r="AA1201" s="113"/>
      <c r="AB1201" s="113"/>
      <c r="AC1201" s="113"/>
      <c r="AD1201" s="113"/>
      <c r="AE1201" s="113"/>
      <c r="AF1201" s="113"/>
    </row>
    <row r="1202">
      <c r="A1202" s="115"/>
      <c r="B1202" s="116"/>
      <c r="C1202" s="116"/>
      <c r="D1202" s="116"/>
      <c r="E1202" s="117"/>
      <c r="F1202" s="116"/>
      <c r="G1202" s="117"/>
      <c r="H1202" s="118"/>
      <c r="I1202" s="116"/>
      <c r="J1202" s="116"/>
      <c r="K1202" s="116"/>
      <c r="L1202" s="116"/>
      <c r="M1202" s="119" t="b">
        <v>0</v>
      </c>
      <c r="N1202" s="113" t="b">
        <v>0</v>
      </c>
      <c r="O1202" s="113" t="b">
        <v>0</v>
      </c>
      <c r="P1202" s="113" t="b">
        <v>0</v>
      </c>
      <c r="Q1202" s="113" t="b">
        <v>0</v>
      </c>
      <c r="R1202" s="113"/>
      <c r="S1202" s="113" t="b">
        <v>0</v>
      </c>
      <c r="T1202" s="113"/>
      <c r="U1202" s="113"/>
      <c r="V1202" s="113" t="b">
        <v>0</v>
      </c>
      <c r="W1202" s="113"/>
      <c r="X1202" s="113" t="b">
        <v>0</v>
      </c>
      <c r="Y1202" s="113"/>
      <c r="Z1202" s="113"/>
      <c r="AA1202" s="113"/>
      <c r="AB1202" s="113"/>
      <c r="AC1202" s="113"/>
      <c r="AD1202" s="113"/>
      <c r="AE1202" s="113"/>
      <c r="AF1202" s="113"/>
    </row>
    <row r="1203">
      <c r="A1203" s="115"/>
      <c r="B1203" s="116"/>
      <c r="C1203" s="116"/>
      <c r="D1203" s="116"/>
      <c r="E1203" s="117"/>
      <c r="F1203" s="116"/>
      <c r="G1203" s="117"/>
      <c r="H1203" s="118"/>
      <c r="I1203" s="116"/>
      <c r="J1203" s="116"/>
      <c r="K1203" s="116"/>
      <c r="L1203" s="116"/>
      <c r="M1203" s="119" t="b">
        <v>0</v>
      </c>
      <c r="N1203" s="113" t="b">
        <v>0</v>
      </c>
      <c r="O1203" s="113" t="b">
        <v>0</v>
      </c>
      <c r="P1203" s="113" t="b">
        <v>0</v>
      </c>
      <c r="Q1203" s="113" t="b">
        <v>0</v>
      </c>
      <c r="R1203" s="113"/>
      <c r="S1203" s="113" t="b">
        <v>0</v>
      </c>
      <c r="T1203" s="113"/>
      <c r="U1203" s="113"/>
      <c r="V1203" s="113" t="b">
        <v>0</v>
      </c>
      <c r="W1203" s="113"/>
      <c r="X1203" s="113" t="b">
        <v>0</v>
      </c>
      <c r="Y1203" s="113"/>
      <c r="Z1203" s="113"/>
      <c r="AA1203" s="113"/>
      <c r="AB1203" s="113"/>
      <c r="AC1203" s="113"/>
      <c r="AD1203" s="113"/>
      <c r="AE1203" s="113"/>
      <c r="AF1203" s="113"/>
    </row>
    <row r="1204">
      <c r="A1204" s="115"/>
      <c r="B1204" s="116"/>
      <c r="C1204" s="116"/>
      <c r="D1204" s="116"/>
      <c r="E1204" s="117"/>
      <c r="F1204" s="116"/>
      <c r="G1204" s="117"/>
      <c r="H1204" s="118"/>
      <c r="I1204" s="116"/>
      <c r="J1204" s="116"/>
      <c r="K1204" s="116"/>
      <c r="L1204" s="116"/>
      <c r="M1204" s="119" t="b">
        <v>0</v>
      </c>
      <c r="N1204" s="113" t="b">
        <v>0</v>
      </c>
      <c r="O1204" s="113" t="b">
        <v>0</v>
      </c>
      <c r="P1204" s="113" t="b">
        <v>0</v>
      </c>
      <c r="Q1204" s="113" t="b">
        <v>0</v>
      </c>
      <c r="R1204" s="113"/>
      <c r="S1204" s="113" t="b">
        <v>0</v>
      </c>
      <c r="T1204" s="113"/>
      <c r="U1204" s="113"/>
      <c r="V1204" s="113" t="b">
        <v>0</v>
      </c>
      <c r="W1204" s="113"/>
      <c r="X1204" s="113" t="b">
        <v>0</v>
      </c>
      <c r="Y1204" s="113"/>
      <c r="Z1204" s="113"/>
      <c r="AA1204" s="113"/>
      <c r="AB1204" s="113"/>
      <c r="AC1204" s="113"/>
      <c r="AD1204" s="113"/>
      <c r="AE1204" s="113"/>
      <c r="AF1204" s="113"/>
    </row>
    <row r="1205">
      <c r="A1205" s="115"/>
      <c r="B1205" s="116"/>
      <c r="C1205" s="116"/>
      <c r="D1205" s="116"/>
      <c r="E1205" s="117"/>
      <c r="F1205" s="116"/>
      <c r="G1205" s="117"/>
      <c r="H1205" s="118"/>
      <c r="I1205" s="116"/>
      <c r="J1205" s="116"/>
      <c r="K1205" s="116"/>
      <c r="L1205" s="116"/>
      <c r="M1205" s="119" t="b">
        <v>0</v>
      </c>
      <c r="N1205" s="113" t="b">
        <v>0</v>
      </c>
      <c r="O1205" s="113" t="b">
        <v>0</v>
      </c>
      <c r="P1205" s="113" t="b">
        <v>0</v>
      </c>
      <c r="Q1205" s="113" t="b">
        <v>0</v>
      </c>
      <c r="R1205" s="113"/>
      <c r="S1205" s="113" t="b">
        <v>0</v>
      </c>
      <c r="T1205" s="113"/>
      <c r="U1205" s="113"/>
      <c r="V1205" s="113" t="b">
        <v>0</v>
      </c>
      <c r="W1205" s="113"/>
      <c r="X1205" s="113" t="b">
        <v>0</v>
      </c>
      <c r="Y1205" s="113"/>
      <c r="Z1205" s="113"/>
      <c r="AA1205" s="113"/>
      <c r="AB1205" s="113"/>
      <c r="AC1205" s="113"/>
      <c r="AD1205" s="113"/>
      <c r="AE1205" s="113"/>
      <c r="AF1205" s="113"/>
    </row>
    <row r="1206">
      <c r="A1206" s="115"/>
      <c r="B1206" s="116"/>
      <c r="C1206" s="116"/>
      <c r="D1206" s="116"/>
      <c r="E1206" s="117"/>
      <c r="F1206" s="116"/>
      <c r="G1206" s="117"/>
      <c r="H1206" s="118"/>
      <c r="I1206" s="116"/>
      <c r="J1206" s="116"/>
      <c r="K1206" s="116"/>
      <c r="L1206" s="116"/>
      <c r="M1206" s="119" t="b">
        <v>0</v>
      </c>
      <c r="N1206" s="113" t="b">
        <v>0</v>
      </c>
      <c r="O1206" s="113" t="b">
        <v>0</v>
      </c>
      <c r="P1206" s="113" t="b">
        <v>0</v>
      </c>
      <c r="Q1206" s="113" t="b">
        <v>0</v>
      </c>
      <c r="R1206" s="113"/>
      <c r="S1206" s="113" t="b">
        <v>0</v>
      </c>
      <c r="T1206" s="113"/>
      <c r="U1206" s="113"/>
      <c r="V1206" s="113" t="b">
        <v>0</v>
      </c>
      <c r="W1206" s="113"/>
      <c r="X1206" s="113" t="b">
        <v>0</v>
      </c>
      <c r="Y1206" s="113"/>
      <c r="Z1206" s="113"/>
      <c r="AA1206" s="113"/>
      <c r="AB1206" s="113"/>
      <c r="AC1206" s="113"/>
      <c r="AD1206" s="113"/>
      <c r="AE1206" s="113"/>
      <c r="AF1206" s="113"/>
    </row>
    <row r="1207">
      <c r="A1207" s="115"/>
      <c r="B1207" s="116"/>
      <c r="C1207" s="116"/>
      <c r="D1207" s="116"/>
      <c r="E1207" s="117"/>
      <c r="F1207" s="116"/>
      <c r="G1207" s="117"/>
      <c r="H1207" s="118"/>
      <c r="I1207" s="116"/>
      <c r="J1207" s="116"/>
      <c r="K1207" s="116"/>
      <c r="L1207" s="116"/>
      <c r="M1207" s="119" t="b">
        <v>0</v>
      </c>
      <c r="N1207" s="113" t="b">
        <v>0</v>
      </c>
      <c r="O1207" s="113" t="b">
        <v>0</v>
      </c>
      <c r="P1207" s="113" t="b">
        <v>0</v>
      </c>
      <c r="Q1207" s="113" t="b">
        <v>0</v>
      </c>
      <c r="R1207" s="113"/>
      <c r="S1207" s="113" t="b">
        <v>0</v>
      </c>
      <c r="T1207" s="113"/>
      <c r="U1207" s="113"/>
      <c r="V1207" s="113" t="b">
        <v>0</v>
      </c>
      <c r="W1207" s="113"/>
      <c r="X1207" s="113" t="b">
        <v>0</v>
      </c>
      <c r="Y1207" s="113"/>
      <c r="Z1207" s="113"/>
      <c r="AA1207" s="113"/>
      <c r="AB1207" s="113"/>
      <c r="AC1207" s="113"/>
      <c r="AD1207" s="113"/>
      <c r="AE1207" s="113"/>
      <c r="AF1207" s="113"/>
    </row>
    <row r="1208">
      <c r="A1208" s="115"/>
      <c r="B1208" s="116"/>
      <c r="C1208" s="116"/>
      <c r="D1208" s="116"/>
      <c r="E1208" s="117"/>
      <c r="F1208" s="116"/>
      <c r="G1208" s="117"/>
      <c r="H1208" s="118"/>
      <c r="I1208" s="116"/>
      <c r="J1208" s="116"/>
      <c r="K1208" s="116"/>
      <c r="L1208" s="116"/>
      <c r="M1208" s="119" t="b">
        <v>0</v>
      </c>
      <c r="N1208" s="113" t="b">
        <v>0</v>
      </c>
      <c r="O1208" s="113" t="b">
        <v>0</v>
      </c>
      <c r="P1208" s="113" t="b">
        <v>0</v>
      </c>
      <c r="Q1208" s="113" t="b">
        <v>0</v>
      </c>
      <c r="R1208" s="113"/>
      <c r="S1208" s="113" t="b">
        <v>0</v>
      </c>
      <c r="T1208" s="113"/>
      <c r="U1208" s="113"/>
      <c r="V1208" s="113" t="b">
        <v>0</v>
      </c>
      <c r="W1208" s="113"/>
      <c r="X1208" s="113" t="b">
        <v>0</v>
      </c>
      <c r="Y1208" s="113"/>
      <c r="Z1208" s="113"/>
      <c r="AA1208" s="113"/>
      <c r="AB1208" s="113"/>
      <c r="AC1208" s="113"/>
      <c r="AD1208" s="113"/>
      <c r="AE1208" s="113"/>
      <c r="AF1208" s="113"/>
    </row>
    <row r="1209">
      <c r="A1209" s="115"/>
      <c r="B1209" s="116"/>
      <c r="C1209" s="116"/>
      <c r="D1209" s="116"/>
      <c r="E1209" s="117"/>
      <c r="F1209" s="116"/>
      <c r="G1209" s="117"/>
      <c r="H1209" s="118"/>
      <c r="I1209" s="116"/>
      <c r="J1209" s="116"/>
      <c r="K1209" s="116"/>
      <c r="L1209" s="116"/>
      <c r="M1209" s="119" t="b">
        <v>0</v>
      </c>
      <c r="N1209" s="113" t="b">
        <v>0</v>
      </c>
      <c r="O1209" s="113" t="b">
        <v>0</v>
      </c>
      <c r="P1209" s="113" t="b">
        <v>0</v>
      </c>
      <c r="Q1209" s="113" t="b">
        <v>0</v>
      </c>
      <c r="R1209" s="113"/>
      <c r="S1209" s="113" t="b">
        <v>0</v>
      </c>
      <c r="T1209" s="113"/>
      <c r="U1209" s="113"/>
      <c r="V1209" s="113" t="b">
        <v>0</v>
      </c>
      <c r="W1209" s="113"/>
      <c r="X1209" s="113" t="b">
        <v>0</v>
      </c>
      <c r="Y1209" s="113"/>
      <c r="Z1209" s="113"/>
      <c r="AA1209" s="113"/>
      <c r="AB1209" s="113"/>
      <c r="AC1209" s="113"/>
      <c r="AD1209" s="113"/>
      <c r="AE1209" s="113"/>
      <c r="AF1209" s="113"/>
    </row>
    <row r="1210">
      <c r="A1210" s="115"/>
      <c r="B1210" s="116"/>
      <c r="C1210" s="116"/>
      <c r="D1210" s="116"/>
      <c r="E1210" s="117"/>
      <c r="F1210" s="116"/>
      <c r="G1210" s="117"/>
      <c r="H1210" s="118"/>
      <c r="I1210" s="116"/>
      <c r="J1210" s="116"/>
      <c r="K1210" s="116"/>
      <c r="L1210" s="116"/>
      <c r="M1210" s="119" t="b">
        <v>0</v>
      </c>
      <c r="N1210" s="113" t="b">
        <v>0</v>
      </c>
      <c r="O1210" s="113" t="b">
        <v>0</v>
      </c>
      <c r="P1210" s="113" t="b">
        <v>0</v>
      </c>
      <c r="Q1210" s="113" t="b">
        <v>0</v>
      </c>
      <c r="R1210" s="113"/>
      <c r="S1210" s="113" t="b">
        <v>0</v>
      </c>
      <c r="T1210" s="113"/>
      <c r="U1210" s="113"/>
      <c r="V1210" s="113" t="b">
        <v>0</v>
      </c>
      <c r="W1210" s="113"/>
      <c r="X1210" s="113" t="b">
        <v>0</v>
      </c>
      <c r="Y1210" s="113"/>
      <c r="Z1210" s="113"/>
      <c r="AA1210" s="113"/>
      <c r="AB1210" s="113"/>
      <c r="AC1210" s="113"/>
      <c r="AD1210" s="113"/>
      <c r="AE1210" s="113"/>
      <c r="AF1210" s="113"/>
    </row>
    <row r="1211">
      <c r="A1211" s="115"/>
      <c r="B1211" s="116"/>
      <c r="C1211" s="116"/>
      <c r="D1211" s="116"/>
      <c r="E1211" s="117"/>
      <c r="F1211" s="116"/>
      <c r="G1211" s="117"/>
      <c r="H1211" s="118"/>
      <c r="I1211" s="116"/>
      <c r="J1211" s="116"/>
      <c r="K1211" s="116"/>
      <c r="L1211" s="116"/>
      <c r="M1211" s="119" t="b">
        <v>0</v>
      </c>
      <c r="N1211" s="113" t="b">
        <v>0</v>
      </c>
      <c r="O1211" s="113" t="b">
        <v>0</v>
      </c>
      <c r="P1211" s="113" t="b">
        <v>0</v>
      </c>
      <c r="Q1211" s="113" t="b">
        <v>0</v>
      </c>
      <c r="R1211" s="113"/>
      <c r="S1211" s="113" t="b">
        <v>0</v>
      </c>
      <c r="T1211" s="113"/>
      <c r="U1211" s="113"/>
      <c r="V1211" s="113" t="b">
        <v>0</v>
      </c>
      <c r="W1211" s="113"/>
      <c r="X1211" s="113" t="b">
        <v>0</v>
      </c>
      <c r="Y1211" s="113"/>
      <c r="Z1211" s="113"/>
      <c r="AA1211" s="113"/>
      <c r="AB1211" s="113"/>
      <c r="AC1211" s="113"/>
      <c r="AD1211" s="113"/>
      <c r="AE1211" s="113"/>
      <c r="AF1211" s="113"/>
    </row>
    <row r="1212">
      <c r="A1212" s="115"/>
      <c r="B1212" s="116"/>
      <c r="C1212" s="116"/>
      <c r="D1212" s="116"/>
      <c r="E1212" s="117"/>
      <c r="F1212" s="116"/>
      <c r="G1212" s="117"/>
      <c r="H1212" s="118"/>
      <c r="I1212" s="116"/>
      <c r="J1212" s="116"/>
      <c r="K1212" s="116"/>
      <c r="L1212" s="116"/>
      <c r="M1212" s="119" t="b">
        <v>0</v>
      </c>
      <c r="N1212" s="113" t="b">
        <v>0</v>
      </c>
      <c r="O1212" s="113" t="b">
        <v>0</v>
      </c>
      <c r="P1212" s="113" t="b">
        <v>0</v>
      </c>
      <c r="Q1212" s="113" t="b">
        <v>0</v>
      </c>
      <c r="R1212" s="113"/>
      <c r="S1212" s="113" t="b">
        <v>0</v>
      </c>
      <c r="T1212" s="113"/>
      <c r="U1212" s="113"/>
      <c r="V1212" s="113" t="b">
        <v>0</v>
      </c>
      <c r="W1212" s="113"/>
      <c r="X1212" s="113" t="b">
        <v>0</v>
      </c>
      <c r="Y1212" s="113"/>
      <c r="Z1212" s="113"/>
      <c r="AA1212" s="113"/>
      <c r="AB1212" s="113"/>
      <c r="AC1212" s="113"/>
      <c r="AD1212" s="113"/>
      <c r="AE1212" s="113"/>
      <c r="AF1212" s="113"/>
    </row>
    <row r="1213">
      <c r="A1213" s="115"/>
      <c r="B1213" s="116"/>
      <c r="C1213" s="116"/>
      <c r="D1213" s="116"/>
      <c r="E1213" s="117"/>
      <c r="F1213" s="116"/>
      <c r="G1213" s="117"/>
      <c r="H1213" s="118"/>
      <c r="I1213" s="116"/>
      <c r="J1213" s="116"/>
      <c r="K1213" s="116"/>
      <c r="L1213" s="116"/>
      <c r="M1213" s="119" t="b">
        <v>0</v>
      </c>
      <c r="N1213" s="113" t="b">
        <v>0</v>
      </c>
      <c r="O1213" s="113" t="b">
        <v>0</v>
      </c>
      <c r="P1213" s="113" t="b">
        <v>0</v>
      </c>
      <c r="Q1213" s="113" t="b">
        <v>0</v>
      </c>
      <c r="R1213" s="113"/>
      <c r="S1213" s="113" t="b">
        <v>0</v>
      </c>
      <c r="T1213" s="113"/>
      <c r="U1213" s="113"/>
      <c r="V1213" s="113" t="b">
        <v>0</v>
      </c>
      <c r="W1213" s="113"/>
      <c r="X1213" s="113" t="b">
        <v>0</v>
      </c>
      <c r="Y1213" s="113"/>
      <c r="Z1213" s="113"/>
      <c r="AA1213" s="113"/>
      <c r="AB1213" s="113"/>
      <c r="AC1213" s="113"/>
      <c r="AD1213" s="113"/>
      <c r="AE1213" s="113"/>
      <c r="AF1213" s="113"/>
    </row>
    <row r="1214">
      <c r="A1214" s="115"/>
      <c r="B1214" s="116"/>
      <c r="C1214" s="116"/>
      <c r="D1214" s="116"/>
      <c r="E1214" s="117"/>
      <c r="F1214" s="116"/>
      <c r="G1214" s="117"/>
      <c r="H1214" s="118"/>
      <c r="I1214" s="116"/>
      <c r="J1214" s="116"/>
      <c r="K1214" s="116"/>
      <c r="L1214" s="116"/>
      <c r="M1214" s="119" t="b">
        <v>0</v>
      </c>
      <c r="N1214" s="113" t="b">
        <v>0</v>
      </c>
      <c r="O1214" s="113" t="b">
        <v>0</v>
      </c>
      <c r="P1214" s="113" t="b">
        <v>0</v>
      </c>
      <c r="Q1214" s="113" t="b">
        <v>0</v>
      </c>
      <c r="R1214" s="113"/>
      <c r="S1214" s="113" t="b">
        <v>0</v>
      </c>
      <c r="T1214" s="113"/>
      <c r="U1214" s="113"/>
      <c r="V1214" s="113" t="b">
        <v>0</v>
      </c>
      <c r="W1214" s="113"/>
      <c r="X1214" s="113" t="b">
        <v>0</v>
      </c>
      <c r="Y1214" s="113"/>
      <c r="Z1214" s="113"/>
      <c r="AA1214" s="113"/>
      <c r="AB1214" s="113"/>
      <c r="AC1214" s="113"/>
      <c r="AD1214" s="113"/>
      <c r="AE1214" s="113"/>
      <c r="AF1214" s="113"/>
    </row>
    <row r="1215">
      <c r="A1215" s="115"/>
      <c r="B1215" s="116"/>
      <c r="C1215" s="116"/>
      <c r="D1215" s="116"/>
      <c r="E1215" s="117"/>
      <c r="F1215" s="116"/>
      <c r="G1215" s="117"/>
      <c r="H1215" s="118"/>
      <c r="I1215" s="116"/>
      <c r="J1215" s="116"/>
      <c r="K1215" s="116"/>
      <c r="L1215" s="116"/>
      <c r="M1215" s="119" t="b">
        <v>0</v>
      </c>
      <c r="N1215" s="113" t="b">
        <v>0</v>
      </c>
      <c r="O1215" s="113" t="b">
        <v>0</v>
      </c>
      <c r="P1215" s="113" t="b">
        <v>0</v>
      </c>
      <c r="Q1215" s="113" t="b">
        <v>0</v>
      </c>
      <c r="R1215" s="113"/>
      <c r="S1215" s="113" t="b">
        <v>0</v>
      </c>
      <c r="T1215" s="113"/>
      <c r="U1215" s="113"/>
      <c r="V1215" s="113" t="b">
        <v>0</v>
      </c>
      <c r="W1215" s="113"/>
      <c r="X1215" s="113" t="b">
        <v>0</v>
      </c>
      <c r="Y1215" s="113"/>
      <c r="Z1215" s="113"/>
      <c r="AA1215" s="113"/>
      <c r="AB1215" s="113"/>
      <c r="AC1215" s="113"/>
      <c r="AD1215" s="113"/>
      <c r="AE1215" s="113"/>
      <c r="AF1215" s="113"/>
    </row>
    <row r="1216">
      <c r="A1216" s="115"/>
      <c r="B1216" s="116"/>
      <c r="C1216" s="116"/>
      <c r="D1216" s="116"/>
      <c r="E1216" s="117"/>
      <c r="F1216" s="116"/>
      <c r="G1216" s="117"/>
      <c r="H1216" s="118"/>
      <c r="I1216" s="116"/>
      <c r="J1216" s="116"/>
      <c r="K1216" s="116"/>
      <c r="L1216" s="116"/>
      <c r="M1216" s="119" t="b">
        <v>0</v>
      </c>
      <c r="N1216" s="113" t="b">
        <v>0</v>
      </c>
      <c r="O1216" s="113" t="b">
        <v>0</v>
      </c>
      <c r="P1216" s="113" t="b">
        <v>0</v>
      </c>
      <c r="Q1216" s="113" t="b">
        <v>0</v>
      </c>
      <c r="R1216" s="113"/>
      <c r="S1216" s="113" t="b">
        <v>0</v>
      </c>
      <c r="T1216" s="113"/>
      <c r="U1216" s="113"/>
      <c r="V1216" s="113" t="b">
        <v>0</v>
      </c>
      <c r="W1216" s="113"/>
      <c r="X1216" s="113" t="b">
        <v>0</v>
      </c>
      <c r="Y1216" s="113"/>
      <c r="Z1216" s="113"/>
      <c r="AA1216" s="113"/>
      <c r="AB1216" s="113"/>
      <c r="AC1216" s="113"/>
      <c r="AD1216" s="113"/>
      <c r="AE1216" s="113"/>
      <c r="AF1216" s="113"/>
    </row>
    <row r="1217">
      <c r="A1217" s="115"/>
      <c r="B1217" s="116"/>
      <c r="C1217" s="116"/>
      <c r="D1217" s="116"/>
      <c r="E1217" s="117"/>
      <c r="F1217" s="116"/>
      <c r="G1217" s="117"/>
      <c r="H1217" s="118"/>
      <c r="I1217" s="116"/>
      <c r="J1217" s="116"/>
      <c r="K1217" s="116"/>
      <c r="L1217" s="116"/>
      <c r="M1217" s="119" t="b">
        <v>0</v>
      </c>
      <c r="N1217" s="113" t="b">
        <v>0</v>
      </c>
      <c r="O1217" s="113" t="b">
        <v>0</v>
      </c>
      <c r="P1217" s="113" t="b">
        <v>0</v>
      </c>
      <c r="Q1217" s="113" t="b">
        <v>0</v>
      </c>
      <c r="R1217" s="113"/>
      <c r="S1217" s="113" t="b">
        <v>0</v>
      </c>
      <c r="T1217" s="113"/>
      <c r="U1217" s="113"/>
      <c r="V1217" s="113" t="b">
        <v>0</v>
      </c>
      <c r="W1217" s="113"/>
      <c r="X1217" s="113" t="b">
        <v>0</v>
      </c>
      <c r="Y1217" s="113"/>
      <c r="Z1217" s="113"/>
      <c r="AA1217" s="113"/>
      <c r="AB1217" s="113"/>
      <c r="AC1217" s="113"/>
      <c r="AD1217" s="113"/>
      <c r="AE1217" s="113"/>
      <c r="AF1217" s="113"/>
    </row>
    <row r="1218">
      <c r="A1218" s="115"/>
      <c r="B1218" s="116"/>
      <c r="C1218" s="116"/>
      <c r="D1218" s="116"/>
      <c r="E1218" s="117"/>
      <c r="F1218" s="116"/>
      <c r="G1218" s="117"/>
      <c r="H1218" s="118"/>
      <c r="I1218" s="116"/>
      <c r="J1218" s="116"/>
      <c r="K1218" s="116"/>
      <c r="L1218" s="116"/>
      <c r="M1218" s="119" t="b">
        <v>0</v>
      </c>
      <c r="N1218" s="113" t="b">
        <v>0</v>
      </c>
      <c r="O1218" s="113" t="b">
        <v>0</v>
      </c>
      <c r="P1218" s="113" t="b">
        <v>0</v>
      </c>
      <c r="Q1218" s="113" t="b">
        <v>0</v>
      </c>
      <c r="R1218" s="113"/>
      <c r="S1218" s="113" t="b">
        <v>0</v>
      </c>
      <c r="T1218" s="113"/>
      <c r="U1218" s="113"/>
      <c r="V1218" s="113" t="b">
        <v>0</v>
      </c>
      <c r="W1218" s="113"/>
      <c r="X1218" s="113" t="b">
        <v>0</v>
      </c>
      <c r="Y1218" s="113"/>
      <c r="Z1218" s="113"/>
      <c r="AA1218" s="113"/>
      <c r="AB1218" s="113"/>
      <c r="AC1218" s="113"/>
      <c r="AD1218" s="113"/>
      <c r="AE1218" s="113"/>
      <c r="AF1218" s="113"/>
    </row>
    <row r="1219">
      <c r="A1219" s="115"/>
      <c r="B1219" s="116"/>
      <c r="C1219" s="116"/>
      <c r="D1219" s="116"/>
      <c r="E1219" s="117"/>
      <c r="F1219" s="116"/>
      <c r="G1219" s="117"/>
      <c r="H1219" s="118"/>
      <c r="I1219" s="116"/>
      <c r="J1219" s="116"/>
      <c r="K1219" s="116"/>
      <c r="L1219" s="116"/>
      <c r="M1219" s="119" t="b">
        <v>0</v>
      </c>
      <c r="N1219" s="113" t="b">
        <v>0</v>
      </c>
      <c r="O1219" s="113" t="b">
        <v>0</v>
      </c>
      <c r="P1219" s="113" t="b">
        <v>0</v>
      </c>
      <c r="Q1219" s="113" t="b">
        <v>0</v>
      </c>
      <c r="R1219" s="113"/>
      <c r="S1219" s="113" t="b">
        <v>0</v>
      </c>
      <c r="T1219" s="113"/>
      <c r="U1219" s="113"/>
      <c r="V1219" s="113" t="b">
        <v>0</v>
      </c>
      <c r="W1219" s="113"/>
      <c r="X1219" s="113" t="b">
        <v>0</v>
      </c>
      <c r="Y1219" s="113"/>
      <c r="Z1219" s="113"/>
      <c r="AA1219" s="113"/>
      <c r="AB1219" s="113"/>
      <c r="AC1219" s="113"/>
      <c r="AD1219" s="113"/>
      <c r="AE1219" s="113"/>
      <c r="AF1219" s="113"/>
    </row>
    <row r="1220">
      <c r="A1220" s="115"/>
      <c r="B1220" s="116"/>
      <c r="C1220" s="116"/>
      <c r="D1220" s="116"/>
      <c r="E1220" s="117"/>
      <c r="F1220" s="116"/>
      <c r="G1220" s="117"/>
      <c r="H1220" s="118"/>
      <c r="I1220" s="116"/>
      <c r="J1220" s="116"/>
      <c r="K1220" s="116"/>
      <c r="L1220" s="116"/>
      <c r="M1220" s="119" t="b">
        <v>0</v>
      </c>
      <c r="N1220" s="113" t="b">
        <v>0</v>
      </c>
      <c r="O1220" s="113" t="b">
        <v>0</v>
      </c>
      <c r="P1220" s="113" t="b">
        <v>0</v>
      </c>
      <c r="Q1220" s="113" t="b">
        <v>0</v>
      </c>
      <c r="R1220" s="113"/>
      <c r="S1220" s="113" t="b">
        <v>0</v>
      </c>
      <c r="T1220" s="113"/>
      <c r="U1220" s="113"/>
      <c r="V1220" s="113" t="b">
        <v>0</v>
      </c>
      <c r="W1220" s="113"/>
      <c r="X1220" s="113" t="b">
        <v>0</v>
      </c>
      <c r="Y1220" s="113"/>
      <c r="Z1220" s="113"/>
      <c r="AA1220" s="113"/>
      <c r="AB1220" s="113"/>
      <c r="AC1220" s="113"/>
      <c r="AD1220" s="113"/>
      <c r="AE1220" s="113"/>
      <c r="AF1220" s="113"/>
    </row>
    <row r="1221">
      <c r="A1221" s="115"/>
      <c r="B1221" s="116"/>
      <c r="C1221" s="116"/>
      <c r="D1221" s="116"/>
      <c r="E1221" s="117"/>
      <c r="F1221" s="116"/>
      <c r="G1221" s="117"/>
      <c r="H1221" s="118"/>
      <c r="I1221" s="116"/>
      <c r="J1221" s="116"/>
      <c r="K1221" s="116"/>
      <c r="L1221" s="116"/>
      <c r="M1221" s="119" t="b">
        <v>0</v>
      </c>
      <c r="N1221" s="113" t="b">
        <v>0</v>
      </c>
      <c r="O1221" s="113" t="b">
        <v>0</v>
      </c>
      <c r="P1221" s="113" t="b">
        <v>0</v>
      </c>
      <c r="Q1221" s="113" t="b">
        <v>0</v>
      </c>
      <c r="R1221" s="113"/>
      <c r="S1221" s="113" t="b">
        <v>0</v>
      </c>
      <c r="T1221" s="113"/>
      <c r="U1221" s="113"/>
      <c r="V1221" s="113" t="b">
        <v>0</v>
      </c>
      <c r="W1221" s="113"/>
      <c r="X1221" s="113" t="b">
        <v>0</v>
      </c>
      <c r="Y1221" s="113"/>
      <c r="Z1221" s="113"/>
      <c r="AA1221" s="113"/>
      <c r="AB1221" s="113"/>
      <c r="AC1221" s="113"/>
      <c r="AD1221" s="113"/>
      <c r="AE1221" s="113"/>
      <c r="AF1221" s="113"/>
    </row>
    <row r="1222">
      <c r="A1222" s="115"/>
      <c r="B1222" s="116"/>
      <c r="C1222" s="116"/>
      <c r="D1222" s="116"/>
      <c r="E1222" s="117"/>
      <c r="F1222" s="116"/>
      <c r="G1222" s="117"/>
      <c r="H1222" s="118"/>
      <c r="I1222" s="116"/>
      <c r="J1222" s="116"/>
      <c r="K1222" s="116"/>
      <c r="L1222" s="116"/>
      <c r="M1222" s="119" t="b">
        <v>0</v>
      </c>
      <c r="N1222" s="113" t="b">
        <v>0</v>
      </c>
      <c r="O1222" s="113" t="b">
        <v>0</v>
      </c>
      <c r="P1222" s="113" t="b">
        <v>0</v>
      </c>
      <c r="Q1222" s="113" t="b">
        <v>0</v>
      </c>
      <c r="R1222" s="113"/>
      <c r="S1222" s="113" t="b">
        <v>0</v>
      </c>
      <c r="T1222" s="113"/>
      <c r="U1222" s="113"/>
      <c r="V1222" s="113" t="b">
        <v>0</v>
      </c>
      <c r="W1222" s="113"/>
      <c r="X1222" s="113" t="b">
        <v>0</v>
      </c>
      <c r="Y1222" s="113"/>
      <c r="Z1222" s="113"/>
      <c r="AA1222" s="113"/>
      <c r="AB1222" s="113"/>
      <c r="AC1222" s="113"/>
      <c r="AD1222" s="113"/>
      <c r="AE1222" s="113"/>
      <c r="AF1222" s="113"/>
    </row>
    <row r="1223">
      <c r="A1223" s="115"/>
      <c r="B1223" s="116"/>
      <c r="C1223" s="116"/>
      <c r="D1223" s="116"/>
      <c r="E1223" s="117"/>
      <c r="F1223" s="116"/>
      <c r="G1223" s="117"/>
      <c r="H1223" s="118"/>
      <c r="I1223" s="116"/>
      <c r="J1223" s="116"/>
      <c r="K1223" s="116"/>
      <c r="L1223" s="116"/>
      <c r="M1223" s="119" t="b">
        <v>0</v>
      </c>
      <c r="N1223" s="113" t="b">
        <v>0</v>
      </c>
      <c r="O1223" s="113" t="b">
        <v>0</v>
      </c>
      <c r="P1223" s="113" t="b">
        <v>0</v>
      </c>
      <c r="Q1223" s="113" t="b">
        <v>0</v>
      </c>
      <c r="R1223" s="113"/>
      <c r="S1223" s="113" t="b">
        <v>0</v>
      </c>
      <c r="T1223" s="113"/>
      <c r="U1223" s="113"/>
      <c r="V1223" s="113" t="b">
        <v>0</v>
      </c>
      <c r="W1223" s="113"/>
      <c r="X1223" s="113" t="b">
        <v>0</v>
      </c>
      <c r="Y1223" s="113"/>
      <c r="Z1223" s="113"/>
      <c r="AA1223" s="113"/>
      <c r="AB1223" s="113"/>
      <c r="AC1223" s="113"/>
      <c r="AD1223" s="113"/>
      <c r="AE1223" s="113"/>
      <c r="AF1223" s="113"/>
    </row>
    <row r="1224">
      <c r="A1224" s="115"/>
      <c r="B1224" s="116"/>
      <c r="C1224" s="116"/>
      <c r="D1224" s="116"/>
      <c r="E1224" s="117"/>
      <c r="F1224" s="116"/>
      <c r="G1224" s="117"/>
      <c r="H1224" s="118"/>
      <c r="I1224" s="116"/>
      <c r="J1224" s="116"/>
      <c r="K1224" s="116"/>
      <c r="L1224" s="116"/>
      <c r="M1224" s="119" t="b">
        <v>0</v>
      </c>
      <c r="N1224" s="113" t="b">
        <v>0</v>
      </c>
      <c r="O1224" s="113" t="b">
        <v>0</v>
      </c>
      <c r="P1224" s="113" t="b">
        <v>0</v>
      </c>
      <c r="Q1224" s="113" t="b">
        <v>0</v>
      </c>
      <c r="R1224" s="113"/>
      <c r="S1224" s="113" t="b">
        <v>0</v>
      </c>
      <c r="T1224" s="113"/>
      <c r="U1224" s="113"/>
      <c r="V1224" s="113" t="b">
        <v>0</v>
      </c>
      <c r="W1224" s="113"/>
      <c r="X1224" s="113" t="b">
        <v>0</v>
      </c>
      <c r="Y1224" s="113"/>
      <c r="Z1224" s="113"/>
      <c r="AA1224" s="113"/>
      <c r="AB1224" s="113"/>
      <c r="AC1224" s="113"/>
      <c r="AD1224" s="113"/>
      <c r="AE1224" s="113"/>
      <c r="AF1224" s="113"/>
    </row>
    <row r="1225">
      <c r="A1225" s="115"/>
      <c r="B1225" s="116"/>
      <c r="C1225" s="116"/>
      <c r="D1225" s="116"/>
      <c r="E1225" s="117"/>
      <c r="F1225" s="116"/>
      <c r="G1225" s="117"/>
      <c r="H1225" s="118"/>
      <c r="I1225" s="116"/>
      <c r="J1225" s="116"/>
      <c r="K1225" s="116"/>
      <c r="L1225" s="116"/>
      <c r="M1225" s="119" t="b">
        <v>0</v>
      </c>
      <c r="N1225" s="113" t="b">
        <v>0</v>
      </c>
      <c r="O1225" s="113" t="b">
        <v>0</v>
      </c>
      <c r="P1225" s="113" t="b">
        <v>0</v>
      </c>
      <c r="Q1225" s="113" t="b">
        <v>0</v>
      </c>
      <c r="R1225" s="113"/>
      <c r="S1225" s="113" t="b">
        <v>0</v>
      </c>
      <c r="T1225" s="113"/>
      <c r="U1225" s="113"/>
      <c r="V1225" s="113" t="b">
        <v>0</v>
      </c>
      <c r="W1225" s="113"/>
      <c r="X1225" s="113" t="b">
        <v>0</v>
      </c>
      <c r="Y1225" s="113"/>
      <c r="Z1225" s="113"/>
      <c r="AA1225" s="113"/>
      <c r="AB1225" s="113"/>
      <c r="AC1225" s="113"/>
      <c r="AD1225" s="113"/>
      <c r="AE1225" s="113"/>
      <c r="AF1225" s="113"/>
    </row>
    <row r="1226">
      <c r="A1226" s="115"/>
      <c r="B1226" s="116"/>
      <c r="C1226" s="116"/>
      <c r="D1226" s="116"/>
      <c r="E1226" s="117"/>
      <c r="F1226" s="116"/>
      <c r="G1226" s="117"/>
      <c r="H1226" s="118"/>
      <c r="I1226" s="116"/>
      <c r="J1226" s="116"/>
      <c r="K1226" s="116"/>
      <c r="L1226" s="116"/>
      <c r="M1226" s="119" t="b">
        <v>0</v>
      </c>
      <c r="N1226" s="113" t="b">
        <v>0</v>
      </c>
      <c r="O1226" s="113" t="b">
        <v>0</v>
      </c>
      <c r="P1226" s="113" t="b">
        <v>0</v>
      </c>
      <c r="Q1226" s="113" t="b">
        <v>0</v>
      </c>
      <c r="R1226" s="113"/>
      <c r="S1226" s="113" t="b">
        <v>0</v>
      </c>
      <c r="T1226" s="113"/>
      <c r="U1226" s="113"/>
      <c r="V1226" s="113" t="b">
        <v>0</v>
      </c>
      <c r="W1226" s="113"/>
      <c r="X1226" s="113" t="b">
        <v>0</v>
      </c>
      <c r="Y1226" s="113"/>
      <c r="Z1226" s="113"/>
      <c r="AA1226" s="113"/>
      <c r="AB1226" s="113"/>
      <c r="AC1226" s="113"/>
      <c r="AD1226" s="113"/>
      <c r="AE1226" s="113"/>
      <c r="AF1226" s="113"/>
    </row>
    <row r="1227">
      <c r="A1227" s="115"/>
      <c r="B1227" s="116"/>
      <c r="C1227" s="116"/>
      <c r="D1227" s="116"/>
      <c r="E1227" s="117"/>
      <c r="F1227" s="116"/>
      <c r="G1227" s="117"/>
      <c r="H1227" s="118"/>
      <c r="I1227" s="116"/>
      <c r="J1227" s="116"/>
      <c r="K1227" s="116"/>
      <c r="L1227" s="116"/>
      <c r="M1227" s="119" t="b">
        <v>0</v>
      </c>
      <c r="N1227" s="113" t="b">
        <v>0</v>
      </c>
      <c r="O1227" s="113" t="b">
        <v>0</v>
      </c>
      <c r="P1227" s="113" t="b">
        <v>0</v>
      </c>
      <c r="Q1227" s="113" t="b">
        <v>0</v>
      </c>
      <c r="R1227" s="113"/>
      <c r="S1227" s="113" t="b">
        <v>0</v>
      </c>
      <c r="T1227" s="113"/>
      <c r="U1227" s="113"/>
      <c r="V1227" s="113" t="b">
        <v>0</v>
      </c>
      <c r="W1227" s="113"/>
      <c r="X1227" s="113" t="b">
        <v>0</v>
      </c>
      <c r="Y1227" s="113"/>
      <c r="Z1227" s="113"/>
      <c r="AA1227" s="113"/>
      <c r="AB1227" s="113"/>
      <c r="AC1227" s="113"/>
      <c r="AD1227" s="113"/>
      <c r="AE1227" s="113"/>
      <c r="AF1227" s="113"/>
    </row>
    <row r="1228">
      <c r="A1228" s="115"/>
      <c r="B1228" s="116"/>
      <c r="C1228" s="116"/>
      <c r="D1228" s="116"/>
      <c r="E1228" s="117"/>
      <c r="F1228" s="116"/>
      <c r="G1228" s="117"/>
      <c r="H1228" s="118"/>
      <c r="I1228" s="116"/>
      <c r="J1228" s="116"/>
      <c r="K1228" s="116"/>
      <c r="L1228" s="116"/>
      <c r="M1228" s="119" t="b">
        <v>0</v>
      </c>
      <c r="N1228" s="113" t="b">
        <v>0</v>
      </c>
      <c r="O1228" s="113" t="b">
        <v>0</v>
      </c>
      <c r="P1228" s="113" t="b">
        <v>0</v>
      </c>
      <c r="Q1228" s="113" t="b">
        <v>0</v>
      </c>
      <c r="R1228" s="113"/>
      <c r="S1228" s="113" t="b">
        <v>0</v>
      </c>
      <c r="T1228" s="113"/>
      <c r="U1228" s="113"/>
      <c r="V1228" s="113" t="b">
        <v>0</v>
      </c>
      <c r="W1228" s="113"/>
      <c r="X1228" s="113" t="b">
        <v>0</v>
      </c>
      <c r="Y1228" s="113"/>
      <c r="Z1228" s="113"/>
      <c r="AA1228" s="113"/>
      <c r="AB1228" s="113"/>
      <c r="AC1228" s="113"/>
      <c r="AD1228" s="113"/>
      <c r="AE1228" s="113"/>
      <c r="AF1228" s="113"/>
    </row>
    <row r="1229">
      <c r="A1229" s="115"/>
      <c r="B1229" s="116"/>
      <c r="C1229" s="116"/>
      <c r="D1229" s="116"/>
      <c r="E1229" s="117"/>
      <c r="F1229" s="116"/>
      <c r="G1229" s="117"/>
      <c r="H1229" s="118"/>
      <c r="I1229" s="116"/>
      <c r="J1229" s="116"/>
      <c r="K1229" s="116"/>
      <c r="L1229" s="116"/>
      <c r="M1229" s="119" t="b">
        <v>0</v>
      </c>
      <c r="N1229" s="113" t="b">
        <v>0</v>
      </c>
      <c r="O1229" s="113" t="b">
        <v>0</v>
      </c>
      <c r="P1229" s="113" t="b">
        <v>0</v>
      </c>
      <c r="Q1229" s="113" t="b">
        <v>0</v>
      </c>
      <c r="R1229" s="113"/>
      <c r="S1229" s="113" t="b">
        <v>0</v>
      </c>
      <c r="T1229" s="113"/>
      <c r="U1229" s="113"/>
      <c r="V1229" s="113" t="b">
        <v>0</v>
      </c>
      <c r="W1229" s="113"/>
      <c r="X1229" s="113" t="b">
        <v>0</v>
      </c>
      <c r="Y1229" s="113"/>
      <c r="Z1229" s="113"/>
      <c r="AA1229" s="113"/>
      <c r="AB1229" s="113"/>
      <c r="AC1229" s="113"/>
      <c r="AD1229" s="113"/>
      <c r="AE1229" s="113"/>
      <c r="AF1229" s="113"/>
    </row>
    <row r="1230">
      <c r="A1230" s="115"/>
      <c r="B1230" s="116"/>
      <c r="C1230" s="116"/>
      <c r="D1230" s="116"/>
      <c r="E1230" s="117"/>
      <c r="F1230" s="116"/>
      <c r="G1230" s="117"/>
      <c r="H1230" s="118"/>
      <c r="I1230" s="116"/>
      <c r="J1230" s="116"/>
      <c r="K1230" s="116"/>
      <c r="L1230" s="116"/>
      <c r="M1230" s="119" t="b">
        <v>0</v>
      </c>
      <c r="N1230" s="113" t="b">
        <v>0</v>
      </c>
      <c r="O1230" s="113" t="b">
        <v>0</v>
      </c>
      <c r="P1230" s="113" t="b">
        <v>0</v>
      </c>
      <c r="Q1230" s="113" t="b">
        <v>0</v>
      </c>
      <c r="R1230" s="113"/>
      <c r="S1230" s="113" t="b">
        <v>0</v>
      </c>
      <c r="T1230" s="113"/>
      <c r="U1230" s="113"/>
      <c r="V1230" s="113" t="b">
        <v>0</v>
      </c>
      <c r="W1230" s="113"/>
      <c r="X1230" s="113" t="b">
        <v>0</v>
      </c>
      <c r="Y1230" s="113"/>
      <c r="Z1230" s="113"/>
      <c r="AA1230" s="113"/>
      <c r="AB1230" s="113"/>
      <c r="AC1230" s="113"/>
      <c r="AD1230" s="113"/>
      <c r="AE1230" s="113"/>
      <c r="AF1230" s="113"/>
    </row>
    <row r="1231">
      <c r="A1231" s="115"/>
      <c r="B1231" s="116"/>
      <c r="C1231" s="116"/>
      <c r="D1231" s="116"/>
      <c r="E1231" s="117"/>
      <c r="F1231" s="116"/>
      <c r="G1231" s="117"/>
      <c r="H1231" s="118"/>
      <c r="I1231" s="116"/>
      <c r="J1231" s="116"/>
      <c r="K1231" s="116"/>
      <c r="L1231" s="116"/>
      <c r="M1231" s="119" t="b">
        <v>0</v>
      </c>
      <c r="N1231" s="113" t="b">
        <v>0</v>
      </c>
      <c r="O1231" s="113" t="b">
        <v>0</v>
      </c>
      <c r="P1231" s="113" t="b">
        <v>0</v>
      </c>
      <c r="Q1231" s="113" t="b">
        <v>0</v>
      </c>
      <c r="R1231" s="113"/>
      <c r="S1231" s="113" t="b">
        <v>0</v>
      </c>
      <c r="T1231" s="113"/>
      <c r="U1231" s="113"/>
      <c r="V1231" s="113" t="b">
        <v>0</v>
      </c>
      <c r="W1231" s="113"/>
      <c r="X1231" s="113" t="b">
        <v>0</v>
      </c>
      <c r="Y1231" s="113"/>
      <c r="Z1231" s="113"/>
      <c r="AA1231" s="113"/>
      <c r="AB1231" s="113"/>
      <c r="AC1231" s="113"/>
      <c r="AD1231" s="113"/>
      <c r="AE1231" s="113"/>
      <c r="AF1231" s="113"/>
    </row>
    <row r="1232">
      <c r="A1232" s="115"/>
      <c r="B1232" s="116"/>
      <c r="C1232" s="116"/>
      <c r="D1232" s="116"/>
      <c r="E1232" s="117"/>
      <c r="F1232" s="116"/>
      <c r="G1232" s="117"/>
      <c r="H1232" s="118"/>
      <c r="I1232" s="116"/>
      <c r="J1232" s="116"/>
      <c r="K1232" s="116"/>
      <c r="L1232" s="116"/>
      <c r="M1232" s="119" t="b">
        <v>0</v>
      </c>
      <c r="N1232" s="113" t="b">
        <v>0</v>
      </c>
      <c r="O1232" s="113" t="b">
        <v>0</v>
      </c>
      <c r="P1232" s="113" t="b">
        <v>0</v>
      </c>
      <c r="Q1232" s="113" t="b">
        <v>0</v>
      </c>
      <c r="R1232" s="113"/>
      <c r="S1232" s="113" t="b">
        <v>0</v>
      </c>
      <c r="T1232" s="113"/>
      <c r="U1232" s="113"/>
      <c r="V1232" s="113" t="b">
        <v>0</v>
      </c>
      <c r="W1232" s="113"/>
      <c r="X1232" s="113" t="b">
        <v>0</v>
      </c>
      <c r="Y1232" s="113"/>
      <c r="Z1232" s="113"/>
      <c r="AA1232" s="113"/>
      <c r="AB1232" s="113"/>
      <c r="AC1232" s="113"/>
      <c r="AD1232" s="113"/>
      <c r="AE1232" s="113"/>
      <c r="AF1232" s="113"/>
    </row>
    <row r="1233">
      <c r="A1233" s="115"/>
      <c r="B1233" s="116"/>
      <c r="C1233" s="116"/>
      <c r="D1233" s="116"/>
      <c r="E1233" s="117"/>
      <c r="F1233" s="116"/>
      <c r="G1233" s="117"/>
      <c r="H1233" s="118"/>
      <c r="I1233" s="116"/>
      <c r="J1233" s="116"/>
      <c r="K1233" s="116"/>
      <c r="L1233" s="116"/>
      <c r="M1233" s="119" t="b">
        <v>0</v>
      </c>
      <c r="N1233" s="113" t="b">
        <v>0</v>
      </c>
      <c r="O1233" s="113" t="b">
        <v>0</v>
      </c>
      <c r="P1233" s="113" t="b">
        <v>0</v>
      </c>
      <c r="Q1233" s="113" t="b">
        <v>0</v>
      </c>
      <c r="R1233" s="113"/>
      <c r="S1233" s="113" t="b">
        <v>0</v>
      </c>
      <c r="T1233" s="113"/>
      <c r="U1233" s="113"/>
      <c r="V1233" s="113" t="b">
        <v>0</v>
      </c>
      <c r="W1233" s="113"/>
      <c r="X1233" s="113" t="b">
        <v>0</v>
      </c>
      <c r="Y1233" s="113"/>
      <c r="Z1233" s="113"/>
      <c r="AA1233" s="113"/>
      <c r="AB1233" s="113"/>
      <c r="AC1233" s="113"/>
      <c r="AD1233" s="113"/>
      <c r="AE1233" s="113"/>
      <c r="AF1233" s="113"/>
    </row>
    <row r="1234">
      <c r="A1234" s="115"/>
      <c r="B1234" s="116"/>
      <c r="C1234" s="116"/>
      <c r="D1234" s="116"/>
      <c r="E1234" s="117"/>
      <c r="F1234" s="116"/>
      <c r="G1234" s="117"/>
      <c r="H1234" s="118"/>
      <c r="I1234" s="116"/>
      <c r="J1234" s="116"/>
      <c r="K1234" s="116"/>
      <c r="L1234" s="116"/>
      <c r="M1234" s="119" t="b">
        <v>0</v>
      </c>
      <c r="N1234" s="113" t="b">
        <v>0</v>
      </c>
      <c r="O1234" s="113" t="b">
        <v>0</v>
      </c>
      <c r="P1234" s="113" t="b">
        <v>0</v>
      </c>
      <c r="Q1234" s="113" t="b">
        <v>0</v>
      </c>
      <c r="R1234" s="113"/>
      <c r="S1234" s="113" t="b">
        <v>0</v>
      </c>
      <c r="T1234" s="113"/>
      <c r="U1234" s="113"/>
      <c r="V1234" s="113" t="b">
        <v>0</v>
      </c>
      <c r="W1234" s="113"/>
      <c r="X1234" s="113" t="b">
        <v>0</v>
      </c>
      <c r="Y1234" s="113"/>
      <c r="Z1234" s="113"/>
      <c r="AA1234" s="113"/>
      <c r="AB1234" s="113"/>
      <c r="AC1234" s="113"/>
      <c r="AD1234" s="113"/>
      <c r="AE1234" s="113"/>
      <c r="AF1234" s="113"/>
    </row>
    <row r="1235">
      <c r="A1235" s="115"/>
      <c r="B1235" s="116"/>
      <c r="C1235" s="116"/>
      <c r="D1235" s="116"/>
      <c r="E1235" s="117"/>
      <c r="F1235" s="116"/>
      <c r="G1235" s="117"/>
      <c r="H1235" s="118"/>
      <c r="I1235" s="116"/>
      <c r="J1235" s="116"/>
      <c r="K1235" s="116"/>
      <c r="L1235" s="116"/>
      <c r="M1235" s="119" t="b">
        <v>0</v>
      </c>
      <c r="N1235" s="113" t="b">
        <v>0</v>
      </c>
      <c r="O1235" s="113" t="b">
        <v>0</v>
      </c>
      <c r="P1235" s="113" t="b">
        <v>0</v>
      </c>
      <c r="Q1235" s="113" t="b">
        <v>0</v>
      </c>
      <c r="R1235" s="113"/>
      <c r="S1235" s="113" t="b">
        <v>0</v>
      </c>
      <c r="T1235" s="113"/>
      <c r="U1235" s="113"/>
      <c r="V1235" s="113" t="b">
        <v>0</v>
      </c>
      <c r="W1235" s="113"/>
      <c r="X1235" s="113" t="b">
        <v>0</v>
      </c>
      <c r="Y1235" s="113"/>
      <c r="Z1235" s="113"/>
      <c r="AA1235" s="113"/>
      <c r="AB1235" s="113"/>
      <c r="AC1235" s="113"/>
      <c r="AD1235" s="113"/>
      <c r="AE1235" s="113"/>
      <c r="AF1235" s="113"/>
    </row>
    <row r="1236">
      <c r="A1236" s="115"/>
      <c r="B1236" s="116"/>
      <c r="C1236" s="116"/>
      <c r="D1236" s="116"/>
      <c r="E1236" s="117"/>
      <c r="F1236" s="116"/>
      <c r="G1236" s="117"/>
      <c r="H1236" s="118"/>
      <c r="I1236" s="116"/>
      <c r="J1236" s="116"/>
      <c r="K1236" s="116"/>
      <c r="L1236" s="116"/>
      <c r="M1236" s="119" t="b">
        <v>0</v>
      </c>
      <c r="N1236" s="113" t="b">
        <v>0</v>
      </c>
      <c r="O1236" s="113" t="b">
        <v>0</v>
      </c>
      <c r="P1236" s="113" t="b">
        <v>0</v>
      </c>
      <c r="Q1236" s="113" t="b">
        <v>0</v>
      </c>
      <c r="R1236" s="113"/>
      <c r="S1236" s="113" t="b">
        <v>0</v>
      </c>
      <c r="T1236" s="113"/>
      <c r="U1236" s="113"/>
      <c r="V1236" s="113" t="b">
        <v>0</v>
      </c>
      <c r="W1236" s="113"/>
      <c r="X1236" s="113" t="b">
        <v>0</v>
      </c>
      <c r="Y1236" s="113"/>
      <c r="Z1236" s="113"/>
      <c r="AA1236" s="113"/>
      <c r="AB1236" s="113"/>
      <c r="AC1236" s="113"/>
      <c r="AD1236" s="113"/>
      <c r="AE1236" s="113"/>
      <c r="AF1236" s="113"/>
    </row>
    <row r="1237">
      <c r="A1237" s="115"/>
      <c r="B1237" s="116"/>
      <c r="C1237" s="116"/>
      <c r="D1237" s="116"/>
      <c r="E1237" s="117"/>
      <c r="F1237" s="116"/>
      <c r="G1237" s="117"/>
      <c r="H1237" s="118"/>
      <c r="I1237" s="116"/>
      <c r="J1237" s="116"/>
      <c r="K1237" s="116"/>
      <c r="L1237" s="116"/>
      <c r="M1237" s="119" t="b">
        <v>0</v>
      </c>
      <c r="N1237" s="113" t="b">
        <v>0</v>
      </c>
      <c r="O1237" s="113" t="b">
        <v>0</v>
      </c>
      <c r="P1237" s="113" t="b">
        <v>0</v>
      </c>
      <c r="Q1237" s="113" t="b">
        <v>0</v>
      </c>
      <c r="R1237" s="113"/>
      <c r="S1237" s="113" t="b">
        <v>0</v>
      </c>
      <c r="T1237" s="113"/>
      <c r="U1237" s="113"/>
      <c r="V1237" s="113" t="b">
        <v>0</v>
      </c>
      <c r="W1237" s="113"/>
      <c r="X1237" s="113" t="b">
        <v>0</v>
      </c>
      <c r="Y1237" s="113"/>
      <c r="Z1237" s="113"/>
      <c r="AA1237" s="113"/>
      <c r="AB1237" s="113"/>
      <c r="AC1237" s="113"/>
      <c r="AD1237" s="113"/>
      <c r="AE1237" s="113"/>
      <c r="AF1237" s="113"/>
    </row>
    <row r="1238">
      <c r="A1238" s="115"/>
      <c r="B1238" s="116"/>
      <c r="C1238" s="116"/>
      <c r="D1238" s="116"/>
      <c r="E1238" s="117"/>
      <c r="F1238" s="116"/>
      <c r="G1238" s="117"/>
      <c r="H1238" s="118"/>
      <c r="I1238" s="116"/>
      <c r="J1238" s="116"/>
      <c r="K1238" s="116"/>
      <c r="L1238" s="116"/>
      <c r="M1238" s="119" t="b">
        <v>0</v>
      </c>
      <c r="N1238" s="113" t="b">
        <v>0</v>
      </c>
      <c r="O1238" s="113" t="b">
        <v>0</v>
      </c>
      <c r="P1238" s="113" t="b">
        <v>0</v>
      </c>
      <c r="Q1238" s="113" t="b">
        <v>0</v>
      </c>
      <c r="R1238" s="113"/>
      <c r="S1238" s="113" t="b">
        <v>0</v>
      </c>
      <c r="T1238" s="113"/>
      <c r="U1238" s="113"/>
      <c r="V1238" s="113" t="b">
        <v>0</v>
      </c>
      <c r="W1238" s="113"/>
      <c r="X1238" s="113" t="b">
        <v>0</v>
      </c>
      <c r="Y1238" s="113"/>
      <c r="Z1238" s="113"/>
      <c r="AA1238" s="113"/>
      <c r="AB1238" s="113"/>
      <c r="AC1238" s="113"/>
      <c r="AD1238" s="113"/>
      <c r="AE1238" s="113"/>
      <c r="AF1238" s="113"/>
    </row>
    <row r="1239">
      <c r="A1239" s="115"/>
      <c r="B1239" s="116"/>
      <c r="C1239" s="116"/>
      <c r="D1239" s="116"/>
      <c r="E1239" s="117"/>
      <c r="F1239" s="116"/>
      <c r="G1239" s="117"/>
      <c r="H1239" s="118"/>
      <c r="I1239" s="116"/>
      <c r="J1239" s="116"/>
      <c r="K1239" s="116"/>
      <c r="L1239" s="116"/>
      <c r="M1239" s="119" t="b">
        <v>0</v>
      </c>
      <c r="N1239" s="113" t="b">
        <v>0</v>
      </c>
      <c r="O1239" s="113" t="b">
        <v>0</v>
      </c>
      <c r="P1239" s="113" t="b">
        <v>0</v>
      </c>
      <c r="Q1239" s="113" t="b">
        <v>0</v>
      </c>
      <c r="R1239" s="113"/>
      <c r="S1239" s="113" t="b">
        <v>0</v>
      </c>
      <c r="T1239" s="113"/>
      <c r="U1239" s="113"/>
      <c r="V1239" s="113" t="b">
        <v>0</v>
      </c>
      <c r="W1239" s="113"/>
      <c r="X1239" s="113" t="b">
        <v>0</v>
      </c>
      <c r="Y1239" s="113"/>
      <c r="Z1239" s="113"/>
      <c r="AA1239" s="113"/>
      <c r="AB1239" s="113"/>
      <c r="AC1239" s="113"/>
      <c r="AD1239" s="113"/>
      <c r="AE1239" s="113"/>
      <c r="AF1239" s="113"/>
    </row>
    <row r="1240">
      <c r="A1240" s="115"/>
      <c r="B1240" s="116"/>
      <c r="C1240" s="116"/>
      <c r="D1240" s="116"/>
      <c r="E1240" s="117"/>
      <c r="F1240" s="116"/>
      <c r="G1240" s="117"/>
      <c r="H1240" s="118"/>
      <c r="I1240" s="116"/>
      <c r="J1240" s="116"/>
      <c r="K1240" s="116"/>
      <c r="L1240" s="116"/>
      <c r="M1240" s="119" t="b">
        <v>0</v>
      </c>
      <c r="N1240" s="113" t="b">
        <v>0</v>
      </c>
      <c r="O1240" s="113" t="b">
        <v>0</v>
      </c>
      <c r="P1240" s="113" t="b">
        <v>0</v>
      </c>
      <c r="Q1240" s="113" t="b">
        <v>0</v>
      </c>
      <c r="R1240" s="113"/>
      <c r="S1240" s="113" t="b">
        <v>0</v>
      </c>
      <c r="T1240" s="113"/>
      <c r="U1240" s="113"/>
      <c r="V1240" s="113" t="b">
        <v>0</v>
      </c>
      <c r="W1240" s="113"/>
      <c r="X1240" s="113" t="b">
        <v>0</v>
      </c>
      <c r="Y1240" s="113"/>
      <c r="Z1240" s="113"/>
      <c r="AA1240" s="113"/>
      <c r="AB1240" s="113"/>
      <c r="AC1240" s="113"/>
      <c r="AD1240" s="113"/>
      <c r="AE1240" s="113"/>
      <c r="AF1240" s="113"/>
    </row>
    <row r="1241">
      <c r="A1241" s="115"/>
      <c r="B1241" s="116"/>
      <c r="C1241" s="116"/>
      <c r="D1241" s="116"/>
      <c r="E1241" s="117"/>
      <c r="F1241" s="116"/>
      <c r="G1241" s="117"/>
      <c r="H1241" s="118"/>
      <c r="I1241" s="116"/>
      <c r="J1241" s="116"/>
      <c r="K1241" s="116"/>
      <c r="L1241" s="116"/>
      <c r="M1241" s="119" t="b">
        <v>0</v>
      </c>
      <c r="N1241" s="113" t="b">
        <v>0</v>
      </c>
      <c r="O1241" s="113" t="b">
        <v>0</v>
      </c>
      <c r="P1241" s="113" t="b">
        <v>0</v>
      </c>
      <c r="Q1241" s="113" t="b">
        <v>0</v>
      </c>
      <c r="R1241" s="113"/>
      <c r="S1241" s="113" t="b">
        <v>0</v>
      </c>
      <c r="T1241" s="113"/>
      <c r="U1241" s="113"/>
      <c r="V1241" s="113" t="b">
        <v>0</v>
      </c>
      <c r="W1241" s="113"/>
      <c r="X1241" s="113" t="b">
        <v>0</v>
      </c>
      <c r="Y1241" s="113"/>
      <c r="Z1241" s="113"/>
      <c r="AA1241" s="113"/>
      <c r="AB1241" s="113"/>
      <c r="AC1241" s="113"/>
      <c r="AD1241" s="113"/>
      <c r="AE1241" s="113"/>
      <c r="AF1241" s="113"/>
    </row>
    <row r="1242">
      <c r="A1242" s="115"/>
      <c r="B1242" s="116"/>
      <c r="C1242" s="116"/>
      <c r="D1242" s="116"/>
      <c r="E1242" s="117"/>
      <c r="F1242" s="116"/>
      <c r="G1242" s="117"/>
      <c r="H1242" s="118"/>
      <c r="I1242" s="116"/>
      <c r="J1242" s="116"/>
      <c r="K1242" s="116"/>
      <c r="L1242" s="116"/>
      <c r="M1242" s="119" t="b">
        <v>0</v>
      </c>
      <c r="N1242" s="113" t="b">
        <v>0</v>
      </c>
      <c r="O1242" s="113" t="b">
        <v>0</v>
      </c>
      <c r="P1242" s="113" t="b">
        <v>0</v>
      </c>
      <c r="Q1242" s="113" t="b">
        <v>0</v>
      </c>
      <c r="R1242" s="113"/>
      <c r="S1242" s="113" t="b">
        <v>0</v>
      </c>
      <c r="T1242" s="113"/>
      <c r="U1242" s="113"/>
      <c r="V1242" s="113" t="b">
        <v>0</v>
      </c>
      <c r="W1242" s="113"/>
      <c r="X1242" s="113" t="b">
        <v>0</v>
      </c>
      <c r="Y1242" s="113"/>
      <c r="Z1242" s="113"/>
      <c r="AA1242" s="113"/>
      <c r="AB1242" s="113"/>
      <c r="AC1242" s="113"/>
      <c r="AD1242" s="113"/>
      <c r="AE1242" s="113"/>
      <c r="AF1242" s="113"/>
    </row>
    <row r="1243">
      <c r="A1243" s="115"/>
      <c r="B1243" s="116"/>
      <c r="C1243" s="116"/>
      <c r="D1243" s="116"/>
      <c r="E1243" s="117"/>
      <c r="F1243" s="116"/>
      <c r="G1243" s="117"/>
      <c r="H1243" s="118"/>
      <c r="I1243" s="116"/>
      <c r="J1243" s="116"/>
      <c r="K1243" s="116"/>
      <c r="L1243" s="116"/>
      <c r="M1243" s="119" t="b">
        <v>0</v>
      </c>
      <c r="N1243" s="113" t="b">
        <v>0</v>
      </c>
      <c r="O1243" s="113" t="b">
        <v>0</v>
      </c>
      <c r="P1243" s="113" t="b">
        <v>0</v>
      </c>
      <c r="Q1243" s="113" t="b">
        <v>0</v>
      </c>
      <c r="R1243" s="113"/>
      <c r="S1243" s="113" t="b">
        <v>0</v>
      </c>
      <c r="T1243" s="113"/>
      <c r="U1243" s="113"/>
      <c r="V1243" s="113" t="b">
        <v>0</v>
      </c>
      <c r="W1243" s="113"/>
      <c r="X1243" s="113" t="b">
        <v>0</v>
      </c>
      <c r="Y1243" s="113"/>
      <c r="Z1243" s="113"/>
      <c r="AA1243" s="113"/>
      <c r="AB1243" s="113"/>
      <c r="AC1243" s="113"/>
      <c r="AD1243" s="113"/>
      <c r="AE1243" s="113"/>
      <c r="AF1243" s="113"/>
    </row>
    <row r="1244">
      <c r="A1244" s="115"/>
      <c r="B1244" s="116"/>
      <c r="C1244" s="116"/>
      <c r="D1244" s="116"/>
      <c r="E1244" s="117"/>
      <c r="F1244" s="116"/>
      <c r="G1244" s="117"/>
      <c r="H1244" s="118"/>
      <c r="I1244" s="116"/>
      <c r="J1244" s="116"/>
      <c r="K1244" s="116"/>
      <c r="L1244" s="116"/>
      <c r="M1244" s="119" t="b">
        <v>0</v>
      </c>
      <c r="N1244" s="113" t="b">
        <v>0</v>
      </c>
      <c r="O1244" s="113" t="b">
        <v>0</v>
      </c>
      <c r="P1244" s="113" t="b">
        <v>0</v>
      </c>
      <c r="Q1244" s="113" t="b">
        <v>0</v>
      </c>
      <c r="R1244" s="113"/>
      <c r="S1244" s="113" t="b">
        <v>0</v>
      </c>
      <c r="T1244" s="113"/>
      <c r="U1244" s="113"/>
      <c r="V1244" s="113" t="b">
        <v>0</v>
      </c>
      <c r="W1244" s="113"/>
      <c r="X1244" s="113" t="b">
        <v>0</v>
      </c>
      <c r="Y1244" s="113"/>
      <c r="Z1244" s="113"/>
      <c r="AA1244" s="113"/>
      <c r="AB1244" s="113"/>
      <c r="AC1244" s="113"/>
      <c r="AD1244" s="113"/>
      <c r="AE1244" s="113"/>
      <c r="AF1244" s="113"/>
    </row>
    <row r="1245">
      <c r="A1245" s="115"/>
      <c r="B1245" s="116"/>
      <c r="C1245" s="116"/>
      <c r="D1245" s="116"/>
      <c r="E1245" s="117"/>
      <c r="F1245" s="116"/>
      <c r="G1245" s="117"/>
      <c r="H1245" s="118"/>
      <c r="I1245" s="116"/>
      <c r="J1245" s="116"/>
      <c r="K1245" s="116"/>
      <c r="L1245" s="116"/>
      <c r="M1245" s="119" t="b">
        <v>0</v>
      </c>
      <c r="N1245" s="113" t="b">
        <v>0</v>
      </c>
      <c r="O1245" s="113" t="b">
        <v>0</v>
      </c>
      <c r="P1245" s="113" t="b">
        <v>0</v>
      </c>
      <c r="Q1245" s="113" t="b">
        <v>0</v>
      </c>
      <c r="R1245" s="113"/>
      <c r="S1245" s="113" t="b">
        <v>0</v>
      </c>
      <c r="T1245" s="113"/>
      <c r="U1245" s="113"/>
      <c r="V1245" s="113" t="b">
        <v>0</v>
      </c>
      <c r="W1245" s="113"/>
      <c r="X1245" s="113" t="b">
        <v>0</v>
      </c>
      <c r="Y1245" s="113"/>
      <c r="Z1245" s="113"/>
      <c r="AA1245" s="113"/>
      <c r="AB1245" s="113"/>
      <c r="AC1245" s="113"/>
      <c r="AD1245" s="113"/>
      <c r="AE1245" s="113"/>
      <c r="AF1245" s="113"/>
    </row>
    <row r="1246">
      <c r="A1246" s="115"/>
      <c r="B1246" s="116"/>
      <c r="C1246" s="116"/>
      <c r="D1246" s="116"/>
      <c r="E1246" s="117"/>
      <c r="F1246" s="116"/>
      <c r="G1246" s="117"/>
      <c r="H1246" s="118"/>
      <c r="I1246" s="116"/>
      <c r="J1246" s="116"/>
      <c r="K1246" s="116"/>
      <c r="L1246" s="116"/>
      <c r="M1246" s="119" t="b">
        <v>0</v>
      </c>
      <c r="N1246" s="113" t="b">
        <v>0</v>
      </c>
      <c r="O1246" s="113" t="b">
        <v>0</v>
      </c>
      <c r="P1246" s="113" t="b">
        <v>0</v>
      </c>
      <c r="Q1246" s="113" t="b">
        <v>0</v>
      </c>
      <c r="R1246" s="113"/>
      <c r="S1246" s="113" t="b">
        <v>0</v>
      </c>
      <c r="T1246" s="113"/>
      <c r="U1246" s="113"/>
      <c r="V1246" s="113" t="b">
        <v>0</v>
      </c>
      <c r="W1246" s="113"/>
      <c r="X1246" s="113" t="b">
        <v>0</v>
      </c>
      <c r="Y1246" s="113"/>
      <c r="Z1246" s="113"/>
      <c r="AA1246" s="113"/>
      <c r="AB1246" s="113"/>
      <c r="AC1246" s="113"/>
      <c r="AD1246" s="113"/>
      <c r="AE1246" s="113"/>
      <c r="AF1246" s="113"/>
    </row>
    <row r="1247">
      <c r="A1247" s="115"/>
      <c r="B1247" s="116"/>
      <c r="C1247" s="116"/>
      <c r="D1247" s="116"/>
      <c r="E1247" s="117"/>
      <c r="F1247" s="116"/>
      <c r="G1247" s="117"/>
      <c r="H1247" s="118"/>
      <c r="I1247" s="116"/>
      <c r="J1247" s="116"/>
      <c r="K1247" s="116"/>
      <c r="L1247" s="116"/>
      <c r="M1247" s="119" t="b">
        <v>0</v>
      </c>
      <c r="N1247" s="113" t="b">
        <v>0</v>
      </c>
      <c r="O1247" s="113" t="b">
        <v>0</v>
      </c>
      <c r="P1247" s="113" t="b">
        <v>0</v>
      </c>
      <c r="Q1247" s="113" t="b">
        <v>0</v>
      </c>
      <c r="R1247" s="113"/>
      <c r="S1247" s="113" t="b">
        <v>0</v>
      </c>
      <c r="T1247" s="113"/>
      <c r="U1247" s="113"/>
      <c r="V1247" s="113" t="b">
        <v>0</v>
      </c>
      <c r="W1247" s="113"/>
      <c r="X1247" s="113" t="b">
        <v>0</v>
      </c>
      <c r="Y1247" s="113"/>
      <c r="Z1247" s="113"/>
      <c r="AA1247" s="113"/>
      <c r="AB1247" s="113"/>
      <c r="AC1247" s="113"/>
      <c r="AD1247" s="113"/>
      <c r="AE1247" s="113"/>
      <c r="AF1247" s="113"/>
    </row>
    <row r="1248">
      <c r="A1248" s="115"/>
      <c r="B1248" s="116"/>
      <c r="C1248" s="116"/>
      <c r="D1248" s="116"/>
      <c r="E1248" s="117"/>
      <c r="F1248" s="116"/>
      <c r="G1248" s="117"/>
      <c r="H1248" s="118"/>
      <c r="I1248" s="116"/>
      <c r="J1248" s="116"/>
      <c r="K1248" s="116"/>
      <c r="L1248" s="116"/>
      <c r="M1248" s="119" t="b">
        <v>0</v>
      </c>
      <c r="N1248" s="113" t="b">
        <v>0</v>
      </c>
      <c r="O1248" s="113" t="b">
        <v>0</v>
      </c>
      <c r="P1248" s="113" t="b">
        <v>0</v>
      </c>
      <c r="Q1248" s="113" t="b">
        <v>0</v>
      </c>
      <c r="R1248" s="113"/>
      <c r="S1248" s="113" t="b">
        <v>0</v>
      </c>
      <c r="T1248" s="113"/>
      <c r="U1248" s="113"/>
      <c r="V1248" s="113" t="b">
        <v>0</v>
      </c>
      <c r="W1248" s="113"/>
      <c r="X1248" s="113" t="b">
        <v>0</v>
      </c>
      <c r="Y1248" s="113"/>
      <c r="Z1248" s="113"/>
      <c r="AA1248" s="113"/>
      <c r="AB1248" s="113"/>
      <c r="AC1248" s="113"/>
      <c r="AD1248" s="113"/>
      <c r="AE1248" s="113"/>
      <c r="AF1248" s="113"/>
    </row>
    <row r="1249">
      <c r="A1249" s="115"/>
      <c r="B1249" s="116"/>
      <c r="C1249" s="116"/>
      <c r="D1249" s="116"/>
      <c r="E1249" s="117"/>
      <c r="F1249" s="116"/>
      <c r="G1249" s="117"/>
      <c r="H1249" s="118"/>
      <c r="I1249" s="116"/>
      <c r="J1249" s="116"/>
      <c r="K1249" s="116"/>
      <c r="L1249" s="116"/>
      <c r="M1249" s="119" t="b">
        <v>0</v>
      </c>
      <c r="N1249" s="113" t="b">
        <v>0</v>
      </c>
      <c r="O1249" s="113" t="b">
        <v>0</v>
      </c>
      <c r="P1249" s="113" t="b">
        <v>0</v>
      </c>
      <c r="Q1249" s="113" t="b">
        <v>0</v>
      </c>
      <c r="R1249" s="113"/>
      <c r="S1249" s="113" t="b">
        <v>0</v>
      </c>
      <c r="T1249" s="113"/>
      <c r="U1249" s="113"/>
      <c r="V1249" s="113" t="b">
        <v>0</v>
      </c>
      <c r="W1249" s="113"/>
      <c r="X1249" s="113" t="b">
        <v>0</v>
      </c>
      <c r="Y1249" s="113"/>
      <c r="Z1249" s="113"/>
      <c r="AA1249" s="113"/>
      <c r="AB1249" s="113"/>
      <c r="AC1249" s="113"/>
      <c r="AD1249" s="113"/>
      <c r="AE1249" s="113"/>
      <c r="AF1249" s="113"/>
    </row>
    <row r="1250">
      <c r="A1250" s="115"/>
      <c r="B1250" s="116"/>
      <c r="C1250" s="116"/>
      <c r="D1250" s="116"/>
      <c r="E1250" s="117"/>
      <c r="F1250" s="116"/>
      <c r="G1250" s="117"/>
      <c r="H1250" s="118"/>
      <c r="I1250" s="116"/>
      <c r="J1250" s="116"/>
      <c r="K1250" s="116"/>
      <c r="L1250" s="116"/>
      <c r="M1250" s="119" t="b">
        <v>0</v>
      </c>
      <c r="N1250" s="113" t="b">
        <v>0</v>
      </c>
      <c r="O1250" s="113" t="b">
        <v>0</v>
      </c>
      <c r="P1250" s="113" t="b">
        <v>0</v>
      </c>
      <c r="Q1250" s="113" t="b">
        <v>0</v>
      </c>
      <c r="R1250" s="113"/>
      <c r="S1250" s="113" t="b">
        <v>0</v>
      </c>
      <c r="T1250" s="113"/>
      <c r="U1250" s="113"/>
      <c r="V1250" s="113" t="b">
        <v>0</v>
      </c>
      <c r="W1250" s="113"/>
      <c r="X1250" s="113" t="b">
        <v>0</v>
      </c>
      <c r="Y1250" s="113"/>
      <c r="Z1250" s="113"/>
      <c r="AA1250" s="113"/>
      <c r="AB1250" s="113"/>
      <c r="AC1250" s="113"/>
      <c r="AD1250" s="113"/>
      <c r="AE1250" s="113"/>
      <c r="AF1250" s="113"/>
    </row>
    <row r="1251">
      <c r="A1251" s="115"/>
      <c r="B1251" s="116"/>
      <c r="C1251" s="116"/>
      <c r="D1251" s="116"/>
      <c r="E1251" s="117"/>
      <c r="F1251" s="116"/>
      <c r="G1251" s="117"/>
      <c r="H1251" s="118"/>
      <c r="I1251" s="116"/>
      <c r="J1251" s="116"/>
      <c r="K1251" s="116"/>
      <c r="L1251" s="116"/>
      <c r="M1251" s="119" t="b">
        <v>0</v>
      </c>
      <c r="N1251" s="113" t="b">
        <v>0</v>
      </c>
      <c r="O1251" s="113" t="b">
        <v>0</v>
      </c>
      <c r="P1251" s="113" t="b">
        <v>0</v>
      </c>
      <c r="Q1251" s="113" t="b">
        <v>0</v>
      </c>
      <c r="R1251" s="113"/>
      <c r="S1251" s="113" t="b">
        <v>0</v>
      </c>
      <c r="T1251" s="113"/>
      <c r="U1251" s="113"/>
      <c r="V1251" s="113" t="b">
        <v>0</v>
      </c>
      <c r="W1251" s="113"/>
      <c r="X1251" s="113" t="b">
        <v>0</v>
      </c>
      <c r="Y1251" s="113"/>
      <c r="Z1251" s="113"/>
      <c r="AA1251" s="113"/>
      <c r="AB1251" s="113"/>
      <c r="AC1251" s="113"/>
      <c r="AD1251" s="113"/>
      <c r="AE1251" s="113"/>
      <c r="AF1251" s="113"/>
    </row>
    <row r="1252">
      <c r="A1252" s="115"/>
      <c r="B1252" s="116"/>
      <c r="C1252" s="116"/>
      <c r="D1252" s="116"/>
      <c r="E1252" s="117"/>
      <c r="F1252" s="116"/>
      <c r="G1252" s="117"/>
      <c r="H1252" s="118"/>
      <c r="I1252" s="116"/>
      <c r="J1252" s="116"/>
      <c r="K1252" s="116"/>
      <c r="L1252" s="116"/>
      <c r="M1252" s="119" t="b">
        <v>0</v>
      </c>
      <c r="N1252" s="113" t="b">
        <v>0</v>
      </c>
      <c r="O1252" s="113" t="b">
        <v>0</v>
      </c>
      <c r="P1252" s="113" t="b">
        <v>0</v>
      </c>
      <c r="Q1252" s="113" t="b">
        <v>0</v>
      </c>
      <c r="R1252" s="113"/>
      <c r="S1252" s="113" t="b">
        <v>0</v>
      </c>
      <c r="T1252" s="113"/>
      <c r="U1252" s="113"/>
      <c r="V1252" s="113" t="b">
        <v>0</v>
      </c>
      <c r="W1252" s="113"/>
      <c r="X1252" s="113" t="b">
        <v>0</v>
      </c>
      <c r="Y1252" s="113"/>
      <c r="Z1252" s="113"/>
      <c r="AA1252" s="113"/>
      <c r="AB1252" s="113"/>
      <c r="AC1252" s="113"/>
      <c r="AD1252" s="113"/>
      <c r="AE1252" s="113"/>
      <c r="AF1252" s="113"/>
    </row>
    <row r="1253">
      <c r="A1253" s="115"/>
      <c r="B1253" s="116"/>
      <c r="C1253" s="116"/>
      <c r="D1253" s="116"/>
      <c r="E1253" s="117"/>
      <c r="F1253" s="116"/>
      <c r="G1253" s="117"/>
      <c r="H1253" s="118"/>
      <c r="I1253" s="116"/>
      <c r="J1253" s="116"/>
      <c r="K1253" s="116"/>
      <c r="L1253" s="116"/>
      <c r="M1253" s="119" t="b">
        <v>0</v>
      </c>
      <c r="N1253" s="113" t="b">
        <v>0</v>
      </c>
      <c r="O1253" s="113" t="b">
        <v>0</v>
      </c>
      <c r="P1253" s="113" t="b">
        <v>0</v>
      </c>
      <c r="Q1253" s="113" t="b">
        <v>0</v>
      </c>
      <c r="R1253" s="113"/>
      <c r="S1253" s="113" t="b">
        <v>0</v>
      </c>
      <c r="T1253" s="113"/>
      <c r="U1253" s="113"/>
      <c r="V1253" s="113" t="b">
        <v>0</v>
      </c>
      <c r="W1253" s="113"/>
      <c r="X1253" s="113" t="b">
        <v>0</v>
      </c>
      <c r="Y1253" s="113"/>
      <c r="Z1253" s="113"/>
      <c r="AA1253" s="113"/>
      <c r="AB1253" s="113"/>
      <c r="AC1253" s="113"/>
      <c r="AD1253" s="113"/>
      <c r="AE1253" s="113"/>
      <c r="AF1253" s="113"/>
    </row>
    <row r="1254">
      <c r="A1254" s="115"/>
      <c r="B1254" s="116"/>
      <c r="C1254" s="116"/>
      <c r="D1254" s="116"/>
      <c r="E1254" s="117"/>
      <c r="F1254" s="116"/>
      <c r="G1254" s="117"/>
      <c r="H1254" s="118"/>
      <c r="I1254" s="116"/>
      <c r="J1254" s="116"/>
      <c r="K1254" s="116"/>
      <c r="L1254" s="116"/>
      <c r="M1254" s="119" t="b">
        <v>0</v>
      </c>
      <c r="N1254" s="113" t="b">
        <v>0</v>
      </c>
      <c r="O1254" s="113" t="b">
        <v>0</v>
      </c>
      <c r="P1254" s="113" t="b">
        <v>0</v>
      </c>
      <c r="Q1254" s="113" t="b">
        <v>0</v>
      </c>
      <c r="R1254" s="113"/>
      <c r="S1254" s="113" t="b">
        <v>0</v>
      </c>
      <c r="T1254" s="113"/>
      <c r="U1254" s="113"/>
      <c r="V1254" s="113" t="b">
        <v>0</v>
      </c>
      <c r="W1254" s="113"/>
      <c r="X1254" s="113" t="b">
        <v>0</v>
      </c>
      <c r="Y1254" s="113"/>
      <c r="Z1254" s="113"/>
      <c r="AA1254" s="113"/>
      <c r="AB1254" s="113"/>
      <c r="AC1254" s="113"/>
      <c r="AD1254" s="113"/>
      <c r="AE1254" s="113"/>
      <c r="AF1254" s="113"/>
    </row>
    <row r="1255">
      <c r="A1255" s="115"/>
      <c r="B1255" s="116"/>
      <c r="C1255" s="116"/>
      <c r="D1255" s="116"/>
      <c r="E1255" s="117"/>
      <c r="F1255" s="116"/>
      <c r="G1255" s="117"/>
      <c r="H1255" s="118"/>
      <c r="I1255" s="116"/>
      <c r="J1255" s="116"/>
      <c r="K1255" s="116"/>
      <c r="L1255" s="116"/>
      <c r="M1255" s="119" t="b">
        <v>0</v>
      </c>
      <c r="N1255" s="113" t="b">
        <v>0</v>
      </c>
      <c r="O1255" s="113" t="b">
        <v>0</v>
      </c>
      <c r="P1255" s="113" t="b">
        <v>0</v>
      </c>
      <c r="Q1255" s="113" t="b">
        <v>0</v>
      </c>
      <c r="R1255" s="113"/>
      <c r="S1255" s="113" t="b">
        <v>0</v>
      </c>
      <c r="T1255" s="113"/>
      <c r="U1255" s="113"/>
      <c r="V1255" s="113" t="b">
        <v>0</v>
      </c>
      <c r="W1255" s="113"/>
      <c r="X1255" s="113" t="b">
        <v>0</v>
      </c>
      <c r="Y1255" s="113"/>
      <c r="Z1255" s="113"/>
      <c r="AA1255" s="113"/>
      <c r="AB1255" s="113"/>
      <c r="AC1255" s="113"/>
      <c r="AD1255" s="113"/>
      <c r="AE1255" s="113"/>
      <c r="AF1255" s="113"/>
    </row>
    <row r="1256">
      <c r="A1256" s="115"/>
      <c r="B1256" s="116"/>
      <c r="C1256" s="116"/>
      <c r="D1256" s="116"/>
      <c r="E1256" s="117"/>
      <c r="F1256" s="116"/>
      <c r="G1256" s="117"/>
      <c r="H1256" s="118"/>
      <c r="I1256" s="116"/>
      <c r="J1256" s="116"/>
      <c r="K1256" s="116"/>
      <c r="L1256" s="116"/>
      <c r="M1256" s="119" t="b">
        <v>0</v>
      </c>
      <c r="N1256" s="113" t="b">
        <v>0</v>
      </c>
      <c r="O1256" s="113" t="b">
        <v>0</v>
      </c>
      <c r="P1256" s="113" t="b">
        <v>0</v>
      </c>
      <c r="Q1256" s="113" t="b">
        <v>0</v>
      </c>
      <c r="R1256" s="113"/>
      <c r="S1256" s="113" t="b">
        <v>0</v>
      </c>
      <c r="T1256" s="113"/>
      <c r="U1256" s="113"/>
      <c r="V1256" s="113" t="b">
        <v>0</v>
      </c>
      <c r="W1256" s="113"/>
      <c r="X1256" s="113" t="b">
        <v>0</v>
      </c>
      <c r="Y1256" s="113"/>
      <c r="Z1256" s="113"/>
      <c r="AA1256" s="113"/>
      <c r="AB1256" s="113"/>
      <c r="AC1256" s="113"/>
      <c r="AD1256" s="113"/>
      <c r="AE1256" s="113"/>
      <c r="AF1256" s="113"/>
    </row>
    <row r="1257">
      <c r="A1257" s="115"/>
      <c r="B1257" s="116"/>
      <c r="C1257" s="116"/>
      <c r="D1257" s="116"/>
      <c r="E1257" s="117"/>
      <c r="F1257" s="116"/>
      <c r="G1257" s="117"/>
      <c r="H1257" s="118"/>
      <c r="I1257" s="116"/>
      <c r="J1257" s="116"/>
      <c r="K1257" s="116"/>
      <c r="L1257" s="116"/>
      <c r="M1257" s="119" t="b">
        <v>0</v>
      </c>
      <c r="N1257" s="113" t="b">
        <v>0</v>
      </c>
      <c r="O1257" s="113" t="b">
        <v>0</v>
      </c>
      <c r="P1257" s="113" t="b">
        <v>0</v>
      </c>
      <c r="Q1257" s="113" t="b">
        <v>0</v>
      </c>
      <c r="R1257" s="113"/>
      <c r="S1257" s="113" t="b">
        <v>0</v>
      </c>
      <c r="T1257" s="113"/>
      <c r="U1257" s="113"/>
      <c r="V1257" s="113" t="b">
        <v>0</v>
      </c>
      <c r="W1257" s="113"/>
      <c r="X1257" s="113" t="b">
        <v>0</v>
      </c>
      <c r="Y1257" s="113"/>
      <c r="Z1257" s="113"/>
      <c r="AA1257" s="113"/>
      <c r="AB1257" s="113"/>
      <c r="AC1257" s="113"/>
      <c r="AD1257" s="113"/>
      <c r="AE1257" s="113"/>
      <c r="AF1257" s="113"/>
    </row>
    <row r="1258">
      <c r="A1258" s="115"/>
      <c r="B1258" s="116"/>
      <c r="C1258" s="116"/>
      <c r="D1258" s="116"/>
      <c r="E1258" s="117"/>
      <c r="F1258" s="116"/>
      <c r="G1258" s="117"/>
      <c r="H1258" s="118"/>
      <c r="I1258" s="116"/>
      <c r="J1258" s="116"/>
      <c r="K1258" s="116"/>
      <c r="L1258" s="116"/>
      <c r="M1258" s="119" t="b">
        <v>0</v>
      </c>
      <c r="N1258" s="113" t="b">
        <v>0</v>
      </c>
      <c r="O1258" s="113" t="b">
        <v>0</v>
      </c>
      <c r="P1258" s="113" t="b">
        <v>0</v>
      </c>
      <c r="Q1258" s="113" t="b">
        <v>0</v>
      </c>
      <c r="R1258" s="113"/>
      <c r="S1258" s="113" t="b">
        <v>0</v>
      </c>
      <c r="T1258" s="113"/>
      <c r="U1258" s="113"/>
      <c r="V1258" s="113" t="b">
        <v>0</v>
      </c>
      <c r="W1258" s="113"/>
      <c r="X1258" s="113" t="b">
        <v>0</v>
      </c>
      <c r="Y1258" s="113"/>
      <c r="Z1258" s="113"/>
      <c r="AA1258" s="113"/>
      <c r="AB1258" s="113"/>
      <c r="AC1258" s="113"/>
      <c r="AD1258" s="113"/>
      <c r="AE1258" s="113"/>
      <c r="AF1258" s="113"/>
    </row>
    <row r="1259">
      <c r="A1259" s="115"/>
      <c r="B1259" s="116"/>
      <c r="C1259" s="116"/>
      <c r="D1259" s="116"/>
      <c r="E1259" s="117"/>
      <c r="F1259" s="116"/>
      <c r="G1259" s="117"/>
      <c r="H1259" s="118"/>
      <c r="I1259" s="116"/>
      <c r="J1259" s="116"/>
      <c r="K1259" s="116"/>
      <c r="L1259" s="116"/>
      <c r="M1259" s="119" t="b">
        <v>0</v>
      </c>
      <c r="N1259" s="113" t="b">
        <v>0</v>
      </c>
      <c r="O1259" s="113" t="b">
        <v>0</v>
      </c>
      <c r="P1259" s="113" t="b">
        <v>0</v>
      </c>
      <c r="Q1259" s="113" t="b">
        <v>0</v>
      </c>
      <c r="R1259" s="113"/>
      <c r="S1259" s="113" t="b">
        <v>0</v>
      </c>
      <c r="T1259" s="113"/>
      <c r="U1259" s="113"/>
      <c r="V1259" s="113" t="b">
        <v>0</v>
      </c>
      <c r="W1259" s="113"/>
      <c r="X1259" s="113" t="b">
        <v>0</v>
      </c>
      <c r="Y1259" s="113"/>
      <c r="Z1259" s="113"/>
      <c r="AA1259" s="113"/>
      <c r="AB1259" s="113"/>
      <c r="AC1259" s="113"/>
      <c r="AD1259" s="113"/>
      <c r="AE1259" s="113"/>
      <c r="AF1259" s="113"/>
    </row>
    <row r="1260">
      <c r="A1260" s="115"/>
      <c r="B1260" s="116"/>
      <c r="C1260" s="116"/>
      <c r="D1260" s="116"/>
      <c r="E1260" s="117"/>
      <c r="F1260" s="116"/>
      <c r="G1260" s="117"/>
      <c r="H1260" s="118"/>
      <c r="I1260" s="116"/>
      <c r="J1260" s="116"/>
      <c r="K1260" s="116"/>
      <c r="L1260" s="116"/>
      <c r="M1260" s="119" t="b">
        <v>0</v>
      </c>
      <c r="N1260" s="113" t="b">
        <v>0</v>
      </c>
      <c r="O1260" s="113" t="b">
        <v>0</v>
      </c>
      <c r="P1260" s="113" t="b">
        <v>0</v>
      </c>
      <c r="Q1260" s="113" t="b">
        <v>0</v>
      </c>
      <c r="R1260" s="113"/>
      <c r="S1260" s="113" t="b">
        <v>0</v>
      </c>
      <c r="T1260" s="113"/>
      <c r="U1260" s="113"/>
      <c r="V1260" s="113" t="b">
        <v>0</v>
      </c>
      <c r="W1260" s="113"/>
      <c r="X1260" s="113" t="b">
        <v>0</v>
      </c>
      <c r="Y1260" s="113"/>
      <c r="Z1260" s="113"/>
      <c r="AA1260" s="113"/>
      <c r="AB1260" s="113"/>
      <c r="AC1260" s="113"/>
      <c r="AD1260" s="113"/>
      <c r="AE1260" s="113"/>
      <c r="AF1260" s="113"/>
    </row>
    <row r="1261">
      <c r="A1261" s="115"/>
      <c r="B1261" s="116"/>
      <c r="C1261" s="116"/>
      <c r="D1261" s="116"/>
      <c r="E1261" s="117"/>
      <c r="F1261" s="116"/>
      <c r="G1261" s="117"/>
      <c r="H1261" s="118"/>
      <c r="I1261" s="116"/>
      <c r="J1261" s="116"/>
      <c r="K1261" s="116"/>
      <c r="L1261" s="116"/>
      <c r="M1261" s="119" t="b">
        <v>0</v>
      </c>
      <c r="N1261" s="113" t="b">
        <v>0</v>
      </c>
      <c r="O1261" s="113" t="b">
        <v>0</v>
      </c>
      <c r="P1261" s="113" t="b">
        <v>0</v>
      </c>
      <c r="Q1261" s="113" t="b">
        <v>0</v>
      </c>
      <c r="R1261" s="113"/>
      <c r="S1261" s="113" t="b">
        <v>0</v>
      </c>
      <c r="T1261" s="113"/>
      <c r="U1261" s="113"/>
      <c r="V1261" s="113" t="b">
        <v>0</v>
      </c>
      <c r="W1261" s="113"/>
      <c r="X1261" s="113" t="b">
        <v>0</v>
      </c>
      <c r="Y1261" s="113"/>
      <c r="Z1261" s="113"/>
      <c r="AA1261" s="113"/>
      <c r="AB1261" s="113"/>
      <c r="AC1261" s="113"/>
      <c r="AD1261" s="113"/>
      <c r="AE1261" s="113"/>
      <c r="AF1261" s="113"/>
    </row>
    <row r="1262">
      <c r="A1262" s="115"/>
      <c r="B1262" s="116"/>
      <c r="C1262" s="116"/>
      <c r="D1262" s="116"/>
      <c r="E1262" s="117"/>
      <c r="F1262" s="116"/>
      <c r="G1262" s="117"/>
      <c r="H1262" s="118"/>
      <c r="I1262" s="116"/>
      <c r="J1262" s="116"/>
      <c r="K1262" s="116"/>
      <c r="L1262" s="116"/>
      <c r="M1262" s="119" t="b">
        <v>0</v>
      </c>
      <c r="N1262" s="113" t="b">
        <v>0</v>
      </c>
      <c r="O1262" s="113" t="b">
        <v>0</v>
      </c>
      <c r="P1262" s="113" t="b">
        <v>0</v>
      </c>
      <c r="Q1262" s="113" t="b">
        <v>0</v>
      </c>
      <c r="R1262" s="113"/>
      <c r="S1262" s="113" t="b">
        <v>0</v>
      </c>
      <c r="T1262" s="113"/>
      <c r="U1262" s="113"/>
      <c r="V1262" s="113" t="b">
        <v>0</v>
      </c>
      <c r="W1262" s="113"/>
      <c r="X1262" s="113" t="b">
        <v>0</v>
      </c>
      <c r="Y1262" s="113"/>
      <c r="Z1262" s="113"/>
      <c r="AA1262" s="113"/>
      <c r="AB1262" s="113"/>
      <c r="AC1262" s="113"/>
      <c r="AD1262" s="113"/>
      <c r="AE1262" s="113"/>
      <c r="AF1262" s="113"/>
    </row>
    <row r="1263">
      <c r="A1263" s="115"/>
      <c r="B1263" s="116"/>
      <c r="C1263" s="116"/>
      <c r="D1263" s="116"/>
      <c r="E1263" s="117"/>
      <c r="F1263" s="116"/>
      <c r="G1263" s="117"/>
      <c r="H1263" s="118"/>
      <c r="I1263" s="116"/>
      <c r="J1263" s="116"/>
      <c r="K1263" s="116"/>
      <c r="L1263" s="116"/>
      <c r="M1263" s="119" t="b">
        <v>0</v>
      </c>
      <c r="N1263" s="113" t="b">
        <v>0</v>
      </c>
      <c r="O1263" s="113" t="b">
        <v>0</v>
      </c>
      <c r="P1263" s="113" t="b">
        <v>0</v>
      </c>
      <c r="Q1263" s="113" t="b">
        <v>0</v>
      </c>
      <c r="R1263" s="113"/>
      <c r="S1263" s="113" t="b">
        <v>0</v>
      </c>
      <c r="T1263" s="113"/>
      <c r="U1263" s="113"/>
      <c r="V1263" s="113" t="b">
        <v>0</v>
      </c>
      <c r="W1263" s="113"/>
      <c r="X1263" s="113" t="b">
        <v>0</v>
      </c>
      <c r="Y1263" s="113"/>
      <c r="Z1263" s="113"/>
      <c r="AA1263" s="113"/>
      <c r="AB1263" s="113"/>
      <c r="AC1263" s="113"/>
      <c r="AD1263" s="113"/>
      <c r="AE1263" s="113"/>
      <c r="AF1263" s="113"/>
    </row>
    <row r="1264">
      <c r="A1264" s="115"/>
      <c r="B1264" s="116"/>
      <c r="C1264" s="116"/>
      <c r="D1264" s="116"/>
      <c r="E1264" s="117"/>
      <c r="F1264" s="116"/>
      <c r="G1264" s="117"/>
      <c r="H1264" s="118"/>
      <c r="I1264" s="116"/>
      <c r="J1264" s="116"/>
      <c r="K1264" s="116"/>
      <c r="L1264" s="116"/>
      <c r="M1264" s="119" t="b">
        <v>0</v>
      </c>
      <c r="N1264" s="113" t="b">
        <v>0</v>
      </c>
      <c r="O1264" s="113" t="b">
        <v>0</v>
      </c>
      <c r="P1264" s="113" t="b">
        <v>0</v>
      </c>
      <c r="Q1264" s="113" t="b">
        <v>0</v>
      </c>
      <c r="R1264" s="113"/>
      <c r="S1264" s="113" t="b">
        <v>0</v>
      </c>
      <c r="T1264" s="113"/>
      <c r="U1264" s="113"/>
      <c r="V1264" s="113" t="b">
        <v>0</v>
      </c>
      <c r="W1264" s="113"/>
      <c r="X1264" s="113" t="b">
        <v>0</v>
      </c>
      <c r="Y1264" s="113"/>
      <c r="Z1264" s="113"/>
      <c r="AA1264" s="113"/>
      <c r="AB1264" s="113"/>
      <c r="AC1264" s="113"/>
      <c r="AD1264" s="113"/>
      <c r="AE1264" s="113"/>
      <c r="AF1264" s="113"/>
    </row>
    <row r="1265">
      <c r="A1265" s="115"/>
      <c r="B1265" s="116"/>
      <c r="C1265" s="116"/>
      <c r="D1265" s="116"/>
      <c r="E1265" s="117"/>
      <c r="F1265" s="116"/>
      <c r="G1265" s="117"/>
      <c r="H1265" s="118"/>
      <c r="I1265" s="116"/>
      <c r="J1265" s="116"/>
      <c r="K1265" s="116"/>
      <c r="L1265" s="116"/>
      <c r="M1265" s="119" t="b">
        <v>0</v>
      </c>
      <c r="N1265" s="113" t="b">
        <v>0</v>
      </c>
      <c r="O1265" s="113" t="b">
        <v>0</v>
      </c>
      <c r="P1265" s="113" t="b">
        <v>0</v>
      </c>
      <c r="Q1265" s="113" t="b">
        <v>0</v>
      </c>
      <c r="R1265" s="113"/>
      <c r="S1265" s="113" t="b">
        <v>0</v>
      </c>
      <c r="T1265" s="113"/>
      <c r="U1265" s="113"/>
      <c r="V1265" s="113" t="b">
        <v>0</v>
      </c>
      <c r="W1265" s="113"/>
      <c r="X1265" s="113" t="b">
        <v>0</v>
      </c>
      <c r="Y1265" s="113"/>
      <c r="Z1265" s="113"/>
      <c r="AA1265" s="113"/>
      <c r="AB1265" s="113"/>
      <c r="AC1265" s="113"/>
      <c r="AD1265" s="113"/>
      <c r="AE1265" s="113"/>
      <c r="AF1265" s="113"/>
    </row>
    <row r="1266">
      <c r="A1266" s="115"/>
      <c r="B1266" s="116"/>
      <c r="C1266" s="116"/>
      <c r="D1266" s="116"/>
      <c r="E1266" s="117"/>
      <c r="F1266" s="116"/>
      <c r="G1266" s="117"/>
      <c r="H1266" s="118"/>
      <c r="I1266" s="116"/>
      <c r="J1266" s="116"/>
      <c r="K1266" s="116"/>
      <c r="L1266" s="116"/>
      <c r="M1266" s="119" t="b">
        <v>0</v>
      </c>
      <c r="N1266" s="113" t="b">
        <v>0</v>
      </c>
      <c r="O1266" s="113" t="b">
        <v>0</v>
      </c>
      <c r="P1266" s="113" t="b">
        <v>0</v>
      </c>
      <c r="Q1266" s="113" t="b">
        <v>0</v>
      </c>
      <c r="R1266" s="113"/>
      <c r="S1266" s="113" t="b">
        <v>0</v>
      </c>
      <c r="T1266" s="113"/>
      <c r="U1266" s="113"/>
      <c r="V1266" s="113" t="b">
        <v>0</v>
      </c>
      <c r="W1266" s="113"/>
      <c r="X1266" s="113" t="b">
        <v>0</v>
      </c>
      <c r="Y1266" s="113"/>
      <c r="Z1266" s="113"/>
      <c r="AA1266" s="113"/>
      <c r="AB1266" s="113"/>
      <c r="AC1266" s="113"/>
      <c r="AD1266" s="113"/>
      <c r="AE1266" s="113"/>
      <c r="AF1266" s="113"/>
    </row>
    <row r="1267">
      <c r="A1267" s="115"/>
      <c r="B1267" s="116"/>
      <c r="C1267" s="116"/>
      <c r="D1267" s="116"/>
      <c r="E1267" s="117"/>
      <c r="F1267" s="116"/>
      <c r="G1267" s="117"/>
      <c r="H1267" s="118"/>
      <c r="I1267" s="116"/>
      <c r="J1267" s="116"/>
      <c r="K1267" s="116"/>
      <c r="L1267" s="116"/>
      <c r="M1267" s="119" t="b">
        <v>0</v>
      </c>
      <c r="N1267" s="113" t="b">
        <v>0</v>
      </c>
      <c r="O1267" s="113" t="b">
        <v>0</v>
      </c>
      <c r="P1267" s="113" t="b">
        <v>0</v>
      </c>
      <c r="Q1267" s="113" t="b">
        <v>0</v>
      </c>
      <c r="R1267" s="113"/>
      <c r="S1267" s="113" t="b">
        <v>0</v>
      </c>
      <c r="T1267" s="113"/>
      <c r="U1267" s="113"/>
      <c r="V1267" s="113" t="b">
        <v>0</v>
      </c>
      <c r="W1267" s="113"/>
      <c r="X1267" s="113" t="b">
        <v>0</v>
      </c>
      <c r="Y1267" s="113"/>
      <c r="Z1267" s="113"/>
      <c r="AA1267" s="113"/>
      <c r="AB1267" s="113"/>
      <c r="AC1267" s="113"/>
      <c r="AD1267" s="113"/>
      <c r="AE1267" s="113"/>
      <c r="AF1267" s="113"/>
    </row>
    <row r="1268">
      <c r="A1268" s="115"/>
      <c r="B1268" s="116"/>
      <c r="C1268" s="116"/>
      <c r="D1268" s="116"/>
      <c r="E1268" s="117"/>
      <c r="F1268" s="116"/>
      <c r="G1268" s="117"/>
      <c r="H1268" s="118"/>
      <c r="I1268" s="116"/>
      <c r="J1268" s="116"/>
      <c r="K1268" s="116"/>
      <c r="L1268" s="116"/>
      <c r="M1268" s="119" t="b">
        <v>0</v>
      </c>
      <c r="N1268" s="113" t="b">
        <v>0</v>
      </c>
      <c r="O1268" s="113" t="b">
        <v>0</v>
      </c>
      <c r="P1268" s="113" t="b">
        <v>0</v>
      </c>
      <c r="Q1268" s="113" t="b">
        <v>0</v>
      </c>
      <c r="R1268" s="113"/>
      <c r="S1268" s="113" t="b">
        <v>0</v>
      </c>
      <c r="T1268" s="113"/>
      <c r="U1268" s="113"/>
      <c r="V1268" s="113" t="b">
        <v>0</v>
      </c>
      <c r="W1268" s="113"/>
      <c r="X1268" s="113" t="b">
        <v>0</v>
      </c>
      <c r="Y1268" s="113"/>
      <c r="Z1268" s="113"/>
      <c r="AA1268" s="113"/>
      <c r="AB1268" s="113"/>
      <c r="AC1268" s="113"/>
      <c r="AD1268" s="113"/>
      <c r="AE1268" s="113"/>
      <c r="AF1268" s="113"/>
    </row>
    <row r="1269">
      <c r="A1269" s="115"/>
      <c r="B1269" s="116"/>
      <c r="C1269" s="116"/>
      <c r="D1269" s="116"/>
      <c r="E1269" s="117"/>
      <c r="F1269" s="116"/>
      <c r="G1269" s="117"/>
      <c r="H1269" s="118"/>
      <c r="I1269" s="116"/>
      <c r="J1269" s="116"/>
      <c r="K1269" s="116"/>
      <c r="L1269" s="116"/>
      <c r="M1269" s="119" t="b">
        <v>0</v>
      </c>
      <c r="N1269" s="113" t="b">
        <v>0</v>
      </c>
      <c r="O1269" s="113" t="b">
        <v>0</v>
      </c>
      <c r="P1269" s="113" t="b">
        <v>0</v>
      </c>
      <c r="Q1269" s="113" t="b">
        <v>0</v>
      </c>
      <c r="R1269" s="113"/>
      <c r="S1269" s="113" t="b">
        <v>0</v>
      </c>
      <c r="T1269" s="113"/>
      <c r="U1269" s="113"/>
      <c r="V1269" s="113" t="b">
        <v>0</v>
      </c>
      <c r="W1269" s="113"/>
      <c r="X1269" s="113" t="b">
        <v>0</v>
      </c>
      <c r="Y1269" s="113"/>
      <c r="Z1269" s="113"/>
      <c r="AA1269" s="113"/>
      <c r="AB1269" s="113"/>
      <c r="AC1269" s="113"/>
      <c r="AD1269" s="113"/>
      <c r="AE1269" s="113"/>
      <c r="AF1269" s="113"/>
    </row>
    <row r="1270">
      <c r="A1270" s="115"/>
      <c r="B1270" s="116"/>
      <c r="C1270" s="116"/>
      <c r="D1270" s="116"/>
      <c r="E1270" s="117"/>
      <c r="F1270" s="116"/>
      <c r="G1270" s="117"/>
      <c r="H1270" s="118"/>
      <c r="I1270" s="116"/>
      <c r="J1270" s="116"/>
      <c r="K1270" s="116"/>
      <c r="L1270" s="116"/>
      <c r="M1270" s="119" t="b">
        <v>0</v>
      </c>
      <c r="N1270" s="113" t="b">
        <v>0</v>
      </c>
      <c r="O1270" s="113" t="b">
        <v>0</v>
      </c>
      <c r="P1270" s="113" t="b">
        <v>0</v>
      </c>
      <c r="Q1270" s="113" t="b">
        <v>0</v>
      </c>
      <c r="R1270" s="113"/>
      <c r="S1270" s="113" t="b">
        <v>0</v>
      </c>
      <c r="T1270" s="113"/>
      <c r="U1270" s="113"/>
      <c r="V1270" s="113" t="b">
        <v>0</v>
      </c>
      <c r="W1270" s="113"/>
      <c r="X1270" s="113" t="b">
        <v>0</v>
      </c>
      <c r="Y1270" s="113"/>
      <c r="Z1270" s="113"/>
      <c r="AA1270" s="113"/>
      <c r="AB1270" s="113"/>
      <c r="AC1270" s="113"/>
      <c r="AD1270" s="113"/>
      <c r="AE1270" s="113"/>
      <c r="AF1270" s="113"/>
    </row>
    <row r="1271">
      <c r="A1271" s="115"/>
      <c r="B1271" s="116"/>
      <c r="C1271" s="116"/>
      <c r="D1271" s="116"/>
      <c r="E1271" s="117"/>
      <c r="F1271" s="116"/>
      <c r="G1271" s="117"/>
      <c r="H1271" s="118"/>
      <c r="I1271" s="116"/>
      <c r="J1271" s="116"/>
      <c r="K1271" s="116"/>
      <c r="L1271" s="116"/>
      <c r="M1271" s="119" t="b">
        <v>0</v>
      </c>
      <c r="N1271" s="113" t="b">
        <v>0</v>
      </c>
      <c r="O1271" s="113" t="b">
        <v>0</v>
      </c>
      <c r="P1271" s="113" t="b">
        <v>0</v>
      </c>
      <c r="Q1271" s="113" t="b">
        <v>0</v>
      </c>
      <c r="R1271" s="113"/>
      <c r="S1271" s="113" t="b">
        <v>0</v>
      </c>
      <c r="T1271" s="113"/>
      <c r="U1271" s="113"/>
      <c r="V1271" s="113" t="b">
        <v>0</v>
      </c>
      <c r="W1271" s="113"/>
      <c r="X1271" s="113" t="b">
        <v>0</v>
      </c>
      <c r="Y1271" s="113"/>
      <c r="Z1271" s="113"/>
      <c r="AA1271" s="113"/>
      <c r="AB1271" s="113"/>
      <c r="AC1271" s="113"/>
      <c r="AD1271" s="113"/>
      <c r="AE1271" s="113"/>
      <c r="AF1271" s="113"/>
    </row>
    <row r="1272">
      <c r="A1272" s="115"/>
      <c r="B1272" s="116"/>
      <c r="C1272" s="116"/>
      <c r="D1272" s="116"/>
      <c r="E1272" s="117"/>
      <c r="F1272" s="116"/>
      <c r="G1272" s="117"/>
      <c r="H1272" s="118"/>
      <c r="I1272" s="116"/>
      <c r="J1272" s="116"/>
      <c r="K1272" s="116"/>
      <c r="L1272" s="116"/>
      <c r="M1272" s="119" t="b">
        <v>0</v>
      </c>
      <c r="N1272" s="113" t="b">
        <v>0</v>
      </c>
      <c r="O1272" s="113" t="b">
        <v>0</v>
      </c>
      <c r="P1272" s="113" t="b">
        <v>0</v>
      </c>
      <c r="Q1272" s="113" t="b">
        <v>0</v>
      </c>
      <c r="R1272" s="113"/>
      <c r="S1272" s="113" t="b">
        <v>0</v>
      </c>
      <c r="T1272" s="113"/>
      <c r="U1272" s="113"/>
      <c r="V1272" s="113" t="b">
        <v>0</v>
      </c>
      <c r="W1272" s="113"/>
      <c r="X1272" s="113" t="b">
        <v>0</v>
      </c>
      <c r="Y1272" s="113"/>
      <c r="Z1272" s="113"/>
      <c r="AA1272" s="113"/>
      <c r="AB1272" s="113"/>
      <c r="AC1272" s="113"/>
      <c r="AD1272" s="113"/>
      <c r="AE1272" s="113"/>
      <c r="AF1272" s="113"/>
    </row>
    <row r="1273">
      <c r="A1273" s="115"/>
      <c r="B1273" s="116"/>
      <c r="C1273" s="116"/>
      <c r="D1273" s="116"/>
      <c r="E1273" s="117"/>
      <c r="F1273" s="116"/>
      <c r="G1273" s="117"/>
      <c r="H1273" s="118"/>
      <c r="I1273" s="116"/>
      <c r="J1273" s="116"/>
      <c r="K1273" s="116"/>
      <c r="L1273" s="116"/>
      <c r="M1273" s="119" t="b">
        <v>0</v>
      </c>
      <c r="N1273" s="113" t="b">
        <v>0</v>
      </c>
      <c r="O1273" s="113" t="b">
        <v>0</v>
      </c>
      <c r="P1273" s="113" t="b">
        <v>0</v>
      </c>
      <c r="Q1273" s="113" t="b">
        <v>0</v>
      </c>
      <c r="R1273" s="113"/>
      <c r="S1273" s="113" t="b">
        <v>0</v>
      </c>
      <c r="T1273" s="113"/>
      <c r="U1273" s="113"/>
      <c r="V1273" s="113" t="b">
        <v>0</v>
      </c>
      <c r="W1273" s="113"/>
      <c r="X1273" s="113" t="b">
        <v>0</v>
      </c>
      <c r="Y1273" s="113"/>
      <c r="Z1273" s="113"/>
      <c r="AA1273" s="113"/>
      <c r="AB1273" s="113"/>
      <c r="AC1273" s="113"/>
      <c r="AD1273" s="113"/>
      <c r="AE1273" s="113"/>
      <c r="AF1273" s="113"/>
    </row>
    <row r="1274">
      <c r="A1274" s="115"/>
      <c r="B1274" s="116"/>
      <c r="C1274" s="116"/>
      <c r="D1274" s="116"/>
      <c r="E1274" s="117"/>
      <c r="F1274" s="116"/>
      <c r="G1274" s="117"/>
      <c r="H1274" s="118"/>
      <c r="I1274" s="116"/>
      <c r="J1274" s="116"/>
      <c r="K1274" s="116"/>
      <c r="L1274" s="116"/>
      <c r="M1274" s="119" t="b">
        <v>0</v>
      </c>
      <c r="N1274" s="113" t="b">
        <v>0</v>
      </c>
      <c r="O1274" s="113" t="b">
        <v>0</v>
      </c>
      <c r="P1274" s="113" t="b">
        <v>0</v>
      </c>
      <c r="Q1274" s="113" t="b">
        <v>0</v>
      </c>
      <c r="R1274" s="113"/>
      <c r="S1274" s="113" t="b">
        <v>0</v>
      </c>
      <c r="T1274" s="113"/>
      <c r="U1274" s="113"/>
      <c r="V1274" s="113" t="b">
        <v>0</v>
      </c>
      <c r="W1274" s="113"/>
      <c r="X1274" s="113" t="b">
        <v>0</v>
      </c>
      <c r="Y1274" s="113"/>
      <c r="Z1274" s="113"/>
      <c r="AA1274" s="113"/>
      <c r="AB1274" s="113"/>
      <c r="AC1274" s="113"/>
      <c r="AD1274" s="113"/>
      <c r="AE1274" s="113"/>
      <c r="AF1274" s="113"/>
    </row>
    <row r="1275">
      <c r="A1275" s="115"/>
      <c r="B1275" s="116"/>
      <c r="C1275" s="116"/>
      <c r="D1275" s="116"/>
      <c r="E1275" s="117"/>
      <c r="F1275" s="116"/>
      <c r="G1275" s="117"/>
      <c r="H1275" s="118"/>
      <c r="I1275" s="116"/>
      <c r="J1275" s="116"/>
      <c r="K1275" s="116"/>
      <c r="L1275" s="116"/>
      <c r="M1275" s="119" t="b">
        <v>0</v>
      </c>
      <c r="N1275" s="113" t="b">
        <v>0</v>
      </c>
      <c r="O1275" s="113" t="b">
        <v>0</v>
      </c>
      <c r="P1275" s="113" t="b">
        <v>0</v>
      </c>
      <c r="Q1275" s="113" t="b">
        <v>0</v>
      </c>
      <c r="R1275" s="113"/>
      <c r="S1275" s="113" t="b">
        <v>0</v>
      </c>
      <c r="T1275" s="113"/>
      <c r="U1275" s="113"/>
      <c r="V1275" s="113" t="b">
        <v>0</v>
      </c>
      <c r="W1275" s="113"/>
      <c r="X1275" s="113" t="b">
        <v>0</v>
      </c>
      <c r="Y1275" s="113"/>
      <c r="Z1275" s="113"/>
      <c r="AA1275" s="113"/>
      <c r="AB1275" s="113"/>
      <c r="AC1275" s="113"/>
      <c r="AD1275" s="113"/>
      <c r="AE1275" s="113"/>
      <c r="AF1275" s="113"/>
    </row>
    <row r="1276">
      <c r="A1276" s="115"/>
      <c r="B1276" s="116"/>
      <c r="C1276" s="116"/>
      <c r="D1276" s="116"/>
      <c r="E1276" s="117"/>
      <c r="F1276" s="116"/>
      <c r="G1276" s="117"/>
      <c r="H1276" s="118"/>
      <c r="I1276" s="116"/>
      <c r="J1276" s="116"/>
      <c r="K1276" s="116"/>
      <c r="L1276" s="116"/>
      <c r="M1276" s="119" t="b">
        <v>0</v>
      </c>
      <c r="N1276" s="113" t="b">
        <v>0</v>
      </c>
      <c r="O1276" s="113" t="b">
        <v>0</v>
      </c>
      <c r="P1276" s="113" t="b">
        <v>0</v>
      </c>
      <c r="Q1276" s="113" t="b">
        <v>0</v>
      </c>
      <c r="R1276" s="113"/>
      <c r="S1276" s="113" t="b">
        <v>0</v>
      </c>
      <c r="T1276" s="113"/>
      <c r="U1276" s="113"/>
      <c r="V1276" s="113" t="b">
        <v>0</v>
      </c>
      <c r="W1276" s="113"/>
      <c r="X1276" s="113" t="b">
        <v>0</v>
      </c>
      <c r="Y1276" s="113"/>
      <c r="Z1276" s="113"/>
      <c r="AA1276" s="113"/>
      <c r="AB1276" s="113"/>
      <c r="AC1276" s="113"/>
      <c r="AD1276" s="113"/>
      <c r="AE1276" s="113"/>
      <c r="AF1276" s="113"/>
    </row>
    <row r="1277">
      <c r="A1277" s="115"/>
      <c r="B1277" s="116"/>
      <c r="C1277" s="116"/>
      <c r="D1277" s="116"/>
      <c r="E1277" s="117"/>
      <c r="F1277" s="116"/>
      <c r="G1277" s="117"/>
      <c r="H1277" s="118"/>
      <c r="I1277" s="116"/>
      <c r="J1277" s="116"/>
      <c r="K1277" s="116"/>
      <c r="L1277" s="116"/>
      <c r="M1277" s="119" t="b">
        <v>0</v>
      </c>
      <c r="N1277" s="113" t="b">
        <v>0</v>
      </c>
      <c r="O1277" s="113" t="b">
        <v>0</v>
      </c>
      <c r="P1277" s="113" t="b">
        <v>0</v>
      </c>
      <c r="Q1277" s="113" t="b">
        <v>0</v>
      </c>
      <c r="R1277" s="113"/>
      <c r="S1277" s="113" t="b">
        <v>0</v>
      </c>
      <c r="T1277" s="113"/>
      <c r="U1277" s="113"/>
      <c r="V1277" s="113" t="b">
        <v>0</v>
      </c>
      <c r="W1277" s="113"/>
      <c r="X1277" s="113" t="b">
        <v>0</v>
      </c>
      <c r="Y1277" s="113"/>
      <c r="Z1277" s="113"/>
      <c r="AA1277" s="113"/>
      <c r="AB1277" s="113"/>
      <c r="AC1277" s="113"/>
      <c r="AD1277" s="113"/>
      <c r="AE1277" s="113"/>
      <c r="AF1277" s="113"/>
    </row>
    <row r="1278">
      <c r="A1278" s="115"/>
      <c r="B1278" s="116"/>
      <c r="C1278" s="116"/>
      <c r="D1278" s="116"/>
      <c r="E1278" s="117"/>
      <c r="F1278" s="116"/>
      <c r="G1278" s="117"/>
      <c r="H1278" s="118"/>
      <c r="I1278" s="116"/>
      <c r="J1278" s="116"/>
      <c r="K1278" s="116"/>
      <c r="L1278" s="116"/>
      <c r="M1278" s="119" t="b">
        <v>0</v>
      </c>
      <c r="N1278" s="113" t="b">
        <v>0</v>
      </c>
      <c r="O1278" s="113" t="b">
        <v>0</v>
      </c>
      <c r="P1278" s="113" t="b">
        <v>0</v>
      </c>
      <c r="Q1278" s="113" t="b">
        <v>0</v>
      </c>
      <c r="R1278" s="113"/>
      <c r="S1278" s="113" t="b">
        <v>0</v>
      </c>
      <c r="T1278" s="113"/>
      <c r="U1278" s="113"/>
      <c r="V1278" s="113" t="b">
        <v>0</v>
      </c>
      <c r="W1278" s="113"/>
      <c r="X1278" s="113" t="b">
        <v>0</v>
      </c>
      <c r="Y1278" s="113"/>
      <c r="Z1278" s="113"/>
      <c r="AA1278" s="113"/>
      <c r="AB1278" s="113"/>
      <c r="AC1278" s="113"/>
      <c r="AD1278" s="113"/>
      <c r="AE1278" s="113"/>
      <c r="AF1278" s="113"/>
    </row>
    <row r="1279">
      <c r="A1279" s="115"/>
      <c r="B1279" s="116"/>
      <c r="C1279" s="116"/>
      <c r="D1279" s="116"/>
      <c r="E1279" s="117"/>
      <c r="F1279" s="116"/>
      <c r="G1279" s="117"/>
      <c r="H1279" s="118"/>
      <c r="I1279" s="116"/>
      <c r="J1279" s="116"/>
      <c r="K1279" s="116"/>
      <c r="L1279" s="116"/>
      <c r="M1279" s="119" t="b">
        <v>0</v>
      </c>
      <c r="N1279" s="113" t="b">
        <v>0</v>
      </c>
      <c r="O1279" s="113" t="b">
        <v>0</v>
      </c>
      <c r="P1279" s="113" t="b">
        <v>0</v>
      </c>
      <c r="Q1279" s="113" t="b">
        <v>0</v>
      </c>
      <c r="R1279" s="113"/>
      <c r="S1279" s="113" t="b">
        <v>0</v>
      </c>
      <c r="T1279" s="113"/>
      <c r="U1279" s="113"/>
      <c r="V1279" s="113" t="b">
        <v>0</v>
      </c>
      <c r="W1279" s="113"/>
      <c r="X1279" s="113" t="b">
        <v>0</v>
      </c>
      <c r="Y1279" s="113"/>
      <c r="Z1279" s="113"/>
      <c r="AA1279" s="113"/>
      <c r="AB1279" s="113"/>
      <c r="AC1279" s="113"/>
      <c r="AD1279" s="113"/>
      <c r="AE1279" s="113"/>
      <c r="AF1279" s="113"/>
    </row>
    <row r="1280">
      <c r="A1280" s="115"/>
      <c r="B1280" s="116"/>
      <c r="C1280" s="116"/>
      <c r="D1280" s="116"/>
      <c r="E1280" s="117"/>
      <c r="F1280" s="116"/>
      <c r="G1280" s="117"/>
      <c r="H1280" s="118"/>
      <c r="I1280" s="116"/>
      <c r="J1280" s="116"/>
      <c r="K1280" s="116"/>
      <c r="L1280" s="116"/>
      <c r="M1280" s="119" t="b">
        <v>0</v>
      </c>
      <c r="N1280" s="113" t="b">
        <v>0</v>
      </c>
      <c r="O1280" s="113" t="b">
        <v>0</v>
      </c>
      <c r="P1280" s="113" t="b">
        <v>0</v>
      </c>
      <c r="Q1280" s="113" t="b">
        <v>0</v>
      </c>
      <c r="R1280" s="113"/>
      <c r="S1280" s="113" t="b">
        <v>0</v>
      </c>
      <c r="T1280" s="113"/>
      <c r="U1280" s="113"/>
      <c r="V1280" s="113" t="b">
        <v>0</v>
      </c>
      <c r="W1280" s="113"/>
      <c r="X1280" s="113" t="b">
        <v>0</v>
      </c>
      <c r="Y1280" s="113"/>
      <c r="Z1280" s="113"/>
      <c r="AA1280" s="113"/>
      <c r="AB1280" s="113"/>
      <c r="AC1280" s="113"/>
      <c r="AD1280" s="113"/>
      <c r="AE1280" s="113"/>
      <c r="AF1280" s="113"/>
    </row>
    <row r="1281">
      <c r="A1281" s="115"/>
      <c r="B1281" s="116"/>
      <c r="C1281" s="116"/>
      <c r="D1281" s="116"/>
      <c r="E1281" s="117"/>
      <c r="F1281" s="116"/>
      <c r="G1281" s="117"/>
      <c r="H1281" s="118"/>
      <c r="I1281" s="116"/>
      <c r="J1281" s="116"/>
      <c r="K1281" s="116"/>
      <c r="L1281" s="116"/>
      <c r="M1281" s="119" t="b">
        <v>0</v>
      </c>
      <c r="N1281" s="113" t="b">
        <v>0</v>
      </c>
      <c r="O1281" s="113" t="b">
        <v>0</v>
      </c>
      <c r="P1281" s="113" t="b">
        <v>0</v>
      </c>
      <c r="Q1281" s="113" t="b">
        <v>0</v>
      </c>
      <c r="R1281" s="113"/>
      <c r="S1281" s="113" t="b">
        <v>0</v>
      </c>
      <c r="T1281" s="113"/>
      <c r="U1281" s="113"/>
      <c r="V1281" s="113" t="b">
        <v>0</v>
      </c>
      <c r="W1281" s="113"/>
      <c r="X1281" s="113" t="b">
        <v>0</v>
      </c>
      <c r="Y1281" s="113"/>
      <c r="Z1281" s="113"/>
      <c r="AA1281" s="113"/>
      <c r="AB1281" s="113"/>
      <c r="AC1281" s="113"/>
      <c r="AD1281" s="113"/>
      <c r="AE1281" s="113"/>
      <c r="AF1281" s="113"/>
    </row>
    <row r="1282">
      <c r="A1282" s="115"/>
      <c r="B1282" s="116"/>
      <c r="C1282" s="116"/>
      <c r="D1282" s="116"/>
      <c r="E1282" s="117"/>
      <c r="F1282" s="116"/>
      <c r="G1282" s="117"/>
      <c r="H1282" s="118"/>
      <c r="I1282" s="116"/>
      <c r="J1282" s="116"/>
      <c r="K1282" s="116"/>
      <c r="L1282" s="116"/>
      <c r="M1282" s="119" t="b">
        <v>0</v>
      </c>
      <c r="N1282" s="113" t="b">
        <v>0</v>
      </c>
      <c r="O1282" s="113" t="b">
        <v>0</v>
      </c>
      <c r="P1282" s="113" t="b">
        <v>0</v>
      </c>
      <c r="Q1282" s="113" t="b">
        <v>0</v>
      </c>
      <c r="R1282" s="113"/>
      <c r="S1282" s="113" t="b">
        <v>0</v>
      </c>
      <c r="T1282" s="113"/>
      <c r="U1282" s="113"/>
      <c r="V1282" s="113" t="b">
        <v>0</v>
      </c>
      <c r="W1282" s="113"/>
      <c r="X1282" s="113" t="b">
        <v>0</v>
      </c>
      <c r="Y1282" s="113"/>
      <c r="Z1282" s="113"/>
      <c r="AA1282" s="113"/>
      <c r="AB1282" s="113"/>
      <c r="AC1282" s="113"/>
      <c r="AD1282" s="113"/>
      <c r="AE1282" s="113"/>
      <c r="AF1282" s="113"/>
    </row>
    <row r="1283">
      <c r="A1283" s="115"/>
      <c r="B1283" s="116"/>
      <c r="C1283" s="116"/>
      <c r="D1283" s="116"/>
      <c r="E1283" s="117"/>
      <c r="F1283" s="116"/>
      <c r="G1283" s="117"/>
      <c r="H1283" s="118"/>
      <c r="I1283" s="116"/>
      <c r="J1283" s="116"/>
      <c r="K1283" s="116"/>
      <c r="L1283" s="116"/>
      <c r="M1283" s="119" t="b">
        <v>0</v>
      </c>
      <c r="N1283" s="113" t="b">
        <v>0</v>
      </c>
      <c r="O1283" s="113" t="b">
        <v>0</v>
      </c>
      <c r="P1283" s="113" t="b">
        <v>0</v>
      </c>
      <c r="Q1283" s="113" t="b">
        <v>0</v>
      </c>
      <c r="R1283" s="113"/>
      <c r="S1283" s="113" t="b">
        <v>0</v>
      </c>
      <c r="T1283" s="113"/>
      <c r="U1283" s="113"/>
      <c r="V1283" s="113" t="b">
        <v>0</v>
      </c>
      <c r="W1283" s="113"/>
      <c r="X1283" s="113" t="b">
        <v>0</v>
      </c>
      <c r="Y1283" s="113"/>
      <c r="Z1283" s="113"/>
      <c r="AA1283" s="113"/>
      <c r="AB1283" s="113"/>
      <c r="AC1283" s="113"/>
      <c r="AD1283" s="113"/>
      <c r="AE1283" s="113"/>
      <c r="AF1283" s="113"/>
    </row>
    <row r="1284">
      <c r="A1284" s="115"/>
      <c r="B1284" s="116"/>
      <c r="C1284" s="116"/>
      <c r="D1284" s="116"/>
      <c r="E1284" s="117"/>
      <c r="F1284" s="116"/>
      <c r="G1284" s="117"/>
      <c r="H1284" s="118"/>
      <c r="I1284" s="116"/>
      <c r="J1284" s="116"/>
      <c r="K1284" s="116"/>
      <c r="L1284" s="116"/>
      <c r="M1284" s="119" t="b">
        <v>0</v>
      </c>
      <c r="N1284" s="113" t="b">
        <v>0</v>
      </c>
      <c r="O1284" s="113" t="b">
        <v>0</v>
      </c>
      <c r="P1284" s="113" t="b">
        <v>0</v>
      </c>
      <c r="Q1284" s="113" t="b">
        <v>0</v>
      </c>
      <c r="R1284" s="113"/>
      <c r="S1284" s="113" t="b">
        <v>0</v>
      </c>
      <c r="T1284" s="113"/>
      <c r="U1284" s="113"/>
      <c r="V1284" s="113" t="b">
        <v>0</v>
      </c>
      <c r="W1284" s="113"/>
      <c r="X1284" s="113" t="b">
        <v>0</v>
      </c>
      <c r="Y1284" s="113"/>
      <c r="Z1284" s="113"/>
      <c r="AA1284" s="113"/>
      <c r="AB1284" s="113"/>
      <c r="AC1284" s="113"/>
      <c r="AD1284" s="113"/>
      <c r="AE1284" s="113"/>
      <c r="AF1284" s="113"/>
    </row>
    <row r="1285">
      <c r="A1285" s="115"/>
      <c r="B1285" s="116"/>
      <c r="C1285" s="116"/>
      <c r="D1285" s="116"/>
      <c r="E1285" s="117"/>
      <c r="F1285" s="116"/>
      <c r="G1285" s="117"/>
      <c r="H1285" s="118"/>
      <c r="I1285" s="116"/>
      <c r="J1285" s="116"/>
      <c r="K1285" s="116"/>
      <c r="L1285" s="116"/>
      <c r="M1285" s="119" t="b">
        <v>0</v>
      </c>
      <c r="N1285" s="113" t="b">
        <v>0</v>
      </c>
      <c r="O1285" s="113" t="b">
        <v>0</v>
      </c>
      <c r="P1285" s="113" t="b">
        <v>0</v>
      </c>
      <c r="Q1285" s="113" t="b">
        <v>0</v>
      </c>
      <c r="R1285" s="113"/>
      <c r="S1285" s="113" t="b">
        <v>0</v>
      </c>
      <c r="T1285" s="113"/>
      <c r="U1285" s="113"/>
      <c r="V1285" s="113" t="b">
        <v>0</v>
      </c>
      <c r="W1285" s="113"/>
      <c r="X1285" s="113" t="b">
        <v>0</v>
      </c>
      <c r="Y1285" s="113"/>
      <c r="Z1285" s="113"/>
      <c r="AA1285" s="113"/>
      <c r="AB1285" s="113"/>
      <c r="AC1285" s="113"/>
      <c r="AD1285" s="113"/>
      <c r="AE1285" s="113"/>
      <c r="AF1285" s="113"/>
    </row>
    <row r="1286">
      <c r="A1286" s="115"/>
      <c r="B1286" s="116"/>
      <c r="C1286" s="116"/>
      <c r="D1286" s="116"/>
      <c r="E1286" s="117"/>
      <c r="F1286" s="116"/>
      <c r="G1286" s="117"/>
      <c r="H1286" s="118"/>
      <c r="I1286" s="116"/>
      <c r="J1286" s="116"/>
      <c r="K1286" s="116"/>
      <c r="L1286" s="116"/>
      <c r="M1286" s="119" t="b">
        <v>0</v>
      </c>
      <c r="N1286" s="113" t="b">
        <v>0</v>
      </c>
      <c r="O1286" s="113" t="b">
        <v>0</v>
      </c>
      <c r="P1286" s="113" t="b">
        <v>0</v>
      </c>
      <c r="Q1286" s="113" t="b">
        <v>0</v>
      </c>
      <c r="R1286" s="113"/>
      <c r="S1286" s="113" t="b">
        <v>0</v>
      </c>
      <c r="T1286" s="113"/>
      <c r="U1286" s="113"/>
      <c r="V1286" s="113" t="b">
        <v>0</v>
      </c>
      <c r="W1286" s="113"/>
      <c r="X1286" s="113" t="b">
        <v>0</v>
      </c>
      <c r="Y1286" s="113"/>
      <c r="Z1286" s="113"/>
      <c r="AA1286" s="113"/>
      <c r="AB1286" s="113"/>
      <c r="AC1286" s="113"/>
      <c r="AD1286" s="113"/>
      <c r="AE1286" s="113"/>
      <c r="AF1286" s="113"/>
    </row>
    <row r="1287">
      <c r="A1287" s="115"/>
      <c r="B1287" s="116"/>
      <c r="C1287" s="116"/>
      <c r="D1287" s="116"/>
      <c r="E1287" s="117"/>
      <c r="F1287" s="116"/>
      <c r="G1287" s="117"/>
      <c r="H1287" s="118"/>
      <c r="I1287" s="116"/>
      <c r="J1287" s="116"/>
      <c r="K1287" s="116"/>
      <c r="L1287" s="116"/>
      <c r="M1287" s="119" t="b">
        <v>0</v>
      </c>
      <c r="N1287" s="113" t="b">
        <v>0</v>
      </c>
      <c r="O1287" s="113" t="b">
        <v>0</v>
      </c>
      <c r="P1287" s="113" t="b">
        <v>0</v>
      </c>
      <c r="Q1287" s="113" t="b">
        <v>0</v>
      </c>
      <c r="R1287" s="113"/>
      <c r="S1287" s="113" t="b">
        <v>0</v>
      </c>
      <c r="T1287" s="113"/>
      <c r="U1287" s="113"/>
      <c r="V1287" s="113" t="b">
        <v>0</v>
      </c>
      <c r="W1287" s="113"/>
      <c r="X1287" s="113" t="b">
        <v>0</v>
      </c>
      <c r="Y1287" s="113"/>
      <c r="Z1287" s="113"/>
      <c r="AA1287" s="113"/>
      <c r="AB1287" s="113"/>
      <c r="AC1287" s="113"/>
      <c r="AD1287" s="113"/>
      <c r="AE1287" s="113"/>
      <c r="AF1287" s="113"/>
    </row>
    <row r="1288">
      <c r="A1288" s="115"/>
      <c r="B1288" s="116"/>
      <c r="C1288" s="116"/>
      <c r="D1288" s="116"/>
      <c r="E1288" s="117"/>
      <c r="F1288" s="116"/>
      <c r="G1288" s="117"/>
      <c r="H1288" s="118"/>
      <c r="I1288" s="116"/>
      <c r="J1288" s="116"/>
      <c r="K1288" s="116"/>
      <c r="L1288" s="116"/>
      <c r="M1288" s="119" t="b">
        <v>0</v>
      </c>
      <c r="N1288" s="113" t="b">
        <v>0</v>
      </c>
      <c r="O1288" s="113" t="b">
        <v>0</v>
      </c>
      <c r="P1288" s="113" t="b">
        <v>0</v>
      </c>
      <c r="Q1288" s="113" t="b">
        <v>0</v>
      </c>
      <c r="R1288" s="113"/>
      <c r="S1288" s="113" t="b">
        <v>0</v>
      </c>
      <c r="T1288" s="113"/>
      <c r="U1288" s="113"/>
      <c r="V1288" s="113" t="b">
        <v>0</v>
      </c>
      <c r="W1288" s="113"/>
      <c r="X1288" s="113" t="b">
        <v>0</v>
      </c>
      <c r="Y1288" s="113"/>
      <c r="Z1288" s="113"/>
      <c r="AA1288" s="113"/>
      <c r="AB1288" s="113"/>
      <c r="AC1288" s="113"/>
      <c r="AD1288" s="113"/>
      <c r="AE1288" s="113"/>
      <c r="AF1288" s="113"/>
    </row>
    <row r="1289">
      <c r="A1289" s="115"/>
      <c r="B1289" s="116"/>
      <c r="C1289" s="116"/>
      <c r="D1289" s="116"/>
      <c r="E1289" s="117"/>
      <c r="F1289" s="116"/>
      <c r="G1289" s="117"/>
      <c r="H1289" s="118"/>
      <c r="I1289" s="116"/>
      <c r="J1289" s="116"/>
      <c r="K1289" s="116"/>
      <c r="L1289" s="116"/>
      <c r="M1289" s="119" t="b">
        <v>0</v>
      </c>
      <c r="N1289" s="113" t="b">
        <v>0</v>
      </c>
      <c r="O1289" s="113" t="b">
        <v>0</v>
      </c>
      <c r="P1289" s="113" t="b">
        <v>0</v>
      </c>
      <c r="Q1289" s="113" t="b">
        <v>0</v>
      </c>
      <c r="R1289" s="113"/>
      <c r="S1289" s="113" t="b">
        <v>0</v>
      </c>
      <c r="T1289" s="113"/>
      <c r="U1289" s="113"/>
      <c r="V1289" s="113" t="b">
        <v>0</v>
      </c>
      <c r="W1289" s="113"/>
      <c r="X1289" s="113" t="b">
        <v>0</v>
      </c>
      <c r="Y1289" s="113"/>
      <c r="Z1289" s="113"/>
      <c r="AA1289" s="113"/>
      <c r="AB1289" s="113"/>
      <c r="AC1289" s="113"/>
      <c r="AD1289" s="113"/>
      <c r="AE1289" s="113"/>
      <c r="AF1289" s="113"/>
    </row>
    <row r="1290">
      <c r="A1290" s="115"/>
      <c r="B1290" s="116"/>
      <c r="C1290" s="116"/>
      <c r="D1290" s="116"/>
      <c r="E1290" s="117"/>
      <c r="F1290" s="116"/>
      <c r="G1290" s="117"/>
      <c r="H1290" s="118"/>
      <c r="I1290" s="116"/>
      <c r="J1290" s="116"/>
      <c r="K1290" s="116"/>
      <c r="L1290" s="116"/>
      <c r="M1290" s="119" t="b">
        <v>0</v>
      </c>
      <c r="N1290" s="113" t="b">
        <v>0</v>
      </c>
      <c r="O1290" s="113" t="b">
        <v>0</v>
      </c>
      <c r="P1290" s="113" t="b">
        <v>0</v>
      </c>
      <c r="Q1290" s="113" t="b">
        <v>0</v>
      </c>
      <c r="R1290" s="113"/>
      <c r="S1290" s="113" t="b">
        <v>0</v>
      </c>
      <c r="T1290" s="113"/>
      <c r="U1290" s="113"/>
      <c r="V1290" s="113" t="b">
        <v>0</v>
      </c>
      <c r="W1290" s="113"/>
      <c r="X1290" s="113" t="b">
        <v>0</v>
      </c>
      <c r="Y1290" s="113"/>
      <c r="Z1290" s="113"/>
      <c r="AA1290" s="113"/>
      <c r="AB1290" s="113"/>
      <c r="AC1290" s="113"/>
      <c r="AD1290" s="113"/>
      <c r="AE1290" s="113"/>
      <c r="AF1290" s="113"/>
    </row>
    <row r="1291">
      <c r="A1291" s="115"/>
      <c r="B1291" s="116"/>
      <c r="C1291" s="116"/>
      <c r="D1291" s="116"/>
      <c r="E1291" s="117"/>
      <c r="F1291" s="116"/>
      <c r="G1291" s="117"/>
      <c r="H1291" s="118"/>
      <c r="I1291" s="116"/>
      <c r="J1291" s="116"/>
      <c r="K1291" s="116"/>
      <c r="L1291" s="116"/>
      <c r="M1291" s="119" t="b">
        <v>0</v>
      </c>
      <c r="N1291" s="113" t="b">
        <v>0</v>
      </c>
      <c r="O1291" s="113" t="b">
        <v>0</v>
      </c>
      <c r="P1291" s="113" t="b">
        <v>0</v>
      </c>
      <c r="Q1291" s="113" t="b">
        <v>0</v>
      </c>
      <c r="R1291" s="113"/>
      <c r="S1291" s="113" t="b">
        <v>0</v>
      </c>
      <c r="T1291" s="113"/>
      <c r="U1291" s="113"/>
      <c r="V1291" s="113" t="b">
        <v>0</v>
      </c>
      <c r="W1291" s="113"/>
      <c r="X1291" s="113" t="b">
        <v>0</v>
      </c>
      <c r="Y1291" s="113"/>
      <c r="Z1291" s="113"/>
      <c r="AA1291" s="113"/>
      <c r="AB1291" s="113"/>
      <c r="AC1291" s="113"/>
      <c r="AD1291" s="113"/>
      <c r="AE1291" s="113"/>
      <c r="AF1291" s="113"/>
    </row>
    <row r="1292">
      <c r="A1292" s="115"/>
      <c r="B1292" s="116"/>
      <c r="C1292" s="116"/>
      <c r="D1292" s="116"/>
      <c r="E1292" s="117"/>
      <c r="F1292" s="116"/>
      <c r="G1292" s="117"/>
      <c r="H1292" s="118"/>
      <c r="I1292" s="116"/>
      <c r="J1292" s="116"/>
      <c r="K1292" s="116"/>
      <c r="L1292" s="116"/>
      <c r="M1292" s="119" t="b">
        <v>0</v>
      </c>
      <c r="N1292" s="113" t="b">
        <v>0</v>
      </c>
      <c r="O1292" s="113" t="b">
        <v>0</v>
      </c>
      <c r="P1292" s="113" t="b">
        <v>0</v>
      </c>
      <c r="Q1292" s="113" t="b">
        <v>0</v>
      </c>
      <c r="R1292" s="113"/>
      <c r="S1292" s="113" t="b">
        <v>0</v>
      </c>
      <c r="T1292" s="113"/>
      <c r="U1292" s="113"/>
      <c r="V1292" s="113" t="b">
        <v>0</v>
      </c>
      <c r="W1292" s="113"/>
      <c r="X1292" s="113" t="b">
        <v>0</v>
      </c>
      <c r="Y1292" s="113"/>
      <c r="Z1292" s="113"/>
      <c r="AA1292" s="113"/>
      <c r="AB1292" s="113"/>
      <c r="AC1292" s="113"/>
      <c r="AD1292" s="113"/>
      <c r="AE1292" s="113"/>
      <c r="AF1292" s="113"/>
    </row>
    <row r="1293">
      <c r="A1293" s="115"/>
      <c r="B1293" s="116"/>
      <c r="C1293" s="116"/>
      <c r="D1293" s="116"/>
      <c r="E1293" s="117"/>
      <c r="F1293" s="116"/>
      <c r="G1293" s="117"/>
      <c r="H1293" s="118"/>
      <c r="I1293" s="116"/>
      <c r="J1293" s="116"/>
      <c r="K1293" s="116"/>
      <c r="L1293" s="116"/>
      <c r="M1293" s="119" t="b">
        <v>0</v>
      </c>
      <c r="N1293" s="113" t="b">
        <v>0</v>
      </c>
      <c r="O1293" s="113" t="b">
        <v>0</v>
      </c>
      <c r="P1293" s="113" t="b">
        <v>0</v>
      </c>
      <c r="Q1293" s="113" t="b">
        <v>0</v>
      </c>
      <c r="R1293" s="113"/>
      <c r="S1293" s="113" t="b">
        <v>0</v>
      </c>
      <c r="T1293" s="113"/>
      <c r="U1293" s="113"/>
      <c r="V1293" s="113" t="b">
        <v>0</v>
      </c>
      <c r="W1293" s="113"/>
      <c r="X1293" s="113" t="b">
        <v>0</v>
      </c>
      <c r="Y1293" s="113"/>
      <c r="Z1293" s="113"/>
      <c r="AA1293" s="113"/>
      <c r="AB1293" s="113"/>
      <c r="AC1293" s="113"/>
      <c r="AD1293" s="113"/>
      <c r="AE1293" s="113"/>
      <c r="AF1293" s="113"/>
    </row>
    <row r="1294">
      <c r="A1294" s="115"/>
      <c r="B1294" s="116"/>
      <c r="C1294" s="116"/>
      <c r="D1294" s="116"/>
      <c r="E1294" s="117"/>
      <c r="F1294" s="116"/>
      <c r="G1294" s="117"/>
      <c r="H1294" s="118"/>
      <c r="I1294" s="116"/>
      <c r="J1294" s="116"/>
      <c r="K1294" s="116"/>
      <c r="L1294" s="116"/>
      <c r="M1294" s="119" t="b">
        <v>0</v>
      </c>
      <c r="N1294" s="113" t="b">
        <v>0</v>
      </c>
      <c r="O1294" s="113" t="b">
        <v>0</v>
      </c>
      <c r="P1294" s="113" t="b">
        <v>0</v>
      </c>
      <c r="Q1294" s="113" t="b">
        <v>0</v>
      </c>
      <c r="R1294" s="113"/>
      <c r="S1294" s="113" t="b">
        <v>0</v>
      </c>
      <c r="T1294" s="113"/>
      <c r="U1294" s="113"/>
      <c r="V1294" s="113" t="b">
        <v>0</v>
      </c>
      <c r="W1294" s="113"/>
      <c r="X1294" s="113" t="b">
        <v>0</v>
      </c>
      <c r="Y1294" s="113"/>
      <c r="Z1294" s="113"/>
      <c r="AA1294" s="113"/>
      <c r="AB1294" s="113"/>
      <c r="AC1294" s="113"/>
      <c r="AD1294" s="113"/>
      <c r="AE1294" s="113"/>
      <c r="AF1294" s="113"/>
    </row>
    <row r="1295">
      <c r="A1295" s="115"/>
      <c r="B1295" s="116"/>
      <c r="C1295" s="116"/>
      <c r="D1295" s="116"/>
      <c r="E1295" s="117"/>
      <c r="F1295" s="116"/>
      <c r="G1295" s="117"/>
      <c r="H1295" s="118"/>
      <c r="I1295" s="116"/>
      <c r="J1295" s="116"/>
      <c r="K1295" s="116"/>
      <c r="L1295" s="116"/>
      <c r="M1295" s="119" t="b">
        <v>0</v>
      </c>
      <c r="N1295" s="113" t="b">
        <v>0</v>
      </c>
      <c r="O1295" s="113" t="b">
        <v>0</v>
      </c>
      <c r="P1295" s="113" t="b">
        <v>0</v>
      </c>
      <c r="Q1295" s="113" t="b">
        <v>0</v>
      </c>
      <c r="R1295" s="113"/>
      <c r="S1295" s="113" t="b">
        <v>0</v>
      </c>
      <c r="T1295" s="113"/>
      <c r="U1295" s="113"/>
      <c r="V1295" s="113" t="b">
        <v>0</v>
      </c>
      <c r="W1295" s="113"/>
      <c r="X1295" s="113" t="b">
        <v>0</v>
      </c>
      <c r="Y1295" s="113"/>
      <c r="Z1295" s="113"/>
      <c r="AA1295" s="113"/>
      <c r="AB1295" s="113"/>
      <c r="AC1295" s="113"/>
      <c r="AD1295" s="113"/>
      <c r="AE1295" s="113"/>
      <c r="AF1295" s="113"/>
    </row>
    <row r="1296">
      <c r="A1296" s="115"/>
      <c r="B1296" s="116"/>
      <c r="C1296" s="116"/>
      <c r="D1296" s="116"/>
      <c r="E1296" s="117"/>
      <c r="F1296" s="116"/>
      <c r="G1296" s="117"/>
      <c r="H1296" s="118"/>
      <c r="I1296" s="116"/>
      <c r="J1296" s="116"/>
      <c r="K1296" s="116"/>
      <c r="L1296" s="116"/>
      <c r="M1296" s="119" t="b">
        <v>0</v>
      </c>
      <c r="N1296" s="113" t="b">
        <v>0</v>
      </c>
      <c r="O1296" s="113" t="b">
        <v>0</v>
      </c>
      <c r="P1296" s="113" t="b">
        <v>0</v>
      </c>
      <c r="Q1296" s="113" t="b">
        <v>0</v>
      </c>
      <c r="R1296" s="113"/>
      <c r="S1296" s="113" t="b">
        <v>0</v>
      </c>
      <c r="T1296" s="113"/>
      <c r="U1296" s="113"/>
      <c r="V1296" s="113" t="b">
        <v>0</v>
      </c>
      <c r="W1296" s="113"/>
      <c r="X1296" s="113" t="b">
        <v>0</v>
      </c>
      <c r="Y1296" s="113"/>
      <c r="Z1296" s="113"/>
      <c r="AA1296" s="113"/>
      <c r="AB1296" s="113"/>
      <c r="AC1296" s="113"/>
      <c r="AD1296" s="113"/>
      <c r="AE1296" s="113"/>
      <c r="AF1296" s="113"/>
    </row>
    <row r="1297">
      <c r="A1297" s="115"/>
      <c r="B1297" s="116"/>
      <c r="C1297" s="116"/>
      <c r="D1297" s="116"/>
      <c r="E1297" s="117"/>
      <c r="F1297" s="116"/>
      <c r="G1297" s="117"/>
      <c r="H1297" s="118"/>
      <c r="I1297" s="116"/>
      <c r="J1297" s="116"/>
      <c r="K1297" s="116"/>
      <c r="L1297" s="116"/>
      <c r="M1297" s="119" t="b">
        <v>0</v>
      </c>
      <c r="N1297" s="113" t="b">
        <v>0</v>
      </c>
      <c r="O1297" s="113" t="b">
        <v>0</v>
      </c>
      <c r="P1297" s="113" t="b">
        <v>0</v>
      </c>
      <c r="Q1297" s="113" t="b">
        <v>0</v>
      </c>
      <c r="R1297" s="113"/>
      <c r="S1297" s="113" t="b">
        <v>0</v>
      </c>
      <c r="T1297" s="113"/>
      <c r="U1297" s="113"/>
      <c r="V1297" s="113" t="b">
        <v>0</v>
      </c>
      <c r="W1297" s="113"/>
      <c r="X1297" s="113" t="b">
        <v>0</v>
      </c>
      <c r="Y1297" s="113"/>
      <c r="Z1297" s="113"/>
      <c r="AA1297" s="113"/>
      <c r="AB1297" s="113"/>
      <c r="AC1297" s="113"/>
      <c r="AD1297" s="113"/>
      <c r="AE1297" s="113"/>
      <c r="AF1297" s="113"/>
    </row>
    <row r="1298">
      <c r="A1298" s="115"/>
      <c r="B1298" s="116"/>
      <c r="C1298" s="116"/>
      <c r="D1298" s="116"/>
      <c r="E1298" s="117"/>
      <c r="F1298" s="116"/>
      <c r="G1298" s="117"/>
      <c r="H1298" s="118"/>
      <c r="I1298" s="116"/>
      <c r="J1298" s="116"/>
      <c r="K1298" s="116"/>
      <c r="L1298" s="116"/>
      <c r="M1298" s="119" t="b">
        <v>0</v>
      </c>
      <c r="N1298" s="113" t="b">
        <v>0</v>
      </c>
      <c r="O1298" s="113" t="b">
        <v>0</v>
      </c>
      <c r="P1298" s="113" t="b">
        <v>0</v>
      </c>
      <c r="Q1298" s="113" t="b">
        <v>0</v>
      </c>
      <c r="R1298" s="113"/>
      <c r="S1298" s="113" t="b">
        <v>0</v>
      </c>
      <c r="T1298" s="113"/>
      <c r="U1298" s="113"/>
      <c r="V1298" s="113" t="b">
        <v>0</v>
      </c>
      <c r="W1298" s="113"/>
      <c r="X1298" s="113" t="b">
        <v>0</v>
      </c>
      <c r="Y1298" s="113"/>
      <c r="Z1298" s="113"/>
      <c r="AA1298" s="113"/>
      <c r="AB1298" s="113"/>
      <c r="AC1298" s="113"/>
      <c r="AD1298" s="113"/>
      <c r="AE1298" s="113"/>
      <c r="AF1298" s="113"/>
    </row>
    <row r="1299">
      <c r="A1299" s="115"/>
      <c r="B1299" s="116"/>
      <c r="C1299" s="116"/>
      <c r="D1299" s="116"/>
      <c r="E1299" s="117"/>
      <c r="F1299" s="116"/>
      <c r="G1299" s="117"/>
      <c r="H1299" s="118"/>
      <c r="I1299" s="116"/>
      <c r="J1299" s="116"/>
      <c r="K1299" s="116"/>
      <c r="L1299" s="116"/>
      <c r="M1299" s="119" t="b">
        <v>0</v>
      </c>
      <c r="N1299" s="113" t="b">
        <v>0</v>
      </c>
      <c r="O1299" s="113" t="b">
        <v>0</v>
      </c>
      <c r="P1299" s="113" t="b">
        <v>0</v>
      </c>
      <c r="Q1299" s="113" t="b">
        <v>0</v>
      </c>
      <c r="R1299" s="113"/>
      <c r="S1299" s="113" t="b">
        <v>0</v>
      </c>
      <c r="T1299" s="113"/>
      <c r="U1299" s="113"/>
      <c r="V1299" s="113" t="b">
        <v>0</v>
      </c>
      <c r="W1299" s="113"/>
      <c r="X1299" s="113" t="b">
        <v>0</v>
      </c>
      <c r="Y1299" s="113"/>
      <c r="Z1299" s="113"/>
      <c r="AA1299" s="113"/>
      <c r="AB1299" s="113"/>
      <c r="AC1299" s="113"/>
      <c r="AD1299" s="113"/>
      <c r="AE1299" s="113"/>
      <c r="AF1299" s="113"/>
    </row>
    <row r="1300">
      <c r="A1300" s="115"/>
      <c r="B1300" s="116"/>
      <c r="C1300" s="116"/>
      <c r="D1300" s="116"/>
      <c r="E1300" s="117"/>
      <c r="F1300" s="116"/>
      <c r="G1300" s="117"/>
      <c r="H1300" s="118"/>
      <c r="I1300" s="116"/>
      <c r="J1300" s="116"/>
      <c r="K1300" s="116"/>
      <c r="L1300" s="116"/>
      <c r="M1300" s="119" t="b">
        <v>0</v>
      </c>
      <c r="N1300" s="113" t="b">
        <v>0</v>
      </c>
      <c r="O1300" s="113" t="b">
        <v>0</v>
      </c>
      <c r="P1300" s="113" t="b">
        <v>0</v>
      </c>
      <c r="Q1300" s="113" t="b">
        <v>0</v>
      </c>
      <c r="R1300" s="113"/>
      <c r="S1300" s="113" t="b">
        <v>0</v>
      </c>
      <c r="T1300" s="113"/>
      <c r="U1300" s="113"/>
      <c r="V1300" s="113" t="b">
        <v>0</v>
      </c>
      <c r="W1300" s="113"/>
      <c r="X1300" s="113" t="b">
        <v>0</v>
      </c>
      <c r="Y1300" s="113"/>
      <c r="Z1300" s="113"/>
      <c r="AA1300" s="113"/>
      <c r="AB1300" s="113"/>
      <c r="AC1300" s="113"/>
      <c r="AD1300" s="113"/>
      <c r="AE1300" s="113"/>
      <c r="AF1300" s="113"/>
    </row>
    <row r="1301">
      <c r="A1301" s="115"/>
      <c r="B1301" s="116"/>
      <c r="C1301" s="116"/>
      <c r="D1301" s="116"/>
      <c r="E1301" s="117"/>
      <c r="F1301" s="116"/>
      <c r="G1301" s="117"/>
      <c r="H1301" s="118"/>
      <c r="I1301" s="116"/>
      <c r="J1301" s="116"/>
      <c r="K1301" s="116"/>
      <c r="L1301" s="116"/>
      <c r="M1301" s="119" t="b">
        <v>0</v>
      </c>
      <c r="N1301" s="113" t="b">
        <v>0</v>
      </c>
      <c r="O1301" s="113" t="b">
        <v>0</v>
      </c>
      <c r="P1301" s="113" t="b">
        <v>0</v>
      </c>
      <c r="Q1301" s="113" t="b">
        <v>0</v>
      </c>
      <c r="R1301" s="113"/>
      <c r="S1301" s="113" t="b">
        <v>0</v>
      </c>
      <c r="T1301" s="113"/>
      <c r="U1301" s="113"/>
      <c r="V1301" s="113" t="b">
        <v>0</v>
      </c>
      <c r="W1301" s="113"/>
      <c r="X1301" s="113" t="b">
        <v>0</v>
      </c>
      <c r="Y1301" s="113"/>
      <c r="Z1301" s="113"/>
      <c r="AA1301" s="113"/>
      <c r="AB1301" s="113"/>
      <c r="AC1301" s="113"/>
      <c r="AD1301" s="113"/>
      <c r="AE1301" s="113"/>
      <c r="AF1301" s="113"/>
    </row>
    <row r="1302">
      <c r="A1302" s="115"/>
      <c r="B1302" s="116"/>
      <c r="C1302" s="116"/>
      <c r="D1302" s="116"/>
      <c r="E1302" s="117"/>
      <c r="F1302" s="116"/>
      <c r="G1302" s="117"/>
      <c r="H1302" s="118"/>
      <c r="I1302" s="116"/>
      <c r="J1302" s="116"/>
      <c r="K1302" s="116"/>
      <c r="L1302" s="116"/>
      <c r="M1302" s="119" t="b">
        <v>0</v>
      </c>
      <c r="N1302" s="113" t="b">
        <v>0</v>
      </c>
      <c r="O1302" s="113" t="b">
        <v>0</v>
      </c>
      <c r="P1302" s="113" t="b">
        <v>0</v>
      </c>
      <c r="Q1302" s="113" t="b">
        <v>0</v>
      </c>
      <c r="R1302" s="113"/>
      <c r="S1302" s="113" t="b">
        <v>0</v>
      </c>
      <c r="T1302" s="113"/>
      <c r="U1302" s="113"/>
      <c r="V1302" s="113" t="b">
        <v>0</v>
      </c>
      <c r="W1302" s="113"/>
      <c r="X1302" s="113" t="b">
        <v>0</v>
      </c>
      <c r="Y1302" s="113"/>
      <c r="Z1302" s="113"/>
      <c r="AA1302" s="113"/>
      <c r="AB1302" s="113"/>
      <c r="AC1302" s="113"/>
      <c r="AD1302" s="113"/>
      <c r="AE1302" s="113"/>
      <c r="AF1302" s="113"/>
    </row>
    <row r="1303">
      <c r="A1303" s="115"/>
      <c r="B1303" s="116"/>
      <c r="C1303" s="116"/>
      <c r="D1303" s="116"/>
      <c r="E1303" s="117"/>
      <c r="F1303" s="116"/>
      <c r="G1303" s="117"/>
      <c r="H1303" s="118"/>
      <c r="I1303" s="116"/>
      <c r="J1303" s="116"/>
      <c r="K1303" s="116"/>
      <c r="L1303" s="116"/>
      <c r="M1303" s="119" t="b">
        <v>0</v>
      </c>
      <c r="N1303" s="113" t="b">
        <v>0</v>
      </c>
      <c r="O1303" s="113" t="b">
        <v>0</v>
      </c>
      <c r="P1303" s="113" t="b">
        <v>0</v>
      </c>
      <c r="Q1303" s="113" t="b">
        <v>0</v>
      </c>
      <c r="R1303" s="113"/>
      <c r="S1303" s="113" t="b">
        <v>0</v>
      </c>
      <c r="T1303" s="113"/>
      <c r="U1303" s="113"/>
      <c r="V1303" s="113" t="b">
        <v>0</v>
      </c>
      <c r="W1303" s="113"/>
      <c r="X1303" s="113" t="b">
        <v>0</v>
      </c>
      <c r="Y1303" s="113"/>
      <c r="Z1303" s="113"/>
      <c r="AA1303" s="113"/>
      <c r="AB1303" s="113"/>
      <c r="AC1303" s="113"/>
      <c r="AD1303" s="113"/>
      <c r="AE1303" s="113"/>
      <c r="AF1303" s="113"/>
    </row>
    <row r="1304">
      <c r="A1304" s="115"/>
      <c r="B1304" s="116"/>
      <c r="C1304" s="116"/>
      <c r="D1304" s="116"/>
      <c r="E1304" s="117"/>
      <c r="F1304" s="116"/>
      <c r="G1304" s="117"/>
      <c r="H1304" s="118"/>
      <c r="I1304" s="116"/>
      <c r="J1304" s="116"/>
      <c r="K1304" s="116"/>
      <c r="L1304" s="116"/>
      <c r="M1304" s="119" t="b">
        <v>0</v>
      </c>
      <c r="N1304" s="113" t="b">
        <v>0</v>
      </c>
      <c r="O1304" s="113" t="b">
        <v>0</v>
      </c>
      <c r="P1304" s="113" t="b">
        <v>0</v>
      </c>
      <c r="Q1304" s="113" t="b">
        <v>0</v>
      </c>
      <c r="R1304" s="113"/>
      <c r="S1304" s="113" t="b">
        <v>0</v>
      </c>
      <c r="T1304" s="113"/>
      <c r="U1304" s="113"/>
      <c r="V1304" s="113" t="b">
        <v>0</v>
      </c>
      <c r="W1304" s="113"/>
      <c r="X1304" s="113" t="b">
        <v>0</v>
      </c>
      <c r="Y1304" s="113"/>
      <c r="Z1304" s="113"/>
      <c r="AA1304" s="113"/>
      <c r="AB1304" s="113"/>
      <c r="AC1304" s="113"/>
      <c r="AD1304" s="113"/>
      <c r="AE1304" s="113"/>
      <c r="AF1304" s="113"/>
    </row>
    <row r="1305">
      <c r="A1305" s="115"/>
      <c r="B1305" s="116"/>
      <c r="C1305" s="116"/>
      <c r="D1305" s="116"/>
      <c r="E1305" s="117"/>
      <c r="F1305" s="116"/>
      <c r="G1305" s="117"/>
      <c r="H1305" s="118"/>
      <c r="I1305" s="116"/>
      <c r="J1305" s="116"/>
      <c r="K1305" s="116"/>
      <c r="L1305" s="116"/>
      <c r="M1305" s="119" t="b">
        <v>0</v>
      </c>
      <c r="N1305" s="113" t="b">
        <v>0</v>
      </c>
      <c r="O1305" s="113" t="b">
        <v>0</v>
      </c>
      <c r="P1305" s="113" t="b">
        <v>0</v>
      </c>
      <c r="Q1305" s="113" t="b">
        <v>0</v>
      </c>
      <c r="R1305" s="113"/>
      <c r="S1305" s="113" t="b">
        <v>0</v>
      </c>
      <c r="T1305" s="113"/>
      <c r="U1305" s="113"/>
      <c r="V1305" s="113" t="b">
        <v>0</v>
      </c>
      <c r="W1305" s="113"/>
      <c r="X1305" s="113" t="b">
        <v>0</v>
      </c>
      <c r="Y1305" s="113"/>
      <c r="Z1305" s="113"/>
      <c r="AA1305" s="113"/>
      <c r="AB1305" s="113"/>
      <c r="AC1305" s="113"/>
      <c r="AD1305" s="113"/>
      <c r="AE1305" s="113"/>
      <c r="AF1305" s="113"/>
    </row>
    <row r="1306">
      <c r="A1306" s="115"/>
      <c r="B1306" s="116"/>
      <c r="C1306" s="116"/>
      <c r="D1306" s="116"/>
      <c r="E1306" s="117"/>
      <c r="F1306" s="116"/>
      <c r="G1306" s="117"/>
      <c r="H1306" s="118"/>
      <c r="I1306" s="116"/>
      <c r="J1306" s="116"/>
      <c r="K1306" s="116"/>
      <c r="L1306" s="116"/>
      <c r="M1306" s="119" t="b">
        <v>0</v>
      </c>
      <c r="N1306" s="113" t="b">
        <v>0</v>
      </c>
      <c r="O1306" s="113" t="b">
        <v>0</v>
      </c>
      <c r="P1306" s="113" t="b">
        <v>0</v>
      </c>
      <c r="Q1306" s="113" t="b">
        <v>0</v>
      </c>
      <c r="R1306" s="113"/>
      <c r="S1306" s="113" t="b">
        <v>0</v>
      </c>
      <c r="T1306" s="113"/>
      <c r="U1306" s="113"/>
      <c r="V1306" s="113" t="b">
        <v>0</v>
      </c>
      <c r="W1306" s="113"/>
      <c r="X1306" s="113" t="b">
        <v>0</v>
      </c>
      <c r="Y1306" s="113"/>
      <c r="Z1306" s="113"/>
      <c r="AA1306" s="113"/>
      <c r="AB1306" s="113"/>
      <c r="AC1306" s="113"/>
      <c r="AD1306" s="113"/>
      <c r="AE1306" s="113"/>
      <c r="AF1306" s="113"/>
    </row>
    <row r="1307">
      <c r="A1307" s="115"/>
      <c r="B1307" s="116"/>
      <c r="C1307" s="116"/>
      <c r="D1307" s="116"/>
      <c r="E1307" s="117"/>
      <c r="F1307" s="116"/>
      <c r="G1307" s="117"/>
      <c r="H1307" s="118"/>
      <c r="I1307" s="116"/>
      <c r="J1307" s="116"/>
      <c r="K1307" s="116"/>
      <c r="L1307" s="116"/>
      <c r="M1307" s="119" t="b">
        <v>0</v>
      </c>
      <c r="N1307" s="113" t="b">
        <v>0</v>
      </c>
      <c r="O1307" s="113" t="b">
        <v>0</v>
      </c>
      <c r="P1307" s="113" t="b">
        <v>0</v>
      </c>
      <c r="Q1307" s="113" t="b">
        <v>0</v>
      </c>
      <c r="R1307" s="113"/>
      <c r="S1307" s="113" t="b">
        <v>0</v>
      </c>
      <c r="T1307" s="113"/>
      <c r="U1307" s="113"/>
      <c r="V1307" s="113" t="b">
        <v>0</v>
      </c>
      <c r="W1307" s="113"/>
      <c r="X1307" s="113" t="b">
        <v>0</v>
      </c>
      <c r="Y1307" s="113"/>
      <c r="Z1307" s="113"/>
      <c r="AA1307" s="113"/>
      <c r="AB1307" s="113"/>
      <c r="AC1307" s="113"/>
      <c r="AD1307" s="113"/>
      <c r="AE1307" s="113"/>
      <c r="AF1307" s="113"/>
    </row>
    <row r="1308">
      <c r="A1308" s="115"/>
      <c r="B1308" s="116"/>
      <c r="C1308" s="116"/>
      <c r="D1308" s="116"/>
      <c r="E1308" s="117"/>
      <c r="F1308" s="116"/>
      <c r="G1308" s="117"/>
      <c r="H1308" s="118"/>
      <c r="I1308" s="116"/>
      <c r="J1308" s="116"/>
      <c r="K1308" s="116"/>
      <c r="L1308" s="116"/>
      <c r="M1308" s="119" t="b">
        <v>0</v>
      </c>
      <c r="N1308" s="113" t="b">
        <v>0</v>
      </c>
      <c r="O1308" s="113" t="b">
        <v>0</v>
      </c>
      <c r="P1308" s="113" t="b">
        <v>0</v>
      </c>
      <c r="Q1308" s="113" t="b">
        <v>0</v>
      </c>
      <c r="R1308" s="113"/>
      <c r="S1308" s="113" t="b">
        <v>0</v>
      </c>
      <c r="T1308" s="113"/>
      <c r="U1308" s="113"/>
      <c r="V1308" s="113" t="b">
        <v>0</v>
      </c>
      <c r="W1308" s="113"/>
      <c r="X1308" s="113" t="b">
        <v>0</v>
      </c>
      <c r="Y1308" s="113"/>
      <c r="Z1308" s="113"/>
      <c r="AA1308" s="113"/>
      <c r="AB1308" s="113"/>
      <c r="AC1308" s="113"/>
      <c r="AD1308" s="113"/>
      <c r="AE1308" s="113"/>
      <c r="AF1308" s="113"/>
    </row>
    <row r="1309">
      <c r="A1309" s="115"/>
      <c r="B1309" s="116"/>
      <c r="C1309" s="116"/>
      <c r="D1309" s="116"/>
      <c r="E1309" s="117"/>
      <c r="F1309" s="116"/>
      <c r="G1309" s="117"/>
      <c r="H1309" s="118"/>
      <c r="I1309" s="116"/>
      <c r="J1309" s="116"/>
      <c r="K1309" s="116"/>
      <c r="L1309" s="116"/>
      <c r="M1309" s="119" t="b">
        <v>0</v>
      </c>
      <c r="N1309" s="113" t="b">
        <v>0</v>
      </c>
      <c r="O1309" s="113" t="b">
        <v>0</v>
      </c>
      <c r="P1309" s="113" t="b">
        <v>0</v>
      </c>
      <c r="Q1309" s="113" t="b">
        <v>0</v>
      </c>
      <c r="R1309" s="113"/>
      <c r="S1309" s="113" t="b">
        <v>0</v>
      </c>
      <c r="T1309" s="113"/>
      <c r="U1309" s="113"/>
      <c r="V1309" s="113" t="b">
        <v>0</v>
      </c>
      <c r="W1309" s="113"/>
      <c r="X1309" s="113" t="b">
        <v>0</v>
      </c>
      <c r="Y1309" s="113"/>
      <c r="Z1309" s="113"/>
      <c r="AA1309" s="113"/>
      <c r="AB1309" s="113"/>
      <c r="AC1309" s="113"/>
      <c r="AD1309" s="113"/>
      <c r="AE1309" s="113"/>
      <c r="AF1309" s="113"/>
    </row>
    <row r="1310">
      <c r="A1310" s="115"/>
      <c r="B1310" s="116"/>
      <c r="C1310" s="116"/>
      <c r="D1310" s="116"/>
      <c r="E1310" s="117"/>
      <c r="F1310" s="116"/>
      <c r="G1310" s="117"/>
      <c r="H1310" s="118"/>
      <c r="I1310" s="116"/>
      <c r="J1310" s="116"/>
      <c r="K1310" s="116"/>
      <c r="L1310" s="116"/>
      <c r="M1310" s="119" t="b">
        <v>0</v>
      </c>
      <c r="N1310" s="113" t="b">
        <v>0</v>
      </c>
      <c r="O1310" s="113" t="b">
        <v>0</v>
      </c>
      <c r="P1310" s="113" t="b">
        <v>0</v>
      </c>
      <c r="Q1310" s="113" t="b">
        <v>0</v>
      </c>
      <c r="R1310" s="113"/>
      <c r="S1310" s="113" t="b">
        <v>0</v>
      </c>
      <c r="T1310" s="113"/>
      <c r="U1310" s="113"/>
      <c r="V1310" s="113" t="b">
        <v>0</v>
      </c>
      <c r="W1310" s="113"/>
      <c r="X1310" s="113" t="b">
        <v>0</v>
      </c>
      <c r="Y1310" s="113"/>
      <c r="Z1310" s="113"/>
      <c r="AA1310" s="113"/>
      <c r="AB1310" s="113"/>
      <c r="AC1310" s="113"/>
      <c r="AD1310" s="113"/>
      <c r="AE1310" s="113"/>
      <c r="AF1310" s="113"/>
    </row>
    <row r="1311">
      <c r="A1311" s="115"/>
      <c r="B1311" s="116"/>
      <c r="C1311" s="116"/>
      <c r="D1311" s="116"/>
      <c r="E1311" s="117"/>
      <c r="F1311" s="116"/>
      <c r="G1311" s="117"/>
      <c r="H1311" s="118"/>
      <c r="I1311" s="116"/>
      <c r="J1311" s="116"/>
      <c r="K1311" s="116"/>
      <c r="L1311" s="116"/>
      <c r="M1311" s="119" t="b">
        <v>0</v>
      </c>
      <c r="N1311" s="113" t="b">
        <v>0</v>
      </c>
      <c r="O1311" s="113" t="b">
        <v>0</v>
      </c>
      <c r="P1311" s="113" t="b">
        <v>0</v>
      </c>
      <c r="Q1311" s="113" t="b">
        <v>0</v>
      </c>
      <c r="R1311" s="113"/>
      <c r="S1311" s="113" t="b">
        <v>0</v>
      </c>
      <c r="T1311" s="113"/>
      <c r="U1311" s="113"/>
      <c r="V1311" s="113" t="b">
        <v>0</v>
      </c>
      <c r="W1311" s="113"/>
      <c r="X1311" s="113" t="b">
        <v>0</v>
      </c>
      <c r="Y1311" s="113"/>
      <c r="Z1311" s="113"/>
      <c r="AA1311" s="113"/>
      <c r="AB1311" s="113"/>
      <c r="AC1311" s="113"/>
      <c r="AD1311" s="113"/>
      <c r="AE1311" s="113"/>
      <c r="AF1311" s="113"/>
    </row>
    <row r="1312">
      <c r="A1312" s="115"/>
      <c r="B1312" s="116"/>
      <c r="C1312" s="116"/>
      <c r="D1312" s="116"/>
      <c r="E1312" s="117"/>
      <c r="F1312" s="116"/>
      <c r="G1312" s="117"/>
      <c r="H1312" s="118"/>
      <c r="I1312" s="116"/>
      <c r="J1312" s="116"/>
      <c r="K1312" s="116"/>
      <c r="L1312" s="116"/>
      <c r="M1312" s="119" t="b">
        <v>0</v>
      </c>
      <c r="N1312" s="113" t="b">
        <v>0</v>
      </c>
      <c r="O1312" s="113" t="b">
        <v>0</v>
      </c>
      <c r="P1312" s="113" t="b">
        <v>0</v>
      </c>
      <c r="Q1312" s="113" t="b">
        <v>0</v>
      </c>
      <c r="R1312" s="113"/>
      <c r="S1312" s="113" t="b">
        <v>0</v>
      </c>
      <c r="T1312" s="113"/>
      <c r="U1312" s="113"/>
      <c r="V1312" s="113" t="b">
        <v>0</v>
      </c>
      <c r="W1312" s="113"/>
      <c r="X1312" s="113" t="b">
        <v>0</v>
      </c>
      <c r="Y1312" s="113"/>
      <c r="Z1312" s="113"/>
      <c r="AA1312" s="113"/>
      <c r="AB1312" s="113"/>
      <c r="AC1312" s="113"/>
      <c r="AD1312" s="113"/>
      <c r="AE1312" s="113"/>
      <c r="AF1312" s="113"/>
    </row>
    <row r="1313">
      <c r="A1313" s="115"/>
      <c r="B1313" s="116"/>
      <c r="C1313" s="116"/>
      <c r="D1313" s="116"/>
      <c r="E1313" s="117"/>
      <c r="F1313" s="116"/>
      <c r="G1313" s="117"/>
      <c r="H1313" s="118"/>
      <c r="I1313" s="116"/>
      <c r="J1313" s="116"/>
      <c r="K1313" s="116"/>
      <c r="L1313" s="116"/>
      <c r="M1313" s="119" t="b">
        <v>0</v>
      </c>
      <c r="N1313" s="113" t="b">
        <v>0</v>
      </c>
      <c r="O1313" s="113" t="b">
        <v>0</v>
      </c>
      <c r="P1313" s="113" t="b">
        <v>0</v>
      </c>
      <c r="Q1313" s="113" t="b">
        <v>0</v>
      </c>
      <c r="R1313" s="113"/>
      <c r="S1313" s="113" t="b">
        <v>0</v>
      </c>
      <c r="T1313" s="113"/>
      <c r="U1313" s="113"/>
      <c r="V1313" s="113" t="b">
        <v>0</v>
      </c>
      <c r="W1313" s="113"/>
      <c r="X1313" s="113" t="b">
        <v>0</v>
      </c>
      <c r="Y1313" s="113"/>
      <c r="Z1313" s="113"/>
      <c r="AA1313" s="113"/>
      <c r="AB1313" s="113"/>
      <c r="AC1313" s="113"/>
      <c r="AD1313" s="113"/>
      <c r="AE1313" s="113"/>
      <c r="AF1313" s="113"/>
    </row>
    <row r="1314">
      <c r="A1314" s="115"/>
      <c r="B1314" s="116"/>
      <c r="C1314" s="116"/>
      <c r="D1314" s="116"/>
      <c r="E1314" s="117"/>
      <c r="F1314" s="116"/>
      <c r="G1314" s="117"/>
      <c r="H1314" s="118"/>
      <c r="I1314" s="116"/>
      <c r="J1314" s="116"/>
      <c r="K1314" s="116"/>
      <c r="L1314" s="116"/>
      <c r="M1314" s="119" t="b">
        <v>0</v>
      </c>
      <c r="N1314" s="113" t="b">
        <v>0</v>
      </c>
      <c r="O1314" s="113" t="b">
        <v>0</v>
      </c>
      <c r="P1314" s="113" t="b">
        <v>0</v>
      </c>
      <c r="Q1314" s="113" t="b">
        <v>0</v>
      </c>
      <c r="R1314" s="113"/>
      <c r="S1314" s="113" t="b">
        <v>0</v>
      </c>
      <c r="T1314" s="113"/>
      <c r="U1314" s="113"/>
      <c r="V1314" s="113" t="b">
        <v>0</v>
      </c>
      <c r="W1314" s="113"/>
      <c r="X1314" s="113" t="b">
        <v>0</v>
      </c>
      <c r="Y1314" s="113"/>
      <c r="Z1314" s="113"/>
      <c r="AA1314" s="113"/>
      <c r="AB1314" s="113"/>
      <c r="AC1314" s="113"/>
      <c r="AD1314" s="113"/>
      <c r="AE1314" s="113"/>
      <c r="AF1314" s="113"/>
    </row>
    <row r="1315">
      <c r="A1315" s="115"/>
      <c r="B1315" s="116"/>
      <c r="C1315" s="116"/>
      <c r="D1315" s="116"/>
      <c r="E1315" s="117"/>
      <c r="F1315" s="116"/>
      <c r="G1315" s="117"/>
      <c r="H1315" s="118"/>
      <c r="I1315" s="116"/>
      <c r="J1315" s="116"/>
      <c r="K1315" s="116"/>
      <c r="L1315" s="116"/>
      <c r="M1315" s="119" t="b">
        <v>0</v>
      </c>
      <c r="N1315" s="113" t="b">
        <v>0</v>
      </c>
      <c r="O1315" s="113" t="b">
        <v>0</v>
      </c>
      <c r="P1315" s="113" t="b">
        <v>0</v>
      </c>
      <c r="Q1315" s="113" t="b">
        <v>0</v>
      </c>
      <c r="R1315" s="113"/>
      <c r="S1315" s="113" t="b">
        <v>0</v>
      </c>
      <c r="T1315" s="113"/>
      <c r="U1315" s="113"/>
      <c r="V1315" s="113" t="b">
        <v>0</v>
      </c>
      <c r="W1315" s="113"/>
      <c r="X1315" s="113" t="b">
        <v>0</v>
      </c>
      <c r="Y1315" s="113"/>
      <c r="Z1315" s="113"/>
      <c r="AA1315" s="113"/>
      <c r="AB1315" s="113"/>
      <c r="AC1315" s="113"/>
      <c r="AD1315" s="113"/>
      <c r="AE1315" s="113"/>
      <c r="AF1315" s="113"/>
    </row>
    <row r="1316">
      <c r="A1316" s="115"/>
      <c r="B1316" s="116"/>
      <c r="C1316" s="116"/>
      <c r="D1316" s="116"/>
      <c r="E1316" s="117"/>
      <c r="F1316" s="116"/>
      <c r="G1316" s="117"/>
      <c r="H1316" s="118"/>
      <c r="I1316" s="116"/>
      <c r="J1316" s="116"/>
      <c r="K1316" s="116"/>
      <c r="L1316" s="116"/>
      <c r="M1316" s="119" t="b">
        <v>0</v>
      </c>
      <c r="N1316" s="113" t="b">
        <v>0</v>
      </c>
      <c r="O1316" s="113" t="b">
        <v>0</v>
      </c>
      <c r="P1316" s="113" t="b">
        <v>0</v>
      </c>
      <c r="Q1316" s="113" t="b">
        <v>0</v>
      </c>
      <c r="R1316" s="113"/>
      <c r="S1316" s="113" t="b">
        <v>0</v>
      </c>
      <c r="T1316" s="113"/>
      <c r="U1316" s="113"/>
      <c r="V1316" s="113" t="b">
        <v>0</v>
      </c>
      <c r="W1316" s="113"/>
      <c r="X1316" s="113" t="b">
        <v>0</v>
      </c>
      <c r="Y1316" s="113"/>
      <c r="Z1316" s="113"/>
      <c r="AA1316" s="113"/>
      <c r="AB1316" s="113"/>
      <c r="AC1316" s="113"/>
      <c r="AD1316" s="113"/>
      <c r="AE1316" s="113"/>
      <c r="AF1316" s="113"/>
    </row>
    <row r="1317">
      <c r="A1317" s="115"/>
      <c r="B1317" s="116"/>
      <c r="C1317" s="116"/>
      <c r="D1317" s="116"/>
      <c r="E1317" s="117"/>
      <c r="F1317" s="116"/>
      <c r="G1317" s="117"/>
      <c r="H1317" s="118"/>
      <c r="I1317" s="116"/>
      <c r="J1317" s="116"/>
      <c r="K1317" s="116"/>
      <c r="L1317" s="116"/>
      <c r="M1317" s="119" t="b">
        <v>0</v>
      </c>
      <c r="N1317" s="113" t="b">
        <v>0</v>
      </c>
      <c r="O1317" s="113" t="b">
        <v>0</v>
      </c>
      <c r="P1317" s="113" t="b">
        <v>0</v>
      </c>
      <c r="Q1317" s="113" t="b">
        <v>0</v>
      </c>
      <c r="R1317" s="113"/>
      <c r="S1317" s="113" t="b">
        <v>0</v>
      </c>
      <c r="T1317" s="113"/>
      <c r="U1317" s="113"/>
      <c r="V1317" s="113" t="b">
        <v>0</v>
      </c>
      <c r="W1317" s="113"/>
      <c r="X1317" s="113" t="b">
        <v>0</v>
      </c>
      <c r="Y1317" s="113"/>
      <c r="Z1317" s="113"/>
      <c r="AA1317" s="113"/>
      <c r="AB1317" s="113"/>
      <c r="AC1317" s="113"/>
      <c r="AD1317" s="113"/>
      <c r="AE1317" s="113"/>
      <c r="AF1317" s="113"/>
    </row>
    <row r="1318">
      <c r="A1318" s="115"/>
      <c r="B1318" s="116"/>
      <c r="C1318" s="116"/>
      <c r="D1318" s="116"/>
      <c r="E1318" s="117"/>
      <c r="F1318" s="116"/>
      <c r="G1318" s="117"/>
      <c r="H1318" s="118"/>
      <c r="I1318" s="116"/>
      <c r="J1318" s="116"/>
      <c r="K1318" s="116"/>
      <c r="L1318" s="116"/>
      <c r="M1318" s="119" t="b">
        <v>0</v>
      </c>
      <c r="N1318" s="113" t="b">
        <v>0</v>
      </c>
      <c r="O1318" s="113" t="b">
        <v>0</v>
      </c>
      <c r="P1318" s="113" t="b">
        <v>0</v>
      </c>
      <c r="Q1318" s="113" t="b">
        <v>0</v>
      </c>
      <c r="R1318" s="113"/>
      <c r="S1318" s="113" t="b">
        <v>0</v>
      </c>
      <c r="T1318" s="113"/>
      <c r="U1318" s="113"/>
      <c r="V1318" s="113" t="b">
        <v>0</v>
      </c>
      <c r="W1318" s="113"/>
      <c r="X1318" s="113" t="b">
        <v>0</v>
      </c>
      <c r="Y1318" s="113"/>
      <c r="Z1318" s="113"/>
      <c r="AA1318" s="113"/>
      <c r="AB1318" s="113"/>
      <c r="AC1318" s="113"/>
      <c r="AD1318" s="113"/>
      <c r="AE1318" s="113"/>
      <c r="AF1318" s="113"/>
    </row>
    <row r="1319">
      <c r="A1319" s="115"/>
      <c r="B1319" s="116"/>
      <c r="C1319" s="116"/>
      <c r="D1319" s="116"/>
      <c r="E1319" s="117"/>
      <c r="F1319" s="116"/>
      <c r="G1319" s="117"/>
      <c r="H1319" s="118"/>
      <c r="I1319" s="116"/>
      <c r="J1319" s="116"/>
      <c r="K1319" s="116"/>
      <c r="L1319" s="116"/>
      <c r="M1319" s="119" t="b">
        <v>0</v>
      </c>
      <c r="N1319" s="113" t="b">
        <v>0</v>
      </c>
      <c r="O1319" s="113" t="b">
        <v>0</v>
      </c>
      <c r="P1319" s="113" t="b">
        <v>0</v>
      </c>
      <c r="Q1319" s="113" t="b">
        <v>0</v>
      </c>
      <c r="R1319" s="113"/>
      <c r="S1319" s="113" t="b">
        <v>0</v>
      </c>
      <c r="T1319" s="113"/>
      <c r="U1319" s="113"/>
      <c r="V1319" s="113" t="b">
        <v>0</v>
      </c>
      <c r="W1319" s="113"/>
      <c r="X1319" s="113" t="b">
        <v>0</v>
      </c>
      <c r="Y1319" s="113"/>
      <c r="Z1319" s="113"/>
      <c r="AA1319" s="113"/>
      <c r="AB1319" s="113"/>
      <c r="AC1319" s="113"/>
      <c r="AD1319" s="113"/>
      <c r="AE1319" s="113"/>
      <c r="AF1319" s="113"/>
    </row>
    <row r="1320">
      <c r="A1320" s="115"/>
      <c r="B1320" s="116"/>
      <c r="C1320" s="116"/>
      <c r="D1320" s="116"/>
      <c r="E1320" s="117"/>
      <c r="F1320" s="116"/>
      <c r="G1320" s="117"/>
      <c r="H1320" s="118"/>
      <c r="I1320" s="116"/>
      <c r="J1320" s="116"/>
      <c r="K1320" s="116"/>
      <c r="L1320" s="116"/>
      <c r="M1320" s="119" t="b">
        <v>0</v>
      </c>
      <c r="N1320" s="113" t="b">
        <v>0</v>
      </c>
      <c r="O1320" s="113" t="b">
        <v>0</v>
      </c>
      <c r="P1320" s="113" t="b">
        <v>0</v>
      </c>
      <c r="Q1320" s="113" t="b">
        <v>0</v>
      </c>
      <c r="R1320" s="113"/>
      <c r="S1320" s="113" t="b">
        <v>0</v>
      </c>
      <c r="T1320" s="113"/>
      <c r="U1320" s="113"/>
      <c r="V1320" s="113" t="b">
        <v>0</v>
      </c>
      <c r="W1320" s="113"/>
      <c r="X1320" s="113" t="b">
        <v>0</v>
      </c>
      <c r="Y1320" s="113"/>
      <c r="Z1320" s="113"/>
      <c r="AA1320" s="113"/>
      <c r="AB1320" s="113"/>
      <c r="AC1320" s="113"/>
      <c r="AD1320" s="113"/>
      <c r="AE1320" s="113"/>
      <c r="AF1320" s="113"/>
    </row>
    <row r="1321">
      <c r="A1321" s="115"/>
      <c r="B1321" s="116"/>
      <c r="C1321" s="116"/>
      <c r="D1321" s="116"/>
      <c r="E1321" s="117"/>
      <c r="F1321" s="116"/>
      <c r="G1321" s="117"/>
      <c r="H1321" s="118"/>
      <c r="I1321" s="116"/>
      <c r="J1321" s="116"/>
      <c r="K1321" s="116"/>
      <c r="L1321" s="116"/>
      <c r="M1321" s="119" t="b">
        <v>0</v>
      </c>
      <c r="N1321" s="113" t="b">
        <v>0</v>
      </c>
      <c r="O1321" s="113" t="b">
        <v>0</v>
      </c>
      <c r="P1321" s="113" t="b">
        <v>0</v>
      </c>
      <c r="Q1321" s="113" t="b">
        <v>0</v>
      </c>
      <c r="R1321" s="113"/>
      <c r="S1321" s="113" t="b">
        <v>0</v>
      </c>
      <c r="T1321" s="113"/>
      <c r="U1321" s="113"/>
      <c r="V1321" s="113" t="b">
        <v>0</v>
      </c>
      <c r="W1321" s="113"/>
      <c r="X1321" s="113" t="b">
        <v>0</v>
      </c>
      <c r="Y1321" s="113"/>
      <c r="Z1321" s="113"/>
      <c r="AA1321" s="113"/>
      <c r="AB1321" s="113"/>
      <c r="AC1321" s="113"/>
      <c r="AD1321" s="113"/>
      <c r="AE1321" s="113"/>
      <c r="AF1321" s="113"/>
    </row>
    <row r="1322">
      <c r="A1322" s="115"/>
      <c r="B1322" s="116"/>
      <c r="C1322" s="116"/>
      <c r="D1322" s="116"/>
      <c r="E1322" s="117"/>
      <c r="F1322" s="116"/>
      <c r="G1322" s="117"/>
      <c r="H1322" s="118"/>
      <c r="I1322" s="116"/>
      <c r="J1322" s="116"/>
      <c r="K1322" s="116"/>
      <c r="L1322" s="116"/>
      <c r="M1322" s="119" t="b">
        <v>0</v>
      </c>
      <c r="N1322" s="113" t="b">
        <v>0</v>
      </c>
      <c r="O1322" s="113" t="b">
        <v>0</v>
      </c>
      <c r="P1322" s="113" t="b">
        <v>0</v>
      </c>
      <c r="Q1322" s="113" t="b">
        <v>0</v>
      </c>
      <c r="R1322" s="113"/>
      <c r="S1322" s="113" t="b">
        <v>0</v>
      </c>
      <c r="T1322" s="113"/>
      <c r="U1322" s="113"/>
      <c r="V1322" s="113" t="b">
        <v>0</v>
      </c>
      <c r="W1322" s="113"/>
      <c r="X1322" s="113" t="b">
        <v>0</v>
      </c>
      <c r="Y1322" s="113"/>
      <c r="Z1322" s="113"/>
      <c r="AA1322" s="113"/>
      <c r="AB1322" s="113"/>
      <c r="AC1322" s="113"/>
      <c r="AD1322" s="113"/>
      <c r="AE1322" s="113"/>
      <c r="AF1322" s="113"/>
    </row>
    <row r="1323">
      <c r="A1323" s="115"/>
      <c r="B1323" s="116"/>
      <c r="C1323" s="116"/>
      <c r="D1323" s="116"/>
      <c r="E1323" s="117"/>
      <c r="F1323" s="116"/>
      <c r="G1323" s="117"/>
      <c r="H1323" s="118"/>
      <c r="I1323" s="116"/>
      <c r="J1323" s="116"/>
      <c r="K1323" s="116"/>
      <c r="L1323" s="116"/>
      <c r="M1323" s="119" t="b">
        <v>0</v>
      </c>
      <c r="N1323" s="113" t="b">
        <v>0</v>
      </c>
      <c r="O1323" s="113" t="b">
        <v>0</v>
      </c>
      <c r="P1323" s="113" t="b">
        <v>0</v>
      </c>
      <c r="Q1323" s="113" t="b">
        <v>0</v>
      </c>
      <c r="R1323" s="113"/>
      <c r="S1323" s="113" t="b">
        <v>0</v>
      </c>
      <c r="T1323" s="113"/>
      <c r="U1323" s="113"/>
      <c r="V1323" s="113" t="b">
        <v>0</v>
      </c>
      <c r="W1323" s="113"/>
      <c r="X1323" s="113" t="b">
        <v>0</v>
      </c>
      <c r="Y1323" s="113"/>
      <c r="Z1323" s="113"/>
      <c r="AA1323" s="113"/>
      <c r="AB1323" s="113"/>
      <c r="AC1323" s="113"/>
      <c r="AD1323" s="113"/>
      <c r="AE1323" s="113"/>
      <c r="AF1323" s="113"/>
    </row>
    <row r="1324">
      <c r="A1324" s="115"/>
      <c r="B1324" s="116"/>
      <c r="C1324" s="116"/>
      <c r="D1324" s="116"/>
      <c r="E1324" s="117"/>
      <c r="F1324" s="116"/>
      <c r="G1324" s="117"/>
      <c r="H1324" s="118"/>
      <c r="I1324" s="116"/>
      <c r="J1324" s="116"/>
      <c r="K1324" s="116"/>
      <c r="L1324" s="116"/>
      <c r="M1324" s="119" t="b">
        <v>0</v>
      </c>
      <c r="N1324" s="113" t="b">
        <v>0</v>
      </c>
      <c r="O1324" s="113" t="b">
        <v>0</v>
      </c>
      <c r="P1324" s="113" t="b">
        <v>0</v>
      </c>
      <c r="Q1324" s="113" t="b">
        <v>0</v>
      </c>
      <c r="R1324" s="113"/>
      <c r="S1324" s="113" t="b">
        <v>0</v>
      </c>
      <c r="T1324" s="113"/>
      <c r="U1324" s="113"/>
      <c r="V1324" s="113" t="b">
        <v>0</v>
      </c>
      <c r="W1324" s="113"/>
      <c r="X1324" s="113" t="b">
        <v>0</v>
      </c>
      <c r="Y1324" s="113"/>
      <c r="Z1324" s="113"/>
      <c r="AA1324" s="113"/>
      <c r="AB1324" s="113"/>
      <c r="AC1324" s="113"/>
      <c r="AD1324" s="113"/>
      <c r="AE1324" s="113"/>
      <c r="AF1324" s="113"/>
    </row>
    <row r="1325">
      <c r="A1325" s="115"/>
      <c r="B1325" s="116"/>
      <c r="C1325" s="116"/>
      <c r="D1325" s="116"/>
      <c r="E1325" s="117"/>
      <c r="F1325" s="116"/>
      <c r="G1325" s="117"/>
      <c r="H1325" s="118"/>
      <c r="I1325" s="116"/>
      <c r="J1325" s="116"/>
      <c r="K1325" s="116"/>
      <c r="L1325" s="116"/>
      <c r="M1325" s="119" t="b">
        <v>0</v>
      </c>
      <c r="N1325" s="113" t="b">
        <v>0</v>
      </c>
      <c r="O1325" s="113" t="b">
        <v>0</v>
      </c>
      <c r="P1325" s="113" t="b">
        <v>0</v>
      </c>
      <c r="Q1325" s="113" t="b">
        <v>0</v>
      </c>
      <c r="R1325" s="113"/>
      <c r="S1325" s="113" t="b">
        <v>0</v>
      </c>
      <c r="T1325" s="113"/>
      <c r="U1325" s="113"/>
      <c r="V1325" s="113" t="b">
        <v>0</v>
      </c>
      <c r="W1325" s="113"/>
      <c r="X1325" s="113" t="b">
        <v>0</v>
      </c>
      <c r="Y1325" s="113"/>
      <c r="Z1325" s="113"/>
      <c r="AA1325" s="113"/>
      <c r="AB1325" s="113"/>
      <c r="AC1325" s="113"/>
      <c r="AD1325" s="113"/>
      <c r="AE1325" s="113"/>
      <c r="AF1325" s="113"/>
    </row>
    <row r="1326">
      <c r="A1326" s="115"/>
      <c r="B1326" s="116"/>
      <c r="C1326" s="116"/>
      <c r="D1326" s="116"/>
      <c r="E1326" s="117"/>
      <c r="F1326" s="116"/>
      <c r="G1326" s="117"/>
      <c r="H1326" s="118"/>
      <c r="I1326" s="116"/>
      <c r="J1326" s="116"/>
      <c r="K1326" s="116"/>
      <c r="L1326" s="116"/>
      <c r="M1326" s="119" t="b">
        <v>0</v>
      </c>
      <c r="N1326" s="113" t="b">
        <v>0</v>
      </c>
      <c r="O1326" s="113" t="b">
        <v>0</v>
      </c>
      <c r="P1326" s="113" t="b">
        <v>0</v>
      </c>
      <c r="Q1326" s="113" t="b">
        <v>0</v>
      </c>
      <c r="R1326" s="113"/>
      <c r="S1326" s="113" t="b">
        <v>0</v>
      </c>
      <c r="T1326" s="113"/>
      <c r="U1326" s="113"/>
      <c r="V1326" s="113" t="b">
        <v>0</v>
      </c>
      <c r="W1326" s="113"/>
      <c r="X1326" s="113" t="b">
        <v>0</v>
      </c>
      <c r="Y1326" s="113"/>
      <c r="Z1326" s="113"/>
      <c r="AA1326" s="113"/>
      <c r="AB1326" s="113"/>
      <c r="AC1326" s="113"/>
      <c r="AD1326" s="113"/>
      <c r="AE1326" s="113"/>
      <c r="AF1326" s="113"/>
    </row>
    <row r="1327">
      <c r="A1327" s="115"/>
      <c r="B1327" s="116"/>
      <c r="C1327" s="116"/>
      <c r="D1327" s="116"/>
      <c r="E1327" s="117"/>
      <c r="F1327" s="116"/>
      <c r="G1327" s="117"/>
      <c r="H1327" s="118"/>
      <c r="I1327" s="116"/>
      <c r="J1327" s="116"/>
      <c r="K1327" s="116"/>
      <c r="L1327" s="116"/>
      <c r="M1327" s="119" t="b">
        <v>0</v>
      </c>
      <c r="N1327" s="113" t="b">
        <v>0</v>
      </c>
      <c r="O1327" s="113" t="b">
        <v>0</v>
      </c>
      <c r="P1327" s="113" t="b">
        <v>0</v>
      </c>
      <c r="Q1327" s="113" t="b">
        <v>0</v>
      </c>
      <c r="R1327" s="113"/>
      <c r="S1327" s="113" t="b">
        <v>0</v>
      </c>
      <c r="T1327" s="113"/>
      <c r="U1327" s="113"/>
      <c r="V1327" s="113" t="b">
        <v>0</v>
      </c>
      <c r="W1327" s="113"/>
      <c r="X1327" s="113" t="b">
        <v>0</v>
      </c>
      <c r="Y1327" s="113"/>
      <c r="Z1327" s="113"/>
      <c r="AA1327" s="113"/>
      <c r="AB1327" s="113"/>
      <c r="AC1327" s="113"/>
      <c r="AD1327" s="113"/>
      <c r="AE1327" s="113"/>
      <c r="AF1327" s="113"/>
    </row>
    <row r="1328">
      <c r="A1328" s="115"/>
      <c r="B1328" s="116"/>
      <c r="C1328" s="116"/>
      <c r="D1328" s="116"/>
      <c r="E1328" s="117"/>
      <c r="F1328" s="116"/>
      <c r="G1328" s="117"/>
      <c r="H1328" s="118"/>
      <c r="I1328" s="116"/>
      <c r="J1328" s="116"/>
      <c r="K1328" s="116"/>
      <c r="L1328" s="116"/>
      <c r="M1328" s="119" t="b">
        <v>0</v>
      </c>
      <c r="N1328" s="113" t="b">
        <v>0</v>
      </c>
      <c r="O1328" s="113" t="b">
        <v>0</v>
      </c>
      <c r="P1328" s="113" t="b">
        <v>0</v>
      </c>
      <c r="Q1328" s="113" t="b">
        <v>0</v>
      </c>
      <c r="R1328" s="113"/>
      <c r="S1328" s="113" t="b">
        <v>0</v>
      </c>
      <c r="T1328" s="113"/>
      <c r="U1328" s="113"/>
      <c r="V1328" s="113" t="b">
        <v>0</v>
      </c>
      <c r="W1328" s="113"/>
      <c r="X1328" s="113" t="b">
        <v>0</v>
      </c>
      <c r="Y1328" s="113"/>
      <c r="Z1328" s="113"/>
      <c r="AA1328" s="113"/>
      <c r="AB1328" s="113"/>
      <c r="AC1328" s="113"/>
      <c r="AD1328" s="113"/>
      <c r="AE1328" s="113"/>
      <c r="AF1328" s="113"/>
    </row>
    <row r="1329">
      <c r="A1329" s="115"/>
      <c r="B1329" s="116"/>
      <c r="C1329" s="116"/>
      <c r="D1329" s="116"/>
      <c r="E1329" s="117"/>
      <c r="F1329" s="116"/>
      <c r="G1329" s="117"/>
      <c r="H1329" s="118"/>
      <c r="I1329" s="116"/>
      <c r="J1329" s="116"/>
      <c r="K1329" s="116"/>
      <c r="L1329" s="116"/>
      <c r="M1329" s="119" t="b">
        <v>0</v>
      </c>
      <c r="N1329" s="113" t="b">
        <v>0</v>
      </c>
      <c r="O1329" s="113" t="b">
        <v>0</v>
      </c>
      <c r="P1329" s="113" t="b">
        <v>0</v>
      </c>
      <c r="Q1329" s="113" t="b">
        <v>0</v>
      </c>
      <c r="R1329" s="113"/>
      <c r="S1329" s="113" t="b">
        <v>0</v>
      </c>
      <c r="T1329" s="113"/>
      <c r="U1329" s="113"/>
      <c r="V1329" s="113" t="b">
        <v>0</v>
      </c>
      <c r="W1329" s="113"/>
      <c r="X1329" s="113" t="b">
        <v>0</v>
      </c>
      <c r="Y1329" s="113"/>
      <c r="Z1329" s="113"/>
      <c r="AA1329" s="113"/>
      <c r="AB1329" s="113"/>
      <c r="AC1329" s="113"/>
      <c r="AD1329" s="113"/>
      <c r="AE1329" s="113"/>
      <c r="AF1329" s="113"/>
    </row>
    <row r="1330">
      <c r="A1330" s="115"/>
      <c r="B1330" s="116"/>
      <c r="C1330" s="116"/>
      <c r="D1330" s="116"/>
      <c r="E1330" s="117"/>
      <c r="F1330" s="116"/>
      <c r="G1330" s="117"/>
      <c r="H1330" s="118"/>
      <c r="I1330" s="116"/>
      <c r="J1330" s="116"/>
      <c r="K1330" s="116"/>
      <c r="L1330" s="116"/>
      <c r="M1330" s="119" t="b">
        <v>0</v>
      </c>
      <c r="N1330" s="113" t="b">
        <v>0</v>
      </c>
      <c r="O1330" s="113" t="b">
        <v>0</v>
      </c>
      <c r="P1330" s="113" t="b">
        <v>0</v>
      </c>
      <c r="Q1330" s="113" t="b">
        <v>0</v>
      </c>
      <c r="R1330" s="113"/>
      <c r="S1330" s="113" t="b">
        <v>0</v>
      </c>
      <c r="T1330" s="113"/>
      <c r="U1330" s="113"/>
      <c r="V1330" s="113" t="b">
        <v>0</v>
      </c>
      <c r="W1330" s="113"/>
      <c r="X1330" s="113" t="b">
        <v>0</v>
      </c>
      <c r="Y1330" s="113"/>
      <c r="Z1330" s="113"/>
      <c r="AA1330" s="113"/>
      <c r="AB1330" s="113"/>
      <c r="AC1330" s="113"/>
      <c r="AD1330" s="113"/>
      <c r="AE1330" s="113"/>
      <c r="AF1330" s="113"/>
    </row>
    <row r="1331">
      <c r="A1331" s="115"/>
      <c r="B1331" s="116"/>
      <c r="C1331" s="116"/>
      <c r="D1331" s="116"/>
      <c r="E1331" s="117"/>
      <c r="F1331" s="116"/>
      <c r="G1331" s="117"/>
      <c r="H1331" s="118"/>
      <c r="I1331" s="116"/>
      <c r="J1331" s="116"/>
      <c r="K1331" s="116"/>
      <c r="L1331" s="116"/>
      <c r="M1331" s="119" t="b">
        <v>0</v>
      </c>
      <c r="N1331" s="113" t="b">
        <v>0</v>
      </c>
      <c r="O1331" s="113" t="b">
        <v>0</v>
      </c>
      <c r="P1331" s="113" t="b">
        <v>0</v>
      </c>
      <c r="Q1331" s="113" t="b">
        <v>0</v>
      </c>
      <c r="R1331" s="113"/>
      <c r="S1331" s="113" t="b">
        <v>0</v>
      </c>
      <c r="T1331" s="113"/>
      <c r="U1331" s="113"/>
      <c r="V1331" s="113" t="b">
        <v>0</v>
      </c>
      <c r="W1331" s="113"/>
      <c r="X1331" s="113" t="b">
        <v>0</v>
      </c>
      <c r="Y1331" s="113"/>
      <c r="Z1331" s="113"/>
      <c r="AA1331" s="113"/>
      <c r="AB1331" s="113"/>
      <c r="AC1331" s="113"/>
      <c r="AD1331" s="113"/>
      <c r="AE1331" s="113"/>
      <c r="AF1331" s="113"/>
    </row>
    <row r="1332">
      <c r="A1332" s="115"/>
      <c r="B1332" s="116"/>
      <c r="C1332" s="116"/>
      <c r="D1332" s="116"/>
      <c r="E1332" s="117"/>
      <c r="F1332" s="116"/>
      <c r="G1332" s="117"/>
      <c r="H1332" s="118"/>
      <c r="I1332" s="116"/>
      <c r="J1332" s="116"/>
      <c r="K1332" s="116"/>
      <c r="L1332" s="116"/>
      <c r="M1332" s="119" t="b">
        <v>0</v>
      </c>
      <c r="N1332" s="113" t="b">
        <v>0</v>
      </c>
      <c r="O1332" s="113" t="b">
        <v>0</v>
      </c>
      <c r="P1332" s="113" t="b">
        <v>0</v>
      </c>
      <c r="Q1332" s="113" t="b">
        <v>0</v>
      </c>
      <c r="R1332" s="113"/>
      <c r="S1332" s="113" t="b">
        <v>0</v>
      </c>
      <c r="T1332" s="113"/>
      <c r="U1332" s="113"/>
      <c r="V1332" s="113" t="b">
        <v>0</v>
      </c>
      <c r="W1332" s="113"/>
      <c r="X1332" s="113" t="b">
        <v>0</v>
      </c>
      <c r="Y1332" s="113"/>
      <c r="Z1332" s="113"/>
      <c r="AA1332" s="113"/>
      <c r="AB1332" s="113"/>
      <c r="AC1332" s="113"/>
      <c r="AD1332" s="113"/>
      <c r="AE1332" s="113"/>
      <c r="AF1332" s="113"/>
    </row>
    <row r="1333">
      <c r="A1333" s="115"/>
      <c r="B1333" s="116"/>
      <c r="C1333" s="116"/>
      <c r="D1333" s="116"/>
      <c r="E1333" s="117"/>
      <c r="F1333" s="116"/>
      <c r="G1333" s="117"/>
      <c r="H1333" s="118"/>
      <c r="I1333" s="116"/>
      <c r="J1333" s="116"/>
      <c r="K1333" s="116"/>
      <c r="L1333" s="116"/>
      <c r="M1333" s="119" t="b">
        <v>0</v>
      </c>
      <c r="N1333" s="113" t="b">
        <v>0</v>
      </c>
      <c r="O1333" s="113" t="b">
        <v>0</v>
      </c>
      <c r="P1333" s="113" t="b">
        <v>0</v>
      </c>
      <c r="Q1333" s="113" t="b">
        <v>0</v>
      </c>
      <c r="R1333" s="113"/>
      <c r="S1333" s="113" t="b">
        <v>0</v>
      </c>
      <c r="T1333" s="113"/>
      <c r="U1333" s="113"/>
      <c r="V1333" s="113" t="b">
        <v>0</v>
      </c>
      <c r="W1333" s="113"/>
      <c r="X1333" s="113" t="b">
        <v>0</v>
      </c>
      <c r="Y1333" s="113"/>
      <c r="Z1333" s="113"/>
      <c r="AA1333" s="113"/>
      <c r="AB1333" s="113"/>
      <c r="AC1333" s="113"/>
      <c r="AD1333" s="113"/>
      <c r="AE1333" s="113"/>
      <c r="AF1333" s="113"/>
    </row>
    <row r="1334">
      <c r="A1334" s="115"/>
      <c r="B1334" s="116"/>
      <c r="C1334" s="116"/>
      <c r="D1334" s="116"/>
      <c r="E1334" s="117"/>
      <c r="F1334" s="116"/>
      <c r="G1334" s="117"/>
      <c r="H1334" s="118"/>
      <c r="I1334" s="116"/>
      <c r="J1334" s="116"/>
      <c r="K1334" s="116"/>
      <c r="L1334" s="116"/>
      <c r="M1334" s="119" t="b">
        <v>0</v>
      </c>
      <c r="N1334" s="113" t="b">
        <v>0</v>
      </c>
      <c r="O1334" s="113" t="b">
        <v>0</v>
      </c>
      <c r="P1334" s="113" t="b">
        <v>0</v>
      </c>
      <c r="Q1334" s="113" t="b">
        <v>0</v>
      </c>
      <c r="R1334" s="113"/>
      <c r="S1334" s="113" t="b">
        <v>0</v>
      </c>
      <c r="T1334" s="113"/>
      <c r="U1334" s="113"/>
      <c r="V1334" s="113" t="b">
        <v>0</v>
      </c>
      <c r="W1334" s="113"/>
      <c r="X1334" s="113" t="b">
        <v>0</v>
      </c>
      <c r="Y1334" s="113"/>
      <c r="Z1334" s="113"/>
      <c r="AA1334" s="113"/>
      <c r="AB1334" s="113"/>
      <c r="AC1334" s="113"/>
      <c r="AD1334" s="113"/>
      <c r="AE1334" s="113"/>
      <c r="AF1334" s="113"/>
    </row>
    <row r="1335">
      <c r="A1335" s="115"/>
      <c r="B1335" s="116"/>
      <c r="C1335" s="116"/>
      <c r="D1335" s="116"/>
      <c r="E1335" s="117"/>
      <c r="F1335" s="116"/>
      <c r="G1335" s="117"/>
      <c r="H1335" s="118"/>
      <c r="I1335" s="116"/>
      <c r="J1335" s="116"/>
      <c r="K1335" s="116"/>
      <c r="L1335" s="116"/>
      <c r="M1335" s="119" t="b">
        <v>0</v>
      </c>
      <c r="N1335" s="113" t="b">
        <v>0</v>
      </c>
      <c r="O1335" s="113" t="b">
        <v>0</v>
      </c>
      <c r="P1335" s="113" t="b">
        <v>0</v>
      </c>
      <c r="Q1335" s="113" t="b">
        <v>0</v>
      </c>
      <c r="R1335" s="113"/>
      <c r="S1335" s="113" t="b">
        <v>0</v>
      </c>
      <c r="T1335" s="113"/>
      <c r="U1335" s="113"/>
      <c r="V1335" s="113" t="b">
        <v>0</v>
      </c>
      <c r="W1335" s="113"/>
      <c r="X1335" s="113" t="b">
        <v>0</v>
      </c>
      <c r="Y1335" s="113"/>
      <c r="Z1335" s="113"/>
      <c r="AA1335" s="113"/>
      <c r="AB1335" s="113"/>
      <c r="AC1335" s="113"/>
      <c r="AD1335" s="113"/>
      <c r="AE1335" s="113"/>
      <c r="AF1335" s="113"/>
    </row>
    <row r="1336">
      <c r="A1336" s="115"/>
      <c r="B1336" s="116"/>
      <c r="C1336" s="116"/>
      <c r="D1336" s="116"/>
      <c r="E1336" s="117"/>
      <c r="F1336" s="116"/>
      <c r="G1336" s="117"/>
      <c r="H1336" s="118"/>
      <c r="I1336" s="116"/>
      <c r="J1336" s="116"/>
      <c r="K1336" s="116"/>
      <c r="L1336" s="116"/>
      <c r="M1336" s="119" t="b">
        <v>0</v>
      </c>
      <c r="N1336" s="113" t="b">
        <v>0</v>
      </c>
      <c r="O1336" s="113" t="b">
        <v>0</v>
      </c>
      <c r="P1336" s="113" t="b">
        <v>0</v>
      </c>
      <c r="Q1336" s="113" t="b">
        <v>0</v>
      </c>
      <c r="R1336" s="113"/>
      <c r="S1336" s="113" t="b">
        <v>0</v>
      </c>
      <c r="T1336" s="113"/>
      <c r="U1336" s="113"/>
      <c r="V1336" s="113" t="b">
        <v>0</v>
      </c>
      <c r="W1336" s="113"/>
      <c r="X1336" s="113" t="b">
        <v>0</v>
      </c>
      <c r="Y1336" s="113"/>
      <c r="Z1336" s="113"/>
      <c r="AA1336" s="113"/>
      <c r="AB1336" s="113"/>
      <c r="AC1336" s="113"/>
      <c r="AD1336" s="113"/>
      <c r="AE1336" s="113"/>
      <c r="AF1336" s="113"/>
    </row>
    <row r="1337">
      <c r="A1337" s="115"/>
      <c r="B1337" s="116"/>
      <c r="C1337" s="116"/>
      <c r="D1337" s="116"/>
      <c r="E1337" s="117"/>
      <c r="F1337" s="116"/>
      <c r="G1337" s="117"/>
      <c r="H1337" s="118"/>
      <c r="I1337" s="116"/>
      <c r="J1337" s="116"/>
      <c r="K1337" s="116"/>
      <c r="L1337" s="116"/>
      <c r="M1337" s="119" t="b">
        <v>0</v>
      </c>
      <c r="N1337" s="113" t="b">
        <v>0</v>
      </c>
      <c r="O1337" s="113" t="b">
        <v>0</v>
      </c>
      <c r="P1337" s="113" t="b">
        <v>0</v>
      </c>
      <c r="Q1337" s="113" t="b">
        <v>0</v>
      </c>
      <c r="R1337" s="113"/>
      <c r="S1337" s="113" t="b">
        <v>0</v>
      </c>
      <c r="T1337" s="113"/>
      <c r="U1337" s="113"/>
      <c r="V1337" s="113" t="b">
        <v>0</v>
      </c>
      <c r="W1337" s="113"/>
      <c r="X1337" s="113" t="b">
        <v>0</v>
      </c>
      <c r="Y1337" s="113"/>
      <c r="Z1337" s="113"/>
      <c r="AA1337" s="113"/>
      <c r="AB1337" s="113"/>
      <c r="AC1337" s="113"/>
      <c r="AD1337" s="113"/>
      <c r="AE1337" s="113"/>
      <c r="AF1337" s="113"/>
    </row>
    <row r="1338">
      <c r="A1338" s="115"/>
      <c r="B1338" s="116"/>
      <c r="C1338" s="116"/>
      <c r="D1338" s="116"/>
      <c r="E1338" s="117"/>
      <c r="F1338" s="116"/>
      <c r="G1338" s="117"/>
      <c r="H1338" s="118"/>
      <c r="I1338" s="116"/>
      <c r="J1338" s="116"/>
      <c r="K1338" s="116"/>
      <c r="L1338" s="116"/>
      <c r="M1338" s="119" t="b">
        <v>0</v>
      </c>
      <c r="N1338" s="113" t="b">
        <v>0</v>
      </c>
      <c r="O1338" s="113" t="b">
        <v>0</v>
      </c>
      <c r="P1338" s="113" t="b">
        <v>0</v>
      </c>
      <c r="Q1338" s="113" t="b">
        <v>0</v>
      </c>
      <c r="R1338" s="113"/>
      <c r="S1338" s="113" t="b">
        <v>0</v>
      </c>
      <c r="T1338" s="113"/>
      <c r="U1338" s="113"/>
      <c r="V1338" s="113" t="b">
        <v>0</v>
      </c>
      <c r="W1338" s="113"/>
      <c r="X1338" s="113" t="b">
        <v>0</v>
      </c>
      <c r="Y1338" s="113"/>
      <c r="Z1338" s="113"/>
      <c r="AA1338" s="113"/>
      <c r="AB1338" s="113"/>
      <c r="AC1338" s="113"/>
      <c r="AD1338" s="113"/>
      <c r="AE1338" s="113"/>
      <c r="AF1338" s="113"/>
    </row>
    <row r="1339">
      <c r="A1339" s="115"/>
      <c r="B1339" s="116"/>
      <c r="C1339" s="116"/>
      <c r="D1339" s="116"/>
      <c r="E1339" s="117"/>
      <c r="F1339" s="116"/>
      <c r="G1339" s="117"/>
      <c r="H1339" s="118"/>
      <c r="I1339" s="116"/>
      <c r="J1339" s="116"/>
      <c r="K1339" s="116"/>
      <c r="L1339" s="116"/>
      <c r="M1339" s="119" t="b">
        <v>0</v>
      </c>
      <c r="N1339" s="113" t="b">
        <v>0</v>
      </c>
      <c r="O1339" s="113" t="b">
        <v>0</v>
      </c>
      <c r="P1339" s="113" t="b">
        <v>0</v>
      </c>
      <c r="Q1339" s="113" t="b">
        <v>0</v>
      </c>
      <c r="R1339" s="113"/>
      <c r="S1339" s="113" t="b">
        <v>0</v>
      </c>
      <c r="T1339" s="113"/>
      <c r="U1339" s="113"/>
      <c r="V1339" s="113" t="b">
        <v>0</v>
      </c>
      <c r="W1339" s="113"/>
      <c r="X1339" s="113" t="b">
        <v>0</v>
      </c>
      <c r="Y1339" s="113"/>
      <c r="Z1339" s="113"/>
      <c r="AA1339" s="113"/>
      <c r="AB1339" s="113"/>
      <c r="AC1339" s="113"/>
      <c r="AD1339" s="113"/>
      <c r="AE1339" s="113"/>
      <c r="AF1339" s="113"/>
    </row>
    <row r="1340">
      <c r="A1340" s="115"/>
      <c r="B1340" s="116"/>
      <c r="C1340" s="116"/>
      <c r="D1340" s="116"/>
      <c r="E1340" s="117"/>
      <c r="F1340" s="116"/>
      <c r="G1340" s="117"/>
      <c r="H1340" s="118"/>
      <c r="I1340" s="116"/>
      <c r="J1340" s="116"/>
      <c r="K1340" s="116"/>
      <c r="L1340" s="116"/>
      <c r="M1340" s="119" t="b">
        <v>0</v>
      </c>
      <c r="N1340" s="113" t="b">
        <v>0</v>
      </c>
      <c r="O1340" s="113" t="b">
        <v>0</v>
      </c>
      <c r="P1340" s="113" t="b">
        <v>0</v>
      </c>
      <c r="Q1340" s="113" t="b">
        <v>0</v>
      </c>
      <c r="R1340" s="113"/>
      <c r="S1340" s="113" t="b">
        <v>0</v>
      </c>
      <c r="T1340" s="113"/>
      <c r="U1340" s="113"/>
      <c r="V1340" s="113" t="b">
        <v>0</v>
      </c>
      <c r="W1340" s="113"/>
      <c r="X1340" s="113" t="b">
        <v>0</v>
      </c>
      <c r="Y1340" s="113"/>
      <c r="Z1340" s="113"/>
      <c r="AA1340" s="113"/>
      <c r="AB1340" s="113"/>
      <c r="AC1340" s="113"/>
      <c r="AD1340" s="113"/>
      <c r="AE1340" s="113"/>
      <c r="AF1340" s="113"/>
    </row>
    <row r="1341">
      <c r="A1341" s="115"/>
      <c r="B1341" s="116"/>
      <c r="C1341" s="116"/>
      <c r="D1341" s="116"/>
      <c r="E1341" s="117"/>
      <c r="F1341" s="116"/>
      <c r="G1341" s="117"/>
      <c r="H1341" s="118"/>
      <c r="I1341" s="116"/>
      <c r="J1341" s="116"/>
      <c r="K1341" s="116"/>
      <c r="L1341" s="116"/>
      <c r="M1341" s="119" t="b">
        <v>0</v>
      </c>
      <c r="N1341" s="113" t="b">
        <v>0</v>
      </c>
      <c r="O1341" s="113" t="b">
        <v>0</v>
      </c>
      <c r="P1341" s="113" t="b">
        <v>0</v>
      </c>
      <c r="Q1341" s="113" t="b">
        <v>0</v>
      </c>
      <c r="R1341" s="113"/>
      <c r="S1341" s="113" t="b">
        <v>0</v>
      </c>
      <c r="T1341" s="113"/>
      <c r="U1341" s="113"/>
      <c r="V1341" s="113" t="b">
        <v>0</v>
      </c>
      <c r="W1341" s="113"/>
      <c r="X1341" s="113" t="b">
        <v>0</v>
      </c>
      <c r="Y1341" s="113"/>
      <c r="Z1341" s="113"/>
      <c r="AA1341" s="113"/>
      <c r="AB1341" s="113"/>
      <c r="AC1341" s="113"/>
      <c r="AD1341" s="113"/>
      <c r="AE1341" s="113"/>
      <c r="AF1341" s="113"/>
    </row>
    <row r="1342">
      <c r="A1342" s="115"/>
      <c r="B1342" s="116"/>
      <c r="C1342" s="116"/>
      <c r="D1342" s="116"/>
      <c r="E1342" s="117"/>
      <c r="F1342" s="116"/>
      <c r="G1342" s="117"/>
      <c r="H1342" s="118"/>
      <c r="I1342" s="116"/>
      <c r="J1342" s="116"/>
      <c r="K1342" s="116"/>
      <c r="L1342" s="116"/>
      <c r="M1342" s="119" t="b">
        <v>0</v>
      </c>
      <c r="N1342" s="113" t="b">
        <v>0</v>
      </c>
      <c r="O1342" s="113" t="b">
        <v>0</v>
      </c>
      <c r="P1342" s="113" t="b">
        <v>0</v>
      </c>
      <c r="Q1342" s="113" t="b">
        <v>0</v>
      </c>
      <c r="R1342" s="113"/>
      <c r="S1342" s="113" t="b">
        <v>0</v>
      </c>
      <c r="T1342" s="113"/>
      <c r="U1342" s="113"/>
      <c r="V1342" s="113" t="b">
        <v>0</v>
      </c>
      <c r="W1342" s="113"/>
      <c r="X1342" s="113" t="b">
        <v>0</v>
      </c>
      <c r="Y1342" s="113"/>
      <c r="Z1342" s="113"/>
      <c r="AA1342" s="113"/>
      <c r="AB1342" s="113"/>
      <c r="AC1342" s="113"/>
      <c r="AD1342" s="113"/>
      <c r="AE1342" s="113"/>
      <c r="AF1342" s="113"/>
    </row>
    <row r="1343">
      <c r="A1343" s="115"/>
      <c r="B1343" s="116"/>
      <c r="C1343" s="116"/>
      <c r="D1343" s="116"/>
      <c r="E1343" s="117"/>
      <c r="F1343" s="116"/>
      <c r="G1343" s="117"/>
      <c r="H1343" s="118"/>
      <c r="I1343" s="116"/>
      <c r="J1343" s="116"/>
      <c r="K1343" s="116"/>
      <c r="L1343" s="116"/>
      <c r="M1343" s="119" t="b">
        <v>0</v>
      </c>
      <c r="N1343" s="113" t="b">
        <v>0</v>
      </c>
      <c r="O1343" s="113" t="b">
        <v>0</v>
      </c>
      <c r="P1343" s="113" t="b">
        <v>0</v>
      </c>
      <c r="Q1343" s="113" t="b">
        <v>0</v>
      </c>
      <c r="R1343" s="113"/>
      <c r="S1343" s="113" t="b">
        <v>0</v>
      </c>
      <c r="T1343" s="113"/>
      <c r="U1343" s="113"/>
      <c r="V1343" s="113" t="b">
        <v>0</v>
      </c>
      <c r="W1343" s="113"/>
      <c r="X1343" s="113" t="b">
        <v>0</v>
      </c>
      <c r="Y1343" s="113"/>
      <c r="Z1343" s="113"/>
      <c r="AA1343" s="113"/>
      <c r="AB1343" s="113"/>
      <c r="AC1343" s="113"/>
      <c r="AD1343" s="113"/>
      <c r="AE1343" s="113"/>
      <c r="AF1343" s="113"/>
    </row>
    <row r="1344">
      <c r="A1344" s="115"/>
      <c r="B1344" s="116"/>
      <c r="C1344" s="116"/>
      <c r="D1344" s="116"/>
      <c r="E1344" s="117"/>
      <c r="F1344" s="116"/>
      <c r="G1344" s="117"/>
      <c r="H1344" s="118"/>
      <c r="I1344" s="116"/>
      <c r="J1344" s="116"/>
      <c r="K1344" s="116"/>
      <c r="L1344" s="116"/>
      <c r="M1344" s="119" t="b">
        <v>0</v>
      </c>
      <c r="N1344" s="113" t="b">
        <v>0</v>
      </c>
      <c r="O1344" s="113" t="b">
        <v>0</v>
      </c>
      <c r="P1344" s="113" t="b">
        <v>0</v>
      </c>
      <c r="Q1344" s="113" t="b">
        <v>0</v>
      </c>
      <c r="R1344" s="113"/>
      <c r="S1344" s="113" t="b">
        <v>0</v>
      </c>
      <c r="T1344" s="113"/>
      <c r="U1344" s="113"/>
      <c r="V1344" s="113" t="b">
        <v>0</v>
      </c>
      <c r="W1344" s="113"/>
      <c r="X1344" s="113" t="b">
        <v>0</v>
      </c>
      <c r="Y1344" s="113"/>
      <c r="Z1344" s="113"/>
      <c r="AA1344" s="113"/>
      <c r="AB1344" s="113"/>
      <c r="AC1344" s="113"/>
      <c r="AD1344" s="113"/>
      <c r="AE1344" s="113"/>
      <c r="AF1344" s="113"/>
    </row>
    <row r="1345">
      <c r="A1345" s="115"/>
      <c r="B1345" s="116"/>
      <c r="C1345" s="116"/>
      <c r="D1345" s="116"/>
      <c r="E1345" s="117"/>
      <c r="F1345" s="116"/>
      <c r="G1345" s="117"/>
      <c r="H1345" s="118"/>
      <c r="I1345" s="116"/>
      <c r="J1345" s="116"/>
      <c r="K1345" s="116"/>
      <c r="L1345" s="116"/>
      <c r="M1345" s="119" t="b">
        <v>0</v>
      </c>
      <c r="N1345" s="113" t="b">
        <v>0</v>
      </c>
      <c r="O1345" s="113" t="b">
        <v>0</v>
      </c>
      <c r="P1345" s="113" t="b">
        <v>0</v>
      </c>
      <c r="Q1345" s="113" t="b">
        <v>0</v>
      </c>
      <c r="R1345" s="113"/>
      <c r="S1345" s="113" t="b">
        <v>0</v>
      </c>
      <c r="T1345" s="113"/>
      <c r="U1345" s="113"/>
      <c r="V1345" s="113" t="b">
        <v>0</v>
      </c>
      <c r="W1345" s="113"/>
      <c r="X1345" s="113" t="b">
        <v>0</v>
      </c>
      <c r="Y1345" s="113"/>
      <c r="Z1345" s="113"/>
      <c r="AA1345" s="113"/>
      <c r="AB1345" s="113"/>
      <c r="AC1345" s="113"/>
      <c r="AD1345" s="113"/>
      <c r="AE1345" s="113"/>
      <c r="AF1345" s="113"/>
    </row>
    <row r="1346">
      <c r="A1346" s="115"/>
      <c r="B1346" s="116"/>
      <c r="C1346" s="116"/>
      <c r="D1346" s="116"/>
      <c r="E1346" s="117"/>
      <c r="F1346" s="116"/>
      <c r="G1346" s="117"/>
      <c r="H1346" s="118"/>
      <c r="I1346" s="116"/>
      <c r="J1346" s="116"/>
      <c r="K1346" s="116"/>
      <c r="L1346" s="116"/>
      <c r="M1346" s="119" t="b">
        <v>0</v>
      </c>
      <c r="N1346" s="113" t="b">
        <v>0</v>
      </c>
      <c r="O1346" s="113" t="b">
        <v>0</v>
      </c>
      <c r="P1346" s="113" t="b">
        <v>0</v>
      </c>
      <c r="Q1346" s="113" t="b">
        <v>0</v>
      </c>
      <c r="R1346" s="113"/>
      <c r="S1346" s="113" t="b">
        <v>0</v>
      </c>
      <c r="T1346" s="113"/>
      <c r="U1346" s="113"/>
      <c r="V1346" s="113" t="b">
        <v>0</v>
      </c>
      <c r="W1346" s="113"/>
      <c r="X1346" s="113" t="b">
        <v>0</v>
      </c>
      <c r="Y1346" s="113"/>
      <c r="Z1346" s="113"/>
      <c r="AA1346" s="113"/>
      <c r="AB1346" s="113"/>
      <c r="AC1346" s="113"/>
      <c r="AD1346" s="113"/>
      <c r="AE1346" s="113"/>
      <c r="AF1346" s="113"/>
    </row>
    <row r="1347">
      <c r="A1347" s="115"/>
      <c r="B1347" s="116"/>
      <c r="C1347" s="116"/>
      <c r="D1347" s="116"/>
      <c r="E1347" s="117"/>
      <c r="F1347" s="116"/>
      <c r="G1347" s="117"/>
      <c r="H1347" s="118"/>
      <c r="I1347" s="116"/>
      <c r="J1347" s="116"/>
      <c r="K1347" s="116"/>
      <c r="L1347" s="116"/>
      <c r="M1347" s="119" t="b">
        <v>0</v>
      </c>
      <c r="N1347" s="113" t="b">
        <v>0</v>
      </c>
      <c r="O1347" s="113" t="b">
        <v>0</v>
      </c>
      <c r="P1347" s="113" t="b">
        <v>0</v>
      </c>
      <c r="Q1347" s="113" t="b">
        <v>0</v>
      </c>
      <c r="R1347" s="113"/>
      <c r="S1347" s="113" t="b">
        <v>0</v>
      </c>
      <c r="T1347" s="113"/>
      <c r="U1347" s="113"/>
      <c r="V1347" s="113" t="b">
        <v>0</v>
      </c>
      <c r="W1347" s="113"/>
      <c r="X1347" s="113" t="b">
        <v>0</v>
      </c>
      <c r="Y1347" s="113"/>
      <c r="Z1347" s="113"/>
      <c r="AA1347" s="113"/>
      <c r="AB1347" s="113"/>
      <c r="AC1347" s="113"/>
      <c r="AD1347" s="113"/>
      <c r="AE1347" s="113"/>
      <c r="AF1347" s="113"/>
    </row>
    <row r="1348">
      <c r="A1348" s="115"/>
      <c r="B1348" s="116"/>
      <c r="C1348" s="116"/>
      <c r="D1348" s="116"/>
      <c r="E1348" s="117"/>
      <c r="F1348" s="116"/>
      <c r="G1348" s="117"/>
      <c r="H1348" s="118"/>
      <c r="I1348" s="116"/>
      <c r="J1348" s="116"/>
      <c r="K1348" s="116"/>
      <c r="L1348" s="116"/>
      <c r="M1348" s="119" t="b">
        <v>0</v>
      </c>
      <c r="N1348" s="113" t="b">
        <v>0</v>
      </c>
      <c r="O1348" s="113" t="b">
        <v>0</v>
      </c>
      <c r="P1348" s="113" t="b">
        <v>0</v>
      </c>
      <c r="Q1348" s="113" t="b">
        <v>0</v>
      </c>
      <c r="R1348" s="113"/>
      <c r="S1348" s="113" t="b">
        <v>0</v>
      </c>
      <c r="T1348" s="113"/>
      <c r="U1348" s="113"/>
      <c r="V1348" s="113" t="b">
        <v>0</v>
      </c>
      <c r="W1348" s="113"/>
      <c r="X1348" s="113" t="b">
        <v>0</v>
      </c>
      <c r="Y1348" s="113"/>
      <c r="Z1348" s="113"/>
      <c r="AA1348" s="113"/>
      <c r="AB1348" s="113"/>
      <c r="AC1348" s="113"/>
      <c r="AD1348" s="113"/>
      <c r="AE1348" s="113"/>
      <c r="AF1348" s="113"/>
    </row>
    <row r="1349">
      <c r="A1349" s="115"/>
      <c r="B1349" s="116"/>
      <c r="C1349" s="116"/>
      <c r="D1349" s="116"/>
      <c r="E1349" s="117"/>
      <c r="F1349" s="116"/>
      <c r="G1349" s="117"/>
      <c r="H1349" s="118"/>
      <c r="I1349" s="116"/>
      <c r="J1349" s="116"/>
      <c r="K1349" s="116"/>
      <c r="L1349" s="116"/>
      <c r="M1349" s="119" t="b">
        <v>0</v>
      </c>
      <c r="N1349" s="113" t="b">
        <v>0</v>
      </c>
      <c r="O1349" s="113" t="b">
        <v>0</v>
      </c>
      <c r="P1349" s="113" t="b">
        <v>0</v>
      </c>
      <c r="Q1349" s="113" t="b">
        <v>0</v>
      </c>
      <c r="R1349" s="113"/>
      <c r="S1349" s="113" t="b">
        <v>0</v>
      </c>
      <c r="T1349" s="113"/>
      <c r="U1349" s="113"/>
      <c r="V1349" s="113" t="b">
        <v>0</v>
      </c>
      <c r="W1349" s="113"/>
      <c r="X1349" s="113" t="b">
        <v>0</v>
      </c>
      <c r="Y1349" s="113"/>
      <c r="Z1349" s="113"/>
      <c r="AA1349" s="113"/>
      <c r="AB1349" s="113"/>
      <c r="AC1349" s="113"/>
      <c r="AD1349" s="113"/>
      <c r="AE1349" s="113"/>
      <c r="AF1349" s="113"/>
    </row>
    <row r="1350">
      <c r="A1350" s="115"/>
      <c r="B1350" s="116"/>
      <c r="C1350" s="116"/>
      <c r="D1350" s="116"/>
      <c r="E1350" s="117"/>
      <c r="F1350" s="116"/>
      <c r="G1350" s="117"/>
      <c r="H1350" s="118"/>
      <c r="I1350" s="116"/>
      <c r="J1350" s="116"/>
      <c r="K1350" s="116"/>
      <c r="L1350" s="116"/>
      <c r="M1350" s="119" t="b">
        <v>0</v>
      </c>
      <c r="N1350" s="113" t="b">
        <v>0</v>
      </c>
      <c r="O1350" s="113" t="b">
        <v>0</v>
      </c>
      <c r="P1350" s="113" t="b">
        <v>0</v>
      </c>
      <c r="Q1350" s="113" t="b">
        <v>0</v>
      </c>
      <c r="R1350" s="113"/>
      <c r="S1350" s="113" t="b">
        <v>0</v>
      </c>
      <c r="T1350" s="113"/>
      <c r="U1350" s="113"/>
      <c r="V1350" s="113" t="b">
        <v>0</v>
      </c>
      <c r="W1350" s="113"/>
      <c r="X1350" s="113" t="b">
        <v>0</v>
      </c>
      <c r="Y1350" s="113"/>
      <c r="Z1350" s="113"/>
      <c r="AA1350" s="113"/>
      <c r="AB1350" s="113"/>
      <c r="AC1350" s="113"/>
      <c r="AD1350" s="113"/>
      <c r="AE1350" s="113"/>
      <c r="AF1350" s="113"/>
    </row>
    <row r="1351">
      <c r="A1351" s="115"/>
      <c r="B1351" s="116"/>
      <c r="C1351" s="116"/>
      <c r="D1351" s="116"/>
      <c r="E1351" s="117"/>
      <c r="F1351" s="116"/>
      <c r="G1351" s="117"/>
      <c r="H1351" s="118"/>
      <c r="I1351" s="116"/>
      <c r="J1351" s="116"/>
      <c r="K1351" s="116"/>
      <c r="L1351" s="116"/>
      <c r="M1351" s="119" t="b">
        <v>0</v>
      </c>
      <c r="N1351" s="113" t="b">
        <v>0</v>
      </c>
      <c r="O1351" s="113" t="b">
        <v>0</v>
      </c>
      <c r="P1351" s="113" t="b">
        <v>0</v>
      </c>
      <c r="Q1351" s="113" t="b">
        <v>0</v>
      </c>
      <c r="R1351" s="113"/>
      <c r="S1351" s="113" t="b">
        <v>0</v>
      </c>
      <c r="T1351" s="113"/>
      <c r="U1351" s="113"/>
      <c r="V1351" s="113" t="b">
        <v>0</v>
      </c>
      <c r="W1351" s="113"/>
      <c r="X1351" s="113" t="b">
        <v>0</v>
      </c>
      <c r="Y1351" s="113"/>
      <c r="Z1351" s="113"/>
      <c r="AA1351" s="113"/>
      <c r="AB1351" s="113"/>
      <c r="AC1351" s="113"/>
      <c r="AD1351" s="113"/>
      <c r="AE1351" s="113"/>
      <c r="AF1351" s="113"/>
    </row>
    <row r="1352">
      <c r="A1352" s="115"/>
      <c r="B1352" s="116"/>
      <c r="C1352" s="116"/>
      <c r="D1352" s="116"/>
      <c r="E1352" s="117"/>
      <c r="F1352" s="116"/>
      <c r="G1352" s="117"/>
      <c r="H1352" s="118"/>
      <c r="I1352" s="116"/>
      <c r="J1352" s="116"/>
      <c r="K1352" s="116"/>
      <c r="L1352" s="116"/>
      <c r="M1352" s="119" t="b">
        <v>0</v>
      </c>
      <c r="N1352" s="113" t="b">
        <v>0</v>
      </c>
      <c r="O1352" s="113" t="b">
        <v>0</v>
      </c>
      <c r="P1352" s="113" t="b">
        <v>0</v>
      </c>
      <c r="Q1352" s="113" t="b">
        <v>0</v>
      </c>
      <c r="R1352" s="113"/>
      <c r="S1352" s="113" t="b">
        <v>0</v>
      </c>
      <c r="T1352" s="113"/>
      <c r="U1352" s="113"/>
      <c r="V1352" s="113" t="b">
        <v>0</v>
      </c>
      <c r="W1352" s="113"/>
      <c r="X1352" s="113" t="b">
        <v>0</v>
      </c>
      <c r="Y1352" s="113"/>
      <c r="Z1352" s="113"/>
      <c r="AA1352" s="113"/>
      <c r="AB1352" s="113"/>
      <c r="AC1352" s="113"/>
      <c r="AD1352" s="113"/>
      <c r="AE1352" s="113"/>
      <c r="AF1352" s="113"/>
    </row>
    <row r="1353">
      <c r="A1353" s="115"/>
      <c r="B1353" s="116"/>
      <c r="C1353" s="116"/>
      <c r="D1353" s="116"/>
      <c r="E1353" s="117"/>
      <c r="F1353" s="116"/>
      <c r="G1353" s="117"/>
      <c r="H1353" s="118"/>
      <c r="I1353" s="116"/>
      <c r="J1353" s="116"/>
      <c r="K1353" s="116"/>
      <c r="L1353" s="116"/>
      <c r="M1353" s="119" t="b">
        <v>0</v>
      </c>
      <c r="N1353" s="113" t="b">
        <v>0</v>
      </c>
      <c r="O1353" s="113" t="b">
        <v>0</v>
      </c>
      <c r="P1353" s="113" t="b">
        <v>0</v>
      </c>
      <c r="Q1353" s="113" t="b">
        <v>0</v>
      </c>
      <c r="R1353" s="113"/>
      <c r="S1353" s="113" t="b">
        <v>0</v>
      </c>
      <c r="T1353" s="113"/>
      <c r="U1353" s="113"/>
      <c r="V1353" s="113" t="b">
        <v>0</v>
      </c>
      <c r="W1353" s="113"/>
      <c r="X1353" s="113" t="b">
        <v>0</v>
      </c>
      <c r="Y1353" s="113"/>
      <c r="Z1353" s="113"/>
      <c r="AA1353" s="113"/>
      <c r="AB1353" s="113"/>
      <c r="AC1353" s="113"/>
      <c r="AD1353" s="113"/>
      <c r="AE1353" s="113"/>
      <c r="AF1353" s="113"/>
    </row>
    <row r="1354">
      <c r="A1354" s="115"/>
      <c r="B1354" s="116"/>
      <c r="C1354" s="116"/>
      <c r="D1354" s="116"/>
      <c r="E1354" s="117"/>
      <c r="F1354" s="116"/>
      <c r="G1354" s="117"/>
      <c r="H1354" s="118"/>
      <c r="I1354" s="116"/>
      <c r="J1354" s="116"/>
      <c r="K1354" s="116"/>
      <c r="L1354" s="116"/>
      <c r="M1354" s="119" t="b">
        <v>0</v>
      </c>
      <c r="N1354" s="113" t="b">
        <v>0</v>
      </c>
      <c r="O1354" s="113" t="b">
        <v>0</v>
      </c>
      <c r="P1354" s="113" t="b">
        <v>0</v>
      </c>
      <c r="Q1354" s="113" t="b">
        <v>0</v>
      </c>
      <c r="R1354" s="113"/>
      <c r="S1354" s="113" t="b">
        <v>0</v>
      </c>
      <c r="T1354" s="113"/>
      <c r="U1354" s="113"/>
      <c r="V1354" s="113" t="b">
        <v>0</v>
      </c>
      <c r="W1354" s="113"/>
      <c r="X1354" s="113" t="b">
        <v>0</v>
      </c>
      <c r="Y1354" s="113"/>
      <c r="Z1354" s="113"/>
      <c r="AA1354" s="113"/>
      <c r="AB1354" s="113"/>
      <c r="AC1354" s="113"/>
      <c r="AD1354" s="113"/>
      <c r="AE1354" s="113"/>
      <c r="AF1354" s="113"/>
    </row>
    <row r="1355">
      <c r="A1355" s="115"/>
      <c r="B1355" s="116"/>
      <c r="C1355" s="116"/>
      <c r="D1355" s="116"/>
      <c r="E1355" s="117"/>
      <c r="F1355" s="116"/>
      <c r="G1355" s="117"/>
      <c r="H1355" s="118"/>
      <c r="I1355" s="116"/>
      <c r="J1355" s="116"/>
      <c r="K1355" s="116"/>
      <c r="L1355" s="116"/>
      <c r="M1355" s="119" t="b">
        <v>0</v>
      </c>
      <c r="N1355" s="113" t="b">
        <v>0</v>
      </c>
      <c r="O1355" s="113" t="b">
        <v>0</v>
      </c>
      <c r="P1355" s="113" t="b">
        <v>0</v>
      </c>
      <c r="Q1355" s="113" t="b">
        <v>0</v>
      </c>
      <c r="R1355" s="113"/>
      <c r="S1355" s="113" t="b">
        <v>0</v>
      </c>
      <c r="T1355" s="113"/>
      <c r="U1355" s="113"/>
      <c r="V1355" s="113" t="b">
        <v>0</v>
      </c>
      <c r="W1355" s="113"/>
      <c r="X1355" s="113" t="b">
        <v>0</v>
      </c>
      <c r="Y1355" s="113"/>
      <c r="Z1355" s="113"/>
      <c r="AA1355" s="113"/>
      <c r="AB1355" s="113"/>
      <c r="AC1355" s="113"/>
      <c r="AD1355" s="113"/>
      <c r="AE1355" s="113"/>
      <c r="AF1355" s="113"/>
    </row>
    <row r="1356">
      <c r="A1356" s="115"/>
      <c r="B1356" s="116"/>
      <c r="C1356" s="116"/>
      <c r="D1356" s="116"/>
      <c r="E1356" s="117"/>
      <c r="F1356" s="116"/>
      <c r="G1356" s="117"/>
      <c r="H1356" s="118"/>
      <c r="I1356" s="116"/>
      <c r="J1356" s="116"/>
      <c r="K1356" s="116"/>
      <c r="L1356" s="116"/>
      <c r="M1356" s="119" t="b">
        <v>0</v>
      </c>
      <c r="N1356" s="113" t="b">
        <v>0</v>
      </c>
      <c r="O1356" s="113" t="b">
        <v>0</v>
      </c>
      <c r="P1356" s="113" t="b">
        <v>0</v>
      </c>
      <c r="Q1356" s="113" t="b">
        <v>0</v>
      </c>
      <c r="R1356" s="113"/>
      <c r="S1356" s="113" t="b">
        <v>0</v>
      </c>
      <c r="T1356" s="113"/>
      <c r="U1356" s="113"/>
      <c r="V1356" s="113" t="b">
        <v>0</v>
      </c>
      <c r="W1356" s="113"/>
      <c r="X1356" s="113" t="b">
        <v>0</v>
      </c>
      <c r="Y1356" s="113"/>
      <c r="Z1356" s="113"/>
      <c r="AA1356" s="113"/>
      <c r="AB1356" s="113"/>
      <c r="AC1356" s="113"/>
      <c r="AD1356" s="113"/>
      <c r="AE1356" s="113"/>
      <c r="AF1356" s="113"/>
    </row>
    <row r="1357">
      <c r="A1357" s="115"/>
      <c r="B1357" s="116"/>
      <c r="C1357" s="116"/>
      <c r="D1357" s="116"/>
      <c r="E1357" s="117"/>
      <c r="F1357" s="116"/>
      <c r="G1357" s="117"/>
      <c r="H1357" s="118"/>
      <c r="I1357" s="116"/>
      <c r="J1357" s="116"/>
      <c r="K1357" s="116"/>
      <c r="L1357" s="116"/>
      <c r="M1357" s="119" t="b">
        <v>0</v>
      </c>
      <c r="N1357" s="113" t="b">
        <v>0</v>
      </c>
      <c r="O1357" s="113" t="b">
        <v>0</v>
      </c>
      <c r="P1357" s="113" t="b">
        <v>0</v>
      </c>
      <c r="Q1357" s="113" t="b">
        <v>0</v>
      </c>
      <c r="R1357" s="113"/>
      <c r="S1357" s="113" t="b">
        <v>0</v>
      </c>
      <c r="T1357" s="113"/>
      <c r="U1357" s="113"/>
      <c r="V1357" s="113" t="b">
        <v>0</v>
      </c>
      <c r="W1357" s="113"/>
      <c r="X1357" s="113" t="b">
        <v>0</v>
      </c>
      <c r="Y1357" s="113"/>
      <c r="Z1357" s="113"/>
      <c r="AA1357" s="113"/>
      <c r="AB1357" s="113"/>
      <c r="AC1357" s="113"/>
      <c r="AD1357" s="113"/>
      <c r="AE1357" s="113"/>
      <c r="AF1357" s="113"/>
    </row>
    <row r="1358">
      <c r="A1358" s="115"/>
      <c r="B1358" s="116"/>
      <c r="C1358" s="116"/>
      <c r="D1358" s="116"/>
      <c r="E1358" s="117"/>
      <c r="F1358" s="116"/>
      <c r="G1358" s="117"/>
      <c r="H1358" s="118"/>
      <c r="I1358" s="116"/>
      <c r="J1358" s="116"/>
      <c r="K1358" s="116"/>
      <c r="L1358" s="116"/>
      <c r="M1358" s="119" t="b">
        <v>0</v>
      </c>
      <c r="N1358" s="113" t="b">
        <v>0</v>
      </c>
      <c r="O1358" s="113" t="b">
        <v>0</v>
      </c>
      <c r="P1358" s="113" t="b">
        <v>0</v>
      </c>
      <c r="Q1358" s="113" t="b">
        <v>0</v>
      </c>
      <c r="R1358" s="113"/>
      <c r="S1358" s="113" t="b">
        <v>0</v>
      </c>
      <c r="T1358" s="113"/>
      <c r="U1358" s="113"/>
      <c r="V1358" s="113" t="b">
        <v>0</v>
      </c>
      <c r="W1358" s="113"/>
      <c r="X1358" s="113" t="b">
        <v>0</v>
      </c>
      <c r="Y1358" s="113"/>
      <c r="Z1358" s="113"/>
      <c r="AA1358" s="113"/>
      <c r="AB1358" s="113"/>
      <c r="AC1358" s="113"/>
      <c r="AD1358" s="113"/>
      <c r="AE1358" s="113"/>
      <c r="AF1358" s="113"/>
    </row>
    <row r="1359">
      <c r="A1359" s="115"/>
      <c r="B1359" s="116"/>
      <c r="C1359" s="116"/>
      <c r="D1359" s="116"/>
      <c r="E1359" s="117"/>
      <c r="F1359" s="116"/>
      <c r="G1359" s="117"/>
      <c r="H1359" s="118"/>
      <c r="I1359" s="116"/>
      <c r="J1359" s="116"/>
      <c r="K1359" s="116"/>
      <c r="L1359" s="116"/>
      <c r="M1359" s="119" t="b">
        <v>0</v>
      </c>
      <c r="N1359" s="113" t="b">
        <v>0</v>
      </c>
      <c r="O1359" s="113" t="b">
        <v>0</v>
      </c>
      <c r="P1359" s="113" t="b">
        <v>0</v>
      </c>
      <c r="Q1359" s="113" t="b">
        <v>0</v>
      </c>
      <c r="R1359" s="113"/>
      <c r="S1359" s="113" t="b">
        <v>0</v>
      </c>
      <c r="T1359" s="113"/>
      <c r="U1359" s="113"/>
      <c r="V1359" s="113" t="b">
        <v>0</v>
      </c>
      <c r="W1359" s="113"/>
      <c r="X1359" s="113" t="b">
        <v>0</v>
      </c>
      <c r="Y1359" s="113"/>
      <c r="Z1359" s="113"/>
      <c r="AA1359" s="113"/>
      <c r="AB1359" s="113"/>
      <c r="AC1359" s="113"/>
      <c r="AD1359" s="113"/>
      <c r="AE1359" s="113"/>
      <c r="AF1359" s="113"/>
    </row>
    <row r="1360">
      <c r="A1360" s="115"/>
      <c r="B1360" s="116"/>
      <c r="C1360" s="116"/>
      <c r="D1360" s="116"/>
      <c r="E1360" s="117"/>
      <c r="F1360" s="116"/>
      <c r="G1360" s="117"/>
      <c r="H1360" s="118"/>
      <c r="I1360" s="116"/>
      <c r="J1360" s="116"/>
      <c r="K1360" s="116"/>
      <c r="L1360" s="116"/>
      <c r="M1360" s="119" t="b">
        <v>0</v>
      </c>
      <c r="N1360" s="113" t="b">
        <v>0</v>
      </c>
      <c r="O1360" s="113" t="b">
        <v>0</v>
      </c>
      <c r="P1360" s="113" t="b">
        <v>0</v>
      </c>
      <c r="Q1360" s="113" t="b">
        <v>0</v>
      </c>
      <c r="R1360" s="113"/>
      <c r="S1360" s="113" t="b">
        <v>0</v>
      </c>
      <c r="T1360" s="113"/>
      <c r="U1360" s="113"/>
      <c r="V1360" s="113" t="b">
        <v>0</v>
      </c>
      <c r="W1360" s="113"/>
      <c r="X1360" s="113" t="b">
        <v>0</v>
      </c>
      <c r="Y1360" s="113"/>
      <c r="Z1360" s="113"/>
      <c r="AA1360" s="113"/>
      <c r="AB1360" s="113"/>
      <c r="AC1360" s="113"/>
      <c r="AD1360" s="113"/>
      <c r="AE1360" s="113"/>
      <c r="AF1360" s="113"/>
    </row>
    <row r="1361">
      <c r="A1361" s="115"/>
      <c r="B1361" s="116"/>
      <c r="C1361" s="116"/>
      <c r="D1361" s="116"/>
      <c r="E1361" s="117"/>
      <c r="F1361" s="116"/>
      <c r="G1361" s="117"/>
      <c r="H1361" s="118"/>
      <c r="I1361" s="116"/>
      <c r="J1361" s="116"/>
      <c r="K1361" s="116"/>
      <c r="L1361" s="116"/>
      <c r="M1361" s="119" t="b">
        <v>0</v>
      </c>
      <c r="N1361" s="113" t="b">
        <v>0</v>
      </c>
      <c r="O1361" s="113" t="b">
        <v>0</v>
      </c>
      <c r="P1361" s="113" t="b">
        <v>0</v>
      </c>
      <c r="Q1361" s="113" t="b">
        <v>0</v>
      </c>
      <c r="R1361" s="113"/>
      <c r="S1361" s="113" t="b">
        <v>0</v>
      </c>
      <c r="T1361" s="113"/>
      <c r="U1361" s="113"/>
      <c r="V1361" s="113" t="b">
        <v>0</v>
      </c>
      <c r="W1361" s="113"/>
      <c r="X1361" s="113" t="b">
        <v>0</v>
      </c>
      <c r="Y1361" s="113"/>
      <c r="Z1361" s="113"/>
      <c r="AA1361" s="113"/>
      <c r="AB1361" s="113"/>
      <c r="AC1361" s="113"/>
      <c r="AD1361" s="113"/>
      <c r="AE1361" s="113"/>
      <c r="AF1361" s="113"/>
    </row>
    <row r="1362">
      <c r="A1362" s="115"/>
      <c r="B1362" s="116"/>
      <c r="C1362" s="116"/>
      <c r="D1362" s="116"/>
      <c r="E1362" s="117"/>
      <c r="F1362" s="116"/>
      <c r="G1362" s="117"/>
      <c r="H1362" s="118"/>
      <c r="I1362" s="116"/>
      <c r="J1362" s="116"/>
      <c r="K1362" s="116"/>
      <c r="L1362" s="116"/>
      <c r="M1362" s="119" t="b">
        <v>0</v>
      </c>
      <c r="N1362" s="113" t="b">
        <v>0</v>
      </c>
      <c r="O1362" s="113" t="b">
        <v>0</v>
      </c>
      <c r="P1362" s="113" t="b">
        <v>0</v>
      </c>
      <c r="Q1362" s="113" t="b">
        <v>0</v>
      </c>
      <c r="R1362" s="113"/>
      <c r="S1362" s="113" t="b">
        <v>0</v>
      </c>
      <c r="T1362" s="113"/>
      <c r="U1362" s="113"/>
      <c r="V1362" s="113" t="b">
        <v>0</v>
      </c>
      <c r="W1362" s="113"/>
      <c r="X1362" s="113" t="b">
        <v>0</v>
      </c>
      <c r="Y1362" s="113"/>
      <c r="Z1362" s="113"/>
      <c r="AA1362" s="113"/>
      <c r="AB1362" s="113"/>
      <c r="AC1362" s="113"/>
      <c r="AD1362" s="113"/>
      <c r="AE1362" s="113"/>
      <c r="AF1362" s="113"/>
    </row>
    <row r="1363">
      <c r="A1363" s="115"/>
      <c r="B1363" s="116"/>
      <c r="C1363" s="116"/>
      <c r="D1363" s="116"/>
      <c r="E1363" s="117"/>
      <c r="F1363" s="116"/>
      <c r="G1363" s="117"/>
      <c r="H1363" s="118"/>
      <c r="I1363" s="116"/>
      <c r="J1363" s="116"/>
      <c r="K1363" s="116"/>
      <c r="L1363" s="116"/>
      <c r="M1363" s="119" t="b">
        <v>0</v>
      </c>
      <c r="N1363" s="113" t="b">
        <v>0</v>
      </c>
      <c r="O1363" s="113" t="b">
        <v>0</v>
      </c>
      <c r="P1363" s="113" t="b">
        <v>0</v>
      </c>
      <c r="Q1363" s="113" t="b">
        <v>0</v>
      </c>
      <c r="R1363" s="113"/>
      <c r="S1363" s="113" t="b">
        <v>0</v>
      </c>
      <c r="T1363" s="113"/>
      <c r="U1363" s="113"/>
      <c r="V1363" s="113" t="b">
        <v>0</v>
      </c>
      <c r="W1363" s="113"/>
      <c r="X1363" s="113" t="b">
        <v>0</v>
      </c>
      <c r="Y1363" s="113"/>
      <c r="Z1363" s="113"/>
      <c r="AA1363" s="113"/>
      <c r="AB1363" s="113"/>
      <c r="AC1363" s="113"/>
      <c r="AD1363" s="113"/>
      <c r="AE1363" s="113"/>
      <c r="AF1363" s="113"/>
    </row>
    <row r="1364">
      <c r="A1364" s="115"/>
      <c r="B1364" s="116"/>
      <c r="C1364" s="116"/>
      <c r="D1364" s="116"/>
      <c r="E1364" s="117"/>
      <c r="F1364" s="116"/>
      <c r="G1364" s="117"/>
      <c r="H1364" s="118"/>
      <c r="I1364" s="116"/>
      <c r="J1364" s="116"/>
      <c r="K1364" s="116"/>
      <c r="L1364" s="116"/>
      <c r="M1364" s="119" t="b">
        <v>0</v>
      </c>
      <c r="N1364" s="113" t="b">
        <v>0</v>
      </c>
      <c r="O1364" s="113" t="b">
        <v>0</v>
      </c>
      <c r="P1364" s="113" t="b">
        <v>0</v>
      </c>
      <c r="Q1364" s="113" t="b">
        <v>0</v>
      </c>
      <c r="R1364" s="113"/>
      <c r="S1364" s="113" t="b">
        <v>0</v>
      </c>
      <c r="T1364" s="113"/>
      <c r="U1364" s="113"/>
      <c r="V1364" s="113" t="b">
        <v>0</v>
      </c>
      <c r="W1364" s="113"/>
      <c r="X1364" s="113" t="b">
        <v>0</v>
      </c>
      <c r="Y1364" s="113"/>
      <c r="Z1364" s="113"/>
      <c r="AA1364" s="113"/>
      <c r="AB1364" s="113"/>
      <c r="AC1364" s="113"/>
      <c r="AD1364" s="113"/>
      <c r="AE1364" s="113"/>
      <c r="AF1364" s="113"/>
    </row>
    <row r="1365">
      <c r="A1365" s="115"/>
      <c r="B1365" s="116"/>
      <c r="C1365" s="116"/>
      <c r="D1365" s="116"/>
      <c r="E1365" s="117"/>
      <c r="F1365" s="116"/>
      <c r="G1365" s="117"/>
      <c r="H1365" s="118"/>
      <c r="I1365" s="116"/>
      <c r="J1365" s="116"/>
      <c r="K1365" s="116"/>
      <c r="L1365" s="116"/>
      <c r="M1365" s="119" t="b">
        <v>0</v>
      </c>
      <c r="N1365" s="113" t="b">
        <v>0</v>
      </c>
      <c r="O1365" s="113" t="b">
        <v>0</v>
      </c>
      <c r="P1365" s="113" t="b">
        <v>0</v>
      </c>
      <c r="Q1365" s="113" t="b">
        <v>0</v>
      </c>
      <c r="R1365" s="113"/>
      <c r="S1365" s="113" t="b">
        <v>0</v>
      </c>
      <c r="T1365" s="113"/>
      <c r="U1365" s="113"/>
      <c r="V1365" s="113" t="b">
        <v>0</v>
      </c>
      <c r="W1365" s="113"/>
      <c r="X1365" s="113" t="b">
        <v>0</v>
      </c>
      <c r="Y1365" s="113"/>
      <c r="Z1365" s="113"/>
      <c r="AA1365" s="113"/>
      <c r="AB1365" s="113"/>
      <c r="AC1365" s="113"/>
      <c r="AD1365" s="113"/>
      <c r="AE1365" s="113"/>
      <c r="AF1365" s="113"/>
    </row>
    <row r="1366">
      <c r="A1366" s="115"/>
      <c r="B1366" s="116"/>
      <c r="C1366" s="116"/>
      <c r="D1366" s="116"/>
      <c r="E1366" s="117"/>
      <c r="F1366" s="116"/>
      <c r="G1366" s="117"/>
      <c r="H1366" s="118"/>
      <c r="I1366" s="116"/>
      <c r="J1366" s="116"/>
      <c r="K1366" s="116"/>
      <c r="L1366" s="116"/>
      <c r="M1366" s="119" t="b">
        <v>0</v>
      </c>
      <c r="N1366" s="113" t="b">
        <v>0</v>
      </c>
      <c r="O1366" s="113" t="b">
        <v>0</v>
      </c>
      <c r="P1366" s="113" t="b">
        <v>0</v>
      </c>
      <c r="Q1366" s="113" t="b">
        <v>0</v>
      </c>
      <c r="R1366" s="113"/>
      <c r="S1366" s="113" t="b">
        <v>0</v>
      </c>
      <c r="T1366" s="113"/>
      <c r="U1366" s="113"/>
      <c r="V1366" s="113" t="b">
        <v>0</v>
      </c>
      <c r="W1366" s="113"/>
      <c r="X1366" s="113" t="b">
        <v>0</v>
      </c>
      <c r="Y1366" s="113"/>
      <c r="Z1366" s="113"/>
      <c r="AA1366" s="113"/>
      <c r="AB1366" s="113"/>
      <c r="AC1366" s="113"/>
      <c r="AD1366" s="113"/>
      <c r="AE1366" s="113"/>
      <c r="AF1366" s="113"/>
    </row>
    <row r="1367">
      <c r="A1367" s="115"/>
      <c r="B1367" s="116"/>
      <c r="C1367" s="116"/>
      <c r="D1367" s="116"/>
      <c r="E1367" s="117"/>
      <c r="F1367" s="116"/>
      <c r="G1367" s="117"/>
      <c r="H1367" s="118"/>
      <c r="I1367" s="116"/>
      <c r="J1367" s="116"/>
      <c r="K1367" s="116"/>
      <c r="L1367" s="116"/>
      <c r="M1367" s="119" t="b">
        <v>0</v>
      </c>
      <c r="N1367" s="113" t="b">
        <v>0</v>
      </c>
      <c r="O1367" s="113" t="b">
        <v>0</v>
      </c>
      <c r="P1367" s="113" t="b">
        <v>0</v>
      </c>
      <c r="Q1367" s="113" t="b">
        <v>0</v>
      </c>
      <c r="R1367" s="113"/>
      <c r="S1367" s="113" t="b">
        <v>0</v>
      </c>
      <c r="T1367" s="113"/>
      <c r="U1367" s="113"/>
      <c r="V1367" s="113" t="b">
        <v>0</v>
      </c>
      <c r="W1367" s="113"/>
      <c r="X1367" s="113" t="b">
        <v>0</v>
      </c>
      <c r="Y1367" s="113"/>
      <c r="Z1367" s="113"/>
      <c r="AA1367" s="113"/>
      <c r="AB1367" s="113"/>
      <c r="AC1367" s="113"/>
      <c r="AD1367" s="113"/>
      <c r="AE1367" s="113"/>
      <c r="AF1367" s="113"/>
    </row>
    <row r="1368">
      <c r="A1368" s="115"/>
      <c r="B1368" s="116"/>
      <c r="C1368" s="116"/>
      <c r="D1368" s="116"/>
      <c r="E1368" s="117"/>
      <c r="F1368" s="116"/>
      <c r="G1368" s="117"/>
      <c r="H1368" s="118"/>
      <c r="I1368" s="116"/>
      <c r="J1368" s="116"/>
      <c r="K1368" s="116"/>
      <c r="L1368" s="116"/>
      <c r="M1368" s="119" t="b">
        <v>0</v>
      </c>
      <c r="N1368" s="113" t="b">
        <v>0</v>
      </c>
      <c r="O1368" s="113" t="b">
        <v>0</v>
      </c>
      <c r="P1368" s="113" t="b">
        <v>0</v>
      </c>
      <c r="Q1368" s="113" t="b">
        <v>0</v>
      </c>
      <c r="R1368" s="113"/>
      <c r="S1368" s="113" t="b">
        <v>0</v>
      </c>
      <c r="T1368" s="113"/>
      <c r="U1368" s="113"/>
      <c r="V1368" s="113" t="b">
        <v>0</v>
      </c>
      <c r="W1368" s="113"/>
      <c r="X1368" s="113" t="b">
        <v>0</v>
      </c>
      <c r="Y1368" s="113"/>
      <c r="Z1368" s="113"/>
      <c r="AA1368" s="113"/>
      <c r="AB1368" s="113"/>
      <c r="AC1368" s="113"/>
      <c r="AD1368" s="113"/>
      <c r="AE1368" s="113"/>
      <c r="AF1368" s="113"/>
    </row>
    <row r="1369">
      <c r="A1369" s="115"/>
      <c r="B1369" s="116"/>
      <c r="C1369" s="116"/>
      <c r="D1369" s="116"/>
      <c r="E1369" s="117"/>
      <c r="F1369" s="116"/>
      <c r="G1369" s="117"/>
      <c r="H1369" s="118"/>
      <c r="I1369" s="116"/>
      <c r="J1369" s="116"/>
      <c r="K1369" s="116"/>
      <c r="L1369" s="116"/>
      <c r="M1369" s="119" t="b">
        <v>0</v>
      </c>
      <c r="N1369" s="113" t="b">
        <v>0</v>
      </c>
      <c r="O1369" s="113" t="b">
        <v>0</v>
      </c>
      <c r="P1369" s="113" t="b">
        <v>0</v>
      </c>
      <c r="Q1369" s="113" t="b">
        <v>0</v>
      </c>
      <c r="R1369" s="113"/>
      <c r="S1369" s="113" t="b">
        <v>0</v>
      </c>
      <c r="T1369" s="113"/>
      <c r="U1369" s="113"/>
      <c r="V1369" s="113" t="b">
        <v>0</v>
      </c>
      <c r="W1369" s="113"/>
      <c r="X1369" s="113" t="b">
        <v>0</v>
      </c>
      <c r="Y1369" s="113"/>
      <c r="Z1369" s="113"/>
      <c r="AA1369" s="113"/>
      <c r="AB1369" s="113"/>
      <c r="AC1369" s="113"/>
      <c r="AD1369" s="113"/>
      <c r="AE1369" s="113"/>
      <c r="AF1369" s="113"/>
    </row>
    <row r="1370">
      <c r="A1370" s="115"/>
      <c r="B1370" s="116"/>
      <c r="C1370" s="116"/>
      <c r="D1370" s="116"/>
      <c r="E1370" s="117"/>
      <c r="F1370" s="116"/>
      <c r="G1370" s="117"/>
      <c r="H1370" s="118"/>
      <c r="I1370" s="116"/>
      <c r="J1370" s="116"/>
      <c r="K1370" s="116"/>
      <c r="L1370" s="116"/>
      <c r="M1370" s="119" t="b">
        <v>0</v>
      </c>
      <c r="N1370" s="113" t="b">
        <v>0</v>
      </c>
      <c r="O1370" s="113" t="b">
        <v>0</v>
      </c>
      <c r="P1370" s="113" t="b">
        <v>0</v>
      </c>
      <c r="Q1370" s="113" t="b">
        <v>0</v>
      </c>
      <c r="R1370" s="113"/>
      <c r="S1370" s="113" t="b">
        <v>0</v>
      </c>
      <c r="T1370" s="113"/>
      <c r="U1370" s="113"/>
      <c r="V1370" s="113" t="b">
        <v>0</v>
      </c>
      <c r="W1370" s="113"/>
      <c r="X1370" s="113" t="b">
        <v>0</v>
      </c>
      <c r="Y1370" s="113"/>
      <c r="Z1370" s="113"/>
      <c r="AA1370" s="113"/>
      <c r="AB1370" s="113"/>
      <c r="AC1370" s="113"/>
      <c r="AD1370" s="113"/>
      <c r="AE1370" s="113"/>
      <c r="AF1370" s="113"/>
    </row>
    <row r="1371">
      <c r="A1371" s="115"/>
      <c r="B1371" s="116"/>
      <c r="C1371" s="116"/>
      <c r="D1371" s="116"/>
      <c r="E1371" s="117"/>
      <c r="F1371" s="116"/>
      <c r="G1371" s="117"/>
      <c r="H1371" s="118"/>
      <c r="I1371" s="116"/>
      <c r="J1371" s="116"/>
      <c r="K1371" s="116"/>
      <c r="L1371" s="116"/>
      <c r="M1371" s="119" t="b">
        <v>0</v>
      </c>
      <c r="N1371" s="113" t="b">
        <v>0</v>
      </c>
      <c r="O1371" s="113" t="b">
        <v>0</v>
      </c>
      <c r="P1371" s="113" t="b">
        <v>0</v>
      </c>
      <c r="Q1371" s="113" t="b">
        <v>0</v>
      </c>
      <c r="R1371" s="113"/>
      <c r="S1371" s="113" t="b">
        <v>0</v>
      </c>
      <c r="T1371" s="113"/>
      <c r="U1371" s="113"/>
      <c r="V1371" s="113" t="b">
        <v>0</v>
      </c>
      <c r="W1371" s="113"/>
      <c r="X1371" s="113" t="b">
        <v>0</v>
      </c>
      <c r="Y1371" s="113"/>
      <c r="Z1371" s="113"/>
      <c r="AA1371" s="113"/>
      <c r="AB1371" s="113"/>
      <c r="AC1371" s="113"/>
      <c r="AD1371" s="113"/>
      <c r="AE1371" s="113"/>
      <c r="AF1371" s="113"/>
    </row>
    <row r="1372">
      <c r="A1372" s="115"/>
      <c r="B1372" s="116"/>
      <c r="C1372" s="116"/>
      <c r="D1372" s="116"/>
      <c r="E1372" s="117"/>
      <c r="F1372" s="116"/>
      <c r="G1372" s="117"/>
      <c r="H1372" s="118"/>
      <c r="I1372" s="116"/>
      <c r="J1372" s="116"/>
      <c r="K1372" s="116"/>
      <c r="L1372" s="116"/>
      <c r="M1372" s="119" t="b">
        <v>0</v>
      </c>
      <c r="N1372" s="113" t="b">
        <v>0</v>
      </c>
      <c r="O1372" s="113" t="b">
        <v>0</v>
      </c>
      <c r="P1372" s="113" t="b">
        <v>0</v>
      </c>
      <c r="Q1372" s="113" t="b">
        <v>0</v>
      </c>
      <c r="R1372" s="113"/>
      <c r="S1372" s="113" t="b">
        <v>0</v>
      </c>
      <c r="T1372" s="113"/>
      <c r="U1372" s="113"/>
      <c r="V1372" s="113" t="b">
        <v>0</v>
      </c>
      <c r="W1372" s="113"/>
      <c r="X1372" s="113" t="b">
        <v>0</v>
      </c>
      <c r="Y1372" s="113"/>
      <c r="Z1372" s="113"/>
      <c r="AA1372" s="113"/>
      <c r="AB1372" s="113"/>
      <c r="AC1372" s="113"/>
      <c r="AD1372" s="113"/>
      <c r="AE1372" s="113"/>
      <c r="AF1372" s="113"/>
    </row>
    <row r="1373">
      <c r="A1373" s="115"/>
      <c r="B1373" s="116"/>
      <c r="C1373" s="116"/>
      <c r="D1373" s="116"/>
      <c r="E1373" s="117"/>
      <c r="F1373" s="116"/>
      <c r="G1373" s="117"/>
      <c r="H1373" s="118"/>
      <c r="I1373" s="116"/>
      <c r="J1373" s="116"/>
      <c r="K1373" s="116"/>
      <c r="L1373" s="116"/>
      <c r="M1373" s="119" t="b">
        <v>0</v>
      </c>
      <c r="N1373" s="113" t="b">
        <v>0</v>
      </c>
      <c r="O1373" s="113" t="b">
        <v>0</v>
      </c>
      <c r="P1373" s="113" t="b">
        <v>0</v>
      </c>
      <c r="Q1373" s="113" t="b">
        <v>0</v>
      </c>
      <c r="R1373" s="113"/>
      <c r="S1373" s="113" t="b">
        <v>0</v>
      </c>
      <c r="T1373" s="113"/>
      <c r="U1373" s="113"/>
      <c r="V1373" s="113" t="b">
        <v>0</v>
      </c>
      <c r="W1373" s="113"/>
      <c r="X1373" s="113" t="b">
        <v>0</v>
      </c>
      <c r="Y1373" s="113"/>
      <c r="Z1373" s="113"/>
      <c r="AA1373" s="113"/>
      <c r="AB1373" s="113"/>
      <c r="AC1373" s="113"/>
      <c r="AD1373" s="113"/>
      <c r="AE1373" s="113"/>
      <c r="AF1373" s="113"/>
    </row>
    <row r="1374">
      <c r="A1374" s="115"/>
      <c r="B1374" s="116"/>
      <c r="C1374" s="116"/>
      <c r="D1374" s="116"/>
      <c r="E1374" s="117"/>
      <c r="F1374" s="116"/>
      <c r="G1374" s="117"/>
      <c r="H1374" s="118"/>
      <c r="I1374" s="116"/>
      <c r="J1374" s="116"/>
      <c r="K1374" s="116"/>
      <c r="L1374" s="116"/>
      <c r="M1374" s="119" t="b">
        <v>0</v>
      </c>
      <c r="N1374" s="113" t="b">
        <v>0</v>
      </c>
      <c r="O1374" s="113" t="b">
        <v>0</v>
      </c>
      <c r="P1374" s="113" t="b">
        <v>0</v>
      </c>
      <c r="Q1374" s="113" t="b">
        <v>0</v>
      </c>
      <c r="R1374" s="113"/>
      <c r="S1374" s="113" t="b">
        <v>0</v>
      </c>
      <c r="T1374" s="113"/>
      <c r="U1374" s="113"/>
      <c r="V1374" s="113" t="b">
        <v>0</v>
      </c>
      <c r="W1374" s="113"/>
      <c r="X1374" s="113" t="b">
        <v>0</v>
      </c>
      <c r="Y1374" s="113"/>
      <c r="Z1374" s="113"/>
      <c r="AA1374" s="113"/>
      <c r="AB1374" s="113"/>
      <c r="AC1374" s="113"/>
      <c r="AD1374" s="113"/>
      <c r="AE1374" s="113"/>
      <c r="AF1374" s="113"/>
    </row>
    <row r="1375">
      <c r="A1375" s="115"/>
      <c r="B1375" s="116"/>
      <c r="C1375" s="116"/>
      <c r="D1375" s="116"/>
      <c r="E1375" s="117"/>
      <c r="F1375" s="116"/>
      <c r="G1375" s="117"/>
      <c r="H1375" s="118"/>
      <c r="I1375" s="116"/>
      <c r="J1375" s="116"/>
      <c r="K1375" s="116"/>
      <c r="L1375" s="116"/>
      <c r="M1375" s="119" t="b">
        <v>0</v>
      </c>
      <c r="N1375" s="113" t="b">
        <v>0</v>
      </c>
      <c r="O1375" s="113" t="b">
        <v>0</v>
      </c>
      <c r="P1375" s="113" t="b">
        <v>0</v>
      </c>
      <c r="Q1375" s="113" t="b">
        <v>0</v>
      </c>
      <c r="R1375" s="113"/>
      <c r="S1375" s="113" t="b">
        <v>0</v>
      </c>
      <c r="T1375" s="113"/>
      <c r="U1375" s="113"/>
      <c r="V1375" s="113" t="b">
        <v>0</v>
      </c>
      <c r="W1375" s="113"/>
      <c r="X1375" s="113" t="b">
        <v>0</v>
      </c>
      <c r="Y1375" s="113"/>
      <c r="Z1375" s="113"/>
      <c r="AA1375" s="113"/>
      <c r="AB1375" s="113"/>
      <c r="AC1375" s="113"/>
      <c r="AD1375" s="113"/>
      <c r="AE1375" s="113"/>
      <c r="AF1375" s="113"/>
    </row>
    <row r="1376">
      <c r="A1376" s="115"/>
      <c r="B1376" s="116"/>
      <c r="C1376" s="116"/>
      <c r="D1376" s="116"/>
      <c r="E1376" s="117"/>
      <c r="F1376" s="116"/>
      <c r="G1376" s="117"/>
      <c r="H1376" s="118"/>
      <c r="I1376" s="116"/>
      <c r="J1376" s="116"/>
      <c r="K1376" s="116"/>
      <c r="L1376" s="116"/>
      <c r="M1376" s="119" t="b">
        <v>0</v>
      </c>
      <c r="N1376" s="113" t="b">
        <v>0</v>
      </c>
      <c r="O1376" s="113" t="b">
        <v>0</v>
      </c>
      <c r="P1376" s="113" t="b">
        <v>0</v>
      </c>
      <c r="Q1376" s="113" t="b">
        <v>0</v>
      </c>
      <c r="R1376" s="113"/>
      <c r="S1376" s="113" t="b">
        <v>0</v>
      </c>
      <c r="T1376" s="113"/>
      <c r="U1376" s="113"/>
      <c r="V1376" s="113" t="b">
        <v>0</v>
      </c>
      <c r="W1376" s="113"/>
      <c r="X1376" s="113" t="b">
        <v>0</v>
      </c>
      <c r="Y1376" s="113"/>
      <c r="Z1376" s="113"/>
      <c r="AA1376" s="113"/>
      <c r="AB1376" s="113"/>
      <c r="AC1376" s="113"/>
      <c r="AD1376" s="113"/>
      <c r="AE1376" s="113"/>
      <c r="AF1376" s="113"/>
    </row>
    <row r="1377">
      <c r="A1377" s="115"/>
      <c r="B1377" s="116"/>
      <c r="C1377" s="116"/>
      <c r="D1377" s="116"/>
      <c r="E1377" s="117"/>
      <c r="F1377" s="116"/>
      <c r="G1377" s="117"/>
      <c r="H1377" s="118"/>
      <c r="I1377" s="116"/>
      <c r="J1377" s="116"/>
      <c r="K1377" s="116"/>
      <c r="L1377" s="116"/>
      <c r="M1377" s="119" t="b">
        <v>0</v>
      </c>
      <c r="N1377" s="113" t="b">
        <v>0</v>
      </c>
      <c r="O1377" s="113" t="b">
        <v>0</v>
      </c>
      <c r="P1377" s="113" t="b">
        <v>0</v>
      </c>
      <c r="Q1377" s="113" t="b">
        <v>0</v>
      </c>
      <c r="R1377" s="113"/>
      <c r="S1377" s="113" t="b">
        <v>0</v>
      </c>
      <c r="T1377" s="113"/>
      <c r="U1377" s="113"/>
      <c r="V1377" s="113" t="b">
        <v>0</v>
      </c>
      <c r="W1377" s="113"/>
      <c r="X1377" s="113" t="b">
        <v>0</v>
      </c>
      <c r="Y1377" s="113"/>
      <c r="Z1377" s="113"/>
      <c r="AA1377" s="113"/>
      <c r="AB1377" s="113"/>
      <c r="AC1377" s="113"/>
      <c r="AD1377" s="113"/>
      <c r="AE1377" s="113"/>
      <c r="AF1377" s="113"/>
    </row>
    <row r="1378">
      <c r="A1378" s="115"/>
      <c r="B1378" s="116"/>
      <c r="C1378" s="116"/>
      <c r="D1378" s="116"/>
      <c r="E1378" s="117"/>
      <c r="F1378" s="116"/>
      <c r="G1378" s="117"/>
      <c r="H1378" s="118"/>
      <c r="I1378" s="116"/>
      <c r="J1378" s="116"/>
      <c r="K1378" s="116"/>
      <c r="L1378" s="116"/>
      <c r="M1378" s="119" t="b">
        <v>0</v>
      </c>
      <c r="N1378" s="113" t="b">
        <v>0</v>
      </c>
      <c r="O1378" s="113" t="b">
        <v>0</v>
      </c>
      <c r="P1378" s="113" t="b">
        <v>0</v>
      </c>
      <c r="Q1378" s="113" t="b">
        <v>0</v>
      </c>
      <c r="R1378" s="113"/>
      <c r="S1378" s="113" t="b">
        <v>0</v>
      </c>
      <c r="T1378" s="113"/>
      <c r="U1378" s="113"/>
      <c r="V1378" s="113" t="b">
        <v>0</v>
      </c>
      <c r="W1378" s="113"/>
      <c r="X1378" s="113" t="b">
        <v>0</v>
      </c>
      <c r="Y1378" s="113"/>
      <c r="Z1378" s="113"/>
      <c r="AA1378" s="113"/>
      <c r="AB1378" s="113"/>
      <c r="AC1378" s="113"/>
      <c r="AD1378" s="113"/>
      <c r="AE1378" s="113"/>
      <c r="AF1378" s="113"/>
    </row>
    <row r="1379">
      <c r="A1379" s="115"/>
      <c r="B1379" s="116"/>
      <c r="C1379" s="116"/>
      <c r="D1379" s="116"/>
      <c r="E1379" s="117"/>
      <c r="F1379" s="116"/>
      <c r="G1379" s="117"/>
      <c r="H1379" s="118"/>
      <c r="I1379" s="116"/>
      <c r="J1379" s="116"/>
      <c r="K1379" s="116"/>
      <c r="L1379" s="116"/>
      <c r="M1379" s="119" t="b">
        <v>0</v>
      </c>
      <c r="N1379" s="113" t="b">
        <v>0</v>
      </c>
      <c r="O1379" s="113" t="b">
        <v>0</v>
      </c>
      <c r="P1379" s="113" t="b">
        <v>0</v>
      </c>
      <c r="Q1379" s="113" t="b">
        <v>0</v>
      </c>
      <c r="R1379" s="113"/>
      <c r="S1379" s="113" t="b">
        <v>0</v>
      </c>
      <c r="T1379" s="113"/>
      <c r="U1379" s="113"/>
      <c r="V1379" s="113" t="b">
        <v>0</v>
      </c>
      <c r="W1379" s="113"/>
      <c r="X1379" s="113" t="b">
        <v>0</v>
      </c>
      <c r="Y1379" s="113"/>
      <c r="Z1379" s="113"/>
      <c r="AA1379" s="113"/>
      <c r="AB1379" s="113"/>
      <c r="AC1379" s="113"/>
      <c r="AD1379" s="113"/>
      <c r="AE1379" s="113"/>
      <c r="AF1379" s="113"/>
    </row>
    <row r="1380">
      <c r="A1380" s="115"/>
      <c r="B1380" s="116"/>
      <c r="C1380" s="116"/>
      <c r="D1380" s="116"/>
      <c r="E1380" s="117"/>
      <c r="F1380" s="116"/>
      <c r="G1380" s="117"/>
      <c r="H1380" s="118"/>
      <c r="I1380" s="116"/>
      <c r="J1380" s="116"/>
      <c r="K1380" s="116"/>
      <c r="L1380" s="116"/>
      <c r="M1380" s="119" t="b">
        <v>0</v>
      </c>
      <c r="N1380" s="113" t="b">
        <v>0</v>
      </c>
      <c r="O1380" s="113" t="b">
        <v>0</v>
      </c>
      <c r="P1380" s="113" t="b">
        <v>0</v>
      </c>
      <c r="Q1380" s="113" t="b">
        <v>0</v>
      </c>
      <c r="R1380" s="113"/>
      <c r="S1380" s="113" t="b">
        <v>0</v>
      </c>
      <c r="T1380" s="113"/>
      <c r="U1380" s="113"/>
      <c r="V1380" s="113" t="b">
        <v>0</v>
      </c>
      <c r="W1380" s="113"/>
      <c r="X1380" s="113" t="b">
        <v>0</v>
      </c>
      <c r="Y1380" s="113"/>
      <c r="Z1380" s="113"/>
      <c r="AA1380" s="113"/>
      <c r="AB1380" s="113"/>
      <c r="AC1380" s="113"/>
      <c r="AD1380" s="113"/>
      <c r="AE1380" s="113"/>
      <c r="AF1380" s="113"/>
    </row>
    <row r="1381">
      <c r="A1381" s="115"/>
      <c r="B1381" s="116"/>
      <c r="C1381" s="116"/>
      <c r="D1381" s="116"/>
      <c r="E1381" s="117"/>
      <c r="F1381" s="116"/>
      <c r="G1381" s="117"/>
      <c r="H1381" s="118"/>
      <c r="I1381" s="116"/>
      <c r="J1381" s="116"/>
      <c r="K1381" s="116"/>
      <c r="L1381" s="116"/>
      <c r="M1381" s="119" t="b">
        <v>0</v>
      </c>
      <c r="N1381" s="113" t="b">
        <v>0</v>
      </c>
      <c r="O1381" s="113" t="b">
        <v>0</v>
      </c>
      <c r="P1381" s="113" t="b">
        <v>0</v>
      </c>
      <c r="Q1381" s="113" t="b">
        <v>0</v>
      </c>
      <c r="R1381" s="113"/>
      <c r="S1381" s="113" t="b">
        <v>0</v>
      </c>
      <c r="T1381" s="113"/>
      <c r="U1381" s="113"/>
      <c r="V1381" s="113" t="b">
        <v>0</v>
      </c>
      <c r="W1381" s="113"/>
      <c r="X1381" s="113" t="b">
        <v>0</v>
      </c>
      <c r="Y1381" s="113"/>
      <c r="Z1381" s="113"/>
      <c r="AA1381" s="113"/>
      <c r="AB1381" s="113"/>
      <c r="AC1381" s="113"/>
      <c r="AD1381" s="113"/>
      <c r="AE1381" s="113"/>
      <c r="AF1381" s="113"/>
    </row>
    <row r="1382">
      <c r="A1382" s="115"/>
      <c r="B1382" s="116"/>
      <c r="C1382" s="116"/>
      <c r="D1382" s="116"/>
      <c r="E1382" s="117"/>
      <c r="F1382" s="116"/>
      <c r="G1382" s="117"/>
      <c r="H1382" s="118"/>
      <c r="I1382" s="116"/>
      <c r="J1382" s="116"/>
      <c r="K1382" s="116"/>
      <c r="L1382" s="116"/>
      <c r="M1382" s="119" t="b">
        <v>0</v>
      </c>
      <c r="N1382" s="113" t="b">
        <v>0</v>
      </c>
      <c r="O1382" s="113" t="b">
        <v>0</v>
      </c>
      <c r="P1382" s="113" t="b">
        <v>0</v>
      </c>
      <c r="Q1382" s="113" t="b">
        <v>0</v>
      </c>
      <c r="R1382" s="113"/>
      <c r="S1382" s="113" t="b">
        <v>0</v>
      </c>
      <c r="T1382" s="113"/>
      <c r="U1382" s="113"/>
      <c r="V1382" s="113" t="b">
        <v>0</v>
      </c>
      <c r="W1382" s="113"/>
      <c r="X1382" s="113" t="b">
        <v>0</v>
      </c>
      <c r="Y1382" s="113"/>
      <c r="Z1382" s="113"/>
      <c r="AA1382" s="113"/>
      <c r="AB1382" s="113"/>
      <c r="AC1382" s="113"/>
      <c r="AD1382" s="113"/>
      <c r="AE1382" s="113"/>
      <c r="AF1382" s="113"/>
    </row>
    <row r="1383">
      <c r="A1383" s="115"/>
      <c r="B1383" s="116"/>
      <c r="C1383" s="116"/>
      <c r="D1383" s="116"/>
      <c r="E1383" s="117"/>
      <c r="F1383" s="116"/>
      <c r="G1383" s="117"/>
      <c r="H1383" s="118"/>
      <c r="I1383" s="116"/>
      <c r="J1383" s="116"/>
      <c r="K1383" s="116"/>
      <c r="L1383" s="116"/>
      <c r="M1383" s="119" t="b">
        <v>0</v>
      </c>
      <c r="N1383" s="113" t="b">
        <v>0</v>
      </c>
      <c r="O1383" s="113" t="b">
        <v>0</v>
      </c>
      <c r="P1383" s="113" t="b">
        <v>0</v>
      </c>
      <c r="Q1383" s="113" t="b">
        <v>0</v>
      </c>
      <c r="R1383" s="113"/>
      <c r="S1383" s="113" t="b">
        <v>0</v>
      </c>
      <c r="T1383" s="113"/>
      <c r="U1383" s="113"/>
      <c r="V1383" s="113" t="b">
        <v>0</v>
      </c>
      <c r="W1383" s="113"/>
      <c r="X1383" s="113" t="b">
        <v>0</v>
      </c>
      <c r="Y1383" s="113"/>
      <c r="Z1383" s="113"/>
      <c r="AA1383" s="113"/>
      <c r="AB1383" s="113"/>
      <c r="AC1383" s="113"/>
      <c r="AD1383" s="113"/>
      <c r="AE1383" s="113"/>
      <c r="AF1383" s="113"/>
    </row>
    <row r="1384">
      <c r="A1384" s="115"/>
      <c r="B1384" s="116"/>
      <c r="C1384" s="116"/>
      <c r="D1384" s="116"/>
      <c r="E1384" s="117"/>
      <c r="F1384" s="116"/>
      <c r="G1384" s="117"/>
      <c r="H1384" s="118"/>
      <c r="I1384" s="116"/>
      <c r="J1384" s="116"/>
      <c r="K1384" s="116"/>
      <c r="L1384" s="116"/>
      <c r="M1384" s="119" t="b">
        <v>0</v>
      </c>
      <c r="N1384" s="113" t="b">
        <v>0</v>
      </c>
      <c r="O1384" s="113" t="b">
        <v>0</v>
      </c>
      <c r="P1384" s="113" t="b">
        <v>0</v>
      </c>
      <c r="Q1384" s="113" t="b">
        <v>0</v>
      </c>
      <c r="R1384" s="113"/>
      <c r="S1384" s="113" t="b">
        <v>0</v>
      </c>
      <c r="T1384" s="113"/>
      <c r="U1384" s="113"/>
      <c r="V1384" s="113" t="b">
        <v>0</v>
      </c>
      <c r="W1384" s="113"/>
      <c r="X1384" s="113" t="b">
        <v>0</v>
      </c>
      <c r="Y1384" s="113"/>
      <c r="Z1384" s="113"/>
      <c r="AA1384" s="113"/>
      <c r="AB1384" s="113"/>
      <c r="AC1384" s="113"/>
      <c r="AD1384" s="113"/>
      <c r="AE1384" s="113"/>
      <c r="AF1384" s="113"/>
    </row>
    <row r="1385">
      <c r="A1385" s="115"/>
      <c r="B1385" s="116"/>
      <c r="C1385" s="116"/>
      <c r="D1385" s="116"/>
      <c r="E1385" s="117"/>
      <c r="F1385" s="116"/>
      <c r="G1385" s="117"/>
      <c r="H1385" s="118"/>
      <c r="I1385" s="116"/>
      <c r="J1385" s="116"/>
      <c r="K1385" s="116"/>
      <c r="L1385" s="116"/>
      <c r="M1385" s="119" t="b">
        <v>0</v>
      </c>
      <c r="N1385" s="113" t="b">
        <v>0</v>
      </c>
      <c r="O1385" s="113" t="b">
        <v>0</v>
      </c>
      <c r="P1385" s="113" t="b">
        <v>0</v>
      </c>
      <c r="Q1385" s="113" t="b">
        <v>0</v>
      </c>
      <c r="R1385" s="113"/>
      <c r="S1385" s="113" t="b">
        <v>0</v>
      </c>
      <c r="T1385" s="113"/>
      <c r="U1385" s="113"/>
      <c r="V1385" s="113" t="b">
        <v>0</v>
      </c>
      <c r="W1385" s="113"/>
      <c r="X1385" s="113" t="b">
        <v>0</v>
      </c>
      <c r="Y1385" s="113"/>
      <c r="Z1385" s="113"/>
      <c r="AA1385" s="113"/>
      <c r="AB1385" s="113"/>
      <c r="AC1385" s="113"/>
      <c r="AD1385" s="113"/>
      <c r="AE1385" s="113"/>
      <c r="AF1385" s="113"/>
    </row>
    <row r="1386">
      <c r="A1386" s="115"/>
      <c r="B1386" s="116"/>
      <c r="C1386" s="116"/>
      <c r="D1386" s="116"/>
      <c r="E1386" s="117"/>
      <c r="F1386" s="116"/>
      <c r="G1386" s="117"/>
      <c r="H1386" s="118"/>
      <c r="I1386" s="116"/>
      <c r="J1386" s="116"/>
      <c r="K1386" s="116"/>
      <c r="L1386" s="116"/>
      <c r="M1386" s="119" t="b">
        <v>0</v>
      </c>
      <c r="N1386" s="113" t="b">
        <v>0</v>
      </c>
      <c r="O1386" s="113" t="b">
        <v>0</v>
      </c>
      <c r="P1386" s="113" t="b">
        <v>0</v>
      </c>
      <c r="Q1386" s="113" t="b">
        <v>0</v>
      </c>
      <c r="R1386" s="113"/>
      <c r="S1386" s="113" t="b">
        <v>0</v>
      </c>
      <c r="T1386" s="113"/>
      <c r="U1386" s="113"/>
      <c r="V1386" s="113" t="b">
        <v>0</v>
      </c>
      <c r="W1386" s="113"/>
      <c r="X1386" s="113" t="b">
        <v>0</v>
      </c>
      <c r="Y1386" s="113"/>
      <c r="Z1386" s="113"/>
      <c r="AA1386" s="113"/>
      <c r="AB1386" s="113"/>
      <c r="AC1386" s="113"/>
      <c r="AD1386" s="113"/>
      <c r="AE1386" s="113"/>
      <c r="AF1386" s="113"/>
    </row>
    <row r="1387">
      <c r="A1387" s="115"/>
      <c r="B1387" s="116"/>
      <c r="C1387" s="116"/>
      <c r="D1387" s="116"/>
      <c r="E1387" s="117"/>
      <c r="F1387" s="116"/>
      <c r="G1387" s="117"/>
      <c r="H1387" s="118"/>
      <c r="I1387" s="116"/>
      <c r="J1387" s="116"/>
      <c r="K1387" s="116"/>
      <c r="L1387" s="116"/>
      <c r="M1387" s="119" t="b">
        <v>0</v>
      </c>
      <c r="N1387" s="113" t="b">
        <v>0</v>
      </c>
      <c r="O1387" s="113" t="b">
        <v>0</v>
      </c>
      <c r="P1387" s="113" t="b">
        <v>0</v>
      </c>
      <c r="Q1387" s="113" t="b">
        <v>0</v>
      </c>
      <c r="R1387" s="113"/>
      <c r="S1387" s="113" t="b">
        <v>0</v>
      </c>
      <c r="T1387" s="113"/>
      <c r="U1387" s="113"/>
      <c r="V1387" s="113" t="b">
        <v>0</v>
      </c>
      <c r="W1387" s="113"/>
      <c r="X1387" s="113" t="b">
        <v>0</v>
      </c>
      <c r="Y1387" s="113"/>
      <c r="Z1387" s="113"/>
      <c r="AA1387" s="113"/>
      <c r="AB1387" s="113"/>
      <c r="AC1387" s="113"/>
      <c r="AD1387" s="113"/>
      <c r="AE1387" s="113"/>
      <c r="AF1387" s="113"/>
    </row>
    <row r="1388">
      <c r="A1388" s="115"/>
      <c r="B1388" s="116"/>
      <c r="C1388" s="116"/>
      <c r="D1388" s="116"/>
      <c r="E1388" s="117"/>
      <c r="F1388" s="116"/>
      <c r="G1388" s="117"/>
      <c r="H1388" s="118"/>
      <c r="I1388" s="116"/>
      <c r="J1388" s="116"/>
      <c r="K1388" s="116"/>
      <c r="L1388" s="116"/>
      <c r="M1388" s="119" t="b">
        <v>0</v>
      </c>
      <c r="N1388" s="113" t="b">
        <v>0</v>
      </c>
      <c r="O1388" s="113" t="b">
        <v>0</v>
      </c>
      <c r="P1388" s="113" t="b">
        <v>0</v>
      </c>
      <c r="Q1388" s="113" t="b">
        <v>0</v>
      </c>
      <c r="R1388" s="113"/>
      <c r="S1388" s="113" t="b">
        <v>0</v>
      </c>
      <c r="T1388" s="113"/>
      <c r="U1388" s="113"/>
      <c r="V1388" s="113" t="b">
        <v>0</v>
      </c>
      <c r="W1388" s="113"/>
      <c r="X1388" s="113" t="b">
        <v>0</v>
      </c>
      <c r="Y1388" s="113"/>
      <c r="Z1388" s="113"/>
      <c r="AA1388" s="113"/>
      <c r="AB1388" s="113"/>
      <c r="AC1388" s="113"/>
      <c r="AD1388" s="113"/>
      <c r="AE1388" s="113"/>
      <c r="AF1388" s="113"/>
    </row>
    <row r="1389">
      <c r="A1389" s="115"/>
      <c r="B1389" s="116"/>
      <c r="C1389" s="116"/>
      <c r="D1389" s="116"/>
      <c r="E1389" s="117"/>
      <c r="F1389" s="116"/>
      <c r="G1389" s="117"/>
      <c r="H1389" s="118"/>
      <c r="I1389" s="116"/>
      <c r="J1389" s="116"/>
      <c r="K1389" s="116"/>
      <c r="L1389" s="116"/>
      <c r="M1389" s="119" t="b">
        <v>0</v>
      </c>
      <c r="N1389" s="113" t="b">
        <v>0</v>
      </c>
      <c r="O1389" s="113" t="b">
        <v>0</v>
      </c>
      <c r="P1389" s="113" t="b">
        <v>0</v>
      </c>
      <c r="Q1389" s="113" t="b">
        <v>0</v>
      </c>
      <c r="R1389" s="113"/>
      <c r="S1389" s="113" t="b">
        <v>0</v>
      </c>
      <c r="T1389" s="113"/>
      <c r="U1389" s="113"/>
      <c r="V1389" s="113" t="b">
        <v>0</v>
      </c>
      <c r="W1389" s="113"/>
      <c r="X1389" s="113" t="b">
        <v>0</v>
      </c>
      <c r="Y1389" s="113"/>
      <c r="Z1389" s="113"/>
      <c r="AA1389" s="113"/>
      <c r="AB1389" s="113"/>
      <c r="AC1389" s="113"/>
      <c r="AD1389" s="113"/>
      <c r="AE1389" s="113"/>
      <c r="AF1389" s="113"/>
    </row>
    <row r="1390">
      <c r="A1390" s="115"/>
      <c r="B1390" s="116"/>
      <c r="C1390" s="116"/>
      <c r="D1390" s="116"/>
      <c r="E1390" s="117"/>
      <c r="F1390" s="116"/>
      <c r="G1390" s="117"/>
      <c r="H1390" s="118"/>
      <c r="I1390" s="116"/>
      <c r="J1390" s="116"/>
      <c r="K1390" s="116"/>
      <c r="L1390" s="116"/>
      <c r="M1390" s="119" t="b">
        <v>0</v>
      </c>
      <c r="N1390" s="113" t="b">
        <v>0</v>
      </c>
      <c r="O1390" s="113" t="b">
        <v>0</v>
      </c>
      <c r="P1390" s="113" t="b">
        <v>0</v>
      </c>
      <c r="Q1390" s="113" t="b">
        <v>0</v>
      </c>
      <c r="R1390" s="113"/>
      <c r="S1390" s="113" t="b">
        <v>0</v>
      </c>
      <c r="T1390" s="113"/>
      <c r="U1390" s="113"/>
      <c r="V1390" s="113" t="b">
        <v>0</v>
      </c>
      <c r="W1390" s="113"/>
      <c r="X1390" s="113" t="b">
        <v>0</v>
      </c>
      <c r="Y1390" s="113"/>
      <c r="Z1390" s="113"/>
      <c r="AA1390" s="113"/>
      <c r="AB1390" s="113"/>
      <c r="AC1390" s="113"/>
      <c r="AD1390" s="113"/>
      <c r="AE1390" s="113"/>
      <c r="AF1390" s="113"/>
    </row>
    <row r="1391">
      <c r="A1391" s="115"/>
      <c r="B1391" s="116"/>
      <c r="C1391" s="116"/>
      <c r="D1391" s="116"/>
      <c r="E1391" s="117"/>
      <c r="F1391" s="116"/>
      <c r="G1391" s="117"/>
      <c r="H1391" s="118"/>
      <c r="I1391" s="116"/>
      <c r="J1391" s="116"/>
      <c r="K1391" s="116"/>
      <c r="L1391" s="116"/>
      <c r="M1391" s="119" t="b">
        <v>0</v>
      </c>
      <c r="N1391" s="113" t="b">
        <v>0</v>
      </c>
      <c r="O1391" s="113" t="b">
        <v>0</v>
      </c>
      <c r="P1391" s="113" t="b">
        <v>0</v>
      </c>
      <c r="Q1391" s="113" t="b">
        <v>0</v>
      </c>
      <c r="R1391" s="113"/>
      <c r="S1391" s="113" t="b">
        <v>0</v>
      </c>
      <c r="T1391" s="113"/>
      <c r="U1391" s="113"/>
      <c r="V1391" s="113" t="b">
        <v>0</v>
      </c>
      <c r="W1391" s="113"/>
      <c r="X1391" s="113" t="b">
        <v>0</v>
      </c>
      <c r="Y1391" s="113"/>
      <c r="Z1391" s="113"/>
      <c r="AA1391" s="113"/>
      <c r="AB1391" s="113"/>
      <c r="AC1391" s="113"/>
      <c r="AD1391" s="113"/>
      <c r="AE1391" s="113"/>
      <c r="AF1391" s="113"/>
    </row>
    <row r="1392">
      <c r="A1392" s="115"/>
      <c r="B1392" s="116"/>
      <c r="C1392" s="116"/>
      <c r="D1392" s="116"/>
      <c r="E1392" s="117"/>
      <c r="F1392" s="116"/>
      <c r="G1392" s="117"/>
      <c r="H1392" s="118"/>
      <c r="I1392" s="116"/>
      <c r="J1392" s="116"/>
      <c r="K1392" s="116"/>
      <c r="L1392" s="116"/>
      <c r="M1392" s="119" t="b">
        <v>0</v>
      </c>
      <c r="N1392" s="113" t="b">
        <v>0</v>
      </c>
      <c r="O1392" s="113" t="b">
        <v>0</v>
      </c>
      <c r="P1392" s="113" t="b">
        <v>0</v>
      </c>
      <c r="Q1392" s="113" t="b">
        <v>0</v>
      </c>
      <c r="R1392" s="113"/>
      <c r="S1392" s="113" t="b">
        <v>0</v>
      </c>
      <c r="T1392" s="113"/>
      <c r="U1392" s="113"/>
      <c r="V1392" s="113" t="b">
        <v>0</v>
      </c>
      <c r="W1392" s="113"/>
      <c r="X1392" s="113" t="b">
        <v>0</v>
      </c>
      <c r="Y1392" s="113"/>
      <c r="Z1392" s="113"/>
      <c r="AA1392" s="113"/>
      <c r="AB1392" s="113"/>
      <c r="AC1392" s="113"/>
      <c r="AD1392" s="113"/>
      <c r="AE1392" s="113"/>
      <c r="AF1392" s="113"/>
    </row>
    <row r="1393">
      <c r="A1393" s="115"/>
      <c r="B1393" s="116"/>
      <c r="C1393" s="116"/>
      <c r="D1393" s="116"/>
      <c r="E1393" s="117"/>
      <c r="F1393" s="116"/>
      <c r="G1393" s="117"/>
      <c r="H1393" s="118"/>
      <c r="I1393" s="116"/>
      <c r="J1393" s="116"/>
      <c r="K1393" s="116"/>
      <c r="L1393" s="116"/>
      <c r="M1393" s="119" t="b">
        <v>0</v>
      </c>
      <c r="N1393" s="113" t="b">
        <v>0</v>
      </c>
      <c r="O1393" s="113" t="b">
        <v>0</v>
      </c>
      <c r="P1393" s="113" t="b">
        <v>0</v>
      </c>
      <c r="Q1393" s="113" t="b">
        <v>0</v>
      </c>
      <c r="R1393" s="113"/>
      <c r="S1393" s="113" t="b">
        <v>0</v>
      </c>
      <c r="T1393" s="113"/>
      <c r="U1393" s="113"/>
      <c r="V1393" s="113" t="b">
        <v>0</v>
      </c>
      <c r="W1393" s="113"/>
      <c r="X1393" s="113" t="b">
        <v>0</v>
      </c>
      <c r="Y1393" s="113"/>
      <c r="Z1393" s="113"/>
      <c r="AA1393" s="113"/>
      <c r="AB1393" s="113"/>
      <c r="AC1393" s="113"/>
      <c r="AD1393" s="113"/>
      <c r="AE1393" s="113"/>
      <c r="AF1393" s="113"/>
    </row>
    <row r="1394">
      <c r="A1394" s="115"/>
      <c r="B1394" s="116"/>
      <c r="C1394" s="116"/>
      <c r="D1394" s="116"/>
      <c r="E1394" s="117"/>
      <c r="F1394" s="116"/>
      <c r="G1394" s="117"/>
      <c r="H1394" s="118"/>
      <c r="I1394" s="116"/>
      <c r="J1394" s="116"/>
      <c r="K1394" s="116"/>
      <c r="L1394" s="116"/>
      <c r="M1394" s="119" t="b">
        <v>0</v>
      </c>
      <c r="N1394" s="113" t="b">
        <v>0</v>
      </c>
      <c r="O1394" s="113" t="b">
        <v>0</v>
      </c>
      <c r="P1394" s="113" t="b">
        <v>0</v>
      </c>
      <c r="Q1394" s="113" t="b">
        <v>0</v>
      </c>
      <c r="R1394" s="113"/>
      <c r="S1394" s="113" t="b">
        <v>0</v>
      </c>
      <c r="T1394" s="113"/>
      <c r="U1394" s="113"/>
      <c r="V1394" s="113" t="b">
        <v>0</v>
      </c>
      <c r="W1394" s="113"/>
      <c r="X1394" s="113" t="b">
        <v>0</v>
      </c>
      <c r="Y1394" s="113"/>
      <c r="Z1394" s="113"/>
      <c r="AA1394" s="113"/>
      <c r="AB1394" s="113"/>
      <c r="AC1394" s="113"/>
      <c r="AD1394" s="113"/>
      <c r="AE1394" s="113"/>
      <c r="AF1394" s="113"/>
    </row>
    <row r="1395">
      <c r="A1395" s="115"/>
      <c r="B1395" s="116"/>
      <c r="C1395" s="116"/>
      <c r="D1395" s="116"/>
      <c r="E1395" s="117"/>
      <c r="F1395" s="116"/>
      <c r="G1395" s="117"/>
      <c r="H1395" s="118"/>
      <c r="I1395" s="116"/>
      <c r="J1395" s="116"/>
      <c r="K1395" s="116"/>
      <c r="L1395" s="116"/>
      <c r="M1395" s="119" t="b">
        <v>0</v>
      </c>
      <c r="N1395" s="113" t="b">
        <v>0</v>
      </c>
      <c r="O1395" s="113" t="b">
        <v>0</v>
      </c>
      <c r="P1395" s="113" t="b">
        <v>0</v>
      </c>
      <c r="Q1395" s="113" t="b">
        <v>0</v>
      </c>
      <c r="R1395" s="113"/>
      <c r="S1395" s="113" t="b">
        <v>0</v>
      </c>
      <c r="T1395" s="113"/>
      <c r="U1395" s="113"/>
      <c r="V1395" s="113" t="b">
        <v>0</v>
      </c>
      <c r="W1395" s="113"/>
      <c r="X1395" s="113" t="b">
        <v>0</v>
      </c>
      <c r="Y1395" s="113"/>
      <c r="Z1395" s="113"/>
      <c r="AA1395" s="113"/>
      <c r="AB1395" s="113"/>
      <c r="AC1395" s="113"/>
      <c r="AD1395" s="113"/>
      <c r="AE1395" s="113"/>
      <c r="AF1395" s="113"/>
    </row>
    <row r="1396">
      <c r="A1396" s="115"/>
      <c r="B1396" s="116"/>
      <c r="C1396" s="116"/>
      <c r="D1396" s="116"/>
      <c r="E1396" s="117"/>
      <c r="F1396" s="116"/>
      <c r="G1396" s="117"/>
      <c r="H1396" s="118"/>
      <c r="I1396" s="116"/>
      <c r="J1396" s="116"/>
      <c r="K1396" s="116"/>
      <c r="L1396" s="116"/>
      <c r="M1396" s="119" t="b">
        <v>0</v>
      </c>
      <c r="N1396" s="113" t="b">
        <v>0</v>
      </c>
      <c r="O1396" s="113" t="b">
        <v>0</v>
      </c>
      <c r="P1396" s="113" t="b">
        <v>0</v>
      </c>
      <c r="Q1396" s="113" t="b">
        <v>0</v>
      </c>
      <c r="R1396" s="113"/>
      <c r="S1396" s="113" t="b">
        <v>0</v>
      </c>
      <c r="T1396" s="113"/>
      <c r="U1396" s="113"/>
      <c r="V1396" s="113" t="b">
        <v>0</v>
      </c>
      <c r="W1396" s="113"/>
      <c r="X1396" s="113" t="b">
        <v>0</v>
      </c>
      <c r="Y1396" s="113"/>
      <c r="Z1396" s="113"/>
      <c r="AA1396" s="113"/>
      <c r="AB1396" s="113"/>
      <c r="AC1396" s="113"/>
      <c r="AD1396" s="113"/>
      <c r="AE1396" s="113"/>
      <c r="AF1396" s="113"/>
    </row>
    <row r="1397">
      <c r="A1397" s="115"/>
      <c r="B1397" s="116"/>
      <c r="C1397" s="116"/>
      <c r="D1397" s="116"/>
      <c r="E1397" s="117"/>
      <c r="F1397" s="116"/>
      <c r="G1397" s="117"/>
      <c r="H1397" s="118"/>
      <c r="I1397" s="116"/>
      <c r="J1397" s="116"/>
      <c r="K1397" s="116"/>
      <c r="L1397" s="116"/>
      <c r="M1397" s="119" t="b">
        <v>0</v>
      </c>
      <c r="N1397" s="113" t="b">
        <v>0</v>
      </c>
      <c r="O1397" s="113" t="b">
        <v>0</v>
      </c>
      <c r="P1397" s="113" t="b">
        <v>0</v>
      </c>
      <c r="Q1397" s="113" t="b">
        <v>0</v>
      </c>
      <c r="R1397" s="113"/>
      <c r="S1397" s="113" t="b">
        <v>0</v>
      </c>
      <c r="T1397" s="113"/>
      <c r="U1397" s="113"/>
      <c r="V1397" s="113" t="b">
        <v>0</v>
      </c>
      <c r="W1397" s="113"/>
      <c r="X1397" s="113" t="b">
        <v>0</v>
      </c>
      <c r="Y1397" s="113"/>
      <c r="Z1397" s="113"/>
      <c r="AA1397" s="113"/>
      <c r="AB1397" s="113"/>
      <c r="AC1397" s="113"/>
      <c r="AD1397" s="113"/>
      <c r="AE1397" s="113"/>
      <c r="AF1397" s="113"/>
    </row>
    <row r="1398">
      <c r="A1398" s="115"/>
      <c r="B1398" s="116"/>
      <c r="C1398" s="116"/>
      <c r="D1398" s="116"/>
      <c r="E1398" s="117"/>
      <c r="F1398" s="116"/>
      <c r="G1398" s="117"/>
      <c r="H1398" s="118"/>
      <c r="I1398" s="116"/>
      <c r="J1398" s="116"/>
      <c r="K1398" s="116"/>
      <c r="L1398" s="116"/>
      <c r="M1398" s="119" t="b">
        <v>0</v>
      </c>
      <c r="N1398" s="113" t="b">
        <v>0</v>
      </c>
      <c r="O1398" s="113" t="b">
        <v>0</v>
      </c>
      <c r="P1398" s="113" t="b">
        <v>0</v>
      </c>
      <c r="Q1398" s="113" t="b">
        <v>0</v>
      </c>
      <c r="R1398" s="113"/>
      <c r="S1398" s="113" t="b">
        <v>0</v>
      </c>
      <c r="T1398" s="113"/>
      <c r="U1398" s="113"/>
      <c r="V1398" s="113" t="b">
        <v>0</v>
      </c>
      <c r="W1398" s="113"/>
      <c r="X1398" s="113" t="b">
        <v>0</v>
      </c>
      <c r="Y1398" s="113"/>
      <c r="Z1398" s="113"/>
      <c r="AA1398" s="113"/>
      <c r="AB1398" s="113"/>
      <c r="AC1398" s="113"/>
      <c r="AD1398" s="113"/>
      <c r="AE1398" s="113"/>
      <c r="AF1398" s="113"/>
    </row>
    <row r="1399">
      <c r="A1399" s="115"/>
      <c r="B1399" s="116"/>
      <c r="C1399" s="116"/>
      <c r="D1399" s="116"/>
      <c r="E1399" s="117"/>
      <c r="F1399" s="116"/>
      <c r="G1399" s="117"/>
      <c r="H1399" s="118"/>
      <c r="I1399" s="116"/>
      <c r="J1399" s="116"/>
      <c r="K1399" s="116"/>
      <c r="L1399" s="116"/>
      <c r="M1399" s="119" t="b">
        <v>0</v>
      </c>
      <c r="N1399" s="113" t="b">
        <v>0</v>
      </c>
      <c r="O1399" s="113" t="b">
        <v>0</v>
      </c>
      <c r="P1399" s="113" t="b">
        <v>0</v>
      </c>
      <c r="Q1399" s="113" t="b">
        <v>0</v>
      </c>
      <c r="R1399" s="113"/>
      <c r="S1399" s="113" t="b">
        <v>0</v>
      </c>
      <c r="T1399" s="113"/>
      <c r="U1399" s="113"/>
      <c r="V1399" s="113" t="b">
        <v>0</v>
      </c>
      <c r="W1399" s="113"/>
      <c r="X1399" s="113" t="b">
        <v>0</v>
      </c>
      <c r="Y1399" s="113"/>
      <c r="Z1399" s="113"/>
      <c r="AA1399" s="113"/>
      <c r="AB1399" s="113"/>
      <c r="AC1399" s="113"/>
      <c r="AD1399" s="113"/>
      <c r="AE1399" s="113"/>
      <c r="AF1399" s="113"/>
    </row>
    <row r="1400">
      <c r="A1400" s="115"/>
      <c r="B1400" s="116"/>
      <c r="C1400" s="116"/>
      <c r="D1400" s="116"/>
      <c r="E1400" s="117"/>
      <c r="F1400" s="116"/>
      <c r="G1400" s="117"/>
      <c r="H1400" s="118"/>
      <c r="I1400" s="116"/>
      <c r="J1400" s="116"/>
      <c r="K1400" s="116"/>
      <c r="L1400" s="116"/>
      <c r="M1400" s="119" t="b">
        <v>0</v>
      </c>
      <c r="N1400" s="113" t="b">
        <v>0</v>
      </c>
      <c r="O1400" s="113" t="b">
        <v>0</v>
      </c>
      <c r="P1400" s="113" t="b">
        <v>0</v>
      </c>
      <c r="Q1400" s="113" t="b">
        <v>0</v>
      </c>
      <c r="R1400" s="113"/>
      <c r="S1400" s="113" t="b">
        <v>0</v>
      </c>
      <c r="T1400" s="113"/>
      <c r="U1400" s="113"/>
      <c r="V1400" s="113" t="b">
        <v>0</v>
      </c>
      <c r="W1400" s="113"/>
      <c r="X1400" s="113" t="b">
        <v>0</v>
      </c>
      <c r="Y1400" s="113"/>
      <c r="Z1400" s="113"/>
      <c r="AA1400" s="113"/>
      <c r="AB1400" s="113"/>
      <c r="AC1400" s="113"/>
      <c r="AD1400" s="113"/>
      <c r="AE1400" s="113"/>
      <c r="AF1400" s="113"/>
    </row>
    <row r="1401">
      <c r="A1401" s="115"/>
      <c r="B1401" s="116"/>
      <c r="C1401" s="116"/>
      <c r="D1401" s="116"/>
      <c r="E1401" s="117"/>
      <c r="F1401" s="116"/>
      <c r="G1401" s="117"/>
      <c r="H1401" s="118"/>
      <c r="I1401" s="116"/>
      <c r="J1401" s="116"/>
      <c r="K1401" s="116"/>
      <c r="L1401" s="116"/>
      <c r="M1401" s="119" t="b">
        <v>0</v>
      </c>
      <c r="N1401" s="113" t="b">
        <v>0</v>
      </c>
      <c r="O1401" s="113" t="b">
        <v>0</v>
      </c>
      <c r="P1401" s="113" t="b">
        <v>0</v>
      </c>
      <c r="Q1401" s="113" t="b">
        <v>0</v>
      </c>
      <c r="R1401" s="113"/>
      <c r="S1401" s="113" t="b">
        <v>0</v>
      </c>
      <c r="T1401" s="113"/>
      <c r="U1401" s="113"/>
      <c r="V1401" s="113" t="b">
        <v>0</v>
      </c>
      <c r="W1401" s="113"/>
      <c r="X1401" s="113" t="b">
        <v>0</v>
      </c>
      <c r="Y1401" s="113"/>
      <c r="Z1401" s="113"/>
      <c r="AA1401" s="113"/>
      <c r="AB1401" s="113"/>
      <c r="AC1401" s="113"/>
      <c r="AD1401" s="113"/>
      <c r="AE1401" s="113"/>
      <c r="AF1401" s="113"/>
    </row>
    <row r="1402">
      <c r="A1402" s="115"/>
      <c r="B1402" s="116"/>
      <c r="C1402" s="116"/>
      <c r="D1402" s="116"/>
      <c r="E1402" s="117"/>
      <c r="F1402" s="116"/>
      <c r="G1402" s="117"/>
      <c r="H1402" s="118"/>
      <c r="I1402" s="116"/>
      <c r="J1402" s="116"/>
      <c r="K1402" s="116"/>
      <c r="L1402" s="116"/>
      <c r="M1402" s="119" t="b">
        <v>0</v>
      </c>
      <c r="N1402" s="113" t="b">
        <v>0</v>
      </c>
      <c r="O1402" s="113" t="b">
        <v>0</v>
      </c>
      <c r="P1402" s="113" t="b">
        <v>0</v>
      </c>
      <c r="Q1402" s="113" t="b">
        <v>0</v>
      </c>
      <c r="R1402" s="113"/>
      <c r="S1402" s="113" t="b">
        <v>0</v>
      </c>
      <c r="T1402" s="113"/>
      <c r="U1402" s="113"/>
      <c r="V1402" s="113" t="b">
        <v>0</v>
      </c>
      <c r="W1402" s="113"/>
      <c r="X1402" s="113" t="b">
        <v>0</v>
      </c>
      <c r="Y1402" s="113"/>
      <c r="Z1402" s="113"/>
      <c r="AA1402" s="113"/>
      <c r="AB1402" s="113"/>
      <c r="AC1402" s="113"/>
      <c r="AD1402" s="113"/>
      <c r="AE1402" s="113"/>
      <c r="AF1402" s="113"/>
    </row>
    <row r="1403">
      <c r="A1403" s="115"/>
      <c r="B1403" s="116"/>
      <c r="C1403" s="116"/>
      <c r="D1403" s="116"/>
      <c r="E1403" s="117"/>
      <c r="F1403" s="116"/>
      <c r="G1403" s="117"/>
      <c r="H1403" s="118"/>
      <c r="I1403" s="116"/>
      <c r="J1403" s="116"/>
      <c r="K1403" s="116"/>
      <c r="L1403" s="116"/>
      <c r="M1403" s="119" t="b">
        <v>0</v>
      </c>
      <c r="N1403" s="113" t="b">
        <v>0</v>
      </c>
      <c r="O1403" s="113" t="b">
        <v>0</v>
      </c>
      <c r="P1403" s="113" t="b">
        <v>0</v>
      </c>
      <c r="Q1403" s="113" t="b">
        <v>0</v>
      </c>
      <c r="R1403" s="113"/>
      <c r="S1403" s="113" t="b">
        <v>0</v>
      </c>
      <c r="T1403" s="113"/>
      <c r="U1403" s="113"/>
      <c r="V1403" s="113" t="b">
        <v>0</v>
      </c>
      <c r="W1403" s="113"/>
      <c r="X1403" s="113" t="b">
        <v>0</v>
      </c>
      <c r="Y1403" s="113"/>
      <c r="Z1403" s="113"/>
      <c r="AA1403" s="113"/>
      <c r="AB1403" s="113"/>
      <c r="AC1403" s="113"/>
      <c r="AD1403" s="113"/>
      <c r="AE1403" s="113"/>
      <c r="AF1403" s="113"/>
    </row>
    <row r="1404">
      <c r="A1404" s="115"/>
      <c r="B1404" s="116"/>
      <c r="C1404" s="116"/>
      <c r="D1404" s="116"/>
      <c r="E1404" s="117"/>
      <c r="F1404" s="116"/>
      <c r="G1404" s="117"/>
      <c r="H1404" s="118"/>
      <c r="I1404" s="116"/>
      <c r="J1404" s="116"/>
      <c r="K1404" s="116"/>
      <c r="L1404" s="116"/>
      <c r="M1404" s="119" t="b">
        <v>0</v>
      </c>
      <c r="N1404" s="113" t="b">
        <v>0</v>
      </c>
      <c r="O1404" s="113" t="b">
        <v>0</v>
      </c>
      <c r="P1404" s="113" t="b">
        <v>0</v>
      </c>
      <c r="Q1404" s="113" t="b">
        <v>0</v>
      </c>
      <c r="R1404" s="113"/>
      <c r="S1404" s="113" t="b">
        <v>0</v>
      </c>
      <c r="T1404" s="113"/>
      <c r="U1404" s="113"/>
      <c r="V1404" s="113" t="b">
        <v>0</v>
      </c>
      <c r="W1404" s="113"/>
      <c r="X1404" s="113" t="b">
        <v>0</v>
      </c>
      <c r="Y1404" s="113"/>
      <c r="Z1404" s="113"/>
      <c r="AA1404" s="113"/>
      <c r="AB1404" s="113"/>
      <c r="AC1404" s="113"/>
      <c r="AD1404" s="113"/>
      <c r="AE1404" s="113"/>
      <c r="AF1404" s="113"/>
    </row>
    <row r="1405">
      <c r="A1405" s="115"/>
      <c r="B1405" s="116"/>
      <c r="C1405" s="116"/>
      <c r="D1405" s="116"/>
      <c r="E1405" s="117"/>
      <c r="F1405" s="116"/>
      <c r="G1405" s="117"/>
      <c r="H1405" s="118"/>
      <c r="I1405" s="116"/>
      <c r="J1405" s="116"/>
      <c r="K1405" s="116"/>
      <c r="L1405" s="116"/>
      <c r="M1405" s="119" t="b">
        <v>0</v>
      </c>
      <c r="N1405" s="113" t="b">
        <v>0</v>
      </c>
      <c r="O1405" s="113" t="b">
        <v>0</v>
      </c>
      <c r="P1405" s="113" t="b">
        <v>0</v>
      </c>
      <c r="Q1405" s="113" t="b">
        <v>0</v>
      </c>
      <c r="R1405" s="113"/>
      <c r="S1405" s="113" t="b">
        <v>0</v>
      </c>
      <c r="T1405" s="113"/>
      <c r="U1405" s="113"/>
      <c r="V1405" s="113" t="b">
        <v>0</v>
      </c>
      <c r="W1405" s="113"/>
      <c r="X1405" s="113" t="b">
        <v>0</v>
      </c>
      <c r="Y1405" s="113"/>
      <c r="Z1405" s="113"/>
      <c r="AA1405" s="113"/>
      <c r="AB1405" s="113"/>
      <c r="AC1405" s="113"/>
      <c r="AD1405" s="113"/>
      <c r="AE1405" s="113"/>
      <c r="AF1405" s="113"/>
    </row>
    <row r="1406">
      <c r="A1406" s="115"/>
      <c r="B1406" s="116"/>
      <c r="C1406" s="116"/>
      <c r="D1406" s="116"/>
      <c r="E1406" s="117"/>
      <c r="F1406" s="116"/>
      <c r="G1406" s="117"/>
      <c r="H1406" s="118"/>
      <c r="I1406" s="116"/>
      <c r="J1406" s="116"/>
      <c r="K1406" s="116"/>
      <c r="L1406" s="116"/>
      <c r="M1406" s="119" t="b">
        <v>0</v>
      </c>
      <c r="N1406" s="113" t="b">
        <v>0</v>
      </c>
      <c r="O1406" s="113" t="b">
        <v>0</v>
      </c>
      <c r="P1406" s="113" t="b">
        <v>0</v>
      </c>
      <c r="Q1406" s="113" t="b">
        <v>0</v>
      </c>
      <c r="R1406" s="113"/>
      <c r="S1406" s="113" t="b">
        <v>0</v>
      </c>
      <c r="T1406" s="113"/>
      <c r="U1406" s="113"/>
      <c r="V1406" s="113" t="b">
        <v>0</v>
      </c>
      <c r="W1406" s="113"/>
      <c r="X1406" s="113" t="b">
        <v>0</v>
      </c>
      <c r="Y1406" s="113"/>
      <c r="Z1406" s="113"/>
      <c r="AA1406" s="113"/>
      <c r="AB1406" s="113"/>
      <c r="AC1406" s="113"/>
      <c r="AD1406" s="113"/>
      <c r="AE1406" s="113"/>
      <c r="AF1406" s="113"/>
    </row>
    <row r="1407">
      <c r="A1407" s="115"/>
      <c r="B1407" s="116"/>
      <c r="C1407" s="116"/>
      <c r="D1407" s="116"/>
      <c r="E1407" s="117"/>
      <c r="F1407" s="116"/>
      <c r="G1407" s="117"/>
      <c r="H1407" s="118"/>
      <c r="I1407" s="116"/>
      <c r="J1407" s="116"/>
      <c r="K1407" s="116"/>
      <c r="L1407" s="116"/>
      <c r="M1407" s="119" t="b">
        <v>0</v>
      </c>
      <c r="N1407" s="113" t="b">
        <v>0</v>
      </c>
      <c r="O1407" s="113" t="b">
        <v>0</v>
      </c>
      <c r="P1407" s="113" t="b">
        <v>0</v>
      </c>
      <c r="Q1407" s="113" t="b">
        <v>0</v>
      </c>
      <c r="R1407" s="113"/>
      <c r="S1407" s="113" t="b">
        <v>0</v>
      </c>
      <c r="T1407" s="113"/>
      <c r="U1407" s="113"/>
      <c r="V1407" s="113" t="b">
        <v>0</v>
      </c>
      <c r="W1407" s="113"/>
      <c r="X1407" s="113" t="b">
        <v>0</v>
      </c>
      <c r="Y1407" s="113"/>
      <c r="Z1407" s="113"/>
      <c r="AA1407" s="113"/>
      <c r="AB1407" s="113"/>
      <c r="AC1407" s="113"/>
      <c r="AD1407" s="113"/>
      <c r="AE1407" s="113"/>
      <c r="AF1407" s="113"/>
    </row>
    <row r="1408">
      <c r="A1408" s="115"/>
      <c r="B1408" s="116"/>
      <c r="C1408" s="116"/>
      <c r="D1408" s="116"/>
      <c r="E1408" s="117"/>
      <c r="F1408" s="116"/>
      <c r="G1408" s="117"/>
      <c r="H1408" s="118"/>
      <c r="I1408" s="116"/>
      <c r="J1408" s="116"/>
      <c r="K1408" s="116"/>
      <c r="L1408" s="116"/>
      <c r="M1408" s="119" t="b">
        <v>0</v>
      </c>
      <c r="N1408" s="113" t="b">
        <v>0</v>
      </c>
      <c r="O1408" s="113" t="b">
        <v>0</v>
      </c>
      <c r="P1408" s="113" t="b">
        <v>0</v>
      </c>
      <c r="Q1408" s="113" t="b">
        <v>0</v>
      </c>
      <c r="R1408" s="113"/>
      <c r="S1408" s="113" t="b">
        <v>0</v>
      </c>
      <c r="T1408" s="113"/>
      <c r="U1408" s="113"/>
      <c r="V1408" s="113" t="b">
        <v>0</v>
      </c>
      <c r="W1408" s="113"/>
      <c r="X1408" s="113" t="b">
        <v>0</v>
      </c>
      <c r="Y1408" s="113"/>
      <c r="Z1408" s="113"/>
      <c r="AA1408" s="113"/>
      <c r="AB1408" s="113"/>
      <c r="AC1408" s="113"/>
      <c r="AD1408" s="113"/>
      <c r="AE1408" s="113"/>
      <c r="AF1408" s="113"/>
    </row>
    <row r="1409">
      <c r="A1409" s="115"/>
      <c r="B1409" s="116"/>
      <c r="C1409" s="116"/>
      <c r="D1409" s="116"/>
      <c r="E1409" s="117"/>
      <c r="F1409" s="116"/>
      <c r="G1409" s="117"/>
      <c r="H1409" s="118"/>
      <c r="I1409" s="116"/>
      <c r="J1409" s="116"/>
      <c r="K1409" s="116"/>
      <c r="L1409" s="116"/>
      <c r="M1409" s="119" t="b">
        <v>0</v>
      </c>
      <c r="N1409" s="113" t="b">
        <v>0</v>
      </c>
      <c r="O1409" s="113" t="b">
        <v>0</v>
      </c>
      <c r="P1409" s="113" t="b">
        <v>0</v>
      </c>
      <c r="Q1409" s="113" t="b">
        <v>0</v>
      </c>
      <c r="R1409" s="113"/>
      <c r="S1409" s="113" t="b">
        <v>0</v>
      </c>
      <c r="T1409" s="113"/>
      <c r="U1409" s="113"/>
      <c r="V1409" s="113" t="b">
        <v>0</v>
      </c>
      <c r="W1409" s="113"/>
      <c r="X1409" s="113" t="b">
        <v>0</v>
      </c>
      <c r="Y1409" s="113"/>
      <c r="Z1409" s="113"/>
      <c r="AA1409" s="113"/>
      <c r="AB1409" s="113"/>
      <c r="AC1409" s="113"/>
      <c r="AD1409" s="113"/>
      <c r="AE1409" s="113"/>
      <c r="AF1409" s="113"/>
    </row>
    <row r="1410">
      <c r="A1410" s="115"/>
      <c r="B1410" s="116"/>
      <c r="C1410" s="116"/>
      <c r="D1410" s="116"/>
      <c r="E1410" s="117"/>
      <c r="F1410" s="116"/>
      <c r="G1410" s="117"/>
      <c r="H1410" s="118"/>
      <c r="I1410" s="116"/>
      <c r="J1410" s="116"/>
      <c r="K1410" s="116"/>
      <c r="L1410" s="116"/>
      <c r="M1410" s="119" t="b">
        <v>0</v>
      </c>
      <c r="N1410" s="113" t="b">
        <v>0</v>
      </c>
      <c r="O1410" s="113" t="b">
        <v>0</v>
      </c>
      <c r="P1410" s="113" t="b">
        <v>0</v>
      </c>
      <c r="Q1410" s="113" t="b">
        <v>0</v>
      </c>
      <c r="R1410" s="113"/>
      <c r="S1410" s="113" t="b">
        <v>0</v>
      </c>
      <c r="T1410" s="113"/>
      <c r="U1410" s="113"/>
      <c r="V1410" s="113" t="b">
        <v>0</v>
      </c>
      <c r="W1410" s="113"/>
      <c r="X1410" s="113" t="b">
        <v>0</v>
      </c>
      <c r="Y1410" s="113"/>
      <c r="Z1410" s="113"/>
      <c r="AA1410" s="113"/>
      <c r="AB1410" s="113"/>
      <c r="AC1410" s="113"/>
      <c r="AD1410" s="113"/>
      <c r="AE1410" s="113"/>
      <c r="AF1410" s="113"/>
    </row>
    <row r="1411">
      <c r="A1411" s="115"/>
      <c r="B1411" s="116"/>
      <c r="C1411" s="116"/>
      <c r="D1411" s="116"/>
      <c r="E1411" s="117"/>
      <c r="F1411" s="116"/>
      <c r="G1411" s="117"/>
      <c r="H1411" s="118"/>
      <c r="I1411" s="116"/>
      <c r="J1411" s="116"/>
      <c r="K1411" s="116"/>
      <c r="L1411" s="116"/>
      <c r="M1411" s="119" t="b">
        <v>0</v>
      </c>
      <c r="N1411" s="113" t="b">
        <v>0</v>
      </c>
      <c r="O1411" s="113" t="b">
        <v>0</v>
      </c>
      <c r="P1411" s="113" t="b">
        <v>0</v>
      </c>
      <c r="Q1411" s="113" t="b">
        <v>0</v>
      </c>
      <c r="R1411" s="113"/>
      <c r="S1411" s="113" t="b">
        <v>0</v>
      </c>
      <c r="T1411" s="113"/>
      <c r="U1411" s="113"/>
      <c r="V1411" s="113" t="b">
        <v>0</v>
      </c>
      <c r="W1411" s="113"/>
      <c r="X1411" s="113" t="b">
        <v>0</v>
      </c>
      <c r="Y1411" s="113"/>
      <c r="Z1411" s="113"/>
      <c r="AA1411" s="113"/>
      <c r="AB1411" s="113"/>
      <c r="AC1411" s="113"/>
      <c r="AD1411" s="113"/>
      <c r="AE1411" s="113"/>
      <c r="AF1411" s="113"/>
    </row>
    <row r="1412">
      <c r="A1412" s="115"/>
      <c r="B1412" s="116"/>
      <c r="C1412" s="116"/>
      <c r="D1412" s="116"/>
      <c r="E1412" s="117"/>
      <c r="F1412" s="116"/>
      <c r="G1412" s="117"/>
      <c r="H1412" s="118"/>
      <c r="I1412" s="116"/>
      <c r="J1412" s="116"/>
      <c r="K1412" s="116"/>
      <c r="L1412" s="116"/>
      <c r="M1412" s="119" t="b">
        <v>0</v>
      </c>
      <c r="N1412" s="113" t="b">
        <v>0</v>
      </c>
      <c r="O1412" s="113" t="b">
        <v>0</v>
      </c>
      <c r="P1412" s="113" t="b">
        <v>0</v>
      </c>
      <c r="Q1412" s="113" t="b">
        <v>0</v>
      </c>
      <c r="R1412" s="113"/>
      <c r="S1412" s="113" t="b">
        <v>0</v>
      </c>
      <c r="T1412" s="113"/>
      <c r="U1412" s="113"/>
      <c r="V1412" s="113" t="b">
        <v>0</v>
      </c>
      <c r="W1412" s="113"/>
      <c r="X1412" s="113" t="b">
        <v>0</v>
      </c>
      <c r="Y1412" s="113"/>
      <c r="Z1412" s="113"/>
      <c r="AA1412" s="113"/>
      <c r="AB1412" s="113"/>
      <c r="AC1412" s="113"/>
      <c r="AD1412" s="113"/>
      <c r="AE1412" s="113"/>
      <c r="AF1412" s="113"/>
    </row>
    <row r="1413">
      <c r="A1413" s="115"/>
      <c r="B1413" s="116"/>
      <c r="C1413" s="116"/>
      <c r="D1413" s="116"/>
      <c r="E1413" s="117"/>
      <c r="F1413" s="116"/>
      <c r="G1413" s="117"/>
      <c r="H1413" s="118"/>
      <c r="I1413" s="116"/>
      <c r="J1413" s="116"/>
      <c r="K1413" s="116"/>
      <c r="L1413" s="116"/>
      <c r="M1413" s="119" t="b">
        <v>0</v>
      </c>
      <c r="N1413" s="113" t="b">
        <v>0</v>
      </c>
      <c r="O1413" s="113" t="b">
        <v>0</v>
      </c>
      <c r="P1413" s="113" t="b">
        <v>0</v>
      </c>
      <c r="Q1413" s="113" t="b">
        <v>0</v>
      </c>
      <c r="R1413" s="113"/>
      <c r="S1413" s="113" t="b">
        <v>0</v>
      </c>
      <c r="T1413" s="113"/>
      <c r="U1413" s="113"/>
      <c r="V1413" s="113" t="b">
        <v>0</v>
      </c>
      <c r="W1413" s="113"/>
      <c r="X1413" s="113" t="b">
        <v>0</v>
      </c>
      <c r="Y1413" s="113"/>
      <c r="Z1413" s="113"/>
      <c r="AA1413" s="113"/>
      <c r="AB1413" s="113"/>
      <c r="AC1413" s="113"/>
      <c r="AD1413" s="113"/>
      <c r="AE1413" s="113"/>
      <c r="AF1413" s="113"/>
    </row>
    <row r="1414">
      <c r="A1414" s="115"/>
      <c r="B1414" s="116"/>
      <c r="C1414" s="116"/>
      <c r="D1414" s="116"/>
      <c r="E1414" s="117"/>
      <c r="F1414" s="116"/>
      <c r="G1414" s="117"/>
      <c r="H1414" s="118"/>
      <c r="I1414" s="116"/>
      <c r="J1414" s="116"/>
      <c r="K1414" s="116"/>
      <c r="L1414" s="116"/>
      <c r="M1414" s="119" t="b">
        <v>0</v>
      </c>
      <c r="N1414" s="113" t="b">
        <v>0</v>
      </c>
      <c r="O1414" s="113" t="b">
        <v>0</v>
      </c>
      <c r="P1414" s="113" t="b">
        <v>0</v>
      </c>
      <c r="Q1414" s="113" t="b">
        <v>0</v>
      </c>
      <c r="R1414" s="113"/>
      <c r="S1414" s="113" t="b">
        <v>0</v>
      </c>
      <c r="T1414" s="113"/>
      <c r="U1414" s="113"/>
      <c r="V1414" s="113" t="b">
        <v>0</v>
      </c>
      <c r="W1414" s="113"/>
      <c r="X1414" s="113" t="b">
        <v>0</v>
      </c>
      <c r="Y1414" s="113"/>
      <c r="Z1414" s="113"/>
      <c r="AA1414" s="113"/>
      <c r="AB1414" s="113"/>
      <c r="AC1414" s="113"/>
      <c r="AD1414" s="113"/>
      <c r="AE1414" s="113"/>
      <c r="AF1414" s="113"/>
    </row>
    <row r="1415">
      <c r="A1415" s="115"/>
      <c r="B1415" s="116"/>
      <c r="C1415" s="116"/>
      <c r="D1415" s="116"/>
      <c r="E1415" s="117"/>
      <c r="F1415" s="116"/>
      <c r="G1415" s="117"/>
      <c r="H1415" s="118"/>
      <c r="I1415" s="116"/>
      <c r="J1415" s="116"/>
      <c r="K1415" s="116"/>
      <c r="L1415" s="116"/>
      <c r="M1415" s="119" t="b">
        <v>0</v>
      </c>
      <c r="N1415" s="113" t="b">
        <v>0</v>
      </c>
      <c r="O1415" s="113" t="b">
        <v>0</v>
      </c>
      <c r="P1415" s="113" t="b">
        <v>0</v>
      </c>
      <c r="Q1415" s="113" t="b">
        <v>0</v>
      </c>
      <c r="R1415" s="113"/>
      <c r="S1415" s="113" t="b">
        <v>0</v>
      </c>
      <c r="T1415" s="113"/>
      <c r="U1415" s="113"/>
      <c r="V1415" s="113" t="b">
        <v>0</v>
      </c>
      <c r="W1415" s="113"/>
      <c r="X1415" s="113" t="b">
        <v>0</v>
      </c>
      <c r="Y1415" s="113"/>
      <c r="Z1415" s="113"/>
      <c r="AA1415" s="113"/>
      <c r="AB1415" s="113"/>
      <c r="AC1415" s="113"/>
      <c r="AD1415" s="113"/>
      <c r="AE1415" s="113"/>
      <c r="AF1415" s="113"/>
    </row>
    <row r="1416">
      <c r="A1416" s="115"/>
      <c r="B1416" s="116"/>
      <c r="C1416" s="116"/>
      <c r="D1416" s="116"/>
      <c r="E1416" s="117"/>
      <c r="F1416" s="116"/>
      <c r="G1416" s="117"/>
      <c r="H1416" s="118"/>
      <c r="I1416" s="116"/>
      <c r="J1416" s="116"/>
      <c r="K1416" s="116"/>
      <c r="L1416" s="116"/>
      <c r="M1416" s="119" t="b">
        <v>0</v>
      </c>
      <c r="N1416" s="113" t="b">
        <v>0</v>
      </c>
      <c r="O1416" s="113" t="b">
        <v>0</v>
      </c>
      <c r="P1416" s="113" t="b">
        <v>0</v>
      </c>
      <c r="Q1416" s="113" t="b">
        <v>0</v>
      </c>
      <c r="R1416" s="113"/>
      <c r="S1416" s="113" t="b">
        <v>0</v>
      </c>
      <c r="T1416" s="113"/>
      <c r="U1416" s="113"/>
      <c r="V1416" s="113" t="b">
        <v>0</v>
      </c>
      <c r="W1416" s="113"/>
      <c r="X1416" s="113" t="b">
        <v>0</v>
      </c>
      <c r="Y1416" s="113"/>
      <c r="Z1416" s="113"/>
      <c r="AA1416" s="113"/>
      <c r="AB1416" s="113"/>
      <c r="AC1416" s="113"/>
      <c r="AD1416" s="113"/>
      <c r="AE1416" s="113"/>
      <c r="AF1416" s="113"/>
    </row>
    <row r="1417">
      <c r="A1417" s="115"/>
      <c r="B1417" s="116"/>
      <c r="C1417" s="116"/>
      <c r="D1417" s="116"/>
      <c r="E1417" s="117"/>
      <c r="F1417" s="116"/>
      <c r="G1417" s="117"/>
      <c r="H1417" s="118"/>
      <c r="I1417" s="116"/>
      <c r="J1417" s="116"/>
      <c r="K1417" s="116"/>
      <c r="L1417" s="116"/>
      <c r="M1417" s="119" t="b">
        <v>0</v>
      </c>
      <c r="N1417" s="113" t="b">
        <v>0</v>
      </c>
      <c r="O1417" s="113" t="b">
        <v>0</v>
      </c>
      <c r="P1417" s="113" t="b">
        <v>0</v>
      </c>
      <c r="Q1417" s="113" t="b">
        <v>0</v>
      </c>
      <c r="R1417" s="113"/>
      <c r="S1417" s="113" t="b">
        <v>0</v>
      </c>
      <c r="T1417" s="113"/>
      <c r="U1417" s="113"/>
      <c r="V1417" s="113" t="b">
        <v>0</v>
      </c>
      <c r="W1417" s="113"/>
      <c r="X1417" s="113" t="b">
        <v>0</v>
      </c>
      <c r="Y1417" s="113"/>
      <c r="Z1417" s="113"/>
      <c r="AA1417" s="113"/>
      <c r="AB1417" s="113"/>
      <c r="AC1417" s="113"/>
      <c r="AD1417" s="113"/>
      <c r="AE1417" s="113"/>
      <c r="AF1417" s="113"/>
    </row>
    <row r="1418">
      <c r="A1418" s="115"/>
      <c r="B1418" s="116"/>
      <c r="C1418" s="116"/>
      <c r="D1418" s="116"/>
      <c r="E1418" s="117"/>
      <c r="F1418" s="116"/>
      <c r="G1418" s="117"/>
      <c r="H1418" s="118"/>
      <c r="I1418" s="116"/>
      <c r="J1418" s="116"/>
      <c r="K1418" s="116"/>
      <c r="L1418" s="116"/>
      <c r="M1418" s="119" t="b">
        <v>0</v>
      </c>
      <c r="N1418" s="113" t="b">
        <v>0</v>
      </c>
      <c r="O1418" s="113" t="b">
        <v>0</v>
      </c>
      <c r="P1418" s="113" t="b">
        <v>0</v>
      </c>
      <c r="Q1418" s="113" t="b">
        <v>0</v>
      </c>
      <c r="R1418" s="113"/>
      <c r="S1418" s="113" t="b">
        <v>0</v>
      </c>
      <c r="T1418" s="113"/>
      <c r="U1418" s="113"/>
      <c r="V1418" s="113" t="b">
        <v>0</v>
      </c>
      <c r="W1418" s="113"/>
      <c r="X1418" s="113" t="b">
        <v>0</v>
      </c>
      <c r="Y1418" s="113"/>
      <c r="Z1418" s="113"/>
      <c r="AA1418" s="113"/>
      <c r="AB1418" s="113"/>
      <c r="AC1418" s="113"/>
      <c r="AD1418" s="113"/>
      <c r="AE1418" s="113"/>
      <c r="AF1418" s="113"/>
    </row>
    <row r="1419">
      <c r="A1419" s="115"/>
      <c r="B1419" s="116"/>
      <c r="C1419" s="116"/>
      <c r="D1419" s="116"/>
      <c r="E1419" s="117"/>
      <c r="F1419" s="116"/>
      <c r="G1419" s="117"/>
      <c r="H1419" s="118"/>
      <c r="I1419" s="116"/>
      <c r="J1419" s="116"/>
      <c r="K1419" s="116"/>
      <c r="L1419" s="116"/>
      <c r="M1419" s="119" t="b">
        <v>0</v>
      </c>
      <c r="N1419" s="113" t="b">
        <v>0</v>
      </c>
      <c r="O1419" s="113" t="b">
        <v>0</v>
      </c>
      <c r="P1419" s="113" t="b">
        <v>0</v>
      </c>
      <c r="Q1419" s="113" t="b">
        <v>0</v>
      </c>
      <c r="R1419" s="113"/>
      <c r="S1419" s="113" t="b">
        <v>0</v>
      </c>
      <c r="T1419" s="113"/>
      <c r="U1419" s="113"/>
      <c r="V1419" s="113" t="b">
        <v>0</v>
      </c>
      <c r="W1419" s="113"/>
      <c r="X1419" s="113" t="b">
        <v>0</v>
      </c>
      <c r="Y1419" s="113"/>
      <c r="Z1419" s="113"/>
      <c r="AA1419" s="113"/>
      <c r="AB1419" s="113"/>
      <c r="AC1419" s="113"/>
      <c r="AD1419" s="113"/>
      <c r="AE1419" s="113"/>
      <c r="AF1419" s="113"/>
    </row>
    <row r="1420">
      <c r="A1420" s="115"/>
      <c r="B1420" s="116"/>
      <c r="C1420" s="116"/>
      <c r="D1420" s="116"/>
      <c r="E1420" s="117"/>
      <c r="F1420" s="116"/>
      <c r="G1420" s="117"/>
      <c r="H1420" s="118"/>
      <c r="I1420" s="116"/>
      <c r="J1420" s="116"/>
      <c r="K1420" s="116"/>
      <c r="L1420" s="116"/>
      <c r="M1420" s="119" t="b">
        <v>0</v>
      </c>
      <c r="N1420" s="113" t="b">
        <v>0</v>
      </c>
      <c r="O1420" s="113" t="b">
        <v>0</v>
      </c>
      <c r="P1420" s="113" t="b">
        <v>0</v>
      </c>
      <c r="Q1420" s="113" t="b">
        <v>0</v>
      </c>
      <c r="R1420" s="113"/>
      <c r="S1420" s="113" t="b">
        <v>0</v>
      </c>
      <c r="T1420" s="113"/>
      <c r="U1420" s="113"/>
      <c r="V1420" s="113" t="b">
        <v>0</v>
      </c>
      <c r="W1420" s="113"/>
      <c r="X1420" s="113" t="b">
        <v>0</v>
      </c>
      <c r="Y1420" s="113"/>
      <c r="Z1420" s="113"/>
      <c r="AA1420" s="113"/>
      <c r="AB1420" s="113"/>
      <c r="AC1420" s="113"/>
      <c r="AD1420" s="113"/>
      <c r="AE1420" s="113"/>
      <c r="AF1420" s="113"/>
    </row>
    <row r="1421">
      <c r="A1421" s="115"/>
      <c r="B1421" s="116"/>
      <c r="C1421" s="116"/>
      <c r="D1421" s="116"/>
      <c r="E1421" s="117"/>
      <c r="F1421" s="116"/>
      <c r="G1421" s="117"/>
      <c r="H1421" s="118"/>
      <c r="I1421" s="116"/>
      <c r="J1421" s="116"/>
      <c r="K1421" s="116"/>
      <c r="L1421" s="116"/>
      <c r="M1421" s="119" t="b">
        <v>0</v>
      </c>
      <c r="N1421" s="113" t="b">
        <v>0</v>
      </c>
      <c r="O1421" s="113" t="b">
        <v>0</v>
      </c>
      <c r="P1421" s="113" t="b">
        <v>0</v>
      </c>
      <c r="Q1421" s="113" t="b">
        <v>0</v>
      </c>
      <c r="R1421" s="113"/>
      <c r="S1421" s="113" t="b">
        <v>0</v>
      </c>
      <c r="T1421" s="113"/>
      <c r="U1421" s="113"/>
      <c r="V1421" s="113" t="b">
        <v>0</v>
      </c>
      <c r="W1421" s="113"/>
      <c r="X1421" s="113" t="b">
        <v>0</v>
      </c>
      <c r="Y1421" s="113"/>
      <c r="Z1421" s="113"/>
      <c r="AA1421" s="113"/>
      <c r="AB1421" s="113"/>
      <c r="AC1421" s="113"/>
      <c r="AD1421" s="113"/>
      <c r="AE1421" s="113"/>
      <c r="AF1421" s="113"/>
    </row>
    <row r="1422">
      <c r="A1422" s="115"/>
      <c r="B1422" s="116"/>
      <c r="C1422" s="116"/>
      <c r="D1422" s="116"/>
      <c r="E1422" s="117"/>
      <c r="F1422" s="116"/>
      <c r="G1422" s="117"/>
      <c r="H1422" s="118"/>
      <c r="I1422" s="116"/>
      <c r="J1422" s="116"/>
      <c r="K1422" s="116"/>
      <c r="L1422" s="116"/>
      <c r="M1422" s="119" t="b">
        <v>0</v>
      </c>
      <c r="N1422" s="113" t="b">
        <v>0</v>
      </c>
      <c r="O1422" s="113" t="b">
        <v>0</v>
      </c>
      <c r="P1422" s="113" t="b">
        <v>0</v>
      </c>
      <c r="Q1422" s="113" t="b">
        <v>0</v>
      </c>
      <c r="R1422" s="113"/>
      <c r="S1422" s="113" t="b">
        <v>0</v>
      </c>
      <c r="T1422" s="113"/>
      <c r="U1422" s="113"/>
      <c r="V1422" s="113" t="b">
        <v>0</v>
      </c>
      <c r="W1422" s="113"/>
      <c r="X1422" s="113" t="b">
        <v>0</v>
      </c>
      <c r="Y1422" s="113"/>
      <c r="Z1422" s="113"/>
      <c r="AA1422" s="113"/>
      <c r="AB1422" s="113"/>
      <c r="AC1422" s="113"/>
      <c r="AD1422" s="113"/>
      <c r="AE1422" s="113"/>
      <c r="AF1422" s="113"/>
    </row>
    <row r="1423">
      <c r="A1423" s="115"/>
      <c r="B1423" s="116"/>
      <c r="C1423" s="116"/>
      <c r="D1423" s="116"/>
      <c r="E1423" s="117"/>
      <c r="F1423" s="116"/>
      <c r="G1423" s="117"/>
      <c r="H1423" s="118"/>
      <c r="I1423" s="116"/>
      <c r="J1423" s="116"/>
      <c r="K1423" s="116"/>
      <c r="L1423" s="116"/>
      <c r="M1423" s="119" t="b">
        <v>0</v>
      </c>
      <c r="N1423" s="113" t="b">
        <v>0</v>
      </c>
      <c r="O1423" s="113" t="b">
        <v>0</v>
      </c>
      <c r="P1423" s="113" t="b">
        <v>0</v>
      </c>
      <c r="Q1423" s="113" t="b">
        <v>0</v>
      </c>
      <c r="R1423" s="113"/>
      <c r="S1423" s="113" t="b">
        <v>0</v>
      </c>
      <c r="T1423" s="113"/>
      <c r="U1423" s="113"/>
      <c r="V1423" s="113" t="b">
        <v>0</v>
      </c>
      <c r="W1423" s="113"/>
      <c r="X1423" s="113" t="b">
        <v>0</v>
      </c>
      <c r="Y1423" s="113"/>
      <c r="Z1423" s="113"/>
      <c r="AA1423" s="113"/>
      <c r="AB1423" s="113"/>
      <c r="AC1423" s="113"/>
      <c r="AD1423" s="113"/>
      <c r="AE1423" s="113"/>
      <c r="AF1423" s="113"/>
    </row>
    <row r="1424">
      <c r="A1424" s="115"/>
      <c r="B1424" s="116"/>
      <c r="C1424" s="116"/>
      <c r="D1424" s="116"/>
      <c r="E1424" s="117"/>
      <c r="F1424" s="116"/>
      <c r="G1424" s="117"/>
      <c r="H1424" s="118"/>
      <c r="I1424" s="116"/>
      <c r="J1424" s="116"/>
      <c r="K1424" s="116"/>
      <c r="L1424" s="116"/>
      <c r="M1424" s="119" t="b">
        <v>0</v>
      </c>
      <c r="N1424" s="113" t="b">
        <v>0</v>
      </c>
      <c r="O1424" s="113" t="b">
        <v>0</v>
      </c>
      <c r="P1424" s="113" t="b">
        <v>0</v>
      </c>
      <c r="Q1424" s="113" t="b">
        <v>0</v>
      </c>
      <c r="R1424" s="113"/>
      <c r="S1424" s="113" t="b">
        <v>0</v>
      </c>
      <c r="T1424" s="113"/>
      <c r="U1424" s="113"/>
      <c r="V1424" s="113" t="b">
        <v>0</v>
      </c>
      <c r="W1424" s="113"/>
      <c r="X1424" s="113" t="b">
        <v>0</v>
      </c>
      <c r="Y1424" s="113"/>
      <c r="Z1424" s="113"/>
      <c r="AA1424" s="113"/>
      <c r="AB1424" s="113"/>
      <c r="AC1424" s="113"/>
      <c r="AD1424" s="113"/>
      <c r="AE1424" s="113"/>
      <c r="AF1424" s="113"/>
    </row>
    <row r="1425">
      <c r="A1425" s="115"/>
      <c r="B1425" s="116"/>
      <c r="C1425" s="116"/>
      <c r="D1425" s="116"/>
      <c r="E1425" s="117"/>
      <c r="F1425" s="116"/>
      <c r="G1425" s="117"/>
      <c r="H1425" s="118"/>
      <c r="I1425" s="116"/>
      <c r="J1425" s="116"/>
      <c r="K1425" s="116"/>
      <c r="L1425" s="116"/>
      <c r="M1425" s="119" t="b">
        <v>0</v>
      </c>
      <c r="N1425" s="113" t="b">
        <v>0</v>
      </c>
      <c r="O1425" s="113" t="b">
        <v>0</v>
      </c>
      <c r="P1425" s="113" t="b">
        <v>0</v>
      </c>
      <c r="Q1425" s="113" t="b">
        <v>0</v>
      </c>
      <c r="R1425" s="113"/>
      <c r="S1425" s="113" t="b">
        <v>0</v>
      </c>
      <c r="T1425" s="113"/>
      <c r="U1425" s="113"/>
      <c r="V1425" s="113" t="b">
        <v>0</v>
      </c>
      <c r="W1425" s="113"/>
      <c r="X1425" s="113" t="b">
        <v>0</v>
      </c>
      <c r="Y1425" s="113"/>
      <c r="Z1425" s="113"/>
      <c r="AA1425" s="113"/>
      <c r="AB1425" s="113"/>
      <c r="AC1425" s="113"/>
      <c r="AD1425" s="113"/>
      <c r="AE1425" s="113"/>
      <c r="AF1425" s="113"/>
    </row>
    <row r="1426">
      <c r="A1426" s="115"/>
      <c r="B1426" s="116"/>
      <c r="C1426" s="116"/>
      <c r="D1426" s="116"/>
      <c r="E1426" s="117"/>
      <c r="F1426" s="116"/>
      <c r="G1426" s="117"/>
      <c r="H1426" s="118"/>
      <c r="I1426" s="116"/>
      <c r="J1426" s="116"/>
      <c r="K1426" s="116"/>
      <c r="L1426" s="116"/>
      <c r="M1426" s="119" t="b">
        <v>0</v>
      </c>
      <c r="N1426" s="113" t="b">
        <v>0</v>
      </c>
      <c r="O1426" s="113" t="b">
        <v>0</v>
      </c>
      <c r="P1426" s="113" t="b">
        <v>0</v>
      </c>
      <c r="Q1426" s="113" t="b">
        <v>0</v>
      </c>
      <c r="R1426" s="113"/>
      <c r="S1426" s="113" t="b">
        <v>0</v>
      </c>
      <c r="T1426" s="113"/>
      <c r="U1426" s="113"/>
      <c r="V1426" s="113" t="b">
        <v>0</v>
      </c>
      <c r="W1426" s="113"/>
      <c r="X1426" s="113" t="b">
        <v>0</v>
      </c>
      <c r="Y1426" s="113"/>
      <c r="Z1426" s="113"/>
      <c r="AA1426" s="113"/>
      <c r="AB1426" s="113"/>
      <c r="AC1426" s="113"/>
      <c r="AD1426" s="113"/>
      <c r="AE1426" s="113"/>
      <c r="AF1426" s="113"/>
    </row>
    <row r="1427">
      <c r="A1427" s="115"/>
      <c r="B1427" s="116"/>
      <c r="C1427" s="116"/>
      <c r="D1427" s="116"/>
      <c r="E1427" s="117"/>
      <c r="F1427" s="116"/>
      <c r="G1427" s="117"/>
      <c r="H1427" s="118"/>
      <c r="I1427" s="116"/>
      <c r="J1427" s="116"/>
      <c r="K1427" s="116"/>
      <c r="L1427" s="116"/>
      <c r="M1427" s="119" t="b">
        <v>0</v>
      </c>
      <c r="N1427" s="113" t="b">
        <v>0</v>
      </c>
      <c r="O1427" s="113" t="b">
        <v>0</v>
      </c>
      <c r="P1427" s="113" t="b">
        <v>0</v>
      </c>
      <c r="Q1427" s="113" t="b">
        <v>0</v>
      </c>
      <c r="R1427" s="113"/>
      <c r="S1427" s="113" t="b">
        <v>0</v>
      </c>
      <c r="T1427" s="113"/>
      <c r="U1427" s="113"/>
      <c r="V1427" s="113" t="b">
        <v>0</v>
      </c>
      <c r="W1427" s="113"/>
      <c r="X1427" s="113" t="b">
        <v>0</v>
      </c>
      <c r="Y1427" s="113"/>
      <c r="Z1427" s="113"/>
      <c r="AA1427" s="113"/>
      <c r="AB1427" s="113"/>
      <c r="AC1427" s="113"/>
      <c r="AD1427" s="113"/>
      <c r="AE1427" s="113"/>
      <c r="AF1427" s="113"/>
    </row>
    <row r="1428">
      <c r="A1428" s="115"/>
      <c r="B1428" s="116"/>
      <c r="C1428" s="116"/>
      <c r="D1428" s="116"/>
      <c r="E1428" s="117"/>
      <c r="F1428" s="116"/>
      <c r="G1428" s="117"/>
      <c r="H1428" s="118"/>
      <c r="I1428" s="116"/>
      <c r="J1428" s="116"/>
      <c r="K1428" s="116"/>
      <c r="L1428" s="116"/>
      <c r="M1428" s="119" t="b">
        <v>0</v>
      </c>
      <c r="N1428" s="113" t="b">
        <v>0</v>
      </c>
      <c r="O1428" s="113" t="b">
        <v>0</v>
      </c>
      <c r="P1428" s="113" t="b">
        <v>0</v>
      </c>
      <c r="Q1428" s="113" t="b">
        <v>0</v>
      </c>
      <c r="R1428" s="113"/>
      <c r="S1428" s="113" t="b">
        <v>0</v>
      </c>
      <c r="T1428" s="113"/>
      <c r="U1428" s="113"/>
      <c r="V1428" s="113" t="b">
        <v>0</v>
      </c>
      <c r="W1428" s="113"/>
      <c r="X1428" s="113" t="b">
        <v>0</v>
      </c>
      <c r="Y1428" s="113"/>
      <c r="Z1428" s="113"/>
      <c r="AA1428" s="113"/>
      <c r="AB1428" s="113"/>
      <c r="AC1428" s="113"/>
      <c r="AD1428" s="113"/>
      <c r="AE1428" s="113"/>
      <c r="AF1428" s="113"/>
    </row>
    <row r="1429">
      <c r="A1429" s="115"/>
      <c r="B1429" s="116"/>
      <c r="C1429" s="116"/>
      <c r="D1429" s="116"/>
      <c r="E1429" s="117"/>
      <c r="F1429" s="116"/>
      <c r="G1429" s="117"/>
      <c r="H1429" s="118"/>
      <c r="I1429" s="116"/>
      <c r="J1429" s="116"/>
      <c r="K1429" s="116"/>
      <c r="L1429" s="116"/>
      <c r="M1429" s="119" t="b">
        <v>0</v>
      </c>
      <c r="N1429" s="113" t="b">
        <v>0</v>
      </c>
      <c r="O1429" s="113" t="b">
        <v>0</v>
      </c>
      <c r="P1429" s="113" t="b">
        <v>0</v>
      </c>
      <c r="Q1429" s="113" t="b">
        <v>0</v>
      </c>
      <c r="R1429" s="113"/>
      <c r="S1429" s="113" t="b">
        <v>0</v>
      </c>
      <c r="T1429" s="113"/>
      <c r="U1429" s="113"/>
      <c r="V1429" s="113" t="b">
        <v>0</v>
      </c>
      <c r="W1429" s="113"/>
      <c r="X1429" s="113" t="b">
        <v>0</v>
      </c>
      <c r="Y1429" s="113"/>
      <c r="Z1429" s="113"/>
      <c r="AA1429" s="113"/>
      <c r="AB1429" s="113"/>
      <c r="AC1429" s="113"/>
      <c r="AD1429" s="113"/>
      <c r="AE1429" s="113"/>
      <c r="AF1429" s="113"/>
    </row>
    <row r="1430">
      <c r="A1430" s="115"/>
      <c r="B1430" s="116"/>
      <c r="C1430" s="116"/>
      <c r="D1430" s="116"/>
      <c r="E1430" s="117"/>
      <c r="F1430" s="116"/>
      <c r="G1430" s="117"/>
      <c r="H1430" s="118"/>
      <c r="I1430" s="116"/>
      <c r="J1430" s="116"/>
      <c r="K1430" s="116"/>
      <c r="L1430" s="116"/>
      <c r="M1430" s="119" t="b">
        <v>0</v>
      </c>
      <c r="N1430" s="113" t="b">
        <v>0</v>
      </c>
      <c r="O1430" s="113" t="b">
        <v>0</v>
      </c>
      <c r="P1430" s="113" t="b">
        <v>0</v>
      </c>
      <c r="Q1430" s="113" t="b">
        <v>0</v>
      </c>
      <c r="R1430" s="113"/>
      <c r="S1430" s="113" t="b">
        <v>0</v>
      </c>
      <c r="T1430" s="113"/>
      <c r="U1430" s="113"/>
      <c r="V1430" s="113" t="b">
        <v>0</v>
      </c>
      <c r="W1430" s="113"/>
      <c r="X1430" s="113" t="b">
        <v>0</v>
      </c>
      <c r="Y1430" s="113"/>
      <c r="Z1430" s="113"/>
      <c r="AA1430" s="113"/>
      <c r="AB1430" s="113"/>
      <c r="AC1430" s="113"/>
      <c r="AD1430" s="113"/>
      <c r="AE1430" s="113"/>
      <c r="AF1430" s="113"/>
    </row>
    <row r="1431">
      <c r="A1431" s="115"/>
      <c r="B1431" s="116"/>
      <c r="C1431" s="116"/>
      <c r="D1431" s="116"/>
      <c r="E1431" s="117"/>
      <c r="F1431" s="116"/>
      <c r="G1431" s="117"/>
      <c r="H1431" s="118"/>
      <c r="I1431" s="116"/>
      <c r="J1431" s="116"/>
      <c r="K1431" s="116"/>
      <c r="L1431" s="116"/>
      <c r="M1431" s="119" t="b">
        <v>0</v>
      </c>
      <c r="N1431" s="113" t="b">
        <v>0</v>
      </c>
      <c r="O1431" s="113" t="b">
        <v>0</v>
      </c>
      <c r="P1431" s="113" t="b">
        <v>0</v>
      </c>
      <c r="Q1431" s="113" t="b">
        <v>0</v>
      </c>
      <c r="R1431" s="113"/>
      <c r="S1431" s="113" t="b">
        <v>0</v>
      </c>
      <c r="T1431" s="113"/>
      <c r="U1431" s="113"/>
      <c r="V1431" s="113" t="b">
        <v>0</v>
      </c>
      <c r="W1431" s="113"/>
      <c r="X1431" s="113" t="b">
        <v>0</v>
      </c>
      <c r="Y1431" s="113"/>
      <c r="Z1431" s="113"/>
      <c r="AA1431" s="113"/>
      <c r="AB1431" s="113"/>
      <c r="AC1431" s="113"/>
      <c r="AD1431" s="113"/>
      <c r="AE1431" s="113"/>
      <c r="AF1431" s="113"/>
    </row>
    <row r="1432">
      <c r="A1432" s="115"/>
      <c r="B1432" s="116"/>
      <c r="C1432" s="116"/>
      <c r="D1432" s="116"/>
      <c r="E1432" s="117"/>
      <c r="F1432" s="116"/>
      <c r="G1432" s="117"/>
      <c r="H1432" s="118"/>
      <c r="I1432" s="116"/>
      <c r="J1432" s="116"/>
      <c r="K1432" s="116"/>
      <c r="L1432" s="116"/>
      <c r="M1432" s="119" t="b">
        <v>0</v>
      </c>
      <c r="N1432" s="113" t="b">
        <v>0</v>
      </c>
      <c r="O1432" s="113" t="b">
        <v>0</v>
      </c>
      <c r="P1432" s="113" t="b">
        <v>0</v>
      </c>
      <c r="Q1432" s="113" t="b">
        <v>0</v>
      </c>
      <c r="R1432" s="113"/>
      <c r="S1432" s="113" t="b">
        <v>0</v>
      </c>
      <c r="T1432" s="113"/>
      <c r="U1432" s="113"/>
      <c r="V1432" s="113" t="b">
        <v>0</v>
      </c>
      <c r="W1432" s="113"/>
      <c r="X1432" s="113" t="b">
        <v>0</v>
      </c>
      <c r="Y1432" s="113"/>
      <c r="Z1432" s="113"/>
      <c r="AA1432" s="113"/>
      <c r="AB1432" s="113"/>
      <c r="AC1432" s="113"/>
      <c r="AD1432" s="113"/>
      <c r="AE1432" s="113"/>
      <c r="AF1432" s="113"/>
    </row>
    <row r="1433">
      <c r="A1433" s="115"/>
      <c r="B1433" s="116"/>
      <c r="C1433" s="116"/>
      <c r="D1433" s="116"/>
      <c r="E1433" s="117"/>
      <c r="F1433" s="116"/>
      <c r="G1433" s="117"/>
      <c r="H1433" s="118"/>
      <c r="I1433" s="116"/>
      <c r="J1433" s="116"/>
      <c r="K1433" s="116"/>
      <c r="L1433" s="116"/>
      <c r="M1433" s="119" t="b">
        <v>0</v>
      </c>
      <c r="N1433" s="113" t="b">
        <v>0</v>
      </c>
      <c r="O1433" s="113" t="b">
        <v>0</v>
      </c>
      <c r="P1433" s="113" t="b">
        <v>0</v>
      </c>
      <c r="Q1433" s="113" t="b">
        <v>0</v>
      </c>
      <c r="R1433" s="113"/>
      <c r="S1433" s="113" t="b">
        <v>0</v>
      </c>
      <c r="T1433" s="113"/>
      <c r="U1433" s="113"/>
      <c r="V1433" s="113" t="b">
        <v>0</v>
      </c>
      <c r="W1433" s="113"/>
      <c r="X1433" s="113" t="b">
        <v>0</v>
      </c>
      <c r="Y1433" s="113"/>
      <c r="Z1433" s="113"/>
      <c r="AA1433" s="113"/>
      <c r="AB1433" s="113"/>
      <c r="AC1433" s="113"/>
      <c r="AD1433" s="113"/>
      <c r="AE1433" s="113"/>
      <c r="AF1433" s="113"/>
    </row>
    <row r="1434">
      <c r="A1434" s="115"/>
      <c r="B1434" s="116"/>
      <c r="C1434" s="116"/>
      <c r="D1434" s="116"/>
      <c r="E1434" s="117"/>
      <c r="F1434" s="116"/>
      <c r="G1434" s="117"/>
      <c r="H1434" s="118"/>
      <c r="I1434" s="116"/>
      <c r="J1434" s="116"/>
      <c r="K1434" s="116"/>
      <c r="L1434" s="116"/>
      <c r="M1434" s="119" t="b">
        <v>0</v>
      </c>
      <c r="N1434" s="113" t="b">
        <v>0</v>
      </c>
      <c r="O1434" s="113" t="b">
        <v>0</v>
      </c>
      <c r="P1434" s="113" t="b">
        <v>0</v>
      </c>
      <c r="Q1434" s="113" t="b">
        <v>0</v>
      </c>
      <c r="R1434" s="113"/>
      <c r="S1434" s="113" t="b">
        <v>0</v>
      </c>
      <c r="T1434" s="113"/>
      <c r="U1434" s="113"/>
      <c r="V1434" s="113" t="b">
        <v>0</v>
      </c>
      <c r="W1434" s="113"/>
      <c r="X1434" s="113" t="b">
        <v>0</v>
      </c>
      <c r="Y1434" s="113"/>
      <c r="Z1434" s="113"/>
      <c r="AA1434" s="113"/>
      <c r="AB1434" s="113"/>
      <c r="AC1434" s="113"/>
      <c r="AD1434" s="113"/>
      <c r="AE1434" s="113"/>
      <c r="AF1434" s="113"/>
    </row>
    <row r="1435">
      <c r="A1435" s="115"/>
      <c r="B1435" s="116"/>
      <c r="C1435" s="116"/>
      <c r="D1435" s="116"/>
      <c r="E1435" s="117"/>
      <c r="F1435" s="116"/>
      <c r="G1435" s="117"/>
      <c r="H1435" s="118"/>
      <c r="I1435" s="116"/>
      <c r="J1435" s="116"/>
      <c r="K1435" s="116"/>
      <c r="L1435" s="116"/>
      <c r="M1435" s="119" t="b">
        <v>0</v>
      </c>
      <c r="N1435" s="113" t="b">
        <v>0</v>
      </c>
      <c r="O1435" s="113" t="b">
        <v>0</v>
      </c>
      <c r="P1435" s="113" t="b">
        <v>0</v>
      </c>
      <c r="Q1435" s="113" t="b">
        <v>0</v>
      </c>
      <c r="R1435" s="113"/>
      <c r="S1435" s="113" t="b">
        <v>0</v>
      </c>
      <c r="T1435" s="113"/>
      <c r="U1435" s="113"/>
      <c r="V1435" s="113" t="b">
        <v>0</v>
      </c>
      <c r="W1435" s="113"/>
      <c r="X1435" s="113" t="b">
        <v>0</v>
      </c>
      <c r="Y1435" s="113"/>
      <c r="Z1435" s="113"/>
      <c r="AA1435" s="113"/>
      <c r="AB1435" s="113"/>
      <c r="AC1435" s="113"/>
      <c r="AD1435" s="113"/>
      <c r="AE1435" s="113"/>
      <c r="AF1435" s="113"/>
    </row>
    <row r="1436">
      <c r="A1436" s="115"/>
      <c r="B1436" s="116"/>
      <c r="C1436" s="116"/>
      <c r="D1436" s="116"/>
      <c r="E1436" s="117"/>
      <c r="F1436" s="116"/>
      <c r="G1436" s="117"/>
      <c r="H1436" s="118"/>
      <c r="I1436" s="116"/>
      <c r="J1436" s="116"/>
      <c r="K1436" s="116"/>
      <c r="L1436" s="116"/>
      <c r="M1436" s="119" t="b">
        <v>0</v>
      </c>
      <c r="N1436" s="113" t="b">
        <v>0</v>
      </c>
      <c r="O1436" s="113" t="b">
        <v>0</v>
      </c>
      <c r="P1436" s="113" t="b">
        <v>0</v>
      </c>
      <c r="Q1436" s="113" t="b">
        <v>0</v>
      </c>
      <c r="R1436" s="113"/>
      <c r="S1436" s="113" t="b">
        <v>0</v>
      </c>
      <c r="T1436" s="113"/>
      <c r="U1436" s="113"/>
      <c r="V1436" s="113" t="b">
        <v>0</v>
      </c>
      <c r="W1436" s="113"/>
      <c r="X1436" s="113" t="b">
        <v>0</v>
      </c>
      <c r="Y1436" s="113"/>
      <c r="Z1436" s="113"/>
      <c r="AA1436" s="113"/>
      <c r="AB1436" s="113"/>
      <c r="AC1436" s="113"/>
      <c r="AD1436" s="113"/>
      <c r="AE1436" s="113"/>
      <c r="AF1436" s="113"/>
    </row>
    <row r="1437">
      <c r="A1437" s="115"/>
      <c r="B1437" s="116"/>
      <c r="C1437" s="116"/>
      <c r="D1437" s="116"/>
      <c r="E1437" s="117"/>
      <c r="F1437" s="116"/>
      <c r="G1437" s="117"/>
      <c r="H1437" s="118"/>
      <c r="I1437" s="116"/>
      <c r="J1437" s="116"/>
      <c r="K1437" s="116"/>
      <c r="L1437" s="116"/>
      <c r="M1437" s="119" t="b">
        <v>0</v>
      </c>
      <c r="N1437" s="113" t="b">
        <v>0</v>
      </c>
      <c r="O1437" s="113" t="b">
        <v>0</v>
      </c>
      <c r="P1437" s="113" t="b">
        <v>0</v>
      </c>
      <c r="Q1437" s="113" t="b">
        <v>0</v>
      </c>
      <c r="R1437" s="113"/>
      <c r="S1437" s="113" t="b">
        <v>0</v>
      </c>
      <c r="T1437" s="113"/>
      <c r="U1437" s="113"/>
      <c r="V1437" s="113" t="b">
        <v>0</v>
      </c>
      <c r="W1437" s="113"/>
      <c r="X1437" s="113" t="b">
        <v>0</v>
      </c>
      <c r="Y1437" s="113"/>
      <c r="Z1437" s="113"/>
      <c r="AA1437" s="113"/>
      <c r="AB1437" s="113"/>
      <c r="AC1437" s="113"/>
      <c r="AD1437" s="113"/>
      <c r="AE1437" s="113"/>
      <c r="AF1437" s="113"/>
    </row>
    <row r="1438">
      <c r="A1438" s="115"/>
      <c r="B1438" s="116"/>
      <c r="C1438" s="116"/>
      <c r="D1438" s="116"/>
      <c r="E1438" s="117"/>
      <c r="F1438" s="116"/>
      <c r="G1438" s="117"/>
      <c r="H1438" s="118"/>
      <c r="I1438" s="116"/>
      <c r="J1438" s="116"/>
      <c r="K1438" s="116"/>
      <c r="L1438" s="116"/>
      <c r="M1438" s="119" t="b">
        <v>0</v>
      </c>
      <c r="N1438" s="113" t="b">
        <v>0</v>
      </c>
      <c r="O1438" s="113" t="b">
        <v>0</v>
      </c>
      <c r="P1438" s="113" t="b">
        <v>0</v>
      </c>
      <c r="Q1438" s="113" t="b">
        <v>0</v>
      </c>
      <c r="R1438" s="113"/>
      <c r="S1438" s="113" t="b">
        <v>0</v>
      </c>
      <c r="T1438" s="113"/>
      <c r="U1438" s="113"/>
      <c r="V1438" s="113" t="b">
        <v>0</v>
      </c>
      <c r="W1438" s="113"/>
      <c r="X1438" s="113" t="b">
        <v>0</v>
      </c>
      <c r="Y1438" s="113"/>
      <c r="Z1438" s="113"/>
      <c r="AA1438" s="113"/>
      <c r="AB1438" s="113"/>
      <c r="AC1438" s="113"/>
      <c r="AD1438" s="113"/>
      <c r="AE1438" s="113"/>
      <c r="AF1438" s="113"/>
    </row>
    <row r="1439">
      <c r="A1439" s="115"/>
      <c r="B1439" s="116"/>
      <c r="C1439" s="116"/>
      <c r="D1439" s="116"/>
      <c r="E1439" s="117"/>
      <c r="F1439" s="116"/>
      <c r="G1439" s="117"/>
      <c r="H1439" s="118"/>
      <c r="I1439" s="116"/>
      <c r="J1439" s="116"/>
      <c r="K1439" s="116"/>
      <c r="L1439" s="116"/>
      <c r="M1439" s="119" t="b">
        <v>0</v>
      </c>
      <c r="N1439" s="113" t="b">
        <v>0</v>
      </c>
      <c r="O1439" s="113" t="b">
        <v>0</v>
      </c>
      <c r="P1439" s="113" t="b">
        <v>0</v>
      </c>
      <c r="Q1439" s="113" t="b">
        <v>0</v>
      </c>
      <c r="R1439" s="113"/>
      <c r="S1439" s="113" t="b">
        <v>0</v>
      </c>
      <c r="T1439" s="113"/>
      <c r="U1439" s="113"/>
      <c r="V1439" s="113" t="b">
        <v>0</v>
      </c>
      <c r="W1439" s="113"/>
      <c r="X1439" s="113" t="b">
        <v>0</v>
      </c>
      <c r="Y1439" s="113"/>
      <c r="Z1439" s="113"/>
      <c r="AA1439" s="113"/>
      <c r="AB1439" s="113"/>
      <c r="AC1439" s="113"/>
      <c r="AD1439" s="113"/>
      <c r="AE1439" s="113"/>
      <c r="AF1439" s="113"/>
    </row>
    <row r="1440">
      <c r="A1440" s="115"/>
      <c r="B1440" s="116"/>
      <c r="C1440" s="116"/>
      <c r="D1440" s="116"/>
      <c r="E1440" s="117"/>
      <c r="F1440" s="116"/>
      <c r="G1440" s="117"/>
      <c r="H1440" s="118"/>
      <c r="I1440" s="116"/>
      <c r="J1440" s="116"/>
      <c r="K1440" s="116"/>
      <c r="L1440" s="116"/>
      <c r="M1440" s="119" t="b">
        <v>0</v>
      </c>
      <c r="N1440" s="113" t="b">
        <v>0</v>
      </c>
      <c r="O1440" s="113" t="b">
        <v>0</v>
      </c>
      <c r="P1440" s="113" t="b">
        <v>0</v>
      </c>
      <c r="Q1440" s="113" t="b">
        <v>0</v>
      </c>
      <c r="R1440" s="113"/>
      <c r="S1440" s="113" t="b">
        <v>0</v>
      </c>
      <c r="T1440" s="113"/>
      <c r="U1440" s="113"/>
      <c r="V1440" s="113" t="b">
        <v>0</v>
      </c>
      <c r="W1440" s="113"/>
      <c r="X1440" s="113" t="b">
        <v>0</v>
      </c>
      <c r="Y1440" s="113"/>
      <c r="Z1440" s="113"/>
      <c r="AA1440" s="113"/>
      <c r="AB1440" s="113"/>
      <c r="AC1440" s="113"/>
      <c r="AD1440" s="113"/>
      <c r="AE1440" s="113"/>
      <c r="AF1440" s="113"/>
    </row>
    <row r="1441">
      <c r="A1441" s="115"/>
      <c r="B1441" s="116"/>
      <c r="C1441" s="116"/>
      <c r="D1441" s="116"/>
      <c r="E1441" s="117"/>
      <c r="F1441" s="116"/>
      <c r="G1441" s="117"/>
      <c r="H1441" s="118"/>
      <c r="I1441" s="116"/>
      <c r="J1441" s="116"/>
      <c r="K1441" s="116"/>
      <c r="L1441" s="116"/>
      <c r="M1441" s="119" t="b">
        <v>0</v>
      </c>
      <c r="N1441" s="113" t="b">
        <v>0</v>
      </c>
      <c r="O1441" s="113" t="b">
        <v>0</v>
      </c>
      <c r="P1441" s="113" t="b">
        <v>0</v>
      </c>
      <c r="Q1441" s="113" t="b">
        <v>0</v>
      </c>
      <c r="R1441" s="113"/>
      <c r="S1441" s="113" t="b">
        <v>0</v>
      </c>
      <c r="T1441" s="113"/>
      <c r="U1441" s="113"/>
      <c r="V1441" s="113" t="b">
        <v>0</v>
      </c>
      <c r="W1441" s="113"/>
      <c r="X1441" s="113" t="b">
        <v>0</v>
      </c>
      <c r="Y1441" s="113"/>
      <c r="Z1441" s="113"/>
      <c r="AA1441" s="113"/>
      <c r="AB1441" s="113"/>
      <c r="AC1441" s="113"/>
      <c r="AD1441" s="113"/>
      <c r="AE1441" s="113"/>
      <c r="AF1441" s="113"/>
    </row>
    <row r="1442">
      <c r="A1442" s="115"/>
      <c r="B1442" s="116"/>
      <c r="C1442" s="116"/>
      <c r="D1442" s="116"/>
      <c r="E1442" s="117"/>
      <c r="F1442" s="116"/>
      <c r="G1442" s="117"/>
      <c r="H1442" s="118"/>
      <c r="I1442" s="116"/>
      <c r="J1442" s="116"/>
      <c r="K1442" s="116"/>
      <c r="L1442" s="116"/>
      <c r="M1442" s="119" t="b">
        <v>0</v>
      </c>
      <c r="N1442" s="113" t="b">
        <v>0</v>
      </c>
      <c r="O1442" s="113" t="b">
        <v>0</v>
      </c>
      <c r="P1442" s="113" t="b">
        <v>0</v>
      </c>
      <c r="Q1442" s="113" t="b">
        <v>0</v>
      </c>
      <c r="R1442" s="113"/>
      <c r="S1442" s="113" t="b">
        <v>0</v>
      </c>
      <c r="T1442" s="113"/>
      <c r="U1442" s="113"/>
      <c r="V1442" s="113" t="b">
        <v>0</v>
      </c>
      <c r="W1442" s="113"/>
      <c r="X1442" s="113" t="b">
        <v>0</v>
      </c>
      <c r="Y1442" s="113"/>
      <c r="Z1442" s="113"/>
      <c r="AA1442" s="113"/>
      <c r="AB1442" s="113"/>
      <c r="AC1442" s="113"/>
      <c r="AD1442" s="113"/>
      <c r="AE1442" s="113"/>
      <c r="AF1442" s="113"/>
    </row>
    <row r="1443">
      <c r="A1443" s="115"/>
      <c r="B1443" s="116"/>
      <c r="C1443" s="116"/>
      <c r="D1443" s="116"/>
      <c r="E1443" s="117"/>
      <c r="F1443" s="116"/>
      <c r="G1443" s="117"/>
      <c r="H1443" s="118"/>
      <c r="I1443" s="116"/>
      <c r="J1443" s="116"/>
      <c r="K1443" s="116"/>
      <c r="L1443" s="116"/>
      <c r="M1443" s="119" t="b">
        <v>0</v>
      </c>
      <c r="N1443" s="113" t="b">
        <v>0</v>
      </c>
      <c r="O1443" s="113" t="b">
        <v>0</v>
      </c>
      <c r="P1443" s="113" t="b">
        <v>0</v>
      </c>
      <c r="Q1443" s="113" t="b">
        <v>0</v>
      </c>
      <c r="R1443" s="113"/>
      <c r="S1443" s="113" t="b">
        <v>0</v>
      </c>
      <c r="T1443" s="113"/>
      <c r="U1443" s="113"/>
      <c r="V1443" s="113" t="b">
        <v>0</v>
      </c>
      <c r="W1443" s="113"/>
      <c r="X1443" s="113" t="b">
        <v>0</v>
      </c>
      <c r="Y1443" s="113"/>
      <c r="Z1443" s="113"/>
      <c r="AA1443" s="113"/>
      <c r="AB1443" s="113"/>
      <c r="AC1443" s="113"/>
      <c r="AD1443" s="113"/>
      <c r="AE1443" s="113"/>
      <c r="AF1443" s="113"/>
    </row>
    <row r="1444">
      <c r="A1444" s="115"/>
      <c r="B1444" s="116"/>
      <c r="C1444" s="116"/>
      <c r="D1444" s="116"/>
      <c r="E1444" s="117"/>
      <c r="F1444" s="116"/>
      <c r="G1444" s="117"/>
      <c r="H1444" s="118"/>
      <c r="I1444" s="116"/>
      <c r="J1444" s="116"/>
      <c r="K1444" s="116"/>
      <c r="L1444" s="116"/>
      <c r="M1444" s="119" t="b">
        <v>0</v>
      </c>
      <c r="N1444" s="113" t="b">
        <v>0</v>
      </c>
      <c r="O1444" s="113" t="b">
        <v>0</v>
      </c>
      <c r="P1444" s="113" t="b">
        <v>0</v>
      </c>
      <c r="Q1444" s="113" t="b">
        <v>0</v>
      </c>
      <c r="R1444" s="113"/>
      <c r="S1444" s="113" t="b">
        <v>0</v>
      </c>
      <c r="T1444" s="113"/>
      <c r="U1444" s="113"/>
      <c r="V1444" s="113" t="b">
        <v>0</v>
      </c>
      <c r="W1444" s="113"/>
      <c r="X1444" s="113" t="b">
        <v>0</v>
      </c>
      <c r="Y1444" s="113"/>
      <c r="Z1444" s="113"/>
      <c r="AA1444" s="113"/>
      <c r="AB1444" s="113"/>
      <c r="AC1444" s="113"/>
      <c r="AD1444" s="113"/>
      <c r="AE1444" s="113"/>
      <c r="AF1444" s="113"/>
    </row>
    <row r="1445">
      <c r="A1445" s="115"/>
      <c r="B1445" s="116"/>
      <c r="C1445" s="116"/>
      <c r="D1445" s="116"/>
      <c r="E1445" s="117"/>
      <c r="F1445" s="116"/>
      <c r="G1445" s="117"/>
      <c r="H1445" s="118"/>
      <c r="I1445" s="116"/>
      <c r="J1445" s="116"/>
      <c r="K1445" s="116"/>
      <c r="L1445" s="116"/>
      <c r="M1445" s="119" t="b">
        <v>0</v>
      </c>
      <c r="N1445" s="113" t="b">
        <v>0</v>
      </c>
      <c r="O1445" s="113" t="b">
        <v>0</v>
      </c>
      <c r="P1445" s="113" t="b">
        <v>0</v>
      </c>
      <c r="Q1445" s="113" t="b">
        <v>0</v>
      </c>
      <c r="R1445" s="113"/>
      <c r="S1445" s="113" t="b">
        <v>0</v>
      </c>
      <c r="T1445" s="113"/>
      <c r="U1445" s="113"/>
      <c r="V1445" s="113" t="b">
        <v>0</v>
      </c>
      <c r="W1445" s="113"/>
      <c r="X1445" s="113" t="b">
        <v>0</v>
      </c>
      <c r="Y1445" s="113"/>
      <c r="Z1445" s="113"/>
      <c r="AA1445" s="113"/>
      <c r="AB1445" s="113"/>
      <c r="AC1445" s="113"/>
      <c r="AD1445" s="113"/>
      <c r="AE1445" s="113"/>
      <c r="AF1445" s="113"/>
    </row>
    <row r="1446">
      <c r="A1446" s="115"/>
      <c r="B1446" s="116"/>
      <c r="C1446" s="116"/>
      <c r="D1446" s="116"/>
      <c r="E1446" s="117"/>
      <c r="F1446" s="116"/>
      <c r="G1446" s="117"/>
      <c r="H1446" s="118"/>
      <c r="I1446" s="116"/>
      <c r="J1446" s="116"/>
      <c r="K1446" s="116"/>
      <c r="L1446" s="116"/>
      <c r="M1446" s="119" t="b">
        <v>0</v>
      </c>
      <c r="N1446" s="113" t="b">
        <v>0</v>
      </c>
      <c r="O1446" s="113" t="b">
        <v>0</v>
      </c>
      <c r="P1446" s="113" t="b">
        <v>0</v>
      </c>
      <c r="Q1446" s="113" t="b">
        <v>0</v>
      </c>
      <c r="R1446" s="113"/>
      <c r="S1446" s="113" t="b">
        <v>0</v>
      </c>
      <c r="T1446" s="113"/>
      <c r="U1446" s="113"/>
      <c r="V1446" s="113" t="b">
        <v>0</v>
      </c>
      <c r="W1446" s="113"/>
      <c r="X1446" s="113" t="b">
        <v>0</v>
      </c>
      <c r="Y1446" s="113"/>
      <c r="Z1446" s="113"/>
      <c r="AA1446" s="113"/>
      <c r="AB1446" s="113"/>
      <c r="AC1446" s="113"/>
      <c r="AD1446" s="113"/>
      <c r="AE1446" s="113"/>
      <c r="AF1446" s="113"/>
    </row>
    <row r="1447">
      <c r="A1447" s="115"/>
      <c r="B1447" s="116"/>
      <c r="C1447" s="116"/>
      <c r="D1447" s="116"/>
      <c r="E1447" s="117"/>
      <c r="F1447" s="116"/>
      <c r="G1447" s="117"/>
      <c r="H1447" s="118"/>
      <c r="I1447" s="116"/>
      <c r="J1447" s="116"/>
      <c r="K1447" s="116"/>
      <c r="L1447" s="116"/>
      <c r="M1447" s="119" t="b">
        <v>0</v>
      </c>
      <c r="N1447" s="113" t="b">
        <v>0</v>
      </c>
      <c r="O1447" s="113" t="b">
        <v>0</v>
      </c>
      <c r="P1447" s="113" t="b">
        <v>0</v>
      </c>
      <c r="Q1447" s="113" t="b">
        <v>0</v>
      </c>
      <c r="R1447" s="113"/>
      <c r="S1447" s="113" t="b">
        <v>0</v>
      </c>
      <c r="T1447" s="113"/>
      <c r="U1447" s="113"/>
      <c r="V1447" s="113" t="b">
        <v>0</v>
      </c>
      <c r="W1447" s="113"/>
      <c r="X1447" s="113" t="b">
        <v>0</v>
      </c>
      <c r="Y1447" s="113"/>
      <c r="Z1447" s="113"/>
      <c r="AA1447" s="113"/>
      <c r="AB1447" s="113"/>
      <c r="AC1447" s="113"/>
      <c r="AD1447" s="113"/>
      <c r="AE1447" s="113"/>
      <c r="AF1447" s="113"/>
    </row>
    <row r="1448">
      <c r="A1448" s="115"/>
      <c r="B1448" s="116"/>
      <c r="C1448" s="116"/>
      <c r="D1448" s="116"/>
      <c r="E1448" s="117"/>
      <c r="F1448" s="116"/>
      <c r="G1448" s="117"/>
      <c r="H1448" s="118"/>
      <c r="I1448" s="116"/>
      <c r="J1448" s="116"/>
      <c r="K1448" s="116"/>
      <c r="L1448" s="116"/>
      <c r="M1448" s="119" t="b">
        <v>0</v>
      </c>
      <c r="N1448" s="113" t="b">
        <v>0</v>
      </c>
      <c r="O1448" s="113" t="b">
        <v>0</v>
      </c>
      <c r="P1448" s="113" t="b">
        <v>0</v>
      </c>
      <c r="Q1448" s="113" t="b">
        <v>0</v>
      </c>
      <c r="R1448" s="113"/>
      <c r="S1448" s="113" t="b">
        <v>0</v>
      </c>
      <c r="T1448" s="113"/>
      <c r="U1448" s="113"/>
      <c r="V1448" s="113" t="b">
        <v>0</v>
      </c>
      <c r="W1448" s="113"/>
      <c r="X1448" s="113" t="b">
        <v>0</v>
      </c>
      <c r="Y1448" s="113"/>
      <c r="Z1448" s="113"/>
      <c r="AA1448" s="113"/>
      <c r="AB1448" s="113"/>
      <c r="AC1448" s="113"/>
      <c r="AD1448" s="113"/>
      <c r="AE1448" s="113"/>
      <c r="AF1448" s="113"/>
    </row>
    <row r="1449">
      <c r="A1449" s="115"/>
      <c r="B1449" s="116"/>
      <c r="C1449" s="116"/>
      <c r="D1449" s="116"/>
      <c r="E1449" s="117"/>
      <c r="F1449" s="116"/>
      <c r="G1449" s="117"/>
      <c r="H1449" s="118"/>
      <c r="I1449" s="116"/>
      <c r="J1449" s="116"/>
      <c r="K1449" s="116"/>
      <c r="L1449" s="116"/>
      <c r="M1449" s="119" t="b">
        <v>0</v>
      </c>
      <c r="N1449" s="113" t="b">
        <v>0</v>
      </c>
      <c r="O1449" s="113" t="b">
        <v>0</v>
      </c>
      <c r="P1449" s="113" t="b">
        <v>0</v>
      </c>
      <c r="Q1449" s="113" t="b">
        <v>0</v>
      </c>
      <c r="R1449" s="113"/>
      <c r="S1449" s="113" t="b">
        <v>0</v>
      </c>
      <c r="T1449" s="113"/>
      <c r="U1449" s="113"/>
      <c r="V1449" s="113" t="b">
        <v>0</v>
      </c>
      <c r="W1449" s="113"/>
      <c r="X1449" s="113" t="b">
        <v>0</v>
      </c>
      <c r="Y1449" s="113"/>
      <c r="Z1449" s="113"/>
      <c r="AA1449" s="113"/>
      <c r="AB1449" s="113"/>
      <c r="AC1449" s="113"/>
      <c r="AD1449" s="113"/>
      <c r="AE1449" s="113"/>
      <c r="AF1449" s="113"/>
    </row>
    <row r="1450">
      <c r="A1450" s="115"/>
      <c r="B1450" s="116"/>
      <c r="C1450" s="116"/>
      <c r="D1450" s="116"/>
      <c r="E1450" s="117"/>
      <c r="F1450" s="116"/>
      <c r="G1450" s="117"/>
      <c r="H1450" s="118"/>
      <c r="I1450" s="116"/>
      <c r="J1450" s="116"/>
      <c r="K1450" s="116"/>
      <c r="L1450" s="116"/>
      <c r="M1450" s="119" t="b">
        <v>0</v>
      </c>
      <c r="N1450" s="113" t="b">
        <v>0</v>
      </c>
      <c r="O1450" s="113" t="b">
        <v>0</v>
      </c>
      <c r="P1450" s="113" t="b">
        <v>0</v>
      </c>
      <c r="Q1450" s="113" t="b">
        <v>0</v>
      </c>
      <c r="R1450" s="113"/>
      <c r="S1450" s="113" t="b">
        <v>0</v>
      </c>
      <c r="T1450" s="113"/>
      <c r="U1450" s="113"/>
      <c r="V1450" s="113" t="b">
        <v>0</v>
      </c>
      <c r="W1450" s="113"/>
      <c r="X1450" s="113" t="b">
        <v>0</v>
      </c>
      <c r="Y1450" s="113"/>
      <c r="Z1450" s="113"/>
      <c r="AA1450" s="113"/>
      <c r="AB1450" s="113"/>
      <c r="AC1450" s="113"/>
      <c r="AD1450" s="113"/>
      <c r="AE1450" s="113"/>
      <c r="AF1450" s="113"/>
    </row>
    <row r="1451">
      <c r="A1451" s="115"/>
      <c r="B1451" s="116"/>
      <c r="C1451" s="116"/>
      <c r="D1451" s="116"/>
      <c r="E1451" s="117"/>
      <c r="F1451" s="116"/>
      <c r="G1451" s="117"/>
      <c r="H1451" s="118"/>
      <c r="I1451" s="116"/>
      <c r="J1451" s="116"/>
      <c r="K1451" s="116"/>
      <c r="L1451" s="116"/>
      <c r="M1451" s="119" t="b">
        <v>0</v>
      </c>
      <c r="N1451" s="113" t="b">
        <v>0</v>
      </c>
      <c r="O1451" s="113" t="b">
        <v>0</v>
      </c>
      <c r="P1451" s="113" t="b">
        <v>0</v>
      </c>
      <c r="Q1451" s="113" t="b">
        <v>0</v>
      </c>
      <c r="R1451" s="113"/>
      <c r="S1451" s="113" t="b">
        <v>0</v>
      </c>
      <c r="T1451" s="113"/>
      <c r="U1451" s="113"/>
      <c r="V1451" s="113" t="b">
        <v>0</v>
      </c>
      <c r="W1451" s="113"/>
      <c r="X1451" s="113" t="b">
        <v>0</v>
      </c>
      <c r="Y1451" s="113"/>
      <c r="Z1451" s="113"/>
      <c r="AA1451" s="113"/>
      <c r="AB1451" s="113"/>
      <c r="AC1451" s="113"/>
      <c r="AD1451" s="113"/>
      <c r="AE1451" s="113"/>
      <c r="AF1451" s="113"/>
    </row>
    <row r="1452">
      <c r="A1452" s="115"/>
      <c r="B1452" s="116"/>
      <c r="C1452" s="116"/>
      <c r="D1452" s="116"/>
      <c r="E1452" s="117"/>
      <c r="F1452" s="116"/>
      <c r="G1452" s="117"/>
      <c r="H1452" s="118"/>
      <c r="I1452" s="116"/>
      <c r="J1452" s="116"/>
      <c r="K1452" s="116"/>
      <c r="L1452" s="116"/>
      <c r="M1452" s="119" t="b">
        <v>0</v>
      </c>
      <c r="N1452" s="113" t="b">
        <v>0</v>
      </c>
      <c r="O1452" s="113" t="b">
        <v>0</v>
      </c>
      <c r="P1452" s="113" t="b">
        <v>0</v>
      </c>
      <c r="Q1452" s="113" t="b">
        <v>0</v>
      </c>
      <c r="R1452" s="113"/>
      <c r="S1452" s="113" t="b">
        <v>0</v>
      </c>
      <c r="T1452" s="113"/>
      <c r="U1452" s="113"/>
      <c r="V1452" s="113" t="b">
        <v>0</v>
      </c>
      <c r="W1452" s="113"/>
      <c r="X1452" s="113" t="b">
        <v>0</v>
      </c>
      <c r="Y1452" s="113"/>
      <c r="Z1452" s="113"/>
      <c r="AA1452" s="113"/>
      <c r="AB1452" s="113"/>
      <c r="AC1452" s="113"/>
      <c r="AD1452" s="113"/>
      <c r="AE1452" s="113"/>
      <c r="AF1452" s="113"/>
    </row>
    <row r="1453">
      <c r="A1453" s="115"/>
      <c r="B1453" s="116"/>
      <c r="C1453" s="116"/>
      <c r="D1453" s="116"/>
      <c r="E1453" s="117"/>
      <c r="F1453" s="116"/>
      <c r="G1453" s="117"/>
      <c r="H1453" s="118"/>
      <c r="I1453" s="116"/>
      <c r="J1453" s="116"/>
      <c r="K1453" s="116"/>
      <c r="L1453" s="116"/>
      <c r="M1453" s="119" t="b">
        <v>0</v>
      </c>
      <c r="N1453" s="113" t="b">
        <v>0</v>
      </c>
      <c r="O1453" s="113" t="b">
        <v>0</v>
      </c>
      <c r="P1453" s="113" t="b">
        <v>0</v>
      </c>
      <c r="Q1453" s="113" t="b">
        <v>0</v>
      </c>
      <c r="R1453" s="113"/>
      <c r="S1453" s="113" t="b">
        <v>0</v>
      </c>
      <c r="T1453" s="113"/>
      <c r="U1453" s="113"/>
      <c r="V1453" s="113" t="b">
        <v>0</v>
      </c>
      <c r="W1453" s="113"/>
      <c r="X1453" s="113" t="b">
        <v>0</v>
      </c>
      <c r="Y1453" s="113"/>
      <c r="Z1453" s="113"/>
      <c r="AA1453" s="113"/>
      <c r="AB1453" s="113"/>
      <c r="AC1453" s="113"/>
      <c r="AD1453" s="113"/>
      <c r="AE1453" s="113"/>
      <c r="AF1453" s="113"/>
    </row>
    <row r="1454">
      <c r="A1454" s="115"/>
      <c r="B1454" s="116"/>
      <c r="C1454" s="116"/>
      <c r="D1454" s="116"/>
      <c r="E1454" s="117"/>
      <c r="F1454" s="116"/>
      <c r="G1454" s="117"/>
      <c r="H1454" s="118"/>
      <c r="I1454" s="116"/>
      <c r="J1454" s="116"/>
      <c r="K1454" s="116"/>
      <c r="L1454" s="116"/>
      <c r="M1454" s="119" t="b">
        <v>0</v>
      </c>
      <c r="N1454" s="113" t="b">
        <v>0</v>
      </c>
      <c r="O1454" s="113" t="b">
        <v>0</v>
      </c>
      <c r="P1454" s="113" t="b">
        <v>0</v>
      </c>
      <c r="Q1454" s="113" t="b">
        <v>0</v>
      </c>
      <c r="R1454" s="113"/>
      <c r="S1454" s="113" t="b">
        <v>0</v>
      </c>
      <c r="T1454" s="113"/>
      <c r="U1454" s="113"/>
      <c r="V1454" s="113" t="b">
        <v>0</v>
      </c>
      <c r="W1454" s="113"/>
      <c r="X1454" s="113" t="b">
        <v>0</v>
      </c>
      <c r="Y1454" s="113"/>
      <c r="Z1454" s="113"/>
      <c r="AA1454" s="113"/>
      <c r="AB1454" s="113"/>
      <c r="AC1454" s="113"/>
      <c r="AD1454" s="113"/>
      <c r="AE1454" s="113"/>
      <c r="AF1454" s="113"/>
    </row>
    <row r="1455">
      <c r="A1455" s="115"/>
      <c r="B1455" s="116"/>
      <c r="C1455" s="116"/>
      <c r="D1455" s="116"/>
      <c r="E1455" s="117"/>
      <c r="F1455" s="116"/>
      <c r="G1455" s="117"/>
      <c r="H1455" s="118"/>
      <c r="I1455" s="116"/>
      <c r="J1455" s="116"/>
      <c r="K1455" s="116"/>
      <c r="L1455" s="116"/>
      <c r="M1455" s="119" t="b">
        <v>0</v>
      </c>
      <c r="N1455" s="113" t="b">
        <v>0</v>
      </c>
      <c r="O1455" s="113" t="b">
        <v>0</v>
      </c>
      <c r="P1455" s="113" t="b">
        <v>0</v>
      </c>
      <c r="Q1455" s="113" t="b">
        <v>0</v>
      </c>
      <c r="R1455" s="113"/>
      <c r="S1455" s="113" t="b">
        <v>0</v>
      </c>
      <c r="T1455" s="113"/>
      <c r="U1455" s="113"/>
      <c r="V1455" s="113" t="b">
        <v>0</v>
      </c>
      <c r="W1455" s="113"/>
      <c r="X1455" s="113" t="b">
        <v>0</v>
      </c>
      <c r="Y1455" s="113"/>
      <c r="Z1455" s="113"/>
      <c r="AA1455" s="113"/>
      <c r="AB1455" s="113"/>
      <c r="AC1455" s="113"/>
      <c r="AD1455" s="113"/>
      <c r="AE1455" s="113"/>
      <c r="AF1455" s="113"/>
    </row>
    <row r="1456">
      <c r="A1456" s="115"/>
      <c r="B1456" s="116"/>
      <c r="C1456" s="116"/>
      <c r="D1456" s="116"/>
      <c r="E1456" s="117"/>
      <c r="F1456" s="116"/>
      <c r="G1456" s="117"/>
      <c r="H1456" s="118"/>
      <c r="I1456" s="116"/>
      <c r="J1456" s="116"/>
      <c r="K1456" s="116"/>
      <c r="L1456" s="116"/>
      <c r="M1456" s="119" t="b">
        <v>0</v>
      </c>
      <c r="N1456" s="113" t="b">
        <v>0</v>
      </c>
      <c r="O1456" s="113" t="b">
        <v>0</v>
      </c>
      <c r="P1456" s="113" t="b">
        <v>0</v>
      </c>
      <c r="Q1456" s="113" t="b">
        <v>0</v>
      </c>
      <c r="R1456" s="113"/>
      <c r="S1456" s="113" t="b">
        <v>0</v>
      </c>
      <c r="T1456" s="113"/>
      <c r="U1456" s="113"/>
      <c r="V1456" s="113" t="b">
        <v>0</v>
      </c>
      <c r="W1456" s="113"/>
      <c r="X1456" s="113" t="b">
        <v>0</v>
      </c>
      <c r="Y1456" s="113"/>
      <c r="Z1456" s="113"/>
      <c r="AA1456" s="113"/>
      <c r="AB1456" s="113"/>
      <c r="AC1456" s="113"/>
      <c r="AD1456" s="113"/>
      <c r="AE1456" s="113"/>
      <c r="AF1456" s="113"/>
    </row>
    <row r="1457">
      <c r="A1457" s="115"/>
      <c r="B1457" s="116"/>
      <c r="C1457" s="116"/>
      <c r="D1457" s="116"/>
      <c r="E1457" s="117"/>
      <c r="F1457" s="116"/>
      <c r="G1457" s="117"/>
      <c r="H1457" s="118"/>
      <c r="I1457" s="116"/>
      <c r="J1457" s="116"/>
      <c r="K1457" s="116"/>
      <c r="L1457" s="116"/>
      <c r="M1457" s="119" t="b">
        <v>0</v>
      </c>
      <c r="N1457" s="113" t="b">
        <v>0</v>
      </c>
      <c r="O1457" s="113" t="b">
        <v>0</v>
      </c>
      <c r="P1457" s="113" t="b">
        <v>0</v>
      </c>
      <c r="Q1457" s="113" t="b">
        <v>0</v>
      </c>
      <c r="R1457" s="113"/>
      <c r="S1457" s="113" t="b">
        <v>0</v>
      </c>
      <c r="T1457" s="113"/>
      <c r="U1457" s="113"/>
      <c r="V1457" s="113" t="b">
        <v>0</v>
      </c>
      <c r="W1457" s="113"/>
      <c r="X1457" s="113" t="b">
        <v>0</v>
      </c>
      <c r="Y1457" s="113"/>
      <c r="Z1457" s="113"/>
      <c r="AA1457" s="113"/>
      <c r="AB1457" s="113"/>
      <c r="AC1457" s="113"/>
      <c r="AD1457" s="113"/>
      <c r="AE1457" s="113"/>
      <c r="AF1457" s="113"/>
    </row>
    <row r="1458">
      <c r="A1458" s="115"/>
      <c r="B1458" s="116"/>
      <c r="C1458" s="116"/>
      <c r="D1458" s="116"/>
      <c r="E1458" s="117"/>
      <c r="F1458" s="116"/>
      <c r="G1458" s="117"/>
      <c r="H1458" s="118"/>
      <c r="I1458" s="116"/>
      <c r="J1458" s="116"/>
      <c r="K1458" s="116"/>
      <c r="L1458" s="116"/>
      <c r="M1458" s="119" t="b">
        <v>0</v>
      </c>
      <c r="N1458" s="113" t="b">
        <v>0</v>
      </c>
      <c r="O1458" s="113" t="b">
        <v>0</v>
      </c>
      <c r="P1458" s="113" t="b">
        <v>0</v>
      </c>
      <c r="Q1458" s="113" t="b">
        <v>0</v>
      </c>
      <c r="R1458" s="113"/>
      <c r="S1458" s="113" t="b">
        <v>0</v>
      </c>
      <c r="T1458" s="113"/>
      <c r="U1458" s="113"/>
      <c r="V1458" s="113" t="b">
        <v>0</v>
      </c>
      <c r="W1458" s="113"/>
      <c r="X1458" s="113" t="b">
        <v>0</v>
      </c>
      <c r="Y1458" s="113"/>
      <c r="Z1458" s="113"/>
      <c r="AA1458" s="113"/>
      <c r="AB1458" s="113"/>
      <c r="AC1458" s="113"/>
      <c r="AD1458" s="113"/>
      <c r="AE1458" s="113"/>
      <c r="AF1458" s="113"/>
    </row>
    <row r="1459">
      <c r="A1459" s="115"/>
      <c r="B1459" s="116"/>
      <c r="C1459" s="116"/>
      <c r="D1459" s="116"/>
      <c r="E1459" s="117"/>
      <c r="F1459" s="116"/>
      <c r="G1459" s="117"/>
      <c r="H1459" s="118"/>
      <c r="I1459" s="116"/>
      <c r="J1459" s="116"/>
      <c r="K1459" s="116"/>
      <c r="L1459" s="116"/>
      <c r="M1459" s="119" t="b">
        <v>0</v>
      </c>
      <c r="N1459" s="113" t="b">
        <v>0</v>
      </c>
      <c r="O1459" s="113" t="b">
        <v>0</v>
      </c>
      <c r="P1459" s="113" t="b">
        <v>0</v>
      </c>
      <c r="Q1459" s="113" t="b">
        <v>0</v>
      </c>
      <c r="R1459" s="113"/>
      <c r="S1459" s="113" t="b">
        <v>0</v>
      </c>
      <c r="T1459" s="113"/>
      <c r="U1459" s="113"/>
      <c r="V1459" s="113" t="b">
        <v>0</v>
      </c>
      <c r="W1459" s="113"/>
      <c r="X1459" s="113" t="b">
        <v>0</v>
      </c>
      <c r="Y1459" s="113"/>
      <c r="Z1459" s="113"/>
      <c r="AA1459" s="113"/>
      <c r="AB1459" s="113"/>
      <c r="AC1459" s="113"/>
      <c r="AD1459" s="113"/>
      <c r="AE1459" s="113"/>
      <c r="AF1459" s="113"/>
    </row>
    <row r="1460">
      <c r="A1460" s="115"/>
      <c r="B1460" s="116"/>
      <c r="C1460" s="116"/>
      <c r="D1460" s="116"/>
      <c r="E1460" s="117"/>
      <c r="F1460" s="116"/>
      <c r="G1460" s="117"/>
      <c r="H1460" s="118"/>
      <c r="I1460" s="116"/>
      <c r="J1460" s="116"/>
      <c r="K1460" s="116"/>
      <c r="L1460" s="116"/>
      <c r="M1460" s="119" t="b">
        <v>0</v>
      </c>
      <c r="N1460" s="113" t="b">
        <v>0</v>
      </c>
      <c r="O1460" s="113" t="b">
        <v>0</v>
      </c>
      <c r="P1460" s="113" t="b">
        <v>0</v>
      </c>
      <c r="Q1460" s="113" t="b">
        <v>0</v>
      </c>
      <c r="R1460" s="113"/>
      <c r="S1460" s="113" t="b">
        <v>0</v>
      </c>
      <c r="T1460" s="113"/>
      <c r="U1460" s="113"/>
      <c r="V1460" s="113" t="b">
        <v>0</v>
      </c>
      <c r="W1460" s="113"/>
      <c r="X1460" s="113" t="b">
        <v>0</v>
      </c>
      <c r="Y1460" s="113"/>
      <c r="Z1460" s="113"/>
      <c r="AA1460" s="113"/>
      <c r="AB1460" s="113"/>
      <c r="AC1460" s="113"/>
      <c r="AD1460" s="113"/>
      <c r="AE1460" s="113"/>
      <c r="AF1460" s="113"/>
    </row>
    <row r="1461">
      <c r="A1461" s="115"/>
      <c r="B1461" s="116"/>
      <c r="C1461" s="116"/>
      <c r="D1461" s="116"/>
      <c r="E1461" s="117"/>
      <c r="F1461" s="116"/>
      <c r="G1461" s="117"/>
      <c r="H1461" s="118"/>
      <c r="I1461" s="116"/>
      <c r="J1461" s="116"/>
      <c r="K1461" s="116"/>
      <c r="L1461" s="116"/>
      <c r="M1461" s="119" t="b">
        <v>0</v>
      </c>
      <c r="N1461" s="113" t="b">
        <v>0</v>
      </c>
      <c r="O1461" s="113" t="b">
        <v>0</v>
      </c>
      <c r="P1461" s="113" t="b">
        <v>0</v>
      </c>
      <c r="Q1461" s="113" t="b">
        <v>0</v>
      </c>
      <c r="R1461" s="113"/>
      <c r="S1461" s="113" t="b">
        <v>0</v>
      </c>
      <c r="T1461" s="113"/>
      <c r="U1461" s="113"/>
      <c r="V1461" s="113" t="b">
        <v>0</v>
      </c>
      <c r="W1461" s="113"/>
      <c r="X1461" s="113" t="b">
        <v>0</v>
      </c>
      <c r="Y1461" s="113"/>
      <c r="Z1461" s="113"/>
      <c r="AA1461" s="113"/>
      <c r="AB1461" s="113"/>
      <c r="AC1461" s="113"/>
      <c r="AD1461" s="113"/>
      <c r="AE1461" s="113"/>
      <c r="AF1461" s="113"/>
    </row>
    <row r="1462">
      <c r="A1462" s="115"/>
      <c r="B1462" s="116"/>
      <c r="C1462" s="116"/>
      <c r="D1462" s="116"/>
      <c r="E1462" s="117"/>
      <c r="F1462" s="116"/>
      <c r="G1462" s="117"/>
      <c r="H1462" s="118"/>
      <c r="I1462" s="116"/>
      <c r="J1462" s="116"/>
      <c r="K1462" s="116"/>
      <c r="L1462" s="116"/>
      <c r="M1462" s="119" t="b">
        <v>0</v>
      </c>
      <c r="N1462" s="113" t="b">
        <v>0</v>
      </c>
      <c r="O1462" s="113" t="b">
        <v>0</v>
      </c>
      <c r="P1462" s="113" t="b">
        <v>0</v>
      </c>
      <c r="Q1462" s="113" t="b">
        <v>0</v>
      </c>
      <c r="R1462" s="113"/>
      <c r="S1462" s="113" t="b">
        <v>0</v>
      </c>
      <c r="T1462" s="113"/>
      <c r="U1462" s="113"/>
      <c r="V1462" s="113" t="b">
        <v>0</v>
      </c>
      <c r="W1462" s="113"/>
      <c r="X1462" s="113" t="b">
        <v>0</v>
      </c>
      <c r="Y1462" s="113"/>
      <c r="Z1462" s="113"/>
      <c r="AA1462" s="113"/>
      <c r="AB1462" s="113"/>
      <c r="AC1462" s="113"/>
      <c r="AD1462" s="113"/>
      <c r="AE1462" s="113"/>
      <c r="AF1462" s="113"/>
    </row>
    <row r="1463">
      <c r="A1463" s="115"/>
      <c r="B1463" s="116"/>
      <c r="C1463" s="116"/>
      <c r="D1463" s="116"/>
      <c r="E1463" s="117"/>
      <c r="F1463" s="116"/>
      <c r="G1463" s="117"/>
      <c r="H1463" s="118"/>
      <c r="I1463" s="116"/>
      <c r="J1463" s="116"/>
      <c r="K1463" s="116"/>
      <c r="L1463" s="116"/>
      <c r="M1463" s="119" t="b">
        <v>0</v>
      </c>
      <c r="N1463" s="113" t="b">
        <v>0</v>
      </c>
      <c r="O1463" s="113" t="b">
        <v>0</v>
      </c>
      <c r="P1463" s="113" t="b">
        <v>0</v>
      </c>
      <c r="Q1463" s="113" t="b">
        <v>0</v>
      </c>
      <c r="R1463" s="113"/>
      <c r="S1463" s="113" t="b">
        <v>0</v>
      </c>
      <c r="T1463" s="113"/>
      <c r="U1463" s="113"/>
      <c r="V1463" s="113" t="b">
        <v>0</v>
      </c>
      <c r="W1463" s="113"/>
      <c r="X1463" s="113" t="b">
        <v>0</v>
      </c>
      <c r="Y1463" s="113"/>
      <c r="Z1463" s="113"/>
      <c r="AA1463" s="113"/>
      <c r="AB1463" s="113"/>
      <c r="AC1463" s="113"/>
      <c r="AD1463" s="113"/>
      <c r="AE1463" s="113"/>
      <c r="AF1463" s="113"/>
    </row>
    <row r="1464">
      <c r="A1464" s="115"/>
      <c r="B1464" s="116"/>
      <c r="C1464" s="116"/>
      <c r="D1464" s="116"/>
      <c r="E1464" s="117"/>
      <c r="F1464" s="116"/>
      <c r="G1464" s="117"/>
      <c r="H1464" s="118"/>
      <c r="I1464" s="116"/>
      <c r="J1464" s="116"/>
      <c r="K1464" s="116"/>
      <c r="L1464" s="116"/>
      <c r="M1464" s="119" t="b">
        <v>0</v>
      </c>
      <c r="N1464" s="113" t="b">
        <v>0</v>
      </c>
      <c r="O1464" s="113" t="b">
        <v>0</v>
      </c>
      <c r="P1464" s="113" t="b">
        <v>0</v>
      </c>
      <c r="Q1464" s="113" t="b">
        <v>0</v>
      </c>
      <c r="R1464" s="113"/>
      <c r="S1464" s="113" t="b">
        <v>0</v>
      </c>
      <c r="T1464" s="113"/>
      <c r="U1464" s="113"/>
      <c r="V1464" s="113" t="b">
        <v>0</v>
      </c>
      <c r="W1464" s="113"/>
      <c r="X1464" s="113" t="b">
        <v>0</v>
      </c>
      <c r="Y1464" s="113"/>
      <c r="Z1464" s="113"/>
      <c r="AA1464" s="113"/>
      <c r="AB1464" s="113"/>
      <c r="AC1464" s="113"/>
      <c r="AD1464" s="113"/>
      <c r="AE1464" s="113"/>
      <c r="AF1464" s="113"/>
    </row>
    <row r="1465">
      <c r="A1465" s="115"/>
      <c r="B1465" s="116"/>
      <c r="C1465" s="116"/>
      <c r="D1465" s="116"/>
      <c r="E1465" s="117"/>
      <c r="F1465" s="116"/>
      <c r="G1465" s="117"/>
      <c r="H1465" s="118"/>
      <c r="I1465" s="116"/>
      <c r="J1465" s="116"/>
      <c r="K1465" s="116"/>
      <c r="L1465" s="116"/>
      <c r="M1465" s="119" t="b">
        <v>0</v>
      </c>
      <c r="N1465" s="113" t="b">
        <v>0</v>
      </c>
      <c r="O1465" s="113" t="b">
        <v>0</v>
      </c>
      <c r="P1465" s="113" t="b">
        <v>0</v>
      </c>
      <c r="Q1465" s="113" t="b">
        <v>0</v>
      </c>
      <c r="R1465" s="113"/>
      <c r="S1465" s="113" t="b">
        <v>0</v>
      </c>
      <c r="T1465" s="113"/>
      <c r="U1465" s="113"/>
      <c r="V1465" s="113" t="b">
        <v>0</v>
      </c>
      <c r="W1465" s="113"/>
      <c r="X1465" s="113" t="b">
        <v>0</v>
      </c>
      <c r="Y1465" s="113"/>
      <c r="Z1465" s="113"/>
      <c r="AA1465" s="113"/>
      <c r="AB1465" s="113"/>
      <c r="AC1465" s="113"/>
      <c r="AD1465" s="113"/>
      <c r="AE1465" s="113"/>
      <c r="AF1465" s="113"/>
    </row>
    <row r="1466">
      <c r="A1466" s="115"/>
      <c r="B1466" s="116"/>
      <c r="C1466" s="116"/>
      <c r="D1466" s="116"/>
      <c r="E1466" s="117"/>
      <c r="F1466" s="116"/>
      <c r="G1466" s="117"/>
      <c r="H1466" s="118"/>
      <c r="I1466" s="116"/>
      <c r="J1466" s="116"/>
      <c r="K1466" s="116"/>
      <c r="L1466" s="116"/>
      <c r="M1466" s="119" t="b">
        <v>0</v>
      </c>
      <c r="N1466" s="113" t="b">
        <v>0</v>
      </c>
      <c r="O1466" s="113" t="b">
        <v>0</v>
      </c>
      <c r="P1466" s="113" t="b">
        <v>0</v>
      </c>
      <c r="Q1466" s="113" t="b">
        <v>0</v>
      </c>
      <c r="R1466" s="113"/>
      <c r="S1466" s="113" t="b">
        <v>0</v>
      </c>
      <c r="T1466" s="113"/>
      <c r="U1466" s="113"/>
      <c r="V1466" s="113" t="b">
        <v>0</v>
      </c>
      <c r="W1466" s="113"/>
      <c r="X1466" s="113" t="b">
        <v>0</v>
      </c>
      <c r="Y1466" s="113"/>
      <c r="Z1466" s="113"/>
      <c r="AA1466" s="113"/>
      <c r="AB1466" s="113"/>
      <c r="AC1466" s="113"/>
      <c r="AD1466" s="113"/>
      <c r="AE1466" s="113"/>
      <c r="AF1466" s="113"/>
    </row>
    <row r="1467">
      <c r="A1467" s="115"/>
      <c r="B1467" s="116"/>
      <c r="C1467" s="116"/>
      <c r="D1467" s="116"/>
      <c r="E1467" s="117"/>
      <c r="F1467" s="116"/>
      <c r="G1467" s="117"/>
      <c r="H1467" s="118"/>
      <c r="I1467" s="116"/>
      <c r="J1467" s="116"/>
      <c r="K1467" s="116"/>
      <c r="L1467" s="116"/>
      <c r="M1467" s="119" t="b">
        <v>0</v>
      </c>
      <c r="N1467" s="113" t="b">
        <v>0</v>
      </c>
      <c r="O1467" s="113" t="b">
        <v>0</v>
      </c>
      <c r="P1467" s="113" t="b">
        <v>0</v>
      </c>
      <c r="Q1467" s="113" t="b">
        <v>0</v>
      </c>
      <c r="R1467" s="113"/>
      <c r="S1467" s="113" t="b">
        <v>0</v>
      </c>
      <c r="T1467" s="113"/>
      <c r="U1467" s="113"/>
      <c r="V1467" s="113" t="b">
        <v>0</v>
      </c>
      <c r="W1467" s="113"/>
      <c r="X1467" s="113" t="b">
        <v>0</v>
      </c>
      <c r="Y1467" s="113"/>
      <c r="Z1467" s="113"/>
      <c r="AA1467" s="113"/>
      <c r="AB1467" s="113"/>
      <c r="AC1467" s="113"/>
      <c r="AD1467" s="113"/>
      <c r="AE1467" s="113"/>
      <c r="AF1467" s="113"/>
    </row>
    <row r="1468">
      <c r="A1468" s="115"/>
      <c r="B1468" s="116"/>
      <c r="C1468" s="116"/>
      <c r="D1468" s="116"/>
      <c r="E1468" s="117"/>
      <c r="F1468" s="116"/>
      <c r="G1468" s="117"/>
      <c r="H1468" s="118"/>
      <c r="I1468" s="116"/>
      <c r="J1468" s="116"/>
      <c r="K1468" s="116"/>
      <c r="L1468" s="116"/>
      <c r="M1468" s="119" t="b">
        <v>0</v>
      </c>
      <c r="N1468" s="113" t="b">
        <v>0</v>
      </c>
      <c r="O1468" s="113" t="b">
        <v>0</v>
      </c>
      <c r="P1468" s="113" t="b">
        <v>0</v>
      </c>
      <c r="Q1468" s="113" t="b">
        <v>0</v>
      </c>
      <c r="R1468" s="113"/>
      <c r="S1468" s="113" t="b">
        <v>0</v>
      </c>
      <c r="T1468" s="113"/>
      <c r="U1468" s="113"/>
      <c r="V1468" s="113" t="b">
        <v>0</v>
      </c>
      <c r="W1468" s="113"/>
      <c r="X1468" s="113" t="b">
        <v>0</v>
      </c>
      <c r="Y1468" s="113"/>
      <c r="Z1468" s="113"/>
      <c r="AA1468" s="113"/>
      <c r="AB1468" s="113"/>
      <c r="AC1468" s="113"/>
      <c r="AD1468" s="113"/>
      <c r="AE1468" s="113"/>
      <c r="AF1468" s="113"/>
    </row>
    <row r="1469">
      <c r="A1469" s="115"/>
      <c r="B1469" s="116"/>
      <c r="C1469" s="116"/>
      <c r="D1469" s="116"/>
      <c r="E1469" s="117"/>
      <c r="F1469" s="116"/>
      <c r="G1469" s="117"/>
      <c r="H1469" s="118"/>
      <c r="I1469" s="116"/>
      <c r="J1469" s="116"/>
      <c r="K1469" s="116"/>
      <c r="L1469" s="116"/>
      <c r="M1469" s="119" t="b">
        <v>0</v>
      </c>
      <c r="N1469" s="113" t="b">
        <v>0</v>
      </c>
      <c r="O1469" s="113" t="b">
        <v>0</v>
      </c>
      <c r="P1469" s="113" t="b">
        <v>0</v>
      </c>
      <c r="Q1469" s="113" t="b">
        <v>0</v>
      </c>
      <c r="R1469" s="113"/>
      <c r="S1469" s="113" t="b">
        <v>0</v>
      </c>
      <c r="T1469" s="113"/>
      <c r="U1469" s="113"/>
      <c r="V1469" s="113" t="b">
        <v>0</v>
      </c>
      <c r="W1469" s="113"/>
      <c r="X1469" s="113" t="b">
        <v>0</v>
      </c>
      <c r="Y1469" s="113"/>
      <c r="Z1469" s="113"/>
      <c r="AA1469" s="113"/>
      <c r="AB1469" s="113"/>
      <c r="AC1469" s="113"/>
      <c r="AD1469" s="113"/>
      <c r="AE1469" s="113"/>
      <c r="AF1469" s="113"/>
    </row>
    <row r="1470">
      <c r="A1470" s="115"/>
      <c r="B1470" s="116"/>
      <c r="C1470" s="116"/>
      <c r="D1470" s="116"/>
      <c r="E1470" s="117"/>
      <c r="F1470" s="116"/>
      <c r="G1470" s="117"/>
      <c r="H1470" s="118"/>
      <c r="I1470" s="116"/>
      <c r="J1470" s="116"/>
      <c r="K1470" s="116"/>
      <c r="L1470" s="116"/>
      <c r="M1470" s="119" t="b">
        <v>0</v>
      </c>
      <c r="N1470" s="113" t="b">
        <v>0</v>
      </c>
      <c r="O1470" s="113" t="b">
        <v>0</v>
      </c>
      <c r="P1470" s="113" t="b">
        <v>0</v>
      </c>
      <c r="Q1470" s="113" t="b">
        <v>0</v>
      </c>
      <c r="R1470" s="113"/>
      <c r="S1470" s="113" t="b">
        <v>0</v>
      </c>
      <c r="T1470" s="113"/>
      <c r="U1470" s="113"/>
      <c r="V1470" s="113" t="b">
        <v>0</v>
      </c>
      <c r="W1470" s="113"/>
      <c r="X1470" s="113" t="b">
        <v>0</v>
      </c>
      <c r="Y1470" s="113"/>
      <c r="Z1470" s="113"/>
      <c r="AA1470" s="113"/>
      <c r="AB1470" s="113"/>
      <c r="AC1470" s="113"/>
      <c r="AD1470" s="113"/>
      <c r="AE1470" s="113"/>
      <c r="AF1470" s="113"/>
    </row>
    <row r="1471">
      <c r="A1471" s="115"/>
      <c r="B1471" s="116"/>
      <c r="C1471" s="116"/>
      <c r="D1471" s="116"/>
      <c r="E1471" s="117"/>
      <c r="F1471" s="116"/>
      <c r="G1471" s="117"/>
      <c r="H1471" s="118"/>
      <c r="I1471" s="116"/>
      <c r="J1471" s="116"/>
      <c r="K1471" s="116"/>
      <c r="L1471" s="116"/>
      <c r="M1471" s="119" t="b">
        <v>0</v>
      </c>
      <c r="N1471" s="113" t="b">
        <v>0</v>
      </c>
      <c r="O1471" s="113" t="b">
        <v>0</v>
      </c>
      <c r="P1471" s="113" t="b">
        <v>0</v>
      </c>
      <c r="Q1471" s="113" t="b">
        <v>0</v>
      </c>
      <c r="R1471" s="113"/>
      <c r="S1471" s="113" t="b">
        <v>0</v>
      </c>
      <c r="T1471" s="113"/>
      <c r="U1471" s="113"/>
      <c r="V1471" s="113" t="b">
        <v>0</v>
      </c>
      <c r="W1471" s="113"/>
      <c r="X1471" s="113" t="b">
        <v>0</v>
      </c>
      <c r="Y1471" s="113"/>
      <c r="Z1471" s="113"/>
      <c r="AA1471" s="113"/>
      <c r="AB1471" s="113"/>
      <c r="AC1471" s="113"/>
      <c r="AD1471" s="113"/>
      <c r="AE1471" s="113"/>
      <c r="AF1471" s="113"/>
    </row>
    <row r="1472">
      <c r="A1472" s="115"/>
      <c r="B1472" s="116"/>
      <c r="C1472" s="116"/>
      <c r="D1472" s="116"/>
      <c r="E1472" s="117"/>
      <c r="F1472" s="116"/>
      <c r="G1472" s="117"/>
      <c r="H1472" s="118"/>
      <c r="I1472" s="116"/>
      <c r="J1472" s="116"/>
      <c r="K1472" s="116"/>
      <c r="L1472" s="116"/>
      <c r="M1472" s="119" t="b">
        <v>0</v>
      </c>
      <c r="N1472" s="113" t="b">
        <v>0</v>
      </c>
      <c r="O1472" s="113" t="b">
        <v>0</v>
      </c>
      <c r="P1472" s="113" t="b">
        <v>0</v>
      </c>
      <c r="Q1472" s="113" t="b">
        <v>0</v>
      </c>
      <c r="R1472" s="113"/>
      <c r="S1472" s="113" t="b">
        <v>0</v>
      </c>
      <c r="T1472" s="113"/>
      <c r="U1472" s="113"/>
      <c r="V1472" s="113" t="b">
        <v>0</v>
      </c>
      <c r="W1472" s="113"/>
      <c r="X1472" s="113" t="b">
        <v>0</v>
      </c>
      <c r="Y1472" s="113"/>
      <c r="Z1472" s="113"/>
      <c r="AA1472" s="113"/>
      <c r="AB1472" s="113"/>
      <c r="AC1472" s="113"/>
      <c r="AD1472" s="113"/>
      <c r="AE1472" s="113"/>
      <c r="AF1472" s="113"/>
    </row>
    <row r="1473">
      <c r="A1473" s="115"/>
      <c r="B1473" s="116"/>
      <c r="C1473" s="116"/>
      <c r="D1473" s="116"/>
      <c r="E1473" s="117"/>
      <c r="F1473" s="116"/>
      <c r="G1473" s="117"/>
      <c r="H1473" s="118"/>
      <c r="I1473" s="116"/>
      <c r="J1473" s="116"/>
      <c r="K1473" s="116"/>
      <c r="L1473" s="116"/>
      <c r="M1473" s="119" t="b">
        <v>0</v>
      </c>
      <c r="N1473" s="113" t="b">
        <v>0</v>
      </c>
      <c r="O1473" s="113" t="b">
        <v>0</v>
      </c>
      <c r="P1473" s="113" t="b">
        <v>0</v>
      </c>
      <c r="Q1473" s="113" t="b">
        <v>0</v>
      </c>
      <c r="R1473" s="113"/>
      <c r="S1473" s="113" t="b">
        <v>0</v>
      </c>
      <c r="T1473" s="113"/>
      <c r="U1473" s="113"/>
      <c r="V1473" s="113" t="b">
        <v>0</v>
      </c>
      <c r="W1473" s="113"/>
      <c r="X1473" s="113" t="b">
        <v>0</v>
      </c>
      <c r="Y1473" s="113"/>
      <c r="Z1473" s="113"/>
      <c r="AA1473" s="113"/>
      <c r="AB1473" s="113"/>
      <c r="AC1473" s="113"/>
      <c r="AD1473" s="113"/>
      <c r="AE1473" s="113"/>
      <c r="AF1473" s="113"/>
    </row>
    <row r="1474">
      <c r="A1474" s="115"/>
      <c r="B1474" s="116"/>
      <c r="C1474" s="116"/>
      <c r="D1474" s="116"/>
      <c r="E1474" s="117"/>
      <c r="F1474" s="116"/>
      <c r="G1474" s="117"/>
      <c r="H1474" s="118"/>
      <c r="I1474" s="116"/>
      <c r="J1474" s="116"/>
      <c r="K1474" s="116"/>
      <c r="L1474" s="116"/>
      <c r="M1474" s="119" t="b">
        <v>0</v>
      </c>
      <c r="N1474" s="113" t="b">
        <v>0</v>
      </c>
      <c r="O1474" s="113" t="b">
        <v>0</v>
      </c>
      <c r="P1474" s="113" t="b">
        <v>0</v>
      </c>
      <c r="Q1474" s="113" t="b">
        <v>0</v>
      </c>
      <c r="R1474" s="113"/>
      <c r="S1474" s="113" t="b">
        <v>0</v>
      </c>
      <c r="T1474" s="113"/>
      <c r="U1474" s="113"/>
      <c r="V1474" s="113" t="b">
        <v>0</v>
      </c>
      <c r="W1474" s="113"/>
      <c r="X1474" s="113" t="b">
        <v>0</v>
      </c>
      <c r="Y1474" s="113"/>
      <c r="Z1474" s="113"/>
      <c r="AA1474" s="113"/>
      <c r="AB1474" s="113"/>
      <c r="AC1474" s="113"/>
      <c r="AD1474" s="113"/>
      <c r="AE1474" s="113"/>
      <c r="AF1474" s="113"/>
    </row>
    <row r="1475">
      <c r="A1475" s="115"/>
      <c r="B1475" s="116"/>
      <c r="C1475" s="116"/>
      <c r="D1475" s="116"/>
      <c r="E1475" s="117"/>
      <c r="F1475" s="116"/>
      <c r="G1475" s="117"/>
      <c r="H1475" s="118"/>
      <c r="I1475" s="116"/>
      <c r="J1475" s="116"/>
      <c r="K1475" s="116"/>
      <c r="L1475" s="116"/>
      <c r="M1475" s="119" t="b">
        <v>0</v>
      </c>
      <c r="N1475" s="113" t="b">
        <v>0</v>
      </c>
      <c r="O1475" s="113" t="b">
        <v>0</v>
      </c>
      <c r="P1475" s="113" t="b">
        <v>0</v>
      </c>
      <c r="Q1475" s="113" t="b">
        <v>0</v>
      </c>
      <c r="R1475" s="113"/>
      <c r="S1475" s="113" t="b">
        <v>0</v>
      </c>
      <c r="T1475" s="113"/>
      <c r="U1475" s="113"/>
      <c r="V1475" s="113" t="b">
        <v>0</v>
      </c>
      <c r="W1475" s="113"/>
      <c r="X1475" s="113" t="b">
        <v>0</v>
      </c>
      <c r="Y1475" s="113"/>
      <c r="Z1475" s="113"/>
      <c r="AA1475" s="113"/>
      <c r="AB1475" s="113"/>
      <c r="AC1475" s="113"/>
      <c r="AD1475" s="113"/>
      <c r="AE1475" s="113"/>
      <c r="AF1475" s="113"/>
    </row>
    <row r="1476">
      <c r="A1476" s="115"/>
      <c r="B1476" s="116"/>
      <c r="C1476" s="116"/>
      <c r="D1476" s="116"/>
      <c r="E1476" s="117"/>
      <c r="F1476" s="116"/>
      <c r="G1476" s="117"/>
      <c r="H1476" s="118"/>
      <c r="I1476" s="116"/>
      <c r="J1476" s="116"/>
      <c r="K1476" s="116"/>
      <c r="L1476" s="116"/>
      <c r="M1476" s="119" t="b">
        <v>0</v>
      </c>
      <c r="N1476" s="113" t="b">
        <v>0</v>
      </c>
      <c r="O1476" s="113" t="b">
        <v>0</v>
      </c>
      <c r="P1476" s="113" t="b">
        <v>0</v>
      </c>
      <c r="Q1476" s="113" t="b">
        <v>0</v>
      </c>
      <c r="R1476" s="113"/>
      <c r="S1476" s="113" t="b">
        <v>0</v>
      </c>
      <c r="T1476" s="113"/>
      <c r="U1476" s="113"/>
      <c r="V1476" s="113" t="b">
        <v>0</v>
      </c>
      <c r="W1476" s="113"/>
      <c r="X1476" s="113" t="b">
        <v>0</v>
      </c>
      <c r="Y1476" s="113"/>
      <c r="Z1476" s="113"/>
      <c r="AA1476" s="113"/>
      <c r="AB1476" s="113"/>
      <c r="AC1476" s="113"/>
      <c r="AD1476" s="113"/>
      <c r="AE1476" s="113"/>
      <c r="AF1476" s="113"/>
    </row>
    <row r="1477">
      <c r="A1477" s="115"/>
      <c r="B1477" s="116"/>
      <c r="C1477" s="116"/>
      <c r="D1477" s="116"/>
      <c r="E1477" s="117"/>
      <c r="F1477" s="116"/>
      <c r="G1477" s="117"/>
      <c r="H1477" s="118"/>
      <c r="I1477" s="116"/>
      <c r="J1477" s="116"/>
      <c r="K1477" s="116"/>
      <c r="L1477" s="116"/>
      <c r="M1477" s="119" t="b">
        <v>0</v>
      </c>
      <c r="N1477" s="113" t="b">
        <v>0</v>
      </c>
      <c r="O1477" s="113" t="b">
        <v>0</v>
      </c>
      <c r="P1477" s="113" t="b">
        <v>0</v>
      </c>
      <c r="Q1477" s="113" t="b">
        <v>0</v>
      </c>
      <c r="R1477" s="113"/>
      <c r="S1477" s="113" t="b">
        <v>0</v>
      </c>
      <c r="T1477" s="113"/>
      <c r="U1477" s="113"/>
      <c r="V1477" s="113" t="b">
        <v>0</v>
      </c>
      <c r="W1477" s="113"/>
      <c r="X1477" s="113" t="b">
        <v>0</v>
      </c>
      <c r="Y1477" s="113"/>
      <c r="Z1477" s="113"/>
      <c r="AA1477" s="113"/>
      <c r="AB1477" s="113"/>
      <c r="AC1477" s="113"/>
      <c r="AD1477" s="113"/>
      <c r="AE1477" s="113"/>
      <c r="AF1477" s="113"/>
    </row>
    <row r="1478">
      <c r="A1478" s="115"/>
      <c r="B1478" s="116"/>
      <c r="C1478" s="116"/>
      <c r="D1478" s="116"/>
      <c r="E1478" s="117"/>
      <c r="F1478" s="116"/>
      <c r="G1478" s="117"/>
      <c r="H1478" s="118"/>
      <c r="I1478" s="116"/>
      <c r="J1478" s="116"/>
      <c r="K1478" s="116"/>
      <c r="L1478" s="116"/>
      <c r="M1478" s="119" t="b">
        <v>0</v>
      </c>
      <c r="N1478" s="113" t="b">
        <v>0</v>
      </c>
      <c r="O1478" s="113" t="b">
        <v>0</v>
      </c>
      <c r="P1478" s="113" t="b">
        <v>0</v>
      </c>
      <c r="Q1478" s="113" t="b">
        <v>0</v>
      </c>
      <c r="R1478" s="113"/>
      <c r="S1478" s="113" t="b">
        <v>0</v>
      </c>
      <c r="T1478" s="113"/>
      <c r="U1478" s="113"/>
      <c r="V1478" s="113" t="b">
        <v>0</v>
      </c>
      <c r="W1478" s="113"/>
      <c r="X1478" s="113" t="b">
        <v>0</v>
      </c>
      <c r="Y1478" s="113"/>
      <c r="Z1478" s="113"/>
      <c r="AA1478" s="113"/>
      <c r="AB1478" s="113"/>
      <c r="AC1478" s="113"/>
      <c r="AD1478" s="113"/>
      <c r="AE1478" s="113"/>
      <c r="AF1478" s="113"/>
    </row>
    <row r="1479">
      <c r="A1479" s="115"/>
      <c r="B1479" s="116"/>
      <c r="C1479" s="116"/>
      <c r="D1479" s="116"/>
      <c r="E1479" s="117"/>
      <c r="F1479" s="116"/>
      <c r="G1479" s="117"/>
      <c r="H1479" s="118"/>
      <c r="I1479" s="116"/>
      <c r="J1479" s="116"/>
      <c r="K1479" s="116"/>
      <c r="L1479" s="116"/>
      <c r="M1479" s="119" t="b">
        <v>0</v>
      </c>
      <c r="N1479" s="113" t="b">
        <v>0</v>
      </c>
      <c r="O1479" s="113" t="b">
        <v>0</v>
      </c>
      <c r="P1479" s="113" t="b">
        <v>0</v>
      </c>
      <c r="Q1479" s="113" t="b">
        <v>0</v>
      </c>
      <c r="R1479" s="113"/>
      <c r="S1479" s="113" t="b">
        <v>0</v>
      </c>
      <c r="T1479" s="113"/>
      <c r="U1479" s="113"/>
      <c r="V1479" s="113" t="b">
        <v>0</v>
      </c>
      <c r="W1479" s="113"/>
      <c r="X1479" s="113" t="b">
        <v>0</v>
      </c>
      <c r="Y1479" s="113"/>
      <c r="Z1479" s="113"/>
      <c r="AA1479" s="113"/>
      <c r="AB1479" s="113"/>
      <c r="AC1479" s="113"/>
      <c r="AD1479" s="113"/>
      <c r="AE1479" s="113"/>
      <c r="AF1479" s="113"/>
    </row>
    <row r="1480">
      <c r="A1480" s="115"/>
      <c r="B1480" s="116"/>
      <c r="C1480" s="116"/>
      <c r="D1480" s="116"/>
      <c r="E1480" s="117"/>
      <c r="F1480" s="116"/>
      <c r="G1480" s="117"/>
      <c r="H1480" s="118"/>
      <c r="I1480" s="116"/>
      <c r="J1480" s="116"/>
      <c r="K1480" s="116"/>
      <c r="L1480" s="116"/>
      <c r="M1480" s="119" t="b">
        <v>0</v>
      </c>
      <c r="N1480" s="113" t="b">
        <v>0</v>
      </c>
      <c r="O1480" s="113" t="b">
        <v>0</v>
      </c>
      <c r="P1480" s="113" t="b">
        <v>0</v>
      </c>
      <c r="Q1480" s="113" t="b">
        <v>0</v>
      </c>
      <c r="R1480" s="113"/>
      <c r="S1480" s="113" t="b">
        <v>0</v>
      </c>
      <c r="T1480" s="113"/>
      <c r="U1480" s="113"/>
      <c r="V1480" s="113" t="b">
        <v>0</v>
      </c>
      <c r="W1480" s="113"/>
      <c r="X1480" s="113" t="b">
        <v>0</v>
      </c>
      <c r="Y1480" s="113"/>
      <c r="Z1480" s="113"/>
      <c r="AA1480" s="113"/>
      <c r="AB1480" s="113"/>
      <c r="AC1480" s="113"/>
      <c r="AD1480" s="113"/>
      <c r="AE1480" s="113"/>
      <c r="AF1480" s="113"/>
    </row>
    <row r="1481">
      <c r="A1481" s="115"/>
      <c r="B1481" s="116"/>
      <c r="C1481" s="116"/>
      <c r="D1481" s="116"/>
      <c r="E1481" s="117"/>
      <c r="F1481" s="116"/>
      <c r="G1481" s="117"/>
      <c r="H1481" s="118"/>
      <c r="I1481" s="116"/>
      <c r="J1481" s="116"/>
      <c r="K1481" s="116"/>
      <c r="L1481" s="116"/>
      <c r="M1481" s="119" t="b">
        <v>0</v>
      </c>
      <c r="N1481" s="113" t="b">
        <v>0</v>
      </c>
      <c r="O1481" s="113" t="b">
        <v>0</v>
      </c>
      <c r="P1481" s="113" t="b">
        <v>0</v>
      </c>
      <c r="Q1481" s="113" t="b">
        <v>0</v>
      </c>
      <c r="R1481" s="113"/>
      <c r="S1481" s="113" t="b">
        <v>0</v>
      </c>
      <c r="T1481" s="113"/>
      <c r="U1481" s="113"/>
      <c r="V1481" s="113" t="b">
        <v>0</v>
      </c>
      <c r="W1481" s="113"/>
      <c r="X1481" s="113" t="b">
        <v>0</v>
      </c>
      <c r="Y1481" s="113"/>
      <c r="Z1481" s="113"/>
      <c r="AA1481" s="113"/>
      <c r="AB1481" s="113"/>
      <c r="AC1481" s="113"/>
      <c r="AD1481" s="113"/>
      <c r="AE1481" s="113"/>
      <c r="AF1481" s="113"/>
    </row>
    <row r="1482">
      <c r="A1482" s="115"/>
      <c r="B1482" s="116"/>
      <c r="C1482" s="116"/>
      <c r="D1482" s="116"/>
      <c r="E1482" s="117"/>
      <c r="F1482" s="116"/>
      <c r="G1482" s="117"/>
      <c r="H1482" s="118"/>
      <c r="I1482" s="116"/>
      <c r="J1482" s="116"/>
      <c r="K1482" s="116"/>
      <c r="L1482" s="116"/>
      <c r="M1482" s="119" t="b">
        <v>0</v>
      </c>
      <c r="N1482" s="113" t="b">
        <v>0</v>
      </c>
      <c r="O1482" s="113" t="b">
        <v>0</v>
      </c>
      <c r="P1482" s="113" t="b">
        <v>0</v>
      </c>
      <c r="Q1482" s="113" t="b">
        <v>0</v>
      </c>
      <c r="R1482" s="113"/>
      <c r="S1482" s="113" t="b">
        <v>0</v>
      </c>
      <c r="T1482" s="113"/>
      <c r="U1482" s="113"/>
      <c r="V1482" s="113" t="b">
        <v>0</v>
      </c>
      <c r="W1482" s="113"/>
      <c r="X1482" s="113" t="b">
        <v>0</v>
      </c>
      <c r="Y1482" s="113"/>
      <c r="Z1482" s="113"/>
      <c r="AA1482" s="113"/>
      <c r="AB1482" s="113"/>
      <c r="AC1482" s="113"/>
      <c r="AD1482" s="113"/>
      <c r="AE1482" s="113"/>
      <c r="AF1482" s="113"/>
    </row>
    <row r="1483">
      <c r="A1483" s="115"/>
      <c r="B1483" s="116"/>
      <c r="C1483" s="116"/>
      <c r="D1483" s="116"/>
      <c r="E1483" s="117"/>
      <c r="F1483" s="116"/>
      <c r="G1483" s="117"/>
      <c r="H1483" s="118"/>
      <c r="I1483" s="116"/>
      <c r="J1483" s="116"/>
      <c r="K1483" s="116"/>
      <c r="L1483" s="116"/>
      <c r="M1483" s="119" t="b">
        <v>0</v>
      </c>
      <c r="N1483" s="113" t="b">
        <v>0</v>
      </c>
      <c r="O1483" s="113" t="b">
        <v>0</v>
      </c>
      <c r="P1483" s="113" t="b">
        <v>0</v>
      </c>
      <c r="Q1483" s="113" t="b">
        <v>0</v>
      </c>
      <c r="R1483" s="113"/>
      <c r="S1483" s="113" t="b">
        <v>0</v>
      </c>
      <c r="T1483" s="113"/>
      <c r="U1483" s="113"/>
      <c r="V1483" s="113" t="b">
        <v>0</v>
      </c>
      <c r="W1483" s="113"/>
      <c r="X1483" s="113" t="b">
        <v>0</v>
      </c>
      <c r="Y1483" s="113"/>
      <c r="Z1483" s="113"/>
      <c r="AA1483" s="113"/>
      <c r="AB1483" s="113"/>
      <c r="AC1483" s="113"/>
      <c r="AD1483" s="113"/>
      <c r="AE1483" s="113"/>
      <c r="AF1483" s="113"/>
    </row>
    <row r="1484">
      <c r="A1484" s="115"/>
      <c r="B1484" s="116"/>
      <c r="C1484" s="116"/>
      <c r="D1484" s="116"/>
      <c r="E1484" s="117"/>
      <c r="F1484" s="116"/>
      <c r="G1484" s="117"/>
      <c r="H1484" s="118"/>
      <c r="I1484" s="116"/>
      <c r="J1484" s="116"/>
      <c r="K1484" s="116"/>
      <c r="L1484" s="116"/>
      <c r="M1484" s="119" t="b">
        <v>0</v>
      </c>
      <c r="N1484" s="113" t="b">
        <v>0</v>
      </c>
      <c r="O1484" s="113" t="b">
        <v>0</v>
      </c>
      <c r="P1484" s="113" t="b">
        <v>0</v>
      </c>
      <c r="Q1484" s="113" t="b">
        <v>0</v>
      </c>
      <c r="R1484" s="113"/>
      <c r="S1484" s="113" t="b">
        <v>0</v>
      </c>
      <c r="T1484" s="113"/>
      <c r="U1484" s="113"/>
      <c r="V1484" s="113" t="b">
        <v>0</v>
      </c>
      <c r="W1484" s="113"/>
      <c r="X1484" s="113" t="b">
        <v>0</v>
      </c>
      <c r="Y1484" s="113"/>
      <c r="Z1484" s="113"/>
      <c r="AA1484" s="113"/>
      <c r="AB1484" s="113"/>
      <c r="AC1484" s="113"/>
      <c r="AD1484" s="113"/>
      <c r="AE1484" s="113"/>
      <c r="AF1484" s="113"/>
    </row>
    <row r="1485">
      <c r="A1485" s="115"/>
      <c r="B1485" s="116"/>
      <c r="C1485" s="116"/>
      <c r="D1485" s="116"/>
      <c r="E1485" s="117"/>
      <c r="F1485" s="116"/>
      <c r="G1485" s="117"/>
      <c r="H1485" s="118"/>
      <c r="I1485" s="116"/>
      <c r="J1485" s="116"/>
      <c r="K1485" s="116"/>
      <c r="L1485" s="116"/>
      <c r="M1485" s="119" t="b">
        <v>0</v>
      </c>
      <c r="N1485" s="113" t="b">
        <v>0</v>
      </c>
      <c r="O1485" s="113" t="b">
        <v>0</v>
      </c>
      <c r="P1485" s="113" t="b">
        <v>0</v>
      </c>
      <c r="Q1485" s="113" t="b">
        <v>0</v>
      </c>
      <c r="R1485" s="113"/>
      <c r="S1485" s="113" t="b">
        <v>0</v>
      </c>
      <c r="T1485" s="113"/>
      <c r="U1485" s="113"/>
      <c r="V1485" s="113" t="b">
        <v>0</v>
      </c>
      <c r="W1485" s="113"/>
      <c r="X1485" s="113" t="b">
        <v>0</v>
      </c>
      <c r="Y1485" s="113"/>
      <c r="Z1485" s="113"/>
      <c r="AA1485" s="113"/>
      <c r="AB1485" s="113"/>
      <c r="AC1485" s="113"/>
      <c r="AD1485" s="113"/>
      <c r="AE1485" s="113"/>
      <c r="AF1485" s="113"/>
    </row>
    <row r="1486">
      <c r="A1486" s="115"/>
      <c r="B1486" s="116"/>
      <c r="C1486" s="116"/>
      <c r="D1486" s="116"/>
      <c r="E1486" s="117"/>
      <c r="F1486" s="116"/>
      <c r="G1486" s="117"/>
      <c r="H1486" s="118"/>
      <c r="I1486" s="116"/>
      <c r="J1486" s="116"/>
      <c r="K1486" s="116"/>
      <c r="L1486" s="116"/>
      <c r="M1486" s="119" t="b">
        <v>0</v>
      </c>
      <c r="N1486" s="113" t="b">
        <v>0</v>
      </c>
      <c r="O1486" s="113" t="b">
        <v>0</v>
      </c>
      <c r="P1486" s="113" t="b">
        <v>0</v>
      </c>
      <c r="Q1486" s="113" t="b">
        <v>0</v>
      </c>
      <c r="R1486" s="113"/>
      <c r="S1486" s="113" t="b">
        <v>0</v>
      </c>
      <c r="T1486" s="113"/>
      <c r="U1486" s="113"/>
      <c r="V1486" s="113" t="b">
        <v>0</v>
      </c>
      <c r="W1486" s="113"/>
      <c r="X1486" s="113" t="b">
        <v>0</v>
      </c>
      <c r="Y1486" s="113"/>
      <c r="Z1486" s="113"/>
      <c r="AA1486" s="113"/>
      <c r="AB1486" s="113"/>
      <c r="AC1486" s="113"/>
      <c r="AD1486" s="113"/>
      <c r="AE1486" s="113"/>
      <c r="AF1486" s="113"/>
    </row>
    <row r="1487">
      <c r="A1487" s="115"/>
      <c r="B1487" s="116"/>
      <c r="C1487" s="116"/>
      <c r="D1487" s="116"/>
      <c r="E1487" s="117"/>
      <c r="F1487" s="116"/>
      <c r="G1487" s="117"/>
      <c r="H1487" s="118"/>
      <c r="I1487" s="116"/>
      <c r="J1487" s="116"/>
      <c r="K1487" s="116"/>
      <c r="L1487" s="116"/>
      <c r="M1487" s="119" t="b">
        <v>0</v>
      </c>
      <c r="N1487" s="113" t="b">
        <v>0</v>
      </c>
      <c r="O1487" s="113" t="b">
        <v>0</v>
      </c>
      <c r="P1487" s="113" t="b">
        <v>0</v>
      </c>
      <c r="Q1487" s="113" t="b">
        <v>0</v>
      </c>
      <c r="R1487" s="113"/>
      <c r="S1487" s="113" t="b">
        <v>0</v>
      </c>
      <c r="T1487" s="113"/>
      <c r="U1487" s="113"/>
      <c r="V1487" s="113" t="b">
        <v>0</v>
      </c>
      <c r="W1487" s="113"/>
      <c r="X1487" s="113" t="b">
        <v>0</v>
      </c>
      <c r="Y1487" s="113"/>
      <c r="Z1487" s="113"/>
      <c r="AA1487" s="113"/>
      <c r="AB1487" s="113"/>
      <c r="AC1487" s="113"/>
      <c r="AD1487" s="113"/>
      <c r="AE1487" s="113"/>
      <c r="AF1487" s="113"/>
    </row>
    <row r="1488">
      <c r="A1488" s="115"/>
      <c r="B1488" s="116"/>
      <c r="C1488" s="116"/>
      <c r="D1488" s="116"/>
      <c r="E1488" s="117"/>
      <c r="F1488" s="116"/>
      <c r="G1488" s="117"/>
      <c r="H1488" s="118"/>
      <c r="I1488" s="116"/>
      <c r="J1488" s="116"/>
      <c r="K1488" s="116"/>
      <c r="L1488" s="116"/>
      <c r="M1488" s="119" t="b">
        <v>0</v>
      </c>
      <c r="N1488" s="113" t="b">
        <v>0</v>
      </c>
      <c r="O1488" s="113" t="b">
        <v>0</v>
      </c>
      <c r="P1488" s="113" t="b">
        <v>0</v>
      </c>
      <c r="Q1488" s="113" t="b">
        <v>0</v>
      </c>
      <c r="R1488" s="113"/>
      <c r="S1488" s="113" t="b">
        <v>0</v>
      </c>
      <c r="T1488" s="113"/>
      <c r="U1488" s="113"/>
      <c r="V1488" s="113" t="b">
        <v>0</v>
      </c>
      <c r="W1488" s="113"/>
      <c r="X1488" s="113" t="b">
        <v>0</v>
      </c>
      <c r="Y1488" s="113"/>
      <c r="Z1488" s="113"/>
      <c r="AA1488" s="113"/>
      <c r="AB1488" s="113"/>
      <c r="AC1488" s="113"/>
      <c r="AD1488" s="113"/>
      <c r="AE1488" s="113"/>
      <c r="AF1488" s="113"/>
    </row>
    <row r="1489">
      <c r="A1489" s="115"/>
      <c r="B1489" s="116"/>
      <c r="C1489" s="116"/>
      <c r="D1489" s="116"/>
      <c r="E1489" s="117"/>
      <c r="F1489" s="116"/>
      <c r="G1489" s="117"/>
      <c r="H1489" s="118"/>
      <c r="I1489" s="116"/>
      <c r="J1489" s="116"/>
      <c r="K1489" s="116"/>
      <c r="L1489" s="116"/>
      <c r="M1489" s="119" t="b">
        <v>0</v>
      </c>
      <c r="N1489" s="113" t="b">
        <v>0</v>
      </c>
      <c r="O1489" s="113" t="b">
        <v>0</v>
      </c>
      <c r="P1489" s="113" t="b">
        <v>0</v>
      </c>
      <c r="Q1489" s="113" t="b">
        <v>0</v>
      </c>
      <c r="R1489" s="113"/>
      <c r="S1489" s="113" t="b">
        <v>0</v>
      </c>
      <c r="T1489" s="113"/>
      <c r="U1489" s="113"/>
      <c r="V1489" s="113" t="b">
        <v>0</v>
      </c>
      <c r="W1489" s="113"/>
      <c r="X1489" s="113" t="b">
        <v>0</v>
      </c>
      <c r="Y1489" s="113"/>
      <c r="Z1489" s="113"/>
      <c r="AA1489" s="113"/>
      <c r="AB1489" s="113"/>
      <c r="AC1489" s="113"/>
      <c r="AD1489" s="113"/>
      <c r="AE1489" s="113"/>
      <c r="AF1489" s="113"/>
    </row>
    <row r="1490">
      <c r="A1490" s="115"/>
      <c r="B1490" s="116"/>
      <c r="C1490" s="116"/>
      <c r="D1490" s="116"/>
      <c r="E1490" s="117"/>
      <c r="F1490" s="116"/>
      <c r="G1490" s="117"/>
      <c r="H1490" s="118"/>
      <c r="I1490" s="116"/>
      <c r="J1490" s="116"/>
      <c r="K1490" s="116"/>
      <c r="L1490" s="116"/>
      <c r="M1490" s="119" t="b">
        <v>0</v>
      </c>
      <c r="N1490" s="113" t="b">
        <v>0</v>
      </c>
      <c r="O1490" s="113" t="b">
        <v>0</v>
      </c>
      <c r="P1490" s="113" t="b">
        <v>0</v>
      </c>
      <c r="Q1490" s="113" t="b">
        <v>0</v>
      </c>
      <c r="R1490" s="113"/>
      <c r="S1490" s="113" t="b">
        <v>0</v>
      </c>
      <c r="T1490" s="113"/>
      <c r="U1490" s="113"/>
      <c r="V1490" s="113" t="b">
        <v>0</v>
      </c>
      <c r="W1490" s="113"/>
      <c r="X1490" s="113" t="b">
        <v>0</v>
      </c>
      <c r="Y1490" s="113"/>
      <c r="Z1490" s="113"/>
      <c r="AA1490" s="113"/>
      <c r="AB1490" s="113"/>
      <c r="AC1490" s="113"/>
      <c r="AD1490" s="113"/>
      <c r="AE1490" s="113"/>
      <c r="AF1490" s="113"/>
    </row>
    <row r="1491">
      <c r="A1491" s="115"/>
      <c r="B1491" s="116"/>
      <c r="C1491" s="116"/>
      <c r="D1491" s="116"/>
      <c r="E1491" s="117"/>
      <c r="F1491" s="116"/>
      <c r="G1491" s="117"/>
      <c r="H1491" s="118"/>
      <c r="I1491" s="116"/>
      <c r="J1491" s="116"/>
      <c r="K1491" s="116"/>
      <c r="L1491" s="116"/>
      <c r="M1491" s="119" t="b">
        <v>0</v>
      </c>
      <c r="N1491" s="113" t="b">
        <v>0</v>
      </c>
      <c r="O1491" s="113" t="b">
        <v>0</v>
      </c>
      <c r="P1491" s="113" t="b">
        <v>0</v>
      </c>
      <c r="Q1491" s="113" t="b">
        <v>0</v>
      </c>
      <c r="R1491" s="113"/>
      <c r="S1491" s="113" t="b">
        <v>0</v>
      </c>
      <c r="T1491" s="113"/>
      <c r="U1491" s="113"/>
      <c r="V1491" s="113" t="b">
        <v>0</v>
      </c>
      <c r="W1491" s="113"/>
      <c r="X1491" s="113" t="b">
        <v>0</v>
      </c>
      <c r="Y1491" s="113"/>
      <c r="Z1491" s="113"/>
      <c r="AA1491" s="113"/>
      <c r="AB1491" s="113"/>
      <c r="AC1491" s="113"/>
      <c r="AD1491" s="113"/>
      <c r="AE1491" s="113"/>
      <c r="AF1491" s="113"/>
    </row>
    <row r="1492">
      <c r="A1492" s="115"/>
      <c r="B1492" s="116"/>
      <c r="C1492" s="116"/>
      <c r="D1492" s="116"/>
      <c r="E1492" s="117"/>
      <c r="F1492" s="116"/>
      <c r="G1492" s="117"/>
      <c r="H1492" s="118"/>
      <c r="I1492" s="116"/>
      <c r="J1492" s="116"/>
      <c r="K1492" s="116"/>
      <c r="L1492" s="116"/>
      <c r="M1492" s="119" t="b">
        <v>0</v>
      </c>
      <c r="N1492" s="113" t="b">
        <v>0</v>
      </c>
      <c r="O1492" s="113" t="b">
        <v>0</v>
      </c>
      <c r="P1492" s="113" t="b">
        <v>0</v>
      </c>
      <c r="Q1492" s="113" t="b">
        <v>0</v>
      </c>
      <c r="R1492" s="113"/>
      <c r="S1492" s="113" t="b">
        <v>0</v>
      </c>
      <c r="T1492" s="113"/>
      <c r="U1492" s="113"/>
      <c r="V1492" s="113" t="b">
        <v>0</v>
      </c>
      <c r="W1492" s="113"/>
      <c r="X1492" s="113" t="b">
        <v>0</v>
      </c>
      <c r="Y1492" s="113"/>
      <c r="Z1492" s="113"/>
      <c r="AA1492" s="113"/>
      <c r="AB1492" s="113"/>
      <c r="AC1492" s="113"/>
      <c r="AD1492" s="113"/>
      <c r="AE1492" s="113"/>
      <c r="AF1492" s="113"/>
    </row>
    <row r="1493">
      <c r="A1493" s="115"/>
      <c r="B1493" s="116"/>
      <c r="C1493" s="116"/>
      <c r="D1493" s="116"/>
      <c r="E1493" s="117"/>
      <c r="F1493" s="116"/>
      <c r="G1493" s="117"/>
      <c r="H1493" s="118"/>
      <c r="I1493" s="116"/>
      <c r="J1493" s="116"/>
      <c r="K1493" s="116"/>
      <c r="L1493" s="116"/>
      <c r="M1493" s="119" t="b">
        <v>0</v>
      </c>
      <c r="N1493" s="113" t="b">
        <v>0</v>
      </c>
      <c r="O1493" s="113" t="b">
        <v>0</v>
      </c>
      <c r="P1493" s="113" t="b">
        <v>0</v>
      </c>
      <c r="Q1493" s="113" t="b">
        <v>0</v>
      </c>
      <c r="R1493" s="113"/>
      <c r="S1493" s="113" t="b">
        <v>0</v>
      </c>
      <c r="T1493" s="113"/>
      <c r="U1493" s="113"/>
      <c r="V1493" s="113" t="b">
        <v>0</v>
      </c>
      <c r="W1493" s="113"/>
      <c r="X1493" s="113" t="b">
        <v>0</v>
      </c>
      <c r="Y1493" s="113"/>
      <c r="Z1493" s="113"/>
      <c r="AA1493" s="113"/>
      <c r="AB1493" s="113"/>
      <c r="AC1493" s="113"/>
      <c r="AD1493" s="113"/>
      <c r="AE1493" s="113"/>
      <c r="AF1493" s="113"/>
    </row>
    <row r="1494">
      <c r="A1494" s="115"/>
      <c r="B1494" s="116"/>
      <c r="C1494" s="116"/>
      <c r="D1494" s="116"/>
      <c r="E1494" s="117"/>
      <c r="F1494" s="116"/>
      <c r="G1494" s="117"/>
      <c r="H1494" s="118"/>
      <c r="I1494" s="116"/>
      <c r="J1494" s="116"/>
      <c r="K1494" s="116"/>
      <c r="L1494" s="116"/>
      <c r="M1494" s="119" t="b">
        <v>0</v>
      </c>
      <c r="N1494" s="113" t="b">
        <v>0</v>
      </c>
      <c r="O1494" s="113" t="b">
        <v>0</v>
      </c>
      <c r="P1494" s="113" t="b">
        <v>0</v>
      </c>
      <c r="Q1494" s="113" t="b">
        <v>0</v>
      </c>
      <c r="R1494" s="113"/>
      <c r="S1494" s="113" t="b">
        <v>0</v>
      </c>
      <c r="T1494" s="113"/>
      <c r="U1494" s="113"/>
      <c r="V1494" s="113" t="b">
        <v>0</v>
      </c>
      <c r="W1494" s="113"/>
      <c r="X1494" s="113" t="b">
        <v>0</v>
      </c>
      <c r="Y1494" s="113"/>
      <c r="Z1494" s="113"/>
      <c r="AA1494" s="113"/>
      <c r="AB1494" s="113"/>
      <c r="AC1494" s="113"/>
      <c r="AD1494" s="113"/>
      <c r="AE1494" s="113"/>
      <c r="AF1494" s="113"/>
    </row>
    <row r="1495">
      <c r="A1495" s="115"/>
      <c r="B1495" s="116"/>
      <c r="C1495" s="116"/>
      <c r="D1495" s="116"/>
      <c r="E1495" s="117"/>
      <c r="F1495" s="116"/>
      <c r="G1495" s="117"/>
      <c r="H1495" s="118"/>
      <c r="I1495" s="116"/>
      <c r="J1495" s="116"/>
      <c r="K1495" s="116"/>
      <c r="L1495" s="116"/>
      <c r="M1495" s="119" t="b">
        <v>0</v>
      </c>
      <c r="N1495" s="113" t="b">
        <v>0</v>
      </c>
      <c r="O1495" s="113" t="b">
        <v>0</v>
      </c>
      <c r="P1495" s="113" t="b">
        <v>0</v>
      </c>
      <c r="Q1495" s="113" t="b">
        <v>0</v>
      </c>
      <c r="R1495" s="113"/>
      <c r="S1495" s="113" t="b">
        <v>0</v>
      </c>
      <c r="T1495" s="113"/>
      <c r="U1495" s="113"/>
      <c r="V1495" s="113" t="b">
        <v>0</v>
      </c>
      <c r="W1495" s="113"/>
      <c r="X1495" s="113" t="b">
        <v>0</v>
      </c>
      <c r="Y1495" s="113"/>
      <c r="Z1495" s="113"/>
      <c r="AA1495" s="113"/>
      <c r="AB1495" s="113"/>
      <c r="AC1495" s="113"/>
      <c r="AD1495" s="113"/>
      <c r="AE1495" s="113"/>
      <c r="AF1495" s="113"/>
    </row>
    <row r="1496">
      <c r="A1496" s="115"/>
      <c r="B1496" s="116"/>
      <c r="C1496" s="116"/>
      <c r="D1496" s="116"/>
      <c r="E1496" s="117"/>
      <c r="F1496" s="116"/>
      <c r="G1496" s="117"/>
      <c r="H1496" s="118"/>
      <c r="I1496" s="116"/>
      <c r="J1496" s="116"/>
      <c r="K1496" s="116"/>
      <c r="L1496" s="116"/>
      <c r="M1496" s="119" t="b">
        <v>0</v>
      </c>
      <c r="N1496" s="113" t="b">
        <v>0</v>
      </c>
      <c r="O1496" s="113" t="b">
        <v>0</v>
      </c>
      <c r="P1496" s="113" t="b">
        <v>0</v>
      </c>
      <c r="Q1496" s="113" t="b">
        <v>0</v>
      </c>
      <c r="R1496" s="113"/>
      <c r="S1496" s="113" t="b">
        <v>0</v>
      </c>
      <c r="T1496" s="113"/>
      <c r="U1496" s="113"/>
      <c r="V1496" s="113" t="b">
        <v>0</v>
      </c>
      <c r="W1496" s="113"/>
      <c r="X1496" s="113" t="b">
        <v>0</v>
      </c>
      <c r="Y1496" s="113"/>
      <c r="Z1496" s="113"/>
      <c r="AA1496" s="113"/>
      <c r="AB1496" s="113"/>
      <c r="AC1496" s="113"/>
      <c r="AD1496" s="113"/>
      <c r="AE1496" s="113"/>
      <c r="AF1496" s="113"/>
    </row>
    <row r="1497">
      <c r="A1497" s="115"/>
      <c r="B1497" s="116"/>
      <c r="C1497" s="116"/>
      <c r="D1497" s="116"/>
      <c r="E1497" s="117"/>
      <c r="F1497" s="116"/>
      <c r="G1497" s="117"/>
      <c r="H1497" s="118"/>
      <c r="I1497" s="116"/>
      <c r="J1497" s="116"/>
      <c r="K1497" s="116"/>
      <c r="L1497" s="116"/>
      <c r="M1497" s="119" t="b">
        <v>0</v>
      </c>
      <c r="N1497" s="113" t="b">
        <v>0</v>
      </c>
      <c r="O1497" s="113" t="b">
        <v>0</v>
      </c>
      <c r="P1497" s="113" t="b">
        <v>0</v>
      </c>
      <c r="Q1497" s="113" t="b">
        <v>0</v>
      </c>
      <c r="R1497" s="113"/>
      <c r="S1497" s="113" t="b">
        <v>0</v>
      </c>
      <c r="T1497" s="113"/>
      <c r="U1497" s="113"/>
      <c r="V1497" s="113" t="b">
        <v>0</v>
      </c>
      <c r="W1497" s="113"/>
      <c r="X1497" s="113" t="b">
        <v>0</v>
      </c>
      <c r="Y1497" s="113"/>
      <c r="Z1497" s="113"/>
      <c r="AA1497" s="113"/>
      <c r="AB1497" s="113"/>
      <c r="AC1497" s="113"/>
      <c r="AD1497" s="113"/>
      <c r="AE1497" s="113"/>
      <c r="AF1497" s="113"/>
    </row>
    <row r="1498">
      <c r="A1498" s="115"/>
      <c r="B1498" s="116"/>
      <c r="C1498" s="116"/>
      <c r="D1498" s="116"/>
      <c r="E1498" s="117"/>
      <c r="F1498" s="116"/>
      <c r="G1498" s="117"/>
      <c r="H1498" s="118"/>
      <c r="I1498" s="116"/>
      <c r="J1498" s="116"/>
      <c r="K1498" s="116"/>
      <c r="L1498" s="116"/>
      <c r="M1498" s="119" t="b">
        <v>0</v>
      </c>
      <c r="N1498" s="113" t="b">
        <v>0</v>
      </c>
      <c r="O1498" s="113" t="b">
        <v>0</v>
      </c>
      <c r="P1498" s="113" t="b">
        <v>0</v>
      </c>
      <c r="Q1498" s="113" t="b">
        <v>0</v>
      </c>
      <c r="R1498" s="113"/>
      <c r="S1498" s="113" t="b">
        <v>0</v>
      </c>
      <c r="T1498" s="113"/>
      <c r="U1498" s="113"/>
      <c r="V1498" s="113" t="b">
        <v>0</v>
      </c>
      <c r="W1498" s="113"/>
      <c r="X1498" s="113" t="b">
        <v>0</v>
      </c>
      <c r="Y1498" s="113"/>
      <c r="Z1498" s="113"/>
      <c r="AA1498" s="113"/>
      <c r="AB1498" s="113"/>
      <c r="AC1498" s="113"/>
      <c r="AD1498" s="113"/>
      <c r="AE1498" s="113"/>
      <c r="AF1498" s="113"/>
    </row>
    <row r="1499">
      <c r="A1499" s="115"/>
      <c r="B1499" s="116"/>
      <c r="C1499" s="116"/>
      <c r="D1499" s="116"/>
      <c r="E1499" s="117"/>
      <c r="F1499" s="116"/>
      <c r="G1499" s="117"/>
      <c r="H1499" s="118"/>
      <c r="I1499" s="116"/>
      <c r="J1499" s="116"/>
      <c r="K1499" s="116"/>
      <c r="L1499" s="116"/>
      <c r="M1499" s="119" t="b">
        <v>0</v>
      </c>
      <c r="N1499" s="113" t="b">
        <v>0</v>
      </c>
      <c r="O1499" s="113" t="b">
        <v>0</v>
      </c>
      <c r="P1499" s="113" t="b">
        <v>0</v>
      </c>
      <c r="Q1499" s="113" t="b">
        <v>0</v>
      </c>
      <c r="R1499" s="113"/>
      <c r="S1499" s="113" t="b">
        <v>0</v>
      </c>
      <c r="T1499" s="113"/>
      <c r="U1499" s="113"/>
      <c r="V1499" s="113" t="b">
        <v>0</v>
      </c>
      <c r="W1499" s="113"/>
      <c r="X1499" s="113" t="b">
        <v>0</v>
      </c>
      <c r="Y1499" s="113"/>
      <c r="Z1499" s="113"/>
      <c r="AA1499" s="113"/>
      <c r="AB1499" s="113"/>
      <c r="AC1499" s="113"/>
      <c r="AD1499" s="113"/>
      <c r="AE1499" s="113"/>
      <c r="AF1499" s="113"/>
    </row>
    <row r="1500">
      <c r="A1500" s="115"/>
      <c r="B1500" s="116"/>
      <c r="C1500" s="116"/>
      <c r="D1500" s="116"/>
      <c r="E1500" s="117"/>
      <c r="F1500" s="116"/>
      <c r="G1500" s="117"/>
      <c r="H1500" s="118"/>
      <c r="I1500" s="116"/>
      <c r="J1500" s="116"/>
      <c r="K1500" s="116"/>
      <c r="L1500" s="116"/>
      <c r="M1500" s="119" t="b">
        <v>0</v>
      </c>
      <c r="N1500" s="113" t="b">
        <v>0</v>
      </c>
      <c r="O1500" s="113" t="b">
        <v>0</v>
      </c>
      <c r="P1500" s="113" t="b">
        <v>0</v>
      </c>
      <c r="Q1500" s="113" t="b">
        <v>0</v>
      </c>
      <c r="R1500" s="113"/>
      <c r="S1500" s="113" t="b">
        <v>0</v>
      </c>
      <c r="T1500" s="113"/>
      <c r="U1500" s="113"/>
      <c r="V1500" s="113" t="b">
        <v>0</v>
      </c>
      <c r="W1500" s="113"/>
      <c r="X1500" s="113" t="b">
        <v>0</v>
      </c>
      <c r="Y1500" s="113"/>
      <c r="Z1500" s="113"/>
      <c r="AA1500" s="113"/>
      <c r="AB1500" s="113"/>
      <c r="AC1500" s="113"/>
      <c r="AD1500" s="113"/>
      <c r="AE1500" s="113"/>
      <c r="AF1500" s="113"/>
    </row>
    <row r="1501">
      <c r="A1501" s="115"/>
      <c r="B1501" s="116"/>
      <c r="C1501" s="116"/>
      <c r="D1501" s="116"/>
      <c r="E1501" s="117"/>
      <c r="F1501" s="116"/>
      <c r="G1501" s="117"/>
      <c r="H1501" s="118"/>
      <c r="I1501" s="116"/>
      <c r="J1501" s="116"/>
      <c r="K1501" s="116"/>
      <c r="L1501" s="116"/>
      <c r="M1501" s="119" t="b">
        <v>0</v>
      </c>
      <c r="N1501" s="113" t="b">
        <v>0</v>
      </c>
      <c r="O1501" s="113" t="b">
        <v>0</v>
      </c>
      <c r="P1501" s="113" t="b">
        <v>0</v>
      </c>
      <c r="Q1501" s="113" t="b">
        <v>0</v>
      </c>
      <c r="R1501" s="113"/>
      <c r="S1501" s="113" t="b">
        <v>0</v>
      </c>
      <c r="T1501" s="113"/>
      <c r="U1501" s="113"/>
      <c r="V1501" s="113" t="b">
        <v>0</v>
      </c>
      <c r="W1501" s="113"/>
      <c r="X1501" s="113" t="b">
        <v>0</v>
      </c>
      <c r="Y1501" s="113"/>
      <c r="Z1501" s="113"/>
      <c r="AA1501" s="113"/>
      <c r="AB1501" s="113"/>
      <c r="AC1501" s="113"/>
      <c r="AD1501" s="113"/>
      <c r="AE1501" s="113"/>
      <c r="AF1501" s="113"/>
    </row>
    <row r="1502">
      <c r="A1502" s="115"/>
      <c r="B1502" s="116"/>
      <c r="C1502" s="116"/>
      <c r="D1502" s="116"/>
      <c r="E1502" s="117"/>
      <c r="F1502" s="116"/>
      <c r="G1502" s="117"/>
      <c r="H1502" s="118"/>
      <c r="I1502" s="116"/>
      <c r="J1502" s="116"/>
      <c r="K1502" s="116"/>
      <c r="L1502" s="116"/>
      <c r="M1502" s="119" t="b">
        <v>0</v>
      </c>
      <c r="N1502" s="113" t="b">
        <v>0</v>
      </c>
      <c r="O1502" s="113" t="b">
        <v>0</v>
      </c>
      <c r="P1502" s="113" t="b">
        <v>0</v>
      </c>
      <c r="Q1502" s="113" t="b">
        <v>0</v>
      </c>
      <c r="R1502" s="113"/>
      <c r="S1502" s="113" t="b">
        <v>0</v>
      </c>
      <c r="T1502" s="113"/>
      <c r="U1502" s="113"/>
      <c r="V1502" s="113" t="b">
        <v>0</v>
      </c>
      <c r="W1502" s="113"/>
      <c r="X1502" s="113" t="b">
        <v>0</v>
      </c>
      <c r="Y1502" s="113"/>
      <c r="Z1502" s="113"/>
      <c r="AA1502" s="113"/>
      <c r="AB1502" s="113"/>
      <c r="AC1502" s="113"/>
      <c r="AD1502" s="113"/>
      <c r="AE1502" s="113"/>
      <c r="AF1502" s="113"/>
    </row>
    <row r="1503">
      <c r="A1503" s="115"/>
      <c r="B1503" s="116"/>
      <c r="C1503" s="116"/>
      <c r="D1503" s="116"/>
      <c r="E1503" s="117"/>
      <c r="F1503" s="116"/>
      <c r="G1503" s="117"/>
      <c r="H1503" s="118"/>
      <c r="I1503" s="116"/>
      <c r="J1503" s="116"/>
      <c r="K1503" s="116"/>
      <c r="L1503" s="116"/>
      <c r="M1503" s="119" t="b">
        <v>0</v>
      </c>
      <c r="N1503" s="113" t="b">
        <v>0</v>
      </c>
      <c r="O1503" s="113" t="b">
        <v>0</v>
      </c>
      <c r="P1503" s="113" t="b">
        <v>0</v>
      </c>
      <c r="Q1503" s="113" t="b">
        <v>0</v>
      </c>
      <c r="R1503" s="113"/>
      <c r="S1503" s="113" t="b">
        <v>0</v>
      </c>
      <c r="T1503" s="113"/>
      <c r="U1503" s="113"/>
      <c r="V1503" s="113" t="b">
        <v>0</v>
      </c>
      <c r="W1503" s="113"/>
      <c r="X1503" s="113" t="b">
        <v>0</v>
      </c>
      <c r="Y1503" s="113"/>
      <c r="Z1503" s="113"/>
      <c r="AA1503" s="113"/>
      <c r="AB1503" s="113"/>
      <c r="AC1503" s="113"/>
      <c r="AD1503" s="113"/>
      <c r="AE1503" s="113"/>
      <c r="AF1503" s="113"/>
    </row>
    <row r="1504">
      <c r="A1504" s="115"/>
      <c r="B1504" s="116"/>
      <c r="C1504" s="116"/>
      <c r="D1504" s="116"/>
      <c r="E1504" s="117"/>
      <c r="F1504" s="116"/>
      <c r="G1504" s="117"/>
      <c r="H1504" s="118"/>
      <c r="I1504" s="116"/>
      <c r="J1504" s="116"/>
      <c r="K1504" s="116"/>
      <c r="L1504" s="116"/>
      <c r="M1504" s="119" t="b">
        <v>0</v>
      </c>
      <c r="N1504" s="113" t="b">
        <v>0</v>
      </c>
      <c r="O1504" s="113" t="b">
        <v>0</v>
      </c>
      <c r="P1504" s="113" t="b">
        <v>0</v>
      </c>
      <c r="Q1504" s="113" t="b">
        <v>0</v>
      </c>
      <c r="R1504" s="113"/>
      <c r="S1504" s="113" t="b">
        <v>0</v>
      </c>
      <c r="T1504" s="113"/>
      <c r="U1504" s="113"/>
      <c r="V1504" s="113" t="b">
        <v>0</v>
      </c>
      <c r="W1504" s="113"/>
      <c r="X1504" s="113" t="b">
        <v>0</v>
      </c>
      <c r="Y1504" s="113"/>
      <c r="Z1504" s="113"/>
      <c r="AA1504" s="113"/>
      <c r="AB1504" s="113"/>
      <c r="AC1504" s="113"/>
      <c r="AD1504" s="113"/>
      <c r="AE1504" s="113"/>
      <c r="AF1504" s="113"/>
    </row>
    <row r="1505">
      <c r="A1505" s="115"/>
      <c r="B1505" s="116"/>
      <c r="C1505" s="116"/>
      <c r="D1505" s="116"/>
      <c r="E1505" s="117"/>
      <c r="F1505" s="116"/>
      <c r="G1505" s="117"/>
      <c r="H1505" s="118"/>
      <c r="I1505" s="116"/>
      <c r="J1505" s="116"/>
      <c r="K1505" s="116"/>
      <c r="L1505" s="116"/>
      <c r="M1505" s="119" t="b">
        <v>0</v>
      </c>
      <c r="N1505" s="113" t="b">
        <v>0</v>
      </c>
      <c r="O1505" s="113" t="b">
        <v>0</v>
      </c>
      <c r="P1505" s="113" t="b">
        <v>0</v>
      </c>
      <c r="Q1505" s="113" t="b">
        <v>0</v>
      </c>
      <c r="R1505" s="113"/>
      <c r="S1505" s="113" t="b">
        <v>0</v>
      </c>
      <c r="T1505" s="113"/>
      <c r="U1505" s="113"/>
      <c r="V1505" s="113" t="b">
        <v>0</v>
      </c>
      <c r="W1505" s="113"/>
      <c r="X1505" s="113" t="b">
        <v>0</v>
      </c>
      <c r="Y1505" s="113"/>
      <c r="Z1505" s="113"/>
      <c r="AA1505" s="113"/>
      <c r="AB1505" s="113"/>
      <c r="AC1505" s="113"/>
      <c r="AD1505" s="113"/>
      <c r="AE1505" s="113"/>
      <c r="AF1505" s="113"/>
    </row>
    <row r="1506">
      <c r="A1506" s="115"/>
      <c r="B1506" s="116"/>
      <c r="C1506" s="116"/>
      <c r="D1506" s="116"/>
      <c r="E1506" s="117"/>
      <c r="F1506" s="116"/>
      <c r="G1506" s="117"/>
      <c r="H1506" s="118"/>
      <c r="I1506" s="116"/>
      <c r="J1506" s="116"/>
      <c r="K1506" s="116"/>
      <c r="L1506" s="116"/>
      <c r="M1506" s="119" t="b">
        <v>0</v>
      </c>
      <c r="N1506" s="113" t="b">
        <v>0</v>
      </c>
      <c r="O1506" s="113" t="b">
        <v>0</v>
      </c>
      <c r="P1506" s="113" t="b">
        <v>0</v>
      </c>
      <c r="Q1506" s="113" t="b">
        <v>0</v>
      </c>
      <c r="R1506" s="113"/>
      <c r="S1506" s="113" t="b">
        <v>0</v>
      </c>
      <c r="T1506" s="113"/>
      <c r="U1506" s="113"/>
      <c r="V1506" s="113" t="b">
        <v>0</v>
      </c>
      <c r="W1506" s="113"/>
      <c r="X1506" s="113" t="b">
        <v>0</v>
      </c>
      <c r="Y1506" s="113"/>
      <c r="Z1506" s="113"/>
      <c r="AA1506" s="113"/>
      <c r="AB1506" s="113"/>
      <c r="AC1506" s="113"/>
      <c r="AD1506" s="113"/>
      <c r="AE1506" s="113"/>
      <c r="AF1506" s="113"/>
    </row>
    <row r="1507">
      <c r="A1507" s="115"/>
      <c r="B1507" s="116"/>
      <c r="C1507" s="116"/>
      <c r="D1507" s="116"/>
      <c r="E1507" s="117"/>
      <c r="F1507" s="116"/>
      <c r="G1507" s="117"/>
      <c r="H1507" s="118"/>
      <c r="I1507" s="116"/>
      <c r="J1507" s="116"/>
      <c r="K1507" s="116"/>
      <c r="L1507" s="116"/>
      <c r="M1507" s="119" t="b">
        <v>0</v>
      </c>
      <c r="N1507" s="113" t="b">
        <v>0</v>
      </c>
      <c r="O1507" s="113" t="b">
        <v>0</v>
      </c>
      <c r="P1507" s="113" t="b">
        <v>0</v>
      </c>
      <c r="Q1507" s="113" t="b">
        <v>0</v>
      </c>
      <c r="R1507" s="113"/>
      <c r="S1507" s="113" t="b">
        <v>0</v>
      </c>
      <c r="T1507" s="113"/>
      <c r="U1507" s="113"/>
      <c r="V1507" s="113" t="b">
        <v>0</v>
      </c>
      <c r="W1507" s="113"/>
      <c r="X1507" s="113" t="b">
        <v>0</v>
      </c>
      <c r="Y1507" s="113"/>
      <c r="Z1507" s="113"/>
      <c r="AA1507" s="113"/>
      <c r="AB1507" s="113"/>
      <c r="AC1507" s="113"/>
      <c r="AD1507" s="113"/>
      <c r="AE1507" s="113"/>
      <c r="AF1507" s="113"/>
    </row>
    <row r="1508">
      <c r="A1508" s="115"/>
      <c r="B1508" s="116"/>
      <c r="C1508" s="116"/>
      <c r="D1508" s="116"/>
      <c r="E1508" s="117"/>
      <c r="F1508" s="116"/>
      <c r="G1508" s="117"/>
      <c r="H1508" s="118"/>
      <c r="I1508" s="116"/>
      <c r="J1508" s="116"/>
      <c r="K1508" s="116"/>
      <c r="L1508" s="116"/>
      <c r="M1508" s="119" t="b">
        <v>0</v>
      </c>
      <c r="N1508" s="113" t="b">
        <v>0</v>
      </c>
      <c r="O1508" s="113" t="b">
        <v>0</v>
      </c>
      <c r="P1508" s="113" t="b">
        <v>0</v>
      </c>
      <c r="Q1508" s="113" t="b">
        <v>0</v>
      </c>
      <c r="R1508" s="113"/>
      <c r="S1508" s="113" t="b">
        <v>0</v>
      </c>
      <c r="T1508" s="113"/>
      <c r="U1508" s="113"/>
      <c r="V1508" s="113" t="b">
        <v>0</v>
      </c>
      <c r="W1508" s="113"/>
      <c r="X1508" s="113" t="b">
        <v>0</v>
      </c>
      <c r="Y1508" s="113"/>
      <c r="Z1508" s="113"/>
      <c r="AA1508" s="113"/>
      <c r="AB1508" s="113"/>
      <c r="AC1508" s="113"/>
      <c r="AD1508" s="113"/>
      <c r="AE1508" s="113"/>
      <c r="AF1508" s="113"/>
    </row>
    <row r="1509">
      <c r="A1509" s="115"/>
      <c r="B1509" s="116"/>
      <c r="C1509" s="116"/>
      <c r="D1509" s="116"/>
      <c r="E1509" s="117"/>
      <c r="F1509" s="116"/>
      <c r="G1509" s="117"/>
      <c r="H1509" s="118"/>
      <c r="I1509" s="116"/>
      <c r="J1509" s="116"/>
      <c r="K1509" s="116"/>
      <c r="L1509" s="116"/>
      <c r="M1509" s="119" t="b">
        <v>0</v>
      </c>
      <c r="N1509" s="113" t="b">
        <v>0</v>
      </c>
      <c r="O1509" s="113" t="b">
        <v>0</v>
      </c>
      <c r="P1509" s="113" t="b">
        <v>0</v>
      </c>
      <c r="Q1509" s="113" t="b">
        <v>0</v>
      </c>
      <c r="R1509" s="113"/>
      <c r="S1509" s="113" t="b">
        <v>0</v>
      </c>
      <c r="T1509" s="113"/>
      <c r="U1509" s="113"/>
      <c r="V1509" s="113" t="b">
        <v>0</v>
      </c>
      <c r="W1509" s="113"/>
      <c r="X1509" s="113" t="b">
        <v>0</v>
      </c>
      <c r="Y1509" s="113"/>
      <c r="Z1509" s="113"/>
      <c r="AA1509" s="113"/>
      <c r="AB1509" s="113"/>
      <c r="AC1509" s="113"/>
      <c r="AD1509" s="113"/>
      <c r="AE1509" s="113"/>
      <c r="AF1509" s="113"/>
    </row>
    <row r="1510">
      <c r="A1510" s="115"/>
      <c r="B1510" s="116"/>
      <c r="C1510" s="116"/>
      <c r="D1510" s="116"/>
      <c r="E1510" s="117"/>
      <c r="F1510" s="116"/>
      <c r="G1510" s="117"/>
      <c r="H1510" s="118"/>
      <c r="I1510" s="116"/>
      <c r="J1510" s="116"/>
      <c r="K1510" s="116"/>
      <c r="L1510" s="116"/>
      <c r="M1510" s="119" t="b">
        <v>0</v>
      </c>
      <c r="N1510" s="113" t="b">
        <v>0</v>
      </c>
      <c r="O1510" s="113" t="b">
        <v>0</v>
      </c>
      <c r="P1510" s="113" t="b">
        <v>0</v>
      </c>
      <c r="Q1510" s="113" t="b">
        <v>0</v>
      </c>
      <c r="R1510" s="113"/>
      <c r="S1510" s="113" t="b">
        <v>0</v>
      </c>
      <c r="T1510" s="113"/>
      <c r="U1510" s="113"/>
      <c r="V1510" s="113" t="b">
        <v>0</v>
      </c>
      <c r="W1510" s="113"/>
      <c r="X1510" s="113" t="b">
        <v>0</v>
      </c>
      <c r="Y1510" s="113"/>
      <c r="Z1510" s="113"/>
      <c r="AA1510" s="113"/>
      <c r="AB1510" s="113"/>
      <c r="AC1510" s="113"/>
      <c r="AD1510" s="113"/>
      <c r="AE1510" s="113"/>
      <c r="AF1510" s="113"/>
    </row>
    <row r="1511">
      <c r="A1511" s="115"/>
      <c r="B1511" s="116"/>
      <c r="C1511" s="116"/>
      <c r="D1511" s="116"/>
      <c r="E1511" s="117"/>
      <c r="F1511" s="116"/>
      <c r="G1511" s="117"/>
      <c r="H1511" s="118"/>
      <c r="I1511" s="116"/>
      <c r="J1511" s="116"/>
      <c r="K1511" s="116"/>
      <c r="L1511" s="116"/>
      <c r="M1511" s="119" t="b">
        <v>0</v>
      </c>
      <c r="N1511" s="113" t="b">
        <v>0</v>
      </c>
      <c r="O1511" s="113" t="b">
        <v>0</v>
      </c>
      <c r="P1511" s="113" t="b">
        <v>0</v>
      </c>
      <c r="Q1511" s="113" t="b">
        <v>0</v>
      </c>
      <c r="R1511" s="113"/>
      <c r="S1511" s="113" t="b">
        <v>0</v>
      </c>
      <c r="T1511" s="113"/>
      <c r="U1511" s="113"/>
      <c r="V1511" s="113" t="b">
        <v>0</v>
      </c>
      <c r="W1511" s="113"/>
      <c r="X1511" s="113" t="b">
        <v>0</v>
      </c>
      <c r="Y1511" s="113"/>
      <c r="Z1511" s="113"/>
      <c r="AA1511" s="113"/>
      <c r="AB1511" s="113"/>
      <c r="AC1511" s="113"/>
      <c r="AD1511" s="113"/>
      <c r="AE1511" s="113"/>
      <c r="AF1511" s="113"/>
    </row>
    <row r="1512">
      <c r="A1512" s="115"/>
      <c r="B1512" s="116"/>
      <c r="C1512" s="116"/>
      <c r="D1512" s="116"/>
      <c r="E1512" s="117"/>
      <c r="F1512" s="116"/>
      <c r="G1512" s="117"/>
      <c r="H1512" s="118"/>
      <c r="I1512" s="116"/>
      <c r="J1512" s="116"/>
      <c r="K1512" s="116"/>
      <c r="L1512" s="116"/>
      <c r="M1512" s="119" t="b">
        <v>0</v>
      </c>
      <c r="N1512" s="113" t="b">
        <v>0</v>
      </c>
      <c r="O1512" s="113" t="b">
        <v>0</v>
      </c>
      <c r="P1512" s="113" t="b">
        <v>0</v>
      </c>
      <c r="Q1512" s="113" t="b">
        <v>0</v>
      </c>
      <c r="R1512" s="113"/>
      <c r="S1512" s="113" t="b">
        <v>0</v>
      </c>
      <c r="T1512" s="113"/>
      <c r="U1512" s="113"/>
      <c r="V1512" s="113" t="b">
        <v>0</v>
      </c>
      <c r="W1512" s="113"/>
      <c r="X1512" s="113" t="b">
        <v>0</v>
      </c>
      <c r="Y1512" s="113"/>
      <c r="Z1512" s="113"/>
      <c r="AA1512" s="113"/>
      <c r="AB1512" s="113"/>
      <c r="AC1512" s="113"/>
      <c r="AD1512" s="113"/>
      <c r="AE1512" s="113"/>
      <c r="AF1512" s="113"/>
    </row>
    <row r="1513">
      <c r="A1513" s="115"/>
      <c r="B1513" s="116"/>
      <c r="C1513" s="116"/>
      <c r="D1513" s="116"/>
      <c r="E1513" s="117"/>
      <c r="F1513" s="116"/>
      <c r="G1513" s="117"/>
      <c r="H1513" s="118"/>
      <c r="I1513" s="116"/>
      <c r="J1513" s="116"/>
      <c r="K1513" s="116"/>
      <c r="L1513" s="116"/>
      <c r="M1513" s="119" t="b">
        <v>0</v>
      </c>
      <c r="N1513" s="113" t="b">
        <v>0</v>
      </c>
      <c r="O1513" s="113" t="b">
        <v>0</v>
      </c>
      <c r="P1513" s="113" t="b">
        <v>0</v>
      </c>
      <c r="Q1513" s="113" t="b">
        <v>0</v>
      </c>
      <c r="R1513" s="113"/>
      <c r="S1513" s="113" t="b">
        <v>0</v>
      </c>
      <c r="T1513" s="113"/>
      <c r="U1513" s="113"/>
      <c r="V1513" s="113" t="b">
        <v>0</v>
      </c>
      <c r="W1513" s="113"/>
      <c r="X1513" s="113" t="b">
        <v>0</v>
      </c>
      <c r="Y1513" s="113"/>
      <c r="Z1513" s="113"/>
      <c r="AA1513" s="113"/>
      <c r="AB1513" s="113"/>
      <c r="AC1513" s="113"/>
      <c r="AD1513" s="113"/>
      <c r="AE1513" s="113"/>
      <c r="AF1513" s="113"/>
    </row>
    <row r="1514">
      <c r="A1514" s="115"/>
      <c r="B1514" s="116"/>
      <c r="C1514" s="116"/>
      <c r="D1514" s="116"/>
      <c r="E1514" s="117"/>
      <c r="F1514" s="116"/>
      <c r="G1514" s="117"/>
      <c r="H1514" s="118"/>
      <c r="I1514" s="116"/>
      <c r="J1514" s="116"/>
      <c r="K1514" s="116"/>
      <c r="L1514" s="116"/>
      <c r="M1514" s="119" t="b">
        <v>0</v>
      </c>
      <c r="N1514" s="113" t="b">
        <v>0</v>
      </c>
      <c r="O1514" s="113" t="b">
        <v>0</v>
      </c>
      <c r="P1514" s="113" t="b">
        <v>0</v>
      </c>
      <c r="Q1514" s="113" t="b">
        <v>0</v>
      </c>
      <c r="R1514" s="113"/>
      <c r="S1514" s="113" t="b">
        <v>0</v>
      </c>
      <c r="T1514" s="113"/>
      <c r="U1514" s="113"/>
      <c r="V1514" s="113" t="b">
        <v>0</v>
      </c>
      <c r="W1514" s="113"/>
      <c r="X1514" s="113" t="b">
        <v>0</v>
      </c>
      <c r="Y1514" s="113"/>
      <c r="Z1514" s="113"/>
      <c r="AA1514" s="113"/>
      <c r="AB1514" s="113"/>
      <c r="AC1514" s="113"/>
      <c r="AD1514" s="113"/>
      <c r="AE1514" s="113"/>
      <c r="AF1514" s="113"/>
    </row>
    <row r="1515">
      <c r="A1515" s="115"/>
      <c r="B1515" s="116"/>
      <c r="C1515" s="116"/>
      <c r="D1515" s="116"/>
      <c r="E1515" s="117"/>
      <c r="F1515" s="116"/>
      <c r="G1515" s="117"/>
      <c r="H1515" s="118"/>
      <c r="I1515" s="116"/>
      <c r="J1515" s="116"/>
      <c r="K1515" s="116"/>
      <c r="L1515" s="116"/>
      <c r="M1515" s="119" t="b">
        <v>0</v>
      </c>
      <c r="N1515" s="113" t="b">
        <v>0</v>
      </c>
      <c r="O1515" s="113" t="b">
        <v>0</v>
      </c>
      <c r="P1515" s="113" t="b">
        <v>0</v>
      </c>
      <c r="Q1515" s="113" t="b">
        <v>0</v>
      </c>
      <c r="R1515" s="113"/>
      <c r="S1515" s="113" t="b">
        <v>0</v>
      </c>
      <c r="T1515" s="113"/>
      <c r="U1515" s="113"/>
      <c r="V1515" s="113" t="b">
        <v>0</v>
      </c>
      <c r="W1515" s="113"/>
      <c r="X1515" s="113" t="b">
        <v>0</v>
      </c>
      <c r="Y1515" s="113"/>
      <c r="Z1515" s="113"/>
      <c r="AA1515" s="113"/>
      <c r="AB1515" s="113"/>
      <c r="AC1515" s="113"/>
      <c r="AD1515" s="113"/>
      <c r="AE1515" s="113"/>
      <c r="AF1515" s="113"/>
    </row>
    <row r="1516">
      <c r="A1516" s="115"/>
      <c r="B1516" s="116"/>
      <c r="C1516" s="116"/>
      <c r="D1516" s="116"/>
      <c r="E1516" s="117"/>
      <c r="F1516" s="116"/>
      <c r="G1516" s="117"/>
      <c r="H1516" s="118"/>
      <c r="I1516" s="116"/>
      <c r="J1516" s="116"/>
      <c r="K1516" s="116"/>
      <c r="L1516" s="116"/>
      <c r="M1516" s="119" t="b">
        <v>0</v>
      </c>
      <c r="N1516" s="113" t="b">
        <v>0</v>
      </c>
      <c r="O1516" s="113" t="b">
        <v>0</v>
      </c>
      <c r="P1516" s="113" t="b">
        <v>0</v>
      </c>
      <c r="Q1516" s="113" t="b">
        <v>0</v>
      </c>
      <c r="R1516" s="113"/>
      <c r="S1516" s="113" t="b">
        <v>0</v>
      </c>
      <c r="T1516" s="113"/>
      <c r="U1516" s="113"/>
      <c r="V1516" s="113" t="b">
        <v>0</v>
      </c>
      <c r="W1516" s="113"/>
      <c r="X1516" s="113" t="b">
        <v>0</v>
      </c>
      <c r="Y1516" s="113"/>
      <c r="Z1516" s="113"/>
      <c r="AA1516" s="113"/>
      <c r="AB1516" s="113"/>
      <c r="AC1516" s="113"/>
      <c r="AD1516" s="113"/>
      <c r="AE1516" s="113"/>
      <c r="AF1516" s="113"/>
    </row>
    <row r="1517">
      <c r="A1517" s="115"/>
      <c r="B1517" s="116"/>
      <c r="C1517" s="116"/>
      <c r="D1517" s="116"/>
      <c r="E1517" s="117"/>
      <c r="F1517" s="116"/>
      <c r="G1517" s="117"/>
      <c r="H1517" s="118"/>
      <c r="I1517" s="116"/>
      <c r="J1517" s="116"/>
      <c r="K1517" s="116"/>
      <c r="L1517" s="116"/>
      <c r="M1517" s="119" t="b">
        <v>0</v>
      </c>
      <c r="N1517" s="113" t="b">
        <v>0</v>
      </c>
      <c r="O1517" s="113" t="b">
        <v>0</v>
      </c>
      <c r="P1517" s="113" t="b">
        <v>0</v>
      </c>
      <c r="Q1517" s="113" t="b">
        <v>0</v>
      </c>
      <c r="R1517" s="113"/>
      <c r="S1517" s="113" t="b">
        <v>0</v>
      </c>
      <c r="T1517" s="113"/>
      <c r="U1517" s="113"/>
      <c r="V1517" s="113" t="b">
        <v>0</v>
      </c>
      <c r="W1517" s="113"/>
      <c r="X1517" s="113" t="b">
        <v>0</v>
      </c>
      <c r="Y1517" s="113"/>
      <c r="Z1517" s="113"/>
      <c r="AA1517" s="113"/>
      <c r="AB1517" s="113"/>
      <c r="AC1517" s="113"/>
      <c r="AD1517" s="113"/>
      <c r="AE1517" s="113"/>
      <c r="AF1517" s="113"/>
    </row>
    <row r="1518">
      <c r="A1518" s="115"/>
      <c r="B1518" s="116"/>
      <c r="C1518" s="116"/>
      <c r="D1518" s="116"/>
      <c r="E1518" s="117"/>
      <c r="F1518" s="116"/>
      <c r="G1518" s="117"/>
      <c r="H1518" s="118"/>
      <c r="I1518" s="116"/>
      <c r="J1518" s="116"/>
      <c r="K1518" s="116"/>
      <c r="L1518" s="116"/>
      <c r="M1518" s="119" t="b">
        <v>0</v>
      </c>
      <c r="N1518" s="113" t="b">
        <v>0</v>
      </c>
      <c r="O1518" s="113" t="b">
        <v>0</v>
      </c>
      <c r="P1518" s="113" t="b">
        <v>0</v>
      </c>
      <c r="Q1518" s="113" t="b">
        <v>0</v>
      </c>
      <c r="R1518" s="113"/>
      <c r="S1518" s="113" t="b">
        <v>0</v>
      </c>
      <c r="T1518" s="113"/>
      <c r="U1518" s="113"/>
      <c r="V1518" s="113" t="b">
        <v>0</v>
      </c>
      <c r="W1518" s="113"/>
      <c r="X1518" s="113" t="b">
        <v>0</v>
      </c>
      <c r="Y1518" s="113"/>
      <c r="Z1518" s="113"/>
      <c r="AA1518" s="113"/>
      <c r="AB1518" s="113"/>
      <c r="AC1518" s="113"/>
      <c r="AD1518" s="113"/>
      <c r="AE1518" s="113"/>
      <c r="AF1518" s="113"/>
    </row>
    <row r="1519">
      <c r="A1519" s="115"/>
      <c r="B1519" s="116"/>
      <c r="C1519" s="116"/>
      <c r="D1519" s="116"/>
      <c r="E1519" s="117"/>
      <c r="F1519" s="116"/>
      <c r="G1519" s="117"/>
      <c r="H1519" s="118"/>
      <c r="I1519" s="116"/>
      <c r="J1519" s="116"/>
      <c r="K1519" s="116"/>
      <c r="L1519" s="116"/>
      <c r="M1519" s="119" t="b">
        <v>0</v>
      </c>
      <c r="N1519" s="113" t="b">
        <v>0</v>
      </c>
      <c r="O1519" s="113" t="b">
        <v>0</v>
      </c>
      <c r="P1519" s="113" t="b">
        <v>0</v>
      </c>
      <c r="Q1519" s="113" t="b">
        <v>0</v>
      </c>
      <c r="R1519" s="113"/>
      <c r="S1519" s="113" t="b">
        <v>0</v>
      </c>
      <c r="T1519" s="113"/>
      <c r="U1519" s="113"/>
      <c r="V1519" s="113" t="b">
        <v>0</v>
      </c>
      <c r="W1519" s="113"/>
      <c r="X1519" s="113" t="b">
        <v>0</v>
      </c>
      <c r="Y1519" s="113"/>
      <c r="Z1519" s="113"/>
      <c r="AA1519" s="113"/>
      <c r="AB1519" s="113"/>
      <c r="AC1519" s="113"/>
      <c r="AD1519" s="113"/>
      <c r="AE1519" s="113"/>
      <c r="AF1519" s="113"/>
    </row>
    <row r="1520">
      <c r="A1520" s="115"/>
      <c r="B1520" s="116"/>
      <c r="C1520" s="116"/>
      <c r="D1520" s="116"/>
      <c r="E1520" s="117"/>
      <c r="F1520" s="116"/>
      <c r="G1520" s="117"/>
      <c r="H1520" s="118"/>
      <c r="I1520" s="116"/>
      <c r="J1520" s="116"/>
      <c r="K1520" s="116"/>
      <c r="L1520" s="116"/>
      <c r="M1520" s="119" t="b">
        <v>0</v>
      </c>
      <c r="N1520" s="113" t="b">
        <v>0</v>
      </c>
      <c r="O1520" s="113" t="b">
        <v>0</v>
      </c>
      <c r="P1520" s="113" t="b">
        <v>0</v>
      </c>
      <c r="Q1520" s="113" t="b">
        <v>0</v>
      </c>
      <c r="R1520" s="113"/>
      <c r="S1520" s="113" t="b">
        <v>0</v>
      </c>
      <c r="T1520" s="113"/>
      <c r="U1520" s="113"/>
      <c r="V1520" s="113" t="b">
        <v>0</v>
      </c>
      <c r="W1520" s="113"/>
      <c r="X1520" s="113" t="b">
        <v>0</v>
      </c>
      <c r="Y1520" s="113"/>
      <c r="Z1520" s="113"/>
      <c r="AA1520" s="113"/>
      <c r="AB1520" s="113"/>
      <c r="AC1520" s="113"/>
      <c r="AD1520" s="113"/>
      <c r="AE1520" s="113"/>
      <c r="AF1520" s="113"/>
    </row>
    <row r="1521">
      <c r="A1521" s="115"/>
      <c r="B1521" s="116"/>
      <c r="C1521" s="116"/>
      <c r="D1521" s="116"/>
      <c r="E1521" s="117"/>
      <c r="F1521" s="116"/>
      <c r="G1521" s="117"/>
      <c r="H1521" s="118"/>
      <c r="I1521" s="116"/>
      <c r="J1521" s="116"/>
      <c r="K1521" s="116"/>
      <c r="L1521" s="116"/>
      <c r="M1521" s="119" t="b">
        <v>0</v>
      </c>
      <c r="N1521" s="113" t="b">
        <v>0</v>
      </c>
      <c r="O1521" s="113" t="b">
        <v>0</v>
      </c>
      <c r="P1521" s="113" t="b">
        <v>0</v>
      </c>
      <c r="Q1521" s="113" t="b">
        <v>0</v>
      </c>
      <c r="R1521" s="113"/>
      <c r="S1521" s="113" t="b">
        <v>0</v>
      </c>
      <c r="T1521" s="113"/>
      <c r="U1521" s="113"/>
      <c r="V1521" s="113" t="b">
        <v>0</v>
      </c>
      <c r="W1521" s="113"/>
      <c r="X1521" s="113" t="b">
        <v>0</v>
      </c>
      <c r="Y1521" s="113"/>
      <c r="Z1521" s="113"/>
      <c r="AA1521" s="113"/>
      <c r="AB1521" s="113"/>
      <c r="AC1521" s="113"/>
      <c r="AD1521" s="113"/>
      <c r="AE1521" s="113"/>
      <c r="AF1521" s="113"/>
    </row>
    <row r="1522">
      <c r="A1522" s="115"/>
      <c r="B1522" s="116"/>
      <c r="C1522" s="116"/>
      <c r="D1522" s="116"/>
      <c r="E1522" s="117"/>
      <c r="F1522" s="116"/>
      <c r="G1522" s="117"/>
      <c r="H1522" s="118"/>
      <c r="I1522" s="116"/>
      <c r="J1522" s="116"/>
      <c r="K1522" s="116"/>
      <c r="L1522" s="116"/>
      <c r="M1522" s="119" t="b">
        <v>0</v>
      </c>
      <c r="N1522" s="113" t="b">
        <v>0</v>
      </c>
      <c r="O1522" s="113" t="b">
        <v>0</v>
      </c>
      <c r="P1522" s="113" t="b">
        <v>0</v>
      </c>
      <c r="Q1522" s="113" t="b">
        <v>0</v>
      </c>
      <c r="R1522" s="113"/>
      <c r="S1522" s="113" t="b">
        <v>0</v>
      </c>
      <c r="T1522" s="113"/>
      <c r="U1522" s="113"/>
      <c r="V1522" s="113" t="b">
        <v>0</v>
      </c>
      <c r="W1522" s="113"/>
      <c r="X1522" s="113" t="b">
        <v>0</v>
      </c>
      <c r="Y1522" s="113"/>
      <c r="Z1522" s="113"/>
      <c r="AA1522" s="113"/>
      <c r="AB1522" s="113"/>
      <c r="AC1522" s="113"/>
      <c r="AD1522" s="113"/>
      <c r="AE1522" s="113"/>
      <c r="AF1522" s="113"/>
    </row>
    <row r="1523">
      <c r="A1523" s="115"/>
      <c r="B1523" s="116"/>
      <c r="C1523" s="116"/>
      <c r="D1523" s="116"/>
      <c r="E1523" s="117"/>
      <c r="F1523" s="116"/>
      <c r="G1523" s="117"/>
      <c r="H1523" s="118"/>
      <c r="I1523" s="116"/>
      <c r="J1523" s="116"/>
      <c r="K1523" s="116"/>
      <c r="L1523" s="116"/>
      <c r="M1523" s="119" t="b">
        <v>0</v>
      </c>
      <c r="N1523" s="113" t="b">
        <v>0</v>
      </c>
      <c r="O1523" s="113" t="b">
        <v>0</v>
      </c>
      <c r="P1523" s="113" t="b">
        <v>0</v>
      </c>
      <c r="Q1523" s="113" t="b">
        <v>0</v>
      </c>
      <c r="R1523" s="113"/>
      <c r="S1523" s="113" t="b">
        <v>0</v>
      </c>
      <c r="T1523" s="113"/>
      <c r="U1523" s="113"/>
      <c r="V1523" s="113" t="b">
        <v>0</v>
      </c>
      <c r="W1523" s="113"/>
      <c r="X1523" s="113" t="b">
        <v>0</v>
      </c>
      <c r="Y1523" s="113"/>
      <c r="Z1523" s="113"/>
      <c r="AA1523" s="113"/>
      <c r="AB1523" s="113"/>
      <c r="AC1523" s="113"/>
      <c r="AD1523" s="113"/>
      <c r="AE1523" s="113"/>
      <c r="AF1523" s="113"/>
    </row>
    <row r="1524">
      <c r="A1524" s="115"/>
      <c r="B1524" s="116"/>
      <c r="C1524" s="116"/>
      <c r="D1524" s="116"/>
      <c r="E1524" s="117"/>
      <c r="F1524" s="116"/>
      <c r="G1524" s="117"/>
      <c r="H1524" s="118"/>
      <c r="I1524" s="116"/>
      <c r="J1524" s="116"/>
      <c r="K1524" s="116"/>
      <c r="L1524" s="116"/>
      <c r="M1524" s="119" t="b">
        <v>0</v>
      </c>
      <c r="N1524" s="113" t="b">
        <v>0</v>
      </c>
      <c r="O1524" s="113" t="b">
        <v>0</v>
      </c>
      <c r="P1524" s="113" t="b">
        <v>0</v>
      </c>
      <c r="Q1524" s="113" t="b">
        <v>0</v>
      </c>
      <c r="R1524" s="113"/>
      <c r="S1524" s="113" t="b">
        <v>0</v>
      </c>
      <c r="T1524" s="113"/>
      <c r="U1524" s="113"/>
      <c r="V1524" s="113" t="b">
        <v>0</v>
      </c>
      <c r="W1524" s="113"/>
      <c r="X1524" s="113" t="b">
        <v>0</v>
      </c>
      <c r="Y1524" s="113"/>
      <c r="Z1524" s="113"/>
      <c r="AA1524" s="113"/>
      <c r="AB1524" s="113"/>
      <c r="AC1524" s="113"/>
      <c r="AD1524" s="113"/>
      <c r="AE1524" s="113"/>
      <c r="AF1524" s="113"/>
    </row>
    <row r="1525">
      <c r="A1525" s="115"/>
      <c r="B1525" s="116"/>
      <c r="C1525" s="116"/>
      <c r="D1525" s="116"/>
      <c r="E1525" s="117"/>
      <c r="F1525" s="116"/>
      <c r="G1525" s="117"/>
      <c r="H1525" s="118"/>
      <c r="I1525" s="116"/>
      <c r="J1525" s="116"/>
      <c r="K1525" s="116"/>
      <c r="L1525" s="116"/>
      <c r="M1525" s="119" t="b">
        <v>0</v>
      </c>
      <c r="N1525" s="113" t="b">
        <v>0</v>
      </c>
      <c r="O1525" s="113" t="b">
        <v>0</v>
      </c>
      <c r="P1525" s="113" t="b">
        <v>0</v>
      </c>
      <c r="Q1525" s="113" t="b">
        <v>0</v>
      </c>
      <c r="R1525" s="113"/>
      <c r="S1525" s="113" t="b">
        <v>0</v>
      </c>
      <c r="T1525" s="113"/>
      <c r="U1525" s="113"/>
      <c r="V1525" s="113" t="b">
        <v>0</v>
      </c>
      <c r="W1525" s="113"/>
      <c r="X1525" s="113" t="b">
        <v>0</v>
      </c>
      <c r="Y1525" s="113"/>
      <c r="Z1525" s="113"/>
      <c r="AA1525" s="113"/>
      <c r="AB1525" s="113"/>
      <c r="AC1525" s="113"/>
      <c r="AD1525" s="113"/>
      <c r="AE1525" s="113"/>
      <c r="AF1525" s="113"/>
    </row>
    <row r="1526">
      <c r="A1526" s="115"/>
      <c r="B1526" s="116"/>
      <c r="C1526" s="116"/>
      <c r="D1526" s="116"/>
      <c r="E1526" s="117"/>
      <c r="F1526" s="116"/>
      <c r="G1526" s="117"/>
      <c r="H1526" s="118"/>
      <c r="I1526" s="116"/>
      <c r="J1526" s="116"/>
      <c r="K1526" s="116"/>
      <c r="L1526" s="116"/>
      <c r="M1526" s="119" t="b">
        <v>0</v>
      </c>
      <c r="N1526" s="113" t="b">
        <v>0</v>
      </c>
      <c r="O1526" s="113" t="b">
        <v>0</v>
      </c>
      <c r="P1526" s="113" t="b">
        <v>0</v>
      </c>
      <c r="Q1526" s="113" t="b">
        <v>0</v>
      </c>
      <c r="R1526" s="113"/>
      <c r="S1526" s="113" t="b">
        <v>0</v>
      </c>
      <c r="T1526" s="113"/>
      <c r="U1526" s="113"/>
      <c r="V1526" s="113" t="b">
        <v>0</v>
      </c>
      <c r="W1526" s="113"/>
      <c r="X1526" s="113" t="b">
        <v>0</v>
      </c>
      <c r="Y1526" s="113"/>
      <c r="Z1526" s="113"/>
      <c r="AA1526" s="113"/>
      <c r="AB1526" s="113"/>
      <c r="AC1526" s="113"/>
      <c r="AD1526" s="113"/>
      <c r="AE1526" s="113"/>
      <c r="AF1526" s="113"/>
    </row>
    <row r="1527">
      <c r="A1527" s="115"/>
      <c r="B1527" s="116"/>
      <c r="C1527" s="116"/>
      <c r="D1527" s="116"/>
      <c r="E1527" s="117"/>
      <c r="F1527" s="116"/>
      <c r="G1527" s="117"/>
      <c r="H1527" s="118"/>
      <c r="I1527" s="116"/>
      <c r="J1527" s="116"/>
      <c r="K1527" s="116"/>
      <c r="L1527" s="116"/>
      <c r="M1527" s="119" t="b">
        <v>0</v>
      </c>
      <c r="N1527" s="113" t="b">
        <v>0</v>
      </c>
      <c r="O1527" s="113" t="b">
        <v>0</v>
      </c>
      <c r="P1527" s="113" t="b">
        <v>0</v>
      </c>
      <c r="Q1527" s="113" t="b">
        <v>0</v>
      </c>
      <c r="R1527" s="113"/>
      <c r="S1527" s="113" t="b">
        <v>0</v>
      </c>
      <c r="T1527" s="113"/>
      <c r="U1527" s="113"/>
      <c r="V1527" s="113" t="b">
        <v>0</v>
      </c>
      <c r="W1527" s="113"/>
      <c r="X1527" s="113" t="b">
        <v>0</v>
      </c>
      <c r="Y1527" s="113"/>
      <c r="Z1527" s="113"/>
      <c r="AA1527" s="113"/>
      <c r="AB1527" s="113"/>
      <c r="AC1527" s="113"/>
      <c r="AD1527" s="113"/>
      <c r="AE1527" s="113"/>
      <c r="AF1527" s="113"/>
    </row>
    <row r="1528">
      <c r="A1528" s="115"/>
      <c r="B1528" s="116"/>
      <c r="C1528" s="116"/>
      <c r="D1528" s="116"/>
      <c r="E1528" s="117"/>
      <c r="F1528" s="116"/>
      <c r="G1528" s="117"/>
      <c r="H1528" s="118"/>
      <c r="I1528" s="116"/>
      <c r="J1528" s="116"/>
      <c r="K1528" s="116"/>
      <c r="L1528" s="116"/>
      <c r="M1528" s="119" t="b">
        <v>0</v>
      </c>
      <c r="N1528" s="113" t="b">
        <v>0</v>
      </c>
      <c r="O1528" s="113" t="b">
        <v>0</v>
      </c>
      <c r="P1528" s="113" t="b">
        <v>0</v>
      </c>
      <c r="Q1528" s="113" t="b">
        <v>0</v>
      </c>
      <c r="R1528" s="113"/>
      <c r="S1528" s="113" t="b">
        <v>0</v>
      </c>
      <c r="T1528" s="113"/>
      <c r="U1528" s="113"/>
      <c r="V1528" s="113" t="b">
        <v>0</v>
      </c>
      <c r="W1528" s="113"/>
      <c r="X1528" s="113" t="b">
        <v>0</v>
      </c>
      <c r="Y1528" s="113"/>
      <c r="Z1528" s="113"/>
      <c r="AA1528" s="113"/>
      <c r="AB1528" s="113"/>
      <c r="AC1528" s="113"/>
      <c r="AD1528" s="113"/>
      <c r="AE1528" s="113"/>
      <c r="AF1528" s="113"/>
    </row>
    <row r="1529">
      <c r="A1529" s="115"/>
      <c r="B1529" s="116"/>
      <c r="C1529" s="116"/>
      <c r="D1529" s="116"/>
      <c r="E1529" s="117"/>
      <c r="F1529" s="116"/>
      <c r="G1529" s="117"/>
      <c r="H1529" s="118"/>
      <c r="I1529" s="116"/>
      <c r="J1529" s="116"/>
      <c r="K1529" s="116"/>
      <c r="L1529" s="116"/>
      <c r="M1529" s="119" t="b">
        <v>0</v>
      </c>
      <c r="N1529" s="113" t="b">
        <v>0</v>
      </c>
      <c r="O1529" s="113" t="b">
        <v>0</v>
      </c>
      <c r="P1529" s="113" t="b">
        <v>0</v>
      </c>
      <c r="Q1529" s="113" t="b">
        <v>0</v>
      </c>
      <c r="R1529" s="113"/>
      <c r="S1529" s="113" t="b">
        <v>0</v>
      </c>
      <c r="T1529" s="113"/>
      <c r="U1529" s="113"/>
      <c r="V1529" s="113" t="b">
        <v>0</v>
      </c>
      <c r="W1529" s="113"/>
      <c r="X1529" s="113" t="b">
        <v>0</v>
      </c>
      <c r="Y1529" s="113"/>
      <c r="Z1529" s="113"/>
      <c r="AA1529" s="113"/>
      <c r="AB1529" s="113"/>
      <c r="AC1529" s="113"/>
      <c r="AD1529" s="113"/>
      <c r="AE1529" s="113"/>
      <c r="AF1529" s="113"/>
    </row>
    <row r="1530">
      <c r="A1530" s="115"/>
      <c r="B1530" s="116"/>
      <c r="C1530" s="116"/>
      <c r="D1530" s="116"/>
      <c r="E1530" s="117"/>
      <c r="F1530" s="116"/>
      <c r="G1530" s="117"/>
      <c r="H1530" s="118"/>
      <c r="I1530" s="116"/>
      <c r="J1530" s="116"/>
      <c r="K1530" s="116"/>
      <c r="L1530" s="116"/>
      <c r="M1530" s="119" t="b">
        <v>0</v>
      </c>
      <c r="N1530" s="113" t="b">
        <v>0</v>
      </c>
      <c r="O1530" s="113" t="b">
        <v>0</v>
      </c>
      <c r="P1530" s="113" t="b">
        <v>0</v>
      </c>
      <c r="Q1530" s="113" t="b">
        <v>0</v>
      </c>
      <c r="R1530" s="113"/>
      <c r="S1530" s="113" t="b">
        <v>0</v>
      </c>
      <c r="T1530" s="113"/>
      <c r="U1530" s="113"/>
      <c r="V1530" s="113" t="b">
        <v>0</v>
      </c>
      <c r="W1530" s="113"/>
      <c r="X1530" s="113" t="b">
        <v>0</v>
      </c>
      <c r="Y1530" s="113"/>
      <c r="Z1530" s="113"/>
      <c r="AA1530" s="113"/>
      <c r="AB1530" s="113"/>
      <c r="AC1530" s="113"/>
      <c r="AD1530" s="113"/>
      <c r="AE1530" s="113"/>
      <c r="AF1530" s="113"/>
    </row>
    <row r="1531">
      <c r="A1531" s="115"/>
      <c r="B1531" s="116"/>
      <c r="C1531" s="116"/>
      <c r="D1531" s="116"/>
      <c r="E1531" s="117"/>
      <c r="F1531" s="116"/>
      <c r="G1531" s="117"/>
      <c r="H1531" s="118"/>
      <c r="I1531" s="116"/>
      <c r="J1531" s="116"/>
      <c r="K1531" s="116"/>
      <c r="L1531" s="116"/>
      <c r="M1531" s="119" t="b">
        <v>0</v>
      </c>
      <c r="N1531" s="113" t="b">
        <v>0</v>
      </c>
      <c r="O1531" s="113" t="b">
        <v>0</v>
      </c>
      <c r="P1531" s="113" t="b">
        <v>0</v>
      </c>
      <c r="Q1531" s="113" t="b">
        <v>0</v>
      </c>
      <c r="R1531" s="113"/>
      <c r="S1531" s="113" t="b">
        <v>0</v>
      </c>
      <c r="T1531" s="113"/>
      <c r="U1531" s="113"/>
      <c r="V1531" s="113" t="b">
        <v>0</v>
      </c>
      <c r="W1531" s="113"/>
      <c r="X1531" s="113" t="b">
        <v>0</v>
      </c>
      <c r="Y1531" s="113"/>
      <c r="Z1531" s="113"/>
      <c r="AA1531" s="113"/>
      <c r="AB1531" s="113"/>
      <c r="AC1531" s="113"/>
      <c r="AD1531" s="113"/>
      <c r="AE1531" s="113"/>
      <c r="AF1531" s="113"/>
    </row>
    <row r="1532">
      <c r="A1532" s="115"/>
      <c r="B1532" s="116"/>
      <c r="C1532" s="116"/>
      <c r="D1532" s="116"/>
      <c r="E1532" s="117"/>
      <c r="F1532" s="116"/>
      <c r="G1532" s="117"/>
      <c r="H1532" s="118"/>
      <c r="I1532" s="116"/>
      <c r="J1532" s="116"/>
      <c r="K1532" s="116"/>
      <c r="L1532" s="116"/>
      <c r="M1532" s="119" t="b">
        <v>0</v>
      </c>
      <c r="N1532" s="113" t="b">
        <v>0</v>
      </c>
      <c r="O1532" s="113" t="b">
        <v>0</v>
      </c>
      <c r="P1532" s="113" t="b">
        <v>0</v>
      </c>
      <c r="Q1532" s="113" t="b">
        <v>0</v>
      </c>
      <c r="R1532" s="113"/>
      <c r="S1532" s="113" t="b">
        <v>0</v>
      </c>
      <c r="T1532" s="113"/>
      <c r="U1532" s="113"/>
      <c r="V1532" s="113" t="b">
        <v>0</v>
      </c>
      <c r="W1532" s="113"/>
      <c r="X1532" s="113" t="b">
        <v>0</v>
      </c>
      <c r="Y1532" s="113"/>
      <c r="Z1532" s="113"/>
      <c r="AA1532" s="113"/>
      <c r="AB1532" s="113"/>
      <c r="AC1532" s="113"/>
      <c r="AD1532" s="113"/>
      <c r="AE1532" s="113"/>
      <c r="AF1532" s="113"/>
    </row>
    <row r="1533">
      <c r="A1533" s="115"/>
      <c r="B1533" s="116"/>
      <c r="C1533" s="116"/>
      <c r="D1533" s="116"/>
      <c r="E1533" s="117"/>
      <c r="F1533" s="116"/>
      <c r="G1533" s="117"/>
      <c r="H1533" s="118"/>
      <c r="I1533" s="116"/>
      <c r="J1533" s="116"/>
      <c r="K1533" s="116"/>
      <c r="L1533" s="116"/>
      <c r="M1533" s="119" t="b">
        <v>0</v>
      </c>
      <c r="N1533" s="113" t="b">
        <v>0</v>
      </c>
      <c r="O1533" s="113" t="b">
        <v>0</v>
      </c>
      <c r="P1533" s="113" t="b">
        <v>0</v>
      </c>
      <c r="Q1533" s="113" t="b">
        <v>0</v>
      </c>
      <c r="R1533" s="113"/>
      <c r="S1533" s="113" t="b">
        <v>0</v>
      </c>
      <c r="T1533" s="113"/>
      <c r="U1533" s="113"/>
      <c r="V1533" s="113" t="b">
        <v>0</v>
      </c>
      <c r="W1533" s="113"/>
      <c r="X1533" s="113" t="b">
        <v>0</v>
      </c>
      <c r="Y1533" s="113"/>
      <c r="Z1533" s="113"/>
      <c r="AA1533" s="113"/>
      <c r="AB1533" s="113"/>
      <c r="AC1533" s="113"/>
      <c r="AD1533" s="113"/>
      <c r="AE1533" s="113"/>
      <c r="AF1533" s="113"/>
    </row>
    <row r="1534">
      <c r="A1534" s="115"/>
      <c r="B1534" s="116"/>
      <c r="C1534" s="116"/>
      <c r="D1534" s="116"/>
      <c r="E1534" s="117"/>
      <c r="F1534" s="116"/>
      <c r="G1534" s="117"/>
      <c r="H1534" s="118"/>
      <c r="I1534" s="116"/>
      <c r="J1534" s="116"/>
      <c r="K1534" s="116"/>
      <c r="L1534" s="116"/>
      <c r="M1534" s="119" t="b">
        <v>0</v>
      </c>
      <c r="N1534" s="113" t="b">
        <v>0</v>
      </c>
      <c r="O1534" s="113" t="b">
        <v>0</v>
      </c>
      <c r="P1534" s="113" t="b">
        <v>0</v>
      </c>
      <c r="Q1534" s="113" t="b">
        <v>0</v>
      </c>
      <c r="R1534" s="113"/>
      <c r="S1534" s="113" t="b">
        <v>0</v>
      </c>
      <c r="T1534" s="113"/>
      <c r="U1534" s="113"/>
      <c r="V1534" s="113" t="b">
        <v>0</v>
      </c>
      <c r="W1534" s="113"/>
      <c r="X1534" s="113" t="b">
        <v>0</v>
      </c>
      <c r="Y1534" s="113"/>
      <c r="Z1534" s="113"/>
      <c r="AA1534" s="113"/>
      <c r="AB1534" s="113"/>
      <c r="AC1534" s="113"/>
      <c r="AD1534" s="113"/>
      <c r="AE1534" s="113"/>
      <c r="AF1534" s="113"/>
    </row>
    <row r="1535">
      <c r="A1535" s="115"/>
      <c r="B1535" s="116"/>
      <c r="C1535" s="116"/>
      <c r="D1535" s="116"/>
      <c r="E1535" s="117"/>
      <c r="F1535" s="116"/>
      <c r="G1535" s="117"/>
      <c r="H1535" s="118"/>
      <c r="I1535" s="116"/>
      <c r="J1535" s="116"/>
      <c r="K1535" s="116"/>
      <c r="L1535" s="116"/>
      <c r="M1535" s="119" t="b">
        <v>0</v>
      </c>
      <c r="N1535" s="113" t="b">
        <v>0</v>
      </c>
      <c r="O1535" s="113" t="b">
        <v>0</v>
      </c>
      <c r="P1535" s="113" t="b">
        <v>0</v>
      </c>
      <c r="Q1535" s="113" t="b">
        <v>0</v>
      </c>
      <c r="R1535" s="113"/>
      <c r="S1535" s="113" t="b">
        <v>0</v>
      </c>
      <c r="T1535" s="113"/>
      <c r="U1535" s="113"/>
      <c r="V1535" s="113" t="b">
        <v>0</v>
      </c>
      <c r="W1535" s="113"/>
      <c r="X1535" s="113" t="b">
        <v>0</v>
      </c>
      <c r="Y1535" s="113"/>
      <c r="Z1535" s="113"/>
      <c r="AA1535" s="113"/>
      <c r="AB1535" s="113"/>
      <c r="AC1535" s="113"/>
      <c r="AD1535" s="113"/>
      <c r="AE1535" s="113"/>
      <c r="AF1535" s="113"/>
    </row>
    <row r="1536">
      <c r="A1536" s="115"/>
      <c r="B1536" s="116"/>
      <c r="C1536" s="116"/>
      <c r="D1536" s="116"/>
      <c r="E1536" s="117"/>
      <c r="F1536" s="116"/>
      <c r="G1536" s="117"/>
      <c r="H1536" s="118"/>
      <c r="I1536" s="116"/>
      <c r="J1536" s="116"/>
      <c r="K1536" s="116"/>
      <c r="L1536" s="116"/>
      <c r="M1536" s="119" t="b">
        <v>0</v>
      </c>
      <c r="N1536" s="113" t="b">
        <v>0</v>
      </c>
      <c r="O1536" s="113" t="b">
        <v>0</v>
      </c>
      <c r="P1536" s="113" t="b">
        <v>0</v>
      </c>
      <c r="Q1536" s="113" t="b">
        <v>0</v>
      </c>
      <c r="R1536" s="113"/>
      <c r="S1536" s="113" t="b">
        <v>0</v>
      </c>
      <c r="T1536" s="113"/>
      <c r="U1536" s="113"/>
      <c r="V1536" s="113" t="b">
        <v>0</v>
      </c>
      <c r="W1536" s="113"/>
      <c r="X1536" s="113" t="b">
        <v>0</v>
      </c>
      <c r="Y1536" s="113"/>
      <c r="Z1536" s="113"/>
      <c r="AA1536" s="113"/>
      <c r="AB1536" s="113"/>
      <c r="AC1536" s="113"/>
      <c r="AD1536" s="113"/>
      <c r="AE1536" s="113"/>
      <c r="AF1536" s="113"/>
    </row>
    <row r="1537">
      <c r="A1537" s="115"/>
      <c r="B1537" s="116"/>
      <c r="C1537" s="116"/>
      <c r="D1537" s="116"/>
      <c r="E1537" s="117"/>
      <c r="F1537" s="116"/>
      <c r="G1537" s="117"/>
      <c r="H1537" s="118"/>
      <c r="I1537" s="116"/>
      <c r="J1537" s="116"/>
      <c r="K1537" s="116"/>
      <c r="L1537" s="116"/>
      <c r="M1537" s="119" t="b">
        <v>0</v>
      </c>
      <c r="N1537" s="113" t="b">
        <v>0</v>
      </c>
      <c r="O1537" s="113" t="b">
        <v>0</v>
      </c>
      <c r="P1537" s="113" t="b">
        <v>0</v>
      </c>
      <c r="Q1537" s="113" t="b">
        <v>0</v>
      </c>
      <c r="R1537" s="113"/>
      <c r="S1537" s="113" t="b">
        <v>0</v>
      </c>
      <c r="T1537" s="113"/>
      <c r="U1537" s="113"/>
      <c r="V1537" s="113" t="b">
        <v>0</v>
      </c>
      <c r="W1537" s="113"/>
      <c r="X1537" s="113" t="b">
        <v>0</v>
      </c>
      <c r="Y1537" s="113"/>
      <c r="Z1537" s="113"/>
      <c r="AA1537" s="113"/>
      <c r="AB1537" s="113"/>
      <c r="AC1537" s="113"/>
      <c r="AD1537" s="113"/>
      <c r="AE1537" s="113"/>
      <c r="AF1537" s="113"/>
    </row>
    <row r="1538">
      <c r="A1538" s="115"/>
      <c r="B1538" s="116"/>
      <c r="C1538" s="116"/>
      <c r="D1538" s="116"/>
      <c r="E1538" s="117"/>
      <c r="F1538" s="116"/>
      <c r="G1538" s="117"/>
      <c r="H1538" s="118"/>
      <c r="I1538" s="116"/>
      <c r="J1538" s="116"/>
      <c r="K1538" s="116"/>
      <c r="L1538" s="116"/>
      <c r="M1538" s="119" t="b">
        <v>0</v>
      </c>
      <c r="N1538" s="113" t="b">
        <v>0</v>
      </c>
      <c r="O1538" s="113" t="b">
        <v>0</v>
      </c>
      <c r="P1538" s="113" t="b">
        <v>0</v>
      </c>
      <c r="Q1538" s="113" t="b">
        <v>0</v>
      </c>
      <c r="R1538" s="113"/>
      <c r="S1538" s="113" t="b">
        <v>0</v>
      </c>
      <c r="T1538" s="113"/>
      <c r="U1538" s="113"/>
      <c r="V1538" s="113" t="b">
        <v>0</v>
      </c>
      <c r="W1538" s="113"/>
      <c r="X1538" s="113" t="b">
        <v>0</v>
      </c>
      <c r="Y1538" s="113"/>
      <c r="Z1538" s="113"/>
      <c r="AA1538" s="113"/>
      <c r="AB1538" s="113"/>
      <c r="AC1538" s="113"/>
      <c r="AD1538" s="113"/>
      <c r="AE1538" s="113"/>
      <c r="AF1538" s="113"/>
    </row>
    <row r="1539">
      <c r="A1539" s="115"/>
      <c r="B1539" s="116"/>
      <c r="C1539" s="116"/>
      <c r="D1539" s="116"/>
      <c r="E1539" s="117"/>
      <c r="F1539" s="116"/>
      <c r="G1539" s="117"/>
      <c r="H1539" s="118"/>
      <c r="I1539" s="116"/>
      <c r="J1539" s="116"/>
      <c r="K1539" s="116"/>
      <c r="L1539" s="116"/>
      <c r="M1539" s="119" t="b">
        <v>0</v>
      </c>
      <c r="N1539" s="113" t="b">
        <v>0</v>
      </c>
      <c r="O1539" s="113" t="b">
        <v>0</v>
      </c>
      <c r="P1539" s="113" t="b">
        <v>0</v>
      </c>
      <c r="Q1539" s="113" t="b">
        <v>0</v>
      </c>
      <c r="R1539" s="113"/>
      <c r="S1539" s="113" t="b">
        <v>0</v>
      </c>
      <c r="T1539" s="113"/>
      <c r="U1539" s="113"/>
      <c r="V1539" s="113" t="b">
        <v>0</v>
      </c>
      <c r="W1539" s="113"/>
      <c r="X1539" s="113" t="b">
        <v>0</v>
      </c>
      <c r="Y1539" s="113"/>
      <c r="Z1539" s="113"/>
      <c r="AA1539" s="113"/>
      <c r="AB1539" s="113"/>
      <c r="AC1539" s="113"/>
      <c r="AD1539" s="113"/>
      <c r="AE1539" s="113"/>
      <c r="AF1539" s="113"/>
    </row>
    <row r="1540">
      <c r="A1540" s="115"/>
      <c r="B1540" s="116"/>
      <c r="C1540" s="116"/>
      <c r="D1540" s="116"/>
      <c r="E1540" s="117"/>
      <c r="F1540" s="116"/>
      <c r="G1540" s="117"/>
      <c r="H1540" s="118"/>
      <c r="I1540" s="116"/>
      <c r="J1540" s="116"/>
      <c r="K1540" s="116"/>
      <c r="L1540" s="116"/>
      <c r="M1540" s="119" t="b">
        <v>0</v>
      </c>
      <c r="N1540" s="113" t="b">
        <v>0</v>
      </c>
      <c r="O1540" s="113" t="b">
        <v>0</v>
      </c>
      <c r="P1540" s="113" t="b">
        <v>0</v>
      </c>
      <c r="Q1540" s="113" t="b">
        <v>0</v>
      </c>
      <c r="R1540" s="113"/>
      <c r="S1540" s="113" t="b">
        <v>0</v>
      </c>
      <c r="T1540" s="113"/>
      <c r="U1540" s="113"/>
      <c r="V1540" s="113" t="b">
        <v>0</v>
      </c>
      <c r="W1540" s="113"/>
      <c r="X1540" s="113" t="b">
        <v>0</v>
      </c>
      <c r="Y1540" s="113"/>
      <c r="Z1540" s="113"/>
      <c r="AA1540" s="113"/>
      <c r="AB1540" s="113"/>
      <c r="AC1540" s="113"/>
      <c r="AD1540" s="113"/>
      <c r="AE1540" s="113"/>
      <c r="AF1540" s="113"/>
    </row>
    <row r="1541">
      <c r="A1541" s="115"/>
      <c r="B1541" s="116"/>
      <c r="C1541" s="116"/>
      <c r="D1541" s="116"/>
      <c r="E1541" s="117"/>
      <c r="F1541" s="116"/>
      <c r="G1541" s="117"/>
      <c r="H1541" s="118"/>
      <c r="I1541" s="116"/>
      <c r="J1541" s="116"/>
      <c r="K1541" s="116"/>
      <c r="L1541" s="116"/>
      <c r="M1541" s="119" t="b">
        <v>0</v>
      </c>
      <c r="N1541" s="113" t="b">
        <v>0</v>
      </c>
      <c r="O1541" s="113" t="b">
        <v>0</v>
      </c>
      <c r="P1541" s="113" t="b">
        <v>0</v>
      </c>
      <c r="Q1541" s="113" t="b">
        <v>0</v>
      </c>
      <c r="R1541" s="113"/>
      <c r="S1541" s="113" t="b">
        <v>0</v>
      </c>
      <c r="T1541" s="113"/>
      <c r="U1541" s="113"/>
      <c r="V1541" s="113" t="b">
        <v>0</v>
      </c>
      <c r="W1541" s="113"/>
      <c r="X1541" s="113" t="b">
        <v>0</v>
      </c>
      <c r="Y1541" s="113"/>
      <c r="Z1541" s="113"/>
      <c r="AA1541" s="113"/>
      <c r="AB1541" s="113"/>
      <c r="AC1541" s="113"/>
      <c r="AD1541" s="113"/>
      <c r="AE1541" s="113"/>
      <c r="AF1541" s="113"/>
    </row>
    <row r="1542">
      <c r="A1542" s="115"/>
      <c r="B1542" s="116"/>
      <c r="C1542" s="116"/>
      <c r="D1542" s="116"/>
      <c r="E1542" s="117"/>
      <c r="F1542" s="116"/>
      <c r="G1542" s="117"/>
      <c r="H1542" s="118"/>
      <c r="I1542" s="116"/>
      <c r="J1542" s="116"/>
      <c r="K1542" s="116"/>
      <c r="L1542" s="116"/>
      <c r="M1542" s="119" t="b">
        <v>0</v>
      </c>
      <c r="N1542" s="113" t="b">
        <v>0</v>
      </c>
      <c r="O1542" s="113" t="b">
        <v>0</v>
      </c>
      <c r="P1542" s="113" t="b">
        <v>0</v>
      </c>
      <c r="Q1542" s="113" t="b">
        <v>0</v>
      </c>
      <c r="R1542" s="113"/>
      <c r="S1542" s="113" t="b">
        <v>0</v>
      </c>
      <c r="T1542" s="113"/>
      <c r="U1542" s="113"/>
      <c r="V1542" s="113" t="b">
        <v>0</v>
      </c>
      <c r="W1542" s="113"/>
      <c r="X1542" s="113" t="b">
        <v>0</v>
      </c>
      <c r="Y1542" s="113"/>
      <c r="Z1542" s="113"/>
      <c r="AA1542" s="113"/>
      <c r="AB1542" s="113"/>
      <c r="AC1542" s="113"/>
      <c r="AD1542" s="113"/>
      <c r="AE1542" s="113"/>
      <c r="AF1542" s="113"/>
    </row>
    <row r="1543">
      <c r="A1543" s="115"/>
      <c r="B1543" s="116"/>
      <c r="C1543" s="116"/>
      <c r="D1543" s="116"/>
      <c r="E1543" s="117"/>
      <c r="F1543" s="116"/>
      <c r="G1543" s="117"/>
      <c r="H1543" s="118"/>
      <c r="I1543" s="116"/>
      <c r="J1543" s="116"/>
      <c r="K1543" s="116"/>
      <c r="L1543" s="116"/>
      <c r="M1543" s="119" t="b">
        <v>0</v>
      </c>
      <c r="N1543" s="113" t="b">
        <v>0</v>
      </c>
      <c r="O1543" s="113" t="b">
        <v>0</v>
      </c>
      <c r="P1543" s="113" t="b">
        <v>0</v>
      </c>
      <c r="Q1543" s="113" t="b">
        <v>0</v>
      </c>
      <c r="R1543" s="113"/>
      <c r="S1543" s="113" t="b">
        <v>0</v>
      </c>
      <c r="T1543" s="113"/>
      <c r="U1543" s="113"/>
      <c r="V1543" s="113" t="b">
        <v>0</v>
      </c>
      <c r="W1543" s="113"/>
      <c r="X1543" s="113" t="b">
        <v>0</v>
      </c>
      <c r="Y1543" s="113"/>
      <c r="Z1543" s="113"/>
      <c r="AA1543" s="113"/>
      <c r="AB1543" s="113"/>
      <c r="AC1543" s="113"/>
      <c r="AD1543" s="113"/>
      <c r="AE1543" s="113"/>
      <c r="AF1543" s="113"/>
    </row>
    <row r="1544">
      <c r="A1544" s="115"/>
      <c r="B1544" s="116"/>
      <c r="C1544" s="116"/>
      <c r="D1544" s="116"/>
      <c r="E1544" s="117"/>
      <c r="F1544" s="116"/>
      <c r="G1544" s="117"/>
      <c r="H1544" s="118"/>
      <c r="I1544" s="116"/>
      <c r="J1544" s="116"/>
      <c r="K1544" s="116"/>
      <c r="L1544" s="116"/>
      <c r="M1544" s="119" t="b">
        <v>0</v>
      </c>
      <c r="N1544" s="113" t="b">
        <v>0</v>
      </c>
      <c r="O1544" s="113" t="b">
        <v>0</v>
      </c>
      <c r="P1544" s="113" t="b">
        <v>0</v>
      </c>
      <c r="Q1544" s="113" t="b">
        <v>0</v>
      </c>
      <c r="R1544" s="113"/>
      <c r="S1544" s="113" t="b">
        <v>0</v>
      </c>
      <c r="T1544" s="113"/>
      <c r="U1544" s="113"/>
      <c r="V1544" s="113" t="b">
        <v>0</v>
      </c>
      <c r="W1544" s="113"/>
      <c r="X1544" s="113" t="b">
        <v>0</v>
      </c>
      <c r="Y1544" s="113"/>
      <c r="Z1544" s="113"/>
      <c r="AA1544" s="113"/>
      <c r="AB1544" s="113"/>
      <c r="AC1544" s="113"/>
      <c r="AD1544" s="113"/>
      <c r="AE1544" s="113"/>
      <c r="AF1544" s="113"/>
    </row>
    <row r="1545">
      <c r="A1545" s="115"/>
      <c r="B1545" s="116"/>
      <c r="C1545" s="116"/>
      <c r="D1545" s="116"/>
      <c r="E1545" s="117"/>
      <c r="F1545" s="116"/>
      <c r="G1545" s="117"/>
      <c r="H1545" s="118"/>
      <c r="I1545" s="116"/>
      <c r="J1545" s="116"/>
      <c r="K1545" s="116"/>
      <c r="L1545" s="116"/>
      <c r="M1545" s="119" t="b">
        <v>0</v>
      </c>
      <c r="N1545" s="113" t="b">
        <v>0</v>
      </c>
      <c r="O1545" s="113" t="b">
        <v>0</v>
      </c>
      <c r="P1545" s="113" t="b">
        <v>0</v>
      </c>
      <c r="Q1545" s="113" t="b">
        <v>0</v>
      </c>
      <c r="R1545" s="113"/>
      <c r="S1545" s="113" t="b">
        <v>0</v>
      </c>
      <c r="T1545" s="113"/>
      <c r="U1545" s="113"/>
      <c r="V1545" s="113" t="b">
        <v>0</v>
      </c>
      <c r="W1545" s="113"/>
      <c r="X1545" s="113" t="b">
        <v>0</v>
      </c>
      <c r="Y1545" s="113"/>
      <c r="Z1545" s="113"/>
      <c r="AA1545" s="113"/>
      <c r="AB1545" s="113"/>
      <c r="AC1545" s="113"/>
      <c r="AD1545" s="113"/>
      <c r="AE1545" s="113"/>
      <c r="AF1545" s="113"/>
    </row>
    <row r="1546">
      <c r="A1546" s="115"/>
      <c r="B1546" s="116"/>
      <c r="C1546" s="116"/>
      <c r="D1546" s="116"/>
      <c r="E1546" s="117"/>
      <c r="F1546" s="116"/>
      <c r="G1546" s="117"/>
      <c r="H1546" s="118"/>
      <c r="I1546" s="116"/>
      <c r="J1546" s="116"/>
      <c r="K1546" s="116"/>
      <c r="L1546" s="116"/>
      <c r="M1546" s="119" t="b">
        <v>0</v>
      </c>
      <c r="N1546" s="113" t="b">
        <v>0</v>
      </c>
      <c r="O1546" s="113" t="b">
        <v>0</v>
      </c>
      <c r="P1546" s="113" t="b">
        <v>0</v>
      </c>
      <c r="Q1546" s="113" t="b">
        <v>0</v>
      </c>
      <c r="R1546" s="113"/>
      <c r="S1546" s="113" t="b">
        <v>0</v>
      </c>
      <c r="T1546" s="113"/>
      <c r="U1546" s="113"/>
      <c r="V1546" s="113" t="b">
        <v>0</v>
      </c>
      <c r="W1546" s="113"/>
      <c r="X1546" s="113" t="b">
        <v>0</v>
      </c>
      <c r="Y1546" s="113"/>
      <c r="Z1546" s="113"/>
      <c r="AA1546" s="113"/>
      <c r="AB1546" s="113"/>
      <c r="AC1546" s="113"/>
      <c r="AD1546" s="113"/>
      <c r="AE1546" s="113"/>
      <c r="AF1546" s="113"/>
    </row>
    <row r="1547">
      <c r="A1547" s="115"/>
      <c r="B1547" s="116"/>
      <c r="C1547" s="116"/>
      <c r="D1547" s="116"/>
      <c r="E1547" s="117"/>
      <c r="F1547" s="116"/>
      <c r="G1547" s="117"/>
      <c r="H1547" s="118"/>
      <c r="I1547" s="116"/>
      <c r="J1547" s="116"/>
      <c r="K1547" s="116"/>
      <c r="L1547" s="116"/>
      <c r="M1547" s="119" t="b">
        <v>0</v>
      </c>
      <c r="N1547" s="113" t="b">
        <v>0</v>
      </c>
      <c r="O1547" s="113" t="b">
        <v>0</v>
      </c>
      <c r="P1547" s="113" t="b">
        <v>0</v>
      </c>
      <c r="Q1547" s="113" t="b">
        <v>0</v>
      </c>
      <c r="R1547" s="113"/>
      <c r="S1547" s="113" t="b">
        <v>0</v>
      </c>
      <c r="T1547" s="113"/>
      <c r="U1547" s="113"/>
      <c r="V1547" s="113" t="b">
        <v>0</v>
      </c>
      <c r="W1547" s="113"/>
      <c r="X1547" s="113" t="b">
        <v>0</v>
      </c>
      <c r="Y1547" s="113"/>
      <c r="Z1547" s="113"/>
      <c r="AA1547" s="113"/>
      <c r="AB1547" s="113"/>
      <c r="AC1547" s="113"/>
      <c r="AD1547" s="113"/>
      <c r="AE1547" s="113"/>
      <c r="AF1547" s="113"/>
    </row>
    <row r="1548">
      <c r="A1548" s="115"/>
      <c r="B1548" s="116"/>
      <c r="C1548" s="116"/>
      <c r="D1548" s="116"/>
      <c r="E1548" s="117"/>
      <c r="F1548" s="116"/>
      <c r="G1548" s="117"/>
      <c r="H1548" s="118"/>
      <c r="I1548" s="116"/>
      <c r="J1548" s="116"/>
      <c r="K1548" s="116"/>
      <c r="L1548" s="116"/>
      <c r="M1548" s="119" t="b">
        <v>0</v>
      </c>
      <c r="N1548" s="113" t="b">
        <v>0</v>
      </c>
      <c r="O1548" s="113" t="b">
        <v>0</v>
      </c>
      <c r="P1548" s="113" t="b">
        <v>0</v>
      </c>
      <c r="Q1548" s="113" t="b">
        <v>0</v>
      </c>
      <c r="R1548" s="113"/>
      <c r="S1548" s="113" t="b">
        <v>0</v>
      </c>
      <c r="T1548" s="113"/>
      <c r="U1548" s="113"/>
      <c r="V1548" s="113" t="b">
        <v>0</v>
      </c>
      <c r="W1548" s="113"/>
      <c r="X1548" s="113" t="b">
        <v>0</v>
      </c>
      <c r="Y1548" s="113"/>
      <c r="Z1548" s="113"/>
      <c r="AA1548" s="113"/>
      <c r="AB1548" s="113"/>
      <c r="AC1548" s="113"/>
      <c r="AD1548" s="113"/>
      <c r="AE1548" s="113"/>
      <c r="AF1548" s="113"/>
    </row>
    <row r="1549">
      <c r="A1549" s="115"/>
      <c r="B1549" s="116"/>
      <c r="C1549" s="116"/>
      <c r="D1549" s="116"/>
      <c r="E1549" s="117"/>
      <c r="F1549" s="116"/>
      <c r="G1549" s="117"/>
      <c r="H1549" s="118"/>
      <c r="I1549" s="116"/>
      <c r="J1549" s="116"/>
      <c r="K1549" s="116"/>
      <c r="L1549" s="116"/>
      <c r="M1549" s="119" t="b">
        <v>0</v>
      </c>
      <c r="N1549" s="113" t="b">
        <v>0</v>
      </c>
      <c r="O1549" s="113" t="b">
        <v>0</v>
      </c>
      <c r="P1549" s="113" t="b">
        <v>0</v>
      </c>
      <c r="Q1549" s="113" t="b">
        <v>0</v>
      </c>
      <c r="R1549" s="113"/>
      <c r="S1549" s="113" t="b">
        <v>0</v>
      </c>
      <c r="T1549" s="113"/>
      <c r="U1549" s="113"/>
      <c r="V1549" s="113" t="b">
        <v>0</v>
      </c>
      <c r="W1549" s="113"/>
      <c r="X1549" s="113" t="b">
        <v>0</v>
      </c>
      <c r="Y1549" s="113"/>
      <c r="Z1549" s="113"/>
      <c r="AA1549" s="113"/>
      <c r="AB1549" s="113"/>
      <c r="AC1549" s="113"/>
      <c r="AD1549" s="113"/>
      <c r="AE1549" s="113"/>
      <c r="AF1549" s="113"/>
    </row>
    <row r="1550">
      <c r="A1550" s="115"/>
      <c r="B1550" s="116"/>
      <c r="C1550" s="116"/>
      <c r="D1550" s="116"/>
      <c r="E1550" s="117"/>
      <c r="F1550" s="116"/>
      <c r="G1550" s="117"/>
      <c r="H1550" s="118"/>
      <c r="I1550" s="116"/>
      <c r="J1550" s="116"/>
      <c r="K1550" s="116"/>
      <c r="L1550" s="116"/>
      <c r="M1550" s="119" t="b">
        <v>0</v>
      </c>
      <c r="N1550" s="113" t="b">
        <v>0</v>
      </c>
      <c r="O1550" s="113" t="b">
        <v>0</v>
      </c>
      <c r="P1550" s="113" t="b">
        <v>0</v>
      </c>
      <c r="Q1550" s="113" t="b">
        <v>0</v>
      </c>
      <c r="R1550" s="113"/>
      <c r="S1550" s="113" t="b">
        <v>0</v>
      </c>
      <c r="T1550" s="113"/>
      <c r="U1550" s="113"/>
      <c r="V1550" s="113" t="b">
        <v>0</v>
      </c>
      <c r="W1550" s="113"/>
      <c r="X1550" s="113" t="b">
        <v>0</v>
      </c>
      <c r="Y1550" s="113"/>
      <c r="Z1550" s="113"/>
      <c r="AA1550" s="113"/>
      <c r="AB1550" s="113"/>
      <c r="AC1550" s="113"/>
      <c r="AD1550" s="113"/>
      <c r="AE1550" s="113"/>
      <c r="AF1550" s="113"/>
    </row>
    <row r="1551">
      <c r="A1551" s="115"/>
      <c r="B1551" s="116"/>
      <c r="C1551" s="116"/>
      <c r="D1551" s="116"/>
      <c r="E1551" s="117"/>
      <c r="F1551" s="116"/>
      <c r="G1551" s="117"/>
      <c r="H1551" s="118"/>
      <c r="I1551" s="116"/>
      <c r="J1551" s="116"/>
      <c r="K1551" s="116"/>
      <c r="L1551" s="116"/>
      <c r="M1551" s="119" t="b">
        <v>0</v>
      </c>
      <c r="N1551" s="113" t="b">
        <v>0</v>
      </c>
      <c r="O1551" s="113" t="b">
        <v>0</v>
      </c>
      <c r="P1551" s="113" t="b">
        <v>0</v>
      </c>
      <c r="Q1551" s="113" t="b">
        <v>0</v>
      </c>
      <c r="R1551" s="113"/>
      <c r="S1551" s="113" t="b">
        <v>0</v>
      </c>
      <c r="T1551" s="113"/>
      <c r="U1551" s="113"/>
      <c r="V1551" s="113" t="b">
        <v>0</v>
      </c>
      <c r="W1551" s="113"/>
      <c r="X1551" s="113" t="b">
        <v>0</v>
      </c>
      <c r="Y1551" s="113"/>
      <c r="Z1551" s="113"/>
      <c r="AA1551" s="113"/>
      <c r="AB1551" s="113"/>
      <c r="AC1551" s="113"/>
      <c r="AD1551" s="113"/>
      <c r="AE1551" s="113"/>
      <c r="AF1551" s="113"/>
    </row>
    <row r="1552">
      <c r="A1552" s="115"/>
      <c r="B1552" s="116"/>
      <c r="C1552" s="116"/>
      <c r="D1552" s="116"/>
      <c r="E1552" s="117"/>
      <c r="F1552" s="116"/>
      <c r="G1552" s="117"/>
      <c r="H1552" s="118"/>
      <c r="I1552" s="116"/>
      <c r="J1552" s="116"/>
      <c r="K1552" s="116"/>
      <c r="L1552" s="116"/>
      <c r="M1552" s="119" t="b">
        <v>0</v>
      </c>
      <c r="N1552" s="113" t="b">
        <v>0</v>
      </c>
      <c r="O1552" s="113" t="b">
        <v>0</v>
      </c>
      <c r="P1552" s="113" t="b">
        <v>0</v>
      </c>
      <c r="Q1552" s="113" t="b">
        <v>0</v>
      </c>
      <c r="R1552" s="113"/>
      <c r="S1552" s="113" t="b">
        <v>0</v>
      </c>
      <c r="T1552" s="113"/>
      <c r="U1552" s="113"/>
      <c r="V1552" s="113" t="b">
        <v>0</v>
      </c>
      <c r="W1552" s="113"/>
      <c r="X1552" s="113" t="b">
        <v>0</v>
      </c>
      <c r="Y1552" s="113"/>
      <c r="Z1552" s="113"/>
      <c r="AA1552" s="113"/>
      <c r="AB1552" s="113"/>
      <c r="AC1552" s="113"/>
      <c r="AD1552" s="113"/>
      <c r="AE1552" s="113"/>
      <c r="AF1552" s="113"/>
    </row>
    <row r="1553">
      <c r="A1553" s="115"/>
      <c r="B1553" s="116"/>
      <c r="C1553" s="116"/>
      <c r="D1553" s="116"/>
      <c r="E1553" s="117"/>
      <c r="F1553" s="116"/>
      <c r="G1553" s="117"/>
      <c r="H1553" s="118"/>
      <c r="I1553" s="116"/>
      <c r="J1553" s="116"/>
      <c r="K1553" s="116"/>
      <c r="L1553" s="116"/>
      <c r="M1553" s="119" t="b">
        <v>0</v>
      </c>
      <c r="N1553" s="113" t="b">
        <v>0</v>
      </c>
      <c r="O1553" s="113" t="b">
        <v>0</v>
      </c>
      <c r="P1553" s="113" t="b">
        <v>0</v>
      </c>
      <c r="Q1553" s="113" t="b">
        <v>0</v>
      </c>
      <c r="R1553" s="113"/>
      <c r="S1553" s="113" t="b">
        <v>0</v>
      </c>
      <c r="T1553" s="113"/>
      <c r="U1553" s="113"/>
      <c r="V1553" s="113" t="b">
        <v>0</v>
      </c>
      <c r="W1553" s="113"/>
      <c r="X1553" s="113" t="b">
        <v>0</v>
      </c>
      <c r="Y1553" s="113"/>
      <c r="Z1553" s="113"/>
      <c r="AA1553" s="113"/>
      <c r="AB1553" s="113"/>
      <c r="AC1553" s="113"/>
      <c r="AD1553" s="113"/>
      <c r="AE1553" s="113"/>
      <c r="AF1553" s="113"/>
    </row>
    <row r="1554">
      <c r="A1554" s="115"/>
      <c r="B1554" s="116"/>
      <c r="C1554" s="116"/>
      <c r="D1554" s="116"/>
      <c r="E1554" s="117"/>
      <c r="F1554" s="116"/>
      <c r="G1554" s="117"/>
      <c r="H1554" s="118"/>
      <c r="I1554" s="116"/>
      <c r="J1554" s="116"/>
      <c r="K1554" s="116"/>
      <c r="L1554" s="116"/>
      <c r="M1554" s="119" t="b">
        <v>0</v>
      </c>
      <c r="N1554" s="113" t="b">
        <v>0</v>
      </c>
      <c r="O1554" s="113" t="b">
        <v>0</v>
      </c>
      <c r="P1554" s="113" t="b">
        <v>0</v>
      </c>
      <c r="Q1554" s="113" t="b">
        <v>0</v>
      </c>
      <c r="R1554" s="113"/>
      <c r="S1554" s="113" t="b">
        <v>0</v>
      </c>
      <c r="T1554" s="113"/>
      <c r="U1554" s="113"/>
      <c r="V1554" s="113" t="b">
        <v>0</v>
      </c>
      <c r="W1554" s="113"/>
      <c r="X1554" s="113" t="b">
        <v>0</v>
      </c>
      <c r="Y1554" s="113"/>
      <c r="Z1554" s="113"/>
      <c r="AA1554" s="113"/>
      <c r="AB1554" s="113"/>
      <c r="AC1554" s="113"/>
      <c r="AD1554" s="113"/>
      <c r="AE1554" s="113"/>
      <c r="AF1554" s="113"/>
    </row>
    <row r="1555">
      <c r="A1555" s="115"/>
      <c r="B1555" s="116"/>
      <c r="C1555" s="116"/>
      <c r="D1555" s="116"/>
      <c r="E1555" s="117"/>
      <c r="F1555" s="116"/>
      <c r="G1555" s="117"/>
      <c r="H1555" s="118"/>
      <c r="I1555" s="116"/>
      <c r="J1555" s="116"/>
      <c r="K1555" s="116"/>
      <c r="L1555" s="116"/>
      <c r="M1555" s="119" t="b">
        <v>0</v>
      </c>
      <c r="N1555" s="113" t="b">
        <v>0</v>
      </c>
      <c r="O1555" s="113" t="b">
        <v>0</v>
      </c>
      <c r="P1555" s="113" t="b">
        <v>0</v>
      </c>
      <c r="Q1555" s="113" t="b">
        <v>0</v>
      </c>
      <c r="R1555" s="113"/>
      <c r="S1555" s="113" t="b">
        <v>0</v>
      </c>
      <c r="T1555" s="113"/>
      <c r="U1555" s="113"/>
      <c r="V1555" s="113" t="b">
        <v>0</v>
      </c>
      <c r="W1555" s="113"/>
      <c r="X1555" s="113" t="b">
        <v>0</v>
      </c>
      <c r="Y1555" s="113"/>
      <c r="Z1555" s="113"/>
      <c r="AA1555" s="113"/>
      <c r="AB1555" s="113"/>
      <c r="AC1555" s="113"/>
      <c r="AD1555" s="113"/>
      <c r="AE1555" s="113"/>
      <c r="AF1555" s="113"/>
    </row>
    <row r="1556">
      <c r="A1556" s="115"/>
      <c r="B1556" s="116"/>
      <c r="C1556" s="116"/>
      <c r="D1556" s="116"/>
      <c r="E1556" s="117"/>
      <c r="F1556" s="116"/>
      <c r="G1556" s="117"/>
      <c r="H1556" s="118"/>
      <c r="I1556" s="116"/>
      <c r="J1556" s="116"/>
      <c r="K1556" s="116"/>
      <c r="L1556" s="116"/>
      <c r="M1556" s="119" t="b">
        <v>0</v>
      </c>
      <c r="N1556" s="113" t="b">
        <v>0</v>
      </c>
      <c r="O1556" s="113" t="b">
        <v>0</v>
      </c>
      <c r="P1556" s="113" t="b">
        <v>0</v>
      </c>
      <c r="Q1556" s="113" t="b">
        <v>0</v>
      </c>
      <c r="R1556" s="113"/>
      <c r="S1556" s="113" t="b">
        <v>0</v>
      </c>
      <c r="T1556" s="113"/>
      <c r="U1556" s="113"/>
      <c r="V1556" s="113" t="b">
        <v>0</v>
      </c>
      <c r="W1556" s="113"/>
      <c r="X1556" s="113" t="b">
        <v>0</v>
      </c>
      <c r="Y1556" s="113"/>
      <c r="Z1556" s="113"/>
      <c r="AA1556" s="113"/>
      <c r="AB1556" s="113"/>
      <c r="AC1556" s="113"/>
      <c r="AD1556" s="113"/>
      <c r="AE1556" s="113"/>
      <c r="AF1556" s="113"/>
    </row>
    <row r="1557">
      <c r="A1557" s="115"/>
      <c r="B1557" s="116"/>
      <c r="C1557" s="116"/>
      <c r="D1557" s="116"/>
      <c r="E1557" s="117"/>
      <c r="F1557" s="116"/>
      <c r="G1557" s="117"/>
      <c r="H1557" s="118"/>
      <c r="I1557" s="116"/>
      <c r="J1557" s="116"/>
      <c r="K1557" s="116"/>
      <c r="L1557" s="116"/>
      <c r="M1557" s="119" t="b">
        <v>0</v>
      </c>
      <c r="N1557" s="113" t="b">
        <v>0</v>
      </c>
      <c r="O1557" s="113" t="b">
        <v>0</v>
      </c>
      <c r="P1557" s="113" t="b">
        <v>0</v>
      </c>
      <c r="Q1557" s="113" t="b">
        <v>0</v>
      </c>
      <c r="R1557" s="113"/>
      <c r="S1557" s="113" t="b">
        <v>0</v>
      </c>
      <c r="T1557" s="113"/>
      <c r="U1557" s="113"/>
      <c r="V1557" s="113" t="b">
        <v>0</v>
      </c>
      <c r="W1557" s="113"/>
      <c r="X1557" s="113" t="b">
        <v>0</v>
      </c>
      <c r="Y1557" s="113"/>
      <c r="Z1557" s="113"/>
      <c r="AA1557" s="113"/>
      <c r="AB1557" s="113"/>
      <c r="AC1557" s="113"/>
      <c r="AD1557" s="113"/>
      <c r="AE1557" s="113"/>
      <c r="AF1557" s="113"/>
    </row>
    <row r="1558">
      <c r="A1558" s="115"/>
      <c r="B1558" s="116"/>
      <c r="C1558" s="116"/>
      <c r="D1558" s="116"/>
      <c r="E1558" s="117"/>
      <c r="F1558" s="116"/>
      <c r="G1558" s="117"/>
      <c r="H1558" s="118"/>
      <c r="I1558" s="116"/>
      <c r="J1558" s="116"/>
      <c r="K1558" s="116"/>
      <c r="L1558" s="116"/>
      <c r="M1558" s="119" t="b">
        <v>0</v>
      </c>
      <c r="N1558" s="113" t="b">
        <v>0</v>
      </c>
      <c r="O1558" s="113" t="b">
        <v>0</v>
      </c>
      <c r="P1558" s="113" t="b">
        <v>0</v>
      </c>
      <c r="Q1558" s="113" t="b">
        <v>0</v>
      </c>
      <c r="R1558" s="113"/>
      <c r="S1558" s="113" t="b">
        <v>0</v>
      </c>
      <c r="T1558" s="113"/>
      <c r="U1558" s="113"/>
      <c r="V1558" s="113" t="b">
        <v>0</v>
      </c>
      <c r="W1558" s="113"/>
      <c r="X1558" s="113" t="b">
        <v>0</v>
      </c>
      <c r="Y1558" s="113"/>
      <c r="Z1558" s="113"/>
      <c r="AA1558" s="113"/>
      <c r="AB1558" s="113"/>
      <c r="AC1558" s="113"/>
      <c r="AD1558" s="113"/>
      <c r="AE1558" s="113"/>
      <c r="AF1558" s="113"/>
    </row>
    <row r="1559">
      <c r="A1559" s="115"/>
      <c r="B1559" s="116"/>
      <c r="C1559" s="116"/>
      <c r="D1559" s="116"/>
      <c r="E1559" s="117"/>
      <c r="F1559" s="116"/>
      <c r="G1559" s="117"/>
      <c r="H1559" s="118"/>
      <c r="I1559" s="116"/>
      <c r="J1559" s="116"/>
      <c r="K1559" s="116"/>
      <c r="L1559" s="116"/>
      <c r="M1559" s="119" t="b">
        <v>0</v>
      </c>
      <c r="N1559" s="113" t="b">
        <v>0</v>
      </c>
      <c r="O1559" s="113" t="b">
        <v>0</v>
      </c>
      <c r="P1559" s="113" t="b">
        <v>0</v>
      </c>
      <c r="Q1559" s="113" t="b">
        <v>0</v>
      </c>
      <c r="R1559" s="113"/>
      <c r="S1559" s="113" t="b">
        <v>0</v>
      </c>
      <c r="T1559" s="113"/>
      <c r="U1559" s="113"/>
      <c r="V1559" s="113" t="b">
        <v>0</v>
      </c>
      <c r="W1559" s="113"/>
      <c r="X1559" s="113" t="b">
        <v>0</v>
      </c>
      <c r="Y1559" s="113"/>
      <c r="Z1559" s="113"/>
      <c r="AA1559" s="113"/>
      <c r="AB1559" s="113"/>
      <c r="AC1559" s="113"/>
      <c r="AD1559" s="113"/>
      <c r="AE1559" s="113"/>
      <c r="AF1559" s="113"/>
    </row>
    <row r="1560">
      <c r="A1560" s="115"/>
      <c r="B1560" s="116"/>
      <c r="C1560" s="116"/>
      <c r="D1560" s="116"/>
      <c r="E1560" s="117"/>
      <c r="F1560" s="116"/>
      <c r="G1560" s="117"/>
      <c r="H1560" s="118"/>
      <c r="I1560" s="116"/>
      <c r="J1560" s="116"/>
      <c r="K1560" s="116"/>
      <c r="L1560" s="116"/>
      <c r="M1560" s="119" t="b">
        <v>0</v>
      </c>
      <c r="N1560" s="113" t="b">
        <v>0</v>
      </c>
      <c r="O1560" s="113" t="b">
        <v>0</v>
      </c>
      <c r="P1560" s="113" t="b">
        <v>0</v>
      </c>
      <c r="Q1560" s="113" t="b">
        <v>0</v>
      </c>
      <c r="R1560" s="113"/>
      <c r="S1560" s="113" t="b">
        <v>0</v>
      </c>
      <c r="T1560" s="113"/>
      <c r="U1560" s="113"/>
      <c r="V1560" s="113" t="b">
        <v>0</v>
      </c>
      <c r="W1560" s="113"/>
      <c r="X1560" s="113" t="b">
        <v>0</v>
      </c>
      <c r="Y1560" s="113"/>
      <c r="Z1560" s="113"/>
      <c r="AA1560" s="113"/>
      <c r="AB1560" s="113"/>
      <c r="AC1560" s="113"/>
      <c r="AD1560" s="113"/>
      <c r="AE1560" s="113"/>
      <c r="AF1560" s="113"/>
    </row>
    <row r="1561">
      <c r="A1561" s="115"/>
      <c r="B1561" s="116"/>
      <c r="C1561" s="116"/>
      <c r="D1561" s="116"/>
      <c r="E1561" s="117"/>
      <c r="F1561" s="116"/>
      <c r="G1561" s="117"/>
      <c r="H1561" s="118"/>
      <c r="I1561" s="116"/>
      <c r="J1561" s="116"/>
      <c r="K1561" s="116"/>
      <c r="L1561" s="116"/>
      <c r="M1561" s="119" t="b">
        <v>0</v>
      </c>
      <c r="N1561" s="113" t="b">
        <v>0</v>
      </c>
      <c r="O1561" s="113" t="b">
        <v>0</v>
      </c>
      <c r="P1561" s="113" t="b">
        <v>0</v>
      </c>
      <c r="Q1561" s="113" t="b">
        <v>0</v>
      </c>
      <c r="R1561" s="113"/>
      <c r="S1561" s="113" t="b">
        <v>0</v>
      </c>
      <c r="T1561" s="113"/>
      <c r="U1561" s="113"/>
      <c r="V1561" s="113" t="b">
        <v>0</v>
      </c>
      <c r="W1561" s="113"/>
      <c r="X1561" s="113" t="b">
        <v>0</v>
      </c>
      <c r="Y1561" s="113"/>
      <c r="Z1561" s="113"/>
      <c r="AA1561" s="113"/>
      <c r="AB1561" s="113"/>
      <c r="AC1561" s="113"/>
      <c r="AD1561" s="113"/>
      <c r="AE1561" s="113"/>
      <c r="AF1561" s="113"/>
    </row>
    <row r="1562">
      <c r="A1562" s="115"/>
      <c r="B1562" s="116"/>
      <c r="C1562" s="116"/>
      <c r="D1562" s="116"/>
      <c r="E1562" s="117"/>
      <c r="F1562" s="116"/>
      <c r="G1562" s="117"/>
      <c r="H1562" s="118"/>
      <c r="I1562" s="116"/>
      <c r="J1562" s="116"/>
      <c r="K1562" s="116"/>
      <c r="L1562" s="116"/>
      <c r="M1562" s="119" t="b">
        <v>0</v>
      </c>
      <c r="N1562" s="113" t="b">
        <v>0</v>
      </c>
      <c r="O1562" s="113" t="b">
        <v>0</v>
      </c>
      <c r="P1562" s="113" t="b">
        <v>0</v>
      </c>
      <c r="Q1562" s="113" t="b">
        <v>0</v>
      </c>
      <c r="R1562" s="113"/>
      <c r="S1562" s="113" t="b">
        <v>0</v>
      </c>
      <c r="T1562" s="113"/>
      <c r="U1562" s="113"/>
      <c r="V1562" s="113" t="b">
        <v>0</v>
      </c>
      <c r="W1562" s="113"/>
      <c r="X1562" s="113" t="b">
        <v>0</v>
      </c>
      <c r="Y1562" s="113"/>
      <c r="Z1562" s="113"/>
      <c r="AA1562" s="113"/>
      <c r="AB1562" s="113"/>
      <c r="AC1562" s="113"/>
      <c r="AD1562" s="113"/>
      <c r="AE1562" s="113"/>
      <c r="AF1562" s="113"/>
    </row>
    <row r="1563">
      <c r="A1563" s="115"/>
      <c r="B1563" s="116"/>
      <c r="C1563" s="116"/>
      <c r="D1563" s="116"/>
      <c r="E1563" s="117"/>
      <c r="F1563" s="116"/>
      <c r="G1563" s="117"/>
      <c r="H1563" s="118"/>
      <c r="I1563" s="116"/>
      <c r="J1563" s="116"/>
      <c r="K1563" s="116"/>
      <c r="L1563" s="116"/>
      <c r="M1563" s="119" t="b">
        <v>0</v>
      </c>
      <c r="N1563" s="113" t="b">
        <v>0</v>
      </c>
      <c r="O1563" s="113" t="b">
        <v>0</v>
      </c>
      <c r="P1563" s="113" t="b">
        <v>0</v>
      </c>
      <c r="Q1563" s="113" t="b">
        <v>0</v>
      </c>
      <c r="R1563" s="113"/>
      <c r="S1563" s="113" t="b">
        <v>0</v>
      </c>
      <c r="T1563" s="113"/>
      <c r="U1563" s="113"/>
      <c r="V1563" s="113" t="b">
        <v>0</v>
      </c>
      <c r="W1563" s="113"/>
      <c r="X1563" s="113" t="b">
        <v>0</v>
      </c>
      <c r="Y1563" s="113"/>
      <c r="Z1563" s="113"/>
      <c r="AA1563" s="113"/>
      <c r="AB1563" s="113"/>
      <c r="AC1563" s="113"/>
      <c r="AD1563" s="113"/>
      <c r="AE1563" s="113"/>
      <c r="AF1563" s="113"/>
    </row>
    <row r="1564">
      <c r="A1564" s="115"/>
      <c r="B1564" s="116"/>
      <c r="C1564" s="116"/>
      <c r="D1564" s="116"/>
      <c r="E1564" s="117"/>
      <c r="F1564" s="116"/>
      <c r="G1564" s="117"/>
      <c r="H1564" s="118"/>
      <c r="I1564" s="116"/>
      <c r="J1564" s="116"/>
      <c r="K1564" s="116"/>
      <c r="L1564" s="116"/>
      <c r="M1564" s="119" t="b">
        <v>0</v>
      </c>
      <c r="N1564" s="113" t="b">
        <v>0</v>
      </c>
      <c r="O1564" s="113" t="b">
        <v>0</v>
      </c>
      <c r="P1564" s="113" t="b">
        <v>0</v>
      </c>
      <c r="Q1564" s="113" t="b">
        <v>0</v>
      </c>
      <c r="R1564" s="113"/>
      <c r="S1564" s="113" t="b">
        <v>0</v>
      </c>
      <c r="T1564" s="113"/>
      <c r="U1564" s="113"/>
      <c r="V1564" s="113" t="b">
        <v>0</v>
      </c>
      <c r="W1564" s="113"/>
      <c r="X1564" s="113" t="b">
        <v>0</v>
      </c>
      <c r="Y1564" s="113"/>
      <c r="Z1564" s="113"/>
      <c r="AA1564" s="113"/>
      <c r="AB1564" s="113"/>
      <c r="AC1564" s="113"/>
      <c r="AD1564" s="113"/>
      <c r="AE1564" s="113"/>
      <c r="AF1564" s="113"/>
    </row>
    <row r="1565">
      <c r="A1565" s="115"/>
      <c r="B1565" s="116"/>
      <c r="C1565" s="116"/>
      <c r="D1565" s="116"/>
      <c r="E1565" s="117"/>
      <c r="F1565" s="116"/>
      <c r="G1565" s="117"/>
      <c r="H1565" s="118"/>
      <c r="I1565" s="116"/>
      <c r="J1565" s="116"/>
      <c r="K1565" s="116"/>
      <c r="L1565" s="116"/>
      <c r="M1565" s="119" t="b">
        <v>0</v>
      </c>
      <c r="N1565" s="113" t="b">
        <v>0</v>
      </c>
      <c r="O1565" s="113" t="b">
        <v>0</v>
      </c>
      <c r="P1565" s="113" t="b">
        <v>0</v>
      </c>
      <c r="Q1565" s="113" t="b">
        <v>0</v>
      </c>
      <c r="R1565" s="113"/>
      <c r="S1565" s="113" t="b">
        <v>0</v>
      </c>
      <c r="T1565" s="113"/>
      <c r="U1565" s="113"/>
      <c r="V1565" s="113" t="b">
        <v>0</v>
      </c>
      <c r="W1565" s="113"/>
      <c r="X1565" s="113" t="b">
        <v>0</v>
      </c>
      <c r="Y1565" s="113"/>
      <c r="Z1565" s="113"/>
      <c r="AA1565" s="113"/>
      <c r="AB1565" s="113"/>
      <c r="AC1565" s="113"/>
      <c r="AD1565" s="113"/>
      <c r="AE1565" s="113"/>
      <c r="AF1565" s="113"/>
    </row>
    <row r="1566">
      <c r="A1566" s="115"/>
      <c r="B1566" s="116"/>
      <c r="C1566" s="116"/>
      <c r="D1566" s="116"/>
      <c r="E1566" s="117"/>
      <c r="F1566" s="116"/>
      <c r="G1566" s="117"/>
      <c r="H1566" s="118"/>
      <c r="I1566" s="116"/>
      <c r="J1566" s="116"/>
      <c r="K1566" s="116"/>
      <c r="L1566" s="116"/>
      <c r="M1566" s="119" t="b">
        <v>0</v>
      </c>
      <c r="N1566" s="113" t="b">
        <v>0</v>
      </c>
      <c r="O1566" s="113" t="b">
        <v>0</v>
      </c>
      <c r="P1566" s="113" t="b">
        <v>0</v>
      </c>
      <c r="Q1566" s="113" t="b">
        <v>0</v>
      </c>
      <c r="R1566" s="113"/>
      <c r="S1566" s="113" t="b">
        <v>0</v>
      </c>
      <c r="T1566" s="113"/>
      <c r="U1566" s="113"/>
      <c r="V1566" s="113" t="b">
        <v>0</v>
      </c>
      <c r="W1566" s="113"/>
      <c r="X1566" s="113" t="b">
        <v>0</v>
      </c>
      <c r="Y1566" s="113"/>
      <c r="Z1566" s="113"/>
      <c r="AA1566" s="113"/>
      <c r="AB1566" s="113"/>
      <c r="AC1566" s="113"/>
      <c r="AD1566" s="113"/>
      <c r="AE1566" s="113"/>
      <c r="AF1566" s="113"/>
    </row>
    <row r="1567">
      <c r="A1567" s="115"/>
      <c r="B1567" s="116"/>
      <c r="C1567" s="116"/>
      <c r="D1567" s="116"/>
      <c r="E1567" s="117"/>
      <c r="F1567" s="116"/>
      <c r="G1567" s="117"/>
      <c r="H1567" s="118"/>
      <c r="I1567" s="116"/>
      <c r="J1567" s="116"/>
      <c r="K1567" s="116"/>
      <c r="L1567" s="116"/>
      <c r="M1567" s="119" t="b">
        <v>0</v>
      </c>
      <c r="N1567" s="113" t="b">
        <v>0</v>
      </c>
      <c r="O1567" s="113" t="b">
        <v>0</v>
      </c>
      <c r="P1567" s="113" t="b">
        <v>0</v>
      </c>
      <c r="Q1567" s="113" t="b">
        <v>0</v>
      </c>
      <c r="R1567" s="113"/>
      <c r="S1567" s="113" t="b">
        <v>0</v>
      </c>
      <c r="T1567" s="113"/>
      <c r="U1567" s="113"/>
      <c r="V1567" s="113" t="b">
        <v>0</v>
      </c>
      <c r="W1567" s="113"/>
      <c r="X1567" s="113" t="b">
        <v>0</v>
      </c>
      <c r="Y1567" s="113"/>
      <c r="Z1567" s="113"/>
      <c r="AA1567" s="113"/>
      <c r="AB1567" s="113"/>
      <c r="AC1567" s="113"/>
      <c r="AD1567" s="113"/>
      <c r="AE1567" s="113"/>
      <c r="AF1567" s="113"/>
    </row>
    <row r="1568">
      <c r="A1568" s="115"/>
      <c r="B1568" s="116"/>
      <c r="C1568" s="116"/>
      <c r="D1568" s="116"/>
      <c r="E1568" s="117"/>
      <c r="F1568" s="116"/>
      <c r="G1568" s="117"/>
      <c r="H1568" s="118"/>
      <c r="I1568" s="116"/>
      <c r="J1568" s="116"/>
      <c r="K1568" s="116"/>
      <c r="L1568" s="116"/>
      <c r="M1568" s="119" t="b">
        <v>0</v>
      </c>
      <c r="N1568" s="113" t="b">
        <v>0</v>
      </c>
      <c r="O1568" s="113" t="b">
        <v>0</v>
      </c>
      <c r="P1568" s="113" t="b">
        <v>0</v>
      </c>
      <c r="Q1568" s="113" t="b">
        <v>0</v>
      </c>
      <c r="R1568" s="113"/>
      <c r="S1568" s="113" t="b">
        <v>0</v>
      </c>
      <c r="T1568" s="113"/>
      <c r="U1568" s="113"/>
      <c r="V1568" s="113" t="b">
        <v>0</v>
      </c>
      <c r="W1568" s="113"/>
      <c r="X1568" s="113" t="b">
        <v>0</v>
      </c>
      <c r="Y1568" s="113"/>
      <c r="Z1568" s="113"/>
      <c r="AA1568" s="113"/>
      <c r="AB1568" s="113"/>
      <c r="AC1568" s="113"/>
      <c r="AD1568" s="113"/>
      <c r="AE1568" s="113"/>
      <c r="AF1568" s="113"/>
    </row>
    <row r="1569">
      <c r="A1569" s="115"/>
      <c r="B1569" s="116"/>
      <c r="C1569" s="116"/>
      <c r="D1569" s="116"/>
      <c r="E1569" s="117"/>
      <c r="F1569" s="116"/>
      <c r="G1569" s="117"/>
      <c r="H1569" s="118"/>
      <c r="I1569" s="116"/>
      <c r="J1569" s="116"/>
      <c r="K1569" s="116"/>
      <c r="L1569" s="116"/>
      <c r="M1569" s="119" t="b">
        <v>0</v>
      </c>
      <c r="N1569" s="113" t="b">
        <v>0</v>
      </c>
      <c r="O1569" s="113" t="b">
        <v>0</v>
      </c>
      <c r="P1569" s="113" t="b">
        <v>0</v>
      </c>
      <c r="Q1569" s="113" t="b">
        <v>0</v>
      </c>
      <c r="R1569" s="113"/>
      <c r="S1569" s="113" t="b">
        <v>0</v>
      </c>
      <c r="T1569" s="113"/>
      <c r="U1569" s="113"/>
      <c r="V1569" s="113" t="b">
        <v>0</v>
      </c>
      <c r="W1569" s="113"/>
      <c r="X1569" s="113" t="b">
        <v>0</v>
      </c>
      <c r="Y1569" s="113"/>
      <c r="Z1569" s="113"/>
      <c r="AA1569" s="113"/>
      <c r="AB1569" s="113"/>
      <c r="AC1569" s="113"/>
      <c r="AD1569" s="113"/>
      <c r="AE1569" s="113"/>
      <c r="AF1569" s="113"/>
    </row>
    <row r="1570">
      <c r="A1570" s="115"/>
      <c r="B1570" s="116"/>
      <c r="C1570" s="116"/>
      <c r="D1570" s="116"/>
      <c r="E1570" s="117"/>
      <c r="F1570" s="116"/>
      <c r="G1570" s="117"/>
      <c r="H1570" s="118"/>
      <c r="I1570" s="116"/>
      <c r="J1570" s="116"/>
      <c r="K1570" s="116"/>
      <c r="L1570" s="116"/>
      <c r="M1570" s="119" t="b">
        <v>0</v>
      </c>
      <c r="N1570" s="113" t="b">
        <v>0</v>
      </c>
      <c r="O1570" s="113" t="b">
        <v>0</v>
      </c>
      <c r="P1570" s="113" t="b">
        <v>0</v>
      </c>
      <c r="Q1570" s="113" t="b">
        <v>0</v>
      </c>
      <c r="R1570" s="113"/>
      <c r="S1570" s="113" t="b">
        <v>0</v>
      </c>
      <c r="T1570" s="113"/>
      <c r="U1570" s="113"/>
      <c r="V1570" s="113" t="b">
        <v>0</v>
      </c>
      <c r="W1570" s="113"/>
      <c r="X1570" s="113" t="b">
        <v>0</v>
      </c>
      <c r="Y1570" s="113"/>
      <c r="Z1570" s="113"/>
      <c r="AA1570" s="113"/>
      <c r="AB1570" s="113"/>
      <c r="AC1570" s="113"/>
      <c r="AD1570" s="113"/>
      <c r="AE1570" s="113"/>
      <c r="AF1570" s="113"/>
    </row>
    <row r="1571">
      <c r="A1571" s="115"/>
      <c r="B1571" s="116"/>
      <c r="C1571" s="116"/>
      <c r="D1571" s="116"/>
      <c r="E1571" s="117"/>
      <c r="F1571" s="116"/>
      <c r="G1571" s="117"/>
      <c r="H1571" s="118"/>
      <c r="I1571" s="116"/>
      <c r="J1571" s="116"/>
      <c r="K1571" s="116"/>
      <c r="L1571" s="116"/>
      <c r="M1571" s="119" t="b">
        <v>0</v>
      </c>
      <c r="N1571" s="113" t="b">
        <v>0</v>
      </c>
      <c r="O1571" s="113" t="b">
        <v>0</v>
      </c>
      <c r="P1571" s="113" t="b">
        <v>0</v>
      </c>
      <c r="Q1571" s="113" t="b">
        <v>0</v>
      </c>
      <c r="R1571" s="113"/>
      <c r="S1571" s="113" t="b">
        <v>0</v>
      </c>
      <c r="T1571" s="113"/>
      <c r="U1571" s="113"/>
      <c r="V1571" s="113" t="b">
        <v>0</v>
      </c>
      <c r="W1571" s="113"/>
      <c r="X1571" s="113" t="b">
        <v>0</v>
      </c>
      <c r="Y1571" s="113"/>
      <c r="Z1571" s="113"/>
      <c r="AA1571" s="113"/>
      <c r="AB1571" s="113"/>
      <c r="AC1571" s="113"/>
      <c r="AD1571" s="113"/>
      <c r="AE1571" s="113"/>
      <c r="AF1571" s="113"/>
    </row>
    <row r="1572">
      <c r="A1572" s="115"/>
      <c r="B1572" s="116"/>
      <c r="C1572" s="116"/>
      <c r="D1572" s="116"/>
      <c r="E1572" s="117"/>
      <c r="F1572" s="116"/>
      <c r="G1572" s="117"/>
      <c r="H1572" s="118"/>
      <c r="I1572" s="116"/>
      <c r="J1572" s="116"/>
      <c r="K1572" s="116"/>
      <c r="L1572" s="116"/>
      <c r="M1572" s="119" t="b">
        <v>0</v>
      </c>
      <c r="N1572" s="113" t="b">
        <v>0</v>
      </c>
      <c r="O1572" s="113" t="b">
        <v>0</v>
      </c>
      <c r="P1572" s="113" t="b">
        <v>0</v>
      </c>
      <c r="Q1572" s="113" t="b">
        <v>0</v>
      </c>
      <c r="R1572" s="113"/>
      <c r="S1572" s="113" t="b">
        <v>0</v>
      </c>
      <c r="T1572" s="113"/>
      <c r="U1572" s="113"/>
      <c r="V1572" s="113" t="b">
        <v>0</v>
      </c>
      <c r="W1572" s="113"/>
      <c r="X1572" s="113" t="b">
        <v>0</v>
      </c>
      <c r="Y1572" s="113"/>
      <c r="Z1572" s="113"/>
      <c r="AA1572" s="113"/>
      <c r="AB1572" s="113"/>
      <c r="AC1572" s="113"/>
      <c r="AD1572" s="113"/>
      <c r="AE1572" s="113"/>
      <c r="AF1572" s="113"/>
    </row>
    <row r="1573">
      <c r="A1573" s="115"/>
      <c r="B1573" s="116"/>
      <c r="C1573" s="116"/>
      <c r="D1573" s="116"/>
      <c r="E1573" s="117"/>
      <c r="F1573" s="116"/>
      <c r="G1573" s="117"/>
      <c r="H1573" s="118"/>
      <c r="I1573" s="116"/>
      <c r="J1573" s="116"/>
      <c r="K1573" s="116"/>
      <c r="L1573" s="116"/>
      <c r="M1573" s="119" t="b">
        <v>0</v>
      </c>
      <c r="N1573" s="113" t="b">
        <v>0</v>
      </c>
      <c r="O1573" s="113" t="b">
        <v>0</v>
      </c>
      <c r="P1573" s="113" t="b">
        <v>0</v>
      </c>
      <c r="Q1573" s="113" t="b">
        <v>0</v>
      </c>
      <c r="R1573" s="113"/>
      <c r="S1573" s="113" t="b">
        <v>0</v>
      </c>
      <c r="T1573" s="113"/>
      <c r="U1573" s="113"/>
      <c r="V1573" s="113" t="b">
        <v>0</v>
      </c>
      <c r="W1573" s="113"/>
      <c r="X1573" s="113" t="b">
        <v>0</v>
      </c>
      <c r="Y1573" s="113"/>
      <c r="Z1573" s="113"/>
      <c r="AA1573" s="113"/>
      <c r="AB1573" s="113"/>
      <c r="AC1573" s="113"/>
      <c r="AD1573" s="113"/>
      <c r="AE1573" s="113"/>
      <c r="AF1573" s="113"/>
    </row>
    <row r="1574">
      <c r="A1574" s="115"/>
      <c r="B1574" s="116"/>
      <c r="C1574" s="116"/>
      <c r="D1574" s="116"/>
      <c r="E1574" s="117"/>
      <c r="F1574" s="116"/>
      <c r="G1574" s="117"/>
      <c r="H1574" s="118"/>
      <c r="I1574" s="116"/>
      <c r="J1574" s="116"/>
      <c r="K1574" s="116"/>
      <c r="L1574" s="116"/>
      <c r="M1574" s="119" t="b">
        <v>0</v>
      </c>
      <c r="N1574" s="113" t="b">
        <v>0</v>
      </c>
      <c r="O1574" s="113" t="b">
        <v>0</v>
      </c>
      <c r="P1574" s="113" t="b">
        <v>0</v>
      </c>
      <c r="Q1574" s="113" t="b">
        <v>0</v>
      </c>
      <c r="R1574" s="113"/>
      <c r="S1574" s="113" t="b">
        <v>0</v>
      </c>
      <c r="T1574" s="113"/>
      <c r="U1574" s="113"/>
      <c r="V1574" s="113" t="b">
        <v>0</v>
      </c>
      <c r="W1574" s="113"/>
      <c r="X1574" s="113" t="b">
        <v>0</v>
      </c>
      <c r="Y1574" s="113"/>
      <c r="Z1574" s="113"/>
      <c r="AA1574" s="113"/>
      <c r="AB1574" s="113"/>
      <c r="AC1574" s="113"/>
      <c r="AD1574" s="113"/>
      <c r="AE1574" s="113"/>
      <c r="AF1574" s="113"/>
    </row>
    <row r="1575">
      <c r="A1575" s="115"/>
      <c r="B1575" s="116"/>
      <c r="C1575" s="116"/>
      <c r="D1575" s="116"/>
      <c r="E1575" s="117"/>
      <c r="F1575" s="116"/>
      <c r="G1575" s="117"/>
      <c r="H1575" s="118"/>
      <c r="I1575" s="116"/>
      <c r="J1575" s="116"/>
      <c r="K1575" s="116"/>
      <c r="L1575" s="116"/>
      <c r="M1575" s="119" t="b">
        <v>0</v>
      </c>
      <c r="N1575" s="113" t="b">
        <v>0</v>
      </c>
      <c r="O1575" s="113" t="b">
        <v>0</v>
      </c>
      <c r="P1575" s="113" t="b">
        <v>0</v>
      </c>
      <c r="Q1575" s="113" t="b">
        <v>0</v>
      </c>
      <c r="R1575" s="113"/>
      <c r="S1575" s="113" t="b">
        <v>0</v>
      </c>
      <c r="T1575" s="113"/>
      <c r="U1575" s="113"/>
      <c r="V1575" s="113" t="b">
        <v>0</v>
      </c>
      <c r="W1575" s="113"/>
      <c r="X1575" s="113" t="b">
        <v>0</v>
      </c>
      <c r="Y1575" s="113"/>
      <c r="Z1575" s="113"/>
      <c r="AA1575" s="113"/>
      <c r="AB1575" s="113"/>
      <c r="AC1575" s="113"/>
      <c r="AD1575" s="113"/>
      <c r="AE1575" s="113"/>
      <c r="AF1575" s="113"/>
    </row>
    <row r="1576">
      <c r="A1576" s="115"/>
      <c r="B1576" s="116"/>
      <c r="C1576" s="116"/>
      <c r="D1576" s="116"/>
      <c r="E1576" s="117"/>
      <c r="F1576" s="116"/>
      <c r="G1576" s="117"/>
      <c r="H1576" s="118"/>
      <c r="I1576" s="116"/>
      <c r="J1576" s="116"/>
      <c r="K1576" s="116"/>
      <c r="L1576" s="116"/>
      <c r="M1576" s="119" t="b">
        <v>0</v>
      </c>
      <c r="N1576" s="113" t="b">
        <v>0</v>
      </c>
      <c r="O1576" s="113" t="b">
        <v>0</v>
      </c>
      <c r="P1576" s="113" t="b">
        <v>0</v>
      </c>
      <c r="Q1576" s="113" t="b">
        <v>0</v>
      </c>
      <c r="R1576" s="113"/>
      <c r="S1576" s="113" t="b">
        <v>0</v>
      </c>
      <c r="T1576" s="113"/>
      <c r="U1576" s="113"/>
      <c r="V1576" s="113" t="b">
        <v>0</v>
      </c>
      <c r="W1576" s="113"/>
      <c r="X1576" s="113" t="b">
        <v>0</v>
      </c>
      <c r="Y1576" s="113"/>
      <c r="Z1576" s="113"/>
      <c r="AA1576" s="113"/>
      <c r="AB1576" s="113"/>
      <c r="AC1576" s="113"/>
      <c r="AD1576" s="113"/>
      <c r="AE1576" s="113"/>
      <c r="AF1576" s="113"/>
    </row>
    <row r="1577">
      <c r="A1577" s="115"/>
      <c r="B1577" s="116"/>
      <c r="C1577" s="116"/>
      <c r="D1577" s="116"/>
      <c r="E1577" s="117"/>
      <c r="F1577" s="116"/>
      <c r="G1577" s="117"/>
      <c r="H1577" s="118"/>
      <c r="I1577" s="116"/>
      <c r="J1577" s="116"/>
      <c r="K1577" s="116"/>
      <c r="L1577" s="116"/>
      <c r="M1577" s="119" t="b">
        <v>0</v>
      </c>
      <c r="N1577" s="113" t="b">
        <v>0</v>
      </c>
      <c r="O1577" s="113" t="b">
        <v>0</v>
      </c>
      <c r="P1577" s="113" t="b">
        <v>0</v>
      </c>
      <c r="Q1577" s="113" t="b">
        <v>0</v>
      </c>
      <c r="R1577" s="113"/>
      <c r="S1577" s="113" t="b">
        <v>0</v>
      </c>
      <c r="T1577" s="113"/>
      <c r="U1577" s="113"/>
      <c r="V1577" s="113" t="b">
        <v>0</v>
      </c>
      <c r="W1577" s="113"/>
      <c r="X1577" s="113" t="b">
        <v>0</v>
      </c>
      <c r="Y1577" s="113"/>
      <c r="Z1577" s="113"/>
      <c r="AA1577" s="113"/>
      <c r="AB1577" s="113"/>
      <c r="AC1577" s="113"/>
      <c r="AD1577" s="113"/>
      <c r="AE1577" s="113"/>
      <c r="AF1577" s="113"/>
    </row>
    <row r="1578">
      <c r="A1578" s="115"/>
      <c r="B1578" s="116"/>
      <c r="C1578" s="116"/>
      <c r="D1578" s="116"/>
      <c r="E1578" s="117"/>
      <c r="F1578" s="116"/>
      <c r="G1578" s="117"/>
      <c r="H1578" s="118"/>
      <c r="I1578" s="116"/>
      <c r="J1578" s="116"/>
      <c r="K1578" s="116"/>
      <c r="L1578" s="116"/>
      <c r="M1578" s="119" t="b">
        <v>0</v>
      </c>
      <c r="N1578" s="113" t="b">
        <v>0</v>
      </c>
      <c r="O1578" s="113" t="b">
        <v>0</v>
      </c>
      <c r="P1578" s="113" t="b">
        <v>0</v>
      </c>
      <c r="Q1578" s="113" t="b">
        <v>0</v>
      </c>
      <c r="R1578" s="113"/>
      <c r="S1578" s="113" t="b">
        <v>0</v>
      </c>
      <c r="T1578" s="113"/>
      <c r="U1578" s="113"/>
      <c r="V1578" s="113" t="b">
        <v>0</v>
      </c>
      <c r="W1578" s="113"/>
      <c r="X1578" s="113" t="b">
        <v>0</v>
      </c>
      <c r="Y1578" s="113"/>
      <c r="Z1578" s="113"/>
      <c r="AA1578" s="113"/>
      <c r="AB1578" s="113"/>
      <c r="AC1578" s="113"/>
      <c r="AD1578" s="113"/>
      <c r="AE1578" s="113"/>
      <c r="AF1578" s="113"/>
    </row>
    <row r="1579">
      <c r="A1579" s="115"/>
      <c r="B1579" s="116"/>
      <c r="C1579" s="116"/>
      <c r="D1579" s="116"/>
      <c r="E1579" s="117"/>
      <c r="F1579" s="116"/>
      <c r="G1579" s="117"/>
      <c r="H1579" s="118"/>
      <c r="I1579" s="116"/>
      <c r="J1579" s="116"/>
      <c r="K1579" s="116"/>
      <c r="L1579" s="116"/>
      <c r="M1579" s="119" t="b">
        <v>0</v>
      </c>
      <c r="N1579" s="113" t="b">
        <v>0</v>
      </c>
      <c r="O1579" s="113" t="b">
        <v>0</v>
      </c>
      <c r="P1579" s="113" t="b">
        <v>0</v>
      </c>
      <c r="Q1579" s="113" t="b">
        <v>0</v>
      </c>
      <c r="R1579" s="113"/>
      <c r="S1579" s="113" t="b">
        <v>0</v>
      </c>
      <c r="T1579" s="113"/>
      <c r="U1579" s="113"/>
      <c r="V1579" s="113" t="b">
        <v>0</v>
      </c>
      <c r="W1579" s="113"/>
      <c r="X1579" s="113" t="b">
        <v>0</v>
      </c>
      <c r="Y1579" s="113"/>
      <c r="Z1579" s="113"/>
      <c r="AA1579" s="113"/>
      <c r="AB1579" s="113"/>
      <c r="AC1579" s="113"/>
      <c r="AD1579" s="113"/>
      <c r="AE1579" s="113"/>
      <c r="AF1579" s="113"/>
    </row>
    <row r="1580">
      <c r="A1580" s="115"/>
      <c r="B1580" s="116"/>
      <c r="C1580" s="116"/>
      <c r="D1580" s="116"/>
      <c r="E1580" s="117"/>
      <c r="F1580" s="116"/>
      <c r="G1580" s="117"/>
      <c r="H1580" s="118"/>
      <c r="I1580" s="116"/>
      <c r="J1580" s="116"/>
      <c r="K1580" s="116"/>
      <c r="L1580" s="116"/>
      <c r="M1580" s="119" t="b">
        <v>0</v>
      </c>
      <c r="N1580" s="113" t="b">
        <v>0</v>
      </c>
      <c r="O1580" s="113" t="b">
        <v>0</v>
      </c>
      <c r="P1580" s="113" t="b">
        <v>0</v>
      </c>
      <c r="Q1580" s="113" t="b">
        <v>0</v>
      </c>
      <c r="R1580" s="113"/>
      <c r="S1580" s="113" t="b">
        <v>0</v>
      </c>
      <c r="T1580" s="113"/>
      <c r="U1580" s="113"/>
      <c r="V1580" s="113" t="b">
        <v>0</v>
      </c>
      <c r="W1580" s="113"/>
      <c r="X1580" s="113" t="b">
        <v>0</v>
      </c>
      <c r="Y1580" s="113"/>
      <c r="Z1580" s="113"/>
      <c r="AA1580" s="113"/>
      <c r="AB1580" s="113"/>
      <c r="AC1580" s="113"/>
      <c r="AD1580" s="113"/>
      <c r="AE1580" s="113"/>
      <c r="AF1580" s="113"/>
    </row>
    <row r="1581">
      <c r="A1581" s="115"/>
      <c r="B1581" s="116"/>
      <c r="C1581" s="116"/>
      <c r="D1581" s="116"/>
      <c r="E1581" s="117"/>
      <c r="F1581" s="116"/>
      <c r="G1581" s="117"/>
      <c r="H1581" s="118"/>
      <c r="I1581" s="116"/>
      <c r="J1581" s="116"/>
      <c r="K1581" s="116"/>
      <c r="L1581" s="116"/>
      <c r="M1581" s="119" t="b">
        <v>0</v>
      </c>
      <c r="N1581" s="113" t="b">
        <v>0</v>
      </c>
      <c r="O1581" s="113" t="b">
        <v>0</v>
      </c>
      <c r="P1581" s="113" t="b">
        <v>0</v>
      </c>
      <c r="Q1581" s="113" t="b">
        <v>0</v>
      </c>
      <c r="R1581" s="113"/>
      <c r="S1581" s="113" t="b">
        <v>0</v>
      </c>
      <c r="T1581" s="113"/>
      <c r="U1581" s="113"/>
      <c r="V1581" s="113" t="b">
        <v>0</v>
      </c>
      <c r="W1581" s="113"/>
      <c r="X1581" s="113" t="b">
        <v>0</v>
      </c>
      <c r="Y1581" s="113"/>
      <c r="Z1581" s="113"/>
      <c r="AA1581" s="113"/>
      <c r="AB1581" s="113"/>
      <c r="AC1581" s="113"/>
      <c r="AD1581" s="113"/>
      <c r="AE1581" s="113"/>
      <c r="AF1581" s="113"/>
    </row>
    <row r="1582">
      <c r="A1582" s="115"/>
      <c r="B1582" s="116"/>
      <c r="C1582" s="116"/>
      <c r="D1582" s="116"/>
      <c r="E1582" s="117"/>
      <c r="F1582" s="116"/>
      <c r="G1582" s="117"/>
      <c r="H1582" s="118"/>
      <c r="I1582" s="116"/>
      <c r="J1582" s="116"/>
      <c r="K1582" s="116"/>
      <c r="L1582" s="116"/>
      <c r="M1582" s="119" t="b">
        <v>0</v>
      </c>
      <c r="N1582" s="113" t="b">
        <v>0</v>
      </c>
      <c r="O1582" s="113" t="b">
        <v>0</v>
      </c>
      <c r="P1582" s="113" t="b">
        <v>0</v>
      </c>
      <c r="Q1582" s="113" t="b">
        <v>0</v>
      </c>
      <c r="R1582" s="113"/>
      <c r="S1582" s="113" t="b">
        <v>0</v>
      </c>
      <c r="T1582" s="113"/>
      <c r="U1582" s="113"/>
      <c r="V1582" s="113" t="b">
        <v>0</v>
      </c>
      <c r="W1582" s="113"/>
      <c r="X1582" s="113" t="b">
        <v>0</v>
      </c>
      <c r="Y1582" s="113"/>
      <c r="Z1582" s="113"/>
      <c r="AA1582" s="113"/>
      <c r="AB1582" s="113"/>
      <c r="AC1582" s="113"/>
      <c r="AD1582" s="113"/>
      <c r="AE1582" s="113"/>
      <c r="AF1582" s="113"/>
    </row>
    <row r="1583">
      <c r="A1583" s="115"/>
      <c r="B1583" s="116"/>
      <c r="C1583" s="116"/>
      <c r="D1583" s="116"/>
      <c r="E1583" s="117"/>
      <c r="F1583" s="116"/>
      <c r="G1583" s="117"/>
      <c r="H1583" s="118"/>
      <c r="I1583" s="116"/>
      <c r="J1583" s="116"/>
      <c r="K1583" s="116"/>
      <c r="L1583" s="116"/>
      <c r="M1583" s="119" t="b">
        <v>0</v>
      </c>
      <c r="N1583" s="113" t="b">
        <v>0</v>
      </c>
      <c r="O1583" s="113" t="b">
        <v>0</v>
      </c>
      <c r="P1583" s="113" t="b">
        <v>0</v>
      </c>
      <c r="Q1583" s="113" t="b">
        <v>0</v>
      </c>
      <c r="R1583" s="113"/>
      <c r="S1583" s="113" t="b">
        <v>0</v>
      </c>
      <c r="T1583" s="113"/>
      <c r="U1583" s="113"/>
      <c r="V1583" s="113" t="b">
        <v>0</v>
      </c>
      <c r="W1583" s="113"/>
      <c r="X1583" s="113" t="b">
        <v>0</v>
      </c>
      <c r="Y1583" s="113"/>
      <c r="Z1583" s="113"/>
      <c r="AA1583" s="113"/>
      <c r="AB1583" s="113"/>
      <c r="AC1583" s="113"/>
      <c r="AD1583" s="113"/>
      <c r="AE1583" s="113"/>
      <c r="AF1583" s="113"/>
    </row>
    <row r="1584">
      <c r="A1584" s="115"/>
      <c r="B1584" s="116"/>
      <c r="C1584" s="116"/>
      <c r="D1584" s="116"/>
      <c r="E1584" s="117"/>
      <c r="F1584" s="116"/>
      <c r="G1584" s="117"/>
      <c r="H1584" s="118"/>
      <c r="I1584" s="116"/>
      <c r="J1584" s="116"/>
      <c r="K1584" s="116"/>
      <c r="L1584" s="116"/>
      <c r="M1584" s="119" t="b">
        <v>0</v>
      </c>
      <c r="N1584" s="113" t="b">
        <v>0</v>
      </c>
      <c r="O1584" s="113" t="b">
        <v>0</v>
      </c>
      <c r="P1584" s="113" t="b">
        <v>0</v>
      </c>
      <c r="Q1584" s="113" t="b">
        <v>0</v>
      </c>
      <c r="R1584" s="113"/>
      <c r="S1584" s="113" t="b">
        <v>0</v>
      </c>
      <c r="T1584" s="113"/>
      <c r="U1584" s="113"/>
      <c r="V1584" s="113" t="b">
        <v>0</v>
      </c>
      <c r="W1584" s="113"/>
      <c r="X1584" s="113" t="b">
        <v>0</v>
      </c>
      <c r="Y1584" s="113"/>
      <c r="Z1584" s="113"/>
      <c r="AA1584" s="113"/>
      <c r="AB1584" s="113"/>
      <c r="AC1584" s="113"/>
      <c r="AD1584" s="113"/>
      <c r="AE1584" s="113"/>
      <c r="AF1584" s="113"/>
    </row>
    <row r="1585">
      <c r="A1585" s="115"/>
      <c r="B1585" s="116"/>
      <c r="C1585" s="116"/>
      <c r="D1585" s="116"/>
      <c r="E1585" s="117"/>
      <c r="F1585" s="116"/>
      <c r="G1585" s="117"/>
      <c r="H1585" s="118"/>
      <c r="I1585" s="116"/>
      <c r="J1585" s="116"/>
      <c r="K1585" s="116"/>
      <c r="L1585" s="116"/>
      <c r="M1585" s="119" t="b">
        <v>0</v>
      </c>
      <c r="N1585" s="113" t="b">
        <v>0</v>
      </c>
      <c r="O1585" s="113" t="b">
        <v>0</v>
      </c>
      <c r="P1585" s="113" t="b">
        <v>0</v>
      </c>
      <c r="Q1585" s="113" t="b">
        <v>0</v>
      </c>
      <c r="R1585" s="113"/>
      <c r="S1585" s="113" t="b">
        <v>0</v>
      </c>
      <c r="T1585" s="113"/>
      <c r="U1585" s="113"/>
      <c r="V1585" s="113" t="b">
        <v>0</v>
      </c>
      <c r="W1585" s="113"/>
      <c r="X1585" s="113" t="b">
        <v>0</v>
      </c>
      <c r="Y1585" s="113"/>
      <c r="Z1585" s="113"/>
      <c r="AA1585" s="113"/>
      <c r="AB1585" s="113"/>
      <c r="AC1585" s="113"/>
      <c r="AD1585" s="113"/>
      <c r="AE1585" s="113"/>
      <c r="AF1585" s="113"/>
    </row>
    <row r="1586">
      <c r="A1586" s="115"/>
      <c r="B1586" s="116"/>
      <c r="C1586" s="116"/>
      <c r="D1586" s="116"/>
      <c r="E1586" s="117"/>
      <c r="F1586" s="116"/>
      <c r="G1586" s="117"/>
      <c r="H1586" s="118"/>
      <c r="I1586" s="116"/>
      <c r="J1586" s="116"/>
      <c r="K1586" s="116"/>
      <c r="L1586" s="116"/>
      <c r="M1586" s="119" t="b">
        <v>0</v>
      </c>
      <c r="N1586" s="113" t="b">
        <v>0</v>
      </c>
      <c r="O1586" s="113" t="b">
        <v>0</v>
      </c>
      <c r="P1586" s="113" t="b">
        <v>0</v>
      </c>
      <c r="Q1586" s="113" t="b">
        <v>0</v>
      </c>
      <c r="R1586" s="113"/>
      <c r="S1586" s="113" t="b">
        <v>0</v>
      </c>
      <c r="T1586" s="113"/>
      <c r="U1586" s="113"/>
      <c r="V1586" s="113" t="b">
        <v>0</v>
      </c>
      <c r="W1586" s="113"/>
      <c r="X1586" s="113" t="b">
        <v>0</v>
      </c>
      <c r="Y1586" s="113"/>
      <c r="Z1586" s="113"/>
      <c r="AA1586" s="113"/>
      <c r="AB1586" s="113"/>
      <c r="AC1586" s="113"/>
      <c r="AD1586" s="113"/>
      <c r="AE1586" s="113"/>
      <c r="AF1586" s="113"/>
    </row>
    <row r="1587">
      <c r="A1587" s="115"/>
      <c r="B1587" s="116"/>
      <c r="C1587" s="116"/>
      <c r="D1587" s="116"/>
      <c r="E1587" s="117"/>
      <c r="F1587" s="116"/>
      <c r="G1587" s="117"/>
      <c r="H1587" s="118"/>
      <c r="I1587" s="116"/>
      <c r="J1587" s="116"/>
      <c r="K1587" s="116"/>
      <c r="L1587" s="116"/>
      <c r="M1587" s="119" t="b">
        <v>0</v>
      </c>
      <c r="N1587" s="113" t="b">
        <v>0</v>
      </c>
      <c r="O1587" s="113" t="b">
        <v>0</v>
      </c>
      <c r="P1587" s="113" t="b">
        <v>0</v>
      </c>
      <c r="Q1587" s="113" t="b">
        <v>0</v>
      </c>
      <c r="R1587" s="113"/>
      <c r="S1587" s="113" t="b">
        <v>0</v>
      </c>
      <c r="T1587" s="113"/>
      <c r="U1587" s="113"/>
      <c r="V1587" s="113" t="b">
        <v>0</v>
      </c>
      <c r="W1587" s="113"/>
      <c r="X1587" s="113" t="b">
        <v>0</v>
      </c>
      <c r="Y1587" s="113"/>
      <c r="Z1587" s="113"/>
      <c r="AA1587" s="113"/>
      <c r="AB1587" s="113"/>
      <c r="AC1587" s="113"/>
      <c r="AD1587" s="113"/>
      <c r="AE1587" s="113"/>
      <c r="AF1587" s="113"/>
    </row>
    <row r="1588">
      <c r="A1588" s="115"/>
      <c r="B1588" s="116"/>
      <c r="C1588" s="116"/>
      <c r="D1588" s="116"/>
      <c r="E1588" s="117"/>
      <c r="F1588" s="116"/>
      <c r="G1588" s="117"/>
      <c r="H1588" s="118"/>
      <c r="I1588" s="116"/>
      <c r="J1588" s="116"/>
      <c r="K1588" s="116"/>
      <c r="L1588" s="116"/>
      <c r="M1588" s="119" t="b">
        <v>0</v>
      </c>
      <c r="N1588" s="113" t="b">
        <v>0</v>
      </c>
      <c r="O1588" s="113" t="b">
        <v>0</v>
      </c>
      <c r="P1588" s="113" t="b">
        <v>0</v>
      </c>
      <c r="Q1588" s="113" t="b">
        <v>0</v>
      </c>
      <c r="R1588" s="113"/>
      <c r="S1588" s="113" t="b">
        <v>0</v>
      </c>
      <c r="T1588" s="113"/>
      <c r="U1588" s="113"/>
      <c r="V1588" s="113" t="b">
        <v>0</v>
      </c>
      <c r="W1588" s="113"/>
      <c r="X1588" s="113" t="b">
        <v>0</v>
      </c>
      <c r="Y1588" s="113"/>
      <c r="Z1588" s="113"/>
      <c r="AA1588" s="113"/>
      <c r="AB1588" s="113"/>
      <c r="AC1588" s="113"/>
      <c r="AD1588" s="113"/>
      <c r="AE1588" s="113"/>
      <c r="AF1588" s="113"/>
    </row>
    <row r="1589">
      <c r="A1589" s="115"/>
      <c r="B1589" s="116"/>
      <c r="C1589" s="116"/>
      <c r="D1589" s="116"/>
      <c r="E1589" s="117"/>
      <c r="F1589" s="116"/>
      <c r="G1589" s="117"/>
      <c r="H1589" s="118"/>
      <c r="I1589" s="116"/>
      <c r="J1589" s="116"/>
      <c r="K1589" s="116"/>
      <c r="L1589" s="116"/>
      <c r="M1589" s="119" t="b">
        <v>0</v>
      </c>
      <c r="N1589" s="113" t="b">
        <v>0</v>
      </c>
      <c r="O1589" s="113" t="b">
        <v>0</v>
      </c>
      <c r="P1589" s="113" t="b">
        <v>0</v>
      </c>
      <c r="Q1589" s="113" t="b">
        <v>0</v>
      </c>
      <c r="R1589" s="113"/>
      <c r="S1589" s="113" t="b">
        <v>0</v>
      </c>
      <c r="T1589" s="113"/>
      <c r="U1589" s="113"/>
      <c r="V1589" s="113" t="b">
        <v>0</v>
      </c>
      <c r="W1589" s="113"/>
      <c r="X1589" s="113" t="b">
        <v>0</v>
      </c>
      <c r="Y1589" s="113"/>
      <c r="Z1589" s="113"/>
      <c r="AA1589" s="113"/>
      <c r="AB1589" s="113"/>
      <c r="AC1589" s="113"/>
      <c r="AD1589" s="113"/>
      <c r="AE1589" s="113"/>
      <c r="AF1589" s="113"/>
    </row>
    <row r="1590">
      <c r="A1590" s="115"/>
      <c r="B1590" s="116"/>
      <c r="C1590" s="116"/>
      <c r="D1590" s="116"/>
      <c r="E1590" s="117"/>
      <c r="F1590" s="116"/>
      <c r="G1590" s="117"/>
      <c r="H1590" s="118"/>
      <c r="I1590" s="116"/>
      <c r="J1590" s="116"/>
      <c r="K1590" s="116"/>
      <c r="L1590" s="116"/>
      <c r="M1590" s="119" t="b">
        <v>0</v>
      </c>
      <c r="N1590" s="113" t="b">
        <v>0</v>
      </c>
      <c r="O1590" s="113" t="b">
        <v>0</v>
      </c>
      <c r="P1590" s="113" t="b">
        <v>0</v>
      </c>
      <c r="Q1590" s="113" t="b">
        <v>0</v>
      </c>
      <c r="R1590" s="113"/>
      <c r="S1590" s="113" t="b">
        <v>0</v>
      </c>
      <c r="T1590" s="113"/>
      <c r="U1590" s="113"/>
      <c r="V1590" s="113" t="b">
        <v>0</v>
      </c>
      <c r="W1590" s="113"/>
      <c r="X1590" s="113" t="b">
        <v>0</v>
      </c>
      <c r="Y1590" s="113"/>
      <c r="Z1590" s="113"/>
      <c r="AA1590" s="113"/>
      <c r="AB1590" s="113"/>
      <c r="AC1590" s="113"/>
      <c r="AD1590" s="113"/>
      <c r="AE1590" s="113"/>
      <c r="AF1590" s="113"/>
    </row>
    <row r="1591">
      <c r="A1591" s="115"/>
      <c r="B1591" s="116"/>
      <c r="C1591" s="116"/>
      <c r="D1591" s="116"/>
      <c r="E1591" s="117"/>
      <c r="F1591" s="116"/>
      <c r="G1591" s="117"/>
      <c r="H1591" s="118"/>
      <c r="I1591" s="116"/>
      <c r="J1591" s="116"/>
      <c r="K1591" s="116"/>
      <c r="L1591" s="116"/>
      <c r="M1591" s="119" t="b">
        <v>0</v>
      </c>
      <c r="N1591" s="113" t="b">
        <v>0</v>
      </c>
      <c r="O1591" s="113" t="b">
        <v>0</v>
      </c>
      <c r="P1591" s="113" t="b">
        <v>0</v>
      </c>
      <c r="Q1591" s="113" t="b">
        <v>0</v>
      </c>
      <c r="R1591" s="113"/>
      <c r="S1591" s="113" t="b">
        <v>0</v>
      </c>
      <c r="T1591" s="113"/>
      <c r="U1591" s="113"/>
      <c r="V1591" s="113" t="b">
        <v>0</v>
      </c>
      <c r="W1591" s="113"/>
      <c r="X1591" s="113" t="b">
        <v>0</v>
      </c>
      <c r="Y1591" s="113"/>
      <c r="Z1591" s="113"/>
      <c r="AA1591" s="113"/>
      <c r="AB1591" s="113"/>
      <c r="AC1591" s="113"/>
      <c r="AD1591" s="113"/>
      <c r="AE1591" s="113"/>
      <c r="AF1591" s="113"/>
    </row>
    <row r="1592">
      <c r="A1592" s="115"/>
      <c r="B1592" s="116"/>
      <c r="C1592" s="116"/>
      <c r="D1592" s="116"/>
      <c r="E1592" s="117"/>
      <c r="F1592" s="116"/>
      <c r="G1592" s="117"/>
      <c r="H1592" s="118"/>
      <c r="I1592" s="116"/>
      <c r="J1592" s="116"/>
      <c r="K1592" s="116"/>
      <c r="L1592" s="116"/>
      <c r="M1592" s="119" t="b">
        <v>0</v>
      </c>
      <c r="N1592" s="113" t="b">
        <v>0</v>
      </c>
      <c r="O1592" s="113" t="b">
        <v>0</v>
      </c>
      <c r="P1592" s="113" t="b">
        <v>0</v>
      </c>
      <c r="Q1592" s="113" t="b">
        <v>0</v>
      </c>
      <c r="R1592" s="113"/>
      <c r="S1592" s="113" t="b">
        <v>0</v>
      </c>
      <c r="T1592" s="113"/>
      <c r="U1592" s="113"/>
      <c r="V1592" s="113" t="b">
        <v>0</v>
      </c>
      <c r="W1592" s="113"/>
      <c r="X1592" s="113" t="b">
        <v>0</v>
      </c>
      <c r="Y1592" s="113"/>
      <c r="Z1592" s="113"/>
      <c r="AA1592" s="113"/>
      <c r="AB1592" s="113"/>
      <c r="AC1592" s="113"/>
      <c r="AD1592" s="113"/>
      <c r="AE1592" s="113"/>
      <c r="AF1592" s="113"/>
    </row>
    <row r="1593">
      <c r="A1593" s="115"/>
      <c r="B1593" s="116"/>
      <c r="C1593" s="116"/>
      <c r="D1593" s="116"/>
      <c r="E1593" s="117"/>
      <c r="F1593" s="116"/>
      <c r="G1593" s="117"/>
      <c r="H1593" s="118"/>
      <c r="I1593" s="116"/>
      <c r="J1593" s="116"/>
      <c r="K1593" s="116"/>
      <c r="L1593" s="116"/>
      <c r="M1593" s="119" t="b">
        <v>0</v>
      </c>
      <c r="N1593" s="113" t="b">
        <v>0</v>
      </c>
      <c r="O1593" s="113" t="b">
        <v>0</v>
      </c>
      <c r="P1593" s="113" t="b">
        <v>0</v>
      </c>
      <c r="Q1593" s="113" t="b">
        <v>0</v>
      </c>
      <c r="R1593" s="113"/>
      <c r="S1593" s="113" t="b">
        <v>0</v>
      </c>
      <c r="T1593" s="113"/>
      <c r="U1593" s="113"/>
      <c r="V1593" s="113" t="b">
        <v>0</v>
      </c>
      <c r="W1593" s="113"/>
      <c r="X1593" s="113" t="b">
        <v>0</v>
      </c>
      <c r="Y1593" s="113"/>
      <c r="Z1593" s="113"/>
      <c r="AA1593" s="113"/>
      <c r="AB1593" s="113"/>
      <c r="AC1593" s="113"/>
      <c r="AD1593" s="113"/>
      <c r="AE1593" s="113"/>
      <c r="AF1593" s="113"/>
    </row>
    <row r="1594">
      <c r="A1594" s="115"/>
      <c r="B1594" s="116"/>
      <c r="C1594" s="116"/>
      <c r="D1594" s="116"/>
      <c r="E1594" s="117"/>
      <c r="F1594" s="116"/>
      <c r="G1594" s="117"/>
      <c r="H1594" s="118"/>
      <c r="I1594" s="116"/>
      <c r="J1594" s="116"/>
      <c r="K1594" s="116"/>
      <c r="L1594" s="116"/>
      <c r="M1594" s="119" t="b">
        <v>0</v>
      </c>
      <c r="N1594" s="113" t="b">
        <v>0</v>
      </c>
      <c r="O1594" s="113" t="b">
        <v>0</v>
      </c>
      <c r="P1594" s="113" t="b">
        <v>0</v>
      </c>
      <c r="Q1594" s="113" t="b">
        <v>0</v>
      </c>
      <c r="R1594" s="113"/>
      <c r="S1594" s="113" t="b">
        <v>0</v>
      </c>
      <c r="T1594" s="113"/>
      <c r="U1594" s="113"/>
      <c r="V1594" s="113" t="b">
        <v>0</v>
      </c>
      <c r="W1594" s="113"/>
      <c r="X1594" s="113" t="b">
        <v>0</v>
      </c>
      <c r="Y1594" s="113"/>
      <c r="Z1594" s="113"/>
      <c r="AA1594" s="113"/>
      <c r="AB1594" s="113"/>
      <c r="AC1594" s="113"/>
      <c r="AD1594" s="113"/>
      <c r="AE1594" s="113"/>
      <c r="AF1594" s="113"/>
    </row>
    <row r="1595">
      <c r="A1595" s="115"/>
      <c r="B1595" s="116"/>
      <c r="C1595" s="116"/>
      <c r="D1595" s="116"/>
      <c r="E1595" s="117"/>
      <c r="F1595" s="116"/>
      <c r="G1595" s="117"/>
      <c r="H1595" s="118"/>
      <c r="I1595" s="116"/>
      <c r="J1595" s="116"/>
      <c r="K1595" s="116"/>
      <c r="L1595" s="116"/>
      <c r="M1595" s="119" t="b">
        <v>0</v>
      </c>
      <c r="N1595" s="113" t="b">
        <v>0</v>
      </c>
      <c r="O1595" s="113" t="b">
        <v>0</v>
      </c>
      <c r="P1595" s="113" t="b">
        <v>0</v>
      </c>
      <c r="Q1595" s="113" t="b">
        <v>0</v>
      </c>
      <c r="R1595" s="113"/>
      <c r="S1595" s="113" t="b">
        <v>0</v>
      </c>
      <c r="T1595" s="113"/>
      <c r="U1595" s="113"/>
      <c r="V1595" s="113" t="b">
        <v>0</v>
      </c>
      <c r="W1595" s="113"/>
      <c r="X1595" s="113" t="b">
        <v>0</v>
      </c>
      <c r="Y1595" s="113"/>
      <c r="Z1595" s="113"/>
      <c r="AA1595" s="113"/>
      <c r="AB1595" s="113"/>
      <c r="AC1595" s="113"/>
      <c r="AD1595" s="113"/>
      <c r="AE1595" s="113"/>
      <c r="AF1595" s="113"/>
    </row>
    <row r="1596">
      <c r="A1596" s="115"/>
      <c r="B1596" s="116"/>
      <c r="C1596" s="116"/>
      <c r="D1596" s="116"/>
      <c r="E1596" s="117"/>
      <c r="F1596" s="116"/>
      <c r="G1596" s="117"/>
      <c r="H1596" s="118"/>
      <c r="I1596" s="116"/>
      <c r="J1596" s="116"/>
      <c r="K1596" s="116"/>
      <c r="L1596" s="116"/>
      <c r="M1596" s="119" t="b">
        <v>0</v>
      </c>
      <c r="N1596" s="113" t="b">
        <v>0</v>
      </c>
      <c r="O1596" s="113" t="b">
        <v>0</v>
      </c>
      <c r="P1596" s="113" t="b">
        <v>0</v>
      </c>
      <c r="Q1596" s="113" t="b">
        <v>0</v>
      </c>
      <c r="R1596" s="113"/>
      <c r="S1596" s="113" t="b">
        <v>0</v>
      </c>
      <c r="T1596" s="113"/>
      <c r="U1596" s="113"/>
      <c r="V1596" s="113" t="b">
        <v>0</v>
      </c>
      <c r="W1596" s="113"/>
      <c r="X1596" s="113" t="b">
        <v>0</v>
      </c>
      <c r="Y1596" s="113"/>
      <c r="Z1596" s="113"/>
      <c r="AA1596" s="113"/>
      <c r="AB1596" s="113"/>
      <c r="AC1596" s="113"/>
      <c r="AD1596" s="113"/>
      <c r="AE1596" s="113"/>
      <c r="AF1596" s="113"/>
    </row>
    <row r="1597">
      <c r="A1597" s="115"/>
      <c r="B1597" s="116"/>
      <c r="C1597" s="116"/>
      <c r="D1597" s="116"/>
      <c r="E1597" s="117"/>
      <c r="F1597" s="116"/>
      <c r="G1597" s="117"/>
      <c r="H1597" s="118"/>
      <c r="I1597" s="116"/>
      <c r="J1597" s="116"/>
      <c r="K1597" s="116"/>
      <c r="L1597" s="116"/>
      <c r="M1597" s="119" t="b">
        <v>0</v>
      </c>
      <c r="N1597" s="113" t="b">
        <v>0</v>
      </c>
      <c r="O1597" s="113" t="b">
        <v>0</v>
      </c>
      <c r="P1597" s="113" t="b">
        <v>0</v>
      </c>
      <c r="Q1597" s="113" t="b">
        <v>0</v>
      </c>
      <c r="R1597" s="113"/>
      <c r="S1597" s="113" t="b">
        <v>0</v>
      </c>
      <c r="T1597" s="113"/>
      <c r="U1597" s="113"/>
      <c r="V1597" s="113" t="b">
        <v>0</v>
      </c>
      <c r="W1597" s="113"/>
      <c r="X1597" s="113" t="b">
        <v>0</v>
      </c>
      <c r="Y1597" s="113"/>
      <c r="Z1597" s="113"/>
      <c r="AA1597" s="113"/>
      <c r="AB1597" s="113"/>
      <c r="AC1597" s="113"/>
      <c r="AD1597" s="113"/>
      <c r="AE1597" s="113"/>
      <c r="AF1597" s="113"/>
    </row>
    <row r="1598">
      <c r="A1598" s="115"/>
      <c r="B1598" s="116"/>
      <c r="C1598" s="116"/>
      <c r="D1598" s="116"/>
      <c r="E1598" s="117"/>
      <c r="F1598" s="116"/>
      <c r="G1598" s="117"/>
      <c r="H1598" s="118"/>
      <c r="I1598" s="116"/>
      <c r="J1598" s="116"/>
      <c r="K1598" s="116"/>
      <c r="L1598" s="116"/>
      <c r="M1598" s="119" t="b">
        <v>0</v>
      </c>
      <c r="N1598" s="113" t="b">
        <v>0</v>
      </c>
      <c r="O1598" s="113" t="b">
        <v>0</v>
      </c>
      <c r="P1598" s="113" t="b">
        <v>0</v>
      </c>
      <c r="Q1598" s="113" t="b">
        <v>0</v>
      </c>
      <c r="R1598" s="113"/>
      <c r="S1598" s="113" t="b">
        <v>0</v>
      </c>
      <c r="T1598" s="113"/>
      <c r="U1598" s="113"/>
      <c r="V1598" s="113" t="b">
        <v>0</v>
      </c>
      <c r="W1598" s="113"/>
      <c r="X1598" s="113" t="b">
        <v>0</v>
      </c>
      <c r="Y1598" s="113"/>
      <c r="Z1598" s="113"/>
      <c r="AA1598" s="113"/>
      <c r="AB1598" s="113"/>
      <c r="AC1598" s="113"/>
      <c r="AD1598" s="113"/>
      <c r="AE1598" s="113"/>
      <c r="AF1598" s="113"/>
    </row>
    <row r="1599">
      <c r="A1599" s="115"/>
      <c r="B1599" s="116"/>
      <c r="C1599" s="116"/>
      <c r="D1599" s="116"/>
      <c r="E1599" s="117"/>
      <c r="F1599" s="116"/>
      <c r="G1599" s="117"/>
      <c r="H1599" s="118"/>
      <c r="I1599" s="116"/>
      <c r="J1599" s="116"/>
      <c r="K1599" s="116"/>
      <c r="L1599" s="116"/>
      <c r="M1599" s="119" t="b">
        <v>0</v>
      </c>
      <c r="N1599" s="113" t="b">
        <v>0</v>
      </c>
      <c r="O1599" s="113" t="b">
        <v>0</v>
      </c>
      <c r="P1599" s="113" t="b">
        <v>0</v>
      </c>
      <c r="Q1599" s="113" t="b">
        <v>0</v>
      </c>
      <c r="R1599" s="113"/>
      <c r="S1599" s="113" t="b">
        <v>0</v>
      </c>
      <c r="T1599" s="113"/>
      <c r="U1599" s="113"/>
      <c r="V1599" s="113" t="b">
        <v>0</v>
      </c>
      <c r="W1599" s="113"/>
      <c r="X1599" s="113" t="b">
        <v>0</v>
      </c>
      <c r="Y1599" s="113"/>
      <c r="Z1599" s="113"/>
      <c r="AA1599" s="113"/>
      <c r="AB1599" s="113"/>
      <c r="AC1599" s="113"/>
      <c r="AD1599" s="113"/>
      <c r="AE1599" s="113"/>
      <c r="AF1599" s="113"/>
    </row>
    <row r="1600">
      <c r="A1600" s="115"/>
      <c r="B1600" s="116"/>
      <c r="C1600" s="116"/>
      <c r="D1600" s="116"/>
      <c r="E1600" s="117"/>
      <c r="F1600" s="116"/>
      <c r="G1600" s="117"/>
      <c r="H1600" s="118"/>
      <c r="I1600" s="116"/>
      <c r="J1600" s="116"/>
      <c r="K1600" s="116"/>
      <c r="L1600" s="116"/>
      <c r="M1600" s="119" t="b">
        <v>0</v>
      </c>
      <c r="N1600" s="113" t="b">
        <v>0</v>
      </c>
      <c r="O1600" s="113" t="b">
        <v>0</v>
      </c>
      <c r="P1600" s="113" t="b">
        <v>0</v>
      </c>
      <c r="Q1600" s="113" t="b">
        <v>0</v>
      </c>
      <c r="R1600" s="113"/>
      <c r="S1600" s="113" t="b">
        <v>0</v>
      </c>
      <c r="T1600" s="113"/>
      <c r="U1600" s="113"/>
      <c r="V1600" s="113" t="b">
        <v>0</v>
      </c>
      <c r="W1600" s="113"/>
      <c r="X1600" s="113" t="b">
        <v>0</v>
      </c>
      <c r="Y1600" s="113"/>
      <c r="Z1600" s="113"/>
      <c r="AA1600" s="113"/>
      <c r="AB1600" s="113"/>
      <c r="AC1600" s="113"/>
      <c r="AD1600" s="113"/>
      <c r="AE1600" s="113"/>
      <c r="AF1600" s="113"/>
    </row>
    <row r="1601">
      <c r="A1601" s="115"/>
      <c r="B1601" s="116"/>
      <c r="C1601" s="116"/>
      <c r="D1601" s="116"/>
      <c r="E1601" s="117"/>
      <c r="F1601" s="116"/>
      <c r="G1601" s="117"/>
      <c r="H1601" s="118"/>
      <c r="I1601" s="116"/>
      <c r="J1601" s="116"/>
      <c r="K1601" s="116"/>
      <c r="L1601" s="116"/>
      <c r="M1601" s="119" t="b">
        <v>0</v>
      </c>
      <c r="N1601" s="113" t="b">
        <v>0</v>
      </c>
      <c r="O1601" s="113" t="b">
        <v>0</v>
      </c>
      <c r="P1601" s="113" t="b">
        <v>0</v>
      </c>
      <c r="Q1601" s="113" t="b">
        <v>0</v>
      </c>
      <c r="R1601" s="113"/>
      <c r="S1601" s="113" t="b">
        <v>0</v>
      </c>
      <c r="T1601" s="113"/>
      <c r="U1601" s="113"/>
      <c r="V1601" s="113" t="b">
        <v>0</v>
      </c>
      <c r="W1601" s="113"/>
      <c r="X1601" s="113" t="b">
        <v>0</v>
      </c>
      <c r="Y1601" s="113"/>
      <c r="Z1601" s="113"/>
      <c r="AA1601" s="113"/>
      <c r="AB1601" s="113"/>
      <c r="AC1601" s="113"/>
      <c r="AD1601" s="113"/>
      <c r="AE1601" s="113"/>
      <c r="AF1601" s="113"/>
    </row>
    <row r="1602">
      <c r="A1602" s="115"/>
      <c r="B1602" s="116"/>
      <c r="C1602" s="116"/>
      <c r="D1602" s="116"/>
      <c r="E1602" s="117"/>
      <c r="F1602" s="116"/>
      <c r="G1602" s="117"/>
      <c r="H1602" s="118"/>
      <c r="I1602" s="116"/>
      <c r="J1602" s="116"/>
      <c r="K1602" s="116"/>
      <c r="L1602" s="116"/>
      <c r="M1602" s="119" t="b">
        <v>0</v>
      </c>
      <c r="N1602" s="113" t="b">
        <v>0</v>
      </c>
      <c r="O1602" s="113" t="b">
        <v>0</v>
      </c>
      <c r="P1602" s="113" t="b">
        <v>0</v>
      </c>
      <c r="Q1602" s="113" t="b">
        <v>0</v>
      </c>
      <c r="R1602" s="113"/>
      <c r="S1602" s="113" t="b">
        <v>0</v>
      </c>
      <c r="T1602" s="113"/>
      <c r="U1602" s="113"/>
      <c r="V1602" s="113" t="b">
        <v>0</v>
      </c>
      <c r="W1602" s="113"/>
      <c r="X1602" s="113" t="b">
        <v>0</v>
      </c>
      <c r="Y1602" s="113"/>
      <c r="Z1602" s="113"/>
      <c r="AA1602" s="113"/>
      <c r="AB1602" s="113"/>
      <c r="AC1602" s="113"/>
      <c r="AD1602" s="113"/>
      <c r="AE1602" s="113"/>
      <c r="AF1602" s="113"/>
    </row>
  </sheetData>
  <autoFilter ref="$A$2:$AF$1001">
    <sortState ref="A2:AF1001">
      <sortCondition ref="C2:C1001"/>
    </sortState>
  </autoFilter>
  <mergeCells count="4">
    <mergeCell ref="B1:H1"/>
    <mergeCell ref="I1:L1"/>
    <mergeCell ref="M1:R1"/>
    <mergeCell ref="S1:Y1"/>
  </mergeCell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25"/>
    <col customWidth="1" min="12" max="12" width="30.25"/>
    <col customWidth="1" min="19" max="19" width="18.25"/>
    <col customWidth="1" min="21" max="21" width="15.13"/>
    <col customWidth="1" min="24" max="24" width="15.75"/>
  </cols>
  <sheetData>
    <row r="1">
      <c r="A1" s="124" t="str">
        <f>IFERROR(__xludf.DUMMYFUNCTION("importrange(""https://docs.google.com/spreadsheets/d/1OTsxtn8rPMvOdmyDqb0hpTlVSjZsoKh4wQQJkF8t6EY/edit?usp=sharing"",""siq_offlin_walk_in_data!A:G"")"),"walk_in_date")</f>
        <v>walk_in_date</v>
      </c>
      <c r="B1" s="124" t="str">
        <f>IFERROR(__xludf.DUMMYFUNCTION("""COMPUTED_VALUE"""),"source_value")</f>
        <v>source_value</v>
      </c>
      <c r="C1" s="124" t="str">
        <f>IFERROR(__xludf.DUMMYFUNCTION("""COMPUTED_VALUE"""),"center_name")</f>
        <v>center_name</v>
      </c>
      <c r="D1" s="124" t="str">
        <f>IFERROR(__xludf.DUMMYFUNCTION("""COMPUTED_VALUE"""),"walkin_type")</f>
        <v>walkin_type</v>
      </c>
      <c r="E1" s="124" t="str">
        <f>IFERROR(__xludf.DUMMYFUNCTION("""COMPUTED_VALUE"""),"walk_in")</f>
        <v>walk_in</v>
      </c>
      <c r="F1" s="124" t="str">
        <f>IFERROR(__xludf.DUMMYFUNCTION("""COMPUTED_VALUE"""),"lead_stage")</f>
        <v>lead_stage</v>
      </c>
      <c r="G1" s="124" t="str">
        <f>IFERROR(__xludf.DUMMYFUNCTION("""COMPUTED_VALUE"""),"interested_course")</f>
        <v>interested_course</v>
      </c>
      <c r="J1" s="125" t="s">
        <v>459</v>
      </c>
      <c r="K1" s="124" t="str">
        <f>IFERROR(__xludf.DUMMYFUNCTION("importrange(""https://docs.google.com/spreadsheets/d/1OTsxtn8rPMvOdmyDqb0hpTlVSjZsoKh4wQQJkF8t6EY/edit?usp=sharing"",""siq_offline_website_leads!A:E"")"),"#REF!")</f>
        <v>#REF!</v>
      </c>
      <c r="L1" s="124"/>
      <c r="M1" s="124"/>
      <c r="N1" s="124"/>
      <c r="O1" s="124"/>
      <c r="S1" s="125" t="s">
        <v>460</v>
      </c>
      <c r="T1" s="124" t="str">
        <f>IFERROR(__xludf.DUMMYFUNCTION("importrange(""https://docs.google.com/spreadsheets/d/1OTsxtn8rPMvOdmyDqb0hpTlVSjZsoKh4wQQJkF8t6EY/edit?usp=sharing"",""siq_offline_publisher_leads!A:I"")"),"date")</f>
        <v>date</v>
      </c>
      <c r="U1" s="124" t="str">
        <f>IFERROR(__xludf.DUMMYFUNCTION("""COMPUTED_VALUE"""),"channel_name")</f>
        <v>channel_name</v>
      </c>
      <c r="V1" s="124" t="str">
        <f>IFERROR(__xludf.DUMMYFUNCTION("""COMPUTED_VALUE"""),"source_value")</f>
        <v>source_value</v>
      </c>
      <c r="W1" s="124" t="str">
        <f>IFERROR(__xludf.DUMMYFUNCTION("""COMPUTED_VALUE"""),"medium_value")</f>
        <v>medium_value</v>
      </c>
      <c r="X1" s="124" t="str">
        <f>IFERROR(__xludf.DUMMYFUNCTION("""COMPUTED_VALUE"""),"name_value")</f>
        <v>name_value</v>
      </c>
      <c r="Y1" s="124" t="str">
        <f>IFERROR(__xludf.DUMMYFUNCTION("""COMPUTED_VALUE"""),"title")</f>
        <v>title</v>
      </c>
      <c r="Z1" s="124" t="str">
        <f>IFERROR(__xludf.DUMMYFUNCTION("""COMPUTED_VALUE"""),"leads")</f>
        <v>leads</v>
      </c>
      <c r="AA1" s="124" t="str">
        <f>IFERROR(__xludf.DUMMYFUNCTION("""COMPUTED_VALUE"""),"lead_stage")</f>
        <v>lead_stage</v>
      </c>
      <c r="AB1" s="124" t="str">
        <f>IFERROR(__xludf.DUMMYFUNCTION("""COMPUTED_VALUE"""),"interested_course")</f>
        <v>interested_course</v>
      </c>
    </row>
    <row r="2">
      <c r="A2" s="126">
        <f>IFERROR(__xludf.DUMMYFUNCTION("""COMPUTED_VALUE"""),46055.0)</f>
        <v>46055</v>
      </c>
      <c r="B2" s="124" t="str">
        <f>IFERROR(__xludf.DUMMYFUNCTION("""COMPUTED_VALUE"""),"Walkin")</f>
        <v>Walkin</v>
      </c>
      <c r="C2" s="124" t="str">
        <f>IFERROR(__xludf.DUMMYFUNCTION("""COMPUTED_VALUE"""),"Delhi")</f>
        <v>Delhi</v>
      </c>
      <c r="D2" s="124" t="str">
        <f>IFERROR(__xludf.DUMMYFUNCTION("""COMPUTED_VALUE"""),"Primary_Walkin")</f>
        <v>Primary_Walkin</v>
      </c>
      <c r="E2" s="127">
        <f>IFERROR(__xludf.DUMMYFUNCTION("""COMPUTED_VALUE"""),2.0)</f>
        <v>2</v>
      </c>
      <c r="F2" s="128" t="str">
        <f>IFERROR(__xludf.DUMMYFUNCTION("""COMPUTED_VALUE"""),"Not Interested")</f>
        <v>Not Interested</v>
      </c>
      <c r="G2" s="124" t="str">
        <f>IFERROR(__xludf.DUMMYFUNCTION("""COMPUTED_VALUE"""),"SIP Offline")</f>
        <v>SIP Offline</v>
      </c>
      <c r="K2" s="124"/>
      <c r="L2" s="124"/>
      <c r="M2" s="124"/>
      <c r="N2" s="124"/>
      <c r="O2" s="124"/>
      <c r="T2" s="126">
        <f>IFERROR(__xludf.DUMMYFUNCTION("""COMPUTED_VALUE"""),46088.0)</f>
        <v>46088</v>
      </c>
      <c r="U2" s="124" t="str">
        <f>IFERROR(__xludf.DUMMYFUNCTION("""COMPUTED_VALUE"""),"Telephony")</f>
        <v>Telephony</v>
      </c>
      <c r="V2" s="124" t="str">
        <f>IFERROR(__xludf.DUMMYFUNCTION("""COMPUTED_VALUE"""),"Inbound Call")</f>
        <v>Inbound Call</v>
      </c>
      <c r="W2" s="124">
        <f>IFERROR(__xludf.DUMMYFUNCTION("""COMPUTED_VALUE"""),9.18047861631E11)</f>
        <v>918047861631</v>
      </c>
      <c r="X2" s="124" t="str">
        <f>IFERROR(__xludf.DUMMYFUNCTION("""COMPUTED_VALUE"""),"Inbound Call")</f>
        <v>Inbound Call</v>
      </c>
      <c r="Y2" s="124" t="str">
        <f>IFERROR(__xludf.DUMMYFUNCTION("""COMPUTED_VALUE"""),"Lucknow")</f>
        <v>Lucknow</v>
      </c>
      <c r="Z2" s="124">
        <f>IFERROR(__xludf.DUMMYFUNCTION("""COMPUTED_VALUE"""),1.0)</f>
        <v>1</v>
      </c>
      <c r="AA2" s="124" t="str">
        <f>IFERROR(__xludf.DUMMYFUNCTION("""COMPUTED_VALUE"""),"Cold")</f>
        <v>Cold</v>
      </c>
      <c r="AB2" s="124" t="str">
        <f>IFERROR(__xludf.DUMMYFUNCTION("""COMPUTED_VALUE"""),"GS Foundation")</f>
        <v>GS Foundation</v>
      </c>
    </row>
    <row r="3">
      <c r="A3" s="129">
        <f>IFERROR(__xludf.DUMMYFUNCTION("""COMPUTED_VALUE"""),46081.0)</f>
        <v>46081</v>
      </c>
      <c r="B3" s="124" t="str">
        <f>IFERROR(__xludf.DUMMYFUNCTION("""COMPUTED_VALUE"""),"Walkin")</f>
        <v>Walkin</v>
      </c>
      <c r="C3" s="124" t="str">
        <f>IFERROR(__xludf.DUMMYFUNCTION("""COMPUTED_VALUE"""),"Delhi")</f>
        <v>Delhi</v>
      </c>
      <c r="D3" s="124" t="str">
        <f>IFERROR(__xludf.DUMMYFUNCTION("""COMPUTED_VALUE"""),"Primary_Walkin")</f>
        <v>Primary_Walkin</v>
      </c>
      <c r="E3" s="127">
        <f>IFERROR(__xludf.DUMMYFUNCTION("""COMPUTED_VALUE"""),4.0)</f>
        <v>4</v>
      </c>
      <c r="F3" s="128" t="str">
        <f>IFERROR(__xludf.DUMMYFUNCTION("""COMPUTED_VALUE"""),"Cold")</f>
        <v>Cold</v>
      </c>
      <c r="G3" s="124" t="str">
        <f>IFERROR(__xludf.DUMMYFUNCTION("""COMPUTED_VALUE"""),"GS Foundation")</f>
        <v>GS Foundation</v>
      </c>
      <c r="K3" s="124"/>
      <c r="L3" s="124"/>
      <c r="M3" s="124"/>
      <c r="N3" s="124"/>
      <c r="O3" s="124"/>
      <c r="T3" s="126">
        <f>IFERROR(__xludf.DUMMYFUNCTION("""COMPUTED_VALUE"""),46058.0)</f>
        <v>46058</v>
      </c>
      <c r="U3" s="124" t="str">
        <f>IFERROR(__xludf.DUMMYFUNCTION("""COMPUTED_VALUE"""),"Telephony")</f>
        <v>Telephony</v>
      </c>
      <c r="V3" s="124" t="str">
        <f>IFERROR(__xludf.DUMMYFUNCTION("""COMPUTED_VALUE"""),"Inbound Call")</f>
        <v>Inbound Call</v>
      </c>
      <c r="W3" s="124">
        <f>IFERROR(__xludf.DUMMYFUNCTION("""COMPUTED_VALUE"""),9.18047861663E11)</f>
        <v>918047861663</v>
      </c>
      <c r="X3" s="124" t="str">
        <f>IFERROR(__xludf.DUMMYFUNCTION("""COMPUTED_VALUE"""),"Inbound Call")</f>
        <v>Inbound Call</v>
      </c>
      <c r="Y3" s="124"/>
      <c r="Z3" s="124">
        <f>IFERROR(__xludf.DUMMYFUNCTION("""COMPUTED_VALUE"""),1.0)</f>
        <v>1</v>
      </c>
      <c r="AA3" s="124" t="str">
        <f>IFERROR(__xludf.DUMMYFUNCTION("""COMPUTED_VALUE"""),"Fake Lead")</f>
        <v>Fake Lead</v>
      </c>
      <c r="AB3" s="124"/>
    </row>
    <row r="4">
      <c r="A4" s="126">
        <f>IFERROR(__xludf.DUMMYFUNCTION("""COMPUTED_VALUE"""),46104.0)</f>
        <v>46104</v>
      </c>
      <c r="B4" s="124" t="str">
        <f>IFERROR(__xludf.DUMMYFUNCTION("""COMPUTED_VALUE"""),"external leads")</f>
        <v>external leads</v>
      </c>
      <c r="C4" s="124" t="str">
        <f>IFERROR(__xludf.DUMMYFUNCTION("""COMPUTED_VALUE"""),"Delhi")</f>
        <v>Delhi</v>
      </c>
      <c r="D4" s="124" t="str">
        <f>IFERROR(__xludf.DUMMYFUNCTION("""COMPUTED_VALUE"""),"Secondary_Walkin")</f>
        <v>Secondary_Walkin</v>
      </c>
      <c r="E4" s="127">
        <f>IFERROR(__xludf.DUMMYFUNCTION("""COMPUTED_VALUE"""),1.0)</f>
        <v>1</v>
      </c>
      <c r="F4" s="128" t="str">
        <f>IFERROR(__xludf.DUMMYFUNCTION("""COMPUTED_VALUE"""),"Future Prospects")</f>
        <v>Future Prospects</v>
      </c>
      <c r="G4" s="124" t="str">
        <f>IFERROR(__xludf.DUMMYFUNCTION("""COMPUTED_VALUE"""),"GS Foundation")</f>
        <v>GS Foundation</v>
      </c>
      <c r="K4" s="124"/>
      <c r="L4" s="124"/>
      <c r="M4" s="124"/>
      <c r="N4" s="124"/>
      <c r="O4" s="124"/>
      <c r="T4" s="126">
        <f>IFERROR(__xludf.DUMMYFUNCTION("""COMPUTED_VALUE"""),46112.0)</f>
        <v>46112</v>
      </c>
      <c r="U4" s="124" t="str">
        <f>IFERROR(__xludf.DUMMYFUNCTION("""COMPUTED_VALUE"""),"Paid Ads")</f>
        <v>Paid Ads</v>
      </c>
      <c r="V4" s="124" t="str">
        <f>IFERROR(__xludf.DUMMYFUNCTION("""COMPUTED_VALUE"""),"Facebook")</f>
        <v>Facebook</v>
      </c>
      <c r="W4" s="124" t="str">
        <f>IFERROR(__xludf.DUMMYFUNCTION("""COMPUTED_VALUE"""),"LeadAd")</f>
        <v>LeadAd</v>
      </c>
      <c r="X4" s="124" t="str">
        <f>IFERROR(__xludf.DUMMYFUNCTION("""COMPUTED_VALUE"""),"Upsc_offline_925_Video_lead_FB_Deeksha")</f>
        <v>Upsc_offline_925_Video_lead_FB_Deeksha</v>
      </c>
      <c r="Y4" s="124" t="str">
        <f>IFERROR(__xludf.DUMMYFUNCTION("""COMPUTED_VALUE"""),"Delhi")</f>
        <v>Delhi</v>
      </c>
      <c r="Z4" s="124">
        <f>IFERROR(__xludf.DUMMYFUNCTION("""COMPUTED_VALUE"""),6.0)</f>
        <v>6</v>
      </c>
      <c r="AA4" s="124"/>
      <c r="AB4" s="124"/>
    </row>
    <row r="5">
      <c r="A5" s="126">
        <f>IFERROR(__xludf.DUMMYFUNCTION("""COMPUTED_VALUE"""),46095.0)</f>
        <v>46095</v>
      </c>
      <c r="B5" s="124" t="str">
        <f>IFERROR(__xludf.DUMMYFUNCTION("""COMPUTED_VALUE"""),"Walkin")</f>
        <v>Walkin</v>
      </c>
      <c r="C5" s="124" t="str">
        <f>IFERROR(__xludf.DUMMYFUNCTION("""COMPUTED_VALUE"""),"Delhi")</f>
        <v>Delhi</v>
      </c>
      <c r="D5" s="124" t="str">
        <f>IFERROR(__xludf.DUMMYFUNCTION("""COMPUTED_VALUE"""),"Primary_Walkin")</f>
        <v>Primary_Walkin</v>
      </c>
      <c r="E5" s="127">
        <f>IFERROR(__xludf.DUMMYFUNCTION("""COMPUTED_VALUE"""),2.0)</f>
        <v>2</v>
      </c>
      <c r="F5" s="128" t="str">
        <f>IFERROR(__xludf.DUMMYFUNCTION("""COMPUTED_VALUE"""),"Cold")</f>
        <v>Cold</v>
      </c>
      <c r="G5" s="124" t="str">
        <f>IFERROR(__xludf.DUMMYFUNCTION("""COMPUTED_VALUE"""),"GS Foundation")</f>
        <v>GS Foundation</v>
      </c>
      <c r="K5" s="124"/>
      <c r="L5" s="124"/>
      <c r="M5" s="124"/>
      <c r="N5" s="124"/>
      <c r="O5" s="124"/>
      <c r="T5" s="126">
        <f>IFERROR(__xludf.DUMMYFUNCTION("""COMPUTED_VALUE"""),46049.0)</f>
        <v>46049</v>
      </c>
      <c r="U5" s="124" t="str">
        <f>IFERROR(__xludf.DUMMYFUNCTION("""COMPUTED_VALUE"""),"Telephony")</f>
        <v>Telephony</v>
      </c>
      <c r="V5" s="124" t="str">
        <f>IFERROR(__xludf.DUMMYFUNCTION("""COMPUTED_VALUE"""),"Inbound Call")</f>
        <v>Inbound Call</v>
      </c>
      <c r="W5" s="124">
        <f>IFERROR(__xludf.DUMMYFUNCTION("""COMPUTED_VALUE"""),9.18047861633E11)</f>
        <v>918047861633</v>
      </c>
      <c r="X5" s="124" t="str">
        <f>IFERROR(__xludf.DUMMYFUNCTION("""COMPUTED_VALUE"""),"Inbound Call")</f>
        <v>Inbound Call</v>
      </c>
      <c r="Y5" s="124"/>
      <c r="Z5" s="124">
        <f>IFERROR(__xludf.DUMMYFUNCTION("""COMPUTED_VALUE"""),13.0)</f>
        <v>13</v>
      </c>
      <c r="AA5" s="124" t="str">
        <f>IFERROR(__xludf.DUMMYFUNCTION("""COMPUTED_VALUE"""),"Cold")</f>
        <v>Cold</v>
      </c>
      <c r="AB5" s="124"/>
    </row>
    <row r="6">
      <c r="A6" s="129">
        <f>IFERROR(__xludf.DUMMYFUNCTION("""COMPUTED_VALUE"""),46072.0)</f>
        <v>46072</v>
      </c>
      <c r="B6" s="124" t="str">
        <f>IFERROR(__xludf.DUMMYFUNCTION("""COMPUTED_VALUE"""),"Walkin")</f>
        <v>Walkin</v>
      </c>
      <c r="C6" s="124" t="str">
        <f>IFERROR(__xludf.DUMMYFUNCTION("""COMPUTED_VALUE"""),"Delhi")</f>
        <v>Delhi</v>
      </c>
      <c r="D6" s="124" t="str">
        <f>IFERROR(__xludf.DUMMYFUNCTION("""COMPUTED_VALUE"""),"Primary_Walkin")</f>
        <v>Primary_Walkin</v>
      </c>
      <c r="E6" s="127">
        <f>IFERROR(__xludf.DUMMYFUNCTION("""COMPUTED_VALUE"""),1.0)</f>
        <v>1</v>
      </c>
      <c r="F6" s="128" t="str">
        <f>IFERROR(__xludf.DUMMYFUNCTION("""COMPUTED_VALUE"""),"Not Interested")</f>
        <v>Not Interested</v>
      </c>
      <c r="G6" s="124" t="str">
        <f>IFERROR(__xludf.DUMMYFUNCTION("""COMPUTED_VALUE"""),"Test Series")</f>
        <v>Test Series</v>
      </c>
      <c r="K6" s="124"/>
      <c r="L6" s="124"/>
      <c r="M6" s="124"/>
      <c r="N6" s="124"/>
      <c r="O6" s="124"/>
      <c r="T6" s="126">
        <f>IFERROR(__xludf.DUMMYFUNCTION("""COMPUTED_VALUE"""),46058.0)</f>
        <v>46058</v>
      </c>
      <c r="U6" s="124" t="str">
        <f>IFERROR(__xludf.DUMMYFUNCTION("""COMPUTED_VALUE"""),"Telephony")</f>
        <v>Telephony</v>
      </c>
      <c r="V6" s="124" t="str">
        <f>IFERROR(__xludf.DUMMYFUNCTION("""COMPUTED_VALUE"""),"Inbound Call")</f>
        <v>Inbound Call</v>
      </c>
      <c r="W6" s="124" t="str">
        <f>IFERROR(__xludf.DUMMYFUNCTION("""COMPUTED_VALUE"""),"Inbound Call")</f>
        <v>Inbound Call</v>
      </c>
      <c r="X6" s="124" t="str">
        <f>IFERROR(__xludf.DUMMYFUNCTION("""COMPUTED_VALUE"""),"Inbound Call")</f>
        <v>Inbound Call</v>
      </c>
      <c r="Y6" s="124"/>
      <c r="Z6" s="124">
        <f>IFERROR(__xludf.DUMMYFUNCTION("""COMPUTED_VALUE"""),4.0)</f>
        <v>4</v>
      </c>
      <c r="AA6" s="124" t="str">
        <f>IFERROR(__xludf.DUMMYFUNCTION("""COMPUTED_VALUE"""),"Cold")</f>
        <v>Cold</v>
      </c>
      <c r="AB6" s="124"/>
    </row>
    <row r="7">
      <c r="A7" s="126">
        <f>IFERROR(__xludf.DUMMYFUNCTION("""COMPUTED_VALUE"""),46109.0)</f>
        <v>46109</v>
      </c>
      <c r="B7" s="124" t="str">
        <f>IFERROR(__xludf.DUMMYFUNCTION("""COMPUTED_VALUE"""),"Walkin")</f>
        <v>Walkin</v>
      </c>
      <c r="C7" s="124" t="str">
        <f>IFERROR(__xludf.DUMMYFUNCTION("""COMPUTED_VALUE"""),"Delhi")</f>
        <v>Delhi</v>
      </c>
      <c r="D7" s="124" t="str">
        <f>IFERROR(__xludf.DUMMYFUNCTION("""COMPUTED_VALUE"""),"Primary_Walkin")</f>
        <v>Primary_Walkin</v>
      </c>
      <c r="E7" s="127">
        <f>IFERROR(__xludf.DUMMYFUNCTION("""COMPUTED_VALUE"""),6.0)</f>
        <v>6</v>
      </c>
      <c r="F7" s="128" t="str">
        <f>IFERROR(__xludf.DUMMYFUNCTION("""COMPUTED_VALUE"""),"Warm")</f>
        <v>Warm</v>
      </c>
      <c r="G7" s="124" t="str">
        <f>IFERROR(__xludf.DUMMYFUNCTION("""COMPUTED_VALUE"""),"GS Foundation")</f>
        <v>GS Foundation</v>
      </c>
      <c r="K7" s="124"/>
      <c r="L7" s="124"/>
      <c r="M7" s="124"/>
      <c r="N7" s="124"/>
      <c r="O7" s="124"/>
      <c r="T7" s="126">
        <f>IFERROR(__xludf.DUMMYFUNCTION("""COMPUTED_VALUE"""),46083.0)</f>
        <v>46083</v>
      </c>
      <c r="U7" s="124" t="str">
        <f>IFERROR(__xludf.DUMMYFUNCTION("""COMPUTED_VALUE"""),"Telephony")</f>
        <v>Telephony</v>
      </c>
      <c r="V7" s="124" t="str">
        <f>IFERROR(__xludf.DUMMYFUNCTION("""COMPUTED_VALUE"""),"Inbound Call")</f>
        <v>Inbound Call</v>
      </c>
      <c r="W7" s="124">
        <f>IFERROR(__xludf.DUMMYFUNCTION("""COMPUTED_VALUE"""),9.18047861663E11)</f>
        <v>918047861663</v>
      </c>
      <c r="X7" s="124" t="str">
        <f>IFERROR(__xludf.DUMMYFUNCTION("""COMPUTED_VALUE"""),"Inbound Call")</f>
        <v>Inbound Call</v>
      </c>
      <c r="Y7" s="124" t="str">
        <f>IFERROR(__xludf.DUMMYFUNCTION("""COMPUTED_VALUE"""),"Delhi")</f>
        <v>Delhi</v>
      </c>
      <c r="Z7" s="124">
        <f>IFERROR(__xludf.DUMMYFUNCTION("""COMPUTED_VALUE"""),9.0)</f>
        <v>9</v>
      </c>
      <c r="AA7" s="124" t="str">
        <f>IFERROR(__xludf.DUMMYFUNCTION("""COMPUTED_VALUE"""),"Cold")</f>
        <v>Cold</v>
      </c>
      <c r="AB7" s="124"/>
    </row>
    <row r="8">
      <c r="A8" s="126">
        <f>IFERROR(__xludf.DUMMYFUNCTION("""COMPUTED_VALUE"""),46095.0)</f>
        <v>46095</v>
      </c>
      <c r="B8" s="124" t="str">
        <f>IFERROR(__xludf.DUMMYFUNCTION("""COMPUTED_VALUE"""),"Walkin")</f>
        <v>Walkin</v>
      </c>
      <c r="C8" s="124" t="str">
        <f>IFERROR(__xludf.DUMMYFUNCTION("""COMPUTED_VALUE"""),"Delhi")</f>
        <v>Delhi</v>
      </c>
      <c r="D8" s="124" t="str">
        <f>IFERROR(__xludf.DUMMYFUNCTION("""COMPUTED_VALUE"""),"Primary_Walkin")</f>
        <v>Primary_Walkin</v>
      </c>
      <c r="E8" s="127">
        <f>IFERROR(__xludf.DUMMYFUNCTION("""COMPUTED_VALUE"""),4.0)</f>
        <v>4</v>
      </c>
      <c r="F8" s="128" t="str">
        <f>IFERROR(__xludf.DUMMYFUNCTION("""COMPUTED_VALUE"""),"Warm")</f>
        <v>Warm</v>
      </c>
      <c r="G8" s="124" t="str">
        <f>IFERROR(__xludf.DUMMYFUNCTION("""COMPUTED_VALUE"""),"GS Foundation")</f>
        <v>GS Foundation</v>
      </c>
      <c r="K8" s="124"/>
      <c r="L8" s="124"/>
      <c r="M8" s="124"/>
      <c r="N8" s="124"/>
      <c r="O8" s="124"/>
      <c r="T8" s="126">
        <f>IFERROR(__xludf.DUMMYFUNCTION("""COMPUTED_VALUE"""),46097.0)</f>
        <v>46097</v>
      </c>
      <c r="U8" s="124" t="str">
        <f>IFERROR(__xludf.DUMMYFUNCTION("""COMPUTED_VALUE"""),"Telephony")</f>
        <v>Telephony</v>
      </c>
      <c r="V8" s="124" t="str">
        <f>IFERROR(__xludf.DUMMYFUNCTION("""COMPUTED_VALUE"""),"Inbound Call")</f>
        <v>Inbound Call</v>
      </c>
      <c r="W8" s="124">
        <f>IFERROR(__xludf.DUMMYFUNCTION("""COMPUTED_VALUE"""),9.18047861635E11)</f>
        <v>918047861635</v>
      </c>
      <c r="X8" s="124" t="str">
        <f>IFERROR(__xludf.DUMMYFUNCTION("""COMPUTED_VALUE"""),"Inbound Call")</f>
        <v>Inbound Call</v>
      </c>
      <c r="Y8" s="124" t="str">
        <f>IFERROR(__xludf.DUMMYFUNCTION("""COMPUTED_VALUE"""),"Indore")</f>
        <v>Indore</v>
      </c>
      <c r="Z8" s="124">
        <f>IFERROR(__xludf.DUMMYFUNCTION("""COMPUTED_VALUE"""),3.0)</f>
        <v>3</v>
      </c>
      <c r="AA8" s="124" t="str">
        <f>IFERROR(__xludf.DUMMYFUNCTION("""COMPUTED_VALUE"""),"Fake Lead")</f>
        <v>Fake Lead</v>
      </c>
      <c r="AB8" s="124"/>
    </row>
    <row r="9">
      <c r="A9" s="126">
        <f>IFERROR(__xludf.DUMMYFUNCTION("""COMPUTED_VALUE"""),46090.0)</f>
        <v>46090</v>
      </c>
      <c r="B9" s="124" t="str">
        <f>IFERROR(__xludf.DUMMYFUNCTION("""COMPUTED_VALUE"""),"Walkin")</f>
        <v>Walkin</v>
      </c>
      <c r="C9" s="124" t="str">
        <f>IFERROR(__xludf.DUMMYFUNCTION("""COMPUTED_VALUE"""),"Delhi")</f>
        <v>Delhi</v>
      </c>
      <c r="D9" s="124" t="str">
        <f>IFERROR(__xludf.DUMMYFUNCTION("""COMPUTED_VALUE"""),"Primary_Walkin")</f>
        <v>Primary_Walkin</v>
      </c>
      <c r="E9" s="127">
        <f>IFERROR(__xludf.DUMMYFUNCTION("""COMPUTED_VALUE"""),8.0)</f>
        <v>8</v>
      </c>
      <c r="F9" s="128" t="str">
        <f>IFERROR(__xludf.DUMMYFUNCTION("""COMPUTED_VALUE"""),"Cold")</f>
        <v>Cold</v>
      </c>
      <c r="G9" s="124" t="str">
        <f>IFERROR(__xludf.DUMMYFUNCTION("""COMPUTED_VALUE"""),"GS Foundation")</f>
        <v>GS Foundation</v>
      </c>
      <c r="K9" s="124"/>
      <c r="L9" s="124"/>
      <c r="M9" s="124"/>
      <c r="N9" s="124"/>
      <c r="O9" s="124"/>
      <c r="T9" s="126">
        <f>IFERROR(__xludf.DUMMYFUNCTION("""COMPUTED_VALUE"""),46052.0)</f>
        <v>46052</v>
      </c>
      <c r="U9" s="124" t="str">
        <f>IFERROR(__xludf.DUMMYFUNCTION("""COMPUTED_VALUE"""),"Telephony")</f>
        <v>Telephony</v>
      </c>
      <c r="V9" s="124" t="str">
        <f>IFERROR(__xludf.DUMMYFUNCTION("""COMPUTED_VALUE"""),"Inbound Call")</f>
        <v>Inbound Call</v>
      </c>
      <c r="W9" s="124" t="str">
        <f>IFERROR(__xludf.DUMMYFUNCTION("""COMPUTED_VALUE"""),"Inbound Call")</f>
        <v>Inbound Call</v>
      </c>
      <c r="X9" s="124" t="str">
        <f>IFERROR(__xludf.DUMMYFUNCTION("""COMPUTED_VALUE"""),"Inbound Call")</f>
        <v>Inbound Call</v>
      </c>
      <c r="Y9" s="124"/>
      <c r="Z9" s="124">
        <f>IFERROR(__xludf.DUMMYFUNCTION("""COMPUTED_VALUE"""),4.0)</f>
        <v>4</v>
      </c>
      <c r="AA9" s="124" t="str">
        <f>IFERROR(__xludf.DUMMYFUNCTION("""COMPUTED_VALUE"""),"Cold")</f>
        <v>Cold</v>
      </c>
      <c r="AB9" s="124"/>
    </row>
    <row r="10">
      <c r="A10" s="126">
        <f>IFERROR(__xludf.DUMMYFUNCTION("""COMPUTED_VALUE"""),46061.0)</f>
        <v>46061</v>
      </c>
      <c r="B10" s="124" t="str">
        <f>IFERROR(__xludf.DUMMYFUNCTION("""COMPUTED_VALUE"""),"Walk-In")</f>
        <v>Walk-In</v>
      </c>
      <c r="C10" s="124" t="str">
        <f>IFERROR(__xludf.DUMMYFUNCTION("""COMPUTED_VALUE"""),"Delhi")</f>
        <v>Delhi</v>
      </c>
      <c r="D10" s="124" t="str">
        <f>IFERROR(__xludf.DUMMYFUNCTION("""COMPUTED_VALUE"""),"Primary_Walkin")</f>
        <v>Primary_Walkin</v>
      </c>
      <c r="E10" s="127">
        <f>IFERROR(__xludf.DUMMYFUNCTION("""COMPUTED_VALUE"""),1.0)</f>
        <v>1</v>
      </c>
      <c r="F10" s="128" t="str">
        <f>IFERROR(__xludf.DUMMYFUNCTION("""COMPUTED_VALUE"""),"Not Interested")</f>
        <v>Not Interested</v>
      </c>
      <c r="G10" s="124" t="str">
        <f>IFERROR(__xludf.DUMMYFUNCTION("""COMPUTED_VALUE"""),"GS Foundation")</f>
        <v>GS Foundation</v>
      </c>
      <c r="K10" s="124"/>
      <c r="L10" s="124"/>
      <c r="M10" s="124"/>
      <c r="N10" s="124"/>
      <c r="O10" s="124"/>
      <c r="T10" s="126">
        <f>IFERROR(__xludf.DUMMYFUNCTION("""COMPUTED_VALUE"""),46046.0)</f>
        <v>46046</v>
      </c>
      <c r="U10" s="124" t="str">
        <f>IFERROR(__xludf.DUMMYFUNCTION("""COMPUTED_VALUE"""),"Telephony")</f>
        <v>Telephony</v>
      </c>
      <c r="V10" s="124" t="str">
        <f>IFERROR(__xludf.DUMMYFUNCTION("""COMPUTED_VALUE"""),"Inbound Call")</f>
        <v>Inbound Call</v>
      </c>
      <c r="W10" s="124">
        <f>IFERROR(__xludf.DUMMYFUNCTION("""COMPUTED_VALUE"""),9.18047861663E11)</f>
        <v>918047861663</v>
      </c>
      <c r="X10" s="124" t="str">
        <f>IFERROR(__xludf.DUMMYFUNCTION("""COMPUTED_VALUE"""),"Inbound Call")</f>
        <v>Inbound Call</v>
      </c>
      <c r="Y10" s="124"/>
      <c r="Z10" s="124">
        <f>IFERROR(__xludf.DUMMYFUNCTION("""COMPUTED_VALUE"""),6.0)</f>
        <v>6</v>
      </c>
      <c r="AA10" s="124" t="str">
        <f>IFERROR(__xludf.DUMMYFUNCTION("""COMPUTED_VALUE"""),"Fake Lead")</f>
        <v>Fake Lead</v>
      </c>
      <c r="AB10" s="124"/>
    </row>
    <row r="11">
      <c r="A11" s="126">
        <f>IFERROR(__xludf.DUMMYFUNCTION("""COMPUTED_VALUE"""),46043.0)</f>
        <v>46043</v>
      </c>
      <c r="B11" s="124" t="str">
        <f>IFERROR(__xludf.DUMMYFUNCTION("""COMPUTED_VALUE"""),"Walkin")</f>
        <v>Walkin</v>
      </c>
      <c r="C11" s="124" t="str">
        <f>IFERROR(__xludf.DUMMYFUNCTION("""COMPUTED_VALUE"""),"Delhi")</f>
        <v>Delhi</v>
      </c>
      <c r="D11" s="124" t="str">
        <f>IFERROR(__xludf.DUMMYFUNCTION("""COMPUTED_VALUE"""),"Primary_Walkin")</f>
        <v>Primary_Walkin</v>
      </c>
      <c r="E11" s="127">
        <f>IFERROR(__xludf.DUMMYFUNCTION("""COMPUTED_VALUE"""),6.0)</f>
        <v>6</v>
      </c>
      <c r="F11" s="128" t="str">
        <f>IFERROR(__xludf.DUMMYFUNCTION("""COMPUTED_VALUE"""),"Not Interested")</f>
        <v>Not Interested</v>
      </c>
      <c r="G11" s="124" t="str">
        <f>IFERROR(__xludf.DUMMYFUNCTION("""COMPUTED_VALUE"""),"GS Foundation")</f>
        <v>GS Foundation</v>
      </c>
      <c r="K11" s="124"/>
      <c r="L11" s="124"/>
      <c r="M11" s="124"/>
      <c r="N11" s="124"/>
      <c r="O11" s="124"/>
      <c r="T11" s="126">
        <f>IFERROR(__xludf.DUMMYFUNCTION("""COMPUTED_VALUE"""),46090.0)</f>
        <v>46090</v>
      </c>
      <c r="U11" s="124" t="str">
        <f>IFERROR(__xludf.DUMMYFUNCTION("""COMPUTED_VALUE"""),"Telephony")</f>
        <v>Telephony</v>
      </c>
      <c r="V11" s="124" t="str">
        <f>IFERROR(__xludf.DUMMYFUNCTION("""COMPUTED_VALUE"""),"Inbound Call")</f>
        <v>Inbound Call</v>
      </c>
      <c r="W11" s="124">
        <f>IFERROR(__xludf.DUMMYFUNCTION("""COMPUTED_VALUE"""),9.18047861663E11)</f>
        <v>918047861663</v>
      </c>
      <c r="X11" s="124" t="str">
        <f>IFERROR(__xludf.DUMMYFUNCTION("""COMPUTED_VALUE"""),"Inbound Call")</f>
        <v>Inbound Call</v>
      </c>
      <c r="Y11" s="124" t="str">
        <f>IFERROR(__xludf.DUMMYFUNCTION("""COMPUTED_VALUE"""),"Delhi")</f>
        <v>Delhi</v>
      </c>
      <c r="Z11" s="124">
        <f>IFERROR(__xludf.DUMMYFUNCTION("""COMPUTED_VALUE"""),18.0)</f>
        <v>18</v>
      </c>
      <c r="AA11" s="124" t="str">
        <f>IFERROR(__xludf.DUMMYFUNCTION("""COMPUTED_VALUE"""),"Cold")</f>
        <v>Cold</v>
      </c>
      <c r="AB11" s="124"/>
    </row>
    <row r="12">
      <c r="A12" s="126">
        <f>IFERROR(__xludf.DUMMYFUNCTION("""COMPUTED_VALUE"""),46065.0)</f>
        <v>46065</v>
      </c>
      <c r="B12" s="124" t="str">
        <f>IFERROR(__xludf.DUMMYFUNCTION("""COMPUTED_VALUE"""),"Walkin")</f>
        <v>Walkin</v>
      </c>
      <c r="C12" s="124" t="str">
        <f>IFERROR(__xludf.DUMMYFUNCTION("""COMPUTED_VALUE"""),"Delhi")</f>
        <v>Delhi</v>
      </c>
      <c r="D12" s="124" t="str">
        <f>IFERROR(__xludf.DUMMYFUNCTION("""COMPUTED_VALUE"""),"Primary_Walkin")</f>
        <v>Primary_Walkin</v>
      </c>
      <c r="E12" s="127">
        <f>IFERROR(__xludf.DUMMYFUNCTION("""COMPUTED_VALUE"""),9.0)</f>
        <v>9</v>
      </c>
      <c r="F12" s="128" t="str">
        <f>IFERROR(__xludf.DUMMYFUNCTION("""COMPUTED_VALUE"""),"Cold")</f>
        <v>Cold</v>
      </c>
      <c r="G12" s="124" t="str">
        <f>IFERROR(__xludf.DUMMYFUNCTION("""COMPUTED_VALUE"""),"GS Foundation")</f>
        <v>GS Foundation</v>
      </c>
      <c r="K12" s="124"/>
      <c r="L12" s="124"/>
      <c r="M12" s="124"/>
      <c r="N12" s="124"/>
      <c r="O12" s="124"/>
      <c r="T12" s="129">
        <f>IFERROR(__xludf.DUMMYFUNCTION("""COMPUTED_VALUE"""),46073.0)</f>
        <v>46073</v>
      </c>
      <c r="U12" s="124" t="str">
        <f>IFERROR(__xludf.DUMMYFUNCTION("""COMPUTED_VALUE"""),"Telephony")</f>
        <v>Telephony</v>
      </c>
      <c r="V12" s="124" t="str">
        <f>IFERROR(__xludf.DUMMYFUNCTION("""COMPUTED_VALUE"""),"Inbound Call")</f>
        <v>Inbound Call</v>
      </c>
      <c r="W12" s="124">
        <f>IFERROR(__xludf.DUMMYFUNCTION("""COMPUTED_VALUE"""),9.18047861633E11)</f>
        <v>918047861633</v>
      </c>
      <c r="X12" s="124" t="str">
        <f>IFERROR(__xludf.DUMMYFUNCTION("""COMPUTED_VALUE"""),"Inbound Call")</f>
        <v>Inbound Call</v>
      </c>
      <c r="Y12" s="124"/>
      <c r="Z12" s="124">
        <f>IFERROR(__xludf.DUMMYFUNCTION("""COMPUTED_VALUE"""),3.0)</f>
        <v>3</v>
      </c>
      <c r="AA12" s="124" t="str">
        <f>IFERROR(__xludf.DUMMYFUNCTION("""COMPUTED_VALUE"""),"Cold")</f>
        <v>Cold</v>
      </c>
      <c r="AB12" s="124"/>
    </row>
    <row r="13">
      <c r="A13" s="126">
        <f>IFERROR(__xludf.DUMMYFUNCTION("""COMPUTED_VALUE"""),46064.0)</f>
        <v>46064</v>
      </c>
      <c r="B13" s="124" t="str">
        <f>IFERROR(__xludf.DUMMYFUNCTION("""COMPUTED_VALUE"""),"Walkin")</f>
        <v>Walkin</v>
      </c>
      <c r="C13" s="124" t="str">
        <f>IFERROR(__xludf.DUMMYFUNCTION("""COMPUTED_VALUE"""),"Delhi")</f>
        <v>Delhi</v>
      </c>
      <c r="D13" s="124" t="str">
        <f>IFERROR(__xludf.DUMMYFUNCTION("""COMPUTED_VALUE"""),"Primary_Walkin")</f>
        <v>Primary_Walkin</v>
      </c>
      <c r="E13" s="127">
        <f>IFERROR(__xludf.DUMMYFUNCTION("""COMPUTED_VALUE"""),2.0)</f>
        <v>2</v>
      </c>
      <c r="F13" s="128" t="str">
        <f>IFERROR(__xludf.DUMMYFUNCTION("""COMPUTED_VALUE"""),"Future Prospects")</f>
        <v>Future Prospects</v>
      </c>
      <c r="G13" s="124" t="str">
        <f>IFERROR(__xludf.DUMMYFUNCTION("""COMPUTED_VALUE"""),"GS Foundation")</f>
        <v>GS Foundation</v>
      </c>
      <c r="K13" s="124"/>
      <c r="L13" s="124"/>
      <c r="M13" s="124"/>
      <c r="N13" s="124"/>
      <c r="O13" s="124"/>
      <c r="T13" s="126">
        <f>IFERROR(__xludf.DUMMYFUNCTION("""COMPUTED_VALUE"""),46050.0)</f>
        <v>46050</v>
      </c>
      <c r="U13" s="124" t="str">
        <f>IFERROR(__xludf.DUMMYFUNCTION("""COMPUTED_VALUE"""),"Telephony")</f>
        <v>Telephony</v>
      </c>
      <c r="V13" s="124" t="str">
        <f>IFERROR(__xludf.DUMMYFUNCTION("""COMPUTED_VALUE"""),"Inbound Call")</f>
        <v>Inbound Call</v>
      </c>
      <c r="W13" s="124">
        <f>IFERROR(__xludf.DUMMYFUNCTION("""COMPUTED_VALUE"""),9.18047861663E11)</f>
        <v>918047861663</v>
      </c>
      <c r="X13" s="124" t="str">
        <f>IFERROR(__xludf.DUMMYFUNCTION("""COMPUTED_VALUE"""),"Inbound Call")</f>
        <v>Inbound Call</v>
      </c>
      <c r="Y13" s="124" t="str">
        <f>IFERROR(__xludf.DUMMYFUNCTION("""COMPUTED_VALUE"""),"Delhi")</f>
        <v>Delhi</v>
      </c>
      <c r="Z13" s="124">
        <f>IFERROR(__xludf.DUMMYFUNCTION("""COMPUTED_VALUE"""),1.0)</f>
        <v>1</v>
      </c>
      <c r="AA13" s="124" t="str">
        <f>IFERROR(__xludf.DUMMYFUNCTION("""COMPUTED_VALUE"""),"Cold")</f>
        <v>Cold</v>
      </c>
      <c r="AB13" s="124" t="str">
        <f>IFERROR(__xludf.DUMMYFUNCTION("""COMPUTED_VALUE"""),"GS Foundation")</f>
        <v>GS Foundation</v>
      </c>
    </row>
    <row r="14">
      <c r="A14" s="129">
        <f>IFERROR(__xludf.DUMMYFUNCTION("""COMPUTED_VALUE"""),46091.0)</f>
        <v>46091</v>
      </c>
      <c r="B14" s="124" t="str">
        <f>IFERROR(__xludf.DUMMYFUNCTION("""COMPUTED_VALUE"""),"Walkin")</f>
        <v>Walkin</v>
      </c>
      <c r="C14" s="124" t="str">
        <f>IFERROR(__xludf.DUMMYFUNCTION("""COMPUTED_VALUE"""),"Delhi")</f>
        <v>Delhi</v>
      </c>
      <c r="D14" s="124" t="str">
        <f>IFERROR(__xludf.DUMMYFUNCTION("""COMPUTED_VALUE"""),"Primary_Walkin")</f>
        <v>Primary_Walkin</v>
      </c>
      <c r="E14" s="127">
        <f>IFERROR(__xludf.DUMMYFUNCTION("""COMPUTED_VALUE"""),3.0)</f>
        <v>3</v>
      </c>
      <c r="F14" s="128" t="str">
        <f>IFERROR(__xludf.DUMMYFUNCTION("""COMPUTED_VALUE"""),"Future Prospects")</f>
        <v>Future Prospects</v>
      </c>
      <c r="G14" s="124" t="str">
        <f>IFERROR(__xludf.DUMMYFUNCTION("""COMPUTED_VALUE"""),"GS Foundation")</f>
        <v>GS Foundation</v>
      </c>
      <c r="K14" s="124"/>
      <c r="L14" s="124"/>
      <c r="M14" s="124"/>
      <c r="N14" s="124"/>
      <c r="O14" s="124"/>
      <c r="T14" s="129">
        <f>IFERROR(__xludf.DUMMYFUNCTION("""COMPUTED_VALUE"""),46059.0)</f>
        <v>46059</v>
      </c>
      <c r="U14" s="124" t="str">
        <f>IFERROR(__xludf.DUMMYFUNCTION("""COMPUTED_VALUE"""),"Telephony")</f>
        <v>Telephony</v>
      </c>
      <c r="V14" s="124" t="str">
        <f>IFERROR(__xludf.DUMMYFUNCTION("""COMPUTED_VALUE"""),"Inbound Call")</f>
        <v>Inbound Call</v>
      </c>
      <c r="W14" s="124">
        <f>IFERROR(__xludf.DUMMYFUNCTION("""COMPUTED_VALUE"""),9.18047861663E11)</f>
        <v>918047861663</v>
      </c>
      <c r="X14" s="124" t="str">
        <f>IFERROR(__xludf.DUMMYFUNCTION("""COMPUTED_VALUE"""),"Inbound Call")</f>
        <v>Inbound Call</v>
      </c>
      <c r="Y14" s="124"/>
      <c r="Z14" s="124">
        <f>IFERROR(__xludf.DUMMYFUNCTION("""COMPUTED_VALUE"""),3.0)</f>
        <v>3</v>
      </c>
      <c r="AA14" s="124" t="str">
        <f>IFERROR(__xludf.DUMMYFUNCTION("""COMPUTED_VALUE"""),"Fake Lead")</f>
        <v>Fake Lead</v>
      </c>
      <c r="AB14" s="124"/>
    </row>
    <row r="15">
      <c r="A15" s="126">
        <f>IFERROR(__xludf.DUMMYFUNCTION("""COMPUTED_VALUE"""),46094.0)</f>
        <v>46094</v>
      </c>
      <c r="B15" s="124" t="str">
        <f>IFERROR(__xludf.DUMMYFUNCTION("""COMPUTED_VALUE"""),"Walkin")</f>
        <v>Walkin</v>
      </c>
      <c r="C15" s="124" t="str">
        <f>IFERROR(__xludf.DUMMYFUNCTION("""COMPUTED_VALUE"""),"Delhi")</f>
        <v>Delhi</v>
      </c>
      <c r="D15" s="124" t="str">
        <f>IFERROR(__xludf.DUMMYFUNCTION("""COMPUTED_VALUE"""),"Primary_Walkin")</f>
        <v>Primary_Walkin</v>
      </c>
      <c r="E15" s="127">
        <f>IFERROR(__xludf.DUMMYFUNCTION("""COMPUTED_VALUE"""),4.0)</f>
        <v>4</v>
      </c>
      <c r="F15" s="128" t="str">
        <f>IFERROR(__xludf.DUMMYFUNCTION("""COMPUTED_VALUE"""),"Cold")</f>
        <v>Cold</v>
      </c>
      <c r="G15" s="124" t="str">
        <f>IFERROR(__xludf.DUMMYFUNCTION("""COMPUTED_VALUE"""),"GS Foundation")</f>
        <v>GS Foundation</v>
      </c>
      <c r="K15" s="124"/>
      <c r="L15" s="124"/>
      <c r="M15" s="124"/>
      <c r="N15" s="124"/>
      <c r="O15" s="124"/>
      <c r="T15" s="129">
        <f>IFERROR(__xludf.DUMMYFUNCTION("""COMPUTED_VALUE"""),46054.0)</f>
        <v>46054</v>
      </c>
      <c r="U15" s="124" t="str">
        <f>IFERROR(__xludf.DUMMYFUNCTION("""COMPUTED_VALUE"""),"Telephony")</f>
        <v>Telephony</v>
      </c>
      <c r="V15" s="124" t="str">
        <f>IFERROR(__xludf.DUMMYFUNCTION("""COMPUTED_VALUE"""),"Inbound Call")</f>
        <v>Inbound Call</v>
      </c>
      <c r="W15" s="124">
        <f>IFERROR(__xludf.DUMMYFUNCTION("""COMPUTED_VALUE"""),9.18047861631E11)</f>
        <v>918047861631</v>
      </c>
      <c r="X15" s="124" t="str">
        <f>IFERROR(__xludf.DUMMYFUNCTION("""COMPUTED_VALUE"""),"Inbound Call")</f>
        <v>Inbound Call</v>
      </c>
      <c r="Y15" s="124"/>
      <c r="Z15" s="124">
        <f>IFERROR(__xludf.DUMMYFUNCTION("""COMPUTED_VALUE"""),1.0)</f>
        <v>1</v>
      </c>
      <c r="AA15" s="124" t="str">
        <f>IFERROR(__xludf.DUMMYFUNCTION("""COMPUTED_VALUE"""),"Cold")</f>
        <v>Cold</v>
      </c>
      <c r="AB15" s="124"/>
    </row>
    <row r="16">
      <c r="A16" s="129">
        <f>IFERROR(__xludf.DUMMYFUNCTION("""COMPUTED_VALUE"""),46110.0)</f>
        <v>46110</v>
      </c>
      <c r="B16" s="124" t="str">
        <f>IFERROR(__xludf.DUMMYFUNCTION("""COMPUTED_VALUE"""),"Walkin")</f>
        <v>Walkin</v>
      </c>
      <c r="C16" s="124" t="str">
        <f>IFERROR(__xludf.DUMMYFUNCTION("""COMPUTED_VALUE"""),"Delhi")</f>
        <v>Delhi</v>
      </c>
      <c r="D16" s="124" t="str">
        <f>IFERROR(__xludf.DUMMYFUNCTION("""COMPUTED_VALUE"""),"Primary_Walkin")</f>
        <v>Primary_Walkin</v>
      </c>
      <c r="E16" s="127">
        <f>IFERROR(__xludf.DUMMYFUNCTION("""COMPUTED_VALUE"""),1.0)</f>
        <v>1</v>
      </c>
      <c r="F16" s="128" t="str">
        <f>IFERROR(__xludf.DUMMYFUNCTION("""COMPUTED_VALUE"""),"Warm")</f>
        <v>Warm</v>
      </c>
      <c r="G16" s="124" t="str">
        <f>IFERROR(__xludf.DUMMYFUNCTION("""COMPUTED_VALUE"""),"Mentorship")</f>
        <v>Mentorship</v>
      </c>
      <c r="K16" s="124"/>
      <c r="L16" s="124"/>
      <c r="M16" s="124"/>
      <c r="N16" s="124"/>
      <c r="O16" s="124"/>
      <c r="T16" s="126">
        <f>IFERROR(__xludf.DUMMYFUNCTION("""COMPUTED_VALUE"""),46099.0)</f>
        <v>46099</v>
      </c>
      <c r="U16" s="124" t="str">
        <f>IFERROR(__xludf.DUMMYFUNCTION("""COMPUTED_VALUE"""),"Telephony")</f>
        <v>Telephony</v>
      </c>
      <c r="V16" s="124" t="str">
        <f>IFERROR(__xludf.DUMMYFUNCTION("""COMPUTED_VALUE"""),"Inbound Call")</f>
        <v>Inbound Call</v>
      </c>
      <c r="W16" s="124">
        <f>IFERROR(__xludf.DUMMYFUNCTION("""COMPUTED_VALUE"""),9.18047861632E11)</f>
        <v>918047861632</v>
      </c>
      <c r="X16" s="124" t="str">
        <f>IFERROR(__xludf.DUMMYFUNCTION("""COMPUTED_VALUE"""),"Inbound Call")</f>
        <v>Inbound Call</v>
      </c>
      <c r="Y16" s="124"/>
      <c r="Z16" s="124">
        <f>IFERROR(__xludf.DUMMYFUNCTION("""COMPUTED_VALUE"""),1.0)</f>
        <v>1</v>
      </c>
      <c r="AA16" s="124" t="str">
        <f>IFERROR(__xludf.DUMMYFUNCTION("""COMPUTED_VALUE"""),"Cold")</f>
        <v>Cold</v>
      </c>
      <c r="AB16" s="124"/>
    </row>
    <row r="17">
      <c r="A17" s="129">
        <f>IFERROR(__xludf.DUMMYFUNCTION("""COMPUTED_VALUE"""),46104.0)</f>
        <v>46104</v>
      </c>
      <c r="B17" s="124" t="str">
        <f>IFERROR(__xludf.DUMMYFUNCTION("""COMPUTED_VALUE"""),"Walkin")</f>
        <v>Walkin</v>
      </c>
      <c r="C17" s="124" t="str">
        <f>IFERROR(__xludf.DUMMYFUNCTION("""COMPUTED_VALUE"""),"Delhi")</f>
        <v>Delhi</v>
      </c>
      <c r="D17" s="124" t="str">
        <f>IFERROR(__xludf.DUMMYFUNCTION("""COMPUTED_VALUE"""),"Primary_Walkin")</f>
        <v>Primary_Walkin</v>
      </c>
      <c r="E17" s="127">
        <f>IFERROR(__xludf.DUMMYFUNCTION("""COMPUTED_VALUE"""),2.0)</f>
        <v>2</v>
      </c>
      <c r="F17" s="128" t="str">
        <f>IFERROR(__xludf.DUMMYFUNCTION("""COMPUTED_VALUE"""),"Interested")</f>
        <v>Interested</v>
      </c>
      <c r="G17" s="124" t="str">
        <f>IFERROR(__xludf.DUMMYFUNCTION("""COMPUTED_VALUE"""),"GS Foundation")</f>
        <v>GS Foundation</v>
      </c>
      <c r="K17" s="124"/>
      <c r="L17" s="124"/>
      <c r="M17" s="124"/>
      <c r="N17" s="124"/>
      <c r="O17" s="124"/>
      <c r="T17" s="126">
        <f>IFERROR(__xludf.DUMMYFUNCTION("""COMPUTED_VALUE"""),46049.0)</f>
        <v>46049</v>
      </c>
      <c r="U17" s="124" t="str">
        <f>IFERROR(__xludf.DUMMYFUNCTION("""COMPUTED_VALUE"""),"Telephony")</f>
        <v>Telephony</v>
      </c>
      <c r="V17" s="124" t="str">
        <f>IFERROR(__xludf.DUMMYFUNCTION("""COMPUTED_VALUE"""),"Inbound Call")</f>
        <v>Inbound Call</v>
      </c>
      <c r="W17" s="124">
        <f>IFERROR(__xludf.DUMMYFUNCTION("""COMPUTED_VALUE"""),9.18047861663E11)</f>
        <v>918047861663</v>
      </c>
      <c r="X17" s="124" t="str">
        <f>IFERROR(__xludf.DUMMYFUNCTION("""COMPUTED_VALUE"""),"Inbound Call")</f>
        <v>Inbound Call</v>
      </c>
      <c r="Y17" s="124" t="str">
        <f>IFERROR(__xludf.DUMMYFUNCTION("""COMPUTED_VALUE"""),"Patna")</f>
        <v>Patna</v>
      </c>
      <c r="Z17" s="124">
        <f>IFERROR(__xludf.DUMMYFUNCTION("""COMPUTED_VALUE"""),1.0)</f>
        <v>1</v>
      </c>
      <c r="AA17" s="124" t="str">
        <f>IFERROR(__xludf.DUMMYFUNCTION("""COMPUTED_VALUE"""),"Future Prospects")</f>
        <v>Future Prospects</v>
      </c>
      <c r="AB17" s="124" t="str">
        <f>IFERROR(__xludf.DUMMYFUNCTION("""COMPUTED_VALUE"""),"Mentorship")</f>
        <v>Mentorship</v>
      </c>
    </row>
    <row r="18">
      <c r="A18" s="126">
        <f>IFERROR(__xludf.DUMMYFUNCTION("""COMPUTED_VALUE"""),46098.0)</f>
        <v>46098</v>
      </c>
      <c r="B18" s="124" t="str">
        <f>IFERROR(__xludf.DUMMYFUNCTION("""COMPUTED_VALUE"""),"Walkin")</f>
        <v>Walkin</v>
      </c>
      <c r="C18" s="124" t="str">
        <f>IFERROR(__xludf.DUMMYFUNCTION("""COMPUTED_VALUE"""),"Delhi")</f>
        <v>Delhi</v>
      </c>
      <c r="D18" s="124" t="str">
        <f>IFERROR(__xludf.DUMMYFUNCTION("""COMPUTED_VALUE"""),"Primary_Walkin")</f>
        <v>Primary_Walkin</v>
      </c>
      <c r="E18" s="127">
        <f>IFERROR(__xludf.DUMMYFUNCTION("""COMPUTED_VALUE"""),2.0)</f>
        <v>2</v>
      </c>
      <c r="F18" s="128" t="str">
        <f>IFERROR(__xludf.DUMMYFUNCTION("""COMPUTED_VALUE"""),"Fake Lead")</f>
        <v>Fake Lead</v>
      </c>
      <c r="G18" s="124" t="str">
        <f>IFERROR(__xludf.DUMMYFUNCTION("""COMPUTED_VALUE"""),"GS Foundation")</f>
        <v>GS Foundation</v>
      </c>
      <c r="K18" s="124"/>
      <c r="L18" s="124"/>
      <c r="M18" s="124"/>
      <c r="N18" s="124"/>
      <c r="O18" s="124"/>
      <c r="T18" s="126">
        <f>IFERROR(__xludf.DUMMYFUNCTION("""COMPUTED_VALUE"""),46082.0)</f>
        <v>46082</v>
      </c>
      <c r="U18" s="124" t="str">
        <f>IFERROR(__xludf.DUMMYFUNCTION("""COMPUTED_VALUE"""),"Telephony")</f>
        <v>Telephony</v>
      </c>
      <c r="V18" s="124" t="str">
        <f>IFERROR(__xludf.DUMMYFUNCTION("""COMPUTED_VALUE"""),"Inbound Call")</f>
        <v>Inbound Call</v>
      </c>
      <c r="W18" s="124">
        <f>IFERROR(__xludf.DUMMYFUNCTION("""COMPUTED_VALUE"""),9.18047861631E11)</f>
        <v>918047861631</v>
      </c>
      <c r="X18" s="124" t="str">
        <f>IFERROR(__xludf.DUMMYFUNCTION("""COMPUTED_VALUE"""),"Inbound Call")</f>
        <v>Inbound Call</v>
      </c>
      <c r="Y18" s="124" t="str">
        <f>IFERROR(__xludf.DUMMYFUNCTION("""COMPUTED_VALUE"""),"Delhi")</f>
        <v>Delhi</v>
      </c>
      <c r="Z18" s="124">
        <f>IFERROR(__xludf.DUMMYFUNCTION("""COMPUTED_VALUE"""),4.0)</f>
        <v>4</v>
      </c>
      <c r="AA18" s="124" t="str">
        <f>IFERROR(__xludf.DUMMYFUNCTION("""COMPUTED_VALUE"""),"Fake Lead")</f>
        <v>Fake Lead</v>
      </c>
      <c r="AB18" s="124"/>
    </row>
    <row r="19">
      <c r="A19" s="126">
        <f>IFERROR(__xludf.DUMMYFUNCTION("""COMPUTED_VALUE"""),46065.0)</f>
        <v>46065</v>
      </c>
      <c r="B19" s="124" t="str">
        <f>IFERROR(__xludf.DUMMYFUNCTION("""COMPUTED_VALUE"""),"Walkin")</f>
        <v>Walkin</v>
      </c>
      <c r="C19" s="124" t="str">
        <f>IFERROR(__xludf.DUMMYFUNCTION("""COMPUTED_VALUE"""),"Delhi")</f>
        <v>Delhi</v>
      </c>
      <c r="D19" s="124" t="str">
        <f>IFERROR(__xludf.DUMMYFUNCTION("""COMPUTED_VALUE"""),"Primary_Walkin")</f>
        <v>Primary_Walkin</v>
      </c>
      <c r="E19" s="127">
        <f>IFERROR(__xludf.DUMMYFUNCTION("""COMPUTED_VALUE"""),4.0)</f>
        <v>4</v>
      </c>
      <c r="F19" s="128" t="str">
        <f>IFERROR(__xludf.DUMMYFUNCTION("""COMPUTED_VALUE"""),"Future Prospects")</f>
        <v>Future Prospects</v>
      </c>
      <c r="G19" s="124" t="str">
        <f>IFERROR(__xludf.DUMMYFUNCTION("""COMPUTED_VALUE"""),"GS Foundation")</f>
        <v>GS Foundation</v>
      </c>
      <c r="K19" s="124"/>
      <c r="L19" s="124"/>
      <c r="M19" s="124"/>
      <c r="N19" s="124"/>
      <c r="O19" s="124"/>
      <c r="T19" s="126">
        <f>IFERROR(__xludf.DUMMYFUNCTION("""COMPUTED_VALUE"""),46053.0)</f>
        <v>46053</v>
      </c>
      <c r="U19" s="124" t="str">
        <f>IFERROR(__xludf.DUMMYFUNCTION("""COMPUTED_VALUE"""),"Telephony")</f>
        <v>Telephony</v>
      </c>
      <c r="V19" s="124" t="str">
        <f>IFERROR(__xludf.DUMMYFUNCTION("""COMPUTED_VALUE"""),"Inbound Call")</f>
        <v>Inbound Call</v>
      </c>
      <c r="W19" s="124">
        <f>IFERROR(__xludf.DUMMYFUNCTION("""COMPUTED_VALUE"""),9.18047861633E11)</f>
        <v>918047861633</v>
      </c>
      <c r="X19" s="124" t="str">
        <f>IFERROR(__xludf.DUMMYFUNCTION("""COMPUTED_VALUE"""),"Inbound Call")</f>
        <v>Inbound Call</v>
      </c>
      <c r="Y19" s="124"/>
      <c r="Z19" s="124">
        <f>IFERROR(__xludf.DUMMYFUNCTION("""COMPUTED_VALUE"""),2.0)</f>
        <v>2</v>
      </c>
      <c r="AA19" s="124" t="str">
        <f>IFERROR(__xludf.DUMMYFUNCTION("""COMPUTED_VALUE"""),"Cold")</f>
        <v>Cold</v>
      </c>
      <c r="AB19" s="124"/>
    </row>
    <row r="20">
      <c r="A20" s="126">
        <f>IFERROR(__xludf.DUMMYFUNCTION("""COMPUTED_VALUE"""),46110.0)</f>
        <v>46110</v>
      </c>
      <c r="B20" s="124" t="str">
        <f>IFERROR(__xludf.DUMMYFUNCTION("""COMPUTED_VALUE"""),"external leads")</f>
        <v>external leads</v>
      </c>
      <c r="C20" s="124" t="str">
        <f>IFERROR(__xludf.DUMMYFUNCTION("""COMPUTED_VALUE"""),"Delhi")</f>
        <v>Delhi</v>
      </c>
      <c r="D20" s="124" t="str">
        <f>IFERROR(__xludf.DUMMYFUNCTION("""COMPUTED_VALUE"""),"Secondary_Walkin")</f>
        <v>Secondary_Walkin</v>
      </c>
      <c r="E20" s="127">
        <f>IFERROR(__xludf.DUMMYFUNCTION("""COMPUTED_VALUE"""),1.0)</f>
        <v>1</v>
      </c>
      <c r="F20" s="128" t="str">
        <f>IFERROR(__xludf.DUMMYFUNCTION("""COMPUTED_VALUE"""),"Enrolled")</f>
        <v>Enrolled</v>
      </c>
      <c r="G20" s="124" t="str">
        <f>IFERROR(__xludf.DUMMYFUNCTION("""COMPUTED_VALUE"""),"Optionals")</f>
        <v>Optionals</v>
      </c>
      <c r="K20" s="124"/>
      <c r="L20" s="124"/>
      <c r="M20" s="124"/>
      <c r="N20" s="124"/>
      <c r="O20" s="124"/>
      <c r="T20" s="129">
        <f>IFERROR(__xludf.DUMMYFUNCTION("""COMPUTED_VALUE"""),46079.0)</f>
        <v>46079</v>
      </c>
      <c r="U20" s="124" t="str">
        <f>IFERROR(__xludf.DUMMYFUNCTION("""COMPUTED_VALUE"""),"Telephony")</f>
        <v>Telephony</v>
      </c>
      <c r="V20" s="124" t="str">
        <f>IFERROR(__xludf.DUMMYFUNCTION("""COMPUTED_VALUE"""),"Inbound Call")</f>
        <v>Inbound Call</v>
      </c>
      <c r="W20" s="124">
        <f>IFERROR(__xludf.DUMMYFUNCTION("""COMPUTED_VALUE"""),9.18047861632E11)</f>
        <v>918047861632</v>
      </c>
      <c r="X20" s="124" t="str">
        <f>IFERROR(__xludf.DUMMYFUNCTION("""COMPUTED_VALUE"""),"Inbound Call")</f>
        <v>Inbound Call</v>
      </c>
      <c r="Y20" s="124" t="str">
        <f>IFERROR(__xludf.DUMMYFUNCTION("""COMPUTED_VALUE"""),"Prayagraj")</f>
        <v>Prayagraj</v>
      </c>
      <c r="Z20" s="124">
        <f>IFERROR(__xludf.DUMMYFUNCTION("""COMPUTED_VALUE"""),1.0)</f>
        <v>1</v>
      </c>
      <c r="AA20" s="124" t="str">
        <f>IFERROR(__xludf.DUMMYFUNCTION("""COMPUTED_VALUE"""),"Cold")</f>
        <v>Cold</v>
      </c>
      <c r="AB20" s="124" t="str">
        <f>IFERROR(__xludf.DUMMYFUNCTION("""COMPUTED_VALUE"""),"GS Foundation")</f>
        <v>GS Foundation</v>
      </c>
    </row>
    <row r="21">
      <c r="A21" s="129">
        <f>IFERROR(__xludf.DUMMYFUNCTION("""COMPUTED_VALUE"""),46046.0)</f>
        <v>46046</v>
      </c>
      <c r="B21" s="124" t="str">
        <f>IFERROR(__xludf.DUMMYFUNCTION("""COMPUTED_VALUE"""),"Walkin")</f>
        <v>Walkin</v>
      </c>
      <c r="C21" s="124" t="str">
        <f>IFERROR(__xludf.DUMMYFUNCTION("""COMPUTED_VALUE"""),"Delhi")</f>
        <v>Delhi</v>
      </c>
      <c r="D21" s="124" t="str">
        <f>IFERROR(__xludf.DUMMYFUNCTION("""COMPUTED_VALUE"""),"Primary_Walkin")</f>
        <v>Primary_Walkin</v>
      </c>
      <c r="E21" s="127">
        <f>IFERROR(__xludf.DUMMYFUNCTION("""COMPUTED_VALUE"""),3.0)</f>
        <v>3</v>
      </c>
      <c r="F21" s="128" t="str">
        <f>IFERROR(__xludf.DUMMYFUNCTION("""COMPUTED_VALUE"""),"Cold")</f>
        <v>Cold</v>
      </c>
      <c r="G21" s="124" t="str">
        <f>IFERROR(__xludf.DUMMYFUNCTION("""COMPUTED_VALUE"""),"GS Foundation")</f>
        <v>GS Foundation</v>
      </c>
      <c r="K21" s="124"/>
      <c r="L21" s="124"/>
      <c r="M21" s="124"/>
      <c r="N21" s="124"/>
      <c r="O21" s="124"/>
      <c r="T21" s="126">
        <f>IFERROR(__xludf.DUMMYFUNCTION("""COMPUTED_VALUE"""),46059.0)</f>
        <v>46059</v>
      </c>
      <c r="U21" s="124" t="str">
        <f>IFERROR(__xludf.DUMMYFUNCTION("""COMPUTED_VALUE"""),"Paid Ads")</f>
        <v>Paid Ads</v>
      </c>
      <c r="V21" s="124" t="str">
        <f>IFERROR(__xludf.DUMMYFUNCTION("""COMPUTED_VALUE"""),"facebook")</f>
        <v>facebook</v>
      </c>
      <c r="W21" s="124" t="str">
        <f>IFERROR(__xludf.DUMMYFUNCTION("""COMPUTED_VALUE"""),"delhi")</f>
        <v>delhi</v>
      </c>
      <c r="X21" s="124" t="str">
        <f>IFERROR(__xludf.DUMMYFUNCTION("""COMPUTED_VALUE"""),"fbleads")</f>
        <v>fbleads</v>
      </c>
      <c r="Y21" s="124" t="str">
        <f>IFERROR(__xludf.DUMMYFUNCTION("""COMPUTED_VALUE"""),"Delhi")</f>
        <v>Delhi</v>
      </c>
      <c r="Z21" s="124">
        <f>IFERROR(__xludf.DUMMYFUNCTION("""COMPUTED_VALUE"""),45.0)</f>
        <v>45</v>
      </c>
      <c r="AA21" s="124" t="str">
        <f>IFERROR(__xludf.DUMMYFUNCTION("""COMPUTED_VALUE"""),"Cold")</f>
        <v>Cold</v>
      </c>
      <c r="AB21" s="124"/>
    </row>
    <row r="22">
      <c r="A22" s="126">
        <f>IFERROR(__xludf.DUMMYFUNCTION("""COMPUTED_VALUE"""),46080.0)</f>
        <v>46080</v>
      </c>
      <c r="B22" s="124" t="str">
        <f>IFERROR(__xludf.DUMMYFUNCTION("""COMPUTED_VALUE"""),"Walkin")</f>
        <v>Walkin</v>
      </c>
      <c r="C22" s="124" t="str">
        <f>IFERROR(__xludf.DUMMYFUNCTION("""COMPUTED_VALUE"""),"Delhi")</f>
        <v>Delhi</v>
      </c>
      <c r="D22" s="124" t="str">
        <f>IFERROR(__xludf.DUMMYFUNCTION("""COMPUTED_VALUE"""),"Primary_Walkin")</f>
        <v>Primary_Walkin</v>
      </c>
      <c r="E22" s="127">
        <f>IFERROR(__xludf.DUMMYFUNCTION("""COMPUTED_VALUE"""),4.0)</f>
        <v>4</v>
      </c>
      <c r="F22" s="128" t="str">
        <f>IFERROR(__xludf.DUMMYFUNCTION("""COMPUTED_VALUE"""),"Cold")</f>
        <v>Cold</v>
      </c>
      <c r="G22" s="124" t="str">
        <f>IFERROR(__xludf.DUMMYFUNCTION("""COMPUTED_VALUE"""),"GS Foundation")</f>
        <v>GS Foundation</v>
      </c>
      <c r="K22" s="124"/>
      <c r="L22" s="124"/>
      <c r="M22" s="124"/>
      <c r="N22" s="124"/>
      <c r="O22" s="124"/>
      <c r="T22" s="126">
        <f>IFERROR(__xludf.DUMMYFUNCTION("""COMPUTED_VALUE"""),46050.0)</f>
        <v>46050</v>
      </c>
      <c r="U22" s="124" t="str">
        <f>IFERROR(__xludf.DUMMYFUNCTION("""COMPUTED_VALUE"""),"Telephony")</f>
        <v>Telephony</v>
      </c>
      <c r="V22" s="124" t="str">
        <f>IFERROR(__xludf.DUMMYFUNCTION("""COMPUTED_VALUE"""),"Inbound Call")</f>
        <v>Inbound Call</v>
      </c>
      <c r="W22" s="124">
        <f>IFERROR(__xludf.DUMMYFUNCTION("""COMPUTED_VALUE"""),9.18047861663E11)</f>
        <v>918047861663</v>
      </c>
      <c r="X22" s="124" t="str">
        <f>IFERROR(__xludf.DUMMYFUNCTION("""COMPUTED_VALUE"""),"Inbound Call")</f>
        <v>Inbound Call</v>
      </c>
      <c r="Y22" s="124"/>
      <c r="Z22" s="124">
        <f>IFERROR(__xludf.DUMMYFUNCTION("""COMPUTED_VALUE"""),4.0)</f>
        <v>4</v>
      </c>
      <c r="AA22" s="124" t="str">
        <f>IFERROR(__xludf.DUMMYFUNCTION("""COMPUTED_VALUE"""),"Cold")</f>
        <v>Cold</v>
      </c>
      <c r="AB22" s="124"/>
    </row>
    <row r="23">
      <c r="A23" s="126">
        <f>IFERROR(__xludf.DUMMYFUNCTION("""COMPUTED_VALUE"""),46046.0)</f>
        <v>46046</v>
      </c>
      <c r="B23" s="124" t="str">
        <f>IFERROR(__xludf.DUMMYFUNCTION("""COMPUTED_VALUE"""),"Walk-In")</f>
        <v>Walk-In</v>
      </c>
      <c r="C23" s="124" t="str">
        <f>IFERROR(__xludf.DUMMYFUNCTION("""COMPUTED_VALUE"""),"Delhi")</f>
        <v>Delhi</v>
      </c>
      <c r="D23" s="124" t="str">
        <f>IFERROR(__xludf.DUMMYFUNCTION("""COMPUTED_VALUE"""),"Primary_Walkin")</f>
        <v>Primary_Walkin</v>
      </c>
      <c r="E23" s="127">
        <f>IFERROR(__xludf.DUMMYFUNCTION("""COMPUTED_VALUE"""),1.0)</f>
        <v>1</v>
      </c>
      <c r="F23" s="128" t="str">
        <f>IFERROR(__xludf.DUMMYFUNCTION("""COMPUTED_VALUE"""),"Fake Lead")</f>
        <v>Fake Lead</v>
      </c>
      <c r="G23" s="124" t="str">
        <f>IFERROR(__xludf.DUMMYFUNCTION("""COMPUTED_VALUE"""),"IGP UPPSC")</f>
        <v>IGP UPPSC</v>
      </c>
      <c r="K23" s="124"/>
      <c r="L23" s="124"/>
      <c r="M23" s="124"/>
      <c r="N23" s="124"/>
      <c r="O23" s="124"/>
      <c r="T23" s="126">
        <f>IFERROR(__xludf.DUMMYFUNCTION("""COMPUTED_VALUE"""),46111.0)</f>
        <v>46111</v>
      </c>
      <c r="U23" s="124" t="str">
        <f>IFERROR(__xludf.DUMMYFUNCTION("""COMPUTED_VALUE"""),"Paid Ads")</f>
        <v>Paid Ads</v>
      </c>
      <c r="V23" s="124" t="str">
        <f>IFERROR(__xludf.DUMMYFUNCTION("""COMPUTED_VALUE"""),"Facebook")</f>
        <v>Facebook</v>
      </c>
      <c r="W23" s="124" t="str">
        <f>IFERROR(__xludf.DUMMYFUNCTION("""COMPUTED_VALUE"""),"LeadAd")</f>
        <v>LeadAd</v>
      </c>
      <c r="X23" s="124" t="str">
        <f>IFERROR(__xludf.DUMMYFUNCTION("""COMPUTED_VALUE"""),"Upsc_Offline_Indore_FB_Lead")</f>
        <v>Upsc_Offline_Indore_FB_Lead</v>
      </c>
      <c r="Y23" s="124" t="str">
        <f>IFERROR(__xludf.DUMMYFUNCTION("""COMPUTED_VALUE"""),"Delhi")</f>
        <v>Delhi</v>
      </c>
      <c r="Z23" s="124">
        <f>IFERROR(__xludf.DUMMYFUNCTION("""COMPUTED_VALUE"""),8.0)</f>
        <v>8</v>
      </c>
      <c r="AA23" s="124"/>
      <c r="AB23" s="124"/>
    </row>
    <row r="24">
      <c r="A24" s="126">
        <f>IFERROR(__xludf.DUMMYFUNCTION("""COMPUTED_VALUE"""),46064.0)</f>
        <v>46064</v>
      </c>
      <c r="B24" s="124" t="str">
        <f>IFERROR(__xludf.DUMMYFUNCTION("""COMPUTED_VALUE"""),"Walkin")</f>
        <v>Walkin</v>
      </c>
      <c r="C24" s="124" t="str">
        <f>IFERROR(__xludf.DUMMYFUNCTION("""COMPUTED_VALUE"""),"Delhi")</f>
        <v>Delhi</v>
      </c>
      <c r="D24" s="124" t="str">
        <f>IFERROR(__xludf.DUMMYFUNCTION("""COMPUTED_VALUE"""),"Primary_Walkin")</f>
        <v>Primary_Walkin</v>
      </c>
      <c r="E24" s="127">
        <f>IFERROR(__xludf.DUMMYFUNCTION("""COMPUTED_VALUE"""),3.0)</f>
        <v>3</v>
      </c>
      <c r="F24" s="128" t="str">
        <f>IFERROR(__xludf.DUMMYFUNCTION("""COMPUTED_VALUE"""),"Cold")</f>
        <v>Cold</v>
      </c>
      <c r="G24" s="124" t="str">
        <f>IFERROR(__xludf.DUMMYFUNCTION("""COMPUTED_VALUE"""),"GS Foundation")</f>
        <v>GS Foundation</v>
      </c>
      <c r="K24" s="124"/>
      <c r="L24" s="124"/>
      <c r="M24" s="124"/>
      <c r="N24" s="124"/>
      <c r="O24" s="124"/>
      <c r="T24" s="126">
        <f>IFERROR(__xludf.DUMMYFUNCTION("""COMPUTED_VALUE"""),46097.0)</f>
        <v>46097</v>
      </c>
      <c r="U24" s="124" t="str">
        <f>IFERROR(__xludf.DUMMYFUNCTION("""COMPUTED_VALUE"""),"Telephony")</f>
        <v>Telephony</v>
      </c>
      <c r="V24" s="124" t="str">
        <f>IFERROR(__xludf.DUMMYFUNCTION("""COMPUTED_VALUE"""),"Inbound Call")</f>
        <v>Inbound Call</v>
      </c>
      <c r="W24" s="124">
        <f>IFERROR(__xludf.DUMMYFUNCTION("""COMPUTED_VALUE"""),9.18047861635E11)</f>
        <v>918047861635</v>
      </c>
      <c r="X24" s="124" t="str">
        <f>IFERROR(__xludf.DUMMYFUNCTION("""COMPUTED_VALUE"""),"Inbound Call")</f>
        <v>Inbound Call</v>
      </c>
      <c r="Y24" s="124" t="str">
        <f>IFERROR(__xludf.DUMMYFUNCTION("""COMPUTED_VALUE"""),"Indore")</f>
        <v>Indore</v>
      </c>
      <c r="Z24" s="124">
        <f>IFERROR(__xludf.DUMMYFUNCTION("""COMPUTED_VALUE"""),1.0)</f>
        <v>1</v>
      </c>
      <c r="AA24" s="124" t="str">
        <f>IFERROR(__xludf.DUMMYFUNCTION("""COMPUTED_VALUE"""),"Cold")</f>
        <v>Cold</v>
      </c>
      <c r="AB24" s="124" t="str">
        <f>IFERROR(__xludf.DUMMYFUNCTION("""COMPUTED_VALUE"""),"GS Foundation")</f>
        <v>GS Foundation</v>
      </c>
    </row>
    <row r="25">
      <c r="A25" s="126">
        <f>IFERROR(__xludf.DUMMYFUNCTION("""COMPUTED_VALUE"""),46103.0)</f>
        <v>46103</v>
      </c>
      <c r="B25" s="124" t="str">
        <f>IFERROR(__xludf.DUMMYFUNCTION("""COMPUTED_VALUE"""),"Walkin")</f>
        <v>Walkin</v>
      </c>
      <c r="C25" s="124" t="str">
        <f>IFERROR(__xludf.DUMMYFUNCTION("""COMPUTED_VALUE"""),"Delhi")</f>
        <v>Delhi</v>
      </c>
      <c r="D25" s="124" t="str">
        <f>IFERROR(__xludf.DUMMYFUNCTION("""COMPUTED_VALUE"""),"Primary_Walkin")</f>
        <v>Primary_Walkin</v>
      </c>
      <c r="E25" s="127">
        <f>IFERROR(__xludf.DUMMYFUNCTION("""COMPUTED_VALUE"""),4.0)</f>
        <v>4</v>
      </c>
      <c r="F25" s="128" t="str">
        <f>IFERROR(__xludf.DUMMYFUNCTION("""COMPUTED_VALUE"""),"Enrolled")</f>
        <v>Enrolled</v>
      </c>
      <c r="G25" s="124" t="str">
        <f>IFERROR(__xludf.DUMMYFUNCTION("""COMPUTED_VALUE"""),"GS Foundation")</f>
        <v>GS Foundation</v>
      </c>
      <c r="K25" s="124"/>
      <c r="L25" s="124"/>
      <c r="M25" s="124"/>
      <c r="N25" s="124"/>
      <c r="O25" s="124"/>
      <c r="T25" s="126">
        <f>IFERROR(__xludf.DUMMYFUNCTION("""COMPUTED_VALUE"""),46089.0)</f>
        <v>46089</v>
      </c>
      <c r="U25" s="124" t="str">
        <f>IFERROR(__xludf.DUMMYFUNCTION("""COMPUTED_VALUE"""),"Telephony")</f>
        <v>Telephony</v>
      </c>
      <c r="V25" s="124" t="str">
        <f>IFERROR(__xludf.DUMMYFUNCTION("""COMPUTED_VALUE"""),"Inbound Call")</f>
        <v>Inbound Call</v>
      </c>
      <c r="W25" s="124">
        <f>IFERROR(__xludf.DUMMYFUNCTION("""COMPUTED_VALUE"""),9.18047861631E11)</f>
        <v>918047861631</v>
      </c>
      <c r="X25" s="124" t="str">
        <f>IFERROR(__xludf.DUMMYFUNCTION("""COMPUTED_VALUE"""),"Inbound Call")</f>
        <v>Inbound Call</v>
      </c>
      <c r="Y25" s="124" t="str">
        <f>IFERROR(__xludf.DUMMYFUNCTION("""COMPUTED_VALUE"""),"Delhi")</f>
        <v>Delhi</v>
      </c>
      <c r="Z25" s="124">
        <f>IFERROR(__xludf.DUMMYFUNCTION("""COMPUTED_VALUE"""),2.0)</f>
        <v>2</v>
      </c>
      <c r="AA25" s="124" t="str">
        <f>IFERROR(__xludf.DUMMYFUNCTION("""COMPUTED_VALUE"""),"Cold")</f>
        <v>Cold</v>
      </c>
      <c r="AB25" s="124"/>
    </row>
    <row r="26">
      <c r="A26" s="126">
        <f>IFERROR(__xludf.DUMMYFUNCTION("""COMPUTED_VALUE"""),46104.0)</f>
        <v>46104</v>
      </c>
      <c r="B26" s="124" t="str">
        <f>IFERROR(__xludf.DUMMYFUNCTION("""COMPUTED_VALUE"""),"external leads")</f>
        <v>external leads</v>
      </c>
      <c r="C26" s="124" t="str">
        <f>IFERROR(__xludf.DUMMYFUNCTION("""COMPUTED_VALUE"""),"Delhi")</f>
        <v>Delhi</v>
      </c>
      <c r="D26" s="124" t="str">
        <f>IFERROR(__xludf.DUMMYFUNCTION("""COMPUTED_VALUE"""),"Secondary_Walkin")</f>
        <v>Secondary_Walkin</v>
      </c>
      <c r="E26" s="127">
        <f>IFERROR(__xludf.DUMMYFUNCTION("""COMPUTED_VALUE"""),1.0)</f>
        <v>1</v>
      </c>
      <c r="F26" s="128" t="str">
        <f>IFERROR(__xludf.DUMMYFUNCTION("""COMPUTED_VALUE"""),"Cold")</f>
        <v>Cold</v>
      </c>
      <c r="G26" s="124" t="str">
        <f>IFERROR(__xludf.DUMMYFUNCTION("""COMPUTED_VALUE"""),"Mentorship")</f>
        <v>Mentorship</v>
      </c>
      <c r="K26" s="124"/>
      <c r="L26" s="124"/>
      <c r="M26" s="124"/>
      <c r="N26" s="124"/>
      <c r="O26" s="124"/>
      <c r="T26" s="126">
        <f>IFERROR(__xludf.DUMMYFUNCTION("""COMPUTED_VALUE"""),46049.0)</f>
        <v>46049</v>
      </c>
      <c r="U26" s="124" t="str">
        <f>IFERROR(__xludf.DUMMYFUNCTION("""COMPUTED_VALUE"""),"Telephony")</f>
        <v>Telephony</v>
      </c>
      <c r="V26" s="124" t="str">
        <f>IFERROR(__xludf.DUMMYFUNCTION("""COMPUTED_VALUE"""),"Inbound Call")</f>
        <v>Inbound Call</v>
      </c>
      <c r="W26" s="124">
        <f>IFERROR(__xludf.DUMMYFUNCTION("""COMPUTED_VALUE"""),9.18047861663E11)</f>
        <v>918047861663</v>
      </c>
      <c r="X26" s="124" t="str">
        <f>IFERROR(__xludf.DUMMYFUNCTION("""COMPUTED_VALUE"""),"Inbound Call")</f>
        <v>Inbound Call</v>
      </c>
      <c r="Y26" s="124"/>
      <c r="Z26" s="124">
        <f>IFERROR(__xludf.DUMMYFUNCTION("""COMPUTED_VALUE"""),8.0)</f>
        <v>8</v>
      </c>
      <c r="AA26" s="124" t="str">
        <f>IFERROR(__xludf.DUMMYFUNCTION("""COMPUTED_VALUE"""),"Fake Lead")</f>
        <v>Fake Lead</v>
      </c>
      <c r="AB26" s="124"/>
    </row>
    <row r="27">
      <c r="A27" s="129">
        <f>IFERROR(__xludf.DUMMYFUNCTION("""COMPUTED_VALUE"""),46112.0)</f>
        <v>46112</v>
      </c>
      <c r="B27" s="124" t="str">
        <f>IFERROR(__xludf.DUMMYFUNCTION("""COMPUTED_VALUE"""),"Walkin")</f>
        <v>Walkin</v>
      </c>
      <c r="C27" s="124" t="str">
        <f>IFERROR(__xludf.DUMMYFUNCTION("""COMPUTED_VALUE"""),"Delhi")</f>
        <v>Delhi</v>
      </c>
      <c r="D27" s="124" t="str">
        <f>IFERROR(__xludf.DUMMYFUNCTION("""COMPUTED_VALUE"""),"Primary_Walkin")</f>
        <v>Primary_Walkin</v>
      </c>
      <c r="E27" s="127">
        <f>IFERROR(__xludf.DUMMYFUNCTION("""COMPUTED_VALUE"""),14.0)</f>
        <v>14</v>
      </c>
      <c r="F27" s="128" t="str">
        <f>IFERROR(__xludf.DUMMYFUNCTION("""COMPUTED_VALUE"""),"Warm")</f>
        <v>Warm</v>
      </c>
      <c r="G27" s="124" t="str">
        <f>IFERROR(__xludf.DUMMYFUNCTION("""COMPUTED_VALUE"""),"GS Foundation")</f>
        <v>GS Foundation</v>
      </c>
      <c r="K27" s="124"/>
      <c r="L27" s="124"/>
      <c r="M27" s="124"/>
      <c r="N27" s="124"/>
      <c r="O27" s="124"/>
      <c r="T27" s="129">
        <f>IFERROR(__xludf.DUMMYFUNCTION("""COMPUTED_VALUE"""),46089.0)</f>
        <v>46089</v>
      </c>
      <c r="U27" s="124" t="str">
        <f>IFERROR(__xludf.DUMMYFUNCTION("""COMPUTED_VALUE"""),"Telephony")</f>
        <v>Telephony</v>
      </c>
      <c r="V27" s="124" t="str">
        <f>IFERROR(__xludf.DUMMYFUNCTION("""COMPUTED_VALUE"""),"Inbound Call")</f>
        <v>Inbound Call</v>
      </c>
      <c r="W27" s="124">
        <f>IFERROR(__xludf.DUMMYFUNCTION("""COMPUTED_VALUE"""),9.18047861663E11)</f>
        <v>918047861663</v>
      </c>
      <c r="X27" s="124" t="str">
        <f>IFERROR(__xludf.DUMMYFUNCTION("""COMPUTED_VALUE"""),"Inbound Call")</f>
        <v>Inbound Call</v>
      </c>
      <c r="Y27" s="124" t="str">
        <f>IFERROR(__xludf.DUMMYFUNCTION("""COMPUTED_VALUE"""),"Delhi")</f>
        <v>Delhi</v>
      </c>
      <c r="Z27" s="124">
        <f>IFERROR(__xludf.DUMMYFUNCTION("""COMPUTED_VALUE"""),16.0)</f>
        <v>16</v>
      </c>
      <c r="AA27" s="124" t="str">
        <f>IFERROR(__xludf.DUMMYFUNCTION("""COMPUTED_VALUE"""),"Cold")</f>
        <v>Cold</v>
      </c>
      <c r="AB27" s="124"/>
    </row>
    <row r="28">
      <c r="A28" s="126">
        <f>IFERROR(__xludf.DUMMYFUNCTION("""COMPUTED_VALUE"""),46060.0)</f>
        <v>46060</v>
      </c>
      <c r="B28" s="124" t="str">
        <f>IFERROR(__xludf.DUMMYFUNCTION("""COMPUTED_VALUE"""),"Walk-In")</f>
        <v>Walk-In</v>
      </c>
      <c r="C28" s="124" t="str">
        <f>IFERROR(__xludf.DUMMYFUNCTION("""COMPUTED_VALUE"""),"Delhi")</f>
        <v>Delhi</v>
      </c>
      <c r="D28" s="124" t="str">
        <f>IFERROR(__xludf.DUMMYFUNCTION("""COMPUTED_VALUE"""),"Primary_Walkin")</f>
        <v>Primary_Walkin</v>
      </c>
      <c r="E28" s="127">
        <f>IFERROR(__xludf.DUMMYFUNCTION("""COMPUTED_VALUE"""),4.0)</f>
        <v>4</v>
      </c>
      <c r="F28" s="128" t="str">
        <f>IFERROR(__xludf.DUMMYFUNCTION("""COMPUTED_VALUE"""),"Future Prospects")</f>
        <v>Future Prospects</v>
      </c>
      <c r="G28" s="124" t="str">
        <f>IFERROR(__xludf.DUMMYFUNCTION("""COMPUTED_VALUE"""),"GS Foundation")</f>
        <v>GS Foundation</v>
      </c>
      <c r="K28" s="124"/>
      <c r="L28" s="124"/>
      <c r="M28" s="124"/>
      <c r="N28" s="124"/>
      <c r="O28" s="124"/>
      <c r="T28" s="126">
        <f>IFERROR(__xludf.DUMMYFUNCTION("""COMPUTED_VALUE"""),46065.0)</f>
        <v>46065</v>
      </c>
      <c r="U28" s="124" t="str">
        <f>IFERROR(__xludf.DUMMYFUNCTION("""COMPUTED_VALUE"""),"Telephony")</f>
        <v>Telephony</v>
      </c>
      <c r="V28" s="124" t="str">
        <f>IFERROR(__xludf.DUMMYFUNCTION("""COMPUTED_VALUE"""),"Inbound Call")</f>
        <v>Inbound Call</v>
      </c>
      <c r="W28" s="124">
        <f>IFERROR(__xludf.DUMMYFUNCTION("""COMPUTED_VALUE"""),9.18047861632E11)</f>
        <v>918047861632</v>
      </c>
      <c r="X28" s="124" t="str">
        <f>IFERROR(__xludf.DUMMYFUNCTION("""COMPUTED_VALUE"""),"Inbound Call")</f>
        <v>Inbound Call</v>
      </c>
      <c r="Y28" s="124"/>
      <c r="Z28" s="124">
        <f>IFERROR(__xludf.DUMMYFUNCTION("""COMPUTED_VALUE"""),1.0)</f>
        <v>1</v>
      </c>
      <c r="AA28" s="124" t="str">
        <f>IFERROR(__xludf.DUMMYFUNCTION("""COMPUTED_VALUE"""),"Cold")</f>
        <v>Cold</v>
      </c>
      <c r="AB28" s="124"/>
    </row>
    <row r="29">
      <c r="A29" s="126">
        <f>IFERROR(__xludf.DUMMYFUNCTION("""COMPUTED_VALUE"""),46059.0)</f>
        <v>46059</v>
      </c>
      <c r="B29" s="124" t="str">
        <f>IFERROR(__xludf.DUMMYFUNCTION("""COMPUTED_VALUE"""),"Walk-In")</f>
        <v>Walk-In</v>
      </c>
      <c r="C29" s="124" t="str">
        <f>IFERROR(__xludf.DUMMYFUNCTION("""COMPUTED_VALUE"""),"Delhi")</f>
        <v>Delhi</v>
      </c>
      <c r="D29" s="124" t="str">
        <f>IFERROR(__xludf.DUMMYFUNCTION("""COMPUTED_VALUE"""),"Primary_Walkin")</f>
        <v>Primary_Walkin</v>
      </c>
      <c r="E29" s="127">
        <f>IFERROR(__xludf.DUMMYFUNCTION("""COMPUTED_VALUE"""),1.0)</f>
        <v>1</v>
      </c>
      <c r="F29" s="128" t="str">
        <f>IFERROR(__xludf.DUMMYFUNCTION("""COMPUTED_VALUE"""),"Cold")</f>
        <v>Cold</v>
      </c>
      <c r="G29" s="124" t="str">
        <f>IFERROR(__xludf.DUMMYFUNCTION("""COMPUTED_VALUE"""),"Other")</f>
        <v>Other</v>
      </c>
      <c r="K29" s="124"/>
      <c r="L29" s="124"/>
      <c r="M29" s="124"/>
      <c r="N29" s="124"/>
      <c r="O29" s="124"/>
      <c r="T29" s="126">
        <f>IFERROR(__xludf.DUMMYFUNCTION("""COMPUTED_VALUE"""),46058.0)</f>
        <v>46058</v>
      </c>
      <c r="U29" s="124" t="str">
        <f>IFERROR(__xludf.DUMMYFUNCTION("""COMPUTED_VALUE"""),"Telephony")</f>
        <v>Telephony</v>
      </c>
      <c r="V29" s="124" t="str">
        <f>IFERROR(__xludf.DUMMYFUNCTION("""COMPUTED_VALUE"""),"Inbound Call")</f>
        <v>Inbound Call</v>
      </c>
      <c r="W29" s="124">
        <f>IFERROR(__xludf.DUMMYFUNCTION("""COMPUTED_VALUE"""),9.18047861663E11)</f>
        <v>918047861663</v>
      </c>
      <c r="X29" s="124" t="str">
        <f>IFERROR(__xludf.DUMMYFUNCTION("""COMPUTED_VALUE"""),"Inbound Call")</f>
        <v>Inbound Call</v>
      </c>
      <c r="Y29" s="124" t="str">
        <f>IFERROR(__xludf.DUMMYFUNCTION("""COMPUTED_VALUE"""),"Patna")</f>
        <v>Patna</v>
      </c>
      <c r="Z29" s="124">
        <f>IFERROR(__xludf.DUMMYFUNCTION("""COMPUTED_VALUE"""),1.0)</f>
        <v>1</v>
      </c>
      <c r="AA29" s="124" t="str">
        <f>IFERROR(__xludf.DUMMYFUNCTION("""COMPUTED_VALUE"""),"Cold")</f>
        <v>Cold</v>
      </c>
      <c r="AB29" s="124" t="str">
        <f>IFERROR(__xludf.DUMMYFUNCTION("""COMPUTED_VALUE"""),"GS Foundation")</f>
        <v>GS Foundation</v>
      </c>
    </row>
    <row r="30">
      <c r="A30" s="126">
        <f>IFERROR(__xludf.DUMMYFUNCTION("""COMPUTED_VALUE"""),46073.0)</f>
        <v>46073</v>
      </c>
      <c r="B30" s="124" t="str">
        <f>IFERROR(__xludf.DUMMYFUNCTION("""COMPUTED_VALUE"""),"Walk-In")</f>
        <v>Walk-In</v>
      </c>
      <c r="C30" s="124" t="str">
        <f>IFERROR(__xludf.DUMMYFUNCTION("""COMPUTED_VALUE"""),"Delhi")</f>
        <v>Delhi</v>
      </c>
      <c r="D30" s="124" t="str">
        <f>IFERROR(__xludf.DUMMYFUNCTION("""COMPUTED_VALUE"""),"Primary_Walkin")</f>
        <v>Primary_Walkin</v>
      </c>
      <c r="E30" s="127">
        <f>IFERROR(__xludf.DUMMYFUNCTION("""COMPUTED_VALUE"""),1.0)</f>
        <v>1</v>
      </c>
      <c r="F30" s="128" t="str">
        <f>IFERROR(__xludf.DUMMYFUNCTION("""COMPUTED_VALUE"""),"Cold")</f>
        <v>Cold</v>
      </c>
      <c r="G30" s="124" t="str">
        <f>IFERROR(__xludf.DUMMYFUNCTION("""COMPUTED_VALUE"""),"GS Foundation")</f>
        <v>GS Foundation</v>
      </c>
      <c r="K30" s="124"/>
      <c r="L30" s="124"/>
      <c r="M30" s="124"/>
      <c r="N30" s="124"/>
      <c r="O30" s="124"/>
      <c r="T30" s="126">
        <f>IFERROR(__xludf.DUMMYFUNCTION("""COMPUTED_VALUE"""),46053.0)</f>
        <v>46053</v>
      </c>
      <c r="U30" s="124" t="str">
        <f>IFERROR(__xludf.DUMMYFUNCTION("""COMPUTED_VALUE"""),"Telephony")</f>
        <v>Telephony</v>
      </c>
      <c r="V30" s="124" t="str">
        <f>IFERROR(__xludf.DUMMYFUNCTION("""COMPUTED_VALUE"""),"Inbound Call")</f>
        <v>Inbound Call</v>
      </c>
      <c r="W30" s="124">
        <f>IFERROR(__xludf.DUMMYFUNCTION("""COMPUTED_VALUE"""),9.18047861663E11)</f>
        <v>918047861663</v>
      </c>
      <c r="X30" s="124" t="str">
        <f>IFERROR(__xludf.DUMMYFUNCTION("""COMPUTED_VALUE"""),"Inbound Call")</f>
        <v>Inbound Call</v>
      </c>
      <c r="Y30" s="124"/>
      <c r="Z30" s="124">
        <f>IFERROR(__xludf.DUMMYFUNCTION("""COMPUTED_VALUE"""),5.0)</f>
        <v>5</v>
      </c>
      <c r="AA30" s="124" t="str">
        <f>IFERROR(__xludf.DUMMYFUNCTION("""COMPUTED_VALUE"""),"Not Interested")</f>
        <v>Not Interested</v>
      </c>
      <c r="AB30" s="124"/>
    </row>
    <row r="31">
      <c r="A31" s="126">
        <f>IFERROR(__xludf.DUMMYFUNCTION("""COMPUTED_VALUE"""),46105.0)</f>
        <v>46105</v>
      </c>
      <c r="B31" s="124" t="str">
        <f>IFERROR(__xludf.DUMMYFUNCTION("""COMPUTED_VALUE"""),"Walk-In")</f>
        <v>Walk-In</v>
      </c>
      <c r="C31" s="124" t="str">
        <f>IFERROR(__xludf.DUMMYFUNCTION("""COMPUTED_VALUE"""),"Delhi")</f>
        <v>Delhi</v>
      </c>
      <c r="D31" s="124" t="str">
        <f>IFERROR(__xludf.DUMMYFUNCTION("""COMPUTED_VALUE"""),"Primary_Walkin")</f>
        <v>Primary_Walkin</v>
      </c>
      <c r="E31" s="127">
        <f>IFERROR(__xludf.DUMMYFUNCTION("""COMPUTED_VALUE"""),1.0)</f>
        <v>1</v>
      </c>
      <c r="F31" s="128" t="str">
        <f>IFERROR(__xludf.DUMMYFUNCTION("""COMPUTED_VALUE"""),"Enrolled")</f>
        <v>Enrolled</v>
      </c>
      <c r="G31" s="124" t="str">
        <f>IFERROR(__xludf.DUMMYFUNCTION("""COMPUTED_VALUE"""),"GS Foundation")</f>
        <v>GS Foundation</v>
      </c>
      <c r="K31" s="124"/>
      <c r="L31" s="124"/>
      <c r="M31" s="124"/>
      <c r="N31" s="124"/>
      <c r="O31" s="124"/>
      <c r="T31" s="126">
        <f>IFERROR(__xludf.DUMMYFUNCTION("""COMPUTED_VALUE"""),46043.0)</f>
        <v>46043</v>
      </c>
      <c r="U31" s="124" t="str">
        <f>IFERROR(__xludf.DUMMYFUNCTION("""COMPUTED_VALUE"""),"Telephony")</f>
        <v>Telephony</v>
      </c>
      <c r="V31" s="124" t="str">
        <f>IFERROR(__xludf.DUMMYFUNCTION("""COMPUTED_VALUE"""),"Inbound Call")</f>
        <v>Inbound Call</v>
      </c>
      <c r="W31" s="124">
        <f>IFERROR(__xludf.DUMMYFUNCTION("""COMPUTED_VALUE"""),9.18047861633E11)</f>
        <v>918047861633</v>
      </c>
      <c r="X31" s="124" t="str">
        <f>IFERROR(__xludf.DUMMYFUNCTION("""COMPUTED_VALUE"""),"Inbound Call")</f>
        <v>Inbound Call</v>
      </c>
      <c r="Y31" s="124"/>
      <c r="Z31" s="124">
        <f>IFERROR(__xludf.DUMMYFUNCTION("""COMPUTED_VALUE"""),13.0)</f>
        <v>13</v>
      </c>
      <c r="AA31" s="124" t="str">
        <f>IFERROR(__xludf.DUMMYFUNCTION("""COMPUTED_VALUE"""),"Cold")</f>
        <v>Cold</v>
      </c>
      <c r="AB31" s="124"/>
    </row>
    <row r="32">
      <c r="A32" s="129">
        <f>IFERROR(__xludf.DUMMYFUNCTION("""COMPUTED_VALUE"""),46059.0)</f>
        <v>46059</v>
      </c>
      <c r="B32" s="124" t="str">
        <f>IFERROR(__xludf.DUMMYFUNCTION("""COMPUTED_VALUE"""),"Walk-In")</f>
        <v>Walk-In</v>
      </c>
      <c r="C32" s="124" t="str">
        <f>IFERROR(__xludf.DUMMYFUNCTION("""COMPUTED_VALUE"""),"Delhi")</f>
        <v>Delhi</v>
      </c>
      <c r="D32" s="124" t="str">
        <f>IFERROR(__xludf.DUMMYFUNCTION("""COMPUTED_VALUE"""),"Primary_Walkin")</f>
        <v>Primary_Walkin</v>
      </c>
      <c r="E32" s="127">
        <f>IFERROR(__xludf.DUMMYFUNCTION("""COMPUTED_VALUE"""),1.0)</f>
        <v>1</v>
      </c>
      <c r="F32" s="128" t="str">
        <f>IFERROR(__xludf.DUMMYFUNCTION("""COMPUTED_VALUE"""),"Cold")</f>
        <v>Cold</v>
      </c>
      <c r="G32" s="124" t="str">
        <f>IFERROR(__xludf.DUMMYFUNCTION("""COMPUTED_VALUE"""),"GS Foundation")</f>
        <v>GS Foundation</v>
      </c>
      <c r="K32" s="124"/>
      <c r="L32" s="124"/>
      <c r="M32" s="124"/>
      <c r="N32" s="124"/>
      <c r="O32" s="124"/>
      <c r="T32" s="126">
        <f>IFERROR(__xludf.DUMMYFUNCTION("""COMPUTED_VALUE"""),46093.0)</f>
        <v>46093</v>
      </c>
      <c r="U32" s="124" t="str">
        <f>IFERROR(__xludf.DUMMYFUNCTION("""COMPUTED_VALUE"""),"Telephony")</f>
        <v>Telephony</v>
      </c>
      <c r="V32" s="124" t="str">
        <f>IFERROR(__xludf.DUMMYFUNCTION("""COMPUTED_VALUE"""),"Inbound Call")</f>
        <v>Inbound Call</v>
      </c>
      <c r="W32" s="124">
        <f>IFERROR(__xludf.DUMMYFUNCTION("""COMPUTED_VALUE"""),9.18047861635E11)</f>
        <v>918047861635</v>
      </c>
      <c r="X32" s="124" t="str">
        <f>IFERROR(__xludf.DUMMYFUNCTION("""COMPUTED_VALUE"""),"Inbound Call")</f>
        <v>Inbound Call</v>
      </c>
      <c r="Y32" s="124" t="str">
        <f>IFERROR(__xludf.DUMMYFUNCTION("""COMPUTED_VALUE"""),"Indore")</f>
        <v>Indore</v>
      </c>
      <c r="Z32" s="124">
        <f>IFERROR(__xludf.DUMMYFUNCTION("""COMPUTED_VALUE"""),1.0)</f>
        <v>1</v>
      </c>
      <c r="AA32" s="124" t="str">
        <f>IFERROR(__xludf.DUMMYFUNCTION("""COMPUTED_VALUE"""),"Cold")</f>
        <v>Cold</v>
      </c>
      <c r="AB32" s="124"/>
    </row>
    <row r="33">
      <c r="A33" s="126">
        <f>IFERROR(__xludf.DUMMYFUNCTION("""COMPUTED_VALUE"""),46063.0)</f>
        <v>46063</v>
      </c>
      <c r="B33" s="124" t="str">
        <f>IFERROR(__xludf.DUMMYFUNCTION("""COMPUTED_VALUE"""),"Walkin")</f>
        <v>Walkin</v>
      </c>
      <c r="C33" s="124" t="str">
        <f>IFERROR(__xludf.DUMMYFUNCTION("""COMPUTED_VALUE"""),"Delhi")</f>
        <v>Delhi</v>
      </c>
      <c r="D33" s="124" t="str">
        <f>IFERROR(__xludf.DUMMYFUNCTION("""COMPUTED_VALUE"""),"Primary_Walkin")</f>
        <v>Primary_Walkin</v>
      </c>
      <c r="E33" s="127">
        <f>IFERROR(__xludf.DUMMYFUNCTION("""COMPUTED_VALUE"""),1.0)</f>
        <v>1</v>
      </c>
      <c r="F33" s="128" t="str">
        <f>IFERROR(__xludf.DUMMYFUNCTION("""COMPUTED_VALUE"""),"Enrolled")</f>
        <v>Enrolled</v>
      </c>
      <c r="G33" s="124" t="str">
        <f>IFERROR(__xludf.DUMMYFUNCTION("""COMPUTED_VALUE"""),"GS Foundation")</f>
        <v>GS Foundation</v>
      </c>
      <c r="K33" s="124"/>
      <c r="L33" s="124"/>
      <c r="M33" s="124"/>
      <c r="N33" s="124"/>
      <c r="O33" s="124"/>
      <c r="T33" s="126">
        <f>IFERROR(__xludf.DUMMYFUNCTION("""COMPUTED_VALUE"""),46054.0)</f>
        <v>46054</v>
      </c>
      <c r="U33" s="124" t="str">
        <f>IFERROR(__xludf.DUMMYFUNCTION("""COMPUTED_VALUE"""),"Telephony")</f>
        <v>Telephony</v>
      </c>
      <c r="V33" s="124" t="str">
        <f>IFERROR(__xludf.DUMMYFUNCTION("""COMPUTED_VALUE"""),"Inbound Call")</f>
        <v>Inbound Call</v>
      </c>
      <c r="W33" s="124">
        <f>IFERROR(__xludf.DUMMYFUNCTION("""COMPUTED_VALUE"""),9.18047861631E11)</f>
        <v>918047861631</v>
      </c>
      <c r="X33" s="124" t="str">
        <f>IFERROR(__xludf.DUMMYFUNCTION("""COMPUTED_VALUE"""),"Inbound Call")</f>
        <v>Inbound Call</v>
      </c>
      <c r="Y33" s="124"/>
      <c r="Z33" s="124">
        <f>IFERROR(__xludf.DUMMYFUNCTION("""COMPUTED_VALUE"""),3.0)</f>
        <v>3</v>
      </c>
      <c r="AA33" s="124" t="str">
        <f>IFERROR(__xludf.DUMMYFUNCTION("""COMPUTED_VALUE"""),"Fake Lead")</f>
        <v>Fake Lead</v>
      </c>
      <c r="AB33" s="124"/>
    </row>
    <row r="34">
      <c r="A34" s="129">
        <f>IFERROR(__xludf.DUMMYFUNCTION("""COMPUTED_VALUE"""),46110.0)</f>
        <v>46110</v>
      </c>
      <c r="B34" s="124" t="str">
        <f>IFERROR(__xludf.DUMMYFUNCTION("""COMPUTED_VALUE"""),"Walkin")</f>
        <v>Walkin</v>
      </c>
      <c r="C34" s="124" t="str">
        <f>IFERROR(__xludf.DUMMYFUNCTION("""COMPUTED_VALUE"""),"Delhi")</f>
        <v>Delhi</v>
      </c>
      <c r="D34" s="124" t="str">
        <f>IFERROR(__xludf.DUMMYFUNCTION("""COMPUTED_VALUE"""),"Primary_Walkin")</f>
        <v>Primary_Walkin</v>
      </c>
      <c r="E34" s="127">
        <f>IFERROR(__xludf.DUMMYFUNCTION("""COMPUTED_VALUE"""),8.0)</f>
        <v>8</v>
      </c>
      <c r="F34" s="128" t="str">
        <f>IFERROR(__xludf.DUMMYFUNCTION("""COMPUTED_VALUE"""),"Warm")</f>
        <v>Warm</v>
      </c>
      <c r="G34" s="124" t="str">
        <f>IFERROR(__xludf.DUMMYFUNCTION("""COMPUTED_VALUE"""),"GS Foundation")</f>
        <v>GS Foundation</v>
      </c>
      <c r="K34" s="124"/>
      <c r="L34" s="124"/>
      <c r="M34" s="124"/>
      <c r="N34" s="124"/>
      <c r="O34" s="124"/>
      <c r="T34" s="126">
        <f>IFERROR(__xludf.DUMMYFUNCTION("""COMPUTED_VALUE"""),46079.0)</f>
        <v>46079</v>
      </c>
      <c r="U34" s="124" t="str">
        <f>IFERROR(__xludf.DUMMYFUNCTION("""COMPUTED_VALUE"""),"Telephony")</f>
        <v>Telephony</v>
      </c>
      <c r="V34" s="124" t="str">
        <f>IFERROR(__xludf.DUMMYFUNCTION("""COMPUTED_VALUE"""),"Inbound Call")</f>
        <v>Inbound Call</v>
      </c>
      <c r="W34" s="124">
        <f>IFERROR(__xludf.DUMMYFUNCTION("""COMPUTED_VALUE"""),9.18047861632E11)</f>
        <v>918047861632</v>
      </c>
      <c r="X34" s="124" t="str">
        <f>IFERROR(__xludf.DUMMYFUNCTION("""COMPUTED_VALUE"""),"Inbound Call")</f>
        <v>Inbound Call</v>
      </c>
      <c r="Y34" s="124"/>
      <c r="Z34" s="124">
        <f>IFERROR(__xludf.DUMMYFUNCTION("""COMPUTED_VALUE"""),2.0)</f>
        <v>2</v>
      </c>
      <c r="AA34" s="124" t="str">
        <f>IFERROR(__xludf.DUMMYFUNCTION("""COMPUTED_VALUE"""),"Fake Lead")</f>
        <v>Fake Lead</v>
      </c>
      <c r="AB34" s="124"/>
    </row>
    <row r="35">
      <c r="A35" s="126">
        <f>IFERROR(__xludf.DUMMYFUNCTION("""COMPUTED_VALUE"""),46093.0)</f>
        <v>46093</v>
      </c>
      <c r="B35" s="124" t="str">
        <f>IFERROR(__xludf.DUMMYFUNCTION("""COMPUTED_VALUE"""),"Walkin")</f>
        <v>Walkin</v>
      </c>
      <c r="C35" s="124" t="str">
        <f>IFERROR(__xludf.DUMMYFUNCTION("""COMPUTED_VALUE"""),"Delhi")</f>
        <v>Delhi</v>
      </c>
      <c r="D35" s="124" t="str">
        <f>IFERROR(__xludf.DUMMYFUNCTION("""COMPUTED_VALUE"""),"Primary_Walkin")</f>
        <v>Primary_Walkin</v>
      </c>
      <c r="E35" s="127">
        <f>IFERROR(__xludf.DUMMYFUNCTION("""COMPUTED_VALUE"""),1.0)</f>
        <v>1</v>
      </c>
      <c r="F35" s="128" t="str">
        <f>IFERROR(__xludf.DUMMYFUNCTION("""COMPUTED_VALUE"""),"Warm")</f>
        <v>Warm</v>
      </c>
      <c r="G35" s="124" t="str">
        <f>IFERROR(__xludf.DUMMYFUNCTION("""COMPUTED_VALUE"""),"GS Foundation")</f>
        <v>GS Foundation</v>
      </c>
      <c r="K35" s="124"/>
      <c r="L35" s="124"/>
      <c r="M35" s="124"/>
      <c r="N35" s="124"/>
      <c r="O35" s="124"/>
      <c r="T35" s="126">
        <f>IFERROR(__xludf.DUMMYFUNCTION("""COMPUTED_VALUE"""),46109.0)</f>
        <v>46109</v>
      </c>
      <c r="U35" s="124" t="str">
        <f>IFERROR(__xludf.DUMMYFUNCTION("""COMPUTED_VALUE"""),"Telephony")</f>
        <v>Telephony</v>
      </c>
      <c r="V35" s="124" t="str">
        <f>IFERROR(__xludf.DUMMYFUNCTION("""COMPUTED_VALUE"""),"Inbound Call")</f>
        <v>Inbound Call</v>
      </c>
      <c r="W35" s="124">
        <f>IFERROR(__xludf.DUMMYFUNCTION("""COMPUTED_VALUE"""),9.18047861663E11)</f>
        <v>918047861663</v>
      </c>
      <c r="X35" s="124" t="str">
        <f>IFERROR(__xludf.DUMMYFUNCTION("""COMPUTED_VALUE"""),"Inbound Call")</f>
        <v>Inbound Call</v>
      </c>
      <c r="Y35" s="124"/>
      <c r="Z35" s="124">
        <f>IFERROR(__xludf.DUMMYFUNCTION("""COMPUTED_VALUE"""),5.0)</f>
        <v>5</v>
      </c>
      <c r="AA35" s="124" t="str">
        <f>IFERROR(__xludf.DUMMYFUNCTION("""COMPUTED_VALUE"""),"Cold")</f>
        <v>Cold</v>
      </c>
      <c r="AB35" s="124"/>
    </row>
    <row r="36">
      <c r="A36" s="126">
        <f>IFERROR(__xludf.DUMMYFUNCTION("""COMPUTED_VALUE"""),46098.0)</f>
        <v>46098</v>
      </c>
      <c r="B36" s="124" t="str">
        <f>IFERROR(__xludf.DUMMYFUNCTION("""COMPUTED_VALUE"""),"Walkin")</f>
        <v>Walkin</v>
      </c>
      <c r="C36" s="124" t="str">
        <f>IFERROR(__xludf.DUMMYFUNCTION("""COMPUTED_VALUE"""),"Delhi")</f>
        <v>Delhi</v>
      </c>
      <c r="D36" s="124" t="str">
        <f>IFERROR(__xludf.DUMMYFUNCTION("""COMPUTED_VALUE"""),"Primary_Walkin")</f>
        <v>Primary_Walkin</v>
      </c>
      <c r="E36" s="127">
        <f>IFERROR(__xludf.DUMMYFUNCTION("""COMPUTED_VALUE"""),7.0)</f>
        <v>7</v>
      </c>
      <c r="F36" s="128" t="str">
        <f>IFERROR(__xludf.DUMMYFUNCTION("""COMPUTED_VALUE"""),"Not Interested")</f>
        <v>Not Interested</v>
      </c>
      <c r="G36" s="124" t="str">
        <f>IFERROR(__xludf.DUMMYFUNCTION("""COMPUTED_VALUE"""),"GS Foundation")</f>
        <v>GS Foundation</v>
      </c>
      <c r="K36" s="124"/>
      <c r="L36" s="124"/>
      <c r="M36" s="124"/>
      <c r="N36" s="124"/>
      <c r="O36" s="124"/>
      <c r="T36" s="126">
        <f>IFERROR(__xludf.DUMMYFUNCTION("""COMPUTED_VALUE"""),46095.0)</f>
        <v>46095</v>
      </c>
      <c r="U36" s="124" t="str">
        <f>IFERROR(__xludf.DUMMYFUNCTION("""COMPUTED_VALUE"""),"Telephony")</f>
        <v>Telephony</v>
      </c>
      <c r="V36" s="124" t="str">
        <f>IFERROR(__xludf.DUMMYFUNCTION("""COMPUTED_VALUE"""),"Inbound Call")</f>
        <v>Inbound Call</v>
      </c>
      <c r="W36" s="124">
        <f>IFERROR(__xludf.DUMMYFUNCTION("""COMPUTED_VALUE"""),9.18047861634E11)</f>
        <v>918047861634</v>
      </c>
      <c r="X36" s="124" t="str">
        <f>IFERROR(__xludf.DUMMYFUNCTION("""COMPUTED_VALUE"""),"Inbound Call")</f>
        <v>Inbound Call</v>
      </c>
      <c r="Y36" s="124" t="str">
        <f>IFERROR(__xludf.DUMMYFUNCTION("""COMPUTED_VALUE"""),"Lucknow")</f>
        <v>Lucknow</v>
      </c>
      <c r="Z36" s="124">
        <f>IFERROR(__xludf.DUMMYFUNCTION("""COMPUTED_VALUE"""),1.0)</f>
        <v>1</v>
      </c>
      <c r="AA36" s="124" t="str">
        <f>IFERROR(__xludf.DUMMYFUNCTION("""COMPUTED_VALUE"""),"Enrolled")</f>
        <v>Enrolled</v>
      </c>
      <c r="AB36" s="124" t="str">
        <f>IFERROR(__xludf.DUMMYFUNCTION("""COMPUTED_VALUE"""),"GS Foundation")</f>
        <v>GS Foundation</v>
      </c>
    </row>
    <row r="37">
      <c r="A37" s="126">
        <f>IFERROR(__xludf.DUMMYFUNCTION("""COMPUTED_VALUE"""),46089.0)</f>
        <v>46089</v>
      </c>
      <c r="B37" s="124" t="str">
        <f>IFERROR(__xludf.DUMMYFUNCTION("""COMPUTED_VALUE"""),"Walkin")</f>
        <v>Walkin</v>
      </c>
      <c r="C37" s="124" t="str">
        <f>IFERROR(__xludf.DUMMYFUNCTION("""COMPUTED_VALUE"""),"Delhi")</f>
        <v>Delhi</v>
      </c>
      <c r="D37" s="124" t="str">
        <f>IFERROR(__xludf.DUMMYFUNCTION("""COMPUTED_VALUE"""),"Primary_Walkin")</f>
        <v>Primary_Walkin</v>
      </c>
      <c r="E37" s="127">
        <f>IFERROR(__xludf.DUMMYFUNCTION("""COMPUTED_VALUE"""),1.0)</f>
        <v>1</v>
      </c>
      <c r="F37" s="128" t="str">
        <f>IFERROR(__xludf.DUMMYFUNCTION("""COMPUTED_VALUE"""),"Not Interested")</f>
        <v>Not Interested</v>
      </c>
      <c r="G37" s="124" t="str">
        <f>IFERROR(__xludf.DUMMYFUNCTION("""COMPUTED_VALUE"""),"Mentorship")</f>
        <v>Mentorship</v>
      </c>
      <c r="K37" s="124"/>
      <c r="L37" s="124"/>
      <c r="M37" s="124"/>
      <c r="N37" s="124"/>
      <c r="O37" s="124"/>
      <c r="T37" s="126">
        <f>IFERROR(__xludf.DUMMYFUNCTION("""COMPUTED_VALUE"""),46081.0)</f>
        <v>46081</v>
      </c>
      <c r="U37" s="124" t="str">
        <f>IFERROR(__xludf.DUMMYFUNCTION("""COMPUTED_VALUE"""),"Telephony")</f>
        <v>Telephony</v>
      </c>
      <c r="V37" s="124" t="str">
        <f>IFERROR(__xludf.DUMMYFUNCTION("""COMPUTED_VALUE"""),"Inbound Call")</f>
        <v>Inbound Call</v>
      </c>
      <c r="W37" s="124" t="str">
        <f>IFERROR(__xludf.DUMMYFUNCTION("""COMPUTED_VALUE"""),"Inbound Call")</f>
        <v>Inbound Call</v>
      </c>
      <c r="X37" s="124" t="str">
        <f>IFERROR(__xludf.DUMMYFUNCTION("""COMPUTED_VALUE"""),"Inbound Call")</f>
        <v>Inbound Call</v>
      </c>
      <c r="Y37" s="124" t="str">
        <f>IFERROR(__xludf.DUMMYFUNCTION("""COMPUTED_VALUE"""),"Delhi")</f>
        <v>Delhi</v>
      </c>
      <c r="Z37" s="124">
        <f>IFERROR(__xludf.DUMMYFUNCTION("""COMPUTED_VALUE"""),2.0)</f>
        <v>2</v>
      </c>
      <c r="AA37" s="124" t="str">
        <f>IFERROR(__xludf.DUMMYFUNCTION("""COMPUTED_VALUE"""),"Cold")</f>
        <v>Cold</v>
      </c>
      <c r="AB37" s="124"/>
    </row>
    <row r="38">
      <c r="A38" s="129">
        <f>IFERROR(__xludf.DUMMYFUNCTION("""COMPUTED_VALUE"""),46049.0)</f>
        <v>46049</v>
      </c>
      <c r="B38" s="124" t="str">
        <f>IFERROR(__xludf.DUMMYFUNCTION("""COMPUTED_VALUE"""),"Walkin")</f>
        <v>Walkin</v>
      </c>
      <c r="C38" s="124" t="str">
        <f>IFERROR(__xludf.DUMMYFUNCTION("""COMPUTED_VALUE"""),"Delhi")</f>
        <v>Delhi</v>
      </c>
      <c r="D38" s="124" t="str">
        <f>IFERROR(__xludf.DUMMYFUNCTION("""COMPUTED_VALUE"""),"Primary_Walkin")</f>
        <v>Primary_Walkin</v>
      </c>
      <c r="E38" s="127">
        <f>IFERROR(__xludf.DUMMYFUNCTION("""COMPUTED_VALUE"""),1.0)</f>
        <v>1</v>
      </c>
      <c r="F38" s="128" t="str">
        <f>IFERROR(__xludf.DUMMYFUNCTION("""COMPUTED_VALUE"""),"Cold")</f>
        <v>Cold</v>
      </c>
      <c r="G38" s="124" t="str">
        <f>IFERROR(__xludf.DUMMYFUNCTION("""COMPUTED_VALUE"""),"Mentorship")</f>
        <v>Mentorship</v>
      </c>
      <c r="K38" s="124"/>
      <c r="L38" s="124"/>
      <c r="M38" s="124"/>
      <c r="N38" s="124"/>
      <c r="O38" s="124"/>
      <c r="T38" s="129">
        <f>IFERROR(__xludf.DUMMYFUNCTION("""COMPUTED_VALUE"""),46083.0)</f>
        <v>46083</v>
      </c>
      <c r="U38" s="124" t="str">
        <f>IFERROR(__xludf.DUMMYFUNCTION("""COMPUTED_VALUE"""),"Telephony")</f>
        <v>Telephony</v>
      </c>
      <c r="V38" s="124" t="str">
        <f>IFERROR(__xludf.DUMMYFUNCTION("""COMPUTED_VALUE"""),"Inbound Call")</f>
        <v>Inbound Call</v>
      </c>
      <c r="W38" s="124">
        <f>IFERROR(__xludf.DUMMYFUNCTION("""COMPUTED_VALUE"""),9.18047861663E11)</f>
        <v>918047861663</v>
      </c>
      <c r="X38" s="124" t="str">
        <f>IFERROR(__xludf.DUMMYFUNCTION("""COMPUTED_VALUE"""),"Inbound Call")</f>
        <v>Inbound Call</v>
      </c>
      <c r="Y38" s="124"/>
      <c r="Z38" s="124">
        <f>IFERROR(__xludf.DUMMYFUNCTION("""COMPUTED_VALUE"""),3.0)</f>
        <v>3</v>
      </c>
      <c r="AA38" s="124" t="str">
        <f>IFERROR(__xludf.DUMMYFUNCTION("""COMPUTED_VALUE"""),"Cold")</f>
        <v>Cold</v>
      </c>
      <c r="AB38" s="124"/>
    </row>
    <row r="39">
      <c r="A39" s="129">
        <f>IFERROR(__xludf.DUMMYFUNCTION("""COMPUTED_VALUE"""),46077.0)</f>
        <v>46077</v>
      </c>
      <c r="B39" s="124" t="str">
        <f>IFERROR(__xludf.DUMMYFUNCTION("""COMPUTED_VALUE"""),"Walkin")</f>
        <v>Walkin</v>
      </c>
      <c r="C39" s="124" t="str">
        <f>IFERROR(__xludf.DUMMYFUNCTION("""COMPUTED_VALUE"""),"Delhi")</f>
        <v>Delhi</v>
      </c>
      <c r="D39" s="124" t="str">
        <f>IFERROR(__xludf.DUMMYFUNCTION("""COMPUTED_VALUE"""),"Primary_Walkin")</f>
        <v>Primary_Walkin</v>
      </c>
      <c r="E39" s="127">
        <f>IFERROR(__xludf.DUMMYFUNCTION("""COMPUTED_VALUE"""),1.0)</f>
        <v>1</v>
      </c>
      <c r="F39" s="128" t="str">
        <f>IFERROR(__xludf.DUMMYFUNCTION("""COMPUTED_VALUE"""),"Fake Lead")</f>
        <v>Fake Lead</v>
      </c>
      <c r="G39" s="124" t="str">
        <f>IFERROR(__xludf.DUMMYFUNCTION("""COMPUTED_VALUE"""),"GS Foundation")</f>
        <v>GS Foundation</v>
      </c>
      <c r="K39" s="124"/>
      <c r="L39" s="124"/>
      <c r="M39" s="124"/>
      <c r="N39" s="124"/>
      <c r="O39" s="124"/>
      <c r="T39" s="129">
        <f>IFERROR(__xludf.DUMMYFUNCTION("""COMPUTED_VALUE"""),46062.0)</f>
        <v>46062</v>
      </c>
      <c r="U39" s="124" t="str">
        <f>IFERROR(__xludf.DUMMYFUNCTION("""COMPUTED_VALUE"""),"Telephony")</f>
        <v>Telephony</v>
      </c>
      <c r="V39" s="124" t="str">
        <f>IFERROR(__xludf.DUMMYFUNCTION("""COMPUTED_VALUE"""),"Inbound Call")</f>
        <v>Inbound Call</v>
      </c>
      <c r="W39" s="124" t="str">
        <f>IFERROR(__xludf.DUMMYFUNCTION("""COMPUTED_VALUE"""),"Inbound Call")</f>
        <v>Inbound Call</v>
      </c>
      <c r="X39" s="124" t="str">
        <f>IFERROR(__xludf.DUMMYFUNCTION("""COMPUTED_VALUE"""),"Inbound Call")</f>
        <v>Inbound Call</v>
      </c>
      <c r="Y39" s="124"/>
      <c r="Z39" s="124">
        <f>IFERROR(__xludf.DUMMYFUNCTION("""COMPUTED_VALUE"""),2.0)</f>
        <v>2</v>
      </c>
      <c r="AA39" s="124" t="str">
        <f>IFERROR(__xludf.DUMMYFUNCTION("""COMPUTED_VALUE"""),"Fake Lead")</f>
        <v>Fake Lead</v>
      </c>
      <c r="AB39" s="124"/>
    </row>
    <row r="40">
      <c r="A40" s="126">
        <f>IFERROR(__xludf.DUMMYFUNCTION("""COMPUTED_VALUE"""),46070.0)</f>
        <v>46070</v>
      </c>
      <c r="B40" s="124" t="str">
        <f>IFERROR(__xludf.DUMMYFUNCTION("""COMPUTED_VALUE"""),"Walkin")</f>
        <v>Walkin</v>
      </c>
      <c r="C40" s="124" t="str">
        <f>IFERROR(__xludf.DUMMYFUNCTION("""COMPUTED_VALUE"""),"Delhi")</f>
        <v>Delhi</v>
      </c>
      <c r="D40" s="124" t="str">
        <f>IFERROR(__xludf.DUMMYFUNCTION("""COMPUTED_VALUE"""),"Primary_Walkin")</f>
        <v>Primary_Walkin</v>
      </c>
      <c r="E40" s="127">
        <f>IFERROR(__xludf.DUMMYFUNCTION("""COMPUTED_VALUE"""),5.0)</f>
        <v>5</v>
      </c>
      <c r="F40" s="128" t="str">
        <f>IFERROR(__xludf.DUMMYFUNCTION("""COMPUTED_VALUE"""),"Not Interested")</f>
        <v>Not Interested</v>
      </c>
      <c r="G40" s="124" t="str">
        <f>IFERROR(__xludf.DUMMYFUNCTION("""COMPUTED_VALUE"""),"GS Foundation")</f>
        <v>GS Foundation</v>
      </c>
      <c r="K40" s="124"/>
      <c r="L40" s="124"/>
      <c r="M40" s="124"/>
      <c r="N40" s="124"/>
      <c r="O40" s="124"/>
      <c r="T40" s="126">
        <f>IFERROR(__xludf.DUMMYFUNCTION("""COMPUTED_VALUE"""),46108.0)</f>
        <v>46108</v>
      </c>
      <c r="U40" s="124" t="str">
        <f>IFERROR(__xludf.DUMMYFUNCTION("""COMPUTED_VALUE"""),"Telephony")</f>
        <v>Telephony</v>
      </c>
      <c r="V40" s="124" t="str">
        <f>IFERROR(__xludf.DUMMYFUNCTION("""COMPUTED_VALUE"""),"Inbound Call")</f>
        <v>Inbound Call</v>
      </c>
      <c r="W40" s="124">
        <f>IFERROR(__xludf.DUMMYFUNCTION("""COMPUTED_VALUE"""),9.18047861663E11)</f>
        <v>918047861663</v>
      </c>
      <c r="X40" s="124" t="str">
        <f>IFERROR(__xludf.DUMMYFUNCTION("""COMPUTED_VALUE"""),"Inbound Call")</f>
        <v>Inbound Call</v>
      </c>
      <c r="Y40" s="124" t="str">
        <f>IFERROR(__xludf.DUMMYFUNCTION("""COMPUTED_VALUE"""),"Delhi")</f>
        <v>Delhi</v>
      </c>
      <c r="Z40" s="124">
        <f>IFERROR(__xludf.DUMMYFUNCTION("""COMPUTED_VALUE"""),1.0)</f>
        <v>1</v>
      </c>
      <c r="AA40" s="124" t="str">
        <f>IFERROR(__xludf.DUMMYFUNCTION("""COMPUTED_VALUE"""),"Not Interested")</f>
        <v>Not Interested</v>
      </c>
      <c r="AB40" s="124"/>
    </row>
    <row r="41">
      <c r="A41" s="126">
        <f>IFERROR(__xludf.DUMMYFUNCTION("""COMPUTED_VALUE"""),46072.0)</f>
        <v>46072</v>
      </c>
      <c r="B41" s="124" t="str">
        <f>IFERROR(__xludf.DUMMYFUNCTION("""COMPUTED_VALUE"""),"Walk-In")</f>
        <v>Walk-In</v>
      </c>
      <c r="C41" s="124" t="str">
        <f>IFERROR(__xludf.DUMMYFUNCTION("""COMPUTED_VALUE"""),"Delhi")</f>
        <v>Delhi</v>
      </c>
      <c r="D41" s="124" t="str">
        <f>IFERROR(__xludf.DUMMYFUNCTION("""COMPUTED_VALUE"""),"Primary_Walkin")</f>
        <v>Primary_Walkin</v>
      </c>
      <c r="E41" s="127">
        <f>IFERROR(__xludf.DUMMYFUNCTION("""COMPUTED_VALUE"""),1.0)</f>
        <v>1</v>
      </c>
      <c r="F41" s="128" t="str">
        <f>IFERROR(__xludf.DUMMYFUNCTION("""COMPUTED_VALUE"""),"Cold")</f>
        <v>Cold</v>
      </c>
      <c r="G41" s="124" t="str">
        <f>IFERROR(__xludf.DUMMYFUNCTION("""COMPUTED_VALUE"""),"GS Foundation")</f>
        <v>GS Foundation</v>
      </c>
      <c r="K41" s="124"/>
      <c r="L41" s="124"/>
      <c r="M41" s="124"/>
      <c r="N41" s="124"/>
      <c r="O41" s="124"/>
      <c r="T41" s="126">
        <f>IFERROR(__xludf.DUMMYFUNCTION("""COMPUTED_VALUE"""),46063.0)</f>
        <v>46063</v>
      </c>
      <c r="U41" s="124" t="str">
        <f>IFERROR(__xludf.DUMMYFUNCTION("""COMPUTED_VALUE"""),"Telephony")</f>
        <v>Telephony</v>
      </c>
      <c r="V41" s="124" t="str">
        <f>IFERROR(__xludf.DUMMYFUNCTION("""COMPUTED_VALUE"""),"Inbound Call")</f>
        <v>Inbound Call</v>
      </c>
      <c r="W41" s="124">
        <f>IFERROR(__xludf.DUMMYFUNCTION("""COMPUTED_VALUE"""),9.18047861631E11)</f>
        <v>918047861631</v>
      </c>
      <c r="X41" s="124" t="str">
        <f>IFERROR(__xludf.DUMMYFUNCTION("""COMPUTED_VALUE"""),"Inbound Call")</f>
        <v>Inbound Call</v>
      </c>
      <c r="Y41" s="124"/>
      <c r="Z41" s="124">
        <f>IFERROR(__xludf.DUMMYFUNCTION("""COMPUTED_VALUE"""),3.0)</f>
        <v>3</v>
      </c>
      <c r="AA41" s="124" t="str">
        <f>IFERROR(__xludf.DUMMYFUNCTION("""COMPUTED_VALUE"""),"Fake Lead")</f>
        <v>Fake Lead</v>
      </c>
      <c r="AB41" s="124"/>
    </row>
    <row r="42">
      <c r="A42" s="126">
        <f>IFERROR(__xludf.DUMMYFUNCTION("""COMPUTED_VALUE"""),46104.0)</f>
        <v>46104</v>
      </c>
      <c r="B42" s="124" t="str">
        <f>IFERROR(__xludf.DUMMYFUNCTION("""COMPUTED_VALUE"""),"Walk-In")</f>
        <v>Walk-In</v>
      </c>
      <c r="C42" s="124" t="str">
        <f>IFERROR(__xludf.DUMMYFUNCTION("""COMPUTED_VALUE"""),"Delhi")</f>
        <v>Delhi</v>
      </c>
      <c r="D42" s="124" t="str">
        <f>IFERROR(__xludf.DUMMYFUNCTION("""COMPUTED_VALUE"""),"Primary_Walkin")</f>
        <v>Primary_Walkin</v>
      </c>
      <c r="E42" s="127">
        <f>IFERROR(__xludf.DUMMYFUNCTION("""COMPUTED_VALUE"""),1.0)</f>
        <v>1</v>
      </c>
      <c r="F42" s="128" t="str">
        <f>IFERROR(__xludf.DUMMYFUNCTION("""COMPUTED_VALUE"""),"Interested")</f>
        <v>Interested</v>
      </c>
      <c r="G42" s="124" t="str">
        <f>IFERROR(__xludf.DUMMYFUNCTION("""COMPUTED_VALUE"""),"State PCS")</f>
        <v>State PCS</v>
      </c>
      <c r="K42" s="124"/>
      <c r="L42" s="124"/>
      <c r="M42" s="124"/>
      <c r="N42" s="124"/>
      <c r="O42" s="124"/>
      <c r="T42" s="129">
        <f>IFERROR(__xludf.DUMMYFUNCTION("""COMPUTED_VALUE"""),46070.0)</f>
        <v>46070</v>
      </c>
      <c r="U42" s="124" t="str">
        <f>IFERROR(__xludf.DUMMYFUNCTION("""COMPUTED_VALUE"""),"Telephony")</f>
        <v>Telephony</v>
      </c>
      <c r="V42" s="124" t="str">
        <f>IFERROR(__xludf.DUMMYFUNCTION("""COMPUTED_VALUE"""),"Inbound Call")</f>
        <v>Inbound Call</v>
      </c>
      <c r="W42" s="124">
        <f>IFERROR(__xludf.DUMMYFUNCTION("""COMPUTED_VALUE"""),9.18047861633E11)</f>
        <v>918047861633</v>
      </c>
      <c r="X42" s="124" t="str">
        <f>IFERROR(__xludf.DUMMYFUNCTION("""COMPUTED_VALUE"""),"Inbound Call")</f>
        <v>Inbound Call</v>
      </c>
      <c r="Y42" s="124"/>
      <c r="Z42" s="124">
        <f>IFERROR(__xludf.DUMMYFUNCTION("""COMPUTED_VALUE"""),1.0)</f>
        <v>1</v>
      </c>
      <c r="AA42" s="124" t="str">
        <f>IFERROR(__xludf.DUMMYFUNCTION("""COMPUTED_VALUE"""),"Cold")</f>
        <v>Cold</v>
      </c>
      <c r="AB42" s="124"/>
    </row>
    <row r="43">
      <c r="A43" s="129">
        <f>IFERROR(__xludf.DUMMYFUNCTION("""COMPUTED_VALUE"""),46057.0)</f>
        <v>46057</v>
      </c>
      <c r="B43" s="124" t="str">
        <f>IFERROR(__xludf.DUMMYFUNCTION("""COMPUTED_VALUE"""),"Walkin")</f>
        <v>Walkin</v>
      </c>
      <c r="C43" s="124" t="str">
        <f>IFERROR(__xludf.DUMMYFUNCTION("""COMPUTED_VALUE"""),"Delhi")</f>
        <v>Delhi</v>
      </c>
      <c r="D43" s="124" t="str">
        <f>IFERROR(__xludf.DUMMYFUNCTION("""COMPUTED_VALUE"""),"Primary_Walkin")</f>
        <v>Primary_Walkin</v>
      </c>
      <c r="E43" s="127">
        <f>IFERROR(__xludf.DUMMYFUNCTION("""COMPUTED_VALUE"""),7.0)</f>
        <v>7</v>
      </c>
      <c r="F43" s="128" t="str">
        <f>IFERROR(__xludf.DUMMYFUNCTION("""COMPUTED_VALUE"""),"Cold")</f>
        <v>Cold</v>
      </c>
      <c r="G43" s="124" t="str">
        <f>IFERROR(__xludf.DUMMYFUNCTION("""COMPUTED_VALUE"""),"GS Foundation")</f>
        <v>GS Foundation</v>
      </c>
      <c r="K43" s="124"/>
      <c r="L43" s="124"/>
      <c r="M43" s="124"/>
      <c r="N43" s="124"/>
      <c r="O43" s="124"/>
      <c r="T43" s="126">
        <f>IFERROR(__xludf.DUMMYFUNCTION("""COMPUTED_VALUE"""),46108.0)</f>
        <v>46108</v>
      </c>
      <c r="U43" s="124" t="str">
        <f>IFERROR(__xludf.DUMMYFUNCTION("""COMPUTED_VALUE"""),"Telephony")</f>
        <v>Telephony</v>
      </c>
      <c r="V43" s="124" t="str">
        <f>IFERROR(__xludf.DUMMYFUNCTION("""COMPUTED_VALUE"""),"Inbound Call")</f>
        <v>Inbound Call</v>
      </c>
      <c r="W43" s="124">
        <f>IFERROR(__xludf.DUMMYFUNCTION("""COMPUTED_VALUE"""),9.18047861632E11)</f>
        <v>918047861632</v>
      </c>
      <c r="X43" s="124" t="str">
        <f>IFERROR(__xludf.DUMMYFUNCTION("""COMPUTED_VALUE"""),"Inbound Call")</f>
        <v>Inbound Call</v>
      </c>
      <c r="Y43" s="124"/>
      <c r="Z43" s="124">
        <f>IFERROR(__xludf.DUMMYFUNCTION("""COMPUTED_VALUE"""),4.0)</f>
        <v>4</v>
      </c>
      <c r="AA43" s="124" t="str">
        <f>IFERROR(__xludf.DUMMYFUNCTION("""COMPUTED_VALUE"""),"Cold")</f>
        <v>Cold</v>
      </c>
      <c r="AB43" s="124"/>
    </row>
    <row r="44">
      <c r="A44" s="129">
        <f>IFERROR(__xludf.DUMMYFUNCTION("""COMPUTED_VALUE"""),46051.0)</f>
        <v>46051</v>
      </c>
      <c r="B44" s="124" t="str">
        <f>IFERROR(__xludf.DUMMYFUNCTION("""COMPUTED_VALUE"""),"Walkin")</f>
        <v>Walkin</v>
      </c>
      <c r="C44" s="124" t="str">
        <f>IFERROR(__xludf.DUMMYFUNCTION("""COMPUTED_VALUE"""),"Delhi")</f>
        <v>Delhi</v>
      </c>
      <c r="D44" s="124" t="str">
        <f>IFERROR(__xludf.DUMMYFUNCTION("""COMPUTED_VALUE"""),"Primary_Walkin")</f>
        <v>Primary_Walkin</v>
      </c>
      <c r="E44" s="127">
        <f>IFERROR(__xludf.DUMMYFUNCTION("""COMPUTED_VALUE"""),3.0)</f>
        <v>3</v>
      </c>
      <c r="F44" s="128" t="str">
        <f>IFERROR(__xludf.DUMMYFUNCTION("""COMPUTED_VALUE"""),"Not Interested")</f>
        <v>Not Interested</v>
      </c>
      <c r="G44" s="124" t="str">
        <f>IFERROR(__xludf.DUMMYFUNCTION("""COMPUTED_VALUE"""),"GS Foundation")</f>
        <v>GS Foundation</v>
      </c>
      <c r="K44" s="124"/>
      <c r="L44" s="124"/>
      <c r="M44" s="124"/>
      <c r="N44" s="124"/>
      <c r="O44" s="124"/>
      <c r="T44" s="129">
        <f>IFERROR(__xludf.DUMMYFUNCTION("""COMPUTED_VALUE"""),46047.0)</f>
        <v>46047</v>
      </c>
      <c r="U44" s="124" t="str">
        <f>IFERROR(__xludf.DUMMYFUNCTION("""COMPUTED_VALUE"""),"Telephony")</f>
        <v>Telephony</v>
      </c>
      <c r="V44" s="124" t="str">
        <f>IFERROR(__xludf.DUMMYFUNCTION("""COMPUTED_VALUE"""),"Inbound Call")</f>
        <v>Inbound Call</v>
      </c>
      <c r="W44" s="124">
        <f>IFERROR(__xludf.DUMMYFUNCTION("""COMPUTED_VALUE"""),9.18047861663E11)</f>
        <v>918047861663</v>
      </c>
      <c r="X44" s="124" t="str">
        <f>IFERROR(__xludf.DUMMYFUNCTION("""COMPUTED_VALUE"""),"Inbound Call")</f>
        <v>Inbound Call</v>
      </c>
      <c r="Y44" s="124"/>
      <c r="Z44" s="124">
        <f>IFERROR(__xludf.DUMMYFUNCTION("""COMPUTED_VALUE"""),1.0)</f>
        <v>1</v>
      </c>
      <c r="AA44" s="124" t="str">
        <f>IFERROR(__xludf.DUMMYFUNCTION("""COMPUTED_VALUE"""),"Not Interested")</f>
        <v>Not Interested</v>
      </c>
      <c r="AB44" s="124"/>
    </row>
    <row r="45">
      <c r="A45" s="126">
        <f>IFERROR(__xludf.DUMMYFUNCTION("""COMPUTED_VALUE"""),46061.0)</f>
        <v>46061</v>
      </c>
      <c r="B45" s="124" t="str">
        <f>IFERROR(__xludf.DUMMYFUNCTION("""COMPUTED_VALUE"""),"external leads")</f>
        <v>external leads</v>
      </c>
      <c r="C45" s="124" t="str">
        <f>IFERROR(__xludf.DUMMYFUNCTION("""COMPUTED_VALUE"""),"Delhi")</f>
        <v>Delhi</v>
      </c>
      <c r="D45" s="124" t="str">
        <f>IFERROR(__xludf.DUMMYFUNCTION("""COMPUTED_VALUE"""),"Secondary_Walkin")</f>
        <v>Secondary_Walkin</v>
      </c>
      <c r="E45" s="127">
        <f>IFERROR(__xludf.DUMMYFUNCTION("""COMPUTED_VALUE"""),1.0)</f>
        <v>1</v>
      </c>
      <c r="F45" s="128" t="str">
        <f>IFERROR(__xludf.DUMMYFUNCTION("""COMPUTED_VALUE"""),"Engaged")</f>
        <v>Engaged</v>
      </c>
      <c r="G45" s="124" t="str">
        <f>IFERROR(__xludf.DUMMYFUNCTION("""COMPUTED_VALUE"""),"GS Foundation")</f>
        <v>GS Foundation</v>
      </c>
      <c r="K45" s="124"/>
      <c r="L45" s="124"/>
      <c r="M45" s="124"/>
      <c r="N45" s="124"/>
      <c r="O45" s="124"/>
      <c r="T45" s="126">
        <f>IFERROR(__xludf.DUMMYFUNCTION("""COMPUTED_VALUE"""),46072.0)</f>
        <v>46072</v>
      </c>
      <c r="U45" s="124" t="str">
        <f>IFERROR(__xludf.DUMMYFUNCTION("""COMPUTED_VALUE"""),"Telephony")</f>
        <v>Telephony</v>
      </c>
      <c r="V45" s="124" t="str">
        <f>IFERROR(__xludf.DUMMYFUNCTION("""COMPUTED_VALUE"""),"Inbound Call")</f>
        <v>Inbound Call</v>
      </c>
      <c r="W45" s="124">
        <f>IFERROR(__xludf.DUMMYFUNCTION("""COMPUTED_VALUE"""),9.18047861632E11)</f>
        <v>918047861632</v>
      </c>
      <c r="X45" s="124" t="str">
        <f>IFERROR(__xludf.DUMMYFUNCTION("""COMPUTED_VALUE"""),"Inbound Call")</f>
        <v>Inbound Call</v>
      </c>
      <c r="Y45" s="124"/>
      <c r="Z45" s="124">
        <f>IFERROR(__xludf.DUMMYFUNCTION("""COMPUTED_VALUE"""),1.0)</f>
        <v>1</v>
      </c>
      <c r="AA45" s="124" t="str">
        <f>IFERROR(__xludf.DUMMYFUNCTION("""COMPUTED_VALUE"""),"Not Interested")</f>
        <v>Not Interested</v>
      </c>
      <c r="AB45" s="124" t="str">
        <f>IFERROR(__xludf.DUMMYFUNCTION("""COMPUTED_VALUE"""),"State PCS")</f>
        <v>State PCS</v>
      </c>
    </row>
    <row r="46">
      <c r="A46" s="126">
        <f>IFERROR(__xludf.DUMMYFUNCTION("""COMPUTED_VALUE"""),46098.0)</f>
        <v>46098</v>
      </c>
      <c r="B46" s="124" t="str">
        <f>IFERROR(__xludf.DUMMYFUNCTION("""COMPUTED_VALUE"""),"external leads")</f>
        <v>external leads</v>
      </c>
      <c r="C46" s="124" t="str">
        <f>IFERROR(__xludf.DUMMYFUNCTION("""COMPUTED_VALUE"""),"Delhi")</f>
        <v>Delhi</v>
      </c>
      <c r="D46" s="124" t="str">
        <f>IFERROR(__xludf.DUMMYFUNCTION("""COMPUTED_VALUE"""),"Secondary_Walkin")</f>
        <v>Secondary_Walkin</v>
      </c>
      <c r="E46" s="127">
        <f>IFERROR(__xludf.DUMMYFUNCTION("""COMPUTED_VALUE"""),3.0)</f>
        <v>3</v>
      </c>
      <c r="F46" s="128" t="str">
        <f>IFERROR(__xludf.DUMMYFUNCTION("""COMPUTED_VALUE"""),"Warm")</f>
        <v>Warm</v>
      </c>
      <c r="G46" s="124" t="str">
        <f>IFERROR(__xludf.DUMMYFUNCTION("""COMPUTED_VALUE"""),"GS Foundation")</f>
        <v>GS Foundation</v>
      </c>
      <c r="K46" s="124"/>
      <c r="L46" s="124"/>
      <c r="M46" s="124"/>
      <c r="N46" s="124"/>
      <c r="O46" s="124"/>
      <c r="T46" s="126">
        <f>IFERROR(__xludf.DUMMYFUNCTION("""COMPUTED_VALUE"""),46075.0)</f>
        <v>46075</v>
      </c>
      <c r="U46" s="124" t="str">
        <f>IFERROR(__xludf.DUMMYFUNCTION("""COMPUTED_VALUE"""),"Telephony")</f>
        <v>Telephony</v>
      </c>
      <c r="V46" s="124" t="str">
        <f>IFERROR(__xludf.DUMMYFUNCTION("""COMPUTED_VALUE"""),"Inbound Call")</f>
        <v>Inbound Call</v>
      </c>
      <c r="W46" s="124">
        <f>IFERROR(__xludf.DUMMYFUNCTION("""COMPUTED_VALUE"""),9.18047861634E11)</f>
        <v>918047861634</v>
      </c>
      <c r="X46" s="124" t="str">
        <f>IFERROR(__xludf.DUMMYFUNCTION("""COMPUTED_VALUE"""),"Inbound Call")</f>
        <v>Inbound Call</v>
      </c>
      <c r="Y46" s="124"/>
      <c r="Z46" s="124">
        <f>IFERROR(__xludf.DUMMYFUNCTION("""COMPUTED_VALUE"""),1.0)</f>
        <v>1</v>
      </c>
      <c r="AA46" s="124" t="str">
        <f>IFERROR(__xludf.DUMMYFUNCTION("""COMPUTED_VALUE"""),"Cold")</f>
        <v>Cold</v>
      </c>
      <c r="AB46" s="124"/>
    </row>
    <row r="47">
      <c r="A47" s="129">
        <f>IFERROR(__xludf.DUMMYFUNCTION("""COMPUTED_VALUE"""),46090.0)</f>
        <v>46090</v>
      </c>
      <c r="B47" s="124" t="str">
        <f>IFERROR(__xludf.DUMMYFUNCTION("""COMPUTED_VALUE"""),"Walkin")</f>
        <v>Walkin</v>
      </c>
      <c r="C47" s="124" t="str">
        <f>IFERROR(__xludf.DUMMYFUNCTION("""COMPUTED_VALUE"""),"Delhi")</f>
        <v>Delhi</v>
      </c>
      <c r="D47" s="124" t="str">
        <f>IFERROR(__xludf.DUMMYFUNCTION("""COMPUTED_VALUE"""),"Primary_Walkin")</f>
        <v>Primary_Walkin</v>
      </c>
      <c r="E47" s="127">
        <f>IFERROR(__xludf.DUMMYFUNCTION("""COMPUTED_VALUE"""),2.0)</f>
        <v>2</v>
      </c>
      <c r="F47" s="128" t="str">
        <f>IFERROR(__xludf.DUMMYFUNCTION("""COMPUTED_VALUE"""),"Future Prospects")</f>
        <v>Future Prospects</v>
      </c>
      <c r="G47" s="124" t="str">
        <f>IFERROR(__xludf.DUMMYFUNCTION("""COMPUTED_VALUE"""),"GS Foundation")</f>
        <v>GS Foundation</v>
      </c>
      <c r="K47" s="124"/>
      <c r="L47" s="124"/>
      <c r="M47" s="124"/>
      <c r="N47" s="124"/>
      <c r="O47" s="124"/>
      <c r="T47" s="126">
        <f>IFERROR(__xludf.DUMMYFUNCTION("""COMPUTED_VALUE"""),46112.0)</f>
        <v>46112</v>
      </c>
      <c r="U47" s="124" t="str">
        <f>IFERROR(__xludf.DUMMYFUNCTION("""COMPUTED_VALUE"""),"Telephony")</f>
        <v>Telephony</v>
      </c>
      <c r="V47" s="124" t="str">
        <f>IFERROR(__xludf.DUMMYFUNCTION("""COMPUTED_VALUE"""),"Inbound Call")</f>
        <v>Inbound Call</v>
      </c>
      <c r="W47" s="124">
        <f>IFERROR(__xludf.DUMMYFUNCTION("""COMPUTED_VALUE"""),9.18047861635E11)</f>
        <v>918047861635</v>
      </c>
      <c r="X47" s="124" t="str">
        <f>IFERROR(__xludf.DUMMYFUNCTION("""COMPUTED_VALUE"""),"Inbound Call")</f>
        <v>Inbound Call</v>
      </c>
      <c r="Y47" s="124" t="str">
        <f>IFERROR(__xludf.DUMMYFUNCTION("""COMPUTED_VALUE"""),"Indore")</f>
        <v>Indore</v>
      </c>
      <c r="Z47" s="124">
        <f>IFERROR(__xludf.DUMMYFUNCTION("""COMPUTED_VALUE"""),1.0)</f>
        <v>1</v>
      </c>
      <c r="AA47" s="124" t="str">
        <f>IFERROR(__xludf.DUMMYFUNCTION("""COMPUTED_VALUE"""),"Not Interested")</f>
        <v>Not Interested</v>
      </c>
      <c r="AB47" s="124" t="str">
        <f>IFERROR(__xludf.DUMMYFUNCTION("""COMPUTED_VALUE"""),"Other")</f>
        <v>Other</v>
      </c>
    </row>
    <row r="48">
      <c r="A48" s="126">
        <f>IFERROR(__xludf.DUMMYFUNCTION("""COMPUTED_VALUE"""),46111.0)</f>
        <v>46111</v>
      </c>
      <c r="B48" s="124" t="str">
        <f>IFERROR(__xludf.DUMMYFUNCTION("""COMPUTED_VALUE"""),"Walk-In")</f>
        <v>Walk-In</v>
      </c>
      <c r="C48" s="124" t="str">
        <f>IFERROR(__xludf.DUMMYFUNCTION("""COMPUTED_VALUE"""),"Delhi")</f>
        <v>Delhi</v>
      </c>
      <c r="D48" s="124" t="str">
        <f>IFERROR(__xludf.DUMMYFUNCTION("""COMPUTED_VALUE"""),"Primary_Walkin")</f>
        <v>Primary_Walkin</v>
      </c>
      <c r="E48" s="127">
        <f>IFERROR(__xludf.DUMMYFUNCTION("""COMPUTED_VALUE"""),7.0)</f>
        <v>7</v>
      </c>
      <c r="F48" s="128" t="str">
        <f>IFERROR(__xludf.DUMMYFUNCTION("""COMPUTED_VALUE"""),"Future Prospects")</f>
        <v>Future Prospects</v>
      </c>
      <c r="G48" s="124" t="str">
        <f>IFERROR(__xludf.DUMMYFUNCTION("""COMPUTED_VALUE"""),"Optionals")</f>
        <v>Optionals</v>
      </c>
      <c r="K48" s="124"/>
      <c r="L48" s="124"/>
      <c r="M48" s="124"/>
      <c r="N48" s="124"/>
      <c r="O48" s="124"/>
      <c r="T48" s="126">
        <f>IFERROR(__xludf.DUMMYFUNCTION("""COMPUTED_VALUE"""),46087.0)</f>
        <v>46087</v>
      </c>
      <c r="U48" s="124" t="str">
        <f>IFERROR(__xludf.DUMMYFUNCTION("""COMPUTED_VALUE"""),"Telephony")</f>
        <v>Telephony</v>
      </c>
      <c r="V48" s="124" t="str">
        <f>IFERROR(__xludf.DUMMYFUNCTION("""COMPUTED_VALUE"""),"Inbound Call")</f>
        <v>Inbound Call</v>
      </c>
      <c r="W48" s="124">
        <f>IFERROR(__xludf.DUMMYFUNCTION("""COMPUTED_VALUE"""),9.18047861663E11)</f>
        <v>918047861663</v>
      </c>
      <c r="X48" s="124" t="str">
        <f>IFERROR(__xludf.DUMMYFUNCTION("""COMPUTED_VALUE"""),"Inbound Call")</f>
        <v>Inbound Call</v>
      </c>
      <c r="Y48" s="124" t="str">
        <f>IFERROR(__xludf.DUMMYFUNCTION("""COMPUTED_VALUE"""),"Delhi")</f>
        <v>Delhi</v>
      </c>
      <c r="Z48" s="124">
        <f>IFERROR(__xludf.DUMMYFUNCTION("""COMPUTED_VALUE"""),1.0)</f>
        <v>1</v>
      </c>
      <c r="AA48" s="124" t="str">
        <f>IFERROR(__xludf.DUMMYFUNCTION("""COMPUTED_VALUE"""),"Warm")</f>
        <v>Warm</v>
      </c>
      <c r="AB48" s="124" t="str">
        <f>IFERROR(__xludf.DUMMYFUNCTION("""COMPUTED_VALUE"""),"GS Foundation")</f>
        <v>GS Foundation</v>
      </c>
    </row>
    <row r="49">
      <c r="A49" s="126">
        <f>IFERROR(__xludf.DUMMYFUNCTION("""COMPUTED_VALUE"""),46107.0)</f>
        <v>46107</v>
      </c>
      <c r="B49" s="124" t="str">
        <f>IFERROR(__xludf.DUMMYFUNCTION("""COMPUTED_VALUE"""),"Walk-In")</f>
        <v>Walk-In</v>
      </c>
      <c r="C49" s="124" t="str">
        <f>IFERROR(__xludf.DUMMYFUNCTION("""COMPUTED_VALUE"""),"Delhi")</f>
        <v>Delhi</v>
      </c>
      <c r="D49" s="124" t="str">
        <f>IFERROR(__xludf.DUMMYFUNCTION("""COMPUTED_VALUE"""),"Primary_Walkin")</f>
        <v>Primary_Walkin</v>
      </c>
      <c r="E49" s="127">
        <f>IFERROR(__xludf.DUMMYFUNCTION("""COMPUTED_VALUE"""),1.0)</f>
        <v>1</v>
      </c>
      <c r="F49" s="128" t="str">
        <f>IFERROR(__xludf.DUMMYFUNCTION("""COMPUTED_VALUE"""),"Future Prospects")</f>
        <v>Future Prospects</v>
      </c>
      <c r="G49" s="124" t="str">
        <f>IFERROR(__xludf.DUMMYFUNCTION("""COMPUTED_VALUE"""),"GS Foundation")</f>
        <v>GS Foundation</v>
      </c>
      <c r="K49" s="124"/>
      <c r="L49" s="124"/>
      <c r="M49" s="124"/>
      <c r="N49" s="124"/>
      <c r="O49" s="124"/>
      <c r="T49" s="126">
        <f>IFERROR(__xludf.DUMMYFUNCTION("""COMPUTED_VALUE"""),46080.0)</f>
        <v>46080</v>
      </c>
      <c r="U49" s="124" t="str">
        <f>IFERROR(__xludf.DUMMYFUNCTION("""COMPUTED_VALUE"""),"Telephony")</f>
        <v>Telephony</v>
      </c>
      <c r="V49" s="124" t="str">
        <f>IFERROR(__xludf.DUMMYFUNCTION("""COMPUTED_VALUE"""),"Inbound Call")</f>
        <v>Inbound Call</v>
      </c>
      <c r="W49" s="124">
        <f>IFERROR(__xludf.DUMMYFUNCTION("""COMPUTED_VALUE"""),9.18047861635E11)</f>
        <v>918047861635</v>
      </c>
      <c r="X49" s="124" t="str">
        <f>IFERROR(__xludf.DUMMYFUNCTION("""COMPUTED_VALUE"""),"Inbound Call")</f>
        <v>Inbound Call</v>
      </c>
      <c r="Y49" s="124" t="str">
        <f>IFERROR(__xludf.DUMMYFUNCTION("""COMPUTED_VALUE"""),"Indore")</f>
        <v>Indore</v>
      </c>
      <c r="Z49" s="124">
        <f>IFERROR(__xludf.DUMMYFUNCTION("""COMPUTED_VALUE"""),1.0)</f>
        <v>1</v>
      </c>
      <c r="AA49" s="124" t="str">
        <f>IFERROR(__xludf.DUMMYFUNCTION("""COMPUTED_VALUE"""),"Not Interested")</f>
        <v>Not Interested</v>
      </c>
      <c r="AB49" s="124"/>
    </row>
    <row r="50">
      <c r="A50" s="126">
        <f>IFERROR(__xludf.DUMMYFUNCTION("""COMPUTED_VALUE"""),46100.0)</f>
        <v>46100</v>
      </c>
      <c r="B50" s="124" t="str">
        <f>IFERROR(__xludf.DUMMYFUNCTION("""COMPUTED_VALUE"""),"Walkin")</f>
        <v>Walkin</v>
      </c>
      <c r="C50" s="124" t="str">
        <f>IFERROR(__xludf.DUMMYFUNCTION("""COMPUTED_VALUE"""),"Delhi")</f>
        <v>Delhi</v>
      </c>
      <c r="D50" s="124" t="str">
        <f>IFERROR(__xludf.DUMMYFUNCTION("""COMPUTED_VALUE"""),"Primary_Walkin")</f>
        <v>Primary_Walkin</v>
      </c>
      <c r="E50" s="127">
        <f>IFERROR(__xludf.DUMMYFUNCTION("""COMPUTED_VALUE"""),8.0)</f>
        <v>8</v>
      </c>
      <c r="F50" s="128" t="str">
        <f>IFERROR(__xludf.DUMMYFUNCTION("""COMPUTED_VALUE"""),"Future Prospects")</f>
        <v>Future Prospects</v>
      </c>
      <c r="G50" s="124" t="str">
        <f>IFERROR(__xludf.DUMMYFUNCTION("""COMPUTED_VALUE"""),"GS Foundation")</f>
        <v>GS Foundation</v>
      </c>
      <c r="K50" s="124"/>
      <c r="L50" s="124"/>
      <c r="M50" s="124"/>
      <c r="N50" s="124"/>
      <c r="O50" s="124"/>
      <c r="T50" s="129">
        <f>IFERROR(__xludf.DUMMYFUNCTION("""COMPUTED_VALUE"""),46104.0)</f>
        <v>46104</v>
      </c>
      <c r="U50" s="124" t="str">
        <f>IFERROR(__xludf.DUMMYFUNCTION("""COMPUTED_VALUE"""),"Telephony")</f>
        <v>Telephony</v>
      </c>
      <c r="V50" s="124" t="str">
        <f>IFERROR(__xludf.DUMMYFUNCTION("""COMPUTED_VALUE"""),"Inbound Call")</f>
        <v>Inbound Call</v>
      </c>
      <c r="W50" s="124">
        <f>IFERROR(__xludf.DUMMYFUNCTION("""COMPUTED_VALUE"""),9.18047861633E11)</f>
        <v>918047861633</v>
      </c>
      <c r="X50" s="124" t="str">
        <f>IFERROR(__xludf.DUMMYFUNCTION("""COMPUTED_VALUE"""),"Inbound Call")</f>
        <v>Inbound Call</v>
      </c>
      <c r="Y50" s="124"/>
      <c r="Z50" s="124">
        <f>IFERROR(__xludf.DUMMYFUNCTION("""COMPUTED_VALUE"""),2.0)</f>
        <v>2</v>
      </c>
      <c r="AA50" s="124" t="str">
        <f>IFERROR(__xludf.DUMMYFUNCTION("""COMPUTED_VALUE"""),"Cold")</f>
        <v>Cold</v>
      </c>
      <c r="AB50" s="124"/>
    </row>
    <row r="51">
      <c r="A51" s="126">
        <f>IFERROR(__xludf.DUMMYFUNCTION("""COMPUTED_VALUE"""),46061.0)</f>
        <v>46061</v>
      </c>
      <c r="B51" s="124" t="str">
        <f>IFERROR(__xludf.DUMMYFUNCTION("""COMPUTED_VALUE"""),"Walkin")</f>
        <v>Walkin</v>
      </c>
      <c r="C51" s="124" t="str">
        <f>IFERROR(__xludf.DUMMYFUNCTION("""COMPUTED_VALUE"""),"Delhi")</f>
        <v>Delhi</v>
      </c>
      <c r="D51" s="124" t="str">
        <f>IFERROR(__xludf.DUMMYFUNCTION("""COMPUTED_VALUE"""),"Primary_Walkin")</f>
        <v>Primary_Walkin</v>
      </c>
      <c r="E51" s="127">
        <f>IFERROR(__xludf.DUMMYFUNCTION("""COMPUTED_VALUE"""),2.0)</f>
        <v>2</v>
      </c>
      <c r="F51" s="128" t="str">
        <f>IFERROR(__xludf.DUMMYFUNCTION("""COMPUTED_VALUE"""),"Future Prospects")</f>
        <v>Future Prospects</v>
      </c>
      <c r="G51" s="124" t="str">
        <f>IFERROR(__xludf.DUMMYFUNCTION("""COMPUTED_VALUE"""),"GS Foundation")</f>
        <v>GS Foundation</v>
      </c>
      <c r="K51" s="124"/>
      <c r="L51" s="124"/>
      <c r="M51" s="124"/>
      <c r="N51" s="124"/>
      <c r="O51" s="124"/>
      <c r="T51" s="129">
        <f>IFERROR(__xludf.DUMMYFUNCTION("""COMPUTED_VALUE"""),46088.0)</f>
        <v>46088</v>
      </c>
      <c r="U51" s="124" t="str">
        <f>IFERROR(__xludf.DUMMYFUNCTION("""COMPUTED_VALUE"""),"Telephony")</f>
        <v>Telephony</v>
      </c>
      <c r="V51" s="124" t="str">
        <f>IFERROR(__xludf.DUMMYFUNCTION("""COMPUTED_VALUE"""),"Inbound Call")</f>
        <v>Inbound Call</v>
      </c>
      <c r="W51" s="124" t="str">
        <f>IFERROR(__xludf.DUMMYFUNCTION("""COMPUTED_VALUE"""),"Inbound Call")</f>
        <v>Inbound Call</v>
      </c>
      <c r="X51" s="124" t="str">
        <f>IFERROR(__xludf.DUMMYFUNCTION("""COMPUTED_VALUE"""),"Inbound Call")</f>
        <v>Inbound Call</v>
      </c>
      <c r="Y51" s="124"/>
      <c r="Z51" s="124">
        <f>IFERROR(__xludf.DUMMYFUNCTION("""COMPUTED_VALUE"""),3.0)</f>
        <v>3</v>
      </c>
      <c r="AA51" s="124" t="str">
        <f>IFERROR(__xludf.DUMMYFUNCTION("""COMPUTED_VALUE"""),"Cold")</f>
        <v>Cold</v>
      </c>
      <c r="AB51" s="124"/>
    </row>
    <row r="52">
      <c r="A52" s="126">
        <f>IFERROR(__xludf.DUMMYFUNCTION("""COMPUTED_VALUE"""),46073.0)</f>
        <v>46073</v>
      </c>
      <c r="B52" s="124" t="str">
        <f>IFERROR(__xludf.DUMMYFUNCTION("""COMPUTED_VALUE"""),"Walkin")</f>
        <v>Walkin</v>
      </c>
      <c r="C52" s="124" t="str">
        <f>IFERROR(__xludf.DUMMYFUNCTION("""COMPUTED_VALUE"""),"Delhi")</f>
        <v>Delhi</v>
      </c>
      <c r="D52" s="124" t="str">
        <f>IFERROR(__xludf.DUMMYFUNCTION("""COMPUTED_VALUE"""),"Primary_Walkin")</f>
        <v>Primary_Walkin</v>
      </c>
      <c r="E52" s="127">
        <f>IFERROR(__xludf.DUMMYFUNCTION("""COMPUTED_VALUE"""),2.0)</f>
        <v>2</v>
      </c>
      <c r="F52" s="128" t="str">
        <f>IFERROR(__xludf.DUMMYFUNCTION("""COMPUTED_VALUE"""),"Cold")</f>
        <v>Cold</v>
      </c>
      <c r="G52" s="124" t="str">
        <f>IFERROR(__xludf.DUMMYFUNCTION("""COMPUTED_VALUE"""),"GS Foundation")</f>
        <v>GS Foundation</v>
      </c>
      <c r="K52" s="124"/>
      <c r="L52" s="124"/>
      <c r="M52" s="124"/>
      <c r="N52" s="124"/>
      <c r="O52" s="124"/>
      <c r="T52" s="126">
        <f>IFERROR(__xludf.DUMMYFUNCTION("""COMPUTED_VALUE"""),46075.0)</f>
        <v>46075</v>
      </c>
      <c r="U52" s="124" t="str">
        <f>IFERROR(__xludf.DUMMYFUNCTION("""COMPUTED_VALUE"""),"Telephony")</f>
        <v>Telephony</v>
      </c>
      <c r="V52" s="124" t="str">
        <f>IFERROR(__xludf.DUMMYFUNCTION("""COMPUTED_VALUE"""),"Inbound Call")</f>
        <v>Inbound Call</v>
      </c>
      <c r="W52" s="124">
        <f>IFERROR(__xludf.DUMMYFUNCTION("""COMPUTED_VALUE"""),9.18047861632E11)</f>
        <v>918047861632</v>
      </c>
      <c r="X52" s="124" t="str">
        <f>IFERROR(__xludf.DUMMYFUNCTION("""COMPUTED_VALUE"""),"Inbound Call")</f>
        <v>Inbound Call</v>
      </c>
      <c r="Y52" s="124"/>
      <c r="Z52" s="124">
        <f>IFERROR(__xludf.DUMMYFUNCTION("""COMPUTED_VALUE"""),3.0)</f>
        <v>3</v>
      </c>
      <c r="AA52" s="124" t="str">
        <f>IFERROR(__xludf.DUMMYFUNCTION("""COMPUTED_VALUE"""),"Cold")</f>
        <v>Cold</v>
      </c>
      <c r="AB52" s="124" t="str">
        <f>IFERROR(__xludf.DUMMYFUNCTION("""COMPUTED_VALUE"""),"IGP UPPSC")</f>
        <v>IGP UPPSC</v>
      </c>
    </row>
    <row r="53">
      <c r="A53" s="126">
        <f>IFERROR(__xludf.DUMMYFUNCTION("""COMPUTED_VALUE"""),46061.0)</f>
        <v>46061</v>
      </c>
      <c r="B53" s="124" t="str">
        <f>IFERROR(__xludf.DUMMYFUNCTION("""COMPUTED_VALUE"""),"Walkin")</f>
        <v>Walkin</v>
      </c>
      <c r="C53" s="124" t="str">
        <f>IFERROR(__xludf.DUMMYFUNCTION("""COMPUTED_VALUE"""),"Delhi")</f>
        <v>Delhi</v>
      </c>
      <c r="D53" s="124" t="str">
        <f>IFERROR(__xludf.DUMMYFUNCTION("""COMPUTED_VALUE"""),"Primary_Walkin")</f>
        <v>Primary_Walkin</v>
      </c>
      <c r="E53" s="127">
        <f>IFERROR(__xludf.DUMMYFUNCTION("""COMPUTED_VALUE"""),4.0)</f>
        <v>4</v>
      </c>
      <c r="F53" s="128" t="str">
        <f>IFERROR(__xludf.DUMMYFUNCTION("""COMPUTED_VALUE"""),"Cold")</f>
        <v>Cold</v>
      </c>
      <c r="G53" s="124" t="str">
        <f>IFERROR(__xludf.DUMMYFUNCTION("""COMPUTED_VALUE"""),"GS Foundation")</f>
        <v>GS Foundation</v>
      </c>
      <c r="K53" s="124"/>
      <c r="L53" s="124"/>
      <c r="M53" s="124"/>
      <c r="N53" s="124"/>
      <c r="O53" s="124"/>
      <c r="T53" s="126">
        <f>IFERROR(__xludf.DUMMYFUNCTION("""COMPUTED_VALUE"""),46104.0)</f>
        <v>46104</v>
      </c>
      <c r="U53" s="124" t="str">
        <f>IFERROR(__xludf.DUMMYFUNCTION("""COMPUTED_VALUE"""),"Telephony")</f>
        <v>Telephony</v>
      </c>
      <c r="V53" s="124" t="str">
        <f>IFERROR(__xludf.DUMMYFUNCTION("""COMPUTED_VALUE"""),"Inbound Call")</f>
        <v>Inbound Call</v>
      </c>
      <c r="W53" s="124">
        <f>IFERROR(__xludf.DUMMYFUNCTION("""COMPUTED_VALUE"""),9.18047861635E11)</f>
        <v>918047861635</v>
      </c>
      <c r="X53" s="124" t="str">
        <f>IFERROR(__xludf.DUMMYFUNCTION("""COMPUTED_VALUE"""),"Inbound Call")</f>
        <v>Inbound Call</v>
      </c>
      <c r="Y53" s="124"/>
      <c r="Z53" s="124">
        <f>IFERROR(__xludf.DUMMYFUNCTION("""COMPUTED_VALUE"""),2.0)</f>
        <v>2</v>
      </c>
      <c r="AA53" s="124" t="str">
        <f>IFERROR(__xludf.DUMMYFUNCTION("""COMPUTED_VALUE"""),"Cold")</f>
        <v>Cold</v>
      </c>
      <c r="AB53" s="124"/>
    </row>
    <row r="54">
      <c r="A54" s="126">
        <f>IFERROR(__xludf.DUMMYFUNCTION("""COMPUTED_VALUE"""),46056.0)</f>
        <v>46056</v>
      </c>
      <c r="B54" s="124" t="str">
        <f>IFERROR(__xludf.DUMMYFUNCTION("""COMPUTED_VALUE"""),"Walkin")</f>
        <v>Walkin</v>
      </c>
      <c r="C54" s="124" t="str">
        <f>IFERROR(__xludf.DUMMYFUNCTION("""COMPUTED_VALUE"""),"Delhi")</f>
        <v>Delhi</v>
      </c>
      <c r="D54" s="124" t="str">
        <f>IFERROR(__xludf.DUMMYFUNCTION("""COMPUTED_VALUE"""),"Primary_Walkin")</f>
        <v>Primary_Walkin</v>
      </c>
      <c r="E54" s="127">
        <f>IFERROR(__xludf.DUMMYFUNCTION("""COMPUTED_VALUE"""),3.0)</f>
        <v>3</v>
      </c>
      <c r="F54" s="128" t="str">
        <f>IFERROR(__xludf.DUMMYFUNCTION("""COMPUTED_VALUE"""),"Enrolled")</f>
        <v>Enrolled</v>
      </c>
      <c r="G54" s="124" t="str">
        <f>IFERROR(__xludf.DUMMYFUNCTION("""COMPUTED_VALUE"""),"GS Foundation")</f>
        <v>GS Foundation</v>
      </c>
      <c r="K54" s="124"/>
      <c r="L54" s="124"/>
      <c r="M54" s="124"/>
      <c r="N54" s="124"/>
      <c r="O54" s="124"/>
      <c r="T54" s="126">
        <f>IFERROR(__xludf.DUMMYFUNCTION("""COMPUTED_VALUE"""),46075.0)</f>
        <v>46075</v>
      </c>
      <c r="U54" s="124" t="str">
        <f>IFERROR(__xludf.DUMMYFUNCTION("""COMPUTED_VALUE"""),"Telephony")</f>
        <v>Telephony</v>
      </c>
      <c r="V54" s="124" t="str">
        <f>IFERROR(__xludf.DUMMYFUNCTION("""COMPUTED_VALUE"""),"Inbound Call")</f>
        <v>Inbound Call</v>
      </c>
      <c r="W54" s="124">
        <f>IFERROR(__xludf.DUMMYFUNCTION("""COMPUTED_VALUE"""),9.18047861631E11)</f>
        <v>918047861631</v>
      </c>
      <c r="X54" s="124" t="str">
        <f>IFERROR(__xludf.DUMMYFUNCTION("""COMPUTED_VALUE"""),"Inbound Call")</f>
        <v>Inbound Call</v>
      </c>
      <c r="Y54" s="124"/>
      <c r="Z54" s="124">
        <f>IFERROR(__xludf.DUMMYFUNCTION("""COMPUTED_VALUE"""),4.0)</f>
        <v>4</v>
      </c>
      <c r="AA54" s="124" t="str">
        <f>IFERROR(__xludf.DUMMYFUNCTION("""COMPUTED_VALUE"""),"Fake Lead")</f>
        <v>Fake Lead</v>
      </c>
      <c r="AB54" s="124"/>
    </row>
    <row r="55">
      <c r="A55" s="129">
        <f>IFERROR(__xludf.DUMMYFUNCTION("""COMPUTED_VALUE"""),46063.0)</f>
        <v>46063</v>
      </c>
      <c r="B55" s="124" t="str">
        <f>IFERROR(__xludf.DUMMYFUNCTION("""COMPUTED_VALUE"""),"Walkin")</f>
        <v>Walkin</v>
      </c>
      <c r="C55" s="124" t="str">
        <f>IFERROR(__xludf.DUMMYFUNCTION("""COMPUTED_VALUE"""),"Delhi")</f>
        <v>Delhi</v>
      </c>
      <c r="D55" s="124" t="str">
        <f>IFERROR(__xludf.DUMMYFUNCTION("""COMPUTED_VALUE"""),"Primary_Walkin")</f>
        <v>Primary_Walkin</v>
      </c>
      <c r="E55" s="127">
        <f>IFERROR(__xludf.DUMMYFUNCTION("""COMPUTED_VALUE"""),2.0)</f>
        <v>2</v>
      </c>
      <c r="F55" s="128" t="str">
        <f>IFERROR(__xludf.DUMMYFUNCTION("""COMPUTED_VALUE"""),"Not Interested")</f>
        <v>Not Interested</v>
      </c>
      <c r="G55" s="124" t="str">
        <f>IFERROR(__xludf.DUMMYFUNCTION("""COMPUTED_VALUE"""),"SIP Offline")</f>
        <v>SIP Offline</v>
      </c>
      <c r="K55" s="124"/>
      <c r="L55" s="124"/>
      <c r="M55" s="124"/>
      <c r="N55" s="124"/>
      <c r="O55" s="124"/>
      <c r="T55" s="126">
        <f>IFERROR(__xludf.DUMMYFUNCTION("""COMPUTED_VALUE"""),46089.0)</f>
        <v>46089</v>
      </c>
      <c r="U55" s="124" t="str">
        <f>IFERROR(__xludf.DUMMYFUNCTION("""COMPUTED_VALUE"""),"External Leads")</f>
        <v>External Leads</v>
      </c>
      <c r="V55" s="124" t="str">
        <f>IFERROR(__xludf.DUMMYFUNCTION("""COMPUTED_VALUE"""),"ExternalLeads")</f>
        <v>ExternalLeads</v>
      </c>
      <c r="W55" s="124" t="str">
        <f>IFERROR(__xludf.DUMMYFUNCTION("""COMPUTED_VALUE"""),"Prayagraj")</f>
        <v>Prayagraj</v>
      </c>
      <c r="X55" s="124" t="str">
        <f>IFERROR(__xludf.DUMMYFUNCTION("""COMPUTED_VALUE"""),"BTLPoster")</f>
        <v>BTLPoster</v>
      </c>
      <c r="Y55" s="124" t="str">
        <f>IFERROR(__xludf.DUMMYFUNCTION("""COMPUTED_VALUE"""),"Prayagraj")</f>
        <v>Prayagraj</v>
      </c>
      <c r="Z55" s="124">
        <f>IFERROR(__xludf.DUMMYFUNCTION("""COMPUTED_VALUE"""),1.0)</f>
        <v>1</v>
      </c>
      <c r="AA55" s="124" t="str">
        <f>IFERROR(__xludf.DUMMYFUNCTION("""COMPUTED_VALUE"""),"Enrolled")</f>
        <v>Enrolled</v>
      </c>
      <c r="AB55" s="124" t="str">
        <f>IFERROR(__xludf.DUMMYFUNCTION("""COMPUTED_VALUE"""),"GS Foundation")</f>
        <v>GS Foundation</v>
      </c>
    </row>
    <row r="56">
      <c r="A56" s="129">
        <f>IFERROR(__xludf.DUMMYFUNCTION("""COMPUTED_VALUE"""),46077.0)</f>
        <v>46077</v>
      </c>
      <c r="B56" s="124" t="str">
        <f>IFERROR(__xludf.DUMMYFUNCTION("""COMPUTED_VALUE"""),"Walkin")</f>
        <v>Walkin</v>
      </c>
      <c r="C56" s="124" t="str">
        <f>IFERROR(__xludf.DUMMYFUNCTION("""COMPUTED_VALUE"""),"Delhi")</f>
        <v>Delhi</v>
      </c>
      <c r="D56" s="124" t="str">
        <f>IFERROR(__xludf.DUMMYFUNCTION("""COMPUTED_VALUE"""),"Primary_Walkin")</f>
        <v>Primary_Walkin</v>
      </c>
      <c r="E56" s="127">
        <f>IFERROR(__xludf.DUMMYFUNCTION("""COMPUTED_VALUE"""),5.0)</f>
        <v>5</v>
      </c>
      <c r="F56" s="128" t="str">
        <f>IFERROR(__xludf.DUMMYFUNCTION("""COMPUTED_VALUE"""),"Not Interested")</f>
        <v>Not Interested</v>
      </c>
      <c r="G56" s="124" t="str">
        <f>IFERROR(__xludf.DUMMYFUNCTION("""COMPUTED_VALUE"""),"GS Foundation")</f>
        <v>GS Foundation</v>
      </c>
      <c r="K56" s="124"/>
      <c r="L56" s="124"/>
      <c r="M56" s="124"/>
      <c r="N56" s="124"/>
      <c r="O56" s="124"/>
      <c r="T56" s="126">
        <f>IFERROR(__xludf.DUMMYFUNCTION("""COMPUTED_VALUE"""),46054.0)</f>
        <v>46054</v>
      </c>
      <c r="U56" s="124" t="str">
        <f>IFERROR(__xludf.DUMMYFUNCTION("""COMPUTED_VALUE"""),"Telephony")</f>
        <v>Telephony</v>
      </c>
      <c r="V56" s="124" t="str">
        <f>IFERROR(__xludf.DUMMYFUNCTION("""COMPUTED_VALUE"""),"Inbound Call")</f>
        <v>Inbound Call</v>
      </c>
      <c r="W56" s="124" t="str">
        <f>IFERROR(__xludf.DUMMYFUNCTION("""COMPUTED_VALUE"""),"Inbound Call")</f>
        <v>Inbound Call</v>
      </c>
      <c r="X56" s="124" t="str">
        <f>IFERROR(__xludf.DUMMYFUNCTION("""COMPUTED_VALUE"""),"Inbound Call")</f>
        <v>Inbound Call</v>
      </c>
      <c r="Y56" s="124"/>
      <c r="Z56" s="124">
        <f>IFERROR(__xludf.DUMMYFUNCTION("""COMPUTED_VALUE"""),1.0)</f>
        <v>1</v>
      </c>
      <c r="AA56" s="124" t="str">
        <f>IFERROR(__xludf.DUMMYFUNCTION("""COMPUTED_VALUE"""),"Fake Lead")</f>
        <v>Fake Lead</v>
      </c>
      <c r="AB56" s="124"/>
    </row>
    <row r="57">
      <c r="A57" s="126">
        <f>IFERROR(__xludf.DUMMYFUNCTION("""COMPUTED_VALUE"""),46109.0)</f>
        <v>46109</v>
      </c>
      <c r="B57" s="124" t="str">
        <f>IFERROR(__xludf.DUMMYFUNCTION("""COMPUTED_VALUE"""),"Walk-In")</f>
        <v>Walk-In</v>
      </c>
      <c r="C57" s="124" t="str">
        <f>IFERROR(__xludf.DUMMYFUNCTION("""COMPUTED_VALUE"""),"Delhi")</f>
        <v>Delhi</v>
      </c>
      <c r="D57" s="124" t="str">
        <f>IFERROR(__xludf.DUMMYFUNCTION("""COMPUTED_VALUE"""),"Primary_Walkin")</f>
        <v>Primary_Walkin</v>
      </c>
      <c r="E57" s="127">
        <f>IFERROR(__xludf.DUMMYFUNCTION("""COMPUTED_VALUE"""),1.0)</f>
        <v>1</v>
      </c>
      <c r="F57" s="128" t="str">
        <f>IFERROR(__xludf.DUMMYFUNCTION("""COMPUTED_VALUE"""),"Future Prospects")</f>
        <v>Future Prospects</v>
      </c>
      <c r="G57" s="124" t="str">
        <f>IFERROR(__xludf.DUMMYFUNCTION("""COMPUTED_VALUE"""),"GS Foundation")</f>
        <v>GS Foundation</v>
      </c>
      <c r="K57" s="124"/>
      <c r="L57" s="124"/>
      <c r="M57" s="124"/>
      <c r="N57" s="124"/>
      <c r="O57" s="124"/>
      <c r="T57" s="126">
        <f>IFERROR(__xludf.DUMMYFUNCTION("""COMPUTED_VALUE"""),46100.0)</f>
        <v>46100</v>
      </c>
      <c r="U57" s="124" t="str">
        <f>IFERROR(__xludf.DUMMYFUNCTION("""COMPUTED_VALUE"""),"Telephony")</f>
        <v>Telephony</v>
      </c>
      <c r="V57" s="124" t="str">
        <f>IFERROR(__xludf.DUMMYFUNCTION("""COMPUTED_VALUE"""),"Inbound Call")</f>
        <v>Inbound Call</v>
      </c>
      <c r="W57" s="124" t="str">
        <f>IFERROR(__xludf.DUMMYFUNCTION("""COMPUTED_VALUE"""),"Inbound Call")</f>
        <v>Inbound Call</v>
      </c>
      <c r="X57" s="124" t="str">
        <f>IFERROR(__xludf.DUMMYFUNCTION("""COMPUTED_VALUE"""),"Inbound Call")</f>
        <v>Inbound Call</v>
      </c>
      <c r="Y57" s="124" t="str">
        <f>IFERROR(__xludf.DUMMYFUNCTION("""COMPUTED_VALUE"""),"Indore")</f>
        <v>Indore</v>
      </c>
      <c r="Z57" s="124">
        <f>IFERROR(__xludf.DUMMYFUNCTION("""COMPUTED_VALUE"""),1.0)</f>
        <v>1</v>
      </c>
      <c r="AA57" s="124" t="str">
        <f>IFERROR(__xludf.DUMMYFUNCTION("""COMPUTED_VALUE"""),"Cold")</f>
        <v>Cold</v>
      </c>
      <c r="AB57" s="124" t="str">
        <f>IFERROR(__xludf.DUMMYFUNCTION("""COMPUTED_VALUE"""),"GS Foundation")</f>
        <v>GS Foundation</v>
      </c>
    </row>
    <row r="58">
      <c r="A58" s="126">
        <f>IFERROR(__xludf.DUMMYFUNCTION("""COMPUTED_VALUE"""),46058.0)</f>
        <v>46058</v>
      </c>
      <c r="B58" s="124" t="str">
        <f>IFERROR(__xludf.DUMMYFUNCTION("""COMPUTED_VALUE"""),"external leads")</f>
        <v>external leads</v>
      </c>
      <c r="C58" s="124" t="str">
        <f>IFERROR(__xludf.DUMMYFUNCTION("""COMPUTED_VALUE"""),"Delhi")</f>
        <v>Delhi</v>
      </c>
      <c r="D58" s="124" t="str">
        <f>IFERROR(__xludf.DUMMYFUNCTION("""COMPUTED_VALUE"""),"Secondary_Walkin")</f>
        <v>Secondary_Walkin</v>
      </c>
      <c r="E58" s="127">
        <f>IFERROR(__xludf.DUMMYFUNCTION("""COMPUTED_VALUE"""),1.0)</f>
        <v>1</v>
      </c>
      <c r="F58" s="128" t="str">
        <f>IFERROR(__xludf.DUMMYFUNCTION("""COMPUTED_VALUE"""),"Cold")</f>
        <v>Cold</v>
      </c>
      <c r="G58" s="124" t="str">
        <f>IFERROR(__xludf.DUMMYFUNCTION("""COMPUTED_VALUE"""),"GS Foundation")</f>
        <v>GS Foundation</v>
      </c>
      <c r="K58" s="124"/>
      <c r="L58" s="124"/>
      <c r="M58" s="124"/>
      <c r="N58" s="124"/>
      <c r="O58" s="124"/>
      <c r="T58" s="126">
        <f>IFERROR(__xludf.DUMMYFUNCTION("""COMPUTED_VALUE"""),46096.0)</f>
        <v>46096</v>
      </c>
      <c r="U58" s="124" t="str">
        <f>IFERROR(__xludf.DUMMYFUNCTION("""COMPUTED_VALUE"""),"Telephony")</f>
        <v>Telephony</v>
      </c>
      <c r="V58" s="124" t="str">
        <f>IFERROR(__xludf.DUMMYFUNCTION("""COMPUTED_VALUE"""),"Inbound Call")</f>
        <v>Inbound Call</v>
      </c>
      <c r="W58" s="124">
        <f>IFERROR(__xludf.DUMMYFUNCTION("""COMPUTED_VALUE"""),9.18047861632E11)</f>
        <v>918047861632</v>
      </c>
      <c r="X58" s="124" t="str">
        <f>IFERROR(__xludf.DUMMYFUNCTION("""COMPUTED_VALUE"""),"Inbound Call")</f>
        <v>Inbound Call</v>
      </c>
      <c r="Y58" s="124"/>
      <c r="Z58" s="124">
        <f>IFERROR(__xludf.DUMMYFUNCTION("""COMPUTED_VALUE"""),1.0)</f>
        <v>1</v>
      </c>
      <c r="AA58" s="124" t="str">
        <f>IFERROR(__xludf.DUMMYFUNCTION("""COMPUTED_VALUE"""),"Cold")</f>
        <v>Cold</v>
      </c>
      <c r="AB58" s="124"/>
    </row>
    <row r="59">
      <c r="A59" s="129">
        <f>IFERROR(__xludf.DUMMYFUNCTION("""COMPUTED_VALUE"""),46061.0)</f>
        <v>46061</v>
      </c>
      <c r="B59" s="124" t="str">
        <f>IFERROR(__xludf.DUMMYFUNCTION("""COMPUTED_VALUE"""),"Walk-In")</f>
        <v>Walk-In</v>
      </c>
      <c r="C59" s="124" t="str">
        <f>IFERROR(__xludf.DUMMYFUNCTION("""COMPUTED_VALUE"""),"Delhi")</f>
        <v>Delhi</v>
      </c>
      <c r="D59" s="124" t="str">
        <f>IFERROR(__xludf.DUMMYFUNCTION("""COMPUTED_VALUE"""),"Primary_Walkin")</f>
        <v>Primary_Walkin</v>
      </c>
      <c r="E59" s="127">
        <f>IFERROR(__xludf.DUMMYFUNCTION("""COMPUTED_VALUE"""),1.0)</f>
        <v>1</v>
      </c>
      <c r="F59" s="128" t="str">
        <f>IFERROR(__xludf.DUMMYFUNCTION("""COMPUTED_VALUE"""),"Cold")</f>
        <v>Cold</v>
      </c>
      <c r="G59" s="124" t="str">
        <f>IFERROR(__xludf.DUMMYFUNCTION("""COMPUTED_VALUE"""),"GS Foundation")</f>
        <v>GS Foundation</v>
      </c>
      <c r="K59" s="124"/>
      <c r="L59" s="124"/>
      <c r="M59" s="124"/>
      <c r="N59" s="124"/>
      <c r="O59" s="124"/>
      <c r="T59" s="126">
        <f>IFERROR(__xludf.DUMMYFUNCTION("""COMPUTED_VALUE"""),46059.0)</f>
        <v>46059</v>
      </c>
      <c r="U59" s="124" t="str">
        <f>IFERROR(__xludf.DUMMYFUNCTION("""COMPUTED_VALUE"""),"Telephony")</f>
        <v>Telephony</v>
      </c>
      <c r="V59" s="124" t="str">
        <f>IFERROR(__xludf.DUMMYFUNCTION("""COMPUTED_VALUE"""),"Inbound Call")</f>
        <v>Inbound Call</v>
      </c>
      <c r="W59" s="124" t="str">
        <f>IFERROR(__xludf.DUMMYFUNCTION("""COMPUTED_VALUE"""),"Inbound Call")</f>
        <v>Inbound Call</v>
      </c>
      <c r="X59" s="124" t="str">
        <f>IFERROR(__xludf.DUMMYFUNCTION("""COMPUTED_VALUE"""),"Inbound Call")</f>
        <v>Inbound Call</v>
      </c>
      <c r="Y59" s="124"/>
      <c r="Z59" s="124">
        <f>IFERROR(__xludf.DUMMYFUNCTION("""COMPUTED_VALUE"""),3.0)</f>
        <v>3</v>
      </c>
      <c r="AA59" s="124" t="str">
        <f>IFERROR(__xludf.DUMMYFUNCTION("""COMPUTED_VALUE"""),"Fake Lead")</f>
        <v>Fake Lead</v>
      </c>
      <c r="AB59" s="124"/>
    </row>
    <row r="60">
      <c r="A60" s="126">
        <f>IFERROR(__xludf.DUMMYFUNCTION("""COMPUTED_VALUE"""),46071.0)</f>
        <v>46071</v>
      </c>
      <c r="B60" s="124" t="str">
        <f>IFERROR(__xludf.DUMMYFUNCTION("""COMPUTED_VALUE"""),"external leads")</f>
        <v>external leads</v>
      </c>
      <c r="C60" s="124" t="str">
        <f>IFERROR(__xludf.DUMMYFUNCTION("""COMPUTED_VALUE"""),"Delhi")</f>
        <v>Delhi</v>
      </c>
      <c r="D60" s="124" t="str">
        <f>IFERROR(__xludf.DUMMYFUNCTION("""COMPUTED_VALUE"""),"Secondary_Walkin")</f>
        <v>Secondary_Walkin</v>
      </c>
      <c r="E60" s="127">
        <f>IFERROR(__xludf.DUMMYFUNCTION("""COMPUTED_VALUE"""),1.0)</f>
        <v>1</v>
      </c>
      <c r="F60" s="128" t="str">
        <f>IFERROR(__xludf.DUMMYFUNCTION("""COMPUTED_VALUE"""),"Enrolled")</f>
        <v>Enrolled</v>
      </c>
      <c r="G60" s="124" t="str">
        <f>IFERROR(__xludf.DUMMYFUNCTION("""COMPUTED_VALUE"""),"GS Foundation")</f>
        <v>GS Foundation</v>
      </c>
      <c r="K60" s="124"/>
      <c r="L60" s="124"/>
      <c r="M60" s="124"/>
      <c r="N60" s="124"/>
      <c r="O60" s="124"/>
      <c r="T60" s="126">
        <f>IFERROR(__xludf.DUMMYFUNCTION("""COMPUTED_VALUE"""),46085.0)</f>
        <v>46085</v>
      </c>
      <c r="U60" s="124" t="str">
        <f>IFERROR(__xludf.DUMMYFUNCTION("""COMPUTED_VALUE"""),"Telephony")</f>
        <v>Telephony</v>
      </c>
      <c r="V60" s="124" t="str">
        <f>IFERROR(__xludf.DUMMYFUNCTION("""COMPUTED_VALUE"""),"Inbound Call")</f>
        <v>Inbound Call</v>
      </c>
      <c r="W60" s="124">
        <f>IFERROR(__xludf.DUMMYFUNCTION("""COMPUTED_VALUE"""),9.18047861631E11)</f>
        <v>918047861631</v>
      </c>
      <c r="X60" s="124" t="str">
        <f>IFERROR(__xludf.DUMMYFUNCTION("""COMPUTED_VALUE"""),"Inbound Call")</f>
        <v>Inbound Call</v>
      </c>
      <c r="Y60" s="124"/>
      <c r="Z60" s="124">
        <f>IFERROR(__xludf.DUMMYFUNCTION("""COMPUTED_VALUE"""),1.0)</f>
        <v>1</v>
      </c>
      <c r="AA60" s="124" t="str">
        <f>IFERROR(__xludf.DUMMYFUNCTION("""COMPUTED_VALUE"""),"Cold")</f>
        <v>Cold</v>
      </c>
      <c r="AB60" s="124"/>
    </row>
    <row r="61">
      <c r="A61" s="126">
        <f>IFERROR(__xludf.DUMMYFUNCTION("""COMPUTED_VALUE"""),46094.0)</f>
        <v>46094</v>
      </c>
      <c r="B61" s="124" t="str">
        <f>IFERROR(__xludf.DUMMYFUNCTION("""COMPUTED_VALUE"""),"Walkin")</f>
        <v>Walkin</v>
      </c>
      <c r="C61" s="124" t="str">
        <f>IFERROR(__xludf.DUMMYFUNCTION("""COMPUTED_VALUE"""),"Delhi")</f>
        <v>Delhi</v>
      </c>
      <c r="D61" s="124" t="str">
        <f>IFERROR(__xludf.DUMMYFUNCTION("""COMPUTED_VALUE"""),"Primary_Walkin")</f>
        <v>Primary_Walkin</v>
      </c>
      <c r="E61" s="127">
        <f>IFERROR(__xludf.DUMMYFUNCTION("""COMPUTED_VALUE"""),14.0)</f>
        <v>14</v>
      </c>
      <c r="F61" s="128" t="str">
        <f>IFERROR(__xludf.DUMMYFUNCTION("""COMPUTED_VALUE"""),"Not Interested")</f>
        <v>Not Interested</v>
      </c>
      <c r="G61" s="124" t="str">
        <f>IFERROR(__xludf.DUMMYFUNCTION("""COMPUTED_VALUE"""),"GS Foundation")</f>
        <v>GS Foundation</v>
      </c>
      <c r="K61" s="124"/>
      <c r="L61" s="124"/>
      <c r="M61" s="124"/>
      <c r="N61" s="124"/>
      <c r="O61" s="124"/>
      <c r="T61" s="126">
        <f>IFERROR(__xludf.DUMMYFUNCTION("""COMPUTED_VALUE"""),46081.0)</f>
        <v>46081</v>
      </c>
      <c r="U61" s="124" t="str">
        <f>IFERROR(__xludf.DUMMYFUNCTION("""COMPUTED_VALUE"""),"Telephony")</f>
        <v>Telephony</v>
      </c>
      <c r="V61" s="124" t="str">
        <f>IFERROR(__xludf.DUMMYFUNCTION("""COMPUTED_VALUE"""),"Inbound Call")</f>
        <v>Inbound Call</v>
      </c>
      <c r="W61" s="124" t="str">
        <f>IFERROR(__xludf.DUMMYFUNCTION("""COMPUTED_VALUE"""),"Inbound Call")</f>
        <v>Inbound Call</v>
      </c>
      <c r="X61" s="124" t="str">
        <f>IFERROR(__xludf.DUMMYFUNCTION("""COMPUTED_VALUE"""),"Inbound Call")</f>
        <v>Inbound Call</v>
      </c>
      <c r="Y61" s="124" t="str">
        <f>IFERROR(__xludf.DUMMYFUNCTION("""COMPUTED_VALUE"""),"Prayagraj")</f>
        <v>Prayagraj</v>
      </c>
      <c r="Z61" s="124">
        <f>IFERROR(__xludf.DUMMYFUNCTION("""COMPUTED_VALUE"""),1.0)</f>
        <v>1</v>
      </c>
      <c r="AA61" s="124" t="str">
        <f>IFERROR(__xludf.DUMMYFUNCTION("""COMPUTED_VALUE"""),"Enrolled")</f>
        <v>Enrolled</v>
      </c>
      <c r="AB61" s="124" t="str">
        <f>IFERROR(__xludf.DUMMYFUNCTION("""COMPUTED_VALUE"""),"GS Foundation")</f>
        <v>GS Foundation</v>
      </c>
    </row>
    <row r="62">
      <c r="A62" s="126">
        <f>IFERROR(__xludf.DUMMYFUNCTION("""COMPUTED_VALUE"""),46047.0)</f>
        <v>46047</v>
      </c>
      <c r="B62" s="124" t="str">
        <f>IFERROR(__xludf.DUMMYFUNCTION("""COMPUTED_VALUE"""),"Walkin")</f>
        <v>Walkin</v>
      </c>
      <c r="C62" s="124" t="str">
        <f>IFERROR(__xludf.DUMMYFUNCTION("""COMPUTED_VALUE"""),"Delhi")</f>
        <v>Delhi</v>
      </c>
      <c r="D62" s="124" t="str">
        <f>IFERROR(__xludf.DUMMYFUNCTION("""COMPUTED_VALUE"""),"Primary_Walkin")</f>
        <v>Primary_Walkin</v>
      </c>
      <c r="E62" s="127">
        <f>IFERROR(__xludf.DUMMYFUNCTION("""COMPUTED_VALUE"""),2.0)</f>
        <v>2</v>
      </c>
      <c r="F62" s="128" t="str">
        <f>IFERROR(__xludf.DUMMYFUNCTION("""COMPUTED_VALUE"""),"Future Prospects")</f>
        <v>Future Prospects</v>
      </c>
      <c r="G62" s="124" t="str">
        <f>IFERROR(__xludf.DUMMYFUNCTION("""COMPUTED_VALUE"""),"GS Foundation")</f>
        <v>GS Foundation</v>
      </c>
      <c r="K62" s="124"/>
      <c r="L62" s="124"/>
      <c r="M62" s="124"/>
      <c r="N62" s="124"/>
      <c r="O62" s="124"/>
      <c r="T62" s="126">
        <f>IFERROR(__xludf.DUMMYFUNCTION("""COMPUTED_VALUE"""),46072.0)</f>
        <v>46072</v>
      </c>
      <c r="U62" s="124" t="str">
        <f>IFERROR(__xludf.DUMMYFUNCTION("""COMPUTED_VALUE"""),"Telephony")</f>
        <v>Telephony</v>
      </c>
      <c r="V62" s="124" t="str">
        <f>IFERROR(__xludf.DUMMYFUNCTION("""COMPUTED_VALUE"""),"Inbound Call")</f>
        <v>Inbound Call</v>
      </c>
      <c r="W62" s="124">
        <f>IFERROR(__xludf.DUMMYFUNCTION("""COMPUTED_VALUE"""),9.18047861631E11)</f>
        <v>918047861631</v>
      </c>
      <c r="X62" s="124" t="str">
        <f>IFERROR(__xludf.DUMMYFUNCTION("""COMPUTED_VALUE"""),"Inbound Call")</f>
        <v>Inbound Call</v>
      </c>
      <c r="Y62" s="124"/>
      <c r="Z62" s="124">
        <f>IFERROR(__xludf.DUMMYFUNCTION("""COMPUTED_VALUE"""),1.0)</f>
        <v>1</v>
      </c>
      <c r="AA62" s="124" t="str">
        <f>IFERROR(__xludf.DUMMYFUNCTION("""COMPUTED_VALUE"""),"Fake Lead")</f>
        <v>Fake Lead</v>
      </c>
      <c r="AB62" s="124"/>
    </row>
    <row r="63">
      <c r="A63" s="126">
        <f>IFERROR(__xludf.DUMMYFUNCTION("""COMPUTED_VALUE"""),46071.0)</f>
        <v>46071</v>
      </c>
      <c r="B63" s="124" t="str">
        <f>IFERROR(__xludf.DUMMYFUNCTION("""COMPUTED_VALUE"""),"Walk-In")</f>
        <v>Walk-In</v>
      </c>
      <c r="C63" s="124" t="str">
        <f>IFERROR(__xludf.DUMMYFUNCTION("""COMPUTED_VALUE"""),"Delhi")</f>
        <v>Delhi</v>
      </c>
      <c r="D63" s="124" t="str">
        <f>IFERROR(__xludf.DUMMYFUNCTION("""COMPUTED_VALUE"""),"Primary_Walkin")</f>
        <v>Primary_Walkin</v>
      </c>
      <c r="E63" s="127">
        <f>IFERROR(__xludf.DUMMYFUNCTION("""COMPUTED_VALUE"""),1.0)</f>
        <v>1</v>
      </c>
      <c r="F63" s="128" t="str">
        <f>IFERROR(__xludf.DUMMYFUNCTION("""COMPUTED_VALUE"""),"Cold")</f>
        <v>Cold</v>
      </c>
      <c r="G63" s="124" t="str">
        <f>IFERROR(__xludf.DUMMYFUNCTION("""COMPUTED_VALUE"""),"GS Foundation")</f>
        <v>GS Foundation</v>
      </c>
      <c r="K63" s="124"/>
      <c r="L63" s="124"/>
      <c r="M63" s="124"/>
      <c r="N63" s="124"/>
      <c r="O63" s="124"/>
      <c r="T63" s="126">
        <f>IFERROR(__xludf.DUMMYFUNCTION("""COMPUTED_VALUE"""),46081.0)</f>
        <v>46081</v>
      </c>
      <c r="U63" s="124" t="str">
        <f>IFERROR(__xludf.DUMMYFUNCTION("""COMPUTED_VALUE"""),"Telephony")</f>
        <v>Telephony</v>
      </c>
      <c r="V63" s="124" t="str">
        <f>IFERROR(__xludf.DUMMYFUNCTION("""COMPUTED_VALUE"""),"Inbound Call")</f>
        <v>Inbound Call</v>
      </c>
      <c r="W63" s="124">
        <f>IFERROR(__xludf.DUMMYFUNCTION("""COMPUTED_VALUE"""),9.18047861635E11)</f>
        <v>918047861635</v>
      </c>
      <c r="X63" s="124" t="str">
        <f>IFERROR(__xludf.DUMMYFUNCTION("""COMPUTED_VALUE"""),"Inbound Call")</f>
        <v>Inbound Call</v>
      </c>
      <c r="Y63" s="124" t="str">
        <f>IFERROR(__xludf.DUMMYFUNCTION("""COMPUTED_VALUE"""),"Indore")</f>
        <v>Indore</v>
      </c>
      <c r="Z63" s="124">
        <f>IFERROR(__xludf.DUMMYFUNCTION("""COMPUTED_VALUE"""),1.0)</f>
        <v>1</v>
      </c>
      <c r="AA63" s="124" t="str">
        <f>IFERROR(__xludf.DUMMYFUNCTION("""COMPUTED_VALUE"""),"Not Interested")</f>
        <v>Not Interested</v>
      </c>
      <c r="AB63" s="124"/>
    </row>
    <row r="64">
      <c r="A64" s="126">
        <f>IFERROR(__xludf.DUMMYFUNCTION("""COMPUTED_VALUE"""),46153.0)</f>
        <v>46153</v>
      </c>
      <c r="B64" s="124" t="str">
        <f>IFERROR(__xludf.DUMMYFUNCTION("""COMPUTED_VALUE"""),"Walkin")</f>
        <v>Walkin</v>
      </c>
      <c r="C64" s="124" t="str">
        <f>IFERROR(__xludf.DUMMYFUNCTION("""COMPUTED_VALUE"""),"Delhi")</f>
        <v>Delhi</v>
      </c>
      <c r="D64" s="124" t="str">
        <f>IFERROR(__xludf.DUMMYFUNCTION("""COMPUTED_VALUE"""),"Primary_Walkin")</f>
        <v>Primary_Walkin</v>
      </c>
      <c r="E64" s="127">
        <f>IFERROR(__xludf.DUMMYFUNCTION("""COMPUTED_VALUE"""),1.0)</f>
        <v>1</v>
      </c>
      <c r="F64" s="128" t="str">
        <f>IFERROR(__xludf.DUMMYFUNCTION("""COMPUTED_VALUE"""),"Not Interested")</f>
        <v>Not Interested</v>
      </c>
      <c r="G64" s="124" t="str">
        <f>IFERROR(__xludf.DUMMYFUNCTION("""COMPUTED_VALUE"""),"Test Series")</f>
        <v>Test Series</v>
      </c>
      <c r="K64" s="124"/>
      <c r="L64" s="124"/>
      <c r="M64" s="124"/>
      <c r="N64" s="124"/>
      <c r="O64" s="124"/>
      <c r="T64" s="126">
        <f>IFERROR(__xludf.DUMMYFUNCTION("""COMPUTED_VALUE"""),46053.0)</f>
        <v>46053</v>
      </c>
      <c r="U64" s="124" t="str">
        <f>IFERROR(__xludf.DUMMYFUNCTION("""COMPUTED_VALUE"""),"Telephony")</f>
        <v>Telephony</v>
      </c>
      <c r="V64" s="124" t="str">
        <f>IFERROR(__xludf.DUMMYFUNCTION("""COMPUTED_VALUE"""),"Inbound Call")</f>
        <v>Inbound Call</v>
      </c>
      <c r="W64" s="124">
        <f>IFERROR(__xludf.DUMMYFUNCTION("""COMPUTED_VALUE"""),9.18047861663E11)</f>
        <v>918047861663</v>
      </c>
      <c r="X64" s="124" t="str">
        <f>IFERROR(__xludf.DUMMYFUNCTION("""COMPUTED_VALUE"""),"Inbound Call")</f>
        <v>Inbound Call</v>
      </c>
      <c r="Y64" s="124" t="str">
        <f>IFERROR(__xludf.DUMMYFUNCTION("""COMPUTED_VALUE"""),"Delhi")</f>
        <v>Delhi</v>
      </c>
      <c r="Z64" s="124">
        <f>IFERROR(__xludf.DUMMYFUNCTION("""COMPUTED_VALUE"""),3.0)</f>
        <v>3</v>
      </c>
      <c r="AA64" s="124" t="str">
        <f>IFERROR(__xludf.DUMMYFUNCTION("""COMPUTED_VALUE"""),"Cold")</f>
        <v>Cold</v>
      </c>
      <c r="AB64" s="124"/>
    </row>
    <row r="65">
      <c r="A65" s="126">
        <f>IFERROR(__xludf.DUMMYFUNCTION("""COMPUTED_VALUE"""),46070.0)</f>
        <v>46070</v>
      </c>
      <c r="B65" s="124" t="str">
        <f>IFERROR(__xludf.DUMMYFUNCTION("""COMPUTED_VALUE"""),"external leads")</f>
        <v>external leads</v>
      </c>
      <c r="C65" s="124" t="str">
        <f>IFERROR(__xludf.DUMMYFUNCTION("""COMPUTED_VALUE"""),"Delhi")</f>
        <v>Delhi</v>
      </c>
      <c r="D65" s="124" t="str">
        <f>IFERROR(__xludf.DUMMYFUNCTION("""COMPUTED_VALUE"""),"Secondary_Walkin")</f>
        <v>Secondary_Walkin</v>
      </c>
      <c r="E65" s="127">
        <f>IFERROR(__xludf.DUMMYFUNCTION("""COMPUTED_VALUE"""),1.0)</f>
        <v>1</v>
      </c>
      <c r="F65" s="128" t="str">
        <f>IFERROR(__xludf.DUMMYFUNCTION("""COMPUTED_VALUE"""),"Enrolled")</f>
        <v>Enrolled</v>
      </c>
      <c r="G65" s="124" t="str">
        <f>IFERROR(__xludf.DUMMYFUNCTION("""COMPUTED_VALUE"""),"GS Foundation")</f>
        <v>GS Foundation</v>
      </c>
      <c r="K65" s="124"/>
      <c r="L65" s="124"/>
      <c r="M65" s="124"/>
      <c r="N65" s="124"/>
      <c r="O65" s="124"/>
      <c r="T65" s="126">
        <f>IFERROR(__xludf.DUMMYFUNCTION("""COMPUTED_VALUE"""),46049.0)</f>
        <v>46049</v>
      </c>
      <c r="U65" s="124" t="str">
        <f>IFERROR(__xludf.DUMMYFUNCTION("""COMPUTED_VALUE"""),"Telephony")</f>
        <v>Telephony</v>
      </c>
      <c r="V65" s="124" t="str">
        <f>IFERROR(__xludf.DUMMYFUNCTION("""COMPUTED_VALUE"""),"Inbound Call")</f>
        <v>Inbound Call</v>
      </c>
      <c r="W65" s="124" t="str">
        <f>IFERROR(__xludf.DUMMYFUNCTION("""COMPUTED_VALUE"""),"Inbound Call")</f>
        <v>Inbound Call</v>
      </c>
      <c r="X65" s="124" t="str">
        <f>IFERROR(__xludf.DUMMYFUNCTION("""COMPUTED_VALUE"""),"Inbound Call")</f>
        <v>Inbound Call</v>
      </c>
      <c r="Y65" s="124"/>
      <c r="Z65" s="124">
        <f>IFERROR(__xludf.DUMMYFUNCTION("""COMPUTED_VALUE"""),1.0)</f>
        <v>1</v>
      </c>
      <c r="AA65" s="124" t="str">
        <f>IFERROR(__xludf.DUMMYFUNCTION("""COMPUTED_VALUE"""),"Fake Lead")</f>
        <v>Fake Lead</v>
      </c>
      <c r="AB65" s="124"/>
    </row>
    <row r="66">
      <c r="A66" s="129">
        <f>IFERROR(__xludf.DUMMYFUNCTION("""COMPUTED_VALUE"""),46053.0)</f>
        <v>46053</v>
      </c>
      <c r="B66" s="124" t="str">
        <f>IFERROR(__xludf.DUMMYFUNCTION("""COMPUTED_VALUE"""),"Walkin")</f>
        <v>Walkin</v>
      </c>
      <c r="C66" s="124" t="str">
        <f>IFERROR(__xludf.DUMMYFUNCTION("""COMPUTED_VALUE"""),"Delhi")</f>
        <v>Delhi</v>
      </c>
      <c r="D66" s="124" t="str">
        <f>IFERROR(__xludf.DUMMYFUNCTION("""COMPUTED_VALUE"""),"Primary_Walkin")</f>
        <v>Primary_Walkin</v>
      </c>
      <c r="E66" s="127">
        <f>IFERROR(__xludf.DUMMYFUNCTION("""COMPUTED_VALUE"""),6.0)</f>
        <v>6</v>
      </c>
      <c r="F66" s="128" t="str">
        <f>IFERROR(__xludf.DUMMYFUNCTION("""COMPUTED_VALUE"""),"Cold")</f>
        <v>Cold</v>
      </c>
      <c r="G66" s="124" t="str">
        <f>IFERROR(__xludf.DUMMYFUNCTION("""COMPUTED_VALUE"""),"GS Foundation")</f>
        <v>GS Foundation</v>
      </c>
      <c r="K66" s="124"/>
      <c r="L66" s="124"/>
      <c r="M66" s="124"/>
      <c r="N66" s="124"/>
      <c r="O66" s="124"/>
      <c r="T66" s="126">
        <f>IFERROR(__xludf.DUMMYFUNCTION("""COMPUTED_VALUE"""),46081.0)</f>
        <v>46081</v>
      </c>
      <c r="U66" s="124" t="str">
        <f>IFERROR(__xludf.DUMMYFUNCTION("""COMPUTED_VALUE"""),"Telephony")</f>
        <v>Telephony</v>
      </c>
      <c r="V66" s="124" t="str">
        <f>IFERROR(__xludf.DUMMYFUNCTION("""COMPUTED_VALUE"""),"Inbound Call")</f>
        <v>Inbound Call</v>
      </c>
      <c r="W66" s="124">
        <f>IFERROR(__xludf.DUMMYFUNCTION("""COMPUTED_VALUE"""),9.18047861634E11)</f>
        <v>918047861634</v>
      </c>
      <c r="X66" s="124" t="str">
        <f>IFERROR(__xludf.DUMMYFUNCTION("""COMPUTED_VALUE"""),"Inbound Call")</f>
        <v>Inbound Call</v>
      </c>
      <c r="Y66" s="124"/>
      <c r="Z66" s="124">
        <f>IFERROR(__xludf.DUMMYFUNCTION("""COMPUTED_VALUE"""),1.0)</f>
        <v>1</v>
      </c>
      <c r="AA66" s="124" t="str">
        <f>IFERROR(__xludf.DUMMYFUNCTION("""COMPUTED_VALUE"""),"Cold")</f>
        <v>Cold</v>
      </c>
      <c r="AB66" s="124"/>
    </row>
    <row r="67">
      <c r="A67" s="126">
        <f>IFERROR(__xludf.DUMMYFUNCTION("""COMPUTED_VALUE"""),46072.0)</f>
        <v>46072</v>
      </c>
      <c r="B67" s="124" t="str">
        <f>IFERROR(__xludf.DUMMYFUNCTION("""COMPUTED_VALUE"""),"Walkin")</f>
        <v>Walkin</v>
      </c>
      <c r="C67" s="124" t="str">
        <f>IFERROR(__xludf.DUMMYFUNCTION("""COMPUTED_VALUE"""),"Delhi")</f>
        <v>Delhi</v>
      </c>
      <c r="D67" s="124" t="str">
        <f>IFERROR(__xludf.DUMMYFUNCTION("""COMPUTED_VALUE"""),"Primary_Walkin")</f>
        <v>Primary_Walkin</v>
      </c>
      <c r="E67" s="127">
        <f>IFERROR(__xludf.DUMMYFUNCTION("""COMPUTED_VALUE"""),4.0)</f>
        <v>4</v>
      </c>
      <c r="F67" s="128" t="str">
        <f>IFERROR(__xludf.DUMMYFUNCTION("""COMPUTED_VALUE"""),"Cold")</f>
        <v>Cold</v>
      </c>
      <c r="G67" s="124" t="str">
        <f>IFERROR(__xludf.DUMMYFUNCTION("""COMPUTED_VALUE"""),"GS Foundation")</f>
        <v>GS Foundation</v>
      </c>
      <c r="K67" s="124"/>
      <c r="L67" s="124"/>
      <c r="M67" s="124"/>
      <c r="N67" s="124"/>
      <c r="O67" s="124"/>
      <c r="T67" s="126">
        <f>IFERROR(__xludf.DUMMYFUNCTION("""COMPUTED_VALUE"""),46103.0)</f>
        <v>46103</v>
      </c>
      <c r="U67" s="124" t="str">
        <f>IFERROR(__xludf.DUMMYFUNCTION("""COMPUTED_VALUE"""),"Telephony")</f>
        <v>Telephony</v>
      </c>
      <c r="V67" s="124" t="str">
        <f>IFERROR(__xludf.DUMMYFUNCTION("""COMPUTED_VALUE"""),"Inbound Call")</f>
        <v>Inbound Call</v>
      </c>
      <c r="W67" s="124">
        <f>IFERROR(__xludf.DUMMYFUNCTION("""COMPUTED_VALUE"""),9.18047861635E11)</f>
        <v>918047861635</v>
      </c>
      <c r="X67" s="124" t="str">
        <f>IFERROR(__xludf.DUMMYFUNCTION("""COMPUTED_VALUE"""),"Inbound Call")</f>
        <v>Inbound Call</v>
      </c>
      <c r="Y67" s="124"/>
      <c r="Z67" s="124">
        <f>IFERROR(__xludf.DUMMYFUNCTION("""COMPUTED_VALUE"""),4.0)</f>
        <v>4</v>
      </c>
      <c r="AA67" s="124" t="str">
        <f>IFERROR(__xludf.DUMMYFUNCTION("""COMPUTED_VALUE"""),"Cold")</f>
        <v>Cold</v>
      </c>
      <c r="AB67" s="124"/>
    </row>
    <row r="68">
      <c r="A68" s="126">
        <f>IFERROR(__xludf.DUMMYFUNCTION("""COMPUTED_VALUE"""),46068.0)</f>
        <v>46068</v>
      </c>
      <c r="B68" s="124" t="str">
        <f>IFERROR(__xludf.DUMMYFUNCTION("""COMPUTED_VALUE"""),"Walkin")</f>
        <v>Walkin</v>
      </c>
      <c r="C68" s="124" t="str">
        <f>IFERROR(__xludf.DUMMYFUNCTION("""COMPUTED_VALUE"""),"Delhi")</f>
        <v>Delhi</v>
      </c>
      <c r="D68" s="124" t="str">
        <f>IFERROR(__xludf.DUMMYFUNCTION("""COMPUTED_VALUE"""),"Primary_Walkin")</f>
        <v>Primary_Walkin</v>
      </c>
      <c r="E68" s="127">
        <f>IFERROR(__xludf.DUMMYFUNCTION("""COMPUTED_VALUE"""),1.0)</f>
        <v>1</v>
      </c>
      <c r="F68" s="128" t="str">
        <f>IFERROR(__xludf.DUMMYFUNCTION("""COMPUTED_VALUE"""),"Warm")</f>
        <v>Warm</v>
      </c>
      <c r="G68" s="124" t="str">
        <f>IFERROR(__xludf.DUMMYFUNCTION("""COMPUTED_VALUE"""),"GS Foundation")</f>
        <v>GS Foundation</v>
      </c>
      <c r="K68" s="124"/>
      <c r="L68" s="124"/>
      <c r="M68" s="124"/>
      <c r="N68" s="124"/>
      <c r="O68" s="124"/>
      <c r="T68" s="126">
        <f>IFERROR(__xludf.DUMMYFUNCTION("""COMPUTED_VALUE"""),46073.0)</f>
        <v>46073</v>
      </c>
      <c r="U68" s="124" t="str">
        <f>IFERROR(__xludf.DUMMYFUNCTION("""COMPUTED_VALUE"""),"Telephony")</f>
        <v>Telephony</v>
      </c>
      <c r="V68" s="124" t="str">
        <f>IFERROR(__xludf.DUMMYFUNCTION("""COMPUTED_VALUE"""),"Inbound Call")</f>
        <v>Inbound Call</v>
      </c>
      <c r="W68" s="124">
        <f>IFERROR(__xludf.DUMMYFUNCTION("""COMPUTED_VALUE"""),9.18047861631E11)</f>
        <v>918047861631</v>
      </c>
      <c r="X68" s="124" t="str">
        <f>IFERROR(__xludf.DUMMYFUNCTION("""COMPUTED_VALUE"""),"Inbound Call")</f>
        <v>Inbound Call</v>
      </c>
      <c r="Y68" s="124"/>
      <c r="Z68" s="124">
        <f>IFERROR(__xludf.DUMMYFUNCTION("""COMPUTED_VALUE"""),2.0)</f>
        <v>2</v>
      </c>
      <c r="AA68" s="124" t="str">
        <f>IFERROR(__xludf.DUMMYFUNCTION("""COMPUTED_VALUE"""),"Fake Lead")</f>
        <v>Fake Lead</v>
      </c>
      <c r="AB68" s="124"/>
    </row>
    <row r="69">
      <c r="A69" s="126">
        <f>IFERROR(__xludf.DUMMYFUNCTION("""COMPUTED_VALUE"""),46072.0)</f>
        <v>46072</v>
      </c>
      <c r="B69" s="124" t="str">
        <f>IFERROR(__xludf.DUMMYFUNCTION("""COMPUTED_VALUE"""),"Walkin")</f>
        <v>Walkin</v>
      </c>
      <c r="C69" s="124" t="str">
        <f>IFERROR(__xludf.DUMMYFUNCTION("""COMPUTED_VALUE"""),"Delhi")</f>
        <v>Delhi</v>
      </c>
      <c r="D69" s="124" t="str">
        <f>IFERROR(__xludf.DUMMYFUNCTION("""COMPUTED_VALUE"""),"Primary_Walkin")</f>
        <v>Primary_Walkin</v>
      </c>
      <c r="E69" s="127">
        <f>IFERROR(__xludf.DUMMYFUNCTION("""COMPUTED_VALUE"""),2.0)</f>
        <v>2</v>
      </c>
      <c r="F69" s="128" t="str">
        <f>IFERROR(__xludf.DUMMYFUNCTION("""COMPUTED_VALUE"""),"Not Interested")</f>
        <v>Not Interested</v>
      </c>
      <c r="G69" s="124" t="str">
        <f>IFERROR(__xludf.DUMMYFUNCTION("""COMPUTED_VALUE"""),"GS Foundation")</f>
        <v>GS Foundation</v>
      </c>
      <c r="K69" s="124"/>
      <c r="L69" s="124"/>
      <c r="M69" s="124"/>
      <c r="N69" s="124"/>
      <c r="O69" s="124"/>
      <c r="T69" s="126">
        <f>IFERROR(__xludf.DUMMYFUNCTION("""COMPUTED_VALUE"""),46109.0)</f>
        <v>46109</v>
      </c>
      <c r="U69" s="124" t="str">
        <f>IFERROR(__xludf.DUMMYFUNCTION("""COMPUTED_VALUE"""),"Paid Ads")</f>
        <v>Paid Ads</v>
      </c>
      <c r="V69" s="124" t="str">
        <f>IFERROR(__xludf.DUMMYFUNCTION("""COMPUTED_VALUE"""),"Facebook")</f>
        <v>Facebook</v>
      </c>
      <c r="W69" s="124" t="str">
        <f>IFERROR(__xludf.DUMMYFUNCTION("""COMPUTED_VALUE"""),"LeadAd")</f>
        <v>LeadAd</v>
      </c>
      <c r="X69" s="124" t="str">
        <f>IFERROR(__xludf.DUMMYFUNCTION("""COMPUTED_VALUE"""),"Upsc_Offline_Indore_FB_Lead")</f>
        <v>Upsc_Offline_Indore_FB_Lead</v>
      </c>
      <c r="Y69" s="124" t="str">
        <f>IFERROR(__xludf.DUMMYFUNCTION("""COMPUTED_VALUE"""),"Delhi")</f>
        <v>Delhi</v>
      </c>
      <c r="Z69" s="124">
        <f>IFERROR(__xludf.DUMMYFUNCTION("""COMPUTED_VALUE"""),6.0)</f>
        <v>6</v>
      </c>
      <c r="AA69" s="124"/>
      <c r="AB69" s="124"/>
    </row>
    <row r="70">
      <c r="A70" s="126">
        <f>IFERROR(__xludf.DUMMYFUNCTION("""COMPUTED_VALUE"""),46102.0)</f>
        <v>46102</v>
      </c>
      <c r="B70" s="124" t="str">
        <f>IFERROR(__xludf.DUMMYFUNCTION("""COMPUTED_VALUE"""),"Walkin")</f>
        <v>Walkin</v>
      </c>
      <c r="C70" s="124" t="str">
        <f>IFERROR(__xludf.DUMMYFUNCTION("""COMPUTED_VALUE"""),"Delhi")</f>
        <v>Delhi</v>
      </c>
      <c r="D70" s="124" t="str">
        <f>IFERROR(__xludf.DUMMYFUNCTION("""COMPUTED_VALUE"""),"Primary_Walkin")</f>
        <v>Primary_Walkin</v>
      </c>
      <c r="E70" s="127">
        <f>IFERROR(__xludf.DUMMYFUNCTION("""COMPUTED_VALUE"""),1.0)</f>
        <v>1</v>
      </c>
      <c r="F70" s="128" t="str">
        <f>IFERROR(__xludf.DUMMYFUNCTION("""COMPUTED_VALUE"""),"Enrolled")</f>
        <v>Enrolled</v>
      </c>
      <c r="G70" s="124" t="str">
        <f>IFERROR(__xludf.DUMMYFUNCTION("""COMPUTED_VALUE"""),"State PCS")</f>
        <v>State PCS</v>
      </c>
      <c r="K70" s="124"/>
      <c r="L70" s="124"/>
      <c r="M70" s="124"/>
      <c r="N70" s="124"/>
      <c r="O70" s="124"/>
      <c r="T70" s="126">
        <f>IFERROR(__xludf.DUMMYFUNCTION("""COMPUTED_VALUE"""),46068.0)</f>
        <v>46068</v>
      </c>
      <c r="U70" s="124" t="str">
        <f>IFERROR(__xludf.DUMMYFUNCTION("""COMPUTED_VALUE"""),"Telephony")</f>
        <v>Telephony</v>
      </c>
      <c r="V70" s="124" t="str">
        <f>IFERROR(__xludf.DUMMYFUNCTION("""COMPUTED_VALUE"""),"Inbound Call")</f>
        <v>Inbound Call</v>
      </c>
      <c r="W70" s="124">
        <f>IFERROR(__xludf.DUMMYFUNCTION("""COMPUTED_VALUE"""),9.18047861631E11)</f>
        <v>918047861631</v>
      </c>
      <c r="X70" s="124" t="str">
        <f>IFERROR(__xludf.DUMMYFUNCTION("""COMPUTED_VALUE"""),"Inbound Call")</f>
        <v>Inbound Call</v>
      </c>
      <c r="Y70" s="124"/>
      <c r="Z70" s="124">
        <f>IFERROR(__xludf.DUMMYFUNCTION("""COMPUTED_VALUE"""),1.0)</f>
        <v>1</v>
      </c>
      <c r="AA70" s="124" t="str">
        <f>IFERROR(__xludf.DUMMYFUNCTION("""COMPUTED_VALUE"""),"Fake Lead")</f>
        <v>Fake Lead</v>
      </c>
      <c r="AB70" s="124"/>
    </row>
    <row r="71">
      <c r="A71" s="129">
        <f>IFERROR(__xludf.DUMMYFUNCTION("""COMPUTED_VALUE"""),46086.0)</f>
        <v>46086</v>
      </c>
      <c r="B71" s="124" t="str">
        <f>IFERROR(__xludf.DUMMYFUNCTION("""COMPUTED_VALUE"""),"Walkin")</f>
        <v>Walkin</v>
      </c>
      <c r="C71" s="124" t="str">
        <f>IFERROR(__xludf.DUMMYFUNCTION("""COMPUTED_VALUE"""),"Delhi")</f>
        <v>Delhi</v>
      </c>
      <c r="D71" s="124" t="str">
        <f>IFERROR(__xludf.DUMMYFUNCTION("""COMPUTED_VALUE"""),"Primary_Walkin")</f>
        <v>Primary_Walkin</v>
      </c>
      <c r="E71" s="127">
        <f>IFERROR(__xludf.DUMMYFUNCTION("""COMPUTED_VALUE"""),2.0)</f>
        <v>2</v>
      </c>
      <c r="F71" s="128" t="str">
        <f>IFERROR(__xludf.DUMMYFUNCTION("""COMPUTED_VALUE"""),"Enrolled")</f>
        <v>Enrolled</v>
      </c>
      <c r="G71" s="124" t="str">
        <f>IFERROR(__xludf.DUMMYFUNCTION("""COMPUTED_VALUE"""),"GS Foundation")</f>
        <v>GS Foundation</v>
      </c>
      <c r="K71" s="124"/>
      <c r="L71" s="124"/>
      <c r="M71" s="124"/>
      <c r="N71" s="124"/>
      <c r="O71" s="124"/>
      <c r="T71" s="126">
        <f>IFERROR(__xludf.DUMMYFUNCTION("""COMPUTED_VALUE"""),46058.0)</f>
        <v>46058</v>
      </c>
      <c r="U71" s="124" t="str">
        <f>IFERROR(__xludf.DUMMYFUNCTION("""COMPUTED_VALUE"""),"Telephony")</f>
        <v>Telephony</v>
      </c>
      <c r="V71" s="124" t="str">
        <f>IFERROR(__xludf.DUMMYFUNCTION("""COMPUTED_VALUE"""),"Inbound Call")</f>
        <v>Inbound Call</v>
      </c>
      <c r="W71" s="124">
        <f>IFERROR(__xludf.DUMMYFUNCTION("""COMPUTED_VALUE"""),9.18047861663E11)</f>
        <v>918047861663</v>
      </c>
      <c r="X71" s="124" t="str">
        <f>IFERROR(__xludf.DUMMYFUNCTION("""COMPUTED_VALUE"""),"Inbound Call")</f>
        <v>Inbound Call</v>
      </c>
      <c r="Y71" s="124"/>
      <c r="Z71" s="124">
        <f>IFERROR(__xludf.DUMMYFUNCTION("""COMPUTED_VALUE"""),6.0)</f>
        <v>6</v>
      </c>
      <c r="AA71" s="124" t="str">
        <f>IFERROR(__xludf.DUMMYFUNCTION("""COMPUTED_VALUE"""),"Cold")</f>
        <v>Cold</v>
      </c>
      <c r="AB71" s="124"/>
    </row>
    <row r="72">
      <c r="A72" s="126">
        <f>IFERROR(__xludf.DUMMYFUNCTION("""COMPUTED_VALUE"""),46106.0)</f>
        <v>46106</v>
      </c>
      <c r="B72" s="124" t="str">
        <f>IFERROR(__xludf.DUMMYFUNCTION("""COMPUTED_VALUE"""),"Walk-In")</f>
        <v>Walk-In</v>
      </c>
      <c r="C72" s="124" t="str">
        <f>IFERROR(__xludf.DUMMYFUNCTION("""COMPUTED_VALUE"""),"Delhi")</f>
        <v>Delhi</v>
      </c>
      <c r="D72" s="124" t="str">
        <f>IFERROR(__xludf.DUMMYFUNCTION("""COMPUTED_VALUE"""),"Primary_Walkin")</f>
        <v>Primary_Walkin</v>
      </c>
      <c r="E72" s="127">
        <f>IFERROR(__xludf.DUMMYFUNCTION("""COMPUTED_VALUE"""),1.0)</f>
        <v>1</v>
      </c>
      <c r="F72" s="128" t="str">
        <f>IFERROR(__xludf.DUMMYFUNCTION("""COMPUTED_VALUE"""),"Enrolled")</f>
        <v>Enrolled</v>
      </c>
      <c r="G72" s="124" t="str">
        <f>IFERROR(__xludf.DUMMYFUNCTION("""COMPUTED_VALUE"""),"GS Foundation")</f>
        <v>GS Foundation</v>
      </c>
      <c r="K72" s="124"/>
      <c r="L72" s="124"/>
      <c r="M72" s="124"/>
      <c r="N72" s="124"/>
      <c r="O72" s="124"/>
      <c r="T72" s="126">
        <f>IFERROR(__xludf.DUMMYFUNCTION("""COMPUTED_VALUE"""),46064.0)</f>
        <v>46064</v>
      </c>
      <c r="U72" s="124" t="str">
        <f>IFERROR(__xludf.DUMMYFUNCTION("""COMPUTED_VALUE"""),"Telephony")</f>
        <v>Telephony</v>
      </c>
      <c r="V72" s="124" t="str">
        <f>IFERROR(__xludf.DUMMYFUNCTION("""COMPUTED_VALUE"""),"Inbound Call")</f>
        <v>Inbound Call</v>
      </c>
      <c r="W72" s="124" t="str">
        <f>IFERROR(__xludf.DUMMYFUNCTION("""COMPUTED_VALUE"""),"Inbound Call")</f>
        <v>Inbound Call</v>
      </c>
      <c r="X72" s="124" t="str">
        <f>IFERROR(__xludf.DUMMYFUNCTION("""COMPUTED_VALUE"""),"Inbound Call")</f>
        <v>Inbound Call</v>
      </c>
      <c r="Y72" s="124"/>
      <c r="Z72" s="124">
        <f>IFERROR(__xludf.DUMMYFUNCTION("""COMPUTED_VALUE"""),1.0)</f>
        <v>1</v>
      </c>
      <c r="AA72" s="124" t="str">
        <f>IFERROR(__xludf.DUMMYFUNCTION("""COMPUTED_VALUE"""),"Fake Lead")</f>
        <v>Fake Lead</v>
      </c>
      <c r="AB72" s="124"/>
    </row>
    <row r="73">
      <c r="A73" s="126">
        <f>IFERROR(__xludf.DUMMYFUNCTION("""COMPUTED_VALUE"""),46105.0)</f>
        <v>46105</v>
      </c>
      <c r="B73" s="124" t="str">
        <f>IFERROR(__xludf.DUMMYFUNCTION("""COMPUTED_VALUE"""),"Walk-In")</f>
        <v>Walk-In</v>
      </c>
      <c r="C73" s="124" t="str">
        <f>IFERROR(__xludf.DUMMYFUNCTION("""COMPUTED_VALUE"""),"Delhi")</f>
        <v>Delhi</v>
      </c>
      <c r="D73" s="124" t="str">
        <f>IFERROR(__xludf.DUMMYFUNCTION("""COMPUTED_VALUE"""),"Primary_Walkin")</f>
        <v>Primary_Walkin</v>
      </c>
      <c r="E73" s="127">
        <f>IFERROR(__xludf.DUMMYFUNCTION("""COMPUTED_VALUE"""),1.0)</f>
        <v>1</v>
      </c>
      <c r="F73" s="128" t="str">
        <f>IFERROR(__xludf.DUMMYFUNCTION("""COMPUTED_VALUE"""),"Interested")</f>
        <v>Interested</v>
      </c>
      <c r="G73" s="124" t="str">
        <f>IFERROR(__xludf.DUMMYFUNCTION("""COMPUTED_VALUE"""),"GS Foundation")</f>
        <v>GS Foundation</v>
      </c>
      <c r="K73" s="124"/>
      <c r="L73" s="124"/>
      <c r="M73" s="124"/>
      <c r="N73" s="124"/>
      <c r="O73" s="124"/>
      <c r="T73" s="126">
        <f>IFERROR(__xludf.DUMMYFUNCTION("""COMPUTED_VALUE"""),46108.0)</f>
        <v>46108</v>
      </c>
      <c r="U73" s="124" t="str">
        <f>IFERROR(__xludf.DUMMYFUNCTION("""COMPUTED_VALUE"""),"Telephony")</f>
        <v>Telephony</v>
      </c>
      <c r="V73" s="124" t="str">
        <f>IFERROR(__xludf.DUMMYFUNCTION("""COMPUTED_VALUE"""),"Inbound Call")</f>
        <v>Inbound Call</v>
      </c>
      <c r="W73" s="124">
        <f>IFERROR(__xludf.DUMMYFUNCTION("""COMPUTED_VALUE"""),9.18047861631E11)</f>
        <v>918047861631</v>
      </c>
      <c r="X73" s="124" t="str">
        <f>IFERROR(__xludf.DUMMYFUNCTION("""COMPUTED_VALUE"""),"Inbound Call")</f>
        <v>Inbound Call</v>
      </c>
      <c r="Y73" s="124" t="str">
        <f>IFERROR(__xludf.DUMMYFUNCTION("""COMPUTED_VALUE"""),"Delhi")</f>
        <v>Delhi</v>
      </c>
      <c r="Z73" s="124">
        <f>IFERROR(__xludf.DUMMYFUNCTION("""COMPUTED_VALUE"""),1.0)</f>
        <v>1</v>
      </c>
      <c r="AA73" s="124" t="str">
        <f>IFERROR(__xludf.DUMMYFUNCTION("""COMPUTED_VALUE"""),"Warm")</f>
        <v>Warm</v>
      </c>
      <c r="AB73" s="124"/>
    </row>
    <row r="74">
      <c r="A74" s="126">
        <f>IFERROR(__xludf.DUMMYFUNCTION("""COMPUTED_VALUE"""),46101.0)</f>
        <v>46101</v>
      </c>
      <c r="B74" s="124" t="str">
        <f>IFERROR(__xludf.DUMMYFUNCTION("""COMPUTED_VALUE"""),"Walkin")</f>
        <v>Walkin</v>
      </c>
      <c r="C74" s="124" t="str">
        <f>IFERROR(__xludf.DUMMYFUNCTION("""COMPUTED_VALUE"""),"Delhi")</f>
        <v>Delhi</v>
      </c>
      <c r="D74" s="124" t="str">
        <f>IFERROR(__xludf.DUMMYFUNCTION("""COMPUTED_VALUE"""),"Primary_Walkin")</f>
        <v>Primary_Walkin</v>
      </c>
      <c r="E74" s="127">
        <f>IFERROR(__xludf.DUMMYFUNCTION("""COMPUTED_VALUE"""),3.0)</f>
        <v>3</v>
      </c>
      <c r="F74" s="128" t="str">
        <f>IFERROR(__xludf.DUMMYFUNCTION("""COMPUTED_VALUE"""),"Not Interested")</f>
        <v>Not Interested</v>
      </c>
      <c r="G74" s="124" t="str">
        <f>IFERROR(__xludf.DUMMYFUNCTION("""COMPUTED_VALUE"""),"GS Foundation")</f>
        <v>GS Foundation</v>
      </c>
      <c r="K74" s="124"/>
      <c r="L74" s="124"/>
      <c r="M74" s="124"/>
      <c r="N74" s="124"/>
      <c r="O74" s="124"/>
      <c r="T74" s="126">
        <f>IFERROR(__xludf.DUMMYFUNCTION("""COMPUTED_VALUE"""),46078.0)</f>
        <v>46078</v>
      </c>
      <c r="U74" s="124" t="str">
        <f>IFERROR(__xludf.DUMMYFUNCTION("""COMPUTED_VALUE"""),"Telephony")</f>
        <v>Telephony</v>
      </c>
      <c r="V74" s="124" t="str">
        <f>IFERROR(__xludf.DUMMYFUNCTION("""COMPUTED_VALUE"""),"Inbound Call")</f>
        <v>Inbound Call</v>
      </c>
      <c r="W74" s="124">
        <f>IFERROR(__xludf.DUMMYFUNCTION("""COMPUTED_VALUE"""),9.18047861635E11)</f>
        <v>918047861635</v>
      </c>
      <c r="X74" s="124" t="str">
        <f>IFERROR(__xludf.DUMMYFUNCTION("""COMPUTED_VALUE"""),"Inbound Call")</f>
        <v>Inbound Call</v>
      </c>
      <c r="Y74" s="124" t="str">
        <f>IFERROR(__xludf.DUMMYFUNCTION("""COMPUTED_VALUE"""),"Indore")</f>
        <v>Indore</v>
      </c>
      <c r="Z74" s="124">
        <f>IFERROR(__xludf.DUMMYFUNCTION("""COMPUTED_VALUE"""),1.0)</f>
        <v>1</v>
      </c>
      <c r="AA74" s="124" t="str">
        <f>IFERROR(__xludf.DUMMYFUNCTION("""COMPUTED_VALUE"""),"Cold")</f>
        <v>Cold</v>
      </c>
      <c r="AB74" s="124"/>
    </row>
    <row r="75">
      <c r="A75" s="129">
        <f>IFERROR(__xludf.DUMMYFUNCTION("""COMPUTED_VALUE"""),46051.0)</f>
        <v>46051</v>
      </c>
      <c r="B75" s="124" t="str">
        <f>IFERROR(__xludf.DUMMYFUNCTION("""COMPUTED_VALUE"""),"Walkin")</f>
        <v>Walkin</v>
      </c>
      <c r="C75" s="124" t="str">
        <f>IFERROR(__xludf.DUMMYFUNCTION("""COMPUTED_VALUE"""),"Delhi")</f>
        <v>Delhi</v>
      </c>
      <c r="D75" s="124" t="str">
        <f>IFERROR(__xludf.DUMMYFUNCTION("""COMPUTED_VALUE"""),"Primary_Walkin")</f>
        <v>Primary_Walkin</v>
      </c>
      <c r="E75" s="127">
        <f>IFERROR(__xludf.DUMMYFUNCTION("""COMPUTED_VALUE"""),1.0)</f>
        <v>1</v>
      </c>
      <c r="F75" s="128" t="str">
        <f>IFERROR(__xludf.DUMMYFUNCTION("""COMPUTED_VALUE"""),"Not Interested")</f>
        <v>Not Interested</v>
      </c>
      <c r="G75" s="124" t="str">
        <f>IFERROR(__xludf.DUMMYFUNCTION("""COMPUTED_VALUE"""),"SIP Offline")</f>
        <v>SIP Offline</v>
      </c>
      <c r="K75" s="124"/>
      <c r="L75" s="124"/>
      <c r="M75" s="124"/>
      <c r="N75" s="124"/>
      <c r="O75" s="124"/>
      <c r="T75" s="126">
        <f>IFERROR(__xludf.DUMMYFUNCTION("""COMPUTED_VALUE"""),46108.0)</f>
        <v>46108</v>
      </c>
      <c r="U75" s="124" t="str">
        <f>IFERROR(__xludf.DUMMYFUNCTION("""COMPUTED_VALUE"""),"Paid Ads")</f>
        <v>Paid Ads</v>
      </c>
      <c r="V75" s="124" t="str">
        <f>IFERROR(__xludf.DUMMYFUNCTION("""COMPUTED_VALUE"""),"Facebook")</f>
        <v>Facebook</v>
      </c>
      <c r="W75" s="124" t="str">
        <f>IFERROR(__xludf.DUMMYFUNCTION("""COMPUTED_VALUE"""),"LeadAd")</f>
        <v>LeadAd</v>
      </c>
      <c r="X75" s="124" t="str">
        <f>IFERROR(__xludf.DUMMYFUNCTION("""COMPUTED_VALUE"""),"Upsc_Offline_Indore_FB_Lead")</f>
        <v>Upsc_Offline_Indore_FB_Lead</v>
      </c>
      <c r="Y75" s="124" t="str">
        <f>IFERROR(__xludf.DUMMYFUNCTION("""COMPUTED_VALUE"""),"Delhi")</f>
        <v>Delhi</v>
      </c>
      <c r="Z75" s="124">
        <f>IFERROR(__xludf.DUMMYFUNCTION("""COMPUTED_VALUE"""),6.0)</f>
        <v>6</v>
      </c>
      <c r="AA75" s="124"/>
      <c r="AB75" s="124"/>
    </row>
    <row r="76">
      <c r="A76" s="126">
        <f>IFERROR(__xludf.DUMMYFUNCTION("""COMPUTED_VALUE"""),46089.0)</f>
        <v>46089</v>
      </c>
      <c r="B76" s="124" t="str">
        <f>IFERROR(__xludf.DUMMYFUNCTION("""COMPUTED_VALUE"""),"Walkin")</f>
        <v>Walkin</v>
      </c>
      <c r="C76" s="124" t="str">
        <f>IFERROR(__xludf.DUMMYFUNCTION("""COMPUTED_VALUE"""),"Delhi")</f>
        <v>Delhi</v>
      </c>
      <c r="D76" s="124" t="str">
        <f>IFERROR(__xludf.DUMMYFUNCTION("""COMPUTED_VALUE"""),"Primary_Walkin")</f>
        <v>Primary_Walkin</v>
      </c>
      <c r="E76" s="127">
        <f>IFERROR(__xludf.DUMMYFUNCTION("""COMPUTED_VALUE"""),2.0)</f>
        <v>2</v>
      </c>
      <c r="F76" s="128" t="str">
        <f>IFERROR(__xludf.DUMMYFUNCTION("""COMPUTED_VALUE"""),"Cold")</f>
        <v>Cold</v>
      </c>
      <c r="G76" s="124" t="str">
        <f>IFERROR(__xludf.DUMMYFUNCTION("""COMPUTED_VALUE"""),"GS Foundation")</f>
        <v>GS Foundation</v>
      </c>
      <c r="K76" s="124"/>
      <c r="L76" s="124"/>
      <c r="M76" s="124"/>
      <c r="N76" s="124"/>
      <c r="O76" s="124"/>
      <c r="T76" s="126">
        <f>IFERROR(__xludf.DUMMYFUNCTION("""COMPUTED_VALUE"""),46087.0)</f>
        <v>46087</v>
      </c>
      <c r="U76" s="124" t="str">
        <f>IFERROR(__xludf.DUMMYFUNCTION("""COMPUTED_VALUE"""),"Telephony")</f>
        <v>Telephony</v>
      </c>
      <c r="V76" s="124" t="str">
        <f>IFERROR(__xludf.DUMMYFUNCTION("""COMPUTED_VALUE"""),"Inbound Call")</f>
        <v>Inbound Call</v>
      </c>
      <c r="W76" s="124">
        <f>IFERROR(__xludf.DUMMYFUNCTION("""COMPUTED_VALUE"""),9.18047861633E11)</f>
        <v>918047861633</v>
      </c>
      <c r="X76" s="124" t="str">
        <f>IFERROR(__xludf.DUMMYFUNCTION("""COMPUTED_VALUE"""),"Inbound Call")</f>
        <v>Inbound Call</v>
      </c>
      <c r="Y76" s="124"/>
      <c r="Z76" s="124">
        <f>IFERROR(__xludf.DUMMYFUNCTION("""COMPUTED_VALUE"""),2.0)</f>
        <v>2</v>
      </c>
      <c r="AA76" s="124" t="str">
        <f>IFERROR(__xludf.DUMMYFUNCTION("""COMPUTED_VALUE"""),"Cold")</f>
        <v>Cold</v>
      </c>
      <c r="AB76" s="124"/>
    </row>
    <row r="77">
      <c r="A77" s="126">
        <f>IFERROR(__xludf.DUMMYFUNCTION("""COMPUTED_VALUE"""),46066.0)</f>
        <v>46066</v>
      </c>
      <c r="B77" s="124" t="str">
        <f>IFERROR(__xludf.DUMMYFUNCTION("""COMPUTED_VALUE"""),"Walkin")</f>
        <v>Walkin</v>
      </c>
      <c r="C77" s="124" t="str">
        <f>IFERROR(__xludf.DUMMYFUNCTION("""COMPUTED_VALUE"""),"Delhi")</f>
        <v>Delhi</v>
      </c>
      <c r="D77" s="124" t="str">
        <f>IFERROR(__xludf.DUMMYFUNCTION("""COMPUTED_VALUE"""),"Primary_Walkin")</f>
        <v>Primary_Walkin</v>
      </c>
      <c r="E77" s="127">
        <f>IFERROR(__xludf.DUMMYFUNCTION("""COMPUTED_VALUE"""),3.0)</f>
        <v>3</v>
      </c>
      <c r="F77" s="128" t="str">
        <f>IFERROR(__xludf.DUMMYFUNCTION("""COMPUTED_VALUE"""),"Cold")</f>
        <v>Cold</v>
      </c>
      <c r="G77" s="124" t="str">
        <f>IFERROR(__xludf.DUMMYFUNCTION("""COMPUTED_VALUE"""),"GS Foundation")</f>
        <v>GS Foundation</v>
      </c>
      <c r="K77" s="124"/>
      <c r="L77" s="124"/>
      <c r="M77" s="124"/>
      <c r="N77" s="124"/>
      <c r="O77" s="124"/>
      <c r="T77" s="126">
        <f>IFERROR(__xludf.DUMMYFUNCTION("""COMPUTED_VALUE"""),46063.0)</f>
        <v>46063</v>
      </c>
      <c r="U77" s="124" t="str">
        <f>IFERROR(__xludf.DUMMYFUNCTION("""COMPUTED_VALUE"""),"Telephony")</f>
        <v>Telephony</v>
      </c>
      <c r="V77" s="124" t="str">
        <f>IFERROR(__xludf.DUMMYFUNCTION("""COMPUTED_VALUE"""),"Inbound Call")</f>
        <v>Inbound Call</v>
      </c>
      <c r="W77" s="124" t="str">
        <f>IFERROR(__xludf.DUMMYFUNCTION("""COMPUTED_VALUE"""),"Inbound Call")</f>
        <v>Inbound Call</v>
      </c>
      <c r="X77" s="124" t="str">
        <f>IFERROR(__xludf.DUMMYFUNCTION("""COMPUTED_VALUE"""),"Inbound Call")</f>
        <v>Inbound Call</v>
      </c>
      <c r="Y77" s="124" t="str">
        <f>IFERROR(__xludf.DUMMYFUNCTION("""COMPUTED_VALUE"""),"Indore")</f>
        <v>Indore</v>
      </c>
      <c r="Z77" s="124">
        <f>IFERROR(__xludf.DUMMYFUNCTION("""COMPUTED_VALUE"""),1.0)</f>
        <v>1</v>
      </c>
      <c r="AA77" s="124" t="str">
        <f>IFERROR(__xludf.DUMMYFUNCTION("""COMPUTED_VALUE"""),"Cold")</f>
        <v>Cold</v>
      </c>
      <c r="AB77" s="124" t="str">
        <f>IFERROR(__xludf.DUMMYFUNCTION("""COMPUTED_VALUE"""),"State PCS")</f>
        <v>State PCS</v>
      </c>
    </row>
    <row r="78">
      <c r="A78" s="129">
        <f>IFERROR(__xludf.DUMMYFUNCTION("""COMPUTED_VALUE"""),46044.0)</f>
        <v>46044</v>
      </c>
      <c r="B78" s="124" t="str">
        <f>IFERROR(__xludf.DUMMYFUNCTION("""COMPUTED_VALUE"""),"Walkin")</f>
        <v>Walkin</v>
      </c>
      <c r="C78" s="124" t="str">
        <f>IFERROR(__xludf.DUMMYFUNCTION("""COMPUTED_VALUE"""),"Delhi")</f>
        <v>Delhi</v>
      </c>
      <c r="D78" s="124" t="str">
        <f>IFERROR(__xludf.DUMMYFUNCTION("""COMPUTED_VALUE"""),"Primary_Walkin")</f>
        <v>Primary_Walkin</v>
      </c>
      <c r="E78" s="127">
        <f>IFERROR(__xludf.DUMMYFUNCTION("""COMPUTED_VALUE"""),12.0)</f>
        <v>12</v>
      </c>
      <c r="F78" s="128" t="str">
        <f>IFERROR(__xludf.DUMMYFUNCTION("""COMPUTED_VALUE"""),"Not Interested")</f>
        <v>Not Interested</v>
      </c>
      <c r="G78" s="124" t="str">
        <f>IFERROR(__xludf.DUMMYFUNCTION("""COMPUTED_VALUE"""),"GS Foundation")</f>
        <v>GS Foundation</v>
      </c>
      <c r="K78" s="124"/>
      <c r="L78" s="124"/>
      <c r="M78" s="124"/>
      <c r="N78" s="124"/>
      <c r="O78" s="124"/>
      <c r="T78" s="126">
        <f>IFERROR(__xludf.DUMMYFUNCTION("""COMPUTED_VALUE"""),46051.0)</f>
        <v>46051</v>
      </c>
      <c r="U78" s="124" t="str">
        <f>IFERROR(__xludf.DUMMYFUNCTION("""COMPUTED_VALUE"""),"Telephony")</f>
        <v>Telephony</v>
      </c>
      <c r="V78" s="124" t="str">
        <f>IFERROR(__xludf.DUMMYFUNCTION("""COMPUTED_VALUE"""),"Inbound Call")</f>
        <v>Inbound Call</v>
      </c>
      <c r="W78" s="124">
        <f>IFERROR(__xludf.DUMMYFUNCTION("""COMPUTED_VALUE"""),9.18047861631E11)</f>
        <v>918047861631</v>
      </c>
      <c r="X78" s="124" t="str">
        <f>IFERROR(__xludf.DUMMYFUNCTION("""COMPUTED_VALUE"""),"Inbound Call")</f>
        <v>Inbound Call</v>
      </c>
      <c r="Y78" s="124"/>
      <c r="Z78" s="124">
        <f>IFERROR(__xludf.DUMMYFUNCTION("""COMPUTED_VALUE"""),2.0)</f>
        <v>2</v>
      </c>
      <c r="AA78" s="124" t="str">
        <f>IFERROR(__xludf.DUMMYFUNCTION("""COMPUTED_VALUE"""),"Fake Lead")</f>
        <v>Fake Lead</v>
      </c>
      <c r="AB78" s="124"/>
    </row>
    <row r="79">
      <c r="A79" s="126">
        <f>IFERROR(__xludf.DUMMYFUNCTION("""COMPUTED_VALUE"""),46052.0)</f>
        <v>46052</v>
      </c>
      <c r="B79" s="124" t="str">
        <f>IFERROR(__xludf.DUMMYFUNCTION("""COMPUTED_VALUE"""),"Walkin")</f>
        <v>Walkin</v>
      </c>
      <c r="C79" s="124" t="str">
        <f>IFERROR(__xludf.DUMMYFUNCTION("""COMPUTED_VALUE"""),"Delhi")</f>
        <v>Delhi</v>
      </c>
      <c r="D79" s="124" t="str">
        <f>IFERROR(__xludf.DUMMYFUNCTION("""COMPUTED_VALUE"""),"Primary_Walkin")</f>
        <v>Primary_Walkin</v>
      </c>
      <c r="E79" s="127">
        <f>IFERROR(__xludf.DUMMYFUNCTION("""COMPUTED_VALUE"""),5.0)</f>
        <v>5</v>
      </c>
      <c r="F79" s="128" t="str">
        <f>IFERROR(__xludf.DUMMYFUNCTION("""COMPUTED_VALUE"""),"Future Prospects")</f>
        <v>Future Prospects</v>
      </c>
      <c r="G79" s="124" t="str">
        <f>IFERROR(__xludf.DUMMYFUNCTION("""COMPUTED_VALUE"""),"GS Foundation")</f>
        <v>GS Foundation</v>
      </c>
      <c r="K79" s="124"/>
      <c r="L79" s="124"/>
      <c r="M79" s="124"/>
      <c r="N79" s="124"/>
      <c r="O79" s="124"/>
      <c r="T79" s="126">
        <f>IFERROR(__xludf.DUMMYFUNCTION("""COMPUTED_VALUE"""),46100.0)</f>
        <v>46100</v>
      </c>
      <c r="U79" s="124" t="str">
        <f>IFERROR(__xludf.DUMMYFUNCTION("""COMPUTED_VALUE"""),"Telephony")</f>
        <v>Telephony</v>
      </c>
      <c r="V79" s="124" t="str">
        <f>IFERROR(__xludf.DUMMYFUNCTION("""COMPUTED_VALUE"""),"Inbound Call")</f>
        <v>Inbound Call</v>
      </c>
      <c r="W79" s="124">
        <f>IFERROR(__xludf.DUMMYFUNCTION("""COMPUTED_VALUE"""),9.18047861635E11)</f>
        <v>918047861635</v>
      </c>
      <c r="X79" s="124" t="str">
        <f>IFERROR(__xludf.DUMMYFUNCTION("""COMPUTED_VALUE"""),"Inbound Call")</f>
        <v>Inbound Call</v>
      </c>
      <c r="Y79" s="124" t="str">
        <f>IFERROR(__xludf.DUMMYFUNCTION("""COMPUTED_VALUE"""),"Indore")</f>
        <v>Indore</v>
      </c>
      <c r="Z79" s="124">
        <f>IFERROR(__xludf.DUMMYFUNCTION("""COMPUTED_VALUE"""),1.0)</f>
        <v>1</v>
      </c>
      <c r="AA79" s="124" t="str">
        <f>IFERROR(__xludf.DUMMYFUNCTION("""COMPUTED_VALUE"""),"Not Interested")</f>
        <v>Not Interested</v>
      </c>
      <c r="AB79" s="124" t="str">
        <f>IFERROR(__xludf.DUMMYFUNCTION("""COMPUTED_VALUE"""),"Other")</f>
        <v>Other</v>
      </c>
    </row>
    <row r="80">
      <c r="A80" s="126">
        <f>IFERROR(__xludf.DUMMYFUNCTION("""COMPUTED_VALUE"""),46064.0)</f>
        <v>46064</v>
      </c>
      <c r="B80" s="124" t="str">
        <f>IFERROR(__xludf.DUMMYFUNCTION("""COMPUTED_VALUE"""),"external leads")</f>
        <v>external leads</v>
      </c>
      <c r="C80" s="124" t="str">
        <f>IFERROR(__xludf.DUMMYFUNCTION("""COMPUTED_VALUE"""),"Delhi")</f>
        <v>Delhi</v>
      </c>
      <c r="D80" s="124" t="str">
        <f>IFERROR(__xludf.DUMMYFUNCTION("""COMPUTED_VALUE"""),"Secondary_Walkin")</f>
        <v>Secondary_Walkin</v>
      </c>
      <c r="E80" s="127">
        <f>IFERROR(__xludf.DUMMYFUNCTION("""COMPUTED_VALUE"""),1.0)</f>
        <v>1</v>
      </c>
      <c r="F80" s="128" t="str">
        <f>IFERROR(__xludf.DUMMYFUNCTION("""COMPUTED_VALUE"""),"Cold")</f>
        <v>Cold</v>
      </c>
      <c r="G80" s="124" t="str">
        <f>IFERROR(__xludf.DUMMYFUNCTION("""COMPUTED_VALUE"""),"GS Foundation")</f>
        <v>GS Foundation</v>
      </c>
      <c r="K80" s="124"/>
      <c r="L80" s="124"/>
      <c r="M80" s="124"/>
      <c r="N80" s="124"/>
      <c r="O80" s="124"/>
      <c r="T80" s="126">
        <f>IFERROR(__xludf.DUMMYFUNCTION("""COMPUTED_VALUE"""),46110.0)</f>
        <v>46110</v>
      </c>
      <c r="U80" s="124" t="str">
        <f>IFERROR(__xludf.DUMMYFUNCTION("""COMPUTED_VALUE"""),"Paid Ads")</f>
        <v>Paid Ads</v>
      </c>
      <c r="V80" s="124" t="str">
        <f>IFERROR(__xludf.DUMMYFUNCTION("""COMPUTED_VALUE"""),"Facebook")</f>
        <v>Facebook</v>
      </c>
      <c r="W80" s="124" t="str">
        <f>IFERROR(__xludf.DUMMYFUNCTION("""COMPUTED_VALUE"""),"LeadAd")</f>
        <v>LeadAd</v>
      </c>
      <c r="X80" s="124" t="str">
        <f>IFERROR(__xludf.DUMMYFUNCTION("""COMPUTED_VALUE"""),"Upsc_Offline_Indore_FB_Lead")</f>
        <v>Upsc_Offline_Indore_FB_Lead</v>
      </c>
      <c r="Y80" s="124" t="str">
        <f>IFERROR(__xludf.DUMMYFUNCTION("""COMPUTED_VALUE"""),"Delhi")</f>
        <v>Delhi</v>
      </c>
      <c r="Z80" s="124">
        <f>IFERROR(__xludf.DUMMYFUNCTION("""COMPUTED_VALUE"""),11.0)</f>
        <v>11</v>
      </c>
      <c r="AA80" s="124"/>
      <c r="AB80" s="124"/>
    </row>
    <row r="81">
      <c r="A81" s="126">
        <f>IFERROR(__xludf.DUMMYFUNCTION("""COMPUTED_VALUE"""),46104.0)</f>
        <v>46104</v>
      </c>
      <c r="B81" s="124" t="str">
        <f>IFERROR(__xludf.DUMMYFUNCTION("""COMPUTED_VALUE"""),"Facebook")</f>
        <v>Facebook</v>
      </c>
      <c r="C81" s="124" t="str">
        <f>IFERROR(__xludf.DUMMYFUNCTION("""COMPUTED_VALUE"""),"Delhi")</f>
        <v>Delhi</v>
      </c>
      <c r="D81" s="124" t="str">
        <f>IFERROR(__xludf.DUMMYFUNCTION("""COMPUTED_VALUE"""),"Secondary_Walkin")</f>
        <v>Secondary_Walkin</v>
      </c>
      <c r="E81" s="127">
        <f>IFERROR(__xludf.DUMMYFUNCTION("""COMPUTED_VALUE"""),1.0)</f>
        <v>1</v>
      </c>
      <c r="F81" s="128" t="str">
        <f>IFERROR(__xludf.DUMMYFUNCTION("""COMPUTED_VALUE"""),"Warm")</f>
        <v>Warm</v>
      </c>
      <c r="G81" s="124" t="str">
        <f>IFERROR(__xludf.DUMMYFUNCTION("""COMPUTED_VALUE"""),"GS Foundation")</f>
        <v>GS Foundation</v>
      </c>
      <c r="K81" s="124"/>
      <c r="L81" s="124"/>
      <c r="M81" s="124"/>
      <c r="N81" s="124"/>
      <c r="O81" s="124"/>
      <c r="T81" s="126">
        <f>IFERROR(__xludf.DUMMYFUNCTION("""COMPUTED_VALUE"""),46045.0)</f>
        <v>46045</v>
      </c>
      <c r="U81" s="124" t="str">
        <f>IFERROR(__xludf.DUMMYFUNCTION("""COMPUTED_VALUE"""),"Telephony")</f>
        <v>Telephony</v>
      </c>
      <c r="V81" s="124" t="str">
        <f>IFERROR(__xludf.DUMMYFUNCTION("""COMPUTED_VALUE"""),"Inbound Call")</f>
        <v>Inbound Call</v>
      </c>
      <c r="W81" s="124">
        <f>IFERROR(__xludf.DUMMYFUNCTION("""COMPUTED_VALUE"""),9.18047861635E11)</f>
        <v>918047861635</v>
      </c>
      <c r="X81" s="124" t="str">
        <f>IFERROR(__xludf.DUMMYFUNCTION("""COMPUTED_VALUE"""),"Inbound Call")</f>
        <v>Inbound Call</v>
      </c>
      <c r="Y81" s="124"/>
      <c r="Z81" s="124">
        <f>IFERROR(__xludf.DUMMYFUNCTION("""COMPUTED_VALUE"""),2.0)</f>
        <v>2</v>
      </c>
      <c r="AA81" s="124" t="str">
        <f>IFERROR(__xludf.DUMMYFUNCTION("""COMPUTED_VALUE"""),"Not Interested")</f>
        <v>Not Interested</v>
      </c>
      <c r="AB81" s="124"/>
    </row>
    <row r="82">
      <c r="A82" s="126">
        <f>IFERROR(__xludf.DUMMYFUNCTION("""COMPUTED_VALUE"""),46098.0)</f>
        <v>46098</v>
      </c>
      <c r="B82" s="124" t="str">
        <f>IFERROR(__xludf.DUMMYFUNCTION("""COMPUTED_VALUE"""),"Walk-In")</f>
        <v>Walk-In</v>
      </c>
      <c r="C82" s="124" t="str">
        <f>IFERROR(__xludf.DUMMYFUNCTION("""COMPUTED_VALUE"""),"Delhi")</f>
        <v>Delhi</v>
      </c>
      <c r="D82" s="124" t="str">
        <f>IFERROR(__xludf.DUMMYFUNCTION("""COMPUTED_VALUE"""),"Primary_Walkin")</f>
        <v>Primary_Walkin</v>
      </c>
      <c r="E82" s="127">
        <f>IFERROR(__xludf.DUMMYFUNCTION("""COMPUTED_VALUE"""),1.0)</f>
        <v>1</v>
      </c>
      <c r="F82" s="128" t="str">
        <f>IFERROR(__xludf.DUMMYFUNCTION("""COMPUTED_VALUE"""),"Future Prospects")</f>
        <v>Future Prospects</v>
      </c>
      <c r="G82" s="124" t="str">
        <f>IFERROR(__xludf.DUMMYFUNCTION("""COMPUTED_VALUE"""),"GS Advanced")</f>
        <v>GS Advanced</v>
      </c>
      <c r="K82" s="124"/>
      <c r="L82" s="124"/>
      <c r="M82" s="124"/>
      <c r="N82" s="124"/>
      <c r="O82" s="124"/>
      <c r="T82" s="126">
        <f>IFERROR(__xludf.DUMMYFUNCTION("""COMPUTED_VALUE"""),46078.0)</f>
        <v>46078</v>
      </c>
      <c r="U82" s="124" t="str">
        <f>IFERROR(__xludf.DUMMYFUNCTION("""COMPUTED_VALUE"""),"Telephony")</f>
        <v>Telephony</v>
      </c>
      <c r="V82" s="124" t="str">
        <f>IFERROR(__xludf.DUMMYFUNCTION("""COMPUTED_VALUE"""),"Inbound Call")</f>
        <v>Inbound Call</v>
      </c>
      <c r="W82" s="124">
        <f>IFERROR(__xludf.DUMMYFUNCTION("""COMPUTED_VALUE"""),9.18047861663E11)</f>
        <v>918047861663</v>
      </c>
      <c r="X82" s="124" t="str">
        <f>IFERROR(__xludf.DUMMYFUNCTION("""COMPUTED_VALUE"""),"Inbound Call")</f>
        <v>Inbound Call</v>
      </c>
      <c r="Y82" s="124" t="str">
        <f>IFERROR(__xludf.DUMMYFUNCTION("""COMPUTED_VALUE"""),"Delhi")</f>
        <v>Delhi</v>
      </c>
      <c r="Z82" s="124">
        <f>IFERROR(__xludf.DUMMYFUNCTION("""COMPUTED_VALUE"""),10.0)</f>
        <v>10</v>
      </c>
      <c r="AA82" s="124" t="str">
        <f>IFERROR(__xludf.DUMMYFUNCTION("""COMPUTED_VALUE"""),"Cold")</f>
        <v>Cold</v>
      </c>
      <c r="AB82" s="124"/>
    </row>
    <row r="83">
      <c r="A83" s="126">
        <f>IFERROR(__xludf.DUMMYFUNCTION("""COMPUTED_VALUE"""),46097.0)</f>
        <v>46097</v>
      </c>
      <c r="B83" s="124" t="str">
        <f>IFERROR(__xludf.DUMMYFUNCTION("""COMPUTED_VALUE"""),"Walkin")</f>
        <v>Walkin</v>
      </c>
      <c r="C83" s="124" t="str">
        <f>IFERROR(__xludf.DUMMYFUNCTION("""COMPUTED_VALUE"""),"Delhi")</f>
        <v>Delhi</v>
      </c>
      <c r="D83" s="124" t="str">
        <f>IFERROR(__xludf.DUMMYFUNCTION("""COMPUTED_VALUE"""),"Primary_Walkin")</f>
        <v>Primary_Walkin</v>
      </c>
      <c r="E83" s="127">
        <f>IFERROR(__xludf.DUMMYFUNCTION("""COMPUTED_VALUE"""),5.0)</f>
        <v>5</v>
      </c>
      <c r="F83" s="128" t="str">
        <f>IFERROR(__xludf.DUMMYFUNCTION("""COMPUTED_VALUE"""),"Not Interested")</f>
        <v>Not Interested</v>
      </c>
      <c r="G83" s="124" t="str">
        <f>IFERROR(__xludf.DUMMYFUNCTION("""COMPUTED_VALUE"""),"GS Foundation")</f>
        <v>GS Foundation</v>
      </c>
      <c r="K83" s="124"/>
      <c r="L83" s="124"/>
      <c r="M83" s="124"/>
      <c r="N83" s="124"/>
      <c r="O83" s="124"/>
      <c r="T83" s="126">
        <f>IFERROR(__xludf.DUMMYFUNCTION("""COMPUTED_VALUE"""),46065.0)</f>
        <v>46065</v>
      </c>
      <c r="U83" s="124" t="str">
        <f>IFERROR(__xludf.DUMMYFUNCTION("""COMPUTED_VALUE"""),"Telephony")</f>
        <v>Telephony</v>
      </c>
      <c r="V83" s="124" t="str">
        <f>IFERROR(__xludf.DUMMYFUNCTION("""COMPUTED_VALUE"""),"Inbound Call")</f>
        <v>Inbound Call</v>
      </c>
      <c r="W83" s="124">
        <f>IFERROR(__xludf.DUMMYFUNCTION("""COMPUTED_VALUE"""),9.18047861635E11)</f>
        <v>918047861635</v>
      </c>
      <c r="X83" s="124" t="str">
        <f>IFERROR(__xludf.DUMMYFUNCTION("""COMPUTED_VALUE"""),"Inbound Call")</f>
        <v>Inbound Call</v>
      </c>
      <c r="Y83" s="124" t="str">
        <f>IFERROR(__xludf.DUMMYFUNCTION("""COMPUTED_VALUE"""),"Indore")</f>
        <v>Indore</v>
      </c>
      <c r="Z83" s="124">
        <f>IFERROR(__xludf.DUMMYFUNCTION("""COMPUTED_VALUE"""),1.0)</f>
        <v>1</v>
      </c>
      <c r="AA83" s="124" t="str">
        <f>IFERROR(__xludf.DUMMYFUNCTION("""COMPUTED_VALUE"""),"Cold")</f>
        <v>Cold</v>
      </c>
      <c r="AB83" s="124"/>
    </row>
    <row r="84">
      <c r="A84" s="126">
        <f>IFERROR(__xludf.DUMMYFUNCTION("""COMPUTED_VALUE"""),46081.0)</f>
        <v>46081</v>
      </c>
      <c r="B84" s="124" t="str">
        <f>IFERROR(__xludf.DUMMYFUNCTION("""COMPUTED_VALUE"""),"Walkin")</f>
        <v>Walkin</v>
      </c>
      <c r="C84" s="124" t="str">
        <f>IFERROR(__xludf.DUMMYFUNCTION("""COMPUTED_VALUE"""),"Delhi")</f>
        <v>Delhi</v>
      </c>
      <c r="D84" s="124" t="str">
        <f>IFERROR(__xludf.DUMMYFUNCTION("""COMPUTED_VALUE"""),"Primary_Walkin")</f>
        <v>Primary_Walkin</v>
      </c>
      <c r="E84" s="127">
        <f>IFERROR(__xludf.DUMMYFUNCTION("""COMPUTED_VALUE"""),3.0)</f>
        <v>3</v>
      </c>
      <c r="F84" s="128" t="str">
        <f>IFERROR(__xludf.DUMMYFUNCTION("""COMPUTED_VALUE"""),"Not Interested")</f>
        <v>Not Interested</v>
      </c>
      <c r="G84" s="124" t="str">
        <f>IFERROR(__xludf.DUMMYFUNCTION("""COMPUTED_VALUE"""),"GS Foundation")</f>
        <v>GS Foundation</v>
      </c>
      <c r="K84" s="124"/>
      <c r="L84" s="124"/>
      <c r="M84" s="124"/>
      <c r="N84" s="124"/>
      <c r="O84" s="124"/>
      <c r="T84" s="126">
        <f>IFERROR(__xludf.DUMMYFUNCTION("""COMPUTED_VALUE"""),46089.0)</f>
        <v>46089</v>
      </c>
      <c r="U84" s="124" t="str">
        <f>IFERROR(__xludf.DUMMYFUNCTION("""COMPUTED_VALUE"""),"Telephony")</f>
        <v>Telephony</v>
      </c>
      <c r="V84" s="124" t="str">
        <f>IFERROR(__xludf.DUMMYFUNCTION("""COMPUTED_VALUE"""),"Inbound Call")</f>
        <v>Inbound Call</v>
      </c>
      <c r="W84" s="124">
        <f>IFERROR(__xludf.DUMMYFUNCTION("""COMPUTED_VALUE"""),9.18047861663E11)</f>
        <v>918047861663</v>
      </c>
      <c r="X84" s="124" t="str">
        <f>IFERROR(__xludf.DUMMYFUNCTION("""COMPUTED_VALUE"""),"Inbound Call")</f>
        <v>Inbound Call</v>
      </c>
      <c r="Y84" s="124" t="str">
        <f>IFERROR(__xludf.DUMMYFUNCTION("""COMPUTED_VALUE"""),"Delhi")</f>
        <v>Delhi</v>
      </c>
      <c r="Z84" s="124">
        <f>IFERROR(__xludf.DUMMYFUNCTION("""COMPUTED_VALUE"""),1.0)</f>
        <v>1</v>
      </c>
      <c r="AA84" s="124" t="str">
        <f>IFERROR(__xludf.DUMMYFUNCTION("""COMPUTED_VALUE"""),"Cold")</f>
        <v>Cold</v>
      </c>
      <c r="AB84" s="124" t="str">
        <f>IFERROR(__xludf.DUMMYFUNCTION("""COMPUTED_VALUE"""),"State PCS")</f>
        <v>State PCS</v>
      </c>
    </row>
    <row r="85">
      <c r="A85" s="126">
        <f>IFERROR(__xludf.DUMMYFUNCTION("""COMPUTED_VALUE"""),46065.0)</f>
        <v>46065</v>
      </c>
      <c r="B85" s="124" t="str">
        <f>IFERROR(__xludf.DUMMYFUNCTION("""COMPUTED_VALUE"""),"Events")</f>
        <v>Events</v>
      </c>
      <c r="C85" s="124" t="str">
        <f>IFERROR(__xludf.DUMMYFUNCTION("""COMPUTED_VALUE"""),"Delhi")</f>
        <v>Delhi</v>
      </c>
      <c r="D85" s="124" t="str">
        <f>IFERROR(__xludf.DUMMYFUNCTION("""COMPUTED_VALUE"""),"Secondary_Walkin")</f>
        <v>Secondary_Walkin</v>
      </c>
      <c r="E85" s="127">
        <f>IFERROR(__xludf.DUMMYFUNCTION("""COMPUTED_VALUE"""),1.0)</f>
        <v>1</v>
      </c>
      <c r="F85" s="128" t="str">
        <f>IFERROR(__xludf.DUMMYFUNCTION("""COMPUTED_VALUE"""),"Not Interested")</f>
        <v>Not Interested</v>
      </c>
      <c r="G85" s="124" t="str">
        <f>IFERROR(__xludf.DUMMYFUNCTION("""COMPUTED_VALUE"""),"GS Foundation")</f>
        <v>GS Foundation</v>
      </c>
      <c r="K85" s="124"/>
      <c r="L85" s="124"/>
      <c r="M85" s="124"/>
      <c r="N85" s="124"/>
      <c r="O85" s="124"/>
      <c r="T85" s="126">
        <f>IFERROR(__xludf.DUMMYFUNCTION("""COMPUTED_VALUE"""),46085.0)</f>
        <v>46085</v>
      </c>
      <c r="U85" s="124" t="str">
        <f>IFERROR(__xludf.DUMMYFUNCTION("""COMPUTED_VALUE"""),"Telephony")</f>
        <v>Telephony</v>
      </c>
      <c r="V85" s="124" t="str">
        <f>IFERROR(__xludf.DUMMYFUNCTION("""COMPUTED_VALUE"""),"Inbound Call")</f>
        <v>Inbound Call</v>
      </c>
      <c r="W85" s="124">
        <f>IFERROR(__xludf.DUMMYFUNCTION("""COMPUTED_VALUE"""),9.18047861663E11)</f>
        <v>918047861663</v>
      </c>
      <c r="X85" s="124" t="str">
        <f>IFERROR(__xludf.DUMMYFUNCTION("""COMPUTED_VALUE"""),"Inbound Call")</f>
        <v>Inbound Call</v>
      </c>
      <c r="Y85" s="124" t="str">
        <f>IFERROR(__xludf.DUMMYFUNCTION("""COMPUTED_VALUE"""),"Delhi")</f>
        <v>Delhi</v>
      </c>
      <c r="Z85" s="124">
        <f>IFERROR(__xludf.DUMMYFUNCTION("""COMPUTED_VALUE"""),6.0)</f>
        <v>6</v>
      </c>
      <c r="AA85" s="124" t="str">
        <f>IFERROR(__xludf.DUMMYFUNCTION("""COMPUTED_VALUE"""),"Cold")</f>
        <v>Cold</v>
      </c>
      <c r="AB85" s="124"/>
    </row>
    <row r="86">
      <c r="A86" s="126">
        <f>IFERROR(__xludf.DUMMYFUNCTION("""COMPUTED_VALUE"""),46058.0)</f>
        <v>46058</v>
      </c>
      <c r="B86" s="124" t="str">
        <f>IFERROR(__xludf.DUMMYFUNCTION("""COMPUTED_VALUE"""),"Walkin")</f>
        <v>Walkin</v>
      </c>
      <c r="C86" s="124" t="str">
        <f>IFERROR(__xludf.DUMMYFUNCTION("""COMPUTED_VALUE"""),"Delhi")</f>
        <v>Delhi</v>
      </c>
      <c r="D86" s="124" t="str">
        <f>IFERROR(__xludf.DUMMYFUNCTION("""COMPUTED_VALUE"""),"Primary_Walkin")</f>
        <v>Primary_Walkin</v>
      </c>
      <c r="E86" s="127">
        <f>IFERROR(__xludf.DUMMYFUNCTION("""COMPUTED_VALUE"""),7.0)</f>
        <v>7</v>
      </c>
      <c r="F86" s="128" t="str">
        <f>IFERROR(__xludf.DUMMYFUNCTION("""COMPUTED_VALUE"""),"Not Interested")</f>
        <v>Not Interested</v>
      </c>
      <c r="G86" s="124" t="str">
        <f>IFERROR(__xludf.DUMMYFUNCTION("""COMPUTED_VALUE"""),"GS Foundation")</f>
        <v>GS Foundation</v>
      </c>
      <c r="K86" s="124"/>
      <c r="L86" s="124"/>
      <c r="M86" s="124"/>
      <c r="N86" s="124"/>
      <c r="O86" s="124"/>
      <c r="T86" s="126">
        <f>IFERROR(__xludf.DUMMYFUNCTION("""COMPUTED_VALUE"""),46065.0)</f>
        <v>46065</v>
      </c>
      <c r="U86" s="124" t="str">
        <f>IFERROR(__xludf.DUMMYFUNCTION("""COMPUTED_VALUE"""),"Telephony")</f>
        <v>Telephony</v>
      </c>
      <c r="V86" s="124" t="str">
        <f>IFERROR(__xludf.DUMMYFUNCTION("""COMPUTED_VALUE"""),"Inbound Call")</f>
        <v>Inbound Call</v>
      </c>
      <c r="W86" s="124" t="str">
        <f>IFERROR(__xludf.DUMMYFUNCTION("""COMPUTED_VALUE"""),"Inbound Call")</f>
        <v>Inbound Call</v>
      </c>
      <c r="X86" s="124" t="str">
        <f>IFERROR(__xludf.DUMMYFUNCTION("""COMPUTED_VALUE"""),"Inbound Call")</f>
        <v>Inbound Call</v>
      </c>
      <c r="Y86" s="124" t="str">
        <f>IFERROR(__xludf.DUMMYFUNCTION("""COMPUTED_VALUE"""),"Lucknow")</f>
        <v>Lucknow</v>
      </c>
      <c r="Z86" s="124">
        <f>IFERROR(__xludf.DUMMYFUNCTION("""COMPUTED_VALUE"""),1.0)</f>
        <v>1</v>
      </c>
      <c r="AA86" s="124" t="str">
        <f>IFERROR(__xludf.DUMMYFUNCTION("""COMPUTED_VALUE"""),"Not Interested")</f>
        <v>Not Interested</v>
      </c>
      <c r="AB86" s="124" t="str">
        <f>IFERROR(__xludf.DUMMYFUNCTION("""COMPUTED_VALUE"""),"GS Foundation")</f>
        <v>GS Foundation</v>
      </c>
    </row>
    <row r="87">
      <c r="A87" s="126">
        <f>IFERROR(__xludf.DUMMYFUNCTION("""COMPUTED_VALUE"""),46083.0)</f>
        <v>46083</v>
      </c>
      <c r="B87" s="124" t="str">
        <f>IFERROR(__xludf.DUMMYFUNCTION("""COMPUTED_VALUE"""),"Walkin")</f>
        <v>Walkin</v>
      </c>
      <c r="C87" s="124" t="str">
        <f>IFERROR(__xludf.DUMMYFUNCTION("""COMPUTED_VALUE"""),"Delhi")</f>
        <v>Delhi</v>
      </c>
      <c r="D87" s="124" t="str">
        <f>IFERROR(__xludf.DUMMYFUNCTION("""COMPUTED_VALUE"""),"Primary_Walkin")</f>
        <v>Primary_Walkin</v>
      </c>
      <c r="E87" s="127">
        <f>IFERROR(__xludf.DUMMYFUNCTION("""COMPUTED_VALUE"""),4.0)</f>
        <v>4</v>
      </c>
      <c r="F87" s="128" t="str">
        <f>IFERROR(__xludf.DUMMYFUNCTION("""COMPUTED_VALUE"""),"Not Interested")</f>
        <v>Not Interested</v>
      </c>
      <c r="G87" s="124" t="str">
        <f>IFERROR(__xludf.DUMMYFUNCTION("""COMPUTED_VALUE"""),"GS Foundation")</f>
        <v>GS Foundation</v>
      </c>
      <c r="K87" s="124"/>
      <c r="L87" s="124"/>
      <c r="M87" s="124"/>
      <c r="N87" s="124"/>
      <c r="O87" s="124"/>
      <c r="T87" s="126">
        <f>IFERROR(__xludf.DUMMYFUNCTION("""COMPUTED_VALUE"""),46074.0)</f>
        <v>46074</v>
      </c>
      <c r="U87" s="124" t="str">
        <f>IFERROR(__xludf.DUMMYFUNCTION("""COMPUTED_VALUE"""),"Telephony")</f>
        <v>Telephony</v>
      </c>
      <c r="V87" s="124" t="str">
        <f>IFERROR(__xludf.DUMMYFUNCTION("""COMPUTED_VALUE"""),"Inbound Call")</f>
        <v>Inbound Call</v>
      </c>
      <c r="W87" s="124">
        <f>IFERROR(__xludf.DUMMYFUNCTION("""COMPUTED_VALUE"""),9.18047861635E11)</f>
        <v>918047861635</v>
      </c>
      <c r="X87" s="124" t="str">
        <f>IFERROR(__xludf.DUMMYFUNCTION("""COMPUTED_VALUE"""),"Inbound Call")</f>
        <v>Inbound Call</v>
      </c>
      <c r="Y87" s="124" t="str">
        <f>IFERROR(__xludf.DUMMYFUNCTION("""COMPUTED_VALUE"""),"Indore")</f>
        <v>Indore</v>
      </c>
      <c r="Z87" s="124">
        <f>IFERROR(__xludf.DUMMYFUNCTION("""COMPUTED_VALUE"""),1.0)</f>
        <v>1</v>
      </c>
      <c r="AA87" s="124" t="str">
        <f>IFERROR(__xludf.DUMMYFUNCTION("""COMPUTED_VALUE"""),"Cold")</f>
        <v>Cold</v>
      </c>
      <c r="AB87" s="124"/>
    </row>
    <row r="88">
      <c r="A88" s="129">
        <f>IFERROR(__xludf.DUMMYFUNCTION("""COMPUTED_VALUE"""),46098.0)</f>
        <v>46098</v>
      </c>
      <c r="B88" s="124" t="str">
        <f>IFERROR(__xludf.DUMMYFUNCTION("""COMPUTED_VALUE"""),"Walkin")</f>
        <v>Walkin</v>
      </c>
      <c r="C88" s="124" t="str">
        <f>IFERROR(__xludf.DUMMYFUNCTION("""COMPUTED_VALUE"""),"Delhi")</f>
        <v>Delhi</v>
      </c>
      <c r="D88" s="124" t="str">
        <f>IFERROR(__xludf.DUMMYFUNCTION("""COMPUTED_VALUE"""),"Primary_Walkin")</f>
        <v>Primary_Walkin</v>
      </c>
      <c r="E88" s="127">
        <f>IFERROR(__xludf.DUMMYFUNCTION("""COMPUTED_VALUE"""),3.0)</f>
        <v>3</v>
      </c>
      <c r="F88" s="128" t="str">
        <f>IFERROR(__xludf.DUMMYFUNCTION("""COMPUTED_VALUE"""),"Cold")</f>
        <v>Cold</v>
      </c>
      <c r="G88" s="124" t="str">
        <f>IFERROR(__xludf.DUMMYFUNCTION("""COMPUTED_VALUE"""),"GS Foundation")</f>
        <v>GS Foundation</v>
      </c>
      <c r="K88" s="124"/>
      <c r="L88" s="124"/>
      <c r="M88" s="124"/>
      <c r="N88" s="124"/>
      <c r="O88" s="124"/>
      <c r="T88" s="129">
        <f>IFERROR(__xludf.DUMMYFUNCTION("""COMPUTED_VALUE"""),46054.0)</f>
        <v>46054</v>
      </c>
      <c r="U88" s="124" t="str">
        <f>IFERROR(__xludf.DUMMYFUNCTION("""COMPUTED_VALUE"""),"Telephony")</f>
        <v>Telephony</v>
      </c>
      <c r="V88" s="124" t="str">
        <f>IFERROR(__xludf.DUMMYFUNCTION("""COMPUTED_VALUE"""),"Inbound Call")</f>
        <v>Inbound Call</v>
      </c>
      <c r="W88" s="124" t="str">
        <f>IFERROR(__xludf.DUMMYFUNCTION("""COMPUTED_VALUE"""),"Inbound Call")</f>
        <v>Inbound Call</v>
      </c>
      <c r="X88" s="124" t="str">
        <f>IFERROR(__xludf.DUMMYFUNCTION("""COMPUTED_VALUE"""),"Inbound Call")</f>
        <v>Inbound Call</v>
      </c>
      <c r="Y88" s="124"/>
      <c r="Z88" s="124">
        <f>IFERROR(__xludf.DUMMYFUNCTION("""COMPUTED_VALUE"""),1.0)</f>
        <v>1</v>
      </c>
      <c r="AA88" s="124" t="str">
        <f>IFERROR(__xludf.DUMMYFUNCTION("""COMPUTED_VALUE"""),"Cold")</f>
        <v>Cold</v>
      </c>
      <c r="AB88" s="124" t="str">
        <f>IFERROR(__xludf.DUMMYFUNCTION("""COMPUTED_VALUE"""),"GS Foundation")</f>
        <v>GS Foundation</v>
      </c>
    </row>
    <row r="89">
      <c r="A89" s="126">
        <f>IFERROR(__xludf.DUMMYFUNCTION("""COMPUTED_VALUE"""),46052.0)</f>
        <v>46052</v>
      </c>
      <c r="B89" s="124" t="str">
        <f>IFERROR(__xludf.DUMMYFUNCTION("""COMPUTED_VALUE"""),"Walkin")</f>
        <v>Walkin</v>
      </c>
      <c r="C89" s="124" t="str">
        <f>IFERROR(__xludf.DUMMYFUNCTION("""COMPUTED_VALUE"""),"Delhi")</f>
        <v>Delhi</v>
      </c>
      <c r="D89" s="124" t="str">
        <f>IFERROR(__xludf.DUMMYFUNCTION("""COMPUTED_VALUE"""),"Primary_Walkin")</f>
        <v>Primary_Walkin</v>
      </c>
      <c r="E89" s="127">
        <f>IFERROR(__xludf.DUMMYFUNCTION("""COMPUTED_VALUE"""),2.0)</f>
        <v>2</v>
      </c>
      <c r="F89" s="128" t="str">
        <f>IFERROR(__xludf.DUMMYFUNCTION("""COMPUTED_VALUE"""),"Future Prospects")</f>
        <v>Future Prospects</v>
      </c>
      <c r="G89" s="124" t="str">
        <f>IFERROR(__xludf.DUMMYFUNCTION("""COMPUTED_VALUE"""),"Optionals")</f>
        <v>Optionals</v>
      </c>
      <c r="K89" s="124"/>
      <c r="L89" s="124"/>
      <c r="M89" s="124"/>
      <c r="N89" s="124"/>
      <c r="O89" s="124"/>
      <c r="T89" s="129">
        <f>IFERROR(__xludf.DUMMYFUNCTION("""COMPUTED_VALUE"""),46111.0)</f>
        <v>46111</v>
      </c>
      <c r="U89" s="124" t="str">
        <f>IFERROR(__xludf.DUMMYFUNCTION("""COMPUTED_VALUE"""),"Paid Ads")</f>
        <v>Paid Ads</v>
      </c>
      <c r="V89" s="124" t="str">
        <f>IFERROR(__xludf.DUMMYFUNCTION("""COMPUTED_VALUE"""),"Facebook")</f>
        <v>Facebook</v>
      </c>
      <c r="W89" s="124" t="str">
        <f>IFERROR(__xludf.DUMMYFUNCTION("""COMPUTED_VALUE"""),"LeadAd")</f>
        <v>LeadAd</v>
      </c>
      <c r="X89" s="124" t="str">
        <f>IFERROR(__xludf.DUMMYFUNCTION("""COMPUTED_VALUE"""),"Upsc_offline_925_Video_lead_FB_Deeksha")</f>
        <v>Upsc_offline_925_Video_lead_FB_Deeksha</v>
      </c>
      <c r="Y89" s="124" t="str">
        <f>IFERROR(__xludf.DUMMYFUNCTION("""COMPUTED_VALUE"""),"Delhi")</f>
        <v>Delhi</v>
      </c>
      <c r="Z89" s="124">
        <f>IFERROR(__xludf.DUMMYFUNCTION("""COMPUTED_VALUE"""),3.0)</f>
        <v>3</v>
      </c>
      <c r="AA89" s="124"/>
      <c r="AB89" s="124"/>
    </row>
    <row r="90">
      <c r="A90" s="126">
        <f>IFERROR(__xludf.DUMMYFUNCTION("""COMPUTED_VALUE"""),46086.0)</f>
        <v>46086</v>
      </c>
      <c r="B90" s="124" t="str">
        <f>IFERROR(__xludf.DUMMYFUNCTION("""COMPUTED_VALUE"""),"Walkin")</f>
        <v>Walkin</v>
      </c>
      <c r="C90" s="124" t="str">
        <f>IFERROR(__xludf.DUMMYFUNCTION("""COMPUTED_VALUE"""),"Delhi")</f>
        <v>Delhi</v>
      </c>
      <c r="D90" s="124" t="str">
        <f>IFERROR(__xludf.DUMMYFUNCTION("""COMPUTED_VALUE"""),"Primary_Walkin")</f>
        <v>Primary_Walkin</v>
      </c>
      <c r="E90" s="127">
        <f>IFERROR(__xludf.DUMMYFUNCTION("""COMPUTED_VALUE"""),1.0)</f>
        <v>1</v>
      </c>
      <c r="F90" s="128" t="str">
        <f>IFERROR(__xludf.DUMMYFUNCTION("""COMPUTED_VALUE"""),"Future Prospects")</f>
        <v>Future Prospects</v>
      </c>
      <c r="G90" s="124" t="str">
        <f>IFERROR(__xludf.DUMMYFUNCTION("""COMPUTED_VALUE"""),"GS Foundation")</f>
        <v>GS Foundation</v>
      </c>
      <c r="K90" s="124"/>
      <c r="L90" s="124"/>
      <c r="M90" s="124"/>
      <c r="N90" s="124"/>
      <c r="O90" s="124"/>
      <c r="T90" s="126">
        <f>IFERROR(__xludf.DUMMYFUNCTION("""COMPUTED_VALUE"""),46049.0)</f>
        <v>46049</v>
      </c>
      <c r="U90" s="124" t="str">
        <f>IFERROR(__xludf.DUMMYFUNCTION("""COMPUTED_VALUE"""),"Telephony")</f>
        <v>Telephony</v>
      </c>
      <c r="V90" s="124" t="str">
        <f>IFERROR(__xludf.DUMMYFUNCTION("""COMPUTED_VALUE"""),"Inbound Call")</f>
        <v>Inbound Call</v>
      </c>
      <c r="W90" s="124" t="str">
        <f>IFERROR(__xludf.DUMMYFUNCTION("""COMPUTED_VALUE"""),"Inbound Call")</f>
        <v>Inbound Call</v>
      </c>
      <c r="X90" s="124" t="str">
        <f>IFERROR(__xludf.DUMMYFUNCTION("""COMPUTED_VALUE"""),"Inbound Call")</f>
        <v>Inbound Call</v>
      </c>
      <c r="Y90" s="124"/>
      <c r="Z90" s="124">
        <f>IFERROR(__xludf.DUMMYFUNCTION("""COMPUTED_VALUE"""),1.0)</f>
        <v>1</v>
      </c>
      <c r="AA90" s="124" t="str">
        <f>IFERROR(__xludf.DUMMYFUNCTION("""COMPUTED_VALUE"""),"Cold")</f>
        <v>Cold</v>
      </c>
      <c r="AB90" s="124"/>
    </row>
    <row r="91">
      <c r="A91" s="126">
        <f>IFERROR(__xludf.DUMMYFUNCTION("""COMPUTED_VALUE"""),46074.0)</f>
        <v>46074</v>
      </c>
      <c r="B91" s="124" t="str">
        <f>IFERROR(__xludf.DUMMYFUNCTION("""COMPUTED_VALUE"""),"Walkin")</f>
        <v>Walkin</v>
      </c>
      <c r="C91" s="124" t="str">
        <f>IFERROR(__xludf.DUMMYFUNCTION("""COMPUTED_VALUE"""),"Delhi")</f>
        <v>Delhi</v>
      </c>
      <c r="D91" s="124" t="str">
        <f>IFERROR(__xludf.DUMMYFUNCTION("""COMPUTED_VALUE"""),"Primary_Walkin")</f>
        <v>Primary_Walkin</v>
      </c>
      <c r="E91" s="127">
        <f>IFERROR(__xludf.DUMMYFUNCTION("""COMPUTED_VALUE"""),2.0)</f>
        <v>2</v>
      </c>
      <c r="F91" s="128" t="str">
        <f>IFERROR(__xludf.DUMMYFUNCTION("""COMPUTED_VALUE"""),"Not Interested")</f>
        <v>Not Interested</v>
      </c>
      <c r="G91" s="124" t="str">
        <f>IFERROR(__xludf.DUMMYFUNCTION("""COMPUTED_VALUE"""),"Optionals")</f>
        <v>Optionals</v>
      </c>
      <c r="K91" s="124"/>
      <c r="L91" s="124"/>
      <c r="M91" s="124"/>
      <c r="N91" s="124"/>
      <c r="O91" s="124"/>
      <c r="T91" s="126">
        <f>IFERROR(__xludf.DUMMYFUNCTION("""COMPUTED_VALUE"""),46079.0)</f>
        <v>46079</v>
      </c>
      <c r="U91" s="124" t="str">
        <f>IFERROR(__xludf.DUMMYFUNCTION("""COMPUTED_VALUE"""),"Telephony")</f>
        <v>Telephony</v>
      </c>
      <c r="V91" s="124" t="str">
        <f>IFERROR(__xludf.DUMMYFUNCTION("""COMPUTED_VALUE"""),"Inbound Call")</f>
        <v>Inbound Call</v>
      </c>
      <c r="W91" s="124">
        <f>IFERROR(__xludf.DUMMYFUNCTION("""COMPUTED_VALUE"""),9.18047861663E11)</f>
        <v>918047861663</v>
      </c>
      <c r="X91" s="124" t="str">
        <f>IFERROR(__xludf.DUMMYFUNCTION("""COMPUTED_VALUE"""),"Inbound Call")</f>
        <v>Inbound Call</v>
      </c>
      <c r="Y91" s="124" t="str">
        <f>IFERROR(__xludf.DUMMYFUNCTION("""COMPUTED_VALUE"""),"Delhi")</f>
        <v>Delhi</v>
      </c>
      <c r="Z91" s="124">
        <f>IFERROR(__xludf.DUMMYFUNCTION("""COMPUTED_VALUE"""),1.0)</f>
        <v>1</v>
      </c>
      <c r="AA91" s="124" t="str">
        <f>IFERROR(__xludf.DUMMYFUNCTION("""COMPUTED_VALUE"""),"Fake Lead")</f>
        <v>Fake Lead</v>
      </c>
      <c r="AB91" s="124"/>
    </row>
    <row r="92">
      <c r="A92" s="126">
        <f>IFERROR(__xludf.DUMMYFUNCTION("""COMPUTED_VALUE"""),46105.0)</f>
        <v>46105</v>
      </c>
      <c r="B92" s="124" t="str">
        <f>IFERROR(__xludf.DUMMYFUNCTION("""COMPUTED_VALUE"""),"Facebook")</f>
        <v>Facebook</v>
      </c>
      <c r="C92" s="124" t="str">
        <f>IFERROR(__xludf.DUMMYFUNCTION("""COMPUTED_VALUE"""),"Delhi")</f>
        <v>Delhi</v>
      </c>
      <c r="D92" s="124" t="str">
        <f>IFERROR(__xludf.DUMMYFUNCTION("""COMPUTED_VALUE"""),"Secondary_Walkin")</f>
        <v>Secondary_Walkin</v>
      </c>
      <c r="E92" s="127">
        <f>IFERROR(__xludf.DUMMYFUNCTION("""COMPUTED_VALUE"""),1.0)</f>
        <v>1</v>
      </c>
      <c r="F92" s="128" t="str">
        <f>IFERROR(__xludf.DUMMYFUNCTION("""COMPUTED_VALUE"""),"Enrolled")</f>
        <v>Enrolled</v>
      </c>
      <c r="G92" s="124" t="str">
        <f>IFERROR(__xludf.DUMMYFUNCTION("""COMPUTED_VALUE"""),"GS Foundation")</f>
        <v>GS Foundation</v>
      </c>
      <c r="K92" s="124"/>
      <c r="L92" s="124"/>
      <c r="M92" s="124"/>
      <c r="N92" s="124"/>
      <c r="O92" s="124"/>
      <c r="T92" s="126">
        <f>IFERROR(__xludf.DUMMYFUNCTION("""COMPUTED_VALUE"""),46108.0)</f>
        <v>46108</v>
      </c>
      <c r="U92" s="124" t="str">
        <f>IFERROR(__xludf.DUMMYFUNCTION("""COMPUTED_VALUE"""),"Telephony")</f>
        <v>Telephony</v>
      </c>
      <c r="V92" s="124" t="str">
        <f>IFERROR(__xludf.DUMMYFUNCTION("""COMPUTED_VALUE"""),"Inbound Call")</f>
        <v>Inbound Call</v>
      </c>
      <c r="W92" s="124">
        <f>IFERROR(__xludf.DUMMYFUNCTION("""COMPUTED_VALUE"""),9.18047861633E11)</f>
        <v>918047861633</v>
      </c>
      <c r="X92" s="124" t="str">
        <f>IFERROR(__xludf.DUMMYFUNCTION("""COMPUTED_VALUE"""),"Inbound Call")</f>
        <v>Inbound Call</v>
      </c>
      <c r="Y92" s="124"/>
      <c r="Z92" s="124">
        <f>IFERROR(__xludf.DUMMYFUNCTION("""COMPUTED_VALUE"""),1.0)</f>
        <v>1</v>
      </c>
      <c r="AA92" s="124" t="str">
        <f>IFERROR(__xludf.DUMMYFUNCTION("""COMPUTED_VALUE"""),"Fake Lead")</f>
        <v>Fake Lead</v>
      </c>
      <c r="AB92" s="124"/>
    </row>
    <row r="93">
      <c r="A93" s="126">
        <f>IFERROR(__xludf.DUMMYFUNCTION("""COMPUTED_VALUE"""),46108.0)</f>
        <v>46108</v>
      </c>
      <c r="B93" s="124" t="str">
        <f>IFERROR(__xludf.DUMMYFUNCTION("""COMPUTED_VALUE"""),"Walkin")</f>
        <v>Walkin</v>
      </c>
      <c r="C93" s="124" t="str">
        <f>IFERROR(__xludf.DUMMYFUNCTION("""COMPUTED_VALUE"""),"Delhi")</f>
        <v>Delhi</v>
      </c>
      <c r="D93" s="124" t="str">
        <f>IFERROR(__xludf.DUMMYFUNCTION("""COMPUTED_VALUE"""),"Primary_Walkin")</f>
        <v>Primary_Walkin</v>
      </c>
      <c r="E93" s="127">
        <f>IFERROR(__xludf.DUMMYFUNCTION("""COMPUTED_VALUE"""),1.0)</f>
        <v>1</v>
      </c>
      <c r="F93" s="128" t="str">
        <f>IFERROR(__xludf.DUMMYFUNCTION("""COMPUTED_VALUE"""),"Fake Lead")</f>
        <v>Fake Lead</v>
      </c>
      <c r="G93" s="124" t="str">
        <f>IFERROR(__xludf.DUMMYFUNCTION("""COMPUTED_VALUE"""),"GS Foundation")</f>
        <v>GS Foundation</v>
      </c>
      <c r="K93" s="124"/>
      <c r="L93" s="124"/>
      <c r="M93" s="124"/>
      <c r="N93" s="124"/>
      <c r="O93" s="124"/>
      <c r="T93" s="129">
        <f>IFERROR(__xludf.DUMMYFUNCTION("""COMPUTED_VALUE"""),46080.0)</f>
        <v>46080</v>
      </c>
      <c r="U93" s="124" t="str">
        <f>IFERROR(__xludf.DUMMYFUNCTION("""COMPUTED_VALUE"""),"Telephony")</f>
        <v>Telephony</v>
      </c>
      <c r="V93" s="124" t="str">
        <f>IFERROR(__xludf.DUMMYFUNCTION("""COMPUTED_VALUE"""),"Inbound Call")</f>
        <v>Inbound Call</v>
      </c>
      <c r="W93" s="124">
        <f>IFERROR(__xludf.DUMMYFUNCTION("""COMPUTED_VALUE"""),9.18047861635E11)</f>
        <v>918047861635</v>
      </c>
      <c r="X93" s="124" t="str">
        <f>IFERROR(__xludf.DUMMYFUNCTION("""COMPUTED_VALUE"""),"Inbound Call")</f>
        <v>Inbound Call</v>
      </c>
      <c r="Y93" s="124" t="str">
        <f>IFERROR(__xludf.DUMMYFUNCTION("""COMPUTED_VALUE"""),"Indore")</f>
        <v>Indore</v>
      </c>
      <c r="Z93" s="124">
        <f>IFERROR(__xludf.DUMMYFUNCTION("""COMPUTED_VALUE"""),1.0)</f>
        <v>1</v>
      </c>
      <c r="AA93" s="124" t="str">
        <f>IFERROR(__xludf.DUMMYFUNCTION("""COMPUTED_VALUE"""),"Warm")</f>
        <v>Warm</v>
      </c>
      <c r="AB93" s="124" t="str">
        <f>IFERROR(__xludf.DUMMYFUNCTION("""COMPUTED_VALUE"""),"State PCS")</f>
        <v>State PCS</v>
      </c>
    </row>
    <row r="94">
      <c r="A94" s="126">
        <f>IFERROR(__xludf.DUMMYFUNCTION("""COMPUTED_VALUE"""),46103.0)</f>
        <v>46103</v>
      </c>
      <c r="B94" s="124" t="str">
        <f>IFERROR(__xludf.DUMMYFUNCTION("""COMPUTED_VALUE"""),"Walkin")</f>
        <v>Walkin</v>
      </c>
      <c r="C94" s="124" t="str">
        <f>IFERROR(__xludf.DUMMYFUNCTION("""COMPUTED_VALUE"""),"Delhi")</f>
        <v>Delhi</v>
      </c>
      <c r="D94" s="124" t="str">
        <f>IFERROR(__xludf.DUMMYFUNCTION("""COMPUTED_VALUE"""),"Primary_Walkin")</f>
        <v>Primary_Walkin</v>
      </c>
      <c r="E94" s="127">
        <f>IFERROR(__xludf.DUMMYFUNCTION("""COMPUTED_VALUE"""),3.0)</f>
        <v>3</v>
      </c>
      <c r="F94" s="128" t="str">
        <f>IFERROR(__xludf.DUMMYFUNCTION("""COMPUTED_VALUE"""),"Future Prospects")</f>
        <v>Future Prospects</v>
      </c>
      <c r="G94" s="124" t="str">
        <f>IFERROR(__xludf.DUMMYFUNCTION("""COMPUTED_VALUE"""),"GS Foundation")</f>
        <v>GS Foundation</v>
      </c>
      <c r="K94" s="124"/>
      <c r="L94" s="124"/>
      <c r="M94" s="124"/>
      <c r="N94" s="124"/>
      <c r="O94" s="124"/>
      <c r="T94" s="126">
        <f>IFERROR(__xludf.DUMMYFUNCTION("""COMPUTED_VALUE"""),46051.0)</f>
        <v>46051</v>
      </c>
      <c r="U94" s="124" t="str">
        <f>IFERROR(__xludf.DUMMYFUNCTION("""COMPUTED_VALUE"""),"Telephony")</f>
        <v>Telephony</v>
      </c>
      <c r="V94" s="124" t="str">
        <f>IFERROR(__xludf.DUMMYFUNCTION("""COMPUTED_VALUE"""),"Inbound Call")</f>
        <v>Inbound Call</v>
      </c>
      <c r="W94" s="124">
        <f>IFERROR(__xludf.DUMMYFUNCTION("""COMPUTED_VALUE"""),9.18047861663E11)</f>
        <v>918047861663</v>
      </c>
      <c r="X94" s="124" t="str">
        <f>IFERROR(__xludf.DUMMYFUNCTION("""COMPUTED_VALUE"""),"Inbound Call")</f>
        <v>Inbound Call</v>
      </c>
      <c r="Y94" s="124"/>
      <c r="Z94" s="124">
        <f>IFERROR(__xludf.DUMMYFUNCTION("""COMPUTED_VALUE"""),1.0)</f>
        <v>1</v>
      </c>
      <c r="AA94" s="124" t="str">
        <f>IFERROR(__xludf.DUMMYFUNCTION("""COMPUTED_VALUE"""),"Cold")</f>
        <v>Cold</v>
      </c>
      <c r="AB94" s="124" t="str">
        <f>IFERROR(__xludf.DUMMYFUNCTION("""COMPUTED_VALUE"""),"Test Series")</f>
        <v>Test Series</v>
      </c>
    </row>
    <row r="95">
      <c r="A95" s="126">
        <f>IFERROR(__xludf.DUMMYFUNCTION("""COMPUTED_VALUE"""),46060.0)</f>
        <v>46060</v>
      </c>
      <c r="B95" s="124" t="str">
        <f>IFERROR(__xludf.DUMMYFUNCTION("""COMPUTED_VALUE"""),"Walkin")</f>
        <v>Walkin</v>
      </c>
      <c r="C95" s="124" t="str">
        <f>IFERROR(__xludf.DUMMYFUNCTION("""COMPUTED_VALUE"""),"Delhi")</f>
        <v>Delhi</v>
      </c>
      <c r="D95" s="124" t="str">
        <f>IFERROR(__xludf.DUMMYFUNCTION("""COMPUTED_VALUE"""),"Primary_Walkin")</f>
        <v>Primary_Walkin</v>
      </c>
      <c r="E95" s="127">
        <f>IFERROR(__xludf.DUMMYFUNCTION("""COMPUTED_VALUE"""),5.0)</f>
        <v>5</v>
      </c>
      <c r="F95" s="128" t="str">
        <f>IFERROR(__xludf.DUMMYFUNCTION("""COMPUTED_VALUE"""),"Future Prospects")</f>
        <v>Future Prospects</v>
      </c>
      <c r="G95" s="124" t="str">
        <f>IFERROR(__xludf.DUMMYFUNCTION("""COMPUTED_VALUE"""),"GS Foundation")</f>
        <v>GS Foundation</v>
      </c>
      <c r="K95" s="124"/>
      <c r="L95" s="124"/>
      <c r="M95" s="124"/>
      <c r="N95" s="124"/>
      <c r="O95" s="124"/>
      <c r="T95" s="129">
        <f>IFERROR(__xludf.DUMMYFUNCTION("""COMPUTED_VALUE"""),46110.0)</f>
        <v>46110</v>
      </c>
      <c r="U95" s="124" t="str">
        <f>IFERROR(__xludf.DUMMYFUNCTION("""COMPUTED_VALUE"""),"Telephony")</f>
        <v>Telephony</v>
      </c>
      <c r="V95" s="124" t="str">
        <f>IFERROR(__xludf.DUMMYFUNCTION("""COMPUTED_VALUE"""),"Inbound Call")</f>
        <v>Inbound Call</v>
      </c>
      <c r="W95" s="124">
        <f>IFERROR(__xludf.DUMMYFUNCTION("""COMPUTED_VALUE"""),9.18047861635E11)</f>
        <v>918047861635</v>
      </c>
      <c r="X95" s="124" t="str">
        <f>IFERROR(__xludf.DUMMYFUNCTION("""COMPUTED_VALUE"""),"Inbound Call")</f>
        <v>Inbound Call</v>
      </c>
      <c r="Y95" s="124" t="str">
        <f>IFERROR(__xludf.DUMMYFUNCTION("""COMPUTED_VALUE"""),"Indore")</f>
        <v>Indore</v>
      </c>
      <c r="Z95" s="124">
        <f>IFERROR(__xludf.DUMMYFUNCTION("""COMPUTED_VALUE"""),1.0)</f>
        <v>1</v>
      </c>
      <c r="AA95" s="124" t="str">
        <f>IFERROR(__xludf.DUMMYFUNCTION("""COMPUTED_VALUE"""),"Warm")</f>
        <v>Warm</v>
      </c>
      <c r="AB95" s="124" t="str">
        <f>IFERROR(__xludf.DUMMYFUNCTION("""COMPUTED_VALUE"""),"GS Foundation")</f>
        <v>GS Foundation</v>
      </c>
    </row>
    <row r="96">
      <c r="A96" s="129">
        <f>IFERROR(__xludf.DUMMYFUNCTION("""COMPUTED_VALUE"""),46056.0)</f>
        <v>46056</v>
      </c>
      <c r="B96" s="124" t="str">
        <f>IFERROR(__xludf.DUMMYFUNCTION("""COMPUTED_VALUE"""),"Walkin")</f>
        <v>Walkin</v>
      </c>
      <c r="C96" s="124" t="str">
        <f>IFERROR(__xludf.DUMMYFUNCTION("""COMPUTED_VALUE"""),"Delhi")</f>
        <v>Delhi</v>
      </c>
      <c r="D96" s="124" t="str">
        <f>IFERROR(__xludf.DUMMYFUNCTION("""COMPUTED_VALUE"""),"Primary_Walkin")</f>
        <v>Primary_Walkin</v>
      </c>
      <c r="E96" s="127">
        <f>IFERROR(__xludf.DUMMYFUNCTION("""COMPUTED_VALUE"""),5.0)</f>
        <v>5</v>
      </c>
      <c r="F96" s="128" t="str">
        <f>IFERROR(__xludf.DUMMYFUNCTION("""COMPUTED_VALUE"""),"Cold")</f>
        <v>Cold</v>
      </c>
      <c r="G96" s="124" t="str">
        <f>IFERROR(__xludf.DUMMYFUNCTION("""COMPUTED_VALUE"""),"GS Foundation")</f>
        <v>GS Foundation</v>
      </c>
      <c r="K96" s="124"/>
      <c r="L96" s="124"/>
      <c r="M96" s="124"/>
      <c r="N96" s="124"/>
      <c r="O96" s="124"/>
      <c r="T96" s="126">
        <f>IFERROR(__xludf.DUMMYFUNCTION("""COMPUTED_VALUE"""),46066.0)</f>
        <v>46066</v>
      </c>
      <c r="U96" s="124" t="str">
        <f>IFERROR(__xludf.DUMMYFUNCTION("""COMPUTED_VALUE"""),"Telephony")</f>
        <v>Telephony</v>
      </c>
      <c r="V96" s="124" t="str">
        <f>IFERROR(__xludf.DUMMYFUNCTION("""COMPUTED_VALUE"""),"Inbound Call")</f>
        <v>Inbound Call</v>
      </c>
      <c r="W96" s="124">
        <f>IFERROR(__xludf.DUMMYFUNCTION("""COMPUTED_VALUE"""),9.18047861631E11)</f>
        <v>918047861631</v>
      </c>
      <c r="X96" s="124" t="str">
        <f>IFERROR(__xludf.DUMMYFUNCTION("""COMPUTED_VALUE"""),"Inbound Call")</f>
        <v>Inbound Call</v>
      </c>
      <c r="Y96" s="124"/>
      <c r="Z96" s="124">
        <f>IFERROR(__xludf.DUMMYFUNCTION("""COMPUTED_VALUE"""),1.0)</f>
        <v>1</v>
      </c>
      <c r="AA96" s="124" t="str">
        <f>IFERROR(__xludf.DUMMYFUNCTION("""COMPUTED_VALUE"""),"Cold")</f>
        <v>Cold</v>
      </c>
      <c r="AB96" s="124"/>
    </row>
    <row r="97">
      <c r="A97" s="126">
        <f>IFERROR(__xludf.DUMMYFUNCTION("""COMPUTED_VALUE"""),46076.0)</f>
        <v>46076</v>
      </c>
      <c r="B97" s="124" t="str">
        <f>IFERROR(__xludf.DUMMYFUNCTION("""COMPUTED_VALUE"""),"Walkin")</f>
        <v>Walkin</v>
      </c>
      <c r="C97" s="124" t="str">
        <f>IFERROR(__xludf.DUMMYFUNCTION("""COMPUTED_VALUE"""),"Delhi")</f>
        <v>Delhi</v>
      </c>
      <c r="D97" s="124" t="str">
        <f>IFERROR(__xludf.DUMMYFUNCTION("""COMPUTED_VALUE"""),"Primary_Walkin")</f>
        <v>Primary_Walkin</v>
      </c>
      <c r="E97" s="127">
        <f>IFERROR(__xludf.DUMMYFUNCTION("""COMPUTED_VALUE"""),1.0)</f>
        <v>1</v>
      </c>
      <c r="F97" s="128" t="str">
        <f>IFERROR(__xludf.DUMMYFUNCTION("""COMPUTED_VALUE"""),"Fake Lead")</f>
        <v>Fake Lead</v>
      </c>
      <c r="G97" s="124" t="str">
        <f>IFERROR(__xludf.DUMMYFUNCTION("""COMPUTED_VALUE"""),"GS Foundation")</f>
        <v>GS Foundation</v>
      </c>
      <c r="K97" s="124"/>
      <c r="L97" s="124"/>
      <c r="M97" s="124"/>
      <c r="N97" s="124"/>
      <c r="O97" s="124"/>
      <c r="T97" s="126">
        <f>IFERROR(__xludf.DUMMYFUNCTION("""COMPUTED_VALUE"""),46098.0)</f>
        <v>46098</v>
      </c>
      <c r="U97" s="124" t="str">
        <f>IFERROR(__xludf.DUMMYFUNCTION("""COMPUTED_VALUE"""),"Telephony")</f>
        <v>Telephony</v>
      </c>
      <c r="V97" s="124" t="str">
        <f>IFERROR(__xludf.DUMMYFUNCTION("""COMPUTED_VALUE"""),"Inbound Call")</f>
        <v>Inbound Call</v>
      </c>
      <c r="W97" s="124">
        <f>IFERROR(__xludf.DUMMYFUNCTION("""COMPUTED_VALUE"""),9.18047861635E11)</f>
        <v>918047861635</v>
      </c>
      <c r="X97" s="124" t="str">
        <f>IFERROR(__xludf.DUMMYFUNCTION("""COMPUTED_VALUE"""),"Inbound Call")</f>
        <v>Inbound Call</v>
      </c>
      <c r="Y97" s="124"/>
      <c r="Z97" s="124">
        <f>IFERROR(__xludf.DUMMYFUNCTION("""COMPUTED_VALUE"""),2.0)</f>
        <v>2</v>
      </c>
      <c r="AA97" s="124" t="str">
        <f>IFERROR(__xludf.DUMMYFUNCTION("""COMPUTED_VALUE"""),"Cold")</f>
        <v>Cold</v>
      </c>
      <c r="AB97" s="124"/>
    </row>
    <row r="98">
      <c r="A98" s="129">
        <f>IFERROR(__xludf.DUMMYFUNCTION("""COMPUTED_VALUE"""),46061.0)</f>
        <v>46061</v>
      </c>
      <c r="B98" s="124" t="str">
        <f>IFERROR(__xludf.DUMMYFUNCTION("""COMPUTED_VALUE"""),"Walkin")</f>
        <v>Walkin</v>
      </c>
      <c r="C98" s="124" t="str">
        <f>IFERROR(__xludf.DUMMYFUNCTION("""COMPUTED_VALUE"""),"Delhi")</f>
        <v>Delhi</v>
      </c>
      <c r="D98" s="124" t="str">
        <f>IFERROR(__xludf.DUMMYFUNCTION("""COMPUTED_VALUE"""),"Primary_Walkin")</f>
        <v>Primary_Walkin</v>
      </c>
      <c r="E98" s="127">
        <f>IFERROR(__xludf.DUMMYFUNCTION("""COMPUTED_VALUE"""),11.0)</f>
        <v>11</v>
      </c>
      <c r="F98" s="128" t="str">
        <f>IFERROR(__xludf.DUMMYFUNCTION("""COMPUTED_VALUE"""),"Not Interested")</f>
        <v>Not Interested</v>
      </c>
      <c r="G98" s="124" t="str">
        <f>IFERROR(__xludf.DUMMYFUNCTION("""COMPUTED_VALUE"""),"GS Foundation")</f>
        <v>GS Foundation</v>
      </c>
      <c r="K98" s="124"/>
      <c r="L98" s="124"/>
      <c r="M98" s="124"/>
      <c r="N98" s="124"/>
      <c r="O98" s="124"/>
      <c r="T98" s="126">
        <f>IFERROR(__xludf.DUMMYFUNCTION("""COMPUTED_VALUE"""),46060.0)</f>
        <v>46060</v>
      </c>
      <c r="U98" s="124" t="str">
        <f>IFERROR(__xludf.DUMMYFUNCTION("""COMPUTED_VALUE"""),"Telephony")</f>
        <v>Telephony</v>
      </c>
      <c r="V98" s="124" t="str">
        <f>IFERROR(__xludf.DUMMYFUNCTION("""COMPUTED_VALUE"""),"Inbound Call")</f>
        <v>Inbound Call</v>
      </c>
      <c r="W98" s="124">
        <f>IFERROR(__xludf.DUMMYFUNCTION("""COMPUTED_VALUE"""),9.18047861635E11)</f>
        <v>918047861635</v>
      </c>
      <c r="X98" s="124" t="str">
        <f>IFERROR(__xludf.DUMMYFUNCTION("""COMPUTED_VALUE"""),"Inbound Call")</f>
        <v>Inbound Call</v>
      </c>
      <c r="Y98" s="124" t="str">
        <f>IFERROR(__xludf.DUMMYFUNCTION("""COMPUTED_VALUE"""),"Indore")</f>
        <v>Indore</v>
      </c>
      <c r="Z98" s="124">
        <f>IFERROR(__xludf.DUMMYFUNCTION("""COMPUTED_VALUE"""),1.0)</f>
        <v>1</v>
      </c>
      <c r="AA98" s="124" t="str">
        <f>IFERROR(__xludf.DUMMYFUNCTION("""COMPUTED_VALUE"""),"Enrolled")</f>
        <v>Enrolled</v>
      </c>
      <c r="AB98" s="124" t="str">
        <f>IFERROR(__xludf.DUMMYFUNCTION("""COMPUTED_VALUE"""),"GS Foundation")</f>
        <v>GS Foundation</v>
      </c>
    </row>
    <row r="99">
      <c r="A99" s="126">
        <f>IFERROR(__xludf.DUMMYFUNCTION("""COMPUTED_VALUE"""),46094.0)</f>
        <v>46094</v>
      </c>
      <c r="B99" s="124" t="str">
        <f>IFERROR(__xludf.DUMMYFUNCTION("""COMPUTED_VALUE"""),"external leads")</f>
        <v>external leads</v>
      </c>
      <c r="C99" s="124" t="str">
        <f>IFERROR(__xludf.DUMMYFUNCTION("""COMPUTED_VALUE"""),"Delhi")</f>
        <v>Delhi</v>
      </c>
      <c r="D99" s="124" t="str">
        <f>IFERROR(__xludf.DUMMYFUNCTION("""COMPUTED_VALUE"""),"Secondary_Walkin")</f>
        <v>Secondary_Walkin</v>
      </c>
      <c r="E99" s="127">
        <f>IFERROR(__xludf.DUMMYFUNCTION("""COMPUTED_VALUE"""),1.0)</f>
        <v>1</v>
      </c>
      <c r="F99" s="128" t="str">
        <f>IFERROR(__xludf.DUMMYFUNCTION("""COMPUTED_VALUE"""),"Cold")</f>
        <v>Cold</v>
      </c>
      <c r="G99" s="124" t="str">
        <f>IFERROR(__xludf.DUMMYFUNCTION("""COMPUTED_VALUE"""),"GS Foundation")</f>
        <v>GS Foundation</v>
      </c>
      <c r="K99" s="124"/>
      <c r="L99" s="124"/>
      <c r="M99" s="124"/>
      <c r="N99" s="124"/>
      <c r="O99" s="124"/>
      <c r="T99" s="126">
        <f>IFERROR(__xludf.DUMMYFUNCTION("""COMPUTED_VALUE"""),46111.0)</f>
        <v>46111</v>
      </c>
      <c r="U99" s="124" t="str">
        <f>IFERROR(__xludf.DUMMYFUNCTION("""COMPUTED_VALUE"""),"Telephony")</f>
        <v>Telephony</v>
      </c>
      <c r="V99" s="124" t="str">
        <f>IFERROR(__xludf.DUMMYFUNCTION("""COMPUTED_VALUE"""),"Inbound Call")</f>
        <v>Inbound Call</v>
      </c>
      <c r="W99" s="124">
        <f>IFERROR(__xludf.DUMMYFUNCTION("""COMPUTED_VALUE"""),9.18047861663E11)</f>
        <v>918047861663</v>
      </c>
      <c r="X99" s="124" t="str">
        <f>IFERROR(__xludf.DUMMYFUNCTION("""COMPUTED_VALUE"""),"Inbound Call")</f>
        <v>Inbound Call</v>
      </c>
      <c r="Y99" s="124"/>
      <c r="Z99" s="124">
        <f>IFERROR(__xludf.DUMMYFUNCTION("""COMPUTED_VALUE"""),4.0)</f>
        <v>4</v>
      </c>
      <c r="AA99" s="124" t="str">
        <f>IFERROR(__xludf.DUMMYFUNCTION("""COMPUTED_VALUE"""),"Cold")</f>
        <v>Cold</v>
      </c>
      <c r="AB99" s="124"/>
    </row>
    <row r="100">
      <c r="A100" s="129">
        <f>IFERROR(__xludf.DUMMYFUNCTION("""COMPUTED_VALUE"""),46062.0)</f>
        <v>46062</v>
      </c>
      <c r="B100" s="124" t="str">
        <f>IFERROR(__xludf.DUMMYFUNCTION("""COMPUTED_VALUE"""),"Walkin")</f>
        <v>Walkin</v>
      </c>
      <c r="C100" s="124" t="str">
        <f>IFERROR(__xludf.DUMMYFUNCTION("""COMPUTED_VALUE"""),"Delhi")</f>
        <v>Delhi</v>
      </c>
      <c r="D100" s="124" t="str">
        <f>IFERROR(__xludf.DUMMYFUNCTION("""COMPUTED_VALUE"""),"Primary_Walkin")</f>
        <v>Primary_Walkin</v>
      </c>
      <c r="E100" s="127">
        <f>IFERROR(__xludf.DUMMYFUNCTION("""COMPUTED_VALUE"""),5.0)</f>
        <v>5</v>
      </c>
      <c r="F100" s="128" t="str">
        <f>IFERROR(__xludf.DUMMYFUNCTION("""COMPUTED_VALUE"""),"Cold")</f>
        <v>Cold</v>
      </c>
      <c r="G100" s="124" t="str">
        <f>IFERROR(__xludf.DUMMYFUNCTION("""COMPUTED_VALUE"""),"GS Foundation")</f>
        <v>GS Foundation</v>
      </c>
      <c r="K100" s="124"/>
      <c r="L100" s="124"/>
      <c r="M100" s="124"/>
      <c r="N100" s="124"/>
      <c r="O100" s="124"/>
      <c r="T100" s="126">
        <f>IFERROR(__xludf.DUMMYFUNCTION("""COMPUTED_VALUE"""),46064.0)</f>
        <v>46064</v>
      </c>
      <c r="U100" s="124" t="str">
        <f>IFERROR(__xludf.DUMMYFUNCTION("""COMPUTED_VALUE"""),"Telephony")</f>
        <v>Telephony</v>
      </c>
      <c r="V100" s="124" t="str">
        <f>IFERROR(__xludf.DUMMYFUNCTION("""COMPUTED_VALUE"""),"Inbound Call")</f>
        <v>Inbound Call</v>
      </c>
      <c r="W100" s="124">
        <f>IFERROR(__xludf.DUMMYFUNCTION("""COMPUTED_VALUE"""),9.18047861663E11)</f>
        <v>918047861663</v>
      </c>
      <c r="X100" s="124" t="str">
        <f>IFERROR(__xludf.DUMMYFUNCTION("""COMPUTED_VALUE"""),"Inbound Call")</f>
        <v>Inbound Call</v>
      </c>
      <c r="Y100" s="124"/>
      <c r="Z100" s="124">
        <f>IFERROR(__xludf.DUMMYFUNCTION("""COMPUTED_VALUE"""),1.0)</f>
        <v>1</v>
      </c>
      <c r="AA100" s="124" t="str">
        <f>IFERROR(__xludf.DUMMYFUNCTION("""COMPUTED_VALUE"""),"Cold")</f>
        <v>Cold</v>
      </c>
      <c r="AB100" s="124"/>
    </row>
    <row r="101">
      <c r="A101" s="126">
        <f>IFERROR(__xludf.DUMMYFUNCTION("""COMPUTED_VALUE"""),46057.0)</f>
        <v>46057</v>
      </c>
      <c r="B101" s="124" t="str">
        <f>IFERROR(__xludf.DUMMYFUNCTION("""COMPUTED_VALUE"""),"Walkin")</f>
        <v>Walkin</v>
      </c>
      <c r="C101" s="124" t="str">
        <f>IFERROR(__xludf.DUMMYFUNCTION("""COMPUTED_VALUE"""),"Delhi")</f>
        <v>Delhi</v>
      </c>
      <c r="D101" s="124" t="str">
        <f>IFERROR(__xludf.DUMMYFUNCTION("""COMPUTED_VALUE"""),"Primary_Walkin")</f>
        <v>Primary_Walkin</v>
      </c>
      <c r="E101" s="127">
        <f>IFERROR(__xludf.DUMMYFUNCTION("""COMPUTED_VALUE"""),3.0)</f>
        <v>3</v>
      </c>
      <c r="F101" s="128" t="str">
        <f>IFERROR(__xludf.DUMMYFUNCTION("""COMPUTED_VALUE"""),"Not Interested")</f>
        <v>Not Interested</v>
      </c>
      <c r="G101" s="124" t="str">
        <f>IFERROR(__xludf.DUMMYFUNCTION("""COMPUTED_VALUE"""),"GS Foundation")</f>
        <v>GS Foundation</v>
      </c>
      <c r="K101" s="124"/>
      <c r="L101" s="124"/>
      <c r="M101" s="124"/>
      <c r="N101" s="124"/>
      <c r="O101" s="124"/>
      <c r="T101" s="126">
        <f>IFERROR(__xludf.DUMMYFUNCTION("""COMPUTED_VALUE"""),46047.0)</f>
        <v>46047</v>
      </c>
      <c r="U101" s="124" t="str">
        <f>IFERROR(__xludf.DUMMYFUNCTION("""COMPUTED_VALUE"""),"Telephony")</f>
        <v>Telephony</v>
      </c>
      <c r="V101" s="124" t="str">
        <f>IFERROR(__xludf.DUMMYFUNCTION("""COMPUTED_VALUE"""),"Inbound Call")</f>
        <v>Inbound Call</v>
      </c>
      <c r="W101" s="124">
        <f>IFERROR(__xludf.DUMMYFUNCTION("""COMPUTED_VALUE"""),9.18047861663E11)</f>
        <v>918047861663</v>
      </c>
      <c r="X101" s="124" t="str">
        <f>IFERROR(__xludf.DUMMYFUNCTION("""COMPUTED_VALUE"""),"Inbound Call")</f>
        <v>Inbound Call</v>
      </c>
      <c r="Y101" s="124" t="str">
        <f>IFERROR(__xludf.DUMMYFUNCTION("""COMPUTED_VALUE"""),"Delhi")</f>
        <v>Delhi</v>
      </c>
      <c r="Z101" s="124">
        <f>IFERROR(__xludf.DUMMYFUNCTION("""COMPUTED_VALUE"""),2.0)</f>
        <v>2</v>
      </c>
      <c r="AA101" s="124" t="str">
        <f>IFERROR(__xludf.DUMMYFUNCTION("""COMPUTED_VALUE"""),"Cold")</f>
        <v>Cold</v>
      </c>
      <c r="AB101" s="124" t="str">
        <f>IFERROR(__xludf.DUMMYFUNCTION("""COMPUTED_VALUE"""),"State PCS")</f>
        <v>State PCS</v>
      </c>
    </row>
    <row r="102">
      <c r="A102" s="126">
        <f>IFERROR(__xludf.DUMMYFUNCTION("""COMPUTED_VALUE"""),46093.0)</f>
        <v>46093</v>
      </c>
      <c r="B102" s="124" t="str">
        <f>IFERROR(__xludf.DUMMYFUNCTION("""COMPUTED_VALUE"""),"Walkin")</f>
        <v>Walkin</v>
      </c>
      <c r="C102" s="124" t="str">
        <f>IFERROR(__xludf.DUMMYFUNCTION("""COMPUTED_VALUE"""),"Delhi")</f>
        <v>Delhi</v>
      </c>
      <c r="D102" s="124" t="str">
        <f>IFERROR(__xludf.DUMMYFUNCTION("""COMPUTED_VALUE"""),"Primary_Walkin")</f>
        <v>Primary_Walkin</v>
      </c>
      <c r="E102" s="127">
        <f>IFERROR(__xludf.DUMMYFUNCTION("""COMPUTED_VALUE"""),3.0)</f>
        <v>3</v>
      </c>
      <c r="F102" s="128" t="str">
        <f>IFERROR(__xludf.DUMMYFUNCTION("""COMPUTED_VALUE"""),"Future Prospects")</f>
        <v>Future Prospects</v>
      </c>
      <c r="G102" s="124" t="str">
        <f>IFERROR(__xludf.DUMMYFUNCTION("""COMPUTED_VALUE"""),"GS Foundation")</f>
        <v>GS Foundation</v>
      </c>
      <c r="K102" s="124"/>
      <c r="L102" s="124"/>
      <c r="M102" s="124"/>
      <c r="N102" s="124"/>
      <c r="O102" s="124"/>
      <c r="T102" s="126">
        <f>IFERROR(__xludf.DUMMYFUNCTION("""COMPUTED_VALUE"""),46113.0)</f>
        <v>46113</v>
      </c>
      <c r="U102" s="124" t="str">
        <f>IFERROR(__xludf.DUMMYFUNCTION("""COMPUTED_VALUE"""),"Paid Ads")</f>
        <v>Paid Ads</v>
      </c>
      <c r="V102" s="124" t="str">
        <f>IFERROR(__xludf.DUMMYFUNCTION("""COMPUTED_VALUE"""),"Facebook")</f>
        <v>Facebook</v>
      </c>
      <c r="W102" s="124" t="str">
        <f>IFERROR(__xludf.DUMMYFUNCTION("""COMPUTED_VALUE"""),"LeadAd")</f>
        <v>LeadAd</v>
      </c>
      <c r="X102" s="124" t="str">
        <f>IFERROR(__xludf.DUMMYFUNCTION("""COMPUTED_VALUE"""),"Upsc_Offline_Indore_FB_Lead")</f>
        <v>Upsc_Offline_Indore_FB_Lead</v>
      </c>
      <c r="Y102" s="124"/>
      <c r="Z102" s="124">
        <f>IFERROR(__xludf.DUMMYFUNCTION("""COMPUTED_VALUE"""),1.0)</f>
        <v>1</v>
      </c>
      <c r="AA102" s="124"/>
      <c r="AB102" s="124"/>
    </row>
    <row r="103">
      <c r="A103" s="126">
        <f>IFERROR(__xludf.DUMMYFUNCTION("""COMPUTED_VALUE"""),46112.0)</f>
        <v>46112</v>
      </c>
      <c r="B103" s="124" t="str">
        <f>IFERROR(__xludf.DUMMYFUNCTION("""COMPUTED_VALUE"""),"Walkin")</f>
        <v>Walkin</v>
      </c>
      <c r="C103" s="124" t="str">
        <f>IFERROR(__xludf.DUMMYFUNCTION("""COMPUTED_VALUE"""),"Delhi")</f>
        <v>Delhi</v>
      </c>
      <c r="D103" s="124" t="str">
        <f>IFERROR(__xludf.DUMMYFUNCTION("""COMPUTED_VALUE"""),"Primary_Walkin")</f>
        <v>Primary_Walkin</v>
      </c>
      <c r="E103" s="127">
        <f>IFERROR(__xludf.DUMMYFUNCTION("""COMPUTED_VALUE"""),1.0)</f>
        <v>1</v>
      </c>
      <c r="F103" s="128" t="str">
        <f>IFERROR(__xludf.DUMMYFUNCTION("""COMPUTED_VALUE"""),"Not Interested")</f>
        <v>Not Interested</v>
      </c>
      <c r="G103" s="124" t="str">
        <f>IFERROR(__xludf.DUMMYFUNCTION("""COMPUTED_VALUE"""),"GS Advanced")</f>
        <v>GS Advanced</v>
      </c>
      <c r="K103" s="124"/>
      <c r="L103" s="124"/>
      <c r="M103" s="124"/>
      <c r="N103" s="124"/>
      <c r="O103" s="124"/>
      <c r="T103" s="126">
        <f>IFERROR(__xludf.DUMMYFUNCTION("""COMPUTED_VALUE"""),46049.0)</f>
        <v>46049</v>
      </c>
      <c r="U103" s="124" t="str">
        <f>IFERROR(__xludf.DUMMYFUNCTION("""COMPUTED_VALUE"""),"Telephony")</f>
        <v>Telephony</v>
      </c>
      <c r="V103" s="124" t="str">
        <f>IFERROR(__xludf.DUMMYFUNCTION("""COMPUTED_VALUE"""),"Inbound Call")</f>
        <v>Inbound Call</v>
      </c>
      <c r="W103" s="124">
        <f>IFERROR(__xludf.DUMMYFUNCTION("""COMPUTED_VALUE"""),9.18047861663E11)</f>
        <v>918047861663</v>
      </c>
      <c r="X103" s="124" t="str">
        <f>IFERROR(__xludf.DUMMYFUNCTION("""COMPUTED_VALUE"""),"Inbound Call")</f>
        <v>Inbound Call</v>
      </c>
      <c r="Y103" s="124"/>
      <c r="Z103" s="124">
        <f>IFERROR(__xludf.DUMMYFUNCTION("""COMPUTED_VALUE"""),15.0)</f>
        <v>15</v>
      </c>
      <c r="AA103" s="124" t="str">
        <f>IFERROR(__xludf.DUMMYFUNCTION("""COMPUTED_VALUE"""),"Cold")</f>
        <v>Cold</v>
      </c>
      <c r="AB103" s="124"/>
    </row>
    <row r="104">
      <c r="A104" s="126">
        <f>IFERROR(__xludf.DUMMYFUNCTION("""COMPUTED_VALUE"""),46067.0)</f>
        <v>46067</v>
      </c>
      <c r="B104" s="124" t="str">
        <f>IFERROR(__xludf.DUMMYFUNCTION("""COMPUTED_VALUE"""),"Walkin")</f>
        <v>Walkin</v>
      </c>
      <c r="C104" s="124" t="str">
        <f>IFERROR(__xludf.DUMMYFUNCTION("""COMPUTED_VALUE"""),"Delhi")</f>
        <v>Delhi</v>
      </c>
      <c r="D104" s="124" t="str">
        <f>IFERROR(__xludf.DUMMYFUNCTION("""COMPUTED_VALUE"""),"Primary_Walkin")</f>
        <v>Primary_Walkin</v>
      </c>
      <c r="E104" s="127">
        <f>IFERROR(__xludf.DUMMYFUNCTION("""COMPUTED_VALUE"""),1.0)</f>
        <v>1</v>
      </c>
      <c r="F104" s="128" t="str">
        <f>IFERROR(__xludf.DUMMYFUNCTION("""COMPUTED_VALUE"""),"Cold")</f>
        <v>Cold</v>
      </c>
      <c r="G104" s="124" t="str">
        <f>IFERROR(__xludf.DUMMYFUNCTION("""COMPUTED_VALUE"""),"GS Foundation")</f>
        <v>GS Foundation</v>
      </c>
      <c r="K104" s="124"/>
      <c r="L104" s="124"/>
      <c r="M104" s="124"/>
      <c r="N104" s="124"/>
      <c r="O104" s="124"/>
      <c r="T104" s="129">
        <f>IFERROR(__xludf.DUMMYFUNCTION("""COMPUTED_VALUE"""),46055.0)</f>
        <v>46055</v>
      </c>
      <c r="U104" s="124" t="str">
        <f>IFERROR(__xludf.DUMMYFUNCTION("""COMPUTED_VALUE"""),"Telephony")</f>
        <v>Telephony</v>
      </c>
      <c r="V104" s="124" t="str">
        <f>IFERROR(__xludf.DUMMYFUNCTION("""COMPUTED_VALUE"""),"Inbound Call")</f>
        <v>Inbound Call</v>
      </c>
      <c r="W104" s="124">
        <f>IFERROR(__xludf.DUMMYFUNCTION("""COMPUTED_VALUE"""),9.18047861663E11)</f>
        <v>918047861663</v>
      </c>
      <c r="X104" s="124" t="str">
        <f>IFERROR(__xludf.DUMMYFUNCTION("""COMPUTED_VALUE"""),"Inbound Call")</f>
        <v>Inbound Call</v>
      </c>
      <c r="Y104" s="124"/>
      <c r="Z104" s="124">
        <f>IFERROR(__xludf.DUMMYFUNCTION("""COMPUTED_VALUE"""),10.0)</f>
        <v>10</v>
      </c>
      <c r="AA104" s="124" t="str">
        <f>IFERROR(__xludf.DUMMYFUNCTION("""COMPUTED_VALUE"""),"Cold")</f>
        <v>Cold</v>
      </c>
      <c r="AB104" s="124"/>
    </row>
    <row r="105">
      <c r="A105" s="126">
        <f>IFERROR(__xludf.DUMMYFUNCTION("""COMPUTED_VALUE"""),46100.0)</f>
        <v>46100</v>
      </c>
      <c r="B105" s="124" t="str">
        <f>IFERROR(__xludf.DUMMYFUNCTION("""COMPUTED_VALUE"""),"Walkin")</f>
        <v>Walkin</v>
      </c>
      <c r="C105" s="124" t="str">
        <f>IFERROR(__xludf.DUMMYFUNCTION("""COMPUTED_VALUE"""),"Delhi")</f>
        <v>Delhi</v>
      </c>
      <c r="D105" s="124" t="str">
        <f>IFERROR(__xludf.DUMMYFUNCTION("""COMPUTED_VALUE"""),"Primary_Walkin")</f>
        <v>Primary_Walkin</v>
      </c>
      <c r="E105" s="127">
        <f>IFERROR(__xludf.DUMMYFUNCTION("""COMPUTED_VALUE"""),1.0)</f>
        <v>1</v>
      </c>
      <c r="F105" s="128" t="str">
        <f>IFERROR(__xludf.DUMMYFUNCTION("""COMPUTED_VALUE"""),"Not Interested")</f>
        <v>Not Interested</v>
      </c>
      <c r="G105" s="124" t="str">
        <f>IFERROR(__xludf.DUMMYFUNCTION("""COMPUTED_VALUE"""),"Prelims Crash Course - SIP")</f>
        <v>Prelims Crash Course - SIP</v>
      </c>
      <c r="K105" s="124"/>
      <c r="L105" s="124"/>
      <c r="M105" s="124"/>
      <c r="N105" s="124"/>
      <c r="O105" s="124"/>
      <c r="T105" s="126">
        <f>IFERROR(__xludf.DUMMYFUNCTION("""COMPUTED_VALUE"""),46110.0)</f>
        <v>46110</v>
      </c>
      <c r="U105" s="124" t="str">
        <f>IFERROR(__xludf.DUMMYFUNCTION("""COMPUTED_VALUE"""),"Telephony")</f>
        <v>Telephony</v>
      </c>
      <c r="V105" s="124" t="str">
        <f>IFERROR(__xludf.DUMMYFUNCTION("""COMPUTED_VALUE"""),"Inbound Call")</f>
        <v>Inbound Call</v>
      </c>
      <c r="W105" s="124">
        <f>IFERROR(__xludf.DUMMYFUNCTION("""COMPUTED_VALUE"""),9.18047861663E11)</f>
        <v>918047861663</v>
      </c>
      <c r="X105" s="124" t="str">
        <f>IFERROR(__xludf.DUMMYFUNCTION("""COMPUTED_VALUE"""),"Inbound Call")</f>
        <v>Inbound Call</v>
      </c>
      <c r="Y105" s="124"/>
      <c r="Z105" s="124">
        <f>IFERROR(__xludf.DUMMYFUNCTION("""COMPUTED_VALUE"""),1.0)</f>
        <v>1</v>
      </c>
      <c r="AA105" s="124" t="str">
        <f>IFERROR(__xludf.DUMMYFUNCTION("""COMPUTED_VALUE"""),"Warm")</f>
        <v>Warm</v>
      </c>
      <c r="AB105" s="124"/>
    </row>
    <row r="106">
      <c r="A106" s="126">
        <f>IFERROR(__xludf.DUMMYFUNCTION("""COMPUTED_VALUE"""),46054.0)</f>
        <v>46054</v>
      </c>
      <c r="B106" s="124" t="str">
        <f>IFERROR(__xludf.DUMMYFUNCTION("""COMPUTED_VALUE"""),"Walkin")</f>
        <v>Walkin</v>
      </c>
      <c r="C106" s="124" t="str">
        <f>IFERROR(__xludf.DUMMYFUNCTION("""COMPUTED_VALUE"""),"Delhi")</f>
        <v>Delhi</v>
      </c>
      <c r="D106" s="124" t="str">
        <f>IFERROR(__xludf.DUMMYFUNCTION("""COMPUTED_VALUE"""),"Primary_Walkin")</f>
        <v>Primary_Walkin</v>
      </c>
      <c r="E106" s="127">
        <f>IFERROR(__xludf.DUMMYFUNCTION("""COMPUTED_VALUE"""),9.0)</f>
        <v>9</v>
      </c>
      <c r="F106" s="128" t="str">
        <f>IFERROR(__xludf.DUMMYFUNCTION("""COMPUTED_VALUE"""),"Cold")</f>
        <v>Cold</v>
      </c>
      <c r="G106" s="124" t="str">
        <f>IFERROR(__xludf.DUMMYFUNCTION("""COMPUTED_VALUE"""),"GS Foundation")</f>
        <v>GS Foundation</v>
      </c>
      <c r="K106" s="124"/>
      <c r="L106" s="124"/>
      <c r="M106" s="124"/>
      <c r="N106" s="124"/>
      <c r="O106" s="124"/>
      <c r="T106" s="126">
        <f>IFERROR(__xludf.DUMMYFUNCTION("""COMPUTED_VALUE"""),46069.0)</f>
        <v>46069</v>
      </c>
      <c r="U106" s="124" t="str">
        <f>IFERROR(__xludf.DUMMYFUNCTION("""COMPUTED_VALUE"""),"Telephony")</f>
        <v>Telephony</v>
      </c>
      <c r="V106" s="124" t="str">
        <f>IFERROR(__xludf.DUMMYFUNCTION("""COMPUTED_VALUE"""),"Inbound Call")</f>
        <v>Inbound Call</v>
      </c>
      <c r="W106" s="124">
        <f>IFERROR(__xludf.DUMMYFUNCTION("""COMPUTED_VALUE"""),9.18047861635E11)</f>
        <v>918047861635</v>
      </c>
      <c r="X106" s="124" t="str">
        <f>IFERROR(__xludf.DUMMYFUNCTION("""COMPUTED_VALUE"""),"Inbound Call")</f>
        <v>Inbound Call</v>
      </c>
      <c r="Y106" s="124" t="str">
        <f>IFERROR(__xludf.DUMMYFUNCTION("""COMPUTED_VALUE"""),"Indore")</f>
        <v>Indore</v>
      </c>
      <c r="Z106" s="124">
        <f>IFERROR(__xludf.DUMMYFUNCTION("""COMPUTED_VALUE"""),1.0)</f>
        <v>1</v>
      </c>
      <c r="AA106" s="124" t="str">
        <f>IFERROR(__xludf.DUMMYFUNCTION("""COMPUTED_VALUE"""),"Not Interested")</f>
        <v>Not Interested</v>
      </c>
      <c r="AB106" s="124"/>
    </row>
    <row r="107">
      <c r="A107" s="126">
        <f>IFERROR(__xludf.DUMMYFUNCTION("""COMPUTED_VALUE"""),46067.0)</f>
        <v>46067</v>
      </c>
      <c r="B107" s="124" t="str">
        <f>IFERROR(__xludf.DUMMYFUNCTION("""COMPUTED_VALUE"""),"Walk-In")</f>
        <v>Walk-In</v>
      </c>
      <c r="C107" s="124" t="str">
        <f>IFERROR(__xludf.DUMMYFUNCTION("""COMPUTED_VALUE"""),"Delhi")</f>
        <v>Delhi</v>
      </c>
      <c r="D107" s="124" t="str">
        <f>IFERROR(__xludf.DUMMYFUNCTION("""COMPUTED_VALUE"""),"Primary_Walkin")</f>
        <v>Primary_Walkin</v>
      </c>
      <c r="E107" s="127">
        <f>IFERROR(__xludf.DUMMYFUNCTION("""COMPUTED_VALUE"""),1.0)</f>
        <v>1</v>
      </c>
      <c r="F107" s="128" t="str">
        <f>IFERROR(__xludf.DUMMYFUNCTION("""COMPUTED_VALUE"""),"Cold")</f>
        <v>Cold</v>
      </c>
      <c r="G107" s="124" t="str">
        <f>IFERROR(__xludf.DUMMYFUNCTION("""COMPUTED_VALUE"""),"Optionals")</f>
        <v>Optionals</v>
      </c>
      <c r="K107" s="124"/>
      <c r="L107" s="124"/>
      <c r="M107" s="124"/>
      <c r="N107" s="124"/>
      <c r="O107" s="124"/>
      <c r="T107" s="126">
        <f>IFERROR(__xludf.DUMMYFUNCTION("""COMPUTED_VALUE"""),46080.0)</f>
        <v>46080</v>
      </c>
      <c r="U107" s="124" t="str">
        <f>IFERROR(__xludf.DUMMYFUNCTION("""COMPUTED_VALUE"""),"Telephony")</f>
        <v>Telephony</v>
      </c>
      <c r="V107" s="124" t="str">
        <f>IFERROR(__xludf.DUMMYFUNCTION("""COMPUTED_VALUE"""),"Inbound Call")</f>
        <v>Inbound Call</v>
      </c>
      <c r="W107" s="124" t="str">
        <f>IFERROR(__xludf.DUMMYFUNCTION("""COMPUTED_VALUE"""),"Inbound Call")</f>
        <v>Inbound Call</v>
      </c>
      <c r="X107" s="124" t="str">
        <f>IFERROR(__xludf.DUMMYFUNCTION("""COMPUTED_VALUE"""),"Inbound Call")</f>
        <v>Inbound Call</v>
      </c>
      <c r="Y107" s="124" t="str">
        <f>IFERROR(__xludf.DUMMYFUNCTION("""COMPUTED_VALUE"""),"Indore")</f>
        <v>Indore</v>
      </c>
      <c r="Z107" s="124">
        <f>IFERROR(__xludf.DUMMYFUNCTION("""COMPUTED_VALUE"""),1.0)</f>
        <v>1</v>
      </c>
      <c r="AA107" s="124" t="str">
        <f>IFERROR(__xludf.DUMMYFUNCTION("""COMPUTED_VALUE"""),"Cold")</f>
        <v>Cold</v>
      </c>
      <c r="AB107" s="124"/>
    </row>
    <row r="108">
      <c r="A108" s="126">
        <f>IFERROR(__xludf.DUMMYFUNCTION("""COMPUTED_VALUE"""),46104.0)</f>
        <v>46104</v>
      </c>
      <c r="B108" s="124" t="str">
        <f>IFERROR(__xludf.DUMMYFUNCTION("""COMPUTED_VALUE"""),"Walkin")</f>
        <v>Walkin</v>
      </c>
      <c r="C108" s="124" t="str">
        <f>IFERROR(__xludf.DUMMYFUNCTION("""COMPUTED_VALUE"""),"Delhi")</f>
        <v>Delhi</v>
      </c>
      <c r="D108" s="124" t="str">
        <f>IFERROR(__xludf.DUMMYFUNCTION("""COMPUTED_VALUE"""),"Primary_Walkin")</f>
        <v>Primary_Walkin</v>
      </c>
      <c r="E108" s="127">
        <f>IFERROR(__xludf.DUMMYFUNCTION("""COMPUTED_VALUE"""),6.0)</f>
        <v>6</v>
      </c>
      <c r="F108" s="128" t="str">
        <f>IFERROR(__xludf.DUMMYFUNCTION("""COMPUTED_VALUE"""),"Not Interested")</f>
        <v>Not Interested</v>
      </c>
      <c r="G108" s="124" t="str">
        <f>IFERROR(__xludf.DUMMYFUNCTION("""COMPUTED_VALUE"""),"GS Foundation")</f>
        <v>GS Foundation</v>
      </c>
      <c r="K108" s="124"/>
      <c r="L108" s="124"/>
      <c r="M108" s="124"/>
      <c r="N108" s="124"/>
      <c r="O108" s="124"/>
      <c r="T108" s="129">
        <f>IFERROR(__xludf.DUMMYFUNCTION("""COMPUTED_VALUE"""),46104.0)</f>
        <v>46104</v>
      </c>
      <c r="U108" s="124" t="str">
        <f>IFERROR(__xludf.DUMMYFUNCTION("""COMPUTED_VALUE"""),"Telephony")</f>
        <v>Telephony</v>
      </c>
      <c r="V108" s="124" t="str">
        <f>IFERROR(__xludf.DUMMYFUNCTION("""COMPUTED_VALUE"""),"Inbound Call")</f>
        <v>Inbound Call</v>
      </c>
      <c r="W108" s="124" t="str">
        <f>IFERROR(__xludf.DUMMYFUNCTION("""COMPUTED_VALUE"""),"Inbound Call")</f>
        <v>Inbound Call</v>
      </c>
      <c r="X108" s="124" t="str">
        <f>IFERROR(__xludf.DUMMYFUNCTION("""COMPUTED_VALUE"""),"Inbound Call")</f>
        <v>Inbound Call</v>
      </c>
      <c r="Y108" s="124" t="str">
        <f>IFERROR(__xludf.DUMMYFUNCTION("""COMPUTED_VALUE"""),"Prayagraj")</f>
        <v>Prayagraj</v>
      </c>
      <c r="Z108" s="124">
        <f>IFERROR(__xludf.DUMMYFUNCTION("""COMPUTED_VALUE"""),1.0)</f>
        <v>1</v>
      </c>
      <c r="AA108" s="124" t="str">
        <f>IFERROR(__xludf.DUMMYFUNCTION("""COMPUTED_VALUE"""),"Warm")</f>
        <v>Warm</v>
      </c>
      <c r="AB108" s="124" t="str">
        <f>IFERROR(__xludf.DUMMYFUNCTION("""COMPUTED_VALUE"""),"Mentorship")</f>
        <v>Mentorship</v>
      </c>
    </row>
    <row r="109">
      <c r="A109" s="126">
        <f>IFERROR(__xludf.DUMMYFUNCTION("""COMPUTED_VALUE"""),46097.0)</f>
        <v>46097</v>
      </c>
      <c r="B109" s="124" t="str">
        <f>IFERROR(__xludf.DUMMYFUNCTION("""COMPUTED_VALUE"""),"Walkin")</f>
        <v>Walkin</v>
      </c>
      <c r="C109" s="124" t="str">
        <f>IFERROR(__xludf.DUMMYFUNCTION("""COMPUTED_VALUE"""),"Delhi")</f>
        <v>Delhi</v>
      </c>
      <c r="D109" s="124" t="str">
        <f>IFERROR(__xludf.DUMMYFUNCTION("""COMPUTED_VALUE"""),"Primary_Walkin")</f>
        <v>Primary_Walkin</v>
      </c>
      <c r="E109" s="127">
        <f>IFERROR(__xludf.DUMMYFUNCTION("""COMPUTED_VALUE"""),3.0)</f>
        <v>3</v>
      </c>
      <c r="F109" s="128" t="str">
        <f>IFERROR(__xludf.DUMMYFUNCTION("""COMPUTED_VALUE"""),"Future Prospects")</f>
        <v>Future Prospects</v>
      </c>
      <c r="G109" s="124" t="str">
        <f>IFERROR(__xludf.DUMMYFUNCTION("""COMPUTED_VALUE"""),"GS Foundation")</f>
        <v>GS Foundation</v>
      </c>
      <c r="K109" s="124"/>
      <c r="L109" s="124"/>
      <c r="M109" s="124"/>
      <c r="N109" s="124"/>
      <c r="O109" s="124"/>
      <c r="T109" s="126">
        <f>IFERROR(__xludf.DUMMYFUNCTION("""COMPUTED_VALUE"""),46105.0)</f>
        <v>46105</v>
      </c>
      <c r="U109" s="124" t="str">
        <f>IFERROR(__xludf.DUMMYFUNCTION("""COMPUTED_VALUE"""),"Telephony")</f>
        <v>Telephony</v>
      </c>
      <c r="V109" s="124" t="str">
        <f>IFERROR(__xludf.DUMMYFUNCTION("""COMPUTED_VALUE"""),"Inbound Call")</f>
        <v>Inbound Call</v>
      </c>
      <c r="W109" s="124">
        <f>IFERROR(__xludf.DUMMYFUNCTION("""COMPUTED_VALUE"""),9.18047861632E11)</f>
        <v>918047861632</v>
      </c>
      <c r="X109" s="124" t="str">
        <f>IFERROR(__xludf.DUMMYFUNCTION("""COMPUTED_VALUE"""),"Inbound Call")</f>
        <v>Inbound Call</v>
      </c>
      <c r="Y109" s="124" t="str">
        <f>IFERROR(__xludf.DUMMYFUNCTION("""COMPUTED_VALUE"""),"Prayagraj")</f>
        <v>Prayagraj</v>
      </c>
      <c r="Z109" s="124">
        <f>IFERROR(__xludf.DUMMYFUNCTION("""COMPUTED_VALUE"""),1.0)</f>
        <v>1</v>
      </c>
      <c r="AA109" s="124" t="str">
        <f>IFERROR(__xludf.DUMMYFUNCTION("""COMPUTED_VALUE"""),"Cold")</f>
        <v>Cold</v>
      </c>
      <c r="AB109" s="124" t="str">
        <f>IFERROR(__xludf.DUMMYFUNCTION("""COMPUTED_VALUE"""),"GS Foundation")</f>
        <v>GS Foundation</v>
      </c>
    </row>
    <row r="110">
      <c r="A110" s="126">
        <f>IFERROR(__xludf.DUMMYFUNCTION("""COMPUTED_VALUE"""),46064.0)</f>
        <v>46064</v>
      </c>
      <c r="B110" s="124" t="str">
        <f>IFERROR(__xludf.DUMMYFUNCTION("""COMPUTED_VALUE"""),"Walkin")</f>
        <v>Walkin</v>
      </c>
      <c r="C110" s="124" t="str">
        <f>IFERROR(__xludf.DUMMYFUNCTION("""COMPUTED_VALUE"""),"Delhi")</f>
        <v>Delhi</v>
      </c>
      <c r="D110" s="124" t="str">
        <f>IFERROR(__xludf.DUMMYFUNCTION("""COMPUTED_VALUE"""),"Primary_Walkin")</f>
        <v>Primary_Walkin</v>
      </c>
      <c r="E110" s="127">
        <f>IFERROR(__xludf.DUMMYFUNCTION("""COMPUTED_VALUE"""),3.0)</f>
        <v>3</v>
      </c>
      <c r="F110" s="128" t="str">
        <f>IFERROR(__xludf.DUMMYFUNCTION("""COMPUTED_VALUE"""),"Not Interested")</f>
        <v>Not Interested</v>
      </c>
      <c r="G110" s="124" t="str">
        <f>IFERROR(__xludf.DUMMYFUNCTION("""COMPUTED_VALUE"""),"GS Foundation")</f>
        <v>GS Foundation</v>
      </c>
      <c r="K110" s="124"/>
      <c r="L110" s="124"/>
      <c r="M110" s="124"/>
      <c r="N110" s="124"/>
      <c r="O110" s="124"/>
      <c r="T110" s="126">
        <f>IFERROR(__xludf.DUMMYFUNCTION("""COMPUTED_VALUE"""),46112.0)</f>
        <v>46112</v>
      </c>
      <c r="U110" s="124" t="str">
        <f>IFERROR(__xludf.DUMMYFUNCTION("""COMPUTED_VALUE"""),"Paid Ads")</f>
        <v>Paid Ads</v>
      </c>
      <c r="V110" s="124" t="str">
        <f>IFERROR(__xludf.DUMMYFUNCTION("""COMPUTED_VALUE"""),"Facebook")</f>
        <v>Facebook</v>
      </c>
      <c r="W110" s="124" t="str">
        <f>IFERROR(__xludf.DUMMYFUNCTION("""COMPUTED_VALUE"""),"LeadAd")</f>
        <v>LeadAd</v>
      </c>
      <c r="X110" s="124" t="str">
        <f>IFERROR(__xludf.DUMMYFUNCTION("""COMPUTED_VALUE"""),"Upsc_Offline_925_Creative_Lead_FB")</f>
        <v>Upsc_Offline_925_Creative_Lead_FB</v>
      </c>
      <c r="Y110" s="124" t="str">
        <f>IFERROR(__xludf.DUMMYFUNCTION("""COMPUTED_VALUE"""),"Delhi")</f>
        <v>Delhi</v>
      </c>
      <c r="Z110" s="124">
        <f>IFERROR(__xludf.DUMMYFUNCTION("""COMPUTED_VALUE"""),6.0)</f>
        <v>6</v>
      </c>
      <c r="AA110" s="124"/>
      <c r="AB110" s="124"/>
    </row>
    <row r="111">
      <c r="A111" s="126">
        <f>IFERROR(__xludf.DUMMYFUNCTION("""COMPUTED_VALUE"""),46060.0)</f>
        <v>46060</v>
      </c>
      <c r="B111" s="124" t="str">
        <f>IFERROR(__xludf.DUMMYFUNCTION("""COMPUTED_VALUE"""),"Walkin")</f>
        <v>Walkin</v>
      </c>
      <c r="C111" s="124" t="str">
        <f>IFERROR(__xludf.DUMMYFUNCTION("""COMPUTED_VALUE"""),"Delhi")</f>
        <v>Delhi</v>
      </c>
      <c r="D111" s="124" t="str">
        <f>IFERROR(__xludf.DUMMYFUNCTION("""COMPUTED_VALUE"""),"Primary_Walkin")</f>
        <v>Primary_Walkin</v>
      </c>
      <c r="E111" s="127">
        <f>IFERROR(__xludf.DUMMYFUNCTION("""COMPUTED_VALUE"""),10.0)</f>
        <v>10</v>
      </c>
      <c r="F111" s="128" t="str">
        <f>IFERROR(__xludf.DUMMYFUNCTION("""COMPUTED_VALUE"""),"Cold")</f>
        <v>Cold</v>
      </c>
      <c r="G111" s="124" t="str">
        <f>IFERROR(__xludf.DUMMYFUNCTION("""COMPUTED_VALUE"""),"GS Foundation")</f>
        <v>GS Foundation</v>
      </c>
      <c r="K111" s="124"/>
      <c r="L111" s="124"/>
      <c r="M111" s="124"/>
      <c r="N111" s="124"/>
      <c r="O111" s="124"/>
      <c r="T111" s="126">
        <f>IFERROR(__xludf.DUMMYFUNCTION("""COMPUTED_VALUE"""),46090.0)</f>
        <v>46090</v>
      </c>
      <c r="U111" s="124" t="str">
        <f>IFERROR(__xludf.DUMMYFUNCTION("""COMPUTED_VALUE"""),"External Leads")</f>
        <v>External Leads</v>
      </c>
      <c r="V111" s="124" t="str">
        <f>IFERROR(__xludf.DUMMYFUNCTION("""COMPUTED_VALUE"""),"external leads")</f>
        <v>external leads</v>
      </c>
      <c r="W111" s="124" t="str">
        <f>IFERROR(__xludf.DUMMYFUNCTION("""COMPUTED_VALUE"""),"delhi")</f>
        <v>delhi</v>
      </c>
      <c r="X111" s="124" t="str">
        <f>IFERROR(__xludf.DUMMYFUNCTION("""COMPUTED_VALUE"""),"piyushmishra")</f>
        <v>piyushmishra</v>
      </c>
      <c r="Y111" s="124" t="str">
        <f>IFERROR(__xludf.DUMMYFUNCTION("""COMPUTED_VALUE"""),"Delhi")</f>
        <v>Delhi</v>
      </c>
      <c r="Z111" s="124">
        <f>IFERROR(__xludf.DUMMYFUNCTION("""COMPUTED_VALUE"""),14.0)</f>
        <v>14</v>
      </c>
      <c r="AA111" s="124"/>
      <c r="AB111" s="124"/>
    </row>
    <row r="112">
      <c r="A112" s="129">
        <f>IFERROR(__xludf.DUMMYFUNCTION("""COMPUTED_VALUE"""),46047.0)</f>
        <v>46047</v>
      </c>
      <c r="B112" s="124" t="str">
        <f>IFERROR(__xludf.DUMMYFUNCTION("""COMPUTED_VALUE"""),"Walkin")</f>
        <v>Walkin</v>
      </c>
      <c r="C112" s="124" t="str">
        <f>IFERROR(__xludf.DUMMYFUNCTION("""COMPUTED_VALUE"""),"Delhi")</f>
        <v>Delhi</v>
      </c>
      <c r="D112" s="124" t="str">
        <f>IFERROR(__xludf.DUMMYFUNCTION("""COMPUTED_VALUE"""),"Primary_Walkin")</f>
        <v>Primary_Walkin</v>
      </c>
      <c r="E112" s="127">
        <f>IFERROR(__xludf.DUMMYFUNCTION("""COMPUTED_VALUE"""),3.0)</f>
        <v>3</v>
      </c>
      <c r="F112" s="128" t="str">
        <f>IFERROR(__xludf.DUMMYFUNCTION("""COMPUTED_VALUE"""),"Cold")</f>
        <v>Cold</v>
      </c>
      <c r="G112" s="124" t="str">
        <f>IFERROR(__xludf.DUMMYFUNCTION("""COMPUTED_VALUE"""),"GS Foundation")</f>
        <v>GS Foundation</v>
      </c>
      <c r="K112" s="124"/>
      <c r="L112" s="124"/>
      <c r="M112" s="124"/>
      <c r="N112" s="124"/>
      <c r="O112" s="124"/>
      <c r="T112" s="126">
        <f>IFERROR(__xludf.DUMMYFUNCTION("""COMPUTED_VALUE"""),46108.0)</f>
        <v>46108</v>
      </c>
      <c r="U112" s="124" t="str">
        <f>IFERROR(__xludf.DUMMYFUNCTION("""COMPUTED_VALUE"""),"Paid Ads")</f>
        <v>Paid Ads</v>
      </c>
      <c r="V112" s="124" t="str">
        <f>IFERROR(__xludf.DUMMYFUNCTION("""COMPUTED_VALUE"""),"Facebook")</f>
        <v>Facebook</v>
      </c>
      <c r="W112" s="124" t="str">
        <f>IFERROR(__xludf.DUMMYFUNCTION("""COMPUTED_VALUE"""),"LeadAd")</f>
        <v>LeadAd</v>
      </c>
      <c r="X112" s="124" t="str">
        <f>IFERROR(__xludf.DUMMYFUNCTION("""COMPUTED_VALUE"""),"Upsc_Offline_925_Creative_Lead_FB")</f>
        <v>Upsc_Offline_925_Creative_Lead_FB</v>
      </c>
      <c r="Y112" s="124" t="str">
        <f>IFERROR(__xludf.DUMMYFUNCTION("""COMPUTED_VALUE"""),"Delhi")</f>
        <v>Delhi</v>
      </c>
      <c r="Z112" s="124">
        <f>IFERROR(__xludf.DUMMYFUNCTION("""COMPUTED_VALUE"""),4.0)</f>
        <v>4</v>
      </c>
      <c r="AA112" s="124"/>
      <c r="AB112" s="124"/>
    </row>
    <row r="113">
      <c r="A113" s="126">
        <f>IFERROR(__xludf.DUMMYFUNCTION("""COMPUTED_VALUE"""),46096.0)</f>
        <v>46096</v>
      </c>
      <c r="B113" s="124" t="str">
        <f>IFERROR(__xludf.DUMMYFUNCTION("""COMPUTED_VALUE"""),"Walkin")</f>
        <v>Walkin</v>
      </c>
      <c r="C113" s="124" t="str">
        <f>IFERROR(__xludf.DUMMYFUNCTION("""COMPUTED_VALUE"""),"Lucknow")</f>
        <v>Lucknow</v>
      </c>
      <c r="D113" s="124" t="str">
        <f>IFERROR(__xludf.DUMMYFUNCTION("""COMPUTED_VALUE"""),"Primary_Walkin")</f>
        <v>Primary_Walkin</v>
      </c>
      <c r="E113" s="127">
        <f>IFERROR(__xludf.DUMMYFUNCTION("""COMPUTED_VALUE"""),1.0)</f>
        <v>1</v>
      </c>
      <c r="F113" s="128" t="str">
        <f>IFERROR(__xludf.DUMMYFUNCTION("""COMPUTED_VALUE"""),"Not Interested")</f>
        <v>Not Interested</v>
      </c>
      <c r="G113" s="124" t="str">
        <f>IFERROR(__xludf.DUMMYFUNCTION("""COMPUTED_VALUE"""),"GS Foundation")</f>
        <v>GS Foundation</v>
      </c>
      <c r="K113" s="124"/>
      <c r="L113" s="124"/>
      <c r="M113" s="124"/>
      <c r="N113" s="124"/>
      <c r="O113" s="124"/>
      <c r="T113" s="126">
        <f>IFERROR(__xludf.DUMMYFUNCTION("""COMPUTED_VALUE"""),46108.0)</f>
        <v>46108</v>
      </c>
      <c r="U113" s="124" t="str">
        <f>IFERROR(__xludf.DUMMYFUNCTION("""COMPUTED_VALUE"""),"Walk-Ins")</f>
        <v>Walk-Ins</v>
      </c>
      <c r="V113" s="124" t="str">
        <f>IFERROR(__xludf.DUMMYFUNCTION("""COMPUTED_VALUE"""),"Walk-In")</f>
        <v>Walk-In</v>
      </c>
      <c r="W113" s="124" t="str">
        <f>IFERROR(__xludf.DUMMYFUNCTION("""COMPUTED_VALUE"""),"Patna")</f>
        <v>Patna</v>
      </c>
      <c r="X113" s="124" t="str">
        <f>IFERROR(__xludf.DUMMYFUNCTION("""COMPUTED_VALUE"""),"Riya Chaudhary")</f>
        <v>Riya Chaudhary</v>
      </c>
      <c r="Y113" s="124"/>
      <c r="Z113" s="124">
        <f>IFERROR(__xludf.DUMMYFUNCTION("""COMPUTED_VALUE"""),1.0)</f>
        <v>1</v>
      </c>
      <c r="AA113" s="124" t="str">
        <f>IFERROR(__xludf.DUMMYFUNCTION("""COMPUTED_VALUE"""),"Enrolled")</f>
        <v>Enrolled</v>
      </c>
      <c r="AB113" s="124" t="str">
        <f>IFERROR(__xludf.DUMMYFUNCTION("""COMPUTED_VALUE"""),"State PCS")</f>
        <v>State PCS</v>
      </c>
    </row>
    <row r="114">
      <c r="A114" s="126">
        <f>IFERROR(__xludf.DUMMYFUNCTION("""COMPUTED_VALUE"""),46102.0)</f>
        <v>46102</v>
      </c>
      <c r="B114" s="124" t="str">
        <f>IFERROR(__xludf.DUMMYFUNCTION("""COMPUTED_VALUE"""),"Walk-In")</f>
        <v>Walk-In</v>
      </c>
      <c r="C114" s="124" t="str">
        <f>IFERROR(__xludf.DUMMYFUNCTION("""COMPUTED_VALUE"""),"Indore")</f>
        <v>Indore</v>
      </c>
      <c r="D114" s="124" t="str">
        <f>IFERROR(__xludf.DUMMYFUNCTION("""COMPUTED_VALUE"""),"Primary_Walkin")</f>
        <v>Primary_Walkin</v>
      </c>
      <c r="E114" s="127">
        <f>IFERROR(__xludf.DUMMYFUNCTION("""COMPUTED_VALUE"""),1.0)</f>
        <v>1</v>
      </c>
      <c r="F114" s="128" t="str">
        <f>IFERROR(__xludf.DUMMYFUNCTION("""COMPUTED_VALUE"""),"Cold")</f>
        <v>Cold</v>
      </c>
      <c r="G114" s="124" t="str">
        <f>IFERROR(__xludf.DUMMYFUNCTION("""COMPUTED_VALUE"""),"Test Series")</f>
        <v>Test Series</v>
      </c>
      <c r="K114" s="124"/>
      <c r="L114" s="124"/>
      <c r="M114" s="124"/>
      <c r="N114" s="124"/>
      <c r="O114" s="124"/>
      <c r="T114" s="126">
        <f>IFERROR(__xludf.DUMMYFUNCTION("""COMPUTED_VALUE"""),46109.0)</f>
        <v>46109</v>
      </c>
      <c r="U114" s="124" t="str">
        <f>IFERROR(__xludf.DUMMYFUNCTION("""COMPUTED_VALUE"""),"Paid Ads")</f>
        <v>Paid Ads</v>
      </c>
      <c r="V114" s="124" t="str">
        <f>IFERROR(__xludf.DUMMYFUNCTION("""COMPUTED_VALUE"""),"Facebook")</f>
        <v>Facebook</v>
      </c>
      <c r="W114" s="124" t="str">
        <f>IFERROR(__xludf.DUMMYFUNCTION("""COMPUTED_VALUE"""),"LeadAd")</f>
        <v>LeadAd</v>
      </c>
      <c r="X114" s="124" t="str">
        <f>IFERROR(__xludf.DUMMYFUNCTION("""COMPUTED_VALUE"""),"Upsc_Offline_925_Creative_Lead_FB")</f>
        <v>Upsc_Offline_925_Creative_Lead_FB</v>
      </c>
      <c r="Y114" s="124" t="str">
        <f>IFERROR(__xludf.DUMMYFUNCTION("""COMPUTED_VALUE"""),"Delhi")</f>
        <v>Delhi</v>
      </c>
      <c r="Z114" s="124">
        <f>IFERROR(__xludf.DUMMYFUNCTION("""COMPUTED_VALUE"""),9.0)</f>
        <v>9</v>
      </c>
      <c r="AA114" s="124"/>
      <c r="AB114" s="124"/>
    </row>
    <row r="115">
      <c r="A115" s="126">
        <f>IFERROR(__xludf.DUMMYFUNCTION("""COMPUTED_VALUE"""),46111.0)</f>
        <v>46111</v>
      </c>
      <c r="B115" s="124" t="str">
        <f>IFERROR(__xludf.DUMMYFUNCTION("""COMPUTED_VALUE"""),"Walkin")</f>
        <v>Walkin</v>
      </c>
      <c r="C115" s="124" t="str">
        <f>IFERROR(__xludf.DUMMYFUNCTION("""COMPUTED_VALUE"""),"Indore")</f>
        <v>Indore</v>
      </c>
      <c r="D115" s="124" t="str">
        <f>IFERROR(__xludf.DUMMYFUNCTION("""COMPUTED_VALUE"""),"Primary_Walkin")</f>
        <v>Primary_Walkin</v>
      </c>
      <c r="E115" s="127">
        <f>IFERROR(__xludf.DUMMYFUNCTION("""COMPUTED_VALUE"""),4.0)</f>
        <v>4</v>
      </c>
      <c r="F115" s="128" t="str">
        <f>IFERROR(__xludf.DUMMYFUNCTION("""COMPUTED_VALUE"""),"Future Prospects")</f>
        <v>Future Prospects</v>
      </c>
      <c r="G115" s="124" t="str">
        <f>IFERROR(__xludf.DUMMYFUNCTION("""COMPUTED_VALUE"""),"GS Foundation")</f>
        <v>GS Foundation</v>
      </c>
      <c r="K115" s="124"/>
      <c r="L115" s="124"/>
      <c r="M115" s="124"/>
      <c r="N115" s="124"/>
      <c r="O115" s="124"/>
      <c r="T115" s="126">
        <f>IFERROR(__xludf.DUMMYFUNCTION("""COMPUTED_VALUE"""),46110.0)</f>
        <v>46110</v>
      </c>
      <c r="U115" s="124" t="str">
        <f>IFERROR(__xludf.DUMMYFUNCTION("""COMPUTED_VALUE"""),"Paid Ads")</f>
        <v>Paid Ads</v>
      </c>
      <c r="V115" s="124" t="str">
        <f>IFERROR(__xludf.DUMMYFUNCTION("""COMPUTED_VALUE"""),"Facebook")</f>
        <v>Facebook</v>
      </c>
      <c r="W115" s="124" t="str">
        <f>IFERROR(__xludf.DUMMYFUNCTION("""COMPUTED_VALUE"""),"LeadAd")</f>
        <v>LeadAd</v>
      </c>
      <c r="X115" s="124" t="str">
        <f>IFERROR(__xludf.DUMMYFUNCTION("""COMPUTED_VALUE"""),"Upsc_Offline_925_Creative_Lead_FB")</f>
        <v>Upsc_Offline_925_Creative_Lead_FB</v>
      </c>
      <c r="Y115" s="124" t="str">
        <f>IFERROR(__xludf.DUMMYFUNCTION("""COMPUTED_VALUE"""),"Delhi")</f>
        <v>Delhi</v>
      </c>
      <c r="Z115" s="124">
        <f>IFERROR(__xludf.DUMMYFUNCTION("""COMPUTED_VALUE"""),5.0)</f>
        <v>5</v>
      </c>
      <c r="AA115" s="124"/>
      <c r="AB115" s="124"/>
    </row>
    <row r="116">
      <c r="A116" s="129">
        <f>IFERROR(__xludf.DUMMYFUNCTION("""COMPUTED_VALUE"""),46069.0)</f>
        <v>46069</v>
      </c>
      <c r="B116" s="124" t="str">
        <f>IFERROR(__xludf.DUMMYFUNCTION("""COMPUTED_VALUE"""),"Walkin")</f>
        <v>Walkin</v>
      </c>
      <c r="C116" s="124" t="str">
        <f>IFERROR(__xludf.DUMMYFUNCTION("""COMPUTED_VALUE"""),"Indore")</f>
        <v>Indore</v>
      </c>
      <c r="D116" s="124" t="str">
        <f>IFERROR(__xludf.DUMMYFUNCTION("""COMPUTED_VALUE"""),"Primary_Walkin")</f>
        <v>Primary_Walkin</v>
      </c>
      <c r="E116" s="127">
        <f>IFERROR(__xludf.DUMMYFUNCTION("""COMPUTED_VALUE"""),1.0)</f>
        <v>1</v>
      </c>
      <c r="F116" s="128" t="str">
        <f>IFERROR(__xludf.DUMMYFUNCTION("""COMPUTED_VALUE"""),"Warm")</f>
        <v>Warm</v>
      </c>
      <c r="G116" s="124" t="str">
        <f>IFERROR(__xludf.DUMMYFUNCTION("""COMPUTED_VALUE"""),"Test Series")</f>
        <v>Test Series</v>
      </c>
      <c r="K116" s="124"/>
      <c r="L116" s="124"/>
      <c r="M116" s="124"/>
      <c r="N116" s="124"/>
      <c r="O116" s="124"/>
      <c r="T116" s="126">
        <f>IFERROR(__xludf.DUMMYFUNCTION("""COMPUTED_VALUE"""),46099.0)</f>
        <v>46099</v>
      </c>
      <c r="U116" s="124" t="str">
        <f>IFERROR(__xludf.DUMMYFUNCTION("""COMPUTED_VALUE"""),"Event")</f>
        <v>Event</v>
      </c>
      <c r="V116" s="124" t="str">
        <f>IFERROR(__xludf.DUMMYFUNCTION("""COMPUTED_VALUE"""),"events")</f>
        <v>events</v>
      </c>
      <c r="W116" s="124" t="str">
        <f>IFERROR(__xludf.DUMMYFUNCTION("""COMPUTED_VALUE"""),"delhi")</f>
        <v>delhi</v>
      </c>
      <c r="X116" s="124" t="str">
        <f>IFERROR(__xludf.DUMMYFUNCTION("""COMPUTED_VALUE"""),"zakirhusainseminar")</f>
        <v>zakirhusainseminar</v>
      </c>
      <c r="Y116" s="124" t="str">
        <f>IFERROR(__xludf.DUMMYFUNCTION("""COMPUTED_VALUE"""),"Delhi")</f>
        <v>Delhi</v>
      </c>
      <c r="Z116" s="124">
        <f>IFERROR(__xludf.DUMMYFUNCTION("""COMPUTED_VALUE"""),193.0)</f>
        <v>193</v>
      </c>
      <c r="AA116" s="124"/>
      <c r="AB116" s="124"/>
    </row>
    <row r="117">
      <c r="A117" s="126">
        <f>IFERROR(__xludf.DUMMYFUNCTION("""COMPUTED_VALUE"""),46080.0)</f>
        <v>46080</v>
      </c>
      <c r="B117" s="124" t="str">
        <f>IFERROR(__xludf.DUMMYFUNCTION("""COMPUTED_VALUE"""),"Walkin")</f>
        <v>Walkin</v>
      </c>
      <c r="C117" s="124" t="str">
        <f>IFERROR(__xludf.DUMMYFUNCTION("""COMPUTED_VALUE"""),"Indore")</f>
        <v>Indore</v>
      </c>
      <c r="D117" s="124" t="str">
        <f>IFERROR(__xludf.DUMMYFUNCTION("""COMPUTED_VALUE"""),"Primary_Walkin")</f>
        <v>Primary_Walkin</v>
      </c>
      <c r="E117" s="127">
        <f>IFERROR(__xludf.DUMMYFUNCTION("""COMPUTED_VALUE"""),1.0)</f>
        <v>1</v>
      </c>
      <c r="F117" s="128" t="str">
        <f>IFERROR(__xludf.DUMMYFUNCTION("""COMPUTED_VALUE"""),"Enrolled")</f>
        <v>Enrolled</v>
      </c>
      <c r="G117" s="124" t="str">
        <f>IFERROR(__xludf.DUMMYFUNCTION("""COMPUTED_VALUE"""),"Mentorship")</f>
        <v>Mentorship</v>
      </c>
      <c r="K117" s="124"/>
      <c r="L117" s="124"/>
      <c r="M117" s="124"/>
      <c r="N117" s="124"/>
      <c r="O117" s="124"/>
      <c r="T117" s="126">
        <f>IFERROR(__xludf.DUMMYFUNCTION("""COMPUTED_VALUE"""),46087.0)</f>
        <v>46087</v>
      </c>
      <c r="U117" s="124" t="str">
        <f>IFERROR(__xludf.DUMMYFUNCTION("""COMPUTED_VALUE"""),"External Leads")</f>
        <v>External Leads</v>
      </c>
      <c r="V117" s="124" t="str">
        <f>IFERROR(__xludf.DUMMYFUNCTION("""COMPUTED_VALUE"""),"external leads")</f>
        <v>external leads</v>
      </c>
      <c r="W117" s="124" t="str">
        <f>IFERROR(__xludf.DUMMYFUNCTION("""COMPUTED_VALUE"""),"indore")</f>
        <v>indore</v>
      </c>
      <c r="X117" s="124" t="str">
        <f>IFERROR(__xludf.DUMMYFUNCTION("""COMPUTED_VALUE"""),"vaishnavcollege")</f>
        <v>vaishnavcollege</v>
      </c>
      <c r="Y117" s="124" t="str">
        <f>IFERROR(__xludf.DUMMYFUNCTION("""COMPUTED_VALUE"""),"Indore")</f>
        <v>Indore</v>
      </c>
      <c r="Z117" s="124">
        <f>IFERROR(__xludf.DUMMYFUNCTION("""COMPUTED_VALUE"""),80.0)</f>
        <v>80</v>
      </c>
      <c r="AA117" s="124" t="str">
        <f>IFERROR(__xludf.DUMMYFUNCTION("""COMPUTED_VALUE"""),"Not Interested")</f>
        <v>Not Interested</v>
      </c>
      <c r="AB117" s="124"/>
    </row>
    <row r="118">
      <c r="A118" s="126">
        <f>IFERROR(__xludf.DUMMYFUNCTION("""COMPUTED_VALUE"""),46101.0)</f>
        <v>46101</v>
      </c>
      <c r="B118" s="124" t="str">
        <f>IFERROR(__xludf.DUMMYFUNCTION("""COMPUTED_VALUE"""),"Walkin")</f>
        <v>Walkin</v>
      </c>
      <c r="C118" s="124" t="str">
        <f>IFERROR(__xludf.DUMMYFUNCTION("""COMPUTED_VALUE"""),"Indore")</f>
        <v>Indore</v>
      </c>
      <c r="D118" s="124" t="str">
        <f>IFERROR(__xludf.DUMMYFUNCTION("""COMPUTED_VALUE"""),"Primary_Walkin")</f>
        <v>Primary_Walkin</v>
      </c>
      <c r="E118" s="127">
        <f>IFERROR(__xludf.DUMMYFUNCTION("""COMPUTED_VALUE"""),1.0)</f>
        <v>1</v>
      </c>
      <c r="F118" s="128" t="str">
        <f>IFERROR(__xludf.DUMMYFUNCTION("""COMPUTED_VALUE"""),"Cold")</f>
        <v>Cold</v>
      </c>
      <c r="G118" s="124" t="str">
        <f>IFERROR(__xludf.DUMMYFUNCTION("""COMPUTED_VALUE"""),"Other")</f>
        <v>Other</v>
      </c>
      <c r="K118" s="124"/>
      <c r="L118" s="124"/>
      <c r="M118" s="124"/>
      <c r="N118" s="124"/>
      <c r="O118" s="124"/>
      <c r="T118" s="126">
        <f>IFERROR(__xludf.DUMMYFUNCTION("""COMPUTED_VALUE"""),46087.0)</f>
        <v>46087</v>
      </c>
      <c r="U118" s="124" t="str">
        <f>IFERROR(__xludf.DUMMYFUNCTION("""COMPUTED_VALUE"""),"External Leads")</f>
        <v>External Leads</v>
      </c>
      <c r="V118" s="124" t="str">
        <f>IFERROR(__xludf.DUMMYFUNCTION("""COMPUTED_VALUE"""),"external leads")</f>
        <v>external leads</v>
      </c>
      <c r="W118" s="124" t="str">
        <f>IFERROR(__xludf.DUMMYFUNCTION("""COMPUTED_VALUE"""),"indore")</f>
        <v>indore</v>
      </c>
      <c r="X118" s="124" t="str">
        <f>IFERROR(__xludf.DUMMYFUNCTION("""COMPUTED_VALUE"""),"vaishnavcollege")</f>
        <v>vaishnavcollege</v>
      </c>
      <c r="Y118" s="124" t="str">
        <f>IFERROR(__xludf.DUMMYFUNCTION("""COMPUTED_VALUE"""),"Indore")</f>
        <v>Indore</v>
      </c>
      <c r="Z118" s="124">
        <f>IFERROR(__xludf.DUMMYFUNCTION("""COMPUTED_VALUE"""),244.0)</f>
        <v>244</v>
      </c>
      <c r="AA118" s="124" t="str">
        <f>IFERROR(__xludf.DUMMYFUNCTION("""COMPUTED_VALUE"""),"Cold")</f>
        <v>Cold</v>
      </c>
      <c r="AB118" s="124"/>
    </row>
    <row r="119">
      <c r="A119" s="126">
        <f>IFERROR(__xludf.DUMMYFUNCTION("""COMPUTED_VALUE"""),46076.0)</f>
        <v>46076</v>
      </c>
      <c r="B119" s="124" t="str">
        <f>IFERROR(__xludf.DUMMYFUNCTION("""COMPUTED_VALUE"""),"Walkin")</f>
        <v>Walkin</v>
      </c>
      <c r="C119" s="124" t="str">
        <f>IFERROR(__xludf.DUMMYFUNCTION("""COMPUTED_VALUE"""),"Indore")</f>
        <v>Indore</v>
      </c>
      <c r="D119" s="124" t="str">
        <f>IFERROR(__xludf.DUMMYFUNCTION("""COMPUTED_VALUE"""),"Primary_Walkin")</f>
        <v>Primary_Walkin</v>
      </c>
      <c r="E119" s="127">
        <f>IFERROR(__xludf.DUMMYFUNCTION("""COMPUTED_VALUE"""),1.0)</f>
        <v>1</v>
      </c>
      <c r="F119" s="128" t="str">
        <f>IFERROR(__xludf.DUMMYFUNCTION("""COMPUTED_VALUE"""),"Future Prospects")</f>
        <v>Future Prospects</v>
      </c>
      <c r="G119" s="124" t="str">
        <f>IFERROR(__xludf.DUMMYFUNCTION("""COMPUTED_VALUE"""),"State PCS")</f>
        <v>State PCS</v>
      </c>
      <c r="K119" s="124"/>
      <c r="L119" s="124"/>
      <c r="M119" s="124"/>
      <c r="N119" s="124"/>
      <c r="O119" s="124"/>
      <c r="T119" s="126">
        <f>IFERROR(__xludf.DUMMYFUNCTION("""COMPUTED_VALUE"""),46087.0)</f>
        <v>46087</v>
      </c>
      <c r="U119" s="124" t="str">
        <f>IFERROR(__xludf.DUMMYFUNCTION("""COMPUTED_VALUE"""),"External Leads")</f>
        <v>External Leads</v>
      </c>
      <c r="V119" s="124" t="str">
        <f>IFERROR(__xludf.DUMMYFUNCTION("""COMPUTED_VALUE"""),"external leads")</f>
        <v>external leads</v>
      </c>
      <c r="W119" s="124" t="str">
        <f>IFERROR(__xludf.DUMMYFUNCTION("""COMPUTED_VALUE"""),"indore")</f>
        <v>indore</v>
      </c>
      <c r="X119" s="124" t="str">
        <f>IFERROR(__xludf.DUMMYFUNCTION("""COMPUTED_VALUE"""),"vaishnavcollege")</f>
        <v>vaishnavcollege</v>
      </c>
      <c r="Y119" s="124" t="str">
        <f>IFERROR(__xludf.DUMMYFUNCTION("""COMPUTED_VALUE"""),"Indore")</f>
        <v>Indore</v>
      </c>
      <c r="Z119" s="124">
        <f>IFERROR(__xludf.DUMMYFUNCTION("""COMPUTED_VALUE"""),43.0)</f>
        <v>43</v>
      </c>
      <c r="AA119" s="124" t="str">
        <f>IFERROR(__xludf.DUMMYFUNCTION("""COMPUTED_VALUE"""),"Cold")</f>
        <v>Cold</v>
      </c>
      <c r="AB119" s="124" t="str">
        <f>IFERROR(__xludf.DUMMYFUNCTION("""COMPUTED_VALUE"""),"GS Foundation")</f>
        <v>GS Foundation</v>
      </c>
    </row>
    <row r="120">
      <c r="A120" s="126">
        <f>IFERROR(__xludf.DUMMYFUNCTION("""COMPUTED_VALUE"""),46053.0)</f>
        <v>46053</v>
      </c>
      <c r="B120" s="124" t="str">
        <f>IFERROR(__xludf.DUMMYFUNCTION("""COMPUTED_VALUE"""),"Walkin")</f>
        <v>Walkin</v>
      </c>
      <c r="C120" s="124" t="str">
        <f>IFERROR(__xludf.DUMMYFUNCTION("""COMPUTED_VALUE"""),"Indore")</f>
        <v>Indore</v>
      </c>
      <c r="D120" s="124" t="str">
        <f>IFERROR(__xludf.DUMMYFUNCTION("""COMPUTED_VALUE"""),"Primary_Walkin")</f>
        <v>Primary_Walkin</v>
      </c>
      <c r="E120" s="127">
        <f>IFERROR(__xludf.DUMMYFUNCTION("""COMPUTED_VALUE"""),3.0)</f>
        <v>3</v>
      </c>
      <c r="F120" s="128" t="str">
        <f>IFERROR(__xludf.DUMMYFUNCTION("""COMPUTED_VALUE"""),"Cold")</f>
        <v>Cold</v>
      </c>
      <c r="G120" s="124" t="str">
        <f>IFERROR(__xludf.DUMMYFUNCTION("""COMPUTED_VALUE"""),"GS Foundation")</f>
        <v>GS Foundation</v>
      </c>
      <c r="K120" s="124"/>
      <c r="L120" s="124"/>
      <c r="M120" s="124"/>
      <c r="N120" s="124"/>
      <c r="O120" s="124"/>
      <c r="T120" s="129">
        <f>IFERROR(__xludf.DUMMYFUNCTION("""COMPUTED_VALUE"""),46099.0)</f>
        <v>46099</v>
      </c>
      <c r="U120" s="124" t="str">
        <f>IFERROR(__xludf.DUMMYFUNCTION("""COMPUTED_VALUE"""),"Event")</f>
        <v>Event</v>
      </c>
      <c r="V120" s="124" t="str">
        <f>IFERROR(__xludf.DUMMYFUNCTION("""COMPUTED_VALUE"""),"events")</f>
        <v>events</v>
      </c>
      <c r="W120" s="124" t="str">
        <f>IFERROR(__xludf.DUMMYFUNCTION("""COMPUTED_VALUE"""),"delhi")</f>
        <v>delhi</v>
      </c>
      <c r="X120" s="124" t="str">
        <f>IFERROR(__xludf.DUMMYFUNCTION("""COMPUTED_VALUE"""),"zakirhusainseminar")</f>
        <v>zakirhusainseminar</v>
      </c>
      <c r="Y120" s="124" t="str">
        <f>IFERROR(__xludf.DUMMYFUNCTION("""COMPUTED_VALUE"""),"Delhi")</f>
        <v>Delhi</v>
      </c>
      <c r="Z120" s="124">
        <f>IFERROR(__xludf.DUMMYFUNCTION("""COMPUTED_VALUE"""),2.0)</f>
        <v>2</v>
      </c>
      <c r="AA120" s="124" t="str">
        <f>IFERROR(__xludf.DUMMYFUNCTION("""COMPUTED_VALUE"""),"Engaged")</f>
        <v>Engaged</v>
      </c>
      <c r="AB120" s="124" t="str">
        <f>IFERROR(__xludf.DUMMYFUNCTION("""COMPUTED_VALUE"""),"GS Foundation")</f>
        <v>GS Foundation</v>
      </c>
    </row>
    <row r="121">
      <c r="A121" s="129">
        <f>IFERROR(__xludf.DUMMYFUNCTION("""COMPUTED_VALUE"""),46069.0)</f>
        <v>46069</v>
      </c>
      <c r="B121" s="124" t="str">
        <f>IFERROR(__xludf.DUMMYFUNCTION("""COMPUTED_VALUE"""),"Walkin")</f>
        <v>Walkin</v>
      </c>
      <c r="C121" s="124" t="str">
        <f>IFERROR(__xludf.DUMMYFUNCTION("""COMPUTED_VALUE"""),"Indore")</f>
        <v>Indore</v>
      </c>
      <c r="D121" s="124" t="str">
        <f>IFERROR(__xludf.DUMMYFUNCTION("""COMPUTED_VALUE"""),"Primary_Walkin")</f>
        <v>Primary_Walkin</v>
      </c>
      <c r="E121" s="127">
        <f>IFERROR(__xludf.DUMMYFUNCTION("""COMPUTED_VALUE"""),3.0)</f>
        <v>3</v>
      </c>
      <c r="F121" s="128" t="str">
        <f>IFERROR(__xludf.DUMMYFUNCTION("""COMPUTED_VALUE"""),"Cold")</f>
        <v>Cold</v>
      </c>
      <c r="G121" s="124" t="str">
        <f>IFERROR(__xludf.DUMMYFUNCTION("""COMPUTED_VALUE"""),"Other")</f>
        <v>Other</v>
      </c>
      <c r="K121" s="124"/>
      <c r="L121" s="124"/>
      <c r="M121" s="124"/>
      <c r="N121" s="124"/>
      <c r="O121" s="124"/>
      <c r="T121" s="126">
        <f>IFERROR(__xludf.DUMMYFUNCTION("""COMPUTED_VALUE"""),46101.0)</f>
        <v>46101</v>
      </c>
      <c r="U121" s="124" t="str">
        <f>IFERROR(__xludf.DUMMYFUNCTION("""COMPUTED_VALUE"""),"Paid Ads")</f>
        <v>Paid Ads</v>
      </c>
      <c r="V121" s="124" t="str">
        <f>IFERROR(__xludf.DUMMYFUNCTION("""COMPUTED_VALUE"""),"Facebook")</f>
        <v>Facebook</v>
      </c>
      <c r="W121" s="124" t="str">
        <f>IFERROR(__xludf.DUMMYFUNCTION("""COMPUTED_VALUE"""),"LeadAd")</f>
        <v>LeadAd</v>
      </c>
      <c r="X121" s="124" t="str">
        <f>IFERROR(__xludf.DUMMYFUNCTION("""COMPUTED_VALUE"""),"Upsc_Offline_925_Video_Lead_FB")</f>
        <v>Upsc_Offline_925_Video_Lead_FB</v>
      </c>
      <c r="Y121" s="124" t="str">
        <f>IFERROR(__xludf.DUMMYFUNCTION("""COMPUTED_VALUE"""),"Delhi")</f>
        <v>Delhi</v>
      </c>
      <c r="Z121" s="124">
        <f>IFERROR(__xludf.DUMMYFUNCTION("""COMPUTED_VALUE"""),5.0)</f>
        <v>5</v>
      </c>
      <c r="AA121" s="124"/>
      <c r="AB121" s="124"/>
    </row>
    <row r="122">
      <c r="A122" s="126">
        <f>IFERROR(__xludf.DUMMYFUNCTION("""COMPUTED_VALUE"""),46055.0)</f>
        <v>46055</v>
      </c>
      <c r="B122" s="124" t="str">
        <f>IFERROR(__xludf.DUMMYFUNCTION("""COMPUTED_VALUE"""),"Walkin")</f>
        <v>Walkin</v>
      </c>
      <c r="C122" s="124" t="str">
        <f>IFERROR(__xludf.DUMMYFUNCTION("""COMPUTED_VALUE"""),"Indore")</f>
        <v>Indore</v>
      </c>
      <c r="D122" s="124" t="str">
        <f>IFERROR(__xludf.DUMMYFUNCTION("""COMPUTED_VALUE"""),"Primary_Walkin")</f>
        <v>Primary_Walkin</v>
      </c>
      <c r="E122" s="127">
        <f>IFERROR(__xludf.DUMMYFUNCTION("""COMPUTED_VALUE"""),2.0)</f>
        <v>2</v>
      </c>
      <c r="F122" s="128" t="str">
        <f>IFERROR(__xludf.DUMMYFUNCTION("""COMPUTED_VALUE"""),"Future Prospects")</f>
        <v>Future Prospects</v>
      </c>
      <c r="G122" s="124" t="str">
        <f>IFERROR(__xludf.DUMMYFUNCTION("""COMPUTED_VALUE"""),"State PCS")</f>
        <v>State PCS</v>
      </c>
      <c r="K122" s="124"/>
      <c r="L122" s="124"/>
      <c r="M122" s="124"/>
      <c r="N122" s="124"/>
      <c r="O122" s="124"/>
      <c r="T122" s="126">
        <f>IFERROR(__xludf.DUMMYFUNCTION("""COMPUTED_VALUE"""),46103.0)</f>
        <v>46103</v>
      </c>
      <c r="U122" s="124" t="str">
        <f>IFERROR(__xludf.DUMMYFUNCTION("""COMPUTED_VALUE"""),"Paid Ads")</f>
        <v>Paid Ads</v>
      </c>
      <c r="V122" s="124" t="str">
        <f>IFERROR(__xludf.DUMMYFUNCTION("""COMPUTED_VALUE"""),"Facebook")</f>
        <v>Facebook</v>
      </c>
      <c r="W122" s="124" t="str">
        <f>IFERROR(__xludf.DUMMYFUNCTION("""COMPUTED_VALUE"""),"LeadAd")</f>
        <v>LeadAd</v>
      </c>
      <c r="X122" s="124" t="str">
        <f>IFERROR(__xludf.DUMMYFUNCTION("""COMPUTED_VALUE"""),"Upsc_Offline_925_Video_Lead_FB")</f>
        <v>Upsc_Offline_925_Video_Lead_FB</v>
      </c>
      <c r="Y122" s="124" t="str">
        <f>IFERROR(__xludf.DUMMYFUNCTION("""COMPUTED_VALUE"""),"Delhi")</f>
        <v>Delhi</v>
      </c>
      <c r="Z122" s="124">
        <f>IFERROR(__xludf.DUMMYFUNCTION("""COMPUTED_VALUE"""),1.0)</f>
        <v>1</v>
      </c>
      <c r="AA122" s="124" t="str">
        <f>IFERROR(__xludf.DUMMYFUNCTION("""COMPUTED_VALUE"""),"Warm")</f>
        <v>Warm</v>
      </c>
      <c r="AB122" s="124" t="str">
        <f>IFERROR(__xludf.DUMMYFUNCTION("""COMPUTED_VALUE"""),"GS Foundation")</f>
        <v>GS Foundation</v>
      </c>
    </row>
    <row r="123">
      <c r="A123" s="126">
        <f>IFERROR(__xludf.DUMMYFUNCTION("""COMPUTED_VALUE"""),46058.0)</f>
        <v>46058</v>
      </c>
      <c r="B123" s="124" t="str">
        <f>IFERROR(__xludf.DUMMYFUNCTION("""COMPUTED_VALUE"""),"Walkin")</f>
        <v>Walkin</v>
      </c>
      <c r="C123" s="124" t="str">
        <f>IFERROR(__xludf.DUMMYFUNCTION("""COMPUTED_VALUE"""),"Indore")</f>
        <v>Indore</v>
      </c>
      <c r="D123" s="124" t="str">
        <f>IFERROR(__xludf.DUMMYFUNCTION("""COMPUTED_VALUE"""),"Primary_Walkin")</f>
        <v>Primary_Walkin</v>
      </c>
      <c r="E123" s="127">
        <f>IFERROR(__xludf.DUMMYFUNCTION("""COMPUTED_VALUE"""),1.0)</f>
        <v>1</v>
      </c>
      <c r="F123" s="128" t="str">
        <f>IFERROR(__xludf.DUMMYFUNCTION("""COMPUTED_VALUE"""),"Not Interested")</f>
        <v>Not Interested</v>
      </c>
      <c r="G123" s="124" t="str">
        <f>IFERROR(__xludf.DUMMYFUNCTION("""COMPUTED_VALUE"""),"Other")</f>
        <v>Other</v>
      </c>
      <c r="K123" s="124"/>
      <c r="L123" s="124"/>
      <c r="M123" s="124"/>
      <c r="N123" s="124"/>
      <c r="O123" s="124"/>
      <c r="T123" s="126">
        <f>IFERROR(__xludf.DUMMYFUNCTION("""COMPUTED_VALUE"""),46052.0)</f>
        <v>46052</v>
      </c>
      <c r="U123" s="124" t="str">
        <f>IFERROR(__xludf.DUMMYFUNCTION("""COMPUTED_VALUE"""),"Telephony")</f>
        <v>Telephony</v>
      </c>
      <c r="V123" s="124" t="str">
        <f>IFERROR(__xludf.DUMMYFUNCTION("""COMPUTED_VALUE"""),"Inbound")</f>
        <v>Inbound</v>
      </c>
      <c r="W123" s="124" t="str">
        <f>IFERROR(__xludf.DUMMYFUNCTION("""COMPUTED_VALUE"""),"Inbound")</f>
        <v>Inbound</v>
      </c>
      <c r="X123" s="124" t="str">
        <f>IFERROR(__xludf.DUMMYFUNCTION("""COMPUTED_VALUE"""),"Inbound")</f>
        <v>Inbound</v>
      </c>
      <c r="Y123" s="124" t="str">
        <f>IFERROR(__xludf.DUMMYFUNCTION("""COMPUTED_VALUE"""),"Delhi")</f>
        <v>Delhi</v>
      </c>
      <c r="Z123" s="124">
        <f>IFERROR(__xludf.DUMMYFUNCTION("""COMPUTED_VALUE"""),1.0)</f>
        <v>1</v>
      </c>
      <c r="AA123" s="124" t="str">
        <f>IFERROR(__xludf.DUMMYFUNCTION("""COMPUTED_VALUE"""),"Enrolled")</f>
        <v>Enrolled</v>
      </c>
      <c r="AB123" s="124" t="str">
        <f>IFERROR(__xludf.DUMMYFUNCTION("""COMPUTED_VALUE"""),"Other")</f>
        <v>Other</v>
      </c>
    </row>
    <row r="124">
      <c r="A124" s="126">
        <f>IFERROR(__xludf.DUMMYFUNCTION("""COMPUTED_VALUE"""),46109.0)</f>
        <v>46109</v>
      </c>
      <c r="B124" s="124" t="str">
        <f>IFERROR(__xludf.DUMMYFUNCTION("""COMPUTED_VALUE"""),"Walkin")</f>
        <v>Walkin</v>
      </c>
      <c r="C124" s="124" t="str">
        <f>IFERROR(__xludf.DUMMYFUNCTION("""COMPUTED_VALUE"""),"Lucknow")</f>
        <v>Lucknow</v>
      </c>
      <c r="D124" s="124" t="str">
        <f>IFERROR(__xludf.DUMMYFUNCTION("""COMPUTED_VALUE"""),"Primary_Walkin")</f>
        <v>Primary_Walkin</v>
      </c>
      <c r="E124" s="127">
        <f>IFERROR(__xludf.DUMMYFUNCTION("""COMPUTED_VALUE"""),5.0)</f>
        <v>5</v>
      </c>
      <c r="F124" s="128" t="str">
        <f>IFERROR(__xludf.DUMMYFUNCTION("""COMPUTED_VALUE"""),"Warm")</f>
        <v>Warm</v>
      </c>
      <c r="G124" s="124" t="str">
        <f>IFERROR(__xludf.DUMMYFUNCTION("""COMPUTED_VALUE"""),"GS Foundation")</f>
        <v>GS Foundation</v>
      </c>
      <c r="K124" s="124"/>
      <c r="L124" s="124"/>
      <c r="M124" s="124"/>
      <c r="N124" s="124"/>
      <c r="O124" s="124"/>
      <c r="T124" s="126">
        <f>IFERROR(__xludf.DUMMYFUNCTION("""COMPUTED_VALUE"""),46102.0)</f>
        <v>46102</v>
      </c>
      <c r="U124" s="124" t="str">
        <f>IFERROR(__xludf.DUMMYFUNCTION("""COMPUTED_VALUE"""),"Paid Ads")</f>
        <v>Paid Ads</v>
      </c>
      <c r="V124" s="124" t="str">
        <f>IFERROR(__xludf.DUMMYFUNCTION("""COMPUTED_VALUE"""),"Facebook")</f>
        <v>Facebook</v>
      </c>
      <c r="W124" s="124" t="str">
        <f>IFERROR(__xludf.DUMMYFUNCTION("""COMPUTED_VALUE"""),"LeadAd")</f>
        <v>LeadAd</v>
      </c>
      <c r="X124" s="124" t="str">
        <f>IFERROR(__xludf.DUMMYFUNCTION("""COMPUTED_VALUE"""),"Upsc_Offline_925_Video_Lead_FB")</f>
        <v>Upsc_Offline_925_Video_Lead_FB</v>
      </c>
      <c r="Y124" s="124" t="str">
        <f>IFERROR(__xludf.DUMMYFUNCTION("""COMPUTED_VALUE"""),"Delhi")</f>
        <v>Delhi</v>
      </c>
      <c r="Z124" s="124">
        <f>IFERROR(__xludf.DUMMYFUNCTION("""COMPUTED_VALUE"""),2.0)</f>
        <v>2</v>
      </c>
      <c r="AA124" s="124" t="str">
        <f>IFERROR(__xludf.DUMMYFUNCTION("""COMPUTED_VALUE"""),"Cold")</f>
        <v>Cold</v>
      </c>
      <c r="AB124" s="124"/>
    </row>
    <row r="125">
      <c r="A125" s="129">
        <f>IFERROR(__xludf.DUMMYFUNCTION("""COMPUTED_VALUE"""),46094.0)</f>
        <v>46094</v>
      </c>
      <c r="B125" s="124" t="str">
        <f>IFERROR(__xludf.DUMMYFUNCTION("""COMPUTED_VALUE"""),"Walkin")</f>
        <v>Walkin</v>
      </c>
      <c r="C125" s="124" t="str">
        <f>IFERROR(__xludf.DUMMYFUNCTION("""COMPUTED_VALUE"""),"Indore")</f>
        <v>Indore</v>
      </c>
      <c r="D125" s="124" t="str">
        <f>IFERROR(__xludf.DUMMYFUNCTION("""COMPUTED_VALUE"""),"Primary_Walkin")</f>
        <v>Primary_Walkin</v>
      </c>
      <c r="E125" s="127">
        <f>IFERROR(__xludf.DUMMYFUNCTION("""COMPUTED_VALUE"""),1.0)</f>
        <v>1</v>
      </c>
      <c r="F125" s="128" t="str">
        <f>IFERROR(__xludf.DUMMYFUNCTION("""COMPUTED_VALUE"""),"Cold")</f>
        <v>Cold</v>
      </c>
      <c r="G125" s="124" t="str">
        <f>IFERROR(__xludf.DUMMYFUNCTION("""COMPUTED_VALUE"""),"GS Foundation")</f>
        <v>GS Foundation</v>
      </c>
      <c r="K125" s="124"/>
      <c r="L125" s="124"/>
      <c r="M125" s="124"/>
      <c r="N125" s="124"/>
      <c r="O125" s="124"/>
      <c r="T125" s="126">
        <f>IFERROR(__xludf.DUMMYFUNCTION("""COMPUTED_VALUE"""),46105.0)</f>
        <v>46105</v>
      </c>
      <c r="U125" s="124" t="str">
        <f>IFERROR(__xludf.DUMMYFUNCTION("""COMPUTED_VALUE"""),"Paid Ads")</f>
        <v>Paid Ads</v>
      </c>
      <c r="V125" s="124" t="str">
        <f>IFERROR(__xludf.DUMMYFUNCTION("""COMPUTED_VALUE"""),"Facebook")</f>
        <v>Facebook</v>
      </c>
      <c r="W125" s="124" t="str">
        <f>IFERROR(__xludf.DUMMYFUNCTION("""COMPUTED_VALUE"""),"LeadAd")</f>
        <v>LeadAd</v>
      </c>
      <c r="X125" s="124" t="str">
        <f>IFERROR(__xludf.DUMMYFUNCTION("""COMPUTED_VALUE"""),"Upsc_Offline_925_Video_Lead_FB")</f>
        <v>Upsc_Offline_925_Video_Lead_FB</v>
      </c>
      <c r="Y125" s="124" t="str">
        <f>IFERROR(__xludf.DUMMYFUNCTION("""COMPUTED_VALUE"""),"Delhi")</f>
        <v>Delhi</v>
      </c>
      <c r="Z125" s="124">
        <f>IFERROR(__xludf.DUMMYFUNCTION("""COMPUTED_VALUE"""),7.0)</f>
        <v>7</v>
      </c>
      <c r="AA125" s="124"/>
      <c r="AB125" s="124"/>
    </row>
    <row r="126">
      <c r="A126" s="126">
        <f>IFERROR(__xludf.DUMMYFUNCTION("""COMPUTED_VALUE"""),46044.0)</f>
        <v>46044</v>
      </c>
      <c r="B126" s="124" t="str">
        <f>IFERROR(__xludf.DUMMYFUNCTION("""COMPUTED_VALUE"""),"Walkin")</f>
        <v>Walkin</v>
      </c>
      <c r="C126" s="124" t="str">
        <f>IFERROR(__xludf.DUMMYFUNCTION("""COMPUTED_VALUE"""),"Indore")</f>
        <v>Indore</v>
      </c>
      <c r="D126" s="124" t="str">
        <f>IFERROR(__xludf.DUMMYFUNCTION("""COMPUTED_VALUE"""),"Primary_Walkin")</f>
        <v>Primary_Walkin</v>
      </c>
      <c r="E126" s="127">
        <f>IFERROR(__xludf.DUMMYFUNCTION("""COMPUTED_VALUE"""),1.0)</f>
        <v>1</v>
      </c>
      <c r="F126" s="128" t="str">
        <f>IFERROR(__xludf.DUMMYFUNCTION("""COMPUTED_VALUE"""),"Warm")</f>
        <v>Warm</v>
      </c>
      <c r="G126" s="124" t="str">
        <f>IFERROR(__xludf.DUMMYFUNCTION("""COMPUTED_VALUE"""),"Test Series")</f>
        <v>Test Series</v>
      </c>
      <c r="K126" s="124"/>
      <c r="L126" s="124"/>
      <c r="M126" s="124"/>
      <c r="N126" s="124"/>
      <c r="O126" s="124"/>
      <c r="T126" s="126">
        <f>IFERROR(__xludf.DUMMYFUNCTION("""COMPUTED_VALUE"""),46103.0)</f>
        <v>46103</v>
      </c>
      <c r="U126" s="124" t="str">
        <f>IFERROR(__xludf.DUMMYFUNCTION("""COMPUTED_VALUE"""),"Paid Ads")</f>
        <v>Paid Ads</v>
      </c>
      <c r="V126" s="124" t="str">
        <f>IFERROR(__xludf.DUMMYFUNCTION("""COMPUTED_VALUE"""),"Facebook")</f>
        <v>Facebook</v>
      </c>
      <c r="W126" s="124" t="str">
        <f>IFERROR(__xludf.DUMMYFUNCTION("""COMPUTED_VALUE"""),"LeadAd")</f>
        <v>LeadAd</v>
      </c>
      <c r="X126" s="124" t="str">
        <f>IFERROR(__xludf.DUMMYFUNCTION("""COMPUTED_VALUE"""),"Upsc_Offline_925_Video_Lead_FB")</f>
        <v>Upsc_Offline_925_Video_Lead_FB</v>
      </c>
      <c r="Y126" s="124" t="str">
        <f>IFERROR(__xludf.DUMMYFUNCTION("""COMPUTED_VALUE"""),"Delhi")</f>
        <v>Delhi</v>
      </c>
      <c r="Z126" s="124">
        <f>IFERROR(__xludf.DUMMYFUNCTION("""COMPUTED_VALUE"""),6.0)</f>
        <v>6</v>
      </c>
      <c r="AA126" s="124"/>
      <c r="AB126" s="124"/>
    </row>
    <row r="127">
      <c r="A127" s="126">
        <f>IFERROR(__xludf.DUMMYFUNCTION("""COMPUTED_VALUE"""),46110.0)</f>
        <v>46110</v>
      </c>
      <c r="B127" s="124" t="str">
        <f>IFERROR(__xludf.DUMMYFUNCTION("""COMPUTED_VALUE"""),"walk-in")</f>
        <v>walk-in</v>
      </c>
      <c r="C127" s="124" t="str">
        <f>IFERROR(__xludf.DUMMYFUNCTION("""COMPUTED_VALUE"""),"Indore")</f>
        <v>Indore</v>
      </c>
      <c r="D127" s="124" t="str">
        <f>IFERROR(__xludf.DUMMYFUNCTION("""COMPUTED_VALUE"""),"Primary_Walkin")</f>
        <v>Primary_Walkin</v>
      </c>
      <c r="E127" s="127">
        <f>IFERROR(__xludf.DUMMYFUNCTION("""COMPUTED_VALUE"""),1.0)</f>
        <v>1</v>
      </c>
      <c r="F127" s="128" t="str">
        <f>IFERROR(__xludf.DUMMYFUNCTION("""COMPUTED_VALUE"""),"Not Interested")</f>
        <v>Not Interested</v>
      </c>
      <c r="G127" s="124" t="str">
        <f>IFERROR(__xludf.DUMMYFUNCTION("""COMPUTED_VALUE"""),"GS Foundation")</f>
        <v>GS Foundation</v>
      </c>
      <c r="K127" s="124"/>
      <c r="L127" s="124"/>
      <c r="M127" s="124"/>
      <c r="N127" s="124"/>
      <c r="O127" s="124"/>
      <c r="T127" s="126">
        <f>IFERROR(__xludf.DUMMYFUNCTION("""COMPUTED_VALUE"""),46107.0)</f>
        <v>46107</v>
      </c>
      <c r="U127" s="124" t="str">
        <f>IFERROR(__xludf.DUMMYFUNCTION("""COMPUTED_VALUE"""),"Paid Ads")</f>
        <v>Paid Ads</v>
      </c>
      <c r="V127" s="124" t="str">
        <f>IFERROR(__xludf.DUMMYFUNCTION("""COMPUTED_VALUE"""),"Facebook")</f>
        <v>Facebook</v>
      </c>
      <c r="W127" s="124" t="str">
        <f>IFERROR(__xludf.DUMMYFUNCTION("""COMPUTED_VALUE"""),"LeadAd")</f>
        <v>LeadAd</v>
      </c>
      <c r="X127" s="124" t="str">
        <f>IFERROR(__xludf.DUMMYFUNCTION("""COMPUTED_VALUE"""),"Upsc_Offline_925_Video_Lead_FB")</f>
        <v>Upsc_Offline_925_Video_Lead_FB</v>
      </c>
      <c r="Y127" s="124" t="str">
        <f>IFERROR(__xludf.DUMMYFUNCTION("""COMPUTED_VALUE"""),"Delhi")</f>
        <v>Delhi</v>
      </c>
      <c r="Z127" s="124">
        <f>IFERROR(__xludf.DUMMYFUNCTION("""COMPUTED_VALUE"""),5.0)</f>
        <v>5</v>
      </c>
      <c r="AA127" s="124"/>
      <c r="AB127" s="124"/>
    </row>
    <row r="128">
      <c r="A128" s="126">
        <f>IFERROR(__xludf.DUMMYFUNCTION("""COMPUTED_VALUE"""),46070.0)</f>
        <v>46070</v>
      </c>
      <c r="B128" s="124" t="str">
        <f>IFERROR(__xludf.DUMMYFUNCTION("""COMPUTED_VALUE"""),"Walkin")</f>
        <v>Walkin</v>
      </c>
      <c r="C128" s="124" t="str">
        <f>IFERROR(__xludf.DUMMYFUNCTION("""COMPUTED_VALUE"""),"Indore")</f>
        <v>Indore</v>
      </c>
      <c r="D128" s="124" t="str">
        <f>IFERROR(__xludf.DUMMYFUNCTION("""COMPUTED_VALUE"""),"Primary_Walkin")</f>
        <v>Primary_Walkin</v>
      </c>
      <c r="E128" s="127">
        <f>IFERROR(__xludf.DUMMYFUNCTION("""COMPUTED_VALUE"""),1.0)</f>
        <v>1</v>
      </c>
      <c r="F128" s="128" t="str">
        <f>IFERROR(__xludf.DUMMYFUNCTION("""COMPUTED_VALUE"""),"Cold")</f>
        <v>Cold</v>
      </c>
      <c r="G128" s="124" t="str">
        <f>IFERROR(__xludf.DUMMYFUNCTION("""COMPUTED_VALUE"""),"Other")</f>
        <v>Other</v>
      </c>
      <c r="K128" s="124"/>
      <c r="L128" s="124"/>
      <c r="M128" s="124"/>
      <c r="N128" s="124"/>
      <c r="O128" s="124"/>
      <c r="T128" s="126">
        <f>IFERROR(__xludf.DUMMYFUNCTION("""COMPUTED_VALUE"""),46111.0)</f>
        <v>46111</v>
      </c>
      <c r="U128" s="124" t="str">
        <f>IFERROR(__xludf.DUMMYFUNCTION("""COMPUTED_VALUE"""),"Paid Ads")</f>
        <v>Paid Ads</v>
      </c>
      <c r="V128" s="124" t="str">
        <f>IFERROR(__xludf.DUMMYFUNCTION("""COMPUTED_VALUE"""),"Facebook")</f>
        <v>Facebook</v>
      </c>
      <c r="W128" s="124" t="str">
        <f>IFERROR(__xludf.DUMMYFUNCTION("""COMPUTED_VALUE"""),"LeadAd")</f>
        <v>LeadAd</v>
      </c>
      <c r="X128" s="124" t="str">
        <f>IFERROR(__xludf.DUMMYFUNCTION("""COMPUTED_VALUE"""),"Upsc_Offline_925_Video_Lead_FB")</f>
        <v>Upsc_Offline_925_Video_Lead_FB</v>
      </c>
      <c r="Y128" s="124" t="str">
        <f>IFERROR(__xludf.DUMMYFUNCTION("""COMPUTED_VALUE"""),"Delhi")</f>
        <v>Delhi</v>
      </c>
      <c r="Z128" s="124">
        <f>IFERROR(__xludf.DUMMYFUNCTION("""COMPUTED_VALUE"""),7.0)</f>
        <v>7</v>
      </c>
      <c r="AA128" s="124" t="str">
        <f>IFERROR(__xludf.DUMMYFUNCTION("""COMPUTED_VALUE"""),"Cold")</f>
        <v>Cold</v>
      </c>
      <c r="AB128" s="124"/>
    </row>
    <row r="129">
      <c r="A129" s="126">
        <f>IFERROR(__xludf.DUMMYFUNCTION("""COMPUTED_VALUE"""),46102.0)</f>
        <v>46102</v>
      </c>
      <c r="B129" s="124" t="str">
        <f>IFERROR(__xludf.DUMMYFUNCTION("""COMPUTED_VALUE"""),"Walkin")</f>
        <v>Walkin</v>
      </c>
      <c r="C129" s="124" t="str">
        <f>IFERROR(__xludf.DUMMYFUNCTION("""COMPUTED_VALUE"""),"Indore")</f>
        <v>Indore</v>
      </c>
      <c r="D129" s="124" t="str">
        <f>IFERROR(__xludf.DUMMYFUNCTION("""COMPUTED_VALUE"""),"Primary_Walkin")</f>
        <v>Primary_Walkin</v>
      </c>
      <c r="E129" s="127">
        <f>IFERROR(__xludf.DUMMYFUNCTION("""COMPUTED_VALUE"""),2.0)</f>
        <v>2</v>
      </c>
      <c r="F129" s="128" t="str">
        <f>IFERROR(__xludf.DUMMYFUNCTION("""COMPUTED_VALUE"""),"Cold")</f>
        <v>Cold</v>
      </c>
      <c r="G129" s="124" t="str">
        <f>IFERROR(__xludf.DUMMYFUNCTION("""COMPUTED_VALUE"""),"State PCS")</f>
        <v>State PCS</v>
      </c>
      <c r="K129" s="124"/>
      <c r="L129" s="124"/>
      <c r="M129" s="124"/>
      <c r="N129" s="124"/>
      <c r="O129" s="124"/>
      <c r="T129" s="126">
        <f>IFERROR(__xludf.DUMMYFUNCTION("""COMPUTED_VALUE"""),46079.0)</f>
        <v>46079</v>
      </c>
      <c r="U129" s="124" t="str">
        <f>IFERROR(__xludf.DUMMYFUNCTION("""COMPUTED_VALUE"""),"Publisher Campaign")</f>
        <v>Publisher Campaign</v>
      </c>
      <c r="V129" s="124" t="str">
        <f>IFERROR(__xludf.DUMMYFUNCTION("""COMPUTED_VALUE"""),"Webinar")</f>
        <v>Webinar</v>
      </c>
      <c r="W129" s="124"/>
      <c r="X129" s="124"/>
      <c r="Y129" s="124" t="str">
        <f>IFERROR(__xludf.DUMMYFUNCTION("""COMPUTED_VALUE"""),"Delhi")</f>
        <v>Delhi</v>
      </c>
      <c r="Z129" s="124">
        <f>IFERROR(__xludf.DUMMYFUNCTION("""COMPUTED_VALUE"""),10.0)</f>
        <v>10</v>
      </c>
      <c r="AA129" s="124" t="str">
        <f>IFERROR(__xludf.DUMMYFUNCTION("""COMPUTED_VALUE"""),"Warm")</f>
        <v>Warm</v>
      </c>
      <c r="AB129" s="124" t="str">
        <f>IFERROR(__xludf.DUMMYFUNCTION("""COMPUTED_VALUE"""),"Other")</f>
        <v>Other</v>
      </c>
    </row>
    <row r="130">
      <c r="A130" s="129">
        <f>IFERROR(__xludf.DUMMYFUNCTION("""COMPUTED_VALUE"""),46088.0)</f>
        <v>46088</v>
      </c>
      <c r="B130" s="124" t="str">
        <f>IFERROR(__xludf.DUMMYFUNCTION("""COMPUTED_VALUE"""),"walk-in")</f>
        <v>walk-in</v>
      </c>
      <c r="C130" s="124" t="str">
        <f>IFERROR(__xludf.DUMMYFUNCTION("""COMPUTED_VALUE"""),"Indore")</f>
        <v>Indore</v>
      </c>
      <c r="D130" s="124" t="str">
        <f>IFERROR(__xludf.DUMMYFUNCTION("""COMPUTED_VALUE"""),"Primary_Walkin")</f>
        <v>Primary_Walkin</v>
      </c>
      <c r="E130" s="127">
        <f>IFERROR(__xludf.DUMMYFUNCTION("""COMPUTED_VALUE"""),1.0)</f>
        <v>1</v>
      </c>
      <c r="F130" s="128" t="str">
        <f>IFERROR(__xludf.DUMMYFUNCTION("""COMPUTED_VALUE"""),"Cold")</f>
        <v>Cold</v>
      </c>
      <c r="G130" s="124" t="str">
        <f>IFERROR(__xludf.DUMMYFUNCTION("""COMPUTED_VALUE"""),"GS Foundation")</f>
        <v>GS Foundation</v>
      </c>
      <c r="K130" s="124"/>
      <c r="L130" s="124"/>
      <c r="M130" s="124"/>
      <c r="N130" s="124"/>
      <c r="O130" s="124"/>
      <c r="T130" s="129">
        <f>IFERROR(__xludf.DUMMYFUNCTION("""COMPUTED_VALUE"""),46071.0)</f>
        <v>46071</v>
      </c>
      <c r="U130" s="124" t="str">
        <f>IFERROR(__xludf.DUMMYFUNCTION("""COMPUTED_VALUE"""),"Publisher Campaign")</f>
        <v>Publisher Campaign</v>
      </c>
      <c r="V130" s="124" t="str">
        <f>IFERROR(__xludf.DUMMYFUNCTION("""COMPUTED_VALUE"""),"BTL Activities")</f>
        <v>BTL Activities</v>
      </c>
      <c r="W130" s="124"/>
      <c r="X130" s="124"/>
      <c r="Y130" s="124" t="str">
        <f>IFERROR(__xludf.DUMMYFUNCTION("""COMPUTED_VALUE"""),"Indore")</f>
        <v>Indore</v>
      </c>
      <c r="Z130" s="124">
        <f>IFERROR(__xludf.DUMMYFUNCTION("""COMPUTED_VALUE"""),2.0)</f>
        <v>2</v>
      </c>
      <c r="AA130" s="124" t="str">
        <f>IFERROR(__xludf.DUMMYFUNCTION("""COMPUTED_VALUE"""),"Cold")</f>
        <v>Cold</v>
      </c>
      <c r="AB130" s="124" t="str">
        <f>IFERROR(__xludf.DUMMYFUNCTION("""COMPUTED_VALUE"""),"GS Foundation")</f>
        <v>GS Foundation</v>
      </c>
    </row>
    <row r="131">
      <c r="A131" s="126">
        <f>IFERROR(__xludf.DUMMYFUNCTION("""COMPUTED_VALUE"""),46087.0)</f>
        <v>46087</v>
      </c>
      <c r="B131" s="124" t="str">
        <f>IFERROR(__xludf.DUMMYFUNCTION("""COMPUTED_VALUE"""),"Walkin")</f>
        <v>Walkin</v>
      </c>
      <c r="C131" s="124" t="str">
        <f>IFERROR(__xludf.DUMMYFUNCTION("""COMPUTED_VALUE"""),"Indore")</f>
        <v>Indore</v>
      </c>
      <c r="D131" s="124" t="str">
        <f>IFERROR(__xludf.DUMMYFUNCTION("""COMPUTED_VALUE"""),"Primary_Walkin")</f>
        <v>Primary_Walkin</v>
      </c>
      <c r="E131" s="127">
        <f>IFERROR(__xludf.DUMMYFUNCTION("""COMPUTED_VALUE"""),1.0)</f>
        <v>1</v>
      </c>
      <c r="F131" s="128" t="str">
        <f>IFERROR(__xludf.DUMMYFUNCTION("""COMPUTED_VALUE"""),"Enrolled")</f>
        <v>Enrolled</v>
      </c>
      <c r="G131" s="124" t="str">
        <f>IFERROR(__xludf.DUMMYFUNCTION("""COMPUTED_VALUE"""),"GS Foundation")</f>
        <v>GS Foundation</v>
      </c>
      <c r="K131" s="124"/>
      <c r="L131" s="124"/>
      <c r="M131" s="124"/>
      <c r="N131" s="124"/>
      <c r="O131" s="124"/>
      <c r="T131" s="126">
        <f>IFERROR(__xludf.DUMMYFUNCTION("""COMPUTED_VALUE"""),46091.0)</f>
        <v>46091</v>
      </c>
      <c r="U131" s="124" t="str">
        <f>IFERROR(__xludf.DUMMYFUNCTION("""COMPUTED_VALUE"""),"Publisher Campaign")</f>
        <v>Publisher Campaign</v>
      </c>
      <c r="V131" s="124" t="str">
        <f>IFERROR(__xludf.DUMMYFUNCTION("""COMPUTED_VALUE"""),"Webinar")</f>
        <v>Webinar</v>
      </c>
      <c r="W131" s="124"/>
      <c r="X131" s="124"/>
      <c r="Y131" s="124" t="str">
        <f>IFERROR(__xludf.DUMMYFUNCTION("""COMPUTED_VALUE"""),"Delhi")</f>
        <v>Delhi</v>
      </c>
      <c r="Z131" s="124">
        <f>IFERROR(__xludf.DUMMYFUNCTION("""COMPUTED_VALUE"""),59.0)</f>
        <v>59</v>
      </c>
      <c r="AA131" s="124" t="str">
        <f>IFERROR(__xludf.DUMMYFUNCTION("""COMPUTED_VALUE"""),"Cold")</f>
        <v>Cold</v>
      </c>
      <c r="AB131" s="124" t="str">
        <f>IFERROR(__xludf.DUMMYFUNCTION("""COMPUTED_VALUE"""),"CSAT")</f>
        <v>CSAT</v>
      </c>
    </row>
    <row r="132">
      <c r="A132" s="126">
        <f>IFERROR(__xludf.DUMMYFUNCTION("""COMPUTED_VALUE"""),46066.0)</f>
        <v>46066</v>
      </c>
      <c r="B132" s="124" t="str">
        <f>IFERROR(__xludf.DUMMYFUNCTION("""COMPUTED_VALUE"""),"Walkin")</f>
        <v>Walkin</v>
      </c>
      <c r="C132" s="124" t="str">
        <f>IFERROR(__xludf.DUMMYFUNCTION("""COMPUTED_VALUE"""),"Lucknow")</f>
        <v>Lucknow</v>
      </c>
      <c r="D132" s="124" t="str">
        <f>IFERROR(__xludf.DUMMYFUNCTION("""COMPUTED_VALUE"""),"Primary_Walkin")</f>
        <v>Primary_Walkin</v>
      </c>
      <c r="E132" s="127">
        <f>IFERROR(__xludf.DUMMYFUNCTION("""COMPUTED_VALUE"""),1.0)</f>
        <v>1</v>
      </c>
      <c r="F132" s="128" t="str">
        <f>IFERROR(__xludf.DUMMYFUNCTION("""COMPUTED_VALUE"""),"Cold")</f>
        <v>Cold</v>
      </c>
      <c r="G132" s="124" t="str">
        <f>IFERROR(__xludf.DUMMYFUNCTION("""COMPUTED_VALUE"""),"IGP UPPSC")</f>
        <v>IGP UPPSC</v>
      </c>
      <c r="K132" s="124"/>
      <c r="L132" s="124"/>
      <c r="M132" s="124"/>
      <c r="N132" s="124"/>
      <c r="O132" s="124"/>
      <c r="T132" s="126">
        <f>IFERROR(__xludf.DUMMYFUNCTION("""COMPUTED_VALUE"""),46044.0)</f>
        <v>46044</v>
      </c>
      <c r="U132" s="124" t="str">
        <f>IFERROR(__xludf.DUMMYFUNCTION("""COMPUTED_VALUE"""),"External Leads")</f>
        <v>External Leads</v>
      </c>
      <c r="V132" s="124" t="str">
        <f>IFERROR(__xludf.DUMMYFUNCTION("""COMPUTED_VALUE"""),"external leads")</f>
        <v>external leads</v>
      </c>
      <c r="W132" s="124"/>
      <c r="X132" s="124"/>
      <c r="Y132" s="124" t="str">
        <f>IFERROR(__xludf.DUMMYFUNCTION("""COMPUTED_VALUE"""),"Delhi")</f>
        <v>Delhi</v>
      </c>
      <c r="Z132" s="124">
        <f>IFERROR(__xludf.DUMMYFUNCTION("""COMPUTED_VALUE"""),1.0)</f>
        <v>1</v>
      </c>
      <c r="AA132" s="124" t="str">
        <f>IFERROR(__xludf.DUMMYFUNCTION("""COMPUTED_VALUE"""),"Future Prospects")</f>
        <v>Future Prospects</v>
      </c>
      <c r="AB132" s="124"/>
    </row>
    <row r="133">
      <c r="A133" s="126">
        <f>IFERROR(__xludf.DUMMYFUNCTION("""COMPUTED_VALUE"""),46051.0)</f>
        <v>46051</v>
      </c>
      <c r="B133" s="124" t="str">
        <f>IFERROR(__xludf.DUMMYFUNCTION("""COMPUTED_VALUE"""),"Walkin")</f>
        <v>Walkin</v>
      </c>
      <c r="C133" s="124" t="str">
        <f>IFERROR(__xludf.DUMMYFUNCTION("""COMPUTED_VALUE"""),"Indore")</f>
        <v>Indore</v>
      </c>
      <c r="D133" s="124" t="str">
        <f>IFERROR(__xludf.DUMMYFUNCTION("""COMPUTED_VALUE"""),"Primary_Walkin")</f>
        <v>Primary_Walkin</v>
      </c>
      <c r="E133" s="127">
        <f>IFERROR(__xludf.DUMMYFUNCTION("""COMPUTED_VALUE"""),1.0)</f>
        <v>1</v>
      </c>
      <c r="F133" s="128" t="str">
        <f>IFERROR(__xludf.DUMMYFUNCTION("""COMPUTED_VALUE"""),"Not Interested")</f>
        <v>Not Interested</v>
      </c>
      <c r="G133" s="124" t="str">
        <f>IFERROR(__xludf.DUMMYFUNCTION("""COMPUTED_VALUE"""),"GS Foundation")</f>
        <v>GS Foundation</v>
      </c>
      <c r="K133" s="124"/>
      <c r="L133" s="124"/>
      <c r="M133" s="124"/>
      <c r="N133" s="124"/>
      <c r="O133" s="124"/>
      <c r="T133" s="126">
        <f>IFERROR(__xludf.DUMMYFUNCTION("""COMPUTED_VALUE"""),46069.0)</f>
        <v>46069</v>
      </c>
      <c r="U133" s="124" t="str">
        <f>IFERROR(__xludf.DUMMYFUNCTION("""COMPUTED_VALUE"""),"Publisher Campaign")</f>
        <v>Publisher Campaign</v>
      </c>
      <c r="V133" s="124" t="str">
        <f>IFERROR(__xludf.DUMMYFUNCTION("""COMPUTED_VALUE"""),"BTL Activities")</f>
        <v>BTL Activities</v>
      </c>
      <c r="W133" s="124"/>
      <c r="X133" s="124"/>
      <c r="Y133" s="124" t="str">
        <f>IFERROR(__xludf.DUMMYFUNCTION("""COMPUTED_VALUE"""),"Indore")</f>
        <v>Indore</v>
      </c>
      <c r="Z133" s="124">
        <f>IFERROR(__xludf.DUMMYFUNCTION("""COMPUTED_VALUE"""),4.0)</f>
        <v>4</v>
      </c>
      <c r="AA133" s="124" t="str">
        <f>IFERROR(__xludf.DUMMYFUNCTION("""COMPUTED_VALUE"""),"Not Interested")</f>
        <v>Not Interested</v>
      </c>
      <c r="AB133" s="124" t="str">
        <f>IFERROR(__xludf.DUMMYFUNCTION("""COMPUTED_VALUE"""),"GS Foundation")</f>
        <v>GS Foundation</v>
      </c>
    </row>
    <row r="134">
      <c r="A134" s="126">
        <f>IFERROR(__xludf.DUMMYFUNCTION("""COMPUTED_VALUE"""),46067.0)</f>
        <v>46067</v>
      </c>
      <c r="B134" s="124" t="str">
        <f>IFERROR(__xludf.DUMMYFUNCTION("""COMPUTED_VALUE"""),"Walkin")</f>
        <v>Walkin</v>
      </c>
      <c r="C134" s="124" t="str">
        <f>IFERROR(__xludf.DUMMYFUNCTION("""COMPUTED_VALUE"""),"Lucknow")</f>
        <v>Lucknow</v>
      </c>
      <c r="D134" s="124" t="str">
        <f>IFERROR(__xludf.DUMMYFUNCTION("""COMPUTED_VALUE"""),"Primary_Walkin")</f>
        <v>Primary_Walkin</v>
      </c>
      <c r="E134" s="127">
        <f>IFERROR(__xludf.DUMMYFUNCTION("""COMPUTED_VALUE"""),1.0)</f>
        <v>1</v>
      </c>
      <c r="F134" s="128" t="str">
        <f>IFERROR(__xludf.DUMMYFUNCTION("""COMPUTED_VALUE"""),"Enrolled")</f>
        <v>Enrolled</v>
      </c>
      <c r="G134" s="124" t="str">
        <f>IFERROR(__xludf.DUMMYFUNCTION("""COMPUTED_VALUE"""),"Other")</f>
        <v>Other</v>
      </c>
      <c r="K134" s="124"/>
      <c r="L134" s="124"/>
      <c r="M134" s="124"/>
      <c r="N134" s="124"/>
      <c r="O134" s="124"/>
      <c r="T134" s="126">
        <f>IFERROR(__xludf.DUMMYFUNCTION("""COMPUTED_VALUE"""),46071.0)</f>
        <v>46071</v>
      </c>
      <c r="U134" s="124" t="str">
        <f>IFERROR(__xludf.DUMMYFUNCTION("""COMPUTED_VALUE"""),"Publisher Campaign")</f>
        <v>Publisher Campaign</v>
      </c>
      <c r="V134" s="124" t="str">
        <f>IFERROR(__xludf.DUMMYFUNCTION("""COMPUTED_VALUE"""),"Feeder Cities")</f>
        <v>Feeder Cities</v>
      </c>
      <c r="W134" s="124"/>
      <c r="X134" s="124"/>
      <c r="Y134" s="124" t="str">
        <f>IFERROR(__xludf.DUMMYFUNCTION("""COMPUTED_VALUE"""),"Indore")</f>
        <v>Indore</v>
      </c>
      <c r="Z134" s="124">
        <f>IFERROR(__xludf.DUMMYFUNCTION("""COMPUTED_VALUE"""),24.0)</f>
        <v>24</v>
      </c>
      <c r="AA134" s="124" t="str">
        <f>IFERROR(__xludf.DUMMYFUNCTION("""COMPUTED_VALUE"""),"Not Interested")</f>
        <v>Not Interested</v>
      </c>
      <c r="AB134" s="124" t="str">
        <f>IFERROR(__xludf.DUMMYFUNCTION("""COMPUTED_VALUE"""),"GS Foundation")</f>
        <v>GS Foundation</v>
      </c>
    </row>
    <row r="135">
      <c r="A135" s="126">
        <f>IFERROR(__xludf.DUMMYFUNCTION("""COMPUTED_VALUE"""),46088.0)</f>
        <v>46088</v>
      </c>
      <c r="B135" s="124" t="str">
        <f>IFERROR(__xludf.DUMMYFUNCTION("""COMPUTED_VALUE"""),"Walkin")</f>
        <v>Walkin</v>
      </c>
      <c r="C135" s="124" t="str">
        <f>IFERROR(__xludf.DUMMYFUNCTION("""COMPUTED_VALUE"""),"Lucknow")</f>
        <v>Lucknow</v>
      </c>
      <c r="D135" s="124" t="str">
        <f>IFERROR(__xludf.DUMMYFUNCTION("""COMPUTED_VALUE"""),"Primary_Walkin")</f>
        <v>Primary_Walkin</v>
      </c>
      <c r="E135" s="127">
        <f>IFERROR(__xludf.DUMMYFUNCTION("""COMPUTED_VALUE"""),1.0)</f>
        <v>1</v>
      </c>
      <c r="F135" s="128" t="str">
        <f>IFERROR(__xludf.DUMMYFUNCTION("""COMPUTED_VALUE"""),"Enrolled")</f>
        <v>Enrolled</v>
      </c>
      <c r="G135" s="124" t="str">
        <f>IFERROR(__xludf.DUMMYFUNCTION("""COMPUTED_VALUE"""),"Hybrid")</f>
        <v>Hybrid</v>
      </c>
      <c r="K135" s="124"/>
      <c r="L135" s="124"/>
      <c r="M135" s="124"/>
      <c r="N135" s="124"/>
      <c r="O135" s="124"/>
      <c r="T135" s="126">
        <f>IFERROR(__xludf.DUMMYFUNCTION("""COMPUTED_VALUE"""),46060.0)</f>
        <v>46060</v>
      </c>
      <c r="U135" s="124" t="str">
        <f>IFERROR(__xludf.DUMMYFUNCTION("""COMPUTED_VALUE"""),"Publisher Campaign")</f>
        <v>Publisher Campaign</v>
      </c>
      <c r="V135" s="124" t="str">
        <f>IFERROR(__xludf.DUMMYFUNCTION("""COMPUTED_VALUE"""),"Webinar")</f>
        <v>Webinar</v>
      </c>
      <c r="W135" s="124"/>
      <c r="X135" s="124"/>
      <c r="Y135" s="124" t="str">
        <f>IFERROR(__xludf.DUMMYFUNCTION("""COMPUTED_VALUE"""),"Delhi")</f>
        <v>Delhi</v>
      </c>
      <c r="Z135" s="124">
        <f>IFERROR(__xludf.DUMMYFUNCTION("""COMPUTED_VALUE"""),22.0)</f>
        <v>22</v>
      </c>
      <c r="AA135" s="124" t="str">
        <f>IFERROR(__xludf.DUMMYFUNCTION("""COMPUTED_VALUE"""),"Cold")</f>
        <v>Cold</v>
      </c>
      <c r="AB135" s="124" t="str">
        <f>IFERROR(__xludf.DUMMYFUNCTION("""COMPUTED_VALUE"""),"CSAT")</f>
        <v>CSAT</v>
      </c>
    </row>
    <row r="136">
      <c r="A136" s="126">
        <f>IFERROR(__xludf.DUMMYFUNCTION("""COMPUTED_VALUE"""),46079.0)</f>
        <v>46079</v>
      </c>
      <c r="B136" s="124" t="str">
        <f>IFERROR(__xludf.DUMMYFUNCTION("""COMPUTED_VALUE"""),"Walkin")</f>
        <v>Walkin</v>
      </c>
      <c r="C136" s="124" t="str">
        <f>IFERROR(__xludf.DUMMYFUNCTION("""COMPUTED_VALUE"""),"Indore")</f>
        <v>Indore</v>
      </c>
      <c r="D136" s="124" t="str">
        <f>IFERROR(__xludf.DUMMYFUNCTION("""COMPUTED_VALUE"""),"Primary_Walkin")</f>
        <v>Primary_Walkin</v>
      </c>
      <c r="E136" s="127">
        <f>IFERROR(__xludf.DUMMYFUNCTION("""COMPUTED_VALUE"""),2.0)</f>
        <v>2</v>
      </c>
      <c r="F136" s="128" t="str">
        <f>IFERROR(__xludf.DUMMYFUNCTION("""COMPUTED_VALUE"""),"Enrolled")</f>
        <v>Enrolled</v>
      </c>
      <c r="G136" s="124" t="str">
        <f>IFERROR(__xludf.DUMMYFUNCTION("""COMPUTED_VALUE"""),"Other")</f>
        <v>Other</v>
      </c>
      <c r="K136" s="124"/>
      <c r="L136" s="124"/>
      <c r="M136" s="124"/>
      <c r="N136" s="124"/>
      <c r="O136" s="124"/>
      <c r="T136" s="126">
        <f>IFERROR(__xludf.DUMMYFUNCTION("""COMPUTED_VALUE"""),46061.0)</f>
        <v>46061</v>
      </c>
      <c r="U136" s="124" t="str">
        <f>IFERROR(__xludf.DUMMYFUNCTION("""COMPUTED_VALUE"""),"Publisher Campaign")</f>
        <v>Publisher Campaign</v>
      </c>
      <c r="V136" s="124" t="str">
        <f>IFERROR(__xludf.DUMMYFUNCTION("""COMPUTED_VALUE"""),"Webinar")</f>
        <v>Webinar</v>
      </c>
      <c r="W136" s="124"/>
      <c r="X136" s="124"/>
      <c r="Y136" s="124" t="str">
        <f>IFERROR(__xludf.DUMMYFUNCTION("""COMPUTED_VALUE"""),"Delhi")</f>
        <v>Delhi</v>
      </c>
      <c r="Z136" s="124">
        <f>IFERROR(__xludf.DUMMYFUNCTION("""COMPUTED_VALUE"""),38.0)</f>
        <v>38</v>
      </c>
      <c r="AA136" s="124" t="str">
        <f>IFERROR(__xludf.DUMMYFUNCTION("""COMPUTED_VALUE"""),"Cold")</f>
        <v>Cold</v>
      </c>
      <c r="AB136" s="124" t="str">
        <f>IFERROR(__xludf.DUMMYFUNCTION("""COMPUTED_VALUE"""),"Other")</f>
        <v>Other</v>
      </c>
    </row>
    <row r="137">
      <c r="A137" s="126">
        <f>IFERROR(__xludf.DUMMYFUNCTION("""COMPUTED_VALUE"""),46052.0)</f>
        <v>46052</v>
      </c>
      <c r="B137" s="124" t="str">
        <f>IFERROR(__xludf.DUMMYFUNCTION("""COMPUTED_VALUE"""),"Walkin")</f>
        <v>Walkin</v>
      </c>
      <c r="C137" s="124" t="str">
        <f>IFERROR(__xludf.DUMMYFUNCTION("""COMPUTED_VALUE"""),"Lucknow")</f>
        <v>Lucknow</v>
      </c>
      <c r="D137" s="124" t="str">
        <f>IFERROR(__xludf.DUMMYFUNCTION("""COMPUTED_VALUE"""),"Primary_Walkin")</f>
        <v>Primary_Walkin</v>
      </c>
      <c r="E137" s="127">
        <f>IFERROR(__xludf.DUMMYFUNCTION("""COMPUTED_VALUE"""),1.0)</f>
        <v>1</v>
      </c>
      <c r="F137" s="128" t="str">
        <f>IFERROR(__xludf.DUMMYFUNCTION("""COMPUTED_VALUE"""),"Future Prospects")</f>
        <v>Future Prospects</v>
      </c>
      <c r="G137" s="124" t="str">
        <f>IFERROR(__xludf.DUMMYFUNCTION("""COMPUTED_VALUE"""),"State PCS")</f>
        <v>State PCS</v>
      </c>
      <c r="K137" s="124"/>
      <c r="L137" s="124"/>
      <c r="M137" s="124"/>
      <c r="N137" s="124"/>
      <c r="O137" s="124"/>
      <c r="T137" s="126">
        <f>IFERROR(__xludf.DUMMYFUNCTION("""COMPUTED_VALUE"""),46079.0)</f>
        <v>46079</v>
      </c>
      <c r="U137" s="124" t="str">
        <f>IFERROR(__xludf.DUMMYFUNCTION("""COMPUTED_VALUE"""),"Publisher Campaign")</f>
        <v>Publisher Campaign</v>
      </c>
      <c r="V137" s="124" t="str">
        <f>IFERROR(__xludf.DUMMYFUNCTION("""COMPUTED_VALUE"""),"Webinar")</f>
        <v>Webinar</v>
      </c>
      <c r="W137" s="124"/>
      <c r="X137" s="124"/>
      <c r="Y137" s="124" t="str">
        <f>IFERROR(__xludf.DUMMYFUNCTION("""COMPUTED_VALUE"""),"Delhi")</f>
        <v>Delhi</v>
      </c>
      <c r="Z137" s="124">
        <f>IFERROR(__xludf.DUMMYFUNCTION("""COMPUTED_VALUE"""),16.0)</f>
        <v>16</v>
      </c>
      <c r="AA137" s="124" t="str">
        <f>IFERROR(__xludf.DUMMYFUNCTION("""COMPUTED_VALUE"""),"Warm")</f>
        <v>Warm</v>
      </c>
      <c r="AB137" s="124" t="str">
        <f>IFERROR(__xludf.DUMMYFUNCTION("""COMPUTED_VALUE"""),"GS Foundation")</f>
        <v>GS Foundation</v>
      </c>
    </row>
    <row r="138">
      <c r="A138" s="126">
        <f>IFERROR(__xludf.DUMMYFUNCTION("""COMPUTED_VALUE"""),46073.0)</f>
        <v>46073</v>
      </c>
      <c r="B138" s="124" t="str">
        <f>IFERROR(__xludf.DUMMYFUNCTION("""COMPUTED_VALUE"""),"Walkin")</f>
        <v>Walkin</v>
      </c>
      <c r="C138" s="124" t="str">
        <f>IFERROR(__xludf.DUMMYFUNCTION("""COMPUTED_VALUE"""),"Lucknow")</f>
        <v>Lucknow</v>
      </c>
      <c r="D138" s="124" t="str">
        <f>IFERROR(__xludf.DUMMYFUNCTION("""COMPUTED_VALUE"""),"Primary_Walkin")</f>
        <v>Primary_Walkin</v>
      </c>
      <c r="E138" s="127">
        <f>IFERROR(__xludf.DUMMYFUNCTION("""COMPUTED_VALUE"""),1.0)</f>
        <v>1</v>
      </c>
      <c r="F138" s="128" t="str">
        <f>IFERROR(__xludf.DUMMYFUNCTION("""COMPUTED_VALUE"""),"Cold")</f>
        <v>Cold</v>
      </c>
      <c r="G138" s="124" t="str">
        <f>IFERROR(__xludf.DUMMYFUNCTION("""COMPUTED_VALUE"""),"GS Foundation")</f>
        <v>GS Foundation</v>
      </c>
      <c r="K138" s="124"/>
      <c r="L138" s="124"/>
      <c r="M138" s="124"/>
      <c r="N138" s="124"/>
      <c r="O138" s="124"/>
      <c r="T138" s="126">
        <f>IFERROR(__xludf.DUMMYFUNCTION("""COMPUTED_VALUE"""),46044.0)</f>
        <v>46044</v>
      </c>
      <c r="U138" s="124" t="str">
        <f>IFERROR(__xludf.DUMMYFUNCTION("""COMPUTED_VALUE"""),"External Leads")</f>
        <v>External Leads</v>
      </c>
      <c r="V138" s="124" t="str">
        <f>IFERROR(__xludf.DUMMYFUNCTION("""COMPUTED_VALUE"""),"external leads")</f>
        <v>external leads</v>
      </c>
      <c r="W138" s="124"/>
      <c r="X138" s="124"/>
      <c r="Y138" s="124"/>
      <c r="Z138" s="124">
        <f>IFERROR(__xludf.DUMMYFUNCTION("""COMPUTED_VALUE"""),62.0)</f>
        <v>62</v>
      </c>
      <c r="AA138" s="124" t="str">
        <f>IFERROR(__xludf.DUMMYFUNCTION("""COMPUTED_VALUE"""),"Cold")</f>
        <v>Cold</v>
      </c>
      <c r="AB138" s="124"/>
    </row>
    <row r="139">
      <c r="A139" s="126">
        <f>IFERROR(__xludf.DUMMYFUNCTION("""COMPUTED_VALUE"""),46111.0)</f>
        <v>46111</v>
      </c>
      <c r="B139" s="124" t="str">
        <f>IFERROR(__xludf.DUMMYFUNCTION("""COMPUTED_VALUE"""),"Walkin")</f>
        <v>Walkin</v>
      </c>
      <c r="C139" s="124" t="str">
        <f>IFERROR(__xludf.DUMMYFUNCTION("""COMPUTED_VALUE"""),"Indore")</f>
        <v>Indore</v>
      </c>
      <c r="D139" s="124" t="str">
        <f>IFERROR(__xludf.DUMMYFUNCTION("""COMPUTED_VALUE"""),"Primary_Walkin")</f>
        <v>Primary_Walkin</v>
      </c>
      <c r="E139" s="127">
        <f>IFERROR(__xludf.DUMMYFUNCTION("""COMPUTED_VALUE"""),2.0)</f>
        <v>2</v>
      </c>
      <c r="F139" s="128" t="str">
        <f>IFERROR(__xludf.DUMMYFUNCTION("""COMPUTED_VALUE"""),"Future Prospects")</f>
        <v>Future Prospects</v>
      </c>
      <c r="G139" s="124" t="str">
        <f>IFERROR(__xludf.DUMMYFUNCTION("""COMPUTED_VALUE"""),"State PCS")</f>
        <v>State PCS</v>
      </c>
      <c r="K139" s="124"/>
      <c r="L139" s="124"/>
      <c r="M139" s="124"/>
      <c r="N139" s="124"/>
      <c r="O139" s="124"/>
      <c r="T139" s="126">
        <f>IFERROR(__xludf.DUMMYFUNCTION("""COMPUTED_VALUE"""),46070.0)</f>
        <v>46070</v>
      </c>
      <c r="U139" s="124" t="str">
        <f>IFERROR(__xludf.DUMMYFUNCTION("""COMPUTED_VALUE"""),"Publisher Campaign")</f>
        <v>Publisher Campaign</v>
      </c>
      <c r="V139" s="124" t="str">
        <f>IFERROR(__xludf.DUMMYFUNCTION("""COMPUTED_VALUE"""),"Feeder Cities")</f>
        <v>Feeder Cities</v>
      </c>
      <c r="W139" s="124"/>
      <c r="X139" s="124"/>
      <c r="Y139" s="124" t="str">
        <f>IFERROR(__xludf.DUMMYFUNCTION("""COMPUTED_VALUE"""),"Indore")</f>
        <v>Indore</v>
      </c>
      <c r="Z139" s="124">
        <f>IFERROR(__xludf.DUMMYFUNCTION("""COMPUTED_VALUE"""),1.0)</f>
        <v>1</v>
      </c>
      <c r="AA139" s="124" t="str">
        <f>IFERROR(__xludf.DUMMYFUNCTION("""COMPUTED_VALUE"""),"Not Interested")</f>
        <v>Not Interested</v>
      </c>
      <c r="AB139" s="124" t="str">
        <f>IFERROR(__xludf.DUMMYFUNCTION("""COMPUTED_VALUE"""),"Other")</f>
        <v>Other</v>
      </c>
    </row>
    <row r="140">
      <c r="A140" s="129">
        <f>IFERROR(__xludf.DUMMYFUNCTION("""COMPUTED_VALUE"""),46074.0)</f>
        <v>46074</v>
      </c>
      <c r="B140" s="124" t="str">
        <f>IFERROR(__xludf.DUMMYFUNCTION("""COMPUTED_VALUE"""),"Walkin")</f>
        <v>Walkin</v>
      </c>
      <c r="C140" s="124" t="str">
        <f>IFERROR(__xludf.DUMMYFUNCTION("""COMPUTED_VALUE"""),"Indore")</f>
        <v>Indore</v>
      </c>
      <c r="D140" s="124" t="str">
        <f>IFERROR(__xludf.DUMMYFUNCTION("""COMPUTED_VALUE"""),"Primary_Walkin")</f>
        <v>Primary_Walkin</v>
      </c>
      <c r="E140" s="127">
        <f>IFERROR(__xludf.DUMMYFUNCTION("""COMPUTED_VALUE"""),1.0)</f>
        <v>1</v>
      </c>
      <c r="F140" s="128" t="str">
        <f>IFERROR(__xludf.DUMMYFUNCTION("""COMPUTED_VALUE"""),"Future Prospects")</f>
        <v>Future Prospects</v>
      </c>
      <c r="G140" s="124" t="str">
        <f>IFERROR(__xludf.DUMMYFUNCTION("""COMPUTED_VALUE"""),"GS Foundation")</f>
        <v>GS Foundation</v>
      </c>
      <c r="K140" s="124"/>
      <c r="L140" s="124"/>
      <c r="M140" s="124"/>
      <c r="N140" s="124"/>
      <c r="O140" s="124"/>
      <c r="T140" s="126">
        <f>IFERROR(__xludf.DUMMYFUNCTION("""COMPUTED_VALUE"""),46071.0)</f>
        <v>46071</v>
      </c>
      <c r="U140" s="124" t="str">
        <f>IFERROR(__xludf.DUMMYFUNCTION("""COMPUTED_VALUE"""),"Publisher Campaign")</f>
        <v>Publisher Campaign</v>
      </c>
      <c r="V140" s="124" t="str">
        <f>IFERROR(__xludf.DUMMYFUNCTION("""COMPUTED_VALUE"""),"Feeder Cities")</f>
        <v>Feeder Cities</v>
      </c>
      <c r="W140" s="124"/>
      <c r="X140" s="124"/>
      <c r="Y140" s="124" t="str">
        <f>IFERROR(__xludf.DUMMYFUNCTION("""COMPUTED_VALUE"""),"Indore")</f>
        <v>Indore</v>
      </c>
      <c r="Z140" s="124">
        <f>IFERROR(__xludf.DUMMYFUNCTION("""COMPUTED_VALUE"""),34.0)</f>
        <v>34</v>
      </c>
      <c r="AA140" s="124" t="str">
        <f>IFERROR(__xludf.DUMMYFUNCTION("""COMPUTED_VALUE"""),"Cold")</f>
        <v>Cold</v>
      </c>
      <c r="AB140" s="124" t="str">
        <f>IFERROR(__xludf.DUMMYFUNCTION("""COMPUTED_VALUE"""),"GS Foundation")</f>
        <v>GS Foundation</v>
      </c>
    </row>
    <row r="141">
      <c r="A141" s="126">
        <f>IFERROR(__xludf.DUMMYFUNCTION("""COMPUTED_VALUE"""),46105.0)</f>
        <v>46105</v>
      </c>
      <c r="B141" s="124" t="str">
        <f>IFERROR(__xludf.DUMMYFUNCTION("""COMPUTED_VALUE"""),"Walkin")</f>
        <v>Walkin</v>
      </c>
      <c r="C141" s="124" t="str">
        <f>IFERROR(__xludf.DUMMYFUNCTION("""COMPUTED_VALUE"""),"Indore")</f>
        <v>Indore</v>
      </c>
      <c r="D141" s="124" t="str">
        <f>IFERROR(__xludf.DUMMYFUNCTION("""COMPUTED_VALUE"""),"Primary_Walkin")</f>
        <v>Primary_Walkin</v>
      </c>
      <c r="E141" s="127">
        <f>IFERROR(__xludf.DUMMYFUNCTION("""COMPUTED_VALUE"""),1.0)</f>
        <v>1</v>
      </c>
      <c r="F141" s="128" t="str">
        <f>IFERROR(__xludf.DUMMYFUNCTION("""COMPUTED_VALUE"""),"Future Prospects")</f>
        <v>Future Prospects</v>
      </c>
      <c r="G141" s="124" t="str">
        <f>IFERROR(__xludf.DUMMYFUNCTION("""COMPUTED_VALUE"""),"Other")</f>
        <v>Other</v>
      </c>
      <c r="K141" s="124"/>
      <c r="L141" s="124"/>
      <c r="M141" s="124"/>
      <c r="N141" s="124"/>
      <c r="O141" s="124"/>
      <c r="T141" s="129">
        <f>IFERROR(__xludf.DUMMYFUNCTION("""COMPUTED_VALUE"""),46043.0)</f>
        <v>46043</v>
      </c>
      <c r="U141" s="124" t="str">
        <f>IFERROR(__xludf.DUMMYFUNCTION("""COMPUTED_VALUE"""),"Walk-Ins")</f>
        <v>Walk-Ins</v>
      </c>
      <c r="V141" s="124" t="str">
        <f>IFERROR(__xludf.DUMMYFUNCTION("""COMPUTED_VALUE"""),"Walkin")</f>
        <v>Walkin</v>
      </c>
      <c r="W141" s="124"/>
      <c r="X141" s="124"/>
      <c r="Y141" s="124" t="str">
        <f>IFERROR(__xludf.DUMMYFUNCTION("""COMPUTED_VALUE"""),"Delhi")</f>
        <v>Delhi</v>
      </c>
      <c r="Z141" s="124">
        <f>IFERROR(__xludf.DUMMYFUNCTION("""COMPUTED_VALUE"""),2.0)</f>
        <v>2</v>
      </c>
      <c r="AA141" s="124" t="str">
        <f>IFERROR(__xludf.DUMMYFUNCTION("""COMPUTED_VALUE"""),"Not Interested")</f>
        <v>Not Interested</v>
      </c>
      <c r="AB141" s="124" t="str">
        <f>IFERROR(__xludf.DUMMYFUNCTION("""COMPUTED_VALUE"""),"GS Foundation")</f>
        <v>GS Foundation</v>
      </c>
    </row>
    <row r="142">
      <c r="A142" s="129">
        <f>IFERROR(__xludf.DUMMYFUNCTION("""COMPUTED_VALUE"""),46070.0)</f>
        <v>46070</v>
      </c>
      <c r="B142" s="124" t="str">
        <f>IFERROR(__xludf.DUMMYFUNCTION("""COMPUTED_VALUE"""),"events")</f>
        <v>events</v>
      </c>
      <c r="C142" s="124" t="str">
        <f>IFERROR(__xludf.DUMMYFUNCTION("""COMPUTED_VALUE"""),"Indore")</f>
        <v>Indore</v>
      </c>
      <c r="D142" s="124" t="str">
        <f>IFERROR(__xludf.DUMMYFUNCTION("""COMPUTED_VALUE"""),"Secondary_Walkin")</f>
        <v>Secondary_Walkin</v>
      </c>
      <c r="E142" s="127">
        <f>IFERROR(__xludf.DUMMYFUNCTION("""COMPUTED_VALUE"""),1.0)</f>
        <v>1</v>
      </c>
      <c r="F142" s="128" t="str">
        <f>IFERROR(__xludf.DUMMYFUNCTION("""COMPUTED_VALUE"""),"Cold")</f>
        <v>Cold</v>
      </c>
      <c r="G142" s="124" t="str">
        <f>IFERROR(__xludf.DUMMYFUNCTION("""COMPUTED_VALUE"""),"Test Series")</f>
        <v>Test Series</v>
      </c>
      <c r="K142" s="124"/>
      <c r="L142" s="124"/>
      <c r="M142" s="124"/>
      <c r="N142" s="124"/>
      <c r="O142" s="124"/>
      <c r="T142" s="126">
        <f>IFERROR(__xludf.DUMMYFUNCTION("""COMPUTED_VALUE"""),46102.0)</f>
        <v>46102</v>
      </c>
      <c r="U142" s="124" t="str">
        <f>IFERROR(__xludf.DUMMYFUNCTION("""COMPUTED_VALUE"""),"Publisher Campaign")</f>
        <v>Publisher Campaign</v>
      </c>
      <c r="V142" s="124" t="str">
        <f>IFERROR(__xludf.DUMMYFUNCTION("""COMPUTED_VALUE"""),"Webinar")</f>
        <v>Webinar</v>
      </c>
      <c r="W142" s="124"/>
      <c r="X142" s="124"/>
      <c r="Y142" s="124" t="str">
        <f>IFERROR(__xludf.DUMMYFUNCTION("""COMPUTED_VALUE"""),"Delhi")</f>
        <v>Delhi</v>
      </c>
      <c r="Z142" s="124">
        <f>IFERROR(__xludf.DUMMYFUNCTION("""COMPUTED_VALUE"""),26.0)</f>
        <v>26</v>
      </c>
      <c r="AA142" s="124"/>
      <c r="AB142" s="124" t="str">
        <f>IFERROR(__xludf.DUMMYFUNCTION("""COMPUTED_VALUE"""),"GS Foundation")</f>
        <v>GS Foundation</v>
      </c>
    </row>
    <row r="143">
      <c r="A143" s="126">
        <f>IFERROR(__xludf.DUMMYFUNCTION("""COMPUTED_VALUE"""),46050.0)</f>
        <v>46050</v>
      </c>
      <c r="B143" s="124" t="str">
        <f>IFERROR(__xludf.DUMMYFUNCTION("""COMPUTED_VALUE"""),"Walkin")</f>
        <v>Walkin</v>
      </c>
      <c r="C143" s="124" t="str">
        <f>IFERROR(__xludf.DUMMYFUNCTION("""COMPUTED_VALUE"""),"Lucknow")</f>
        <v>Lucknow</v>
      </c>
      <c r="D143" s="124" t="str">
        <f>IFERROR(__xludf.DUMMYFUNCTION("""COMPUTED_VALUE"""),"Primary_Walkin")</f>
        <v>Primary_Walkin</v>
      </c>
      <c r="E143" s="127">
        <f>IFERROR(__xludf.DUMMYFUNCTION("""COMPUTED_VALUE"""),1.0)</f>
        <v>1</v>
      </c>
      <c r="F143" s="128" t="str">
        <f>IFERROR(__xludf.DUMMYFUNCTION("""COMPUTED_VALUE"""),"Not Interested")</f>
        <v>Not Interested</v>
      </c>
      <c r="G143" s="124" t="str">
        <f>IFERROR(__xludf.DUMMYFUNCTION("""COMPUTED_VALUE"""),"State PCS")</f>
        <v>State PCS</v>
      </c>
      <c r="K143" s="124"/>
      <c r="L143" s="124"/>
      <c r="M143" s="124"/>
      <c r="N143" s="124"/>
      <c r="O143" s="124"/>
      <c r="T143" s="126">
        <f>IFERROR(__xludf.DUMMYFUNCTION("""COMPUTED_VALUE"""),46103.0)</f>
        <v>46103</v>
      </c>
      <c r="U143" s="124" t="str">
        <f>IFERROR(__xludf.DUMMYFUNCTION("""COMPUTED_VALUE"""),"Publisher Campaign")</f>
        <v>Publisher Campaign</v>
      </c>
      <c r="V143" s="124" t="str">
        <f>IFERROR(__xludf.DUMMYFUNCTION("""COMPUTED_VALUE"""),"Webinar")</f>
        <v>Webinar</v>
      </c>
      <c r="W143" s="124"/>
      <c r="X143" s="124"/>
      <c r="Y143" s="124" t="str">
        <f>IFERROR(__xludf.DUMMYFUNCTION("""COMPUTED_VALUE"""),"Delhi")</f>
        <v>Delhi</v>
      </c>
      <c r="Z143" s="124">
        <f>IFERROR(__xludf.DUMMYFUNCTION("""COMPUTED_VALUE"""),344.0)</f>
        <v>344</v>
      </c>
      <c r="AA143" s="124"/>
      <c r="AB143" s="124" t="str">
        <f>IFERROR(__xludf.DUMMYFUNCTION("""COMPUTED_VALUE"""),"GS Foundation")</f>
        <v>GS Foundation</v>
      </c>
    </row>
    <row r="144">
      <c r="A144" s="126">
        <f>IFERROR(__xludf.DUMMYFUNCTION("""COMPUTED_VALUE"""),46051.0)</f>
        <v>46051</v>
      </c>
      <c r="B144" s="124" t="str">
        <f>IFERROR(__xludf.DUMMYFUNCTION("""COMPUTED_VALUE"""),"external leads")</f>
        <v>external leads</v>
      </c>
      <c r="C144" s="124" t="str">
        <f>IFERROR(__xludf.DUMMYFUNCTION("""COMPUTED_VALUE"""),"Indore")</f>
        <v>Indore</v>
      </c>
      <c r="D144" s="124" t="str">
        <f>IFERROR(__xludf.DUMMYFUNCTION("""COMPUTED_VALUE"""),"Secondary_Walkin")</f>
        <v>Secondary_Walkin</v>
      </c>
      <c r="E144" s="127">
        <f>IFERROR(__xludf.DUMMYFUNCTION("""COMPUTED_VALUE"""),1.0)</f>
        <v>1</v>
      </c>
      <c r="F144" s="128" t="str">
        <f>IFERROR(__xludf.DUMMYFUNCTION("""COMPUTED_VALUE"""),"Cold")</f>
        <v>Cold</v>
      </c>
      <c r="G144" s="124" t="str">
        <f>IFERROR(__xludf.DUMMYFUNCTION("""COMPUTED_VALUE"""),"State PCS")</f>
        <v>State PCS</v>
      </c>
      <c r="K144" s="124"/>
      <c r="L144" s="124"/>
      <c r="M144" s="124"/>
      <c r="N144" s="124"/>
      <c r="O144" s="124"/>
      <c r="T144" s="126">
        <f>IFERROR(__xludf.DUMMYFUNCTION("""COMPUTED_VALUE"""),46102.0)</f>
        <v>46102</v>
      </c>
      <c r="U144" s="124" t="str">
        <f>IFERROR(__xludf.DUMMYFUNCTION("""COMPUTED_VALUE"""),"Publisher Campaign")</f>
        <v>Publisher Campaign</v>
      </c>
      <c r="V144" s="124" t="str">
        <f>IFERROR(__xludf.DUMMYFUNCTION("""COMPUTED_VALUE"""),"Webinar")</f>
        <v>Webinar</v>
      </c>
      <c r="W144" s="124"/>
      <c r="X144" s="124"/>
      <c r="Y144" s="124" t="str">
        <f>IFERROR(__xludf.DUMMYFUNCTION("""COMPUTED_VALUE"""),"Delhi")</f>
        <v>Delhi</v>
      </c>
      <c r="Z144" s="124">
        <f>IFERROR(__xludf.DUMMYFUNCTION("""COMPUTED_VALUE"""),31.0)</f>
        <v>31</v>
      </c>
      <c r="AA144" s="124" t="str">
        <f>IFERROR(__xludf.DUMMYFUNCTION("""COMPUTED_VALUE"""),"Cold")</f>
        <v>Cold</v>
      </c>
      <c r="AB144" s="124" t="str">
        <f>IFERROR(__xludf.DUMMYFUNCTION("""COMPUTED_VALUE"""),"GS Foundation")</f>
        <v>GS Foundation</v>
      </c>
    </row>
    <row r="145">
      <c r="A145" s="126">
        <f>IFERROR(__xludf.DUMMYFUNCTION("""COMPUTED_VALUE"""),46104.0)</f>
        <v>46104</v>
      </c>
      <c r="B145" s="124" t="str">
        <f>IFERROR(__xludf.DUMMYFUNCTION("""COMPUTED_VALUE"""),"Walkin")</f>
        <v>Walkin</v>
      </c>
      <c r="C145" s="124" t="str">
        <f>IFERROR(__xludf.DUMMYFUNCTION("""COMPUTED_VALUE"""),"Indore")</f>
        <v>Indore</v>
      </c>
      <c r="D145" s="124" t="str">
        <f>IFERROR(__xludf.DUMMYFUNCTION("""COMPUTED_VALUE"""),"Primary_Walkin")</f>
        <v>Primary_Walkin</v>
      </c>
      <c r="E145" s="127">
        <f>IFERROR(__xludf.DUMMYFUNCTION("""COMPUTED_VALUE"""),1.0)</f>
        <v>1</v>
      </c>
      <c r="F145" s="128" t="str">
        <f>IFERROR(__xludf.DUMMYFUNCTION("""COMPUTED_VALUE"""),"Cold")</f>
        <v>Cold</v>
      </c>
      <c r="G145" s="124" t="str">
        <f>IFERROR(__xludf.DUMMYFUNCTION("""COMPUTED_VALUE"""),"GS Foundation")</f>
        <v>GS Foundation</v>
      </c>
      <c r="K145" s="124"/>
      <c r="L145" s="124"/>
      <c r="M145" s="124"/>
      <c r="N145" s="124"/>
      <c r="O145" s="124"/>
      <c r="T145" s="126">
        <f>IFERROR(__xludf.DUMMYFUNCTION("""COMPUTED_VALUE"""),46087.0)</f>
        <v>46087</v>
      </c>
      <c r="U145" s="124" t="str">
        <f>IFERROR(__xludf.DUMMYFUNCTION("""COMPUTED_VALUE"""),"Publisher Campaign")</f>
        <v>Publisher Campaign</v>
      </c>
      <c r="V145" s="124" t="str">
        <f>IFERROR(__xludf.DUMMYFUNCTION("""COMPUTED_VALUE"""),"Webinar")</f>
        <v>Webinar</v>
      </c>
      <c r="W145" s="124"/>
      <c r="X145" s="124"/>
      <c r="Y145" s="124" t="str">
        <f>IFERROR(__xludf.DUMMYFUNCTION("""COMPUTED_VALUE"""),"Delhi")</f>
        <v>Delhi</v>
      </c>
      <c r="Z145" s="124">
        <f>IFERROR(__xludf.DUMMYFUNCTION("""COMPUTED_VALUE"""),8.0)</f>
        <v>8</v>
      </c>
      <c r="AA145" s="124" t="str">
        <f>IFERROR(__xludf.DUMMYFUNCTION("""COMPUTED_VALUE"""),"Cold")</f>
        <v>Cold</v>
      </c>
      <c r="AB145" s="124" t="str">
        <f>IFERROR(__xludf.DUMMYFUNCTION("""COMPUTED_VALUE"""),"GS Foundation")</f>
        <v>GS Foundation</v>
      </c>
    </row>
    <row r="146">
      <c r="A146" s="126">
        <f>IFERROR(__xludf.DUMMYFUNCTION("""COMPUTED_VALUE"""),46071.0)</f>
        <v>46071</v>
      </c>
      <c r="B146" s="124" t="str">
        <f>IFERROR(__xludf.DUMMYFUNCTION("""COMPUTED_VALUE"""),"Walkin")</f>
        <v>Walkin</v>
      </c>
      <c r="C146" s="124" t="str">
        <f>IFERROR(__xludf.DUMMYFUNCTION("""COMPUTED_VALUE"""),"Indore")</f>
        <v>Indore</v>
      </c>
      <c r="D146" s="124" t="str">
        <f>IFERROR(__xludf.DUMMYFUNCTION("""COMPUTED_VALUE"""),"Primary_Walkin")</f>
        <v>Primary_Walkin</v>
      </c>
      <c r="E146" s="127">
        <f>IFERROR(__xludf.DUMMYFUNCTION("""COMPUTED_VALUE"""),3.0)</f>
        <v>3</v>
      </c>
      <c r="F146" s="128" t="str">
        <f>IFERROR(__xludf.DUMMYFUNCTION("""COMPUTED_VALUE"""),"Cold")</f>
        <v>Cold</v>
      </c>
      <c r="G146" s="124" t="str">
        <f>IFERROR(__xludf.DUMMYFUNCTION("""COMPUTED_VALUE"""),"Test Series")</f>
        <v>Test Series</v>
      </c>
      <c r="K146" s="124"/>
      <c r="L146" s="124"/>
      <c r="M146" s="124"/>
      <c r="N146" s="124"/>
      <c r="O146" s="124"/>
      <c r="T146" s="126">
        <f>IFERROR(__xludf.DUMMYFUNCTION("""COMPUTED_VALUE"""),46060.0)</f>
        <v>46060</v>
      </c>
      <c r="U146" s="124" t="str">
        <f>IFERROR(__xludf.DUMMYFUNCTION("""COMPUTED_VALUE"""),"Publisher Campaign")</f>
        <v>Publisher Campaign</v>
      </c>
      <c r="V146" s="124" t="str">
        <f>IFERROR(__xludf.DUMMYFUNCTION("""COMPUTED_VALUE"""),"Webinar")</f>
        <v>Webinar</v>
      </c>
      <c r="W146" s="124"/>
      <c r="X146" s="124"/>
      <c r="Y146" s="124" t="str">
        <f>IFERROR(__xludf.DUMMYFUNCTION("""COMPUTED_VALUE"""),"Delhi")</f>
        <v>Delhi</v>
      </c>
      <c r="Z146" s="124">
        <f>IFERROR(__xludf.DUMMYFUNCTION("""COMPUTED_VALUE"""),18.0)</f>
        <v>18</v>
      </c>
      <c r="AA146" s="124" t="str">
        <f>IFERROR(__xludf.DUMMYFUNCTION("""COMPUTED_VALUE"""),"Cold")</f>
        <v>Cold</v>
      </c>
      <c r="AB146" s="124" t="str">
        <f>IFERROR(__xludf.DUMMYFUNCTION("""COMPUTED_VALUE"""),"Mentorship")</f>
        <v>Mentorship</v>
      </c>
    </row>
    <row r="147">
      <c r="A147" s="126">
        <f>IFERROR(__xludf.DUMMYFUNCTION("""COMPUTED_VALUE"""),46112.0)</f>
        <v>46112</v>
      </c>
      <c r="B147" s="124" t="str">
        <f>IFERROR(__xludf.DUMMYFUNCTION("""COMPUTED_VALUE"""),"Walkin")</f>
        <v>Walkin</v>
      </c>
      <c r="C147" s="124" t="str">
        <f>IFERROR(__xludf.DUMMYFUNCTION("""COMPUTED_VALUE"""),"Indore")</f>
        <v>Indore</v>
      </c>
      <c r="D147" s="124" t="str">
        <f>IFERROR(__xludf.DUMMYFUNCTION("""COMPUTED_VALUE"""),"Primary_Walkin")</f>
        <v>Primary_Walkin</v>
      </c>
      <c r="E147" s="127">
        <f>IFERROR(__xludf.DUMMYFUNCTION("""COMPUTED_VALUE"""),2.0)</f>
        <v>2</v>
      </c>
      <c r="F147" s="128" t="str">
        <f>IFERROR(__xludf.DUMMYFUNCTION("""COMPUTED_VALUE"""),"Future Prospects")</f>
        <v>Future Prospects</v>
      </c>
      <c r="G147" s="124" t="str">
        <f>IFERROR(__xludf.DUMMYFUNCTION("""COMPUTED_VALUE"""),"State PCS")</f>
        <v>State PCS</v>
      </c>
      <c r="K147" s="124"/>
      <c r="L147" s="124"/>
      <c r="M147" s="124"/>
      <c r="N147" s="124"/>
      <c r="O147" s="124"/>
      <c r="T147" s="129">
        <f>IFERROR(__xludf.DUMMYFUNCTION("""COMPUTED_VALUE"""),46060.0)</f>
        <v>46060</v>
      </c>
      <c r="U147" s="124" t="str">
        <f>IFERROR(__xludf.DUMMYFUNCTION("""COMPUTED_VALUE"""),"Publisher Campaign")</f>
        <v>Publisher Campaign</v>
      </c>
      <c r="V147" s="124" t="str">
        <f>IFERROR(__xludf.DUMMYFUNCTION("""COMPUTED_VALUE"""),"Webinar")</f>
        <v>Webinar</v>
      </c>
      <c r="W147" s="124"/>
      <c r="X147" s="124"/>
      <c r="Y147" s="124" t="str">
        <f>IFERROR(__xludf.DUMMYFUNCTION("""COMPUTED_VALUE"""),"Delhi")</f>
        <v>Delhi</v>
      </c>
      <c r="Z147" s="124">
        <f>IFERROR(__xludf.DUMMYFUNCTION("""COMPUTED_VALUE"""),41.0)</f>
        <v>41</v>
      </c>
      <c r="AA147" s="124" t="str">
        <f>IFERROR(__xludf.DUMMYFUNCTION("""COMPUTED_VALUE"""),"Cold")</f>
        <v>Cold</v>
      </c>
      <c r="AB147" s="124" t="str">
        <f>IFERROR(__xludf.DUMMYFUNCTION("""COMPUTED_VALUE"""),"GS Foundation")</f>
        <v>GS Foundation</v>
      </c>
    </row>
    <row r="148">
      <c r="A148" s="126">
        <f>IFERROR(__xludf.DUMMYFUNCTION("""COMPUTED_VALUE"""),46074.0)</f>
        <v>46074</v>
      </c>
      <c r="B148" s="124" t="str">
        <f>IFERROR(__xludf.DUMMYFUNCTION("""COMPUTED_VALUE"""),"Walkin")</f>
        <v>Walkin</v>
      </c>
      <c r="C148" s="124" t="str">
        <f>IFERROR(__xludf.DUMMYFUNCTION("""COMPUTED_VALUE"""),"Indore")</f>
        <v>Indore</v>
      </c>
      <c r="D148" s="124" t="str">
        <f>IFERROR(__xludf.DUMMYFUNCTION("""COMPUTED_VALUE"""),"Primary_Walkin")</f>
        <v>Primary_Walkin</v>
      </c>
      <c r="E148" s="127">
        <f>IFERROR(__xludf.DUMMYFUNCTION("""COMPUTED_VALUE"""),2.0)</f>
        <v>2</v>
      </c>
      <c r="F148" s="128" t="str">
        <f>IFERROR(__xludf.DUMMYFUNCTION("""COMPUTED_VALUE"""),"Not Interested")</f>
        <v>Not Interested</v>
      </c>
      <c r="G148" s="124" t="str">
        <f>IFERROR(__xludf.DUMMYFUNCTION("""COMPUTED_VALUE"""),"GS Foundation")</f>
        <v>GS Foundation</v>
      </c>
      <c r="K148" s="124"/>
      <c r="L148" s="124"/>
      <c r="M148" s="124"/>
      <c r="N148" s="124"/>
      <c r="O148" s="124"/>
      <c r="T148" s="126">
        <f>IFERROR(__xludf.DUMMYFUNCTION("""COMPUTED_VALUE"""),46109.0)</f>
        <v>46109</v>
      </c>
      <c r="U148" s="124" t="str">
        <f>IFERROR(__xludf.DUMMYFUNCTION("""COMPUTED_VALUE"""),"Paid Ads")</f>
        <v>Paid Ads</v>
      </c>
      <c r="V148" s="124" t="str">
        <f>IFERROR(__xludf.DUMMYFUNCTION("""COMPUTED_VALUE"""),"google")</f>
        <v>google</v>
      </c>
      <c r="W148" s="124" t="str">
        <f>IFERROR(__xludf.DUMMYFUNCTION("""COMPUTED_VALUE"""),"cpc")</f>
        <v>cpc</v>
      </c>
      <c r="X148" s="124">
        <f>IFERROR(__xludf.DUMMYFUNCTION("""COMPUTED_VALUE"""),2.288825581E10)</f>
        <v>22888255810</v>
      </c>
      <c r="Y148" s="124" t="str">
        <f>IFERROR(__xludf.DUMMYFUNCTION("""COMPUTED_VALUE"""),"Indore")</f>
        <v>Indore</v>
      </c>
      <c r="Z148" s="124">
        <f>IFERROR(__xludf.DUMMYFUNCTION("""COMPUTED_VALUE"""),1.0)</f>
        <v>1</v>
      </c>
      <c r="AA148" s="124" t="str">
        <f>IFERROR(__xludf.DUMMYFUNCTION("""COMPUTED_VALUE"""),"Cold")</f>
        <v>Cold</v>
      </c>
      <c r="AB148" s="124" t="str">
        <f>IFERROR(__xludf.DUMMYFUNCTION("""COMPUTED_VALUE"""),"Other")</f>
        <v>Other</v>
      </c>
    </row>
    <row r="149">
      <c r="A149" s="126">
        <f>IFERROR(__xludf.DUMMYFUNCTION("""COMPUTED_VALUE"""),46043.0)</f>
        <v>46043</v>
      </c>
      <c r="B149" s="124" t="str">
        <f>IFERROR(__xludf.DUMMYFUNCTION("""COMPUTED_VALUE"""),"Walkin")</f>
        <v>Walkin</v>
      </c>
      <c r="C149" s="124" t="str">
        <f>IFERROR(__xludf.DUMMYFUNCTION("""COMPUTED_VALUE"""),"Indore")</f>
        <v>Indore</v>
      </c>
      <c r="D149" s="124" t="str">
        <f>IFERROR(__xludf.DUMMYFUNCTION("""COMPUTED_VALUE"""),"Primary_Walkin")</f>
        <v>Primary_Walkin</v>
      </c>
      <c r="E149" s="127">
        <f>IFERROR(__xludf.DUMMYFUNCTION("""COMPUTED_VALUE"""),2.0)</f>
        <v>2</v>
      </c>
      <c r="F149" s="128" t="str">
        <f>IFERROR(__xludf.DUMMYFUNCTION("""COMPUTED_VALUE"""),"Cold")</f>
        <v>Cold</v>
      </c>
      <c r="G149" s="124" t="str">
        <f>IFERROR(__xludf.DUMMYFUNCTION("""COMPUTED_VALUE"""),"Test Series")</f>
        <v>Test Series</v>
      </c>
      <c r="K149" s="124"/>
      <c r="L149" s="124"/>
      <c r="M149" s="124"/>
      <c r="N149" s="124"/>
      <c r="O149" s="124"/>
      <c r="T149" s="126">
        <f>IFERROR(__xludf.DUMMYFUNCTION("""COMPUTED_VALUE"""),46091.0)</f>
        <v>46091</v>
      </c>
      <c r="U149" s="124" t="str">
        <f>IFERROR(__xludf.DUMMYFUNCTION("""COMPUTED_VALUE"""),"Publisher Campaign")</f>
        <v>Publisher Campaign</v>
      </c>
      <c r="V149" s="124" t="str">
        <f>IFERROR(__xludf.DUMMYFUNCTION("""COMPUTED_VALUE"""),"Webinar")</f>
        <v>Webinar</v>
      </c>
      <c r="W149" s="124"/>
      <c r="X149" s="124"/>
      <c r="Y149" s="124" t="str">
        <f>IFERROR(__xludf.DUMMYFUNCTION("""COMPUTED_VALUE"""),"Delhi")</f>
        <v>Delhi</v>
      </c>
      <c r="Z149" s="124">
        <f>IFERROR(__xludf.DUMMYFUNCTION("""COMPUTED_VALUE"""),3.0)</f>
        <v>3</v>
      </c>
      <c r="AA149" s="124" t="str">
        <f>IFERROR(__xludf.DUMMYFUNCTION("""COMPUTED_VALUE"""),"Cold")</f>
        <v>Cold</v>
      </c>
      <c r="AB149" s="124" t="str">
        <f>IFERROR(__xludf.DUMMYFUNCTION("""COMPUTED_VALUE"""),"IGP UPPSC")</f>
        <v>IGP UPPSC</v>
      </c>
    </row>
    <row r="150">
      <c r="A150" s="126">
        <f>IFERROR(__xludf.DUMMYFUNCTION("""COMPUTED_VALUE"""),46047.0)</f>
        <v>46047</v>
      </c>
      <c r="B150" s="124" t="str">
        <f>IFERROR(__xludf.DUMMYFUNCTION("""COMPUTED_VALUE"""),"Walkin")</f>
        <v>Walkin</v>
      </c>
      <c r="C150" s="124" t="str">
        <f>IFERROR(__xludf.DUMMYFUNCTION("""COMPUTED_VALUE"""),"Lucknow")</f>
        <v>Lucknow</v>
      </c>
      <c r="D150" s="124" t="str">
        <f>IFERROR(__xludf.DUMMYFUNCTION("""COMPUTED_VALUE"""),"Primary_Walkin")</f>
        <v>Primary_Walkin</v>
      </c>
      <c r="E150" s="127">
        <f>IFERROR(__xludf.DUMMYFUNCTION("""COMPUTED_VALUE"""),1.0)</f>
        <v>1</v>
      </c>
      <c r="F150" s="128" t="str">
        <f>IFERROR(__xludf.DUMMYFUNCTION("""COMPUTED_VALUE"""),"Enrolled")</f>
        <v>Enrolled</v>
      </c>
      <c r="G150" s="124" t="str">
        <f>IFERROR(__xludf.DUMMYFUNCTION("""COMPUTED_VALUE"""),"GS Foundation")</f>
        <v>GS Foundation</v>
      </c>
      <c r="K150" s="124"/>
      <c r="L150" s="124"/>
      <c r="M150" s="124"/>
      <c r="N150" s="124"/>
      <c r="O150" s="124"/>
      <c r="T150" s="126">
        <f>IFERROR(__xludf.DUMMYFUNCTION("""COMPUTED_VALUE"""),46099.0)</f>
        <v>46099</v>
      </c>
      <c r="U150" s="124" t="str">
        <f>IFERROR(__xludf.DUMMYFUNCTION("""COMPUTED_VALUE"""),"Libraries")</f>
        <v>Libraries</v>
      </c>
      <c r="V150" s="124" t="str">
        <f>IFERROR(__xludf.DUMMYFUNCTION("""COMPUTED_VALUE"""),"Libraries")</f>
        <v>Libraries</v>
      </c>
      <c r="W150" s="124"/>
      <c r="X150" s="124"/>
      <c r="Y150" s="124" t="str">
        <f>IFERROR(__xludf.DUMMYFUNCTION("""COMPUTED_VALUE"""),"Delhi")</f>
        <v>Delhi</v>
      </c>
      <c r="Z150" s="124">
        <f>IFERROR(__xludf.DUMMYFUNCTION("""COMPUTED_VALUE"""),1.0)</f>
        <v>1</v>
      </c>
      <c r="AA150" s="124"/>
      <c r="AB150" s="124" t="str">
        <f>IFERROR(__xludf.DUMMYFUNCTION("""COMPUTED_VALUE"""),"State PCS")</f>
        <v>State PCS</v>
      </c>
    </row>
    <row r="151">
      <c r="A151" s="126">
        <f>IFERROR(__xludf.DUMMYFUNCTION("""COMPUTED_VALUE"""),46106.0)</f>
        <v>46106</v>
      </c>
      <c r="B151" s="124" t="str">
        <f>IFERROR(__xludf.DUMMYFUNCTION("""COMPUTED_VALUE"""),"external leads")</f>
        <v>external leads</v>
      </c>
      <c r="C151" s="124" t="str">
        <f>IFERROR(__xludf.DUMMYFUNCTION("""COMPUTED_VALUE"""),"Indore")</f>
        <v>Indore</v>
      </c>
      <c r="D151" s="124" t="str">
        <f>IFERROR(__xludf.DUMMYFUNCTION("""COMPUTED_VALUE"""),"Secondary_Walkin")</f>
        <v>Secondary_Walkin</v>
      </c>
      <c r="E151" s="127">
        <f>IFERROR(__xludf.DUMMYFUNCTION("""COMPUTED_VALUE"""),1.0)</f>
        <v>1</v>
      </c>
      <c r="F151" s="128" t="str">
        <f>IFERROR(__xludf.DUMMYFUNCTION("""COMPUTED_VALUE"""),"Cold")</f>
        <v>Cold</v>
      </c>
      <c r="G151" s="124" t="str">
        <f>IFERROR(__xludf.DUMMYFUNCTION("""COMPUTED_VALUE"""),"SIP Offline")</f>
        <v>SIP Offline</v>
      </c>
      <c r="K151" s="124"/>
      <c r="L151" s="124"/>
      <c r="M151" s="124"/>
      <c r="N151" s="124"/>
      <c r="O151" s="124"/>
      <c r="T151" s="129">
        <f>IFERROR(__xludf.DUMMYFUNCTION("""COMPUTED_VALUE"""),46061.0)</f>
        <v>46061</v>
      </c>
      <c r="U151" s="124" t="str">
        <f>IFERROR(__xludf.DUMMYFUNCTION("""COMPUTED_VALUE"""),"Publisher Campaign")</f>
        <v>Publisher Campaign</v>
      </c>
      <c r="V151" s="124" t="str">
        <f>IFERROR(__xludf.DUMMYFUNCTION("""COMPUTED_VALUE"""),"Webinar")</f>
        <v>Webinar</v>
      </c>
      <c r="W151" s="124"/>
      <c r="X151" s="124"/>
      <c r="Y151" s="124" t="str">
        <f>IFERROR(__xludf.DUMMYFUNCTION("""COMPUTED_VALUE"""),"Delhi")</f>
        <v>Delhi</v>
      </c>
      <c r="Z151" s="124">
        <f>IFERROR(__xludf.DUMMYFUNCTION("""COMPUTED_VALUE"""),9.0)</f>
        <v>9</v>
      </c>
      <c r="AA151" s="124" t="str">
        <f>IFERROR(__xludf.DUMMYFUNCTION("""COMPUTED_VALUE"""),"Cold")</f>
        <v>Cold</v>
      </c>
      <c r="AB151" s="124" t="str">
        <f>IFERROR(__xludf.DUMMYFUNCTION("""COMPUTED_VALUE"""),"State PCS")</f>
        <v>State PCS</v>
      </c>
    </row>
    <row r="152">
      <c r="A152" s="126">
        <f>IFERROR(__xludf.DUMMYFUNCTION("""COMPUTED_VALUE"""),46077.0)</f>
        <v>46077</v>
      </c>
      <c r="B152" s="124" t="str">
        <f>IFERROR(__xludf.DUMMYFUNCTION("""COMPUTED_VALUE"""),"Walkin")</f>
        <v>Walkin</v>
      </c>
      <c r="C152" s="124" t="str">
        <f>IFERROR(__xludf.DUMMYFUNCTION("""COMPUTED_VALUE"""),"Lucknow")</f>
        <v>Lucknow</v>
      </c>
      <c r="D152" s="124" t="str">
        <f>IFERROR(__xludf.DUMMYFUNCTION("""COMPUTED_VALUE"""),"Primary_Walkin")</f>
        <v>Primary_Walkin</v>
      </c>
      <c r="E152" s="127">
        <f>IFERROR(__xludf.DUMMYFUNCTION("""COMPUTED_VALUE"""),1.0)</f>
        <v>1</v>
      </c>
      <c r="F152" s="128" t="str">
        <f>IFERROR(__xludf.DUMMYFUNCTION("""COMPUTED_VALUE"""),"Enrolled")</f>
        <v>Enrolled</v>
      </c>
      <c r="G152" s="124" t="str">
        <f>IFERROR(__xludf.DUMMYFUNCTION("""COMPUTED_VALUE"""),"GS Foundation")</f>
        <v>GS Foundation</v>
      </c>
      <c r="K152" s="124"/>
      <c r="L152" s="124"/>
      <c r="M152" s="124"/>
      <c r="N152" s="124"/>
      <c r="O152" s="124"/>
      <c r="T152" s="126">
        <f>IFERROR(__xludf.DUMMYFUNCTION("""COMPUTED_VALUE"""),46052.0)</f>
        <v>46052</v>
      </c>
      <c r="U152" s="124" t="str">
        <f>IFERROR(__xludf.DUMMYFUNCTION("""COMPUTED_VALUE"""),"External Leads")</f>
        <v>External Leads</v>
      </c>
      <c r="V152" s="124" t="str">
        <f>IFERROR(__xludf.DUMMYFUNCTION("""COMPUTED_VALUE"""),"external leads")</f>
        <v>external leads</v>
      </c>
      <c r="W152" s="124"/>
      <c r="X152" s="124"/>
      <c r="Y152" s="124"/>
      <c r="Z152" s="124">
        <f>IFERROR(__xludf.DUMMYFUNCTION("""COMPUTED_VALUE"""),43.0)</f>
        <v>43</v>
      </c>
      <c r="AA152" s="124" t="str">
        <f>IFERROR(__xludf.DUMMYFUNCTION("""COMPUTED_VALUE"""),"Cold")</f>
        <v>Cold</v>
      </c>
      <c r="AB152" s="124"/>
    </row>
    <row r="153">
      <c r="A153" s="126">
        <f>IFERROR(__xludf.DUMMYFUNCTION("""COMPUTED_VALUE"""),46107.0)</f>
        <v>46107</v>
      </c>
      <c r="B153" s="124" t="str">
        <f>IFERROR(__xludf.DUMMYFUNCTION("""COMPUTED_VALUE"""),"Walkin")</f>
        <v>Walkin</v>
      </c>
      <c r="C153" s="124" t="str">
        <f>IFERROR(__xludf.DUMMYFUNCTION("""COMPUTED_VALUE"""),"Indore")</f>
        <v>Indore</v>
      </c>
      <c r="D153" s="124" t="str">
        <f>IFERROR(__xludf.DUMMYFUNCTION("""COMPUTED_VALUE"""),"Primary_Walkin")</f>
        <v>Primary_Walkin</v>
      </c>
      <c r="E153" s="127">
        <f>IFERROR(__xludf.DUMMYFUNCTION("""COMPUTED_VALUE"""),1.0)</f>
        <v>1</v>
      </c>
      <c r="F153" s="128" t="str">
        <f>IFERROR(__xludf.DUMMYFUNCTION("""COMPUTED_VALUE"""),"Warm")</f>
        <v>Warm</v>
      </c>
      <c r="G153" s="124" t="str">
        <f>IFERROR(__xludf.DUMMYFUNCTION("""COMPUTED_VALUE"""),"State PCS")</f>
        <v>State PCS</v>
      </c>
      <c r="K153" s="124"/>
      <c r="L153" s="124"/>
      <c r="M153" s="124"/>
      <c r="N153" s="124"/>
      <c r="O153" s="124"/>
      <c r="T153" s="126">
        <f>IFERROR(__xludf.DUMMYFUNCTION("""COMPUTED_VALUE"""),46051.0)</f>
        <v>46051</v>
      </c>
      <c r="U153" s="124" t="str">
        <f>IFERROR(__xludf.DUMMYFUNCTION("""COMPUTED_VALUE"""),"External Leads")</f>
        <v>External Leads</v>
      </c>
      <c r="V153" s="124" t="str">
        <f>IFERROR(__xludf.DUMMYFUNCTION("""COMPUTED_VALUE"""),"external leads")</f>
        <v>external leads</v>
      </c>
      <c r="W153" s="124"/>
      <c r="X153" s="124"/>
      <c r="Y153" s="124" t="str">
        <f>IFERROR(__xludf.DUMMYFUNCTION("""COMPUTED_VALUE"""),"Indore")</f>
        <v>Indore</v>
      </c>
      <c r="Z153" s="124">
        <f>IFERROR(__xludf.DUMMYFUNCTION("""COMPUTED_VALUE"""),1.0)</f>
        <v>1</v>
      </c>
      <c r="AA153" s="124" t="str">
        <f>IFERROR(__xludf.DUMMYFUNCTION("""COMPUTED_VALUE"""),"Cold")</f>
        <v>Cold</v>
      </c>
      <c r="AB153" s="124" t="str">
        <f>IFERROR(__xludf.DUMMYFUNCTION("""COMPUTED_VALUE"""),"CSAT")</f>
        <v>CSAT</v>
      </c>
    </row>
    <row r="154">
      <c r="A154" s="126">
        <f>IFERROR(__xludf.DUMMYFUNCTION("""COMPUTED_VALUE"""),46102.0)</f>
        <v>46102</v>
      </c>
      <c r="B154" s="124" t="str">
        <f>IFERROR(__xludf.DUMMYFUNCTION("""COMPUTED_VALUE"""),"Walkin")</f>
        <v>Walkin</v>
      </c>
      <c r="C154" s="124" t="str">
        <f>IFERROR(__xludf.DUMMYFUNCTION("""COMPUTED_VALUE"""),"Lucknow")</f>
        <v>Lucknow</v>
      </c>
      <c r="D154" s="124" t="str">
        <f>IFERROR(__xludf.DUMMYFUNCTION("""COMPUTED_VALUE"""),"Primary_Walkin")</f>
        <v>Primary_Walkin</v>
      </c>
      <c r="E154" s="127">
        <f>IFERROR(__xludf.DUMMYFUNCTION("""COMPUTED_VALUE"""),1.0)</f>
        <v>1</v>
      </c>
      <c r="F154" s="128" t="str">
        <f>IFERROR(__xludf.DUMMYFUNCTION("""COMPUTED_VALUE"""),"Cold")</f>
        <v>Cold</v>
      </c>
      <c r="G154" s="124" t="str">
        <f>IFERROR(__xludf.DUMMYFUNCTION("""COMPUTED_VALUE"""),"GS Foundation")</f>
        <v>GS Foundation</v>
      </c>
      <c r="K154" s="124"/>
      <c r="L154" s="124"/>
      <c r="M154" s="124"/>
      <c r="N154" s="124"/>
      <c r="O154" s="124"/>
      <c r="T154" s="126">
        <f>IFERROR(__xludf.DUMMYFUNCTION("""COMPUTED_VALUE"""),46078.0)</f>
        <v>46078</v>
      </c>
      <c r="U154" s="124" t="str">
        <f>IFERROR(__xludf.DUMMYFUNCTION("""COMPUTED_VALUE"""),"Publisher Campaign")</f>
        <v>Publisher Campaign</v>
      </c>
      <c r="V154" s="124" t="str">
        <f>IFERROR(__xludf.DUMMYFUNCTION("""COMPUTED_VALUE"""),"Webinar")</f>
        <v>Webinar</v>
      </c>
      <c r="W154" s="124"/>
      <c r="X154" s="124"/>
      <c r="Y154" s="124" t="str">
        <f>IFERROR(__xludf.DUMMYFUNCTION("""COMPUTED_VALUE"""),"Delhi")</f>
        <v>Delhi</v>
      </c>
      <c r="Z154" s="124">
        <f>IFERROR(__xludf.DUMMYFUNCTION("""COMPUTED_VALUE"""),7.0)</f>
        <v>7</v>
      </c>
      <c r="AA154" s="124" t="str">
        <f>IFERROR(__xludf.DUMMYFUNCTION("""COMPUTED_VALUE"""),"Warm")</f>
        <v>Warm</v>
      </c>
      <c r="AB154" s="124" t="str">
        <f>IFERROR(__xludf.DUMMYFUNCTION("""COMPUTED_VALUE"""),"GS Foundation")</f>
        <v>GS Foundation</v>
      </c>
    </row>
    <row r="155">
      <c r="A155" s="126">
        <f>IFERROR(__xludf.DUMMYFUNCTION("""COMPUTED_VALUE"""),46091.0)</f>
        <v>46091</v>
      </c>
      <c r="B155" s="124" t="str">
        <f>IFERROR(__xludf.DUMMYFUNCTION("""COMPUTED_VALUE"""),"Walkin")</f>
        <v>Walkin</v>
      </c>
      <c r="C155" s="124" t="str">
        <f>IFERROR(__xludf.DUMMYFUNCTION("""COMPUTED_VALUE"""),"Indore")</f>
        <v>Indore</v>
      </c>
      <c r="D155" s="124" t="str">
        <f>IFERROR(__xludf.DUMMYFUNCTION("""COMPUTED_VALUE"""),"Primary_Walkin")</f>
        <v>Primary_Walkin</v>
      </c>
      <c r="E155" s="127">
        <f>IFERROR(__xludf.DUMMYFUNCTION("""COMPUTED_VALUE"""),1.0)</f>
        <v>1</v>
      </c>
      <c r="F155" s="128" t="str">
        <f>IFERROR(__xludf.DUMMYFUNCTION("""COMPUTED_VALUE"""),"Future Prospects")</f>
        <v>Future Prospects</v>
      </c>
      <c r="G155" s="124" t="str">
        <f>IFERROR(__xludf.DUMMYFUNCTION("""COMPUTED_VALUE"""),"GS Foundation")</f>
        <v>GS Foundation</v>
      </c>
      <c r="K155" s="124"/>
      <c r="L155" s="124"/>
      <c r="M155" s="124"/>
      <c r="N155" s="124"/>
      <c r="O155" s="124"/>
      <c r="T155" s="126">
        <f>IFERROR(__xludf.DUMMYFUNCTION("""COMPUTED_VALUE"""),46061.0)</f>
        <v>46061</v>
      </c>
      <c r="U155" s="124" t="str">
        <f>IFERROR(__xludf.DUMMYFUNCTION("""COMPUTED_VALUE"""),"Publisher Campaign")</f>
        <v>Publisher Campaign</v>
      </c>
      <c r="V155" s="124" t="str">
        <f>IFERROR(__xludf.DUMMYFUNCTION("""COMPUTED_VALUE"""),"Webinar")</f>
        <v>Webinar</v>
      </c>
      <c r="W155" s="124"/>
      <c r="X155" s="124"/>
      <c r="Y155" s="124" t="str">
        <f>IFERROR(__xludf.DUMMYFUNCTION("""COMPUTED_VALUE"""),"Delhi")</f>
        <v>Delhi</v>
      </c>
      <c r="Z155" s="124">
        <f>IFERROR(__xludf.DUMMYFUNCTION("""COMPUTED_VALUE"""),13.0)</f>
        <v>13</v>
      </c>
      <c r="AA155" s="124" t="str">
        <f>IFERROR(__xludf.DUMMYFUNCTION("""COMPUTED_VALUE"""),"Cold")</f>
        <v>Cold</v>
      </c>
      <c r="AB155" s="124" t="str">
        <f>IFERROR(__xludf.DUMMYFUNCTION("""COMPUTED_VALUE"""),"Test Series")</f>
        <v>Test Series</v>
      </c>
    </row>
    <row r="156">
      <c r="A156" s="126">
        <f>IFERROR(__xludf.DUMMYFUNCTION("""COMPUTED_VALUE"""),46052.0)</f>
        <v>46052</v>
      </c>
      <c r="B156" s="124" t="str">
        <f>IFERROR(__xludf.DUMMYFUNCTION("""COMPUTED_VALUE"""),"Walkin")</f>
        <v>Walkin</v>
      </c>
      <c r="C156" s="124" t="str">
        <f>IFERROR(__xludf.DUMMYFUNCTION("""COMPUTED_VALUE"""),"Indore")</f>
        <v>Indore</v>
      </c>
      <c r="D156" s="124" t="str">
        <f>IFERROR(__xludf.DUMMYFUNCTION("""COMPUTED_VALUE"""),"Primary_Walkin")</f>
        <v>Primary_Walkin</v>
      </c>
      <c r="E156" s="127">
        <f>IFERROR(__xludf.DUMMYFUNCTION("""COMPUTED_VALUE"""),2.0)</f>
        <v>2</v>
      </c>
      <c r="F156" s="128" t="str">
        <f>IFERROR(__xludf.DUMMYFUNCTION("""COMPUTED_VALUE"""),"Enrolled")</f>
        <v>Enrolled</v>
      </c>
      <c r="G156" s="124" t="str">
        <f>IFERROR(__xludf.DUMMYFUNCTION("""COMPUTED_VALUE"""),"State PCS")</f>
        <v>State PCS</v>
      </c>
      <c r="K156" s="124"/>
      <c r="L156" s="124"/>
      <c r="M156" s="124"/>
      <c r="N156" s="124"/>
      <c r="O156" s="124"/>
      <c r="T156" s="126">
        <f>IFERROR(__xludf.DUMMYFUNCTION("""COMPUTED_VALUE"""),46045.0)</f>
        <v>46045</v>
      </c>
      <c r="U156" s="124" t="str">
        <f>IFERROR(__xludf.DUMMYFUNCTION("""COMPUTED_VALUE"""),"External Leads")</f>
        <v>External Leads</v>
      </c>
      <c r="V156" s="124" t="str">
        <f>IFERROR(__xludf.DUMMYFUNCTION("""COMPUTED_VALUE"""),"external leads")</f>
        <v>external leads</v>
      </c>
      <c r="W156" s="124"/>
      <c r="X156" s="124"/>
      <c r="Y156" s="124"/>
      <c r="Z156" s="124">
        <f>IFERROR(__xludf.DUMMYFUNCTION("""COMPUTED_VALUE"""),40.0)</f>
        <v>40</v>
      </c>
      <c r="AA156" s="124" t="str">
        <f>IFERROR(__xludf.DUMMYFUNCTION("""COMPUTED_VALUE"""),"Cold")</f>
        <v>Cold</v>
      </c>
      <c r="AB156" s="124"/>
    </row>
    <row r="157">
      <c r="A157" s="129">
        <f>IFERROR(__xludf.DUMMYFUNCTION("""COMPUTED_VALUE"""),46076.0)</f>
        <v>46076</v>
      </c>
      <c r="B157" s="124" t="str">
        <f>IFERROR(__xludf.DUMMYFUNCTION("""COMPUTED_VALUE"""),"Inbound Call")</f>
        <v>Inbound Call</v>
      </c>
      <c r="C157" s="124" t="str">
        <f>IFERROR(__xludf.DUMMYFUNCTION("""COMPUTED_VALUE"""),"Indore")</f>
        <v>Indore</v>
      </c>
      <c r="D157" s="124" t="str">
        <f>IFERROR(__xludf.DUMMYFUNCTION("""COMPUTED_VALUE"""),"Secondary_Walkin")</f>
        <v>Secondary_Walkin</v>
      </c>
      <c r="E157" s="127">
        <f>IFERROR(__xludf.DUMMYFUNCTION("""COMPUTED_VALUE"""),1.0)</f>
        <v>1</v>
      </c>
      <c r="F157" s="128" t="str">
        <f>IFERROR(__xludf.DUMMYFUNCTION("""COMPUTED_VALUE"""),"Enrolled")</f>
        <v>Enrolled</v>
      </c>
      <c r="G157" s="124" t="str">
        <f>IFERROR(__xludf.DUMMYFUNCTION("""COMPUTED_VALUE"""),"GS Foundation")</f>
        <v>GS Foundation</v>
      </c>
      <c r="K157" s="124"/>
      <c r="L157" s="124"/>
      <c r="M157" s="124"/>
      <c r="N157" s="124"/>
      <c r="O157" s="124"/>
      <c r="T157" s="129">
        <f>IFERROR(__xludf.DUMMYFUNCTION("""COMPUTED_VALUE"""),46060.0)</f>
        <v>46060</v>
      </c>
      <c r="U157" s="124" t="str">
        <f>IFERROR(__xludf.DUMMYFUNCTION("""COMPUTED_VALUE"""),"Publisher Campaign")</f>
        <v>Publisher Campaign</v>
      </c>
      <c r="V157" s="124" t="str">
        <f>IFERROR(__xludf.DUMMYFUNCTION("""COMPUTED_VALUE"""),"Webinar")</f>
        <v>Webinar</v>
      </c>
      <c r="W157" s="124"/>
      <c r="X157" s="124"/>
      <c r="Y157" s="124" t="str">
        <f>IFERROR(__xludf.DUMMYFUNCTION("""COMPUTED_VALUE"""),"Delhi")</f>
        <v>Delhi</v>
      </c>
      <c r="Z157" s="124">
        <f>IFERROR(__xludf.DUMMYFUNCTION("""COMPUTED_VALUE"""),1.0)</f>
        <v>1</v>
      </c>
      <c r="AA157" s="124" t="str">
        <f>IFERROR(__xludf.DUMMYFUNCTION("""COMPUTED_VALUE"""),"Not Interested")</f>
        <v>Not Interested</v>
      </c>
      <c r="AB157" s="124" t="str">
        <f>IFERROR(__xludf.DUMMYFUNCTION("""COMPUTED_VALUE"""),"Prelims Crash Course - SIP")</f>
        <v>Prelims Crash Course - SIP</v>
      </c>
    </row>
    <row r="158">
      <c r="A158" s="126">
        <f>IFERROR(__xludf.DUMMYFUNCTION("""COMPUTED_VALUE"""),46043.0)</f>
        <v>46043</v>
      </c>
      <c r="B158" s="124" t="str">
        <f>IFERROR(__xludf.DUMMYFUNCTION("""COMPUTED_VALUE"""),"Walkin")</f>
        <v>Walkin</v>
      </c>
      <c r="C158" s="124" t="str">
        <f>IFERROR(__xludf.DUMMYFUNCTION("""COMPUTED_VALUE"""),"Lucknow")</f>
        <v>Lucknow</v>
      </c>
      <c r="D158" s="124" t="str">
        <f>IFERROR(__xludf.DUMMYFUNCTION("""COMPUTED_VALUE"""),"Primary_Walkin")</f>
        <v>Primary_Walkin</v>
      </c>
      <c r="E158" s="127">
        <f>IFERROR(__xludf.DUMMYFUNCTION("""COMPUTED_VALUE"""),2.0)</f>
        <v>2</v>
      </c>
      <c r="F158" s="128" t="str">
        <f>IFERROR(__xludf.DUMMYFUNCTION("""COMPUTED_VALUE"""),"Not Interested")</f>
        <v>Not Interested</v>
      </c>
      <c r="G158" s="124" t="str">
        <f>IFERROR(__xludf.DUMMYFUNCTION("""COMPUTED_VALUE"""),"State PCS")</f>
        <v>State PCS</v>
      </c>
      <c r="K158" s="124"/>
      <c r="L158" s="124"/>
      <c r="M158" s="124"/>
      <c r="N158" s="124"/>
      <c r="O158" s="124"/>
      <c r="T158" s="126">
        <f>IFERROR(__xludf.DUMMYFUNCTION("""COMPUTED_VALUE"""),46051.0)</f>
        <v>46051</v>
      </c>
      <c r="U158" s="124" t="str">
        <f>IFERROR(__xludf.DUMMYFUNCTION("""COMPUTED_VALUE"""),"External Leads")</f>
        <v>External Leads</v>
      </c>
      <c r="V158" s="124" t="str">
        <f>IFERROR(__xludf.DUMMYFUNCTION("""COMPUTED_VALUE"""),"external leads")</f>
        <v>external leads</v>
      </c>
      <c r="W158" s="124"/>
      <c r="X158" s="124"/>
      <c r="Y158" s="124"/>
      <c r="Z158" s="124">
        <f>IFERROR(__xludf.DUMMYFUNCTION("""COMPUTED_VALUE"""),92.0)</f>
        <v>92</v>
      </c>
      <c r="AA158" s="124" t="str">
        <f>IFERROR(__xludf.DUMMYFUNCTION("""COMPUTED_VALUE"""),"Cold")</f>
        <v>Cold</v>
      </c>
      <c r="AB158" s="124"/>
    </row>
    <row r="159">
      <c r="A159" s="126">
        <f>IFERROR(__xludf.DUMMYFUNCTION("""COMPUTED_VALUE"""),46096.0)</f>
        <v>46096</v>
      </c>
      <c r="B159" s="124" t="str">
        <f>IFERROR(__xludf.DUMMYFUNCTION("""COMPUTED_VALUE"""),"Walkin")</f>
        <v>Walkin</v>
      </c>
      <c r="C159" s="124" t="str">
        <f>IFERROR(__xludf.DUMMYFUNCTION("""COMPUTED_VALUE"""),"Indore")</f>
        <v>Indore</v>
      </c>
      <c r="D159" s="124" t="str">
        <f>IFERROR(__xludf.DUMMYFUNCTION("""COMPUTED_VALUE"""),"Primary_Walkin")</f>
        <v>Primary_Walkin</v>
      </c>
      <c r="E159" s="127">
        <f>IFERROR(__xludf.DUMMYFUNCTION("""COMPUTED_VALUE"""),1.0)</f>
        <v>1</v>
      </c>
      <c r="F159" s="128" t="str">
        <f>IFERROR(__xludf.DUMMYFUNCTION("""COMPUTED_VALUE"""),"Future Prospects")</f>
        <v>Future Prospects</v>
      </c>
      <c r="G159" s="124" t="str">
        <f>IFERROR(__xludf.DUMMYFUNCTION("""COMPUTED_VALUE"""),"GS Foundation")</f>
        <v>GS Foundation</v>
      </c>
      <c r="K159" s="124"/>
      <c r="L159" s="124"/>
      <c r="M159" s="124"/>
      <c r="N159" s="124"/>
      <c r="O159" s="124"/>
      <c r="T159" s="126">
        <f>IFERROR(__xludf.DUMMYFUNCTION("""COMPUTED_VALUE"""),46047.0)</f>
        <v>46047</v>
      </c>
      <c r="U159" s="124" t="str">
        <f>IFERROR(__xludf.DUMMYFUNCTION("""COMPUTED_VALUE"""),"External Leads")</f>
        <v>External Leads</v>
      </c>
      <c r="V159" s="124" t="str">
        <f>IFERROR(__xludf.DUMMYFUNCTION("""COMPUTED_VALUE"""),"external leads")</f>
        <v>external leads</v>
      </c>
      <c r="W159" s="124"/>
      <c r="X159" s="124"/>
      <c r="Y159" s="124"/>
      <c r="Z159" s="124">
        <f>IFERROR(__xludf.DUMMYFUNCTION("""COMPUTED_VALUE"""),13.0)</f>
        <v>13</v>
      </c>
      <c r="AA159" s="124" t="str">
        <f>IFERROR(__xludf.DUMMYFUNCTION("""COMPUTED_VALUE"""),"Not Interested")</f>
        <v>Not Interested</v>
      </c>
      <c r="AB159" s="124"/>
    </row>
    <row r="160">
      <c r="A160" s="126">
        <f>IFERROR(__xludf.DUMMYFUNCTION("""COMPUTED_VALUE"""),46101.0)</f>
        <v>46101</v>
      </c>
      <c r="B160" s="124" t="str">
        <f>IFERROR(__xludf.DUMMYFUNCTION("""COMPUTED_VALUE"""),"Walkin")</f>
        <v>Walkin</v>
      </c>
      <c r="C160" s="124" t="str">
        <f>IFERROR(__xludf.DUMMYFUNCTION("""COMPUTED_VALUE"""),"Indore")</f>
        <v>Indore</v>
      </c>
      <c r="D160" s="124" t="str">
        <f>IFERROR(__xludf.DUMMYFUNCTION("""COMPUTED_VALUE"""),"Primary_Walkin")</f>
        <v>Primary_Walkin</v>
      </c>
      <c r="E160" s="127">
        <f>IFERROR(__xludf.DUMMYFUNCTION("""COMPUTED_VALUE"""),1.0)</f>
        <v>1</v>
      </c>
      <c r="F160" s="128" t="str">
        <f>IFERROR(__xludf.DUMMYFUNCTION("""COMPUTED_VALUE"""),"Not Interested")</f>
        <v>Not Interested</v>
      </c>
      <c r="G160" s="124" t="str">
        <f>IFERROR(__xludf.DUMMYFUNCTION("""COMPUTED_VALUE"""),"GS Foundation")</f>
        <v>GS Foundation</v>
      </c>
      <c r="K160" s="124"/>
      <c r="L160" s="124"/>
      <c r="M160" s="124"/>
      <c r="N160" s="124"/>
      <c r="O160" s="124"/>
      <c r="T160" s="126">
        <f>IFERROR(__xludf.DUMMYFUNCTION("""COMPUTED_VALUE"""),46075.0)</f>
        <v>46075</v>
      </c>
      <c r="U160" s="124" t="str">
        <f>IFERROR(__xludf.DUMMYFUNCTION("""COMPUTED_VALUE"""),"Publisher Campaign")</f>
        <v>Publisher Campaign</v>
      </c>
      <c r="V160" s="124" t="str">
        <f>IFERROR(__xludf.DUMMYFUNCTION("""COMPUTED_VALUE"""),"Webinar")</f>
        <v>Webinar</v>
      </c>
      <c r="W160" s="124"/>
      <c r="X160" s="124"/>
      <c r="Y160" s="124" t="str">
        <f>IFERROR(__xludf.DUMMYFUNCTION("""COMPUTED_VALUE"""),"Delhi")</f>
        <v>Delhi</v>
      </c>
      <c r="Z160" s="124">
        <f>IFERROR(__xludf.DUMMYFUNCTION("""COMPUTED_VALUE"""),1.0)</f>
        <v>1</v>
      </c>
      <c r="AA160" s="124" t="str">
        <f>IFERROR(__xludf.DUMMYFUNCTION("""COMPUTED_VALUE"""),"Cold")</f>
        <v>Cold</v>
      </c>
      <c r="AB160" s="124" t="str">
        <f>IFERROR(__xludf.DUMMYFUNCTION("""COMPUTED_VALUE"""),"IGP UPPSC")</f>
        <v>IGP UPPSC</v>
      </c>
    </row>
    <row r="161">
      <c r="A161" s="126">
        <f>IFERROR(__xludf.DUMMYFUNCTION("""COMPUTED_VALUE"""),46108.0)</f>
        <v>46108</v>
      </c>
      <c r="B161" s="124" t="str">
        <f>IFERROR(__xludf.DUMMYFUNCTION("""COMPUTED_VALUE"""),"Walkin")</f>
        <v>Walkin</v>
      </c>
      <c r="C161" s="124" t="str">
        <f>IFERROR(__xludf.DUMMYFUNCTION("""COMPUTED_VALUE"""),"Indore")</f>
        <v>Indore</v>
      </c>
      <c r="D161" s="124" t="str">
        <f>IFERROR(__xludf.DUMMYFUNCTION("""COMPUTED_VALUE"""),"Primary_Walkin")</f>
        <v>Primary_Walkin</v>
      </c>
      <c r="E161" s="127">
        <f>IFERROR(__xludf.DUMMYFUNCTION("""COMPUTED_VALUE"""),1.0)</f>
        <v>1</v>
      </c>
      <c r="F161" s="128" t="str">
        <f>IFERROR(__xludf.DUMMYFUNCTION("""COMPUTED_VALUE"""),"Warm")</f>
        <v>Warm</v>
      </c>
      <c r="G161" s="124" t="str">
        <f>IFERROR(__xludf.DUMMYFUNCTION("""COMPUTED_VALUE"""),"State PCS")</f>
        <v>State PCS</v>
      </c>
      <c r="K161" s="124"/>
      <c r="L161" s="124"/>
      <c r="M161" s="124"/>
      <c r="N161" s="124"/>
      <c r="O161" s="124"/>
      <c r="T161" s="126">
        <f>IFERROR(__xludf.DUMMYFUNCTION("""COMPUTED_VALUE"""),46060.0)</f>
        <v>46060</v>
      </c>
      <c r="U161" s="124" t="str">
        <f>IFERROR(__xludf.DUMMYFUNCTION("""COMPUTED_VALUE"""),"Publisher Campaign")</f>
        <v>Publisher Campaign</v>
      </c>
      <c r="V161" s="124" t="str">
        <f>IFERROR(__xludf.DUMMYFUNCTION("""COMPUTED_VALUE"""),"Webinar")</f>
        <v>Webinar</v>
      </c>
      <c r="W161" s="124"/>
      <c r="X161" s="124"/>
      <c r="Y161" s="124" t="str">
        <f>IFERROR(__xludf.DUMMYFUNCTION("""COMPUTED_VALUE"""),"Delhi")</f>
        <v>Delhi</v>
      </c>
      <c r="Z161" s="124">
        <f>IFERROR(__xludf.DUMMYFUNCTION("""COMPUTED_VALUE"""),1.0)</f>
        <v>1</v>
      </c>
      <c r="AA161" s="124" t="str">
        <f>IFERROR(__xludf.DUMMYFUNCTION("""COMPUTED_VALUE"""),"Not Interested")</f>
        <v>Not Interested</v>
      </c>
      <c r="AB161" s="124" t="str">
        <f>IFERROR(__xludf.DUMMYFUNCTION("""COMPUTED_VALUE"""),"Optionals")</f>
        <v>Optionals</v>
      </c>
    </row>
    <row r="162">
      <c r="A162" s="129">
        <f>IFERROR(__xludf.DUMMYFUNCTION("""COMPUTED_VALUE"""),46079.0)</f>
        <v>46079</v>
      </c>
      <c r="B162" s="124" t="str">
        <f>IFERROR(__xludf.DUMMYFUNCTION("""COMPUTED_VALUE"""),"Walkin")</f>
        <v>Walkin</v>
      </c>
      <c r="C162" s="124" t="str">
        <f>IFERROR(__xludf.DUMMYFUNCTION("""COMPUTED_VALUE"""),"Lucknow")</f>
        <v>Lucknow</v>
      </c>
      <c r="D162" s="124" t="str">
        <f>IFERROR(__xludf.DUMMYFUNCTION("""COMPUTED_VALUE"""),"Primary_Walkin")</f>
        <v>Primary_Walkin</v>
      </c>
      <c r="E162" s="127">
        <f>IFERROR(__xludf.DUMMYFUNCTION("""COMPUTED_VALUE"""),2.0)</f>
        <v>2</v>
      </c>
      <c r="F162" s="128" t="str">
        <f>IFERROR(__xludf.DUMMYFUNCTION("""COMPUTED_VALUE"""),"Cold")</f>
        <v>Cold</v>
      </c>
      <c r="G162" s="124" t="str">
        <f>IFERROR(__xludf.DUMMYFUNCTION("""COMPUTED_VALUE"""),"GS Foundation")</f>
        <v>GS Foundation</v>
      </c>
      <c r="K162" s="124"/>
      <c r="L162" s="124"/>
      <c r="M162" s="124"/>
      <c r="N162" s="124"/>
      <c r="O162" s="124"/>
      <c r="T162" s="129">
        <f>IFERROR(__xludf.DUMMYFUNCTION("""COMPUTED_VALUE"""),46080.0)</f>
        <v>46080</v>
      </c>
      <c r="U162" s="124" t="str">
        <f>IFERROR(__xludf.DUMMYFUNCTION("""COMPUTED_VALUE"""),"Publisher Campaign")</f>
        <v>Publisher Campaign</v>
      </c>
      <c r="V162" s="124" t="str">
        <f>IFERROR(__xludf.DUMMYFUNCTION("""COMPUTED_VALUE"""),"Webinar")</f>
        <v>Webinar</v>
      </c>
      <c r="W162" s="124"/>
      <c r="X162" s="124"/>
      <c r="Y162" s="124" t="str">
        <f>IFERROR(__xludf.DUMMYFUNCTION("""COMPUTED_VALUE"""),"Delhi")</f>
        <v>Delhi</v>
      </c>
      <c r="Z162" s="124">
        <f>IFERROR(__xludf.DUMMYFUNCTION("""COMPUTED_VALUE"""),7.0)</f>
        <v>7</v>
      </c>
      <c r="AA162" s="124" t="str">
        <f>IFERROR(__xludf.DUMMYFUNCTION("""COMPUTED_VALUE"""),"Warm")</f>
        <v>Warm</v>
      </c>
      <c r="AB162" s="124" t="str">
        <f>IFERROR(__xludf.DUMMYFUNCTION("""COMPUTED_VALUE"""),"CSAT")</f>
        <v>CSAT</v>
      </c>
    </row>
    <row r="163">
      <c r="A163" s="126">
        <f>IFERROR(__xludf.DUMMYFUNCTION("""COMPUTED_VALUE"""),46088.0)</f>
        <v>46088</v>
      </c>
      <c r="B163" s="124" t="str">
        <f>IFERROR(__xludf.DUMMYFUNCTION("""COMPUTED_VALUE"""),"Walkin")</f>
        <v>Walkin</v>
      </c>
      <c r="C163" s="124" t="str">
        <f>IFERROR(__xludf.DUMMYFUNCTION("""COMPUTED_VALUE"""),"Indore")</f>
        <v>Indore</v>
      </c>
      <c r="D163" s="124" t="str">
        <f>IFERROR(__xludf.DUMMYFUNCTION("""COMPUTED_VALUE"""),"Primary_Walkin")</f>
        <v>Primary_Walkin</v>
      </c>
      <c r="E163" s="127">
        <f>IFERROR(__xludf.DUMMYFUNCTION("""COMPUTED_VALUE"""),1.0)</f>
        <v>1</v>
      </c>
      <c r="F163" s="128" t="str">
        <f>IFERROR(__xludf.DUMMYFUNCTION("""COMPUTED_VALUE"""),"Not Interested")</f>
        <v>Not Interested</v>
      </c>
      <c r="G163" s="124" t="str">
        <f>IFERROR(__xludf.DUMMYFUNCTION("""COMPUTED_VALUE"""),"GS Foundation")</f>
        <v>GS Foundation</v>
      </c>
      <c r="K163" s="124"/>
      <c r="L163" s="124"/>
      <c r="M163" s="124"/>
      <c r="N163" s="124"/>
      <c r="O163" s="124"/>
      <c r="T163" s="129">
        <f>IFERROR(__xludf.DUMMYFUNCTION("""COMPUTED_VALUE"""),46068.0)</f>
        <v>46068</v>
      </c>
      <c r="U163" s="124" t="str">
        <f>IFERROR(__xludf.DUMMYFUNCTION("""COMPUTED_VALUE"""),"Publisher Campaign")</f>
        <v>Publisher Campaign</v>
      </c>
      <c r="V163" s="124" t="str">
        <f>IFERROR(__xludf.DUMMYFUNCTION("""COMPUTED_VALUE"""),"Webinar")</f>
        <v>Webinar</v>
      </c>
      <c r="W163" s="124"/>
      <c r="X163" s="124"/>
      <c r="Y163" s="124" t="str">
        <f>IFERROR(__xludf.DUMMYFUNCTION("""COMPUTED_VALUE"""),"Delhi")</f>
        <v>Delhi</v>
      </c>
      <c r="Z163" s="124">
        <f>IFERROR(__xludf.DUMMYFUNCTION("""COMPUTED_VALUE"""),8.0)</f>
        <v>8</v>
      </c>
      <c r="AA163" s="124" t="str">
        <f>IFERROR(__xludf.DUMMYFUNCTION("""COMPUTED_VALUE"""),"Cold")</f>
        <v>Cold</v>
      </c>
      <c r="AB163" s="124" t="str">
        <f>IFERROR(__xludf.DUMMYFUNCTION("""COMPUTED_VALUE"""),"GS Foundation")</f>
        <v>GS Foundation</v>
      </c>
    </row>
    <row r="164">
      <c r="A164" s="126">
        <f>IFERROR(__xludf.DUMMYFUNCTION("""COMPUTED_VALUE"""),46059.0)</f>
        <v>46059</v>
      </c>
      <c r="B164" s="124" t="str">
        <f>IFERROR(__xludf.DUMMYFUNCTION("""COMPUTED_VALUE"""),"Walkin")</f>
        <v>Walkin</v>
      </c>
      <c r="C164" s="124" t="str">
        <f>IFERROR(__xludf.DUMMYFUNCTION("""COMPUTED_VALUE"""),"Indore")</f>
        <v>Indore</v>
      </c>
      <c r="D164" s="124" t="str">
        <f>IFERROR(__xludf.DUMMYFUNCTION("""COMPUTED_VALUE"""),"Primary_Walkin")</f>
        <v>Primary_Walkin</v>
      </c>
      <c r="E164" s="127">
        <f>IFERROR(__xludf.DUMMYFUNCTION("""COMPUTED_VALUE"""),1.0)</f>
        <v>1</v>
      </c>
      <c r="F164" s="128" t="str">
        <f>IFERROR(__xludf.DUMMYFUNCTION("""COMPUTED_VALUE"""),"Not Interested")</f>
        <v>Not Interested</v>
      </c>
      <c r="G164" s="124" t="str">
        <f>IFERROR(__xludf.DUMMYFUNCTION("""COMPUTED_VALUE"""),"Other")</f>
        <v>Other</v>
      </c>
      <c r="K164" s="124"/>
      <c r="L164" s="124"/>
      <c r="M164" s="124"/>
      <c r="N164" s="124"/>
      <c r="O164" s="124"/>
      <c r="T164" s="129">
        <f>IFERROR(__xludf.DUMMYFUNCTION("""COMPUTED_VALUE"""),46061.0)</f>
        <v>46061</v>
      </c>
      <c r="U164" s="124" t="str">
        <f>IFERROR(__xludf.DUMMYFUNCTION("""COMPUTED_VALUE"""),"Publisher Campaign")</f>
        <v>Publisher Campaign</v>
      </c>
      <c r="V164" s="124" t="str">
        <f>IFERROR(__xludf.DUMMYFUNCTION("""COMPUTED_VALUE"""),"Feeder Cities")</f>
        <v>Feeder Cities</v>
      </c>
      <c r="W164" s="124"/>
      <c r="X164" s="124"/>
      <c r="Y164" s="124" t="str">
        <f>IFERROR(__xludf.DUMMYFUNCTION("""COMPUTED_VALUE"""),"Indore")</f>
        <v>Indore</v>
      </c>
      <c r="Z164" s="124">
        <f>IFERROR(__xludf.DUMMYFUNCTION("""COMPUTED_VALUE"""),6.0)</f>
        <v>6</v>
      </c>
      <c r="AA164" s="124" t="str">
        <f>IFERROR(__xludf.DUMMYFUNCTION("""COMPUTED_VALUE"""),"Cold")</f>
        <v>Cold</v>
      </c>
      <c r="AB164" s="124" t="str">
        <f>IFERROR(__xludf.DUMMYFUNCTION("""COMPUTED_VALUE"""),"GS Foundation")</f>
        <v>GS Foundation</v>
      </c>
    </row>
    <row r="165">
      <c r="A165" s="129">
        <f>IFERROR(__xludf.DUMMYFUNCTION("""COMPUTED_VALUE"""),46091.0)</f>
        <v>46091</v>
      </c>
      <c r="B165" s="124" t="str">
        <f>IFERROR(__xludf.DUMMYFUNCTION("""COMPUTED_VALUE"""),"Walkin")</f>
        <v>Walkin</v>
      </c>
      <c r="C165" s="124" t="str">
        <f>IFERROR(__xludf.DUMMYFUNCTION("""COMPUTED_VALUE"""),"Indore")</f>
        <v>Indore</v>
      </c>
      <c r="D165" s="124" t="str">
        <f>IFERROR(__xludf.DUMMYFUNCTION("""COMPUTED_VALUE"""),"Primary_Walkin")</f>
        <v>Primary_Walkin</v>
      </c>
      <c r="E165" s="127">
        <f>IFERROR(__xludf.DUMMYFUNCTION("""COMPUTED_VALUE"""),1.0)</f>
        <v>1</v>
      </c>
      <c r="F165" s="128" t="str">
        <f>IFERROR(__xludf.DUMMYFUNCTION("""COMPUTED_VALUE"""),"Not Interested")</f>
        <v>Not Interested</v>
      </c>
      <c r="G165" s="124" t="str">
        <f>IFERROR(__xludf.DUMMYFUNCTION("""COMPUTED_VALUE"""),"GS Foundation")</f>
        <v>GS Foundation</v>
      </c>
      <c r="K165" s="124"/>
      <c r="L165" s="124"/>
      <c r="M165" s="124"/>
      <c r="N165" s="124"/>
      <c r="O165" s="124"/>
      <c r="T165" s="126">
        <f>IFERROR(__xludf.DUMMYFUNCTION("""COMPUTED_VALUE"""),46061.0)</f>
        <v>46061</v>
      </c>
      <c r="U165" s="124" t="str">
        <f>IFERROR(__xludf.DUMMYFUNCTION("""COMPUTED_VALUE"""),"Publisher Campaign")</f>
        <v>Publisher Campaign</v>
      </c>
      <c r="V165" s="124" t="str">
        <f>IFERROR(__xludf.DUMMYFUNCTION("""COMPUTED_VALUE"""),"Webinar")</f>
        <v>Webinar</v>
      </c>
      <c r="W165" s="124"/>
      <c r="X165" s="124"/>
      <c r="Y165" s="124" t="str">
        <f>IFERROR(__xludf.DUMMYFUNCTION("""COMPUTED_VALUE"""),"Delhi")</f>
        <v>Delhi</v>
      </c>
      <c r="Z165" s="124">
        <f>IFERROR(__xludf.DUMMYFUNCTION("""COMPUTED_VALUE"""),35.0)</f>
        <v>35</v>
      </c>
      <c r="AA165" s="124" t="str">
        <f>IFERROR(__xludf.DUMMYFUNCTION("""COMPUTED_VALUE"""),"Cold")</f>
        <v>Cold</v>
      </c>
      <c r="AB165" s="124" t="str">
        <f>IFERROR(__xludf.DUMMYFUNCTION("""COMPUTED_VALUE"""),"GS Foundation")</f>
        <v>GS Foundation</v>
      </c>
    </row>
    <row r="166">
      <c r="A166" s="126">
        <f>IFERROR(__xludf.DUMMYFUNCTION("""COMPUTED_VALUE"""),46061.0)</f>
        <v>46061</v>
      </c>
      <c r="B166" s="124" t="str">
        <f>IFERROR(__xludf.DUMMYFUNCTION("""COMPUTED_VALUE"""),"Inbound Call")</f>
        <v>Inbound Call</v>
      </c>
      <c r="C166" s="124" t="str">
        <f>IFERROR(__xludf.DUMMYFUNCTION("""COMPUTED_VALUE"""),"Indore")</f>
        <v>Indore</v>
      </c>
      <c r="D166" s="124" t="str">
        <f>IFERROR(__xludf.DUMMYFUNCTION("""COMPUTED_VALUE"""),"Secondary_Walkin")</f>
        <v>Secondary_Walkin</v>
      </c>
      <c r="E166" s="127">
        <f>IFERROR(__xludf.DUMMYFUNCTION("""COMPUTED_VALUE"""),1.0)</f>
        <v>1</v>
      </c>
      <c r="F166" s="128" t="str">
        <f>IFERROR(__xludf.DUMMYFUNCTION("""COMPUTED_VALUE"""),"Enrolled")</f>
        <v>Enrolled</v>
      </c>
      <c r="G166" s="124" t="str">
        <f>IFERROR(__xludf.DUMMYFUNCTION("""COMPUTED_VALUE"""),"GS Foundation")</f>
        <v>GS Foundation</v>
      </c>
      <c r="K166" s="124"/>
      <c r="L166" s="124"/>
      <c r="M166" s="124"/>
      <c r="N166" s="124"/>
      <c r="O166" s="124"/>
      <c r="T166" s="126">
        <f>IFERROR(__xludf.DUMMYFUNCTION("""COMPUTED_VALUE"""),46048.0)</f>
        <v>46048</v>
      </c>
      <c r="U166" s="124" t="str">
        <f>IFERROR(__xludf.DUMMYFUNCTION("""COMPUTED_VALUE"""),"External Leads")</f>
        <v>External Leads</v>
      </c>
      <c r="V166" s="124" t="str">
        <f>IFERROR(__xludf.DUMMYFUNCTION("""COMPUTED_VALUE"""),"external leads")</f>
        <v>external leads</v>
      </c>
      <c r="W166" s="124"/>
      <c r="X166" s="124"/>
      <c r="Y166" s="124"/>
      <c r="Z166" s="124">
        <f>IFERROR(__xludf.DUMMYFUNCTION("""COMPUTED_VALUE"""),27.0)</f>
        <v>27</v>
      </c>
      <c r="AA166" s="124" t="str">
        <f>IFERROR(__xludf.DUMMYFUNCTION("""COMPUTED_VALUE"""),"Cold")</f>
        <v>Cold</v>
      </c>
      <c r="AB166" s="124"/>
    </row>
    <row r="167">
      <c r="A167" s="126">
        <f>IFERROR(__xludf.DUMMYFUNCTION("""COMPUTED_VALUE"""),46052.0)</f>
        <v>46052</v>
      </c>
      <c r="B167" s="124" t="str">
        <f>IFERROR(__xludf.DUMMYFUNCTION("""COMPUTED_VALUE"""),"Walkin")</f>
        <v>Walkin</v>
      </c>
      <c r="C167" s="124" t="str">
        <f>IFERROR(__xludf.DUMMYFUNCTION("""COMPUTED_VALUE"""),"Indore")</f>
        <v>Indore</v>
      </c>
      <c r="D167" s="124" t="str">
        <f>IFERROR(__xludf.DUMMYFUNCTION("""COMPUTED_VALUE"""),"Primary_Walkin")</f>
        <v>Primary_Walkin</v>
      </c>
      <c r="E167" s="127">
        <f>IFERROR(__xludf.DUMMYFUNCTION("""COMPUTED_VALUE"""),1.0)</f>
        <v>1</v>
      </c>
      <c r="F167" s="128" t="str">
        <f>IFERROR(__xludf.DUMMYFUNCTION("""COMPUTED_VALUE"""),"Not Interested")</f>
        <v>Not Interested</v>
      </c>
      <c r="G167" s="124" t="str">
        <f>IFERROR(__xludf.DUMMYFUNCTION("""COMPUTED_VALUE"""),"GS Foundation")</f>
        <v>GS Foundation</v>
      </c>
      <c r="K167" s="124"/>
      <c r="L167" s="124"/>
      <c r="M167" s="124"/>
      <c r="N167" s="124"/>
      <c r="O167" s="124"/>
      <c r="T167" s="126">
        <f>IFERROR(__xludf.DUMMYFUNCTION("""COMPUTED_VALUE"""),46049.0)</f>
        <v>46049</v>
      </c>
      <c r="U167" s="124" t="str">
        <f>IFERROR(__xludf.DUMMYFUNCTION("""COMPUTED_VALUE"""),"External Leads")</f>
        <v>External Leads</v>
      </c>
      <c r="V167" s="124" t="str">
        <f>IFERROR(__xludf.DUMMYFUNCTION("""COMPUTED_VALUE"""),"external leads")</f>
        <v>external leads</v>
      </c>
      <c r="W167" s="124"/>
      <c r="X167" s="124"/>
      <c r="Y167" s="124"/>
      <c r="Z167" s="124">
        <f>IFERROR(__xludf.DUMMYFUNCTION("""COMPUTED_VALUE"""),20.0)</f>
        <v>20</v>
      </c>
      <c r="AA167" s="124" t="str">
        <f>IFERROR(__xludf.DUMMYFUNCTION("""COMPUTED_VALUE"""),"Cold")</f>
        <v>Cold</v>
      </c>
      <c r="AB167" s="124"/>
    </row>
    <row r="168">
      <c r="A168" s="126">
        <f>IFERROR(__xludf.DUMMYFUNCTION("""COMPUTED_VALUE"""),46098.0)</f>
        <v>46098</v>
      </c>
      <c r="B168" s="124" t="str">
        <f>IFERROR(__xludf.DUMMYFUNCTION("""COMPUTED_VALUE"""),"events")</f>
        <v>events</v>
      </c>
      <c r="C168" s="124" t="str">
        <f>IFERROR(__xludf.DUMMYFUNCTION("""COMPUTED_VALUE"""),"Indore")</f>
        <v>Indore</v>
      </c>
      <c r="D168" s="124" t="str">
        <f>IFERROR(__xludf.DUMMYFUNCTION("""COMPUTED_VALUE"""),"Secondary_Walkin")</f>
        <v>Secondary_Walkin</v>
      </c>
      <c r="E168" s="127">
        <f>IFERROR(__xludf.DUMMYFUNCTION("""COMPUTED_VALUE"""),1.0)</f>
        <v>1</v>
      </c>
      <c r="F168" s="128" t="str">
        <f>IFERROR(__xludf.DUMMYFUNCTION("""COMPUTED_VALUE"""),"Not Interested")</f>
        <v>Not Interested</v>
      </c>
      <c r="G168" s="124" t="str">
        <f>IFERROR(__xludf.DUMMYFUNCTION("""COMPUTED_VALUE"""),"State PCS")</f>
        <v>State PCS</v>
      </c>
      <c r="K168" s="124"/>
      <c r="L168" s="124"/>
      <c r="M168" s="124"/>
      <c r="N168" s="124"/>
      <c r="O168" s="124"/>
      <c r="T168" s="129">
        <f>IFERROR(__xludf.DUMMYFUNCTION("""COMPUTED_VALUE"""),46059.0)</f>
        <v>46059</v>
      </c>
      <c r="U168" s="124" t="str">
        <f>IFERROR(__xludf.DUMMYFUNCTION("""COMPUTED_VALUE"""),"Walk-Ins")</f>
        <v>Walk-Ins</v>
      </c>
      <c r="V168" s="124" t="str">
        <f>IFERROR(__xludf.DUMMYFUNCTION("""COMPUTED_VALUE"""),"Walk-In")</f>
        <v>Walk-In</v>
      </c>
      <c r="W168" s="124" t="str">
        <f>IFERROR(__xludf.DUMMYFUNCTION("""COMPUTED_VALUE"""),"Delhi")</f>
        <v>Delhi</v>
      </c>
      <c r="X168" s="124" t="str">
        <f>IFERROR(__xludf.DUMMYFUNCTION("""COMPUTED_VALUE"""),"Missbahuddin Ahmad")</f>
        <v>Missbahuddin Ahmad</v>
      </c>
      <c r="Y168" s="124" t="str">
        <f>IFERROR(__xludf.DUMMYFUNCTION("""COMPUTED_VALUE"""),"Delhi")</f>
        <v>Delhi</v>
      </c>
      <c r="Z168" s="124">
        <f>IFERROR(__xludf.DUMMYFUNCTION("""COMPUTED_VALUE"""),1.0)</f>
        <v>1</v>
      </c>
      <c r="AA168" s="124" t="str">
        <f>IFERROR(__xludf.DUMMYFUNCTION("""COMPUTED_VALUE"""),"Cold")</f>
        <v>Cold</v>
      </c>
      <c r="AB168" s="124" t="str">
        <f>IFERROR(__xludf.DUMMYFUNCTION("""COMPUTED_VALUE"""),"GS Foundation")</f>
        <v>GS Foundation</v>
      </c>
    </row>
    <row r="169">
      <c r="A169" s="129">
        <f>IFERROR(__xludf.DUMMYFUNCTION("""COMPUTED_VALUE"""),46090.0)</f>
        <v>46090</v>
      </c>
      <c r="B169" s="124" t="str">
        <f>IFERROR(__xludf.DUMMYFUNCTION("""COMPUTED_VALUE"""),"Walkin")</f>
        <v>Walkin</v>
      </c>
      <c r="C169" s="124" t="str">
        <f>IFERROR(__xludf.DUMMYFUNCTION("""COMPUTED_VALUE"""),"Indore")</f>
        <v>Indore</v>
      </c>
      <c r="D169" s="124" t="str">
        <f>IFERROR(__xludf.DUMMYFUNCTION("""COMPUTED_VALUE"""),"Primary_Walkin")</f>
        <v>Primary_Walkin</v>
      </c>
      <c r="E169" s="127">
        <f>IFERROR(__xludf.DUMMYFUNCTION("""COMPUTED_VALUE"""),1.0)</f>
        <v>1</v>
      </c>
      <c r="F169" s="128" t="str">
        <f>IFERROR(__xludf.DUMMYFUNCTION("""COMPUTED_VALUE"""),"Future Prospects")</f>
        <v>Future Prospects</v>
      </c>
      <c r="G169" s="124" t="str">
        <f>IFERROR(__xludf.DUMMYFUNCTION("""COMPUTED_VALUE"""),"GS Foundation")</f>
        <v>GS Foundation</v>
      </c>
      <c r="K169" s="124"/>
      <c r="L169" s="124"/>
      <c r="M169" s="124"/>
      <c r="N169" s="124"/>
      <c r="O169" s="124"/>
      <c r="T169" s="129">
        <f>IFERROR(__xludf.DUMMYFUNCTION("""COMPUTED_VALUE"""),46045.0)</f>
        <v>46045</v>
      </c>
      <c r="U169" s="124" t="str">
        <f>IFERROR(__xludf.DUMMYFUNCTION("""COMPUTED_VALUE"""),"External Leads")</f>
        <v>External Leads</v>
      </c>
      <c r="V169" s="124" t="str">
        <f>IFERROR(__xludf.DUMMYFUNCTION("""COMPUTED_VALUE"""),"external leads")</f>
        <v>external leads</v>
      </c>
      <c r="W169" s="124"/>
      <c r="X169" s="124"/>
      <c r="Y169" s="124"/>
      <c r="Z169" s="124">
        <f>IFERROR(__xludf.DUMMYFUNCTION("""COMPUTED_VALUE"""),5.0)</f>
        <v>5</v>
      </c>
      <c r="AA169" s="124" t="str">
        <f>IFERROR(__xludf.DUMMYFUNCTION("""COMPUTED_VALUE"""),"Not Interested")</f>
        <v>Not Interested</v>
      </c>
      <c r="AB169" s="124"/>
    </row>
    <row r="170">
      <c r="A170" s="126">
        <f>IFERROR(__xludf.DUMMYFUNCTION("""COMPUTED_VALUE"""),46044.0)</f>
        <v>46044</v>
      </c>
      <c r="B170" s="124" t="str">
        <f>IFERROR(__xludf.DUMMYFUNCTION("""COMPUTED_VALUE"""),"Walkin")</f>
        <v>Walkin</v>
      </c>
      <c r="C170" s="124" t="str">
        <f>IFERROR(__xludf.DUMMYFUNCTION("""COMPUTED_VALUE"""),"Indore")</f>
        <v>Indore</v>
      </c>
      <c r="D170" s="124" t="str">
        <f>IFERROR(__xludf.DUMMYFUNCTION("""COMPUTED_VALUE"""),"Primary_Walkin")</f>
        <v>Primary_Walkin</v>
      </c>
      <c r="E170" s="127">
        <f>IFERROR(__xludf.DUMMYFUNCTION("""COMPUTED_VALUE"""),1.0)</f>
        <v>1</v>
      </c>
      <c r="F170" s="128" t="str">
        <f>IFERROR(__xludf.DUMMYFUNCTION("""COMPUTED_VALUE"""),"Not Interested")</f>
        <v>Not Interested</v>
      </c>
      <c r="G170" s="124" t="str">
        <f>IFERROR(__xludf.DUMMYFUNCTION("""COMPUTED_VALUE"""),"State PCS")</f>
        <v>State PCS</v>
      </c>
      <c r="K170" s="124"/>
      <c r="L170" s="124"/>
      <c r="M170" s="124"/>
      <c r="N170" s="124"/>
      <c r="O170" s="124"/>
      <c r="T170" s="126">
        <f>IFERROR(__xludf.DUMMYFUNCTION("""COMPUTED_VALUE"""),46060.0)</f>
        <v>46060</v>
      </c>
      <c r="U170" s="124" t="str">
        <f>IFERROR(__xludf.DUMMYFUNCTION("""COMPUTED_VALUE"""),"Publisher Campaign")</f>
        <v>Publisher Campaign</v>
      </c>
      <c r="V170" s="124" t="str">
        <f>IFERROR(__xludf.DUMMYFUNCTION("""COMPUTED_VALUE"""),"Webinar")</f>
        <v>Webinar</v>
      </c>
      <c r="W170" s="124"/>
      <c r="X170" s="124"/>
      <c r="Y170" s="124" t="str">
        <f>IFERROR(__xludf.DUMMYFUNCTION("""COMPUTED_VALUE"""),"Delhi")</f>
        <v>Delhi</v>
      </c>
      <c r="Z170" s="124">
        <f>IFERROR(__xludf.DUMMYFUNCTION("""COMPUTED_VALUE"""),23.0)</f>
        <v>23</v>
      </c>
      <c r="AA170" s="124" t="str">
        <f>IFERROR(__xludf.DUMMYFUNCTION("""COMPUTED_VALUE"""),"Cold")</f>
        <v>Cold</v>
      </c>
      <c r="AB170" s="124" t="str">
        <f>IFERROR(__xludf.DUMMYFUNCTION("""COMPUTED_VALUE"""),"Other")</f>
        <v>Other</v>
      </c>
    </row>
    <row r="171">
      <c r="A171" s="126">
        <f>IFERROR(__xludf.DUMMYFUNCTION("""COMPUTED_VALUE"""),46087.0)</f>
        <v>46087</v>
      </c>
      <c r="B171" s="124" t="str">
        <f>IFERROR(__xludf.DUMMYFUNCTION("""COMPUTED_VALUE"""),"Walkin")</f>
        <v>Walkin</v>
      </c>
      <c r="C171" s="124" t="str">
        <f>IFERROR(__xludf.DUMMYFUNCTION("""COMPUTED_VALUE"""),"Patna")</f>
        <v>Patna</v>
      </c>
      <c r="D171" s="124" t="str">
        <f>IFERROR(__xludf.DUMMYFUNCTION("""COMPUTED_VALUE"""),"Primary_Walkin")</f>
        <v>Primary_Walkin</v>
      </c>
      <c r="E171" s="127">
        <f>IFERROR(__xludf.DUMMYFUNCTION("""COMPUTED_VALUE"""),1.0)</f>
        <v>1</v>
      </c>
      <c r="F171" s="128" t="str">
        <f>IFERROR(__xludf.DUMMYFUNCTION("""COMPUTED_VALUE"""),"Warm")</f>
        <v>Warm</v>
      </c>
      <c r="G171" s="124" t="str">
        <f>IFERROR(__xludf.DUMMYFUNCTION("""COMPUTED_VALUE"""),"State PCS")</f>
        <v>State PCS</v>
      </c>
      <c r="K171" s="124"/>
      <c r="L171" s="124"/>
      <c r="M171" s="124"/>
      <c r="N171" s="124"/>
      <c r="O171" s="124"/>
      <c r="T171" s="126">
        <f>IFERROR(__xludf.DUMMYFUNCTION("""COMPUTED_VALUE"""),46094.0)</f>
        <v>46094</v>
      </c>
      <c r="U171" s="124" t="str">
        <f>IFERROR(__xludf.DUMMYFUNCTION("""COMPUTED_VALUE"""),"Publisher Campaign")</f>
        <v>Publisher Campaign</v>
      </c>
      <c r="V171" s="124" t="str">
        <f>IFERROR(__xludf.DUMMYFUNCTION("""COMPUTED_VALUE"""),"Webinar")</f>
        <v>Webinar</v>
      </c>
      <c r="W171" s="124"/>
      <c r="X171" s="124"/>
      <c r="Y171" s="124" t="str">
        <f>IFERROR(__xludf.DUMMYFUNCTION("""COMPUTED_VALUE"""),"Delhi")</f>
        <v>Delhi</v>
      </c>
      <c r="Z171" s="124">
        <f>IFERROR(__xludf.DUMMYFUNCTION("""COMPUTED_VALUE"""),32.0)</f>
        <v>32</v>
      </c>
      <c r="AA171" s="124" t="str">
        <f>IFERROR(__xludf.DUMMYFUNCTION("""COMPUTED_VALUE"""),"Cold")</f>
        <v>Cold</v>
      </c>
      <c r="AB171" s="124" t="str">
        <f>IFERROR(__xludf.DUMMYFUNCTION("""COMPUTED_VALUE"""),"GS Foundation")</f>
        <v>GS Foundation</v>
      </c>
    </row>
    <row r="172">
      <c r="A172" s="126">
        <f>IFERROR(__xludf.DUMMYFUNCTION("""COMPUTED_VALUE"""),46103.0)</f>
        <v>46103</v>
      </c>
      <c r="B172" s="124" t="str">
        <f>IFERROR(__xludf.DUMMYFUNCTION("""COMPUTED_VALUE"""),"Walkin")</f>
        <v>Walkin</v>
      </c>
      <c r="C172" s="124" t="str">
        <f>IFERROR(__xludf.DUMMYFUNCTION("""COMPUTED_VALUE"""),"Patna")</f>
        <v>Patna</v>
      </c>
      <c r="D172" s="124" t="str">
        <f>IFERROR(__xludf.DUMMYFUNCTION("""COMPUTED_VALUE"""),"Primary_Walkin")</f>
        <v>Primary_Walkin</v>
      </c>
      <c r="E172" s="127">
        <f>IFERROR(__xludf.DUMMYFUNCTION("""COMPUTED_VALUE"""),2.0)</f>
        <v>2</v>
      </c>
      <c r="F172" s="128" t="str">
        <f>IFERROR(__xludf.DUMMYFUNCTION("""COMPUTED_VALUE"""),"Cold")</f>
        <v>Cold</v>
      </c>
      <c r="G172" s="124" t="str">
        <f>IFERROR(__xludf.DUMMYFUNCTION("""COMPUTED_VALUE"""),"Test Series")</f>
        <v>Test Series</v>
      </c>
      <c r="K172" s="124"/>
      <c r="L172" s="124"/>
      <c r="M172" s="124"/>
      <c r="N172" s="124"/>
      <c r="O172" s="124"/>
      <c r="T172" s="126">
        <f>IFERROR(__xludf.DUMMYFUNCTION("""COMPUTED_VALUE"""),46098.0)</f>
        <v>46098</v>
      </c>
      <c r="U172" s="124" t="str">
        <f>IFERROR(__xludf.DUMMYFUNCTION("""COMPUTED_VALUE"""),"Libraries")</f>
        <v>Libraries</v>
      </c>
      <c r="V172" s="124" t="str">
        <f>IFERROR(__xludf.DUMMYFUNCTION("""COMPUTED_VALUE"""),"Libraries")</f>
        <v>Libraries</v>
      </c>
      <c r="W172" s="124"/>
      <c r="X172" s="124"/>
      <c r="Y172" s="124" t="str">
        <f>IFERROR(__xludf.DUMMYFUNCTION("""COMPUTED_VALUE"""),"Prayagraj")</f>
        <v>Prayagraj</v>
      </c>
      <c r="Z172" s="124">
        <f>IFERROR(__xludf.DUMMYFUNCTION("""COMPUTED_VALUE"""),1.0)</f>
        <v>1</v>
      </c>
      <c r="AA172" s="124"/>
      <c r="AB172" s="124" t="str">
        <f>IFERROR(__xludf.DUMMYFUNCTION("""COMPUTED_VALUE"""),"CSAT")</f>
        <v>CSAT</v>
      </c>
    </row>
    <row r="173">
      <c r="A173" s="126">
        <f>IFERROR(__xludf.DUMMYFUNCTION("""COMPUTED_VALUE"""),46053.0)</f>
        <v>46053</v>
      </c>
      <c r="B173" s="124" t="str">
        <f>IFERROR(__xludf.DUMMYFUNCTION("""COMPUTED_VALUE"""),"Walkin")</f>
        <v>Walkin</v>
      </c>
      <c r="C173" s="124" t="str">
        <f>IFERROR(__xludf.DUMMYFUNCTION("""COMPUTED_VALUE"""),"Patna")</f>
        <v>Patna</v>
      </c>
      <c r="D173" s="124" t="str">
        <f>IFERROR(__xludf.DUMMYFUNCTION("""COMPUTED_VALUE"""),"Primary_Walkin")</f>
        <v>Primary_Walkin</v>
      </c>
      <c r="E173" s="127">
        <f>IFERROR(__xludf.DUMMYFUNCTION("""COMPUTED_VALUE"""),2.0)</f>
        <v>2</v>
      </c>
      <c r="F173" s="128" t="str">
        <f>IFERROR(__xludf.DUMMYFUNCTION("""COMPUTED_VALUE"""),"Fake Lead")</f>
        <v>Fake Lead</v>
      </c>
      <c r="G173" s="124" t="str">
        <f>IFERROR(__xludf.DUMMYFUNCTION("""COMPUTED_VALUE"""),"State PCS")</f>
        <v>State PCS</v>
      </c>
      <c r="K173" s="124"/>
      <c r="L173" s="124"/>
      <c r="M173" s="124"/>
      <c r="N173" s="124"/>
      <c r="O173" s="124"/>
      <c r="T173" s="126">
        <f>IFERROR(__xludf.DUMMYFUNCTION("""COMPUTED_VALUE"""),46087.0)</f>
        <v>46087</v>
      </c>
      <c r="U173" s="124" t="str">
        <f>IFERROR(__xludf.DUMMYFUNCTION("""COMPUTED_VALUE"""),"Publisher Campaign")</f>
        <v>Publisher Campaign</v>
      </c>
      <c r="V173" s="124" t="str">
        <f>IFERROR(__xludf.DUMMYFUNCTION("""COMPUTED_VALUE"""),"Webinar")</f>
        <v>Webinar</v>
      </c>
      <c r="W173" s="124"/>
      <c r="X173" s="124"/>
      <c r="Y173" s="124" t="str">
        <f>IFERROR(__xludf.DUMMYFUNCTION("""COMPUTED_VALUE"""),"Delhi")</f>
        <v>Delhi</v>
      </c>
      <c r="Z173" s="124">
        <f>IFERROR(__xludf.DUMMYFUNCTION("""COMPUTED_VALUE"""),2.0)</f>
        <v>2</v>
      </c>
      <c r="AA173" s="124" t="str">
        <f>IFERROR(__xludf.DUMMYFUNCTION("""COMPUTED_VALUE"""),"Not Interested")</f>
        <v>Not Interested</v>
      </c>
      <c r="AB173" s="124" t="str">
        <f>IFERROR(__xludf.DUMMYFUNCTION("""COMPUTED_VALUE"""),"Mentorship")</f>
        <v>Mentorship</v>
      </c>
    </row>
    <row r="174">
      <c r="A174" s="126">
        <f>IFERROR(__xludf.DUMMYFUNCTION("""COMPUTED_VALUE"""),46100.0)</f>
        <v>46100</v>
      </c>
      <c r="B174" s="124" t="str">
        <f>IFERROR(__xludf.DUMMYFUNCTION("""COMPUTED_VALUE"""),"external leads")</f>
        <v>external leads</v>
      </c>
      <c r="C174" s="124" t="str">
        <f>IFERROR(__xludf.DUMMYFUNCTION("""COMPUTED_VALUE"""),"Patna")</f>
        <v>Patna</v>
      </c>
      <c r="D174" s="124" t="str">
        <f>IFERROR(__xludf.DUMMYFUNCTION("""COMPUTED_VALUE"""),"Secondary_Walkin")</f>
        <v>Secondary_Walkin</v>
      </c>
      <c r="E174" s="127">
        <f>IFERROR(__xludf.DUMMYFUNCTION("""COMPUTED_VALUE"""),1.0)</f>
        <v>1</v>
      </c>
      <c r="F174" s="128" t="str">
        <f>IFERROR(__xludf.DUMMYFUNCTION("""COMPUTED_VALUE"""),"Warm")</f>
        <v>Warm</v>
      </c>
      <c r="G174" s="124" t="str">
        <f>IFERROR(__xludf.DUMMYFUNCTION("""COMPUTED_VALUE"""),"GS Foundation")</f>
        <v>GS Foundation</v>
      </c>
      <c r="K174" s="124"/>
      <c r="L174" s="124"/>
      <c r="M174" s="124"/>
      <c r="N174" s="124"/>
      <c r="O174" s="124"/>
      <c r="T174" s="126">
        <f>IFERROR(__xludf.DUMMYFUNCTION("""COMPUTED_VALUE"""),46086.0)</f>
        <v>46086</v>
      </c>
      <c r="U174" s="124" t="str">
        <f>IFERROR(__xludf.DUMMYFUNCTION("""COMPUTED_VALUE"""),"Publisher Campaign")</f>
        <v>Publisher Campaign</v>
      </c>
      <c r="V174" s="124" t="str">
        <f>IFERROR(__xludf.DUMMYFUNCTION("""COMPUTED_VALUE"""),"Webinar")</f>
        <v>Webinar</v>
      </c>
      <c r="W174" s="124"/>
      <c r="X174" s="124"/>
      <c r="Y174" s="124" t="str">
        <f>IFERROR(__xludf.DUMMYFUNCTION("""COMPUTED_VALUE"""),"Delhi")</f>
        <v>Delhi</v>
      </c>
      <c r="Z174" s="124">
        <f>IFERROR(__xludf.DUMMYFUNCTION("""COMPUTED_VALUE"""),2.0)</f>
        <v>2</v>
      </c>
      <c r="AA174" s="124" t="str">
        <f>IFERROR(__xludf.DUMMYFUNCTION("""COMPUTED_VALUE"""),"Cold")</f>
        <v>Cold</v>
      </c>
      <c r="AB174" s="124" t="str">
        <f>IFERROR(__xludf.DUMMYFUNCTION("""COMPUTED_VALUE"""),"GS Foundation")</f>
        <v>GS Foundation</v>
      </c>
    </row>
    <row r="175">
      <c r="A175" s="126">
        <f>IFERROR(__xludf.DUMMYFUNCTION("""COMPUTED_VALUE"""),46104.0)</f>
        <v>46104</v>
      </c>
      <c r="B175" s="124" t="str">
        <f>IFERROR(__xludf.DUMMYFUNCTION("""COMPUTED_VALUE"""),"Walkin")</f>
        <v>Walkin</v>
      </c>
      <c r="C175" s="124" t="str">
        <f>IFERROR(__xludf.DUMMYFUNCTION("""COMPUTED_VALUE"""),"Patna")</f>
        <v>Patna</v>
      </c>
      <c r="D175" s="124" t="str">
        <f>IFERROR(__xludf.DUMMYFUNCTION("""COMPUTED_VALUE"""),"Primary_Walkin")</f>
        <v>Primary_Walkin</v>
      </c>
      <c r="E175" s="127">
        <f>IFERROR(__xludf.DUMMYFUNCTION("""COMPUTED_VALUE"""),5.0)</f>
        <v>5</v>
      </c>
      <c r="F175" s="128" t="str">
        <f>IFERROR(__xludf.DUMMYFUNCTION("""COMPUTED_VALUE"""),"Warm")</f>
        <v>Warm</v>
      </c>
      <c r="G175" s="124" t="str">
        <f>IFERROR(__xludf.DUMMYFUNCTION("""COMPUTED_VALUE"""),"State PCS")</f>
        <v>State PCS</v>
      </c>
      <c r="K175" s="124"/>
      <c r="L175" s="124"/>
      <c r="M175" s="124"/>
      <c r="N175" s="124"/>
      <c r="O175" s="124"/>
      <c r="T175" s="126">
        <f>IFERROR(__xludf.DUMMYFUNCTION("""COMPUTED_VALUE"""),46080.0)</f>
        <v>46080</v>
      </c>
      <c r="U175" s="124" t="str">
        <f>IFERROR(__xludf.DUMMYFUNCTION("""COMPUTED_VALUE"""),"Publisher Campaign")</f>
        <v>Publisher Campaign</v>
      </c>
      <c r="V175" s="124" t="str">
        <f>IFERROR(__xludf.DUMMYFUNCTION("""COMPUTED_VALUE"""),"Webinar")</f>
        <v>Webinar</v>
      </c>
      <c r="W175" s="124"/>
      <c r="X175" s="124"/>
      <c r="Y175" s="124" t="str">
        <f>IFERROR(__xludf.DUMMYFUNCTION("""COMPUTED_VALUE"""),"Delhi")</f>
        <v>Delhi</v>
      </c>
      <c r="Z175" s="124">
        <f>IFERROR(__xludf.DUMMYFUNCTION("""COMPUTED_VALUE"""),15.0)</f>
        <v>15</v>
      </c>
      <c r="AA175" s="124" t="str">
        <f>IFERROR(__xludf.DUMMYFUNCTION("""COMPUTED_VALUE"""),"Warm")</f>
        <v>Warm</v>
      </c>
      <c r="AB175" s="124" t="str">
        <f>IFERROR(__xludf.DUMMYFUNCTION("""COMPUTED_VALUE"""),"GS Foundation")</f>
        <v>GS Foundation</v>
      </c>
    </row>
    <row r="176">
      <c r="A176" s="126">
        <f>IFERROR(__xludf.DUMMYFUNCTION("""COMPUTED_VALUE"""),46091.0)</f>
        <v>46091</v>
      </c>
      <c r="B176" s="124" t="str">
        <f>IFERROR(__xludf.DUMMYFUNCTION("""COMPUTED_VALUE"""),"Walkin")</f>
        <v>Walkin</v>
      </c>
      <c r="C176" s="124" t="str">
        <f>IFERROR(__xludf.DUMMYFUNCTION("""COMPUTED_VALUE"""),"Patna")</f>
        <v>Patna</v>
      </c>
      <c r="D176" s="124" t="str">
        <f>IFERROR(__xludf.DUMMYFUNCTION("""COMPUTED_VALUE"""),"Primary_Walkin")</f>
        <v>Primary_Walkin</v>
      </c>
      <c r="E176" s="127">
        <f>IFERROR(__xludf.DUMMYFUNCTION("""COMPUTED_VALUE"""),2.0)</f>
        <v>2</v>
      </c>
      <c r="F176" s="128" t="str">
        <f>IFERROR(__xludf.DUMMYFUNCTION("""COMPUTED_VALUE"""),"Warm")</f>
        <v>Warm</v>
      </c>
      <c r="G176" s="124" t="str">
        <f>IFERROR(__xludf.DUMMYFUNCTION("""COMPUTED_VALUE"""),"GS Foundation")</f>
        <v>GS Foundation</v>
      </c>
      <c r="K176" s="124"/>
      <c r="L176" s="124"/>
      <c r="M176" s="124"/>
      <c r="N176" s="124"/>
      <c r="O176" s="124"/>
      <c r="T176" s="126">
        <f>IFERROR(__xludf.DUMMYFUNCTION("""COMPUTED_VALUE"""),46083.0)</f>
        <v>46083</v>
      </c>
      <c r="U176" s="124" t="str">
        <f>IFERROR(__xludf.DUMMYFUNCTION("""COMPUTED_VALUE"""),"Event")</f>
        <v>Event</v>
      </c>
      <c r="V176" s="124" t="str">
        <f>IFERROR(__xludf.DUMMYFUNCTION("""COMPUTED_VALUE"""),"events")</f>
        <v>events</v>
      </c>
      <c r="W176" s="124" t="str">
        <f>IFERROR(__xludf.DUMMYFUNCTION("""COMPUTED_VALUE"""),"indore")</f>
        <v>indore</v>
      </c>
      <c r="X176" s="124" t="str">
        <f>IFERROR(__xludf.DUMMYFUNCTION("""COMPUTED_VALUE"""),"mahamarathon")</f>
        <v>mahamarathon</v>
      </c>
      <c r="Y176" s="124" t="str">
        <f>IFERROR(__xludf.DUMMYFUNCTION("""COMPUTED_VALUE"""),"Indore")</f>
        <v>Indore</v>
      </c>
      <c r="Z176" s="124">
        <f>IFERROR(__xludf.DUMMYFUNCTION("""COMPUTED_VALUE"""),11.0)</f>
        <v>11</v>
      </c>
      <c r="AA176" s="124" t="str">
        <f>IFERROR(__xludf.DUMMYFUNCTION("""COMPUTED_VALUE"""),"Not Interested")</f>
        <v>Not Interested</v>
      </c>
      <c r="AB176" s="124"/>
    </row>
    <row r="177">
      <c r="A177" s="126">
        <f>IFERROR(__xludf.DUMMYFUNCTION("""COMPUTED_VALUE"""),46112.0)</f>
        <v>46112</v>
      </c>
      <c r="B177" s="124" t="str">
        <f>IFERROR(__xludf.DUMMYFUNCTION("""COMPUTED_VALUE"""),"Walkin")</f>
        <v>Walkin</v>
      </c>
      <c r="C177" s="124" t="str">
        <f>IFERROR(__xludf.DUMMYFUNCTION("""COMPUTED_VALUE"""),"Patna")</f>
        <v>Patna</v>
      </c>
      <c r="D177" s="124" t="str">
        <f>IFERROR(__xludf.DUMMYFUNCTION("""COMPUTED_VALUE"""),"Primary_Walkin")</f>
        <v>Primary_Walkin</v>
      </c>
      <c r="E177" s="127">
        <f>IFERROR(__xludf.DUMMYFUNCTION("""COMPUTED_VALUE"""),1.0)</f>
        <v>1</v>
      </c>
      <c r="F177" s="128" t="str">
        <f>IFERROR(__xludf.DUMMYFUNCTION("""COMPUTED_VALUE"""),"Fake Lead")</f>
        <v>Fake Lead</v>
      </c>
      <c r="G177" s="124" t="str">
        <f>IFERROR(__xludf.DUMMYFUNCTION("""COMPUTED_VALUE"""),"GS Foundation")</f>
        <v>GS Foundation</v>
      </c>
      <c r="K177" s="124"/>
      <c r="L177" s="124"/>
      <c r="M177" s="124"/>
      <c r="N177" s="124"/>
      <c r="O177" s="124"/>
      <c r="T177" s="126">
        <f>IFERROR(__xludf.DUMMYFUNCTION("""COMPUTED_VALUE"""),46050.0)</f>
        <v>46050</v>
      </c>
      <c r="U177" s="124" t="str">
        <f>IFERROR(__xludf.DUMMYFUNCTION("""COMPUTED_VALUE"""),"External Leads")</f>
        <v>External Leads</v>
      </c>
      <c r="V177" s="124" t="str">
        <f>IFERROR(__xludf.DUMMYFUNCTION("""COMPUTED_VALUE"""),"external leads")</f>
        <v>external leads</v>
      </c>
      <c r="W177" s="124"/>
      <c r="X177" s="124"/>
      <c r="Y177" s="124"/>
      <c r="Z177" s="124">
        <f>IFERROR(__xludf.DUMMYFUNCTION("""COMPUTED_VALUE"""),33.0)</f>
        <v>33</v>
      </c>
      <c r="AA177" s="124" t="str">
        <f>IFERROR(__xludf.DUMMYFUNCTION("""COMPUTED_VALUE"""),"Cold")</f>
        <v>Cold</v>
      </c>
      <c r="AB177" s="124"/>
    </row>
    <row r="178">
      <c r="A178" s="126">
        <f>IFERROR(__xludf.DUMMYFUNCTION("""COMPUTED_VALUE"""),46100.0)</f>
        <v>46100</v>
      </c>
      <c r="B178" s="124" t="str">
        <f>IFERROR(__xludf.DUMMYFUNCTION("""COMPUTED_VALUE"""),"Walkin")</f>
        <v>Walkin</v>
      </c>
      <c r="C178" s="124" t="str">
        <f>IFERROR(__xludf.DUMMYFUNCTION("""COMPUTED_VALUE"""),"Patna")</f>
        <v>Patna</v>
      </c>
      <c r="D178" s="124" t="str">
        <f>IFERROR(__xludf.DUMMYFUNCTION("""COMPUTED_VALUE"""),"Primary_Walkin")</f>
        <v>Primary_Walkin</v>
      </c>
      <c r="E178" s="127">
        <f>IFERROR(__xludf.DUMMYFUNCTION("""COMPUTED_VALUE"""),1.0)</f>
        <v>1</v>
      </c>
      <c r="F178" s="128" t="str">
        <f>IFERROR(__xludf.DUMMYFUNCTION("""COMPUTED_VALUE"""),"Cold")</f>
        <v>Cold</v>
      </c>
      <c r="G178" s="124" t="str">
        <f>IFERROR(__xludf.DUMMYFUNCTION("""COMPUTED_VALUE"""),"GS Foundation")</f>
        <v>GS Foundation</v>
      </c>
      <c r="K178" s="124"/>
      <c r="L178" s="124"/>
      <c r="M178" s="124"/>
      <c r="N178" s="124"/>
      <c r="O178" s="124"/>
      <c r="T178" s="126">
        <f>IFERROR(__xludf.DUMMYFUNCTION("""COMPUTED_VALUE"""),46090.0)</f>
        <v>46090</v>
      </c>
      <c r="U178" s="124" t="str">
        <f>IFERROR(__xludf.DUMMYFUNCTION("""COMPUTED_VALUE"""),"Publisher Campaign")</f>
        <v>Publisher Campaign</v>
      </c>
      <c r="V178" s="124" t="str">
        <f>IFERROR(__xludf.DUMMYFUNCTION("""COMPUTED_VALUE"""),"BTL Activities")</f>
        <v>BTL Activities</v>
      </c>
      <c r="W178" s="124"/>
      <c r="X178" s="124"/>
      <c r="Y178" s="124" t="str">
        <f>IFERROR(__xludf.DUMMYFUNCTION("""COMPUTED_VALUE"""),"Indore")</f>
        <v>Indore</v>
      </c>
      <c r="Z178" s="124">
        <f>IFERROR(__xludf.DUMMYFUNCTION("""COMPUTED_VALUE"""),2.0)</f>
        <v>2</v>
      </c>
      <c r="AA178" s="124"/>
      <c r="AB178" s="124" t="str">
        <f>IFERROR(__xludf.DUMMYFUNCTION("""COMPUTED_VALUE"""),"CSAT")</f>
        <v>CSAT</v>
      </c>
    </row>
    <row r="179">
      <c r="A179" s="126">
        <f>IFERROR(__xludf.DUMMYFUNCTION("""COMPUTED_VALUE"""),46049.0)</f>
        <v>46049</v>
      </c>
      <c r="B179" s="124" t="str">
        <f>IFERROR(__xludf.DUMMYFUNCTION("""COMPUTED_VALUE"""),"Walkin")</f>
        <v>Walkin</v>
      </c>
      <c r="C179" s="124" t="str">
        <f>IFERROR(__xludf.DUMMYFUNCTION("""COMPUTED_VALUE"""),"Patna")</f>
        <v>Patna</v>
      </c>
      <c r="D179" s="124" t="str">
        <f>IFERROR(__xludf.DUMMYFUNCTION("""COMPUTED_VALUE"""),"Primary_Walkin")</f>
        <v>Primary_Walkin</v>
      </c>
      <c r="E179" s="127">
        <f>IFERROR(__xludf.DUMMYFUNCTION("""COMPUTED_VALUE"""),4.0)</f>
        <v>4</v>
      </c>
      <c r="F179" s="128" t="str">
        <f>IFERROR(__xludf.DUMMYFUNCTION("""COMPUTED_VALUE"""),"Cold")</f>
        <v>Cold</v>
      </c>
      <c r="G179" s="124" t="str">
        <f>IFERROR(__xludf.DUMMYFUNCTION("""COMPUTED_VALUE"""),"State PCS")</f>
        <v>State PCS</v>
      </c>
      <c r="K179" s="124"/>
      <c r="L179" s="124"/>
      <c r="M179" s="124"/>
      <c r="N179" s="124"/>
      <c r="O179" s="124"/>
      <c r="T179" s="126">
        <f>IFERROR(__xludf.DUMMYFUNCTION("""COMPUTED_VALUE"""),46089.0)</f>
        <v>46089</v>
      </c>
      <c r="U179" s="124" t="str">
        <f>IFERROR(__xludf.DUMMYFUNCTION("""COMPUTED_VALUE"""),"Walk-Ins")</f>
        <v>Walk-Ins</v>
      </c>
      <c r="V179" s="124" t="str">
        <f>IFERROR(__xludf.DUMMYFUNCTION("""COMPUTED_VALUE"""),"Walkin")</f>
        <v>Walkin</v>
      </c>
      <c r="W179" s="124"/>
      <c r="X179" s="124"/>
      <c r="Y179" s="124" t="str">
        <f>IFERROR(__xludf.DUMMYFUNCTION("""COMPUTED_VALUE"""),"Delhi")</f>
        <v>Delhi</v>
      </c>
      <c r="Z179" s="124">
        <f>IFERROR(__xludf.DUMMYFUNCTION("""COMPUTED_VALUE"""),1.0)</f>
        <v>1</v>
      </c>
      <c r="AA179" s="124" t="str">
        <f>IFERROR(__xludf.DUMMYFUNCTION("""COMPUTED_VALUE"""),"Not Interested")</f>
        <v>Not Interested</v>
      </c>
      <c r="AB179" s="124" t="str">
        <f>IFERROR(__xludf.DUMMYFUNCTION("""COMPUTED_VALUE"""),"Mentorship")</f>
        <v>Mentorship</v>
      </c>
    </row>
    <row r="180">
      <c r="A180" s="126">
        <f>IFERROR(__xludf.DUMMYFUNCTION("""COMPUTED_VALUE"""),46096.0)</f>
        <v>46096</v>
      </c>
      <c r="B180" s="124" t="str">
        <f>IFERROR(__xludf.DUMMYFUNCTION("""COMPUTED_VALUE"""),"Walkin")</f>
        <v>Walkin</v>
      </c>
      <c r="C180" s="124" t="str">
        <f>IFERROR(__xludf.DUMMYFUNCTION("""COMPUTED_VALUE"""),"Patna")</f>
        <v>Patna</v>
      </c>
      <c r="D180" s="124" t="str">
        <f>IFERROR(__xludf.DUMMYFUNCTION("""COMPUTED_VALUE"""),"Primary_Walkin")</f>
        <v>Primary_Walkin</v>
      </c>
      <c r="E180" s="127">
        <f>IFERROR(__xludf.DUMMYFUNCTION("""COMPUTED_VALUE"""),3.0)</f>
        <v>3</v>
      </c>
      <c r="F180" s="128" t="str">
        <f>IFERROR(__xludf.DUMMYFUNCTION("""COMPUTED_VALUE"""),"Warm")</f>
        <v>Warm</v>
      </c>
      <c r="G180" s="124" t="str">
        <f>IFERROR(__xludf.DUMMYFUNCTION("""COMPUTED_VALUE"""),"State PCS")</f>
        <v>State PCS</v>
      </c>
      <c r="K180" s="124"/>
      <c r="L180" s="124"/>
      <c r="M180" s="124"/>
      <c r="N180" s="124"/>
      <c r="O180" s="124"/>
      <c r="T180" s="126">
        <f>IFERROR(__xludf.DUMMYFUNCTION("""COMPUTED_VALUE"""),46043.0)</f>
        <v>46043</v>
      </c>
      <c r="U180" s="124" t="str">
        <f>IFERROR(__xludf.DUMMYFUNCTION("""COMPUTED_VALUE"""),"External Leads")</f>
        <v>External Leads</v>
      </c>
      <c r="V180" s="124" t="str">
        <f>IFERROR(__xludf.DUMMYFUNCTION("""COMPUTED_VALUE"""),"external leads")</f>
        <v>external leads</v>
      </c>
      <c r="W180" s="124"/>
      <c r="X180" s="124"/>
      <c r="Y180" s="124"/>
      <c r="Z180" s="124">
        <f>IFERROR(__xludf.DUMMYFUNCTION("""COMPUTED_VALUE"""),60.0)</f>
        <v>60</v>
      </c>
      <c r="AA180" s="124" t="str">
        <f>IFERROR(__xludf.DUMMYFUNCTION("""COMPUTED_VALUE"""),"Cold")</f>
        <v>Cold</v>
      </c>
      <c r="AB180" s="124"/>
    </row>
    <row r="181">
      <c r="A181" s="126">
        <f>IFERROR(__xludf.DUMMYFUNCTION("""COMPUTED_VALUE"""),46104.0)</f>
        <v>46104</v>
      </c>
      <c r="B181" s="124" t="str">
        <f>IFERROR(__xludf.DUMMYFUNCTION("""COMPUTED_VALUE"""),"Walkin")</f>
        <v>Walkin</v>
      </c>
      <c r="C181" s="124" t="str">
        <f>IFERROR(__xludf.DUMMYFUNCTION("""COMPUTED_VALUE"""),"Patna")</f>
        <v>Patna</v>
      </c>
      <c r="D181" s="124" t="str">
        <f>IFERROR(__xludf.DUMMYFUNCTION("""COMPUTED_VALUE"""),"Primary_Walkin")</f>
        <v>Primary_Walkin</v>
      </c>
      <c r="E181" s="127">
        <f>IFERROR(__xludf.DUMMYFUNCTION("""COMPUTED_VALUE"""),1.0)</f>
        <v>1</v>
      </c>
      <c r="F181" s="128" t="str">
        <f>IFERROR(__xludf.DUMMYFUNCTION("""COMPUTED_VALUE"""),"Enrolled")</f>
        <v>Enrolled</v>
      </c>
      <c r="G181" s="124" t="str">
        <f>IFERROR(__xludf.DUMMYFUNCTION("""COMPUTED_VALUE"""),"Test Series")</f>
        <v>Test Series</v>
      </c>
      <c r="K181" s="124"/>
      <c r="L181" s="124"/>
      <c r="M181" s="124"/>
      <c r="N181" s="124"/>
      <c r="O181" s="124"/>
      <c r="T181" s="126">
        <f>IFERROR(__xludf.DUMMYFUNCTION("""COMPUTED_VALUE"""),46068.0)</f>
        <v>46068</v>
      </c>
      <c r="U181" s="124" t="str">
        <f>IFERROR(__xludf.DUMMYFUNCTION("""COMPUTED_VALUE"""),"Publisher Campaign")</f>
        <v>Publisher Campaign</v>
      </c>
      <c r="V181" s="124" t="str">
        <f>IFERROR(__xludf.DUMMYFUNCTION("""COMPUTED_VALUE"""),"Webinar")</f>
        <v>Webinar</v>
      </c>
      <c r="W181" s="124"/>
      <c r="X181" s="124"/>
      <c r="Y181" s="124" t="str">
        <f>IFERROR(__xludf.DUMMYFUNCTION("""COMPUTED_VALUE"""),"Delhi")</f>
        <v>Delhi</v>
      </c>
      <c r="Z181" s="124">
        <f>IFERROR(__xludf.DUMMYFUNCTION("""COMPUTED_VALUE"""),1.0)</f>
        <v>1</v>
      </c>
      <c r="AA181" s="124" t="str">
        <f>IFERROR(__xludf.DUMMYFUNCTION("""COMPUTED_VALUE"""),"Not Interested")</f>
        <v>Not Interested</v>
      </c>
      <c r="AB181" s="124" t="str">
        <f>IFERROR(__xludf.DUMMYFUNCTION("""COMPUTED_VALUE"""),"SIP Offline")</f>
        <v>SIP Offline</v>
      </c>
    </row>
    <row r="182">
      <c r="A182" s="126">
        <f>IFERROR(__xludf.DUMMYFUNCTION("""COMPUTED_VALUE"""),46045.0)</f>
        <v>46045</v>
      </c>
      <c r="B182" s="124" t="str">
        <f>IFERROR(__xludf.DUMMYFUNCTION("""COMPUTED_VALUE"""),"Walkin")</f>
        <v>Walkin</v>
      </c>
      <c r="C182" s="124" t="str">
        <f>IFERROR(__xludf.DUMMYFUNCTION("""COMPUTED_VALUE"""),"Patna")</f>
        <v>Patna</v>
      </c>
      <c r="D182" s="124" t="str">
        <f>IFERROR(__xludf.DUMMYFUNCTION("""COMPUTED_VALUE"""),"Primary_Walkin")</f>
        <v>Primary_Walkin</v>
      </c>
      <c r="E182" s="127">
        <f>IFERROR(__xludf.DUMMYFUNCTION("""COMPUTED_VALUE"""),1.0)</f>
        <v>1</v>
      </c>
      <c r="F182" s="128" t="str">
        <f>IFERROR(__xludf.DUMMYFUNCTION("""COMPUTED_VALUE"""),"Future Prospects")</f>
        <v>Future Prospects</v>
      </c>
      <c r="G182" s="124" t="str">
        <f>IFERROR(__xludf.DUMMYFUNCTION("""COMPUTED_VALUE"""),"GS Foundation")</f>
        <v>GS Foundation</v>
      </c>
      <c r="K182" s="124"/>
      <c r="L182" s="124"/>
      <c r="M182" s="124"/>
      <c r="N182" s="124"/>
      <c r="O182" s="124"/>
      <c r="T182" s="126">
        <f>IFERROR(__xludf.DUMMYFUNCTION("""COMPUTED_VALUE"""),46070.0)</f>
        <v>46070</v>
      </c>
      <c r="U182" s="124" t="str">
        <f>IFERROR(__xludf.DUMMYFUNCTION("""COMPUTED_VALUE"""),"Publisher Campaign")</f>
        <v>Publisher Campaign</v>
      </c>
      <c r="V182" s="124" t="str">
        <f>IFERROR(__xludf.DUMMYFUNCTION("""COMPUTED_VALUE"""),"Feeder Cities")</f>
        <v>Feeder Cities</v>
      </c>
      <c r="W182" s="124"/>
      <c r="X182" s="124"/>
      <c r="Y182" s="124" t="str">
        <f>IFERROR(__xludf.DUMMYFUNCTION("""COMPUTED_VALUE"""),"Indore")</f>
        <v>Indore</v>
      </c>
      <c r="Z182" s="124">
        <f>IFERROR(__xludf.DUMMYFUNCTION("""COMPUTED_VALUE"""),31.0)</f>
        <v>31</v>
      </c>
      <c r="AA182" s="124" t="str">
        <f>IFERROR(__xludf.DUMMYFUNCTION("""COMPUTED_VALUE"""),"Cold")</f>
        <v>Cold</v>
      </c>
      <c r="AB182" s="124" t="str">
        <f>IFERROR(__xludf.DUMMYFUNCTION("""COMPUTED_VALUE"""),"GS Foundation")</f>
        <v>GS Foundation</v>
      </c>
    </row>
    <row r="183">
      <c r="A183" s="126">
        <f>IFERROR(__xludf.DUMMYFUNCTION("""COMPUTED_VALUE"""),46112.0)</f>
        <v>46112</v>
      </c>
      <c r="B183" s="124" t="str">
        <f>IFERROR(__xludf.DUMMYFUNCTION("""COMPUTED_VALUE"""),"Walkin")</f>
        <v>Walkin</v>
      </c>
      <c r="C183" s="124" t="str">
        <f>IFERROR(__xludf.DUMMYFUNCTION("""COMPUTED_VALUE"""),"Patna")</f>
        <v>Patna</v>
      </c>
      <c r="D183" s="124" t="str">
        <f>IFERROR(__xludf.DUMMYFUNCTION("""COMPUTED_VALUE"""),"Primary_Walkin")</f>
        <v>Primary_Walkin</v>
      </c>
      <c r="E183" s="127">
        <f>IFERROR(__xludf.DUMMYFUNCTION("""COMPUTED_VALUE"""),3.0)</f>
        <v>3</v>
      </c>
      <c r="F183" s="128" t="str">
        <f>IFERROR(__xludf.DUMMYFUNCTION("""COMPUTED_VALUE"""),"Warm")</f>
        <v>Warm</v>
      </c>
      <c r="G183" s="124" t="str">
        <f>IFERROR(__xludf.DUMMYFUNCTION("""COMPUTED_VALUE"""),"State PCS")</f>
        <v>State PCS</v>
      </c>
      <c r="K183" s="124"/>
      <c r="L183" s="124"/>
      <c r="M183" s="124"/>
      <c r="N183" s="124"/>
      <c r="O183" s="124"/>
      <c r="T183" s="126">
        <f>IFERROR(__xludf.DUMMYFUNCTION("""COMPUTED_VALUE"""),46087.0)</f>
        <v>46087</v>
      </c>
      <c r="U183" s="124" t="str">
        <f>IFERROR(__xludf.DUMMYFUNCTION("""COMPUTED_VALUE"""),"Publisher Campaign")</f>
        <v>Publisher Campaign</v>
      </c>
      <c r="V183" s="124" t="str">
        <f>IFERROR(__xludf.DUMMYFUNCTION("""COMPUTED_VALUE"""),"Webinar")</f>
        <v>Webinar</v>
      </c>
      <c r="W183" s="124"/>
      <c r="X183" s="124"/>
      <c r="Y183" s="124" t="str">
        <f>IFERROR(__xludf.DUMMYFUNCTION("""COMPUTED_VALUE"""),"Delhi")</f>
        <v>Delhi</v>
      </c>
      <c r="Z183" s="124">
        <f>IFERROR(__xludf.DUMMYFUNCTION("""COMPUTED_VALUE"""),1.0)</f>
        <v>1</v>
      </c>
      <c r="AA183" s="124" t="str">
        <f>IFERROR(__xludf.DUMMYFUNCTION("""COMPUTED_VALUE"""),"Not Interested")</f>
        <v>Not Interested</v>
      </c>
      <c r="AB183" s="124" t="str">
        <f>IFERROR(__xludf.DUMMYFUNCTION("""COMPUTED_VALUE"""),"State PCS")</f>
        <v>State PCS</v>
      </c>
    </row>
    <row r="184">
      <c r="A184" s="126">
        <f>IFERROR(__xludf.DUMMYFUNCTION("""COMPUTED_VALUE"""),46052.0)</f>
        <v>46052</v>
      </c>
      <c r="B184" s="124" t="str">
        <f>IFERROR(__xludf.DUMMYFUNCTION("""COMPUTED_VALUE"""),"Walkin")</f>
        <v>Walkin</v>
      </c>
      <c r="C184" s="124" t="str">
        <f>IFERROR(__xludf.DUMMYFUNCTION("""COMPUTED_VALUE"""),"Patna")</f>
        <v>Patna</v>
      </c>
      <c r="D184" s="124" t="str">
        <f>IFERROR(__xludf.DUMMYFUNCTION("""COMPUTED_VALUE"""),"Primary_Walkin")</f>
        <v>Primary_Walkin</v>
      </c>
      <c r="E184" s="127">
        <f>IFERROR(__xludf.DUMMYFUNCTION("""COMPUTED_VALUE"""),1.0)</f>
        <v>1</v>
      </c>
      <c r="F184" s="128" t="str">
        <f>IFERROR(__xludf.DUMMYFUNCTION("""COMPUTED_VALUE"""),"Not Interested")</f>
        <v>Not Interested</v>
      </c>
      <c r="G184" s="124" t="str">
        <f>IFERROR(__xludf.DUMMYFUNCTION("""COMPUTED_VALUE"""),"GS Foundation")</f>
        <v>GS Foundation</v>
      </c>
      <c r="K184" s="124"/>
      <c r="L184" s="124"/>
      <c r="M184" s="124"/>
      <c r="N184" s="124"/>
      <c r="O184" s="124"/>
      <c r="T184" s="126">
        <f>IFERROR(__xludf.DUMMYFUNCTION("""COMPUTED_VALUE"""),46060.0)</f>
        <v>46060</v>
      </c>
      <c r="U184" s="124" t="str">
        <f>IFERROR(__xludf.DUMMYFUNCTION("""COMPUTED_VALUE"""),"Publisher Campaign")</f>
        <v>Publisher Campaign</v>
      </c>
      <c r="V184" s="124" t="str">
        <f>IFERROR(__xludf.DUMMYFUNCTION("""COMPUTED_VALUE"""),"Webinar")</f>
        <v>Webinar</v>
      </c>
      <c r="W184" s="124"/>
      <c r="X184" s="124"/>
      <c r="Y184" s="124" t="str">
        <f>IFERROR(__xludf.DUMMYFUNCTION("""COMPUTED_VALUE"""),"Delhi")</f>
        <v>Delhi</v>
      </c>
      <c r="Z184" s="124">
        <f>IFERROR(__xludf.DUMMYFUNCTION("""COMPUTED_VALUE"""),3.0)</f>
        <v>3</v>
      </c>
      <c r="AA184" s="124" t="str">
        <f>IFERROR(__xludf.DUMMYFUNCTION("""COMPUTED_VALUE"""),"Engaged")</f>
        <v>Engaged</v>
      </c>
      <c r="AB184" s="124" t="str">
        <f>IFERROR(__xludf.DUMMYFUNCTION("""COMPUTED_VALUE"""),"GS Foundation")</f>
        <v>GS Foundation</v>
      </c>
    </row>
    <row r="185">
      <c r="A185" s="126">
        <f>IFERROR(__xludf.DUMMYFUNCTION("""COMPUTED_VALUE"""),46074.0)</f>
        <v>46074</v>
      </c>
      <c r="B185" s="124" t="str">
        <f>IFERROR(__xludf.DUMMYFUNCTION("""COMPUTED_VALUE"""),"Walk-In")</f>
        <v>Walk-In</v>
      </c>
      <c r="C185" s="124" t="str">
        <f>IFERROR(__xludf.DUMMYFUNCTION("""COMPUTED_VALUE"""),"Patna")</f>
        <v>Patna</v>
      </c>
      <c r="D185" s="124" t="str">
        <f>IFERROR(__xludf.DUMMYFUNCTION("""COMPUTED_VALUE"""),"Primary_Walkin")</f>
        <v>Primary_Walkin</v>
      </c>
      <c r="E185" s="127">
        <f>IFERROR(__xludf.DUMMYFUNCTION("""COMPUTED_VALUE"""),1.0)</f>
        <v>1</v>
      </c>
      <c r="F185" s="128" t="str">
        <f>IFERROR(__xludf.DUMMYFUNCTION("""COMPUTED_VALUE"""),"Cold")</f>
        <v>Cold</v>
      </c>
      <c r="G185" s="124" t="str">
        <f>IFERROR(__xludf.DUMMYFUNCTION("""COMPUTED_VALUE"""),"GS Foundation")</f>
        <v>GS Foundation</v>
      </c>
      <c r="K185" s="124"/>
      <c r="L185" s="124"/>
      <c r="M185" s="124"/>
      <c r="N185" s="124"/>
      <c r="O185" s="124"/>
      <c r="T185" s="129">
        <f>IFERROR(__xludf.DUMMYFUNCTION("""COMPUTED_VALUE"""),46078.0)</f>
        <v>46078</v>
      </c>
      <c r="U185" s="124" t="str">
        <f>IFERROR(__xludf.DUMMYFUNCTION("""COMPUTED_VALUE"""),"Publisher Campaign")</f>
        <v>Publisher Campaign</v>
      </c>
      <c r="V185" s="124" t="str">
        <f>IFERROR(__xludf.DUMMYFUNCTION("""COMPUTED_VALUE"""),"Webinar")</f>
        <v>Webinar</v>
      </c>
      <c r="W185" s="124"/>
      <c r="X185" s="124"/>
      <c r="Y185" s="124" t="str">
        <f>IFERROR(__xludf.DUMMYFUNCTION("""COMPUTED_VALUE"""),"Delhi")</f>
        <v>Delhi</v>
      </c>
      <c r="Z185" s="124">
        <f>IFERROR(__xludf.DUMMYFUNCTION("""COMPUTED_VALUE"""),2.0)</f>
        <v>2</v>
      </c>
      <c r="AA185" s="124" t="str">
        <f>IFERROR(__xludf.DUMMYFUNCTION("""COMPUTED_VALUE"""),"Warm")</f>
        <v>Warm</v>
      </c>
      <c r="AB185" s="124" t="str">
        <f>IFERROR(__xludf.DUMMYFUNCTION("""COMPUTED_VALUE"""),"State PCS")</f>
        <v>State PCS</v>
      </c>
    </row>
    <row r="186">
      <c r="A186" s="126">
        <f>IFERROR(__xludf.DUMMYFUNCTION("""COMPUTED_VALUE"""),46066.0)</f>
        <v>46066</v>
      </c>
      <c r="B186" s="124" t="str">
        <f>IFERROR(__xludf.DUMMYFUNCTION("""COMPUTED_VALUE"""),"Walk-In")</f>
        <v>Walk-In</v>
      </c>
      <c r="C186" s="124" t="str">
        <f>IFERROR(__xludf.DUMMYFUNCTION("""COMPUTED_VALUE"""),"Patna")</f>
        <v>Patna</v>
      </c>
      <c r="D186" s="124" t="str">
        <f>IFERROR(__xludf.DUMMYFUNCTION("""COMPUTED_VALUE"""),"Primary_Walkin")</f>
        <v>Primary_Walkin</v>
      </c>
      <c r="E186" s="127">
        <f>IFERROR(__xludf.DUMMYFUNCTION("""COMPUTED_VALUE"""),1.0)</f>
        <v>1</v>
      </c>
      <c r="F186" s="128" t="str">
        <f>IFERROR(__xludf.DUMMYFUNCTION("""COMPUTED_VALUE"""),"Not Interested")</f>
        <v>Not Interested</v>
      </c>
      <c r="G186" s="124" t="str">
        <f>IFERROR(__xludf.DUMMYFUNCTION("""COMPUTED_VALUE"""),"GS Foundation")</f>
        <v>GS Foundation</v>
      </c>
      <c r="K186" s="124"/>
      <c r="L186" s="124"/>
      <c r="M186" s="124"/>
      <c r="N186" s="124"/>
      <c r="O186" s="124"/>
      <c r="T186" s="126">
        <f>IFERROR(__xludf.DUMMYFUNCTION("""COMPUTED_VALUE"""),46047.0)</f>
        <v>46047</v>
      </c>
      <c r="U186" s="124" t="str">
        <f>IFERROR(__xludf.DUMMYFUNCTION("""COMPUTED_VALUE"""),"External Leads")</f>
        <v>External Leads</v>
      </c>
      <c r="V186" s="124" t="str">
        <f>IFERROR(__xludf.DUMMYFUNCTION("""COMPUTED_VALUE"""),"external leads")</f>
        <v>external leads</v>
      </c>
      <c r="W186" s="124"/>
      <c r="X186" s="124"/>
      <c r="Y186" s="124" t="str">
        <f>IFERROR(__xludf.DUMMYFUNCTION("""COMPUTED_VALUE"""),"Delhi")</f>
        <v>Delhi</v>
      </c>
      <c r="Z186" s="124">
        <f>IFERROR(__xludf.DUMMYFUNCTION("""COMPUTED_VALUE"""),1.0)</f>
        <v>1</v>
      </c>
      <c r="AA186" s="124" t="str">
        <f>IFERROR(__xludf.DUMMYFUNCTION("""COMPUTED_VALUE"""),"Engaged")</f>
        <v>Engaged</v>
      </c>
      <c r="AB186" s="124" t="str">
        <f>IFERROR(__xludf.DUMMYFUNCTION("""COMPUTED_VALUE"""),"GS Foundation")</f>
        <v>GS Foundation</v>
      </c>
    </row>
    <row r="187">
      <c r="A187" s="126">
        <f>IFERROR(__xludf.DUMMYFUNCTION("""COMPUTED_VALUE"""),46049.0)</f>
        <v>46049</v>
      </c>
      <c r="B187" s="124" t="str">
        <f>IFERROR(__xludf.DUMMYFUNCTION("""COMPUTED_VALUE"""),"Inbound Call")</f>
        <v>Inbound Call</v>
      </c>
      <c r="C187" s="124" t="str">
        <f>IFERROR(__xludf.DUMMYFUNCTION("""COMPUTED_VALUE"""),"Patna")</f>
        <v>Patna</v>
      </c>
      <c r="D187" s="124" t="str">
        <f>IFERROR(__xludf.DUMMYFUNCTION("""COMPUTED_VALUE"""),"Secondary_Walkin")</f>
        <v>Secondary_Walkin</v>
      </c>
      <c r="E187" s="127">
        <f>IFERROR(__xludf.DUMMYFUNCTION("""COMPUTED_VALUE"""),1.0)</f>
        <v>1</v>
      </c>
      <c r="F187" s="128" t="str">
        <f>IFERROR(__xludf.DUMMYFUNCTION("""COMPUTED_VALUE"""),"Future Prospects")</f>
        <v>Future Prospects</v>
      </c>
      <c r="G187" s="124" t="str">
        <f>IFERROR(__xludf.DUMMYFUNCTION("""COMPUTED_VALUE"""),"Mentorship")</f>
        <v>Mentorship</v>
      </c>
      <c r="K187" s="124"/>
      <c r="L187" s="124"/>
      <c r="M187" s="124"/>
      <c r="N187" s="124"/>
      <c r="O187" s="124"/>
      <c r="T187" s="126">
        <f>IFERROR(__xludf.DUMMYFUNCTION("""COMPUTED_VALUE"""),46077.0)</f>
        <v>46077</v>
      </c>
      <c r="U187" s="124" t="str">
        <f>IFERROR(__xludf.DUMMYFUNCTION("""COMPUTED_VALUE"""),"Walk-Ins")</f>
        <v>Walk-Ins</v>
      </c>
      <c r="V187" s="124" t="str">
        <f>IFERROR(__xludf.DUMMYFUNCTION("""COMPUTED_VALUE"""),"Walkin")</f>
        <v>Walkin</v>
      </c>
      <c r="W187" s="124"/>
      <c r="X187" s="124"/>
      <c r="Y187" s="124" t="str">
        <f>IFERROR(__xludf.DUMMYFUNCTION("""COMPUTED_VALUE"""),"Delhi")</f>
        <v>Delhi</v>
      </c>
      <c r="Z187" s="124">
        <f>IFERROR(__xludf.DUMMYFUNCTION("""COMPUTED_VALUE"""),1.0)</f>
        <v>1</v>
      </c>
      <c r="AA187" s="124" t="str">
        <f>IFERROR(__xludf.DUMMYFUNCTION("""COMPUTED_VALUE"""),"Fake Lead")</f>
        <v>Fake Lead</v>
      </c>
      <c r="AB187" s="124" t="str">
        <f>IFERROR(__xludf.DUMMYFUNCTION("""COMPUTED_VALUE"""),"GS Foundation")</f>
        <v>GS Foundation</v>
      </c>
    </row>
    <row r="188">
      <c r="A188" s="126">
        <f>IFERROR(__xludf.DUMMYFUNCTION("""COMPUTED_VALUE"""),46066.0)</f>
        <v>46066</v>
      </c>
      <c r="B188" s="124" t="str">
        <f>IFERROR(__xludf.DUMMYFUNCTION("""COMPUTED_VALUE"""),"Walkin")</f>
        <v>Walkin</v>
      </c>
      <c r="C188" s="124" t="str">
        <f>IFERROR(__xludf.DUMMYFUNCTION("""COMPUTED_VALUE"""),"Patna")</f>
        <v>Patna</v>
      </c>
      <c r="D188" s="124" t="str">
        <f>IFERROR(__xludf.DUMMYFUNCTION("""COMPUTED_VALUE"""),"Primary_Walkin")</f>
        <v>Primary_Walkin</v>
      </c>
      <c r="E188" s="127">
        <f>IFERROR(__xludf.DUMMYFUNCTION("""COMPUTED_VALUE"""),7.0)</f>
        <v>7</v>
      </c>
      <c r="F188" s="128" t="str">
        <f>IFERROR(__xludf.DUMMYFUNCTION("""COMPUTED_VALUE"""),"Cold")</f>
        <v>Cold</v>
      </c>
      <c r="G188" s="124" t="str">
        <f>IFERROR(__xludf.DUMMYFUNCTION("""COMPUTED_VALUE"""),"GS Foundation")</f>
        <v>GS Foundation</v>
      </c>
      <c r="K188" s="124"/>
      <c r="L188" s="124"/>
      <c r="M188" s="124"/>
      <c r="N188" s="124"/>
      <c r="O188" s="124"/>
      <c r="T188" s="126">
        <f>IFERROR(__xludf.DUMMYFUNCTION("""COMPUTED_VALUE"""),46090.0)</f>
        <v>46090</v>
      </c>
      <c r="U188" s="124" t="str">
        <f>IFERROR(__xludf.DUMMYFUNCTION("""COMPUTED_VALUE"""),"Walk-Ins")</f>
        <v>Walk-Ins</v>
      </c>
      <c r="V188" s="124" t="str">
        <f>IFERROR(__xludf.DUMMYFUNCTION("""COMPUTED_VALUE"""),"Walkin")</f>
        <v>Walkin</v>
      </c>
      <c r="W188" s="124"/>
      <c r="X188" s="124"/>
      <c r="Y188" s="124" t="str">
        <f>IFERROR(__xludf.DUMMYFUNCTION("""COMPUTED_VALUE"""),"Delhi")</f>
        <v>Delhi</v>
      </c>
      <c r="Z188" s="124">
        <f>IFERROR(__xludf.DUMMYFUNCTION("""COMPUTED_VALUE"""),1.0)</f>
        <v>1</v>
      </c>
      <c r="AA188" s="124" t="str">
        <f>IFERROR(__xludf.DUMMYFUNCTION("""COMPUTED_VALUE"""),"Cold")</f>
        <v>Cold</v>
      </c>
      <c r="AB188" s="124" t="str">
        <f>IFERROR(__xludf.DUMMYFUNCTION("""COMPUTED_VALUE"""),"GS Foundation")</f>
        <v>GS Foundation</v>
      </c>
    </row>
    <row r="189">
      <c r="A189" s="126">
        <f>IFERROR(__xludf.DUMMYFUNCTION("""COMPUTED_VALUE"""),46093.0)</f>
        <v>46093</v>
      </c>
      <c r="B189" s="124" t="str">
        <f>IFERROR(__xludf.DUMMYFUNCTION("""COMPUTED_VALUE"""),"Walkin")</f>
        <v>Walkin</v>
      </c>
      <c r="C189" s="124" t="str">
        <f>IFERROR(__xludf.DUMMYFUNCTION("""COMPUTED_VALUE"""),"Patna")</f>
        <v>Patna</v>
      </c>
      <c r="D189" s="124" t="str">
        <f>IFERROR(__xludf.DUMMYFUNCTION("""COMPUTED_VALUE"""),"Primary_Walkin")</f>
        <v>Primary_Walkin</v>
      </c>
      <c r="E189" s="127">
        <f>IFERROR(__xludf.DUMMYFUNCTION("""COMPUTED_VALUE"""),2.0)</f>
        <v>2</v>
      </c>
      <c r="F189" s="128" t="str">
        <f>IFERROR(__xludf.DUMMYFUNCTION("""COMPUTED_VALUE"""),"Fake Lead")</f>
        <v>Fake Lead</v>
      </c>
      <c r="G189" s="124" t="str">
        <f>IFERROR(__xludf.DUMMYFUNCTION("""COMPUTED_VALUE"""),"State PCS")</f>
        <v>State PCS</v>
      </c>
      <c r="K189" s="124"/>
      <c r="L189" s="124"/>
      <c r="M189" s="124"/>
      <c r="N189" s="124"/>
      <c r="O189" s="124"/>
      <c r="T189" s="129">
        <f>IFERROR(__xludf.DUMMYFUNCTION("""COMPUTED_VALUE"""),46102.0)</f>
        <v>46102</v>
      </c>
      <c r="U189" s="124" t="str">
        <f>IFERROR(__xludf.DUMMYFUNCTION("""COMPUTED_VALUE"""),"Paid Ads")</f>
        <v>Paid Ads</v>
      </c>
      <c r="V189" s="124" t="str">
        <f>IFERROR(__xludf.DUMMYFUNCTION("""COMPUTED_VALUE"""),"google")</f>
        <v>google</v>
      </c>
      <c r="W189" s="124" t="str">
        <f>IFERROR(__xludf.DUMMYFUNCTION("""COMPUTED_VALUE"""),"cpc")</f>
        <v>cpc</v>
      </c>
      <c r="X189" s="124">
        <f>IFERROR(__xludf.DUMMYFUNCTION("""COMPUTED_VALUE"""),2.288825581E10)</f>
        <v>22888255810</v>
      </c>
      <c r="Y189" s="124" t="str">
        <f>IFERROR(__xludf.DUMMYFUNCTION("""COMPUTED_VALUE"""),"Indore")</f>
        <v>Indore</v>
      </c>
      <c r="Z189" s="124">
        <f>IFERROR(__xludf.DUMMYFUNCTION("""COMPUTED_VALUE"""),1.0)</f>
        <v>1</v>
      </c>
      <c r="AA189" s="124" t="str">
        <f>IFERROR(__xludf.DUMMYFUNCTION("""COMPUTED_VALUE"""),"Warm")</f>
        <v>Warm</v>
      </c>
      <c r="AB189" s="124" t="str">
        <f>IFERROR(__xludf.DUMMYFUNCTION("""COMPUTED_VALUE"""),"State PCS")</f>
        <v>State PCS</v>
      </c>
    </row>
    <row r="190">
      <c r="A190" s="126">
        <f>IFERROR(__xludf.DUMMYFUNCTION("""COMPUTED_VALUE"""),46101.0)</f>
        <v>46101</v>
      </c>
      <c r="B190" s="124" t="str">
        <f>IFERROR(__xludf.DUMMYFUNCTION("""COMPUTED_VALUE"""),"Walkin")</f>
        <v>Walkin</v>
      </c>
      <c r="C190" s="124" t="str">
        <f>IFERROR(__xludf.DUMMYFUNCTION("""COMPUTED_VALUE"""),"Patna")</f>
        <v>Patna</v>
      </c>
      <c r="D190" s="124" t="str">
        <f>IFERROR(__xludf.DUMMYFUNCTION("""COMPUTED_VALUE"""),"Primary_Walkin")</f>
        <v>Primary_Walkin</v>
      </c>
      <c r="E190" s="127">
        <f>IFERROR(__xludf.DUMMYFUNCTION("""COMPUTED_VALUE"""),1.0)</f>
        <v>1</v>
      </c>
      <c r="F190" s="128" t="str">
        <f>IFERROR(__xludf.DUMMYFUNCTION("""COMPUTED_VALUE"""),"Future Prospects")</f>
        <v>Future Prospects</v>
      </c>
      <c r="G190" s="124" t="str">
        <f>IFERROR(__xludf.DUMMYFUNCTION("""COMPUTED_VALUE"""),"GS Foundation")</f>
        <v>GS Foundation</v>
      </c>
      <c r="K190" s="124"/>
      <c r="L190" s="124"/>
      <c r="M190" s="124"/>
      <c r="N190" s="124"/>
      <c r="O190" s="124"/>
      <c r="T190" s="126">
        <f>IFERROR(__xludf.DUMMYFUNCTION("""COMPUTED_VALUE"""),46060.0)</f>
        <v>46060</v>
      </c>
      <c r="U190" s="124" t="str">
        <f>IFERROR(__xludf.DUMMYFUNCTION("""COMPUTED_VALUE"""),"Publisher Campaign")</f>
        <v>Publisher Campaign</v>
      </c>
      <c r="V190" s="124" t="str">
        <f>IFERROR(__xludf.DUMMYFUNCTION("""COMPUTED_VALUE"""),"Webinar")</f>
        <v>Webinar</v>
      </c>
      <c r="W190" s="124"/>
      <c r="X190" s="124"/>
      <c r="Y190" s="124" t="str">
        <f>IFERROR(__xludf.DUMMYFUNCTION("""COMPUTED_VALUE"""),"Delhi")</f>
        <v>Delhi</v>
      </c>
      <c r="Z190" s="124">
        <f>IFERROR(__xludf.DUMMYFUNCTION("""COMPUTED_VALUE"""),1.0)</f>
        <v>1</v>
      </c>
      <c r="AA190" s="124" t="str">
        <f>IFERROR(__xludf.DUMMYFUNCTION("""COMPUTED_VALUE"""),"Future Prospects")</f>
        <v>Future Prospects</v>
      </c>
      <c r="AB190" s="124" t="str">
        <f>IFERROR(__xludf.DUMMYFUNCTION("""COMPUTED_VALUE"""),"GS Foundation")</f>
        <v>GS Foundation</v>
      </c>
    </row>
    <row r="191">
      <c r="A191" s="126">
        <f>IFERROR(__xludf.DUMMYFUNCTION("""COMPUTED_VALUE"""),46049.0)</f>
        <v>46049</v>
      </c>
      <c r="B191" s="124" t="str">
        <f>IFERROR(__xludf.DUMMYFUNCTION("""COMPUTED_VALUE"""),"Walkin")</f>
        <v>Walkin</v>
      </c>
      <c r="C191" s="124" t="str">
        <f>IFERROR(__xludf.DUMMYFUNCTION("""COMPUTED_VALUE"""),"Patna")</f>
        <v>Patna</v>
      </c>
      <c r="D191" s="124" t="str">
        <f>IFERROR(__xludf.DUMMYFUNCTION("""COMPUTED_VALUE"""),"Primary_Walkin")</f>
        <v>Primary_Walkin</v>
      </c>
      <c r="E191" s="127">
        <f>IFERROR(__xludf.DUMMYFUNCTION("""COMPUTED_VALUE"""),2.0)</f>
        <v>2</v>
      </c>
      <c r="F191" s="128" t="str">
        <f>IFERROR(__xludf.DUMMYFUNCTION("""COMPUTED_VALUE"""),"Fake Lead")</f>
        <v>Fake Lead</v>
      </c>
      <c r="G191" s="124" t="str">
        <f>IFERROR(__xludf.DUMMYFUNCTION("""COMPUTED_VALUE"""),"Test Series")</f>
        <v>Test Series</v>
      </c>
      <c r="K191" s="124"/>
      <c r="L191" s="124"/>
      <c r="M191" s="124"/>
      <c r="N191" s="124"/>
      <c r="O191" s="124"/>
      <c r="T191" s="126">
        <f>IFERROR(__xludf.DUMMYFUNCTION("""COMPUTED_VALUE"""),46090.0)</f>
        <v>46090</v>
      </c>
      <c r="U191" s="124" t="str">
        <f>IFERROR(__xludf.DUMMYFUNCTION("""COMPUTED_VALUE"""),"Publisher Campaign")</f>
        <v>Publisher Campaign</v>
      </c>
      <c r="V191" s="124" t="str">
        <f>IFERROR(__xludf.DUMMYFUNCTION("""COMPUTED_VALUE"""),"BTL Activities")</f>
        <v>BTL Activities</v>
      </c>
      <c r="W191" s="124"/>
      <c r="X191" s="124"/>
      <c r="Y191" s="124" t="str">
        <f>IFERROR(__xludf.DUMMYFUNCTION("""COMPUTED_VALUE"""),"Indore")</f>
        <v>Indore</v>
      </c>
      <c r="Z191" s="124">
        <f>IFERROR(__xludf.DUMMYFUNCTION("""COMPUTED_VALUE"""),5.0)</f>
        <v>5</v>
      </c>
      <c r="AA191" s="124"/>
      <c r="AB191" s="124" t="str">
        <f>IFERROR(__xludf.DUMMYFUNCTION("""COMPUTED_VALUE"""),"Other")</f>
        <v>Other</v>
      </c>
    </row>
    <row r="192">
      <c r="A192" s="126">
        <f>IFERROR(__xludf.DUMMYFUNCTION("""COMPUTED_VALUE"""),46070.0)</f>
        <v>46070</v>
      </c>
      <c r="B192" s="124" t="str">
        <f>IFERROR(__xludf.DUMMYFUNCTION("""COMPUTED_VALUE"""),"Walkin")</f>
        <v>Walkin</v>
      </c>
      <c r="C192" s="124" t="str">
        <f>IFERROR(__xludf.DUMMYFUNCTION("""COMPUTED_VALUE"""),"Patna")</f>
        <v>Patna</v>
      </c>
      <c r="D192" s="124" t="str">
        <f>IFERROR(__xludf.DUMMYFUNCTION("""COMPUTED_VALUE"""),"Primary_Walkin")</f>
        <v>Primary_Walkin</v>
      </c>
      <c r="E192" s="127">
        <f>IFERROR(__xludf.DUMMYFUNCTION("""COMPUTED_VALUE"""),2.0)</f>
        <v>2</v>
      </c>
      <c r="F192" s="128" t="str">
        <f>IFERROR(__xludf.DUMMYFUNCTION("""COMPUTED_VALUE"""),"Cold")</f>
        <v>Cold</v>
      </c>
      <c r="G192" s="124" t="str">
        <f>IFERROR(__xludf.DUMMYFUNCTION("""COMPUTED_VALUE"""),"State PCS")</f>
        <v>State PCS</v>
      </c>
      <c r="K192" s="124"/>
      <c r="L192" s="124"/>
      <c r="M192" s="124"/>
      <c r="N192" s="124"/>
      <c r="O192" s="124"/>
      <c r="T192" s="126">
        <f>IFERROR(__xludf.DUMMYFUNCTION("""COMPUTED_VALUE"""),46079.0)</f>
        <v>46079</v>
      </c>
      <c r="U192" s="124" t="str">
        <f>IFERROR(__xludf.DUMMYFUNCTION("""COMPUTED_VALUE"""),"Publisher Campaign")</f>
        <v>Publisher Campaign</v>
      </c>
      <c r="V192" s="124" t="str">
        <f>IFERROR(__xludf.DUMMYFUNCTION("""COMPUTED_VALUE"""),"Webinar")</f>
        <v>Webinar</v>
      </c>
      <c r="W192" s="124"/>
      <c r="X192" s="124"/>
      <c r="Y192" s="124" t="str">
        <f>IFERROR(__xludf.DUMMYFUNCTION("""COMPUTED_VALUE"""),"Delhi")</f>
        <v>Delhi</v>
      </c>
      <c r="Z192" s="124">
        <f>IFERROR(__xludf.DUMMYFUNCTION("""COMPUTED_VALUE"""),2.0)</f>
        <v>2</v>
      </c>
      <c r="AA192" s="124" t="str">
        <f>IFERROR(__xludf.DUMMYFUNCTION("""COMPUTED_VALUE"""),"Warm")</f>
        <v>Warm</v>
      </c>
      <c r="AB192" s="124" t="str">
        <f>IFERROR(__xludf.DUMMYFUNCTION("""COMPUTED_VALUE"""),"GS Advanced")</f>
        <v>GS Advanced</v>
      </c>
    </row>
    <row r="193">
      <c r="A193" s="126">
        <f>IFERROR(__xludf.DUMMYFUNCTION("""COMPUTED_VALUE"""),46112.0)</f>
        <v>46112</v>
      </c>
      <c r="B193" s="124" t="str">
        <f>IFERROR(__xludf.DUMMYFUNCTION("""COMPUTED_VALUE"""),"Walkin")</f>
        <v>Walkin</v>
      </c>
      <c r="C193" s="124" t="str">
        <f>IFERROR(__xludf.DUMMYFUNCTION("""COMPUTED_VALUE"""),"Patna")</f>
        <v>Patna</v>
      </c>
      <c r="D193" s="124" t="str">
        <f>IFERROR(__xludf.DUMMYFUNCTION("""COMPUTED_VALUE"""),"Primary_Walkin")</f>
        <v>Primary_Walkin</v>
      </c>
      <c r="E193" s="127">
        <f>IFERROR(__xludf.DUMMYFUNCTION("""COMPUTED_VALUE"""),2.0)</f>
        <v>2</v>
      </c>
      <c r="F193" s="128" t="str">
        <f>IFERROR(__xludf.DUMMYFUNCTION("""COMPUTED_VALUE"""),"Fake Lead")</f>
        <v>Fake Lead</v>
      </c>
      <c r="G193" s="124" t="str">
        <f>IFERROR(__xludf.DUMMYFUNCTION("""COMPUTED_VALUE"""),"State PCS")</f>
        <v>State PCS</v>
      </c>
      <c r="K193" s="124"/>
      <c r="L193" s="124"/>
      <c r="M193" s="124"/>
      <c r="N193" s="124"/>
      <c r="O193" s="124"/>
      <c r="T193" s="126">
        <f>IFERROR(__xludf.DUMMYFUNCTION("""COMPUTED_VALUE"""),46079.0)</f>
        <v>46079</v>
      </c>
      <c r="U193" s="124" t="str">
        <f>IFERROR(__xludf.DUMMYFUNCTION("""COMPUTED_VALUE"""),"Publisher Campaign")</f>
        <v>Publisher Campaign</v>
      </c>
      <c r="V193" s="124" t="str">
        <f>IFERROR(__xludf.DUMMYFUNCTION("""COMPUTED_VALUE"""),"Webinar")</f>
        <v>Webinar</v>
      </c>
      <c r="W193" s="124"/>
      <c r="X193" s="124"/>
      <c r="Y193" s="124" t="str">
        <f>IFERROR(__xludf.DUMMYFUNCTION("""COMPUTED_VALUE"""),"Delhi")</f>
        <v>Delhi</v>
      </c>
      <c r="Z193" s="124">
        <f>IFERROR(__xludf.DUMMYFUNCTION("""COMPUTED_VALUE"""),3.0)</f>
        <v>3</v>
      </c>
      <c r="AA193" s="124" t="str">
        <f>IFERROR(__xludf.DUMMYFUNCTION("""COMPUTED_VALUE"""),"Warm")</f>
        <v>Warm</v>
      </c>
      <c r="AB193" s="124" t="str">
        <f>IFERROR(__xludf.DUMMYFUNCTION("""COMPUTED_VALUE"""),"IGP UPPSC")</f>
        <v>IGP UPPSC</v>
      </c>
    </row>
    <row r="194">
      <c r="A194" s="126">
        <f>IFERROR(__xludf.DUMMYFUNCTION("""COMPUTED_VALUE"""),46079.0)</f>
        <v>46079</v>
      </c>
      <c r="B194" s="124" t="str">
        <f>IFERROR(__xludf.DUMMYFUNCTION("""COMPUTED_VALUE"""),"Walkin")</f>
        <v>Walkin</v>
      </c>
      <c r="C194" s="124" t="str">
        <f>IFERROR(__xludf.DUMMYFUNCTION("""COMPUTED_VALUE"""),"Patna")</f>
        <v>Patna</v>
      </c>
      <c r="D194" s="124" t="str">
        <f>IFERROR(__xludf.DUMMYFUNCTION("""COMPUTED_VALUE"""),"Primary_Walkin")</f>
        <v>Primary_Walkin</v>
      </c>
      <c r="E194" s="127">
        <f>IFERROR(__xludf.DUMMYFUNCTION("""COMPUTED_VALUE"""),3.0)</f>
        <v>3</v>
      </c>
      <c r="F194" s="128" t="str">
        <f>IFERROR(__xludf.DUMMYFUNCTION("""COMPUTED_VALUE"""),"Future Prospects")</f>
        <v>Future Prospects</v>
      </c>
      <c r="G194" s="124" t="str">
        <f>IFERROR(__xludf.DUMMYFUNCTION("""COMPUTED_VALUE"""),"State PCS")</f>
        <v>State PCS</v>
      </c>
      <c r="K194" s="124"/>
      <c r="L194" s="124"/>
      <c r="M194" s="124"/>
      <c r="N194" s="124"/>
      <c r="O194" s="124"/>
      <c r="T194" s="126">
        <f>IFERROR(__xludf.DUMMYFUNCTION("""COMPUTED_VALUE"""),46060.0)</f>
        <v>46060</v>
      </c>
      <c r="U194" s="124" t="str">
        <f>IFERROR(__xludf.DUMMYFUNCTION("""COMPUTED_VALUE"""),"Publisher Campaign")</f>
        <v>Publisher Campaign</v>
      </c>
      <c r="V194" s="124" t="str">
        <f>IFERROR(__xludf.DUMMYFUNCTION("""COMPUTED_VALUE"""),"Webinar")</f>
        <v>Webinar</v>
      </c>
      <c r="W194" s="124"/>
      <c r="X194" s="124"/>
      <c r="Y194" s="124" t="str">
        <f>IFERROR(__xludf.DUMMYFUNCTION("""COMPUTED_VALUE"""),"Delhi")</f>
        <v>Delhi</v>
      </c>
      <c r="Z194" s="124">
        <f>IFERROR(__xludf.DUMMYFUNCTION("""COMPUTED_VALUE"""),9.0)</f>
        <v>9</v>
      </c>
      <c r="AA194" s="124" t="str">
        <f>IFERROR(__xludf.DUMMYFUNCTION("""COMPUTED_VALUE"""),"Cold")</f>
        <v>Cold</v>
      </c>
      <c r="AB194" s="124" t="str">
        <f>IFERROR(__xludf.DUMMYFUNCTION("""COMPUTED_VALUE"""),"State PCS")</f>
        <v>State PCS</v>
      </c>
    </row>
    <row r="195">
      <c r="A195" s="126">
        <f>IFERROR(__xludf.DUMMYFUNCTION("""COMPUTED_VALUE"""),46107.0)</f>
        <v>46107</v>
      </c>
      <c r="B195" s="124" t="str">
        <f>IFERROR(__xludf.DUMMYFUNCTION("""COMPUTED_VALUE"""),"external leads")</f>
        <v>external leads</v>
      </c>
      <c r="C195" s="124" t="str">
        <f>IFERROR(__xludf.DUMMYFUNCTION("""COMPUTED_VALUE"""),"Patna")</f>
        <v>Patna</v>
      </c>
      <c r="D195" s="124" t="str">
        <f>IFERROR(__xludf.DUMMYFUNCTION("""COMPUTED_VALUE"""),"Secondary_Walkin")</f>
        <v>Secondary_Walkin</v>
      </c>
      <c r="E195" s="127">
        <f>IFERROR(__xludf.DUMMYFUNCTION("""COMPUTED_VALUE"""),1.0)</f>
        <v>1</v>
      </c>
      <c r="F195" s="128" t="str">
        <f>IFERROR(__xludf.DUMMYFUNCTION("""COMPUTED_VALUE"""),"Warm")</f>
        <v>Warm</v>
      </c>
      <c r="G195" s="124" t="str">
        <f>IFERROR(__xludf.DUMMYFUNCTION("""COMPUTED_VALUE"""),"State PCS")</f>
        <v>State PCS</v>
      </c>
      <c r="K195" s="124"/>
      <c r="L195" s="124"/>
      <c r="M195" s="124"/>
      <c r="N195" s="124"/>
      <c r="O195" s="124"/>
      <c r="T195" s="126">
        <f>IFERROR(__xludf.DUMMYFUNCTION("""COMPUTED_VALUE"""),46092.0)</f>
        <v>46092</v>
      </c>
      <c r="U195" s="124" t="str">
        <f>IFERROR(__xludf.DUMMYFUNCTION("""COMPUTED_VALUE"""),"Paid Ads")</f>
        <v>Paid Ads</v>
      </c>
      <c r="V195" s="124" t="str">
        <f>IFERROR(__xludf.DUMMYFUNCTION("""COMPUTED_VALUE"""),"YouTube")</f>
        <v>YouTube</v>
      </c>
      <c r="W195" s="124"/>
      <c r="X195" s="124"/>
      <c r="Y195" s="124" t="str">
        <f>IFERROR(__xludf.DUMMYFUNCTION("""COMPUTED_VALUE"""),"Patna")</f>
        <v>Patna</v>
      </c>
      <c r="Z195" s="124">
        <f>IFERROR(__xludf.DUMMYFUNCTION("""COMPUTED_VALUE"""),1.0)</f>
        <v>1</v>
      </c>
      <c r="AA195" s="124" t="str">
        <f>IFERROR(__xludf.DUMMYFUNCTION("""COMPUTED_VALUE"""),"Cold")</f>
        <v>Cold</v>
      </c>
      <c r="AB195" s="124" t="str">
        <f>IFERROR(__xludf.DUMMYFUNCTION("""COMPUTED_VALUE"""),"Prelims Crash Course - SIP")</f>
        <v>Prelims Crash Course - SIP</v>
      </c>
    </row>
    <row r="196">
      <c r="A196" s="126">
        <f>IFERROR(__xludf.DUMMYFUNCTION("""COMPUTED_VALUE"""),46097.0)</f>
        <v>46097</v>
      </c>
      <c r="B196" s="124" t="str">
        <f>IFERROR(__xludf.DUMMYFUNCTION("""COMPUTED_VALUE"""),"Walkin")</f>
        <v>Walkin</v>
      </c>
      <c r="C196" s="124" t="str">
        <f>IFERROR(__xludf.DUMMYFUNCTION("""COMPUTED_VALUE"""),"Patna")</f>
        <v>Patna</v>
      </c>
      <c r="D196" s="124" t="str">
        <f>IFERROR(__xludf.DUMMYFUNCTION("""COMPUTED_VALUE"""),"Primary_Walkin")</f>
        <v>Primary_Walkin</v>
      </c>
      <c r="E196" s="127">
        <f>IFERROR(__xludf.DUMMYFUNCTION("""COMPUTED_VALUE"""),1.0)</f>
        <v>1</v>
      </c>
      <c r="F196" s="128" t="str">
        <f>IFERROR(__xludf.DUMMYFUNCTION("""COMPUTED_VALUE"""),"Enrolled")</f>
        <v>Enrolled</v>
      </c>
      <c r="G196" s="124" t="str">
        <f>IFERROR(__xludf.DUMMYFUNCTION("""COMPUTED_VALUE"""),"GS Foundation")</f>
        <v>GS Foundation</v>
      </c>
      <c r="K196" s="124"/>
      <c r="L196" s="124"/>
      <c r="M196" s="124"/>
      <c r="N196" s="124"/>
      <c r="O196" s="124"/>
      <c r="T196" s="126">
        <f>IFERROR(__xludf.DUMMYFUNCTION("""COMPUTED_VALUE"""),46076.0)</f>
        <v>46076</v>
      </c>
      <c r="U196" s="124" t="str">
        <f>IFERROR(__xludf.DUMMYFUNCTION("""COMPUTED_VALUE"""),"Publisher Campaign")</f>
        <v>Publisher Campaign</v>
      </c>
      <c r="V196" s="124" t="str">
        <f>IFERROR(__xludf.DUMMYFUNCTION("""COMPUTED_VALUE"""),"Webinar")</f>
        <v>Webinar</v>
      </c>
      <c r="W196" s="124"/>
      <c r="X196" s="124"/>
      <c r="Y196" s="124" t="str">
        <f>IFERROR(__xludf.DUMMYFUNCTION("""COMPUTED_VALUE"""),"Delhi")</f>
        <v>Delhi</v>
      </c>
      <c r="Z196" s="124">
        <f>IFERROR(__xludf.DUMMYFUNCTION("""COMPUTED_VALUE"""),6.0)</f>
        <v>6</v>
      </c>
      <c r="AA196" s="124" t="str">
        <f>IFERROR(__xludf.DUMMYFUNCTION("""COMPUTED_VALUE"""),"Cold")</f>
        <v>Cold</v>
      </c>
      <c r="AB196" s="124" t="str">
        <f>IFERROR(__xludf.DUMMYFUNCTION("""COMPUTED_VALUE"""),"CSAT")</f>
        <v>CSAT</v>
      </c>
    </row>
    <row r="197">
      <c r="A197" s="126">
        <f>IFERROR(__xludf.DUMMYFUNCTION("""COMPUTED_VALUE"""),46051.0)</f>
        <v>46051</v>
      </c>
      <c r="B197" s="124" t="str">
        <f>IFERROR(__xludf.DUMMYFUNCTION("""COMPUTED_VALUE"""),"Walkin")</f>
        <v>Walkin</v>
      </c>
      <c r="C197" s="124" t="str">
        <f>IFERROR(__xludf.DUMMYFUNCTION("""COMPUTED_VALUE"""),"Patna")</f>
        <v>Patna</v>
      </c>
      <c r="D197" s="124" t="str">
        <f>IFERROR(__xludf.DUMMYFUNCTION("""COMPUTED_VALUE"""),"Primary_Walkin")</f>
        <v>Primary_Walkin</v>
      </c>
      <c r="E197" s="127">
        <f>IFERROR(__xludf.DUMMYFUNCTION("""COMPUTED_VALUE"""),1.0)</f>
        <v>1</v>
      </c>
      <c r="F197" s="128" t="str">
        <f>IFERROR(__xludf.DUMMYFUNCTION("""COMPUTED_VALUE"""),"Cold")</f>
        <v>Cold</v>
      </c>
      <c r="G197" s="124" t="str">
        <f>IFERROR(__xludf.DUMMYFUNCTION("""COMPUTED_VALUE"""),"GS Advanced")</f>
        <v>GS Advanced</v>
      </c>
      <c r="K197" s="124"/>
      <c r="L197" s="124"/>
      <c r="M197" s="124"/>
      <c r="N197" s="124"/>
      <c r="O197" s="124"/>
      <c r="T197" s="126">
        <f>IFERROR(__xludf.DUMMYFUNCTION("""COMPUTED_VALUE"""),46046.0)</f>
        <v>46046</v>
      </c>
      <c r="U197" s="124" t="str">
        <f>IFERROR(__xludf.DUMMYFUNCTION("""COMPUTED_VALUE"""),"External Leads")</f>
        <v>External Leads</v>
      </c>
      <c r="V197" s="124" t="str">
        <f>IFERROR(__xludf.DUMMYFUNCTION("""COMPUTED_VALUE"""),"external leads")</f>
        <v>external leads</v>
      </c>
      <c r="W197" s="124"/>
      <c r="X197" s="124"/>
      <c r="Y197" s="124"/>
      <c r="Z197" s="124">
        <f>IFERROR(__xludf.DUMMYFUNCTION("""COMPUTED_VALUE"""),32.0)</f>
        <v>32</v>
      </c>
      <c r="AA197" s="124" t="str">
        <f>IFERROR(__xludf.DUMMYFUNCTION("""COMPUTED_VALUE"""),"Cold")</f>
        <v>Cold</v>
      </c>
      <c r="AB197" s="124"/>
    </row>
    <row r="198">
      <c r="A198" s="126">
        <f>IFERROR(__xludf.DUMMYFUNCTION("""COMPUTED_VALUE"""),46073.0)</f>
        <v>46073</v>
      </c>
      <c r="B198" s="124" t="str">
        <f>IFERROR(__xludf.DUMMYFUNCTION("""COMPUTED_VALUE"""),"external leads")</f>
        <v>external leads</v>
      </c>
      <c r="C198" s="124" t="str">
        <f>IFERROR(__xludf.DUMMYFUNCTION("""COMPUTED_VALUE"""),"Patna")</f>
        <v>Patna</v>
      </c>
      <c r="D198" s="124" t="str">
        <f>IFERROR(__xludf.DUMMYFUNCTION("""COMPUTED_VALUE"""),"Secondary_Walkin")</f>
        <v>Secondary_Walkin</v>
      </c>
      <c r="E198" s="127">
        <f>IFERROR(__xludf.DUMMYFUNCTION("""COMPUTED_VALUE"""),1.0)</f>
        <v>1</v>
      </c>
      <c r="F198" s="128" t="str">
        <f>IFERROR(__xludf.DUMMYFUNCTION("""COMPUTED_VALUE"""),"Enrolled")</f>
        <v>Enrolled</v>
      </c>
      <c r="G198" s="124" t="str">
        <f>IFERROR(__xludf.DUMMYFUNCTION("""COMPUTED_VALUE"""),"State PCS")</f>
        <v>State PCS</v>
      </c>
      <c r="K198" s="124"/>
      <c r="L198" s="124"/>
      <c r="M198" s="124"/>
      <c r="N198" s="124"/>
      <c r="O198" s="124"/>
      <c r="T198" s="126">
        <f>IFERROR(__xludf.DUMMYFUNCTION("""COMPUTED_VALUE"""),46111.0)</f>
        <v>46111</v>
      </c>
      <c r="U198" s="124" t="str">
        <f>IFERROR(__xludf.DUMMYFUNCTION("""COMPUTED_VALUE"""),"Walk-Ins")</f>
        <v>Walk-Ins</v>
      </c>
      <c r="V198" s="124" t="str">
        <f>IFERROR(__xludf.DUMMYFUNCTION("""COMPUTED_VALUE"""),"Walk-In")</f>
        <v>Walk-In</v>
      </c>
      <c r="W198" s="124" t="str">
        <f>IFERROR(__xludf.DUMMYFUNCTION("""COMPUTED_VALUE"""),"Delhi")</f>
        <v>Delhi</v>
      </c>
      <c r="X198" s="124" t="str">
        <f>IFERROR(__xludf.DUMMYFUNCTION("""COMPUTED_VALUE"""),"Missbahuddin Ahmad")</f>
        <v>Missbahuddin Ahmad</v>
      </c>
      <c r="Y198" s="124" t="str">
        <f>IFERROR(__xludf.DUMMYFUNCTION("""COMPUTED_VALUE"""),"Delhi")</f>
        <v>Delhi</v>
      </c>
      <c r="Z198" s="124">
        <f>IFERROR(__xludf.DUMMYFUNCTION("""COMPUTED_VALUE"""),6.0)</f>
        <v>6</v>
      </c>
      <c r="AA198" s="124" t="str">
        <f>IFERROR(__xludf.DUMMYFUNCTION("""COMPUTED_VALUE"""),"Future Prospects")</f>
        <v>Future Prospects</v>
      </c>
      <c r="AB198" s="124" t="str">
        <f>IFERROR(__xludf.DUMMYFUNCTION("""COMPUTED_VALUE"""),"Optionals")</f>
        <v>Optionals</v>
      </c>
    </row>
    <row r="199">
      <c r="A199" s="126">
        <f>IFERROR(__xludf.DUMMYFUNCTION("""COMPUTED_VALUE"""),46056.0)</f>
        <v>46056</v>
      </c>
      <c r="B199" s="124" t="str">
        <f>IFERROR(__xludf.DUMMYFUNCTION("""COMPUTED_VALUE"""),"Walk-In")</f>
        <v>Walk-In</v>
      </c>
      <c r="C199" s="124" t="str">
        <f>IFERROR(__xludf.DUMMYFUNCTION("""COMPUTED_VALUE"""),"Patna")</f>
        <v>Patna</v>
      </c>
      <c r="D199" s="124" t="str">
        <f>IFERROR(__xludf.DUMMYFUNCTION("""COMPUTED_VALUE"""),"Primary_Walkin")</f>
        <v>Primary_Walkin</v>
      </c>
      <c r="E199" s="127">
        <f>IFERROR(__xludf.DUMMYFUNCTION("""COMPUTED_VALUE"""),1.0)</f>
        <v>1</v>
      </c>
      <c r="F199" s="128" t="str">
        <f>IFERROR(__xludf.DUMMYFUNCTION("""COMPUTED_VALUE"""),"Enrolled")</f>
        <v>Enrolled</v>
      </c>
      <c r="G199" s="124" t="str">
        <f>IFERROR(__xludf.DUMMYFUNCTION("""COMPUTED_VALUE"""),"GS Foundation")</f>
        <v>GS Foundation</v>
      </c>
      <c r="K199" s="124"/>
      <c r="L199" s="124"/>
      <c r="M199" s="124"/>
      <c r="N199" s="124"/>
      <c r="O199" s="124"/>
      <c r="T199" s="126">
        <f>IFERROR(__xludf.DUMMYFUNCTION("""COMPUTED_VALUE"""),46107.0)</f>
        <v>46107</v>
      </c>
      <c r="U199" s="124" t="str">
        <f>IFERROR(__xludf.DUMMYFUNCTION("""COMPUTED_VALUE"""),"Walk-Ins")</f>
        <v>Walk-Ins</v>
      </c>
      <c r="V199" s="124" t="str">
        <f>IFERROR(__xludf.DUMMYFUNCTION("""COMPUTED_VALUE"""),"Walk-In")</f>
        <v>Walk-In</v>
      </c>
      <c r="W199" s="124" t="str">
        <f>IFERROR(__xludf.DUMMYFUNCTION("""COMPUTED_VALUE"""),"Delhi")</f>
        <v>Delhi</v>
      </c>
      <c r="X199" s="124" t="str">
        <f>IFERROR(__xludf.DUMMYFUNCTION("""COMPUTED_VALUE"""),"Missbahuddin Ahmad")</f>
        <v>Missbahuddin Ahmad</v>
      </c>
      <c r="Y199" s="124" t="str">
        <f>IFERROR(__xludf.DUMMYFUNCTION("""COMPUTED_VALUE"""),"Delhi")</f>
        <v>Delhi</v>
      </c>
      <c r="Z199" s="124">
        <f>IFERROR(__xludf.DUMMYFUNCTION("""COMPUTED_VALUE"""),1.0)</f>
        <v>1</v>
      </c>
      <c r="AA199" s="124" t="str">
        <f>IFERROR(__xludf.DUMMYFUNCTION("""COMPUTED_VALUE"""),"Future Prospects")</f>
        <v>Future Prospects</v>
      </c>
      <c r="AB199" s="124" t="str">
        <f>IFERROR(__xludf.DUMMYFUNCTION("""COMPUTED_VALUE"""),"GS Foundation")</f>
        <v>GS Foundation</v>
      </c>
    </row>
    <row r="200">
      <c r="A200" s="126">
        <f>IFERROR(__xludf.DUMMYFUNCTION("""COMPUTED_VALUE"""),46043.0)</f>
        <v>46043</v>
      </c>
      <c r="B200" s="124" t="str">
        <f>IFERROR(__xludf.DUMMYFUNCTION("""COMPUTED_VALUE"""),"Walkin")</f>
        <v>Walkin</v>
      </c>
      <c r="C200" s="124" t="str">
        <f>IFERROR(__xludf.DUMMYFUNCTION("""COMPUTED_VALUE"""),"Patna")</f>
        <v>Patna</v>
      </c>
      <c r="D200" s="124" t="str">
        <f>IFERROR(__xludf.DUMMYFUNCTION("""COMPUTED_VALUE"""),"Primary_Walkin")</f>
        <v>Primary_Walkin</v>
      </c>
      <c r="E200" s="127">
        <f>IFERROR(__xludf.DUMMYFUNCTION("""COMPUTED_VALUE"""),1.0)</f>
        <v>1</v>
      </c>
      <c r="F200" s="128" t="str">
        <f>IFERROR(__xludf.DUMMYFUNCTION("""COMPUTED_VALUE"""),"Fake Lead")</f>
        <v>Fake Lead</v>
      </c>
      <c r="G200" s="124" t="str">
        <f>IFERROR(__xludf.DUMMYFUNCTION("""COMPUTED_VALUE"""),"GS Foundation")</f>
        <v>GS Foundation</v>
      </c>
      <c r="K200" s="124"/>
      <c r="L200" s="124"/>
      <c r="M200" s="124"/>
      <c r="N200" s="124"/>
      <c r="O200" s="124"/>
      <c r="T200" s="126">
        <f>IFERROR(__xludf.DUMMYFUNCTION("""COMPUTED_VALUE"""),46061.0)</f>
        <v>46061</v>
      </c>
      <c r="U200" s="124" t="str">
        <f>IFERROR(__xludf.DUMMYFUNCTION("""COMPUTED_VALUE"""),"Publisher Campaign")</f>
        <v>Publisher Campaign</v>
      </c>
      <c r="V200" s="124" t="str">
        <f>IFERROR(__xludf.DUMMYFUNCTION("""COMPUTED_VALUE"""),"Webinar")</f>
        <v>Webinar</v>
      </c>
      <c r="W200" s="124"/>
      <c r="X200" s="124"/>
      <c r="Y200" s="124" t="str">
        <f>IFERROR(__xludf.DUMMYFUNCTION("""COMPUTED_VALUE"""),"Delhi")</f>
        <v>Delhi</v>
      </c>
      <c r="Z200" s="124">
        <f>IFERROR(__xludf.DUMMYFUNCTION("""COMPUTED_VALUE"""),1.0)</f>
        <v>1</v>
      </c>
      <c r="AA200" s="124" t="str">
        <f>IFERROR(__xludf.DUMMYFUNCTION("""COMPUTED_VALUE"""),"Not Interested")</f>
        <v>Not Interested</v>
      </c>
      <c r="AB200" s="124" t="str">
        <f>IFERROR(__xludf.DUMMYFUNCTION("""COMPUTED_VALUE"""),"CSAT")</f>
        <v>CSAT</v>
      </c>
    </row>
    <row r="201">
      <c r="A201" s="126">
        <f>IFERROR(__xludf.DUMMYFUNCTION("""COMPUTED_VALUE"""),46071.0)</f>
        <v>46071</v>
      </c>
      <c r="B201" s="124" t="str">
        <f>IFERROR(__xludf.DUMMYFUNCTION("""COMPUTED_VALUE"""),"Walkin")</f>
        <v>Walkin</v>
      </c>
      <c r="C201" s="124" t="str">
        <f>IFERROR(__xludf.DUMMYFUNCTION("""COMPUTED_VALUE"""),"Patna")</f>
        <v>Patna</v>
      </c>
      <c r="D201" s="124" t="str">
        <f>IFERROR(__xludf.DUMMYFUNCTION("""COMPUTED_VALUE"""),"Primary_Walkin")</f>
        <v>Primary_Walkin</v>
      </c>
      <c r="E201" s="127">
        <f>IFERROR(__xludf.DUMMYFUNCTION("""COMPUTED_VALUE"""),2.0)</f>
        <v>2</v>
      </c>
      <c r="F201" s="128" t="str">
        <f>IFERROR(__xludf.DUMMYFUNCTION("""COMPUTED_VALUE"""),"Warm")</f>
        <v>Warm</v>
      </c>
      <c r="G201" s="124" t="str">
        <f>IFERROR(__xludf.DUMMYFUNCTION("""COMPUTED_VALUE"""),"State PCS")</f>
        <v>State PCS</v>
      </c>
      <c r="K201" s="124"/>
      <c r="L201" s="124"/>
      <c r="M201" s="124"/>
      <c r="N201" s="124"/>
      <c r="O201" s="124"/>
      <c r="T201" s="126">
        <f>IFERROR(__xludf.DUMMYFUNCTION("""COMPUTED_VALUE"""),46067.0)</f>
        <v>46067</v>
      </c>
      <c r="U201" s="124" t="str">
        <f>IFERROR(__xludf.DUMMYFUNCTION("""COMPUTED_VALUE"""),"Publisher Campaign")</f>
        <v>Publisher Campaign</v>
      </c>
      <c r="V201" s="124" t="str">
        <f>IFERROR(__xludf.DUMMYFUNCTION("""COMPUTED_VALUE"""),"Webinar")</f>
        <v>Webinar</v>
      </c>
      <c r="W201" s="124"/>
      <c r="X201" s="124"/>
      <c r="Y201" s="124" t="str">
        <f>IFERROR(__xludf.DUMMYFUNCTION("""COMPUTED_VALUE"""),"Delhi")</f>
        <v>Delhi</v>
      </c>
      <c r="Z201" s="124">
        <f>IFERROR(__xludf.DUMMYFUNCTION("""COMPUTED_VALUE"""),1.0)</f>
        <v>1</v>
      </c>
      <c r="AA201" s="124" t="str">
        <f>IFERROR(__xludf.DUMMYFUNCTION("""COMPUTED_VALUE"""),"Cold")</f>
        <v>Cold</v>
      </c>
      <c r="AB201" s="124" t="str">
        <f>IFERROR(__xludf.DUMMYFUNCTION("""COMPUTED_VALUE"""),"Mentorship")</f>
        <v>Mentorship</v>
      </c>
    </row>
    <row r="202">
      <c r="A202" s="129">
        <f>IFERROR(__xludf.DUMMYFUNCTION("""COMPUTED_VALUE"""),46075.0)</f>
        <v>46075</v>
      </c>
      <c r="B202" s="124" t="str">
        <f>IFERROR(__xludf.DUMMYFUNCTION("""COMPUTED_VALUE"""),"Walkin")</f>
        <v>Walkin</v>
      </c>
      <c r="C202" s="124" t="str">
        <f>IFERROR(__xludf.DUMMYFUNCTION("""COMPUTED_VALUE"""),"Patna")</f>
        <v>Patna</v>
      </c>
      <c r="D202" s="124" t="str">
        <f>IFERROR(__xludf.DUMMYFUNCTION("""COMPUTED_VALUE"""),"Primary_Walkin")</f>
        <v>Primary_Walkin</v>
      </c>
      <c r="E202" s="127">
        <f>IFERROR(__xludf.DUMMYFUNCTION("""COMPUTED_VALUE"""),1.0)</f>
        <v>1</v>
      </c>
      <c r="F202" s="128" t="str">
        <f>IFERROR(__xludf.DUMMYFUNCTION("""COMPUTED_VALUE"""),"Future Prospects")</f>
        <v>Future Prospects</v>
      </c>
      <c r="G202" s="124" t="str">
        <f>IFERROR(__xludf.DUMMYFUNCTION("""COMPUTED_VALUE"""),"State PCS")</f>
        <v>State PCS</v>
      </c>
      <c r="K202" s="124"/>
      <c r="L202" s="124"/>
      <c r="M202" s="124"/>
      <c r="N202" s="124"/>
      <c r="O202" s="124"/>
      <c r="T202" s="126">
        <f>IFERROR(__xludf.DUMMYFUNCTION("""COMPUTED_VALUE"""),46072.0)</f>
        <v>46072</v>
      </c>
      <c r="U202" s="124" t="str">
        <f>IFERROR(__xludf.DUMMYFUNCTION("""COMPUTED_VALUE"""),"Publisher Campaign")</f>
        <v>Publisher Campaign</v>
      </c>
      <c r="V202" s="124" t="str">
        <f>IFERROR(__xludf.DUMMYFUNCTION("""COMPUTED_VALUE"""),"Feeder Cities")</f>
        <v>Feeder Cities</v>
      </c>
      <c r="W202" s="124"/>
      <c r="X202" s="124"/>
      <c r="Y202" s="124" t="str">
        <f>IFERROR(__xludf.DUMMYFUNCTION("""COMPUTED_VALUE"""),"Patna")</f>
        <v>Patna</v>
      </c>
      <c r="Z202" s="124">
        <f>IFERROR(__xludf.DUMMYFUNCTION("""COMPUTED_VALUE"""),1.0)</f>
        <v>1</v>
      </c>
      <c r="AA202" s="124" t="str">
        <f>IFERROR(__xludf.DUMMYFUNCTION("""COMPUTED_VALUE"""),"Cold")</f>
        <v>Cold</v>
      </c>
      <c r="AB202" s="124" t="str">
        <f>IFERROR(__xludf.DUMMYFUNCTION("""COMPUTED_VALUE"""),"GS Foundation")</f>
        <v>GS Foundation</v>
      </c>
    </row>
    <row r="203">
      <c r="A203" s="126">
        <f>IFERROR(__xludf.DUMMYFUNCTION("""COMPUTED_VALUE"""),46070.0)</f>
        <v>46070</v>
      </c>
      <c r="B203" s="124" t="str">
        <f>IFERROR(__xludf.DUMMYFUNCTION("""COMPUTED_VALUE"""),"Walkin")</f>
        <v>Walkin</v>
      </c>
      <c r="C203" s="124" t="str">
        <f>IFERROR(__xludf.DUMMYFUNCTION("""COMPUTED_VALUE"""),"Patna")</f>
        <v>Patna</v>
      </c>
      <c r="D203" s="124" t="str">
        <f>IFERROR(__xludf.DUMMYFUNCTION("""COMPUTED_VALUE"""),"Primary_Walkin")</f>
        <v>Primary_Walkin</v>
      </c>
      <c r="E203" s="127">
        <f>IFERROR(__xludf.DUMMYFUNCTION("""COMPUTED_VALUE"""),1.0)</f>
        <v>1</v>
      </c>
      <c r="F203" s="128" t="str">
        <f>IFERROR(__xludf.DUMMYFUNCTION("""COMPUTED_VALUE"""),"Fake Lead")</f>
        <v>Fake Lead</v>
      </c>
      <c r="G203" s="124" t="str">
        <f>IFERROR(__xludf.DUMMYFUNCTION("""COMPUTED_VALUE"""),"State PCS")</f>
        <v>State PCS</v>
      </c>
      <c r="K203" s="124"/>
      <c r="L203" s="124"/>
      <c r="M203" s="124"/>
      <c r="N203" s="124"/>
      <c r="O203" s="124"/>
      <c r="T203" s="129">
        <f>IFERROR(__xludf.DUMMYFUNCTION("""COMPUTED_VALUE"""),46061.0)</f>
        <v>46061</v>
      </c>
      <c r="U203" s="124" t="str">
        <f>IFERROR(__xludf.DUMMYFUNCTION("""COMPUTED_VALUE"""),"Publisher Campaign")</f>
        <v>Publisher Campaign</v>
      </c>
      <c r="V203" s="124" t="str">
        <f>IFERROR(__xludf.DUMMYFUNCTION("""COMPUTED_VALUE"""),"Feeder Cities")</f>
        <v>Feeder Cities</v>
      </c>
      <c r="W203" s="124"/>
      <c r="X203" s="124"/>
      <c r="Y203" s="124" t="str">
        <f>IFERROR(__xludf.DUMMYFUNCTION("""COMPUTED_VALUE"""),"Indore")</f>
        <v>Indore</v>
      </c>
      <c r="Z203" s="124">
        <f>IFERROR(__xludf.DUMMYFUNCTION("""COMPUTED_VALUE"""),5.0)</f>
        <v>5</v>
      </c>
      <c r="AA203" s="124" t="str">
        <f>IFERROR(__xludf.DUMMYFUNCTION("""COMPUTED_VALUE"""),"Not Interested")</f>
        <v>Not Interested</v>
      </c>
      <c r="AB203" s="124" t="str">
        <f>IFERROR(__xludf.DUMMYFUNCTION("""COMPUTED_VALUE"""),"GS Foundation")</f>
        <v>GS Foundation</v>
      </c>
    </row>
    <row r="204">
      <c r="A204" s="126">
        <f>IFERROR(__xludf.DUMMYFUNCTION("""COMPUTED_VALUE"""),46058.0)</f>
        <v>46058</v>
      </c>
      <c r="B204" s="124" t="str">
        <f>IFERROR(__xludf.DUMMYFUNCTION("""COMPUTED_VALUE"""),"Walkin")</f>
        <v>Walkin</v>
      </c>
      <c r="C204" s="124" t="str">
        <f>IFERROR(__xludf.DUMMYFUNCTION("""COMPUTED_VALUE"""),"Patna")</f>
        <v>Patna</v>
      </c>
      <c r="D204" s="124" t="str">
        <f>IFERROR(__xludf.DUMMYFUNCTION("""COMPUTED_VALUE"""),"Primary_Walkin")</f>
        <v>Primary_Walkin</v>
      </c>
      <c r="E204" s="127">
        <f>IFERROR(__xludf.DUMMYFUNCTION("""COMPUTED_VALUE"""),1.0)</f>
        <v>1</v>
      </c>
      <c r="F204" s="128" t="str">
        <f>IFERROR(__xludf.DUMMYFUNCTION("""COMPUTED_VALUE"""),"Not Interested")</f>
        <v>Not Interested</v>
      </c>
      <c r="G204" s="124" t="str">
        <f>IFERROR(__xludf.DUMMYFUNCTION("""COMPUTED_VALUE"""),"State PCS")</f>
        <v>State PCS</v>
      </c>
      <c r="K204" s="124"/>
      <c r="L204" s="124"/>
      <c r="M204" s="124"/>
      <c r="N204" s="124"/>
      <c r="O204" s="124"/>
      <c r="T204" s="129">
        <f>IFERROR(__xludf.DUMMYFUNCTION("""COMPUTED_VALUE"""),46080.0)</f>
        <v>46080</v>
      </c>
      <c r="U204" s="124" t="str">
        <f>IFERROR(__xludf.DUMMYFUNCTION("""COMPUTED_VALUE"""),"Publisher Campaign")</f>
        <v>Publisher Campaign</v>
      </c>
      <c r="V204" s="124" t="str">
        <f>IFERROR(__xludf.DUMMYFUNCTION("""COMPUTED_VALUE"""),"Webinar")</f>
        <v>Webinar</v>
      </c>
      <c r="W204" s="124"/>
      <c r="X204" s="124"/>
      <c r="Y204" s="124" t="str">
        <f>IFERROR(__xludf.DUMMYFUNCTION("""COMPUTED_VALUE"""),"Indore")</f>
        <v>Indore</v>
      </c>
      <c r="Z204" s="124">
        <f>IFERROR(__xludf.DUMMYFUNCTION("""COMPUTED_VALUE"""),1.0)</f>
        <v>1</v>
      </c>
      <c r="AA204" s="124"/>
      <c r="AB204" s="124" t="str">
        <f>IFERROR(__xludf.DUMMYFUNCTION("""COMPUTED_VALUE"""),"SIP Offline")</f>
        <v>SIP Offline</v>
      </c>
    </row>
    <row r="205">
      <c r="A205" s="126">
        <f>IFERROR(__xludf.DUMMYFUNCTION("""COMPUTED_VALUE"""),46059.0)</f>
        <v>46059</v>
      </c>
      <c r="B205" s="124" t="str">
        <f>IFERROR(__xludf.DUMMYFUNCTION("""COMPUTED_VALUE"""),"Walkin")</f>
        <v>Walkin</v>
      </c>
      <c r="C205" s="124" t="str">
        <f>IFERROR(__xludf.DUMMYFUNCTION("""COMPUTED_VALUE"""),"Patna")</f>
        <v>Patna</v>
      </c>
      <c r="D205" s="124" t="str">
        <f>IFERROR(__xludf.DUMMYFUNCTION("""COMPUTED_VALUE"""),"Primary_Walkin")</f>
        <v>Primary_Walkin</v>
      </c>
      <c r="E205" s="127">
        <f>IFERROR(__xludf.DUMMYFUNCTION("""COMPUTED_VALUE"""),6.0)</f>
        <v>6</v>
      </c>
      <c r="F205" s="128" t="str">
        <f>IFERROR(__xludf.DUMMYFUNCTION("""COMPUTED_VALUE"""),"Cold")</f>
        <v>Cold</v>
      </c>
      <c r="G205" s="124" t="str">
        <f>IFERROR(__xludf.DUMMYFUNCTION("""COMPUTED_VALUE"""),"State PCS")</f>
        <v>State PCS</v>
      </c>
      <c r="K205" s="124"/>
      <c r="L205" s="124"/>
      <c r="M205" s="124"/>
      <c r="N205" s="124"/>
      <c r="O205" s="124"/>
      <c r="T205" s="126">
        <f>IFERROR(__xludf.DUMMYFUNCTION("""COMPUTED_VALUE"""),46095.0)</f>
        <v>46095</v>
      </c>
      <c r="U205" s="124" t="str">
        <f>IFERROR(__xludf.DUMMYFUNCTION("""COMPUTED_VALUE"""),"Publisher Campaign")</f>
        <v>Publisher Campaign</v>
      </c>
      <c r="V205" s="124" t="str">
        <f>IFERROR(__xludf.DUMMYFUNCTION("""COMPUTED_VALUE"""),"Webinar")</f>
        <v>Webinar</v>
      </c>
      <c r="W205" s="124"/>
      <c r="X205" s="124"/>
      <c r="Y205" s="124" t="str">
        <f>IFERROR(__xludf.DUMMYFUNCTION("""COMPUTED_VALUE"""),"Delhi")</f>
        <v>Delhi</v>
      </c>
      <c r="Z205" s="124">
        <f>IFERROR(__xludf.DUMMYFUNCTION("""COMPUTED_VALUE"""),30.0)</f>
        <v>30</v>
      </c>
      <c r="AA205" s="124" t="str">
        <f>IFERROR(__xludf.DUMMYFUNCTION("""COMPUTED_VALUE"""),"Cold")</f>
        <v>Cold</v>
      </c>
      <c r="AB205" s="124" t="str">
        <f>IFERROR(__xludf.DUMMYFUNCTION("""COMPUTED_VALUE"""),"GS Foundation")</f>
        <v>GS Foundation</v>
      </c>
    </row>
    <row r="206">
      <c r="A206" s="126">
        <f>IFERROR(__xludf.DUMMYFUNCTION("""COMPUTED_VALUE"""),46099.0)</f>
        <v>46099</v>
      </c>
      <c r="B206" s="124" t="str">
        <f>IFERROR(__xludf.DUMMYFUNCTION("""COMPUTED_VALUE"""),"Walkin")</f>
        <v>Walkin</v>
      </c>
      <c r="C206" s="124" t="str">
        <f>IFERROR(__xludf.DUMMYFUNCTION("""COMPUTED_VALUE"""),"Patna")</f>
        <v>Patna</v>
      </c>
      <c r="D206" s="124" t="str">
        <f>IFERROR(__xludf.DUMMYFUNCTION("""COMPUTED_VALUE"""),"Primary_Walkin")</f>
        <v>Primary_Walkin</v>
      </c>
      <c r="E206" s="127">
        <f>IFERROR(__xludf.DUMMYFUNCTION("""COMPUTED_VALUE"""),1.0)</f>
        <v>1</v>
      </c>
      <c r="F206" s="128" t="str">
        <f>IFERROR(__xludf.DUMMYFUNCTION("""COMPUTED_VALUE"""),"Fake Lead")</f>
        <v>Fake Lead</v>
      </c>
      <c r="G206" s="124" t="str">
        <f>IFERROR(__xludf.DUMMYFUNCTION("""COMPUTED_VALUE"""),"GS Foundation")</f>
        <v>GS Foundation</v>
      </c>
      <c r="K206" s="124"/>
      <c r="L206" s="124"/>
      <c r="M206" s="124"/>
      <c r="N206" s="124"/>
      <c r="O206" s="124"/>
      <c r="T206" s="126">
        <f>IFERROR(__xludf.DUMMYFUNCTION("""COMPUTED_VALUE"""),46079.0)</f>
        <v>46079</v>
      </c>
      <c r="U206" s="124" t="str">
        <f>IFERROR(__xludf.DUMMYFUNCTION("""COMPUTED_VALUE"""),"Publisher Campaign")</f>
        <v>Publisher Campaign</v>
      </c>
      <c r="V206" s="124" t="str">
        <f>IFERROR(__xludf.DUMMYFUNCTION("""COMPUTED_VALUE"""),"Webinar")</f>
        <v>Webinar</v>
      </c>
      <c r="W206" s="124"/>
      <c r="X206" s="124"/>
      <c r="Y206" s="124" t="str">
        <f>IFERROR(__xludf.DUMMYFUNCTION("""COMPUTED_VALUE"""),"Prayagraj")</f>
        <v>Prayagraj</v>
      </c>
      <c r="Z206" s="124">
        <f>IFERROR(__xludf.DUMMYFUNCTION("""COMPUTED_VALUE"""),2.0)</f>
        <v>2</v>
      </c>
      <c r="AA206" s="124" t="str">
        <f>IFERROR(__xludf.DUMMYFUNCTION("""COMPUTED_VALUE"""),"Fake Lead")</f>
        <v>Fake Lead</v>
      </c>
      <c r="AB206" s="124" t="str">
        <f>IFERROR(__xludf.DUMMYFUNCTION("""COMPUTED_VALUE"""),"Optionals")</f>
        <v>Optionals</v>
      </c>
    </row>
    <row r="207">
      <c r="A207" s="126">
        <f>IFERROR(__xludf.DUMMYFUNCTION("""COMPUTED_VALUE"""),46090.0)</f>
        <v>46090</v>
      </c>
      <c r="B207" s="124" t="str">
        <f>IFERROR(__xludf.DUMMYFUNCTION("""COMPUTED_VALUE"""),"Walkin")</f>
        <v>Walkin</v>
      </c>
      <c r="C207" s="124" t="str">
        <f>IFERROR(__xludf.DUMMYFUNCTION("""COMPUTED_VALUE"""),"Patna")</f>
        <v>Patna</v>
      </c>
      <c r="D207" s="124" t="str">
        <f>IFERROR(__xludf.DUMMYFUNCTION("""COMPUTED_VALUE"""),"Primary_Walkin")</f>
        <v>Primary_Walkin</v>
      </c>
      <c r="E207" s="127">
        <f>IFERROR(__xludf.DUMMYFUNCTION("""COMPUTED_VALUE"""),3.0)</f>
        <v>3</v>
      </c>
      <c r="F207" s="128" t="str">
        <f>IFERROR(__xludf.DUMMYFUNCTION("""COMPUTED_VALUE"""),"Cold")</f>
        <v>Cold</v>
      </c>
      <c r="G207" s="124" t="str">
        <f>IFERROR(__xludf.DUMMYFUNCTION("""COMPUTED_VALUE"""),"State PCS")</f>
        <v>State PCS</v>
      </c>
      <c r="K207" s="124"/>
      <c r="L207" s="124"/>
      <c r="M207" s="124"/>
      <c r="N207" s="124"/>
      <c r="O207" s="124"/>
      <c r="T207" s="126">
        <f>IFERROR(__xludf.DUMMYFUNCTION("""COMPUTED_VALUE"""),46084.0)</f>
        <v>46084</v>
      </c>
      <c r="U207" s="124" t="str">
        <f>IFERROR(__xludf.DUMMYFUNCTION("""COMPUTED_VALUE"""),"Paid Ads")</f>
        <v>Paid Ads</v>
      </c>
      <c r="V207" s="124" t="str">
        <f>IFERROR(__xludf.DUMMYFUNCTION("""COMPUTED_VALUE"""),"YouTube")</f>
        <v>YouTube</v>
      </c>
      <c r="W207" s="124"/>
      <c r="X207" s="124"/>
      <c r="Y207" s="124" t="str">
        <f>IFERROR(__xludf.DUMMYFUNCTION("""COMPUTED_VALUE"""),"Prayagraj")</f>
        <v>Prayagraj</v>
      </c>
      <c r="Z207" s="124">
        <f>IFERROR(__xludf.DUMMYFUNCTION("""COMPUTED_VALUE"""),1.0)</f>
        <v>1</v>
      </c>
      <c r="AA207" s="124" t="str">
        <f>IFERROR(__xludf.DUMMYFUNCTION("""COMPUTED_VALUE"""),"Cold")</f>
        <v>Cold</v>
      </c>
      <c r="AB207" s="124" t="str">
        <f>IFERROR(__xludf.DUMMYFUNCTION("""COMPUTED_VALUE"""),"Other")</f>
        <v>Other</v>
      </c>
    </row>
    <row r="208">
      <c r="A208" s="126">
        <f>IFERROR(__xludf.DUMMYFUNCTION("""COMPUTED_VALUE"""),46050.0)</f>
        <v>46050</v>
      </c>
      <c r="B208" s="124" t="str">
        <f>IFERROR(__xludf.DUMMYFUNCTION("""COMPUTED_VALUE"""),"Walkin")</f>
        <v>Walkin</v>
      </c>
      <c r="C208" s="124" t="str">
        <f>IFERROR(__xludf.DUMMYFUNCTION("""COMPUTED_VALUE"""),"Patna")</f>
        <v>Patna</v>
      </c>
      <c r="D208" s="124" t="str">
        <f>IFERROR(__xludf.DUMMYFUNCTION("""COMPUTED_VALUE"""),"Primary_Walkin")</f>
        <v>Primary_Walkin</v>
      </c>
      <c r="E208" s="127">
        <f>IFERROR(__xludf.DUMMYFUNCTION("""COMPUTED_VALUE"""),6.0)</f>
        <v>6</v>
      </c>
      <c r="F208" s="128" t="str">
        <f>IFERROR(__xludf.DUMMYFUNCTION("""COMPUTED_VALUE"""),"Cold")</f>
        <v>Cold</v>
      </c>
      <c r="G208" s="124" t="str">
        <f>IFERROR(__xludf.DUMMYFUNCTION("""COMPUTED_VALUE"""),"State PCS")</f>
        <v>State PCS</v>
      </c>
      <c r="K208" s="124"/>
      <c r="L208" s="124"/>
      <c r="M208" s="124"/>
      <c r="N208" s="124"/>
      <c r="O208" s="124"/>
      <c r="T208" s="129">
        <f>IFERROR(__xludf.DUMMYFUNCTION("""COMPUTED_VALUE"""),46090.0)</f>
        <v>46090</v>
      </c>
      <c r="U208" s="124" t="str">
        <f>IFERROR(__xludf.DUMMYFUNCTION("""COMPUTED_VALUE"""),"Publisher Campaign")</f>
        <v>Publisher Campaign</v>
      </c>
      <c r="V208" s="124" t="str">
        <f>IFERROR(__xludf.DUMMYFUNCTION("""COMPUTED_VALUE"""),"BTL Activities")</f>
        <v>BTL Activities</v>
      </c>
      <c r="W208" s="124"/>
      <c r="X208" s="124"/>
      <c r="Y208" s="124" t="str">
        <f>IFERROR(__xludf.DUMMYFUNCTION("""COMPUTED_VALUE"""),"Indore")</f>
        <v>Indore</v>
      </c>
      <c r="Z208" s="124">
        <f>IFERROR(__xludf.DUMMYFUNCTION("""COMPUTED_VALUE"""),3.0)</f>
        <v>3</v>
      </c>
      <c r="AA208" s="124"/>
      <c r="AB208" s="124" t="str">
        <f>IFERROR(__xludf.DUMMYFUNCTION("""COMPUTED_VALUE"""),"IGP UPPSC")</f>
        <v>IGP UPPSC</v>
      </c>
    </row>
    <row r="209">
      <c r="A209" s="126">
        <f>IFERROR(__xludf.DUMMYFUNCTION("""COMPUTED_VALUE"""),46067.0)</f>
        <v>46067</v>
      </c>
      <c r="B209" s="124" t="str">
        <f>IFERROR(__xludf.DUMMYFUNCTION("""COMPUTED_VALUE"""),"Walkin")</f>
        <v>Walkin</v>
      </c>
      <c r="C209" s="124" t="str">
        <f>IFERROR(__xludf.DUMMYFUNCTION("""COMPUTED_VALUE"""),"Patna")</f>
        <v>Patna</v>
      </c>
      <c r="D209" s="124" t="str">
        <f>IFERROR(__xludf.DUMMYFUNCTION("""COMPUTED_VALUE"""),"Primary_Walkin")</f>
        <v>Primary_Walkin</v>
      </c>
      <c r="E209" s="127">
        <f>IFERROR(__xludf.DUMMYFUNCTION("""COMPUTED_VALUE"""),4.0)</f>
        <v>4</v>
      </c>
      <c r="F209" s="128" t="str">
        <f>IFERROR(__xludf.DUMMYFUNCTION("""COMPUTED_VALUE"""),"Not Interested")</f>
        <v>Not Interested</v>
      </c>
      <c r="G209" s="124" t="str">
        <f>IFERROR(__xludf.DUMMYFUNCTION("""COMPUTED_VALUE"""),"State PCS")</f>
        <v>State PCS</v>
      </c>
      <c r="K209" s="124"/>
      <c r="L209" s="124"/>
      <c r="M209" s="124"/>
      <c r="N209" s="124"/>
      <c r="O209" s="124"/>
      <c r="T209" s="126">
        <f>IFERROR(__xludf.DUMMYFUNCTION("""COMPUTED_VALUE"""),46088.0)</f>
        <v>46088</v>
      </c>
      <c r="U209" s="124" t="str">
        <f>IFERROR(__xludf.DUMMYFUNCTION("""COMPUTED_VALUE"""),"Publisher Campaign")</f>
        <v>Publisher Campaign</v>
      </c>
      <c r="V209" s="124" t="str">
        <f>IFERROR(__xludf.DUMMYFUNCTION("""COMPUTED_VALUE"""),"Webinar")</f>
        <v>Webinar</v>
      </c>
      <c r="W209" s="124"/>
      <c r="X209" s="124"/>
      <c r="Y209" s="124" t="str">
        <f>IFERROR(__xludf.DUMMYFUNCTION("""COMPUTED_VALUE"""),"Delhi")</f>
        <v>Delhi</v>
      </c>
      <c r="Z209" s="124">
        <f>IFERROR(__xludf.DUMMYFUNCTION("""COMPUTED_VALUE"""),6.0)</f>
        <v>6</v>
      </c>
      <c r="AA209" s="124" t="str">
        <f>IFERROR(__xludf.DUMMYFUNCTION("""COMPUTED_VALUE"""),"Cold")</f>
        <v>Cold</v>
      </c>
      <c r="AB209" s="124" t="str">
        <f>IFERROR(__xludf.DUMMYFUNCTION("""COMPUTED_VALUE"""),"CSAT")</f>
        <v>CSAT</v>
      </c>
    </row>
    <row r="210">
      <c r="A210" s="126">
        <f>IFERROR(__xludf.DUMMYFUNCTION("""COMPUTED_VALUE"""),46051.0)</f>
        <v>46051</v>
      </c>
      <c r="B210" s="124" t="str">
        <f>IFERROR(__xludf.DUMMYFUNCTION("""COMPUTED_VALUE"""),"Walk-In")</f>
        <v>Walk-In</v>
      </c>
      <c r="C210" s="124" t="str">
        <f>IFERROR(__xludf.DUMMYFUNCTION("""COMPUTED_VALUE"""),"Patna")</f>
        <v>Patna</v>
      </c>
      <c r="D210" s="124" t="str">
        <f>IFERROR(__xludf.DUMMYFUNCTION("""COMPUTED_VALUE"""),"Primary_Walkin")</f>
        <v>Primary_Walkin</v>
      </c>
      <c r="E210" s="127">
        <f>IFERROR(__xludf.DUMMYFUNCTION("""COMPUTED_VALUE"""),1.0)</f>
        <v>1</v>
      </c>
      <c r="F210" s="128" t="str">
        <f>IFERROR(__xludf.DUMMYFUNCTION("""COMPUTED_VALUE"""),"Not Interested")</f>
        <v>Not Interested</v>
      </c>
      <c r="G210" s="124" t="str">
        <f>IFERROR(__xludf.DUMMYFUNCTION("""COMPUTED_VALUE"""),"State PCS")</f>
        <v>State PCS</v>
      </c>
      <c r="K210" s="124"/>
      <c r="L210" s="124"/>
      <c r="M210" s="124"/>
      <c r="N210" s="124"/>
      <c r="O210" s="124"/>
      <c r="T210" s="126">
        <f>IFERROR(__xludf.DUMMYFUNCTION("""COMPUTED_VALUE"""),46047.0)</f>
        <v>46047</v>
      </c>
      <c r="U210" s="124" t="str">
        <f>IFERROR(__xludf.DUMMYFUNCTION("""COMPUTED_VALUE"""),"External Leads")</f>
        <v>External Leads</v>
      </c>
      <c r="V210" s="124" t="str">
        <f>IFERROR(__xludf.DUMMYFUNCTION("""COMPUTED_VALUE"""),"external leads")</f>
        <v>external leads</v>
      </c>
      <c r="W210" s="124"/>
      <c r="X210" s="124"/>
      <c r="Y210" s="124"/>
      <c r="Z210" s="124">
        <f>IFERROR(__xludf.DUMMYFUNCTION("""COMPUTED_VALUE"""),53.0)</f>
        <v>53</v>
      </c>
      <c r="AA210" s="124" t="str">
        <f>IFERROR(__xludf.DUMMYFUNCTION("""COMPUTED_VALUE"""),"Cold")</f>
        <v>Cold</v>
      </c>
      <c r="AB210" s="124"/>
    </row>
    <row r="211">
      <c r="A211" s="129">
        <f>IFERROR(__xludf.DUMMYFUNCTION("""COMPUTED_VALUE"""),46112.0)</f>
        <v>46112</v>
      </c>
      <c r="B211" s="124" t="str">
        <f>IFERROR(__xludf.DUMMYFUNCTION("""COMPUTED_VALUE"""),"Walkin")</f>
        <v>Walkin</v>
      </c>
      <c r="C211" s="124" t="str">
        <f>IFERROR(__xludf.DUMMYFUNCTION("""COMPUTED_VALUE"""),"Patna")</f>
        <v>Patna</v>
      </c>
      <c r="D211" s="124" t="str">
        <f>IFERROR(__xludf.DUMMYFUNCTION("""COMPUTED_VALUE"""),"Primary_Walkin")</f>
        <v>Primary_Walkin</v>
      </c>
      <c r="E211" s="127">
        <f>IFERROR(__xludf.DUMMYFUNCTION("""COMPUTED_VALUE"""),1.0)</f>
        <v>1</v>
      </c>
      <c r="F211" s="128" t="str">
        <f>IFERROR(__xludf.DUMMYFUNCTION("""COMPUTED_VALUE"""),"Future Prospects")</f>
        <v>Future Prospects</v>
      </c>
      <c r="G211" s="124" t="str">
        <f>IFERROR(__xludf.DUMMYFUNCTION("""COMPUTED_VALUE"""),"State PCS")</f>
        <v>State PCS</v>
      </c>
      <c r="K211" s="124"/>
      <c r="L211" s="124"/>
      <c r="M211" s="124"/>
      <c r="N211" s="124"/>
      <c r="O211" s="124"/>
      <c r="T211" s="126">
        <f>IFERROR(__xludf.DUMMYFUNCTION("""COMPUTED_VALUE"""),46087.0)</f>
        <v>46087</v>
      </c>
      <c r="U211" s="124" t="str">
        <f>IFERROR(__xludf.DUMMYFUNCTION("""COMPUTED_VALUE"""),"Publisher Campaign")</f>
        <v>Publisher Campaign</v>
      </c>
      <c r="V211" s="124" t="str">
        <f>IFERROR(__xludf.DUMMYFUNCTION("""COMPUTED_VALUE"""),"Webinar")</f>
        <v>Webinar</v>
      </c>
      <c r="W211" s="124"/>
      <c r="X211" s="124"/>
      <c r="Y211" s="124" t="str">
        <f>IFERROR(__xludf.DUMMYFUNCTION("""COMPUTED_VALUE"""),"Delhi")</f>
        <v>Delhi</v>
      </c>
      <c r="Z211" s="124">
        <f>IFERROR(__xludf.DUMMYFUNCTION("""COMPUTED_VALUE"""),5.0)</f>
        <v>5</v>
      </c>
      <c r="AA211" s="124" t="str">
        <f>IFERROR(__xludf.DUMMYFUNCTION("""COMPUTED_VALUE"""),"Cold")</f>
        <v>Cold</v>
      </c>
      <c r="AB211" s="124" t="str">
        <f>IFERROR(__xludf.DUMMYFUNCTION("""COMPUTED_VALUE"""),"CSAT")</f>
        <v>CSAT</v>
      </c>
    </row>
    <row r="212">
      <c r="A212" s="126">
        <f>IFERROR(__xludf.DUMMYFUNCTION("""COMPUTED_VALUE"""),46112.0)</f>
        <v>46112</v>
      </c>
      <c r="B212" s="124" t="str">
        <f>IFERROR(__xludf.DUMMYFUNCTION("""COMPUTED_VALUE"""),"Walkin")</f>
        <v>Walkin</v>
      </c>
      <c r="C212" s="124" t="str">
        <f>IFERROR(__xludf.DUMMYFUNCTION("""COMPUTED_VALUE"""),"Patna")</f>
        <v>Patna</v>
      </c>
      <c r="D212" s="124" t="str">
        <f>IFERROR(__xludf.DUMMYFUNCTION("""COMPUTED_VALUE"""),"Primary_Walkin")</f>
        <v>Primary_Walkin</v>
      </c>
      <c r="E212" s="127">
        <f>IFERROR(__xludf.DUMMYFUNCTION("""COMPUTED_VALUE"""),2.0)</f>
        <v>2</v>
      </c>
      <c r="F212" s="128" t="str">
        <f>IFERROR(__xludf.DUMMYFUNCTION("""COMPUTED_VALUE"""),"Enrolled")</f>
        <v>Enrolled</v>
      </c>
      <c r="G212" s="124" t="str">
        <f>IFERROR(__xludf.DUMMYFUNCTION("""COMPUTED_VALUE"""),"State PCS")</f>
        <v>State PCS</v>
      </c>
      <c r="K212" s="124"/>
      <c r="L212" s="124"/>
      <c r="M212" s="124"/>
      <c r="N212" s="124"/>
      <c r="O212" s="124"/>
      <c r="T212" s="129">
        <f>IFERROR(__xludf.DUMMYFUNCTION("""COMPUTED_VALUE"""),46060.0)</f>
        <v>46060</v>
      </c>
      <c r="U212" s="124" t="str">
        <f>IFERROR(__xludf.DUMMYFUNCTION("""COMPUTED_VALUE"""),"Publisher Campaign")</f>
        <v>Publisher Campaign</v>
      </c>
      <c r="V212" s="124" t="str">
        <f>IFERROR(__xludf.DUMMYFUNCTION("""COMPUTED_VALUE"""),"Webinar")</f>
        <v>Webinar</v>
      </c>
      <c r="W212" s="124"/>
      <c r="X212" s="124"/>
      <c r="Y212" s="124" t="str">
        <f>IFERROR(__xludf.DUMMYFUNCTION("""COMPUTED_VALUE"""),"Delhi")</f>
        <v>Delhi</v>
      </c>
      <c r="Z212" s="124">
        <f>IFERROR(__xludf.DUMMYFUNCTION("""COMPUTED_VALUE"""),14.0)</f>
        <v>14</v>
      </c>
      <c r="AA212" s="124" t="str">
        <f>IFERROR(__xludf.DUMMYFUNCTION("""COMPUTED_VALUE"""),"Cold")</f>
        <v>Cold</v>
      </c>
      <c r="AB212" s="124" t="str">
        <f>IFERROR(__xludf.DUMMYFUNCTION("""COMPUTED_VALUE"""),"Test Series")</f>
        <v>Test Series</v>
      </c>
    </row>
    <row r="213">
      <c r="A213" s="126">
        <f>IFERROR(__xludf.DUMMYFUNCTION("""COMPUTED_VALUE"""),46049.0)</f>
        <v>46049</v>
      </c>
      <c r="B213" s="124" t="str">
        <f>IFERROR(__xludf.DUMMYFUNCTION("""COMPUTED_VALUE"""),"Walk-In")</f>
        <v>Walk-In</v>
      </c>
      <c r="C213" s="124" t="str">
        <f>IFERROR(__xludf.DUMMYFUNCTION("""COMPUTED_VALUE"""),"Patna")</f>
        <v>Patna</v>
      </c>
      <c r="D213" s="124" t="str">
        <f>IFERROR(__xludf.DUMMYFUNCTION("""COMPUTED_VALUE"""),"Primary_Walkin")</f>
        <v>Primary_Walkin</v>
      </c>
      <c r="E213" s="127">
        <f>IFERROR(__xludf.DUMMYFUNCTION("""COMPUTED_VALUE"""),1.0)</f>
        <v>1</v>
      </c>
      <c r="F213" s="128" t="str">
        <f>IFERROR(__xludf.DUMMYFUNCTION("""COMPUTED_VALUE"""),"Future Prospects")</f>
        <v>Future Prospects</v>
      </c>
      <c r="G213" s="124" t="str">
        <f>IFERROR(__xludf.DUMMYFUNCTION("""COMPUTED_VALUE"""),"GS Foundation")</f>
        <v>GS Foundation</v>
      </c>
      <c r="K213" s="124"/>
      <c r="L213" s="124"/>
      <c r="M213" s="124"/>
      <c r="N213" s="124"/>
      <c r="O213" s="124"/>
      <c r="T213" s="126">
        <f>IFERROR(__xludf.DUMMYFUNCTION("""COMPUTED_VALUE"""),46071.0)</f>
        <v>46071</v>
      </c>
      <c r="U213" s="124" t="str">
        <f>IFERROR(__xludf.DUMMYFUNCTION("""COMPUTED_VALUE"""),"Publisher Campaign")</f>
        <v>Publisher Campaign</v>
      </c>
      <c r="V213" s="124" t="str">
        <f>IFERROR(__xludf.DUMMYFUNCTION("""COMPUTED_VALUE"""),"Feeder Cities")</f>
        <v>Feeder Cities</v>
      </c>
      <c r="W213" s="124"/>
      <c r="X213" s="124"/>
      <c r="Y213" s="124" t="str">
        <f>IFERROR(__xludf.DUMMYFUNCTION("""COMPUTED_VALUE"""),"Indore")</f>
        <v>Indore</v>
      </c>
      <c r="Z213" s="124">
        <f>IFERROR(__xludf.DUMMYFUNCTION("""COMPUTED_VALUE"""),2.0)</f>
        <v>2</v>
      </c>
      <c r="AA213" s="124" t="str">
        <f>IFERROR(__xludf.DUMMYFUNCTION("""COMPUTED_VALUE"""),"Not Interested")</f>
        <v>Not Interested</v>
      </c>
      <c r="AB213" s="124" t="str">
        <f>IFERROR(__xludf.DUMMYFUNCTION("""COMPUTED_VALUE"""),"State PCS")</f>
        <v>State PCS</v>
      </c>
    </row>
    <row r="214">
      <c r="A214" s="126">
        <f>IFERROR(__xludf.DUMMYFUNCTION("""COMPUTED_VALUE"""),46075.0)</f>
        <v>46075</v>
      </c>
      <c r="B214" s="124" t="str">
        <f>IFERROR(__xludf.DUMMYFUNCTION("""COMPUTED_VALUE"""),"Walkin")</f>
        <v>Walkin</v>
      </c>
      <c r="C214" s="124" t="str">
        <f>IFERROR(__xludf.DUMMYFUNCTION("""COMPUTED_VALUE"""),"Patna")</f>
        <v>Patna</v>
      </c>
      <c r="D214" s="124" t="str">
        <f>IFERROR(__xludf.DUMMYFUNCTION("""COMPUTED_VALUE"""),"Primary_Walkin")</f>
        <v>Primary_Walkin</v>
      </c>
      <c r="E214" s="127">
        <f>IFERROR(__xludf.DUMMYFUNCTION("""COMPUTED_VALUE"""),8.0)</f>
        <v>8</v>
      </c>
      <c r="F214" s="128" t="str">
        <f>IFERROR(__xludf.DUMMYFUNCTION("""COMPUTED_VALUE"""),"Cold")</f>
        <v>Cold</v>
      </c>
      <c r="G214" s="124" t="str">
        <f>IFERROR(__xludf.DUMMYFUNCTION("""COMPUTED_VALUE"""),"State PCS")</f>
        <v>State PCS</v>
      </c>
      <c r="K214" s="124"/>
      <c r="L214" s="124"/>
      <c r="M214" s="124"/>
      <c r="N214" s="124"/>
      <c r="O214" s="124"/>
      <c r="T214" s="126">
        <f>IFERROR(__xludf.DUMMYFUNCTION("""COMPUTED_VALUE"""),46079.0)</f>
        <v>46079</v>
      </c>
      <c r="U214" s="124" t="str">
        <f>IFERROR(__xludf.DUMMYFUNCTION("""COMPUTED_VALUE"""),"Publisher Campaign")</f>
        <v>Publisher Campaign</v>
      </c>
      <c r="V214" s="124" t="str">
        <f>IFERROR(__xludf.DUMMYFUNCTION("""COMPUTED_VALUE"""),"Webinar")</f>
        <v>Webinar</v>
      </c>
      <c r="W214" s="124"/>
      <c r="X214" s="124"/>
      <c r="Y214" s="124" t="str">
        <f>IFERROR(__xludf.DUMMYFUNCTION("""COMPUTED_VALUE"""),"Indore")</f>
        <v>Indore</v>
      </c>
      <c r="Z214" s="124">
        <f>IFERROR(__xludf.DUMMYFUNCTION("""COMPUTED_VALUE"""),1.0)</f>
        <v>1</v>
      </c>
      <c r="AA214" s="124"/>
      <c r="AB214" s="124" t="str">
        <f>IFERROR(__xludf.DUMMYFUNCTION("""COMPUTED_VALUE"""),"GS Advanced")</f>
        <v>GS Advanced</v>
      </c>
    </row>
    <row r="215">
      <c r="A215" s="129">
        <f>IFERROR(__xludf.DUMMYFUNCTION("""COMPUTED_VALUE"""),46044.0)</f>
        <v>46044</v>
      </c>
      <c r="B215" s="124" t="str">
        <f>IFERROR(__xludf.DUMMYFUNCTION("""COMPUTED_VALUE"""),"Walkin")</f>
        <v>Walkin</v>
      </c>
      <c r="C215" s="124" t="str">
        <f>IFERROR(__xludf.DUMMYFUNCTION("""COMPUTED_VALUE"""),"Patna")</f>
        <v>Patna</v>
      </c>
      <c r="D215" s="124" t="str">
        <f>IFERROR(__xludf.DUMMYFUNCTION("""COMPUTED_VALUE"""),"Primary_Walkin")</f>
        <v>Primary_Walkin</v>
      </c>
      <c r="E215" s="127">
        <f>IFERROR(__xludf.DUMMYFUNCTION("""COMPUTED_VALUE"""),7.0)</f>
        <v>7</v>
      </c>
      <c r="F215" s="128" t="str">
        <f>IFERROR(__xludf.DUMMYFUNCTION("""COMPUTED_VALUE"""),"Cold")</f>
        <v>Cold</v>
      </c>
      <c r="G215" s="124" t="str">
        <f>IFERROR(__xludf.DUMMYFUNCTION("""COMPUTED_VALUE"""),"State PCS")</f>
        <v>State PCS</v>
      </c>
      <c r="K215" s="124"/>
      <c r="L215" s="124"/>
      <c r="M215" s="124"/>
      <c r="N215" s="124"/>
      <c r="O215" s="124"/>
      <c r="T215" s="126">
        <f>IFERROR(__xludf.DUMMYFUNCTION("""COMPUTED_VALUE"""),46077.0)</f>
        <v>46077</v>
      </c>
      <c r="U215" s="124" t="str">
        <f>IFERROR(__xludf.DUMMYFUNCTION("""COMPUTED_VALUE"""),"Publisher Campaign")</f>
        <v>Publisher Campaign</v>
      </c>
      <c r="V215" s="124" t="str">
        <f>IFERROR(__xludf.DUMMYFUNCTION("""COMPUTED_VALUE"""),"Webinar")</f>
        <v>Webinar</v>
      </c>
      <c r="W215" s="124"/>
      <c r="X215" s="124"/>
      <c r="Y215" s="124" t="str">
        <f>IFERROR(__xludf.DUMMYFUNCTION("""COMPUTED_VALUE"""),"Delhi")</f>
        <v>Delhi</v>
      </c>
      <c r="Z215" s="124">
        <f>IFERROR(__xludf.DUMMYFUNCTION("""COMPUTED_VALUE"""),1.0)</f>
        <v>1</v>
      </c>
      <c r="AA215" s="124" t="str">
        <f>IFERROR(__xludf.DUMMYFUNCTION("""COMPUTED_VALUE"""),"Not Interested")</f>
        <v>Not Interested</v>
      </c>
      <c r="AB215" s="124" t="str">
        <f>IFERROR(__xludf.DUMMYFUNCTION("""COMPUTED_VALUE"""),"Mentorship")</f>
        <v>Mentorship</v>
      </c>
    </row>
    <row r="216">
      <c r="A216" s="129">
        <f>IFERROR(__xludf.DUMMYFUNCTION("""COMPUTED_VALUE"""),46110.0)</f>
        <v>46110</v>
      </c>
      <c r="B216" s="124" t="str">
        <f>IFERROR(__xludf.DUMMYFUNCTION("""COMPUTED_VALUE"""),"Walkin")</f>
        <v>Walkin</v>
      </c>
      <c r="C216" s="124" t="str">
        <f>IFERROR(__xludf.DUMMYFUNCTION("""COMPUTED_VALUE"""),"Patna")</f>
        <v>Patna</v>
      </c>
      <c r="D216" s="124" t="str">
        <f>IFERROR(__xludf.DUMMYFUNCTION("""COMPUTED_VALUE"""),"Primary_Walkin")</f>
        <v>Primary_Walkin</v>
      </c>
      <c r="E216" s="127">
        <f>IFERROR(__xludf.DUMMYFUNCTION("""COMPUTED_VALUE"""),3.0)</f>
        <v>3</v>
      </c>
      <c r="F216" s="128" t="str">
        <f>IFERROR(__xludf.DUMMYFUNCTION("""COMPUTED_VALUE"""),"Cold")</f>
        <v>Cold</v>
      </c>
      <c r="G216" s="124" t="str">
        <f>IFERROR(__xludf.DUMMYFUNCTION("""COMPUTED_VALUE"""),"State PCS")</f>
        <v>State PCS</v>
      </c>
      <c r="K216" s="124"/>
      <c r="L216" s="124"/>
      <c r="M216" s="124"/>
      <c r="N216" s="124"/>
      <c r="O216" s="124"/>
      <c r="T216" s="126">
        <f>IFERROR(__xludf.DUMMYFUNCTION("""COMPUTED_VALUE"""),46047.0)</f>
        <v>46047</v>
      </c>
      <c r="U216" s="124" t="str">
        <f>IFERROR(__xludf.DUMMYFUNCTION("""COMPUTED_VALUE"""),"External Leads")</f>
        <v>External Leads</v>
      </c>
      <c r="V216" s="124" t="str">
        <f>IFERROR(__xludf.DUMMYFUNCTION("""COMPUTED_VALUE"""),"external leads")</f>
        <v>external leads</v>
      </c>
      <c r="W216" s="124" t="str">
        <f>IFERROR(__xludf.DUMMYFUNCTION("""COMPUTED_VALUE"""),"indore")</f>
        <v>indore</v>
      </c>
      <c r="X216" s="124" t="str">
        <f>IFERROR(__xludf.DUMMYFUNCTION("""COMPUTED_VALUE"""),"unacademy")</f>
        <v>unacademy</v>
      </c>
      <c r="Y216" s="124" t="str">
        <f>IFERROR(__xludf.DUMMYFUNCTION("""COMPUTED_VALUE"""),"Indore")</f>
        <v>Indore</v>
      </c>
      <c r="Z216" s="124">
        <f>IFERROR(__xludf.DUMMYFUNCTION("""COMPUTED_VALUE"""),1.0)</f>
        <v>1</v>
      </c>
      <c r="AA216" s="124" t="str">
        <f>IFERROR(__xludf.DUMMYFUNCTION("""COMPUTED_VALUE"""),"Cold")</f>
        <v>Cold</v>
      </c>
      <c r="AB216" s="124" t="str">
        <f>IFERROR(__xludf.DUMMYFUNCTION("""COMPUTED_VALUE"""),"State PCS")</f>
        <v>State PCS</v>
      </c>
    </row>
    <row r="217">
      <c r="A217" s="126">
        <f>IFERROR(__xludf.DUMMYFUNCTION("""COMPUTED_VALUE"""),46047.0)</f>
        <v>46047</v>
      </c>
      <c r="B217" s="124" t="str">
        <f>IFERROR(__xludf.DUMMYFUNCTION("""COMPUTED_VALUE"""),"Walkin")</f>
        <v>Walkin</v>
      </c>
      <c r="C217" s="124" t="str">
        <f>IFERROR(__xludf.DUMMYFUNCTION("""COMPUTED_VALUE"""),"Patna")</f>
        <v>Patna</v>
      </c>
      <c r="D217" s="124" t="str">
        <f>IFERROR(__xludf.DUMMYFUNCTION("""COMPUTED_VALUE"""),"Primary_Walkin")</f>
        <v>Primary_Walkin</v>
      </c>
      <c r="E217" s="127">
        <f>IFERROR(__xludf.DUMMYFUNCTION("""COMPUTED_VALUE"""),1.0)</f>
        <v>1</v>
      </c>
      <c r="F217" s="128" t="str">
        <f>IFERROR(__xludf.DUMMYFUNCTION("""COMPUTED_VALUE"""),"Future Prospects")</f>
        <v>Future Prospects</v>
      </c>
      <c r="G217" s="124" t="str">
        <f>IFERROR(__xludf.DUMMYFUNCTION("""COMPUTED_VALUE"""),"GS Foundation")</f>
        <v>GS Foundation</v>
      </c>
      <c r="K217" s="124"/>
      <c r="L217" s="124"/>
      <c r="M217" s="124"/>
      <c r="N217" s="124"/>
      <c r="O217" s="124"/>
      <c r="T217" s="126">
        <f>IFERROR(__xludf.DUMMYFUNCTION("""COMPUTED_VALUE"""),46061.0)</f>
        <v>46061</v>
      </c>
      <c r="U217" s="124" t="str">
        <f>IFERROR(__xludf.DUMMYFUNCTION("""COMPUTED_VALUE"""),"Publisher Campaign")</f>
        <v>Publisher Campaign</v>
      </c>
      <c r="V217" s="124" t="str">
        <f>IFERROR(__xludf.DUMMYFUNCTION("""COMPUTED_VALUE"""),"Webinar")</f>
        <v>Webinar</v>
      </c>
      <c r="W217" s="124"/>
      <c r="X217" s="124"/>
      <c r="Y217" s="124" t="str">
        <f>IFERROR(__xludf.DUMMYFUNCTION("""COMPUTED_VALUE"""),"Delhi")</f>
        <v>Delhi</v>
      </c>
      <c r="Z217" s="124">
        <f>IFERROR(__xludf.DUMMYFUNCTION("""COMPUTED_VALUE"""),12.0)</f>
        <v>12</v>
      </c>
      <c r="AA217" s="124" t="str">
        <f>IFERROR(__xludf.DUMMYFUNCTION("""COMPUTED_VALUE"""),"Cold")</f>
        <v>Cold</v>
      </c>
      <c r="AB217" s="124" t="str">
        <f>IFERROR(__xludf.DUMMYFUNCTION("""COMPUTED_VALUE"""),"Optionals")</f>
        <v>Optionals</v>
      </c>
    </row>
    <row r="218">
      <c r="A218" s="126">
        <f>IFERROR(__xludf.DUMMYFUNCTION("""COMPUTED_VALUE"""),46100.0)</f>
        <v>46100</v>
      </c>
      <c r="B218" s="124" t="str">
        <f>IFERROR(__xludf.DUMMYFUNCTION("""COMPUTED_VALUE"""),"Walkin")</f>
        <v>Walkin</v>
      </c>
      <c r="C218" s="124" t="str">
        <f>IFERROR(__xludf.DUMMYFUNCTION("""COMPUTED_VALUE"""),"Patna")</f>
        <v>Patna</v>
      </c>
      <c r="D218" s="124" t="str">
        <f>IFERROR(__xludf.DUMMYFUNCTION("""COMPUTED_VALUE"""),"Primary_Walkin")</f>
        <v>Primary_Walkin</v>
      </c>
      <c r="E218" s="127">
        <f>IFERROR(__xludf.DUMMYFUNCTION("""COMPUTED_VALUE"""),3.0)</f>
        <v>3</v>
      </c>
      <c r="F218" s="128" t="str">
        <f>IFERROR(__xludf.DUMMYFUNCTION("""COMPUTED_VALUE"""),"Warm")</f>
        <v>Warm</v>
      </c>
      <c r="G218" s="124" t="str">
        <f>IFERROR(__xludf.DUMMYFUNCTION("""COMPUTED_VALUE"""),"State PCS")</f>
        <v>State PCS</v>
      </c>
      <c r="K218" s="124"/>
      <c r="L218" s="124"/>
      <c r="M218" s="124"/>
      <c r="N218" s="124"/>
      <c r="O218" s="124"/>
      <c r="T218" s="126">
        <f>IFERROR(__xludf.DUMMYFUNCTION("""COMPUTED_VALUE"""),46079.0)</f>
        <v>46079</v>
      </c>
      <c r="U218" s="124" t="str">
        <f>IFERROR(__xludf.DUMMYFUNCTION("""COMPUTED_VALUE"""),"Publisher Campaign")</f>
        <v>Publisher Campaign</v>
      </c>
      <c r="V218" s="124" t="str">
        <f>IFERROR(__xludf.DUMMYFUNCTION("""COMPUTED_VALUE"""),"Webinar")</f>
        <v>Webinar</v>
      </c>
      <c r="W218" s="124"/>
      <c r="X218" s="124"/>
      <c r="Y218" s="124" t="str">
        <f>IFERROR(__xludf.DUMMYFUNCTION("""COMPUTED_VALUE"""),"Prayagraj")</f>
        <v>Prayagraj</v>
      </c>
      <c r="Z218" s="124">
        <f>IFERROR(__xludf.DUMMYFUNCTION("""COMPUTED_VALUE"""),2.0)</f>
        <v>2</v>
      </c>
      <c r="AA218" s="124" t="str">
        <f>IFERROR(__xludf.DUMMYFUNCTION("""COMPUTED_VALUE"""),"Cold")</f>
        <v>Cold</v>
      </c>
      <c r="AB218" s="124" t="str">
        <f>IFERROR(__xludf.DUMMYFUNCTION("""COMPUTED_VALUE"""),"Optionals")</f>
        <v>Optionals</v>
      </c>
    </row>
    <row r="219">
      <c r="A219" s="129">
        <f>IFERROR(__xludf.DUMMYFUNCTION("""COMPUTED_VALUE"""),46092.0)</f>
        <v>46092</v>
      </c>
      <c r="B219" s="124" t="str">
        <f>IFERROR(__xludf.DUMMYFUNCTION("""COMPUTED_VALUE"""),"Walkin")</f>
        <v>Walkin</v>
      </c>
      <c r="C219" s="124" t="str">
        <f>IFERROR(__xludf.DUMMYFUNCTION("""COMPUTED_VALUE"""),"Patna")</f>
        <v>Patna</v>
      </c>
      <c r="D219" s="124" t="str">
        <f>IFERROR(__xludf.DUMMYFUNCTION("""COMPUTED_VALUE"""),"Primary_Walkin")</f>
        <v>Primary_Walkin</v>
      </c>
      <c r="E219" s="127">
        <f>IFERROR(__xludf.DUMMYFUNCTION("""COMPUTED_VALUE"""),2.0)</f>
        <v>2</v>
      </c>
      <c r="F219" s="128" t="str">
        <f>IFERROR(__xludf.DUMMYFUNCTION("""COMPUTED_VALUE"""),"Cold")</f>
        <v>Cold</v>
      </c>
      <c r="G219" s="124" t="str">
        <f>IFERROR(__xludf.DUMMYFUNCTION("""COMPUTED_VALUE"""),"Other")</f>
        <v>Other</v>
      </c>
      <c r="K219" s="124"/>
      <c r="L219" s="124"/>
      <c r="M219" s="124"/>
      <c r="N219" s="124"/>
      <c r="O219" s="124"/>
      <c r="T219" s="126">
        <f>IFERROR(__xludf.DUMMYFUNCTION("""COMPUTED_VALUE"""),46083.0)</f>
        <v>46083</v>
      </c>
      <c r="U219" s="124" t="str">
        <f>IFERROR(__xludf.DUMMYFUNCTION("""COMPUTED_VALUE"""),"Event")</f>
        <v>Event</v>
      </c>
      <c r="V219" s="124" t="str">
        <f>IFERROR(__xludf.DUMMYFUNCTION("""COMPUTED_VALUE"""),"events")</f>
        <v>events</v>
      </c>
      <c r="W219" s="124" t="str">
        <f>IFERROR(__xludf.DUMMYFUNCTION("""COMPUTED_VALUE"""),"indore")</f>
        <v>indore</v>
      </c>
      <c r="X219" s="124" t="str">
        <f>IFERROR(__xludf.DUMMYFUNCTION("""COMPUTED_VALUE"""),"mahamarathon")</f>
        <v>mahamarathon</v>
      </c>
      <c r="Y219" s="124" t="str">
        <f>IFERROR(__xludf.DUMMYFUNCTION("""COMPUTED_VALUE"""),"Indore")</f>
        <v>Indore</v>
      </c>
      <c r="Z219" s="124">
        <f>IFERROR(__xludf.DUMMYFUNCTION("""COMPUTED_VALUE"""),36.0)</f>
        <v>36</v>
      </c>
      <c r="AA219" s="124" t="str">
        <f>IFERROR(__xludf.DUMMYFUNCTION("""COMPUTED_VALUE"""),"Cold")</f>
        <v>Cold</v>
      </c>
      <c r="AB219" s="124"/>
    </row>
    <row r="220">
      <c r="A220" s="126">
        <f>IFERROR(__xludf.DUMMYFUNCTION("""COMPUTED_VALUE"""),46069.0)</f>
        <v>46069</v>
      </c>
      <c r="B220" s="124" t="str">
        <f>IFERROR(__xludf.DUMMYFUNCTION("""COMPUTED_VALUE"""),"Walkin")</f>
        <v>Walkin</v>
      </c>
      <c r="C220" s="124" t="str">
        <f>IFERROR(__xludf.DUMMYFUNCTION("""COMPUTED_VALUE"""),"Patna")</f>
        <v>Patna</v>
      </c>
      <c r="D220" s="124" t="str">
        <f>IFERROR(__xludf.DUMMYFUNCTION("""COMPUTED_VALUE"""),"Primary_Walkin")</f>
        <v>Primary_Walkin</v>
      </c>
      <c r="E220" s="127">
        <f>IFERROR(__xludf.DUMMYFUNCTION("""COMPUTED_VALUE"""),6.0)</f>
        <v>6</v>
      </c>
      <c r="F220" s="128" t="str">
        <f>IFERROR(__xludf.DUMMYFUNCTION("""COMPUTED_VALUE"""),"Cold")</f>
        <v>Cold</v>
      </c>
      <c r="G220" s="124" t="str">
        <f>IFERROR(__xludf.DUMMYFUNCTION("""COMPUTED_VALUE"""),"State PCS")</f>
        <v>State PCS</v>
      </c>
      <c r="K220" s="124"/>
      <c r="L220" s="124"/>
      <c r="M220" s="124"/>
      <c r="N220" s="124"/>
      <c r="O220" s="124"/>
      <c r="T220" s="129">
        <f>IFERROR(__xludf.DUMMYFUNCTION("""COMPUTED_VALUE"""),46068.0)</f>
        <v>46068</v>
      </c>
      <c r="U220" s="124" t="str">
        <f>IFERROR(__xludf.DUMMYFUNCTION("""COMPUTED_VALUE"""),"Walk-Ins")</f>
        <v>Walk-Ins</v>
      </c>
      <c r="V220" s="124" t="str">
        <f>IFERROR(__xludf.DUMMYFUNCTION("""COMPUTED_VALUE"""),"Walkin")</f>
        <v>Walkin</v>
      </c>
      <c r="W220" s="124"/>
      <c r="X220" s="124"/>
      <c r="Y220" s="124" t="str">
        <f>IFERROR(__xludf.DUMMYFUNCTION("""COMPUTED_VALUE"""),"Delhi")</f>
        <v>Delhi</v>
      </c>
      <c r="Z220" s="124">
        <f>IFERROR(__xludf.DUMMYFUNCTION("""COMPUTED_VALUE"""),1.0)</f>
        <v>1</v>
      </c>
      <c r="AA220" s="124" t="str">
        <f>IFERROR(__xludf.DUMMYFUNCTION("""COMPUTED_VALUE"""),"Warm")</f>
        <v>Warm</v>
      </c>
      <c r="AB220" s="124" t="str">
        <f>IFERROR(__xludf.DUMMYFUNCTION("""COMPUTED_VALUE"""),"GS Foundation")</f>
        <v>GS Foundation</v>
      </c>
    </row>
    <row r="221">
      <c r="A221" s="126">
        <f>IFERROR(__xludf.DUMMYFUNCTION("""COMPUTED_VALUE"""),46067.0)</f>
        <v>46067</v>
      </c>
      <c r="B221" s="124" t="str">
        <f>IFERROR(__xludf.DUMMYFUNCTION("""COMPUTED_VALUE"""),"external leads")</f>
        <v>external leads</v>
      </c>
      <c r="C221" s="124" t="str">
        <f>IFERROR(__xludf.DUMMYFUNCTION("""COMPUTED_VALUE"""),"Patna")</f>
        <v>Patna</v>
      </c>
      <c r="D221" s="124" t="str">
        <f>IFERROR(__xludf.DUMMYFUNCTION("""COMPUTED_VALUE"""),"Secondary_Walkin")</f>
        <v>Secondary_Walkin</v>
      </c>
      <c r="E221" s="127">
        <f>IFERROR(__xludf.DUMMYFUNCTION("""COMPUTED_VALUE"""),1.0)</f>
        <v>1</v>
      </c>
      <c r="F221" s="128" t="str">
        <f>IFERROR(__xludf.DUMMYFUNCTION("""COMPUTED_VALUE"""),"Warm")</f>
        <v>Warm</v>
      </c>
      <c r="G221" s="124" t="str">
        <f>IFERROR(__xludf.DUMMYFUNCTION("""COMPUTED_VALUE"""),"GS Foundation")</f>
        <v>GS Foundation</v>
      </c>
      <c r="K221" s="124"/>
      <c r="L221" s="124"/>
      <c r="M221" s="124"/>
      <c r="N221" s="124"/>
      <c r="O221" s="124"/>
      <c r="T221" s="126">
        <f>IFERROR(__xludf.DUMMYFUNCTION("""COMPUTED_VALUE"""),46091.0)</f>
        <v>46091</v>
      </c>
      <c r="U221" s="124" t="str">
        <f>IFERROR(__xludf.DUMMYFUNCTION("""COMPUTED_VALUE"""),"Publisher Campaign")</f>
        <v>Publisher Campaign</v>
      </c>
      <c r="V221" s="124" t="str">
        <f>IFERROR(__xludf.DUMMYFUNCTION("""COMPUTED_VALUE"""),"Webinar")</f>
        <v>Webinar</v>
      </c>
      <c r="W221" s="124"/>
      <c r="X221" s="124"/>
      <c r="Y221" s="124" t="str">
        <f>IFERROR(__xludf.DUMMYFUNCTION("""COMPUTED_VALUE"""),"Delhi")</f>
        <v>Delhi</v>
      </c>
      <c r="Z221" s="124">
        <f>IFERROR(__xludf.DUMMYFUNCTION("""COMPUTED_VALUE"""),2.0)</f>
        <v>2</v>
      </c>
      <c r="AA221" s="124" t="str">
        <f>IFERROR(__xludf.DUMMYFUNCTION("""COMPUTED_VALUE"""),"Cold")</f>
        <v>Cold</v>
      </c>
      <c r="AB221" s="124" t="str">
        <f>IFERROR(__xludf.DUMMYFUNCTION("""COMPUTED_VALUE"""),"Optionals")</f>
        <v>Optionals</v>
      </c>
    </row>
    <row r="222">
      <c r="A222" s="126">
        <f>IFERROR(__xludf.DUMMYFUNCTION("""COMPUTED_VALUE"""),46043.0)</f>
        <v>46043</v>
      </c>
      <c r="B222" s="124" t="str">
        <f>IFERROR(__xludf.DUMMYFUNCTION("""COMPUTED_VALUE"""),"Walkin")</f>
        <v>Walkin</v>
      </c>
      <c r="C222" s="124" t="str">
        <f>IFERROR(__xludf.DUMMYFUNCTION("""COMPUTED_VALUE"""),"Patna")</f>
        <v>Patna</v>
      </c>
      <c r="D222" s="124" t="str">
        <f>IFERROR(__xludf.DUMMYFUNCTION("""COMPUTED_VALUE"""),"Primary_Walkin")</f>
        <v>Primary_Walkin</v>
      </c>
      <c r="E222" s="127">
        <f>IFERROR(__xludf.DUMMYFUNCTION("""COMPUTED_VALUE"""),3.0)</f>
        <v>3</v>
      </c>
      <c r="F222" s="128" t="str">
        <f>IFERROR(__xludf.DUMMYFUNCTION("""COMPUTED_VALUE"""),"Cold")</f>
        <v>Cold</v>
      </c>
      <c r="G222" s="124" t="str">
        <f>IFERROR(__xludf.DUMMYFUNCTION("""COMPUTED_VALUE"""),"State PCS")</f>
        <v>State PCS</v>
      </c>
      <c r="K222" s="124"/>
      <c r="L222" s="124"/>
      <c r="M222" s="124"/>
      <c r="N222" s="124"/>
      <c r="O222" s="124"/>
      <c r="T222" s="129">
        <f>IFERROR(__xludf.DUMMYFUNCTION("""COMPUTED_VALUE"""),46055.0)</f>
        <v>46055</v>
      </c>
      <c r="U222" s="124" t="str">
        <f>IFERROR(__xludf.DUMMYFUNCTION("""COMPUTED_VALUE"""),"Other Marketing Channels")</f>
        <v>Other Marketing Channels</v>
      </c>
      <c r="V222" s="124" t="str">
        <f>IFERROR(__xludf.DUMMYFUNCTION("""COMPUTED_VALUE"""),"Referrals")</f>
        <v>Referrals</v>
      </c>
      <c r="W222" s="124" t="str">
        <f>IFERROR(__xludf.DUMMYFUNCTION("""COMPUTED_VALUE"""),"Lucknow")</f>
        <v>Lucknow</v>
      </c>
      <c r="X222" s="124" t="str">
        <f>IFERROR(__xludf.DUMMYFUNCTION("""COMPUTED_VALUE"""),"Lucknow")</f>
        <v>Lucknow</v>
      </c>
      <c r="Y222" s="124" t="str">
        <f>IFERROR(__xludf.DUMMYFUNCTION("""COMPUTED_VALUE"""),"Lucknow")</f>
        <v>Lucknow</v>
      </c>
      <c r="Z222" s="124">
        <f>IFERROR(__xludf.DUMMYFUNCTION("""COMPUTED_VALUE"""),1.0)</f>
        <v>1</v>
      </c>
      <c r="AA222" s="124" t="str">
        <f>IFERROR(__xludf.DUMMYFUNCTION("""COMPUTED_VALUE"""),"Enrolled")</f>
        <v>Enrolled</v>
      </c>
      <c r="AB222" s="124" t="str">
        <f>IFERROR(__xludf.DUMMYFUNCTION("""COMPUTED_VALUE"""),"GS Foundation")</f>
        <v>GS Foundation</v>
      </c>
    </row>
    <row r="223">
      <c r="A223" s="129">
        <f>IFERROR(__xludf.DUMMYFUNCTION("""COMPUTED_VALUE"""),46110.0)</f>
        <v>46110</v>
      </c>
      <c r="B223" s="124" t="str">
        <f>IFERROR(__xludf.DUMMYFUNCTION("""COMPUTED_VALUE"""),"Walkin")</f>
        <v>Walkin</v>
      </c>
      <c r="C223" s="124" t="str">
        <f>IFERROR(__xludf.DUMMYFUNCTION("""COMPUTED_VALUE"""),"Patna")</f>
        <v>Patna</v>
      </c>
      <c r="D223" s="124" t="str">
        <f>IFERROR(__xludf.DUMMYFUNCTION("""COMPUTED_VALUE"""),"Primary_Walkin")</f>
        <v>Primary_Walkin</v>
      </c>
      <c r="E223" s="127">
        <f>IFERROR(__xludf.DUMMYFUNCTION("""COMPUTED_VALUE"""),6.0)</f>
        <v>6</v>
      </c>
      <c r="F223" s="128" t="str">
        <f>IFERROR(__xludf.DUMMYFUNCTION("""COMPUTED_VALUE"""),"Warm")</f>
        <v>Warm</v>
      </c>
      <c r="G223" s="124" t="str">
        <f>IFERROR(__xludf.DUMMYFUNCTION("""COMPUTED_VALUE"""),"State PCS")</f>
        <v>State PCS</v>
      </c>
      <c r="K223" s="124"/>
      <c r="L223" s="124"/>
      <c r="M223" s="124"/>
      <c r="N223" s="124"/>
      <c r="O223" s="124"/>
      <c r="T223" s="129">
        <f>IFERROR(__xludf.DUMMYFUNCTION("""COMPUTED_VALUE"""),46050.0)</f>
        <v>46050</v>
      </c>
      <c r="U223" s="124" t="str">
        <f>IFERROR(__xludf.DUMMYFUNCTION("""COMPUTED_VALUE"""),"External Leads")</f>
        <v>External Leads</v>
      </c>
      <c r="V223" s="124" t="str">
        <f>IFERROR(__xludf.DUMMYFUNCTION("""COMPUTED_VALUE"""),"external leads")</f>
        <v>external leads</v>
      </c>
      <c r="W223" s="124"/>
      <c r="X223" s="124"/>
      <c r="Y223" s="124"/>
      <c r="Z223" s="124">
        <f>IFERROR(__xludf.DUMMYFUNCTION("""COMPUTED_VALUE"""),5.0)</f>
        <v>5</v>
      </c>
      <c r="AA223" s="124" t="str">
        <f>IFERROR(__xludf.DUMMYFUNCTION("""COMPUTED_VALUE"""),"Not Interested")</f>
        <v>Not Interested</v>
      </c>
      <c r="AB223" s="124"/>
    </row>
    <row r="224">
      <c r="A224" s="129">
        <f>IFERROR(__xludf.DUMMYFUNCTION("""COMPUTED_VALUE"""),46096.0)</f>
        <v>46096</v>
      </c>
      <c r="B224" s="124" t="str">
        <f>IFERROR(__xludf.DUMMYFUNCTION("""COMPUTED_VALUE"""),"Walkin")</f>
        <v>Walkin</v>
      </c>
      <c r="C224" s="124" t="str">
        <f>IFERROR(__xludf.DUMMYFUNCTION("""COMPUTED_VALUE"""),"Patna")</f>
        <v>Patna</v>
      </c>
      <c r="D224" s="124" t="str">
        <f>IFERROR(__xludf.DUMMYFUNCTION("""COMPUTED_VALUE"""),"Primary_Walkin")</f>
        <v>Primary_Walkin</v>
      </c>
      <c r="E224" s="127">
        <f>IFERROR(__xludf.DUMMYFUNCTION("""COMPUTED_VALUE"""),1.0)</f>
        <v>1</v>
      </c>
      <c r="F224" s="128" t="str">
        <f>IFERROR(__xludf.DUMMYFUNCTION("""COMPUTED_VALUE"""),"Cold")</f>
        <v>Cold</v>
      </c>
      <c r="G224" s="124" t="str">
        <f>IFERROR(__xludf.DUMMYFUNCTION("""COMPUTED_VALUE"""),"GS Foundation")</f>
        <v>GS Foundation</v>
      </c>
      <c r="K224" s="124"/>
      <c r="L224" s="124"/>
      <c r="M224" s="124"/>
      <c r="N224" s="124"/>
      <c r="O224" s="124"/>
      <c r="T224" s="129">
        <f>IFERROR(__xludf.DUMMYFUNCTION("""COMPUTED_VALUE"""),46076.0)</f>
        <v>46076</v>
      </c>
      <c r="U224" s="124" t="str">
        <f>IFERROR(__xludf.DUMMYFUNCTION("""COMPUTED_VALUE"""),"Publisher Campaign")</f>
        <v>Publisher Campaign</v>
      </c>
      <c r="V224" s="124" t="str">
        <f>IFERROR(__xludf.DUMMYFUNCTION("""COMPUTED_VALUE"""),"Webinar")</f>
        <v>Webinar</v>
      </c>
      <c r="W224" s="124"/>
      <c r="X224" s="124"/>
      <c r="Y224" s="124" t="str">
        <f>IFERROR(__xludf.DUMMYFUNCTION("""COMPUTED_VALUE"""),"Delhi")</f>
        <v>Delhi</v>
      </c>
      <c r="Z224" s="124">
        <f>IFERROR(__xludf.DUMMYFUNCTION("""COMPUTED_VALUE"""),8.0)</f>
        <v>8</v>
      </c>
      <c r="AA224" s="124" t="str">
        <f>IFERROR(__xludf.DUMMYFUNCTION("""COMPUTED_VALUE"""),"Cold")</f>
        <v>Cold</v>
      </c>
      <c r="AB224" s="124" t="str">
        <f>IFERROR(__xludf.DUMMYFUNCTION("""COMPUTED_VALUE"""),"Other")</f>
        <v>Other</v>
      </c>
    </row>
    <row r="225">
      <c r="A225" s="126">
        <f>IFERROR(__xludf.DUMMYFUNCTION("""COMPUTED_VALUE"""),46092.0)</f>
        <v>46092</v>
      </c>
      <c r="B225" s="124" t="str">
        <f>IFERROR(__xludf.DUMMYFUNCTION("""COMPUTED_VALUE"""),"Walkin")</f>
        <v>Walkin</v>
      </c>
      <c r="C225" s="124" t="str">
        <f>IFERROR(__xludf.DUMMYFUNCTION("""COMPUTED_VALUE"""),"Patna")</f>
        <v>Patna</v>
      </c>
      <c r="D225" s="124" t="str">
        <f>IFERROR(__xludf.DUMMYFUNCTION("""COMPUTED_VALUE"""),"Primary_Walkin")</f>
        <v>Primary_Walkin</v>
      </c>
      <c r="E225" s="127">
        <f>IFERROR(__xludf.DUMMYFUNCTION("""COMPUTED_VALUE"""),1.0)</f>
        <v>1</v>
      </c>
      <c r="F225" s="128" t="str">
        <f>IFERROR(__xludf.DUMMYFUNCTION("""COMPUTED_VALUE"""),"Fake Lead")</f>
        <v>Fake Lead</v>
      </c>
      <c r="G225" s="124" t="str">
        <f>IFERROR(__xludf.DUMMYFUNCTION("""COMPUTED_VALUE"""),"GS Advanced")</f>
        <v>GS Advanced</v>
      </c>
      <c r="K225" s="124"/>
      <c r="L225" s="124"/>
      <c r="M225" s="124"/>
      <c r="N225" s="124"/>
      <c r="O225" s="124"/>
      <c r="T225" s="126">
        <f>IFERROR(__xludf.DUMMYFUNCTION("""COMPUTED_VALUE"""),46044.0)</f>
        <v>46044</v>
      </c>
      <c r="U225" s="124" t="str">
        <f>IFERROR(__xludf.DUMMYFUNCTION("""COMPUTED_VALUE"""),"External Leads")</f>
        <v>External Leads</v>
      </c>
      <c r="V225" s="124" t="str">
        <f>IFERROR(__xludf.DUMMYFUNCTION("""COMPUTED_VALUE"""),"external leads")</f>
        <v>external leads</v>
      </c>
      <c r="W225" s="124"/>
      <c r="X225" s="124"/>
      <c r="Y225" s="124" t="str">
        <f>IFERROR(__xludf.DUMMYFUNCTION("""COMPUTED_VALUE"""),"Delhi")</f>
        <v>Delhi</v>
      </c>
      <c r="Z225" s="124">
        <f>IFERROR(__xludf.DUMMYFUNCTION("""COMPUTED_VALUE"""),1.0)</f>
        <v>1</v>
      </c>
      <c r="AA225" s="124" t="str">
        <f>IFERROR(__xludf.DUMMYFUNCTION("""COMPUTED_VALUE"""),"Cold")</f>
        <v>Cold</v>
      </c>
      <c r="AB225" s="124" t="str">
        <f>IFERROR(__xludf.DUMMYFUNCTION("""COMPUTED_VALUE"""),"CSAT")</f>
        <v>CSAT</v>
      </c>
    </row>
    <row r="226">
      <c r="A226" s="126">
        <f>IFERROR(__xludf.DUMMYFUNCTION("""COMPUTED_VALUE"""),46089.0)</f>
        <v>46089</v>
      </c>
      <c r="B226" s="124" t="str">
        <f>IFERROR(__xludf.DUMMYFUNCTION("""COMPUTED_VALUE"""),"external leads")</f>
        <v>external leads</v>
      </c>
      <c r="C226" s="124" t="str">
        <f>IFERROR(__xludf.DUMMYFUNCTION("""COMPUTED_VALUE"""),"Patna")</f>
        <v>Patna</v>
      </c>
      <c r="D226" s="124" t="str">
        <f>IFERROR(__xludf.DUMMYFUNCTION("""COMPUTED_VALUE"""),"Secondary_Walkin")</f>
        <v>Secondary_Walkin</v>
      </c>
      <c r="E226" s="127">
        <f>IFERROR(__xludf.DUMMYFUNCTION("""COMPUTED_VALUE"""),1.0)</f>
        <v>1</v>
      </c>
      <c r="F226" s="128" t="str">
        <f>IFERROR(__xludf.DUMMYFUNCTION("""COMPUTED_VALUE"""),"Enrolled")</f>
        <v>Enrolled</v>
      </c>
      <c r="G226" s="124" t="str">
        <f>IFERROR(__xludf.DUMMYFUNCTION("""COMPUTED_VALUE"""),"SIP Offline")</f>
        <v>SIP Offline</v>
      </c>
      <c r="K226" s="124"/>
      <c r="L226" s="124"/>
      <c r="M226" s="124"/>
      <c r="N226" s="124"/>
      <c r="O226" s="124"/>
      <c r="T226" s="126">
        <f>IFERROR(__xludf.DUMMYFUNCTION("""COMPUTED_VALUE"""),46052.0)</f>
        <v>46052</v>
      </c>
      <c r="U226" s="124" t="str">
        <f>IFERROR(__xludf.DUMMYFUNCTION("""COMPUTED_VALUE"""),"External Leads")</f>
        <v>External Leads</v>
      </c>
      <c r="V226" s="124" t="str">
        <f>IFERROR(__xludf.DUMMYFUNCTION("""COMPUTED_VALUE"""),"external leads")</f>
        <v>external leads</v>
      </c>
      <c r="W226" s="124"/>
      <c r="X226" s="124"/>
      <c r="Y226" s="124"/>
      <c r="Z226" s="124">
        <f>IFERROR(__xludf.DUMMYFUNCTION("""COMPUTED_VALUE"""),5.0)</f>
        <v>5</v>
      </c>
      <c r="AA226" s="124" t="str">
        <f>IFERROR(__xludf.DUMMYFUNCTION("""COMPUTED_VALUE"""),"Not Interested")</f>
        <v>Not Interested</v>
      </c>
      <c r="AB226" s="124"/>
    </row>
    <row r="227">
      <c r="A227" s="129">
        <f>IFERROR(__xludf.DUMMYFUNCTION("""COMPUTED_VALUE"""),46052.0)</f>
        <v>46052</v>
      </c>
      <c r="B227" s="124" t="str">
        <f>IFERROR(__xludf.DUMMYFUNCTION("""COMPUTED_VALUE"""),"Walkin")</f>
        <v>Walkin</v>
      </c>
      <c r="C227" s="124" t="str">
        <f>IFERROR(__xludf.DUMMYFUNCTION("""COMPUTED_VALUE"""),"Patna")</f>
        <v>Patna</v>
      </c>
      <c r="D227" s="124" t="str">
        <f>IFERROR(__xludf.DUMMYFUNCTION("""COMPUTED_VALUE"""),"Primary_Walkin")</f>
        <v>Primary_Walkin</v>
      </c>
      <c r="E227" s="127">
        <f>IFERROR(__xludf.DUMMYFUNCTION("""COMPUTED_VALUE"""),4.0)</f>
        <v>4</v>
      </c>
      <c r="F227" s="128" t="str">
        <f>IFERROR(__xludf.DUMMYFUNCTION("""COMPUTED_VALUE"""),"Cold")</f>
        <v>Cold</v>
      </c>
      <c r="G227" s="124" t="str">
        <f>IFERROR(__xludf.DUMMYFUNCTION("""COMPUTED_VALUE"""),"State PCS")</f>
        <v>State PCS</v>
      </c>
      <c r="K227" s="124"/>
      <c r="L227" s="124"/>
      <c r="M227" s="124"/>
      <c r="N227" s="124"/>
      <c r="O227" s="124"/>
      <c r="T227" s="126">
        <f>IFERROR(__xludf.DUMMYFUNCTION("""COMPUTED_VALUE"""),46068.0)</f>
        <v>46068</v>
      </c>
      <c r="U227" s="124" t="str">
        <f>IFERROR(__xludf.DUMMYFUNCTION("""COMPUTED_VALUE"""),"Publisher Campaign")</f>
        <v>Publisher Campaign</v>
      </c>
      <c r="V227" s="124" t="str">
        <f>IFERROR(__xludf.DUMMYFUNCTION("""COMPUTED_VALUE"""),"Webinar")</f>
        <v>Webinar</v>
      </c>
      <c r="W227" s="124"/>
      <c r="X227" s="124"/>
      <c r="Y227" s="124" t="str">
        <f>IFERROR(__xludf.DUMMYFUNCTION("""COMPUTED_VALUE"""),"Delhi")</f>
        <v>Delhi</v>
      </c>
      <c r="Z227" s="124">
        <f>IFERROR(__xludf.DUMMYFUNCTION("""COMPUTED_VALUE"""),7.0)</f>
        <v>7</v>
      </c>
      <c r="AA227" s="124" t="str">
        <f>IFERROR(__xludf.DUMMYFUNCTION("""COMPUTED_VALUE"""),"Cold")</f>
        <v>Cold</v>
      </c>
      <c r="AB227" s="124" t="str">
        <f>IFERROR(__xludf.DUMMYFUNCTION("""COMPUTED_VALUE"""),"CSAT")</f>
        <v>CSAT</v>
      </c>
    </row>
    <row r="228">
      <c r="A228" s="126">
        <f>IFERROR(__xludf.DUMMYFUNCTION("""COMPUTED_VALUE"""),46065.0)</f>
        <v>46065</v>
      </c>
      <c r="B228" s="124" t="str">
        <f>IFERROR(__xludf.DUMMYFUNCTION("""COMPUTED_VALUE"""),"Walkin")</f>
        <v>Walkin</v>
      </c>
      <c r="C228" s="124" t="str">
        <f>IFERROR(__xludf.DUMMYFUNCTION("""COMPUTED_VALUE"""),"Patna")</f>
        <v>Patna</v>
      </c>
      <c r="D228" s="124" t="str">
        <f>IFERROR(__xludf.DUMMYFUNCTION("""COMPUTED_VALUE"""),"Primary_Walkin")</f>
        <v>Primary_Walkin</v>
      </c>
      <c r="E228" s="127">
        <f>IFERROR(__xludf.DUMMYFUNCTION("""COMPUTED_VALUE"""),1.0)</f>
        <v>1</v>
      </c>
      <c r="F228" s="128" t="str">
        <f>IFERROR(__xludf.DUMMYFUNCTION("""COMPUTED_VALUE"""),"Future Prospects")</f>
        <v>Future Prospects</v>
      </c>
      <c r="G228" s="124" t="str">
        <f>IFERROR(__xludf.DUMMYFUNCTION("""COMPUTED_VALUE"""),"State PCS")</f>
        <v>State PCS</v>
      </c>
      <c r="K228" s="124"/>
      <c r="L228" s="124"/>
      <c r="M228" s="124"/>
      <c r="N228" s="124"/>
      <c r="O228" s="124"/>
      <c r="T228" s="126">
        <f>IFERROR(__xludf.DUMMYFUNCTION("""COMPUTED_VALUE"""),46061.0)</f>
        <v>46061</v>
      </c>
      <c r="U228" s="124" t="str">
        <f>IFERROR(__xludf.DUMMYFUNCTION("""COMPUTED_VALUE"""),"Publisher Campaign")</f>
        <v>Publisher Campaign</v>
      </c>
      <c r="V228" s="124" t="str">
        <f>IFERROR(__xludf.DUMMYFUNCTION("""COMPUTED_VALUE"""),"Webinar")</f>
        <v>Webinar</v>
      </c>
      <c r="W228" s="124"/>
      <c r="X228" s="124"/>
      <c r="Y228" s="124" t="str">
        <f>IFERROR(__xludf.DUMMYFUNCTION("""COMPUTED_VALUE"""),"Delhi")</f>
        <v>Delhi</v>
      </c>
      <c r="Z228" s="124">
        <f>IFERROR(__xludf.DUMMYFUNCTION("""COMPUTED_VALUE"""),3.0)</f>
        <v>3</v>
      </c>
      <c r="AA228" s="124" t="str">
        <f>IFERROR(__xludf.DUMMYFUNCTION("""COMPUTED_VALUE"""),"Not Interested")</f>
        <v>Not Interested</v>
      </c>
      <c r="AB228" s="124" t="str">
        <f>IFERROR(__xludf.DUMMYFUNCTION("""COMPUTED_VALUE"""),"Other")</f>
        <v>Other</v>
      </c>
    </row>
    <row r="229">
      <c r="A229" s="126">
        <f>IFERROR(__xludf.DUMMYFUNCTION("""COMPUTED_VALUE"""),46074.0)</f>
        <v>46074</v>
      </c>
      <c r="B229" s="124" t="str">
        <f>IFERROR(__xludf.DUMMYFUNCTION("""COMPUTED_VALUE"""),"Walkin")</f>
        <v>Walkin</v>
      </c>
      <c r="C229" s="124" t="str">
        <f>IFERROR(__xludf.DUMMYFUNCTION("""COMPUTED_VALUE"""),"Patna")</f>
        <v>Patna</v>
      </c>
      <c r="D229" s="124" t="str">
        <f>IFERROR(__xludf.DUMMYFUNCTION("""COMPUTED_VALUE"""),"Primary_Walkin")</f>
        <v>Primary_Walkin</v>
      </c>
      <c r="E229" s="127">
        <f>IFERROR(__xludf.DUMMYFUNCTION("""COMPUTED_VALUE"""),5.0)</f>
        <v>5</v>
      </c>
      <c r="F229" s="128" t="str">
        <f>IFERROR(__xludf.DUMMYFUNCTION("""COMPUTED_VALUE"""),"Cold")</f>
        <v>Cold</v>
      </c>
      <c r="G229" s="124" t="str">
        <f>IFERROR(__xludf.DUMMYFUNCTION("""COMPUTED_VALUE"""),"State PCS")</f>
        <v>State PCS</v>
      </c>
      <c r="K229" s="124"/>
      <c r="L229" s="124"/>
      <c r="M229" s="124"/>
      <c r="N229" s="124"/>
      <c r="O229" s="124"/>
      <c r="T229" s="126">
        <f>IFERROR(__xludf.DUMMYFUNCTION("""COMPUTED_VALUE"""),46089.0)</f>
        <v>46089</v>
      </c>
      <c r="U229" s="124" t="str">
        <f>IFERROR(__xludf.DUMMYFUNCTION("""COMPUTED_VALUE"""),"Publisher Campaign")</f>
        <v>Publisher Campaign</v>
      </c>
      <c r="V229" s="124" t="str">
        <f>IFERROR(__xludf.DUMMYFUNCTION("""COMPUTED_VALUE"""),"Webinar")</f>
        <v>Webinar</v>
      </c>
      <c r="W229" s="124"/>
      <c r="X229" s="124"/>
      <c r="Y229" s="124" t="str">
        <f>IFERROR(__xludf.DUMMYFUNCTION("""COMPUTED_VALUE"""),"Delhi")</f>
        <v>Delhi</v>
      </c>
      <c r="Z229" s="124">
        <f>IFERROR(__xludf.DUMMYFUNCTION("""COMPUTED_VALUE"""),14.0)</f>
        <v>14</v>
      </c>
      <c r="AA229" s="124" t="str">
        <f>IFERROR(__xludf.DUMMYFUNCTION("""COMPUTED_VALUE"""),"Cold")</f>
        <v>Cold</v>
      </c>
      <c r="AB229" s="124" t="str">
        <f>IFERROR(__xludf.DUMMYFUNCTION("""COMPUTED_VALUE"""),"GS Foundation")</f>
        <v>GS Foundation</v>
      </c>
    </row>
    <row r="230">
      <c r="A230" s="126">
        <f>IFERROR(__xludf.DUMMYFUNCTION("""COMPUTED_VALUE"""),46100.0)</f>
        <v>46100</v>
      </c>
      <c r="B230" s="124" t="str">
        <f>IFERROR(__xludf.DUMMYFUNCTION("""COMPUTED_VALUE"""),"Walkin")</f>
        <v>Walkin</v>
      </c>
      <c r="C230" s="124" t="str">
        <f>IFERROR(__xludf.DUMMYFUNCTION("""COMPUTED_VALUE"""),"Patna")</f>
        <v>Patna</v>
      </c>
      <c r="D230" s="124" t="str">
        <f>IFERROR(__xludf.DUMMYFUNCTION("""COMPUTED_VALUE"""),"Primary_Walkin")</f>
        <v>Primary_Walkin</v>
      </c>
      <c r="E230" s="127">
        <f>IFERROR(__xludf.DUMMYFUNCTION("""COMPUTED_VALUE"""),1.0)</f>
        <v>1</v>
      </c>
      <c r="F230" s="128" t="str">
        <f>IFERROR(__xludf.DUMMYFUNCTION("""COMPUTED_VALUE"""),"Not Interested")</f>
        <v>Not Interested</v>
      </c>
      <c r="G230" s="124" t="str">
        <f>IFERROR(__xludf.DUMMYFUNCTION("""COMPUTED_VALUE"""),"State PCS")</f>
        <v>State PCS</v>
      </c>
      <c r="K230" s="124"/>
      <c r="L230" s="124"/>
      <c r="M230" s="124"/>
      <c r="N230" s="124"/>
      <c r="O230" s="124"/>
      <c r="T230" s="126">
        <f>IFERROR(__xludf.DUMMYFUNCTION("""COMPUTED_VALUE"""),46088.0)</f>
        <v>46088</v>
      </c>
      <c r="U230" s="124" t="str">
        <f>IFERROR(__xludf.DUMMYFUNCTION("""COMPUTED_VALUE"""),"Publisher Campaign")</f>
        <v>Publisher Campaign</v>
      </c>
      <c r="V230" s="124" t="str">
        <f>IFERROR(__xludf.DUMMYFUNCTION("""COMPUTED_VALUE"""),"Webinar")</f>
        <v>Webinar</v>
      </c>
      <c r="W230" s="124"/>
      <c r="X230" s="124"/>
      <c r="Y230" s="124" t="str">
        <f>IFERROR(__xludf.DUMMYFUNCTION("""COMPUTED_VALUE"""),"Delhi")</f>
        <v>Delhi</v>
      </c>
      <c r="Z230" s="124">
        <f>IFERROR(__xludf.DUMMYFUNCTION("""COMPUTED_VALUE"""),19.0)</f>
        <v>19</v>
      </c>
      <c r="AA230" s="124" t="str">
        <f>IFERROR(__xludf.DUMMYFUNCTION("""COMPUTED_VALUE"""),"Cold")</f>
        <v>Cold</v>
      </c>
      <c r="AB230" s="124" t="str">
        <f>IFERROR(__xludf.DUMMYFUNCTION("""COMPUTED_VALUE"""),"GS Foundation")</f>
        <v>GS Foundation</v>
      </c>
    </row>
    <row r="231">
      <c r="A231" s="126">
        <f>IFERROR(__xludf.DUMMYFUNCTION("""COMPUTED_VALUE"""),46094.0)</f>
        <v>46094</v>
      </c>
      <c r="B231" s="124" t="str">
        <f>IFERROR(__xludf.DUMMYFUNCTION("""COMPUTED_VALUE"""),"Walkin")</f>
        <v>Walkin</v>
      </c>
      <c r="C231" s="124" t="str">
        <f>IFERROR(__xludf.DUMMYFUNCTION("""COMPUTED_VALUE"""),"Patna")</f>
        <v>Patna</v>
      </c>
      <c r="D231" s="124" t="str">
        <f>IFERROR(__xludf.DUMMYFUNCTION("""COMPUTED_VALUE"""),"Primary_Walkin")</f>
        <v>Primary_Walkin</v>
      </c>
      <c r="E231" s="127">
        <f>IFERROR(__xludf.DUMMYFUNCTION("""COMPUTED_VALUE"""),2.0)</f>
        <v>2</v>
      </c>
      <c r="F231" s="128" t="str">
        <f>IFERROR(__xludf.DUMMYFUNCTION("""COMPUTED_VALUE"""),"Not Interested")</f>
        <v>Not Interested</v>
      </c>
      <c r="G231" s="124" t="str">
        <f>IFERROR(__xludf.DUMMYFUNCTION("""COMPUTED_VALUE"""),"GS Foundation")</f>
        <v>GS Foundation</v>
      </c>
      <c r="K231" s="124"/>
      <c r="L231" s="124"/>
      <c r="M231" s="124"/>
      <c r="N231" s="124"/>
      <c r="O231" s="124"/>
      <c r="T231" s="126">
        <f>IFERROR(__xludf.DUMMYFUNCTION("""COMPUTED_VALUE"""),46087.0)</f>
        <v>46087</v>
      </c>
      <c r="U231" s="124" t="str">
        <f>IFERROR(__xludf.DUMMYFUNCTION("""COMPUTED_VALUE"""),"Publisher Campaign")</f>
        <v>Publisher Campaign</v>
      </c>
      <c r="V231" s="124" t="str">
        <f>IFERROR(__xludf.DUMMYFUNCTION("""COMPUTED_VALUE"""),"Webinar")</f>
        <v>Webinar</v>
      </c>
      <c r="W231" s="124"/>
      <c r="X231" s="124"/>
      <c r="Y231" s="124" t="str">
        <f>IFERROR(__xludf.DUMMYFUNCTION("""COMPUTED_VALUE"""),"Delhi")</f>
        <v>Delhi</v>
      </c>
      <c r="Z231" s="124">
        <f>IFERROR(__xludf.DUMMYFUNCTION("""COMPUTED_VALUE"""),3.0)</f>
        <v>3</v>
      </c>
      <c r="AA231" s="124" t="str">
        <f>IFERROR(__xludf.DUMMYFUNCTION("""COMPUTED_VALUE"""),"Engaged")</f>
        <v>Engaged</v>
      </c>
      <c r="AB231" s="124" t="str">
        <f>IFERROR(__xludf.DUMMYFUNCTION("""COMPUTED_VALUE"""),"GS Foundation")</f>
        <v>GS Foundation</v>
      </c>
    </row>
    <row r="232">
      <c r="A232" s="126">
        <f>IFERROR(__xludf.DUMMYFUNCTION("""COMPUTED_VALUE"""),46090.0)</f>
        <v>46090</v>
      </c>
      <c r="B232" s="124" t="str">
        <f>IFERROR(__xludf.DUMMYFUNCTION("""COMPUTED_VALUE"""),"Walkin")</f>
        <v>Walkin</v>
      </c>
      <c r="C232" s="124" t="str">
        <f>IFERROR(__xludf.DUMMYFUNCTION("""COMPUTED_VALUE"""),"Patna")</f>
        <v>Patna</v>
      </c>
      <c r="D232" s="124" t="str">
        <f>IFERROR(__xludf.DUMMYFUNCTION("""COMPUTED_VALUE"""),"Primary_Walkin")</f>
        <v>Primary_Walkin</v>
      </c>
      <c r="E232" s="127">
        <f>IFERROR(__xludf.DUMMYFUNCTION("""COMPUTED_VALUE"""),1.0)</f>
        <v>1</v>
      </c>
      <c r="F232" s="128" t="str">
        <f>IFERROR(__xludf.DUMMYFUNCTION("""COMPUTED_VALUE"""),"Cold")</f>
        <v>Cold</v>
      </c>
      <c r="G232" s="124" t="str">
        <f>IFERROR(__xludf.DUMMYFUNCTION("""COMPUTED_VALUE"""),"Test Series")</f>
        <v>Test Series</v>
      </c>
      <c r="K232" s="124"/>
      <c r="L232" s="124"/>
      <c r="M232" s="124"/>
      <c r="N232" s="124"/>
      <c r="O232" s="124"/>
      <c r="T232" s="126">
        <f>IFERROR(__xludf.DUMMYFUNCTION("""COMPUTED_VALUE"""),46061.0)</f>
        <v>46061</v>
      </c>
      <c r="U232" s="124" t="str">
        <f>IFERROR(__xludf.DUMMYFUNCTION("""COMPUTED_VALUE"""),"Publisher Campaign")</f>
        <v>Publisher Campaign</v>
      </c>
      <c r="V232" s="124" t="str">
        <f>IFERROR(__xludf.DUMMYFUNCTION("""COMPUTED_VALUE"""),"Webinar")</f>
        <v>Webinar</v>
      </c>
      <c r="W232" s="124"/>
      <c r="X232" s="124"/>
      <c r="Y232" s="124" t="str">
        <f>IFERROR(__xludf.DUMMYFUNCTION("""COMPUTED_VALUE"""),"Delhi")</f>
        <v>Delhi</v>
      </c>
      <c r="Z232" s="124">
        <f>IFERROR(__xludf.DUMMYFUNCTION("""COMPUTED_VALUE"""),12.0)</f>
        <v>12</v>
      </c>
      <c r="AA232" s="124" t="str">
        <f>IFERROR(__xludf.DUMMYFUNCTION("""COMPUTED_VALUE"""),"Cold")</f>
        <v>Cold</v>
      </c>
      <c r="AB232" s="124" t="str">
        <f>IFERROR(__xludf.DUMMYFUNCTION("""COMPUTED_VALUE"""),"Prelims Crash Course - SIP")</f>
        <v>Prelims Crash Course - SIP</v>
      </c>
    </row>
    <row r="233">
      <c r="A233" s="126">
        <f>IFERROR(__xludf.DUMMYFUNCTION("""COMPUTED_VALUE"""),46046.0)</f>
        <v>46046</v>
      </c>
      <c r="B233" s="124" t="str">
        <f>IFERROR(__xludf.DUMMYFUNCTION("""COMPUTED_VALUE"""),"Walkin")</f>
        <v>Walkin</v>
      </c>
      <c r="C233" s="124" t="str">
        <f>IFERROR(__xludf.DUMMYFUNCTION("""COMPUTED_VALUE"""),"Patna")</f>
        <v>Patna</v>
      </c>
      <c r="D233" s="124" t="str">
        <f>IFERROR(__xludf.DUMMYFUNCTION("""COMPUTED_VALUE"""),"Primary_Walkin")</f>
        <v>Primary_Walkin</v>
      </c>
      <c r="E233" s="127">
        <f>IFERROR(__xludf.DUMMYFUNCTION("""COMPUTED_VALUE"""),2.0)</f>
        <v>2</v>
      </c>
      <c r="F233" s="128" t="str">
        <f>IFERROR(__xludf.DUMMYFUNCTION("""COMPUTED_VALUE"""),"Fake Lead")</f>
        <v>Fake Lead</v>
      </c>
      <c r="G233" s="124" t="str">
        <f>IFERROR(__xludf.DUMMYFUNCTION("""COMPUTED_VALUE"""),"Test Series")</f>
        <v>Test Series</v>
      </c>
      <c r="K233" s="124"/>
      <c r="L233" s="124"/>
      <c r="M233" s="124"/>
      <c r="N233" s="124"/>
      <c r="O233" s="124"/>
      <c r="T233" s="126">
        <f>IFERROR(__xludf.DUMMYFUNCTION("""COMPUTED_VALUE"""),46077.0)</f>
        <v>46077</v>
      </c>
      <c r="U233" s="124" t="str">
        <f>IFERROR(__xludf.DUMMYFUNCTION("""COMPUTED_VALUE"""),"Publisher Campaign")</f>
        <v>Publisher Campaign</v>
      </c>
      <c r="V233" s="124" t="str">
        <f>IFERROR(__xludf.DUMMYFUNCTION("""COMPUTED_VALUE"""),"Webinar")</f>
        <v>Webinar</v>
      </c>
      <c r="W233" s="124"/>
      <c r="X233" s="124"/>
      <c r="Y233" s="124" t="str">
        <f>IFERROR(__xludf.DUMMYFUNCTION("""COMPUTED_VALUE"""),"Delhi")</f>
        <v>Delhi</v>
      </c>
      <c r="Z233" s="124">
        <f>IFERROR(__xludf.DUMMYFUNCTION("""COMPUTED_VALUE"""),4.0)</f>
        <v>4</v>
      </c>
      <c r="AA233" s="124" t="str">
        <f>IFERROR(__xludf.DUMMYFUNCTION("""COMPUTED_VALUE"""),"Cold")</f>
        <v>Cold</v>
      </c>
      <c r="AB233" s="124" t="str">
        <f>IFERROR(__xludf.DUMMYFUNCTION("""COMPUTED_VALUE"""),"GS Foundation")</f>
        <v>GS Foundation</v>
      </c>
    </row>
    <row r="234">
      <c r="A234" s="126">
        <f>IFERROR(__xludf.DUMMYFUNCTION("""COMPUTED_VALUE"""),46064.0)</f>
        <v>46064</v>
      </c>
      <c r="B234" s="124" t="str">
        <f>IFERROR(__xludf.DUMMYFUNCTION("""COMPUTED_VALUE"""),"Walkin")</f>
        <v>Walkin</v>
      </c>
      <c r="C234" s="124" t="str">
        <f>IFERROR(__xludf.DUMMYFUNCTION("""COMPUTED_VALUE"""),"Patna")</f>
        <v>Patna</v>
      </c>
      <c r="D234" s="124" t="str">
        <f>IFERROR(__xludf.DUMMYFUNCTION("""COMPUTED_VALUE"""),"Primary_Walkin")</f>
        <v>Primary_Walkin</v>
      </c>
      <c r="E234" s="127">
        <f>IFERROR(__xludf.DUMMYFUNCTION("""COMPUTED_VALUE"""),2.0)</f>
        <v>2</v>
      </c>
      <c r="F234" s="128" t="str">
        <f>IFERROR(__xludf.DUMMYFUNCTION("""COMPUTED_VALUE"""),"Warm")</f>
        <v>Warm</v>
      </c>
      <c r="G234" s="124" t="str">
        <f>IFERROR(__xludf.DUMMYFUNCTION("""COMPUTED_VALUE"""),"State PCS")</f>
        <v>State PCS</v>
      </c>
      <c r="K234" s="124"/>
      <c r="L234" s="124"/>
      <c r="M234" s="124"/>
      <c r="N234" s="124"/>
      <c r="O234" s="124"/>
      <c r="T234" s="129">
        <f>IFERROR(__xludf.DUMMYFUNCTION("""COMPUTED_VALUE"""),46065.0)</f>
        <v>46065</v>
      </c>
      <c r="U234" s="124" t="str">
        <f>IFERROR(__xludf.DUMMYFUNCTION("""COMPUTED_VALUE"""),"Publisher Campaign")</f>
        <v>Publisher Campaign</v>
      </c>
      <c r="V234" s="124" t="str">
        <f>IFERROR(__xludf.DUMMYFUNCTION("""COMPUTED_VALUE"""),"BTL Activities")</f>
        <v>BTL Activities</v>
      </c>
      <c r="W234" s="124"/>
      <c r="X234" s="124"/>
      <c r="Y234" s="124" t="str">
        <f>IFERROR(__xludf.DUMMYFUNCTION("""COMPUTED_VALUE"""),"Indore")</f>
        <v>Indore</v>
      </c>
      <c r="Z234" s="124">
        <f>IFERROR(__xludf.DUMMYFUNCTION("""COMPUTED_VALUE"""),1.0)</f>
        <v>1</v>
      </c>
      <c r="AA234" s="124" t="str">
        <f>IFERROR(__xludf.DUMMYFUNCTION("""COMPUTED_VALUE"""),"Cold")</f>
        <v>Cold</v>
      </c>
      <c r="AB234" s="124" t="str">
        <f>IFERROR(__xludf.DUMMYFUNCTION("""COMPUTED_VALUE"""),"State PCS")</f>
        <v>State PCS</v>
      </c>
    </row>
    <row r="235">
      <c r="A235" s="126">
        <f>IFERROR(__xludf.DUMMYFUNCTION("""COMPUTED_VALUE"""),46057.0)</f>
        <v>46057</v>
      </c>
      <c r="B235" s="124" t="str">
        <f>IFERROR(__xludf.DUMMYFUNCTION("""COMPUTED_VALUE"""),"Walkin")</f>
        <v>Walkin</v>
      </c>
      <c r="C235" s="124" t="str">
        <f>IFERROR(__xludf.DUMMYFUNCTION("""COMPUTED_VALUE"""),"Patna")</f>
        <v>Patna</v>
      </c>
      <c r="D235" s="124" t="str">
        <f>IFERROR(__xludf.DUMMYFUNCTION("""COMPUTED_VALUE"""),"Primary_Walkin")</f>
        <v>Primary_Walkin</v>
      </c>
      <c r="E235" s="127">
        <f>IFERROR(__xludf.DUMMYFUNCTION("""COMPUTED_VALUE"""),3.0)</f>
        <v>3</v>
      </c>
      <c r="F235" s="128" t="str">
        <f>IFERROR(__xludf.DUMMYFUNCTION("""COMPUTED_VALUE"""),"Cold")</f>
        <v>Cold</v>
      </c>
      <c r="G235" s="124" t="str">
        <f>IFERROR(__xludf.DUMMYFUNCTION("""COMPUTED_VALUE"""),"State PCS")</f>
        <v>State PCS</v>
      </c>
      <c r="K235" s="124"/>
      <c r="L235" s="124"/>
      <c r="M235" s="124"/>
      <c r="N235" s="124"/>
      <c r="O235" s="124"/>
      <c r="T235" s="126">
        <f>IFERROR(__xludf.DUMMYFUNCTION("""COMPUTED_VALUE"""),46098.0)</f>
        <v>46098</v>
      </c>
      <c r="U235" s="124" t="str">
        <f>IFERROR(__xludf.DUMMYFUNCTION("""COMPUTED_VALUE"""),"Libraries")</f>
        <v>Libraries</v>
      </c>
      <c r="V235" s="124" t="str">
        <f>IFERROR(__xludf.DUMMYFUNCTION("""COMPUTED_VALUE"""),"Libraries")</f>
        <v>Libraries</v>
      </c>
      <c r="W235" s="124"/>
      <c r="X235" s="124"/>
      <c r="Y235" s="124" t="str">
        <f>IFERROR(__xludf.DUMMYFUNCTION("""COMPUTED_VALUE"""),"Prayagraj")</f>
        <v>Prayagraj</v>
      </c>
      <c r="Z235" s="124">
        <f>IFERROR(__xludf.DUMMYFUNCTION("""COMPUTED_VALUE"""),7.0)</f>
        <v>7</v>
      </c>
      <c r="AA235" s="124"/>
      <c r="AB235" s="124" t="str">
        <f>IFERROR(__xludf.DUMMYFUNCTION("""COMPUTED_VALUE"""),"State PCS")</f>
        <v>State PCS</v>
      </c>
    </row>
    <row r="236">
      <c r="A236" s="129">
        <f>IFERROR(__xludf.DUMMYFUNCTION("""COMPUTED_VALUE"""),46092.0)</f>
        <v>46092</v>
      </c>
      <c r="B236" s="124" t="str">
        <f>IFERROR(__xludf.DUMMYFUNCTION("""COMPUTED_VALUE"""),"Walkin")</f>
        <v>Walkin</v>
      </c>
      <c r="C236" s="124" t="str">
        <f>IFERROR(__xludf.DUMMYFUNCTION("""COMPUTED_VALUE"""),"Patna")</f>
        <v>Patna</v>
      </c>
      <c r="D236" s="124" t="str">
        <f>IFERROR(__xludf.DUMMYFUNCTION("""COMPUTED_VALUE"""),"Primary_Walkin")</f>
        <v>Primary_Walkin</v>
      </c>
      <c r="E236" s="127">
        <f>IFERROR(__xludf.DUMMYFUNCTION("""COMPUTED_VALUE"""),3.0)</f>
        <v>3</v>
      </c>
      <c r="F236" s="128" t="str">
        <f>IFERROR(__xludf.DUMMYFUNCTION("""COMPUTED_VALUE"""),"Cold")</f>
        <v>Cold</v>
      </c>
      <c r="G236" s="124" t="str">
        <f>IFERROR(__xludf.DUMMYFUNCTION("""COMPUTED_VALUE"""),"State PCS")</f>
        <v>State PCS</v>
      </c>
      <c r="K236" s="124"/>
      <c r="L236" s="124"/>
      <c r="M236" s="124"/>
      <c r="N236" s="124"/>
      <c r="O236" s="124"/>
      <c r="T236" s="126">
        <f>IFERROR(__xludf.DUMMYFUNCTION("""COMPUTED_VALUE"""),46065.0)</f>
        <v>46065</v>
      </c>
      <c r="U236" s="124" t="str">
        <f>IFERROR(__xludf.DUMMYFUNCTION("""COMPUTED_VALUE"""),"Publisher Campaign")</f>
        <v>Publisher Campaign</v>
      </c>
      <c r="V236" s="124" t="str">
        <f>IFERROR(__xludf.DUMMYFUNCTION("""COMPUTED_VALUE"""),"BTL Activities")</f>
        <v>BTL Activities</v>
      </c>
      <c r="W236" s="124"/>
      <c r="X236" s="124"/>
      <c r="Y236" s="124" t="str">
        <f>IFERROR(__xludf.DUMMYFUNCTION("""COMPUTED_VALUE"""),"Indore")</f>
        <v>Indore</v>
      </c>
      <c r="Z236" s="124">
        <f>IFERROR(__xludf.DUMMYFUNCTION("""COMPUTED_VALUE"""),1.0)</f>
        <v>1</v>
      </c>
      <c r="AA236" s="124" t="str">
        <f>IFERROR(__xludf.DUMMYFUNCTION("""COMPUTED_VALUE"""),"Cold")</f>
        <v>Cold</v>
      </c>
      <c r="AB236" s="124" t="str">
        <f>IFERROR(__xludf.DUMMYFUNCTION("""COMPUTED_VALUE"""),"GS Advanced")</f>
        <v>GS Advanced</v>
      </c>
    </row>
    <row r="237">
      <c r="A237" s="126">
        <f>IFERROR(__xludf.DUMMYFUNCTION("""COMPUTED_VALUE"""),46097.0)</f>
        <v>46097</v>
      </c>
      <c r="B237" s="124" t="str">
        <f>IFERROR(__xludf.DUMMYFUNCTION("""COMPUTED_VALUE"""),"Walkin")</f>
        <v>Walkin</v>
      </c>
      <c r="C237" s="124" t="str">
        <f>IFERROR(__xludf.DUMMYFUNCTION("""COMPUTED_VALUE"""),"Patna")</f>
        <v>Patna</v>
      </c>
      <c r="D237" s="124" t="str">
        <f>IFERROR(__xludf.DUMMYFUNCTION("""COMPUTED_VALUE"""),"Primary_Walkin")</f>
        <v>Primary_Walkin</v>
      </c>
      <c r="E237" s="127">
        <f>IFERROR(__xludf.DUMMYFUNCTION("""COMPUTED_VALUE"""),7.0)</f>
        <v>7</v>
      </c>
      <c r="F237" s="128" t="str">
        <f>IFERROR(__xludf.DUMMYFUNCTION("""COMPUTED_VALUE"""),"Warm")</f>
        <v>Warm</v>
      </c>
      <c r="G237" s="124" t="str">
        <f>IFERROR(__xludf.DUMMYFUNCTION("""COMPUTED_VALUE"""),"State PCS")</f>
        <v>State PCS</v>
      </c>
      <c r="K237" s="124"/>
      <c r="L237" s="124"/>
      <c r="M237" s="124"/>
      <c r="N237" s="124"/>
      <c r="O237" s="124"/>
      <c r="T237" s="126">
        <f>IFERROR(__xludf.DUMMYFUNCTION("""COMPUTED_VALUE"""),46086.0)</f>
        <v>46086</v>
      </c>
      <c r="U237" s="124" t="str">
        <f>IFERROR(__xludf.DUMMYFUNCTION("""COMPUTED_VALUE"""),"Publisher Campaign")</f>
        <v>Publisher Campaign</v>
      </c>
      <c r="V237" s="124" t="str">
        <f>IFERROR(__xludf.DUMMYFUNCTION("""COMPUTED_VALUE"""),"Webinar")</f>
        <v>Webinar</v>
      </c>
      <c r="W237" s="124"/>
      <c r="X237" s="124"/>
      <c r="Y237" s="124" t="str">
        <f>IFERROR(__xludf.DUMMYFUNCTION("""COMPUTED_VALUE"""),"Delhi")</f>
        <v>Delhi</v>
      </c>
      <c r="Z237" s="124">
        <f>IFERROR(__xludf.DUMMYFUNCTION("""COMPUTED_VALUE"""),4.0)</f>
        <v>4</v>
      </c>
      <c r="AA237" s="124" t="str">
        <f>IFERROR(__xludf.DUMMYFUNCTION("""COMPUTED_VALUE"""),"Cold")</f>
        <v>Cold</v>
      </c>
      <c r="AB237" s="124" t="str">
        <f>IFERROR(__xludf.DUMMYFUNCTION("""COMPUTED_VALUE"""),"State PCS")</f>
        <v>State PCS</v>
      </c>
    </row>
    <row r="238">
      <c r="A238" s="129">
        <f>IFERROR(__xludf.DUMMYFUNCTION("""COMPUTED_VALUE"""),46101.0)</f>
        <v>46101</v>
      </c>
      <c r="B238" s="124" t="str">
        <f>IFERROR(__xludf.DUMMYFUNCTION("""COMPUTED_VALUE"""),"Walkin")</f>
        <v>Walkin</v>
      </c>
      <c r="C238" s="124" t="str">
        <f>IFERROR(__xludf.DUMMYFUNCTION("""COMPUTED_VALUE"""),"Patna")</f>
        <v>Patna</v>
      </c>
      <c r="D238" s="124" t="str">
        <f>IFERROR(__xludf.DUMMYFUNCTION("""COMPUTED_VALUE"""),"Primary_Walkin")</f>
        <v>Primary_Walkin</v>
      </c>
      <c r="E238" s="127">
        <f>IFERROR(__xludf.DUMMYFUNCTION("""COMPUTED_VALUE"""),3.0)</f>
        <v>3</v>
      </c>
      <c r="F238" s="128" t="str">
        <f>IFERROR(__xludf.DUMMYFUNCTION("""COMPUTED_VALUE"""),"Fake Lead")</f>
        <v>Fake Lead</v>
      </c>
      <c r="G238" s="124" t="str">
        <f>IFERROR(__xludf.DUMMYFUNCTION("""COMPUTED_VALUE"""),"State PCS")</f>
        <v>State PCS</v>
      </c>
      <c r="K238" s="124"/>
      <c r="L238" s="124"/>
      <c r="M238" s="124"/>
      <c r="N238" s="124"/>
      <c r="O238" s="124"/>
      <c r="T238" s="126">
        <f>IFERROR(__xludf.DUMMYFUNCTION("""COMPUTED_VALUE"""),46078.0)</f>
        <v>46078</v>
      </c>
      <c r="U238" s="124" t="str">
        <f>IFERROR(__xludf.DUMMYFUNCTION("""COMPUTED_VALUE"""),"Publisher Campaign")</f>
        <v>Publisher Campaign</v>
      </c>
      <c r="V238" s="124" t="str">
        <f>IFERROR(__xludf.DUMMYFUNCTION("""COMPUTED_VALUE"""),"Webinar")</f>
        <v>Webinar</v>
      </c>
      <c r="W238" s="124"/>
      <c r="X238" s="124"/>
      <c r="Y238" s="124" t="str">
        <f>IFERROR(__xludf.DUMMYFUNCTION("""COMPUTED_VALUE"""),"Patna")</f>
        <v>Patna</v>
      </c>
      <c r="Z238" s="124">
        <f>IFERROR(__xludf.DUMMYFUNCTION("""COMPUTED_VALUE"""),1.0)</f>
        <v>1</v>
      </c>
      <c r="AA238" s="124" t="str">
        <f>IFERROR(__xludf.DUMMYFUNCTION("""COMPUTED_VALUE"""),"Cold")</f>
        <v>Cold</v>
      </c>
      <c r="AB238" s="124" t="str">
        <f>IFERROR(__xludf.DUMMYFUNCTION("""COMPUTED_VALUE"""),"Other")</f>
        <v>Other</v>
      </c>
    </row>
    <row r="239">
      <c r="A239" s="126">
        <f>IFERROR(__xludf.DUMMYFUNCTION("""COMPUTED_VALUE"""),46065.0)</f>
        <v>46065</v>
      </c>
      <c r="B239" s="124" t="str">
        <f>IFERROR(__xludf.DUMMYFUNCTION("""COMPUTED_VALUE"""),"Walkin")</f>
        <v>Walkin</v>
      </c>
      <c r="C239" s="124" t="str">
        <f>IFERROR(__xludf.DUMMYFUNCTION("""COMPUTED_VALUE"""),"Patna")</f>
        <v>Patna</v>
      </c>
      <c r="D239" s="124" t="str">
        <f>IFERROR(__xludf.DUMMYFUNCTION("""COMPUTED_VALUE"""),"Primary_Walkin")</f>
        <v>Primary_Walkin</v>
      </c>
      <c r="E239" s="127">
        <f>IFERROR(__xludf.DUMMYFUNCTION("""COMPUTED_VALUE"""),7.0)</f>
        <v>7</v>
      </c>
      <c r="F239" s="128" t="str">
        <f>IFERROR(__xludf.DUMMYFUNCTION("""COMPUTED_VALUE"""),"Cold")</f>
        <v>Cold</v>
      </c>
      <c r="G239" s="124" t="str">
        <f>IFERROR(__xludf.DUMMYFUNCTION("""COMPUTED_VALUE"""),"State PCS")</f>
        <v>State PCS</v>
      </c>
      <c r="K239" s="124"/>
      <c r="L239" s="124"/>
      <c r="M239" s="124"/>
      <c r="N239" s="124"/>
      <c r="O239" s="124"/>
      <c r="T239" s="126">
        <f>IFERROR(__xludf.DUMMYFUNCTION("""COMPUTED_VALUE"""),46062.0)</f>
        <v>46062</v>
      </c>
      <c r="U239" s="124" t="str">
        <f>IFERROR(__xludf.DUMMYFUNCTION("""COMPUTED_VALUE"""),"Publisher Campaign")</f>
        <v>Publisher Campaign</v>
      </c>
      <c r="V239" s="124" t="str">
        <f>IFERROR(__xludf.DUMMYFUNCTION("""COMPUTED_VALUE"""),"Webinar")</f>
        <v>Webinar</v>
      </c>
      <c r="W239" s="124"/>
      <c r="X239" s="124"/>
      <c r="Y239" s="124" t="str">
        <f>IFERROR(__xludf.DUMMYFUNCTION("""COMPUTED_VALUE"""),"Delhi")</f>
        <v>Delhi</v>
      </c>
      <c r="Z239" s="124">
        <f>IFERROR(__xludf.DUMMYFUNCTION("""COMPUTED_VALUE"""),5.0)</f>
        <v>5</v>
      </c>
      <c r="AA239" s="124" t="str">
        <f>IFERROR(__xludf.DUMMYFUNCTION("""COMPUTED_VALUE"""),"Cold")</f>
        <v>Cold</v>
      </c>
      <c r="AB239" s="124" t="str">
        <f>IFERROR(__xludf.DUMMYFUNCTION("""COMPUTED_VALUE"""),"Other")</f>
        <v>Other</v>
      </c>
    </row>
    <row r="240">
      <c r="A240" s="126">
        <f>IFERROR(__xludf.DUMMYFUNCTION("""COMPUTED_VALUE"""),46085.0)</f>
        <v>46085</v>
      </c>
      <c r="B240" s="124" t="str">
        <f>IFERROR(__xludf.DUMMYFUNCTION("""COMPUTED_VALUE"""),"Walkin")</f>
        <v>Walkin</v>
      </c>
      <c r="C240" s="124" t="str">
        <f>IFERROR(__xludf.DUMMYFUNCTION("""COMPUTED_VALUE"""),"Patna")</f>
        <v>Patna</v>
      </c>
      <c r="D240" s="124" t="str">
        <f>IFERROR(__xludf.DUMMYFUNCTION("""COMPUTED_VALUE"""),"Primary_Walkin")</f>
        <v>Primary_Walkin</v>
      </c>
      <c r="E240" s="127">
        <f>IFERROR(__xludf.DUMMYFUNCTION("""COMPUTED_VALUE"""),1.0)</f>
        <v>1</v>
      </c>
      <c r="F240" s="128" t="str">
        <f>IFERROR(__xludf.DUMMYFUNCTION("""COMPUTED_VALUE"""),"Not Interested")</f>
        <v>Not Interested</v>
      </c>
      <c r="G240" s="124" t="str">
        <f>IFERROR(__xludf.DUMMYFUNCTION("""COMPUTED_VALUE"""),"State PCS")</f>
        <v>State PCS</v>
      </c>
      <c r="K240" s="124"/>
      <c r="L240" s="124"/>
      <c r="M240" s="124"/>
      <c r="N240" s="124"/>
      <c r="O240" s="124"/>
      <c r="T240" s="126">
        <f>IFERROR(__xludf.DUMMYFUNCTION("""COMPUTED_VALUE"""),46098.0)</f>
        <v>46098</v>
      </c>
      <c r="U240" s="124" t="str">
        <f>IFERROR(__xludf.DUMMYFUNCTION("""COMPUTED_VALUE"""),"Libraries")</f>
        <v>Libraries</v>
      </c>
      <c r="V240" s="124" t="str">
        <f>IFERROR(__xludf.DUMMYFUNCTION("""COMPUTED_VALUE"""),"Libraries")</f>
        <v>Libraries</v>
      </c>
      <c r="W240" s="124"/>
      <c r="X240" s="124"/>
      <c r="Y240" s="124" t="str">
        <f>IFERROR(__xludf.DUMMYFUNCTION("""COMPUTED_VALUE"""),"Prayagraj")</f>
        <v>Prayagraj</v>
      </c>
      <c r="Z240" s="124">
        <f>IFERROR(__xludf.DUMMYFUNCTION("""COMPUTED_VALUE"""),7.0)</f>
        <v>7</v>
      </c>
      <c r="AA240" s="124" t="str">
        <f>IFERROR(__xludf.DUMMYFUNCTION("""COMPUTED_VALUE"""),"Engaged")</f>
        <v>Engaged</v>
      </c>
      <c r="AB240" s="124" t="str">
        <f>IFERROR(__xludf.DUMMYFUNCTION("""COMPUTED_VALUE"""),"GS Foundation")</f>
        <v>GS Foundation</v>
      </c>
    </row>
    <row r="241">
      <c r="A241" s="126">
        <f>IFERROR(__xludf.DUMMYFUNCTION("""COMPUTED_VALUE"""),46106.0)</f>
        <v>46106</v>
      </c>
      <c r="B241" s="124" t="str">
        <f>IFERROR(__xludf.DUMMYFUNCTION("""COMPUTED_VALUE"""),"Walk-In")</f>
        <v>Walk-In</v>
      </c>
      <c r="C241" s="124" t="str">
        <f>IFERROR(__xludf.DUMMYFUNCTION("""COMPUTED_VALUE"""),"Patna")</f>
        <v>Patna</v>
      </c>
      <c r="D241" s="124" t="str">
        <f>IFERROR(__xludf.DUMMYFUNCTION("""COMPUTED_VALUE"""),"Primary_Walkin")</f>
        <v>Primary_Walkin</v>
      </c>
      <c r="E241" s="127">
        <f>IFERROR(__xludf.DUMMYFUNCTION("""COMPUTED_VALUE"""),1.0)</f>
        <v>1</v>
      </c>
      <c r="F241" s="128" t="str">
        <f>IFERROR(__xludf.DUMMYFUNCTION("""COMPUTED_VALUE"""),"Cold")</f>
        <v>Cold</v>
      </c>
      <c r="G241" s="124" t="str">
        <f>IFERROR(__xludf.DUMMYFUNCTION("""COMPUTED_VALUE"""),"GS Foundation")</f>
        <v>GS Foundation</v>
      </c>
      <c r="K241" s="124"/>
      <c r="L241" s="124"/>
      <c r="M241" s="124"/>
      <c r="N241" s="124"/>
      <c r="O241" s="124"/>
      <c r="T241" s="126">
        <f>IFERROR(__xludf.DUMMYFUNCTION("""COMPUTED_VALUE"""),46080.0)</f>
        <v>46080</v>
      </c>
      <c r="U241" s="124" t="str">
        <f>IFERROR(__xludf.DUMMYFUNCTION("""COMPUTED_VALUE"""),"Publisher Campaign")</f>
        <v>Publisher Campaign</v>
      </c>
      <c r="V241" s="124" t="str">
        <f>IFERROR(__xludf.DUMMYFUNCTION("""COMPUTED_VALUE"""),"Webinar")</f>
        <v>Webinar</v>
      </c>
      <c r="W241" s="124"/>
      <c r="X241" s="124"/>
      <c r="Y241" s="124" t="str">
        <f>IFERROR(__xludf.DUMMYFUNCTION("""COMPUTED_VALUE"""),"Delhi")</f>
        <v>Delhi</v>
      </c>
      <c r="Z241" s="124">
        <f>IFERROR(__xludf.DUMMYFUNCTION("""COMPUTED_VALUE"""),3.0)</f>
        <v>3</v>
      </c>
      <c r="AA241" s="124" t="str">
        <f>IFERROR(__xludf.DUMMYFUNCTION("""COMPUTED_VALUE"""),"Cold")</f>
        <v>Cold</v>
      </c>
      <c r="AB241" s="124" t="str">
        <f>IFERROR(__xludf.DUMMYFUNCTION("""COMPUTED_VALUE"""),"GS Foundation")</f>
        <v>GS Foundation</v>
      </c>
    </row>
    <row r="242">
      <c r="A242" s="126">
        <f>IFERROR(__xludf.DUMMYFUNCTION("""COMPUTED_VALUE"""),46107.0)</f>
        <v>46107</v>
      </c>
      <c r="B242" s="124" t="str">
        <f>IFERROR(__xludf.DUMMYFUNCTION("""COMPUTED_VALUE"""),"Walk-In")</f>
        <v>Walk-In</v>
      </c>
      <c r="C242" s="124" t="str">
        <f>IFERROR(__xludf.DUMMYFUNCTION("""COMPUTED_VALUE"""),"Patna")</f>
        <v>Patna</v>
      </c>
      <c r="D242" s="124" t="str">
        <f>IFERROR(__xludf.DUMMYFUNCTION("""COMPUTED_VALUE"""),"Primary_Walkin")</f>
        <v>Primary_Walkin</v>
      </c>
      <c r="E242" s="127">
        <f>IFERROR(__xludf.DUMMYFUNCTION("""COMPUTED_VALUE"""),1.0)</f>
        <v>1</v>
      </c>
      <c r="F242" s="128" t="str">
        <f>IFERROR(__xludf.DUMMYFUNCTION("""COMPUTED_VALUE"""),"Fake Lead")</f>
        <v>Fake Lead</v>
      </c>
      <c r="G242" s="124" t="str">
        <f>IFERROR(__xludf.DUMMYFUNCTION("""COMPUTED_VALUE"""),"State PCS")</f>
        <v>State PCS</v>
      </c>
      <c r="K242" s="124"/>
      <c r="L242" s="124"/>
      <c r="M242" s="124"/>
      <c r="N242" s="124"/>
      <c r="O242" s="124"/>
      <c r="T242" s="129">
        <f>IFERROR(__xludf.DUMMYFUNCTION("""COMPUTED_VALUE"""),46093.0)</f>
        <v>46093</v>
      </c>
      <c r="U242" s="124" t="str">
        <f>IFERROR(__xludf.DUMMYFUNCTION("""COMPUTED_VALUE"""),"Paid Ads")</f>
        <v>Paid Ads</v>
      </c>
      <c r="V242" s="124" t="str">
        <f>IFERROR(__xludf.DUMMYFUNCTION("""COMPUTED_VALUE"""),"YouTube")</f>
        <v>YouTube</v>
      </c>
      <c r="W242" s="124"/>
      <c r="X242" s="124"/>
      <c r="Y242" s="124" t="str">
        <f>IFERROR(__xludf.DUMMYFUNCTION("""COMPUTED_VALUE"""),"Prayagraj")</f>
        <v>Prayagraj</v>
      </c>
      <c r="Z242" s="124">
        <f>IFERROR(__xludf.DUMMYFUNCTION("""COMPUTED_VALUE"""),1.0)</f>
        <v>1</v>
      </c>
      <c r="AA242" s="124"/>
      <c r="AB242" s="124" t="str">
        <f>IFERROR(__xludf.DUMMYFUNCTION("""COMPUTED_VALUE"""),"State PCS")</f>
        <v>State PCS</v>
      </c>
    </row>
    <row r="243">
      <c r="A243" s="126">
        <f>IFERROR(__xludf.DUMMYFUNCTION("""COMPUTED_VALUE"""),46064.0)</f>
        <v>46064</v>
      </c>
      <c r="B243" s="124" t="str">
        <f>IFERROR(__xludf.DUMMYFUNCTION("""COMPUTED_VALUE"""),"Walkin")</f>
        <v>Walkin</v>
      </c>
      <c r="C243" s="124" t="str">
        <f>IFERROR(__xludf.DUMMYFUNCTION("""COMPUTED_VALUE"""),"Patna")</f>
        <v>Patna</v>
      </c>
      <c r="D243" s="124" t="str">
        <f>IFERROR(__xludf.DUMMYFUNCTION("""COMPUTED_VALUE"""),"Primary_Walkin")</f>
        <v>Primary_Walkin</v>
      </c>
      <c r="E243" s="127">
        <f>IFERROR(__xludf.DUMMYFUNCTION("""COMPUTED_VALUE"""),8.0)</f>
        <v>8</v>
      </c>
      <c r="F243" s="128" t="str">
        <f>IFERROR(__xludf.DUMMYFUNCTION("""COMPUTED_VALUE"""),"Cold")</f>
        <v>Cold</v>
      </c>
      <c r="G243" s="124" t="str">
        <f>IFERROR(__xludf.DUMMYFUNCTION("""COMPUTED_VALUE"""),"State PCS")</f>
        <v>State PCS</v>
      </c>
      <c r="K243" s="124"/>
      <c r="L243" s="124"/>
      <c r="M243" s="124"/>
      <c r="N243" s="124"/>
      <c r="O243" s="124"/>
      <c r="T243" s="126">
        <f>IFERROR(__xludf.DUMMYFUNCTION("""COMPUTED_VALUE"""),46070.0)</f>
        <v>46070</v>
      </c>
      <c r="U243" s="124" t="str">
        <f>IFERROR(__xludf.DUMMYFUNCTION("""COMPUTED_VALUE"""),"Publisher Campaign")</f>
        <v>Publisher Campaign</v>
      </c>
      <c r="V243" s="124" t="str">
        <f>IFERROR(__xludf.DUMMYFUNCTION("""COMPUTED_VALUE"""),"Feeder Cities")</f>
        <v>Feeder Cities</v>
      </c>
      <c r="W243" s="124"/>
      <c r="X243" s="124"/>
      <c r="Y243" s="124" t="str">
        <f>IFERROR(__xludf.DUMMYFUNCTION("""COMPUTED_VALUE"""),"Indore")</f>
        <v>Indore</v>
      </c>
      <c r="Z243" s="124">
        <f>IFERROR(__xludf.DUMMYFUNCTION("""COMPUTED_VALUE"""),6.0)</f>
        <v>6</v>
      </c>
      <c r="AA243" s="124" t="str">
        <f>IFERROR(__xludf.DUMMYFUNCTION("""COMPUTED_VALUE"""),"Cold")</f>
        <v>Cold</v>
      </c>
      <c r="AB243" s="124" t="str">
        <f>IFERROR(__xludf.DUMMYFUNCTION("""COMPUTED_VALUE"""),"Other")</f>
        <v>Other</v>
      </c>
    </row>
    <row r="244">
      <c r="A244" s="129">
        <f>IFERROR(__xludf.DUMMYFUNCTION("""COMPUTED_VALUE"""),46076.0)</f>
        <v>46076</v>
      </c>
      <c r="B244" s="124" t="str">
        <f>IFERROR(__xludf.DUMMYFUNCTION("""COMPUTED_VALUE"""),"Walkin")</f>
        <v>Walkin</v>
      </c>
      <c r="C244" s="124" t="str">
        <f>IFERROR(__xludf.DUMMYFUNCTION("""COMPUTED_VALUE"""),"Patna")</f>
        <v>Patna</v>
      </c>
      <c r="D244" s="124" t="str">
        <f>IFERROR(__xludf.DUMMYFUNCTION("""COMPUTED_VALUE"""),"Primary_Walkin")</f>
        <v>Primary_Walkin</v>
      </c>
      <c r="E244" s="127">
        <f>IFERROR(__xludf.DUMMYFUNCTION("""COMPUTED_VALUE"""),1.0)</f>
        <v>1</v>
      </c>
      <c r="F244" s="128" t="str">
        <f>IFERROR(__xludf.DUMMYFUNCTION("""COMPUTED_VALUE"""),"Cold")</f>
        <v>Cold</v>
      </c>
      <c r="G244" s="124" t="str">
        <f>IFERROR(__xludf.DUMMYFUNCTION("""COMPUTED_VALUE"""),"State PCS")</f>
        <v>State PCS</v>
      </c>
      <c r="K244" s="124"/>
      <c r="L244" s="124"/>
      <c r="M244" s="124"/>
      <c r="N244" s="124"/>
      <c r="O244" s="124"/>
      <c r="T244" s="126">
        <f>IFERROR(__xludf.DUMMYFUNCTION("""COMPUTED_VALUE"""),46074.0)</f>
        <v>46074</v>
      </c>
      <c r="U244" s="124" t="str">
        <f>IFERROR(__xludf.DUMMYFUNCTION("""COMPUTED_VALUE"""),"Walk-Ins")</f>
        <v>Walk-Ins</v>
      </c>
      <c r="V244" s="124" t="str">
        <f>IFERROR(__xludf.DUMMYFUNCTION("""COMPUTED_VALUE"""),"Walkin")</f>
        <v>Walkin</v>
      </c>
      <c r="W244" s="124"/>
      <c r="X244" s="124"/>
      <c r="Y244" s="124" t="str">
        <f>IFERROR(__xludf.DUMMYFUNCTION("""COMPUTED_VALUE"""),"Delhi")</f>
        <v>Delhi</v>
      </c>
      <c r="Z244" s="124">
        <f>IFERROR(__xludf.DUMMYFUNCTION("""COMPUTED_VALUE"""),1.0)</f>
        <v>1</v>
      </c>
      <c r="AA244" s="124" t="str">
        <f>IFERROR(__xludf.DUMMYFUNCTION("""COMPUTED_VALUE"""),"Not Interested")</f>
        <v>Not Interested</v>
      </c>
      <c r="AB244" s="124" t="str">
        <f>IFERROR(__xludf.DUMMYFUNCTION("""COMPUTED_VALUE"""),"Optionals")</f>
        <v>Optionals</v>
      </c>
    </row>
    <row r="245">
      <c r="A245" s="129">
        <f>IFERROR(__xludf.DUMMYFUNCTION("""COMPUTED_VALUE"""),46103.0)</f>
        <v>46103</v>
      </c>
      <c r="B245" s="124" t="str">
        <f>IFERROR(__xludf.DUMMYFUNCTION("""COMPUTED_VALUE"""),"Walkin")</f>
        <v>Walkin</v>
      </c>
      <c r="C245" s="124" t="str">
        <f>IFERROR(__xludf.DUMMYFUNCTION("""COMPUTED_VALUE"""),"Patna")</f>
        <v>Patna</v>
      </c>
      <c r="D245" s="124" t="str">
        <f>IFERROR(__xludf.DUMMYFUNCTION("""COMPUTED_VALUE"""),"Primary_Walkin")</f>
        <v>Primary_Walkin</v>
      </c>
      <c r="E245" s="127">
        <f>IFERROR(__xludf.DUMMYFUNCTION("""COMPUTED_VALUE"""),3.0)</f>
        <v>3</v>
      </c>
      <c r="F245" s="128" t="str">
        <f>IFERROR(__xludf.DUMMYFUNCTION("""COMPUTED_VALUE"""),"Future Prospects")</f>
        <v>Future Prospects</v>
      </c>
      <c r="G245" s="124" t="str">
        <f>IFERROR(__xludf.DUMMYFUNCTION("""COMPUTED_VALUE"""),"State PCS")</f>
        <v>State PCS</v>
      </c>
      <c r="K245" s="124"/>
      <c r="L245" s="124"/>
      <c r="M245" s="124"/>
      <c r="N245" s="124"/>
      <c r="O245" s="124"/>
      <c r="T245" s="126">
        <f>IFERROR(__xludf.DUMMYFUNCTION("""COMPUTED_VALUE"""),46051.0)</f>
        <v>46051</v>
      </c>
      <c r="U245" s="124" t="str">
        <f>IFERROR(__xludf.DUMMYFUNCTION("""COMPUTED_VALUE"""),"External Leads")</f>
        <v>External Leads</v>
      </c>
      <c r="V245" s="124" t="str">
        <f>IFERROR(__xludf.DUMMYFUNCTION("""COMPUTED_VALUE"""),"external leads")</f>
        <v>external leads</v>
      </c>
      <c r="W245" s="124"/>
      <c r="X245" s="124"/>
      <c r="Y245" s="124"/>
      <c r="Z245" s="124">
        <f>IFERROR(__xludf.DUMMYFUNCTION("""COMPUTED_VALUE"""),13.0)</f>
        <v>13</v>
      </c>
      <c r="AA245" s="124" t="str">
        <f>IFERROR(__xludf.DUMMYFUNCTION("""COMPUTED_VALUE"""),"Not Interested")</f>
        <v>Not Interested</v>
      </c>
      <c r="AB245" s="124"/>
    </row>
    <row r="246">
      <c r="A246" s="129">
        <f>IFERROR(__xludf.DUMMYFUNCTION("""COMPUTED_VALUE"""),46078.0)</f>
        <v>46078</v>
      </c>
      <c r="B246" s="124" t="str">
        <f>IFERROR(__xludf.DUMMYFUNCTION("""COMPUTED_VALUE"""),"Walkin")</f>
        <v>Walkin</v>
      </c>
      <c r="C246" s="124" t="str">
        <f>IFERROR(__xludf.DUMMYFUNCTION("""COMPUTED_VALUE"""),"Patna")</f>
        <v>Patna</v>
      </c>
      <c r="D246" s="124" t="str">
        <f>IFERROR(__xludf.DUMMYFUNCTION("""COMPUTED_VALUE"""),"Primary_Walkin")</f>
        <v>Primary_Walkin</v>
      </c>
      <c r="E246" s="127">
        <f>IFERROR(__xludf.DUMMYFUNCTION("""COMPUTED_VALUE"""),4.0)</f>
        <v>4</v>
      </c>
      <c r="F246" s="128" t="str">
        <f>IFERROR(__xludf.DUMMYFUNCTION("""COMPUTED_VALUE"""),"Cold")</f>
        <v>Cold</v>
      </c>
      <c r="G246" s="124" t="str">
        <f>IFERROR(__xludf.DUMMYFUNCTION("""COMPUTED_VALUE"""),"State PCS")</f>
        <v>State PCS</v>
      </c>
      <c r="K246" s="124"/>
      <c r="L246" s="124"/>
      <c r="M246" s="124"/>
      <c r="N246" s="124"/>
      <c r="O246" s="124"/>
      <c r="T246" s="126">
        <f>IFERROR(__xludf.DUMMYFUNCTION("""COMPUTED_VALUE"""),46044.0)</f>
        <v>46044</v>
      </c>
      <c r="U246" s="124" t="str">
        <f>IFERROR(__xludf.DUMMYFUNCTION("""COMPUTED_VALUE"""),"External Leads")</f>
        <v>External Leads</v>
      </c>
      <c r="V246" s="124" t="str">
        <f>IFERROR(__xludf.DUMMYFUNCTION("""COMPUTED_VALUE"""),"external leads")</f>
        <v>external leads</v>
      </c>
      <c r="W246" s="124"/>
      <c r="X246" s="124"/>
      <c r="Y246" s="124"/>
      <c r="Z246" s="124">
        <f>IFERROR(__xludf.DUMMYFUNCTION("""COMPUTED_VALUE"""),20.0)</f>
        <v>20</v>
      </c>
      <c r="AA246" s="124" t="str">
        <f>IFERROR(__xludf.DUMMYFUNCTION("""COMPUTED_VALUE"""),"Not Interested")</f>
        <v>Not Interested</v>
      </c>
      <c r="AB246" s="124"/>
    </row>
    <row r="247">
      <c r="A247" s="126">
        <f>IFERROR(__xludf.DUMMYFUNCTION("""COMPUTED_VALUE"""),46079.0)</f>
        <v>46079</v>
      </c>
      <c r="B247" s="124" t="str">
        <f>IFERROR(__xludf.DUMMYFUNCTION("""COMPUTED_VALUE"""),"Walkin")</f>
        <v>Walkin</v>
      </c>
      <c r="C247" s="124" t="str">
        <f>IFERROR(__xludf.DUMMYFUNCTION("""COMPUTED_VALUE"""),"Patna")</f>
        <v>Patna</v>
      </c>
      <c r="D247" s="124" t="str">
        <f>IFERROR(__xludf.DUMMYFUNCTION("""COMPUTED_VALUE"""),"Primary_Walkin")</f>
        <v>Primary_Walkin</v>
      </c>
      <c r="E247" s="127">
        <f>IFERROR(__xludf.DUMMYFUNCTION("""COMPUTED_VALUE"""),5.0)</f>
        <v>5</v>
      </c>
      <c r="F247" s="128" t="str">
        <f>IFERROR(__xludf.DUMMYFUNCTION("""COMPUTED_VALUE"""),"Cold")</f>
        <v>Cold</v>
      </c>
      <c r="G247" s="124" t="str">
        <f>IFERROR(__xludf.DUMMYFUNCTION("""COMPUTED_VALUE"""),"State PCS")</f>
        <v>State PCS</v>
      </c>
      <c r="K247" s="124"/>
      <c r="L247" s="124"/>
      <c r="M247" s="124"/>
      <c r="N247" s="124"/>
      <c r="O247" s="124"/>
      <c r="T247" s="129">
        <f>IFERROR(__xludf.DUMMYFUNCTION("""COMPUTED_VALUE"""),46078.0)</f>
        <v>46078</v>
      </c>
      <c r="U247" s="124" t="str">
        <f>IFERROR(__xludf.DUMMYFUNCTION("""COMPUTED_VALUE"""),"Publisher Campaign")</f>
        <v>Publisher Campaign</v>
      </c>
      <c r="V247" s="124" t="str">
        <f>IFERROR(__xludf.DUMMYFUNCTION("""COMPUTED_VALUE"""),"Webinar")</f>
        <v>Webinar</v>
      </c>
      <c r="W247" s="124"/>
      <c r="X247" s="124"/>
      <c r="Y247" s="124" t="str">
        <f>IFERROR(__xludf.DUMMYFUNCTION("""COMPUTED_VALUE"""),"Delhi")</f>
        <v>Delhi</v>
      </c>
      <c r="Z247" s="124">
        <f>IFERROR(__xludf.DUMMYFUNCTION("""COMPUTED_VALUE"""),2.0)</f>
        <v>2</v>
      </c>
      <c r="AA247" s="124" t="str">
        <f>IFERROR(__xludf.DUMMYFUNCTION("""COMPUTED_VALUE"""),"Cold")</f>
        <v>Cold</v>
      </c>
      <c r="AB247" s="124" t="str">
        <f>IFERROR(__xludf.DUMMYFUNCTION("""COMPUTED_VALUE"""),"GS Advanced")</f>
        <v>GS Advanced</v>
      </c>
    </row>
    <row r="248">
      <c r="A248" s="126">
        <f>IFERROR(__xludf.DUMMYFUNCTION("""COMPUTED_VALUE"""),46063.0)</f>
        <v>46063</v>
      </c>
      <c r="B248" s="124" t="str">
        <f>IFERROR(__xludf.DUMMYFUNCTION("""COMPUTED_VALUE"""),"Walkin")</f>
        <v>Walkin</v>
      </c>
      <c r="C248" s="124" t="str">
        <f>IFERROR(__xludf.DUMMYFUNCTION("""COMPUTED_VALUE"""),"Patna")</f>
        <v>Patna</v>
      </c>
      <c r="D248" s="124" t="str">
        <f>IFERROR(__xludf.DUMMYFUNCTION("""COMPUTED_VALUE"""),"Primary_Walkin")</f>
        <v>Primary_Walkin</v>
      </c>
      <c r="E248" s="127">
        <f>IFERROR(__xludf.DUMMYFUNCTION("""COMPUTED_VALUE"""),1.0)</f>
        <v>1</v>
      </c>
      <c r="F248" s="128" t="str">
        <f>IFERROR(__xludf.DUMMYFUNCTION("""COMPUTED_VALUE"""),"Future Prospects")</f>
        <v>Future Prospects</v>
      </c>
      <c r="G248" s="124" t="str">
        <f>IFERROR(__xludf.DUMMYFUNCTION("""COMPUTED_VALUE"""),"GS Foundation")</f>
        <v>GS Foundation</v>
      </c>
      <c r="K248" s="124"/>
      <c r="L248" s="124"/>
      <c r="M248" s="124"/>
      <c r="N248" s="124"/>
      <c r="O248" s="124"/>
      <c r="T248" s="126">
        <f>IFERROR(__xludf.DUMMYFUNCTION("""COMPUTED_VALUE"""),46058.0)</f>
        <v>46058</v>
      </c>
      <c r="U248" s="124" t="str">
        <f>IFERROR(__xludf.DUMMYFUNCTION("""COMPUTED_VALUE"""),"Publisher Campaign")</f>
        <v>Publisher Campaign</v>
      </c>
      <c r="V248" s="124" t="str">
        <f>IFERROR(__xludf.DUMMYFUNCTION("""COMPUTED_VALUE"""),"Feeder Cities")</f>
        <v>Feeder Cities</v>
      </c>
      <c r="W248" s="124"/>
      <c r="X248" s="124"/>
      <c r="Y248" s="124" t="str">
        <f>IFERROR(__xludf.DUMMYFUNCTION("""COMPUTED_VALUE"""),"Indore")</f>
        <v>Indore</v>
      </c>
      <c r="Z248" s="124">
        <f>IFERROR(__xludf.DUMMYFUNCTION("""COMPUTED_VALUE"""),4.0)</f>
        <v>4</v>
      </c>
      <c r="AA248" s="124" t="str">
        <f>IFERROR(__xludf.DUMMYFUNCTION("""COMPUTED_VALUE"""),"Cold")</f>
        <v>Cold</v>
      </c>
      <c r="AB248" s="124" t="str">
        <f>IFERROR(__xludf.DUMMYFUNCTION("""COMPUTED_VALUE"""),"State PCS")</f>
        <v>State PCS</v>
      </c>
    </row>
    <row r="249">
      <c r="A249" s="126">
        <f>IFERROR(__xludf.DUMMYFUNCTION("""COMPUTED_VALUE"""),46066.0)</f>
        <v>46066</v>
      </c>
      <c r="B249" s="124" t="str">
        <f>IFERROR(__xludf.DUMMYFUNCTION("""COMPUTED_VALUE"""),"Walk-In")</f>
        <v>Walk-In</v>
      </c>
      <c r="C249" s="124" t="str">
        <f>IFERROR(__xludf.DUMMYFUNCTION("""COMPUTED_VALUE"""),"Patna")</f>
        <v>Patna</v>
      </c>
      <c r="D249" s="124" t="str">
        <f>IFERROR(__xludf.DUMMYFUNCTION("""COMPUTED_VALUE"""),"Primary_Walkin")</f>
        <v>Primary_Walkin</v>
      </c>
      <c r="E249" s="127">
        <f>IFERROR(__xludf.DUMMYFUNCTION("""COMPUTED_VALUE"""),1.0)</f>
        <v>1</v>
      </c>
      <c r="F249" s="128" t="str">
        <f>IFERROR(__xludf.DUMMYFUNCTION("""COMPUTED_VALUE"""),"Cold")</f>
        <v>Cold</v>
      </c>
      <c r="G249" s="124" t="str">
        <f>IFERROR(__xludf.DUMMYFUNCTION("""COMPUTED_VALUE"""),"GS Foundation")</f>
        <v>GS Foundation</v>
      </c>
      <c r="K249" s="124"/>
      <c r="L249" s="124"/>
      <c r="M249" s="124"/>
      <c r="N249" s="124"/>
      <c r="O249" s="124"/>
      <c r="T249" s="126">
        <f>IFERROR(__xludf.DUMMYFUNCTION("""COMPUTED_VALUE"""),46057.0)</f>
        <v>46057</v>
      </c>
      <c r="U249" s="124" t="str">
        <f>IFERROR(__xludf.DUMMYFUNCTION("""COMPUTED_VALUE"""),"Publisher Campaign")</f>
        <v>Publisher Campaign</v>
      </c>
      <c r="V249" s="124" t="str">
        <f>IFERROR(__xludf.DUMMYFUNCTION("""COMPUTED_VALUE"""),"Feeder Cities")</f>
        <v>Feeder Cities</v>
      </c>
      <c r="W249" s="124"/>
      <c r="X249" s="124"/>
      <c r="Y249" s="124" t="str">
        <f>IFERROR(__xludf.DUMMYFUNCTION("""COMPUTED_VALUE"""),"Indore")</f>
        <v>Indore</v>
      </c>
      <c r="Z249" s="124">
        <f>IFERROR(__xludf.DUMMYFUNCTION("""COMPUTED_VALUE"""),4.0)</f>
        <v>4</v>
      </c>
      <c r="AA249" s="124" t="str">
        <f>IFERROR(__xludf.DUMMYFUNCTION("""COMPUTED_VALUE"""),"Cold")</f>
        <v>Cold</v>
      </c>
      <c r="AB249" s="124" t="str">
        <f>IFERROR(__xludf.DUMMYFUNCTION("""COMPUTED_VALUE"""),"GS Foundation")</f>
        <v>GS Foundation</v>
      </c>
    </row>
    <row r="250">
      <c r="A250" s="126">
        <f>IFERROR(__xludf.DUMMYFUNCTION("""COMPUTED_VALUE"""),46070.0)</f>
        <v>46070</v>
      </c>
      <c r="B250" s="124" t="str">
        <f>IFERROR(__xludf.DUMMYFUNCTION("""COMPUTED_VALUE"""),"Walkin")</f>
        <v>Walkin</v>
      </c>
      <c r="C250" s="124" t="str">
        <f>IFERROR(__xludf.DUMMYFUNCTION("""COMPUTED_VALUE"""),"Patna")</f>
        <v>Patna</v>
      </c>
      <c r="D250" s="124" t="str">
        <f>IFERROR(__xludf.DUMMYFUNCTION("""COMPUTED_VALUE"""),"Primary_Walkin")</f>
        <v>Primary_Walkin</v>
      </c>
      <c r="E250" s="127">
        <f>IFERROR(__xludf.DUMMYFUNCTION("""COMPUTED_VALUE"""),2.0)</f>
        <v>2</v>
      </c>
      <c r="F250" s="128" t="str">
        <f>IFERROR(__xludf.DUMMYFUNCTION("""COMPUTED_VALUE"""),"Not Interested")</f>
        <v>Not Interested</v>
      </c>
      <c r="G250" s="124" t="str">
        <f>IFERROR(__xludf.DUMMYFUNCTION("""COMPUTED_VALUE"""),"State PCS")</f>
        <v>State PCS</v>
      </c>
      <c r="K250" s="124"/>
      <c r="L250" s="124"/>
      <c r="M250" s="124"/>
      <c r="N250" s="124"/>
      <c r="O250" s="124"/>
      <c r="T250" s="126">
        <f>IFERROR(__xludf.DUMMYFUNCTION("""COMPUTED_VALUE"""),46076.0)</f>
        <v>46076</v>
      </c>
      <c r="U250" s="124" t="str">
        <f>IFERROR(__xludf.DUMMYFUNCTION("""COMPUTED_VALUE"""),"Publisher Campaign")</f>
        <v>Publisher Campaign</v>
      </c>
      <c r="V250" s="124" t="str">
        <f>IFERROR(__xludf.DUMMYFUNCTION("""COMPUTED_VALUE"""),"Webinar")</f>
        <v>Webinar</v>
      </c>
      <c r="W250" s="124"/>
      <c r="X250" s="124"/>
      <c r="Y250" s="124" t="str">
        <f>IFERROR(__xludf.DUMMYFUNCTION("""COMPUTED_VALUE"""),"Delhi")</f>
        <v>Delhi</v>
      </c>
      <c r="Z250" s="124">
        <f>IFERROR(__xludf.DUMMYFUNCTION("""COMPUTED_VALUE"""),1.0)</f>
        <v>1</v>
      </c>
      <c r="AA250" s="124" t="str">
        <f>IFERROR(__xludf.DUMMYFUNCTION("""COMPUTED_VALUE"""),"Fake Lead")</f>
        <v>Fake Lead</v>
      </c>
      <c r="AB250" s="124" t="str">
        <f>IFERROR(__xludf.DUMMYFUNCTION("""COMPUTED_VALUE"""),"Mentorship")</f>
        <v>Mentorship</v>
      </c>
    </row>
    <row r="251">
      <c r="A251" s="126">
        <f>IFERROR(__xludf.DUMMYFUNCTION("""COMPUTED_VALUE"""),46088.0)</f>
        <v>46088</v>
      </c>
      <c r="B251" s="124" t="str">
        <f>IFERROR(__xludf.DUMMYFUNCTION("""COMPUTED_VALUE"""),"Walkin")</f>
        <v>Walkin</v>
      </c>
      <c r="C251" s="124" t="str">
        <f>IFERROR(__xludf.DUMMYFUNCTION("""COMPUTED_VALUE"""),"Patna")</f>
        <v>Patna</v>
      </c>
      <c r="D251" s="124" t="str">
        <f>IFERROR(__xludf.DUMMYFUNCTION("""COMPUTED_VALUE"""),"Primary_Walkin")</f>
        <v>Primary_Walkin</v>
      </c>
      <c r="E251" s="127">
        <f>IFERROR(__xludf.DUMMYFUNCTION("""COMPUTED_VALUE"""),1.0)</f>
        <v>1</v>
      </c>
      <c r="F251" s="128" t="str">
        <f>IFERROR(__xludf.DUMMYFUNCTION("""COMPUTED_VALUE"""),"Fake Lead")</f>
        <v>Fake Lead</v>
      </c>
      <c r="G251" s="124" t="str">
        <f>IFERROR(__xludf.DUMMYFUNCTION("""COMPUTED_VALUE"""),"State PCS")</f>
        <v>State PCS</v>
      </c>
      <c r="K251" s="124"/>
      <c r="L251" s="124"/>
      <c r="M251" s="124"/>
      <c r="N251" s="124"/>
      <c r="O251" s="124"/>
      <c r="T251" s="126">
        <f>IFERROR(__xludf.DUMMYFUNCTION("""COMPUTED_VALUE"""),46051.0)</f>
        <v>46051</v>
      </c>
      <c r="U251" s="124" t="str">
        <f>IFERROR(__xludf.DUMMYFUNCTION("""COMPUTED_VALUE"""),"External Leads")</f>
        <v>External Leads</v>
      </c>
      <c r="V251" s="124" t="str">
        <f>IFERROR(__xludf.DUMMYFUNCTION("""COMPUTED_VALUE"""),"external leads")</f>
        <v>external leads</v>
      </c>
      <c r="W251" s="124"/>
      <c r="X251" s="124"/>
      <c r="Y251" s="124" t="str">
        <f>IFERROR(__xludf.DUMMYFUNCTION("""COMPUTED_VALUE"""),"Delhi")</f>
        <v>Delhi</v>
      </c>
      <c r="Z251" s="124">
        <f>IFERROR(__xludf.DUMMYFUNCTION("""COMPUTED_VALUE"""),1.0)</f>
        <v>1</v>
      </c>
      <c r="AA251" s="124" t="str">
        <f>IFERROR(__xludf.DUMMYFUNCTION("""COMPUTED_VALUE"""),"Engaged")</f>
        <v>Engaged</v>
      </c>
      <c r="AB251" s="124"/>
    </row>
    <row r="252">
      <c r="A252" s="126">
        <f>IFERROR(__xludf.DUMMYFUNCTION("""COMPUTED_VALUE"""),46102.0)</f>
        <v>46102</v>
      </c>
      <c r="B252" s="124" t="str">
        <f>IFERROR(__xludf.DUMMYFUNCTION("""COMPUTED_VALUE"""),"Walkin")</f>
        <v>Walkin</v>
      </c>
      <c r="C252" s="124" t="str">
        <f>IFERROR(__xludf.DUMMYFUNCTION("""COMPUTED_VALUE"""),"Patna")</f>
        <v>Patna</v>
      </c>
      <c r="D252" s="124" t="str">
        <f>IFERROR(__xludf.DUMMYFUNCTION("""COMPUTED_VALUE"""),"Primary_Walkin")</f>
        <v>Primary_Walkin</v>
      </c>
      <c r="E252" s="127">
        <f>IFERROR(__xludf.DUMMYFUNCTION("""COMPUTED_VALUE"""),1.0)</f>
        <v>1</v>
      </c>
      <c r="F252" s="128" t="str">
        <f>IFERROR(__xludf.DUMMYFUNCTION("""COMPUTED_VALUE"""),"Fake Lead")</f>
        <v>Fake Lead</v>
      </c>
      <c r="G252" s="124" t="str">
        <f>IFERROR(__xludf.DUMMYFUNCTION("""COMPUTED_VALUE"""),"State PCS")</f>
        <v>State PCS</v>
      </c>
      <c r="K252" s="124"/>
      <c r="L252" s="124"/>
      <c r="M252" s="124"/>
      <c r="N252" s="124"/>
      <c r="O252" s="124"/>
      <c r="T252" s="126">
        <f>IFERROR(__xludf.DUMMYFUNCTION("""COMPUTED_VALUE"""),46043.0)</f>
        <v>46043</v>
      </c>
      <c r="U252" s="124" t="str">
        <f>IFERROR(__xludf.DUMMYFUNCTION("""COMPUTED_VALUE"""),"External Leads")</f>
        <v>External Leads</v>
      </c>
      <c r="V252" s="124" t="str">
        <f>IFERROR(__xludf.DUMMYFUNCTION("""COMPUTED_VALUE"""),"external leads")</f>
        <v>external leads</v>
      </c>
      <c r="W252" s="124"/>
      <c r="X252" s="124"/>
      <c r="Y252" s="124" t="str">
        <f>IFERROR(__xludf.DUMMYFUNCTION("""COMPUTED_VALUE"""),"Delhi")</f>
        <v>Delhi</v>
      </c>
      <c r="Z252" s="124">
        <f>IFERROR(__xludf.DUMMYFUNCTION("""COMPUTED_VALUE"""),3.0)</f>
        <v>3</v>
      </c>
      <c r="AA252" s="124" t="str">
        <f>IFERROR(__xludf.DUMMYFUNCTION("""COMPUTED_VALUE"""),"Future Prospects")</f>
        <v>Future Prospects</v>
      </c>
      <c r="AB252" s="124"/>
    </row>
    <row r="253">
      <c r="A253" s="126">
        <f>IFERROR(__xludf.DUMMYFUNCTION("""COMPUTED_VALUE"""),46059.0)</f>
        <v>46059</v>
      </c>
      <c r="B253" s="124" t="str">
        <f>IFERROR(__xludf.DUMMYFUNCTION("""COMPUTED_VALUE"""),"Walkin")</f>
        <v>Walkin</v>
      </c>
      <c r="C253" s="124" t="str">
        <f>IFERROR(__xludf.DUMMYFUNCTION("""COMPUTED_VALUE"""),"Patna")</f>
        <v>Patna</v>
      </c>
      <c r="D253" s="124" t="str">
        <f>IFERROR(__xludf.DUMMYFUNCTION("""COMPUTED_VALUE"""),"Primary_Walkin")</f>
        <v>Primary_Walkin</v>
      </c>
      <c r="E253" s="127">
        <f>IFERROR(__xludf.DUMMYFUNCTION("""COMPUTED_VALUE"""),3.0)</f>
        <v>3</v>
      </c>
      <c r="F253" s="128" t="str">
        <f>IFERROR(__xludf.DUMMYFUNCTION("""COMPUTED_VALUE"""),"Enrolled")</f>
        <v>Enrolled</v>
      </c>
      <c r="G253" s="124" t="str">
        <f>IFERROR(__xludf.DUMMYFUNCTION("""COMPUTED_VALUE"""),"State PCS")</f>
        <v>State PCS</v>
      </c>
      <c r="K253" s="124"/>
      <c r="L253" s="124"/>
      <c r="M253" s="124"/>
      <c r="N253" s="124"/>
      <c r="O253" s="124"/>
      <c r="T253" s="126">
        <f>IFERROR(__xludf.DUMMYFUNCTION("""COMPUTED_VALUE"""),46094.0)</f>
        <v>46094</v>
      </c>
      <c r="U253" s="124" t="str">
        <f>IFERROR(__xludf.DUMMYFUNCTION("""COMPUTED_VALUE"""),"Publisher Campaign")</f>
        <v>Publisher Campaign</v>
      </c>
      <c r="V253" s="124" t="str">
        <f>IFERROR(__xludf.DUMMYFUNCTION("""COMPUTED_VALUE"""),"Webinar")</f>
        <v>Webinar</v>
      </c>
      <c r="W253" s="124"/>
      <c r="X253" s="124"/>
      <c r="Y253" s="124" t="str">
        <f>IFERROR(__xludf.DUMMYFUNCTION("""COMPUTED_VALUE"""),"Delhi")</f>
        <v>Delhi</v>
      </c>
      <c r="Z253" s="124">
        <f>IFERROR(__xludf.DUMMYFUNCTION("""COMPUTED_VALUE"""),3.0)</f>
        <v>3</v>
      </c>
      <c r="AA253" s="124" t="str">
        <f>IFERROR(__xludf.DUMMYFUNCTION("""COMPUTED_VALUE"""),"Not Interested")</f>
        <v>Not Interested</v>
      </c>
      <c r="AB253" s="124" t="str">
        <f>IFERROR(__xludf.DUMMYFUNCTION("""COMPUTED_VALUE"""),"GS Foundation")</f>
        <v>GS Foundation</v>
      </c>
    </row>
    <row r="254">
      <c r="A254" s="126">
        <f>IFERROR(__xludf.DUMMYFUNCTION("""COMPUTED_VALUE"""),46112.0)</f>
        <v>46112</v>
      </c>
      <c r="B254" s="124" t="str">
        <f>IFERROR(__xludf.DUMMYFUNCTION("""COMPUTED_VALUE"""),"Walkin")</f>
        <v>Walkin</v>
      </c>
      <c r="C254" s="124" t="str">
        <f>IFERROR(__xludf.DUMMYFUNCTION("""COMPUTED_VALUE"""),"Patna")</f>
        <v>Patna</v>
      </c>
      <c r="D254" s="124" t="str">
        <f>IFERROR(__xludf.DUMMYFUNCTION("""COMPUTED_VALUE"""),"Primary_Walkin")</f>
        <v>Primary_Walkin</v>
      </c>
      <c r="E254" s="127">
        <f>IFERROR(__xludf.DUMMYFUNCTION("""COMPUTED_VALUE"""),3.0)</f>
        <v>3</v>
      </c>
      <c r="F254" s="128" t="str">
        <f>IFERROR(__xludf.DUMMYFUNCTION("""COMPUTED_VALUE"""),"Cold")</f>
        <v>Cold</v>
      </c>
      <c r="G254" s="124" t="str">
        <f>IFERROR(__xludf.DUMMYFUNCTION("""COMPUTED_VALUE"""),"State PCS")</f>
        <v>State PCS</v>
      </c>
      <c r="K254" s="124"/>
      <c r="L254" s="124"/>
      <c r="M254" s="124"/>
      <c r="N254" s="124"/>
      <c r="O254" s="124"/>
      <c r="T254" s="126">
        <f>IFERROR(__xludf.DUMMYFUNCTION("""COMPUTED_VALUE"""),46078.0)</f>
        <v>46078</v>
      </c>
      <c r="U254" s="124" t="str">
        <f>IFERROR(__xludf.DUMMYFUNCTION("""COMPUTED_VALUE"""),"Publisher Campaign")</f>
        <v>Publisher Campaign</v>
      </c>
      <c r="V254" s="124" t="str">
        <f>IFERROR(__xludf.DUMMYFUNCTION("""COMPUTED_VALUE"""),"Webinar")</f>
        <v>Webinar</v>
      </c>
      <c r="W254" s="124"/>
      <c r="X254" s="124"/>
      <c r="Y254" s="124" t="str">
        <f>IFERROR(__xludf.DUMMYFUNCTION("""COMPUTED_VALUE"""),"Prayagraj")</f>
        <v>Prayagraj</v>
      </c>
      <c r="Z254" s="124">
        <f>IFERROR(__xludf.DUMMYFUNCTION("""COMPUTED_VALUE"""),1.0)</f>
        <v>1</v>
      </c>
      <c r="AA254" s="124" t="str">
        <f>IFERROR(__xludf.DUMMYFUNCTION("""COMPUTED_VALUE"""),"Fake Lead")</f>
        <v>Fake Lead</v>
      </c>
      <c r="AB254" s="124" t="str">
        <f>IFERROR(__xludf.DUMMYFUNCTION("""COMPUTED_VALUE"""),"GS Foundation")</f>
        <v>GS Foundation</v>
      </c>
    </row>
    <row r="255">
      <c r="A255" s="126">
        <f>IFERROR(__xludf.DUMMYFUNCTION("""COMPUTED_VALUE"""),46065.0)</f>
        <v>46065</v>
      </c>
      <c r="B255" s="124" t="str">
        <f>IFERROR(__xludf.DUMMYFUNCTION("""COMPUTED_VALUE"""),"Walkin")</f>
        <v>Walkin</v>
      </c>
      <c r="C255" s="124" t="str">
        <f>IFERROR(__xludf.DUMMYFUNCTION("""COMPUTED_VALUE"""),"Patna")</f>
        <v>Patna</v>
      </c>
      <c r="D255" s="124" t="str">
        <f>IFERROR(__xludf.DUMMYFUNCTION("""COMPUTED_VALUE"""),"Primary_Walkin")</f>
        <v>Primary_Walkin</v>
      </c>
      <c r="E255" s="127">
        <f>IFERROR(__xludf.DUMMYFUNCTION("""COMPUTED_VALUE"""),1.0)</f>
        <v>1</v>
      </c>
      <c r="F255" s="128" t="str">
        <f>IFERROR(__xludf.DUMMYFUNCTION("""COMPUTED_VALUE"""),"Fake Lead")</f>
        <v>Fake Lead</v>
      </c>
      <c r="G255" s="124" t="str">
        <f>IFERROR(__xludf.DUMMYFUNCTION("""COMPUTED_VALUE"""),"Other")</f>
        <v>Other</v>
      </c>
      <c r="K255" s="124"/>
      <c r="L255" s="124"/>
      <c r="M255" s="124"/>
      <c r="N255" s="124"/>
      <c r="O255" s="124"/>
      <c r="T255" s="126">
        <f>IFERROR(__xludf.DUMMYFUNCTION("""COMPUTED_VALUE"""),46091.0)</f>
        <v>46091</v>
      </c>
      <c r="U255" s="124" t="str">
        <f>IFERROR(__xludf.DUMMYFUNCTION("""COMPUTED_VALUE"""),"Publisher Campaign")</f>
        <v>Publisher Campaign</v>
      </c>
      <c r="V255" s="124" t="str">
        <f>IFERROR(__xludf.DUMMYFUNCTION("""COMPUTED_VALUE"""),"Webinar")</f>
        <v>Webinar</v>
      </c>
      <c r="W255" s="124"/>
      <c r="X255" s="124"/>
      <c r="Y255" s="124" t="str">
        <f>IFERROR(__xludf.DUMMYFUNCTION("""COMPUTED_VALUE"""),"Delhi")</f>
        <v>Delhi</v>
      </c>
      <c r="Z255" s="124">
        <f>IFERROR(__xludf.DUMMYFUNCTION("""COMPUTED_VALUE"""),3.0)</f>
        <v>3</v>
      </c>
      <c r="AA255" s="124" t="str">
        <f>IFERROR(__xludf.DUMMYFUNCTION("""COMPUTED_VALUE"""),"Cold")</f>
        <v>Cold</v>
      </c>
      <c r="AB255" s="124" t="str">
        <f>IFERROR(__xludf.DUMMYFUNCTION("""COMPUTED_VALUE"""),"GS Foundation")</f>
        <v>GS Foundation</v>
      </c>
    </row>
    <row r="256">
      <c r="A256" s="126">
        <f>IFERROR(__xludf.DUMMYFUNCTION("""COMPUTED_VALUE"""),46046.0)</f>
        <v>46046</v>
      </c>
      <c r="B256" s="124" t="str">
        <f>IFERROR(__xludf.DUMMYFUNCTION("""COMPUTED_VALUE"""),"Walk-In")</f>
        <v>Walk-In</v>
      </c>
      <c r="C256" s="124" t="str">
        <f>IFERROR(__xludf.DUMMYFUNCTION("""COMPUTED_VALUE"""),"Patna")</f>
        <v>Patna</v>
      </c>
      <c r="D256" s="124" t="str">
        <f>IFERROR(__xludf.DUMMYFUNCTION("""COMPUTED_VALUE"""),"Primary_Walkin")</f>
        <v>Primary_Walkin</v>
      </c>
      <c r="E256" s="127">
        <f>IFERROR(__xludf.DUMMYFUNCTION("""COMPUTED_VALUE"""),3.0)</f>
        <v>3</v>
      </c>
      <c r="F256" s="128" t="str">
        <f>IFERROR(__xludf.DUMMYFUNCTION("""COMPUTED_VALUE"""),"Cold")</f>
        <v>Cold</v>
      </c>
      <c r="G256" s="124" t="str">
        <f>IFERROR(__xludf.DUMMYFUNCTION("""COMPUTED_VALUE"""),"State PCS")</f>
        <v>State PCS</v>
      </c>
      <c r="K256" s="124"/>
      <c r="L256" s="124"/>
      <c r="M256" s="124"/>
      <c r="N256" s="124"/>
      <c r="O256" s="124"/>
      <c r="T256" s="126">
        <f>IFERROR(__xludf.DUMMYFUNCTION("""COMPUTED_VALUE"""),46080.0)</f>
        <v>46080</v>
      </c>
      <c r="U256" s="124" t="str">
        <f>IFERROR(__xludf.DUMMYFUNCTION("""COMPUTED_VALUE"""),"Publisher Campaign")</f>
        <v>Publisher Campaign</v>
      </c>
      <c r="V256" s="124" t="str">
        <f>IFERROR(__xludf.DUMMYFUNCTION("""COMPUTED_VALUE"""),"Webinar")</f>
        <v>Webinar</v>
      </c>
      <c r="W256" s="124"/>
      <c r="X256" s="124"/>
      <c r="Y256" s="124" t="str">
        <f>IFERROR(__xludf.DUMMYFUNCTION("""COMPUTED_VALUE"""),"Lucknow")</f>
        <v>Lucknow</v>
      </c>
      <c r="Z256" s="124">
        <f>IFERROR(__xludf.DUMMYFUNCTION("""COMPUTED_VALUE"""),2.0)</f>
        <v>2</v>
      </c>
      <c r="AA256" s="124" t="str">
        <f>IFERROR(__xludf.DUMMYFUNCTION("""COMPUTED_VALUE"""),"Cold")</f>
        <v>Cold</v>
      </c>
      <c r="AB256" s="124" t="str">
        <f>IFERROR(__xludf.DUMMYFUNCTION("""COMPUTED_VALUE"""),"Mentorship")</f>
        <v>Mentorship</v>
      </c>
    </row>
    <row r="257">
      <c r="A257" s="126">
        <f>IFERROR(__xludf.DUMMYFUNCTION("""COMPUTED_VALUE"""),46108.0)</f>
        <v>46108</v>
      </c>
      <c r="B257" s="124" t="str">
        <f>IFERROR(__xludf.DUMMYFUNCTION("""COMPUTED_VALUE"""),"Walkin")</f>
        <v>Walkin</v>
      </c>
      <c r="C257" s="124" t="str">
        <f>IFERROR(__xludf.DUMMYFUNCTION("""COMPUTED_VALUE"""),"Patna")</f>
        <v>Patna</v>
      </c>
      <c r="D257" s="124" t="str">
        <f>IFERROR(__xludf.DUMMYFUNCTION("""COMPUTED_VALUE"""),"Primary_Walkin")</f>
        <v>Primary_Walkin</v>
      </c>
      <c r="E257" s="127">
        <f>IFERROR(__xludf.DUMMYFUNCTION("""COMPUTED_VALUE"""),2.0)</f>
        <v>2</v>
      </c>
      <c r="F257" s="128" t="str">
        <f>IFERROR(__xludf.DUMMYFUNCTION("""COMPUTED_VALUE"""),"Warm")</f>
        <v>Warm</v>
      </c>
      <c r="G257" s="124" t="str">
        <f>IFERROR(__xludf.DUMMYFUNCTION("""COMPUTED_VALUE"""),"Test Series")</f>
        <v>Test Series</v>
      </c>
      <c r="K257" s="124"/>
      <c r="L257" s="124"/>
      <c r="M257" s="124"/>
      <c r="N257" s="124"/>
      <c r="O257" s="124"/>
      <c r="T257" s="126">
        <f>IFERROR(__xludf.DUMMYFUNCTION("""COMPUTED_VALUE"""),46080.0)</f>
        <v>46080</v>
      </c>
      <c r="U257" s="124" t="str">
        <f>IFERROR(__xludf.DUMMYFUNCTION("""COMPUTED_VALUE"""),"Publisher Campaign")</f>
        <v>Publisher Campaign</v>
      </c>
      <c r="V257" s="124" t="str">
        <f>IFERROR(__xludf.DUMMYFUNCTION("""COMPUTED_VALUE"""),"Webinar")</f>
        <v>Webinar</v>
      </c>
      <c r="W257" s="124"/>
      <c r="X257" s="124"/>
      <c r="Y257" s="124" t="str">
        <f>IFERROR(__xludf.DUMMYFUNCTION("""COMPUTED_VALUE"""),"Delhi")</f>
        <v>Delhi</v>
      </c>
      <c r="Z257" s="124">
        <f>IFERROR(__xludf.DUMMYFUNCTION("""COMPUTED_VALUE"""),4.0)</f>
        <v>4</v>
      </c>
      <c r="AA257" s="124" t="str">
        <f>IFERROR(__xludf.DUMMYFUNCTION("""COMPUTED_VALUE"""),"Warm")</f>
        <v>Warm</v>
      </c>
      <c r="AB257" s="124" t="str">
        <f>IFERROR(__xludf.DUMMYFUNCTION("""COMPUTED_VALUE"""),"Other")</f>
        <v>Other</v>
      </c>
    </row>
    <row r="258">
      <c r="A258" s="126">
        <f>IFERROR(__xludf.DUMMYFUNCTION("""COMPUTED_VALUE"""),46056.0)</f>
        <v>46056</v>
      </c>
      <c r="B258" s="124" t="str">
        <f>IFERROR(__xludf.DUMMYFUNCTION("""COMPUTED_VALUE"""),"Walk-In")</f>
        <v>Walk-In</v>
      </c>
      <c r="C258" s="124" t="str">
        <f>IFERROR(__xludf.DUMMYFUNCTION("""COMPUTED_VALUE"""),"Patna")</f>
        <v>Patna</v>
      </c>
      <c r="D258" s="124" t="str">
        <f>IFERROR(__xludf.DUMMYFUNCTION("""COMPUTED_VALUE"""),"Primary_Walkin")</f>
        <v>Primary_Walkin</v>
      </c>
      <c r="E258" s="127">
        <f>IFERROR(__xludf.DUMMYFUNCTION("""COMPUTED_VALUE"""),2.0)</f>
        <v>2</v>
      </c>
      <c r="F258" s="128" t="str">
        <f>IFERROR(__xludf.DUMMYFUNCTION("""COMPUTED_VALUE"""),"Not Interested")</f>
        <v>Not Interested</v>
      </c>
      <c r="G258" s="124" t="str">
        <f>IFERROR(__xludf.DUMMYFUNCTION("""COMPUTED_VALUE"""),"GS Foundation")</f>
        <v>GS Foundation</v>
      </c>
      <c r="K258" s="124"/>
      <c r="L258" s="124"/>
      <c r="M258" s="124"/>
      <c r="N258" s="124"/>
      <c r="O258" s="124"/>
      <c r="T258" s="126">
        <f>IFERROR(__xludf.DUMMYFUNCTION("""COMPUTED_VALUE"""),46075.0)</f>
        <v>46075</v>
      </c>
      <c r="U258" s="124" t="str">
        <f>IFERROR(__xludf.DUMMYFUNCTION("""COMPUTED_VALUE"""),"Publisher Campaign")</f>
        <v>Publisher Campaign</v>
      </c>
      <c r="V258" s="124" t="str">
        <f>IFERROR(__xludf.DUMMYFUNCTION("""COMPUTED_VALUE"""),"Webinar")</f>
        <v>Webinar</v>
      </c>
      <c r="W258" s="124"/>
      <c r="X258" s="124"/>
      <c r="Y258" s="124" t="str">
        <f>IFERROR(__xludf.DUMMYFUNCTION("""COMPUTED_VALUE"""),"Lucknow")</f>
        <v>Lucknow</v>
      </c>
      <c r="Z258" s="124">
        <f>IFERROR(__xludf.DUMMYFUNCTION("""COMPUTED_VALUE"""),1.0)</f>
        <v>1</v>
      </c>
      <c r="AA258" s="124" t="str">
        <f>IFERROR(__xludf.DUMMYFUNCTION("""COMPUTED_VALUE"""),"Cold")</f>
        <v>Cold</v>
      </c>
      <c r="AB258" s="124" t="str">
        <f>IFERROR(__xludf.DUMMYFUNCTION("""COMPUTED_VALUE"""),"GS Foundation")</f>
        <v>GS Foundation</v>
      </c>
    </row>
    <row r="259">
      <c r="A259" s="126">
        <f>IFERROR(__xludf.DUMMYFUNCTION("""COMPUTED_VALUE"""),46095.0)</f>
        <v>46095</v>
      </c>
      <c r="B259" s="124" t="str">
        <f>IFERROR(__xludf.DUMMYFUNCTION("""COMPUTED_VALUE"""),"Walkin")</f>
        <v>Walkin</v>
      </c>
      <c r="C259" s="124" t="str">
        <f>IFERROR(__xludf.DUMMYFUNCTION("""COMPUTED_VALUE"""),"Patna")</f>
        <v>Patna</v>
      </c>
      <c r="D259" s="124" t="str">
        <f>IFERROR(__xludf.DUMMYFUNCTION("""COMPUTED_VALUE"""),"Primary_Walkin")</f>
        <v>Primary_Walkin</v>
      </c>
      <c r="E259" s="127">
        <f>IFERROR(__xludf.DUMMYFUNCTION("""COMPUTED_VALUE"""),2.0)</f>
        <v>2</v>
      </c>
      <c r="F259" s="128" t="str">
        <f>IFERROR(__xludf.DUMMYFUNCTION("""COMPUTED_VALUE"""),"Not Interested")</f>
        <v>Not Interested</v>
      </c>
      <c r="G259" s="124" t="str">
        <f>IFERROR(__xludf.DUMMYFUNCTION("""COMPUTED_VALUE"""),"State PCS")</f>
        <v>State PCS</v>
      </c>
      <c r="K259" s="124"/>
      <c r="L259" s="124"/>
      <c r="M259" s="124"/>
      <c r="N259" s="124"/>
      <c r="O259" s="124"/>
      <c r="T259" s="126">
        <f>IFERROR(__xludf.DUMMYFUNCTION("""COMPUTED_VALUE"""),46057.0)</f>
        <v>46057</v>
      </c>
      <c r="U259" s="124" t="str">
        <f>IFERROR(__xludf.DUMMYFUNCTION("""COMPUTED_VALUE"""),"Publisher Campaign")</f>
        <v>Publisher Campaign</v>
      </c>
      <c r="V259" s="124" t="str">
        <f>IFERROR(__xludf.DUMMYFUNCTION("""COMPUTED_VALUE"""),"Feeder Cities")</f>
        <v>Feeder Cities</v>
      </c>
      <c r="W259" s="124"/>
      <c r="X259" s="124"/>
      <c r="Y259" s="124" t="str">
        <f>IFERROR(__xludf.DUMMYFUNCTION("""COMPUTED_VALUE"""),"Indore")</f>
        <v>Indore</v>
      </c>
      <c r="Z259" s="124">
        <f>IFERROR(__xludf.DUMMYFUNCTION("""COMPUTED_VALUE"""),2.0)</f>
        <v>2</v>
      </c>
      <c r="AA259" s="124" t="str">
        <f>IFERROR(__xludf.DUMMYFUNCTION("""COMPUTED_VALUE"""),"Fake Lead")</f>
        <v>Fake Lead</v>
      </c>
      <c r="AB259" s="124" t="str">
        <f>IFERROR(__xludf.DUMMYFUNCTION("""COMPUTED_VALUE"""),"GS Foundation")</f>
        <v>GS Foundation</v>
      </c>
    </row>
    <row r="260">
      <c r="A260" s="129">
        <f>IFERROR(__xludf.DUMMYFUNCTION("""COMPUTED_VALUE"""),46051.0)</f>
        <v>46051</v>
      </c>
      <c r="B260" s="124" t="str">
        <f>IFERROR(__xludf.DUMMYFUNCTION("""COMPUTED_VALUE"""),"Walk-In")</f>
        <v>Walk-In</v>
      </c>
      <c r="C260" s="124"/>
      <c r="D260" s="124" t="str">
        <f>IFERROR(__xludf.DUMMYFUNCTION("""COMPUTED_VALUE"""),"Primary_Walkin")</f>
        <v>Primary_Walkin</v>
      </c>
      <c r="E260" s="127">
        <f>IFERROR(__xludf.DUMMYFUNCTION("""COMPUTED_VALUE"""),1.0)</f>
        <v>1</v>
      </c>
      <c r="F260" s="128" t="str">
        <f>IFERROR(__xludf.DUMMYFUNCTION("""COMPUTED_VALUE"""),"Not Interested")</f>
        <v>Not Interested</v>
      </c>
      <c r="G260" s="124" t="str">
        <f>IFERROR(__xludf.DUMMYFUNCTION("""COMPUTED_VALUE"""),"Optionals")</f>
        <v>Optionals</v>
      </c>
      <c r="K260" s="124"/>
      <c r="L260" s="124"/>
      <c r="M260" s="124"/>
      <c r="N260" s="124"/>
      <c r="O260" s="124"/>
      <c r="T260" s="129">
        <f>IFERROR(__xludf.DUMMYFUNCTION("""COMPUTED_VALUE"""),46079.0)</f>
        <v>46079</v>
      </c>
      <c r="U260" s="124" t="str">
        <f>IFERROR(__xludf.DUMMYFUNCTION("""COMPUTED_VALUE"""),"Publisher Campaign")</f>
        <v>Publisher Campaign</v>
      </c>
      <c r="V260" s="124" t="str">
        <f>IFERROR(__xludf.DUMMYFUNCTION("""COMPUTED_VALUE"""),"Webinar")</f>
        <v>Webinar</v>
      </c>
      <c r="W260" s="124"/>
      <c r="X260" s="124"/>
      <c r="Y260" s="124" t="str">
        <f>IFERROR(__xludf.DUMMYFUNCTION("""COMPUTED_VALUE"""),"Indore")</f>
        <v>Indore</v>
      </c>
      <c r="Z260" s="124">
        <f>IFERROR(__xludf.DUMMYFUNCTION("""COMPUTED_VALUE"""),1.0)</f>
        <v>1</v>
      </c>
      <c r="AA260" s="124"/>
      <c r="AB260" s="124" t="str">
        <f>IFERROR(__xludf.DUMMYFUNCTION("""COMPUTED_VALUE"""),"State PCS")</f>
        <v>State PCS</v>
      </c>
    </row>
    <row r="261">
      <c r="A261" s="126">
        <f>IFERROR(__xludf.DUMMYFUNCTION("""COMPUTED_VALUE"""),46045.0)</f>
        <v>46045</v>
      </c>
      <c r="B261" s="124" t="str">
        <f>IFERROR(__xludf.DUMMYFUNCTION("""COMPUTED_VALUE"""),"walk-in")</f>
        <v>walk-in</v>
      </c>
      <c r="C261" s="124"/>
      <c r="D261" s="124" t="str">
        <f>IFERROR(__xludf.DUMMYFUNCTION("""COMPUTED_VALUE"""),"Primary_Walkin")</f>
        <v>Primary_Walkin</v>
      </c>
      <c r="E261" s="127">
        <f>IFERROR(__xludf.DUMMYFUNCTION("""COMPUTED_VALUE"""),1.0)</f>
        <v>1</v>
      </c>
      <c r="F261" s="128" t="str">
        <f>IFERROR(__xludf.DUMMYFUNCTION("""COMPUTED_VALUE"""),"Enrolled")</f>
        <v>Enrolled</v>
      </c>
      <c r="G261" s="124" t="str">
        <f>IFERROR(__xludf.DUMMYFUNCTION("""COMPUTED_VALUE"""),"GS Foundation")</f>
        <v>GS Foundation</v>
      </c>
      <c r="K261" s="124"/>
      <c r="L261" s="124"/>
      <c r="M261" s="124"/>
      <c r="N261" s="124"/>
      <c r="O261" s="124"/>
      <c r="T261" s="126">
        <f>IFERROR(__xludf.DUMMYFUNCTION("""COMPUTED_VALUE"""),46054.0)</f>
        <v>46054</v>
      </c>
      <c r="U261" s="124" t="str">
        <f>IFERROR(__xludf.DUMMYFUNCTION("""COMPUTED_VALUE"""),"Paid Ads")</f>
        <v>Paid Ads</v>
      </c>
      <c r="V261" s="124" t="str">
        <f>IFERROR(__xludf.DUMMYFUNCTION("""COMPUTED_VALUE"""),"google")</f>
        <v>google</v>
      </c>
      <c r="W261" s="124" t="str">
        <f>IFERROR(__xludf.DUMMYFUNCTION("""COMPUTED_VALUE"""),"cpc")</f>
        <v>cpc</v>
      </c>
      <c r="X261" s="124">
        <f>IFERROR(__xludf.DUMMYFUNCTION("""COMPUTED_VALUE"""),2.2754500514E10)</f>
        <v>22754500514</v>
      </c>
      <c r="Y261" s="124" t="str">
        <f>IFERROR(__xludf.DUMMYFUNCTION("""COMPUTED_VALUE"""),"Lucknow")</f>
        <v>Lucknow</v>
      </c>
      <c r="Z261" s="124">
        <f>IFERROR(__xludf.DUMMYFUNCTION("""COMPUTED_VALUE"""),1.0)</f>
        <v>1</v>
      </c>
      <c r="AA261" s="124" t="str">
        <f>IFERROR(__xludf.DUMMYFUNCTION("""COMPUTED_VALUE"""),"Cold")</f>
        <v>Cold</v>
      </c>
      <c r="AB261" s="124" t="str">
        <f>IFERROR(__xludf.DUMMYFUNCTION("""COMPUTED_VALUE"""),"GS Foundation")</f>
        <v>GS Foundation</v>
      </c>
    </row>
    <row r="262">
      <c r="A262" s="126">
        <f>IFERROR(__xludf.DUMMYFUNCTION("""COMPUTED_VALUE"""),46091.0)</f>
        <v>46091</v>
      </c>
      <c r="B262" s="124" t="str">
        <f>IFERROR(__xludf.DUMMYFUNCTION("""COMPUTED_VALUE"""),"walk-in")</f>
        <v>walk-in</v>
      </c>
      <c r="C262" s="124"/>
      <c r="D262" s="124" t="str">
        <f>IFERROR(__xludf.DUMMYFUNCTION("""COMPUTED_VALUE"""),"Primary_Walkin")</f>
        <v>Primary_Walkin</v>
      </c>
      <c r="E262" s="127">
        <f>IFERROR(__xludf.DUMMYFUNCTION("""COMPUTED_VALUE"""),1.0)</f>
        <v>1</v>
      </c>
      <c r="F262" s="128" t="str">
        <f>IFERROR(__xludf.DUMMYFUNCTION("""COMPUTED_VALUE"""),"Future Prospects")</f>
        <v>Future Prospects</v>
      </c>
      <c r="G262" s="124" t="str">
        <f>IFERROR(__xludf.DUMMYFUNCTION("""COMPUTED_VALUE"""),"State PCS")</f>
        <v>State PCS</v>
      </c>
      <c r="K262" s="124"/>
      <c r="L262" s="124"/>
      <c r="M262" s="124"/>
      <c r="N262" s="124"/>
      <c r="O262" s="124"/>
      <c r="T262" s="126">
        <f>IFERROR(__xludf.DUMMYFUNCTION("""COMPUTED_VALUE"""),46102.0)</f>
        <v>46102</v>
      </c>
      <c r="U262" s="124" t="str">
        <f>IFERROR(__xludf.DUMMYFUNCTION("""COMPUTED_VALUE"""),"Paid Ads")</f>
        <v>Paid Ads</v>
      </c>
      <c r="V262" s="124" t="str">
        <f>IFERROR(__xludf.DUMMYFUNCTION("""COMPUTED_VALUE"""),"google")</f>
        <v>google</v>
      </c>
      <c r="W262" s="124" t="str">
        <f>IFERROR(__xludf.DUMMYFUNCTION("""COMPUTED_VALUE"""),"cpc")</f>
        <v>cpc</v>
      </c>
      <c r="X262" s="124">
        <f>IFERROR(__xludf.DUMMYFUNCTION("""COMPUTED_VALUE"""),2.288825581E10)</f>
        <v>22888255810</v>
      </c>
      <c r="Y262" s="124" t="str">
        <f>IFERROR(__xludf.DUMMYFUNCTION("""COMPUTED_VALUE"""),"Indore")</f>
        <v>Indore</v>
      </c>
      <c r="Z262" s="124">
        <f>IFERROR(__xludf.DUMMYFUNCTION("""COMPUTED_VALUE"""),1.0)</f>
        <v>1</v>
      </c>
      <c r="AA262" s="124" t="str">
        <f>IFERROR(__xludf.DUMMYFUNCTION("""COMPUTED_VALUE"""),"Cold")</f>
        <v>Cold</v>
      </c>
      <c r="AB262" s="124" t="str">
        <f>IFERROR(__xludf.DUMMYFUNCTION("""COMPUTED_VALUE"""),"IGP UPPSC")</f>
        <v>IGP UPPSC</v>
      </c>
    </row>
    <row r="263">
      <c r="A263" s="126">
        <f>IFERROR(__xludf.DUMMYFUNCTION("""COMPUTED_VALUE"""),46099.0)</f>
        <v>46099</v>
      </c>
      <c r="B263" s="124" t="str">
        <f>IFERROR(__xludf.DUMMYFUNCTION("""COMPUTED_VALUE"""),"Walk-In")</f>
        <v>Walk-In</v>
      </c>
      <c r="C263" s="124"/>
      <c r="D263" s="124" t="str">
        <f>IFERROR(__xludf.DUMMYFUNCTION("""COMPUTED_VALUE"""),"Primary_Walkin")</f>
        <v>Primary_Walkin</v>
      </c>
      <c r="E263" s="127">
        <f>IFERROR(__xludf.DUMMYFUNCTION("""COMPUTED_VALUE"""),1.0)</f>
        <v>1</v>
      </c>
      <c r="F263" s="128" t="str">
        <f>IFERROR(__xludf.DUMMYFUNCTION("""COMPUTED_VALUE"""),"Warm")</f>
        <v>Warm</v>
      </c>
      <c r="G263" s="124" t="str">
        <f>IFERROR(__xludf.DUMMYFUNCTION("""COMPUTED_VALUE"""),"State PCS")</f>
        <v>State PCS</v>
      </c>
      <c r="K263" s="124"/>
      <c r="L263" s="124"/>
      <c r="M263" s="124"/>
      <c r="N263" s="124"/>
      <c r="O263" s="124"/>
      <c r="T263" s="126">
        <f>IFERROR(__xludf.DUMMYFUNCTION("""COMPUTED_VALUE"""),46047.0)</f>
        <v>46047</v>
      </c>
      <c r="U263" s="124" t="str">
        <f>IFERROR(__xludf.DUMMYFUNCTION("""COMPUTED_VALUE"""),"External Leads")</f>
        <v>External Leads</v>
      </c>
      <c r="V263" s="124" t="str">
        <f>IFERROR(__xludf.DUMMYFUNCTION("""COMPUTED_VALUE"""),"external leads")</f>
        <v>external leads</v>
      </c>
      <c r="W263" s="124" t="str">
        <f>IFERROR(__xludf.DUMMYFUNCTION("""COMPUTED_VALUE"""),"indore")</f>
        <v>indore</v>
      </c>
      <c r="X263" s="124" t="str">
        <f>IFERROR(__xludf.DUMMYFUNCTION("""COMPUTED_VALUE"""),"unacademy")</f>
        <v>unacademy</v>
      </c>
      <c r="Y263" s="124" t="str">
        <f>IFERROR(__xludf.DUMMYFUNCTION("""COMPUTED_VALUE"""),"Delhi")</f>
        <v>Delhi</v>
      </c>
      <c r="Z263" s="124">
        <f>IFERROR(__xludf.DUMMYFUNCTION("""COMPUTED_VALUE"""),1.0)</f>
        <v>1</v>
      </c>
      <c r="AA263" s="124" t="str">
        <f>IFERROR(__xludf.DUMMYFUNCTION("""COMPUTED_VALUE"""),"Cold")</f>
        <v>Cold</v>
      </c>
      <c r="AB263" s="124" t="str">
        <f>IFERROR(__xludf.DUMMYFUNCTION("""COMPUTED_VALUE"""),"GS Foundation")</f>
        <v>GS Foundation</v>
      </c>
    </row>
    <row r="264">
      <c r="A264" s="126">
        <f>IFERROR(__xludf.DUMMYFUNCTION("""COMPUTED_VALUE"""),46083.0)</f>
        <v>46083</v>
      </c>
      <c r="B264" s="124" t="str">
        <f>IFERROR(__xludf.DUMMYFUNCTION("""COMPUTED_VALUE"""),"external leads")</f>
        <v>external leads</v>
      </c>
      <c r="C264" s="124" t="str">
        <f>IFERROR(__xludf.DUMMYFUNCTION("""COMPUTED_VALUE"""),"Prayagraj")</f>
        <v>Prayagraj</v>
      </c>
      <c r="D264" s="124" t="str">
        <f>IFERROR(__xludf.DUMMYFUNCTION("""COMPUTED_VALUE"""),"Secondary_Walkin")</f>
        <v>Secondary_Walkin</v>
      </c>
      <c r="E264" s="127">
        <f>IFERROR(__xludf.DUMMYFUNCTION("""COMPUTED_VALUE"""),1.0)</f>
        <v>1</v>
      </c>
      <c r="F264" s="128" t="str">
        <f>IFERROR(__xludf.DUMMYFUNCTION("""COMPUTED_VALUE"""),"Enrolled")</f>
        <v>Enrolled</v>
      </c>
      <c r="G264" s="124" t="str">
        <f>IFERROR(__xludf.DUMMYFUNCTION("""COMPUTED_VALUE"""),"GS Foundation")</f>
        <v>GS Foundation</v>
      </c>
      <c r="K264" s="124"/>
      <c r="L264" s="124"/>
      <c r="M264" s="124"/>
      <c r="N264" s="124"/>
      <c r="O264" s="124"/>
      <c r="T264" s="126">
        <f>IFERROR(__xludf.DUMMYFUNCTION("""COMPUTED_VALUE"""),46101.0)</f>
        <v>46101</v>
      </c>
      <c r="U264" s="124" t="str">
        <f>IFERROR(__xludf.DUMMYFUNCTION("""COMPUTED_VALUE"""),"Publisher Campaign")</f>
        <v>Publisher Campaign</v>
      </c>
      <c r="V264" s="124" t="str">
        <f>IFERROR(__xludf.DUMMYFUNCTION("""COMPUTED_VALUE"""),"Institutions")</f>
        <v>Institutions</v>
      </c>
      <c r="W264" s="124"/>
      <c r="X264" s="124"/>
      <c r="Y264" s="124" t="str">
        <f>IFERROR(__xludf.DUMMYFUNCTION("""COMPUTED_VALUE"""),"Indore")</f>
        <v>Indore</v>
      </c>
      <c r="Z264" s="124">
        <f>IFERROR(__xludf.DUMMYFUNCTION("""COMPUTED_VALUE"""),10.0)</f>
        <v>10</v>
      </c>
      <c r="AA264" s="124" t="str">
        <f>IFERROR(__xludf.DUMMYFUNCTION("""COMPUTED_VALUE"""),"Cold")</f>
        <v>Cold</v>
      </c>
      <c r="AB264" s="124" t="str">
        <f>IFERROR(__xludf.DUMMYFUNCTION("""COMPUTED_VALUE"""),"GS Foundation")</f>
        <v>GS Foundation</v>
      </c>
    </row>
    <row r="265">
      <c r="A265" s="126">
        <f>IFERROR(__xludf.DUMMYFUNCTION("""COMPUTED_VALUE"""),46046.0)</f>
        <v>46046</v>
      </c>
      <c r="B265" s="124" t="str">
        <f>IFERROR(__xludf.DUMMYFUNCTION("""COMPUTED_VALUE"""),"Walkin")</f>
        <v>Walkin</v>
      </c>
      <c r="C265" s="124" t="str">
        <f>IFERROR(__xludf.DUMMYFUNCTION("""COMPUTED_VALUE"""),"Prayagraj")</f>
        <v>Prayagraj</v>
      </c>
      <c r="D265" s="124" t="str">
        <f>IFERROR(__xludf.DUMMYFUNCTION("""COMPUTED_VALUE"""),"Primary_Walkin")</f>
        <v>Primary_Walkin</v>
      </c>
      <c r="E265" s="127">
        <f>IFERROR(__xludf.DUMMYFUNCTION("""COMPUTED_VALUE"""),1.0)</f>
        <v>1</v>
      </c>
      <c r="F265" s="128" t="str">
        <f>IFERROR(__xludf.DUMMYFUNCTION("""COMPUTED_VALUE"""),"Cold")</f>
        <v>Cold</v>
      </c>
      <c r="G265" s="124" t="str">
        <f>IFERROR(__xludf.DUMMYFUNCTION("""COMPUTED_VALUE"""),"Mentorship")</f>
        <v>Mentorship</v>
      </c>
      <c r="K265" s="124"/>
      <c r="L265" s="124"/>
      <c r="M265" s="124"/>
      <c r="N265" s="124"/>
      <c r="O265" s="124"/>
      <c r="T265" s="126">
        <f>IFERROR(__xludf.DUMMYFUNCTION("""COMPUTED_VALUE"""),46060.0)</f>
        <v>46060</v>
      </c>
      <c r="U265" s="124" t="str">
        <f>IFERROR(__xludf.DUMMYFUNCTION("""COMPUTED_VALUE"""),"Publisher Campaign")</f>
        <v>Publisher Campaign</v>
      </c>
      <c r="V265" s="124" t="str">
        <f>IFERROR(__xludf.DUMMYFUNCTION("""COMPUTED_VALUE"""),"Webinar")</f>
        <v>Webinar</v>
      </c>
      <c r="W265" s="124"/>
      <c r="X265" s="124"/>
      <c r="Y265" s="124" t="str">
        <f>IFERROR(__xludf.DUMMYFUNCTION("""COMPUTED_VALUE"""),"Delhi")</f>
        <v>Delhi</v>
      </c>
      <c r="Z265" s="124">
        <f>IFERROR(__xludf.DUMMYFUNCTION("""COMPUTED_VALUE"""),2.0)</f>
        <v>2</v>
      </c>
      <c r="AA265" s="124" t="str">
        <f>IFERROR(__xludf.DUMMYFUNCTION("""COMPUTED_VALUE"""),"Not Interested")</f>
        <v>Not Interested</v>
      </c>
      <c r="AB265" s="124" t="str">
        <f>IFERROR(__xludf.DUMMYFUNCTION("""COMPUTED_VALUE"""),"Other")</f>
        <v>Other</v>
      </c>
    </row>
    <row r="266">
      <c r="A266" s="126">
        <f>IFERROR(__xludf.DUMMYFUNCTION("""COMPUTED_VALUE"""),46082.0)</f>
        <v>46082</v>
      </c>
      <c r="B266" s="124" t="str">
        <f>IFERROR(__xludf.DUMMYFUNCTION("""COMPUTED_VALUE"""),"Walk-In")</f>
        <v>Walk-In</v>
      </c>
      <c r="C266" s="124" t="str">
        <f>IFERROR(__xludf.DUMMYFUNCTION("""COMPUTED_VALUE"""),"Prayagraj")</f>
        <v>Prayagraj</v>
      </c>
      <c r="D266" s="124" t="str">
        <f>IFERROR(__xludf.DUMMYFUNCTION("""COMPUTED_VALUE"""),"Primary_Walkin")</f>
        <v>Primary_Walkin</v>
      </c>
      <c r="E266" s="127">
        <f>IFERROR(__xludf.DUMMYFUNCTION("""COMPUTED_VALUE"""),1.0)</f>
        <v>1</v>
      </c>
      <c r="F266" s="128" t="str">
        <f>IFERROR(__xludf.DUMMYFUNCTION("""COMPUTED_VALUE"""),"Warm")</f>
        <v>Warm</v>
      </c>
      <c r="G266" s="124" t="str">
        <f>IFERROR(__xludf.DUMMYFUNCTION("""COMPUTED_VALUE"""),"State PCS")</f>
        <v>State PCS</v>
      </c>
      <c r="K266" s="124"/>
      <c r="L266" s="124"/>
      <c r="M266" s="124"/>
      <c r="N266" s="124"/>
      <c r="O266" s="124"/>
      <c r="T266" s="126">
        <f>IFERROR(__xludf.DUMMYFUNCTION("""COMPUTED_VALUE"""),46046.0)</f>
        <v>46046</v>
      </c>
      <c r="U266" s="124" t="str">
        <f>IFERROR(__xludf.DUMMYFUNCTION("""COMPUTED_VALUE"""),"External Leads")</f>
        <v>External Leads</v>
      </c>
      <c r="V266" s="124" t="str">
        <f>IFERROR(__xludf.DUMMYFUNCTION("""COMPUTED_VALUE"""),"external leads")</f>
        <v>external leads</v>
      </c>
      <c r="W266" s="124"/>
      <c r="X266" s="124"/>
      <c r="Y266" s="124" t="str">
        <f>IFERROR(__xludf.DUMMYFUNCTION("""COMPUTED_VALUE"""),"Delhi")</f>
        <v>Delhi</v>
      </c>
      <c r="Z266" s="124">
        <f>IFERROR(__xludf.DUMMYFUNCTION("""COMPUTED_VALUE"""),2.0)</f>
        <v>2</v>
      </c>
      <c r="AA266" s="124" t="str">
        <f>IFERROR(__xludf.DUMMYFUNCTION("""COMPUTED_VALUE"""),"Cold")</f>
        <v>Cold</v>
      </c>
      <c r="AB266" s="124" t="str">
        <f>IFERROR(__xludf.DUMMYFUNCTION("""COMPUTED_VALUE"""),"GS Foundation")</f>
        <v>GS Foundation</v>
      </c>
    </row>
    <row r="267">
      <c r="A267" s="126">
        <f>IFERROR(__xludf.DUMMYFUNCTION("""COMPUTED_VALUE"""),46091.0)</f>
        <v>46091</v>
      </c>
      <c r="B267" s="124" t="str">
        <f>IFERROR(__xludf.DUMMYFUNCTION("""COMPUTED_VALUE"""),"Walk-In")</f>
        <v>Walk-In</v>
      </c>
      <c r="C267" s="124" t="str">
        <f>IFERROR(__xludf.DUMMYFUNCTION("""COMPUTED_VALUE"""),"Prayagraj")</f>
        <v>Prayagraj</v>
      </c>
      <c r="D267" s="124" t="str">
        <f>IFERROR(__xludf.DUMMYFUNCTION("""COMPUTED_VALUE"""),"Primary_Walkin")</f>
        <v>Primary_Walkin</v>
      </c>
      <c r="E267" s="127">
        <f>IFERROR(__xludf.DUMMYFUNCTION("""COMPUTED_VALUE"""),1.0)</f>
        <v>1</v>
      </c>
      <c r="F267" s="128" t="str">
        <f>IFERROR(__xludf.DUMMYFUNCTION("""COMPUTED_VALUE"""),"Cold")</f>
        <v>Cold</v>
      </c>
      <c r="G267" s="124" t="str">
        <f>IFERROR(__xludf.DUMMYFUNCTION("""COMPUTED_VALUE"""),"Other")</f>
        <v>Other</v>
      </c>
      <c r="K267" s="124"/>
      <c r="L267" s="124"/>
      <c r="M267" s="124"/>
      <c r="N267" s="124"/>
      <c r="O267" s="124"/>
      <c r="T267" s="126">
        <f>IFERROR(__xludf.DUMMYFUNCTION("""COMPUTED_VALUE"""),46079.0)</f>
        <v>46079</v>
      </c>
      <c r="U267" s="124" t="str">
        <f>IFERROR(__xludf.DUMMYFUNCTION("""COMPUTED_VALUE"""),"Publisher Campaign")</f>
        <v>Publisher Campaign</v>
      </c>
      <c r="V267" s="124" t="str">
        <f>IFERROR(__xludf.DUMMYFUNCTION("""COMPUTED_VALUE"""),"Webinar")</f>
        <v>Webinar</v>
      </c>
      <c r="W267" s="124"/>
      <c r="X267" s="124"/>
      <c r="Y267" s="124" t="str">
        <f>IFERROR(__xludf.DUMMYFUNCTION("""COMPUTED_VALUE"""),"Delhi")</f>
        <v>Delhi</v>
      </c>
      <c r="Z267" s="124">
        <f>IFERROR(__xludf.DUMMYFUNCTION("""COMPUTED_VALUE"""),9.0)</f>
        <v>9</v>
      </c>
      <c r="AA267" s="124" t="str">
        <f>IFERROR(__xludf.DUMMYFUNCTION("""COMPUTED_VALUE"""),"Warm")</f>
        <v>Warm</v>
      </c>
      <c r="AB267" s="124" t="str">
        <f>IFERROR(__xludf.DUMMYFUNCTION("""COMPUTED_VALUE"""),"CSAT")</f>
        <v>CSAT</v>
      </c>
    </row>
    <row r="268">
      <c r="A268" s="126">
        <f>IFERROR(__xludf.DUMMYFUNCTION("""COMPUTED_VALUE"""),46098.0)</f>
        <v>46098</v>
      </c>
      <c r="B268" s="124" t="str">
        <f>IFERROR(__xludf.DUMMYFUNCTION("""COMPUTED_VALUE"""),"Walkin")</f>
        <v>Walkin</v>
      </c>
      <c r="C268" s="124" t="str">
        <f>IFERROR(__xludf.DUMMYFUNCTION("""COMPUTED_VALUE"""),"Prayagraj")</f>
        <v>Prayagraj</v>
      </c>
      <c r="D268" s="124" t="str">
        <f>IFERROR(__xludf.DUMMYFUNCTION("""COMPUTED_VALUE"""),"Primary_Walkin")</f>
        <v>Primary_Walkin</v>
      </c>
      <c r="E268" s="127">
        <f>IFERROR(__xludf.DUMMYFUNCTION("""COMPUTED_VALUE"""),2.0)</f>
        <v>2</v>
      </c>
      <c r="F268" s="128" t="str">
        <f>IFERROR(__xludf.DUMMYFUNCTION("""COMPUTED_VALUE"""),"Enrolled")</f>
        <v>Enrolled</v>
      </c>
      <c r="G268" s="124" t="str">
        <f>IFERROR(__xludf.DUMMYFUNCTION("""COMPUTED_VALUE"""),"GS Foundation")</f>
        <v>GS Foundation</v>
      </c>
      <c r="K268" s="124"/>
      <c r="L268" s="124"/>
      <c r="M268" s="124"/>
      <c r="N268" s="124"/>
      <c r="O268" s="124"/>
      <c r="T268" s="126">
        <f>IFERROR(__xludf.DUMMYFUNCTION("""COMPUTED_VALUE"""),46088.0)</f>
        <v>46088</v>
      </c>
      <c r="U268" s="124" t="str">
        <f>IFERROR(__xludf.DUMMYFUNCTION("""COMPUTED_VALUE"""),"Publisher Campaign")</f>
        <v>Publisher Campaign</v>
      </c>
      <c r="V268" s="124" t="str">
        <f>IFERROR(__xludf.DUMMYFUNCTION("""COMPUTED_VALUE"""),"Webinar")</f>
        <v>Webinar</v>
      </c>
      <c r="W268" s="124"/>
      <c r="X268" s="124"/>
      <c r="Y268" s="124" t="str">
        <f>IFERROR(__xludf.DUMMYFUNCTION("""COMPUTED_VALUE"""),"Delhi")</f>
        <v>Delhi</v>
      </c>
      <c r="Z268" s="124">
        <f>IFERROR(__xludf.DUMMYFUNCTION("""COMPUTED_VALUE"""),4.0)</f>
        <v>4</v>
      </c>
      <c r="AA268" s="124" t="str">
        <f>IFERROR(__xludf.DUMMYFUNCTION("""COMPUTED_VALUE"""),"Not Interested")</f>
        <v>Not Interested</v>
      </c>
      <c r="AB268" s="124" t="str">
        <f>IFERROR(__xludf.DUMMYFUNCTION("""COMPUTED_VALUE"""),"GS Foundation")</f>
        <v>GS Foundation</v>
      </c>
    </row>
    <row r="269">
      <c r="A269" s="126">
        <f>IFERROR(__xludf.DUMMYFUNCTION("""COMPUTED_VALUE"""),46104.0)</f>
        <v>46104</v>
      </c>
      <c r="B269" s="124" t="str">
        <f>IFERROR(__xludf.DUMMYFUNCTION("""COMPUTED_VALUE"""),"Walk-In")</f>
        <v>Walk-In</v>
      </c>
      <c r="C269" s="124" t="str">
        <f>IFERROR(__xludf.DUMMYFUNCTION("""COMPUTED_VALUE"""),"Prayagraj")</f>
        <v>Prayagraj</v>
      </c>
      <c r="D269" s="124" t="str">
        <f>IFERROR(__xludf.DUMMYFUNCTION("""COMPUTED_VALUE"""),"Primary_Walkin")</f>
        <v>Primary_Walkin</v>
      </c>
      <c r="E269" s="127">
        <f>IFERROR(__xludf.DUMMYFUNCTION("""COMPUTED_VALUE"""),1.0)</f>
        <v>1</v>
      </c>
      <c r="F269" s="128" t="str">
        <f>IFERROR(__xludf.DUMMYFUNCTION("""COMPUTED_VALUE"""),"Warm")</f>
        <v>Warm</v>
      </c>
      <c r="G269" s="124" t="str">
        <f>IFERROR(__xludf.DUMMYFUNCTION("""COMPUTED_VALUE"""),"GS Foundation")</f>
        <v>GS Foundation</v>
      </c>
      <c r="K269" s="124"/>
      <c r="L269" s="124"/>
      <c r="M269" s="124"/>
      <c r="N269" s="124"/>
      <c r="O269" s="124"/>
      <c r="T269" s="126">
        <f>IFERROR(__xludf.DUMMYFUNCTION("""COMPUTED_VALUE"""),46087.0)</f>
        <v>46087</v>
      </c>
      <c r="U269" s="124" t="str">
        <f>IFERROR(__xludf.DUMMYFUNCTION("""COMPUTED_VALUE"""),"Publisher Campaign")</f>
        <v>Publisher Campaign</v>
      </c>
      <c r="V269" s="124" t="str">
        <f>IFERROR(__xludf.DUMMYFUNCTION("""COMPUTED_VALUE"""),"BTL Activities")</f>
        <v>BTL Activities</v>
      </c>
      <c r="W269" s="124"/>
      <c r="X269" s="124"/>
      <c r="Y269" s="124" t="str">
        <f>IFERROR(__xludf.DUMMYFUNCTION("""COMPUTED_VALUE"""),"Indore")</f>
        <v>Indore</v>
      </c>
      <c r="Z269" s="124">
        <f>IFERROR(__xludf.DUMMYFUNCTION("""COMPUTED_VALUE"""),2.0)</f>
        <v>2</v>
      </c>
      <c r="AA269" s="124" t="str">
        <f>IFERROR(__xludf.DUMMYFUNCTION("""COMPUTED_VALUE"""),"Not Interested")</f>
        <v>Not Interested</v>
      </c>
      <c r="AB269" s="124" t="str">
        <f>IFERROR(__xludf.DUMMYFUNCTION("""COMPUTED_VALUE"""),"GS Foundation")</f>
        <v>GS Foundation</v>
      </c>
    </row>
    <row r="270">
      <c r="A270" s="126">
        <f>IFERROR(__xludf.DUMMYFUNCTION("""COMPUTED_VALUE"""),46077.0)</f>
        <v>46077</v>
      </c>
      <c r="B270" s="124" t="str">
        <f>IFERROR(__xludf.DUMMYFUNCTION("""COMPUTED_VALUE"""),"Walkin")</f>
        <v>Walkin</v>
      </c>
      <c r="C270" s="124" t="str">
        <f>IFERROR(__xludf.DUMMYFUNCTION("""COMPUTED_VALUE"""),"Prayagraj")</f>
        <v>Prayagraj</v>
      </c>
      <c r="D270" s="124" t="str">
        <f>IFERROR(__xludf.DUMMYFUNCTION("""COMPUTED_VALUE"""),"Primary_Walkin")</f>
        <v>Primary_Walkin</v>
      </c>
      <c r="E270" s="127">
        <f>IFERROR(__xludf.DUMMYFUNCTION("""COMPUTED_VALUE"""),1.0)</f>
        <v>1</v>
      </c>
      <c r="F270" s="128" t="str">
        <f>IFERROR(__xludf.DUMMYFUNCTION("""COMPUTED_VALUE"""),"Fake Lead")</f>
        <v>Fake Lead</v>
      </c>
      <c r="G270" s="124" t="str">
        <f>IFERROR(__xludf.DUMMYFUNCTION("""COMPUTED_VALUE"""),"State PCS")</f>
        <v>State PCS</v>
      </c>
      <c r="K270" s="124"/>
      <c r="L270" s="124"/>
      <c r="M270" s="124"/>
      <c r="N270" s="124"/>
      <c r="O270" s="124"/>
      <c r="T270" s="126">
        <f>IFERROR(__xludf.DUMMYFUNCTION("""COMPUTED_VALUE"""),46061.0)</f>
        <v>46061</v>
      </c>
      <c r="U270" s="124" t="str">
        <f>IFERROR(__xludf.DUMMYFUNCTION("""COMPUTED_VALUE"""),"Publisher Campaign")</f>
        <v>Publisher Campaign</v>
      </c>
      <c r="V270" s="124" t="str">
        <f>IFERROR(__xludf.DUMMYFUNCTION("""COMPUTED_VALUE"""),"Webinar")</f>
        <v>Webinar</v>
      </c>
      <c r="W270" s="124"/>
      <c r="X270" s="124"/>
      <c r="Y270" s="124" t="str">
        <f>IFERROR(__xludf.DUMMYFUNCTION("""COMPUTED_VALUE"""),"Delhi")</f>
        <v>Delhi</v>
      </c>
      <c r="Z270" s="124">
        <f>IFERROR(__xludf.DUMMYFUNCTION("""COMPUTED_VALUE"""),20.0)</f>
        <v>20</v>
      </c>
      <c r="AA270" s="124" t="str">
        <f>IFERROR(__xludf.DUMMYFUNCTION("""COMPUTED_VALUE"""),"Cold")</f>
        <v>Cold</v>
      </c>
      <c r="AB270" s="124" t="str">
        <f>IFERROR(__xludf.DUMMYFUNCTION("""COMPUTED_VALUE"""),"CSAT")</f>
        <v>CSAT</v>
      </c>
    </row>
    <row r="271">
      <c r="A271" s="129">
        <f>IFERROR(__xludf.DUMMYFUNCTION("""COMPUTED_VALUE"""),46105.0)</f>
        <v>46105</v>
      </c>
      <c r="B271" s="124" t="str">
        <f>IFERROR(__xludf.DUMMYFUNCTION("""COMPUTED_VALUE"""),"events")</f>
        <v>events</v>
      </c>
      <c r="C271" s="124" t="str">
        <f>IFERROR(__xludf.DUMMYFUNCTION("""COMPUTED_VALUE"""),"Prayagraj")</f>
        <v>Prayagraj</v>
      </c>
      <c r="D271" s="124" t="str">
        <f>IFERROR(__xludf.DUMMYFUNCTION("""COMPUTED_VALUE"""),"Secondary_Walkin")</f>
        <v>Secondary_Walkin</v>
      </c>
      <c r="E271" s="127">
        <f>IFERROR(__xludf.DUMMYFUNCTION("""COMPUTED_VALUE"""),1.0)</f>
        <v>1</v>
      </c>
      <c r="F271" s="128" t="str">
        <f>IFERROR(__xludf.DUMMYFUNCTION("""COMPUTED_VALUE"""),"Warm")</f>
        <v>Warm</v>
      </c>
      <c r="G271" s="124" t="str">
        <f>IFERROR(__xludf.DUMMYFUNCTION("""COMPUTED_VALUE"""),"GS Foundation")</f>
        <v>GS Foundation</v>
      </c>
      <c r="K271" s="124"/>
      <c r="L271" s="124"/>
      <c r="M271" s="124"/>
      <c r="N271" s="124"/>
      <c r="O271" s="124"/>
      <c r="T271" s="126">
        <f>IFERROR(__xludf.DUMMYFUNCTION("""COMPUTED_VALUE"""),46048.0)</f>
        <v>46048</v>
      </c>
      <c r="U271" s="124" t="str">
        <f>IFERROR(__xludf.DUMMYFUNCTION("""COMPUTED_VALUE"""),"External Leads")</f>
        <v>External Leads</v>
      </c>
      <c r="V271" s="124" t="str">
        <f>IFERROR(__xludf.DUMMYFUNCTION("""COMPUTED_VALUE"""),"external leads")</f>
        <v>external leads</v>
      </c>
      <c r="W271" s="124"/>
      <c r="X271" s="124"/>
      <c r="Y271" s="124"/>
      <c r="Z271" s="124">
        <f>IFERROR(__xludf.DUMMYFUNCTION("""COMPUTED_VALUE"""),4.0)</f>
        <v>4</v>
      </c>
      <c r="AA271" s="124" t="str">
        <f>IFERROR(__xludf.DUMMYFUNCTION("""COMPUTED_VALUE"""),"Not Interested")</f>
        <v>Not Interested</v>
      </c>
      <c r="AB271" s="124"/>
    </row>
    <row r="272">
      <c r="A272" s="126">
        <f>IFERROR(__xludf.DUMMYFUNCTION("""COMPUTED_VALUE"""),46105.0)</f>
        <v>46105</v>
      </c>
      <c r="B272" s="124" t="str">
        <f>IFERROR(__xludf.DUMMYFUNCTION("""COMPUTED_VALUE"""),"Inbound Call")</f>
        <v>Inbound Call</v>
      </c>
      <c r="C272" s="124" t="str">
        <f>IFERROR(__xludf.DUMMYFUNCTION("""COMPUTED_VALUE"""),"Prayagraj")</f>
        <v>Prayagraj</v>
      </c>
      <c r="D272" s="124" t="str">
        <f>IFERROR(__xludf.DUMMYFUNCTION("""COMPUTED_VALUE"""),"Secondary_Walkin")</f>
        <v>Secondary_Walkin</v>
      </c>
      <c r="E272" s="127">
        <f>IFERROR(__xludf.DUMMYFUNCTION("""COMPUTED_VALUE"""),1.0)</f>
        <v>1</v>
      </c>
      <c r="F272" s="128" t="str">
        <f>IFERROR(__xludf.DUMMYFUNCTION("""COMPUTED_VALUE"""),"Warm")</f>
        <v>Warm</v>
      </c>
      <c r="G272" s="124" t="str">
        <f>IFERROR(__xludf.DUMMYFUNCTION("""COMPUTED_VALUE"""),"GS Foundation")</f>
        <v>GS Foundation</v>
      </c>
      <c r="K272" s="124"/>
      <c r="L272" s="124"/>
      <c r="M272" s="124"/>
      <c r="N272" s="124"/>
      <c r="O272" s="124"/>
      <c r="T272" s="126">
        <f>IFERROR(__xludf.DUMMYFUNCTION("""COMPUTED_VALUE"""),46079.0)</f>
        <v>46079</v>
      </c>
      <c r="U272" s="124" t="str">
        <f>IFERROR(__xludf.DUMMYFUNCTION("""COMPUTED_VALUE"""),"Publisher Campaign")</f>
        <v>Publisher Campaign</v>
      </c>
      <c r="V272" s="124" t="str">
        <f>IFERROR(__xludf.DUMMYFUNCTION("""COMPUTED_VALUE"""),"Webinar")</f>
        <v>Webinar</v>
      </c>
      <c r="W272" s="124"/>
      <c r="X272" s="124"/>
      <c r="Y272" s="124" t="str">
        <f>IFERROR(__xludf.DUMMYFUNCTION("""COMPUTED_VALUE"""),"Delhi")</f>
        <v>Delhi</v>
      </c>
      <c r="Z272" s="124">
        <f>IFERROR(__xludf.DUMMYFUNCTION("""COMPUTED_VALUE"""),9.0)</f>
        <v>9</v>
      </c>
      <c r="AA272" s="124" t="str">
        <f>IFERROR(__xludf.DUMMYFUNCTION("""COMPUTED_VALUE"""),"Warm")</f>
        <v>Warm</v>
      </c>
      <c r="AB272" s="124" t="str">
        <f>IFERROR(__xludf.DUMMYFUNCTION("""COMPUTED_VALUE"""),"Mentorship")</f>
        <v>Mentorship</v>
      </c>
    </row>
    <row r="273">
      <c r="A273" s="126">
        <f>IFERROR(__xludf.DUMMYFUNCTION("""COMPUTED_VALUE"""),46075.0)</f>
        <v>46075</v>
      </c>
      <c r="B273" s="124" t="str">
        <f>IFERROR(__xludf.DUMMYFUNCTION("""COMPUTED_VALUE"""),"Walkin")</f>
        <v>Walkin</v>
      </c>
      <c r="C273" s="124" t="str">
        <f>IFERROR(__xludf.DUMMYFUNCTION("""COMPUTED_VALUE"""),"Prayagraj")</f>
        <v>Prayagraj</v>
      </c>
      <c r="D273" s="124" t="str">
        <f>IFERROR(__xludf.DUMMYFUNCTION("""COMPUTED_VALUE"""),"Primary_Walkin")</f>
        <v>Primary_Walkin</v>
      </c>
      <c r="E273" s="127">
        <f>IFERROR(__xludf.DUMMYFUNCTION("""COMPUTED_VALUE"""),5.0)</f>
        <v>5</v>
      </c>
      <c r="F273" s="128" t="str">
        <f>IFERROR(__xludf.DUMMYFUNCTION("""COMPUTED_VALUE"""),"Cold")</f>
        <v>Cold</v>
      </c>
      <c r="G273" s="124" t="str">
        <f>IFERROR(__xludf.DUMMYFUNCTION("""COMPUTED_VALUE"""),"GS Foundation")</f>
        <v>GS Foundation</v>
      </c>
      <c r="K273" s="124"/>
      <c r="L273" s="124"/>
      <c r="M273" s="124"/>
      <c r="N273" s="124"/>
      <c r="O273" s="124"/>
      <c r="T273" s="126">
        <f>IFERROR(__xludf.DUMMYFUNCTION("""COMPUTED_VALUE"""),46077.0)</f>
        <v>46077</v>
      </c>
      <c r="U273" s="124" t="str">
        <f>IFERROR(__xludf.DUMMYFUNCTION("""COMPUTED_VALUE"""),"Walk-Ins")</f>
        <v>Walk-Ins</v>
      </c>
      <c r="V273" s="124" t="str">
        <f>IFERROR(__xludf.DUMMYFUNCTION("""COMPUTED_VALUE"""),"Walkin")</f>
        <v>Walkin</v>
      </c>
      <c r="W273" s="124"/>
      <c r="X273" s="124"/>
      <c r="Y273" s="124" t="str">
        <f>IFERROR(__xludf.DUMMYFUNCTION("""COMPUTED_VALUE"""),"Delhi")</f>
        <v>Delhi</v>
      </c>
      <c r="Z273" s="124">
        <f>IFERROR(__xludf.DUMMYFUNCTION("""COMPUTED_VALUE"""),1.0)</f>
        <v>1</v>
      </c>
      <c r="AA273" s="124" t="str">
        <f>IFERROR(__xludf.DUMMYFUNCTION("""COMPUTED_VALUE"""),"Not Interested")</f>
        <v>Not Interested</v>
      </c>
      <c r="AB273" s="124" t="str">
        <f>IFERROR(__xludf.DUMMYFUNCTION("""COMPUTED_VALUE"""),"GS Foundation")</f>
        <v>GS Foundation</v>
      </c>
    </row>
    <row r="274">
      <c r="A274" s="126">
        <f>IFERROR(__xludf.DUMMYFUNCTION("""COMPUTED_VALUE"""),46064.0)</f>
        <v>46064</v>
      </c>
      <c r="B274" s="124" t="str">
        <f>IFERROR(__xludf.DUMMYFUNCTION("""COMPUTED_VALUE"""),"Walkin")</f>
        <v>Walkin</v>
      </c>
      <c r="C274" s="124" t="str">
        <f>IFERROR(__xludf.DUMMYFUNCTION("""COMPUTED_VALUE"""),"Prayagraj")</f>
        <v>Prayagraj</v>
      </c>
      <c r="D274" s="124" t="str">
        <f>IFERROR(__xludf.DUMMYFUNCTION("""COMPUTED_VALUE"""),"Primary_Walkin")</f>
        <v>Primary_Walkin</v>
      </c>
      <c r="E274" s="127">
        <f>IFERROR(__xludf.DUMMYFUNCTION("""COMPUTED_VALUE"""),3.0)</f>
        <v>3</v>
      </c>
      <c r="F274" s="128" t="str">
        <f>IFERROR(__xludf.DUMMYFUNCTION("""COMPUTED_VALUE"""),"Cold")</f>
        <v>Cold</v>
      </c>
      <c r="G274" s="124" t="str">
        <f>IFERROR(__xludf.DUMMYFUNCTION("""COMPUTED_VALUE"""),"GS Foundation")</f>
        <v>GS Foundation</v>
      </c>
      <c r="K274" s="124"/>
      <c r="L274" s="124"/>
      <c r="M274" s="124"/>
      <c r="N274" s="124"/>
      <c r="O274" s="124"/>
      <c r="T274" s="126">
        <f>IFERROR(__xludf.DUMMYFUNCTION("""COMPUTED_VALUE"""),46061.0)</f>
        <v>46061</v>
      </c>
      <c r="U274" s="124" t="str">
        <f>IFERROR(__xludf.DUMMYFUNCTION("""COMPUTED_VALUE"""),"Publisher Campaign")</f>
        <v>Publisher Campaign</v>
      </c>
      <c r="V274" s="124" t="str">
        <f>IFERROR(__xludf.DUMMYFUNCTION("""COMPUTED_VALUE"""),"Webinar")</f>
        <v>Webinar</v>
      </c>
      <c r="W274" s="124"/>
      <c r="X274" s="124"/>
      <c r="Y274" s="124" t="str">
        <f>IFERROR(__xludf.DUMMYFUNCTION("""COMPUTED_VALUE"""),"Delhi")</f>
        <v>Delhi</v>
      </c>
      <c r="Z274" s="124">
        <f>IFERROR(__xludf.DUMMYFUNCTION("""COMPUTED_VALUE"""),13.0)</f>
        <v>13</v>
      </c>
      <c r="AA274" s="124" t="str">
        <f>IFERROR(__xludf.DUMMYFUNCTION("""COMPUTED_VALUE"""),"Cold")</f>
        <v>Cold</v>
      </c>
      <c r="AB274" s="124" t="str">
        <f>IFERROR(__xludf.DUMMYFUNCTION("""COMPUTED_VALUE"""),"Mentorship")</f>
        <v>Mentorship</v>
      </c>
    </row>
    <row r="275">
      <c r="A275" s="126">
        <f>IFERROR(__xludf.DUMMYFUNCTION("""COMPUTED_VALUE"""),46092.0)</f>
        <v>46092</v>
      </c>
      <c r="B275" s="124" t="str">
        <f>IFERROR(__xludf.DUMMYFUNCTION("""COMPUTED_VALUE"""),"Walkin")</f>
        <v>Walkin</v>
      </c>
      <c r="C275" s="124" t="str">
        <f>IFERROR(__xludf.DUMMYFUNCTION("""COMPUTED_VALUE"""),"Prayagraj")</f>
        <v>Prayagraj</v>
      </c>
      <c r="D275" s="124" t="str">
        <f>IFERROR(__xludf.DUMMYFUNCTION("""COMPUTED_VALUE"""),"Primary_Walkin")</f>
        <v>Primary_Walkin</v>
      </c>
      <c r="E275" s="127">
        <f>IFERROR(__xludf.DUMMYFUNCTION("""COMPUTED_VALUE"""),2.0)</f>
        <v>2</v>
      </c>
      <c r="F275" s="128" t="str">
        <f>IFERROR(__xludf.DUMMYFUNCTION("""COMPUTED_VALUE"""),"Cold")</f>
        <v>Cold</v>
      </c>
      <c r="G275" s="124" t="str">
        <f>IFERROR(__xludf.DUMMYFUNCTION("""COMPUTED_VALUE"""),"GS Foundation")</f>
        <v>GS Foundation</v>
      </c>
      <c r="K275" s="124"/>
      <c r="L275" s="124"/>
      <c r="M275" s="124"/>
      <c r="N275" s="124"/>
      <c r="O275" s="124"/>
      <c r="T275" s="126">
        <f>IFERROR(__xludf.DUMMYFUNCTION("""COMPUTED_VALUE"""),46095.0)</f>
        <v>46095</v>
      </c>
      <c r="U275" s="124" t="str">
        <f>IFERROR(__xludf.DUMMYFUNCTION("""COMPUTED_VALUE"""),"Publisher Campaign")</f>
        <v>Publisher Campaign</v>
      </c>
      <c r="V275" s="124" t="str">
        <f>IFERROR(__xludf.DUMMYFUNCTION("""COMPUTED_VALUE"""),"Webinar")</f>
        <v>Webinar</v>
      </c>
      <c r="W275" s="124"/>
      <c r="X275" s="124"/>
      <c r="Y275" s="124" t="str">
        <f>IFERROR(__xludf.DUMMYFUNCTION("""COMPUTED_VALUE"""),"Delhi")</f>
        <v>Delhi</v>
      </c>
      <c r="Z275" s="124">
        <f>IFERROR(__xludf.DUMMYFUNCTION("""COMPUTED_VALUE"""),2.0)</f>
        <v>2</v>
      </c>
      <c r="AA275" s="124" t="str">
        <f>IFERROR(__xludf.DUMMYFUNCTION("""COMPUTED_VALUE"""),"Future Prospects")</f>
        <v>Future Prospects</v>
      </c>
      <c r="AB275" s="124" t="str">
        <f>IFERROR(__xludf.DUMMYFUNCTION("""COMPUTED_VALUE"""),"GS Foundation")</f>
        <v>GS Foundation</v>
      </c>
    </row>
    <row r="276">
      <c r="A276" s="126">
        <f>IFERROR(__xludf.DUMMYFUNCTION("""COMPUTED_VALUE"""),46069.0)</f>
        <v>46069</v>
      </c>
      <c r="B276" s="124" t="str">
        <f>IFERROR(__xludf.DUMMYFUNCTION("""COMPUTED_VALUE"""),"Walkin")</f>
        <v>Walkin</v>
      </c>
      <c r="C276" s="124" t="str">
        <f>IFERROR(__xludf.DUMMYFUNCTION("""COMPUTED_VALUE"""),"Prayagraj")</f>
        <v>Prayagraj</v>
      </c>
      <c r="D276" s="124" t="str">
        <f>IFERROR(__xludf.DUMMYFUNCTION("""COMPUTED_VALUE"""),"Primary_Walkin")</f>
        <v>Primary_Walkin</v>
      </c>
      <c r="E276" s="127">
        <f>IFERROR(__xludf.DUMMYFUNCTION("""COMPUTED_VALUE"""),5.0)</f>
        <v>5</v>
      </c>
      <c r="F276" s="128" t="str">
        <f>IFERROR(__xludf.DUMMYFUNCTION("""COMPUTED_VALUE"""),"Cold")</f>
        <v>Cold</v>
      </c>
      <c r="G276" s="124" t="str">
        <f>IFERROR(__xludf.DUMMYFUNCTION("""COMPUTED_VALUE"""),"GS Foundation")</f>
        <v>GS Foundation</v>
      </c>
      <c r="K276" s="124"/>
      <c r="L276" s="124"/>
      <c r="M276" s="124"/>
      <c r="N276" s="124"/>
      <c r="O276" s="124"/>
      <c r="T276" s="126">
        <f>IFERROR(__xludf.DUMMYFUNCTION("""COMPUTED_VALUE"""),46050.0)</f>
        <v>46050</v>
      </c>
      <c r="U276" s="124" t="str">
        <f>IFERROR(__xludf.DUMMYFUNCTION("""COMPUTED_VALUE"""),"External Leads")</f>
        <v>External Leads</v>
      </c>
      <c r="V276" s="124" t="str">
        <f>IFERROR(__xludf.DUMMYFUNCTION("""COMPUTED_VALUE"""),"external leads")</f>
        <v>external leads</v>
      </c>
      <c r="W276" s="124"/>
      <c r="X276" s="124"/>
      <c r="Y276" s="124"/>
      <c r="Z276" s="124">
        <f>IFERROR(__xludf.DUMMYFUNCTION("""COMPUTED_VALUE"""),5.0)</f>
        <v>5</v>
      </c>
      <c r="AA276" s="124" t="str">
        <f>IFERROR(__xludf.DUMMYFUNCTION("""COMPUTED_VALUE"""),"Engaged")</f>
        <v>Engaged</v>
      </c>
      <c r="AB276" s="124"/>
    </row>
    <row r="277">
      <c r="A277" s="126">
        <f>IFERROR(__xludf.DUMMYFUNCTION("""COMPUTED_VALUE"""),46043.0)</f>
        <v>46043</v>
      </c>
      <c r="B277" s="124" t="str">
        <f>IFERROR(__xludf.DUMMYFUNCTION("""COMPUTED_VALUE"""),"Walk-In")</f>
        <v>Walk-In</v>
      </c>
      <c r="C277" s="124" t="str">
        <f>IFERROR(__xludf.DUMMYFUNCTION("""COMPUTED_VALUE"""),"Prayagraj")</f>
        <v>Prayagraj</v>
      </c>
      <c r="D277" s="124" t="str">
        <f>IFERROR(__xludf.DUMMYFUNCTION("""COMPUTED_VALUE"""),"Primary_Walkin")</f>
        <v>Primary_Walkin</v>
      </c>
      <c r="E277" s="127">
        <f>IFERROR(__xludf.DUMMYFUNCTION("""COMPUTED_VALUE"""),1.0)</f>
        <v>1</v>
      </c>
      <c r="F277" s="128" t="str">
        <f>IFERROR(__xludf.DUMMYFUNCTION("""COMPUTED_VALUE"""),"Cold")</f>
        <v>Cold</v>
      </c>
      <c r="G277" s="124" t="str">
        <f>IFERROR(__xludf.DUMMYFUNCTION("""COMPUTED_VALUE"""),"GS Foundation")</f>
        <v>GS Foundation</v>
      </c>
      <c r="K277" s="124"/>
      <c r="L277" s="124"/>
      <c r="M277" s="124"/>
      <c r="N277" s="124"/>
      <c r="O277" s="124"/>
      <c r="T277" s="126">
        <f>IFERROR(__xludf.DUMMYFUNCTION("""COMPUTED_VALUE"""),46071.0)</f>
        <v>46071</v>
      </c>
      <c r="U277" s="124" t="str">
        <f>IFERROR(__xludf.DUMMYFUNCTION("""COMPUTED_VALUE"""),"Other Marketing Channels")</f>
        <v>Other Marketing Channels</v>
      </c>
      <c r="V277" s="124" t="str">
        <f>IFERROR(__xludf.DUMMYFUNCTION("""COMPUTED_VALUE"""),"Referrals")</f>
        <v>Referrals</v>
      </c>
      <c r="W277" s="124" t="str">
        <f>IFERROR(__xludf.DUMMYFUNCTION("""COMPUTED_VALUE"""),"Lucknow")</f>
        <v>Lucknow</v>
      </c>
      <c r="X277" s="124" t="str">
        <f>IFERROR(__xludf.DUMMYFUNCTION("""COMPUTED_VALUE"""),"Lucknow")</f>
        <v>Lucknow</v>
      </c>
      <c r="Y277" s="124" t="str">
        <f>IFERROR(__xludf.DUMMYFUNCTION("""COMPUTED_VALUE"""),"Lucknow")</f>
        <v>Lucknow</v>
      </c>
      <c r="Z277" s="124">
        <f>IFERROR(__xludf.DUMMYFUNCTION("""COMPUTED_VALUE"""),1.0)</f>
        <v>1</v>
      </c>
      <c r="AA277" s="124" t="str">
        <f>IFERROR(__xludf.DUMMYFUNCTION("""COMPUTED_VALUE"""),"Enrolled")</f>
        <v>Enrolled</v>
      </c>
      <c r="AB277" s="124" t="str">
        <f>IFERROR(__xludf.DUMMYFUNCTION("""COMPUTED_VALUE"""),"GS Foundation")</f>
        <v>GS Foundation</v>
      </c>
    </row>
    <row r="278">
      <c r="A278" s="126">
        <f>IFERROR(__xludf.DUMMYFUNCTION("""COMPUTED_VALUE"""),46103.0)</f>
        <v>46103</v>
      </c>
      <c r="B278" s="124" t="str">
        <f>IFERROR(__xludf.DUMMYFUNCTION("""COMPUTED_VALUE"""),"Walkin")</f>
        <v>Walkin</v>
      </c>
      <c r="C278" s="124" t="str">
        <f>IFERROR(__xludf.DUMMYFUNCTION("""COMPUTED_VALUE"""),"Prayagraj")</f>
        <v>Prayagraj</v>
      </c>
      <c r="D278" s="124" t="str">
        <f>IFERROR(__xludf.DUMMYFUNCTION("""COMPUTED_VALUE"""),"Primary_Walkin")</f>
        <v>Primary_Walkin</v>
      </c>
      <c r="E278" s="127">
        <f>IFERROR(__xludf.DUMMYFUNCTION("""COMPUTED_VALUE"""),8.0)</f>
        <v>8</v>
      </c>
      <c r="F278" s="128" t="str">
        <f>IFERROR(__xludf.DUMMYFUNCTION("""COMPUTED_VALUE"""),"Future Prospects")</f>
        <v>Future Prospects</v>
      </c>
      <c r="G278" s="124" t="str">
        <f>IFERROR(__xludf.DUMMYFUNCTION("""COMPUTED_VALUE"""),"GS Foundation")</f>
        <v>GS Foundation</v>
      </c>
      <c r="K278" s="124"/>
      <c r="L278" s="124"/>
      <c r="M278" s="124"/>
      <c r="N278" s="124"/>
      <c r="O278" s="124"/>
      <c r="T278" s="126">
        <f>IFERROR(__xludf.DUMMYFUNCTION("""COMPUTED_VALUE"""),46049.0)</f>
        <v>46049</v>
      </c>
      <c r="U278" s="124" t="str">
        <f>IFERROR(__xludf.DUMMYFUNCTION("""COMPUTED_VALUE"""),"External Leads")</f>
        <v>External Leads</v>
      </c>
      <c r="V278" s="124" t="str">
        <f>IFERROR(__xludf.DUMMYFUNCTION("""COMPUTED_VALUE"""),"external leads")</f>
        <v>external leads</v>
      </c>
      <c r="W278" s="124" t="str">
        <f>IFERROR(__xludf.DUMMYFUNCTION("""COMPUTED_VALUE"""),"delhi")</f>
        <v>delhi</v>
      </c>
      <c r="X278" s="124" t="str">
        <f>IFERROR(__xludf.DUMMYFUNCTION("""COMPUTED_VALUE"""),"piyushunacademy")</f>
        <v>piyushunacademy</v>
      </c>
      <c r="Y278" s="124" t="str">
        <f>IFERROR(__xludf.DUMMYFUNCTION("""COMPUTED_VALUE"""),"Delhi")</f>
        <v>Delhi</v>
      </c>
      <c r="Z278" s="124">
        <f>IFERROR(__xludf.DUMMYFUNCTION("""COMPUTED_VALUE"""),11473.0)</f>
        <v>11473</v>
      </c>
      <c r="AA278" s="124"/>
      <c r="AB278" s="124"/>
    </row>
    <row r="279">
      <c r="A279" s="126">
        <f>IFERROR(__xludf.DUMMYFUNCTION("""COMPUTED_VALUE"""),46091.0)</f>
        <v>46091</v>
      </c>
      <c r="B279" s="124" t="str">
        <f>IFERROR(__xludf.DUMMYFUNCTION("""COMPUTED_VALUE"""),"Walkin")</f>
        <v>Walkin</v>
      </c>
      <c r="C279" s="124" t="str">
        <f>IFERROR(__xludf.DUMMYFUNCTION("""COMPUTED_VALUE"""),"Prayagraj")</f>
        <v>Prayagraj</v>
      </c>
      <c r="D279" s="124" t="str">
        <f>IFERROR(__xludf.DUMMYFUNCTION("""COMPUTED_VALUE"""),"Primary_Walkin")</f>
        <v>Primary_Walkin</v>
      </c>
      <c r="E279" s="127">
        <f>IFERROR(__xludf.DUMMYFUNCTION("""COMPUTED_VALUE"""),1.0)</f>
        <v>1</v>
      </c>
      <c r="F279" s="128" t="str">
        <f>IFERROR(__xludf.DUMMYFUNCTION("""COMPUTED_VALUE"""),"Cold")</f>
        <v>Cold</v>
      </c>
      <c r="G279" s="124" t="str">
        <f>IFERROR(__xludf.DUMMYFUNCTION("""COMPUTED_VALUE"""),"GS Foundation")</f>
        <v>GS Foundation</v>
      </c>
      <c r="K279" s="124"/>
      <c r="L279" s="124"/>
      <c r="M279" s="124"/>
      <c r="N279" s="124"/>
      <c r="O279" s="124"/>
      <c r="T279" s="126">
        <f>IFERROR(__xludf.DUMMYFUNCTION("""COMPUTED_VALUE"""),46049.0)</f>
        <v>46049</v>
      </c>
      <c r="U279" s="124" t="str">
        <f>IFERROR(__xludf.DUMMYFUNCTION("""COMPUTED_VALUE"""),"External Leads")</f>
        <v>External Leads</v>
      </c>
      <c r="V279" s="124" t="str">
        <f>IFERROR(__xludf.DUMMYFUNCTION("""COMPUTED_VALUE"""),"external leads")</f>
        <v>external leads</v>
      </c>
      <c r="W279" s="124" t="str">
        <f>IFERROR(__xludf.DUMMYFUNCTION("""COMPUTED_VALUE"""),"patna")</f>
        <v>patna</v>
      </c>
      <c r="X279" s="124" t="str">
        <f>IFERROR(__xludf.DUMMYFUNCTION("""COMPUTED_VALUE"""),"piyushunacademy")</f>
        <v>piyushunacademy</v>
      </c>
      <c r="Y279" s="124" t="str">
        <f>IFERROR(__xludf.DUMMYFUNCTION("""COMPUTED_VALUE"""),"Patna")</f>
        <v>Patna</v>
      </c>
      <c r="Z279" s="124">
        <f>IFERROR(__xludf.DUMMYFUNCTION("""COMPUTED_VALUE"""),5848.0)</f>
        <v>5848</v>
      </c>
      <c r="AA279" s="124"/>
      <c r="AB279" s="124"/>
    </row>
    <row r="280">
      <c r="A280" s="126">
        <f>IFERROR(__xludf.DUMMYFUNCTION("""COMPUTED_VALUE"""),46045.0)</f>
        <v>46045</v>
      </c>
      <c r="B280" s="124" t="str">
        <f>IFERROR(__xludf.DUMMYFUNCTION("""COMPUTED_VALUE"""),"Walkin")</f>
        <v>Walkin</v>
      </c>
      <c r="C280" s="124" t="str">
        <f>IFERROR(__xludf.DUMMYFUNCTION("""COMPUTED_VALUE"""),"Prayagraj")</f>
        <v>Prayagraj</v>
      </c>
      <c r="D280" s="124" t="str">
        <f>IFERROR(__xludf.DUMMYFUNCTION("""COMPUTED_VALUE"""),"Primary_Walkin")</f>
        <v>Primary_Walkin</v>
      </c>
      <c r="E280" s="127">
        <f>IFERROR(__xludf.DUMMYFUNCTION("""COMPUTED_VALUE"""),3.0)</f>
        <v>3</v>
      </c>
      <c r="F280" s="128" t="str">
        <f>IFERROR(__xludf.DUMMYFUNCTION("""COMPUTED_VALUE"""),"Cold")</f>
        <v>Cold</v>
      </c>
      <c r="G280" s="124" t="str">
        <f>IFERROR(__xludf.DUMMYFUNCTION("""COMPUTED_VALUE"""),"State PCS")</f>
        <v>State PCS</v>
      </c>
      <c r="K280" s="124"/>
      <c r="L280" s="124"/>
      <c r="M280" s="124"/>
      <c r="N280" s="124"/>
      <c r="O280" s="124"/>
      <c r="T280" s="126">
        <f>IFERROR(__xludf.DUMMYFUNCTION("""COMPUTED_VALUE"""),46055.0)</f>
        <v>46055</v>
      </c>
      <c r="U280" s="124" t="str">
        <f>IFERROR(__xludf.DUMMYFUNCTION("""COMPUTED_VALUE"""),"Walk-Ins")</f>
        <v>Walk-Ins</v>
      </c>
      <c r="V280" s="124" t="str">
        <f>IFERROR(__xludf.DUMMYFUNCTION("""COMPUTED_VALUE"""),"Walkin")</f>
        <v>Walkin</v>
      </c>
      <c r="W280" s="124" t="str">
        <f>IFERROR(__xludf.DUMMYFUNCTION("""COMPUTED_VALUE"""),"Delhi")</f>
        <v>Delhi</v>
      </c>
      <c r="X280" s="124" t="str">
        <f>IFERROR(__xludf.DUMMYFUNCTION("""COMPUTED_VALUE"""),"walkin")</f>
        <v>walkin</v>
      </c>
      <c r="Y280" s="124" t="str">
        <f>IFERROR(__xludf.DUMMYFUNCTION("""COMPUTED_VALUE"""),"Delhi")</f>
        <v>Delhi</v>
      </c>
      <c r="Z280" s="124">
        <f>IFERROR(__xludf.DUMMYFUNCTION("""COMPUTED_VALUE"""),2.0)</f>
        <v>2</v>
      </c>
      <c r="AA280" s="124" t="str">
        <f>IFERROR(__xludf.DUMMYFUNCTION("""COMPUTED_VALUE"""),"Not Interested")</f>
        <v>Not Interested</v>
      </c>
      <c r="AB280" s="124" t="str">
        <f>IFERROR(__xludf.DUMMYFUNCTION("""COMPUTED_VALUE"""),"SIP Offline")</f>
        <v>SIP Offline</v>
      </c>
    </row>
    <row r="281">
      <c r="A281" s="126">
        <f>IFERROR(__xludf.DUMMYFUNCTION("""COMPUTED_VALUE"""),46053.0)</f>
        <v>46053</v>
      </c>
      <c r="B281" s="124" t="str">
        <f>IFERROR(__xludf.DUMMYFUNCTION("""COMPUTED_VALUE"""),"Walkin")</f>
        <v>Walkin</v>
      </c>
      <c r="C281" s="124" t="str">
        <f>IFERROR(__xludf.DUMMYFUNCTION("""COMPUTED_VALUE"""),"Prayagraj")</f>
        <v>Prayagraj</v>
      </c>
      <c r="D281" s="124" t="str">
        <f>IFERROR(__xludf.DUMMYFUNCTION("""COMPUTED_VALUE"""),"Primary_Walkin")</f>
        <v>Primary_Walkin</v>
      </c>
      <c r="E281" s="127">
        <f>IFERROR(__xludf.DUMMYFUNCTION("""COMPUTED_VALUE"""),2.0)</f>
        <v>2</v>
      </c>
      <c r="F281" s="128" t="str">
        <f>IFERROR(__xludf.DUMMYFUNCTION("""COMPUTED_VALUE"""),"Not Interested")</f>
        <v>Not Interested</v>
      </c>
      <c r="G281" s="124" t="str">
        <f>IFERROR(__xludf.DUMMYFUNCTION("""COMPUTED_VALUE"""),"GS Foundation")</f>
        <v>GS Foundation</v>
      </c>
      <c r="K281" s="124"/>
      <c r="L281" s="124"/>
      <c r="M281" s="124"/>
      <c r="N281" s="124"/>
      <c r="O281" s="124"/>
      <c r="T281" s="126">
        <f>IFERROR(__xludf.DUMMYFUNCTION("""COMPUTED_VALUE"""),46081.0)</f>
        <v>46081</v>
      </c>
      <c r="U281" s="124" t="str">
        <f>IFERROR(__xludf.DUMMYFUNCTION("""COMPUTED_VALUE"""),"Walk-Ins")</f>
        <v>Walk-Ins</v>
      </c>
      <c r="V281" s="124" t="str">
        <f>IFERROR(__xludf.DUMMYFUNCTION("""COMPUTED_VALUE"""),"Walkin")</f>
        <v>Walkin</v>
      </c>
      <c r="W281" s="124" t="str">
        <f>IFERROR(__xludf.DUMMYFUNCTION("""COMPUTED_VALUE"""),"Delhi")</f>
        <v>Delhi</v>
      </c>
      <c r="X281" s="124" t="str">
        <f>IFERROR(__xludf.DUMMYFUNCTION("""COMPUTED_VALUE"""),"walkin")</f>
        <v>walkin</v>
      </c>
      <c r="Y281" s="124" t="str">
        <f>IFERROR(__xludf.DUMMYFUNCTION("""COMPUTED_VALUE"""),"Delhi")</f>
        <v>Delhi</v>
      </c>
      <c r="Z281" s="124">
        <f>IFERROR(__xludf.DUMMYFUNCTION("""COMPUTED_VALUE"""),3.0)</f>
        <v>3</v>
      </c>
      <c r="AA281" s="124" t="str">
        <f>IFERROR(__xludf.DUMMYFUNCTION("""COMPUTED_VALUE"""),"Cold")</f>
        <v>Cold</v>
      </c>
      <c r="AB281" s="124" t="str">
        <f>IFERROR(__xludf.DUMMYFUNCTION("""COMPUTED_VALUE"""),"GS Foundation")</f>
        <v>GS Foundation</v>
      </c>
    </row>
    <row r="282">
      <c r="A282" s="126">
        <f>IFERROR(__xludf.DUMMYFUNCTION("""COMPUTED_VALUE"""),46106.0)</f>
        <v>46106</v>
      </c>
      <c r="B282" s="124" t="str">
        <f>IFERROR(__xludf.DUMMYFUNCTION("""COMPUTED_VALUE"""),"Walkin")</f>
        <v>Walkin</v>
      </c>
      <c r="C282" s="124" t="str">
        <f>IFERROR(__xludf.DUMMYFUNCTION("""COMPUTED_VALUE"""),"Prayagraj")</f>
        <v>Prayagraj</v>
      </c>
      <c r="D282" s="124" t="str">
        <f>IFERROR(__xludf.DUMMYFUNCTION("""COMPUTED_VALUE"""),"Primary_Walkin")</f>
        <v>Primary_Walkin</v>
      </c>
      <c r="E282" s="127">
        <f>IFERROR(__xludf.DUMMYFUNCTION("""COMPUTED_VALUE"""),1.0)</f>
        <v>1</v>
      </c>
      <c r="F282" s="128" t="str">
        <f>IFERROR(__xludf.DUMMYFUNCTION("""COMPUTED_VALUE"""),"Interested")</f>
        <v>Interested</v>
      </c>
      <c r="G282" s="124" t="str">
        <f>IFERROR(__xludf.DUMMYFUNCTION("""COMPUTED_VALUE"""),"GS Foundation")</f>
        <v>GS Foundation</v>
      </c>
      <c r="K282" s="124"/>
      <c r="L282" s="124"/>
      <c r="M282" s="124"/>
      <c r="N282" s="124"/>
      <c r="O282" s="124"/>
      <c r="T282" s="129">
        <f>IFERROR(__xludf.DUMMYFUNCTION("""COMPUTED_VALUE"""),46049.0)</f>
        <v>46049</v>
      </c>
      <c r="U282" s="124" t="str">
        <f>IFERROR(__xludf.DUMMYFUNCTION("""COMPUTED_VALUE"""),"External Leads")</f>
        <v>External Leads</v>
      </c>
      <c r="V282" s="124" t="str">
        <f>IFERROR(__xludf.DUMMYFUNCTION("""COMPUTED_VALUE"""),"external leads")</f>
        <v>external leads</v>
      </c>
      <c r="W282" s="124" t="str">
        <f>IFERROR(__xludf.DUMMYFUNCTION("""COMPUTED_VALUE"""),"prayagraj")</f>
        <v>prayagraj</v>
      </c>
      <c r="X282" s="124" t="str">
        <f>IFERROR(__xludf.DUMMYFUNCTION("""COMPUTED_VALUE"""),"piyushunacademy")</f>
        <v>piyushunacademy</v>
      </c>
      <c r="Y282" s="124" t="str">
        <f>IFERROR(__xludf.DUMMYFUNCTION("""COMPUTED_VALUE"""),"Prayagraj")</f>
        <v>Prayagraj</v>
      </c>
      <c r="Z282" s="124">
        <f>IFERROR(__xludf.DUMMYFUNCTION("""COMPUTED_VALUE"""),4311.0)</f>
        <v>4311</v>
      </c>
      <c r="AA282" s="124"/>
      <c r="AB282" s="124"/>
    </row>
    <row r="283">
      <c r="A283" s="126">
        <f>IFERROR(__xludf.DUMMYFUNCTION("""COMPUTED_VALUE"""),46095.0)</f>
        <v>46095</v>
      </c>
      <c r="B283" s="124" t="str">
        <f>IFERROR(__xludf.DUMMYFUNCTION("""COMPUTED_VALUE"""),"external leads")</f>
        <v>external leads</v>
      </c>
      <c r="C283" s="124" t="str">
        <f>IFERROR(__xludf.DUMMYFUNCTION("""COMPUTED_VALUE"""),"Prayagraj")</f>
        <v>Prayagraj</v>
      </c>
      <c r="D283" s="124" t="str">
        <f>IFERROR(__xludf.DUMMYFUNCTION("""COMPUTED_VALUE"""),"Secondary_Walkin")</f>
        <v>Secondary_Walkin</v>
      </c>
      <c r="E283" s="127">
        <f>IFERROR(__xludf.DUMMYFUNCTION("""COMPUTED_VALUE"""),1.0)</f>
        <v>1</v>
      </c>
      <c r="F283" s="128" t="str">
        <f>IFERROR(__xludf.DUMMYFUNCTION("""COMPUTED_VALUE"""),"Warm")</f>
        <v>Warm</v>
      </c>
      <c r="G283" s="124" t="str">
        <f>IFERROR(__xludf.DUMMYFUNCTION("""COMPUTED_VALUE"""),"GS Foundation")</f>
        <v>GS Foundation</v>
      </c>
      <c r="K283" s="124"/>
      <c r="L283" s="124"/>
      <c r="M283" s="124"/>
      <c r="N283" s="124"/>
      <c r="O283" s="124"/>
      <c r="T283" s="129">
        <f>IFERROR(__xludf.DUMMYFUNCTION("""COMPUTED_VALUE"""),46050.0)</f>
        <v>46050</v>
      </c>
      <c r="U283" s="124" t="str">
        <f>IFERROR(__xludf.DUMMYFUNCTION("""COMPUTED_VALUE"""),"External Leads")</f>
        <v>External Leads</v>
      </c>
      <c r="V283" s="124" t="str">
        <f>IFERROR(__xludf.DUMMYFUNCTION("""COMPUTED_VALUE"""),"external leads")</f>
        <v>external leads</v>
      </c>
      <c r="W283" s="124" t="str">
        <f>IFERROR(__xludf.DUMMYFUNCTION("""COMPUTED_VALUE"""),"lucknow")</f>
        <v>lucknow</v>
      </c>
      <c r="X283" s="124" t="str">
        <f>IFERROR(__xludf.DUMMYFUNCTION("""COMPUTED_VALUE"""),"piyushunacademy")</f>
        <v>piyushunacademy</v>
      </c>
      <c r="Y283" s="124" t="str">
        <f>IFERROR(__xludf.DUMMYFUNCTION("""COMPUTED_VALUE"""),"Lucknow")</f>
        <v>Lucknow</v>
      </c>
      <c r="Z283" s="124">
        <f>IFERROR(__xludf.DUMMYFUNCTION("""COMPUTED_VALUE"""),925.0)</f>
        <v>925</v>
      </c>
      <c r="AA283" s="124"/>
      <c r="AB283" s="124"/>
    </row>
    <row r="284">
      <c r="A284" s="126">
        <f>IFERROR(__xludf.DUMMYFUNCTION("""COMPUTED_VALUE"""),46107.0)</f>
        <v>46107</v>
      </c>
      <c r="B284" s="124" t="str">
        <f>IFERROR(__xludf.DUMMYFUNCTION("""COMPUTED_VALUE"""),"Walk-In")</f>
        <v>Walk-In</v>
      </c>
      <c r="C284" s="124" t="str">
        <f>IFERROR(__xludf.DUMMYFUNCTION("""COMPUTED_VALUE"""),"Prayagraj")</f>
        <v>Prayagraj</v>
      </c>
      <c r="D284" s="124" t="str">
        <f>IFERROR(__xludf.DUMMYFUNCTION("""COMPUTED_VALUE"""),"Primary_Walkin")</f>
        <v>Primary_Walkin</v>
      </c>
      <c r="E284" s="127">
        <f>IFERROR(__xludf.DUMMYFUNCTION("""COMPUTED_VALUE"""),2.0)</f>
        <v>2</v>
      </c>
      <c r="F284" s="128" t="str">
        <f>IFERROR(__xludf.DUMMYFUNCTION("""COMPUTED_VALUE"""),"Enrolled")</f>
        <v>Enrolled</v>
      </c>
      <c r="G284" s="124" t="str">
        <f>IFERROR(__xludf.DUMMYFUNCTION("""COMPUTED_VALUE"""),"GS Foundation")</f>
        <v>GS Foundation</v>
      </c>
      <c r="K284" s="124"/>
      <c r="L284" s="124"/>
      <c r="M284" s="124"/>
      <c r="N284" s="124"/>
      <c r="O284" s="124"/>
      <c r="T284" s="126">
        <f>IFERROR(__xludf.DUMMYFUNCTION("""COMPUTED_VALUE"""),46050.0)</f>
        <v>46050</v>
      </c>
      <c r="U284" s="124" t="str">
        <f>IFERROR(__xludf.DUMMYFUNCTION("""COMPUTED_VALUE"""),"External Leads")</f>
        <v>External Leads</v>
      </c>
      <c r="V284" s="124" t="str">
        <f>IFERROR(__xludf.DUMMYFUNCTION("""COMPUTED_VALUE"""),"external leads")</f>
        <v>external leads</v>
      </c>
      <c r="W284" s="124" t="str">
        <f>IFERROR(__xludf.DUMMYFUNCTION("""COMPUTED_VALUE"""),"delhi")</f>
        <v>delhi</v>
      </c>
      <c r="X284" s="124" t="str">
        <f>IFERROR(__xludf.DUMMYFUNCTION("""COMPUTED_VALUE"""),"piyushunacademy")</f>
        <v>piyushunacademy</v>
      </c>
      <c r="Y284" s="124" t="str">
        <f>IFERROR(__xludf.DUMMYFUNCTION("""COMPUTED_VALUE"""),"Delhi")</f>
        <v>Delhi</v>
      </c>
      <c r="Z284" s="124">
        <f>IFERROR(__xludf.DUMMYFUNCTION("""COMPUTED_VALUE"""),5504.0)</f>
        <v>5504</v>
      </c>
      <c r="AA284" s="124"/>
      <c r="AB284" s="124"/>
    </row>
    <row r="285">
      <c r="A285" s="129">
        <f>IFERROR(__xludf.DUMMYFUNCTION("""COMPUTED_VALUE"""),46062.0)</f>
        <v>46062</v>
      </c>
      <c r="B285" s="124" t="str">
        <f>IFERROR(__xludf.DUMMYFUNCTION("""COMPUTED_VALUE"""),"Walkin")</f>
        <v>Walkin</v>
      </c>
      <c r="C285" s="124" t="str">
        <f>IFERROR(__xludf.DUMMYFUNCTION("""COMPUTED_VALUE"""),"Prayagraj")</f>
        <v>Prayagraj</v>
      </c>
      <c r="D285" s="124" t="str">
        <f>IFERROR(__xludf.DUMMYFUNCTION("""COMPUTED_VALUE"""),"Primary_Walkin")</f>
        <v>Primary_Walkin</v>
      </c>
      <c r="E285" s="127">
        <f>IFERROR(__xludf.DUMMYFUNCTION("""COMPUTED_VALUE"""),2.0)</f>
        <v>2</v>
      </c>
      <c r="F285" s="128" t="str">
        <f>IFERROR(__xludf.DUMMYFUNCTION("""COMPUTED_VALUE"""),"Cold")</f>
        <v>Cold</v>
      </c>
      <c r="G285" s="124" t="str">
        <f>IFERROR(__xludf.DUMMYFUNCTION("""COMPUTED_VALUE"""),"GS Foundation")</f>
        <v>GS Foundation</v>
      </c>
      <c r="K285" s="124"/>
      <c r="L285" s="124"/>
      <c r="M285" s="124"/>
      <c r="N285" s="124"/>
      <c r="O285" s="124"/>
      <c r="T285" s="126">
        <f>IFERROR(__xludf.DUMMYFUNCTION("""COMPUTED_VALUE"""),46049.0)</f>
        <v>46049</v>
      </c>
      <c r="U285" s="124" t="str">
        <f>IFERROR(__xludf.DUMMYFUNCTION("""COMPUTED_VALUE"""),"External Leads")</f>
        <v>External Leads</v>
      </c>
      <c r="V285" s="124" t="str">
        <f>IFERROR(__xludf.DUMMYFUNCTION("""COMPUTED_VALUE"""),"external leads")</f>
        <v>external leads</v>
      </c>
      <c r="W285" s="124" t="str">
        <f>IFERROR(__xludf.DUMMYFUNCTION("""COMPUTED_VALUE"""),"delhi")</f>
        <v>delhi</v>
      </c>
      <c r="X285" s="124" t="str">
        <f>IFERROR(__xludf.DUMMYFUNCTION("""COMPUTED_VALUE"""),"piyushunacademy")</f>
        <v>piyushunacademy</v>
      </c>
      <c r="Y285" s="124" t="str">
        <f>IFERROR(__xludf.DUMMYFUNCTION("""COMPUTED_VALUE"""),"Delhi")</f>
        <v>Delhi</v>
      </c>
      <c r="Z285" s="124">
        <f>IFERROR(__xludf.DUMMYFUNCTION("""COMPUTED_VALUE"""),1.0)</f>
        <v>1</v>
      </c>
      <c r="AA285" s="124" t="str">
        <f>IFERROR(__xludf.DUMMYFUNCTION("""COMPUTED_VALUE"""),"Future Prospects")</f>
        <v>Future Prospects</v>
      </c>
      <c r="AB285" s="124" t="str">
        <f>IFERROR(__xludf.DUMMYFUNCTION("""COMPUTED_VALUE"""),"GS Foundation")</f>
        <v>GS Foundation</v>
      </c>
    </row>
    <row r="286">
      <c r="A286" s="126">
        <f>IFERROR(__xludf.DUMMYFUNCTION("""COMPUTED_VALUE"""),46094.0)</f>
        <v>46094</v>
      </c>
      <c r="B286" s="124" t="str">
        <f>IFERROR(__xludf.DUMMYFUNCTION("""COMPUTED_VALUE"""),"Walkin")</f>
        <v>Walkin</v>
      </c>
      <c r="C286" s="124" t="str">
        <f>IFERROR(__xludf.DUMMYFUNCTION("""COMPUTED_VALUE"""),"Prayagraj")</f>
        <v>Prayagraj</v>
      </c>
      <c r="D286" s="124" t="str">
        <f>IFERROR(__xludf.DUMMYFUNCTION("""COMPUTED_VALUE"""),"Primary_Walkin")</f>
        <v>Primary_Walkin</v>
      </c>
      <c r="E286" s="127">
        <f>IFERROR(__xludf.DUMMYFUNCTION("""COMPUTED_VALUE"""),2.0)</f>
        <v>2</v>
      </c>
      <c r="F286" s="128" t="str">
        <f>IFERROR(__xludf.DUMMYFUNCTION("""COMPUTED_VALUE"""),"Not Interested")</f>
        <v>Not Interested</v>
      </c>
      <c r="G286" s="124" t="str">
        <f>IFERROR(__xludf.DUMMYFUNCTION("""COMPUTED_VALUE"""),"GS Foundation")</f>
        <v>GS Foundation</v>
      </c>
      <c r="K286" s="124"/>
      <c r="L286" s="124"/>
      <c r="M286" s="124"/>
      <c r="N286" s="124"/>
      <c r="O286" s="124"/>
      <c r="T286" s="126">
        <f>IFERROR(__xludf.DUMMYFUNCTION("""COMPUTED_VALUE"""),46049.0)</f>
        <v>46049</v>
      </c>
      <c r="U286" s="124" t="str">
        <f>IFERROR(__xludf.DUMMYFUNCTION("""COMPUTED_VALUE"""),"External Leads")</f>
        <v>External Leads</v>
      </c>
      <c r="V286" s="124" t="str">
        <f>IFERROR(__xludf.DUMMYFUNCTION("""COMPUTED_VALUE"""),"external leads")</f>
        <v>external leads</v>
      </c>
      <c r="W286" s="124" t="str">
        <f>IFERROR(__xludf.DUMMYFUNCTION("""COMPUTED_VALUE"""),"prayagraj")</f>
        <v>prayagraj</v>
      </c>
      <c r="X286" s="124" t="str">
        <f>IFERROR(__xludf.DUMMYFUNCTION("""COMPUTED_VALUE"""),"piyushunacademy")</f>
        <v>piyushunacademy</v>
      </c>
      <c r="Y286" s="124" t="str">
        <f>IFERROR(__xludf.DUMMYFUNCTION("""COMPUTED_VALUE"""),"Prayagraj")</f>
        <v>Prayagraj</v>
      </c>
      <c r="Z286" s="124">
        <f>IFERROR(__xludf.DUMMYFUNCTION("""COMPUTED_VALUE"""),7.0)</f>
        <v>7</v>
      </c>
      <c r="AA286" s="124" t="str">
        <f>IFERROR(__xludf.DUMMYFUNCTION("""COMPUTED_VALUE"""),"Enrolled")</f>
        <v>Enrolled</v>
      </c>
      <c r="AB286" s="124" t="str">
        <f>IFERROR(__xludf.DUMMYFUNCTION("""COMPUTED_VALUE"""),"GS Foundation")</f>
        <v>GS Foundation</v>
      </c>
    </row>
    <row r="287">
      <c r="A287" s="126">
        <f>IFERROR(__xludf.DUMMYFUNCTION("""COMPUTED_VALUE"""),46100.0)</f>
        <v>46100</v>
      </c>
      <c r="B287" s="124" t="str">
        <f>IFERROR(__xludf.DUMMYFUNCTION("""COMPUTED_VALUE"""),"Walk-In")</f>
        <v>Walk-In</v>
      </c>
      <c r="C287" s="124" t="str">
        <f>IFERROR(__xludf.DUMMYFUNCTION("""COMPUTED_VALUE"""),"Prayagraj")</f>
        <v>Prayagraj</v>
      </c>
      <c r="D287" s="124" t="str">
        <f>IFERROR(__xludf.DUMMYFUNCTION("""COMPUTED_VALUE"""),"Primary_Walkin")</f>
        <v>Primary_Walkin</v>
      </c>
      <c r="E287" s="127">
        <f>IFERROR(__xludf.DUMMYFUNCTION("""COMPUTED_VALUE"""),2.0)</f>
        <v>2</v>
      </c>
      <c r="F287" s="128" t="str">
        <f>IFERROR(__xludf.DUMMYFUNCTION("""COMPUTED_VALUE"""),"Future Prospects")</f>
        <v>Future Prospects</v>
      </c>
      <c r="G287" s="124" t="str">
        <f>IFERROR(__xludf.DUMMYFUNCTION("""COMPUTED_VALUE"""),"GS Foundation")</f>
        <v>GS Foundation</v>
      </c>
      <c r="K287" s="124"/>
      <c r="L287" s="124"/>
      <c r="M287" s="124"/>
      <c r="N287" s="124"/>
      <c r="O287" s="124"/>
      <c r="T287" s="126">
        <f>IFERROR(__xludf.DUMMYFUNCTION("""COMPUTED_VALUE"""),46050.0)</f>
        <v>46050</v>
      </c>
      <c r="U287" s="124" t="str">
        <f>IFERROR(__xludf.DUMMYFUNCTION("""COMPUTED_VALUE"""),"External Leads")</f>
        <v>External Leads</v>
      </c>
      <c r="V287" s="124" t="str">
        <f>IFERROR(__xludf.DUMMYFUNCTION("""COMPUTED_VALUE"""),"external leads")</f>
        <v>external leads</v>
      </c>
      <c r="W287" s="124" t="str">
        <f>IFERROR(__xludf.DUMMYFUNCTION("""COMPUTED_VALUE"""),"delhi")</f>
        <v>delhi</v>
      </c>
      <c r="X287" s="124" t="str">
        <f>IFERROR(__xludf.DUMMYFUNCTION("""COMPUTED_VALUE"""),"piyushunacademy")</f>
        <v>piyushunacademy</v>
      </c>
      <c r="Y287" s="124" t="str">
        <f>IFERROR(__xludf.DUMMYFUNCTION("""COMPUTED_VALUE"""),"Delhi")</f>
        <v>Delhi</v>
      </c>
      <c r="Z287" s="124">
        <f>IFERROR(__xludf.DUMMYFUNCTION("""COMPUTED_VALUE"""),335.0)</f>
        <v>335</v>
      </c>
      <c r="AA287" s="124" t="str">
        <f>IFERROR(__xludf.DUMMYFUNCTION("""COMPUTED_VALUE"""),"Cold")</f>
        <v>Cold</v>
      </c>
      <c r="AB287" s="124"/>
    </row>
    <row r="288">
      <c r="A288" s="126">
        <f>IFERROR(__xludf.DUMMYFUNCTION("""COMPUTED_VALUE"""),46096.0)</f>
        <v>46096</v>
      </c>
      <c r="B288" s="124" t="str">
        <f>IFERROR(__xludf.DUMMYFUNCTION("""COMPUTED_VALUE"""),"Walkin")</f>
        <v>Walkin</v>
      </c>
      <c r="C288" s="124" t="str">
        <f>IFERROR(__xludf.DUMMYFUNCTION("""COMPUTED_VALUE"""),"Prayagraj")</f>
        <v>Prayagraj</v>
      </c>
      <c r="D288" s="124" t="str">
        <f>IFERROR(__xludf.DUMMYFUNCTION("""COMPUTED_VALUE"""),"Primary_Walkin")</f>
        <v>Primary_Walkin</v>
      </c>
      <c r="E288" s="127">
        <f>IFERROR(__xludf.DUMMYFUNCTION("""COMPUTED_VALUE"""),2.0)</f>
        <v>2</v>
      </c>
      <c r="F288" s="128" t="str">
        <f>IFERROR(__xludf.DUMMYFUNCTION("""COMPUTED_VALUE"""),"Enrolled")</f>
        <v>Enrolled</v>
      </c>
      <c r="G288" s="124" t="str">
        <f>IFERROR(__xludf.DUMMYFUNCTION("""COMPUTED_VALUE"""),"GS Foundation")</f>
        <v>GS Foundation</v>
      </c>
      <c r="K288" s="124"/>
      <c r="L288" s="124"/>
      <c r="M288" s="124"/>
      <c r="N288" s="124"/>
      <c r="O288" s="124"/>
      <c r="T288" s="126">
        <f>IFERROR(__xludf.DUMMYFUNCTION("""COMPUTED_VALUE"""),46095.0)</f>
        <v>46095</v>
      </c>
      <c r="U288" s="124" t="str">
        <f>IFERROR(__xludf.DUMMYFUNCTION("""COMPUTED_VALUE"""),"Walk-Ins")</f>
        <v>Walk-Ins</v>
      </c>
      <c r="V288" s="124" t="str">
        <f>IFERROR(__xludf.DUMMYFUNCTION("""COMPUTED_VALUE"""),"Walkin")</f>
        <v>Walkin</v>
      </c>
      <c r="W288" s="124" t="str">
        <f>IFERROR(__xludf.DUMMYFUNCTION("""COMPUTED_VALUE"""),"Delhi")</f>
        <v>Delhi</v>
      </c>
      <c r="X288" s="124" t="str">
        <f>IFERROR(__xludf.DUMMYFUNCTION("""COMPUTED_VALUE"""),"walkin")</f>
        <v>walkin</v>
      </c>
      <c r="Y288" s="124" t="str">
        <f>IFERROR(__xludf.DUMMYFUNCTION("""COMPUTED_VALUE"""),"Delhi")</f>
        <v>Delhi</v>
      </c>
      <c r="Z288" s="124">
        <f>IFERROR(__xludf.DUMMYFUNCTION("""COMPUTED_VALUE"""),2.0)</f>
        <v>2</v>
      </c>
      <c r="AA288" s="124" t="str">
        <f>IFERROR(__xludf.DUMMYFUNCTION("""COMPUTED_VALUE"""),"Cold")</f>
        <v>Cold</v>
      </c>
      <c r="AB288" s="124" t="str">
        <f>IFERROR(__xludf.DUMMYFUNCTION("""COMPUTED_VALUE"""),"GS Foundation")</f>
        <v>GS Foundation</v>
      </c>
    </row>
    <row r="289">
      <c r="A289" s="126">
        <f>IFERROR(__xludf.DUMMYFUNCTION("""COMPUTED_VALUE"""),46098.0)</f>
        <v>46098</v>
      </c>
      <c r="B289" s="124" t="str">
        <f>IFERROR(__xludf.DUMMYFUNCTION("""COMPUTED_VALUE"""),"Walk-In")</f>
        <v>Walk-In</v>
      </c>
      <c r="C289" s="124" t="str">
        <f>IFERROR(__xludf.DUMMYFUNCTION("""COMPUTED_VALUE"""),"Prayagraj")</f>
        <v>Prayagraj</v>
      </c>
      <c r="D289" s="124" t="str">
        <f>IFERROR(__xludf.DUMMYFUNCTION("""COMPUTED_VALUE"""),"Primary_Walkin")</f>
        <v>Primary_Walkin</v>
      </c>
      <c r="E289" s="127">
        <f>IFERROR(__xludf.DUMMYFUNCTION("""COMPUTED_VALUE"""),3.0)</f>
        <v>3</v>
      </c>
      <c r="F289" s="128" t="str">
        <f>IFERROR(__xludf.DUMMYFUNCTION("""COMPUTED_VALUE"""),"Warm")</f>
        <v>Warm</v>
      </c>
      <c r="G289" s="124" t="str">
        <f>IFERROR(__xludf.DUMMYFUNCTION("""COMPUTED_VALUE"""),"GS Foundation")</f>
        <v>GS Foundation</v>
      </c>
      <c r="K289" s="124"/>
      <c r="L289" s="124"/>
      <c r="M289" s="124"/>
      <c r="N289" s="124"/>
      <c r="O289" s="124"/>
      <c r="T289" s="126">
        <f>IFERROR(__xludf.DUMMYFUNCTION("""COMPUTED_VALUE"""),46072.0)</f>
        <v>46072</v>
      </c>
      <c r="U289" s="124" t="str">
        <f>IFERROR(__xludf.DUMMYFUNCTION("""COMPUTED_VALUE"""),"Walk-Ins")</f>
        <v>Walk-Ins</v>
      </c>
      <c r="V289" s="124" t="str">
        <f>IFERROR(__xludf.DUMMYFUNCTION("""COMPUTED_VALUE"""),"Walkin")</f>
        <v>Walkin</v>
      </c>
      <c r="W289" s="124" t="str">
        <f>IFERROR(__xludf.DUMMYFUNCTION("""COMPUTED_VALUE"""),"Delhi")</f>
        <v>Delhi</v>
      </c>
      <c r="X289" s="124" t="str">
        <f>IFERROR(__xludf.DUMMYFUNCTION("""COMPUTED_VALUE"""),"walkin")</f>
        <v>walkin</v>
      </c>
      <c r="Y289" s="124" t="str">
        <f>IFERROR(__xludf.DUMMYFUNCTION("""COMPUTED_VALUE"""),"Delhi")</f>
        <v>Delhi</v>
      </c>
      <c r="Z289" s="124">
        <f>IFERROR(__xludf.DUMMYFUNCTION("""COMPUTED_VALUE"""),1.0)</f>
        <v>1</v>
      </c>
      <c r="AA289" s="124" t="str">
        <f>IFERROR(__xludf.DUMMYFUNCTION("""COMPUTED_VALUE"""),"Not Interested")</f>
        <v>Not Interested</v>
      </c>
      <c r="AB289" s="124" t="str">
        <f>IFERROR(__xludf.DUMMYFUNCTION("""COMPUTED_VALUE"""),"Test Series")</f>
        <v>Test Series</v>
      </c>
    </row>
    <row r="290">
      <c r="A290" s="126">
        <f>IFERROR(__xludf.DUMMYFUNCTION("""COMPUTED_VALUE"""),46056.0)</f>
        <v>46056</v>
      </c>
      <c r="B290" s="124" t="str">
        <f>IFERROR(__xludf.DUMMYFUNCTION("""COMPUTED_VALUE"""),"events")</f>
        <v>events</v>
      </c>
      <c r="C290" s="124" t="str">
        <f>IFERROR(__xludf.DUMMYFUNCTION("""COMPUTED_VALUE"""),"Prayagraj")</f>
        <v>Prayagraj</v>
      </c>
      <c r="D290" s="124" t="str">
        <f>IFERROR(__xludf.DUMMYFUNCTION("""COMPUTED_VALUE"""),"Secondary_Walkin")</f>
        <v>Secondary_Walkin</v>
      </c>
      <c r="E290" s="127">
        <f>IFERROR(__xludf.DUMMYFUNCTION("""COMPUTED_VALUE"""),1.0)</f>
        <v>1</v>
      </c>
      <c r="F290" s="128" t="str">
        <f>IFERROR(__xludf.DUMMYFUNCTION("""COMPUTED_VALUE"""),"Future Prospects")</f>
        <v>Future Prospects</v>
      </c>
      <c r="G290" s="124" t="str">
        <f>IFERROR(__xludf.DUMMYFUNCTION("""COMPUTED_VALUE"""),"GS Foundation")</f>
        <v>GS Foundation</v>
      </c>
      <c r="K290" s="124"/>
      <c r="L290" s="124"/>
      <c r="M290" s="124"/>
      <c r="N290" s="124"/>
      <c r="O290" s="124"/>
      <c r="T290" s="126">
        <f>IFERROR(__xludf.DUMMYFUNCTION("""COMPUTED_VALUE"""),46050.0)</f>
        <v>46050</v>
      </c>
      <c r="U290" s="124" t="str">
        <f>IFERROR(__xludf.DUMMYFUNCTION("""COMPUTED_VALUE"""),"External Leads")</f>
        <v>External Leads</v>
      </c>
      <c r="V290" s="124" t="str">
        <f>IFERROR(__xludf.DUMMYFUNCTION("""COMPUTED_VALUE"""),"external leads")</f>
        <v>external leads</v>
      </c>
      <c r="W290" s="124" t="str">
        <f>IFERROR(__xludf.DUMMYFUNCTION("""COMPUTED_VALUE"""),"patna")</f>
        <v>patna</v>
      </c>
      <c r="X290" s="124" t="str">
        <f>IFERROR(__xludf.DUMMYFUNCTION("""COMPUTED_VALUE"""),"piyushunacademy")</f>
        <v>piyushunacademy</v>
      </c>
      <c r="Y290" s="124" t="str">
        <f>IFERROR(__xludf.DUMMYFUNCTION("""COMPUTED_VALUE"""),"Patna")</f>
        <v>Patna</v>
      </c>
      <c r="Z290" s="124">
        <f>IFERROR(__xludf.DUMMYFUNCTION("""COMPUTED_VALUE"""),488.0)</f>
        <v>488</v>
      </c>
      <c r="AA290" s="124" t="str">
        <f>IFERROR(__xludf.DUMMYFUNCTION("""COMPUTED_VALUE"""),"Cold")</f>
        <v>Cold</v>
      </c>
      <c r="AB290" s="124"/>
    </row>
    <row r="291">
      <c r="A291" s="129">
        <f>IFERROR(__xludf.DUMMYFUNCTION("""COMPUTED_VALUE"""),46106.0)</f>
        <v>46106</v>
      </c>
      <c r="B291" s="124" t="str">
        <f>IFERROR(__xludf.DUMMYFUNCTION("""COMPUTED_VALUE"""),"Walkin")</f>
        <v>Walkin</v>
      </c>
      <c r="C291" s="124" t="str">
        <f>IFERROR(__xludf.DUMMYFUNCTION("""COMPUTED_VALUE"""),"Prayagraj")</f>
        <v>Prayagraj</v>
      </c>
      <c r="D291" s="124" t="str">
        <f>IFERROR(__xludf.DUMMYFUNCTION("""COMPUTED_VALUE"""),"Primary_Walkin")</f>
        <v>Primary_Walkin</v>
      </c>
      <c r="E291" s="127">
        <f>IFERROR(__xludf.DUMMYFUNCTION("""COMPUTED_VALUE"""),3.0)</f>
        <v>3</v>
      </c>
      <c r="F291" s="128" t="str">
        <f>IFERROR(__xludf.DUMMYFUNCTION("""COMPUTED_VALUE"""),"Future Prospects")</f>
        <v>Future Prospects</v>
      </c>
      <c r="G291" s="124" t="str">
        <f>IFERROR(__xludf.DUMMYFUNCTION("""COMPUTED_VALUE"""),"GS Foundation")</f>
        <v>GS Foundation</v>
      </c>
      <c r="K291" s="124"/>
      <c r="L291" s="124"/>
      <c r="M291" s="124"/>
      <c r="N291" s="124"/>
      <c r="O291" s="124"/>
      <c r="T291" s="126">
        <f>IFERROR(__xludf.DUMMYFUNCTION("""COMPUTED_VALUE"""),46050.0)</f>
        <v>46050</v>
      </c>
      <c r="U291" s="124" t="str">
        <f>IFERROR(__xludf.DUMMYFUNCTION("""COMPUTED_VALUE"""),"External Leads")</f>
        <v>External Leads</v>
      </c>
      <c r="V291" s="124" t="str">
        <f>IFERROR(__xludf.DUMMYFUNCTION("""COMPUTED_VALUE"""),"external leads")</f>
        <v>external leads</v>
      </c>
      <c r="W291" s="124" t="str">
        <f>IFERROR(__xludf.DUMMYFUNCTION("""COMPUTED_VALUE"""),"patna")</f>
        <v>patna</v>
      </c>
      <c r="X291" s="124" t="str">
        <f>IFERROR(__xludf.DUMMYFUNCTION("""COMPUTED_VALUE"""),"piyushunacademy")</f>
        <v>piyushunacademy</v>
      </c>
      <c r="Y291" s="124" t="str">
        <f>IFERROR(__xludf.DUMMYFUNCTION("""COMPUTED_VALUE"""),"Patna")</f>
        <v>Patna</v>
      </c>
      <c r="Z291" s="124">
        <f>IFERROR(__xludf.DUMMYFUNCTION("""COMPUTED_VALUE"""),36.0)</f>
        <v>36</v>
      </c>
      <c r="AA291" s="124"/>
      <c r="AB291" s="124"/>
    </row>
    <row r="292">
      <c r="A292" s="126">
        <f>IFERROR(__xludf.DUMMYFUNCTION("""COMPUTED_VALUE"""),46078.0)</f>
        <v>46078</v>
      </c>
      <c r="B292" s="124" t="str">
        <f>IFERROR(__xludf.DUMMYFUNCTION("""COMPUTED_VALUE"""),"Walk-In")</f>
        <v>Walk-In</v>
      </c>
      <c r="C292" s="124" t="str">
        <f>IFERROR(__xludf.DUMMYFUNCTION("""COMPUTED_VALUE"""),"Prayagraj")</f>
        <v>Prayagraj</v>
      </c>
      <c r="D292" s="124" t="str">
        <f>IFERROR(__xludf.DUMMYFUNCTION("""COMPUTED_VALUE"""),"Primary_Walkin")</f>
        <v>Primary_Walkin</v>
      </c>
      <c r="E292" s="127">
        <f>IFERROR(__xludf.DUMMYFUNCTION("""COMPUTED_VALUE"""),1.0)</f>
        <v>1</v>
      </c>
      <c r="F292" s="128" t="str">
        <f>IFERROR(__xludf.DUMMYFUNCTION("""COMPUTED_VALUE"""),"Future Prospects")</f>
        <v>Future Prospects</v>
      </c>
      <c r="G292" s="124" t="str">
        <f>IFERROR(__xludf.DUMMYFUNCTION("""COMPUTED_VALUE"""),"State PCS")</f>
        <v>State PCS</v>
      </c>
      <c r="K292" s="124"/>
      <c r="L292" s="124"/>
      <c r="M292" s="124"/>
      <c r="N292" s="124"/>
      <c r="O292" s="124"/>
      <c r="T292" s="126">
        <f>IFERROR(__xludf.DUMMYFUNCTION("""COMPUTED_VALUE"""),46109.0)</f>
        <v>46109</v>
      </c>
      <c r="U292" s="124" t="str">
        <f>IFERROR(__xludf.DUMMYFUNCTION("""COMPUTED_VALUE"""),"Walk-Ins")</f>
        <v>Walk-Ins</v>
      </c>
      <c r="V292" s="124" t="str">
        <f>IFERROR(__xludf.DUMMYFUNCTION("""COMPUTED_VALUE"""),"Walkin")</f>
        <v>Walkin</v>
      </c>
      <c r="W292" s="124" t="str">
        <f>IFERROR(__xludf.DUMMYFUNCTION("""COMPUTED_VALUE"""),"Delhi")</f>
        <v>Delhi</v>
      </c>
      <c r="X292" s="124" t="str">
        <f>IFERROR(__xludf.DUMMYFUNCTION("""COMPUTED_VALUE"""),"walkin")</f>
        <v>walkin</v>
      </c>
      <c r="Y292" s="124" t="str">
        <f>IFERROR(__xludf.DUMMYFUNCTION("""COMPUTED_VALUE"""),"Delhi")</f>
        <v>Delhi</v>
      </c>
      <c r="Z292" s="124">
        <f>IFERROR(__xludf.DUMMYFUNCTION("""COMPUTED_VALUE"""),6.0)</f>
        <v>6</v>
      </c>
      <c r="AA292" s="124" t="str">
        <f>IFERROR(__xludf.DUMMYFUNCTION("""COMPUTED_VALUE"""),"Warm")</f>
        <v>Warm</v>
      </c>
      <c r="AB292" s="124" t="str">
        <f>IFERROR(__xludf.DUMMYFUNCTION("""COMPUTED_VALUE"""),"GS Foundation")</f>
        <v>GS Foundation</v>
      </c>
    </row>
    <row r="293">
      <c r="A293" s="126">
        <f>IFERROR(__xludf.DUMMYFUNCTION("""COMPUTED_VALUE"""),46088.0)</f>
        <v>46088</v>
      </c>
      <c r="B293" s="124" t="str">
        <f>IFERROR(__xludf.DUMMYFUNCTION("""COMPUTED_VALUE"""),"Walk-In")</f>
        <v>Walk-In</v>
      </c>
      <c r="C293" s="124" t="str">
        <f>IFERROR(__xludf.DUMMYFUNCTION("""COMPUTED_VALUE"""),"Prayagraj")</f>
        <v>Prayagraj</v>
      </c>
      <c r="D293" s="124" t="str">
        <f>IFERROR(__xludf.DUMMYFUNCTION("""COMPUTED_VALUE"""),"Primary_Walkin")</f>
        <v>Primary_Walkin</v>
      </c>
      <c r="E293" s="127">
        <f>IFERROR(__xludf.DUMMYFUNCTION("""COMPUTED_VALUE"""),1.0)</f>
        <v>1</v>
      </c>
      <c r="F293" s="128" t="str">
        <f>IFERROR(__xludf.DUMMYFUNCTION("""COMPUTED_VALUE"""),"Cold")</f>
        <v>Cold</v>
      </c>
      <c r="G293" s="124" t="str">
        <f>IFERROR(__xludf.DUMMYFUNCTION("""COMPUTED_VALUE"""),"GS Foundation")</f>
        <v>GS Foundation</v>
      </c>
      <c r="K293" s="124"/>
      <c r="L293" s="124"/>
      <c r="M293" s="124"/>
      <c r="N293" s="124"/>
      <c r="O293" s="124"/>
      <c r="T293" s="126">
        <f>IFERROR(__xludf.DUMMYFUNCTION("""COMPUTED_VALUE"""),46095.0)</f>
        <v>46095</v>
      </c>
      <c r="U293" s="124" t="str">
        <f>IFERROR(__xludf.DUMMYFUNCTION("""COMPUTED_VALUE"""),"Walk-Ins")</f>
        <v>Walk-Ins</v>
      </c>
      <c r="V293" s="124" t="str">
        <f>IFERROR(__xludf.DUMMYFUNCTION("""COMPUTED_VALUE"""),"Walkin")</f>
        <v>Walkin</v>
      </c>
      <c r="W293" s="124" t="str">
        <f>IFERROR(__xludf.DUMMYFUNCTION("""COMPUTED_VALUE"""),"Delhi")</f>
        <v>Delhi</v>
      </c>
      <c r="X293" s="124" t="str">
        <f>IFERROR(__xludf.DUMMYFUNCTION("""COMPUTED_VALUE"""),"walkin")</f>
        <v>walkin</v>
      </c>
      <c r="Y293" s="124" t="str">
        <f>IFERROR(__xludf.DUMMYFUNCTION("""COMPUTED_VALUE"""),"Delhi")</f>
        <v>Delhi</v>
      </c>
      <c r="Z293" s="124">
        <f>IFERROR(__xludf.DUMMYFUNCTION("""COMPUTED_VALUE"""),4.0)</f>
        <v>4</v>
      </c>
      <c r="AA293" s="124" t="str">
        <f>IFERROR(__xludf.DUMMYFUNCTION("""COMPUTED_VALUE"""),"Warm")</f>
        <v>Warm</v>
      </c>
      <c r="AB293" s="124" t="str">
        <f>IFERROR(__xludf.DUMMYFUNCTION("""COMPUTED_VALUE"""),"GS Foundation")</f>
        <v>GS Foundation</v>
      </c>
    </row>
    <row r="294">
      <c r="A294" s="126">
        <f>IFERROR(__xludf.DUMMYFUNCTION("""COMPUTED_VALUE"""),46098.0)</f>
        <v>46098</v>
      </c>
      <c r="B294" s="124" t="str">
        <f>IFERROR(__xludf.DUMMYFUNCTION("""COMPUTED_VALUE"""),"Walkin")</f>
        <v>Walkin</v>
      </c>
      <c r="C294" s="124" t="str">
        <f>IFERROR(__xludf.DUMMYFUNCTION("""COMPUTED_VALUE"""),"Prayagraj")</f>
        <v>Prayagraj</v>
      </c>
      <c r="D294" s="124" t="str">
        <f>IFERROR(__xludf.DUMMYFUNCTION("""COMPUTED_VALUE"""),"Primary_Walkin")</f>
        <v>Primary_Walkin</v>
      </c>
      <c r="E294" s="127">
        <f>IFERROR(__xludf.DUMMYFUNCTION("""COMPUTED_VALUE"""),2.0)</f>
        <v>2</v>
      </c>
      <c r="F294" s="128" t="str">
        <f>IFERROR(__xludf.DUMMYFUNCTION("""COMPUTED_VALUE"""),"Interested")</f>
        <v>Interested</v>
      </c>
      <c r="G294" s="124" t="str">
        <f>IFERROR(__xludf.DUMMYFUNCTION("""COMPUTED_VALUE"""),"GS Foundation")</f>
        <v>GS Foundation</v>
      </c>
      <c r="K294" s="124"/>
      <c r="L294" s="124"/>
      <c r="M294" s="124"/>
      <c r="N294" s="124"/>
      <c r="O294" s="124"/>
      <c r="T294" s="129">
        <f>IFERROR(__xludf.DUMMYFUNCTION("""COMPUTED_VALUE"""),46049.0)</f>
        <v>46049</v>
      </c>
      <c r="U294" s="124" t="str">
        <f>IFERROR(__xludf.DUMMYFUNCTION("""COMPUTED_VALUE"""),"External Leads")</f>
        <v>External Leads</v>
      </c>
      <c r="V294" s="124" t="str">
        <f>IFERROR(__xludf.DUMMYFUNCTION("""COMPUTED_VALUE"""),"external leads")</f>
        <v>external leads</v>
      </c>
      <c r="W294" s="124" t="str">
        <f>IFERROR(__xludf.DUMMYFUNCTION("""COMPUTED_VALUE"""),"patna")</f>
        <v>patna</v>
      </c>
      <c r="X294" s="124" t="str">
        <f>IFERROR(__xludf.DUMMYFUNCTION("""COMPUTED_VALUE"""),"piyushunacademy")</f>
        <v>piyushunacademy</v>
      </c>
      <c r="Y294" s="124" t="str">
        <f>IFERROR(__xludf.DUMMYFUNCTION("""COMPUTED_VALUE"""),"Patna")</f>
        <v>Patna</v>
      </c>
      <c r="Z294" s="124">
        <f>IFERROR(__xludf.DUMMYFUNCTION("""COMPUTED_VALUE"""),6.0)</f>
        <v>6</v>
      </c>
      <c r="AA294" s="124" t="str">
        <f>IFERROR(__xludf.DUMMYFUNCTION("""COMPUTED_VALUE"""),"Warm")</f>
        <v>Warm</v>
      </c>
      <c r="AB294" s="124" t="str">
        <f>IFERROR(__xludf.DUMMYFUNCTION("""COMPUTED_VALUE"""),"GS Foundation")</f>
        <v>GS Foundation</v>
      </c>
    </row>
    <row r="295">
      <c r="A295" s="129">
        <f>IFERROR(__xludf.DUMMYFUNCTION("""COMPUTED_VALUE"""),46095.0)</f>
        <v>46095</v>
      </c>
      <c r="B295" s="124" t="str">
        <f>IFERROR(__xludf.DUMMYFUNCTION("""COMPUTED_VALUE"""),"Walk-In")</f>
        <v>Walk-In</v>
      </c>
      <c r="C295" s="124" t="str">
        <f>IFERROR(__xludf.DUMMYFUNCTION("""COMPUTED_VALUE"""),"Prayagraj")</f>
        <v>Prayagraj</v>
      </c>
      <c r="D295" s="124" t="str">
        <f>IFERROR(__xludf.DUMMYFUNCTION("""COMPUTED_VALUE"""),"Primary_Walkin")</f>
        <v>Primary_Walkin</v>
      </c>
      <c r="E295" s="127">
        <f>IFERROR(__xludf.DUMMYFUNCTION("""COMPUTED_VALUE"""),2.0)</f>
        <v>2</v>
      </c>
      <c r="F295" s="128" t="str">
        <f>IFERROR(__xludf.DUMMYFUNCTION("""COMPUTED_VALUE"""),"Cold")</f>
        <v>Cold</v>
      </c>
      <c r="G295" s="124" t="str">
        <f>IFERROR(__xludf.DUMMYFUNCTION("""COMPUTED_VALUE"""),"State PCS")</f>
        <v>State PCS</v>
      </c>
      <c r="K295" s="124"/>
      <c r="L295" s="124"/>
      <c r="M295" s="124"/>
      <c r="N295" s="124"/>
      <c r="O295" s="124"/>
      <c r="T295" s="126">
        <f>IFERROR(__xludf.DUMMYFUNCTION("""COMPUTED_VALUE"""),46050.0)</f>
        <v>46050</v>
      </c>
      <c r="U295" s="124" t="str">
        <f>IFERROR(__xludf.DUMMYFUNCTION("""COMPUTED_VALUE"""),"External Leads")</f>
        <v>External Leads</v>
      </c>
      <c r="V295" s="124" t="str">
        <f>IFERROR(__xludf.DUMMYFUNCTION("""COMPUTED_VALUE"""),"external leads")</f>
        <v>external leads</v>
      </c>
      <c r="W295" s="124" t="str">
        <f>IFERROR(__xludf.DUMMYFUNCTION("""COMPUTED_VALUE"""),"delhi")</f>
        <v>delhi</v>
      </c>
      <c r="X295" s="124" t="str">
        <f>IFERROR(__xludf.DUMMYFUNCTION("""COMPUTED_VALUE"""),"piyushunacademy")</f>
        <v>piyushunacademy</v>
      </c>
      <c r="Y295" s="124" t="str">
        <f>IFERROR(__xludf.DUMMYFUNCTION("""COMPUTED_VALUE"""),"Delhi")</f>
        <v>Delhi</v>
      </c>
      <c r="Z295" s="124">
        <f>IFERROR(__xludf.DUMMYFUNCTION("""COMPUTED_VALUE"""),19.0)</f>
        <v>19</v>
      </c>
      <c r="AA295" s="124" t="str">
        <f>IFERROR(__xludf.DUMMYFUNCTION("""COMPUTED_VALUE"""),"Fake Lead")</f>
        <v>Fake Lead</v>
      </c>
      <c r="AB295" s="124"/>
    </row>
    <row r="296">
      <c r="A296" s="126">
        <f>IFERROR(__xludf.DUMMYFUNCTION("""COMPUTED_VALUE"""),46043.0)</f>
        <v>46043</v>
      </c>
      <c r="B296" s="124" t="str">
        <f>IFERROR(__xludf.DUMMYFUNCTION("""COMPUTED_VALUE"""),"Walkin")</f>
        <v>Walkin</v>
      </c>
      <c r="C296" s="124" t="str">
        <f>IFERROR(__xludf.DUMMYFUNCTION("""COMPUTED_VALUE"""),"Prayagraj")</f>
        <v>Prayagraj</v>
      </c>
      <c r="D296" s="124" t="str">
        <f>IFERROR(__xludf.DUMMYFUNCTION("""COMPUTED_VALUE"""),"Primary_Walkin")</f>
        <v>Primary_Walkin</v>
      </c>
      <c r="E296" s="127">
        <f>IFERROR(__xludf.DUMMYFUNCTION("""COMPUTED_VALUE"""),4.0)</f>
        <v>4</v>
      </c>
      <c r="F296" s="128" t="str">
        <f>IFERROR(__xludf.DUMMYFUNCTION("""COMPUTED_VALUE"""),"Not Interested")</f>
        <v>Not Interested</v>
      </c>
      <c r="G296" s="124" t="str">
        <f>IFERROR(__xludf.DUMMYFUNCTION("""COMPUTED_VALUE"""),"GS Foundation")</f>
        <v>GS Foundation</v>
      </c>
      <c r="K296" s="124"/>
      <c r="L296" s="124"/>
      <c r="M296" s="124"/>
      <c r="N296" s="124"/>
      <c r="O296" s="124"/>
      <c r="T296" s="126">
        <f>IFERROR(__xludf.DUMMYFUNCTION("""COMPUTED_VALUE"""),46090.0)</f>
        <v>46090</v>
      </c>
      <c r="U296" s="124" t="str">
        <f>IFERROR(__xludf.DUMMYFUNCTION("""COMPUTED_VALUE"""),"Walk-Ins")</f>
        <v>Walk-Ins</v>
      </c>
      <c r="V296" s="124" t="str">
        <f>IFERROR(__xludf.DUMMYFUNCTION("""COMPUTED_VALUE"""),"Walkin")</f>
        <v>Walkin</v>
      </c>
      <c r="W296" s="124" t="str">
        <f>IFERROR(__xludf.DUMMYFUNCTION("""COMPUTED_VALUE"""),"Delhi")</f>
        <v>Delhi</v>
      </c>
      <c r="X296" s="124" t="str">
        <f>IFERROR(__xludf.DUMMYFUNCTION("""COMPUTED_VALUE"""),"walkin")</f>
        <v>walkin</v>
      </c>
      <c r="Y296" s="124" t="str">
        <f>IFERROR(__xludf.DUMMYFUNCTION("""COMPUTED_VALUE"""),"Delhi")</f>
        <v>Delhi</v>
      </c>
      <c r="Z296" s="124">
        <f>IFERROR(__xludf.DUMMYFUNCTION("""COMPUTED_VALUE"""),7.0)</f>
        <v>7</v>
      </c>
      <c r="AA296" s="124" t="str">
        <f>IFERROR(__xludf.DUMMYFUNCTION("""COMPUTED_VALUE"""),"Cold")</f>
        <v>Cold</v>
      </c>
      <c r="AB296" s="124" t="str">
        <f>IFERROR(__xludf.DUMMYFUNCTION("""COMPUTED_VALUE"""),"GS Foundation")</f>
        <v>GS Foundation</v>
      </c>
    </row>
    <row r="297">
      <c r="A297" s="126">
        <f>IFERROR(__xludf.DUMMYFUNCTION("""COMPUTED_VALUE"""),46070.0)</f>
        <v>46070</v>
      </c>
      <c r="B297" s="124" t="str">
        <f>IFERROR(__xludf.DUMMYFUNCTION("""COMPUTED_VALUE"""),"Walkin")</f>
        <v>Walkin</v>
      </c>
      <c r="C297" s="124" t="str">
        <f>IFERROR(__xludf.DUMMYFUNCTION("""COMPUTED_VALUE"""),"Prayagraj")</f>
        <v>Prayagraj</v>
      </c>
      <c r="D297" s="124" t="str">
        <f>IFERROR(__xludf.DUMMYFUNCTION("""COMPUTED_VALUE"""),"Primary_Walkin")</f>
        <v>Primary_Walkin</v>
      </c>
      <c r="E297" s="127">
        <f>IFERROR(__xludf.DUMMYFUNCTION("""COMPUTED_VALUE"""),4.0)</f>
        <v>4</v>
      </c>
      <c r="F297" s="128" t="str">
        <f>IFERROR(__xludf.DUMMYFUNCTION("""COMPUTED_VALUE"""),"Cold")</f>
        <v>Cold</v>
      </c>
      <c r="G297" s="124" t="str">
        <f>IFERROR(__xludf.DUMMYFUNCTION("""COMPUTED_VALUE"""),"GS Foundation")</f>
        <v>GS Foundation</v>
      </c>
      <c r="K297" s="124"/>
      <c r="L297" s="124"/>
      <c r="M297" s="124"/>
      <c r="N297" s="124"/>
      <c r="O297" s="124"/>
      <c r="T297" s="126">
        <f>IFERROR(__xludf.DUMMYFUNCTION("""COMPUTED_VALUE"""),46050.0)</f>
        <v>46050</v>
      </c>
      <c r="U297" s="124" t="str">
        <f>IFERROR(__xludf.DUMMYFUNCTION("""COMPUTED_VALUE"""),"External Leads")</f>
        <v>External Leads</v>
      </c>
      <c r="V297" s="124" t="str">
        <f>IFERROR(__xludf.DUMMYFUNCTION("""COMPUTED_VALUE"""),"external leads")</f>
        <v>external leads</v>
      </c>
      <c r="W297" s="124" t="str">
        <f>IFERROR(__xludf.DUMMYFUNCTION("""COMPUTED_VALUE"""),"delhi")</f>
        <v>delhi</v>
      </c>
      <c r="X297" s="124" t="str">
        <f>IFERROR(__xludf.DUMMYFUNCTION("""COMPUTED_VALUE"""),"piyushunacademy")</f>
        <v>piyushunacademy</v>
      </c>
      <c r="Y297" s="124" t="str">
        <f>IFERROR(__xludf.DUMMYFUNCTION("""COMPUTED_VALUE"""),"Delhi")</f>
        <v>Delhi</v>
      </c>
      <c r="Z297" s="124">
        <f>IFERROR(__xludf.DUMMYFUNCTION("""COMPUTED_VALUE"""),44.0)</f>
        <v>44</v>
      </c>
      <c r="AA297" s="124" t="str">
        <f>IFERROR(__xludf.DUMMYFUNCTION("""COMPUTED_VALUE"""),"Cold")</f>
        <v>Cold</v>
      </c>
      <c r="AB297" s="124"/>
    </row>
    <row r="298">
      <c r="A298" s="129">
        <f>IFERROR(__xludf.DUMMYFUNCTION("""COMPUTED_VALUE"""),46099.0)</f>
        <v>46099</v>
      </c>
      <c r="B298" s="124" t="str">
        <f>IFERROR(__xludf.DUMMYFUNCTION("""COMPUTED_VALUE"""),"Walk-In")</f>
        <v>Walk-In</v>
      </c>
      <c r="C298" s="124" t="str">
        <f>IFERROR(__xludf.DUMMYFUNCTION("""COMPUTED_VALUE"""),"Prayagraj")</f>
        <v>Prayagraj</v>
      </c>
      <c r="D298" s="124" t="str">
        <f>IFERROR(__xludf.DUMMYFUNCTION("""COMPUTED_VALUE"""),"Primary_Walkin")</f>
        <v>Primary_Walkin</v>
      </c>
      <c r="E298" s="127">
        <f>IFERROR(__xludf.DUMMYFUNCTION("""COMPUTED_VALUE"""),1.0)</f>
        <v>1</v>
      </c>
      <c r="F298" s="128" t="str">
        <f>IFERROR(__xludf.DUMMYFUNCTION("""COMPUTED_VALUE"""),"Warm")</f>
        <v>Warm</v>
      </c>
      <c r="G298" s="124" t="str">
        <f>IFERROR(__xludf.DUMMYFUNCTION("""COMPUTED_VALUE"""),"State PCS")</f>
        <v>State PCS</v>
      </c>
      <c r="K298" s="124"/>
      <c r="L298" s="124"/>
      <c r="M298" s="124"/>
      <c r="N298" s="124"/>
      <c r="O298" s="124"/>
      <c r="T298" s="126">
        <f>IFERROR(__xludf.DUMMYFUNCTION("""COMPUTED_VALUE"""),46050.0)</f>
        <v>46050</v>
      </c>
      <c r="U298" s="124" t="str">
        <f>IFERROR(__xludf.DUMMYFUNCTION("""COMPUTED_VALUE"""),"External Leads")</f>
        <v>External Leads</v>
      </c>
      <c r="V298" s="124" t="str">
        <f>IFERROR(__xludf.DUMMYFUNCTION("""COMPUTED_VALUE"""),"external leads")</f>
        <v>external leads</v>
      </c>
      <c r="W298" s="124" t="str">
        <f>IFERROR(__xludf.DUMMYFUNCTION("""COMPUTED_VALUE"""),"delhi")</f>
        <v>delhi</v>
      </c>
      <c r="X298" s="124" t="str">
        <f>IFERROR(__xludf.DUMMYFUNCTION("""COMPUTED_VALUE"""),"piyushunacademy")</f>
        <v>piyushunacademy</v>
      </c>
      <c r="Y298" s="124" t="str">
        <f>IFERROR(__xludf.DUMMYFUNCTION("""COMPUTED_VALUE"""),"Delhi")</f>
        <v>Delhi</v>
      </c>
      <c r="Z298" s="124">
        <f>IFERROR(__xludf.DUMMYFUNCTION("""COMPUTED_VALUE"""),78.0)</f>
        <v>78</v>
      </c>
      <c r="AA298" s="124" t="str">
        <f>IFERROR(__xludf.DUMMYFUNCTION("""COMPUTED_VALUE"""),"Not Interested")</f>
        <v>Not Interested</v>
      </c>
      <c r="AB298" s="124"/>
    </row>
    <row r="299">
      <c r="A299" s="126">
        <f>IFERROR(__xludf.DUMMYFUNCTION("""COMPUTED_VALUE"""),46076.0)</f>
        <v>46076</v>
      </c>
      <c r="B299" s="124" t="str">
        <f>IFERROR(__xludf.DUMMYFUNCTION("""COMPUTED_VALUE"""),"Events")</f>
        <v>Events</v>
      </c>
      <c r="C299" s="124" t="str">
        <f>IFERROR(__xludf.DUMMYFUNCTION("""COMPUTED_VALUE"""),"Prayagraj")</f>
        <v>Prayagraj</v>
      </c>
      <c r="D299" s="124" t="str">
        <f>IFERROR(__xludf.DUMMYFUNCTION("""COMPUTED_VALUE"""),"Secondary_Walkin")</f>
        <v>Secondary_Walkin</v>
      </c>
      <c r="E299" s="127">
        <f>IFERROR(__xludf.DUMMYFUNCTION("""COMPUTED_VALUE"""),1.0)</f>
        <v>1</v>
      </c>
      <c r="F299" s="128" t="str">
        <f>IFERROR(__xludf.DUMMYFUNCTION("""COMPUTED_VALUE"""),"Cold")</f>
        <v>Cold</v>
      </c>
      <c r="G299" s="124" t="str">
        <f>IFERROR(__xludf.DUMMYFUNCTION("""COMPUTED_VALUE"""),"GS Foundation")</f>
        <v>GS Foundation</v>
      </c>
      <c r="K299" s="124"/>
      <c r="L299" s="124"/>
      <c r="M299" s="124"/>
      <c r="N299" s="124"/>
      <c r="O299" s="124"/>
      <c r="T299" s="129">
        <f>IFERROR(__xludf.DUMMYFUNCTION("""COMPUTED_VALUE"""),46065.0)</f>
        <v>46065</v>
      </c>
      <c r="U299" s="124" t="str">
        <f>IFERROR(__xludf.DUMMYFUNCTION("""COMPUTED_VALUE"""),"Walk-Ins")</f>
        <v>Walk-Ins</v>
      </c>
      <c r="V299" s="124" t="str">
        <f>IFERROR(__xludf.DUMMYFUNCTION("""COMPUTED_VALUE"""),"Walkin")</f>
        <v>Walkin</v>
      </c>
      <c r="W299" s="124" t="str">
        <f>IFERROR(__xludf.DUMMYFUNCTION("""COMPUTED_VALUE"""),"Delhi")</f>
        <v>Delhi</v>
      </c>
      <c r="X299" s="124" t="str">
        <f>IFERROR(__xludf.DUMMYFUNCTION("""COMPUTED_VALUE"""),"walkin")</f>
        <v>walkin</v>
      </c>
      <c r="Y299" s="124" t="str">
        <f>IFERROR(__xludf.DUMMYFUNCTION("""COMPUTED_VALUE"""),"Delhi")</f>
        <v>Delhi</v>
      </c>
      <c r="Z299" s="124">
        <f>IFERROR(__xludf.DUMMYFUNCTION("""COMPUTED_VALUE"""),9.0)</f>
        <v>9</v>
      </c>
      <c r="AA299" s="124" t="str">
        <f>IFERROR(__xludf.DUMMYFUNCTION("""COMPUTED_VALUE"""),"Cold")</f>
        <v>Cold</v>
      </c>
      <c r="AB299" s="124" t="str">
        <f>IFERROR(__xludf.DUMMYFUNCTION("""COMPUTED_VALUE"""),"GS Foundation")</f>
        <v>GS Foundation</v>
      </c>
    </row>
    <row r="300">
      <c r="A300" s="126">
        <f>IFERROR(__xludf.DUMMYFUNCTION("""COMPUTED_VALUE"""),46101.0)</f>
        <v>46101</v>
      </c>
      <c r="B300" s="124" t="str">
        <f>IFERROR(__xludf.DUMMYFUNCTION("""COMPUTED_VALUE"""),"Walk-In")</f>
        <v>Walk-In</v>
      </c>
      <c r="C300" s="124" t="str">
        <f>IFERROR(__xludf.DUMMYFUNCTION("""COMPUTED_VALUE"""),"Prayagraj")</f>
        <v>Prayagraj</v>
      </c>
      <c r="D300" s="124" t="str">
        <f>IFERROR(__xludf.DUMMYFUNCTION("""COMPUTED_VALUE"""),"Primary_Walkin")</f>
        <v>Primary_Walkin</v>
      </c>
      <c r="E300" s="127">
        <f>IFERROR(__xludf.DUMMYFUNCTION("""COMPUTED_VALUE"""),2.0)</f>
        <v>2</v>
      </c>
      <c r="F300" s="128" t="str">
        <f>IFERROR(__xludf.DUMMYFUNCTION("""COMPUTED_VALUE"""),"Cold")</f>
        <v>Cold</v>
      </c>
      <c r="G300" s="124" t="str">
        <f>IFERROR(__xludf.DUMMYFUNCTION("""COMPUTED_VALUE"""),"Test Series")</f>
        <v>Test Series</v>
      </c>
      <c r="K300" s="124"/>
      <c r="L300" s="124"/>
      <c r="M300" s="124"/>
      <c r="N300" s="124"/>
      <c r="O300" s="124"/>
      <c r="T300" s="126">
        <f>IFERROR(__xludf.DUMMYFUNCTION("""COMPUTED_VALUE"""),46064.0)</f>
        <v>46064</v>
      </c>
      <c r="U300" s="124" t="str">
        <f>IFERROR(__xludf.DUMMYFUNCTION("""COMPUTED_VALUE"""),"Walk-Ins")</f>
        <v>Walk-Ins</v>
      </c>
      <c r="V300" s="124" t="str">
        <f>IFERROR(__xludf.DUMMYFUNCTION("""COMPUTED_VALUE"""),"Walkin")</f>
        <v>Walkin</v>
      </c>
      <c r="W300" s="124" t="str">
        <f>IFERROR(__xludf.DUMMYFUNCTION("""COMPUTED_VALUE"""),"Delhi")</f>
        <v>Delhi</v>
      </c>
      <c r="X300" s="124" t="str">
        <f>IFERROR(__xludf.DUMMYFUNCTION("""COMPUTED_VALUE"""),"walkin")</f>
        <v>walkin</v>
      </c>
      <c r="Y300" s="124" t="str">
        <f>IFERROR(__xludf.DUMMYFUNCTION("""COMPUTED_VALUE"""),"Delhi")</f>
        <v>Delhi</v>
      </c>
      <c r="Z300" s="124">
        <f>IFERROR(__xludf.DUMMYFUNCTION("""COMPUTED_VALUE"""),2.0)</f>
        <v>2</v>
      </c>
      <c r="AA300" s="124" t="str">
        <f>IFERROR(__xludf.DUMMYFUNCTION("""COMPUTED_VALUE"""),"Future Prospects")</f>
        <v>Future Prospects</v>
      </c>
      <c r="AB300" s="124" t="str">
        <f>IFERROR(__xludf.DUMMYFUNCTION("""COMPUTED_VALUE"""),"GS Foundation")</f>
        <v>GS Foundation</v>
      </c>
    </row>
    <row r="301">
      <c r="A301" s="126">
        <f>IFERROR(__xludf.DUMMYFUNCTION("""COMPUTED_VALUE"""),46095.0)</f>
        <v>46095</v>
      </c>
      <c r="B301" s="124" t="str">
        <f>IFERROR(__xludf.DUMMYFUNCTION("""COMPUTED_VALUE"""),"Walkin")</f>
        <v>Walkin</v>
      </c>
      <c r="C301" s="124" t="str">
        <f>IFERROR(__xludf.DUMMYFUNCTION("""COMPUTED_VALUE"""),"Prayagraj")</f>
        <v>Prayagraj</v>
      </c>
      <c r="D301" s="124" t="str">
        <f>IFERROR(__xludf.DUMMYFUNCTION("""COMPUTED_VALUE"""),"Primary_Walkin")</f>
        <v>Primary_Walkin</v>
      </c>
      <c r="E301" s="127">
        <f>IFERROR(__xludf.DUMMYFUNCTION("""COMPUTED_VALUE"""),1.0)</f>
        <v>1</v>
      </c>
      <c r="F301" s="128" t="str">
        <f>IFERROR(__xludf.DUMMYFUNCTION("""COMPUTED_VALUE"""),"Cold")</f>
        <v>Cold</v>
      </c>
      <c r="G301" s="124" t="str">
        <f>IFERROR(__xludf.DUMMYFUNCTION("""COMPUTED_VALUE"""),"Optionals")</f>
        <v>Optionals</v>
      </c>
      <c r="K301" s="124"/>
      <c r="L301" s="124"/>
      <c r="M301" s="124"/>
      <c r="N301" s="124"/>
      <c r="O301" s="124"/>
      <c r="T301" s="126">
        <f>IFERROR(__xludf.DUMMYFUNCTION("""COMPUTED_VALUE"""),46091.0)</f>
        <v>46091</v>
      </c>
      <c r="U301" s="124" t="str">
        <f>IFERROR(__xludf.DUMMYFUNCTION("""COMPUTED_VALUE"""),"Walk-Ins")</f>
        <v>Walk-Ins</v>
      </c>
      <c r="V301" s="124" t="str">
        <f>IFERROR(__xludf.DUMMYFUNCTION("""COMPUTED_VALUE"""),"Walkin")</f>
        <v>Walkin</v>
      </c>
      <c r="W301" s="124" t="str">
        <f>IFERROR(__xludf.DUMMYFUNCTION("""COMPUTED_VALUE"""),"Delhi")</f>
        <v>Delhi</v>
      </c>
      <c r="X301" s="124" t="str">
        <f>IFERROR(__xludf.DUMMYFUNCTION("""COMPUTED_VALUE"""),"walkin")</f>
        <v>walkin</v>
      </c>
      <c r="Y301" s="124" t="str">
        <f>IFERROR(__xludf.DUMMYFUNCTION("""COMPUTED_VALUE"""),"Delhi")</f>
        <v>Delhi</v>
      </c>
      <c r="Z301" s="124">
        <f>IFERROR(__xludf.DUMMYFUNCTION("""COMPUTED_VALUE"""),3.0)</f>
        <v>3</v>
      </c>
      <c r="AA301" s="124" t="str">
        <f>IFERROR(__xludf.DUMMYFUNCTION("""COMPUTED_VALUE"""),"Future Prospects")</f>
        <v>Future Prospects</v>
      </c>
      <c r="AB301" s="124" t="str">
        <f>IFERROR(__xludf.DUMMYFUNCTION("""COMPUTED_VALUE"""),"GS Foundation")</f>
        <v>GS Foundation</v>
      </c>
    </row>
    <row r="302">
      <c r="A302" s="126">
        <f>IFERROR(__xludf.DUMMYFUNCTION("""COMPUTED_VALUE"""),46112.0)</f>
        <v>46112</v>
      </c>
      <c r="B302" s="124" t="str">
        <f>IFERROR(__xludf.DUMMYFUNCTION("""COMPUTED_VALUE"""),"events")</f>
        <v>events</v>
      </c>
      <c r="C302" s="124" t="str">
        <f>IFERROR(__xludf.DUMMYFUNCTION("""COMPUTED_VALUE"""),"Prayagraj")</f>
        <v>Prayagraj</v>
      </c>
      <c r="D302" s="124" t="str">
        <f>IFERROR(__xludf.DUMMYFUNCTION("""COMPUTED_VALUE"""),"Secondary_Walkin")</f>
        <v>Secondary_Walkin</v>
      </c>
      <c r="E302" s="127">
        <f>IFERROR(__xludf.DUMMYFUNCTION("""COMPUTED_VALUE"""),1.0)</f>
        <v>1</v>
      </c>
      <c r="F302" s="128" t="str">
        <f>IFERROR(__xludf.DUMMYFUNCTION("""COMPUTED_VALUE"""),"Warm")</f>
        <v>Warm</v>
      </c>
      <c r="G302" s="124" t="str">
        <f>IFERROR(__xludf.DUMMYFUNCTION("""COMPUTED_VALUE"""),"Mentorship")</f>
        <v>Mentorship</v>
      </c>
      <c r="K302" s="124"/>
      <c r="L302" s="124"/>
      <c r="M302" s="124"/>
      <c r="N302" s="124"/>
      <c r="O302" s="124"/>
      <c r="T302" s="129">
        <f>IFERROR(__xludf.DUMMYFUNCTION("""COMPUTED_VALUE"""),46094.0)</f>
        <v>46094</v>
      </c>
      <c r="U302" s="124" t="str">
        <f>IFERROR(__xludf.DUMMYFUNCTION("""COMPUTED_VALUE"""),"Walk-Ins")</f>
        <v>Walk-Ins</v>
      </c>
      <c r="V302" s="124" t="str">
        <f>IFERROR(__xludf.DUMMYFUNCTION("""COMPUTED_VALUE"""),"Walkin")</f>
        <v>Walkin</v>
      </c>
      <c r="W302" s="124" t="str">
        <f>IFERROR(__xludf.DUMMYFUNCTION("""COMPUTED_VALUE"""),"Delhi")</f>
        <v>Delhi</v>
      </c>
      <c r="X302" s="124" t="str">
        <f>IFERROR(__xludf.DUMMYFUNCTION("""COMPUTED_VALUE"""),"walkin")</f>
        <v>walkin</v>
      </c>
      <c r="Y302" s="124" t="str">
        <f>IFERROR(__xludf.DUMMYFUNCTION("""COMPUTED_VALUE"""),"Delhi")</f>
        <v>Delhi</v>
      </c>
      <c r="Z302" s="124">
        <f>IFERROR(__xludf.DUMMYFUNCTION("""COMPUTED_VALUE"""),4.0)</f>
        <v>4</v>
      </c>
      <c r="AA302" s="124" t="str">
        <f>IFERROR(__xludf.DUMMYFUNCTION("""COMPUTED_VALUE"""),"Cold")</f>
        <v>Cold</v>
      </c>
      <c r="AB302" s="124" t="str">
        <f>IFERROR(__xludf.DUMMYFUNCTION("""COMPUTED_VALUE"""),"GS Foundation")</f>
        <v>GS Foundation</v>
      </c>
    </row>
    <row r="303">
      <c r="A303" s="126">
        <f>IFERROR(__xludf.DUMMYFUNCTION("""COMPUTED_VALUE"""),46061.0)</f>
        <v>46061</v>
      </c>
      <c r="B303" s="124" t="str">
        <f>IFERROR(__xludf.DUMMYFUNCTION("""COMPUTED_VALUE"""),"Walkin")</f>
        <v>Walkin</v>
      </c>
      <c r="C303" s="124" t="str">
        <f>IFERROR(__xludf.DUMMYFUNCTION("""COMPUTED_VALUE"""),"Prayagraj")</f>
        <v>Prayagraj</v>
      </c>
      <c r="D303" s="124" t="str">
        <f>IFERROR(__xludf.DUMMYFUNCTION("""COMPUTED_VALUE"""),"Primary_Walkin")</f>
        <v>Primary_Walkin</v>
      </c>
      <c r="E303" s="127">
        <f>IFERROR(__xludf.DUMMYFUNCTION("""COMPUTED_VALUE"""),1.0)</f>
        <v>1</v>
      </c>
      <c r="F303" s="128" t="str">
        <f>IFERROR(__xludf.DUMMYFUNCTION("""COMPUTED_VALUE"""),"Not Interested")</f>
        <v>Not Interested</v>
      </c>
      <c r="G303" s="124" t="str">
        <f>IFERROR(__xludf.DUMMYFUNCTION("""COMPUTED_VALUE"""),"GS Foundation")</f>
        <v>GS Foundation</v>
      </c>
      <c r="K303" s="124"/>
      <c r="L303" s="124"/>
      <c r="M303" s="124"/>
      <c r="N303" s="124"/>
      <c r="O303" s="124"/>
      <c r="T303" s="126">
        <f>IFERROR(__xludf.DUMMYFUNCTION("""COMPUTED_VALUE"""),46110.0)</f>
        <v>46110</v>
      </c>
      <c r="U303" s="124" t="str">
        <f>IFERROR(__xludf.DUMMYFUNCTION("""COMPUTED_VALUE"""),"Walk-Ins")</f>
        <v>Walk-Ins</v>
      </c>
      <c r="V303" s="124" t="str">
        <f>IFERROR(__xludf.DUMMYFUNCTION("""COMPUTED_VALUE"""),"Walkin")</f>
        <v>Walkin</v>
      </c>
      <c r="W303" s="124" t="str">
        <f>IFERROR(__xludf.DUMMYFUNCTION("""COMPUTED_VALUE"""),"Delhi")</f>
        <v>Delhi</v>
      </c>
      <c r="X303" s="124" t="str">
        <f>IFERROR(__xludf.DUMMYFUNCTION("""COMPUTED_VALUE"""),"walkin")</f>
        <v>walkin</v>
      </c>
      <c r="Y303" s="124" t="str">
        <f>IFERROR(__xludf.DUMMYFUNCTION("""COMPUTED_VALUE"""),"Delhi")</f>
        <v>Delhi</v>
      </c>
      <c r="Z303" s="124">
        <f>IFERROR(__xludf.DUMMYFUNCTION("""COMPUTED_VALUE"""),1.0)</f>
        <v>1</v>
      </c>
      <c r="AA303" s="124" t="str">
        <f>IFERROR(__xludf.DUMMYFUNCTION("""COMPUTED_VALUE"""),"Warm")</f>
        <v>Warm</v>
      </c>
      <c r="AB303" s="124" t="str">
        <f>IFERROR(__xludf.DUMMYFUNCTION("""COMPUTED_VALUE"""),"Mentorship")</f>
        <v>Mentorship</v>
      </c>
    </row>
    <row r="304">
      <c r="A304" s="126">
        <f>IFERROR(__xludf.DUMMYFUNCTION("""COMPUTED_VALUE"""),46095.0)</f>
        <v>46095</v>
      </c>
      <c r="B304" s="124" t="str">
        <f>IFERROR(__xludf.DUMMYFUNCTION("""COMPUTED_VALUE"""),"Walkin")</f>
        <v>Walkin</v>
      </c>
      <c r="C304" s="124" t="str">
        <f>IFERROR(__xludf.DUMMYFUNCTION("""COMPUTED_VALUE"""),"Prayagraj")</f>
        <v>Prayagraj</v>
      </c>
      <c r="D304" s="124" t="str">
        <f>IFERROR(__xludf.DUMMYFUNCTION("""COMPUTED_VALUE"""),"Primary_Walkin")</f>
        <v>Primary_Walkin</v>
      </c>
      <c r="E304" s="127">
        <f>IFERROR(__xludf.DUMMYFUNCTION("""COMPUTED_VALUE"""),1.0)</f>
        <v>1</v>
      </c>
      <c r="F304" s="128" t="str">
        <f>IFERROR(__xludf.DUMMYFUNCTION("""COMPUTED_VALUE"""),"Cold")</f>
        <v>Cold</v>
      </c>
      <c r="G304" s="124" t="str">
        <f>IFERROR(__xludf.DUMMYFUNCTION("""COMPUTED_VALUE"""),"State PCS")</f>
        <v>State PCS</v>
      </c>
      <c r="K304" s="124"/>
      <c r="L304" s="124"/>
      <c r="M304" s="124"/>
      <c r="N304" s="124"/>
      <c r="O304" s="124"/>
      <c r="T304" s="126">
        <f>IFERROR(__xludf.DUMMYFUNCTION("""COMPUTED_VALUE"""),46104.0)</f>
        <v>46104</v>
      </c>
      <c r="U304" s="124" t="str">
        <f>IFERROR(__xludf.DUMMYFUNCTION("""COMPUTED_VALUE"""),"Walk-Ins")</f>
        <v>Walk-Ins</v>
      </c>
      <c r="V304" s="124" t="str">
        <f>IFERROR(__xludf.DUMMYFUNCTION("""COMPUTED_VALUE"""),"Walkin")</f>
        <v>Walkin</v>
      </c>
      <c r="W304" s="124" t="str">
        <f>IFERROR(__xludf.DUMMYFUNCTION("""COMPUTED_VALUE"""),"Delhi")</f>
        <v>Delhi</v>
      </c>
      <c r="X304" s="124" t="str">
        <f>IFERROR(__xludf.DUMMYFUNCTION("""COMPUTED_VALUE"""),"walkin")</f>
        <v>walkin</v>
      </c>
      <c r="Y304" s="124" t="str">
        <f>IFERROR(__xludf.DUMMYFUNCTION("""COMPUTED_VALUE"""),"Delhi")</f>
        <v>Delhi</v>
      </c>
      <c r="Z304" s="124">
        <f>IFERROR(__xludf.DUMMYFUNCTION("""COMPUTED_VALUE"""),2.0)</f>
        <v>2</v>
      </c>
      <c r="AA304" s="124" t="str">
        <f>IFERROR(__xludf.DUMMYFUNCTION("""COMPUTED_VALUE"""),"Interested")</f>
        <v>Interested</v>
      </c>
      <c r="AB304" s="124" t="str">
        <f>IFERROR(__xludf.DUMMYFUNCTION("""COMPUTED_VALUE"""),"GS Foundation")</f>
        <v>GS Foundation</v>
      </c>
    </row>
    <row r="305">
      <c r="A305" s="129">
        <f>IFERROR(__xludf.DUMMYFUNCTION("""COMPUTED_VALUE"""),46109.0)</f>
        <v>46109</v>
      </c>
      <c r="B305" s="124" t="str">
        <f>IFERROR(__xludf.DUMMYFUNCTION("""COMPUTED_VALUE"""),"Walkin")</f>
        <v>Walkin</v>
      </c>
      <c r="C305" s="124" t="str">
        <f>IFERROR(__xludf.DUMMYFUNCTION("""COMPUTED_VALUE"""),"Prayagraj")</f>
        <v>Prayagraj</v>
      </c>
      <c r="D305" s="124" t="str">
        <f>IFERROR(__xludf.DUMMYFUNCTION("""COMPUTED_VALUE"""),"Primary_Walkin")</f>
        <v>Primary_Walkin</v>
      </c>
      <c r="E305" s="127">
        <f>IFERROR(__xludf.DUMMYFUNCTION("""COMPUTED_VALUE"""),1.0)</f>
        <v>1</v>
      </c>
      <c r="F305" s="128" t="str">
        <f>IFERROR(__xludf.DUMMYFUNCTION("""COMPUTED_VALUE"""),"Interested")</f>
        <v>Interested</v>
      </c>
      <c r="G305" s="124" t="str">
        <f>IFERROR(__xludf.DUMMYFUNCTION("""COMPUTED_VALUE"""),"GS Foundation")</f>
        <v>GS Foundation</v>
      </c>
      <c r="K305" s="124"/>
      <c r="L305" s="124"/>
      <c r="M305" s="124"/>
      <c r="N305" s="124"/>
      <c r="O305" s="124"/>
      <c r="T305" s="126">
        <f>IFERROR(__xludf.DUMMYFUNCTION("""COMPUTED_VALUE"""),46050.0)</f>
        <v>46050</v>
      </c>
      <c r="U305" s="124" t="str">
        <f>IFERROR(__xludf.DUMMYFUNCTION("""COMPUTED_VALUE"""),"External Leads")</f>
        <v>External Leads</v>
      </c>
      <c r="V305" s="124" t="str">
        <f>IFERROR(__xludf.DUMMYFUNCTION("""COMPUTED_VALUE"""),"external leads")</f>
        <v>external leads</v>
      </c>
      <c r="W305" s="124" t="str">
        <f>IFERROR(__xludf.DUMMYFUNCTION("""COMPUTED_VALUE"""),"delhi")</f>
        <v>delhi</v>
      </c>
      <c r="X305" s="124" t="str">
        <f>IFERROR(__xludf.DUMMYFUNCTION("""COMPUTED_VALUE"""),"piyushunacademy")</f>
        <v>piyushunacademy</v>
      </c>
      <c r="Y305" s="124" t="str">
        <f>IFERROR(__xludf.DUMMYFUNCTION("""COMPUTED_VALUE"""),"Delhi")</f>
        <v>Delhi</v>
      </c>
      <c r="Z305" s="124">
        <f>IFERROR(__xludf.DUMMYFUNCTION("""COMPUTED_VALUE"""),5.0)</f>
        <v>5</v>
      </c>
      <c r="AA305" s="124" t="str">
        <f>IFERROR(__xludf.DUMMYFUNCTION("""COMPUTED_VALUE"""),"Not Interested")</f>
        <v>Not Interested</v>
      </c>
      <c r="AB305" s="124"/>
    </row>
    <row r="306">
      <c r="A306" s="126">
        <f>IFERROR(__xludf.DUMMYFUNCTION("""COMPUTED_VALUE"""),46110.0)</f>
        <v>46110</v>
      </c>
      <c r="B306" s="124" t="str">
        <f>IFERROR(__xludf.DUMMYFUNCTION("""COMPUTED_VALUE"""),"Walkin")</f>
        <v>Walkin</v>
      </c>
      <c r="C306" s="124" t="str">
        <f>IFERROR(__xludf.DUMMYFUNCTION("""COMPUTED_VALUE"""),"Prayagraj")</f>
        <v>Prayagraj</v>
      </c>
      <c r="D306" s="124" t="str">
        <f>IFERROR(__xludf.DUMMYFUNCTION("""COMPUTED_VALUE"""),"Primary_Walkin")</f>
        <v>Primary_Walkin</v>
      </c>
      <c r="E306" s="127">
        <f>IFERROR(__xludf.DUMMYFUNCTION("""COMPUTED_VALUE"""),3.0)</f>
        <v>3</v>
      </c>
      <c r="F306" s="128" t="str">
        <f>IFERROR(__xludf.DUMMYFUNCTION("""COMPUTED_VALUE"""),"Warm")</f>
        <v>Warm</v>
      </c>
      <c r="G306" s="124" t="str">
        <f>IFERROR(__xludf.DUMMYFUNCTION("""COMPUTED_VALUE"""),"Mentorship")</f>
        <v>Mentorship</v>
      </c>
      <c r="K306" s="124"/>
      <c r="L306" s="124"/>
      <c r="M306" s="124"/>
      <c r="N306" s="124"/>
      <c r="O306" s="124"/>
      <c r="T306" s="126">
        <f>IFERROR(__xludf.DUMMYFUNCTION("""COMPUTED_VALUE"""),46098.0)</f>
        <v>46098</v>
      </c>
      <c r="U306" s="124" t="str">
        <f>IFERROR(__xludf.DUMMYFUNCTION("""COMPUTED_VALUE"""),"Walk-Ins")</f>
        <v>Walk-Ins</v>
      </c>
      <c r="V306" s="124" t="str">
        <f>IFERROR(__xludf.DUMMYFUNCTION("""COMPUTED_VALUE"""),"Walkin")</f>
        <v>Walkin</v>
      </c>
      <c r="W306" s="124" t="str">
        <f>IFERROR(__xludf.DUMMYFUNCTION("""COMPUTED_VALUE"""),"Delhi")</f>
        <v>Delhi</v>
      </c>
      <c r="X306" s="124" t="str">
        <f>IFERROR(__xludf.DUMMYFUNCTION("""COMPUTED_VALUE"""),"walkin")</f>
        <v>walkin</v>
      </c>
      <c r="Y306" s="124" t="str">
        <f>IFERROR(__xludf.DUMMYFUNCTION("""COMPUTED_VALUE"""),"Delhi")</f>
        <v>Delhi</v>
      </c>
      <c r="Z306" s="124">
        <f>IFERROR(__xludf.DUMMYFUNCTION("""COMPUTED_VALUE"""),2.0)</f>
        <v>2</v>
      </c>
      <c r="AA306" s="124" t="str">
        <f>IFERROR(__xludf.DUMMYFUNCTION("""COMPUTED_VALUE"""),"Fake Lead")</f>
        <v>Fake Lead</v>
      </c>
      <c r="AB306" s="124" t="str">
        <f>IFERROR(__xludf.DUMMYFUNCTION("""COMPUTED_VALUE"""),"GS Foundation")</f>
        <v>GS Foundation</v>
      </c>
    </row>
    <row r="307">
      <c r="A307" s="129">
        <f>IFERROR(__xludf.DUMMYFUNCTION("""COMPUTED_VALUE"""),46072.0)</f>
        <v>46072</v>
      </c>
      <c r="B307" s="124" t="str">
        <f>IFERROR(__xludf.DUMMYFUNCTION("""COMPUTED_VALUE"""),"Walkin")</f>
        <v>Walkin</v>
      </c>
      <c r="C307" s="124" t="str">
        <f>IFERROR(__xludf.DUMMYFUNCTION("""COMPUTED_VALUE"""),"Prayagraj")</f>
        <v>Prayagraj</v>
      </c>
      <c r="D307" s="124" t="str">
        <f>IFERROR(__xludf.DUMMYFUNCTION("""COMPUTED_VALUE"""),"Primary_Walkin")</f>
        <v>Primary_Walkin</v>
      </c>
      <c r="E307" s="127">
        <f>IFERROR(__xludf.DUMMYFUNCTION("""COMPUTED_VALUE"""),1.0)</f>
        <v>1</v>
      </c>
      <c r="F307" s="128" t="str">
        <f>IFERROR(__xludf.DUMMYFUNCTION("""COMPUTED_VALUE"""),"Future Prospects")</f>
        <v>Future Prospects</v>
      </c>
      <c r="G307" s="124" t="str">
        <f>IFERROR(__xludf.DUMMYFUNCTION("""COMPUTED_VALUE"""),"GS Foundation")</f>
        <v>GS Foundation</v>
      </c>
      <c r="K307" s="124"/>
      <c r="L307" s="124"/>
      <c r="M307" s="124"/>
      <c r="N307" s="124"/>
      <c r="O307" s="124"/>
      <c r="T307" s="126">
        <f>IFERROR(__xludf.DUMMYFUNCTION("""COMPUTED_VALUE"""),46065.0)</f>
        <v>46065</v>
      </c>
      <c r="U307" s="124" t="str">
        <f>IFERROR(__xludf.DUMMYFUNCTION("""COMPUTED_VALUE"""),"Walk-Ins")</f>
        <v>Walk-Ins</v>
      </c>
      <c r="V307" s="124" t="str">
        <f>IFERROR(__xludf.DUMMYFUNCTION("""COMPUTED_VALUE"""),"Walkin")</f>
        <v>Walkin</v>
      </c>
      <c r="W307" s="124" t="str">
        <f>IFERROR(__xludf.DUMMYFUNCTION("""COMPUTED_VALUE"""),"Delhi")</f>
        <v>Delhi</v>
      </c>
      <c r="X307" s="124" t="str">
        <f>IFERROR(__xludf.DUMMYFUNCTION("""COMPUTED_VALUE"""),"walkin")</f>
        <v>walkin</v>
      </c>
      <c r="Y307" s="124" t="str">
        <f>IFERROR(__xludf.DUMMYFUNCTION("""COMPUTED_VALUE"""),"Delhi")</f>
        <v>Delhi</v>
      </c>
      <c r="Z307" s="124">
        <f>IFERROR(__xludf.DUMMYFUNCTION("""COMPUTED_VALUE"""),4.0)</f>
        <v>4</v>
      </c>
      <c r="AA307" s="124" t="str">
        <f>IFERROR(__xludf.DUMMYFUNCTION("""COMPUTED_VALUE"""),"Future Prospects")</f>
        <v>Future Prospects</v>
      </c>
      <c r="AB307" s="124" t="str">
        <f>IFERROR(__xludf.DUMMYFUNCTION("""COMPUTED_VALUE"""),"GS Foundation")</f>
        <v>GS Foundation</v>
      </c>
    </row>
    <row r="308">
      <c r="A308" s="126">
        <f>IFERROR(__xludf.DUMMYFUNCTION("""COMPUTED_VALUE"""),46043.0)</f>
        <v>46043</v>
      </c>
      <c r="B308" s="124" t="str">
        <f>IFERROR(__xludf.DUMMYFUNCTION("""COMPUTED_VALUE"""),"Walkin")</f>
        <v>Walkin</v>
      </c>
      <c r="C308" s="124" t="str">
        <f>IFERROR(__xludf.DUMMYFUNCTION("""COMPUTED_VALUE"""),"Prayagraj")</f>
        <v>Prayagraj</v>
      </c>
      <c r="D308" s="124" t="str">
        <f>IFERROR(__xludf.DUMMYFUNCTION("""COMPUTED_VALUE"""),"Primary_Walkin")</f>
        <v>Primary_Walkin</v>
      </c>
      <c r="E308" s="127">
        <f>IFERROR(__xludf.DUMMYFUNCTION("""COMPUTED_VALUE"""),1.0)</f>
        <v>1</v>
      </c>
      <c r="F308" s="128" t="str">
        <f>IFERROR(__xludf.DUMMYFUNCTION("""COMPUTED_VALUE"""),"Cold")</f>
        <v>Cold</v>
      </c>
      <c r="G308" s="124" t="str">
        <f>IFERROR(__xludf.DUMMYFUNCTION("""COMPUTED_VALUE"""),"Test Series")</f>
        <v>Test Series</v>
      </c>
      <c r="K308" s="124"/>
      <c r="L308" s="124"/>
      <c r="M308" s="124"/>
      <c r="N308" s="124"/>
      <c r="O308" s="124"/>
      <c r="T308" s="129">
        <f>IFERROR(__xludf.DUMMYFUNCTION("""COMPUTED_VALUE"""),46050.0)</f>
        <v>46050</v>
      </c>
      <c r="U308" s="124" t="str">
        <f>IFERROR(__xludf.DUMMYFUNCTION("""COMPUTED_VALUE"""),"External Leads")</f>
        <v>External Leads</v>
      </c>
      <c r="V308" s="124" t="str">
        <f>IFERROR(__xludf.DUMMYFUNCTION("""COMPUTED_VALUE"""),"external leads")</f>
        <v>external leads</v>
      </c>
      <c r="W308" s="124" t="str">
        <f>IFERROR(__xludf.DUMMYFUNCTION("""COMPUTED_VALUE"""),"delhi")</f>
        <v>delhi</v>
      </c>
      <c r="X308" s="124" t="str">
        <f>IFERROR(__xludf.DUMMYFUNCTION("""COMPUTED_VALUE"""),"piyushunacademy")</f>
        <v>piyushunacademy</v>
      </c>
      <c r="Y308" s="124" t="str">
        <f>IFERROR(__xludf.DUMMYFUNCTION("""COMPUTED_VALUE"""),"Delhi")</f>
        <v>Delhi</v>
      </c>
      <c r="Z308" s="124">
        <f>IFERROR(__xludf.DUMMYFUNCTION("""COMPUTED_VALUE"""),1.0)</f>
        <v>1</v>
      </c>
      <c r="AA308" s="124" t="str">
        <f>IFERROR(__xludf.DUMMYFUNCTION("""COMPUTED_VALUE"""),"Enrolled")</f>
        <v>Enrolled</v>
      </c>
      <c r="AB308" s="124" t="str">
        <f>IFERROR(__xludf.DUMMYFUNCTION("""COMPUTED_VALUE"""),"Optionals")</f>
        <v>Optionals</v>
      </c>
    </row>
    <row r="309">
      <c r="A309" s="126">
        <f>IFERROR(__xludf.DUMMYFUNCTION("""COMPUTED_VALUE"""),46089.0)</f>
        <v>46089</v>
      </c>
      <c r="B309" s="124" t="str">
        <f>IFERROR(__xludf.DUMMYFUNCTION("""COMPUTED_VALUE"""),"external leads")</f>
        <v>external leads</v>
      </c>
      <c r="C309" s="124" t="str">
        <f>IFERROR(__xludf.DUMMYFUNCTION("""COMPUTED_VALUE"""),"Prayagraj")</f>
        <v>Prayagraj</v>
      </c>
      <c r="D309" s="124" t="str">
        <f>IFERROR(__xludf.DUMMYFUNCTION("""COMPUTED_VALUE"""),"Secondary_Walkin")</f>
        <v>Secondary_Walkin</v>
      </c>
      <c r="E309" s="127">
        <f>IFERROR(__xludf.DUMMYFUNCTION("""COMPUTED_VALUE"""),1.0)</f>
        <v>1</v>
      </c>
      <c r="F309" s="128" t="str">
        <f>IFERROR(__xludf.DUMMYFUNCTION("""COMPUTED_VALUE"""),"Cold")</f>
        <v>Cold</v>
      </c>
      <c r="G309" s="124" t="str">
        <f>IFERROR(__xludf.DUMMYFUNCTION("""COMPUTED_VALUE"""),"State PCS")</f>
        <v>State PCS</v>
      </c>
      <c r="K309" s="124"/>
      <c r="L309" s="124"/>
      <c r="M309" s="124"/>
      <c r="N309" s="124"/>
      <c r="O309" s="124"/>
      <c r="T309" s="126">
        <f>IFERROR(__xludf.DUMMYFUNCTION("""COMPUTED_VALUE"""),46046.0)</f>
        <v>46046</v>
      </c>
      <c r="U309" s="124" t="str">
        <f>IFERROR(__xludf.DUMMYFUNCTION("""COMPUTED_VALUE"""),"Walk-Ins")</f>
        <v>Walk-Ins</v>
      </c>
      <c r="V309" s="124" t="str">
        <f>IFERROR(__xludf.DUMMYFUNCTION("""COMPUTED_VALUE"""),"Walkin")</f>
        <v>Walkin</v>
      </c>
      <c r="W309" s="124" t="str">
        <f>IFERROR(__xludf.DUMMYFUNCTION("""COMPUTED_VALUE"""),"Delhi")</f>
        <v>Delhi</v>
      </c>
      <c r="X309" s="124" t="str">
        <f>IFERROR(__xludf.DUMMYFUNCTION("""COMPUTED_VALUE"""),"walkin")</f>
        <v>walkin</v>
      </c>
      <c r="Y309" s="124" t="str">
        <f>IFERROR(__xludf.DUMMYFUNCTION("""COMPUTED_VALUE"""),"Delhi")</f>
        <v>Delhi</v>
      </c>
      <c r="Z309" s="124">
        <f>IFERROR(__xludf.DUMMYFUNCTION("""COMPUTED_VALUE"""),3.0)</f>
        <v>3</v>
      </c>
      <c r="AA309" s="124" t="str">
        <f>IFERROR(__xludf.DUMMYFUNCTION("""COMPUTED_VALUE"""),"Cold")</f>
        <v>Cold</v>
      </c>
      <c r="AB309" s="124" t="str">
        <f>IFERROR(__xludf.DUMMYFUNCTION("""COMPUTED_VALUE"""),"GS Foundation")</f>
        <v>GS Foundation</v>
      </c>
    </row>
    <row r="310">
      <c r="A310" s="129">
        <f>IFERROR(__xludf.DUMMYFUNCTION("""COMPUTED_VALUE"""),46094.0)</f>
        <v>46094</v>
      </c>
      <c r="B310" s="124" t="str">
        <f>IFERROR(__xludf.DUMMYFUNCTION("""COMPUTED_VALUE"""),"events")</f>
        <v>events</v>
      </c>
      <c r="C310" s="124" t="str">
        <f>IFERROR(__xludf.DUMMYFUNCTION("""COMPUTED_VALUE"""),"Prayagraj")</f>
        <v>Prayagraj</v>
      </c>
      <c r="D310" s="124" t="str">
        <f>IFERROR(__xludf.DUMMYFUNCTION("""COMPUTED_VALUE"""),"Secondary_Walkin")</f>
        <v>Secondary_Walkin</v>
      </c>
      <c r="E310" s="127">
        <f>IFERROR(__xludf.DUMMYFUNCTION("""COMPUTED_VALUE"""),1.0)</f>
        <v>1</v>
      </c>
      <c r="F310" s="128" t="str">
        <f>IFERROR(__xludf.DUMMYFUNCTION("""COMPUTED_VALUE"""),"Enrolled")</f>
        <v>Enrolled</v>
      </c>
      <c r="G310" s="124" t="str">
        <f>IFERROR(__xludf.DUMMYFUNCTION("""COMPUTED_VALUE"""),"GS Foundation")</f>
        <v>GS Foundation</v>
      </c>
      <c r="K310" s="124"/>
      <c r="L310" s="124"/>
      <c r="M310" s="124"/>
      <c r="N310" s="124"/>
      <c r="O310" s="124"/>
      <c r="T310" s="126">
        <f>IFERROR(__xludf.DUMMYFUNCTION("""COMPUTED_VALUE"""),46110.0)</f>
        <v>46110</v>
      </c>
      <c r="U310" s="124" t="str">
        <f>IFERROR(__xludf.DUMMYFUNCTION("""COMPUTED_VALUE"""),"Walk-Ins")</f>
        <v>Walk-Ins</v>
      </c>
      <c r="V310" s="124" t="str">
        <f>IFERROR(__xludf.DUMMYFUNCTION("""COMPUTED_VALUE"""),"walk-in")</f>
        <v>walk-in</v>
      </c>
      <c r="W310" s="124" t="str">
        <f>IFERROR(__xludf.DUMMYFUNCTION("""COMPUTED_VALUE"""),"indore")</f>
        <v>indore</v>
      </c>
      <c r="X310" s="124" t="str">
        <f>IFERROR(__xludf.DUMMYFUNCTION("""COMPUTED_VALUE"""),"suraj sharma")</f>
        <v>suraj sharma</v>
      </c>
      <c r="Y310" s="124" t="str">
        <f>IFERROR(__xludf.DUMMYFUNCTION("""COMPUTED_VALUE"""),"Indore")</f>
        <v>Indore</v>
      </c>
      <c r="Z310" s="124">
        <f>IFERROR(__xludf.DUMMYFUNCTION("""COMPUTED_VALUE"""),1.0)</f>
        <v>1</v>
      </c>
      <c r="AA310" s="124" t="str">
        <f>IFERROR(__xludf.DUMMYFUNCTION("""COMPUTED_VALUE"""),"Not Interested")</f>
        <v>Not Interested</v>
      </c>
      <c r="AB310" s="124" t="str">
        <f>IFERROR(__xludf.DUMMYFUNCTION("""COMPUTED_VALUE"""),"GS Foundation")</f>
        <v>GS Foundation</v>
      </c>
    </row>
    <row r="311">
      <c r="A311" s="126">
        <f>IFERROR(__xludf.DUMMYFUNCTION("""COMPUTED_VALUE"""),46072.0)</f>
        <v>46072</v>
      </c>
      <c r="B311" s="124" t="str">
        <f>IFERROR(__xludf.DUMMYFUNCTION("""COMPUTED_VALUE"""),"Walk-In")</f>
        <v>Walk-In</v>
      </c>
      <c r="C311" s="124" t="str">
        <f>IFERROR(__xludf.DUMMYFUNCTION("""COMPUTED_VALUE"""),"Prayagraj")</f>
        <v>Prayagraj</v>
      </c>
      <c r="D311" s="124" t="str">
        <f>IFERROR(__xludf.DUMMYFUNCTION("""COMPUTED_VALUE"""),"Primary_Walkin")</f>
        <v>Primary_Walkin</v>
      </c>
      <c r="E311" s="127">
        <f>IFERROR(__xludf.DUMMYFUNCTION("""COMPUTED_VALUE"""),1.0)</f>
        <v>1</v>
      </c>
      <c r="F311" s="128" t="str">
        <f>IFERROR(__xludf.DUMMYFUNCTION("""COMPUTED_VALUE"""),"Not Interested")</f>
        <v>Not Interested</v>
      </c>
      <c r="G311" s="124" t="str">
        <f>IFERROR(__xludf.DUMMYFUNCTION("""COMPUTED_VALUE"""),"State PCS")</f>
        <v>State PCS</v>
      </c>
      <c r="K311" s="124"/>
      <c r="L311" s="124"/>
      <c r="M311" s="124"/>
      <c r="N311" s="124"/>
      <c r="O311" s="124"/>
      <c r="T311" s="126">
        <f>IFERROR(__xludf.DUMMYFUNCTION("""COMPUTED_VALUE"""),46081.0)</f>
        <v>46081</v>
      </c>
      <c r="U311" s="124" t="str">
        <f>IFERROR(__xludf.DUMMYFUNCTION("""COMPUTED_VALUE"""),"External Leads")</f>
        <v>External Leads</v>
      </c>
      <c r="V311" s="124" t="str">
        <f>IFERROR(__xludf.DUMMYFUNCTION("""COMPUTED_VALUE"""),"external leads")</f>
        <v>external leads</v>
      </c>
      <c r="W311" s="124" t="str">
        <f>IFERROR(__xludf.DUMMYFUNCTION("""COMPUTED_VALUE"""),"delhi")</f>
        <v>delhi</v>
      </c>
      <c r="X311" s="124" t="str">
        <f>IFERROR(__xludf.DUMMYFUNCTION("""COMPUTED_VALUE"""),"igp2025")</f>
        <v>igp2025</v>
      </c>
      <c r="Y311" s="124" t="str">
        <f>IFERROR(__xludf.DUMMYFUNCTION("""COMPUTED_VALUE"""),"Delhi")</f>
        <v>Delhi</v>
      </c>
      <c r="Z311" s="124">
        <f>IFERROR(__xludf.DUMMYFUNCTION("""COMPUTED_VALUE"""),156.0)</f>
        <v>156</v>
      </c>
      <c r="AA311" s="124" t="str">
        <f>IFERROR(__xludf.DUMMYFUNCTION("""COMPUTED_VALUE"""),"Cold")</f>
        <v>Cold</v>
      </c>
      <c r="AB311" s="124"/>
    </row>
    <row r="312">
      <c r="A312" s="126">
        <f>IFERROR(__xludf.DUMMYFUNCTION("""COMPUTED_VALUE"""),46110.0)</f>
        <v>46110</v>
      </c>
      <c r="B312" s="124" t="str">
        <f>IFERROR(__xludf.DUMMYFUNCTION("""COMPUTED_VALUE"""),"Walkin")</f>
        <v>Walkin</v>
      </c>
      <c r="C312" s="124" t="str">
        <f>IFERROR(__xludf.DUMMYFUNCTION("""COMPUTED_VALUE"""),"Prayagraj")</f>
        <v>Prayagraj</v>
      </c>
      <c r="D312" s="124" t="str">
        <f>IFERROR(__xludf.DUMMYFUNCTION("""COMPUTED_VALUE"""),"Primary_Walkin")</f>
        <v>Primary_Walkin</v>
      </c>
      <c r="E312" s="127">
        <f>IFERROR(__xludf.DUMMYFUNCTION("""COMPUTED_VALUE"""),1.0)</f>
        <v>1</v>
      </c>
      <c r="F312" s="128" t="str">
        <f>IFERROR(__xludf.DUMMYFUNCTION("""COMPUTED_VALUE"""),"Future Prospects")</f>
        <v>Future Prospects</v>
      </c>
      <c r="G312" s="124" t="str">
        <f>IFERROR(__xludf.DUMMYFUNCTION("""COMPUTED_VALUE"""),"State PCS")</f>
        <v>State PCS</v>
      </c>
      <c r="K312" s="124"/>
      <c r="L312" s="124"/>
      <c r="M312" s="124"/>
      <c r="N312" s="124"/>
      <c r="O312" s="124"/>
      <c r="T312" s="126">
        <f>IFERROR(__xludf.DUMMYFUNCTION("""COMPUTED_VALUE"""),46080.0)</f>
        <v>46080</v>
      </c>
      <c r="U312" s="124" t="str">
        <f>IFERROR(__xludf.DUMMYFUNCTION("""COMPUTED_VALUE"""),"Walk-Ins")</f>
        <v>Walk-Ins</v>
      </c>
      <c r="V312" s="124" t="str">
        <f>IFERROR(__xludf.DUMMYFUNCTION("""COMPUTED_VALUE"""),"Walkin")</f>
        <v>Walkin</v>
      </c>
      <c r="W312" s="124" t="str">
        <f>IFERROR(__xludf.DUMMYFUNCTION("""COMPUTED_VALUE"""),"Delhi")</f>
        <v>Delhi</v>
      </c>
      <c r="X312" s="124" t="str">
        <f>IFERROR(__xludf.DUMMYFUNCTION("""COMPUTED_VALUE"""),"walkin")</f>
        <v>walkin</v>
      </c>
      <c r="Y312" s="124" t="str">
        <f>IFERROR(__xludf.DUMMYFUNCTION("""COMPUTED_VALUE"""),"Delhi")</f>
        <v>Delhi</v>
      </c>
      <c r="Z312" s="124">
        <f>IFERROR(__xludf.DUMMYFUNCTION("""COMPUTED_VALUE"""),4.0)</f>
        <v>4</v>
      </c>
      <c r="AA312" s="124" t="str">
        <f>IFERROR(__xludf.DUMMYFUNCTION("""COMPUTED_VALUE"""),"Cold")</f>
        <v>Cold</v>
      </c>
      <c r="AB312" s="124" t="str">
        <f>IFERROR(__xludf.DUMMYFUNCTION("""COMPUTED_VALUE"""),"GS Foundation")</f>
        <v>GS Foundation</v>
      </c>
    </row>
    <row r="313">
      <c r="A313" s="126">
        <f>IFERROR(__xludf.DUMMYFUNCTION("""COMPUTED_VALUE"""),46089.0)</f>
        <v>46089</v>
      </c>
      <c r="B313" s="124" t="str">
        <f>IFERROR(__xludf.DUMMYFUNCTION("""COMPUTED_VALUE"""),"ExternalLeads")</f>
        <v>ExternalLeads</v>
      </c>
      <c r="C313" s="124" t="str">
        <f>IFERROR(__xludf.DUMMYFUNCTION("""COMPUTED_VALUE"""),"Prayagraj")</f>
        <v>Prayagraj</v>
      </c>
      <c r="D313" s="124" t="str">
        <f>IFERROR(__xludf.DUMMYFUNCTION("""COMPUTED_VALUE"""),"Secondary_Walkin")</f>
        <v>Secondary_Walkin</v>
      </c>
      <c r="E313" s="127">
        <f>IFERROR(__xludf.DUMMYFUNCTION("""COMPUTED_VALUE"""),1.0)</f>
        <v>1</v>
      </c>
      <c r="F313" s="128" t="str">
        <f>IFERROR(__xludf.DUMMYFUNCTION("""COMPUTED_VALUE"""),"Enrolled")</f>
        <v>Enrolled</v>
      </c>
      <c r="G313" s="124" t="str">
        <f>IFERROR(__xludf.DUMMYFUNCTION("""COMPUTED_VALUE"""),"GS Foundation")</f>
        <v>GS Foundation</v>
      </c>
      <c r="K313" s="124"/>
      <c r="L313" s="124"/>
      <c r="M313" s="124"/>
      <c r="N313" s="124"/>
      <c r="O313" s="124"/>
      <c r="T313" s="126">
        <f>IFERROR(__xludf.DUMMYFUNCTION("""COMPUTED_VALUE"""),46051.0)</f>
        <v>46051</v>
      </c>
      <c r="U313" s="124" t="str">
        <f>IFERROR(__xludf.DUMMYFUNCTION("""COMPUTED_VALUE"""),"Walk-Ins")</f>
        <v>Walk-Ins</v>
      </c>
      <c r="V313" s="124" t="str">
        <f>IFERROR(__xludf.DUMMYFUNCTION("""COMPUTED_VALUE"""),"Walk-In")</f>
        <v>Walk-In</v>
      </c>
      <c r="W313" s="124" t="str">
        <f>IFERROR(__xludf.DUMMYFUNCTION("""COMPUTED_VALUE"""),"Delhi")</f>
        <v>Delhi</v>
      </c>
      <c r="X313" s="124" t="str">
        <f>IFERROR(__xludf.DUMMYFUNCTION("""COMPUTED_VALUE"""),"walkin")</f>
        <v>walkin</v>
      </c>
      <c r="Y313" s="124"/>
      <c r="Z313" s="124">
        <f>IFERROR(__xludf.DUMMYFUNCTION("""COMPUTED_VALUE"""),1.0)</f>
        <v>1</v>
      </c>
      <c r="AA313" s="124" t="str">
        <f>IFERROR(__xludf.DUMMYFUNCTION("""COMPUTED_VALUE"""),"Not Interested")</f>
        <v>Not Interested</v>
      </c>
      <c r="AB313" s="124" t="str">
        <f>IFERROR(__xludf.DUMMYFUNCTION("""COMPUTED_VALUE"""),"Optionals")</f>
        <v>Optionals</v>
      </c>
    </row>
    <row r="314">
      <c r="A314" s="126">
        <f>IFERROR(__xludf.DUMMYFUNCTION("""COMPUTED_VALUE"""),46077.0)</f>
        <v>46077</v>
      </c>
      <c r="B314" s="124" t="str">
        <f>IFERROR(__xludf.DUMMYFUNCTION("""COMPUTED_VALUE"""),"Walkin")</f>
        <v>Walkin</v>
      </c>
      <c r="C314" s="124" t="str">
        <f>IFERROR(__xludf.DUMMYFUNCTION("""COMPUTED_VALUE"""),"Prayagraj")</f>
        <v>Prayagraj</v>
      </c>
      <c r="D314" s="124" t="str">
        <f>IFERROR(__xludf.DUMMYFUNCTION("""COMPUTED_VALUE"""),"Primary_Walkin")</f>
        <v>Primary_Walkin</v>
      </c>
      <c r="E314" s="127">
        <f>IFERROR(__xludf.DUMMYFUNCTION("""COMPUTED_VALUE"""),1.0)</f>
        <v>1</v>
      </c>
      <c r="F314" s="128" t="str">
        <f>IFERROR(__xludf.DUMMYFUNCTION("""COMPUTED_VALUE"""),"Cold")</f>
        <v>Cold</v>
      </c>
      <c r="G314" s="124" t="str">
        <f>IFERROR(__xludf.DUMMYFUNCTION("""COMPUTED_VALUE"""),"Optionals")</f>
        <v>Optionals</v>
      </c>
      <c r="K314" s="124"/>
      <c r="L314" s="124"/>
      <c r="M314" s="124"/>
      <c r="N314" s="124"/>
      <c r="O314" s="124"/>
      <c r="T314" s="126">
        <f>IFERROR(__xludf.DUMMYFUNCTION("""COMPUTED_VALUE"""),46081.0)</f>
        <v>46081</v>
      </c>
      <c r="U314" s="124" t="str">
        <f>IFERROR(__xludf.DUMMYFUNCTION("""COMPUTED_VALUE"""),"External Leads")</f>
        <v>External Leads</v>
      </c>
      <c r="V314" s="124" t="str">
        <f>IFERROR(__xludf.DUMMYFUNCTION("""COMPUTED_VALUE"""),"external leads")</f>
        <v>external leads</v>
      </c>
      <c r="W314" s="124" t="str">
        <f>IFERROR(__xludf.DUMMYFUNCTION("""COMPUTED_VALUE"""),"delhi")</f>
        <v>delhi</v>
      </c>
      <c r="X314" s="124" t="str">
        <f>IFERROR(__xludf.DUMMYFUNCTION("""COMPUTED_VALUE"""),"igp2025")</f>
        <v>igp2025</v>
      </c>
      <c r="Y314" s="124" t="str">
        <f>IFERROR(__xludf.DUMMYFUNCTION("""COMPUTED_VALUE"""),"Delhi")</f>
        <v>Delhi</v>
      </c>
      <c r="Z314" s="124">
        <f>IFERROR(__xludf.DUMMYFUNCTION("""COMPUTED_VALUE"""),61.0)</f>
        <v>61</v>
      </c>
      <c r="AA314" s="124" t="str">
        <f>IFERROR(__xludf.DUMMYFUNCTION("""COMPUTED_VALUE"""),"Selected 2025")</f>
        <v>Selected 2025</v>
      </c>
      <c r="AB314" s="124"/>
    </row>
    <row r="315">
      <c r="A315" s="126">
        <f>IFERROR(__xludf.DUMMYFUNCTION("""COMPUTED_VALUE"""),46102.0)</f>
        <v>46102</v>
      </c>
      <c r="B315" s="124" t="str">
        <f>IFERROR(__xludf.DUMMYFUNCTION("""COMPUTED_VALUE"""),"Walkin")</f>
        <v>Walkin</v>
      </c>
      <c r="C315" s="124" t="str">
        <f>IFERROR(__xludf.DUMMYFUNCTION("""COMPUTED_VALUE"""),"Prayagraj")</f>
        <v>Prayagraj</v>
      </c>
      <c r="D315" s="124" t="str">
        <f>IFERROR(__xludf.DUMMYFUNCTION("""COMPUTED_VALUE"""),"Primary_Walkin")</f>
        <v>Primary_Walkin</v>
      </c>
      <c r="E315" s="127">
        <f>IFERROR(__xludf.DUMMYFUNCTION("""COMPUTED_VALUE"""),2.0)</f>
        <v>2</v>
      </c>
      <c r="F315" s="128" t="str">
        <f>IFERROR(__xludf.DUMMYFUNCTION("""COMPUTED_VALUE"""),"Future Prospects")</f>
        <v>Future Prospects</v>
      </c>
      <c r="G315" s="124" t="str">
        <f>IFERROR(__xludf.DUMMYFUNCTION("""COMPUTED_VALUE"""),"Mentorship")</f>
        <v>Mentorship</v>
      </c>
      <c r="K315" s="124"/>
      <c r="L315" s="124"/>
      <c r="M315" s="124"/>
      <c r="N315" s="124"/>
      <c r="O315" s="124"/>
      <c r="T315" s="126">
        <f>IFERROR(__xludf.DUMMYFUNCTION("""COMPUTED_VALUE"""),46049.0)</f>
        <v>46049</v>
      </c>
      <c r="U315" s="124" t="str">
        <f>IFERROR(__xludf.DUMMYFUNCTION("""COMPUTED_VALUE"""),"External Leads")</f>
        <v>External Leads</v>
      </c>
      <c r="V315" s="124" t="str">
        <f>IFERROR(__xludf.DUMMYFUNCTION("""COMPUTED_VALUE"""),"external leads")</f>
        <v>external leads</v>
      </c>
      <c r="W315" s="124" t="str">
        <f>IFERROR(__xludf.DUMMYFUNCTION("""COMPUTED_VALUE"""),"delhi")</f>
        <v>delhi</v>
      </c>
      <c r="X315" s="124" t="str">
        <f>IFERROR(__xludf.DUMMYFUNCTION("""COMPUTED_VALUE"""),"piyushunacademy")</f>
        <v>piyushunacademy</v>
      </c>
      <c r="Y315" s="124" t="str">
        <f>IFERROR(__xludf.DUMMYFUNCTION("""COMPUTED_VALUE"""),"Delhi")</f>
        <v>Delhi</v>
      </c>
      <c r="Z315" s="124">
        <f>IFERROR(__xludf.DUMMYFUNCTION("""COMPUTED_VALUE"""),6.0)</f>
        <v>6</v>
      </c>
      <c r="AA315" s="124"/>
      <c r="AB315" s="124" t="str">
        <f>IFERROR(__xludf.DUMMYFUNCTION("""COMPUTED_VALUE"""),"GS Foundation")</f>
        <v>GS Foundation</v>
      </c>
    </row>
    <row r="316">
      <c r="A316" s="126">
        <f>IFERROR(__xludf.DUMMYFUNCTION("""COMPUTED_VALUE"""),46106.0)</f>
        <v>46106</v>
      </c>
      <c r="B316" s="124" t="str">
        <f>IFERROR(__xludf.DUMMYFUNCTION("""COMPUTED_VALUE"""),"Walkin")</f>
        <v>Walkin</v>
      </c>
      <c r="C316" s="124" t="str">
        <f>IFERROR(__xludf.DUMMYFUNCTION("""COMPUTED_VALUE"""),"Prayagraj")</f>
        <v>Prayagraj</v>
      </c>
      <c r="D316" s="124" t="str">
        <f>IFERROR(__xludf.DUMMYFUNCTION("""COMPUTED_VALUE"""),"Primary_Walkin")</f>
        <v>Primary_Walkin</v>
      </c>
      <c r="E316" s="127">
        <f>IFERROR(__xludf.DUMMYFUNCTION("""COMPUTED_VALUE"""),3.0)</f>
        <v>3</v>
      </c>
      <c r="F316" s="128" t="str">
        <f>IFERROR(__xludf.DUMMYFUNCTION("""COMPUTED_VALUE"""),"Enrolled")</f>
        <v>Enrolled</v>
      </c>
      <c r="G316" s="124" t="str">
        <f>IFERROR(__xludf.DUMMYFUNCTION("""COMPUTED_VALUE"""),"GS Foundation")</f>
        <v>GS Foundation</v>
      </c>
      <c r="K316" s="124"/>
      <c r="L316" s="124"/>
      <c r="M316" s="124"/>
      <c r="N316" s="124"/>
      <c r="O316" s="124"/>
      <c r="T316" s="126">
        <f>IFERROR(__xludf.DUMMYFUNCTION("""COMPUTED_VALUE"""),46050.0)</f>
        <v>46050</v>
      </c>
      <c r="U316" s="124" t="str">
        <f>IFERROR(__xludf.DUMMYFUNCTION("""COMPUTED_VALUE"""),"External Leads")</f>
        <v>External Leads</v>
      </c>
      <c r="V316" s="124" t="str">
        <f>IFERROR(__xludf.DUMMYFUNCTION("""COMPUTED_VALUE"""),"external leads")</f>
        <v>external leads</v>
      </c>
      <c r="W316" s="124" t="str">
        <f>IFERROR(__xludf.DUMMYFUNCTION("""COMPUTED_VALUE"""),"delhi")</f>
        <v>delhi</v>
      </c>
      <c r="X316" s="124" t="str">
        <f>IFERROR(__xludf.DUMMYFUNCTION("""COMPUTED_VALUE"""),"piyushunacademy")</f>
        <v>piyushunacademy</v>
      </c>
      <c r="Y316" s="124" t="str">
        <f>IFERROR(__xludf.DUMMYFUNCTION("""COMPUTED_VALUE"""),"Delhi")</f>
        <v>Delhi</v>
      </c>
      <c r="Z316" s="124">
        <f>IFERROR(__xludf.DUMMYFUNCTION("""COMPUTED_VALUE"""),1.0)</f>
        <v>1</v>
      </c>
      <c r="AA316" s="124"/>
      <c r="AB316" s="124" t="str">
        <f>IFERROR(__xludf.DUMMYFUNCTION("""COMPUTED_VALUE"""),"Prelims Crash Course - SIP")</f>
        <v>Prelims Crash Course - SIP</v>
      </c>
    </row>
    <row r="317">
      <c r="A317" s="126">
        <f>IFERROR(__xludf.DUMMYFUNCTION("""COMPUTED_VALUE"""),46090.0)</f>
        <v>46090</v>
      </c>
      <c r="B317" s="124" t="str">
        <f>IFERROR(__xludf.DUMMYFUNCTION("""COMPUTED_VALUE"""),"Walkin")</f>
        <v>Walkin</v>
      </c>
      <c r="C317" s="124" t="str">
        <f>IFERROR(__xludf.DUMMYFUNCTION("""COMPUTED_VALUE"""),"Prayagraj")</f>
        <v>Prayagraj</v>
      </c>
      <c r="D317" s="124" t="str">
        <f>IFERROR(__xludf.DUMMYFUNCTION("""COMPUTED_VALUE"""),"Primary_Walkin")</f>
        <v>Primary_Walkin</v>
      </c>
      <c r="E317" s="127">
        <f>IFERROR(__xludf.DUMMYFUNCTION("""COMPUTED_VALUE"""),1.0)</f>
        <v>1</v>
      </c>
      <c r="F317" s="128" t="str">
        <f>IFERROR(__xludf.DUMMYFUNCTION("""COMPUTED_VALUE"""),"Warm")</f>
        <v>Warm</v>
      </c>
      <c r="G317" s="124" t="str">
        <f>IFERROR(__xludf.DUMMYFUNCTION("""COMPUTED_VALUE"""),"GS Foundation")</f>
        <v>GS Foundation</v>
      </c>
      <c r="K317" s="124"/>
      <c r="L317" s="124"/>
      <c r="M317" s="124"/>
      <c r="N317" s="124"/>
      <c r="O317" s="124"/>
      <c r="T317" s="126">
        <f>IFERROR(__xludf.DUMMYFUNCTION("""COMPUTED_VALUE"""),46049.0)</f>
        <v>46049</v>
      </c>
      <c r="U317" s="124" t="str">
        <f>IFERROR(__xludf.DUMMYFUNCTION("""COMPUTED_VALUE"""),"External Leads")</f>
        <v>External Leads</v>
      </c>
      <c r="V317" s="124" t="str">
        <f>IFERROR(__xludf.DUMMYFUNCTION("""COMPUTED_VALUE"""),"external leads")</f>
        <v>external leads</v>
      </c>
      <c r="W317" s="124" t="str">
        <f>IFERROR(__xludf.DUMMYFUNCTION("""COMPUTED_VALUE"""),"prayagraj")</f>
        <v>prayagraj</v>
      </c>
      <c r="X317" s="124" t="str">
        <f>IFERROR(__xludf.DUMMYFUNCTION("""COMPUTED_VALUE"""),"piyushunacademy")</f>
        <v>piyushunacademy</v>
      </c>
      <c r="Y317" s="124" t="str">
        <f>IFERROR(__xludf.DUMMYFUNCTION("""COMPUTED_VALUE"""),"Prayagraj")</f>
        <v>Prayagraj</v>
      </c>
      <c r="Z317" s="124">
        <f>IFERROR(__xludf.DUMMYFUNCTION("""COMPUTED_VALUE"""),2.0)</f>
        <v>2</v>
      </c>
      <c r="AA317" s="124" t="str">
        <f>IFERROR(__xludf.DUMMYFUNCTION("""COMPUTED_VALUE"""),"Warm")</f>
        <v>Warm</v>
      </c>
      <c r="AB317" s="124" t="str">
        <f>IFERROR(__xludf.DUMMYFUNCTION("""COMPUTED_VALUE"""),"GS Foundation")</f>
        <v>GS Foundation</v>
      </c>
    </row>
    <row r="318">
      <c r="A318" s="126">
        <f>IFERROR(__xludf.DUMMYFUNCTION("""COMPUTED_VALUE"""),46061.0)</f>
        <v>46061</v>
      </c>
      <c r="B318" s="124" t="str">
        <f>IFERROR(__xludf.DUMMYFUNCTION("""COMPUTED_VALUE"""),"Walk-In")</f>
        <v>Walk-In</v>
      </c>
      <c r="C318" s="124" t="str">
        <f>IFERROR(__xludf.DUMMYFUNCTION("""COMPUTED_VALUE"""),"Prayagraj")</f>
        <v>Prayagraj</v>
      </c>
      <c r="D318" s="124" t="str">
        <f>IFERROR(__xludf.DUMMYFUNCTION("""COMPUTED_VALUE"""),"Primary_Walkin")</f>
        <v>Primary_Walkin</v>
      </c>
      <c r="E318" s="127">
        <f>IFERROR(__xludf.DUMMYFUNCTION("""COMPUTED_VALUE"""),1.0)</f>
        <v>1</v>
      </c>
      <c r="F318" s="128" t="str">
        <f>IFERROR(__xludf.DUMMYFUNCTION("""COMPUTED_VALUE"""),"Cold")</f>
        <v>Cold</v>
      </c>
      <c r="G318" s="124" t="str">
        <f>IFERROR(__xludf.DUMMYFUNCTION("""COMPUTED_VALUE"""),"Test Series")</f>
        <v>Test Series</v>
      </c>
      <c r="K318" s="124"/>
      <c r="L318" s="124"/>
      <c r="M318" s="124"/>
      <c r="N318" s="124"/>
      <c r="O318" s="124"/>
      <c r="T318" s="126">
        <f>IFERROR(__xludf.DUMMYFUNCTION("""COMPUTED_VALUE"""),46107.0)</f>
        <v>46107</v>
      </c>
      <c r="U318" s="124" t="str">
        <f>IFERROR(__xludf.DUMMYFUNCTION("""COMPUTED_VALUE"""),"Walk-Ins")</f>
        <v>Walk-Ins</v>
      </c>
      <c r="V318" s="124" t="str">
        <f>IFERROR(__xludf.DUMMYFUNCTION("""COMPUTED_VALUE"""),"Walk-In")</f>
        <v>Walk-In</v>
      </c>
      <c r="W318" s="124" t="str">
        <f>IFERROR(__xludf.DUMMYFUNCTION("""COMPUTED_VALUE"""),"Prayagraj")</f>
        <v>Prayagraj</v>
      </c>
      <c r="X318" s="124" t="str">
        <f>IFERROR(__xludf.DUMMYFUNCTION("""COMPUTED_VALUE"""),"Aditi")</f>
        <v>Aditi</v>
      </c>
      <c r="Y318" s="124" t="str">
        <f>IFERROR(__xludf.DUMMYFUNCTION("""COMPUTED_VALUE"""),"Prayagraj")</f>
        <v>Prayagraj</v>
      </c>
      <c r="Z318" s="124">
        <f>IFERROR(__xludf.DUMMYFUNCTION("""COMPUTED_VALUE"""),1.0)</f>
        <v>1</v>
      </c>
      <c r="AA318" s="124" t="str">
        <f>IFERROR(__xludf.DUMMYFUNCTION("""COMPUTED_VALUE"""),"Enrolled")</f>
        <v>Enrolled</v>
      </c>
      <c r="AB318" s="124" t="str">
        <f>IFERROR(__xludf.DUMMYFUNCTION("""COMPUTED_VALUE"""),"GS Foundation")</f>
        <v>GS Foundation</v>
      </c>
    </row>
    <row r="319">
      <c r="A319" s="129">
        <f>IFERROR(__xludf.DUMMYFUNCTION("""COMPUTED_VALUE"""),46073.0)</f>
        <v>46073</v>
      </c>
      <c r="B319" s="124" t="str">
        <f>IFERROR(__xludf.DUMMYFUNCTION("""COMPUTED_VALUE"""),"external leads")</f>
        <v>external leads</v>
      </c>
      <c r="C319" s="124" t="str">
        <f>IFERROR(__xludf.DUMMYFUNCTION("""COMPUTED_VALUE"""),"Prayagraj")</f>
        <v>Prayagraj</v>
      </c>
      <c r="D319" s="124" t="str">
        <f>IFERROR(__xludf.DUMMYFUNCTION("""COMPUTED_VALUE"""),"Secondary_Walkin")</f>
        <v>Secondary_Walkin</v>
      </c>
      <c r="E319" s="127">
        <f>IFERROR(__xludf.DUMMYFUNCTION("""COMPUTED_VALUE"""),1.0)</f>
        <v>1</v>
      </c>
      <c r="F319" s="128" t="str">
        <f>IFERROR(__xludf.DUMMYFUNCTION("""COMPUTED_VALUE"""),"Cold")</f>
        <v>Cold</v>
      </c>
      <c r="G319" s="124" t="str">
        <f>IFERROR(__xludf.DUMMYFUNCTION("""COMPUTED_VALUE"""),"GS Foundation")</f>
        <v>GS Foundation</v>
      </c>
      <c r="K319" s="124"/>
      <c r="L319" s="124"/>
      <c r="M319" s="124"/>
      <c r="N319" s="124"/>
      <c r="O319" s="124"/>
      <c r="T319" s="126">
        <f>IFERROR(__xludf.DUMMYFUNCTION("""COMPUTED_VALUE"""),46064.0)</f>
        <v>46064</v>
      </c>
      <c r="U319" s="124" t="str">
        <f>IFERROR(__xludf.DUMMYFUNCTION("""COMPUTED_VALUE"""),"Walk-Ins")</f>
        <v>Walk-Ins</v>
      </c>
      <c r="V319" s="124" t="str">
        <f>IFERROR(__xludf.DUMMYFUNCTION("""COMPUTED_VALUE"""),"Walkin")</f>
        <v>Walkin</v>
      </c>
      <c r="W319" s="124" t="str">
        <f>IFERROR(__xludf.DUMMYFUNCTION("""COMPUTED_VALUE"""),"Delhi")</f>
        <v>Delhi</v>
      </c>
      <c r="X319" s="124" t="str">
        <f>IFERROR(__xludf.DUMMYFUNCTION("""COMPUTED_VALUE"""),"walkin")</f>
        <v>walkin</v>
      </c>
      <c r="Y319" s="124" t="str">
        <f>IFERROR(__xludf.DUMMYFUNCTION("""COMPUTED_VALUE"""),"Delhi")</f>
        <v>Delhi</v>
      </c>
      <c r="Z319" s="124">
        <f>IFERROR(__xludf.DUMMYFUNCTION("""COMPUTED_VALUE"""),3.0)</f>
        <v>3</v>
      </c>
      <c r="AA319" s="124" t="str">
        <f>IFERROR(__xludf.DUMMYFUNCTION("""COMPUTED_VALUE"""),"Cold")</f>
        <v>Cold</v>
      </c>
      <c r="AB319" s="124" t="str">
        <f>IFERROR(__xludf.DUMMYFUNCTION("""COMPUTED_VALUE"""),"GS Foundation")</f>
        <v>GS Foundation</v>
      </c>
    </row>
    <row r="320">
      <c r="A320" s="126">
        <f>IFERROR(__xludf.DUMMYFUNCTION("""COMPUTED_VALUE"""),46091.0)</f>
        <v>46091</v>
      </c>
      <c r="B320" s="124" t="str">
        <f>IFERROR(__xludf.DUMMYFUNCTION("""COMPUTED_VALUE"""),"Walk-In")</f>
        <v>Walk-In</v>
      </c>
      <c r="C320" s="124" t="str">
        <f>IFERROR(__xludf.DUMMYFUNCTION("""COMPUTED_VALUE"""),"Prayagraj")</f>
        <v>Prayagraj</v>
      </c>
      <c r="D320" s="124" t="str">
        <f>IFERROR(__xludf.DUMMYFUNCTION("""COMPUTED_VALUE"""),"Primary_Walkin")</f>
        <v>Primary_Walkin</v>
      </c>
      <c r="E320" s="127">
        <f>IFERROR(__xludf.DUMMYFUNCTION("""COMPUTED_VALUE"""),2.0)</f>
        <v>2</v>
      </c>
      <c r="F320" s="128" t="str">
        <f>IFERROR(__xludf.DUMMYFUNCTION("""COMPUTED_VALUE"""),"Future Prospects")</f>
        <v>Future Prospects</v>
      </c>
      <c r="G320" s="124" t="str">
        <f>IFERROR(__xludf.DUMMYFUNCTION("""COMPUTED_VALUE"""),"GS Foundation")</f>
        <v>GS Foundation</v>
      </c>
      <c r="K320" s="124"/>
      <c r="L320" s="124"/>
      <c r="M320" s="124"/>
      <c r="N320" s="124"/>
      <c r="O320" s="124"/>
      <c r="T320" s="126">
        <f>IFERROR(__xludf.DUMMYFUNCTION("""COMPUTED_VALUE"""),46103.0)</f>
        <v>46103</v>
      </c>
      <c r="U320" s="124" t="str">
        <f>IFERROR(__xludf.DUMMYFUNCTION("""COMPUTED_VALUE"""),"Walk-Ins")</f>
        <v>Walk-Ins</v>
      </c>
      <c r="V320" s="124" t="str">
        <f>IFERROR(__xludf.DUMMYFUNCTION("""COMPUTED_VALUE"""),"Walkin")</f>
        <v>Walkin</v>
      </c>
      <c r="W320" s="124" t="str">
        <f>IFERROR(__xludf.DUMMYFUNCTION("""COMPUTED_VALUE"""),"Delhi")</f>
        <v>Delhi</v>
      </c>
      <c r="X320" s="124" t="str">
        <f>IFERROR(__xludf.DUMMYFUNCTION("""COMPUTED_VALUE"""),"walkin")</f>
        <v>walkin</v>
      </c>
      <c r="Y320" s="124" t="str">
        <f>IFERROR(__xludf.DUMMYFUNCTION("""COMPUTED_VALUE"""),"Delhi")</f>
        <v>Delhi</v>
      </c>
      <c r="Z320" s="124">
        <f>IFERROR(__xludf.DUMMYFUNCTION("""COMPUTED_VALUE"""),4.0)</f>
        <v>4</v>
      </c>
      <c r="AA320" s="124" t="str">
        <f>IFERROR(__xludf.DUMMYFUNCTION("""COMPUTED_VALUE"""),"Enrolled")</f>
        <v>Enrolled</v>
      </c>
      <c r="AB320" s="124" t="str">
        <f>IFERROR(__xludf.DUMMYFUNCTION("""COMPUTED_VALUE"""),"GS Foundation")</f>
        <v>GS Foundation</v>
      </c>
    </row>
    <row r="321">
      <c r="A321" s="126">
        <f>IFERROR(__xludf.DUMMYFUNCTION("""COMPUTED_VALUE"""),46092.0)</f>
        <v>46092</v>
      </c>
      <c r="B321" s="124" t="str">
        <f>IFERROR(__xludf.DUMMYFUNCTION("""COMPUTED_VALUE"""),"Walkin")</f>
        <v>Walkin</v>
      </c>
      <c r="C321" s="124" t="str">
        <f>IFERROR(__xludf.DUMMYFUNCTION("""COMPUTED_VALUE"""),"Prayagraj")</f>
        <v>Prayagraj</v>
      </c>
      <c r="D321" s="124" t="str">
        <f>IFERROR(__xludf.DUMMYFUNCTION("""COMPUTED_VALUE"""),"Primary_Walkin")</f>
        <v>Primary_Walkin</v>
      </c>
      <c r="E321" s="127">
        <f>IFERROR(__xludf.DUMMYFUNCTION("""COMPUTED_VALUE"""),1.0)</f>
        <v>1</v>
      </c>
      <c r="F321" s="128" t="str">
        <f>IFERROR(__xludf.DUMMYFUNCTION("""COMPUTED_VALUE"""),"Future Prospects")</f>
        <v>Future Prospects</v>
      </c>
      <c r="G321" s="124" t="str">
        <f>IFERROR(__xludf.DUMMYFUNCTION("""COMPUTED_VALUE"""),"State PCS")</f>
        <v>State PCS</v>
      </c>
      <c r="K321" s="124"/>
      <c r="L321" s="124"/>
      <c r="M321" s="124"/>
      <c r="N321" s="124"/>
      <c r="O321" s="124"/>
      <c r="T321" s="126">
        <f>IFERROR(__xludf.DUMMYFUNCTION("""COMPUTED_VALUE"""),46112.0)</f>
        <v>46112</v>
      </c>
      <c r="U321" s="124" t="str">
        <f>IFERROR(__xludf.DUMMYFUNCTION("""COMPUTED_VALUE"""),"Walk-Ins")</f>
        <v>Walk-Ins</v>
      </c>
      <c r="V321" s="124" t="str">
        <f>IFERROR(__xludf.DUMMYFUNCTION("""COMPUTED_VALUE"""),"Walkin")</f>
        <v>Walkin</v>
      </c>
      <c r="W321" s="124" t="str">
        <f>IFERROR(__xludf.DUMMYFUNCTION("""COMPUTED_VALUE"""),"Delhi")</f>
        <v>Delhi</v>
      </c>
      <c r="X321" s="124" t="str">
        <f>IFERROR(__xludf.DUMMYFUNCTION("""COMPUTED_VALUE"""),"walkin")</f>
        <v>walkin</v>
      </c>
      <c r="Y321" s="124" t="str">
        <f>IFERROR(__xludf.DUMMYFUNCTION("""COMPUTED_VALUE"""),"Delhi")</f>
        <v>Delhi</v>
      </c>
      <c r="Z321" s="124">
        <f>IFERROR(__xludf.DUMMYFUNCTION("""COMPUTED_VALUE"""),14.0)</f>
        <v>14</v>
      </c>
      <c r="AA321" s="124" t="str">
        <f>IFERROR(__xludf.DUMMYFUNCTION("""COMPUTED_VALUE"""),"Warm")</f>
        <v>Warm</v>
      </c>
      <c r="AB321" s="124" t="str">
        <f>IFERROR(__xludf.DUMMYFUNCTION("""COMPUTED_VALUE"""),"GS Foundation")</f>
        <v>GS Foundation</v>
      </c>
    </row>
    <row r="322">
      <c r="A322" s="126">
        <f>IFERROR(__xludf.DUMMYFUNCTION("""COMPUTED_VALUE"""),46087.0)</f>
        <v>46087</v>
      </c>
      <c r="B322" s="124" t="str">
        <f>IFERROR(__xludf.DUMMYFUNCTION("""COMPUTED_VALUE"""),"external leads")</f>
        <v>external leads</v>
      </c>
      <c r="C322" s="124" t="str">
        <f>IFERROR(__xludf.DUMMYFUNCTION("""COMPUTED_VALUE"""),"Prayagraj")</f>
        <v>Prayagraj</v>
      </c>
      <c r="D322" s="124" t="str">
        <f>IFERROR(__xludf.DUMMYFUNCTION("""COMPUTED_VALUE"""),"Secondary_Walkin")</f>
        <v>Secondary_Walkin</v>
      </c>
      <c r="E322" s="127">
        <f>IFERROR(__xludf.DUMMYFUNCTION("""COMPUTED_VALUE"""),1.0)</f>
        <v>1</v>
      </c>
      <c r="F322" s="128" t="str">
        <f>IFERROR(__xludf.DUMMYFUNCTION("""COMPUTED_VALUE"""),"Enrolled")</f>
        <v>Enrolled</v>
      </c>
      <c r="G322" s="124" t="str">
        <f>IFERROR(__xludf.DUMMYFUNCTION("""COMPUTED_VALUE"""),"GS Foundation")</f>
        <v>GS Foundation</v>
      </c>
      <c r="K322" s="124"/>
      <c r="L322" s="124"/>
      <c r="M322" s="124"/>
      <c r="N322" s="124"/>
      <c r="O322" s="124"/>
      <c r="T322" s="126">
        <f>IFERROR(__xludf.DUMMYFUNCTION("""COMPUTED_VALUE"""),46049.0)</f>
        <v>46049</v>
      </c>
      <c r="U322" s="124" t="str">
        <f>IFERROR(__xludf.DUMMYFUNCTION("""COMPUTED_VALUE"""),"External Leads")</f>
        <v>External Leads</v>
      </c>
      <c r="V322" s="124" t="str">
        <f>IFERROR(__xludf.DUMMYFUNCTION("""COMPUTED_VALUE"""),"external leads")</f>
        <v>external leads</v>
      </c>
      <c r="W322" s="124" t="str">
        <f>IFERROR(__xludf.DUMMYFUNCTION("""COMPUTED_VALUE"""),"patna")</f>
        <v>patna</v>
      </c>
      <c r="X322" s="124" t="str">
        <f>IFERROR(__xludf.DUMMYFUNCTION("""COMPUTED_VALUE"""),"piyushunacademy")</f>
        <v>piyushunacademy</v>
      </c>
      <c r="Y322" s="124" t="str">
        <f>IFERROR(__xludf.DUMMYFUNCTION("""COMPUTED_VALUE"""),"Patna")</f>
        <v>Patna</v>
      </c>
      <c r="Z322" s="124">
        <f>IFERROR(__xludf.DUMMYFUNCTION("""COMPUTED_VALUE"""),1.0)</f>
        <v>1</v>
      </c>
      <c r="AA322" s="124" t="str">
        <f>IFERROR(__xludf.DUMMYFUNCTION("""COMPUTED_VALUE"""),"Warm")</f>
        <v>Warm</v>
      </c>
      <c r="AB322" s="124" t="str">
        <f>IFERROR(__xludf.DUMMYFUNCTION("""COMPUTED_VALUE"""),"State PCS")</f>
        <v>State PCS</v>
      </c>
    </row>
    <row r="323">
      <c r="A323" s="126">
        <f>IFERROR(__xludf.DUMMYFUNCTION("""COMPUTED_VALUE"""),46093.0)</f>
        <v>46093</v>
      </c>
      <c r="B323" s="124" t="str">
        <f>IFERROR(__xludf.DUMMYFUNCTION("""COMPUTED_VALUE"""),"Walkin")</f>
        <v>Walkin</v>
      </c>
      <c r="C323" s="124" t="str">
        <f>IFERROR(__xludf.DUMMYFUNCTION("""COMPUTED_VALUE"""),"Prayagraj")</f>
        <v>Prayagraj</v>
      </c>
      <c r="D323" s="124" t="str">
        <f>IFERROR(__xludf.DUMMYFUNCTION("""COMPUTED_VALUE"""),"Primary_Walkin")</f>
        <v>Primary_Walkin</v>
      </c>
      <c r="E323" s="127">
        <f>IFERROR(__xludf.DUMMYFUNCTION("""COMPUTED_VALUE"""),2.0)</f>
        <v>2</v>
      </c>
      <c r="F323" s="128" t="str">
        <f>IFERROR(__xludf.DUMMYFUNCTION("""COMPUTED_VALUE"""),"Not Interested")</f>
        <v>Not Interested</v>
      </c>
      <c r="G323" s="124" t="str">
        <f>IFERROR(__xludf.DUMMYFUNCTION("""COMPUTED_VALUE"""),"GS Foundation")</f>
        <v>GS Foundation</v>
      </c>
      <c r="K323" s="124"/>
      <c r="L323" s="124"/>
      <c r="M323" s="124"/>
      <c r="N323" s="124"/>
      <c r="O323" s="124"/>
      <c r="T323" s="126">
        <f>IFERROR(__xludf.DUMMYFUNCTION("""COMPUTED_VALUE"""),46100.0)</f>
        <v>46100</v>
      </c>
      <c r="U323" s="124" t="str">
        <f>IFERROR(__xludf.DUMMYFUNCTION("""COMPUTED_VALUE"""),"Walk-Ins")</f>
        <v>Walk-Ins</v>
      </c>
      <c r="V323" s="124" t="str">
        <f>IFERROR(__xludf.DUMMYFUNCTION("""COMPUTED_VALUE"""),"Walk-In")</f>
        <v>Walk-In</v>
      </c>
      <c r="W323" s="124" t="str">
        <f>IFERROR(__xludf.DUMMYFUNCTION("""COMPUTED_VALUE"""),"Prayagraj")</f>
        <v>Prayagraj</v>
      </c>
      <c r="X323" s="124" t="str">
        <f>IFERROR(__xludf.DUMMYFUNCTION("""COMPUTED_VALUE"""),"Aditi")</f>
        <v>Aditi</v>
      </c>
      <c r="Y323" s="124" t="str">
        <f>IFERROR(__xludf.DUMMYFUNCTION("""COMPUTED_VALUE"""),"Prayagraj")</f>
        <v>Prayagraj</v>
      </c>
      <c r="Z323" s="124">
        <f>IFERROR(__xludf.DUMMYFUNCTION("""COMPUTED_VALUE"""),2.0)</f>
        <v>2</v>
      </c>
      <c r="AA323" s="124" t="str">
        <f>IFERROR(__xludf.DUMMYFUNCTION("""COMPUTED_VALUE"""),"Future Prospects")</f>
        <v>Future Prospects</v>
      </c>
      <c r="AB323" s="124" t="str">
        <f>IFERROR(__xludf.DUMMYFUNCTION("""COMPUTED_VALUE"""),"GS Foundation")</f>
        <v>GS Foundation</v>
      </c>
    </row>
    <row r="324">
      <c r="A324" s="129">
        <f>IFERROR(__xludf.DUMMYFUNCTION("""COMPUTED_VALUE"""),46099.0)</f>
        <v>46099</v>
      </c>
      <c r="B324" s="124" t="str">
        <f>IFERROR(__xludf.DUMMYFUNCTION("""COMPUTED_VALUE"""),"Walk-In")</f>
        <v>Walk-In</v>
      </c>
      <c r="C324" s="124" t="str">
        <f>IFERROR(__xludf.DUMMYFUNCTION("""COMPUTED_VALUE"""),"Prayagraj")</f>
        <v>Prayagraj</v>
      </c>
      <c r="D324" s="124" t="str">
        <f>IFERROR(__xludf.DUMMYFUNCTION("""COMPUTED_VALUE"""),"Primary_Walkin")</f>
        <v>Primary_Walkin</v>
      </c>
      <c r="E324" s="127">
        <f>IFERROR(__xludf.DUMMYFUNCTION("""COMPUTED_VALUE"""),1.0)</f>
        <v>1</v>
      </c>
      <c r="F324" s="128" t="str">
        <f>IFERROR(__xludf.DUMMYFUNCTION("""COMPUTED_VALUE"""),"Enrolled")</f>
        <v>Enrolled</v>
      </c>
      <c r="G324" s="124" t="str">
        <f>IFERROR(__xludf.DUMMYFUNCTION("""COMPUTED_VALUE"""),"GS Foundation")</f>
        <v>GS Foundation</v>
      </c>
      <c r="K324" s="124"/>
      <c r="L324" s="124"/>
      <c r="M324" s="124"/>
      <c r="N324" s="124"/>
      <c r="O324" s="124"/>
      <c r="T324" s="126">
        <f>IFERROR(__xludf.DUMMYFUNCTION("""COMPUTED_VALUE"""),46059.0)</f>
        <v>46059</v>
      </c>
      <c r="U324" s="124" t="str">
        <f>IFERROR(__xludf.DUMMYFUNCTION("""COMPUTED_VALUE"""),"Walk-Ins")</f>
        <v>Walk-Ins</v>
      </c>
      <c r="V324" s="124" t="str">
        <f>IFERROR(__xludf.DUMMYFUNCTION("""COMPUTED_VALUE"""),"Walk-In")</f>
        <v>Walk-In</v>
      </c>
      <c r="W324" s="124" t="str">
        <f>IFERROR(__xludf.DUMMYFUNCTION("""COMPUTED_VALUE"""),"Delhi")</f>
        <v>Delhi</v>
      </c>
      <c r="X324" s="124" t="str">
        <f>IFERROR(__xludf.DUMMYFUNCTION("""COMPUTED_VALUE"""),"walkin")</f>
        <v>walkin</v>
      </c>
      <c r="Y324" s="124" t="str">
        <f>IFERROR(__xludf.DUMMYFUNCTION("""COMPUTED_VALUE"""),"Delhi")</f>
        <v>Delhi</v>
      </c>
      <c r="Z324" s="124">
        <f>IFERROR(__xludf.DUMMYFUNCTION("""COMPUTED_VALUE"""),1.0)</f>
        <v>1</v>
      </c>
      <c r="AA324" s="124" t="str">
        <f>IFERROR(__xludf.DUMMYFUNCTION("""COMPUTED_VALUE"""),"Cold")</f>
        <v>Cold</v>
      </c>
      <c r="AB324" s="124" t="str">
        <f>IFERROR(__xludf.DUMMYFUNCTION("""COMPUTED_VALUE"""),"Other")</f>
        <v>Other</v>
      </c>
    </row>
    <row r="325">
      <c r="A325" s="126">
        <f>IFERROR(__xludf.DUMMYFUNCTION("""COMPUTED_VALUE"""),46065.0)</f>
        <v>46065</v>
      </c>
      <c r="B325" s="124" t="str">
        <f>IFERROR(__xludf.DUMMYFUNCTION("""COMPUTED_VALUE"""),"Walkin")</f>
        <v>Walkin</v>
      </c>
      <c r="C325" s="124" t="str">
        <f>IFERROR(__xludf.DUMMYFUNCTION("""COMPUTED_VALUE"""),"Prayagraj")</f>
        <v>Prayagraj</v>
      </c>
      <c r="D325" s="124" t="str">
        <f>IFERROR(__xludf.DUMMYFUNCTION("""COMPUTED_VALUE"""),"Primary_Walkin")</f>
        <v>Primary_Walkin</v>
      </c>
      <c r="E325" s="127">
        <f>IFERROR(__xludf.DUMMYFUNCTION("""COMPUTED_VALUE"""),3.0)</f>
        <v>3</v>
      </c>
      <c r="F325" s="128" t="str">
        <f>IFERROR(__xludf.DUMMYFUNCTION("""COMPUTED_VALUE"""),"Future Prospects")</f>
        <v>Future Prospects</v>
      </c>
      <c r="G325" s="124" t="str">
        <f>IFERROR(__xludf.DUMMYFUNCTION("""COMPUTED_VALUE"""),"GS Foundation")</f>
        <v>GS Foundation</v>
      </c>
      <c r="K325" s="124"/>
      <c r="L325" s="124"/>
      <c r="M325" s="124"/>
      <c r="N325" s="124"/>
      <c r="O325" s="124"/>
      <c r="T325" s="126">
        <f>IFERROR(__xludf.DUMMYFUNCTION("""COMPUTED_VALUE"""),46050.0)</f>
        <v>46050</v>
      </c>
      <c r="U325" s="124" t="str">
        <f>IFERROR(__xludf.DUMMYFUNCTION("""COMPUTED_VALUE"""),"External Leads")</f>
        <v>External Leads</v>
      </c>
      <c r="V325" s="124" t="str">
        <f>IFERROR(__xludf.DUMMYFUNCTION("""COMPUTED_VALUE"""),"external leads")</f>
        <v>external leads</v>
      </c>
      <c r="W325" s="124" t="str">
        <f>IFERROR(__xludf.DUMMYFUNCTION("""COMPUTED_VALUE"""),"patna")</f>
        <v>patna</v>
      </c>
      <c r="X325" s="124" t="str">
        <f>IFERROR(__xludf.DUMMYFUNCTION("""COMPUTED_VALUE"""),"piyushunacademy")</f>
        <v>piyushunacademy</v>
      </c>
      <c r="Y325" s="124" t="str">
        <f>IFERROR(__xludf.DUMMYFUNCTION("""COMPUTED_VALUE"""),"Patna")</f>
        <v>Patna</v>
      </c>
      <c r="Z325" s="124">
        <f>IFERROR(__xludf.DUMMYFUNCTION("""COMPUTED_VALUE"""),84.0)</f>
        <v>84</v>
      </c>
      <c r="AA325" s="124" t="str">
        <f>IFERROR(__xludf.DUMMYFUNCTION("""COMPUTED_VALUE"""),"Fake Lead")</f>
        <v>Fake Lead</v>
      </c>
      <c r="AB325" s="124"/>
    </row>
    <row r="326">
      <c r="A326" s="126">
        <f>IFERROR(__xludf.DUMMYFUNCTION("""COMPUTED_VALUE"""),46057.0)</f>
        <v>46057</v>
      </c>
      <c r="B326" s="124" t="str">
        <f>IFERROR(__xludf.DUMMYFUNCTION("""COMPUTED_VALUE"""),"Walk-In")</f>
        <v>Walk-In</v>
      </c>
      <c r="C326" s="124" t="str">
        <f>IFERROR(__xludf.DUMMYFUNCTION("""COMPUTED_VALUE"""),"Prayagraj")</f>
        <v>Prayagraj</v>
      </c>
      <c r="D326" s="124" t="str">
        <f>IFERROR(__xludf.DUMMYFUNCTION("""COMPUTED_VALUE"""),"Primary_Walkin")</f>
        <v>Primary_Walkin</v>
      </c>
      <c r="E326" s="127">
        <f>IFERROR(__xludf.DUMMYFUNCTION("""COMPUTED_VALUE"""),1.0)</f>
        <v>1</v>
      </c>
      <c r="F326" s="128" t="str">
        <f>IFERROR(__xludf.DUMMYFUNCTION("""COMPUTED_VALUE"""),"Cold")</f>
        <v>Cold</v>
      </c>
      <c r="G326" s="124" t="str">
        <f>IFERROR(__xludf.DUMMYFUNCTION("""COMPUTED_VALUE"""),"Test Series")</f>
        <v>Test Series</v>
      </c>
      <c r="K326" s="124"/>
      <c r="L326" s="124"/>
      <c r="M326" s="124"/>
      <c r="N326" s="124"/>
      <c r="O326" s="124"/>
      <c r="T326" s="129">
        <f>IFERROR(__xludf.DUMMYFUNCTION("""COMPUTED_VALUE"""),46063.0)</f>
        <v>46063</v>
      </c>
      <c r="U326" s="124" t="str">
        <f>IFERROR(__xludf.DUMMYFUNCTION("""COMPUTED_VALUE"""),"Walk-Ins")</f>
        <v>Walk-Ins</v>
      </c>
      <c r="V326" s="124" t="str">
        <f>IFERROR(__xludf.DUMMYFUNCTION("""COMPUTED_VALUE"""),"Walkin")</f>
        <v>Walkin</v>
      </c>
      <c r="W326" s="124" t="str">
        <f>IFERROR(__xludf.DUMMYFUNCTION("""COMPUTED_VALUE"""),"Delhi")</f>
        <v>Delhi</v>
      </c>
      <c r="X326" s="124" t="str">
        <f>IFERROR(__xludf.DUMMYFUNCTION("""COMPUTED_VALUE"""),"walkin")</f>
        <v>walkin</v>
      </c>
      <c r="Y326" s="124" t="str">
        <f>IFERROR(__xludf.DUMMYFUNCTION("""COMPUTED_VALUE"""),"Delhi")</f>
        <v>Delhi</v>
      </c>
      <c r="Z326" s="124">
        <f>IFERROR(__xludf.DUMMYFUNCTION("""COMPUTED_VALUE"""),1.0)</f>
        <v>1</v>
      </c>
      <c r="AA326" s="124" t="str">
        <f>IFERROR(__xludf.DUMMYFUNCTION("""COMPUTED_VALUE"""),"Enrolled")</f>
        <v>Enrolled</v>
      </c>
      <c r="AB326" s="124" t="str">
        <f>IFERROR(__xludf.DUMMYFUNCTION("""COMPUTED_VALUE"""),"GS Foundation")</f>
        <v>GS Foundation</v>
      </c>
    </row>
    <row r="327">
      <c r="A327" s="126">
        <f>IFERROR(__xludf.DUMMYFUNCTION("""COMPUTED_VALUE"""),46075.0)</f>
        <v>46075</v>
      </c>
      <c r="B327" s="124" t="str">
        <f>IFERROR(__xludf.DUMMYFUNCTION("""COMPUTED_VALUE"""),"Walkin")</f>
        <v>Walkin</v>
      </c>
      <c r="C327" s="124" t="str">
        <f>IFERROR(__xludf.DUMMYFUNCTION("""COMPUTED_VALUE"""),"Prayagraj")</f>
        <v>Prayagraj</v>
      </c>
      <c r="D327" s="124" t="str">
        <f>IFERROR(__xludf.DUMMYFUNCTION("""COMPUTED_VALUE"""),"Primary_Walkin")</f>
        <v>Primary_Walkin</v>
      </c>
      <c r="E327" s="127">
        <f>IFERROR(__xludf.DUMMYFUNCTION("""COMPUTED_VALUE"""),1.0)</f>
        <v>1</v>
      </c>
      <c r="F327" s="128" t="str">
        <f>IFERROR(__xludf.DUMMYFUNCTION("""COMPUTED_VALUE"""),"Not Interested")</f>
        <v>Not Interested</v>
      </c>
      <c r="G327" s="124" t="str">
        <f>IFERROR(__xludf.DUMMYFUNCTION("""COMPUTED_VALUE"""),"State PCS")</f>
        <v>State PCS</v>
      </c>
      <c r="K327" s="124"/>
      <c r="L327" s="124"/>
      <c r="M327" s="124"/>
      <c r="N327" s="124"/>
      <c r="O327" s="124"/>
      <c r="T327" s="126">
        <f>IFERROR(__xludf.DUMMYFUNCTION("""COMPUTED_VALUE"""),46110.0)</f>
        <v>46110</v>
      </c>
      <c r="U327" s="124" t="str">
        <f>IFERROR(__xludf.DUMMYFUNCTION("""COMPUTED_VALUE"""),"Walk-Ins")</f>
        <v>Walk-Ins</v>
      </c>
      <c r="V327" s="124" t="str">
        <f>IFERROR(__xludf.DUMMYFUNCTION("""COMPUTED_VALUE"""),"Walkin")</f>
        <v>Walkin</v>
      </c>
      <c r="W327" s="124" t="str">
        <f>IFERROR(__xludf.DUMMYFUNCTION("""COMPUTED_VALUE"""),"Delhi")</f>
        <v>Delhi</v>
      </c>
      <c r="X327" s="124" t="str">
        <f>IFERROR(__xludf.DUMMYFUNCTION("""COMPUTED_VALUE"""),"walkin")</f>
        <v>walkin</v>
      </c>
      <c r="Y327" s="124" t="str">
        <f>IFERROR(__xludf.DUMMYFUNCTION("""COMPUTED_VALUE"""),"Delhi")</f>
        <v>Delhi</v>
      </c>
      <c r="Z327" s="124">
        <f>IFERROR(__xludf.DUMMYFUNCTION("""COMPUTED_VALUE"""),8.0)</f>
        <v>8</v>
      </c>
      <c r="AA327" s="124" t="str">
        <f>IFERROR(__xludf.DUMMYFUNCTION("""COMPUTED_VALUE"""),"Warm")</f>
        <v>Warm</v>
      </c>
      <c r="AB327" s="124" t="str">
        <f>IFERROR(__xludf.DUMMYFUNCTION("""COMPUTED_VALUE"""),"GS Foundation")</f>
        <v>GS Foundation</v>
      </c>
    </row>
    <row r="328">
      <c r="A328" s="126">
        <f>IFERROR(__xludf.DUMMYFUNCTION("""COMPUTED_VALUE"""),46096.0)</f>
        <v>46096</v>
      </c>
      <c r="B328" s="124" t="str">
        <f>IFERROR(__xludf.DUMMYFUNCTION("""COMPUTED_VALUE"""),"Walkin")</f>
        <v>Walkin</v>
      </c>
      <c r="C328" s="124" t="str">
        <f>IFERROR(__xludf.DUMMYFUNCTION("""COMPUTED_VALUE"""),"Prayagraj")</f>
        <v>Prayagraj</v>
      </c>
      <c r="D328" s="124" t="str">
        <f>IFERROR(__xludf.DUMMYFUNCTION("""COMPUTED_VALUE"""),"Primary_Walkin")</f>
        <v>Primary_Walkin</v>
      </c>
      <c r="E328" s="127">
        <f>IFERROR(__xludf.DUMMYFUNCTION("""COMPUTED_VALUE"""),1.0)</f>
        <v>1</v>
      </c>
      <c r="F328" s="128" t="str">
        <f>IFERROR(__xludf.DUMMYFUNCTION("""COMPUTED_VALUE"""),"Cold")</f>
        <v>Cold</v>
      </c>
      <c r="G328" s="124" t="str">
        <f>IFERROR(__xludf.DUMMYFUNCTION("""COMPUTED_VALUE"""),"Mentorship")</f>
        <v>Mentorship</v>
      </c>
      <c r="K328" s="124"/>
      <c r="L328" s="124"/>
      <c r="M328" s="124"/>
      <c r="N328" s="124"/>
      <c r="O328" s="124"/>
      <c r="T328" s="126">
        <f>IFERROR(__xludf.DUMMYFUNCTION("""COMPUTED_VALUE"""),46093.0)</f>
        <v>46093</v>
      </c>
      <c r="U328" s="124" t="str">
        <f>IFERROR(__xludf.DUMMYFUNCTION("""COMPUTED_VALUE"""),"Walk-Ins")</f>
        <v>Walk-Ins</v>
      </c>
      <c r="V328" s="124" t="str">
        <f>IFERROR(__xludf.DUMMYFUNCTION("""COMPUTED_VALUE"""),"Walkin")</f>
        <v>Walkin</v>
      </c>
      <c r="W328" s="124" t="str">
        <f>IFERROR(__xludf.DUMMYFUNCTION("""COMPUTED_VALUE"""),"Delhi")</f>
        <v>Delhi</v>
      </c>
      <c r="X328" s="124" t="str">
        <f>IFERROR(__xludf.DUMMYFUNCTION("""COMPUTED_VALUE"""),"walkin")</f>
        <v>walkin</v>
      </c>
      <c r="Y328" s="124" t="str">
        <f>IFERROR(__xludf.DUMMYFUNCTION("""COMPUTED_VALUE"""),"Delhi")</f>
        <v>Delhi</v>
      </c>
      <c r="Z328" s="124">
        <f>IFERROR(__xludf.DUMMYFUNCTION("""COMPUTED_VALUE"""),1.0)</f>
        <v>1</v>
      </c>
      <c r="AA328" s="124" t="str">
        <f>IFERROR(__xludf.DUMMYFUNCTION("""COMPUTED_VALUE"""),"Warm")</f>
        <v>Warm</v>
      </c>
      <c r="AB328" s="124" t="str">
        <f>IFERROR(__xludf.DUMMYFUNCTION("""COMPUTED_VALUE"""),"GS Foundation")</f>
        <v>GS Foundation</v>
      </c>
    </row>
    <row r="329">
      <c r="A329" s="126">
        <f>IFERROR(__xludf.DUMMYFUNCTION("""COMPUTED_VALUE"""),46095.0)</f>
        <v>46095</v>
      </c>
      <c r="B329" s="124" t="str">
        <f>IFERROR(__xludf.DUMMYFUNCTION("""COMPUTED_VALUE"""),"external leads")</f>
        <v>external leads</v>
      </c>
      <c r="C329" s="124" t="str">
        <f>IFERROR(__xludf.DUMMYFUNCTION("""COMPUTED_VALUE"""),"Prayagraj")</f>
        <v>Prayagraj</v>
      </c>
      <c r="D329" s="124" t="str">
        <f>IFERROR(__xludf.DUMMYFUNCTION("""COMPUTED_VALUE"""),"Secondary_Walkin")</f>
        <v>Secondary_Walkin</v>
      </c>
      <c r="E329" s="127">
        <f>IFERROR(__xludf.DUMMYFUNCTION("""COMPUTED_VALUE"""),1.0)</f>
        <v>1</v>
      </c>
      <c r="F329" s="128" t="str">
        <f>IFERROR(__xludf.DUMMYFUNCTION("""COMPUTED_VALUE"""),"Enrolled")</f>
        <v>Enrolled</v>
      </c>
      <c r="G329" s="124" t="str">
        <f>IFERROR(__xludf.DUMMYFUNCTION("""COMPUTED_VALUE"""),"GS Foundation")</f>
        <v>GS Foundation</v>
      </c>
      <c r="K329" s="124"/>
      <c r="L329" s="124"/>
      <c r="M329" s="124"/>
      <c r="N329" s="124"/>
      <c r="O329" s="124"/>
      <c r="T329" s="126">
        <f>IFERROR(__xludf.DUMMYFUNCTION("""COMPUTED_VALUE"""),46098.0)</f>
        <v>46098</v>
      </c>
      <c r="U329" s="124" t="str">
        <f>IFERROR(__xludf.DUMMYFUNCTION("""COMPUTED_VALUE"""),"Walk-Ins")</f>
        <v>Walk-Ins</v>
      </c>
      <c r="V329" s="124" t="str">
        <f>IFERROR(__xludf.DUMMYFUNCTION("""COMPUTED_VALUE"""),"Walkin")</f>
        <v>Walkin</v>
      </c>
      <c r="W329" s="124" t="str">
        <f>IFERROR(__xludf.DUMMYFUNCTION("""COMPUTED_VALUE"""),"Delhi")</f>
        <v>Delhi</v>
      </c>
      <c r="X329" s="124" t="str">
        <f>IFERROR(__xludf.DUMMYFUNCTION("""COMPUTED_VALUE"""),"walkin")</f>
        <v>walkin</v>
      </c>
      <c r="Y329" s="124" t="str">
        <f>IFERROR(__xludf.DUMMYFUNCTION("""COMPUTED_VALUE"""),"Delhi")</f>
        <v>Delhi</v>
      </c>
      <c r="Z329" s="124">
        <f>IFERROR(__xludf.DUMMYFUNCTION("""COMPUTED_VALUE"""),7.0)</f>
        <v>7</v>
      </c>
      <c r="AA329" s="124" t="str">
        <f>IFERROR(__xludf.DUMMYFUNCTION("""COMPUTED_VALUE"""),"Not Interested")</f>
        <v>Not Interested</v>
      </c>
      <c r="AB329" s="124" t="str">
        <f>IFERROR(__xludf.DUMMYFUNCTION("""COMPUTED_VALUE"""),"GS Foundation")</f>
        <v>GS Foundation</v>
      </c>
    </row>
    <row r="330">
      <c r="A330" s="126">
        <f>IFERROR(__xludf.DUMMYFUNCTION("""COMPUTED_VALUE"""),46043.0)</f>
        <v>46043</v>
      </c>
      <c r="B330" s="124" t="str">
        <f>IFERROR(__xludf.DUMMYFUNCTION("""COMPUTED_VALUE"""),"Walkin")</f>
        <v>Walkin</v>
      </c>
      <c r="C330" s="124" t="str">
        <f>IFERROR(__xludf.DUMMYFUNCTION("""COMPUTED_VALUE"""),"Prayagraj")</f>
        <v>Prayagraj</v>
      </c>
      <c r="D330" s="124" t="str">
        <f>IFERROR(__xludf.DUMMYFUNCTION("""COMPUTED_VALUE"""),"Primary_Walkin")</f>
        <v>Primary_Walkin</v>
      </c>
      <c r="E330" s="127">
        <f>IFERROR(__xludf.DUMMYFUNCTION("""COMPUTED_VALUE"""),1.0)</f>
        <v>1</v>
      </c>
      <c r="F330" s="128" t="str">
        <f>IFERROR(__xludf.DUMMYFUNCTION("""COMPUTED_VALUE"""),"Not Interested")</f>
        <v>Not Interested</v>
      </c>
      <c r="G330" s="124" t="str">
        <f>IFERROR(__xludf.DUMMYFUNCTION("""COMPUTED_VALUE"""),"Mentorship")</f>
        <v>Mentorship</v>
      </c>
      <c r="K330" s="124"/>
      <c r="L330" s="124"/>
      <c r="M330" s="124"/>
      <c r="N330" s="124"/>
      <c r="O330" s="124"/>
      <c r="T330" s="126">
        <f>IFERROR(__xludf.DUMMYFUNCTION("""COMPUTED_VALUE"""),46088.0)</f>
        <v>46088</v>
      </c>
      <c r="U330" s="124" t="str">
        <f>IFERROR(__xludf.DUMMYFUNCTION("""COMPUTED_VALUE"""),"Walk-Ins")</f>
        <v>Walk-Ins</v>
      </c>
      <c r="V330" s="124" t="str">
        <f>IFERROR(__xludf.DUMMYFUNCTION("""COMPUTED_VALUE"""),"walk-in")</f>
        <v>walk-in</v>
      </c>
      <c r="W330" s="124" t="str">
        <f>IFERROR(__xludf.DUMMYFUNCTION("""COMPUTED_VALUE"""),"indore")</f>
        <v>indore</v>
      </c>
      <c r="X330" s="124" t="str">
        <f>IFERROR(__xludf.DUMMYFUNCTION("""COMPUTED_VALUE"""),"suraj sharma")</f>
        <v>suraj sharma</v>
      </c>
      <c r="Y330" s="124" t="str">
        <f>IFERROR(__xludf.DUMMYFUNCTION("""COMPUTED_VALUE"""),"Indore")</f>
        <v>Indore</v>
      </c>
      <c r="Z330" s="124">
        <f>IFERROR(__xludf.DUMMYFUNCTION("""COMPUTED_VALUE"""),1.0)</f>
        <v>1</v>
      </c>
      <c r="AA330" s="124" t="str">
        <f>IFERROR(__xludf.DUMMYFUNCTION("""COMPUTED_VALUE"""),"Cold")</f>
        <v>Cold</v>
      </c>
      <c r="AB330" s="124" t="str">
        <f>IFERROR(__xludf.DUMMYFUNCTION("""COMPUTED_VALUE"""),"GS Foundation")</f>
        <v>GS Foundation</v>
      </c>
    </row>
    <row r="331">
      <c r="A331" s="126">
        <f>IFERROR(__xludf.DUMMYFUNCTION("""COMPUTED_VALUE"""),46057.0)</f>
        <v>46057</v>
      </c>
      <c r="B331" s="124" t="str">
        <f>IFERROR(__xludf.DUMMYFUNCTION("""COMPUTED_VALUE"""),"Walkin")</f>
        <v>Walkin</v>
      </c>
      <c r="C331" s="124" t="str">
        <f>IFERROR(__xludf.DUMMYFUNCTION("""COMPUTED_VALUE"""),"Prayagraj")</f>
        <v>Prayagraj</v>
      </c>
      <c r="D331" s="124" t="str">
        <f>IFERROR(__xludf.DUMMYFUNCTION("""COMPUTED_VALUE"""),"Primary_Walkin")</f>
        <v>Primary_Walkin</v>
      </c>
      <c r="E331" s="127">
        <f>IFERROR(__xludf.DUMMYFUNCTION("""COMPUTED_VALUE"""),1.0)</f>
        <v>1</v>
      </c>
      <c r="F331" s="128" t="str">
        <f>IFERROR(__xludf.DUMMYFUNCTION("""COMPUTED_VALUE"""),"Enrolled")</f>
        <v>Enrolled</v>
      </c>
      <c r="G331" s="124" t="str">
        <f>IFERROR(__xludf.DUMMYFUNCTION("""COMPUTED_VALUE"""),"State PCS")</f>
        <v>State PCS</v>
      </c>
      <c r="K331" s="124"/>
      <c r="L331" s="124"/>
      <c r="M331" s="124"/>
      <c r="N331" s="124"/>
      <c r="O331" s="124"/>
      <c r="T331" s="126">
        <f>IFERROR(__xludf.DUMMYFUNCTION("""COMPUTED_VALUE"""),46044.0)</f>
        <v>46044</v>
      </c>
      <c r="U331" s="124" t="str">
        <f>IFERROR(__xludf.DUMMYFUNCTION("""COMPUTED_VALUE"""),"External Leads")</f>
        <v>External Leads</v>
      </c>
      <c r="V331" s="124" t="str">
        <f>IFERROR(__xludf.DUMMYFUNCTION("""COMPUTED_VALUE"""),"external leads")</f>
        <v>external leads</v>
      </c>
      <c r="W331" s="124" t="str">
        <f>IFERROR(__xludf.DUMMYFUNCTION("""COMPUTED_VALUE"""),"lucknow")</f>
        <v>lucknow</v>
      </c>
      <c r="X331" s="124" t="str">
        <f>IFERROR(__xludf.DUMMYFUNCTION("""COMPUTED_VALUE"""),"university")</f>
        <v>university</v>
      </c>
      <c r="Y331" s="124" t="str">
        <f>IFERROR(__xludf.DUMMYFUNCTION("""COMPUTED_VALUE"""),"Lucknow")</f>
        <v>Lucknow</v>
      </c>
      <c r="Z331" s="124">
        <f>IFERROR(__xludf.DUMMYFUNCTION("""COMPUTED_VALUE"""),2.0)</f>
        <v>2</v>
      </c>
      <c r="AA331" s="124" t="str">
        <f>IFERROR(__xludf.DUMMYFUNCTION("""COMPUTED_VALUE"""),"Not Interested")</f>
        <v>Not Interested</v>
      </c>
      <c r="AB331" s="124"/>
    </row>
    <row r="332">
      <c r="A332" s="126">
        <f>IFERROR(__xludf.DUMMYFUNCTION("""COMPUTED_VALUE"""),46095.0)</f>
        <v>46095</v>
      </c>
      <c r="B332" s="124" t="str">
        <f>IFERROR(__xludf.DUMMYFUNCTION("""COMPUTED_VALUE"""),"Walkin")</f>
        <v>Walkin</v>
      </c>
      <c r="C332" s="124" t="str">
        <f>IFERROR(__xludf.DUMMYFUNCTION("""COMPUTED_VALUE"""),"Prayagraj")</f>
        <v>Prayagraj</v>
      </c>
      <c r="D332" s="124" t="str">
        <f>IFERROR(__xludf.DUMMYFUNCTION("""COMPUTED_VALUE"""),"Primary_Walkin")</f>
        <v>Primary_Walkin</v>
      </c>
      <c r="E332" s="127">
        <f>IFERROR(__xludf.DUMMYFUNCTION("""COMPUTED_VALUE"""),1.0)</f>
        <v>1</v>
      </c>
      <c r="F332" s="128" t="str">
        <f>IFERROR(__xludf.DUMMYFUNCTION("""COMPUTED_VALUE"""),"Interested")</f>
        <v>Interested</v>
      </c>
      <c r="G332" s="124" t="str">
        <f>IFERROR(__xludf.DUMMYFUNCTION("""COMPUTED_VALUE"""),"GS Foundation")</f>
        <v>GS Foundation</v>
      </c>
      <c r="K332" s="124"/>
      <c r="L332" s="124"/>
      <c r="M332" s="124"/>
      <c r="N332" s="124"/>
      <c r="O332" s="124"/>
      <c r="T332" s="126">
        <f>IFERROR(__xludf.DUMMYFUNCTION("""COMPUTED_VALUE"""),46049.0)</f>
        <v>46049</v>
      </c>
      <c r="U332" s="124" t="str">
        <f>IFERROR(__xludf.DUMMYFUNCTION("""COMPUTED_VALUE"""),"Walk-Ins")</f>
        <v>Walk-Ins</v>
      </c>
      <c r="V332" s="124" t="str">
        <f>IFERROR(__xludf.DUMMYFUNCTION("""COMPUTED_VALUE"""),"Walkin")</f>
        <v>Walkin</v>
      </c>
      <c r="W332" s="124" t="str">
        <f>IFERROR(__xludf.DUMMYFUNCTION("""COMPUTED_VALUE"""),"Delhi")</f>
        <v>Delhi</v>
      </c>
      <c r="X332" s="124" t="str">
        <f>IFERROR(__xludf.DUMMYFUNCTION("""COMPUTED_VALUE"""),"walkin")</f>
        <v>walkin</v>
      </c>
      <c r="Y332" s="124" t="str">
        <f>IFERROR(__xludf.DUMMYFUNCTION("""COMPUTED_VALUE"""),"Delhi")</f>
        <v>Delhi</v>
      </c>
      <c r="Z332" s="124">
        <f>IFERROR(__xludf.DUMMYFUNCTION("""COMPUTED_VALUE"""),1.0)</f>
        <v>1</v>
      </c>
      <c r="AA332" s="124" t="str">
        <f>IFERROR(__xludf.DUMMYFUNCTION("""COMPUTED_VALUE"""),"Cold")</f>
        <v>Cold</v>
      </c>
      <c r="AB332" s="124" t="str">
        <f>IFERROR(__xludf.DUMMYFUNCTION("""COMPUTED_VALUE"""),"Mentorship")</f>
        <v>Mentorship</v>
      </c>
    </row>
    <row r="333">
      <c r="A333" s="126">
        <f>IFERROR(__xludf.DUMMYFUNCTION("""COMPUTED_VALUE"""),46099.0)</f>
        <v>46099</v>
      </c>
      <c r="B333" s="124" t="str">
        <f>IFERROR(__xludf.DUMMYFUNCTION("""COMPUTED_VALUE"""),"Walk-In")</f>
        <v>Walk-In</v>
      </c>
      <c r="C333" s="124" t="str">
        <f>IFERROR(__xludf.DUMMYFUNCTION("""COMPUTED_VALUE"""),"Prayagraj")</f>
        <v>Prayagraj</v>
      </c>
      <c r="D333" s="124" t="str">
        <f>IFERROR(__xludf.DUMMYFUNCTION("""COMPUTED_VALUE"""),"Primary_Walkin")</f>
        <v>Primary_Walkin</v>
      </c>
      <c r="E333" s="127">
        <f>IFERROR(__xludf.DUMMYFUNCTION("""COMPUTED_VALUE"""),1.0)</f>
        <v>1</v>
      </c>
      <c r="F333" s="128" t="str">
        <f>IFERROR(__xludf.DUMMYFUNCTION("""COMPUTED_VALUE"""),"Warm")</f>
        <v>Warm</v>
      </c>
      <c r="G333" s="124" t="str">
        <f>IFERROR(__xludf.DUMMYFUNCTION("""COMPUTED_VALUE"""),"GS Foundation")</f>
        <v>GS Foundation</v>
      </c>
      <c r="K333" s="124"/>
      <c r="L333" s="124"/>
      <c r="M333" s="124"/>
      <c r="N333" s="124"/>
      <c r="O333" s="124"/>
      <c r="T333" s="126">
        <f>IFERROR(__xludf.DUMMYFUNCTION("""COMPUTED_VALUE"""),46070.0)</f>
        <v>46070</v>
      </c>
      <c r="U333" s="124" t="str">
        <f>IFERROR(__xludf.DUMMYFUNCTION("""COMPUTED_VALUE"""),"Walk-Ins")</f>
        <v>Walk-Ins</v>
      </c>
      <c r="V333" s="124" t="str">
        <f>IFERROR(__xludf.DUMMYFUNCTION("""COMPUTED_VALUE"""),"Walkin")</f>
        <v>Walkin</v>
      </c>
      <c r="W333" s="124" t="str">
        <f>IFERROR(__xludf.DUMMYFUNCTION("""COMPUTED_VALUE"""),"Delhi")</f>
        <v>Delhi</v>
      </c>
      <c r="X333" s="124" t="str">
        <f>IFERROR(__xludf.DUMMYFUNCTION("""COMPUTED_VALUE"""),"walkin")</f>
        <v>walkin</v>
      </c>
      <c r="Y333" s="124" t="str">
        <f>IFERROR(__xludf.DUMMYFUNCTION("""COMPUTED_VALUE"""),"Delhi")</f>
        <v>Delhi</v>
      </c>
      <c r="Z333" s="124">
        <f>IFERROR(__xludf.DUMMYFUNCTION("""COMPUTED_VALUE"""),4.0)</f>
        <v>4</v>
      </c>
      <c r="AA333" s="124" t="str">
        <f>IFERROR(__xludf.DUMMYFUNCTION("""COMPUTED_VALUE"""),"Not Interested")</f>
        <v>Not Interested</v>
      </c>
      <c r="AB333" s="124" t="str">
        <f>IFERROR(__xludf.DUMMYFUNCTION("""COMPUTED_VALUE"""),"GS Foundation")</f>
        <v>GS Foundation</v>
      </c>
    </row>
    <row r="334">
      <c r="A334" s="126">
        <f>IFERROR(__xludf.DUMMYFUNCTION("""COMPUTED_VALUE"""),46072.0)</f>
        <v>46072</v>
      </c>
      <c r="B334" s="124" t="str">
        <f>IFERROR(__xludf.DUMMYFUNCTION("""COMPUTED_VALUE"""),"Facebook")</f>
        <v>Facebook</v>
      </c>
      <c r="C334" s="124" t="str">
        <f>IFERROR(__xludf.DUMMYFUNCTION("""COMPUTED_VALUE"""),"Prayagraj")</f>
        <v>Prayagraj</v>
      </c>
      <c r="D334" s="124" t="str">
        <f>IFERROR(__xludf.DUMMYFUNCTION("""COMPUTED_VALUE"""),"Secondary_Walkin")</f>
        <v>Secondary_Walkin</v>
      </c>
      <c r="E334" s="127">
        <f>IFERROR(__xludf.DUMMYFUNCTION("""COMPUTED_VALUE"""),1.0)</f>
        <v>1</v>
      </c>
      <c r="F334" s="128" t="str">
        <f>IFERROR(__xludf.DUMMYFUNCTION("""COMPUTED_VALUE"""),"Cold")</f>
        <v>Cold</v>
      </c>
      <c r="G334" s="124" t="str">
        <f>IFERROR(__xludf.DUMMYFUNCTION("""COMPUTED_VALUE"""),"GS Foundation")</f>
        <v>GS Foundation</v>
      </c>
      <c r="K334" s="124"/>
      <c r="L334" s="124"/>
      <c r="M334" s="124"/>
      <c r="N334" s="124"/>
      <c r="O334" s="124"/>
      <c r="T334" s="126">
        <f>IFERROR(__xludf.DUMMYFUNCTION("""COMPUTED_VALUE"""),46104.0)</f>
        <v>46104</v>
      </c>
      <c r="U334" s="124" t="str">
        <f>IFERROR(__xludf.DUMMYFUNCTION("""COMPUTED_VALUE"""),"Walk-Ins")</f>
        <v>Walk-Ins</v>
      </c>
      <c r="V334" s="124" t="str">
        <f>IFERROR(__xludf.DUMMYFUNCTION("""COMPUTED_VALUE"""),"Walk-In")</f>
        <v>Walk-In</v>
      </c>
      <c r="W334" s="124" t="str">
        <f>IFERROR(__xludf.DUMMYFUNCTION("""COMPUTED_VALUE"""),"Delhi")</f>
        <v>Delhi</v>
      </c>
      <c r="X334" s="124" t="str">
        <f>IFERROR(__xludf.DUMMYFUNCTION("""COMPUTED_VALUE"""),"walkin")</f>
        <v>walkin</v>
      </c>
      <c r="Y334" s="124" t="str">
        <f>IFERROR(__xludf.DUMMYFUNCTION("""COMPUTED_VALUE"""),"Delhi")</f>
        <v>Delhi</v>
      </c>
      <c r="Z334" s="124">
        <f>IFERROR(__xludf.DUMMYFUNCTION("""COMPUTED_VALUE"""),1.0)</f>
        <v>1</v>
      </c>
      <c r="AA334" s="124" t="str">
        <f>IFERROR(__xludf.DUMMYFUNCTION("""COMPUTED_VALUE"""),"Interested")</f>
        <v>Interested</v>
      </c>
      <c r="AB334" s="124" t="str">
        <f>IFERROR(__xludf.DUMMYFUNCTION("""COMPUTED_VALUE"""),"State PCS")</f>
        <v>State PCS</v>
      </c>
    </row>
    <row r="335">
      <c r="A335" s="129">
        <f>IFERROR(__xludf.DUMMYFUNCTION("""COMPUTED_VALUE"""),46081.0)</f>
        <v>46081</v>
      </c>
      <c r="B335" s="124" t="str">
        <f>IFERROR(__xludf.DUMMYFUNCTION("""COMPUTED_VALUE"""),"Walkin")</f>
        <v>Walkin</v>
      </c>
      <c r="C335" s="124" t="str">
        <f>IFERROR(__xludf.DUMMYFUNCTION("""COMPUTED_VALUE"""),"Prayagraj")</f>
        <v>Prayagraj</v>
      </c>
      <c r="D335" s="124" t="str">
        <f>IFERROR(__xludf.DUMMYFUNCTION("""COMPUTED_VALUE"""),"Primary_Walkin")</f>
        <v>Primary_Walkin</v>
      </c>
      <c r="E335" s="127">
        <f>IFERROR(__xludf.DUMMYFUNCTION("""COMPUTED_VALUE"""),1.0)</f>
        <v>1</v>
      </c>
      <c r="F335" s="128" t="str">
        <f>IFERROR(__xludf.DUMMYFUNCTION("""COMPUTED_VALUE"""),"Future Prospects")</f>
        <v>Future Prospects</v>
      </c>
      <c r="G335" s="124" t="str">
        <f>IFERROR(__xludf.DUMMYFUNCTION("""COMPUTED_VALUE"""),"GS Foundation")</f>
        <v>GS Foundation</v>
      </c>
      <c r="K335" s="124"/>
      <c r="L335" s="124"/>
      <c r="M335" s="124"/>
      <c r="N335" s="124"/>
      <c r="O335" s="124"/>
      <c r="T335" s="126">
        <f>IFERROR(__xludf.DUMMYFUNCTION("""COMPUTED_VALUE"""),46057.0)</f>
        <v>46057</v>
      </c>
      <c r="U335" s="124" t="str">
        <f>IFERROR(__xludf.DUMMYFUNCTION("""COMPUTED_VALUE"""),"Walk-Ins")</f>
        <v>Walk-Ins</v>
      </c>
      <c r="V335" s="124" t="str">
        <f>IFERROR(__xludf.DUMMYFUNCTION("""COMPUTED_VALUE"""),"Walkin")</f>
        <v>Walkin</v>
      </c>
      <c r="W335" s="124" t="str">
        <f>IFERROR(__xludf.DUMMYFUNCTION("""COMPUTED_VALUE"""),"Delhi")</f>
        <v>Delhi</v>
      </c>
      <c r="X335" s="124" t="str">
        <f>IFERROR(__xludf.DUMMYFUNCTION("""COMPUTED_VALUE"""),"walkin")</f>
        <v>walkin</v>
      </c>
      <c r="Y335" s="124" t="str">
        <f>IFERROR(__xludf.DUMMYFUNCTION("""COMPUTED_VALUE"""),"Delhi")</f>
        <v>Delhi</v>
      </c>
      <c r="Z335" s="124">
        <f>IFERROR(__xludf.DUMMYFUNCTION("""COMPUTED_VALUE"""),7.0)</f>
        <v>7</v>
      </c>
      <c r="AA335" s="124" t="str">
        <f>IFERROR(__xludf.DUMMYFUNCTION("""COMPUTED_VALUE"""),"Cold")</f>
        <v>Cold</v>
      </c>
      <c r="AB335" s="124" t="str">
        <f>IFERROR(__xludf.DUMMYFUNCTION("""COMPUTED_VALUE"""),"GS Foundation")</f>
        <v>GS Foundation</v>
      </c>
    </row>
    <row r="336">
      <c r="A336" s="129">
        <f>IFERROR(__xludf.DUMMYFUNCTION("""COMPUTED_VALUE"""),46092.0)</f>
        <v>46092</v>
      </c>
      <c r="B336" s="124" t="str">
        <f>IFERROR(__xludf.DUMMYFUNCTION("""COMPUTED_VALUE"""),"Walkin")</f>
        <v>Walkin</v>
      </c>
      <c r="C336" s="124" t="str">
        <f>IFERROR(__xludf.DUMMYFUNCTION("""COMPUTED_VALUE"""),"Prayagraj")</f>
        <v>Prayagraj</v>
      </c>
      <c r="D336" s="124" t="str">
        <f>IFERROR(__xludf.DUMMYFUNCTION("""COMPUTED_VALUE"""),"Primary_Walkin")</f>
        <v>Primary_Walkin</v>
      </c>
      <c r="E336" s="127">
        <f>IFERROR(__xludf.DUMMYFUNCTION("""COMPUTED_VALUE"""),3.0)</f>
        <v>3</v>
      </c>
      <c r="F336" s="128" t="str">
        <f>IFERROR(__xludf.DUMMYFUNCTION("""COMPUTED_VALUE"""),"Cold")</f>
        <v>Cold</v>
      </c>
      <c r="G336" s="124" t="str">
        <f>IFERROR(__xludf.DUMMYFUNCTION("""COMPUTED_VALUE"""),"State PCS")</f>
        <v>State PCS</v>
      </c>
      <c r="K336" s="124"/>
      <c r="L336" s="124"/>
      <c r="M336" s="124"/>
      <c r="N336" s="124"/>
      <c r="O336" s="124"/>
      <c r="T336" s="126">
        <f>IFERROR(__xludf.DUMMYFUNCTION("""COMPUTED_VALUE"""),46051.0)</f>
        <v>46051</v>
      </c>
      <c r="U336" s="124" t="str">
        <f>IFERROR(__xludf.DUMMYFUNCTION("""COMPUTED_VALUE"""),"Walk-Ins")</f>
        <v>Walk-Ins</v>
      </c>
      <c r="V336" s="124" t="str">
        <f>IFERROR(__xludf.DUMMYFUNCTION("""COMPUTED_VALUE"""),"Walkin")</f>
        <v>Walkin</v>
      </c>
      <c r="W336" s="124" t="str">
        <f>IFERROR(__xludf.DUMMYFUNCTION("""COMPUTED_VALUE"""),"Delhi")</f>
        <v>Delhi</v>
      </c>
      <c r="X336" s="124" t="str">
        <f>IFERROR(__xludf.DUMMYFUNCTION("""COMPUTED_VALUE"""),"walkin")</f>
        <v>walkin</v>
      </c>
      <c r="Y336" s="124" t="str">
        <f>IFERROR(__xludf.DUMMYFUNCTION("""COMPUTED_VALUE"""),"Delhi")</f>
        <v>Delhi</v>
      </c>
      <c r="Z336" s="124">
        <f>IFERROR(__xludf.DUMMYFUNCTION("""COMPUTED_VALUE"""),3.0)</f>
        <v>3</v>
      </c>
      <c r="AA336" s="124" t="str">
        <f>IFERROR(__xludf.DUMMYFUNCTION("""COMPUTED_VALUE"""),"Not Interested")</f>
        <v>Not Interested</v>
      </c>
      <c r="AB336" s="124" t="str">
        <f>IFERROR(__xludf.DUMMYFUNCTION("""COMPUTED_VALUE"""),"GS Foundation")</f>
        <v>GS Foundation</v>
      </c>
    </row>
    <row r="337">
      <c r="A337" s="129">
        <f>IFERROR(__xludf.DUMMYFUNCTION("""COMPUTED_VALUE"""),46107.0)</f>
        <v>46107</v>
      </c>
      <c r="B337" s="124" t="str">
        <f>IFERROR(__xludf.DUMMYFUNCTION("""COMPUTED_VALUE"""),"Walkin")</f>
        <v>Walkin</v>
      </c>
      <c r="C337" s="124" t="str">
        <f>IFERROR(__xludf.DUMMYFUNCTION("""COMPUTED_VALUE"""),"Prayagraj")</f>
        <v>Prayagraj</v>
      </c>
      <c r="D337" s="124" t="str">
        <f>IFERROR(__xludf.DUMMYFUNCTION("""COMPUTED_VALUE"""),"Primary_Walkin")</f>
        <v>Primary_Walkin</v>
      </c>
      <c r="E337" s="127">
        <f>IFERROR(__xludf.DUMMYFUNCTION("""COMPUTED_VALUE"""),3.0)</f>
        <v>3</v>
      </c>
      <c r="F337" s="128" t="str">
        <f>IFERROR(__xludf.DUMMYFUNCTION("""COMPUTED_VALUE"""),"Warm")</f>
        <v>Warm</v>
      </c>
      <c r="G337" s="124" t="str">
        <f>IFERROR(__xludf.DUMMYFUNCTION("""COMPUTED_VALUE"""),"GS Foundation")</f>
        <v>GS Foundation</v>
      </c>
      <c r="K337" s="124"/>
      <c r="L337" s="124"/>
      <c r="M337" s="124"/>
      <c r="N337" s="124"/>
      <c r="O337" s="124"/>
      <c r="T337" s="126">
        <f>IFERROR(__xludf.DUMMYFUNCTION("""COMPUTED_VALUE"""),46090.0)</f>
        <v>46090</v>
      </c>
      <c r="U337" s="124" t="str">
        <f>IFERROR(__xludf.DUMMYFUNCTION("""COMPUTED_VALUE"""),"Walk-Ins")</f>
        <v>Walk-Ins</v>
      </c>
      <c r="V337" s="124" t="str">
        <f>IFERROR(__xludf.DUMMYFUNCTION("""COMPUTED_VALUE"""),"Walkin")</f>
        <v>Walkin</v>
      </c>
      <c r="W337" s="124" t="str">
        <f>IFERROR(__xludf.DUMMYFUNCTION("""COMPUTED_VALUE"""),"Delhi")</f>
        <v>Delhi</v>
      </c>
      <c r="X337" s="124" t="str">
        <f>IFERROR(__xludf.DUMMYFUNCTION("""COMPUTED_VALUE"""),"walkin")</f>
        <v>walkin</v>
      </c>
      <c r="Y337" s="124" t="str">
        <f>IFERROR(__xludf.DUMMYFUNCTION("""COMPUTED_VALUE"""),"Delhi")</f>
        <v>Delhi</v>
      </c>
      <c r="Z337" s="124">
        <f>IFERROR(__xludf.DUMMYFUNCTION("""COMPUTED_VALUE"""),2.0)</f>
        <v>2</v>
      </c>
      <c r="AA337" s="124" t="str">
        <f>IFERROR(__xludf.DUMMYFUNCTION("""COMPUTED_VALUE"""),"Future Prospects")</f>
        <v>Future Prospects</v>
      </c>
      <c r="AB337" s="124" t="str">
        <f>IFERROR(__xludf.DUMMYFUNCTION("""COMPUTED_VALUE"""),"GS Foundation")</f>
        <v>GS Foundation</v>
      </c>
    </row>
    <row r="338">
      <c r="A338" s="126">
        <f>IFERROR(__xludf.DUMMYFUNCTION("""COMPUTED_VALUE"""),46064.0)</f>
        <v>46064</v>
      </c>
      <c r="B338" s="124" t="str">
        <f>IFERROR(__xludf.DUMMYFUNCTION("""COMPUTED_VALUE"""),"Walkin")</f>
        <v>Walkin</v>
      </c>
      <c r="C338" s="124" t="str">
        <f>IFERROR(__xludf.DUMMYFUNCTION("""COMPUTED_VALUE"""),"Prayagraj")</f>
        <v>Prayagraj</v>
      </c>
      <c r="D338" s="124" t="str">
        <f>IFERROR(__xludf.DUMMYFUNCTION("""COMPUTED_VALUE"""),"Primary_Walkin")</f>
        <v>Primary_Walkin</v>
      </c>
      <c r="E338" s="127">
        <f>IFERROR(__xludf.DUMMYFUNCTION("""COMPUTED_VALUE"""),2.0)</f>
        <v>2</v>
      </c>
      <c r="F338" s="128" t="str">
        <f>IFERROR(__xludf.DUMMYFUNCTION("""COMPUTED_VALUE"""),"Enrolled")</f>
        <v>Enrolled</v>
      </c>
      <c r="G338" s="124" t="str">
        <f>IFERROR(__xludf.DUMMYFUNCTION("""COMPUTED_VALUE"""),"GS Foundation")</f>
        <v>GS Foundation</v>
      </c>
      <c r="K338" s="124"/>
      <c r="L338" s="124"/>
      <c r="M338" s="124"/>
      <c r="N338" s="124"/>
      <c r="O338" s="124"/>
      <c r="T338" s="126">
        <f>IFERROR(__xludf.DUMMYFUNCTION("""COMPUTED_VALUE"""),46100.0)</f>
        <v>46100</v>
      </c>
      <c r="U338" s="124" t="str">
        <f>IFERROR(__xludf.DUMMYFUNCTION("""COMPUTED_VALUE"""),"Walk-Ins")</f>
        <v>Walk-Ins</v>
      </c>
      <c r="V338" s="124" t="str">
        <f>IFERROR(__xludf.DUMMYFUNCTION("""COMPUTED_VALUE"""),"Walkin")</f>
        <v>Walkin</v>
      </c>
      <c r="W338" s="124" t="str">
        <f>IFERROR(__xludf.DUMMYFUNCTION("""COMPUTED_VALUE"""),"Delhi")</f>
        <v>Delhi</v>
      </c>
      <c r="X338" s="124" t="str">
        <f>IFERROR(__xludf.DUMMYFUNCTION("""COMPUTED_VALUE"""),"walkin")</f>
        <v>walkin</v>
      </c>
      <c r="Y338" s="124" t="str">
        <f>IFERROR(__xludf.DUMMYFUNCTION("""COMPUTED_VALUE"""),"Delhi")</f>
        <v>Delhi</v>
      </c>
      <c r="Z338" s="124">
        <f>IFERROR(__xludf.DUMMYFUNCTION("""COMPUTED_VALUE"""),8.0)</f>
        <v>8</v>
      </c>
      <c r="AA338" s="124" t="str">
        <f>IFERROR(__xludf.DUMMYFUNCTION("""COMPUTED_VALUE"""),"Future Prospects")</f>
        <v>Future Prospects</v>
      </c>
      <c r="AB338" s="124" t="str">
        <f>IFERROR(__xludf.DUMMYFUNCTION("""COMPUTED_VALUE"""),"GS Foundation")</f>
        <v>GS Foundation</v>
      </c>
    </row>
    <row r="339">
      <c r="A339" s="126">
        <f>IFERROR(__xludf.DUMMYFUNCTION("""COMPUTED_VALUE"""),46079.0)</f>
        <v>46079</v>
      </c>
      <c r="B339" s="124" t="str">
        <f>IFERROR(__xludf.DUMMYFUNCTION("""COMPUTED_VALUE"""),"Walkin")</f>
        <v>Walkin</v>
      </c>
      <c r="C339" s="124" t="str">
        <f>IFERROR(__xludf.DUMMYFUNCTION("""COMPUTED_VALUE"""),"Prayagraj")</f>
        <v>Prayagraj</v>
      </c>
      <c r="D339" s="124" t="str">
        <f>IFERROR(__xludf.DUMMYFUNCTION("""COMPUTED_VALUE"""),"Primary_Walkin")</f>
        <v>Primary_Walkin</v>
      </c>
      <c r="E339" s="127">
        <f>IFERROR(__xludf.DUMMYFUNCTION("""COMPUTED_VALUE"""),1.0)</f>
        <v>1</v>
      </c>
      <c r="F339" s="128" t="str">
        <f>IFERROR(__xludf.DUMMYFUNCTION("""COMPUTED_VALUE"""),"Cold")</f>
        <v>Cold</v>
      </c>
      <c r="G339" s="124" t="str">
        <f>IFERROR(__xludf.DUMMYFUNCTION("""COMPUTED_VALUE"""),"GS Foundation")</f>
        <v>GS Foundation</v>
      </c>
      <c r="K339" s="124"/>
      <c r="L339" s="124"/>
      <c r="M339" s="124"/>
      <c r="N339" s="124"/>
      <c r="O339" s="124"/>
      <c r="T339" s="126">
        <f>IFERROR(__xludf.DUMMYFUNCTION("""COMPUTED_VALUE"""),46044.0)</f>
        <v>46044</v>
      </c>
      <c r="U339" s="124" t="str">
        <f>IFERROR(__xludf.DUMMYFUNCTION("""COMPUTED_VALUE"""),"External Leads")</f>
        <v>External Leads</v>
      </c>
      <c r="V339" s="124" t="str">
        <f>IFERROR(__xludf.DUMMYFUNCTION("""COMPUTED_VALUE"""),"external leads")</f>
        <v>external leads</v>
      </c>
      <c r="W339" s="124" t="str">
        <f>IFERROR(__xludf.DUMMYFUNCTION("""COMPUTED_VALUE"""),"lucknow")</f>
        <v>lucknow</v>
      </c>
      <c r="X339" s="124" t="str">
        <f>IFERROR(__xludf.DUMMYFUNCTION("""COMPUTED_VALUE"""),"university")</f>
        <v>university</v>
      </c>
      <c r="Y339" s="124" t="str">
        <f>IFERROR(__xludf.DUMMYFUNCTION("""COMPUTED_VALUE"""),"Lucknow")</f>
        <v>Lucknow</v>
      </c>
      <c r="Z339" s="124">
        <f>IFERROR(__xludf.DUMMYFUNCTION("""COMPUTED_VALUE"""),18.0)</f>
        <v>18</v>
      </c>
      <c r="AA339" s="124" t="str">
        <f>IFERROR(__xludf.DUMMYFUNCTION("""COMPUTED_VALUE"""),"Cold")</f>
        <v>Cold</v>
      </c>
      <c r="AB339" s="124"/>
    </row>
    <row r="340">
      <c r="A340" s="126">
        <f>IFERROR(__xludf.DUMMYFUNCTION("""COMPUTED_VALUE"""),46093.0)</f>
        <v>46093</v>
      </c>
      <c r="B340" s="124" t="str">
        <f>IFERROR(__xludf.DUMMYFUNCTION("""COMPUTED_VALUE"""),"Walk-In")</f>
        <v>Walk-In</v>
      </c>
      <c r="C340" s="124" t="str">
        <f>IFERROR(__xludf.DUMMYFUNCTION("""COMPUTED_VALUE"""),"Prayagraj")</f>
        <v>Prayagraj</v>
      </c>
      <c r="D340" s="124" t="str">
        <f>IFERROR(__xludf.DUMMYFUNCTION("""COMPUTED_VALUE"""),"Primary_Walkin")</f>
        <v>Primary_Walkin</v>
      </c>
      <c r="E340" s="127">
        <f>IFERROR(__xludf.DUMMYFUNCTION("""COMPUTED_VALUE"""),4.0)</f>
        <v>4</v>
      </c>
      <c r="F340" s="128" t="str">
        <f>IFERROR(__xludf.DUMMYFUNCTION("""COMPUTED_VALUE"""),"Warm")</f>
        <v>Warm</v>
      </c>
      <c r="G340" s="124" t="str">
        <f>IFERROR(__xludf.DUMMYFUNCTION("""COMPUTED_VALUE"""),"GS Foundation")</f>
        <v>GS Foundation</v>
      </c>
      <c r="K340" s="124"/>
      <c r="L340" s="124"/>
      <c r="M340" s="124"/>
      <c r="N340" s="124"/>
      <c r="O340" s="124"/>
      <c r="T340" s="126">
        <f>IFERROR(__xludf.DUMMYFUNCTION("""COMPUTED_VALUE"""),46094.0)</f>
        <v>46094</v>
      </c>
      <c r="U340" s="124" t="str">
        <f>IFERROR(__xludf.DUMMYFUNCTION("""COMPUTED_VALUE"""),"External Leads")</f>
        <v>External Leads</v>
      </c>
      <c r="V340" s="124" t="str">
        <f>IFERROR(__xludf.DUMMYFUNCTION("""COMPUTED_VALUE"""),"external leads")</f>
        <v>external leads</v>
      </c>
      <c r="W340" s="124" t="str">
        <f>IFERROR(__xludf.DUMMYFUNCTION("""COMPUTED_VALUE"""),"delhi")</f>
        <v>delhi</v>
      </c>
      <c r="X340" s="124" t="str">
        <f>IFERROR(__xludf.DUMMYFUNCTION("""COMPUTED_VALUE"""),"delhi bulk - piyush")</f>
        <v>delhi bulk - piyush</v>
      </c>
      <c r="Y340" s="124" t="str">
        <f>IFERROR(__xludf.DUMMYFUNCTION("""COMPUTED_VALUE"""),"Delhi")</f>
        <v>Delhi</v>
      </c>
      <c r="Z340" s="124">
        <f>IFERROR(__xludf.DUMMYFUNCTION("""COMPUTED_VALUE"""),6.0)</f>
        <v>6</v>
      </c>
      <c r="AA340" s="124" t="str">
        <f>IFERROR(__xludf.DUMMYFUNCTION("""COMPUTED_VALUE"""),"Cold")</f>
        <v>Cold</v>
      </c>
      <c r="AB340" s="124"/>
    </row>
    <row r="341">
      <c r="A341" s="126">
        <f>IFERROR(__xludf.DUMMYFUNCTION("""COMPUTED_VALUE"""),46099.0)</f>
        <v>46099</v>
      </c>
      <c r="B341" s="124" t="str">
        <f>IFERROR(__xludf.DUMMYFUNCTION("""COMPUTED_VALUE"""),"Walkin")</f>
        <v>Walkin</v>
      </c>
      <c r="C341" s="124" t="str">
        <f>IFERROR(__xludf.DUMMYFUNCTION("""COMPUTED_VALUE"""),"Prayagraj")</f>
        <v>Prayagraj</v>
      </c>
      <c r="D341" s="124" t="str">
        <f>IFERROR(__xludf.DUMMYFUNCTION("""COMPUTED_VALUE"""),"Primary_Walkin")</f>
        <v>Primary_Walkin</v>
      </c>
      <c r="E341" s="127">
        <f>IFERROR(__xludf.DUMMYFUNCTION("""COMPUTED_VALUE"""),3.0)</f>
        <v>3</v>
      </c>
      <c r="F341" s="128" t="str">
        <f>IFERROR(__xludf.DUMMYFUNCTION("""COMPUTED_VALUE"""),"Future Prospects")</f>
        <v>Future Prospects</v>
      </c>
      <c r="G341" s="124" t="str">
        <f>IFERROR(__xludf.DUMMYFUNCTION("""COMPUTED_VALUE"""),"Mentorship")</f>
        <v>Mentorship</v>
      </c>
      <c r="K341" s="124"/>
      <c r="L341" s="124"/>
      <c r="M341" s="124"/>
      <c r="N341" s="124"/>
      <c r="O341" s="124"/>
      <c r="T341" s="126">
        <f>IFERROR(__xludf.DUMMYFUNCTION("""COMPUTED_VALUE"""),46061.0)</f>
        <v>46061</v>
      </c>
      <c r="U341" s="124" t="str">
        <f>IFERROR(__xludf.DUMMYFUNCTION("""COMPUTED_VALUE"""),"Walk-Ins")</f>
        <v>Walk-Ins</v>
      </c>
      <c r="V341" s="124" t="str">
        <f>IFERROR(__xludf.DUMMYFUNCTION("""COMPUTED_VALUE"""),"Walkin")</f>
        <v>Walkin</v>
      </c>
      <c r="W341" s="124" t="str">
        <f>IFERROR(__xludf.DUMMYFUNCTION("""COMPUTED_VALUE"""),"Delhi")</f>
        <v>Delhi</v>
      </c>
      <c r="X341" s="124" t="str">
        <f>IFERROR(__xludf.DUMMYFUNCTION("""COMPUTED_VALUE"""),"walkin")</f>
        <v>walkin</v>
      </c>
      <c r="Y341" s="124" t="str">
        <f>IFERROR(__xludf.DUMMYFUNCTION("""COMPUTED_VALUE"""),"Delhi")</f>
        <v>Delhi</v>
      </c>
      <c r="Z341" s="124">
        <f>IFERROR(__xludf.DUMMYFUNCTION("""COMPUTED_VALUE"""),2.0)</f>
        <v>2</v>
      </c>
      <c r="AA341" s="124" t="str">
        <f>IFERROR(__xludf.DUMMYFUNCTION("""COMPUTED_VALUE"""),"Future Prospects")</f>
        <v>Future Prospects</v>
      </c>
      <c r="AB341" s="124" t="str">
        <f>IFERROR(__xludf.DUMMYFUNCTION("""COMPUTED_VALUE"""),"GS Foundation")</f>
        <v>GS Foundation</v>
      </c>
    </row>
    <row r="342">
      <c r="A342" s="126">
        <f>IFERROR(__xludf.DUMMYFUNCTION("""COMPUTED_VALUE"""),46059.0)</f>
        <v>46059</v>
      </c>
      <c r="B342" s="124" t="str">
        <f>IFERROR(__xludf.DUMMYFUNCTION("""COMPUTED_VALUE"""),"Walk-In")</f>
        <v>Walk-In</v>
      </c>
      <c r="C342" s="124" t="str">
        <f>IFERROR(__xludf.DUMMYFUNCTION("""COMPUTED_VALUE"""),"Prayagraj")</f>
        <v>Prayagraj</v>
      </c>
      <c r="D342" s="124" t="str">
        <f>IFERROR(__xludf.DUMMYFUNCTION("""COMPUTED_VALUE"""),"Primary_Walkin")</f>
        <v>Primary_Walkin</v>
      </c>
      <c r="E342" s="127">
        <f>IFERROR(__xludf.DUMMYFUNCTION("""COMPUTED_VALUE"""),2.0)</f>
        <v>2</v>
      </c>
      <c r="F342" s="128" t="str">
        <f>IFERROR(__xludf.DUMMYFUNCTION("""COMPUTED_VALUE"""),"Cold")</f>
        <v>Cold</v>
      </c>
      <c r="G342" s="124" t="str">
        <f>IFERROR(__xludf.DUMMYFUNCTION("""COMPUTED_VALUE"""),"Other")</f>
        <v>Other</v>
      </c>
      <c r="K342" s="124"/>
      <c r="L342" s="124"/>
      <c r="M342" s="124"/>
      <c r="N342" s="124"/>
      <c r="O342" s="124"/>
      <c r="T342" s="126">
        <f>IFERROR(__xludf.DUMMYFUNCTION("""COMPUTED_VALUE"""),46045.0)</f>
        <v>46045</v>
      </c>
      <c r="U342" s="124" t="str">
        <f>IFERROR(__xludf.DUMMYFUNCTION("""COMPUTED_VALUE"""),"Walk-Ins")</f>
        <v>Walk-Ins</v>
      </c>
      <c r="V342" s="124" t="str">
        <f>IFERROR(__xludf.DUMMYFUNCTION("""COMPUTED_VALUE"""),"walk-in")</f>
        <v>walk-in</v>
      </c>
      <c r="W342" s="124" t="str">
        <f>IFERROR(__xludf.DUMMYFUNCTION("""COMPUTED_VALUE"""),"indore")</f>
        <v>indore</v>
      </c>
      <c r="X342" s="124" t="str">
        <f>IFERROR(__xludf.DUMMYFUNCTION("""COMPUTED_VALUE"""),"suraj sharma")</f>
        <v>suraj sharma</v>
      </c>
      <c r="Y342" s="124"/>
      <c r="Z342" s="124">
        <f>IFERROR(__xludf.DUMMYFUNCTION("""COMPUTED_VALUE"""),1.0)</f>
        <v>1</v>
      </c>
      <c r="AA342" s="124" t="str">
        <f>IFERROR(__xludf.DUMMYFUNCTION("""COMPUTED_VALUE"""),"Enrolled")</f>
        <v>Enrolled</v>
      </c>
      <c r="AB342" s="124" t="str">
        <f>IFERROR(__xludf.DUMMYFUNCTION("""COMPUTED_VALUE"""),"GS Foundation")</f>
        <v>GS Foundation</v>
      </c>
    </row>
    <row r="343">
      <c r="A343" s="126">
        <f>IFERROR(__xludf.DUMMYFUNCTION("""COMPUTED_VALUE"""),46064.0)</f>
        <v>46064</v>
      </c>
      <c r="B343" s="124" t="str">
        <f>IFERROR(__xludf.DUMMYFUNCTION("""COMPUTED_VALUE"""),"Walkin")</f>
        <v>Walkin</v>
      </c>
      <c r="C343" s="124" t="str">
        <f>IFERROR(__xludf.DUMMYFUNCTION("""COMPUTED_VALUE"""),"Prayagraj")</f>
        <v>Prayagraj</v>
      </c>
      <c r="D343" s="124" t="str">
        <f>IFERROR(__xludf.DUMMYFUNCTION("""COMPUTED_VALUE"""),"Primary_Walkin")</f>
        <v>Primary_Walkin</v>
      </c>
      <c r="E343" s="127">
        <f>IFERROR(__xludf.DUMMYFUNCTION("""COMPUTED_VALUE"""),1.0)</f>
        <v>1</v>
      </c>
      <c r="F343" s="128" t="str">
        <f>IFERROR(__xludf.DUMMYFUNCTION("""COMPUTED_VALUE"""),"Future Prospects")</f>
        <v>Future Prospects</v>
      </c>
      <c r="G343" s="124" t="str">
        <f>IFERROR(__xludf.DUMMYFUNCTION("""COMPUTED_VALUE"""),"GS Foundation")</f>
        <v>GS Foundation</v>
      </c>
      <c r="K343" s="124"/>
      <c r="L343" s="124"/>
      <c r="M343" s="124"/>
      <c r="N343" s="124"/>
      <c r="O343" s="124"/>
      <c r="T343" s="126">
        <f>IFERROR(__xludf.DUMMYFUNCTION("""COMPUTED_VALUE"""),46073.0)</f>
        <v>46073</v>
      </c>
      <c r="U343" s="124" t="str">
        <f>IFERROR(__xludf.DUMMYFUNCTION("""COMPUTED_VALUE"""),"Walk-Ins")</f>
        <v>Walk-Ins</v>
      </c>
      <c r="V343" s="124" t="str">
        <f>IFERROR(__xludf.DUMMYFUNCTION("""COMPUTED_VALUE"""),"Walkin")</f>
        <v>Walkin</v>
      </c>
      <c r="W343" s="124" t="str">
        <f>IFERROR(__xludf.DUMMYFUNCTION("""COMPUTED_VALUE"""),"Delhi")</f>
        <v>Delhi</v>
      </c>
      <c r="X343" s="124" t="str">
        <f>IFERROR(__xludf.DUMMYFUNCTION("""COMPUTED_VALUE"""),"walkin")</f>
        <v>walkin</v>
      </c>
      <c r="Y343" s="124" t="str">
        <f>IFERROR(__xludf.DUMMYFUNCTION("""COMPUTED_VALUE"""),"Delhi")</f>
        <v>Delhi</v>
      </c>
      <c r="Z343" s="124">
        <f>IFERROR(__xludf.DUMMYFUNCTION("""COMPUTED_VALUE"""),2.0)</f>
        <v>2</v>
      </c>
      <c r="AA343" s="124" t="str">
        <f>IFERROR(__xludf.DUMMYFUNCTION("""COMPUTED_VALUE"""),"Cold")</f>
        <v>Cold</v>
      </c>
      <c r="AB343" s="124" t="str">
        <f>IFERROR(__xludf.DUMMYFUNCTION("""COMPUTED_VALUE"""),"GS Foundation")</f>
        <v>GS Foundation</v>
      </c>
    </row>
    <row r="344">
      <c r="A344" s="126">
        <f>IFERROR(__xludf.DUMMYFUNCTION("""COMPUTED_VALUE"""),46097.0)</f>
        <v>46097</v>
      </c>
      <c r="B344" s="124" t="str">
        <f>IFERROR(__xludf.DUMMYFUNCTION("""COMPUTED_VALUE"""),"Walkin")</f>
        <v>Walkin</v>
      </c>
      <c r="C344" s="124" t="str">
        <f>IFERROR(__xludf.DUMMYFUNCTION("""COMPUTED_VALUE"""),"Prayagraj")</f>
        <v>Prayagraj</v>
      </c>
      <c r="D344" s="124" t="str">
        <f>IFERROR(__xludf.DUMMYFUNCTION("""COMPUTED_VALUE"""),"Primary_Walkin")</f>
        <v>Primary_Walkin</v>
      </c>
      <c r="E344" s="127">
        <f>IFERROR(__xludf.DUMMYFUNCTION("""COMPUTED_VALUE"""),4.0)</f>
        <v>4</v>
      </c>
      <c r="F344" s="128" t="str">
        <f>IFERROR(__xludf.DUMMYFUNCTION("""COMPUTED_VALUE"""),"Future Prospects")</f>
        <v>Future Prospects</v>
      </c>
      <c r="G344" s="124" t="str">
        <f>IFERROR(__xludf.DUMMYFUNCTION("""COMPUTED_VALUE"""),"GS Foundation")</f>
        <v>GS Foundation</v>
      </c>
      <c r="K344" s="124"/>
      <c r="L344" s="124"/>
      <c r="M344" s="124"/>
      <c r="N344" s="124"/>
      <c r="O344" s="124"/>
      <c r="T344" s="126">
        <f>IFERROR(__xludf.DUMMYFUNCTION("""COMPUTED_VALUE"""),46061.0)</f>
        <v>46061</v>
      </c>
      <c r="U344" s="124" t="str">
        <f>IFERROR(__xludf.DUMMYFUNCTION("""COMPUTED_VALUE"""),"Walk-Ins")</f>
        <v>Walk-Ins</v>
      </c>
      <c r="V344" s="124" t="str">
        <f>IFERROR(__xludf.DUMMYFUNCTION("""COMPUTED_VALUE"""),"Walkin")</f>
        <v>Walkin</v>
      </c>
      <c r="W344" s="124" t="str">
        <f>IFERROR(__xludf.DUMMYFUNCTION("""COMPUTED_VALUE"""),"Delhi")</f>
        <v>Delhi</v>
      </c>
      <c r="X344" s="124" t="str">
        <f>IFERROR(__xludf.DUMMYFUNCTION("""COMPUTED_VALUE"""),"walkin")</f>
        <v>walkin</v>
      </c>
      <c r="Y344" s="124" t="str">
        <f>IFERROR(__xludf.DUMMYFUNCTION("""COMPUTED_VALUE"""),"Delhi")</f>
        <v>Delhi</v>
      </c>
      <c r="Z344" s="124">
        <f>IFERROR(__xludf.DUMMYFUNCTION("""COMPUTED_VALUE"""),5.0)</f>
        <v>5</v>
      </c>
      <c r="AA344" s="124" t="str">
        <f>IFERROR(__xludf.DUMMYFUNCTION("""COMPUTED_VALUE"""),"Cold")</f>
        <v>Cold</v>
      </c>
      <c r="AB344" s="124" t="str">
        <f>IFERROR(__xludf.DUMMYFUNCTION("""COMPUTED_VALUE"""),"GS Foundation")</f>
        <v>GS Foundation</v>
      </c>
    </row>
    <row r="345">
      <c r="A345" s="126">
        <f>IFERROR(__xludf.DUMMYFUNCTION("""COMPUTED_VALUE"""),46056.0)</f>
        <v>46056</v>
      </c>
      <c r="B345" s="124" t="str">
        <f>IFERROR(__xludf.DUMMYFUNCTION("""COMPUTED_VALUE"""),"Walk-In")</f>
        <v>Walk-In</v>
      </c>
      <c r="C345" s="124" t="str">
        <f>IFERROR(__xludf.DUMMYFUNCTION("""COMPUTED_VALUE"""),"Prayagraj")</f>
        <v>Prayagraj</v>
      </c>
      <c r="D345" s="124" t="str">
        <f>IFERROR(__xludf.DUMMYFUNCTION("""COMPUTED_VALUE"""),"Primary_Walkin")</f>
        <v>Primary_Walkin</v>
      </c>
      <c r="E345" s="127">
        <f>IFERROR(__xludf.DUMMYFUNCTION("""COMPUTED_VALUE"""),1.0)</f>
        <v>1</v>
      </c>
      <c r="F345" s="128" t="str">
        <f>IFERROR(__xludf.DUMMYFUNCTION("""COMPUTED_VALUE"""),"Future Prospects")</f>
        <v>Future Prospects</v>
      </c>
      <c r="G345" s="124" t="str">
        <f>IFERROR(__xludf.DUMMYFUNCTION("""COMPUTED_VALUE"""),"Other")</f>
        <v>Other</v>
      </c>
      <c r="K345" s="124"/>
      <c r="L345" s="124"/>
      <c r="M345" s="124"/>
      <c r="N345" s="124"/>
      <c r="O345" s="124"/>
      <c r="T345" s="129">
        <f>IFERROR(__xludf.DUMMYFUNCTION("""COMPUTED_VALUE"""),46056.0)</f>
        <v>46056</v>
      </c>
      <c r="U345" s="124" t="str">
        <f>IFERROR(__xludf.DUMMYFUNCTION("""COMPUTED_VALUE"""),"Walk-Ins")</f>
        <v>Walk-Ins</v>
      </c>
      <c r="V345" s="124" t="str">
        <f>IFERROR(__xludf.DUMMYFUNCTION("""COMPUTED_VALUE"""),"Walkin")</f>
        <v>Walkin</v>
      </c>
      <c r="W345" s="124" t="str">
        <f>IFERROR(__xludf.DUMMYFUNCTION("""COMPUTED_VALUE"""),"Delhi")</f>
        <v>Delhi</v>
      </c>
      <c r="X345" s="124" t="str">
        <f>IFERROR(__xludf.DUMMYFUNCTION("""COMPUTED_VALUE"""),"walkin")</f>
        <v>walkin</v>
      </c>
      <c r="Y345" s="124" t="str">
        <f>IFERROR(__xludf.DUMMYFUNCTION("""COMPUTED_VALUE"""),"Delhi")</f>
        <v>Delhi</v>
      </c>
      <c r="Z345" s="124">
        <f>IFERROR(__xludf.DUMMYFUNCTION("""COMPUTED_VALUE"""),3.0)</f>
        <v>3</v>
      </c>
      <c r="AA345" s="124" t="str">
        <f>IFERROR(__xludf.DUMMYFUNCTION("""COMPUTED_VALUE"""),"Enrolled")</f>
        <v>Enrolled</v>
      </c>
      <c r="AB345" s="124" t="str">
        <f>IFERROR(__xludf.DUMMYFUNCTION("""COMPUTED_VALUE"""),"GS Foundation")</f>
        <v>GS Foundation</v>
      </c>
    </row>
    <row r="346">
      <c r="A346" s="126">
        <f>IFERROR(__xludf.DUMMYFUNCTION("""COMPUTED_VALUE"""),46079.0)</f>
        <v>46079</v>
      </c>
      <c r="B346" s="124" t="str">
        <f>IFERROR(__xludf.DUMMYFUNCTION("""COMPUTED_VALUE"""),"Walkin")</f>
        <v>Walkin</v>
      </c>
      <c r="C346" s="124" t="str">
        <f>IFERROR(__xludf.DUMMYFUNCTION("""COMPUTED_VALUE"""),"Prayagraj")</f>
        <v>Prayagraj</v>
      </c>
      <c r="D346" s="124" t="str">
        <f>IFERROR(__xludf.DUMMYFUNCTION("""COMPUTED_VALUE"""),"Primary_Walkin")</f>
        <v>Primary_Walkin</v>
      </c>
      <c r="E346" s="127">
        <f>IFERROR(__xludf.DUMMYFUNCTION("""COMPUTED_VALUE"""),1.0)</f>
        <v>1</v>
      </c>
      <c r="F346" s="128" t="str">
        <f>IFERROR(__xludf.DUMMYFUNCTION("""COMPUTED_VALUE"""),"Warm")</f>
        <v>Warm</v>
      </c>
      <c r="G346" s="124" t="str">
        <f>IFERROR(__xludf.DUMMYFUNCTION("""COMPUTED_VALUE"""),"State PCS")</f>
        <v>State PCS</v>
      </c>
      <c r="K346" s="124"/>
      <c r="L346" s="124"/>
      <c r="M346" s="124"/>
      <c r="N346" s="124"/>
      <c r="O346" s="124"/>
      <c r="T346" s="126">
        <f>IFERROR(__xludf.DUMMYFUNCTION("""COMPUTED_VALUE"""),46063.0)</f>
        <v>46063</v>
      </c>
      <c r="U346" s="124" t="str">
        <f>IFERROR(__xludf.DUMMYFUNCTION("""COMPUTED_VALUE"""),"Walk-Ins")</f>
        <v>Walk-Ins</v>
      </c>
      <c r="V346" s="124" t="str">
        <f>IFERROR(__xludf.DUMMYFUNCTION("""COMPUTED_VALUE"""),"Walkin")</f>
        <v>Walkin</v>
      </c>
      <c r="W346" s="124" t="str">
        <f>IFERROR(__xludf.DUMMYFUNCTION("""COMPUTED_VALUE"""),"Delhi")</f>
        <v>Delhi</v>
      </c>
      <c r="X346" s="124" t="str">
        <f>IFERROR(__xludf.DUMMYFUNCTION("""COMPUTED_VALUE"""),"walkin")</f>
        <v>walkin</v>
      </c>
      <c r="Y346" s="124" t="str">
        <f>IFERROR(__xludf.DUMMYFUNCTION("""COMPUTED_VALUE"""),"Delhi")</f>
        <v>Delhi</v>
      </c>
      <c r="Z346" s="124">
        <f>IFERROR(__xludf.DUMMYFUNCTION("""COMPUTED_VALUE"""),2.0)</f>
        <v>2</v>
      </c>
      <c r="AA346" s="124" t="str">
        <f>IFERROR(__xludf.DUMMYFUNCTION("""COMPUTED_VALUE"""),"Not Interested")</f>
        <v>Not Interested</v>
      </c>
      <c r="AB346" s="124" t="str">
        <f>IFERROR(__xludf.DUMMYFUNCTION("""COMPUTED_VALUE"""),"SIP Offline")</f>
        <v>SIP Offline</v>
      </c>
    </row>
    <row r="347">
      <c r="A347" s="126">
        <f>IFERROR(__xludf.DUMMYFUNCTION("""COMPUTED_VALUE"""),46104.0)</f>
        <v>46104</v>
      </c>
      <c r="B347" s="124" t="str">
        <f>IFERROR(__xludf.DUMMYFUNCTION("""COMPUTED_VALUE"""),"Inbound Call")</f>
        <v>Inbound Call</v>
      </c>
      <c r="C347" s="124" t="str">
        <f>IFERROR(__xludf.DUMMYFUNCTION("""COMPUTED_VALUE"""),"Prayagraj")</f>
        <v>Prayagraj</v>
      </c>
      <c r="D347" s="124" t="str">
        <f>IFERROR(__xludf.DUMMYFUNCTION("""COMPUTED_VALUE"""),"Secondary_Walkin")</f>
        <v>Secondary_Walkin</v>
      </c>
      <c r="E347" s="127">
        <f>IFERROR(__xludf.DUMMYFUNCTION("""COMPUTED_VALUE"""),1.0)</f>
        <v>1</v>
      </c>
      <c r="F347" s="128" t="str">
        <f>IFERROR(__xludf.DUMMYFUNCTION("""COMPUTED_VALUE"""),"Warm")</f>
        <v>Warm</v>
      </c>
      <c r="G347" s="124" t="str">
        <f>IFERROR(__xludf.DUMMYFUNCTION("""COMPUTED_VALUE"""),"Mentorship")</f>
        <v>Mentorship</v>
      </c>
      <c r="K347" s="124"/>
      <c r="L347" s="124"/>
      <c r="M347" s="124"/>
      <c r="N347" s="124"/>
      <c r="O347" s="124"/>
      <c r="T347" s="126">
        <f>IFERROR(__xludf.DUMMYFUNCTION("""COMPUTED_VALUE"""),46077.0)</f>
        <v>46077</v>
      </c>
      <c r="U347" s="124" t="str">
        <f>IFERROR(__xludf.DUMMYFUNCTION("""COMPUTED_VALUE"""),"Walk-Ins")</f>
        <v>Walk-Ins</v>
      </c>
      <c r="V347" s="124" t="str">
        <f>IFERROR(__xludf.DUMMYFUNCTION("""COMPUTED_VALUE"""),"Walkin")</f>
        <v>Walkin</v>
      </c>
      <c r="W347" s="124" t="str">
        <f>IFERROR(__xludf.DUMMYFUNCTION("""COMPUTED_VALUE"""),"Delhi")</f>
        <v>Delhi</v>
      </c>
      <c r="X347" s="124" t="str">
        <f>IFERROR(__xludf.DUMMYFUNCTION("""COMPUTED_VALUE"""),"walkin")</f>
        <v>walkin</v>
      </c>
      <c r="Y347" s="124" t="str">
        <f>IFERROR(__xludf.DUMMYFUNCTION("""COMPUTED_VALUE"""),"Delhi")</f>
        <v>Delhi</v>
      </c>
      <c r="Z347" s="124">
        <f>IFERROR(__xludf.DUMMYFUNCTION("""COMPUTED_VALUE"""),5.0)</f>
        <v>5</v>
      </c>
      <c r="AA347" s="124" t="str">
        <f>IFERROR(__xludf.DUMMYFUNCTION("""COMPUTED_VALUE"""),"Not Interested")</f>
        <v>Not Interested</v>
      </c>
      <c r="AB347" s="124" t="str">
        <f>IFERROR(__xludf.DUMMYFUNCTION("""COMPUTED_VALUE"""),"GS Foundation")</f>
        <v>GS Foundation</v>
      </c>
    </row>
    <row r="348">
      <c r="A348" s="126">
        <f>IFERROR(__xludf.DUMMYFUNCTION("""COMPUTED_VALUE"""),46055.0)</f>
        <v>46055</v>
      </c>
      <c r="B348" s="124" t="str">
        <f>IFERROR(__xludf.DUMMYFUNCTION("""COMPUTED_VALUE"""),"Walkin")</f>
        <v>Walkin</v>
      </c>
      <c r="C348" s="124" t="str">
        <f>IFERROR(__xludf.DUMMYFUNCTION("""COMPUTED_VALUE"""),"Delhi")</f>
        <v>Delhi</v>
      </c>
      <c r="D348" s="124" t="str">
        <f>IFERROR(__xludf.DUMMYFUNCTION("""COMPUTED_VALUE"""),"Primary_Walkin")</f>
        <v>Primary_Walkin</v>
      </c>
      <c r="E348" s="127">
        <f>IFERROR(__xludf.DUMMYFUNCTION("""COMPUTED_VALUE"""),1.0)</f>
        <v>1</v>
      </c>
      <c r="F348" s="128" t="str">
        <f>IFERROR(__xludf.DUMMYFUNCTION("""COMPUTED_VALUE"""),"Not Interested")</f>
        <v>Not Interested</v>
      </c>
      <c r="G348" s="124" t="str">
        <f>IFERROR(__xludf.DUMMYFUNCTION("""COMPUTED_VALUE"""),"State PCS")</f>
        <v>State PCS</v>
      </c>
      <c r="K348" s="124"/>
      <c r="L348" s="124"/>
      <c r="M348" s="124"/>
      <c r="N348" s="124"/>
      <c r="O348" s="124"/>
      <c r="T348" s="129">
        <f>IFERROR(__xludf.DUMMYFUNCTION("""COMPUTED_VALUE"""),46044.0)</f>
        <v>46044</v>
      </c>
      <c r="U348" s="124" t="str">
        <f>IFERROR(__xludf.DUMMYFUNCTION("""COMPUTED_VALUE"""),"External Leads")</f>
        <v>External Leads</v>
      </c>
      <c r="V348" s="124" t="str">
        <f>IFERROR(__xludf.DUMMYFUNCTION("""COMPUTED_VALUE"""),"external leads")</f>
        <v>external leads</v>
      </c>
      <c r="W348" s="124" t="str">
        <f>IFERROR(__xludf.DUMMYFUNCTION("""COMPUTED_VALUE"""),"lucknow")</f>
        <v>lucknow</v>
      </c>
      <c r="X348" s="124" t="str">
        <f>IFERROR(__xludf.DUMMYFUNCTION("""COMPUTED_VALUE"""),"university")</f>
        <v>university</v>
      </c>
      <c r="Y348" s="124" t="str">
        <f>IFERROR(__xludf.DUMMYFUNCTION("""COMPUTED_VALUE"""),"Lucknow")</f>
        <v>Lucknow</v>
      </c>
      <c r="Z348" s="124">
        <f>IFERROR(__xludf.DUMMYFUNCTION("""COMPUTED_VALUE"""),1.0)</f>
        <v>1</v>
      </c>
      <c r="AA348" s="124" t="str">
        <f>IFERROR(__xludf.DUMMYFUNCTION("""COMPUTED_VALUE"""),"Cold")</f>
        <v>Cold</v>
      </c>
      <c r="AB348" s="124" t="str">
        <f>IFERROR(__xludf.DUMMYFUNCTION("""COMPUTED_VALUE"""),"GS Foundation")</f>
        <v>GS Foundation</v>
      </c>
    </row>
    <row r="349">
      <c r="A349" s="126">
        <f>IFERROR(__xludf.DUMMYFUNCTION("""COMPUTED_VALUE"""),46060.0)</f>
        <v>46060</v>
      </c>
      <c r="B349" s="124" t="str">
        <f>IFERROR(__xludf.DUMMYFUNCTION("""COMPUTED_VALUE"""),"events")</f>
        <v>events</v>
      </c>
      <c r="C349" s="124" t="str">
        <f>IFERROR(__xludf.DUMMYFUNCTION("""COMPUTED_VALUE"""),"Delhi")</f>
        <v>Delhi</v>
      </c>
      <c r="D349" s="124" t="str">
        <f>IFERROR(__xludf.DUMMYFUNCTION("""COMPUTED_VALUE"""),"Secondary_Walkin")</f>
        <v>Secondary_Walkin</v>
      </c>
      <c r="E349" s="127">
        <f>IFERROR(__xludf.DUMMYFUNCTION("""COMPUTED_VALUE"""),1.0)</f>
        <v>1</v>
      </c>
      <c r="F349" s="128" t="str">
        <f>IFERROR(__xludf.DUMMYFUNCTION("""COMPUTED_VALUE"""),"Engaged")</f>
        <v>Engaged</v>
      </c>
      <c r="G349" s="124" t="str">
        <f>IFERROR(__xludf.DUMMYFUNCTION("""COMPUTED_VALUE"""),"Other")</f>
        <v>Other</v>
      </c>
      <c r="K349" s="124"/>
      <c r="L349" s="124"/>
      <c r="M349" s="124"/>
      <c r="N349" s="124"/>
      <c r="O349" s="124"/>
      <c r="T349" s="126">
        <f>IFERROR(__xludf.DUMMYFUNCTION("""COMPUTED_VALUE"""),46049.0)</f>
        <v>46049</v>
      </c>
      <c r="U349" s="124" t="str">
        <f>IFERROR(__xludf.DUMMYFUNCTION("""COMPUTED_VALUE"""),"External Leads")</f>
        <v>External Leads</v>
      </c>
      <c r="V349" s="124" t="str">
        <f>IFERROR(__xludf.DUMMYFUNCTION("""COMPUTED_VALUE"""),"external leads")</f>
        <v>external leads</v>
      </c>
      <c r="W349" s="124" t="str">
        <f>IFERROR(__xludf.DUMMYFUNCTION("""COMPUTED_VALUE"""),"prayagraj")</f>
        <v>prayagraj</v>
      </c>
      <c r="X349" s="124" t="str">
        <f>IFERROR(__xludf.DUMMYFUNCTION("""COMPUTED_VALUE"""),"piyushunacademy")</f>
        <v>piyushunacademy</v>
      </c>
      <c r="Y349" s="124" t="str">
        <f>IFERROR(__xludf.DUMMYFUNCTION("""COMPUTED_VALUE"""),"Delhi")</f>
        <v>Delhi</v>
      </c>
      <c r="Z349" s="124">
        <f>IFERROR(__xludf.DUMMYFUNCTION("""COMPUTED_VALUE"""),1.0)</f>
        <v>1</v>
      </c>
      <c r="AA349" s="124" t="str">
        <f>IFERROR(__xludf.DUMMYFUNCTION("""COMPUTED_VALUE"""),"Cold")</f>
        <v>Cold</v>
      </c>
      <c r="AB349" s="124" t="str">
        <f>IFERROR(__xludf.DUMMYFUNCTION("""COMPUTED_VALUE"""),"GS Foundation")</f>
        <v>GS Foundation</v>
      </c>
    </row>
    <row r="350">
      <c r="A350" s="126">
        <f>IFERROR(__xludf.DUMMYFUNCTION("""COMPUTED_VALUE"""),46046.0)</f>
        <v>46046</v>
      </c>
      <c r="B350" s="124" t="str">
        <f>IFERROR(__xludf.DUMMYFUNCTION("""COMPUTED_VALUE"""),"Walkin")</f>
        <v>Walkin</v>
      </c>
      <c r="C350" s="124" t="str">
        <f>IFERROR(__xludf.DUMMYFUNCTION("""COMPUTED_VALUE"""),"Delhi")</f>
        <v>Delhi</v>
      </c>
      <c r="D350" s="124" t="str">
        <f>IFERROR(__xludf.DUMMYFUNCTION("""COMPUTED_VALUE"""),"Primary_Walkin")</f>
        <v>Primary_Walkin</v>
      </c>
      <c r="E350" s="127">
        <f>IFERROR(__xludf.DUMMYFUNCTION("""COMPUTED_VALUE"""),1.0)</f>
        <v>1</v>
      </c>
      <c r="F350" s="128" t="str">
        <f>IFERROR(__xludf.DUMMYFUNCTION("""COMPUTED_VALUE"""),"Enrolled")</f>
        <v>Enrolled</v>
      </c>
      <c r="G350" s="124" t="str">
        <f>IFERROR(__xludf.DUMMYFUNCTION("""COMPUTED_VALUE"""),"Test Series")</f>
        <v>Test Series</v>
      </c>
      <c r="K350" s="124"/>
      <c r="L350" s="124"/>
      <c r="M350" s="124"/>
      <c r="N350" s="124"/>
      <c r="O350" s="124"/>
      <c r="T350" s="129">
        <f>IFERROR(__xludf.DUMMYFUNCTION("""COMPUTED_VALUE"""),46083.0)</f>
        <v>46083</v>
      </c>
      <c r="U350" s="124" t="str">
        <f>IFERROR(__xludf.DUMMYFUNCTION("""COMPUTED_VALUE"""),"External Leads")</f>
        <v>External Leads</v>
      </c>
      <c r="V350" s="124" t="str">
        <f>IFERROR(__xludf.DUMMYFUNCTION("""COMPUTED_VALUE"""),"external leads")</f>
        <v>external leads</v>
      </c>
      <c r="W350" s="124" t="str">
        <f>IFERROR(__xludf.DUMMYFUNCTION("""COMPUTED_VALUE"""),"delhi")</f>
        <v>delhi</v>
      </c>
      <c r="X350" s="124" t="str">
        <f>IFERROR(__xludf.DUMMYFUNCTION("""COMPUTED_VALUE"""),"unacademyretargeting")</f>
        <v>unacademyretargeting</v>
      </c>
      <c r="Y350" s="124" t="str">
        <f>IFERROR(__xludf.DUMMYFUNCTION("""COMPUTED_VALUE"""),"Delhi")</f>
        <v>Delhi</v>
      </c>
      <c r="Z350" s="124">
        <f>IFERROR(__xludf.DUMMYFUNCTION("""COMPUTED_VALUE"""),2.0)</f>
        <v>2</v>
      </c>
      <c r="AA350" s="124" t="str">
        <f>IFERROR(__xludf.DUMMYFUNCTION("""COMPUTED_VALUE"""),"Future Prospects")</f>
        <v>Future Prospects</v>
      </c>
      <c r="AB350" s="124"/>
    </row>
    <row r="351">
      <c r="A351" s="126">
        <f>IFERROR(__xludf.DUMMYFUNCTION("""COMPUTED_VALUE"""),46087.0)</f>
        <v>46087</v>
      </c>
      <c r="B351" s="124" t="str">
        <f>IFERROR(__xludf.DUMMYFUNCTION("""COMPUTED_VALUE"""),"Walkin")</f>
        <v>Walkin</v>
      </c>
      <c r="C351" s="124" t="str">
        <f>IFERROR(__xludf.DUMMYFUNCTION("""COMPUTED_VALUE"""),"Delhi")</f>
        <v>Delhi</v>
      </c>
      <c r="D351" s="124" t="str">
        <f>IFERROR(__xludf.DUMMYFUNCTION("""COMPUTED_VALUE"""),"Primary_Walkin")</f>
        <v>Primary_Walkin</v>
      </c>
      <c r="E351" s="127">
        <f>IFERROR(__xludf.DUMMYFUNCTION("""COMPUTED_VALUE"""),3.0)</f>
        <v>3</v>
      </c>
      <c r="F351" s="128" t="str">
        <f>IFERROR(__xludf.DUMMYFUNCTION("""COMPUTED_VALUE"""),"Enrolled")</f>
        <v>Enrolled</v>
      </c>
      <c r="G351" s="124" t="str">
        <f>IFERROR(__xludf.DUMMYFUNCTION("""COMPUTED_VALUE"""),"GS Foundation")</f>
        <v>GS Foundation</v>
      </c>
      <c r="K351" s="124"/>
      <c r="L351" s="124"/>
      <c r="M351" s="124"/>
      <c r="N351" s="124"/>
      <c r="O351" s="124"/>
      <c r="T351" s="126">
        <f>IFERROR(__xludf.DUMMYFUNCTION("""COMPUTED_VALUE"""),46049.0)</f>
        <v>46049</v>
      </c>
      <c r="U351" s="124" t="str">
        <f>IFERROR(__xludf.DUMMYFUNCTION("""COMPUTED_VALUE"""),"External Leads")</f>
        <v>External Leads</v>
      </c>
      <c r="V351" s="124" t="str">
        <f>IFERROR(__xludf.DUMMYFUNCTION("""COMPUTED_VALUE"""),"external leads")</f>
        <v>external leads</v>
      </c>
      <c r="W351" s="124" t="str">
        <f>IFERROR(__xludf.DUMMYFUNCTION("""COMPUTED_VALUE"""),"delhi")</f>
        <v>delhi</v>
      </c>
      <c r="X351" s="124" t="str">
        <f>IFERROR(__xludf.DUMMYFUNCTION("""COMPUTED_VALUE"""),"piyushunacademy")</f>
        <v>piyushunacademy</v>
      </c>
      <c r="Y351" s="124" t="str">
        <f>IFERROR(__xludf.DUMMYFUNCTION("""COMPUTED_VALUE"""),"Delhi")</f>
        <v>Delhi</v>
      </c>
      <c r="Z351" s="124">
        <f>IFERROR(__xludf.DUMMYFUNCTION("""COMPUTED_VALUE"""),3.0)</f>
        <v>3</v>
      </c>
      <c r="AA351" s="124" t="str">
        <f>IFERROR(__xludf.DUMMYFUNCTION("""COMPUTED_VALUE"""),"Enrolled")</f>
        <v>Enrolled</v>
      </c>
      <c r="AB351" s="124" t="str">
        <f>IFERROR(__xludf.DUMMYFUNCTION("""COMPUTED_VALUE"""),"GS Foundation")</f>
        <v>GS Foundation</v>
      </c>
    </row>
    <row r="352">
      <c r="A352" s="126">
        <f>IFERROR(__xludf.DUMMYFUNCTION("""COMPUTED_VALUE"""),46067.0)</f>
        <v>46067</v>
      </c>
      <c r="B352" s="124" t="str">
        <f>IFERROR(__xludf.DUMMYFUNCTION("""COMPUTED_VALUE"""),"Walkin")</f>
        <v>Walkin</v>
      </c>
      <c r="C352" s="124" t="str">
        <f>IFERROR(__xludf.DUMMYFUNCTION("""COMPUTED_VALUE"""),"Delhi")</f>
        <v>Delhi</v>
      </c>
      <c r="D352" s="124" t="str">
        <f>IFERROR(__xludf.DUMMYFUNCTION("""COMPUTED_VALUE"""),"Primary_Walkin")</f>
        <v>Primary_Walkin</v>
      </c>
      <c r="E352" s="127">
        <f>IFERROR(__xludf.DUMMYFUNCTION("""COMPUTED_VALUE"""),3.0)</f>
        <v>3</v>
      </c>
      <c r="F352" s="128" t="str">
        <f>IFERROR(__xludf.DUMMYFUNCTION("""COMPUTED_VALUE"""),"Enrolled")</f>
        <v>Enrolled</v>
      </c>
      <c r="G352" s="124" t="str">
        <f>IFERROR(__xludf.DUMMYFUNCTION("""COMPUTED_VALUE"""),"GS Foundation")</f>
        <v>GS Foundation</v>
      </c>
      <c r="K352" s="124"/>
      <c r="L352" s="124"/>
      <c r="M352" s="124"/>
      <c r="N352" s="124"/>
      <c r="O352" s="124"/>
      <c r="T352" s="126">
        <f>IFERROR(__xludf.DUMMYFUNCTION("""COMPUTED_VALUE"""),46050.0)</f>
        <v>46050</v>
      </c>
      <c r="U352" s="124" t="str">
        <f>IFERROR(__xludf.DUMMYFUNCTION("""COMPUTED_VALUE"""),"External Leads")</f>
        <v>External Leads</v>
      </c>
      <c r="V352" s="124" t="str">
        <f>IFERROR(__xludf.DUMMYFUNCTION("""COMPUTED_VALUE"""),"external leads")</f>
        <v>external leads</v>
      </c>
      <c r="W352" s="124" t="str">
        <f>IFERROR(__xludf.DUMMYFUNCTION("""COMPUTED_VALUE"""),"patna")</f>
        <v>patna</v>
      </c>
      <c r="X352" s="124" t="str">
        <f>IFERROR(__xludf.DUMMYFUNCTION("""COMPUTED_VALUE"""),"piyushunacademy")</f>
        <v>piyushunacademy</v>
      </c>
      <c r="Y352" s="124" t="str">
        <f>IFERROR(__xludf.DUMMYFUNCTION("""COMPUTED_VALUE"""),"Delhi")</f>
        <v>Delhi</v>
      </c>
      <c r="Z352" s="124">
        <f>IFERROR(__xludf.DUMMYFUNCTION("""COMPUTED_VALUE"""),7.0)</f>
        <v>7</v>
      </c>
      <c r="AA352" s="124" t="str">
        <f>IFERROR(__xludf.DUMMYFUNCTION("""COMPUTED_VALUE"""),"Not Interested")</f>
        <v>Not Interested</v>
      </c>
      <c r="AB352" s="124"/>
    </row>
    <row r="353">
      <c r="A353" s="126">
        <f>IFERROR(__xludf.DUMMYFUNCTION("""COMPUTED_VALUE"""),46096.0)</f>
        <v>46096</v>
      </c>
      <c r="B353" s="124" t="str">
        <f>IFERROR(__xludf.DUMMYFUNCTION("""COMPUTED_VALUE"""),"Walkin")</f>
        <v>Walkin</v>
      </c>
      <c r="C353" s="124" t="str">
        <f>IFERROR(__xludf.DUMMYFUNCTION("""COMPUTED_VALUE"""),"Delhi")</f>
        <v>Delhi</v>
      </c>
      <c r="D353" s="124" t="str">
        <f>IFERROR(__xludf.DUMMYFUNCTION("""COMPUTED_VALUE"""),"Primary_Walkin")</f>
        <v>Primary_Walkin</v>
      </c>
      <c r="E353" s="127">
        <f>IFERROR(__xludf.DUMMYFUNCTION("""COMPUTED_VALUE"""),3.0)</f>
        <v>3</v>
      </c>
      <c r="F353" s="128" t="str">
        <f>IFERROR(__xludf.DUMMYFUNCTION("""COMPUTED_VALUE"""),"Future Prospects")</f>
        <v>Future Prospects</v>
      </c>
      <c r="G353" s="124" t="str">
        <f>IFERROR(__xludf.DUMMYFUNCTION("""COMPUTED_VALUE"""),"GS Foundation")</f>
        <v>GS Foundation</v>
      </c>
      <c r="K353" s="124"/>
      <c r="L353" s="124"/>
      <c r="M353" s="124"/>
      <c r="N353" s="124"/>
      <c r="O353" s="124"/>
      <c r="T353" s="129">
        <f>IFERROR(__xludf.DUMMYFUNCTION("""COMPUTED_VALUE"""),46049.0)</f>
        <v>46049</v>
      </c>
      <c r="U353" s="124" t="str">
        <f>IFERROR(__xludf.DUMMYFUNCTION("""COMPUTED_VALUE"""),"External Leads")</f>
        <v>External Leads</v>
      </c>
      <c r="V353" s="124" t="str">
        <f>IFERROR(__xludf.DUMMYFUNCTION("""COMPUTED_VALUE"""),"external leads")</f>
        <v>external leads</v>
      </c>
      <c r="W353" s="124" t="str">
        <f>IFERROR(__xludf.DUMMYFUNCTION("""COMPUTED_VALUE"""),"prayagraj")</f>
        <v>prayagraj</v>
      </c>
      <c r="X353" s="124" t="str">
        <f>IFERROR(__xludf.DUMMYFUNCTION("""COMPUTED_VALUE"""),"piyushunacademy")</f>
        <v>piyushunacademy</v>
      </c>
      <c r="Y353" s="124" t="str">
        <f>IFERROR(__xludf.DUMMYFUNCTION("""COMPUTED_VALUE"""),"Prayagraj")</f>
        <v>Prayagraj</v>
      </c>
      <c r="Z353" s="124">
        <f>IFERROR(__xludf.DUMMYFUNCTION("""COMPUTED_VALUE"""),1.0)</f>
        <v>1</v>
      </c>
      <c r="AA353" s="124" t="str">
        <f>IFERROR(__xludf.DUMMYFUNCTION("""COMPUTED_VALUE"""),"Cold")</f>
        <v>Cold</v>
      </c>
      <c r="AB353" s="124" t="str">
        <f>IFERROR(__xludf.DUMMYFUNCTION("""COMPUTED_VALUE"""),"State PCS")</f>
        <v>State PCS</v>
      </c>
    </row>
    <row r="354">
      <c r="A354" s="126">
        <f>IFERROR(__xludf.DUMMYFUNCTION("""COMPUTED_VALUE"""),46079.0)</f>
        <v>46079</v>
      </c>
      <c r="B354" s="124" t="str">
        <f>IFERROR(__xludf.DUMMYFUNCTION("""COMPUTED_VALUE"""),"Walkin")</f>
        <v>Walkin</v>
      </c>
      <c r="C354" s="124" t="str">
        <f>IFERROR(__xludf.DUMMYFUNCTION("""COMPUTED_VALUE"""),"Delhi")</f>
        <v>Delhi</v>
      </c>
      <c r="D354" s="124" t="str">
        <f>IFERROR(__xludf.DUMMYFUNCTION("""COMPUTED_VALUE"""),"Primary_Walkin")</f>
        <v>Primary_Walkin</v>
      </c>
      <c r="E354" s="127">
        <f>IFERROR(__xludf.DUMMYFUNCTION("""COMPUTED_VALUE"""),1.0)</f>
        <v>1</v>
      </c>
      <c r="F354" s="128" t="str">
        <f>IFERROR(__xludf.DUMMYFUNCTION("""COMPUTED_VALUE"""),"Fake Lead")</f>
        <v>Fake Lead</v>
      </c>
      <c r="G354" s="124" t="str">
        <f>IFERROR(__xludf.DUMMYFUNCTION("""COMPUTED_VALUE"""),"GS Foundation")</f>
        <v>GS Foundation</v>
      </c>
      <c r="K354" s="124"/>
      <c r="L354" s="124"/>
      <c r="M354" s="124"/>
      <c r="N354" s="124"/>
      <c r="O354" s="124"/>
      <c r="T354" s="126">
        <f>IFERROR(__xludf.DUMMYFUNCTION("""COMPUTED_VALUE"""),46094.0)</f>
        <v>46094</v>
      </c>
      <c r="U354" s="124" t="str">
        <f>IFERROR(__xludf.DUMMYFUNCTION("""COMPUTED_VALUE"""),"Walk-Ins")</f>
        <v>Walk-Ins</v>
      </c>
      <c r="V354" s="124" t="str">
        <f>IFERROR(__xludf.DUMMYFUNCTION("""COMPUTED_VALUE"""),"Walkin")</f>
        <v>Walkin</v>
      </c>
      <c r="W354" s="124" t="str">
        <f>IFERROR(__xludf.DUMMYFUNCTION("""COMPUTED_VALUE"""),"Delhi")</f>
        <v>Delhi</v>
      </c>
      <c r="X354" s="124" t="str">
        <f>IFERROR(__xludf.DUMMYFUNCTION("""COMPUTED_VALUE"""),"walkin")</f>
        <v>walkin</v>
      </c>
      <c r="Y354" s="124" t="str">
        <f>IFERROR(__xludf.DUMMYFUNCTION("""COMPUTED_VALUE"""),"Delhi")</f>
        <v>Delhi</v>
      </c>
      <c r="Z354" s="124">
        <f>IFERROR(__xludf.DUMMYFUNCTION("""COMPUTED_VALUE"""),12.0)</f>
        <v>12</v>
      </c>
      <c r="AA354" s="124" t="str">
        <f>IFERROR(__xludf.DUMMYFUNCTION("""COMPUTED_VALUE"""),"Not Interested")</f>
        <v>Not Interested</v>
      </c>
      <c r="AB354" s="124" t="str">
        <f>IFERROR(__xludf.DUMMYFUNCTION("""COMPUTED_VALUE"""),"GS Foundation")</f>
        <v>GS Foundation</v>
      </c>
    </row>
    <row r="355">
      <c r="A355" s="126">
        <f>IFERROR(__xludf.DUMMYFUNCTION("""COMPUTED_VALUE"""),46092.0)</f>
        <v>46092</v>
      </c>
      <c r="B355" s="124" t="str">
        <f>IFERROR(__xludf.DUMMYFUNCTION("""COMPUTED_VALUE"""),"Walkin")</f>
        <v>Walkin</v>
      </c>
      <c r="C355" s="124" t="str">
        <f>IFERROR(__xludf.DUMMYFUNCTION("""COMPUTED_VALUE"""),"Delhi")</f>
        <v>Delhi</v>
      </c>
      <c r="D355" s="124" t="str">
        <f>IFERROR(__xludf.DUMMYFUNCTION("""COMPUTED_VALUE"""),"Primary_Walkin")</f>
        <v>Primary_Walkin</v>
      </c>
      <c r="E355" s="127">
        <f>IFERROR(__xludf.DUMMYFUNCTION("""COMPUTED_VALUE"""),1.0)</f>
        <v>1</v>
      </c>
      <c r="F355" s="128" t="str">
        <f>IFERROR(__xludf.DUMMYFUNCTION("""COMPUTED_VALUE"""),"Warm")</f>
        <v>Warm</v>
      </c>
      <c r="G355" s="124" t="str">
        <f>IFERROR(__xludf.DUMMYFUNCTION("""COMPUTED_VALUE"""),"GS Foundation")</f>
        <v>GS Foundation</v>
      </c>
      <c r="K355" s="124"/>
      <c r="L355" s="124"/>
      <c r="M355" s="124"/>
      <c r="N355" s="124"/>
      <c r="O355" s="124"/>
      <c r="T355" s="126">
        <f>IFERROR(__xludf.DUMMYFUNCTION("""COMPUTED_VALUE"""),46047.0)</f>
        <v>46047</v>
      </c>
      <c r="U355" s="124" t="str">
        <f>IFERROR(__xludf.DUMMYFUNCTION("""COMPUTED_VALUE"""),"Walk-Ins")</f>
        <v>Walk-Ins</v>
      </c>
      <c r="V355" s="124" t="str">
        <f>IFERROR(__xludf.DUMMYFUNCTION("""COMPUTED_VALUE"""),"Walkin")</f>
        <v>Walkin</v>
      </c>
      <c r="W355" s="124" t="str">
        <f>IFERROR(__xludf.DUMMYFUNCTION("""COMPUTED_VALUE"""),"Delhi")</f>
        <v>Delhi</v>
      </c>
      <c r="X355" s="124" t="str">
        <f>IFERROR(__xludf.DUMMYFUNCTION("""COMPUTED_VALUE"""),"walkin")</f>
        <v>walkin</v>
      </c>
      <c r="Y355" s="124" t="str">
        <f>IFERROR(__xludf.DUMMYFUNCTION("""COMPUTED_VALUE"""),"Delhi")</f>
        <v>Delhi</v>
      </c>
      <c r="Z355" s="124">
        <f>IFERROR(__xludf.DUMMYFUNCTION("""COMPUTED_VALUE"""),2.0)</f>
        <v>2</v>
      </c>
      <c r="AA355" s="124" t="str">
        <f>IFERROR(__xludf.DUMMYFUNCTION("""COMPUTED_VALUE"""),"Future Prospects")</f>
        <v>Future Prospects</v>
      </c>
      <c r="AB355" s="124" t="str">
        <f>IFERROR(__xludf.DUMMYFUNCTION("""COMPUTED_VALUE"""),"GS Foundation")</f>
        <v>GS Foundation</v>
      </c>
    </row>
    <row r="356">
      <c r="A356" s="126">
        <f>IFERROR(__xludf.DUMMYFUNCTION("""COMPUTED_VALUE"""),46083.0)</f>
        <v>46083</v>
      </c>
      <c r="B356" s="124" t="str">
        <f>IFERROR(__xludf.DUMMYFUNCTION("""COMPUTED_VALUE"""),"external leads")</f>
        <v>external leads</v>
      </c>
      <c r="C356" s="124" t="str">
        <f>IFERROR(__xludf.DUMMYFUNCTION("""COMPUTED_VALUE"""),"Delhi")</f>
        <v>Delhi</v>
      </c>
      <c r="D356" s="124" t="str">
        <f>IFERROR(__xludf.DUMMYFUNCTION("""COMPUTED_VALUE"""),"Secondary_Walkin")</f>
        <v>Secondary_Walkin</v>
      </c>
      <c r="E356" s="127">
        <f>IFERROR(__xludf.DUMMYFUNCTION("""COMPUTED_VALUE"""),1.0)</f>
        <v>1</v>
      </c>
      <c r="F356" s="128" t="str">
        <f>IFERROR(__xludf.DUMMYFUNCTION("""COMPUTED_VALUE"""),"Not Interested")</f>
        <v>Not Interested</v>
      </c>
      <c r="G356" s="124" t="str">
        <f>IFERROR(__xludf.DUMMYFUNCTION("""COMPUTED_VALUE"""),"Other")</f>
        <v>Other</v>
      </c>
      <c r="K356" s="124"/>
      <c r="L356" s="124"/>
      <c r="M356" s="124"/>
      <c r="N356" s="124"/>
      <c r="O356" s="124"/>
      <c r="T356" s="126">
        <f>IFERROR(__xludf.DUMMYFUNCTION("""COMPUTED_VALUE"""),46071.0)</f>
        <v>46071</v>
      </c>
      <c r="U356" s="124" t="str">
        <f>IFERROR(__xludf.DUMMYFUNCTION("""COMPUTED_VALUE"""),"Walk-Ins")</f>
        <v>Walk-Ins</v>
      </c>
      <c r="V356" s="124" t="str">
        <f>IFERROR(__xludf.DUMMYFUNCTION("""COMPUTED_VALUE"""),"Walk-In")</f>
        <v>Walk-In</v>
      </c>
      <c r="W356" s="124" t="str">
        <f>IFERROR(__xludf.DUMMYFUNCTION("""COMPUTED_VALUE"""),"Delhi")</f>
        <v>Delhi</v>
      </c>
      <c r="X356" s="124" t="str">
        <f>IFERROR(__xludf.DUMMYFUNCTION("""COMPUTED_VALUE"""),"walkin")</f>
        <v>walkin</v>
      </c>
      <c r="Y356" s="124" t="str">
        <f>IFERROR(__xludf.DUMMYFUNCTION("""COMPUTED_VALUE"""),"Delhi")</f>
        <v>Delhi</v>
      </c>
      <c r="Z356" s="124">
        <f>IFERROR(__xludf.DUMMYFUNCTION("""COMPUTED_VALUE"""),1.0)</f>
        <v>1</v>
      </c>
      <c r="AA356" s="124" t="str">
        <f>IFERROR(__xludf.DUMMYFUNCTION("""COMPUTED_VALUE"""),"Cold")</f>
        <v>Cold</v>
      </c>
      <c r="AB356" s="124" t="str">
        <f>IFERROR(__xludf.DUMMYFUNCTION("""COMPUTED_VALUE"""),"GS Foundation")</f>
        <v>GS Foundation</v>
      </c>
    </row>
    <row r="357">
      <c r="A357" s="126">
        <f>IFERROR(__xludf.DUMMYFUNCTION("""COMPUTED_VALUE"""),46047.0)</f>
        <v>46047</v>
      </c>
      <c r="B357" s="124" t="str">
        <f>IFERROR(__xludf.DUMMYFUNCTION("""COMPUTED_VALUE"""),"Walkin")</f>
        <v>Walkin</v>
      </c>
      <c r="C357" s="124" t="str">
        <f>IFERROR(__xludf.DUMMYFUNCTION("""COMPUTED_VALUE"""),"Delhi")</f>
        <v>Delhi</v>
      </c>
      <c r="D357" s="124" t="str">
        <f>IFERROR(__xludf.DUMMYFUNCTION("""COMPUTED_VALUE"""),"Primary_Walkin")</f>
        <v>Primary_Walkin</v>
      </c>
      <c r="E357" s="127">
        <f>IFERROR(__xludf.DUMMYFUNCTION("""COMPUTED_VALUE"""),7.0)</f>
        <v>7</v>
      </c>
      <c r="F357" s="128" t="str">
        <f>IFERROR(__xludf.DUMMYFUNCTION("""COMPUTED_VALUE"""),"Not Interested")</f>
        <v>Not Interested</v>
      </c>
      <c r="G357" s="124" t="str">
        <f>IFERROR(__xludf.DUMMYFUNCTION("""COMPUTED_VALUE"""),"GS Foundation")</f>
        <v>GS Foundation</v>
      </c>
      <c r="K357" s="124"/>
      <c r="L357" s="124"/>
      <c r="M357" s="124"/>
      <c r="N357" s="124"/>
      <c r="O357" s="124"/>
      <c r="T357" s="126">
        <f>IFERROR(__xludf.DUMMYFUNCTION("""COMPUTED_VALUE"""),46053.0)</f>
        <v>46053</v>
      </c>
      <c r="U357" s="124" t="str">
        <f>IFERROR(__xludf.DUMMYFUNCTION("""COMPUTED_VALUE"""),"Walk-Ins")</f>
        <v>Walk-Ins</v>
      </c>
      <c r="V357" s="124" t="str">
        <f>IFERROR(__xludf.DUMMYFUNCTION("""COMPUTED_VALUE"""),"Walkin")</f>
        <v>Walkin</v>
      </c>
      <c r="W357" s="124" t="str">
        <f>IFERROR(__xludf.DUMMYFUNCTION("""COMPUTED_VALUE"""),"Delhi")</f>
        <v>Delhi</v>
      </c>
      <c r="X357" s="124" t="str">
        <f>IFERROR(__xludf.DUMMYFUNCTION("""COMPUTED_VALUE"""),"walkin")</f>
        <v>walkin</v>
      </c>
      <c r="Y357" s="124" t="str">
        <f>IFERROR(__xludf.DUMMYFUNCTION("""COMPUTED_VALUE"""),"Delhi")</f>
        <v>Delhi</v>
      </c>
      <c r="Z357" s="124">
        <f>IFERROR(__xludf.DUMMYFUNCTION("""COMPUTED_VALUE"""),6.0)</f>
        <v>6</v>
      </c>
      <c r="AA357" s="124" t="str">
        <f>IFERROR(__xludf.DUMMYFUNCTION("""COMPUTED_VALUE"""),"Cold")</f>
        <v>Cold</v>
      </c>
      <c r="AB357" s="124" t="str">
        <f>IFERROR(__xludf.DUMMYFUNCTION("""COMPUTED_VALUE"""),"GS Foundation")</f>
        <v>GS Foundation</v>
      </c>
    </row>
    <row r="358">
      <c r="A358" s="126">
        <f>IFERROR(__xludf.DUMMYFUNCTION("""COMPUTED_VALUE"""),46065.0)</f>
        <v>46065</v>
      </c>
      <c r="B358" s="124" t="str">
        <f>IFERROR(__xludf.DUMMYFUNCTION("""COMPUTED_VALUE"""),"Walkin")</f>
        <v>Walkin</v>
      </c>
      <c r="C358" s="124" t="str">
        <f>IFERROR(__xludf.DUMMYFUNCTION("""COMPUTED_VALUE"""),"Delhi")</f>
        <v>Delhi</v>
      </c>
      <c r="D358" s="124" t="str">
        <f>IFERROR(__xludf.DUMMYFUNCTION("""COMPUTED_VALUE"""),"Primary_Walkin")</f>
        <v>Primary_Walkin</v>
      </c>
      <c r="E358" s="127">
        <f>IFERROR(__xludf.DUMMYFUNCTION("""COMPUTED_VALUE"""),4.0)</f>
        <v>4</v>
      </c>
      <c r="F358" s="128" t="str">
        <f>IFERROR(__xludf.DUMMYFUNCTION("""COMPUTED_VALUE"""),"Not Interested")</f>
        <v>Not Interested</v>
      </c>
      <c r="G358" s="124" t="str">
        <f>IFERROR(__xludf.DUMMYFUNCTION("""COMPUTED_VALUE"""),"GS Foundation")</f>
        <v>GS Foundation</v>
      </c>
      <c r="K358" s="124"/>
      <c r="L358" s="124"/>
      <c r="M358" s="124"/>
      <c r="N358" s="124"/>
      <c r="O358" s="124"/>
      <c r="T358" s="126">
        <f>IFERROR(__xludf.DUMMYFUNCTION("""COMPUTED_VALUE"""),46090.0)</f>
        <v>46090</v>
      </c>
      <c r="U358" s="124" t="str">
        <f>IFERROR(__xludf.DUMMYFUNCTION("""COMPUTED_VALUE"""),"Walk-Ins")</f>
        <v>Walk-Ins</v>
      </c>
      <c r="V358" s="124" t="str">
        <f>IFERROR(__xludf.DUMMYFUNCTION("""COMPUTED_VALUE"""),"Walk-In")</f>
        <v>Walk-In</v>
      </c>
      <c r="W358" s="124" t="str">
        <f>IFERROR(__xludf.DUMMYFUNCTION("""COMPUTED_VALUE"""),"Prayagraj")</f>
        <v>Prayagraj</v>
      </c>
      <c r="X358" s="124" t="str">
        <f>IFERROR(__xludf.DUMMYFUNCTION("""COMPUTED_VALUE"""),"Aditi")</f>
        <v>Aditi</v>
      </c>
      <c r="Y358" s="124" t="str">
        <f>IFERROR(__xludf.DUMMYFUNCTION("""COMPUTED_VALUE"""),"Prayagraj")</f>
        <v>Prayagraj</v>
      </c>
      <c r="Z358" s="124">
        <f>IFERROR(__xludf.DUMMYFUNCTION("""COMPUTED_VALUE"""),1.0)</f>
        <v>1</v>
      </c>
      <c r="AA358" s="124" t="str">
        <f>IFERROR(__xludf.DUMMYFUNCTION("""COMPUTED_VALUE"""),"Interested")</f>
        <v>Interested</v>
      </c>
      <c r="AB358" s="124" t="str">
        <f>IFERROR(__xludf.DUMMYFUNCTION("""COMPUTED_VALUE"""),"GS Foundation")</f>
        <v>GS Foundation</v>
      </c>
    </row>
    <row r="359">
      <c r="A359" s="126">
        <f>IFERROR(__xludf.DUMMYFUNCTION("""COMPUTED_VALUE"""),46101.0)</f>
        <v>46101</v>
      </c>
      <c r="B359" s="124" t="str">
        <f>IFERROR(__xludf.DUMMYFUNCTION("""COMPUTED_VALUE"""),"Walk-In")</f>
        <v>Walk-In</v>
      </c>
      <c r="C359" s="124" t="str">
        <f>IFERROR(__xludf.DUMMYFUNCTION("""COMPUTED_VALUE"""),"Delhi")</f>
        <v>Delhi</v>
      </c>
      <c r="D359" s="124" t="str">
        <f>IFERROR(__xludf.DUMMYFUNCTION("""COMPUTED_VALUE"""),"Primary_Walkin")</f>
        <v>Primary_Walkin</v>
      </c>
      <c r="E359" s="127">
        <f>IFERROR(__xludf.DUMMYFUNCTION("""COMPUTED_VALUE"""),1.0)</f>
        <v>1</v>
      </c>
      <c r="F359" s="128" t="str">
        <f>IFERROR(__xludf.DUMMYFUNCTION("""COMPUTED_VALUE"""),"Fake Lead")</f>
        <v>Fake Lead</v>
      </c>
      <c r="G359" s="124" t="str">
        <f>IFERROR(__xludf.DUMMYFUNCTION("""COMPUTED_VALUE"""),"GS Foundation")</f>
        <v>GS Foundation</v>
      </c>
      <c r="K359" s="124"/>
      <c r="L359" s="124"/>
      <c r="M359" s="124"/>
      <c r="N359" s="124"/>
      <c r="O359" s="124"/>
      <c r="T359" s="126">
        <f>IFERROR(__xludf.DUMMYFUNCTION("""COMPUTED_VALUE"""),46050.0)</f>
        <v>46050</v>
      </c>
      <c r="U359" s="124" t="str">
        <f>IFERROR(__xludf.DUMMYFUNCTION("""COMPUTED_VALUE"""),"External Leads")</f>
        <v>External Leads</v>
      </c>
      <c r="V359" s="124" t="str">
        <f>IFERROR(__xludf.DUMMYFUNCTION("""COMPUTED_VALUE"""),"external leads")</f>
        <v>external leads</v>
      </c>
      <c r="W359" s="124" t="str">
        <f>IFERROR(__xludf.DUMMYFUNCTION("""COMPUTED_VALUE"""),"delhi")</f>
        <v>delhi</v>
      </c>
      <c r="X359" s="124" t="str">
        <f>IFERROR(__xludf.DUMMYFUNCTION("""COMPUTED_VALUE"""),"piyushunacademy")</f>
        <v>piyushunacademy</v>
      </c>
      <c r="Y359" s="124" t="str">
        <f>IFERROR(__xludf.DUMMYFUNCTION("""COMPUTED_VALUE"""),"Delhi")</f>
        <v>Delhi</v>
      </c>
      <c r="Z359" s="124">
        <f>IFERROR(__xludf.DUMMYFUNCTION("""COMPUTED_VALUE"""),1.0)</f>
        <v>1</v>
      </c>
      <c r="AA359" s="124" t="str">
        <f>IFERROR(__xludf.DUMMYFUNCTION("""COMPUTED_VALUE"""),"Warm")</f>
        <v>Warm</v>
      </c>
      <c r="AB359" s="124" t="str">
        <f>IFERROR(__xludf.DUMMYFUNCTION("""COMPUTED_VALUE"""),"GS Advanced")</f>
        <v>GS Advanced</v>
      </c>
    </row>
    <row r="360">
      <c r="A360" s="126">
        <f>IFERROR(__xludf.DUMMYFUNCTION("""COMPUTED_VALUE"""),46073.0)</f>
        <v>46073</v>
      </c>
      <c r="B360" s="124" t="str">
        <f>IFERROR(__xludf.DUMMYFUNCTION("""COMPUTED_VALUE"""),"Walk-In")</f>
        <v>Walk-In</v>
      </c>
      <c r="C360" s="124" t="str">
        <f>IFERROR(__xludf.DUMMYFUNCTION("""COMPUTED_VALUE"""),"Delhi")</f>
        <v>Delhi</v>
      </c>
      <c r="D360" s="124" t="str">
        <f>IFERROR(__xludf.DUMMYFUNCTION("""COMPUTED_VALUE"""),"Primary_Walkin")</f>
        <v>Primary_Walkin</v>
      </c>
      <c r="E360" s="127">
        <f>IFERROR(__xludf.DUMMYFUNCTION("""COMPUTED_VALUE"""),1.0)</f>
        <v>1</v>
      </c>
      <c r="F360" s="128" t="str">
        <f>IFERROR(__xludf.DUMMYFUNCTION("""COMPUTED_VALUE"""),"Future Prospects")</f>
        <v>Future Prospects</v>
      </c>
      <c r="G360" s="124" t="str">
        <f>IFERROR(__xludf.DUMMYFUNCTION("""COMPUTED_VALUE"""),"SIM")</f>
        <v>SIM</v>
      </c>
      <c r="K360" s="124"/>
      <c r="L360" s="124"/>
      <c r="M360" s="124"/>
      <c r="N360" s="124"/>
      <c r="O360" s="124"/>
      <c r="T360" s="129">
        <f>IFERROR(__xludf.DUMMYFUNCTION("""COMPUTED_VALUE"""),46072.0)</f>
        <v>46072</v>
      </c>
      <c r="U360" s="124" t="str">
        <f>IFERROR(__xludf.DUMMYFUNCTION("""COMPUTED_VALUE"""),"Walk-Ins")</f>
        <v>Walk-Ins</v>
      </c>
      <c r="V360" s="124" t="str">
        <f>IFERROR(__xludf.DUMMYFUNCTION("""COMPUTED_VALUE"""),"Walkin")</f>
        <v>Walkin</v>
      </c>
      <c r="W360" s="124" t="str">
        <f>IFERROR(__xludf.DUMMYFUNCTION("""COMPUTED_VALUE"""),"Delhi")</f>
        <v>Delhi</v>
      </c>
      <c r="X360" s="124" t="str">
        <f>IFERROR(__xludf.DUMMYFUNCTION("""COMPUTED_VALUE"""),"walkin")</f>
        <v>walkin</v>
      </c>
      <c r="Y360" s="124" t="str">
        <f>IFERROR(__xludf.DUMMYFUNCTION("""COMPUTED_VALUE"""),"Delhi")</f>
        <v>Delhi</v>
      </c>
      <c r="Z360" s="124">
        <f>IFERROR(__xludf.DUMMYFUNCTION("""COMPUTED_VALUE"""),4.0)</f>
        <v>4</v>
      </c>
      <c r="AA360" s="124" t="str">
        <f>IFERROR(__xludf.DUMMYFUNCTION("""COMPUTED_VALUE"""),"Cold")</f>
        <v>Cold</v>
      </c>
      <c r="AB360" s="124" t="str">
        <f>IFERROR(__xludf.DUMMYFUNCTION("""COMPUTED_VALUE"""),"GS Foundation")</f>
        <v>GS Foundation</v>
      </c>
    </row>
    <row r="361">
      <c r="A361" s="126">
        <f>IFERROR(__xludf.DUMMYFUNCTION("""COMPUTED_VALUE"""),46053.0)</f>
        <v>46053</v>
      </c>
      <c r="B361" s="124" t="str">
        <f>IFERROR(__xludf.DUMMYFUNCTION("""COMPUTED_VALUE"""),"Walkin")</f>
        <v>Walkin</v>
      </c>
      <c r="C361" s="124" t="str">
        <f>IFERROR(__xludf.DUMMYFUNCTION("""COMPUTED_VALUE"""),"Delhi")</f>
        <v>Delhi</v>
      </c>
      <c r="D361" s="124" t="str">
        <f>IFERROR(__xludf.DUMMYFUNCTION("""COMPUTED_VALUE"""),"Primary_Walkin")</f>
        <v>Primary_Walkin</v>
      </c>
      <c r="E361" s="127">
        <f>IFERROR(__xludf.DUMMYFUNCTION("""COMPUTED_VALUE"""),2.0)</f>
        <v>2</v>
      </c>
      <c r="F361" s="128" t="str">
        <f>IFERROR(__xludf.DUMMYFUNCTION("""COMPUTED_VALUE"""),"Future Prospects")</f>
        <v>Future Prospects</v>
      </c>
      <c r="G361" s="124" t="str">
        <f>IFERROR(__xludf.DUMMYFUNCTION("""COMPUTED_VALUE"""),"GS Foundation")</f>
        <v>GS Foundation</v>
      </c>
      <c r="K361" s="124"/>
      <c r="L361" s="124"/>
      <c r="M361" s="124"/>
      <c r="N361" s="124"/>
      <c r="O361" s="124"/>
      <c r="T361" s="126">
        <f>IFERROR(__xludf.DUMMYFUNCTION("""COMPUTED_VALUE"""),46072.0)</f>
        <v>46072</v>
      </c>
      <c r="U361" s="124" t="str">
        <f>IFERROR(__xludf.DUMMYFUNCTION("""COMPUTED_VALUE"""),"Walk-Ins")</f>
        <v>Walk-Ins</v>
      </c>
      <c r="V361" s="124" t="str">
        <f>IFERROR(__xludf.DUMMYFUNCTION("""COMPUTED_VALUE"""),"Walkin")</f>
        <v>Walkin</v>
      </c>
      <c r="W361" s="124" t="str">
        <f>IFERROR(__xludf.DUMMYFUNCTION("""COMPUTED_VALUE"""),"Delhi")</f>
        <v>Delhi</v>
      </c>
      <c r="X361" s="124" t="str">
        <f>IFERROR(__xludf.DUMMYFUNCTION("""COMPUTED_VALUE"""),"walkin")</f>
        <v>walkin</v>
      </c>
      <c r="Y361" s="124" t="str">
        <f>IFERROR(__xludf.DUMMYFUNCTION("""COMPUTED_VALUE"""),"Delhi")</f>
        <v>Delhi</v>
      </c>
      <c r="Z361" s="124">
        <f>IFERROR(__xludf.DUMMYFUNCTION("""COMPUTED_VALUE"""),2.0)</f>
        <v>2</v>
      </c>
      <c r="AA361" s="124" t="str">
        <f>IFERROR(__xludf.DUMMYFUNCTION("""COMPUTED_VALUE"""),"Not Interested")</f>
        <v>Not Interested</v>
      </c>
      <c r="AB361" s="124" t="str">
        <f>IFERROR(__xludf.DUMMYFUNCTION("""COMPUTED_VALUE"""),"GS Foundation")</f>
        <v>GS Foundation</v>
      </c>
    </row>
    <row r="362">
      <c r="A362" s="126">
        <f>IFERROR(__xludf.DUMMYFUNCTION("""COMPUTED_VALUE"""),46102.0)</f>
        <v>46102</v>
      </c>
      <c r="B362" s="124" t="str">
        <f>IFERROR(__xludf.DUMMYFUNCTION("""COMPUTED_VALUE"""),"Walkin")</f>
        <v>Walkin</v>
      </c>
      <c r="C362" s="124" t="str">
        <f>IFERROR(__xludf.DUMMYFUNCTION("""COMPUTED_VALUE"""),"Delhi")</f>
        <v>Delhi</v>
      </c>
      <c r="D362" s="124" t="str">
        <f>IFERROR(__xludf.DUMMYFUNCTION("""COMPUTED_VALUE"""),"Primary_Walkin")</f>
        <v>Primary_Walkin</v>
      </c>
      <c r="E362" s="127">
        <f>IFERROR(__xludf.DUMMYFUNCTION("""COMPUTED_VALUE"""),6.0)</f>
        <v>6</v>
      </c>
      <c r="F362" s="128" t="str">
        <f>IFERROR(__xludf.DUMMYFUNCTION("""COMPUTED_VALUE"""),"Future Prospects")</f>
        <v>Future Prospects</v>
      </c>
      <c r="G362" s="124" t="str">
        <f>IFERROR(__xludf.DUMMYFUNCTION("""COMPUTED_VALUE"""),"GS Foundation")</f>
        <v>GS Foundation</v>
      </c>
      <c r="K362" s="124"/>
      <c r="L362" s="124"/>
      <c r="M362" s="124"/>
      <c r="N362" s="124"/>
      <c r="O362" s="124"/>
      <c r="T362" s="126">
        <f>IFERROR(__xludf.DUMMYFUNCTION("""COMPUTED_VALUE"""),46102.0)</f>
        <v>46102</v>
      </c>
      <c r="U362" s="124" t="str">
        <f>IFERROR(__xludf.DUMMYFUNCTION("""COMPUTED_VALUE"""),"Walk-Ins")</f>
        <v>Walk-Ins</v>
      </c>
      <c r="V362" s="124" t="str">
        <f>IFERROR(__xludf.DUMMYFUNCTION("""COMPUTED_VALUE"""),"Walkin")</f>
        <v>Walkin</v>
      </c>
      <c r="W362" s="124" t="str">
        <f>IFERROR(__xludf.DUMMYFUNCTION("""COMPUTED_VALUE"""),"Delhi")</f>
        <v>Delhi</v>
      </c>
      <c r="X362" s="124" t="str">
        <f>IFERROR(__xludf.DUMMYFUNCTION("""COMPUTED_VALUE"""),"walkin")</f>
        <v>walkin</v>
      </c>
      <c r="Y362" s="124" t="str">
        <f>IFERROR(__xludf.DUMMYFUNCTION("""COMPUTED_VALUE"""),"Delhi")</f>
        <v>Delhi</v>
      </c>
      <c r="Z362" s="124">
        <f>IFERROR(__xludf.DUMMYFUNCTION("""COMPUTED_VALUE"""),1.0)</f>
        <v>1</v>
      </c>
      <c r="AA362" s="124" t="str">
        <f>IFERROR(__xludf.DUMMYFUNCTION("""COMPUTED_VALUE"""),"Enrolled")</f>
        <v>Enrolled</v>
      </c>
      <c r="AB362" s="124" t="str">
        <f>IFERROR(__xludf.DUMMYFUNCTION("""COMPUTED_VALUE"""),"State PCS")</f>
        <v>State PCS</v>
      </c>
    </row>
    <row r="363">
      <c r="A363" s="126">
        <f>IFERROR(__xludf.DUMMYFUNCTION("""COMPUTED_VALUE"""),46075.0)</f>
        <v>46075</v>
      </c>
      <c r="B363" s="124" t="str">
        <f>IFERROR(__xludf.DUMMYFUNCTION("""COMPUTED_VALUE"""),"Walkin")</f>
        <v>Walkin</v>
      </c>
      <c r="C363" s="124" t="str">
        <f>IFERROR(__xludf.DUMMYFUNCTION("""COMPUTED_VALUE"""),"Delhi")</f>
        <v>Delhi</v>
      </c>
      <c r="D363" s="124" t="str">
        <f>IFERROR(__xludf.DUMMYFUNCTION("""COMPUTED_VALUE"""),"Primary_Walkin")</f>
        <v>Primary_Walkin</v>
      </c>
      <c r="E363" s="127">
        <f>IFERROR(__xludf.DUMMYFUNCTION("""COMPUTED_VALUE"""),4.0)</f>
        <v>4</v>
      </c>
      <c r="F363" s="128" t="str">
        <f>IFERROR(__xludf.DUMMYFUNCTION("""COMPUTED_VALUE"""),"Cold")</f>
        <v>Cold</v>
      </c>
      <c r="G363" s="124" t="str">
        <f>IFERROR(__xludf.DUMMYFUNCTION("""COMPUTED_VALUE"""),"GS Foundation")</f>
        <v>GS Foundation</v>
      </c>
      <c r="K363" s="124"/>
      <c r="L363" s="124"/>
      <c r="M363" s="124"/>
      <c r="N363" s="124"/>
      <c r="O363" s="124"/>
      <c r="T363" s="126">
        <f>IFERROR(__xludf.DUMMYFUNCTION("""COMPUTED_VALUE"""),46086.0)</f>
        <v>46086</v>
      </c>
      <c r="U363" s="124" t="str">
        <f>IFERROR(__xludf.DUMMYFUNCTION("""COMPUTED_VALUE"""),"Walk-Ins")</f>
        <v>Walk-Ins</v>
      </c>
      <c r="V363" s="124" t="str">
        <f>IFERROR(__xludf.DUMMYFUNCTION("""COMPUTED_VALUE"""),"Walkin")</f>
        <v>Walkin</v>
      </c>
      <c r="W363" s="124" t="str">
        <f>IFERROR(__xludf.DUMMYFUNCTION("""COMPUTED_VALUE"""),"Delhi")</f>
        <v>Delhi</v>
      </c>
      <c r="X363" s="124" t="str">
        <f>IFERROR(__xludf.DUMMYFUNCTION("""COMPUTED_VALUE"""),"walkin")</f>
        <v>walkin</v>
      </c>
      <c r="Y363" s="124" t="str">
        <f>IFERROR(__xludf.DUMMYFUNCTION("""COMPUTED_VALUE"""),"Delhi")</f>
        <v>Delhi</v>
      </c>
      <c r="Z363" s="124">
        <f>IFERROR(__xludf.DUMMYFUNCTION("""COMPUTED_VALUE"""),2.0)</f>
        <v>2</v>
      </c>
      <c r="AA363" s="124" t="str">
        <f>IFERROR(__xludf.DUMMYFUNCTION("""COMPUTED_VALUE"""),"Enrolled")</f>
        <v>Enrolled</v>
      </c>
      <c r="AB363" s="124" t="str">
        <f>IFERROR(__xludf.DUMMYFUNCTION("""COMPUTED_VALUE"""),"GS Foundation")</f>
        <v>GS Foundation</v>
      </c>
    </row>
    <row r="364">
      <c r="A364" s="126">
        <f>IFERROR(__xludf.DUMMYFUNCTION("""COMPUTED_VALUE"""),46046.0)</f>
        <v>46046</v>
      </c>
      <c r="B364" s="124" t="str">
        <f>IFERROR(__xludf.DUMMYFUNCTION("""COMPUTED_VALUE"""),"Walkin")</f>
        <v>Walkin</v>
      </c>
      <c r="C364" s="124" t="str">
        <f>IFERROR(__xludf.DUMMYFUNCTION("""COMPUTED_VALUE"""),"Delhi")</f>
        <v>Delhi</v>
      </c>
      <c r="D364" s="124" t="str">
        <f>IFERROR(__xludf.DUMMYFUNCTION("""COMPUTED_VALUE"""),"Primary_Walkin")</f>
        <v>Primary_Walkin</v>
      </c>
      <c r="E364" s="127">
        <f>IFERROR(__xludf.DUMMYFUNCTION("""COMPUTED_VALUE"""),1.0)</f>
        <v>1</v>
      </c>
      <c r="F364" s="128" t="str">
        <f>IFERROR(__xludf.DUMMYFUNCTION("""COMPUTED_VALUE"""),"Enrolled")</f>
        <v>Enrolled</v>
      </c>
      <c r="G364" s="124" t="str">
        <f>IFERROR(__xludf.DUMMYFUNCTION("""COMPUTED_VALUE"""),"SIP Offline")</f>
        <v>SIP Offline</v>
      </c>
      <c r="K364" s="124"/>
      <c r="L364" s="124"/>
      <c r="M364" s="124"/>
      <c r="N364" s="124"/>
      <c r="O364" s="124"/>
      <c r="T364" s="129">
        <f>IFERROR(__xludf.DUMMYFUNCTION("""COMPUTED_VALUE"""),46106.0)</f>
        <v>46106</v>
      </c>
      <c r="U364" s="124" t="str">
        <f>IFERROR(__xludf.DUMMYFUNCTION("""COMPUTED_VALUE"""),"Walk-Ins")</f>
        <v>Walk-Ins</v>
      </c>
      <c r="V364" s="124" t="str">
        <f>IFERROR(__xludf.DUMMYFUNCTION("""COMPUTED_VALUE"""),"Walk-In")</f>
        <v>Walk-In</v>
      </c>
      <c r="W364" s="124" t="str">
        <f>IFERROR(__xludf.DUMMYFUNCTION("""COMPUTED_VALUE"""),"Delhi")</f>
        <v>Delhi</v>
      </c>
      <c r="X364" s="124" t="str">
        <f>IFERROR(__xludf.DUMMYFUNCTION("""COMPUTED_VALUE"""),"walkin")</f>
        <v>walkin</v>
      </c>
      <c r="Y364" s="124" t="str">
        <f>IFERROR(__xludf.DUMMYFUNCTION("""COMPUTED_VALUE"""),"Delhi")</f>
        <v>Delhi</v>
      </c>
      <c r="Z364" s="124">
        <f>IFERROR(__xludf.DUMMYFUNCTION("""COMPUTED_VALUE"""),1.0)</f>
        <v>1</v>
      </c>
      <c r="AA364" s="124" t="str">
        <f>IFERROR(__xludf.DUMMYFUNCTION("""COMPUTED_VALUE"""),"Enrolled")</f>
        <v>Enrolled</v>
      </c>
      <c r="AB364" s="124" t="str">
        <f>IFERROR(__xludf.DUMMYFUNCTION("""COMPUTED_VALUE"""),"GS Foundation")</f>
        <v>GS Foundation</v>
      </c>
    </row>
    <row r="365">
      <c r="A365" s="126">
        <f>IFERROR(__xludf.DUMMYFUNCTION("""COMPUTED_VALUE"""),46047.0)</f>
        <v>46047</v>
      </c>
      <c r="B365" s="124" t="str">
        <f>IFERROR(__xludf.DUMMYFUNCTION("""COMPUTED_VALUE"""),"Walkin")</f>
        <v>Walkin</v>
      </c>
      <c r="C365" s="124" t="str">
        <f>IFERROR(__xludf.DUMMYFUNCTION("""COMPUTED_VALUE"""),"Delhi")</f>
        <v>Delhi</v>
      </c>
      <c r="D365" s="124" t="str">
        <f>IFERROR(__xludf.DUMMYFUNCTION("""COMPUTED_VALUE"""),"Primary_Walkin")</f>
        <v>Primary_Walkin</v>
      </c>
      <c r="E365" s="127">
        <f>IFERROR(__xludf.DUMMYFUNCTION("""COMPUTED_VALUE"""),1.0)</f>
        <v>1</v>
      </c>
      <c r="F365" s="128" t="str">
        <f>IFERROR(__xludf.DUMMYFUNCTION("""COMPUTED_VALUE"""),"Warm")</f>
        <v>Warm</v>
      </c>
      <c r="G365" s="124" t="str">
        <f>IFERROR(__xludf.DUMMYFUNCTION("""COMPUTED_VALUE"""),"GS Foundation")</f>
        <v>GS Foundation</v>
      </c>
      <c r="K365" s="124"/>
      <c r="L365" s="124"/>
      <c r="M365" s="124"/>
      <c r="N365" s="124"/>
      <c r="O365" s="124"/>
      <c r="T365" s="126">
        <f>IFERROR(__xludf.DUMMYFUNCTION("""COMPUTED_VALUE"""),46050.0)</f>
        <v>46050</v>
      </c>
      <c r="U365" s="124" t="str">
        <f>IFERROR(__xludf.DUMMYFUNCTION("""COMPUTED_VALUE"""),"External Leads")</f>
        <v>External Leads</v>
      </c>
      <c r="V365" s="124" t="str">
        <f>IFERROR(__xludf.DUMMYFUNCTION("""COMPUTED_VALUE"""),"external leads")</f>
        <v>external leads</v>
      </c>
      <c r="W365" s="124" t="str">
        <f>IFERROR(__xludf.DUMMYFUNCTION("""COMPUTED_VALUE"""),"patna")</f>
        <v>patna</v>
      </c>
      <c r="X365" s="124" t="str">
        <f>IFERROR(__xludf.DUMMYFUNCTION("""COMPUTED_VALUE"""),"piyushunacademy")</f>
        <v>piyushunacademy</v>
      </c>
      <c r="Y365" s="124" t="str">
        <f>IFERROR(__xludf.DUMMYFUNCTION("""COMPUTED_VALUE"""),"Delhi")</f>
        <v>Delhi</v>
      </c>
      <c r="Z365" s="124">
        <f>IFERROR(__xludf.DUMMYFUNCTION("""COMPUTED_VALUE"""),1.0)</f>
        <v>1</v>
      </c>
      <c r="AA365" s="124" t="str">
        <f>IFERROR(__xludf.DUMMYFUNCTION("""COMPUTED_VALUE"""),"Not Interested")</f>
        <v>Not Interested</v>
      </c>
      <c r="AB365" s="124" t="str">
        <f>IFERROR(__xludf.DUMMYFUNCTION("""COMPUTED_VALUE"""),"GS Foundation")</f>
        <v>GS Foundation</v>
      </c>
    </row>
    <row r="366">
      <c r="A366" s="129">
        <f>IFERROR(__xludf.DUMMYFUNCTION("""COMPUTED_VALUE"""),46058.0)</f>
        <v>46058</v>
      </c>
      <c r="B366" s="124" t="str">
        <f>IFERROR(__xludf.DUMMYFUNCTION("""COMPUTED_VALUE"""),"Walk-In")</f>
        <v>Walk-In</v>
      </c>
      <c r="C366" s="124" t="str">
        <f>IFERROR(__xludf.DUMMYFUNCTION("""COMPUTED_VALUE"""),"Delhi")</f>
        <v>Delhi</v>
      </c>
      <c r="D366" s="124" t="str">
        <f>IFERROR(__xludf.DUMMYFUNCTION("""COMPUTED_VALUE"""),"Primary_Walkin")</f>
        <v>Primary_Walkin</v>
      </c>
      <c r="E366" s="127">
        <f>IFERROR(__xludf.DUMMYFUNCTION("""COMPUTED_VALUE"""),1.0)</f>
        <v>1</v>
      </c>
      <c r="F366" s="128" t="str">
        <f>IFERROR(__xludf.DUMMYFUNCTION("""COMPUTED_VALUE"""),"Enrolled")</f>
        <v>Enrolled</v>
      </c>
      <c r="G366" s="124" t="str">
        <f>IFERROR(__xludf.DUMMYFUNCTION("""COMPUTED_VALUE"""),"SIP Offline")</f>
        <v>SIP Offline</v>
      </c>
      <c r="K366" s="124"/>
      <c r="L366" s="124"/>
      <c r="M366" s="124"/>
      <c r="N366" s="124"/>
      <c r="O366" s="124"/>
      <c r="T366" s="126">
        <f>IFERROR(__xludf.DUMMYFUNCTION("""COMPUTED_VALUE"""),46050.0)</f>
        <v>46050</v>
      </c>
      <c r="U366" s="124" t="str">
        <f>IFERROR(__xludf.DUMMYFUNCTION("""COMPUTED_VALUE"""),"External Leads")</f>
        <v>External Leads</v>
      </c>
      <c r="V366" s="124" t="str">
        <f>IFERROR(__xludf.DUMMYFUNCTION("""COMPUTED_VALUE"""),"external leads")</f>
        <v>external leads</v>
      </c>
      <c r="W366" s="124" t="str">
        <f>IFERROR(__xludf.DUMMYFUNCTION("""COMPUTED_VALUE"""),"patna")</f>
        <v>patna</v>
      </c>
      <c r="X366" s="124" t="str">
        <f>IFERROR(__xludf.DUMMYFUNCTION("""COMPUTED_VALUE"""),"piyushunacademy")</f>
        <v>piyushunacademy</v>
      </c>
      <c r="Y366" s="124" t="str">
        <f>IFERROR(__xludf.DUMMYFUNCTION("""COMPUTED_VALUE"""),"Patna")</f>
        <v>Patna</v>
      </c>
      <c r="Z366" s="124">
        <f>IFERROR(__xludf.DUMMYFUNCTION("""COMPUTED_VALUE"""),1.0)</f>
        <v>1</v>
      </c>
      <c r="AA366" s="124" t="str">
        <f>IFERROR(__xludf.DUMMYFUNCTION("""COMPUTED_VALUE"""),"Warm")</f>
        <v>Warm</v>
      </c>
      <c r="AB366" s="124" t="str">
        <f>IFERROR(__xludf.DUMMYFUNCTION("""COMPUTED_VALUE"""),"GS Foundation")</f>
        <v>GS Foundation</v>
      </c>
    </row>
    <row r="367">
      <c r="A367" s="126">
        <f>IFERROR(__xludf.DUMMYFUNCTION("""COMPUTED_VALUE"""),46091.0)</f>
        <v>46091</v>
      </c>
      <c r="B367" s="124" t="str">
        <f>IFERROR(__xludf.DUMMYFUNCTION("""COMPUTED_VALUE"""),"walk-in")</f>
        <v>walk-in</v>
      </c>
      <c r="C367" s="124" t="str">
        <f>IFERROR(__xludf.DUMMYFUNCTION("""COMPUTED_VALUE"""),"Delhi")</f>
        <v>Delhi</v>
      </c>
      <c r="D367" s="124" t="str">
        <f>IFERROR(__xludf.DUMMYFUNCTION("""COMPUTED_VALUE"""),"Primary_Walkin")</f>
        <v>Primary_Walkin</v>
      </c>
      <c r="E367" s="127">
        <f>IFERROR(__xludf.DUMMYFUNCTION("""COMPUTED_VALUE"""),1.0)</f>
        <v>1</v>
      </c>
      <c r="F367" s="128" t="str">
        <f>IFERROR(__xludf.DUMMYFUNCTION("""COMPUTED_VALUE"""),"Not Interested")</f>
        <v>Not Interested</v>
      </c>
      <c r="G367" s="124" t="str">
        <f>IFERROR(__xludf.DUMMYFUNCTION("""COMPUTED_VALUE"""),"GS Foundation")</f>
        <v>GS Foundation</v>
      </c>
      <c r="K367" s="124"/>
      <c r="L367" s="124"/>
      <c r="M367" s="124"/>
      <c r="N367" s="124"/>
      <c r="O367" s="124"/>
      <c r="T367" s="126">
        <f>IFERROR(__xludf.DUMMYFUNCTION("""COMPUTED_VALUE"""),46101.0)</f>
        <v>46101</v>
      </c>
      <c r="U367" s="124" t="str">
        <f>IFERROR(__xludf.DUMMYFUNCTION("""COMPUTED_VALUE"""),"Walk-Ins")</f>
        <v>Walk-Ins</v>
      </c>
      <c r="V367" s="124" t="str">
        <f>IFERROR(__xludf.DUMMYFUNCTION("""COMPUTED_VALUE"""),"Walkin")</f>
        <v>Walkin</v>
      </c>
      <c r="W367" s="124" t="str">
        <f>IFERROR(__xludf.DUMMYFUNCTION("""COMPUTED_VALUE"""),"Delhi")</f>
        <v>Delhi</v>
      </c>
      <c r="X367" s="124" t="str">
        <f>IFERROR(__xludf.DUMMYFUNCTION("""COMPUTED_VALUE"""),"walkin")</f>
        <v>walkin</v>
      </c>
      <c r="Y367" s="124" t="str">
        <f>IFERROR(__xludf.DUMMYFUNCTION("""COMPUTED_VALUE"""),"Delhi")</f>
        <v>Delhi</v>
      </c>
      <c r="Z367" s="124">
        <f>IFERROR(__xludf.DUMMYFUNCTION("""COMPUTED_VALUE"""),3.0)</f>
        <v>3</v>
      </c>
      <c r="AA367" s="124" t="str">
        <f>IFERROR(__xludf.DUMMYFUNCTION("""COMPUTED_VALUE"""),"Not Interested")</f>
        <v>Not Interested</v>
      </c>
      <c r="AB367" s="124" t="str">
        <f>IFERROR(__xludf.DUMMYFUNCTION("""COMPUTED_VALUE"""),"GS Foundation")</f>
        <v>GS Foundation</v>
      </c>
    </row>
    <row r="368">
      <c r="A368" s="126">
        <f>IFERROR(__xludf.DUMMYFUNCTION("""COMPUTED_VALUE"""),46099.0)</f>
        <v>46099</v>
      </c>
      <c r="B368" s="124" t="str">
        <f>IFERROR(__xludf.DUMMYFUNCTION("""COMPUTED_VALUE"""),"Walkin")</f>
        <v>Walkin</v>
      </c>
      <c r="C368" s="124" t="str">
        <f>IFERROR(__xludf.DUMMYFUNCTION("""COMPUTED_VALUE"""),"Delhi")</f>
        <v>Delhi</v>
      </c>
      <c r="D368" s="124" t="str">
        <f>IFERROR(__xludf.DUMMYFUNCTION("""COMPUTED_VALUE"""),"Primary_Walkin")</f>
        <v>Primary_Walkin</v>
      </c>
      <c r="E368" s="127">
        <f>IFERROR(__xludf.DUMMYFUNCTION("""COMPUTED_VALUE"""),2.0)</f>
        <v>2</v>
      </c>
      <c r="F368" s="128" t="str">
        <f>IFERROR(__xludf.DUMMYFUNCTION("""COMPUTED_VALUE"""),"Enrolled")</f>
        <v>Enrolled</v>
      </c>
      <c r="G368" s="124" t="str">
        <f>IFERROR(__xludf.DUMMYFUNCTION("""COMPUTED_VALUE"""),"GS Foundation")</f>
        <v>GS Foundation</v>
      </c>
      <c r="K368" s="124"/>
      <c r="L368" s="124"/>
      <c r="M368" s="124"/>
      <c r="N368" s="124"/>
      <c r="O368" s="124"/>
      <c r="T368" s="126">
        <f>IFERROR(__xludf.DUMMYFUNCTION("""COMPUTED_VALUE"""),46051.0)</f>
        <v>46051</v>
      </c>
      <c r="U368" s="124" t="str">
        <f>IFERROR(__xludf.DUMMYFUNCTION("""COMPUTED_VALUE"""),"Walk-Ins")</f>
        <v>Walk-Ins</v>
      </c>
      <c r="V368" s="124" t="str">
        <f>IFERROR(__xludf.DUMMYFUNCTION("""COMPUTED_VALUE"""),"Walkin")</f>
        <v>Walkin</v>
      </c>
      <c r="W368" s="124" t="str">
        <f>IFERROR(__xludf.DUMMYFUNCTION("""COMPUTED_VALUE"""),"Delhi")</f>
        <v>Delhi</v>
      </c>
      <c r="X368" s="124" t="str">
        <f>IFERROR(__xludf.DUMMYFUNCTION("""COMPUTED_VALUE"""),"walkin")</f>
        <v>walkin</v>
      </c>
      <c r="Y368" s="124" t="str">
        <f>IFERROR(__xludf.DUMMYFUNCTION("""COMPUTED_VALUE"""),"Delhi")</f>
        <v>Delhi</v>
      </c>
      <c r="Z368" s="124">
        <f>IFERROR(__xludf.DUMMYFUNCTION("""COMPUTED_VALUE"""),1.0)</f>
        <v>1</v>
      </c>
      <c r="AA368" s="124" t="str">
        <f>IFERROR(__xludf.DUMMYFUNCTION("""COMPUTED_VALUE"""),"Not Interested")</f>
        <v>Not Interested</v>
      </c>
      <c r="AB368" s="124" t="str">
        <f>IFERROR(__xludf.DUMMYFUNCTION("""COMPUTED_VALUE"""),"SIP Offline")</f>
        <v>SIP Offline</v>
      </c>
    </row>
    <row r="369">
      <c r="A369" s="126">
        <f>IFERROR(__xludf.DUMMYFUNCTION("""COMPUTED_VALUE"""),46095.0)</f>
        <v>46095</v>
      </c>
      <c r="B369" s="124" t="str">
        <f>IFERROR(__xludf.DUMMYFUNCTION("""COMPUTED_VALUE"""),"Walkin")</f>
        <v>Walkin</v>
      </c>
      <c r="C369" s="124" t="str">
        <f>IFERROR(__xludf.DUMMYFUNCTION("""COMPUTED_VALUE"""),"Delhi")</f>
        <v>Delhi</v>
      </c>
      <c r="D369" s="124" t="str">
        <f>IFERROR(__xludf.DUMMYFUNCTION("""COMPUTED_VALUE"""),"Primary_Walkin")</f>
        <v>Primary_Walkin</v>
      </c>
      <c r="E369" s="127">
        <f>IFERROR(__xludf.DUMMYFUNCTION("""COMPUTED_VALUE"""),5.0)</f>
        <v>5</v>
      </c>
      <c r="F369" s="128" t="str">
        <f>IFERROR(__xludf.DUMMYFUNCTION("""COMPUTED_VALUE"""),"Not Interested")</f>
        <v>Not Interested</v>
      </c>
      <c r="G369" s="124" t="str">
        <f>IFERROR(__xludf.DUMMYFUNCTION("""COMPUTED_VALUE"""),"GS Foundation")</f>
        <v>GS Foundation</v>
      </c>
      <c r="K369" s="124"/>
      <c r="L369" s="124"/>
      <c r="M369" s="124"/>
      <c r="N369" s="124"/>
      <c r="O369" s="124"/>
      <c r="T369" s="126">
        <f>IFERROR(__xludf.DUMMYFUNCTION("""COMPUTED_VALUE"""),46089.0)</f>
        <v>46089</v>
      </c>
      <c r="U369" s="124" t="str">
        <f>IFERROR(__xludf.DUMMYFUNCTION("""COMPUTED_VALUE"""),"Walk-Ins")</f>
        <v>Walk-Ins</v>
      </c>
      <c r="V369" s="124" t="str">
        <f>IFERROR(__xludf.DUMMYFUNCTION("""COMPUTED_VALUE"""),"Walkin")</f>
        <v>Walkin</v>
      </c>
      <c r="W369" s="124" t="str">
        <f>IFERROR(__xludf.DUMMYFUNCTION("""COMPUTED_VALUE"""),"Delhi")</f>
        <v>Delhi</v>
      </c>
      <c r="X369" s="124" t="str">
        <f>IFERROR(__xludf.DUMMYFUNCTION("""COMPUTED_VALUE"""),"walkin")</f>
        <v>walkin</v>
      </c>
      <c r="Y369" s="124" t="str">
        <f>IFERROR(__xludf.DUMMYFUNCTION("""COMPUTED_VALUE"""),"Delhi")</f>
        <v>Delhi</v>
      </c>
      <c r="Z369" s="124">
        <f>IFERROR(__xludf.DUMMYFUNCTION("""COMPUTED_VALUE"""),2.0)</f>
        <v>2</v>
      </c>
      <c r="AA369" s="124" t="str">
        <f>IFERROR(__xludf.DUMMYFUNCTION("""COMPUTED_VALUE"""),"Cold")</f>
        <v>Cold</v>
      </c>
      <c r="AB369" s="124" t="str">
        <f>IFERROR(__xludf.DUMMYFUNCTION("""COMPUTED_VALUE"""),"GS Foundation")</f>
        <v>GS Foundation</v>
      </c>
    </row>
    <row r="370">
      <c r="A370" s="126">
        <f>IFERROR(__xludf.DUMMYFUNCTION("""COMPUTED_VALUE"""),46111.0)</f>
        <v>46111</v>
      </c>
      <c r="B370" s="124" t="str">
        <f>IFERROR(__xludf.DUMMYFUNCTION("""COMPUTED_VALUE"""),"Walkin")</f>
        <v>Walkin</v>
      </c>
      <c r="C370" s="124" t="str">
        <f>IFERROR(__xludf.DUMMYFUNCTION("""COMPUTED_VALUE"""),"Delhi")</f>
        <v>Delhi</v>
      </c>
      <c r="D370" s="124" t="str">
        <f>IFERROR(__xludf.DUMMYFUNCTION("""COMPUTED_VALUE"""),"Primary_Walkin")</f>
        <v>Primary_Walkin</v>
      </c>
      <c r="E370" s="127">
        <f>IFERROR(__xludf.DUMMYFUNCTION("""COMPUTED_VALUE"""),2.0)</f>
        <v>2</v>
      </c>
      <c r="F370" s="128" t="str">
        <f>IFERROR(__xludf.DUMMYFUNCTION("""COMPUTED_VALUE"""),"Fake Lead")</f>
        <v>Fake Lead</v>
      </c>
      <c r="G370" s="124" t="str">
        <f>IFERROR(__xludf.DUMMYFUNCTION("""COMPUTED_VALUE"""),"GS Foundation")</f>
        <v>GS Foundation</v>
      </c>
      <c r="K370" s="124"/>
      <c r="L370" s="124"/>
      <c r="M370" s="124"/>
      <c r="N370" s="124"/>
      <c r="O370" s="124"/>
      <c r="T370" s="126">
        <f>IFERROR(__xludf.DUMMYFUNCTION("""COMPUTED_VALUE"""),46066.0)</f>
        <v>46066</v>
      </c>
      <c r="U370" s="124" t="str">
        <f>IFERROR(__xludf.DUMMYFUNCTION("""COMPUTED_VALUE"""),"Walk-Ins")</f>
        <v>Walk-Ins</v>
      </c>
      <c r="V370" s="124" t="str">
        <f>IFERROR(__xludf.DUMMYFUNCTION("""COMPUTED_VALUE"""),"Walkin")</f>
        <v>Walkin</v>
      </c>
      <c r="W370" s="124" t="str">
        <f>IFERROR(__xludf.DUMMYFUNCTION("""COMPUTED_VALUE"""),"Delhi")</f>
        <v>Delhi</v>
      </c>
      <c r="X370" s="124" t="str">
        <f>IFERROR(__xludf.DUMMYFUNCTION("""COMPUTED_VALUE"""),"walkin")</f>
        <v>walkin</v>
      </c>
      <c r="Y370" s="124" t="str">
        <f>IFERROR(__xludf.DUMMYFUNCTION("""COMPUTED_VALUE"""),"Delhi")</f>
        <v>Delhi</v>
      </c>
      <c r="Z370" s="124">
        <f>IFERROR(__xludf.DUMMYFUNCTION("""COMPUTED_VALUE"""),3.0)</f>
        <v>3</v>
      </c>
      <c r="AA370" s="124" t="str">
        <f>IFERROR(__xludf.DUMMYFUNCTION("""COMPUTED_VALUE"""),"Cold")</f>
        <v>Cold</v>
      </c>
      <c r="AB370" s="124" t="str">
        <f>IFERROR(__xludf.DUMMYFUNCTION("""COMPUTED_VALUE"""),"GS Foundation")</f>
        <v>GS Foundation</v>
      </c>
    </row>
    <row r="371">
      <c r="A371" s="126">
        <f>IFERROR(__xludf.DUMMYFUNCTION("""COMPUTED_VALUE"""),46088.0)</f>
        <v>46088</v>
      </c>
      <c r="B371" s="124" t="str">
        <f>IFERROR(__xludf.DUMMYFUNCTION("""COMPUTED_VALUE"""),"Walkin")</f>
        <v>Walkin</v>
      </c>
      <c r="C371" s="124" t="str">
        <f>IFERROR(__xludf.DUMMYFUNCTION("""COMPUTED_VALUE"""),"Delhi")</f>
        <v>Delhi</v>
      </c>
      <c r="D371" s="124" t="str">
        <f>IFERROR(__xludf.DUMMYFUNCTION("""COMPUTED_VALUE"""),"Primary_Walkin")</f>
        <v>Primary_Walkin</v>
      </c>
      <c r="E371" s="127">
        <f>IFERROR(__xludf.DUMMYFUNCTION("""COMPUTED_VALUE"""),3.0)</f>
        <v>3</v>
      </c>
      <c r="F371" s="128" t="str">
        <f>IFERROR(__xludf.DUMMYFUNCTION("""COMPUTED_VALUE"""),"Not Interested")</f>
        <v>Not Interested</v>
      </c>
      <c r="G371" s="124" t="str">
        <f>IFERROR(__xludf.DUMMYFUNCTION("""COMPUTED_VALUE"""),"GS Foundation")</f>
        <v>GS Foundation</v>
      </c>
      <c r="K371" s="124"/>
      <c r="L371" s="124"/>
      <c r="M371" s="124"/>
      <c r="N371" s="124"/>
      <c r="O371" s="124"/>
      <c r="T371" s="126">
        <f>IFERROR(__xludf.DUMMYFUNCTION("""COMPUTED_VALUE"""),46049.0)</f>
        <v>46049</v>
      </c>
      <c r="U371" s="124" t="str">
        <f>IFERROR(__xludf.DUMMYFUNCTION("""COMPUTED_VALUE"""),"External Leads")</f>
        <v>External Leads</v>
      </c>
      <c r="V371" s="124" t="str">
        <f>IFERROR(__xludf.DUMMYFUNCTION("""COMPUTED_VALUE"""),"external leads")</f>
        <v>external leads</v>
      </c>
      <c r="W371" s="124" t="str">
        <f>IFERROR(__xludf.DUMMYFUNCTION("""COMPUTED_VALUE"""),"prayagraj")</f>
        <v>prayagraj</v>
      </c>
      <c r="X371" s="124" t="str">
        <f>IFERROR(__xludf.DUMMYFUNCTION("""COMPUTED_VALUE"""),"piyushunacademy")</f>
        <v>piyushunacademy</v>
      </c>
      <c r="Y371" s="124" t="str">
        <f>IFERROR(__xludf.DUMMYFUNCTION("""COMPUTED_VALUE"""),"Prayagraj")</f>
        <v>Prayagraj</v>
      </c>
      <c r="Z371" s="124">
        <f>IFERROR(__xludf.DUMMYFUNCTION("""COMPUTED_VALUE"""),4.0)</f>
        <v>4</v>
      </c>
      <c r="AA371" s="124" t="str">
        <f>IFERROR(__xludf.DUMMYFUNCTION("""COMPUTED_VALUE"""),"Cold")</f>
        <v>Cold</v>
      </c>
      <c r="AB371" s="124" t="str">
        <f>IFERROR(__xludf.DUMMYFUNCTION("""COMPUTED_VALUE"""),"GS Foundation")</f>
        <v>GS Foundation</v>
      </c>
    </row>
    <row r="372">
      <c r="A372" s="126">
        <f>IFERROR(__xludf.DUMMYFUNCTION("""COMPUTED_VALUE"""),46098.0)</f>
        <v>46098</v>
      </c>
      <c r="B372" s="124" t="str">
        <f>IFERROR(__xludf.DUMMYFUNCTION("""COMPUTED_VALUE"""),"Walkin")</f>
        <v>Walkin</v>
      </c>
      <c r="C372" s="124" t="str">
        <f>IFERROR(__xludf.DUMMYFUNCTION("""COMPUTED_VALUE"""),"Delhi")</f>
        <v>Delhi</v>
      </c>
      <c r="D372" s="124" t="str">
        <f>IFERROR(__xludf.DUMMYFUNCTION("""COMPUTED_VALUE"""),"Primary_Walkin")</f>
        <v>Primary_Walkin</v>
      </c>
      <c r="E372" s="127">
        <f>IFERROR(__xludf.DUMMYFUNCTION("""COMPUTED_VALUE"""),7.0)</f>
        <v>7</v>
      </c>
      <c r="F372" s="128" t="str">
        <f>IFERROR(__xludf.DUMMYFUNCTION("""COMPUTED_VALUE"""),"Future Prospects")</f>
        <v>Future Prospects</v>
      </c>
      <c r="G372" s="124" t="str">
        <f>IFERROR(__xludf.DUMMYFUNCTION("""COMPUTED_VALUE"""),"GS Foundation")</f>
        <v>GS Foundation</v>
      </c>
      <c r="K372" s="124"/>
      <c r="L372" s="124"/>
      <c r="M372" s="124"/>
      <c r="N372" s="124"/>
      <c r="O372" s="124"/>
      <c r="T372" s="129">
        <f>IFERROR(__xludf.DUMMYFUNCTION("""COMPUTED_VALUE"""),46044.0)</f>
        <v>46044</v>
      </c>
      <c r="U372" s="124" t="str">
        <f>IFERROR(__xludf.DUMMYFUNCTION("""COMPUTED_VALUE"""),"Walk-Ins")</f>
        <v>Walk-Ins</v>
      </c>
      <c r="V372" s="124" t="str">
        <f>IFERROR(__xludf.DUMMYFUNCTION("""COMPUTED_VALUE"""),"Walkin")</f>
        <v>Walkin</v>
      </c>
      <c r="W372" s="124" t="str">
        <f>IFERROR(__xludf.DUMMYFUNCTION("""COMPUTED_VALUE"""),"Delhi")</f>
        <v>Delhi</v>
      </c>
      <c r="X372" s="124" t="str">
        <f>IFERROR(__xludf.DUMMYFUNCTION("""COMPUTED_VALUE"""),"walkin")</f>
        <v>walkin</v>
      </c>
      <c r="Y372" s="124" t="str">
        <f>IFERROR(__xludf.DUMMYFUNCTION("""COMPUTED_VALUE"""),"Delhi")</f>
        <v>Delhi</v>
      </c>
      <c r="Z372" s="124">
        <f>IFERROR(__xludf.DUMMYFUNCTION("""COMPUTED_VALUE"""),10.0)</f>
        <v>10</v>
      </c>
      <c r="AA372" s="124" t="str">
        <f>IFERROR(__xludf.DUMMYFUNCTION("""COMPUTED_VALUE"""),"Not Interested")</f>
        <v>Not Interested</v>
      </c>
      <c r="AB372" s="124" t="str">
        <f>IFERROR(__xludf.DUMMYFUNCTION("""COMPUTED_VALUE"""),"GS Foundation")</f>
        <v>GS Foundation</v>
      </c>
    </row>
    <row r="373">
      <c r="A373" s="126">
        <f>IFERROR(__xludf.DUMMYFUNCTION("""COMPUTED_VALUE"""),46093.0)</f>
        <v>46093</v>
      </c>
      <c r="B373" s="124" t="str">
        <f>IFERROR(__xludf.DUMMYFUNCTION("""COMPUTED_VALUE"""),"external leads")</f>
        <v>external leads</v>
      </c>
      <c r="C373" s="124" t="str">
        <f>IFERROR(__xludf.DUMMYFUNCTION("""COMPUTED_VALUE"""),"Delhi")</f>
        <v>Delhi</v>
      </c>
      <c r="D373" s="124" t="str">
        <f>IFERROR(__xludf.DUMMYFUNCTION("""COMPUTED_VALUE"""),"Secondary_Walkin")</f>
        <v>Secondary_Walkin</v>
      </c>
      <c r="E373" s="127">
        <f>IFERROR(__xludf.DUMMYFUNCTION("""COMPUTED_VALUE"""),1.0)</f>
        <v>1</v>
      </c>
      <c r="F373" s="128" t="str">
        <f>IFERROR(__xludf.DUMMYFUNCTION("""COMPUTED_VALUE"""),"Warm")</f>
        <v>Warm</v>
      </c>
      <c r="G373" s="124" t="str">
        <f>IFERROR(__xludf.DUMMYFUNCTION("""COMPUTED_VALUE"""),"GS Foundation")</f>
        <v>GS Foundation</v>
      </c>
      <c r="K373" s="124"/>
      <c r="L373" s="124"/>
      <c r="M373" s="124"/>
      <c r="N373" s="124"/>
      <c r="O373" s="124"/>
      <c r="T373" s="126">
        <f>IFERROR(__xludf.DUMMYFUNCTION("""COMPUTED_VALUE"""),46083.0)</f>
        <v>46083</v>
      </c>
      <c r="U373" s="124" t="str">
        <f>IFERROR(__xludf.DUMMYFUNCTION("""COMPUTED_VALUE"""),"External Leads")</f>
        <v>External Leads</v>
      </c>
      <c r="V373" s="124" t="str">
        <f>IFERROR(__xludf.DUMMYFUNCTION("""COMPUTED_VALUE"""),"external leads")</f>
        <v>external leads</v>
      </c>
      <c r="W373" s="124" t="str">
        <f>IFERROR(__xludf.DUMMYFUNCTION("""COMPUTED_VALUE"""),"delhi")</f>
        <v>delhi</v>
      </c>
      <c r="X373" s="124" t="str">
        <f>IFERROR(__xludf.DUMMYFUNCTION("""COMPUTED_VALUE"""),"unacademyretargeting")</f>
        <v>unacademyretargeting</v>
      </c>
      <c r="Y373" s="124" t="str">
        <f>IFERROR(__xludf.DUMMYFUNCTION("""COMPUTED_VALUE"""),"Delhi")</f>
        <v>Delhi</v>
      </c>
      <c r="Z373" s="124">
        <f>IFERROR(__xludf.DUMMYFUNCTION("""COMPUTED_VALUE"""),6.0)</f>
        <v>6</v>
      </c>
      <c r="AA373" s="124" t="str">
        <f>IFERROR(__xludf.DUMMYFUNCTION("""COMPUTED_VALUE"""),"Not Interested")</f>
        <v>Not Interested</v>
      </c>
      <c r="AB373" s="124"/>
    </row>
    <row r="374">
      <c r="A374" s="126">
        <f>IFERROR(__xludf.DUMMYFUNCTION("""COMPUTED_VALUE"""),46093.0)</f>
        <v>46093</v>
      </c>
      <c r="B374" s="124" t="str">
        <f>IFERROR(__xludf.DUMMYFUNCTION("""COMPUTED_VALUE"""),"Walkin")</f>
        <v>Walkin</v>
      </c>
      <c r="C374" s="124" t="str">
        <f>IFERROR(__xludf.DUMMYFUNCTION("""COMPUTED_VALUE"""),"Delhi")</f>
        <v>Delhi</v>
      </c>
      <c r="D374" s="124" t="str">
        <f>IFERROR(__xludf.DUMMYFUNCTION("""COMPUTED_VALUE"""),"Primary_Walkin")</f>
        <v>Primary_Walkin</v>
      </c>
      <c r="E374" s="127">
        <f>IFERROR(__xludf.DUMMYFUNCTION("""COMPUTED_VALUE"""),1.0)</f>
        <v>1</v>
      </c>
      <c r="F374" s="128" t="str">
        <f>IFERROR(__xludf.DUMMYFUNCTION("""COMPUTED_VALUE"""),"Cold")</f>
        <v>Cold</v>
      </c>
      <c r="G374" s="124" t="str">
        <f>IFERROR(__xludf.DUMMYFUNCTION("""COMPUTED_VALUE"""),"GS Foundation")</f>
        <v>GS Foundation</v>
      </c>
      <c r="K374" s="124"/>
      <c r="L374" s="124"/>
      <c r="M374" s="124"/>
      <c r="N374" s="124"/>
      <c r="O374" s="124"/>
      <c r="T374" s="126">
        <f>IFERROR(__xludf.DUMMYFUNCTION("""COMPUTED_VALUE"""),46052.0)</f>
        <v>46052</v>
      </c>
      <c r="U374" s="124" t="str">
        <f>IFERROR(__xludf.DUMMYFUNCTION("""COMPUTED_VALUE"""),"Walk-Ins")</f>
        <v>Walk-Ins</v>
      </c>
      <c r="V374" s="124" t="str">
        <f>IFERROR(__xludf.DUMMYFUNCTION("""COMPUTED_VALUE"""),"Walkin")</f>
        <v>Walkin</v>
      </c>
      <c r="W374" s="124" t="str">
        <f>IFERROR(__xludf.DUMMYFUNCTION("""COMPUTED_VALUE"""),"Delhi")</f>
        <v>Delhi</v>
      </c>
      <c r="X374" s="124" t="str">
        <f>IFERROR(__xludf.DUMMYFUNCTION("""COMPUTED_VALUE"""),"walkin")</f>
        <v>walkin</v>
      </c>
      <c r="Y374" s="124" t="str">
        <f>IFERROR(__xludf.DUMMYFUNCTION("""COMPUTED_VALUE"""),"Delhi")</f>
        <v>Delhi</v>
      </c>
      <c r="Z374" s="124">
        <f>IFERROR(__xludf.DUMMYFUNCTION("""COMPUTED_VALUE"""),5.0)</f>
        <v>5</v>
      </c>
      <c r="AA374" s="124" t="str">
        <f>IFERROR(__xludf.DUMMYFUNCTION("""COMPUTED_VALUE"""),"Future Prospects")</f>
        <v>Future Prospects</v>
      </c>
      <c r="AB374" s="124" t="str">
        <f>IFERROR(__xludf.DUMMYFUNCTION("""COMPUTED_VALUE"""),"GS Foundation")</f>
        <v>GS Foundation</v>
      </c>
    </row>
    <row r="375">
      <c r="A375" s="126">
        <f>IFERROR(__xludf.DUMMYFUNCTION("""COMPUTED_VALUE"""),46046.0)</f>
        <v>46046</v>
      </c>
      <c r="B375" s="124" t="str">
        <f>IFERROR(__xludf.DUMMYFUNCTION("""COMPUTED_VALUE"""),"Walk-In")</f>
        <v>Walk-In</v>
      </c>
      <c r="C375" s="124" t="str">
        <f>IFERROR(__xludf.DUMMYFUNCTION("""COMPUTED_VALUE"""),"Delhi")</f>
        <v>Delhi</v>
      </c>
      <c r="D375" s="124" t="str">
        <f>IFERROR(__xludf.DUMMYFUNCTION("""COMPUTED_VALUE"""),"Primary_Walkin")</f>
        <v>Primary_Walkin</v>
      </c>
      <c r="E375" s="127">
        <f>IFERROR(__xludf.DUMMYFUNCTION("""COMPUTED_VALUE"""),1.0)</f>
        <v>1</v>
      </c>
      <c r="F375" s="128" t="str">
        <f>IFERROR(__xludf.DUMMYFUNCTION("""COMPUTED_VALUE"""),"Future Prospects")</f>
        <v>Future Prospects</v>
      </c>
      <c r="G375" s="124" t="str">
        <f>IFERROR(__xludf.DUMMYFUNCTION("""COMPUTED_VALUE"""),"Optionals")</f>
        <v>Optionals</v>
      </c>
      <c r="K375" s="124"/>
      <c r="L375" s="124"/>
      <c r="M375" s="124"/>
      <c r="N375" s="124"/>
      <c r="O375" s="124"/>
      <c r="T375" s="126">
        <f>IFERROR(__xludf.DUMMYFUNCTION("""COMPUTED_VALUE"""),46049.0)</f>
        <v>46049</v>
      </c>
      <c r="U375" s="124" t="str">
        <f>IFERROR(__xludf.DUMMYFUNCTION("""COMPUTED_VALUE"""),"External Leads")</f>
        <v>External Leads</v>
      </c>
      <c r="V375" s="124" t="str">
        <f>IFERROR(__xludf.DUMMYFUNCTION("""COMPUTED_VALUE"""),"external leads")</f>
        <v>external leads</v>
      </c>
      <c r="W375" s="124" t="str">
        <f>IFERROR(__xludf.DUMMYFUNCTION("""COMPUTED_VALUE"""),"delhi")</f>
        <v>delhi</v>
      </c>
      <c r="X375" s="124" t="str">
        <f>IFERROR(__xludf.DUMMYFUNCTION("""COMPUTED_VALUE"""),"piyushunacademy")</f>
        <v>piyushunacademy</v>
      </c>
      <c r="Y375" s="124" t="str">
        <f>IFERROR(__xludf.DUMMYFUNCTION("""COMPUTED_VALUE"""),"Delhi")</f>
        <v>Delhi</v>
      </c>
      <c r="Z375" s="124">
        <f>IFERROR(__xludf.DUMMYFUNCTION("""COMPUTED_VALUE"""),5.0)</f>
        <v>5</v>
      </c>
      <c r="AA375" s="124" t="str">
        <f>IFERROR(__xludf.DUMMYFUNCTION("""COMPUTED_VALUE"""),"Cold")</f>
        <v>Cold</v>
      </c>
      <c r="AB375" s="124" t="str">
        <f>IFERROR(__xludf.DUMMYFUNCTION("""COMPUTED_VALUE"""),"GS Foundation")</f>
        <v>GS Foundation</v>
      </c>
    </row>
    <row r="376">
      <c r="A376" s="129">
        <f>IFERROR(__xludf.DUMMYFUNCTION("""COMPUTED_VALUE"""),46097.0)</f>
        <v>46097</v>
      </c>
      <c r="B376" s="124" t="str">
        <f>IFERROR(__xludf.DUMMYFUNCTION("""COMPUTED_VALUE"""),"Walkin")</f>
        <v>Walkin</v>
      </c>
      <c r="C376" s="124" t="str">
        <f>IFERROR(__xludf.DUMMYFUNCTION("""COMPUTED_VALUE"""),"Delhi")</f>
        <v>Delhi</v>
      </c>
      <c r="D376" s="124" t="str">
        <f>IFERROR(__xludf.DUMMYFUNCTION("""COMPUTED_VALUE"""),"Primary_Walkin")</f>
        <v>Primary_Walkin</v>
      </c>
      <c r="E376" s="127">
        <f>IFERROR(__xludf.DUMMYFUNCTION("""COMPUTED_VALUE"""),6.0)</f>
        <v>6</v>
      </c>
      <c r="F376" s="128" t="str">
        <f>IFERROR(__xludf.DUMMYFUNCTION("""COMPUTED_VALUE"""),"Cold")</f>
        <v>Cold</v>
      </c>
      <c r="G376" s="124" t="str">
        <f>IFERROR(__xludf.DUMMYFUNCTION("""COMPUTED_VALUE"""),"GS Foundation")</f>
        <v>GS Foundation</v>
      </c>
      <c r="K376" s="124"/>
      <c r="L376" s="124"/>
      <c r="M376" s="124"/>
      <c r="N376" s="124"/>
      <c r="O376" s="124"/>
      <c r="T376" s="126">
        <f>IFERROR(__xludf.DUMMYFUNCTION("""COMPUTED_VALUE"""),46099.0)</f>
        <v>46099</v>
      </c>
      <c r="U376" s="124" t="str">
        <f>IFERROR(__xludf.DUMMYFUNCTION("""COMPUTED_VALUE"""),"Walk-Ins")</f>
        <v>Walk-Ins</v>
      </c>
      <c r="V376" s="124" t="str">
        <f>IFERROR(__xludf.DUMMYFUNCTION("""COMPUTED_VALUE"""),"Walk-In")</f>
        <v>Walk-In</v>
      </c>
      <c r="W376" s="124" t="str">
        <f>IFERROR(__xludf.DUMMYFUNCTION("""COMPUTED_VALUE"""),"Prayagraj")</f>
        <v>Prayagraj</v>
      </c>
      <c r="X376" s="124" t="str">
        <f>IFERROR(__xludf.DUMMYFUNCTION("""COMPUTED_VALUE"""),"Satya Prakash")</f>
        <v>Satya Prakash</v>
      </c>
      <c r="Y376" s="124" t="str">
        <f>IFERROR(__xludf.DUMMYFUNCTION("""COMPUTED_VALUE"""),"Prayagraj")</f>
        <v>Prayagraj</v>
      </c>
      <c r="Z376" s="124">
        <f>IFERROR(__xludf.DUMMYFUNCTION("""COMPUTED_VALUE"""),1.0)</f>
        <v>1</v>
      </c>
      <c r="AA376" s="124" t="str">
        <f>IFERROR(__xludf.DUMMYFUNCTION("""COMPUTED_VALUE"""),"Enrolled")</f>
        <v>Enrolled</v>
      </c>
      <c r="AB376" s="124" t="str">
        <f>IFERROR(__xludf.DUMMYFUNCTION("""COMPUTED_VALUE"""),"GS Foundation")</f>
        <v>GS Foundation</v>
      </c>
    </row>
    <row r="377">
      <c r="A377" s="126">
        <f>IFERROR(__xludf.DUMMYFUNCTION("""COMPUTED_VALUE"""),46052.0)</f>
        <v>46052</v>
      </c>
      <c r="B377" s="124" t="str">
        <f>IFERROR(__xludf.DUMMYFUNCTION("""COMPUTED_VALUE"""),"Walkin")</f>
        <v>Walkin</v>
      </c>
      <c r="C377" s="124" t="str">
        <f>IFERROR(__xludf.DUMMYFUNCTION("""COMPUTED_VALUE"""),"Delhi")</f>
        <v>Delhi</v>
      </c>
      <c r="D377" s="124" t="str">
        <f>IFERROR(__xludf.DUMMYFUNCTION("""COMPUTED_VALUE"""),"Primary_Walkin")</f>
        <v>Primary_Walkin</v>
      </c>
      <c r="E377" s="127">
        <f>IFERROR(__xludf.DUMMYFUNCTION("""COMPUTED_VALUE"""),3.0)</f>
        <v>3</v>
      </c>
      <c r="F377" s="128" t="str">
        <f>IFERROR(__xludf.DUMMYFUNCTION("""COMPUTED_VALUE"""),"Enrolled")</f>
        <v>Enrolled</v>
      </c>
      <c r="G377" s="124" t="str">
        <f>IFERROR(__xludf.DUMMYFUNCTION("""COMPUTED_VALUE"""),"GS Foundation")</f>
        <v>GS Foundation</v>
      </c>
      <c r="K377" s="124"/>
      <c r="L377" s="124"/>
      <c r="M377" s="124"/>
      <c r="N377" s="124"/>
      <c r="O377" s="124"/>
      <c r="T377" s="126">
        <f>IFERROR(__xludf.DUMMYFUNCTION("""COMPUTED_VALUE"""),46097.0)</f>
        <v>46097</v>
      </c>
      <c r="U377" s="124" t="str">
        <f>IFERROR(__xludf.DUMMYFUNCTION("""COMPUTED_VALUE"""),"Walk-Ins")</f>
        <v>Walk-Ins</v>
      </c>
      <c r="V377" s="124" t="str">
        <f>IFERROR(__xludf.DUMMYFUNCTION("""COMPUTED_VALUE"""),"Walkin")</f>
        <v>Walkin</v>
      </c>
      <c r="W377" s="124" t="str">
        <f>IFERROR(__xludf.DUMMYFUNCTION("""COMPUTED_VALUE"""),"Delhi")</f>
        <v>Delhi</v>
      </c>
      <c r="X377" s="124" t="str">
        <f>IFERROR(__xludf.DUMMYFUNCTION("""COMPUTED_VALUE"""),"walkin")</f>
        <v>walkin</v>
      </c>
      <c r="Y377" s="124" t="str">
        <f>IFERROR(__xludf.DUMMYFUNCTION("""COMPUTED_VALUE"""),"Delhi")</f>
        <v>Delhi</v>
      </c>
      <c r="Z377" s="124">
        <f>IFERROR(__xludf.DUMMYFUNCTION("""COMPUTED_VALUE"""),5.0)</f>
        <v>5</v>
      </c>
      <c r="AA377" s="124" t="str">
        <f>IFERROR(__xludf.DUMMYFUNCTION("""COMPUTED_VALUE"""),"Not Interested")</f>
        <v>Not Interested</v>
      </c>
      <c r="AB377" s="124" t="str">
        <f>IFERROR(__xludf.DUMMYFUNCTION("""COMPUTED_VALUE"""),"GS Foundation")</f>
        <v>GS Foundation</v>
      </c>
    </row>
    <row r="378">
      <c r="A378" s="126">
        <f>IFERROR(__xludf.DUMMYFUNCTION("""COMPUTED_VALUE"""),46066.0)</f>
        <v>46066</v>
      </c>
      <c r="B378" s="124" t="str">
        <f>IFERROR(__xludf.DUMMYFUNCTION("""COMPUTED_VALUE"""),"Walkin")</f>
        <v>Walkin</v>
      </c>
      <c r="C378" s="124" t="str">
        <f>IFERROR(__xludf.DUMMYFUNCTION("""COMPUTED_VALUE"""),"Delhi")</f>
        <v>Delhi</v>
      </c>
      <c r="D378" s="124" t="str">
        <f>IFERROR(__xludf.DUMMYFUNCTION("""COMPUTED_VALUE"""),"Primary_Walkin")</f>
        <v>Primary_Walkin</v>
      </c>
      <c r="E378" s="127">
        <f>IFERROR(__xludf.DUMMYFUNCTION("""COMPUTED_VALUE"""),5.0)</f>
        <v>5</v>
      </c>
      <c r="F378" s="128" t="str">
        <f>IFERROR(__xludf.DUMMYFUNCTION("""COMPUTED_VALUE"""),"Not Interested")</f>
        <v>Not Interested</v>
      </c>
      <c r="G378" s="124" t="str">
        <f>IFERROR(__xludf.DUMMYFUNCTION("""COMPUTED_VALUE"""),"GS Foundation")</f>
        <v>GS Foundation</v>
      </c>
      <c r="K378" s="124"/>
      <c r="L378" s="124"/>
      <c r="M378" s="124"/>
      <c r="N378" s="124"/>
      <c r="O378" s="124"/>
      <c r="T378" s="126">
        <f>IFERROR(__xludf.DUMMYFUNCTION("""COMPUTED_VALUE"""),46081.0)</f>
        <v>46081</v>
      </c>
      <c r="U378" s="124" t="str">
        <f>IFERROR(__xludf.DUMMYFUNCTION("""COMPUTED_VALUE"""),"Walk-Ins")</f>
        <v>Walk-Ins</v>
      </c>
      <c r="V378" s="124" t="str">
        <f>IFERROR(__xludf.DUMMYFUNCTION("""COMPUTED_VALUE"""),"Walkin")</f>
        <v>Walkin</v>
      </c>
      <c r="W378" s="124" t="str">
        <f>IFERROR(__xludf.DUMMYFUNCTION("""COMPUTED_VALUE"""),"Delhi")</f>
        <v>Delhi</v>
      </c>
      <c r="X378" s="124" t="str">
        <f>IFERROR(__xludf.DUMMYFUNCTION("""COMPUTED_VALUE"""),"walkin")</f>
        <v>walkin</v>
      </c>
      <c r="Y378" s="124" t="str">
        <f>IFERROR(__xludf.DUMMYFUNCTION("""COMPUTED_VALUE"""),"Delhi")</f>
        <v>Delhi</v>
      </c>
      <c r="Z378" s="124">
        <f>IFERROR(__xludf.DUMMYFUNCTION("""COMPUTED_VALUE"""),3.0)</f>
        <v>3</v>
      </c>
      <c r="AA378" s="124" t="str">
        <f>IFERROR(__xludf.DUMMYFUNCTION("""COMPUTED_VALUE"""),"Not Interested")</f>
        <v>Not Interested</v>
      </c>
      <c r="AB378" s="124" t="str">
        <f>IFERROR(__xludf.DUMMYFUNCTION("""COMPUTED_VALUE"""),"GS Foundation")</f>
        <v>GS Foundation</v>
      </c>
    </row>
    <row r="379">
      <c r="A379" s="126">
        <f>IFERROR(__xludf.DUMMYFUNCTION("""COMPUTED_VALUE"""),46065.0)</f>
        <v>46065</v>
      </c>
      <c r="B379" s="124" t="str">
        <f>IFERROR(__xludf.DUMMYFUNCTION("""COMPUTED_VALUE"""),"Walkin")</f>
        <v>Walkin</v>
      </c>
      <c r="C379" s="124" t="str">
        <f>IFERROR(__xludf.DUMMYFUNCTION("""COMPUTED_VALUE"""),"Delhi")</f>
        <v>Delhi</v>
      </c>
      <c r="D379" s="124" t="str">
        <f>IFERROR(__xludf.DUMMYFUNCTION("""COMPUTED_VALUE"""),"Primary_Walkin")</f>
        <v>Primary_Walkin</v>
      </c>
      <c r="E379" s="127">
        <f>IFERROR(__xludf.DUMMYFUNCTION("""COMPUTED_VALUE"""),2.0)</f>
        <v>2</v>
      </c>
      <c r="F379" s="128" t="str">
        <f>IFERROR(__xludf.DUMMYFUNCTION("""COMPUTED_VALUE"""),"Fake Lead")</f>
        <v>Fake Lead</v>
      </c>
      <c r="G379" s="124" t="str">
        <f>IFERROR(__xludf.DUMMYFUNCTION("""COMPUTED_VALUE"""),"GS Foundation")</f>
        <v>GS Foundation</v>
      </c>
      <c r="K379" s="124"/>
      <c r="L379" s="124"/>
      <c r="M379" s="124"/>
      <c r="N379" s="124"/>
      <c r="O379" s="124"/>
      <c r="T379" s="126">
        <f>IFERROR(__xludf.DUMMYFUNCTION("""COMPUTED_VALUE"""),46058.0)</f>
        <v>46058</v>
      </c>
      <c r="U379" s="124" t="str">
        <f>IFERROR(__xludf.DUMMYFUNCTION("""COMPUTED_VALUE"""),"Walk-Ins")</f>
        <v>Walk-Ins</v>
      </c>
      <c r="V379" s="124" t="str">
        <f>IFERROR(__xludf.DUMMYFUNCTION("""COMPUTED_VALUE"""),"Walkin")</f>
        <v>Walkin</v>
      </c>
      <c r="W379" s="124" t="str">
        <f>IFERROR(__xludf.DUMMYFUNCTION("""COMPUTED_VALUE"""),"Delhi")</f>
        <v>Delhi</v>
      </c>
      <c r="X379" s="124" t="str">
        <f>IFERROR(__xludf.DUMMYFUNCTION("""COMPUTED_VALUE"""),"walkin")</f>
        <v>walkin</v>
      </c>
      <c r="Y379" s="124" t="str">
        <f>IFERROR(__xludf.DUMMYFUNCTION("""COMPUTED_VALUE"""),"Delhi")</f>
        <v>Delhi</v>
      </c>
      <c r="Z379" s="124">
        <f>IFERROR(__xludf.DUMMYFUNCTION("""COMPUTED_VALUE"""),7.0)</f>
        <v>7</v>
      </c>
      <c r="AA379" s="124" t="str">
        <f>IFERROR(__xludf.DUMMYFUNCTION("""COMPUTED_VALUE"""),"Not Interested")</f>
        <v>Not Interested</v>
      </c>
      <c r="AB379" s="124" t="str">
        <f>IFERROR(__xludf.DUMMYFUNCTION("""COMPUTED_VALUE"""),"GS Foundation")</f>
        <v>GS Foundation</v>
      </c>
    </row>
    <row r="380">
      <c r="A380" s="129">
        <f>IFERROR(__xludf.DUMMYFUNCTION("""COMPUTED_VALUE"""),46064.0)</f>
        <v>46064</v>
      </c>
      <c r="B380" s="124" t="str">
        <f>IFERROR(__xludf.DUMMYFUNCTION("""COMPUTED_VALUE"""),"Walk-In")</f>
        <v>Walk-In</v>
      </c>
      <c r="C380" s="124" t="str">
        <f>IFERROR(__xludf.DUMMYFUNCTION("""COMPUTED_VALUE"""),"Delhi")</f>
        <v>Delhi</v>
      </c>
      <c r="D380" s="124" t="str">
        <f>IFERROR(__xludf.DUMMYFUNCTION("""COMPUTED_VALUE"""),"Primary_Walkin")</f>
        <v>Primary_Walkin</v>
      </c>
      <c r="E380" s="127">
        <f>IFERROR(__xludf.DUMMYFUNCTION("""COMPUTED_VALUE"""),1.0)</f>
        <v>1</v>
      </c>
      <c r="F380" s="128" t="str">
        <f>IFERROR(__xludf.DUMMYFUNCTION("""COMPUTED_VALUE"""),"Warm")</f>
        <v>Warm</v>
      </c>
      <c r="G380" s="124" t="str">
        <f>IFERROR(__xludf.DUMMYFUNCTION("""COMPUTED_VALUE"""),"GS Foundation")</f>
        <v>GS Foundation</v>
      </c>
      <c r="K380" s="124"/>
      <c r="L380" s="124"/>
      <c r="M380" s="124"/>
      <c r="N380" s="124"/>
      <c r="O380" s="124"/>
      <c r="T380" s="126">
        <f>IFERROR(__xludf.DUMMYFUNCTION("""COMPUTED_VALUE"""),46050.0)</f>
        <v>46050</v>
      </c>
      <c r="U380" s="124" t="str">
        <f>IFERROR(__xludf.DUMMYFUNCTION("""COMPUTED_VALUE"""),"External Leads")</f>
        <v>External Leads</v>
      </c>
      <c r="V380" s="124" t="str">
        <f>IFERROR(__xludf.DUMMYFUNCTION("""COMPUTED_VALUE"""),"external leads")</f>
        <v>external leads</v>
      </c>
      <c r="W380" s="124" t="str">
        <f>IFERROR(__xludf.DUMMYFUNCTION("""COMPUTED_VALUE"""),"patna")</f>
        <v>patna</v>
      </c>
      <c r="X380" s="124" t="str">
        <f>IFERROR(__xludf.DUMMYFUNCTION("""COMPUTED_VALUE"""),"piyushunacademy")</f>
        <v>piyushunacademy</v>
      </c>
      <c r="Y380" s="124" t="str">
        <f>IFERROR(__xludf.DUMMYFUNCTION("""COMPUTED_VALUE"""),"Delhi")</f>
        <v>Delhi</v>
      </c>
      <c r="Z380" s="124">
        <f>IFERROR(__xludf.DUMMYFUNCTION("""COMPUTED_VALUE"""),20.0)</f>
        <v>20</v>
      </c>
      <c r="AA380" s="124" t="str">
        <f>IFERROR(__xludf.DUMMYFUNCTION("""COMPUTED_VALUE"""),"Cold")</f>
        <v>Cold</v>
      </c>
      <c r="AB380" s="124"/>
    </row>
    <row r="381">
      <c r="A381" s="126">
        <f>IFERROR(__xludf.DUMMYFUNCTION("""COMPUTED_VALUE"""),46063.0)</f>
        <v>46063</v>
      </c>
      <c r="B381" s="124" t="str">
        <f>IFERROR(__xludf.DUMMYFUNCTION("""COMPUTED_VALUE"""),"Walkin")</f>
        <v>Walkin</v>
      </c>
      <c r="C381" s="124" t="str">
        <f>IFERROR(__xludf.DUMMYFUNCTION("""COMPUTED_VALUE"""),"Delhi")</f>
        <v>Delhi</v>
      </c>
      <c r="D381" s="124" t="str">
        <f>IFERROR(__xludf.DUMMYFUNCTION("""COMPUTED_VALUE"""),"Primary_Walkin")</f>
        <v>Primary_Walkin</v>
      </c>
      <c r="E381" s="127">
        <f>IFERROR(__xludf.DUMMYFUNCTION("""COMPUTED_VALUE"""),4.0)</f>
        <v>4</v>
      </c>
      <c r="F381" s="128" t="str">
        <f>IFERROR(__xludf.DUMMYFUNCTION("""COMPUTED_VALUE"""),"Not Interested")</f>
        <v>Not Interested</v>
      </c>
      <c r="G381" s="124" t="str">
        <f>IFERROR(__xludf.DUMMYFUNCTION("""COMPUTED_VALUE"""),"GS Foundation")</f>
        <v>GS Foundation</v>
      </c>
      <c r="K381" s="124"/>
      <c r="L381" s="124"/>
      <c r="M381" s="124"/>
      <c r="N381" s="124"/>
      <c r="O381" s="124"/>
      <c r="T381" s="126">
        <f>IFERROR(__xludf.DUMMYFUNCTION("""COMPUTED_VALUE"""),46050.0)</f>
        <v>46050</v>
      </c>
      <c r="U381" s="124" t="str">
        <f>IFERROR(__xludf.DUMMYFUNCTION("""COMPUTED_VALUE"""),"External Leads")</f>
        <v>External Leads</v>
      </c>
      <c r="V381" s="124" t="str">
        <f>IFERROR(__xludf.DUMMYFUNCTION("""COMPUTED_VALUE"""),"external leads")</f>
        <v>external leads</v>
      </c>
      <c r="W381" s="124" t="str">
        <f>IFERROR(__xludf.DUMMYFUNCTION("""COMPUTED_VALUE"""),"patna")</f>
        <v>patna</v>
      </c>
      <c r="X381" s="124" t="str">
        <f>IFERROR(__xludf.DUMMYFUNCTION("""COMPUTED_VALUE"""),"piyushunacademy")</f>
        <v>piyushunacademy</v>
      </c>
      <c r="Y381" s="124" t="str">
        <f>IFERROR(__xludf.DUMMYFUNCTION("""COMPUTED_VALUE"""),"Patna")</f>
        <v>Patna</v>
      </c>
      <c r="Z381" s="124">
        <f>IFERROR(__xludf.DUMMYFUNCTION("""COMPUTED_VALUE"""),1.0)</f>
        <v>1</v>
      </c>
      <c r="AA381" s="124" t="str">
        <f>IFERROR(__xludf.DUMMYFUNCTION("""COMPUTED_VALUE"""),"Engaged")</f>
        <v>Engaged</v>
      </c>
      <c r="AB381" s="124"/>
    </row>
    <row r="382">
      <c r="A382" s="126">
        <f>IFERROR(__xludf.DUMMYFUNCTION("""COMPUTED_VALUE"""),46065.0)</f>
        <v>46065</v>
      </c>
      <c r="B382" s="124" t="str">
        <f>IFERROR(__xludf.DUMMYFUNCTION("""COMPUTED_VALUE"""),"Walk-In")</f>
        <v>Walk-In</v>
      </c>
      <c r="C382" s="124" t="str">
        <f>IFERROR(__xludf.DUMMYFUNCTION("""COMPUTED_VALUE"""),"Delhi")</f>
        <v>Delhi</v>
      </c>
      <c r="D382" s="124" t="str">
        <f>IFERROR(__xludf.DUMMYFUNCTION("""COMPUTED_VALUE"""),"Primary_Walkin")</f>
        <v>Primary_Walkin</v>
      </c>
      <c r="E382" s="127">
        <f>IFERROR(__xludf.DUMMYFUNCTION("""COMPUTED_VALUE"""),1.0)</f>
        <v>1</v>
      </c>
      <c r="F382" s="128" t="str">
        <f>IFERROR(__xludf.DUMMYFUNCTION("""COMPUTED_VALUE"""),"Future Prospects")</f>
        <v>Future Prospects</v>
      </c>
      <c r="G382" s="124" t="str">
        <f>IFERROR(__xludf.DUMMYFUNCTION("""COMPUTED_VALUE"""),"GS Foundation")</f>
        <v>GS Foundation</v>
      </c>
      <c r="K382" s="124"/>
      <c r="L382" s="124"/>
      <c r="M382" s="124"/>
      <c r="N382" s="124"/>
      <c r="O382" s="124"/>
      <c r="T382" s="126">
        <f>IFERROR(__xludf.DUMMYFUNCTION("""COMPUTED_VALUE"""),46091.0)</f>
        <v>46091</v>
      </c>
      <c r="U382" s="124" t="str">
        <f>IFERROR(__xludf.DUMMYFUNCTION("""COMPUTED_VALUE"""),"Walk-Ins")</f>
        <v>Walk-Ins</v>
      </c>
      <c r="V382" s="124" t="str">
        <f>IFERROR(__xludf.DUMMYFUNCTION("""COMPUTED_VALUE"""),"walk-in")</f>
        <v>walk-in</v>
      </c>
      <c r="W382" s="124" t="str">
        <f>IFERROR(__xludf.DUMMYFUNCTION("""COMPUTED_VALUE"""),"indore")</f>
        <v>indore</v>
      </c>
      <c r="X382" s="124" t="str">
        <f>IFERROR(__xludf.DUMMYFUNCTION("""COMPUTED_VALUE"""),"suraj sharma")</f>
        <v>suraj sharma</v>
      </c>
      <c r="Y382" s="124"/>
      <c r="Z382" s="124">
        <f>IFERROR(__xludf.DUMMYFUNCTION("""COMPUTED_VALUE"""),1.0)</f>
        <v>1</v>
      </c>
      <c r="AA382" s="124" t="str">
        <f>IFERROR(__xludf.DUMMYFUNCTION("""COMPUTED_VALUE"""),"Future Prospects")</f>
        <v>Future Prospects</v>
      </c>
      <c r="AB382" s="124" t="str">
        <f>IFERROR(__xludf.DUMMYFUNCTION("""COMPUTED_VALUE"""),"State PCS")</f>
        <v>State PCS</v>
      </c>
    </row>
    <row r="383">
      <c r="A383" s="126">
        <f>IFERROR(__xludf.DUMMYFUNCTION("""COMPUTED_VALUE"""),46055.0)</f>
        <v>46055</v>
      </c>
      <c r="B383" s="124" t="str">
        <f>IFERROR(__xludf.DUMMYFUNCTION("""COMPUTED_VALUE"""),"Walkin")</f>
        <v>Walkin</v>
      </c>
      <c r="C383" s="124" t="str">
        <f>IFERROR(__xludf.DUMMYFUNCTION("""COMPUTED_VALUE"""),"Delhi")</f>
        <v>Delhi</v>
      </c>
      <c r="D383" s="124" t="str">
        <f>IFERROR(__xludf.DUMMYFUNCTION("""COMPUTED_VALUE"""),"Primary_Walkin")</f>
        <v>Primary_Walkin</v>
      </c>
      <c r="E383" s="127">
        <f>IFERROR(__xludf.DUMMYFUNCTION("""COMPUTED_VALUE"""),7.0)</f>
        <v>7</v>
      </c>
      <c r="F383" s="128" t="str">
        <f>IFERROR(__xludf.DUMMYFUNCTION("""COMPUTED_VALUE"""),"Not Interested")</f>
        <v>Not Interested</v>
      </c>
      <c r="G383" s="124" t="str">
        <f>IFERROR(__xludf.DUMMYFUNCTION("""COMPUTED_VALUE"""),"GS Foundation")</f>
        <v>GS Foundation</v>
      </c>
      <c r="K383" s="124"/>
      <c r="L383" s="124"/>
      <c r="M383" s="124"/>
      <c r="N383" s="124"/>
      <c r="O383" s="124"/>
      <c r="T383" s="126">
        <f>IFERROR(__xludf.DUMMYFUNCTION("""COMPUTED_VALUE"""),46083.0)</f>
        <v>46083</v>
      </c>
      <c r="U383" s="124" t="str">
        <f>IFERROR(__xludf.DUMMYFUNCTION("""COMPUTED_VALUE"""),"Walk-Ins")</f>
        <v>Walk-Ins</v>
      </c>
      <c r="V383" s="124" t="str">
        <f>IFERROR(__xludf.DUMMYFUNCTION("""COMPUTED_VALUE"""),"Walkin")</f>
        <v>Walkin</v>
      </c>
      <c r="W383" s="124" t="str">
        <f>IFERROR(__xludf.DUMMYFUNCTION("""COMPUTED_VALUE"""),"Delhi")</f>
        <v>Delhi</v>
      </c>
      <c r="X383" s="124" t="str">
        <f>IFERROR(__xludf.DUMMYFUNCTION("""COMPUTED_VALUE"""),"walkin")</f>
        <v>walkin</v>
      </c>
      <c r="Y383" s="124" t="str">
        <f>IFERROR(__xludf.DUMMYFUNCTION("""COMPUTED_VALUE"""),"Delhi")</f>
        <v>Delhi</v>
      </c>
      <c r="Z383" s="124">
        <f>IFERROR(__xludf.DUMMYFUNCTION("""COMPUTED_VALUE"""),3.0)</f>
        <v>3</v>
      </c>
      <c r="AA383" s="124" t="str">
        <f>IFERROR(__xludf.DUMMYFUNCTION("""COMPUTED_VALUE"""),"Not Interested")</f>
        <v>Not Interested</v>
      </c>
      <c r="AB383" s="124" t="str">
        <f>IFERROR(__xludf.DUMMYFUNCTION("""COMPUTED_VALUE"""),"GS Foundation")</f>
        <v>GS Foundation</v>
      </c>
    </row>
    <row r="384">
      <c r="A384" s="126">
        <f>IFERROR(__xludf.DUMMYFUNCTION("""COMPUTED_VALUE"""),46069.0)</f>
        <v>46069</v>
      </c>
      <c r="B384" s="124" t="str">
        <f>IFERROR(__xludf.DUMMYFUNCTION("""COMPUTED_VALUE"""),"Walk-In")</f>
        <v>Walk-In</v>
      </c>
      <c r="C384" s="124" t="str">
        <f>IFERROR(__xludf.DUMMYFUNCTION("""COMPUTED_VALUE"""),"Delhi")</f>
        <v>Delhi</v>
      </c>
      <c r="D384" s="124" t="str">
        <f>IFERROR(__xludf.DUMMYFUNCTION("""COMPUTED_VALUE"""),"Primary_Walkin")</f>
        <v>Primary_Walkin</v>
      </c>
      <c r="E384" s="127">
        <f>IFERROR(__xludf.DUMMYFUNCTION("""COMPUTED_VALUE"""),1.0)</f>
        <v>1</v>
      </c>
      <c r="F384" s="128" t="str">
        <f>IFERROR(__xludf.DUMMYFUNCTION("""COMPUTED_VALUE"""),"Cold")</f>
        <v>Cold</v>
      </c>
      <c r="G384" s="124" t="str">
        <f>IFERROR(__xludf.DUMMYFUNCTION("""COMPUTED_VALUE"""),"GS Foundation")</f>
        <v>GS Foundation</v>
      </c>
      <c r="K384" s="124"/>
      <c r="L384" s="124"/>
      <c r="M384" s="124"/>
      <c r="N384" s="124"/>
      <c r="O384" s="124"/>
      <c r="T384" s="126">
        <f>IFERROR(__xludf.DUMMYFUNCTION("""COMPUTED_VALUE"""),46098.0)</f>
        <v>46098</v>
      </c>
      <c r="U384" s="124" t="str">
        <f>IFERROR(__xludf.DUMMYFUNCTION("""COMPUTED_VALUE"""),"Walk-Ins")</f>
        <v>Walk-Ins</v>
      </c>
      <c r="V384" s="124" t="str">
        <f>IFERROR(__xludf.DUMMYFUNCTION("""COMPUTED_VALUE"""),"Walkin")</f>
        <v>Walkin</v>
      </c>
      <c r="W384" s="124" t="str">
        <f>IFERROR(__xludf.DUMMYFUNCTION("""COMPUTED_VALUE"""),"Delhi")</f>
        <v>Delhi</v>
      </c>
      <c r="X384" s="124" t="str">
        <f>IFERROR(__xludf.DUMMYFUNCTION("""COMPUTED_VALUE"""),"walkin")</f>
        <v>walkin</v>
      </c>
      <c r="Y384" s="124" t="str">
        <f>IFERROR(__xludf.DUMMYFUNCTION("""COMPUTED_VALUE"""),"Delhi")</f>
        <v>Delhi</v>
      </c>
      <c r="Z384" s="124">
        <f>IFERROR(__xludf.DUMMYFUNCTION("""COMPUTED_VALUE"""),3.0)</f>
        <v>3</v>
      </c>
      <c r="AA384" s="124" t="str">
        <f>IFERROR(__xludf.DUMMYFUNCTION("""COMPUTED_VALUE"""),"Cold")</f>
        <v>Cold</v>
      </c>
      <c r="AB384" s="124" t="str">
        <f>IFERROR(__xludf.DUMMYFUNCTION("""COMPUTED_VALUE"""),"GS Foundation")</f>
        <v>GS Foundation</v>
      </c>
    </row>
    <row r="385">
      <c r="A385" s="129">
        <f>IFERROR(__xludf.DUMMYFUNCTION("""COMPUTED_VALUE"""),46092.0)</f>
        <v>46092</v>
      </c>
      <c r="B385" s="124" t="str">
        <f>IFERROR(__xludf.DUMMYFUNCTION("""COMPUTED_VALUE"""),"Walkin")</f>
        <v>Walkin</v>
      </c>
      <c r="C385" s="124" t="str">
        <f>IFERROR(__xludf.DUMMYFUNCTION("""COMPUTED_VALUE"""),"Delhi")</f>
        <v>Delhi</v>
      </c>
      <c r="D385" s="124" t="str">
        <f>IFERROR(__xludf.DUMMYFUNCTION("""COMPUTED_VALUE"""),"Primary_Walkin")</f>
        <v>Primary_Walkin</v>
      </c>
      <c r="E385" s="127">
        <f>IFERROR(__xludf.DUMMYFUNCTION("""COMPUTED_VALUE"""),3.0)</f>
        <v>3</v>
      </c>
      <c r="F385" s="128" t="str">
        <f>IFERROR(__xludf.DUMMYFUNCTION("""COMPUTED_VALUE"""),"Future Prospects")</f>
        <v>Future Prospects</v>
      </c>
      <c r="G385" s="124" t="str">
        <f>IFERROR(__xludf.DUMMYFUNCTION("""COMPUTED_VALUE"""),"GS Foundation")</f>
        <v>GS Foundation</v>
      </c>
      <c r="K385" s="124"/>
      <c r="L385" s="124"/>
      <c r="M385" s="124"/>
      <c r="N385" s="124"/>
      <c r="O385" s="124"/>
      <c r="T385" s="126">
        <f>IFERROR(__xludf.DUMMYFUNCTION("""COMPUTED_VALUE"""),46052.0)</f>
        <v>46052</v>
      </c>
      <c r="U385" s="124" t="str">
        <f>IFERROR(__xludf.DUMMYFUNCTION("""COMPUTED_VALUE"""),"Walk-Ins")</f>
        <v>Walk-Ins</v>
      </c>
      <c r="V385" s="124" t="str">
        <f>IFERROR(__xludf.DUMMYFUNCTION("""COMPUTED_VALUE"""),"Walkin")</f>
        <v>Walkin</v>
      </c>
      <c r="W385" s="124" t="str">
        <f>IFERROR(__xludf.DUMMYFUNCTION("""COMPUTED_VALUE"""),"Delhi")</f>
        <v>Delhi</v>
      </c>
      <c r="X385" s="124" t="str">
        <f>IFERROR(__xludf.DUMMYFUNCTION("""COMPUTED_VALUE"""),"walkin")</f>
        <v>walkin</v>
      </c>
      <c r="Y385" s="124" t="str">
        <f>IFERROR(__xludf.DUMMYFUNCTION("""COMPUTED_VALUE"""),"Delhi")</f>
        <v>Delhi</v>
      </c>
      <c r="Z385" s="124">
        <f>IFERROR(__xludf.DUMMYFUNCTION("""COMPUTED_VALUE"""),2.0)</f>
        <v>2</v>
      </c>
      <c r="AA385" s="124" t="str">
        <f>IFERROR(__xludf.DUMMYFUNCTION("""COMPUTED_VALUE"""),"Future Prospects")</f>
        <v>Future Prospects</v>
      </c>
      <c r="AB385" s="124" t="str">
        <f>IFERROR(__xludf.DUMMYFUNCTION("""COMPUTED_VALUE"""),"Optionals")</f>
        <v>Optionals</v>
      </c>
    </row>
    <row r="386">
      <c r="A386" s="126">
        <f>IFERROR(__xludf.DUMMYFUNCTION("""COMPUTED_VALUE"""),46104.0)</f>
        <v>46104</v>
      </c>
      <c r="B386" s="124" t="str">
        <f>IFERROR(__xludf.DUMMYFUNCTION("""COMPUTED_VALUE"""),"Facebook")</f>
        <v>Facebook</v>
      </c>
      <c r="C386" s="124" t="str">
        <f>IFERROR(__xludf.DUMMYFUNCTION("""COMPUTED_VALUE"""),"Delhi")</f>
        <v>Delhi</v>
      </c>
      <c r="D386" s="124" t="str">
        <f>IFERROR(__xludf.DUMMYFUNCTION("""COMPUTED_VALUE"""),"Secondary_Walkin")</f>
        <v>Secondary_Walkin</v>
      </c>
      <c r="E386" s="127">
        <f>IFERROR(__xludf.DUMMYFUNCTION("""COMPUTED_VALUE"""),1.0)</f>
        <v>1</v>
      </c>
      <c r="F386" s="128" t="str">
        <f>IFERROR(__xludf.DUMMYFUNCTION("""COMPUTED_VALUE"""),"Cold")</f>
        <v>Cold</v>
      </c>
      <c r="G386" s="124" t="str">
        <f>IFERROR(__xludf.DUMMYFUNCTION("""COMPUTED_VALUE"""),"GS Foundation")</f>
        <v>GS Foundation</v>
      </c>
      <c r="K386" s="124"/>
      <c r="L386" s="124"/>
      <c r="M386" s="124"/>
      <c r="N386" s="124"/>
      <c r="O386" s="124"/>
      <c r="T386" s="129">
        <f>IFERROR(__xludf.DUMMYFUNCTION("""COMPUTED_VALUE"""),46086.0)</f>
        <v>46086</v>
      </c>
      <c r="U386" s="124" t="str">
        <f>IFERROR(__xludf.DUMMYFUNCTION("""COMPUTED_VALUE"""),"Walk-Ins")</f>
        <v>Walk-Ins</v>
      </c>
      <c r="V386" s="124" t="str">
        <f>IFERROR(__xludf.DUMMYFUNCTION("""COMPUTED_VALUE"""),"Walkin")</f>
        <v>Walkin</v>
      </c>
      <c r="W386" s="124" t="str">
        <f>IFERROR(__xludf.DUMMYFUNCTION("""COMPUTED_VALUE"""),"Delhi")</f>
        <v>Delhi</v>
      </c>
      <c r="X386" s="124" t="str">
        <f>IFERROR(__xludf.DUMMYFUNCTION("""COMPUTED_VALUE"""),"walkin")</f>
        <v>walkin</v>
      </c>
      <c r="Y386" s="124" t="str">
        <f>IFERROR(__xludf.DUMMYFUNCTION("""COMPUTED_VALUE"""),"Delhi")</f>
        <v>Delhi</v>
      </c>
      <c r="Z386" s="124">
        <f>IFERROR(__xludf.DUMMYFUNCTION("""COMPUTED_VALUE"""),1.0)</f>
        <v>1</v>
      </c>
      <c r="AA386" s="124" t="str">
        <f>IFERROR(__xludf.DUMMYFUNCTION("""COMPUTED_VALUE"""),"Future Prospects")</f>
        <v>Future Prospects</v>
      </c>
      <c r="AB386" s="124" t="str">
        <f>IFERROR(__xludf.DUMMYFUNCTION("""COMPUTED_VALUE"""),"GS Foundation")</f>
        <v>GS Foundation</v>
      </c>
    </row>
    <row r="387">
      <c r="A387" s="126">
        <f>IFERROR(__xludf.DUMMYFUNCTION("""COMPUTED_VALUE"""),46112.0)</f>
        <v>46112</v>
      </c>
      <c r="B387" s="124" t="str">
        <f>IFERROR(__xludf.DUMMYFUNCTION("""COMPUTED_VALUE"""),"Walk-In")</f>
        <v>Walk-In</v>
      </c>
      <c r="C387" s="124" t="str">
        <f>IFERROR(__xludf.DUMMYFUNCTION("""COMPUTED_VALUE"""),"Delhi")</f>
        <v>Delhi</v>
      </c>
      <c r="D387" s="124" t="str">
        <f>IFERROR(__xludf.DUMMYFUNCTION("""COMPUTED_VALUE"""),"Primary_Walkin")</f>
        <v>Primary_Walkin</v>
      </c>
      <c r="E387" s="127">
        <f>IFERROR(__xludf.DUMMYFUNCTION("""COMPUTED_VALUE"""),1.0)</f>
        <v>1</v>
      </c>
      <c r="F387" s="128" t="str">
        <f>IFERROR(__xludf.DUMMYFUNCTION("""COMPUTED_VALUE"""),"Cold")</f>
        <v>Cold</v>
      </c>
      <c r="G387" s="124" t="str">
        <f>IFERROR(__xludf.DUMMYFUNCTION("""COMPUTED_VALUE"""),"Prelims Crash Course - SIP")</f>
        <v>Prelims Crash Course - SIP</v>
      </c>
      <c r="K387" s="124"/>
      <c r="L387" s="124"/>
      <c r="M387" s="124"/>
      <c r="N387" s="124"/>
      <c r="O387" s="124"/>
      <c r="T387" s="129">
        <f>IFERROR(__xludf.DUMMYFUNCTION("""COMPUTED_VALUE"""),46108.0)</f>
        <v>46108</v>
      </c>
      <c r="U387" s="124" t="str">
        <f>IFERROR(__xludf.DUMMYFUNCTION("""COMPUTED_VALUE"""),"Walk-Ins")</f>
        <v>Walk-Ins</v>
      </c>
      <c r="V387" s="124" t="str">
        <f>IFERROR(__xludf.DUMMYFUNCTION("""COMPUTED_VALUE"""),"Walkin")</f>
        <v>Walkin</v>
      </c>
      <c r="W387" s="124" t="str">
        <f>IFERROR(__xludf.DUMMYFUNCTION("""COMPUTED_VALUE"""),"Delhi")</f>
        <v>Delhi</v>
      </c>
      <c r="X387" s="124" t="str">
        <f>IFERROR(__xludf.DUMMYFUNCTION("""COMPUTED_VALUE"""),"walkin")</f>
        <v>walkin</v>
      </c>
      <c r="Y387" s="124" t="str">
        <f>IFERROR(__xludf.DUMMYFUNCTION("""COMPUTED_VALUE"""),"Delhi")</f>
        <v>Delhi</v>
      </c>
      <c r="Z387" s="124">
        <f>IFERROR(__xludf.DUMMYFUNCTION("""COMPUTED_VALUE"""),1.0)</f>
        <v>1</v>
      </c>
      <c r="AA387" s="124" t="str">
        <f>IFERROR(__xludf.DUMMYFUNCTION("""COMPUTED_VALUE"""),"Fake Lead")</f>
        <v>Fake Lead</v>
      </c>
      <c r="AB387" s="124" t="str">
        <f>IFERROR(__xludf.DUMMYFUNCTION("""COMPUTED_VALUE"""),"GS Foundation")</f>
        <v>GS Foundation</v>
      </c>
    </row>
    <row r="388">
      <c r="A388" s="126">
        <f>IFERROR(__xludf.DUMMYFUNCTION("""COMPUTED_VALUE"""),46044.0)</f>
        <v>46044</v>
      </c>
      <c r="B388" s="124" t="str">
        <f>IFERROR(__xludf.DUMMYFUNCTION("""COMPUTED_VALUE"""),"Walk-In")</f>
        <v>Walk-In</v>
      </c>
      <c r="C388" s="124" t="str">
        <f>IFERROR(__xludf.DUMMYFUNCTION("""COMPUTED_VALUE"""),"Delhi")</f>
        <v>Delhi</v>
      </c>
      <c r="D388" s="124" t="str">
        <f>IFERROR(__xludf.DUMMYFUNCTION("""COMPUTED_VALUE"""),"Primary_Walkin")</f>
        <v>Primary_Walkin</v>
      </c>
      <c r="E388" s="127">
        <f>IFERROR(__xludf.DUMMYFUNCTION("""COMPUTED_VALUE"""),1.0)</f>
        <v>1</v>
      </c>
      <c r="F388" s="128" t="str">
        <f>IFERROR(__xludf.DUMMYFUNCTION("""COMPUTED_VALUE"""),"Enrolled")</f>
        <v>Enrolled</v>
      </c>
      <c r="G388" s="124" t="str">
        <f>IFERROR(__xludf.DUMMYFUNCTION("""COMPUTED_VALUE"""),"GS Foundation")</f>
        <v>GS Foundation</v>
      </c>
      <c r="K388" s="124"/>
      <c r="L388" s="124"/>
      <c r="M388" s="124"/>
      <c r="N388" s="124"/>
      <c r="O388" s="124"/>
      <c r="T388" s="126">
        <f>IFERROR(__xludf.DUMMYFUNCTION("""COMPUTED_VALUE"""),46103.0)</f>
        <v>46103</v>
      </c>
      <c r="U388" s="124" t="str">
        <f>IFERROR(__xludf.DUMMYFUNCTION("""COMPUTED_VALUE"""),"Walk-Ins")</f>
        <v>Walk-Ins</v>
      </c>
      <c r="V388" s="124" t="str">
        <f>IFERROR(__xludf.DUMMYFUNCTION("""COMPUTED_VALUE"""),"Walkin")</f>
        <v>Walkin</v>
      </c>
      <c r="W388" s="124" t="str">
        <f>IFERROR(__xludf.DUMMYFUNCTION("""COMPUTED_VALUE"""),"Delhi")</f>
        <v>Delhi</v>
      </c>
      <c r="X388" s="124" t="str">
        <f>IFERROR(__xludf.DUMMYFUNCTION("""COMPUTED_VALUE"""),"walkin")</f>
        <v>walkin</v>
      </c>
      <c r="Y388" s="124" t="str">
        <f>IFERROR(__xludf.DUMMYFUNCTION("""COMPUTED_VALUE"""),"Delhi")</f>
        <v>Delhi</v>
      </c>
      <c r="Z388" s="124">
        <f>IFERROR(__xludf.DUMMYFUNCTION("""COMPUTED_VALUE"""),3.0)</f>
        <v>3</v>
      </c>
      <c r="AA388" s="124" t="str">
        <f>IFERROR(__xludf.DUMMYFUNCTION("""COMPUTED_VALUE"""),"Future Prospects")</f>
        <v>Future Prospects</v>
      </c>
      <c r="AB388" s="124" t="str">
        <f>IFERROR(__xludf.DUMMYFUNCTION("""COMPUTED_VALUE"""),"GS Foundation")</f>
        <v>GS Foundation</v>
      </c>
    </row>
    <row r="389">
      <c r="A389" s="126">
        <f>IFERROR(__xludf.DUMMYFUNCTION("""COMPUTED_VALUE"""),46074.0)</f>
        <v>46074</v>
      </c>
      <c r="B389" s="124" t="str">
        <f>IFERROR(__xludf.DUMMYFUNCTION("""COMPUTED_VALUE"""),"Walkin")</f>
        <v>Walkin</v>
      </c>
      <c r="C389" s="124" t="str">
        <f>IFERROR(__xludf.DUMMYFUNCTION("""COMPUTED_VALUE"""),"Delhi")</f>
        <v>Delhi</v>
      </c>
      <c r="D389" s="124" t="str">
        <f>IFERROR(__xludf.DUMMYFUNCTION("""COMPUTED_VALUE"""),"Primary_Walkin")</f>
        <v>Primary_Walkin</v>
      </c>
      <c r="E389" s="127">
        <f>IFERROR(__xludf.DUMMYFUNCTION("""COMPUTED_VALUE"""),5.0)</f>
        <v>5</v>
      </c>
      <c r="F389" s="128" t="str">
        <f>IFERROR(__xludf.DUMMYFUNCTION("""COMPUTED_VALUE"""),"Enrolled")</f>
        <v>Enrolled</v>
      </c>
      <c r="G389" s="124" t="str">
        <f>IFERROR(__xludf.DUMMYFUNCTION("""COMPUTED_VALUE"""),"GS Foundation")</f>
        <v>GS Foundation</v>
      </c>
      <c r="K389" s="124"/>
      <c r="L389" s="124"/>
      <c r="M389" s="124"/>
      <c r="N389" s="124"/>
      <c r="O389" s="124"/>
      <c r="T389" s="126">
        <f>IFERROR(__xludf.DUMMYFUNCTION("""COMPUTED_VALUE"""),46060.0)</f>
        <v>46060</v>
      </c>
      <c r="U389" s="124" t="str">
        <f>IFERROR(__xludf.DUMMYFUNCTION("""COMPUTED_VALUE"""),"Walk-Ins")</f>
        <v>Walk-Ins</v>
      </c>
      <c r="V389" s="124" t="str">
        <f>IFERROR(__xludf.DUMMYFUNCTION("""COMPUTED_VALUE"""),"Walkin")</f>
        <v>Walkin</v>
      </c>
      <c r="W389" s="124" t="str">
        <f>IFERROR(__xludf.DUMMYFUNCTION("""COMPUTED_VALUE"""),"Delhi")</f>
        <v>Delhi</v>
      </c>
      <c r="X389" s="124" t="str">
        <f>IFERROR(__xludf.DUMMYFUNCTION("""COMPUTED_VALUE"""),"walkin")</f>
        <v>walkin</v>
      </c>
      <c r="Y389" s="124" t="str">
        <f>IFERROR(__xludf.DUMMYFUNCTION("""COMPUTED_VALUE"""),"Delhi")</f>
        <v>Delhi</v>
      </c>
      <c r="Z389" s="124">
        <f>IFERROR(__xludf.DUMMYFUNCTION("""COMPUTED_VALUE"""),5.0)</f>
        <v>5</v>
      </c>
      <c r="AA389" s="124" t="str">
        <f>IFERROR(__xludf.DUMMYFUNCTION("""COMPUTED_VALUE"""),"Future Prospects")</f>
        <v>Future Prospects</v>
      </c>
      <c r="AB389" s="124" t="str">
        <f>IFERROR(__xludf.DUMMYFUNCTION("""COMPUTED_VALUE"""),"GS Foundation")</f>
        <v>GS Foundation</v>
      </c>
    </row>
    <row r="390">
      <c r="A390" s="126">
        <f>IFERROR(__xludf.DUMMYFUNCTION("""COMPUTED_VALUE"""),46044.0)</f>
        <v>46044</v>
      </c>
      <c r="B390" s="124" t="str">
        <f>IFERROR(__xludf.DUMMYFUNCTION("""COMPUTED_VALUE"""),"Walkin")</f>
        <v>Walkin</v>
      </c>
      <c r="C390" s="124" t="str">
        <f>IFERROR(__xludf.DUMMYFUNCTION("""COMPUTED_VALUE"""),"Delhi")</f>
        <v>Delhi</v>
      </c>
      <c r="D390" s="124" t="str">
        <f>IFERROR(__xludf.DUMMYFUNCTION("""COMPUTED_VALUE"""),"Primary_Walkin")</f>
        <v>Primary_Walkin</v>
      </c>
      <c r="E390" s="127">
        <f>IFERROR(__xludf.DUMMYFUNCTION("""COMPUTED_VALUE"""),1.0)</f>
        <v>1</v>
      </c>
      <c r="F390" s="128" t="str">
        <f>IFERROR(__xludf.DUMMYFUNCTION("""COMPUTED_VALUE"""),"Not Interested")</f>
        <v>Not Interested</v>
      </c>
      <c r="G390" s="124" t="str">
        <f>IFERROR(__xludf.DUMMYFUNCTION("""COMPUTED_VALUE"""),"State PCS")</f>
        <v>State PCS</v>
      </c>
      <c r="K390" s="124"/>
      <c r="L390" s="124"/>
      <c r="M390" s="124"/>
      <c r="N390" s="124"/>
      <c r="O390" s="124"/>
      <c r="T390" s="126">
        <f>IFERROR(__xludf.DUMMYFUNCTION("""COMPUTED_VALUE"""),46056.0)</f>
        <v>46056</v>
      </c>
      <c r="U390" s="124" t="str">
        <f>IFERROR(__xludf.DUMMYFUNCTION("""COMPUTED_VALUE"""),"Walk-Ins")</f>
        <v>Walk-Ins</v>
      </c>
      <c r="V390" s="124" t="str">
        <f>IFERROR(__xludf.DUMMYFUNCTION("""COMPUTED_VALUE"""),"Walkin")</f>
        <v>Walkin</v>
      </c>
      <c r="W390" s="124" t="str">
        <f>IFERROR(__xludf.DUMMYFUNCTION("""COMPUTED_VALUE"""),"Delhi")</f>
        <v>Delhi</v>
      </c>
      <c r="X390" s="124" t="str">
        <f>IFERROR(__xludf.DUMMYFUNCTION("""COMPUTED_VALUE"""),"walkin")</f>
        <v>walkin</v>
      </c>
      <c r="Y390" s="124" t="str">
        <f>IFERROR(__xludf.DUMMYFUNCTION("""COMPUTED_VALUE"""),"Delhi")</f>
        <v>Delhi</v>
      </c>
      <c r="Z390" s="124">
        <f>IFERROR(__xludf.DUMMYFUNCTION("""COMPUTED_VALUE"""),5.0)</f>
        <v>5</v>
      </c>
      <c r="AA390" s="124" t="str">
        <f>IFERROR(__xludf.DUMMYFUNCTION("""COMPUTED_VALUE"""),"Cold")</f>
        <v>Cold</v>
      </c>
      <c r="AB390" s="124" t="str">
        <f>IFERROR(__xludf.DUMMYFUNCTION("""COMPUTED_VALUE"""),"GS Foundation")</f>
        <v>GS Foundation</v>
      </c>
    </row>
    <row r="391">
      <c r="A391" s="126">
        <f>IFERROR(__xludf.DUMMYFUNCTION("""COMPUTED_VALUE"""),46061.0)</f>
        <v>46061</v>
      </c>
      <c r="B391" s="124" t="str">
        <f>IFERROR(__xludf.DUMMYFUNCTION("""COMPUTED_VALUE"""),"Walk-In")</f>
        <v>Walk-In</v>
      </c>
      <c r="C391" s="124" t="str">
        <f>IFERROR(__xludf.DUMMYFUNCTION("""COMPUTED_VALUE"""),"Delhi")</f>
        <v>Delhi</v>
      </c>
      <c r="D391" s="124" t="str">
        <f>IFERROR(__xludf.DUMMYFUNCTION("""COMPUTED_VALUE"""),"Primary_Walkin")</f>
        <v>Primary_Walkin</v>
      </c>
      <c r="E391" s="127">
        <f>IFERROR(__xludf.DUMMYFUNCTION("""COMPUTED_VALUE"""),1.0)</f>
        <v>1</v>
      </c>
      <c r="F391" s="128" t="str">
        <f>IFERROR(__xludf.DUMMYFUNCTION("""COMPUTED_VALUE"""),"Cold")</f>
        <v>Cold</v>
      </c>
      <c r="G391" s="124" t="str">
        <f>IFERROR(__xludf.DUMMYFUNCTION("""COMPUTED_VALUE"""),"SIP Offline")</f>
        <v>SIP Offline</v>
      </c>
      <c r="K391" s="124"/>
      <c r="L391" s="124"/>
      <c r="M391" s="124"/>
      <c r="N391" s="124"/>
      <c r="O391" s="124"/>
      <c r="T391" s="129">
        <f>IFERROR(__xludf.DUMMYFUNCTION("""COMPUTED_VALUE"""),46076.0)</f>
        <v>46076</v>
      </c>
      <c r="U391" s="124" t="str">
        <f>IFERROR(__xludf.DUMMYFUNCTION("""COMPUTED_VALUE"""),"Walk-Ins")</f>
        <v>Walk-Ins</v>
      </c>
      <c r="V391" s="124" t="str">
        <f>IFERROR(__xludf.DUMMYFUNCTION("""COMPUTED_VALUE"""),"Walkin")</f>
        <v>Walkin</v>
      </c>
      <c r="W391" s="124" t="str">
        <f>IFERROR(__xludf.DUMMYFUNCTION("""COMPUTED_VALUE"""),"Delhi")</f>
        <v>Delhi</v>
      </c>
      <c r="X391" s="124" t="str">
        <f>IFERROR(__xludf.DUMMYFUNCTION("""COMPUTED_VALUE"""),"walkin")</f>
        <v>walkin</v>
      </c>
      <c r="Y391" s="124" t="str">
        <f>IFERROR(__xludf.DUMMYFUNCTION("""COMPUTED_VALUE"""),"Delhi")</f>
        <v>Delhi</v>
      </c>
      <c r="Z391" s="124">
        <f>IFERROR(__xludf.DUMMYFUNCTION("""COMPUTED_VALUE"""),1.0)</f>
        <v>1</v>
      </c>
      <c r="AA391" s="124" t="str">
        <f>IFERROR(__xludf.DUMMYFUNCTION("""COMPUTED_VALUE"""),"Fake Lead")</f>
        <v>Fake Lead</v>
      </c>
      <c r="AB391" s="124" t="str">
        <f>IFERROR(__xludf.DUMMYFUNCTION("""COMPUTED_VALUE"""),"GS Foundation")</f>
        <v>GS Foundation</v>
      </c>
    </row>
    <row r="392">
      <c r="A392" s="126">
        <f>IFERROR(__xludf.DUMMYFUNCTION("""COMPUTED_VALUE"""),46112.0)</f>
        <v>46112</v>
      </c>
      <c r="B392" s="124" t="str">
        <f>IFERROR(__xludf.DUMMYFUNCTION("""COMPUTED_VALUE"""),"Walkin")</f>
        <v>Walkin</v>
      </c>
      <c r="C392" s="124" t="str">
        <f>IFERROR(__xludf.DUMMYFUNCTION("""COMPUTED_VALUE"""),"Delhi")</f>
        <v>Delhi</v>
      </c>
      <c r="D392" s="124" t="str">
        <f>IFERROR(__xludf.DUMMYFUNCTION("""COMPUTED_VALUE"""),"Primary_Walkin")</f>
        <v>Primary_Walkin</v>
      </c>
      <c r="E392" s="127">
        <f>IFERROR(__xludf.DUMMYFUNCTION("""COMPUTED_VALUE"""),3.0)</f>
        <v>3</v>
      </c>
      <c r="F392" s="128" t="str">
        <f>IFERROR(__xludf.DUMMYFUNCTION("""COMPUTED_VALUE"""),"Future Prospects")</f>
        <v>Future Prospects</v>
      </c>
      <c r="G392" s="124" t="str">
        <f>IFERROR(__xludf.DUMMYFUNCTION("""COMPUTED_VALUE"""),"GS Foundation")</f>
        <v>GS Foundation</v>
      </c>
      <c r="K392" s="124"/>
      <c r="L392" s="124"/>
      <c r="M392" s="124"/>
      <c r="N392" s="124"/>
      <c r="O392" s="124"/>
      <c r="T392" s="126">
        <f>IFERROR(__xludf.DUMMYFUNCTION("""COMPUTED_VALUE"""),46083.0)</f>
        <v>46083</v>
      </c>
      <c r="U392" s="124" t="str">
        <f>IFERROR(__xludf.DUMMYFUNCTION("""COMPUTED_VALUE"""),"External Leads")</f>
        <v>External Leads</v>
      </c>
      <c r="V392" s="124" t="str">
        <f>IFERROR(__xludf.DUMMYFUNCTION("""COMPUTED_VALUE"""),"external leads")</f>
        <v>external leads</v>
      </c>
      <c r="W392" s="124" t="str">
        <f>IFERROR(__xludf.DUMMYFUNCTION("""COMPUTED_VALUE"""),"delhi")</f>
        <v>delhi</v>
      </c>
      <c r="X392" s="124" t="str">
        <f>IFERROR(__xludf.DUMMYFUNCTION("""COMPUTED_VALUE"""),"unacademyretargeting")</f>
        <v>unacademyretargeting</v>
      </c>
      <c r="Y392" s="124" t="str">
        <f>IFERROR(__xludf.DUMMYFUNCTION("""COMPUTED_VALUE"""),"Delhi")</f>
        <v>Delhi</v>
      </c>
      <c r="Z392" s="124">
        <f>IFERROR(__xludf.DUMMYFUNCTION("""COMPUTED_VALUE"""),20.0)</f>
        <v>20</v>
      </c>
      <c r="AA392" s="124" t="str">
        <f>IFERROR(__xludf.DUMMYFUNCTION("""COMPUTED_VALUE"""),"Cold")</f>
        <v>Cold</v>
      </c>
      <c r="AB392" s="124"/>
    </row>
    <row r="393">
      <c r="A393" s="126">
        <f>IFERROR(__xludf.DUMMYFUNCTION("""COMPUTED_VALUE"""),46099.0)</f>
        <v>46099</v>
      </c>
      <c r="B393" s="124" t="str">
        <f>IFERROR(__xludf.DUMMYFUNCTION("""COMPUTED_VALUE"""),"Walkin")</f>
        <v>Walkin</v>
      </c>
      <c r="C393" s="124" t="str">
        <f>IFERROR(__xludf.DUMMYFUNCTION("""COMPUTED_VALUE"""),"Delhi")</f>
        <v>Delhi</v>
      </c>
      <c r="D393" s="124" t="str">
        <f>IFERROR(__xludf.DUMMYFUNCTION("""COMPUTED_VALUE"""),"Primary_Walkin")</f>
        <v>Primary_Walkin</v>
      </c>
      <c r="E393" s="127">
        <f>IFERROR(__xludf.DUMMYFUNCTION("""COMPUTED_VALUE"""),2.0)</f>
        <v>2</v>
      </c>
      <c r="F393" s="128" t="str">
        <f>IFERROR(__xludf.DUMMYFUNCTION("""COMPUTED_VALUE"""),"Not Interested")</f>
        <v>Not Interested</v>
      </c>
      <c r="G393" s="124" t="str">
        <f>IFERROR(__xludf.DUMMYFUNCTION("""COMPUTED_VALUE"""),"GS Foundation")</f>
        <v>GS Foundation</v>
      </c>
      <c r="K393" s="124"/>
      <c r="L393" s="124"/>
      <c r="M393" s="124"/>
      <c r="N393" s="124"/>
      <c r="O393" s="124"/>
      <c r="T393" s="126">
        <f>IFERROR(__xludf.DUMMYFUNCTION("""COMPUTED_VALUE"""),46050.0)</f>
        <v>46050</v>
      </c>
      <c r="U393" s="124" t="str">
        <f>IFERROR(__xludf.DUMMYFUNCTION("""COMPUTED_VALUE"""),"External Leads")</f>
        <v>External Leads</v>
      </c>
      <c r="V393" s="124" t="str">
        <f>IFERROR(__xludf.DUMMYFUNCTION("""COMPUTED_VALUE"""),"external leads")</f>
        <v>external leads</v>
      </c>
      <c r="W393" s="124" t="str">
        <f>IFERROR(__xludf.DUMMYFUNCTION("""COMPUTED_VALUE"""),"patna")</f>
        <v>patna</v>
      </c>
      <c r="X393" s="124" t="str">
        <f>IFERROR(__xludf.DUMMYFUNCTION("""COMPUTED_VALUE"""),"piyushunacademy")</f>
        <v>piyushunacademy</v>
      </c>
      <c r="Y393" s="124" t="str">
        <f>IFERROR(__xludf.DUMMYFUNCTION("""COMPUTED_VALUE"""),"Patna")</f>
        <v>Patna</v>
      </c>
      <c r="Z393" s="124">
        <f>IFERROR(__xludf.DUMMYFUNCTION("""COMPUTED_VALUE"""),55.0)</f>
        <v>55</v>
      </c>
      <c r="AA393" s="124" t="str">
        <f>IFERROR(__xludf.DUMMYFUNCTION("""COMPUTED_VALUE"""),"Not Interested")</f>
        <v>Not Interested</v>
      </c>
      <c r="AB393" s="124"/>
    </row>
    <row r="394">
      <c r="A394" s="126">
        <f>IFERROR(__xludf.DUMMYFUNCTION("""COMPUTED_VALUE"""),46046.0)</f>
        <v>46046</v>
      </c>
      <c r="B394" s="124" t="str">
        <f>IFERROR(__xludf.DUMMYFUNCTION("""COMPUTED_VALUE"""),"events")</f>
        <v>events</v>
      </c>
      <c r="C394" s="124" t="str">
        <f>IFERROR(__xludf.DUMMYFUNCTION("""COMPUTED_VALUE"""),"Delhi")</f>
        <v>Delhi</v>
      </c>
      <c r="D394" s="124" t="str">
        <f>IFERROR(__xludf.DUMMYFUNCTION("""COMPUTED_VALUE"""),"Secondary_Walkin")</f>
        <v>Secondary_Walkin</v>
      </c>
      <c r="E394" s="127">
        <f>IFERROR(__xludf.DUMMYFUNCTION("""COMPUTED_VALUE"""),1.0)</f>
        <v>1</v>
      </c>
      <c r="F394" s="128" t="str">
        <f>IFERROR(__xludf.DUMMYFUNCTION("""COMPUTED_VALUE"""),"Enrolled")</f>
        <v>Enrolled</v>
      </c>
      <c r="G394" s="124" t="str">
        <f>IFERROR(__xludf.DUMMYFUNCTION("""COMPUTED_VALUE"""),"GS Foundation")</f>
        <v>GS Foundation</v>
      </c>
      <c r="K394" s="124"/>
      <c r="L394" s="124"/>
      <c r="M394" s="124"/>
      <c r="N394" s="124"/>
      <c r="O394" s="124"/>
      <c r="T394" s="126">
        <f>IFERROR(__xludf.DUMMYFUNCTION("""COMPUTED_VALUE"""),46061.0)</f>
        <v>46061</v>
      </c>
      <c r="U394" s="124" t="str">
        <f>IFERROR(__xludf.DUMMYFUNCTION("""COMPUTED_VALUE"""),"Walk-Ins")</f>
        <v>Walk-Ins</v>
      </c>
      <c r="V394" s="124" t="str">
        <f>IFERROR(__xludf.DUMMYFUNCTION("""COMPUTED_VALUE"""),"Walkin")</f>
        <v>Walkin</v>
      </c>
      <c r="W394" s="124" t="str">
        <f>IFERROR(__xludf.DUMMYFUNCTION("""COMPUTED_VALUE"""),"Delhi")</f>
        <v>Delhi</v>
      </c>
      <c r="X394" s="124" t="str">
        <f>IFERROR(__xludf.DUMMYFUNCTION("""COMPUTED_VALUE"""),"walkin")</f>
        <v>walkin</v>
      </c>
      <c r="Y394" s="124" t="str">
        <f>IFERROR(__xludf.DUMMYFUNCTION("""COMPUTED_VALUE"""),"Delhi")</f>
        <v>Delhi</v>
      </c>
      <c r="Z394" s="124">
        <f>IFERROR(__xludf.DUMMYFUNCTION("""COMPUTED_VALUE"""),11.0)</f>
        <v>11</v>
      </c>
      <c r="AA394" s="124" t="str">
        <f>IFERROR(__xludf.DUMMYFUNCTION("""COMPUTED_VALUE"""),"Not Interested")</f>
        <v>Not Interested</v>
      </c>
      <c r="AB394" s="124" t="str">
        <f>IFERROR(__xludf.DUMMYFUNCTION("""COMPUTED_VALUE"""),"GS Foundation")</f>
        <v>GS Foundation</v>
      </c>
    </row>
    <row r="395">
      <c r="A395" s="126">
        <f>IFERROR(__xludf.DUMMYFUNCTION("""COMPUTED_VALUE"""),46075.0)</f>
        <v>46075</v>
      </c>
      <c r="B395" s="124" t="str">
        <f>IFERROR(__xludf.DUMMYFUNCTION("""COMPUTED_VALUE"""),"Other")</f>
        <v>Other</v>
      </c>
      <c r="C395" s="124" t="str">
        <f>IFERROR(__xludf.DUMMYFUNCTION("""COMPUTED_VALUE"""),"Delhi")</f>
        <v>Delhi</v>
      </c>
      <c r="D395" s="124" t="str">
        <f>IFERROR(__xludf.DUMMYFUNCTION("""COMPUTED_VALUE"""),"Secondary_Walkin")</f>
        <v>Secondary_Walkin</v>
      </c>
      <c r="E395" s="127">
        <f>IFERROR(__xludf.DUMMYFUNCTION("""COMPUTED_VALUE"""),1.0)</f>
        <v>1</v>
      </c>
      <c r="F395" s="128" t="str">
        <f>IFERROR(__xludf.DUMMYFUNCTION("""COMPUTED_VALUE"""),"Not Interested")</f>
        <v>Not Interested</v>
      </c>
      <c r="G395" s="124" t="str">
        <f>IFERROR(__xludf.DUMMYFUNCTION("""COMPUTED_VALUE"""),"GS Foundation")</f>
        <v>GS Foundation</v>
      </c>
      <c r="K395" s="124"/>
      <c r="L395" s="124"/>
      <c r="M395" s="124"/>
      <c r="N395" s="124"/>
      <c r="O395" s="124"/>
      <c r="T395" s="126">
        <f>IFERROR(__xludf.DUMMYFUNCTION("""COMPUTED_VALUE"""),46062.0)</f>
        <v>46062</v>
      </c>
      <c r="U395" s="124" t="str">
        <f>IFERROR(__xludf.DUMMYFUNCTION("""COMPUTED_VALUE"""),"Walk-Ins")</f>
        <v>Walk-Ins</v>
      </c>
      <c r="V395" s="124" t="str">
        <f>IFERROR(__xludf.DUMMYFUNCTION("""COMPUTED_VALUE"""),"Walkin")</f>
        <v>Walkin</v>
      </c>
      <c r="W395" s="124" t="str">
        <f>IFERROR(__xludf.DUMMYFUNCTION("""COMPUTED_VALUE"""),"Delhi")</f>
        <v>Delhi</v>
      </c>
      <c r="X395" s="124" t="str">
        <f>IFERROR(__xludf.DUMMYFUNCTION("""COMPUTED_VALUE"""),"walkin")</f>
        <v>walkin</v>
      </c>
      <c r="Y395" s="124" t="str">
        <f>IFERROR(__xludf.DUMMYFUNCTION("""COMPUTED_VALUE"""),"Delhi")</f>
        <v>Delhi</v>
      </c>
      <c r="Z395" s="124">
        <f>IFERROR(__xludf.DUMMYFUNCTION("""COMPUTED_VALUE"""),4.0)</f>
        <v>4</v>
      </c>
      <c r="AA395" s="124" t="str">
        <f>IFERROR(__xludf.DUMMYFUNCTION("""COMPUTED_VALUE"""),"Cold")</f>
        <v>Cold</v>
      </c>
      <c r="AB395" s="124" t="str">
        <f>IFERROR(__xludf.DUMMYFUNCTION("""COMPUTED_VALUE"""),"GS Foundation")</f>
        <v>GS Foundation</v>
      </c>
    </row>
    <row r="396">
      <c r="A396" s="126">
        <f>IFERROR(__xludf.DUMMYFUNCTION("""COMPUTED_VALUE"""),46104.0)</f>
        <v>46104</v>
      </c>
      <c r="B396" s="124" t="str">
        <f>IFERROR(__xludf.DUMMYFUNCTION("""COMPUTED_VALUE"""),"Walkin")</f>
        <v>Walkin</v>
      </c>
      <c r="C396" s="124" t="str">
        <f>IFERROR(__xludf.DUMMYFUNCTION("""COMPUTED_VALUE"""),"Delhi")</f>
        <v>Delhi</v>
      </c>
      <c r="D396" s="124" t="str">
        <f>IFERROR(__xludf.DUMMYFUNCTION("""COMPUTED_VALUE"""),"Primary_Walkin")</f>
        <v>Primary_Walkin</v>
      </c>
      <c r="E396" s="127">
        <f>IFERROR(__xludf.DUMMYFUNCTION("""COMPUTED_VALUE"""),2.0)</f>
        <v>2</v>
      </c>
      <c r="F396" s="128" t="str">
        <f>IFERROR(__xludf.DUMMYFUNCTION("""COMPUTED_VALUE"""),"Warm")</f>
        <v>Warm</v>
      </c>
      <c r="G396" s="124" t="str">
        <f>IFERROR(__xludf.DUMMYFUNCTION("""COMPUTED_VALUE"""),"GS Advanced")</f>
        <v>GS Advanced</v>
      </c>
      <c r="K396" s="124"/>
      <c r="L396" s="124"/>
      <c r="M396" s="124"/>
      <c r="N396" s="124"/>
      <c r="O396" s="124"/>
      <c r="T396" s="129">
        <f>IFERROR(__xludf.DUMMYFUNCTION("""COMPUTED_VALUE"""),46057.0)</f>
        <v>46057</v>
      </c>
      <c r="U396" s="124" t="str">
        <f>IFERROR(__xludf.DUMMYFUNCTION("""COMPUTED_VALUE"""),"Walk-Ins")</f>
        <v>Walk-Ins</v>
      </c>
      <c r="V396" s="124" t="str">
        <f>IFERROR(__xludf.DUMMYFUNCTION("""COMPUTED_VALUE"""),"Walkin")</f>
        <v>Walkin</v>
      </c>
      <c r="W396" s="124" t="str">
        <f>IFERROR(__xludf.DUMMYFUNCTION("""COMPUTED_VALUE"""),"Delhi")</f>
        <v>Delhi</v>
      </c>
      <c r="X396" s="124" t="str">
        <f>IFERROR(__xludf.DUMMYFUNCTION("""COMPUTED_VALUE"""),"walkin")</f>
        <v>walkin</v>
      </c>
      <c r="Y396" s="124" t="str">
        <f>IFERROR(__xludf.DUMMYFUNCTION("""COMPUTED_VALUE"""),"Delhi")</f>
        <v>Delhi</v>
      </c>
      <c r="Z396" s="124">
        <f>IFERROR(__xludf.DUMMYFUNCTION("""COMPUTED_VALUE"""),3.0)</f>
        <v>3</v>
      </c>
      <c r="AA396" s="124" t="str">
        <f>IFERROR(__xludf.DUMMYFUNCTION("""COMPUTED_VALUE"""),"Not Interested")</f>
        <v>Not Interested</v>
      </c>
      <c r="AB396" s="124" t="str">
        <f>IFERROR(__xludf.DUMMYFUNCTION("""COMPUTED_VALUE"""),"GS Foundation")</f>
        <v>GS Foundation</v>
      </c>
    </row>
    <row r="397">
      <c r="A397" s="126">
        <f>IFERROR(__xludf.DUMMYFUNCTION("""COMPUTED_VALUE"""),46092.0)</f>
        <v>46092</v>
      </c>
      <c r="B397" s="124" t="str">
        <f>IFERROR(__xludf.DUMMYFUNCTION("""COMPUTED_VALUE"""),"Walk-In")</f>
        <v>Walk-In</v>
      </c>
      <c r="C397" s="124" t="str">
        <f>IFERROR(__xludf.DUMMYFUNCTION("""COMPUTED_VALUE"""),"Delhi")</f>
        <v>Delhi</v>
      </c>
      <c r="D397" s="124" t="str">
        <f>IFERROR(__xludf.DUMMYFUNCTION("""COMPUTED_VALUE"""),"Primary_Walkin")</f>
        <v>Primary_Walkin</v>
      </c>
      <c r="E397" s="127">
        <f>IFERROR(__xludf.DUMMYFUNCTION("""COMPUTED_VALUE"""),1.0)</f>
        <v>1</v>
      </c>
      <c r="F397" s="128" t="str">
        <f>IFERROR(__xludf.DUMMYFUNCTION("""COMPUTED_VALUE"""),"Fake Lead")</f>
        <v>Fake Lead</v>
      </c>
      <c r="G397" s="124" t="str">
        <f>IFERROR(__xludf.DUMMYFUNCTION("""COMPUTED_VALUE"""),"State PCS")</f>
        <v>State PCS</v>
      </c>
      <c r="K397" s="124"/>
      <c r="L397" s="124"/>
      <c r="M397" s="124"/>
      <c r="N397" s="124"/>
      <c r="O397" s="124"/>
      <c r="T397" s="129">
        <f>IFERROR(__xludf.DUMMYFUNCTION("""COMPUTED_VALUE"""),46093.0)</f>
        <v>46093</v>
      </c>
      <c r="U397" s="124" t="str">
        <f>IFERROR(__xludf.DUMMYFUNCTION("""COMPUTED_VALUE"""),"Walk-Ins")</f>
        <v>Walk-Ins</v>
      </c>
      <c r="V397" s="124" t="str">
        <f>IFERROR(__xludf.DUMMYFUNCTION("""COMPUTED_VALUE"""),"Walkin")</f>
        <v>Walkin</v>
      </c>
      <c r="W397" s="124" t="str">
        <f>IFERROR(__xludf.DUMMYFUNCTION("""COMPUTED_VALUE"""),"Delhi")</f>
        <v>Delhi</v>
      </c>
      <c r="X397" s="124" t="str">
        <f>IFERROR(__xludf.DUMMYFUNCTION("""COMPUTED_VALUE"""),"walkin")</f>
        <v>walkin</v>
      </c>
      <c r="Y397" s="124" t="str">
        <f>IFERROR(__xludf.DUMMYFUNCTION("""COMPUTED_VALUE"""),"Delhi")</f>
        <v>Delhi</v>
      </c>
      <c r="Z397" s="124">
        <f>IFERROR(__xludf.DUMMYFUNCTION("""COMPUTED_VALUE"""),3.0)</f>
        <v>3</v>
      </c>
      <c r="AA397" s="124" t="str">
        <f>IFERROR(__xludf.DUMMYFUNCTION("""COMPUTED_VALUE"""),"Future Prospects")</f>
        <v>Future Prospects</v>
      </c>
      <c r="AB397" s="124" t="str">
        <f>IFERROR(__xludf.DUMMYFUNCTION("""COMPUTED_VALUE"""),"GS Foundation")</f>
        <v>GS Foundation</v>
      </c>
    </row>
    <row r="398">
      <c r="A398" s="126">
        <f>IFERROR(__xludf.DUMMYFUNCTION("""COMPUTED_VALUE"""),46108.0)</f>
        <v>46108</v>
      </c>
      <c r="B398" s="124" t="str">
        <f>IFERROR(__xludf.DUMMYFUNCTION("""COMPUTED_VALUE"""),"Walkin")</f>
        <v>Walkin</v>
      </c>
      <c r="C398" s="124" t="str">
        <f>IFERROR(__xludf.DUMMYFUNCTION("""COMPUTED_VALUE"""),"Delhi")</f>
        <v>Delhi</v>
      </c>
      <c r="D398" s="124" t="str">
        <f>IFERROR(__xludf.DUMMYFUNCTION("""COMPUTED_VALUE"""),"Primary_Walkin")</f>
        <v>Primary_Walkin</v>
      </c>
      <c r="E398" s="127">
        <f>IFERROR(__xludf.DUMMYFUNCTION("""COMPUTED_VALUE"""),2.0)</f>
        <v>2</v>
      </c>
      <c r="F398" s="128" t="str">
        <f>IFERROR(__xludf.DUMMYFUNCTION("""COMPUTED_VALUE"""),"Future Prospects")</f>
        <v>Future Prospects</v>
      </c>
      <c r="G398" s="124" t="str">
        <f>IFERROR(__xludf.DUMMYFUNCTION("""COMPUTED_VALUE"""),"GS Foundation")</f>
        <v>GS Foundation</v>
      </c>
      <c r="K398" s="124"/>
      <c r="L398" s="124"/>
      <c r="M398" s="124"/>
      <c r="N398" s="124"/>
      <c r="O398" s="124"/>
      <c r="T398" s="126">
        <f>IFERROR(__xludf.DUMMYFUNCTION("""COMPUTED_VALUE"""),46112.0)</f>
        <v>46112</v>
      </c>
      <c r="U398" s="124" t="str">
        <f>IFERROR(__xludf.DUMMYFUNCTION("""COMPUTED_VALUE"""),"Walk-Ins")</f>
        <v>Walk-Ins</v>
      </c>
      <c r="V398" s="124" t="str">
        <f>IFERROR(__xludf.DUMMYFUNCTION("""COMPUTED_VALUE"""),"Walkin")</f>
        <v>Walkin</v>
      </c>
      <c r="W398" s="124" t="str">
        <f>IFERROR(__xludf.DUMMYFUNCTION("""COMPUTED_VALUE"""),"Delhi")</f>
        <v>Delhi</v>
      </c>
      <c r="X398" s="124" t="str">
        <f>IFERROR(__xludf.DUMMYFUNCTION("""COMPUTED_VALUE"""),"walkin")</f>
        <v>walkin</v>
      </c>
      <c r="Y398" s="124" t="str">
        <f>IFERROR(__xludf.DUMMYFUNCTION("""COMPUTED_VALUE"""),"Delhi")</f>
        <v>Delhi</v>
      </c>
      <c r="Z398" s="124">
        <f>IFERROR(__xludf.DUMMYFUNCTION("""COMPUTED_VALUE"""),1.0)</f>
        <v>1</v>
      </c>
      <c r="AA398" s="124" t="str">
        <f>IFERROR(__xludf.DUMMYFUNCTION("""COMPUTED_VALUE"""),"Not Interested")</f>
        <v>Not Interested</v>
      </c>
      <c r="AB398" s="124" t="str">
        <f>IFERROR(__xludf.DUMMYFUNCTION("""COMPUTED_VALUE"""),"GS Advanced")</f>
        <v>GS Advanced</v>
      </c>
    </row>
    <row r="399">
      <c r="A399" s="126">
        <f>IFERROR(__xludf.DUMMYFUNCTION("""COMPUTED_VALUE"""),46110.0)</f>
        <v>46110</v>
      </c>
      <c r="B399" s="124" t="str">
        <f>IFERROR(__xludf.DUMMYFUNCTION("""COMPUTED_VALUE"""),"Walk-In")</f>
        <v>Walk-In</v>
      </c>
      <c r="C399" s="124" t="str">
        <f>IFERROR(__xludf.DUMMYFUNCTION("""COMPUTED_VALUE"""),"Delhi")</f>
        <v>Delhi</v>
      </c>
      <c r="D399" s="124" t="str">
        <f>IFERROR(__xludf.DUMMYFUNCTION("""COMPUTED_VALUE"""),"Primary_Walkin")</f>
        <v>Primary_Walkin</v>
      </c>
      <c r="E399" s="127">
        <f>IFERROR(__xludf.DUMMYFUNCTION("""COMPUTED_VALUE"""),1.0)</f>
        <v>1</v>
      </c>
      <c r="F399" s="128" t="str">
        <f>IFERROR(__xludf.DUMMYFUNCTION("""COMPUTED_VALUE"""),"Interested")</f>
        <v>Interested</v>
      </c>
      <c r="G399" s="124" t="str">
        <f>IFERROR(__xludf.DUMMYFUNCTION("""COMPUTED_VALUE"""),"GS Foundation")</f>
        <v>GS Foundation</v>
      </c>
      <c r="K399" s="124"/>
      <c r="L399" s="124"/>
      <c r="M399" s="124"/>
      <c r="N399" s="124"/>
      <c r="O399" s="124"/>
      <c r="T399" s="126">
        <f>IFERROR(__xludf.DUMMYFUNCTION("""COMPUTED_VALUE"""),46067.0)</f>
        <v>46067</v>
      </c>
      <c r="U399" s="124" t="str">
        <f>IFERROR(__xludf.DUMMYFUNCTION("""COMPUTED_VALUE"""),"Walk-Ins")</f>
        <v>Walk-Ins</v>
      </c>
      <c r="V399" s="124" t="str">
        <f>IFERROR(__xludf.DUMMYFUNCTION("""COMPUTED_VALUE"""),"Walkin")</f>
        <v>Walkin</v>
      </c>
      <c r="W399" s="124" t="str">
        <f>IFERROR(__xludf.DUMMYFUNCTION("""COMPUTED_VALUE"""),"Delhi")</f>
        <v>Delhi</v>
      </c>
      <c r="X399" s="124" t="str">
        <f>IFERROR(__xludf.DUMMYFUNCTION("""COMPUTED_VALUE"""),"walkin")</f>
        <v>walkin</v>
      </c>
      <c r="Y399" s="124" t="str">
        <f>IFERROR(__xludf.DUMMYFUNCTION("""COMPUTED_VALUE"""),"Delhi")</f>
        <v>Delhi</v>
      </c>
      <c r="Z399" s="124">
        <f>IFERROR(__xludf.DUMMYFUNCTION("""COMPUTED_VALUE"""),1.0)</f>
        <v>1</v>
      </c>
      <c r="AA399" s="124" t="str">
        <f>IFERROR(__xludf.DUMMYFUNCTION("""COMPUTED_VALUE"""),"Cold")</f>
        <v>Cold</v>
      </c>
      <c r="AB399" s="124" t="str">
        <f>IFERROR(__xludf.DUMMYFUNCTION("""COMPUTED_VALUE"""),"GS Foundation")</f>
        <v>GS Foundation</v>
      </c>
    </row>
    <row r="400">
      <c r="A400" s="126">
        <f>IFERROR(__xludf.DUMMYFUNCTION("""COMPUTED_VALUE"""),46111.0)</f>
        <v>46111</v>
      </c>
      <c r="B400" s="124" t="str">
        <f>IFERROR(__xludf.DUMMYFUNCTION("""COMPUTED_VALUE"""),"Walkin")</f>
        <v>Walkin</v>
      </c>
      <c r="C400" s="124" t="str">
        <f>IFERROR(__xludf.DUMMYFUNCTION("""COMPUTED_VALUE"""),"Delhi")</f>
        <v>Delhi</v>
      </c>
      <c r="D400" s="124" t="str">
        <f>IFERROR(__xludf.DUMMYFUNCTION("""COMPUTED_VALUE"""),"Primary_Walkin")</f>
        <v>Primary_Walkin</v>
      </c>
      <c r="E400" s="127">
        <f>IFERROR(__xludf.DUMMYFUNCTION("""COMPUTED_VALUE"""),6.0)</f>
        <v>6</v>
      </c>
      <c r="F400" s="128" t="str">
        <f>IFERROR(__xludf.DUMMYFUNCTION("""COMPUTED_VALUE"""),"Warm")</f>
        <v>Warm</v>
      </c>
      <c r="G400" s="124" t="str">
        <f>IFERROR(__xludf.DUMMYFUNCTION("""COMPUTED_VALUE"""),"GS Foundation")</f>
        <v>GS Foundation</v>
      </c>
      <c r="K400" s="124"/>
      <c r="L400" s="124"/>
      <c r="M400" s="124"/>
      <c r="N400" s="124"/>
      <c r="O400" s="124"/>
      <c r="T400" s="126">
        <f>IFERROR(__xludf.DUMMYFUNCTION("""COMPUTED_VALUE"""),46100.0)</f>
        <v>46100</v>
      </c>
      <c r="U400" s="124" t="str">
        <f>IFERROR(__xludf.DUMMYFUNCTION("""COMPUTED_VALUE"""),"Walk-Ins")</f>
        <v>Walk-Ins</v>
      </c>
      <c r="V400" s="124" t="str">
        <f>IFERROR(__xludf.DUMMYFUNCTION("""COMPUTED_VALUE"""),"Walkin")</f>
        <v>Walkin</v>
      </c>
      <c r="W400" s="124" t="str">
        <f>IFERROR(__xludf.DUMMYFUNCTION("""COMPUTED_VALUE"""),"Delhi")</f>
        <v>Delhi</v>
      </c>
      <c r="X400" s="124" t="str">
        <f>IFERROR(__xludf.DUMMYFUNCTION("""COMPUTED_VALUE"""),"walkin")</f>
        <v>walkin</v>
      </c>
      <c r="Y400" s="124" t="str">
        <f>IFERROR(__xludf.DUMMYFUNCTION("""COMPUTED_VALUE"""),"Delhi")</f>
        <v>Delhi</v>
      </c>
      <c r="Z400" s="124">
        <f>IFERROR(__xludf.DUMMYFUNCTION("""COMPUTED_VALUE"""),1.0)</f>
        <v>1</v>
      </c>
      <c r="AA400" s="124" t="str">
        <f>IFERROR(__xludf.DUMMYFUNCTION("""COMPUTED_VALUE"""),"Not Interested")</f>
        <v>Not Interested</v>
      </c>
      <c r="AB400" s="124" t="str">
        <f>IFERROR(__xludf.DUMMYFUNCTION("""COMPUTED_VALUE"""),"Prelims Crash Course - SIP")</f>
        <v>Prelims Crash Course - SIP</v>
      </c>
    </row>
    <row r="401">
      <c r="A401" s="126">
        <f>IFERROR(__xludf.DUMMYFUNCTION("""COMPUTED_VALUE"""),46103.0)</f>
        <v>46103</v>
      </c>
      <c r="B401" s="124" t="str">
        <f>IFERROR(__xludf.DUMMYFUNCTION("""COMPUTED_VALUE"""),"Walkin")</f>
        <v>Walkin</v>
      </c>
      <c r="C401" s="124" t="str">
        <f>IFERROR(__xludf.DUMMYFUNCTION("""COMPUTED_VALUE"""),"Delhi")</f>
        <v>Delhi</v>
      </c>
      <c r="D401" s="124" t="str">
        <f>IFERROR(__xludf.DUMMYFUNCTION("""COMPUTED_VALUE"""),"Primary_Walkin")</f>
        <v>Primary_Walkin</v>
      </c>
      <c r="E401" s="127">
        <f>IFERROR(__xludf.DUMMYFUNCTION("""COMPUTED_VALUE"""),4.0)</f>
        <v>4</v>
      </c>
      <c r="F401" s="128" t="str">
        <f>IFERROR(__xludf.DUMMYFUNCTION("""COMPUTED_VALUE"""),"Cold")</f>
        <v>Cold</v>
      </c>
      <c r="G401" s="124" t="str">
        <f>IFERROR(__xludf.DUMMYFUNCTION("""COMPUTED_VALUE"""),"GS Foundation")</f>
        <v>GS Foundation</v>
      </c>
      <c r="K401" s="124"/>
      <c r="L401" s="124"/>
      <c r="M401" s="124"/>
      <c r="N401" s="124"/>
      <c r="O401" s="124"/>
      <c r="T401" s="126">
        <f>IFERROR(__xludf.DUMMYFUNCTION("""COMPUTED_VALUE"""),46054.0)</f>
        <v>46054</v>
      </c>
      <c r="U401" s="124" t="str">
        <f>IFERROR(__xludf.DUMMYFUNCTION("""COMPUTED_VALUE"""),"Walk-Ins")</f>
        <v>Walk-Ins</v>
      </c>
      <c r="V401" s="124" t="str">
        <f>IFERROR(__xludf.DUMMYFUNCTION("""COMPUTED_VALUE"""),"Walkin")</f>
        <v>Walkin</v>
      </c>
      <c r="W401" s="124" t="str">
        <f>IFERROR(__xludf.DUMMYFUNCTION("""COMPUTED_VALUE"""),"Delhi")</f>
        <v>Delhi</v>
      </c>
      <c r="X401" s="124" t="str">
        <f>IFERROR(__xludf.DUMMYFUNCTION("""COMPUTED_VALUE"""),"walkin")</f>
        <v>walkin</v>
      </c>
      <c r="Y401" s="124" t="str">
        <f>IFERROR(__xludf.DUMMYFUNCTION("""COMPUTED_VALUE"""),"Delhi")</f>
        <v>Delhi</v>
      </c>
      <c r="Z401" s="124">
        <f>IFERROR(__xludf.DUMMYFUNCTION("""COMPUTED_VALUE"""),9.0)</f>
        <v>9</v>
      </c>
      <c r="AA401" s="124" t="str">
        <f>IFERROR(__xludf.DUMMYFUNCTION("""COMPUTED_VALUE"""),"Cold")</f>
        <v>Cold</v>
      </c>
      <c r="AB401" s="124" t="str">
        <f>IFERROR(__xludf.DUMMYFUNCTION("""COMPUTED_VALUE"""),"GS Foundation")</f>
        <v>GS Foundation</v>
      </c>
    </row>
    <row r="402">
      <c r="A402" s="126">
        <f>IFERROR(__xludf.DUMMYFUNCTION("""COMPUTED_VALUE"""),46078.0)</f>
        <v>46078</v>
      </c>
      <c r="B402" s="124" t="str">
        <f>IFERROR(__xludf.DUMMYFUNCTION("""COMPUTED_VALUE"""),"Walkin")</f>
        <v>Walkin</v>
      </c>
      <c r="C402" s="124" t="str">
        <f>IFERROR(__xludf.DUMMYFUNCTION("""COMPUTED_VALUE"""),"Delhi")</f>
        <v>Delhi</v>
      </c>
      <c r="D402" s="124" t="str">
        <f>IFERROR(__xludf.DUMMYFUNCTION("""COMPUTED_VALUE"""),"Primary_Walkin")</f>
        <v>Primary_Walkin</v>
      </c>
      <c r="E402" s="127">
        <f>IFERROR(__xludf.DUMMYFUNCTION("""COMPUTED_VALUE"""),1.0)</f>
        <v>1</v>
      </c>
      <c r="F402" s="128" t="str">
        <f>IFERROR(__xludf.DUMMYFUNCTION("""COMPUTED_VALUE"""),"Warm")</f>
        <v>Warm</v>
      </c>
      <c r="G402" s="124" t="str">
        <f>IFERROR(__xludf.DUMMYFUNCTION("""COMPUTED_VALUE"""),"GS Foundation")</f>
        <v>GS Foundation</v>
      </c>
      <c r="K402" s="124"/>
      <c r="L402" s="124"/>
      <c r="M402" s="124"/>
      <c r="N402" s="124"/>
      <c r="O402" s="124"/>
      <c r="T402" s="126">
        <f>IFERROR(__xludf.DUMMYFUNCTION("""COMPUTED_VALUE"""),46104.0)</f>
        <v>46104</v>
      </c>
      <c r="U402" s="124" t="str">
        <f>IFERROR(__xludf.DUMMYFUNCTION("""COMPUTED_VALUE"""),"Walk-Ins")</f>
        <v>Walk-Ins</v>
      </c>
      <c r="V402" s="124" t="str">
        <f>IFERROR(__xludf.DUMMYFUNCTION("""COMPUTED_VALUE"""),"Walkin")</f>
        <v>Walkin</v>
      </c>
      <c r="W402" s="124" t="str">
        <f>IFERROR(__xludf.DUMMYFUNCTION("""COMPUTED_VALUE"""),"Delhi")</f>
        <v>Delhi</v>
      </c>
      <c r="X402" s="124" t="str">
        <f>IFERROR(__xludf.DUMMYFUNCTION("""COMPUTED_VALUE"""),"walkin")</f>
        <v>walkin</v>
      </c>
      <c r="Y402" s="124" t="str">
        <f>IFERROR(__xludf.DUMMYFUNCTION("""COMPUTED_VALUE"""),"Delhi")</f>
        <v>Delhi</v>
      </c>
      <c r="Z402" s="124">
        <f>IFERROR(__xludf.DUMMYFUNCTION("""COMPUTED_VALUE"""),6.0)</f>
        <v>6</v>
      </c>
      <c r="AA402" s="124" t="str">
        <f>IFERROR(__xludf.DUMMYFUNCTION("""COMPUTED_VALUE"""),"Not Interested")</f>
        <v>Not Interested</v>
      </c>
      <c r="AB402" s="124" t="str">
        <f>IFERROR(__xludf.DUMMYFUNCTION("""COMPUTED_VALUE"""),"GS Foundation")</f>
        <v>GS Foundation</v>
      </c>
    </row>
    <row r="403">
      <c r="A403" s="129">
        <f>IFERROR(__xludf.DUMMYFUNCTION("""COMPUTED_VALUE"""),46090.0)</f>
        <v>46090</v>
      </c>
      <c r="B403" s="124" t="str">
        <f>IFERROR(__xludf.DUMMYFUNCTION("""COMPUTED_VALUE"""),"Walkin")</f>
        <v>Walkin</v>
      </c>
      <c r="C403" s="124" t="str">
        <f>IFERROR(__xludf.DUMMYFUNCTION("""COMPUTED_VALUE"""),"Delhi")</f>
        <v>Delhi</v>
      </c>
      <c r="D403" s="124" t="str">
        <f>IFERROR(__xludf.DUMMYFUNCTION("""COMPUTED_VALUE"""),"Primary_Walkin")</f>
        <v>Primary_Walkin</v>
      </c>
      <c r="E403" s="127">
        <f>IFERROR(__xludf.DUMMYFUNCTION("""COMPUTED_VALUE"""),1.0)</f>
        <v>1</v>
      </c>
      <c r="F403" s="128" t="str">
        <f>IFERROR(__xludf.DUMMYFUNCTION("""COMPUTED_VALUE"""),"Warm")</f>
        <v>Warm</v>
      </c>
      <c r="G403" s="124" t="str">
        <f>IFERROR(__xludf.DUMMYFUNCTION("""COMPUTED_VALUE"""),"GS Foundation")</f>
        <v>GS Foundation</v>
      </c>
      <c r="K403" s="124"/>
      <c r="L403" s="124"/>
      <c r="M403" s="124"/>
      <c r="N403" s="124"/>
      <c r="O403" s="124"/>
      <c r="T403" s="126">
        <f>IFERROR(__xludf.DUMMYFUNCTION("""COMPUTED_VALUE"""),46097.0)</f>
        <v>46097</v>
      </c>
      <c r="U403" s="124" t="str">
        <f>IFERROR(__xludf.DUMMYFUNCTION("""COMPUTED_VALUE"""),"Walk-Ins")</f>
        <v>Walk-Ins</v>
      </c>
      <c r="V403" s="124" t="str">
        <f>IFERROR(__xludf.DUMMYFUNCTION("""COMPUTED_VALUE"""),"Walkin")</f>
        <v>Walkin</v>
      </c>
      <c r="W403" s="124" t="str">
        <f>IFERROR(__xludf.DUMMYFUNCTION("""COMPUTED_VALUE"""),"Delhi")</f>
        <v>Delhi</v>
      </c>
      <c r="X403" s="124" t="str">
        <f>IFERROR(__xludf.DUMMYFUNCTION("""COMPUTED_VALUE"""),"walkin")</f>
        <v>walkin</v>
      </c>
      <c r="Y403" s="124" t="str">
        <f>IFERROR(__xludf.DUMMYFUNCTION("""COMPUTED_VALUE"""),"Delhi")</f>
        <v>Delhi</v>
      </c>
      <c r="Z403" s="124">
        <f>IFERROR(__xludf.DUMMYFUNCTION("""COMPUTED_VALUE"""),3.0)</f>
        <v>3</v>
      </c>
      <c r="AA403" s="124" t="str">
        <f>IFERROR(__xludf.DUMMYFUNCTION("""COMPUTED_VALUE"""),"Future Prospects")</f>
        <v>Future Prospects</v>
      </c>
      <c r="AB403" s="124" t="str">
        <f>IFERROR(__xludf.DUMMYFUNCTION("""COMPUTED_VALUE"""),"GS Foundation")</f>
        <v>GS Foundation</v>
      </c>
    </row>
    <row r="404">
      <c r="A404" s="126">
        <f>IFERROR(__xludf.DUMMYFUNCTION("""COMPUTED_VALUE"""),46089.0)</f>
        <v>46089</v>
      </c>
      <c r="B404" s="124" t="str">
        <f>IFERROR(__xludf.DUMMYFUNCTION("""COMPUTED_VALUE"""),"Walkin")</f>
        <v>Walkin</v>
      </c>
      <c r="C404" s="124" t="str">
        <f>IFERROR(__xludf.DUMMYFUNCTION("""COMPUTED_VALUE"""),"Delhi")</f>
        <v>Delhi</v>
      </c>
      <c r="D404" s="124" t="str">
        <f>IFERROR(__xludf.DUMMYFUNCTION("""COMPUTED_VALUE"""),"Primary_Walkin")</f>
        <v>Primary_Walkin</v>
      </c>
      <c r="E404" s="127">
        <f>IFERROR(__xludf.DUMMYFUNCTION("""COMPUTED_VALUE"""),1.0)</f>
        <v>1</v>
      </c>
      <c r="F404" s="128" t="str">
        <f>IFERROR(__xludf.DUMMYFUNCTION("""COMPUTED_VALUE"""),"Cold")</f>
        <v>Cold</v>
      </c>
      <c r="G404" s="124" t="str">
        <f>IFERROR(__xludf.DUMMYFUNCTION("""COMPUTED_VALUE"""),"Optionals")</f>
        <v>Optionals</v>
      </c>
      <c r="K404" s="124"/>
      <c r="L404" s="124"/>
      <c r="M404" s="124"/>
      <c r="N404" s="124"/>
      <c r="O404" s="124"/>
      <c r="T404" s="126">
        <f>IFERROR(__xludf.DUMMYFUNCTION("""COMPUTED_VALUE"""),46064.0)</f>
        <v>46064</v>
      </c>
      <c r="U404" s="124" t="str">
        <f>IFERROR(__xludf.DUMMYFUNCTION("""COMPUTED_VALUE"""),"Walk-Ins")</f>
        <v>Walk-Ins</v>
      </c>
      <c r="V404" s="124" t="str">
        <f>IFERROR(__xludf.DUMMYFUNCTION("""COMPUTED_VALUE"""),"Walkin")</f>
        <v>Walkin</v>
      </c>
      <c r="W404" s="124" t="str">
        <f>IFERROR(__xludf.DUMMYFUNCTION("""COMPUTED_VALUE"""),"Delhi")</f>
        <v>Delhi</v>
      </c>
      <c r="X404" s="124" t="str">
        <f>IFERROR(__xludf.DUMMYFUNCTION("""COMPUTED_VALUE"""),"walkin")</f>
        <v>walkin</v>
      </c>
      <c r="Y404" s="124" t="str">
        <f>IFERROR(__xludf.DUMMYFUNCTION("""COMPUTED_VALUE"""),"Delhi")</f>
        <v>Delhi</v>
      </c>
      <c r="Z404" s="124">
        <f>IFERROR(__xludf.DUMMYFUNCTION("""COMPUTED_VALUE"""),3.0)</f>
        <v>3</v>
      </c>
      <c r="AA404" s="124" t="str">
        <f>IFERROR(__xludf.DUMMYFUNCTION("""COMPUTED_VALUE"""),"Not Interested")</f>
        <v>Not Interested</v>
      </c>
      <c r="AB404" s="124" t="str">
        <f>IFERROR(__xludf.DUMMYFUNCTION("""COMPUTED_VALUE"""),"GS Foundation")</f>
        <v>GS Foundation</v>
      </c>
    </row>
    <row r="405">
      <c r="A405" s="126">
        <f>IFERROR(__xludf.DUMMYFUNCTION("""COMPUTED_VALUE"""),46105.0)</f>
        <v>46105</v>
      </c>
      <c r="B405" s="124" t="str">
        <f>IFERROR(__xludf.DUMMYFUNCTION("""COMPUTED_VALUE"""),"Walkin")</f>
        <v>Walkin</v>
      </c>
      <c r="C405" s="124" t="str">
        <f>IFERROR(__xludf.DUMMYFUNCTION("""COMPUTED_VALUE"""),"Delhi")</f>
        <v>Delhi</v>
      </c>
      <c r="D405" s="124" t="str">
        <f>IFERROR(__xludf.DUMMYFUNCTION("""COMPUTED_VALUE"""),"Primary_Walkin")</f>
        <v>Primary_Walkin</v>
      </c>
      <c r="E405" s="127">
        <f>IFERROR(__xludf.DUMMYFUNCTION("""COMPUTED_VALUE"""),5.0)</f>
        <v>5</v>
      </c>
      <c r="F405" s="128" t="str">
        <f>IFERROR(__xludf.DUMMYFUNCTION("""COMPUTED_VALUE"""),"Not Interested")</f>
        <v>Not Interested</v>
      </c>
      <c r="G405" s="124" t="str">
        <f>IFERROR(__xludf.DUMMYFUNCTION("""COMPUTED_VALUE"""),"GS Foundation")</f>
        <v>GS Foundation</v>
      </c>
      <c r="K405" s="124"/>
      <c r="L405" s="124"/>
      <c r="M405" s="124"/>
      <c r="N405" s="124"/>
      <c r="O405" s="124"/>
      <c r="T405" s="126">
        <f>IFERROR(__xludf.DUMMYFUNCTION("""COMPUTED_VALUE"""),46060.0)</f>
        <v>46060</v>
      </c>
      <c r="U405" s="124" t="str">
        <f>IFERROR(__xludf.DUMMYFUNCTION("""COMPUTED_VALUE"""),"Walk-Ins")</f>
        <v>Walk-Ins</v>
      </c>
      <c r="V405" s="124" t="str">
        <f>IFERROR(__xludf.DUMMYFUNCTION("""COMPUTED_VALUE"""),"Walkin")</f>
        <v>Walkin</v>
      </c>
      <c r="W405" s="124" t="str">
        <f>IFERROR(__xludf.DUMMYFUNCTION("""COMPUTED_VALUE"""),"Delhi")</f>
        <v>Delhi</v>
      </c>
      <c r="X405" s="124" t="str">
        <f>IFERROR(__xludf.DUMMYFUNCTION("""COMPUTED_VALUE"""),"walkin")</f>
        <v>walkin</v>
      </c>
      <c r="Y405" s="124" t="str">
        <f>IFERROR(__xludf.DUMMYFUNCTION("""COMPUTED_VALUE"""),"Delhi")</f>
        <v>Delhi</v>
      </c>
      <c r="Z405" s="124">
        <f>IFERROR(__xludf.DUMMYFUNCTION("""COMPUTED_VALUE"""),10.0)</f>
        <v>10</v>
      </c>
      <c r="AA405" s="124" t="str">
        <f>IFERROR(__xludf.DUMMYFUNCTION("""COMPUTED_VALUE"""),"Cold")</f>
        <v>Cold</v>
      </c>
      <c r="AB405" s="124" t="str">
        <f>IFERROR(__xludf.DUMMYFUNCTION("""COMPUTED_VALUE"""),"GS Foundation")</f>
        <v>GS Foundation</v>
      </c>
    </row>
    <row r="406">
      <c r="A406" s="129">
        <f>IFERROR(__xludf.DUMMYFUNCTION("""COMPUTED_VALUE"""),46062.0)</f>
        <v>46062</v>
      </c>
      <c r="B406" s="124" t="str">
        <f>IFERROR(__xludf.DUMMYFUNCTION("""COMPUTED_VALUE"""),"Walkin")</f>
        <v>Walkin</v>
      </c>
      <c r="C406" s="124" t="str">
        <f>IFERROR(__xludf.DUMMYFUNCTION("""COMPUTED_VALUE"""),"Delhi")</f>
        <v>Delhi</v>
      </c>
      <c r="D406" s="124" t="str">
        <f>IFERROR(__xludf.DUMMYFUNCTION("""COMPUTED_VALUE"""),"Primary_Walkin")</f>
        <v>Primary_Walkin</v>
      </c>
      <c r="E406" s="127">
        <f>IFERROR(__xludf.DUMMYFUNCTION("""COMPUTED_VALUE"""),2.0)</f>
        <v>2</v>
      </c>
      <c r="F406" s="128" t="str">
        <f>IFERROR(__xludf.DUMMYFUNCTION("""COMPUTED_VALUE"""),"Future Prospects")</f>
        <v>Future Prospects</v>
      </c>
      <c r="G406" s="124" t="str">
        <f>IFERROR(__xludf.DUMMYFUNCTION("""COMPUTED_VALUE"""),"GS Foundation")</f>
        <v>GS Foundation</v>
      </c>
      <c r="K406" s="124"/>
      <c r="L406" s="124"/>
      <c r="M406" s="124"/>
      <c r="N406" s="124"/>
      <c r="O406" s="124"/>
      <c r="T406" s="126">
        <f>IFERROR(__xludf.DUMMYFUNCTION("""COMPUTED_VALUE"""),46047.0)</f>
        <v>46047</v>
      </c>
      <c r="U406" s="124" t="str">
        <f>IFERROR(__xludf.DUMMYFUNCTION("""COMPUTED_VALUE"""),"Walk-Ins")</f>
        <v>Walk-Ins</v>
      </c>
      <c r="V406" s="124" t="str">
        <f>IFERROR(__xludf.DUMMYFUNCTION("""COMPUTED_VALUE"""),"Walkin")</f>
        <v>Walkin</v>
      </c>
      <c r="W406" s="124" t="str">
        <f>IFERROR(__xludf.DUMMYFUNCTION("""COMPUTED_VALUE"""),"Delhi")</f>
        <v>Delhi</v>
      </c>
      <c r="X406" s="124" t="str">
        <f>IFERROR(__xludf.DUMMYFUNCTION("""COMPUTED_VALUE"""),"walkin")</f>
        <v>walkin</v>
      </c>
      <c r="Y406" s="124" t="str">
        <f>IFERROR(__xludf.DUMMYFUNCTION("""COMPUTED_VALUE"""),"Delhi")</f>
        <v>Delhi</v>
      </c>
      <c r="Z406" s="124">
        <f>IFERROR(__xludf.DUMMYFUNCTION("""COMPUTED_VALUE"""),3.0)</f>
        <v>3</v>
      </c>
      <c r="AA406" s="124" t="str">
        <f>IFERROR(__xludf.DUMMYFUNCTION("""COMPUTED_VALUE"""),"Cold")</f>
        <v>Cold</v>
      </c>
      <c r="AB406" s="124" t="str">
        <f>IFERROR(__xludf.DUMMYFUNCTION("""COMPUTED_VALUE"""),"GS Foundation")</f>
        <v>GS Foundation</v>
      </c>
    </row>
    <row r="407">
      <c r="A407" s="126">
        <f>IFERROR(__xludf.DUMMYFUNCTION("""COMPUTED_VALUE"""),46083.0)</f>
        <v>46083</v>
      </c>
      <c r="B407" s="124" t="str">
        <f>IFERROR(__xludf.DUMMYFUNCTION("""COMPUTED_VALUE"""),"Walkin")</f>
        <v>Walkin</v>
      </c>
      <c r="C407" s="124" t="str">
        <f>IFERROR(__xludf.DUMMYFUNCTION("""COMPUTED_VALUE"""),"Delhi")</f>
        <v>Delhi</v>
      </c>
      <c r="D407" s="124" t="str">
        <f>IFERROR(__xludf.DUMMYFUNCTION("""COMPUTED_VALUE"""),"Primary_Walkin")</f>
        <v>Primary_Walkin</v>
      </c>
      <c r="E407" s="127">
        <f>IFERROR(__xludf.DUMMYFUNCTION("""COMPUTED_VALUE"""),2.0)</f>
        <v>2</v>
      </c>
      <c r="F407" s="128" t="str">
        <f>IFERROR(__xludf.DUMMYFUNCTION("""COMPUTED_VALUE"""),"Future Prospects")</f>
        <v>Future Prospects</v>
      </c>
      <c r="G407" s="124" t="str">
        <f>IFERROR(__xludf.DUMMYFUNCTION("""COMPUTED_VALUE"""),"GS Foundation")</f>
        <v>GS Foundation</v>
      </c>
      <c r="K407" s="124"/>
      <c r="L407" s="124"/>
      <c r="M407" s="124"/>
      <c r="N407" s="124"/>
      <c r="O407" s="124"/>
      <c r="T407" s="126">
        <f>IFERROR(__xludf.DUMMYFUNCTION("""COMPUTED_VALUE"""),46045.0)</f>
        <v>46045</v>
      </c>
      <c r="U407" s="124" t="str">
        <f>IFERROR(__xludf.DUMMYFUNCTION("""COMPUTED_VALUE"""),"External Leads")</f>
        <v>External Leads</v>
      </c>
      <c r="V407" s="124" t="str">
        <f>IFERROR(__xludf.DUMMYFUNCTION("""COMPUTED_VALUE"""),"Outbound Call")</f>
        <v>Outbound Call</v>
      </c>
      <c r="W407" s="124" t="str">
        <f>IFERROR(__xludf.DUMMYFUNCTION("""COMPUTED_VALUE"""),"Outbound Call")</f>
        <v>Outbound Call</v>
      </c>
      <c r="X407" s="124" t="str">
        <f>IFERROR(__xludf.DUMMYFUNCTION("""COMPUTED_VALUE"""),"Outbound Call")</f>
        <v>Outbound Call</v>
      </c>
      <c r="Y407" s="124"/>
      <c r="Z407" s="124">
        <f>IFERROR(__xludf.DUMMYFUNCTION("""COMPUTED_VALUE"""),27.0)</f>
        <v>27</v>
      </c>
      <c r="AA407" s="124"/>
      <c r="AB407" s="124"/>
    </row>
    <row r="408">
      <c r="A408" s="126">
        <f>IFERROR(__xludf.DUMMYFUNCTION("""COMPUTED_VALUE"""),46108.0)</f>
        <v>46108</v>
      </c>
      <c r="B408" s="124" t="str">
        <f>IFERROR(__xludf.DUMMYFUNCTION("""COMPUTED_VALUE"""),"Walkin")</f>
        <v>Walkin</v>
      </c>
      <c r="C408" s="124" t="str">
        <f>IFERROR(__xludf.DUMMYFUNCTION("""COMPUTED_VALUE"""),"Delhi")</f>
        <v>Delhi</v>
      </c>
      <c r="D408" s="124" t="str">
        <f>IFERROR(__xludf.DUMMYFUNCTION("""COMPUTED_VALUE"""),"Primary_Walkin")</f>
        <v>Primary_Walkin</v>
      </c>
      <c r="E408" s="127">
        <f>IFERROR(__xludf.DUMMYFUNCTION("""COMPUTED_VALUE"""),1.0)</f>
        <v>1</v>
      </c>
      <c r="F408" s="128" t="str">
        <f>IFERROR(__xludf.DUMMYFUNCTION("""COMPUTED_VALUE"""),"Not Interested")</f>
        <v>Not Interested</v>
      </c>
      <c r="G408" s="124" t="str">
        <f>IFERROR(__xludf.DUMMYFUNCTION("""COMPUTED_VALUE"""),"GS Foundation")</f>
        <v>GS Foundation</v>
      </c>
      <c r="K408" s="124"/>
      <c r="L408" s="124"/>
      <c r="M408" s="124"/>
      <c r="N408" s="124"/>
      <c r="O408" s="124"/>
      <c r="T408" s="126">
        <f>IFERROR(__xludf.DUMMYFUNCTION("""COMPUTED_VALUE"""),46102.0)</f>
        <v>46102</v>
      </c>
      <c r="U408" s="124" t="str">
        <f>IFERROR(__xludf.DUMMYFUNCTION("""COMPUTED_VALUE"""),"Paid Ads")</f>
        <v>Paid Ads</v>
      </c>
      <c r="V408" s="124" t="str">
        <f>IFERROR(__xludf.DUMMYFUNCTION("""COMPUTED_VALUE"""),"Facebook")</f>
        <v>Facebook</v>
      </c>
      <c r="W408" s="124" t="str">
        <f>IFERROR(__xludf.DUMMYFUNCTION("""COMPUTED_VALUE"""),"LeadAd")</f>
        <v>LeadAd</v>
      </c>
      <c r="X408" s="124" t="str">
        <f>IFERROR(__xludf.DUMMYFUNCTION("""COMPUTED_VALUE"""),"Upsc_Lead_English_South_FB_Video")</f>
        <v>Upsc_Lead_English_South_FB_Video</v>
      </c>
      <c r="Y408" s="124"/>
      <c r="Z408" s="124">
        <f>IFERROR(__xludf.DUMMYFUNCTION("""COMPUTED_VALUE"""),2.0)</f>
        <v>2</v>
      </c>
      <c r="AA408" s="124"/>
      <c r="AB408" s="124"/>
    </row>
    <row r="409">
      <c r="A409" s="126">
        <f>IFERROR(__xludf.DUMMYFUNCTION("""COMPUTED_VALUE"""),46105.0)</f>
        <v>46105</v>
      </c>
      <c r="B409" s="124" t="str">
        <f>IFERROR(__xludf.DUMMYFUNCTION("""COMPUTED_VALUE"""),"Walkin")</f>
        <v>Walkin</v>
      </c>
      <c r="C409" s="124" t="str">
        <f>IFERROR(__xludf.DUMMYFUNCTION("""COMPUTED_VALUE"""),"Delhi")</f>
        <v>Delhi</v>
      </c>
      <c r="D409" s="124" t="str">
        <f>IFERROR(__xludf.DUMMYFUNCTION("""COMPUTED_VALUE"""),"Primary_Walkin")</f>
        <v>Primary_Walkin</v>
      </c>
      <c r="E409" s="127">
        <f>IFERROR(__xludf.DUMMYFUNCTION("""COMPUTED_VALUE"""),3.0)</f>
        <v>3</v>
      </c>
      <c r="F409" s="128" t="str">
        <f>IFERROR(__xludf.DUMMYFUNCTION("""COMPUTED_VALUE"""),"Cold")</f>
        <v>Cold</v>
      </c>
      <c r="G409" s="124" t="str">
        <f>IFERROR(__xludf.DUMMYFUNCTION("""COMPUTED_VALUE"""),"GS Foundation")</f>
        <v>GS Foundation</v>
      </c>
      <c r="K409" s="124"/>
      <c r="L409" s="124"/>
      <c r="M409" s="124"/>
      <c r="N409" s="124"/>
      <c r="O409" s="124"/>
      <c r="T409" s="126">
        <f>IFERROR(__xludf.DUMMYFUNCTION("""COMPUTED_VALUE"""),46094.0)</f>
        <v>46094</v>
      </c>
      <c r="U409" s="124" t="str">
        <f>IFERROR(__xludf.DUMMYFUNCTION("""COMPUTED_VALUE"""),"External Leads")</f>
        <v>External Leads</v>
      </c>
      <c r="V409" s="124" t="str">
        <f>IFERROR(__xludf.DUMMYFUNCTION("""COMPUTED_VALUE"""),"Outbound Call")</f>
        <v>Outbound Call</v>
      </c>
      <c r="W409" s="124" t="str">
        <f>IFERROR(__xludf.DUMMYFUNCTION("""COMPUTED_VALUE"""),"Outbound Call")</f>
        <v>Outbound Call</v>
      </c>
      <c r="X409" s="124" t="str">
        <f>IFERROR(__xludf.DUMMYFUNCTION("""COMPUTED_VALUE"""),"Outbound Call")</f>
        <v>Outbound Call</v>
      </c>
      <c r="Y409" s="124"/>
      <c r="Z409" s="124">
        <f>IFERROR(__xludf.DUMMYFUNCTION("""COMPUTED_VALUE"""),5.0)</f>
        <v>5</v>
      </c>
      <c r="AA409" s="124"/>
      <c r="AB409" s="124"/>
    </row>
    <row r="410">
      <c r="A410" s="126">
        <f>IFERROR(__xludf.DUMMYFUNCTION("""COMPUTED_VALUE"""),46050.0)</f>
        <v>46050</v>
      </c>
      <c r="B410" s="124" t="str">
        <f>IFERROR(__xludf.DUMMYFUNCTION("""COMPUTED_VALUE"""),"Walkin")</f>
        <v>Walkin</v>
      </c>
      <c r="C410" s="124" t="str">
        <f>IFERROR(__xludf.DUMMYFUNCTION("""COMPUTED_VALUE"""),"Delhi")</f>
        <v>Delhi</v>
      </c>
      <c r="D410" s="124" t="str">
        <f>IFERROR(__xludf.DUMMYFUNCTION("""COMPUTED_VALUE"""),"Primary_Walkin")</f>
        <v>Primary_Walkin</v>
      </c>
      <c r="E410" s="127">
        <f>IFERROR(__xludf.DUMMYFUNCTION("""COMPUTED_VALUE"""),4.0)</f>
        <v>4</v>
      </c>
      <c r="F410" s="128" t="str">
        <f>IFERROR(__xludf.DUMMYFUNCTION("""COMPUTED_VALUE"""),"Cold")</f>
        <v>Cold</v>
      </c>
      <c r="G410" s="124" t="str">
        <f>IFERROR(__xludf.DUMMYFUNCTION("""COMPUTED_VALUE"""),"GS Foundation")</f>
        <v>GS Foundation</v>
      </c>
      <c r="K410" s="124"/>
      <c r="L410" s="124"/>
      <c r="M410" s="124"/>
      <c r="N410" s="124"/>
      <c r="O410" s="124"/>
      <c r="T410" s="126">
        <f>IFERROR(__xludf.DUMMYFUNCTION("""COMPUTED_VALUE"""),46074.0)</f>
        <v>46074</v>
      </c>
      <c r="U410" s="124" t="str">
        <f>IFERROR(__xludf.DUMMYFUNCTION("""COMPUTED_VALUE"""),"External Leads")</f>
        <v>External Leads</v>
      </c>
      <c r="V410" s="124" t="str">
        <f>IFERROR(__xludf.DUMMYFUNCTION("""COMPUTED_VALUE"""),"Outbound Call")</f>
        <v>Outbound Call</v>
      </c>
      <c r="W410" s="124" t="str">
        <f>IFERROR(__xludf.DUMMYFUNCTION("""COMPUTED_VALUE"""),"Outbound Call")</f>
        <v>Outbound Call</v>
      </c>
      <c r="X410" s="124" t="str">
        <f>IFERROR(__xludf.DUMMYFUNCTION("""COMPUTED_VALUE"""),"Outbound Call")</f>
        <v>Outbound Call</v>
      </c>
      <c r="Y410" s="124" t="str">
        <f>IFERROR(__xludf.DUMMYFUNCTION("""COMPUTED_VALUE"""),"Indore")</f>
        <v>Indore</v>
      </c>
      <c r="Z410" s="124">
        <f>IFERROR(__xludf.DUMMYFUNCTION("""COMPUTED_VALUE"""),1.0)</f>
        <v>1</v>
      </c>
      <c r="AA410" s="124"/>
      <c r="AB410" s="124" t="str">
        <f>IFERROR(__xludf.DUMMYFUNCTION("""COMPUTED_VALUE"""),"Test Series")</f>
        <v>Test Series</v>
      </c>
    </row>
    <row r="411">
      <c r="A411" s="126">
        <f>IFERROR(__xludf.DUMMYFUNCTION("""COMPUTED_VALUE"""),46062.0)</f>
        <v>46062</v>
      </c>
      <c r="B411" s="124" t="str">
        <f>IFERROR(__xludf.DUMMYFUNCTION("""COMPUTED_VALUE"""),"Walkin")</f>
        <v>Walkin</v>
      </c>
      <c r="C411" s="124" t="str">
        <f>IFERROR(__xludf.DUMMYFUNCTION("""COMPUTED_VALUE"""),"Delhi")</f>
        <v>Delhi</v>
      </c>
      <c r="D411" s="124" t="str">
        <f>IFERROR(__xludf.DUMMYFUNCTION("""COMPUTED_VALUE"""),"Primary_Walkin")</f>
        <v>Primary_Walkin</v>
      </c>
      <c r="E411" s="127">
        <f>IFERROR(__xludf.DUMMYFUNCTION("""COMPUTED_VALUE"""),2.0)</f>
        <v>2</v>
      </c>
      <c r="F411" s="128" t="str">
        <f>IFERROR(__xludf.DUMMYFUNCTION("""COMPUTED_VALUE"""),"Fake Lead")</f>
        <v>Fake Lead</v>
      </c>
      <c r="G411" s="124" t="str">
        <f>IFERROR(__xludf.DUMMYFUNCTION("""COMPUTED_VALUE"""),"GS Foundation")</f>
        <v>GS Foundation</v>
      </c>
      <c r="K411" s="124"/>
      <c r="L411" s="124"/>
      <c r="M411" s="124"/>
      <c r="N411" s="124"/>
      <c r="O411" s="124"/>
      <c r="T411" s="126">
        <f>IFERROR(__xludf.DUMMYFUNCTION("""COMPUTED_VALUE"""),46072.0)</f>
        <v>46072</v>
      </c>
      <c r="U411" s="124" t="str">
        <f>IFERROR(__xludf.DUMMYFUNCTION("""COMPUTED_VALUE"""),"External Leads")</f>
        <v>External Leads</v>
      </c>
      <c r="V411" s="124" t="str">
        <f>IFERROR(__xludf.DUMMYFUNCTION("""COMPUTED_VALUE"""),"Outbound Call")</f>
        <v>Outbound Call</v>
      </c>
      <c r="W411" s="124" t="str">
        <f>IFERROR(__xludf.DUMMYFUNCTION("""COMPUTED_VALUE"""),"Outbound Call")</f>
        <v>Outbound Call</v>
      </c>
      <c r="X411" s="124" t="str">
        <f>IFERROR(__xludf.DUMMYFUNCTION("""COMPUTED_VALUE"""),"Outbound Call")</f>
        <v>Outbound Call</v>
      </c>
      <c r="Y411" s="124"/>
      <c r="Z411" s="124">
        <f>IFERROR(__xludf.DUMMYFUNCTION("""COMPUTED_VALUE"""),36.0)</f>
        <v>36</v>
      </c>
      <c r="AA411" s="124"/>
      <c r="AB411" s="124"/>
    </row>
    <row r="412">
      <c r="A412" s="126">
        <f>IFERROR(__xludf.DUMMYFUNCTION("""COMPUTED_VALUE"""),46069.0)</f>
        <v>46069</v>
      </c>
      <c r="B412" s="124" t="str">
        <f>IFERROR(__xludf.DUMMYFUNCTION("""COMPUTED_VALUE"""),"external leads")</f>
        <v>external leads</v>
      </c>
      <c r="C412" s="124" t="str">
        <f>IFERROR(__xludf.DUMMYFUNCTION("""COMPUTED_VALUE"""),"Delhi")</f>
        <v>Delhi</v>
      </c>
      <c r="D412" s="124" t="str">
        <f>IFERROR(__xludf.DUMMYFUNCTION("""COMPUTED_VALUE"""),"Secondary_Walkin")</f>
        <v>Secondary_Walkin</v>
      </c>
      <c r="E412" s="127">
        <f>IFERROR(__xludf.DUMMYFUNCTION("""COMPUTED_VALUE"""),1.0)</f>
        <v>1</v>
      </c>
      <c r="F412" s="128" t="str">
        <f>IFERROR(__xludf.DUMMYFUNCTION("""COMPUTED_VALUE"""),"Cold")</f>
        <v>Cold</v>
      </c>
      <c r="G412" s="124" t="str">
        <f>IFERROR(__xludf.DUMMYFUNCTION("""COMPUTED_VALUE"""),"GS Foundation")</f>
        <v>GS Foundation</v>
      </c>
      <c r="K412" s="124"/>
      <c r="L412" s="124"/>
      <c r="M412" s="124"/>
      <c r="N412" s="124"/>
      <c r="O412" s="124"/>
      <c r="T412" s="126">
        <f>IFERROR(__xludf.DUMMYFUNCTION("""COMPUTED_VALUE"""),46071.0)</f>
        <v>46071</v>
      </c>
      <c r="U412" s="124" t="str">
        <f>IFERROR(__xludf.DUMMYFUNCTION("""COMPUTED_VALUE"""),"External Leads")</f>
        <v>External Leads</v>
      </c>
      <c r="V412" s="124" t="str">
        <f>IFERROR(__xludf.DUMMYFUNCTION("""COMPUTED_VALUE"""),"Outbound Call")</f>
        <v>Outbound Call</v>
      </c>
      <c r="W412" s="124" t="str">
        <f>IFERROR(__xludf.DUMMYFUNCTION("""COMPUTED_VALUE"""),"Outbound Call")</f>
        <v>Outbound Call</v>
      </c>
      <c r="X412" s="124" t="str">
        <f>IFERROR(__xludf.DUMMYFUNCTION("""COMPUTED_VALUE"""),"Outbound Call")</f>
        <v>Outbound Call</v>
      </c>
      <c r="Y412" s="124"/>
      <c r="Z412" s="124">
        <f>IFERROR(__xludf.DUMMYFUNCTION("""COMPUTED_VALUE"""),38.0)</f>
        <v>38</v>
      </c>
      <c r="AA412" s="124"/>
      <c r="AB412" s="124"/>
    </row>
    <row r="413">
      <c r="A413" s="129">
        <f>IFERROR(__xludf.DUMMYFUNCTION("""COMPUTED_VALUE"""),46076.0)</f>
        <v>46076</v>
      </c>
      <c r="B413" s="124" t="str">
        <f>IFERROR(__xludf.DUMMYFUNCTION("""COMPUTED_VALUE"""),"Walkin")</f>
        <v>Walkin</v>
      </c>
      <c r="C413" s="124" t="str">
        <f>IFERROR(__xludf.DUMMYFUNCTION("""COMPUTED_VALUE"""),"Delhi")</f>
        <v>Delhi</v>
      </c>
      <c r="D413" s="124" t="str">
        <f>IFERROR(__xludf.DUMMYFUNCTION("""COMPUTED_VALUE"""),"Primary_Walkin")</f>
        <v>Primary_Walkin</v>
      </c>
      <c r="E413" s="127">
        <f>IFERROR(__xludf.DUMMYFUNCTION("""COMPUTED_VALUE"""),6.0)</f>
        <v>6</v>
      </c>
      <c r="F413" s="128" t="str">
        <f>IFERROR(__xludf.DUMMYFUNCTION("""COMPUTED_VALUE"""),"Not Interested")</f>
        <v>Not Interested</v>
      </c>
      <c r="G413" s="124" t="str">
        <f>IFERROR(__xludf.DUMMYFUNCTION("""COMPUTED_VALUE"""),"GS Foundation")</f>
        <v>GS Foundation</v>
      </c>
      <c r="K413" s="124"/>
      <c r="L413" s="124"/>
      <c r="M413" s="124"/>
      <c r="N413" s="124"/>
      <c r="O413" s="124"/>
      <c r="T413" s="126">
        <f>IFERROR(__xludf.DUMMYFUNCTION("""COMPUTED_VALUE"""),46101.0)</f>
        <v>46101</v>
      </c>
      <c r="U413" s="124" t="str">
        <f>IFERROR(__xludf.DUMMYFUNCTION("""COMPUTED_VALUE"""),"Paid Ads")</f>
        <v>Paid Ads</v>
      </c>
      <c r="V413" s="124" t="str">
        <f>IFERROR(__xludf.DUMMYFUNCTION("""COMPUTED_VALUE"""),"Facebook")</f>
        <v>Facebook</v>
      </c>
      <c r="W413" s="124" t="str">
        <f>IFERROR(__xludf.DUMMYFUNCTION("""COMPUTED_VALUE"""),"LeadAd")</f>
        <v>LeadAd</v>
      </c>
      <c r="X413" s="124" t="str">
        <f>IFERROR(__xludf.DUMMYFUNCTION("""COMPUTED_VALUE"""),"Upsc_Lead_English_South_FB_Video")</f>
        <v>Upsc_Lead_English_South_FB_Video</v>
      </c>
      <c r="Y413" s="124"/>
      <c r="Z413" s="124">
        <f>IFERROR(__xludf.DUMMYFUNCTION("""COMPUTED_VALUE"""),7.0)</f>
        <v>7</v>
      </c>
      <c r="AA413" s="124" t="str">
        <f>IFERROR(__xludf.DUMMYFUNCTION("""COMPUTED_VALUE"""),"Cold")</f>
        <v>Cold</v>
      </c>
      <c r="AB413" s="124"/>
    </row>
    <row r="414">
      <c r="A414" s="126">
        <f>IFERROR(__xludf.DUMMYFUNCTION("""COMPUTED_VALUE"""),46068.0)</f>
        <v>46068</v>
      </c>
      <c r="B414" s="124" t="str">
        <f>IFERROR(__xludf.DUMMYFUNCTION("""COMPUTED_VALUE"""),"Walkin")</f>
        <v>Walkin</v>
      </c>
      <c r="C414" s="124" t="str">
        <f>IFERROR(__xludf.DUMMYFUNCTION("""COMPUTED_VALUE"""),"Indore")</f>
        <v>Indore</v>
      </c>
      <c r="D414" s="124" t="str">
        <f>IFERROR(__xludf.DUMMYFUNCTION("""COMPUTED_VALUE"""),"Primary_Walkin")</f>
        <v>Primary_Walkin</v>
      </c>
      <c r="E414" s="127">
        <f>IFERROR(__xludf.DUMMYFUNCTION("""COMPUTED_VALUE"""),2.0)</f>
        <v>2</v>
      </c>
      <c r="F414" s="128" t="str">
        <f>IFERROR(__xludf.DUMMYFUNCTION("""COMPUTED_VALUE"""),"Cold")</f>
        <v>Cold</v>
      </c>
      <c r="G414" s="124" t="str">
        <f>IFERROR(__xludf.DUMMYFUNCTION("""COMPUTED_VALUE"""),"Other")</f>
        <v>Other</v>
      </c>
      <c r="K414" s="124"/>
      <c r="L414" s="124"/>
      <c r="M414" s="124"/>
      <c r="N414" s="124"/>
      <c r="O414" s="124"/>
      <c r="T414" s="126">
        <f>IFERROR(__xludf.DUMMYFUNCTION("""COMPUTED_VALUE"""),46081.0)</f>
        <v>46081</v>
      </c>
      <c r="U414" s="124" t="str">
        <f>IFERROR(__xludf.DUMMYFUNCTION("""COMPUTED_VALUE"""),"External Leads")</f>
        <v>External Leads</v>
      </c>
      <c r="V414" s="124" t="str">
        <f>IFERROR(__xludf.DUMMYFUNCTION("""COMPUTED_VALUE"""),"Outbound Call")</f>
        <v>Outbound Call</v>
      </c>
      <c r="W414" s="124" t="str">
        <f>IFERROR(__xludf.DUMMYFUNCTION("""COMPUTED_VALUE"""),"Outbound Call")</f>
        <v>Outbound Call</v>
      </c>
      <c r="X414" s="124" t="str">
        <f>IFERROR(__xludf.DUMMYFUNCTION("""COMPUTED_VALUE"""),"Outbound Call")</f>
        <v>Outbound Call</v>
      </c>
      <c r="Y414" s="124"/>
      <c r="Z414" s="124">
        <f>IFERROR(__xludf.DUMMYFUNCTION("""COMPUTED_VALUE"""),20.0)</f>
        <v>20</v>
      </c>
      <c r="AA414" s="124"/>
      <c r="AB414" s="124"/>
    </row>
    <row r="415">
      <c r="A415" s="126">
        <f>IFERROR(__xludf.DUMMYFUNCTION("""COMPUTED_VALUE"""),46061.0)</f>
        <v>46061</v>
      </c>
      <c r="B415" s="124" t="str">
        <f>IFERROR(__xludf.DUMMYFUNCTION("""COMPUTED_VALUE"""),"Walkin")</f>
        <v>Walkin</v>
      </c>
      <c r="C415" s="124" t="str">
        <f>IFERROR(__xludf.DUMMYFUNCTION("""COMPUTED_VALUE"""),"Indore")</f>
        <v>Indore</v>
      </c>
      <c r="D415" s="124" t="str">
        <f>IFERROR(__xludf.DUMMYFUNCTION("""COMPUTED_VALUE"""),"Primary_Walkin")</f>
        <v>Primary_Walkin</v>
      </c>
      <c r="E415" s="127">
        <f>IFERROR(__xludf.DUMMYFUNCTION("""COMPUTED_VALUE"""),1.0)</f>
        <v>1</v>
      </c>
      <c r="F415" s="128" t="str">
        <f>IFERROR(__xludf.DUMMYFUNCTION("""COMPUTED_VALUE"""),"Not Interested")</f>
        <v>Not Interested</v>
      </c>
      <c r="G415" s="124" t="str">
        <f>IFERROR(__xludf.DUMMYFUNCTION("""COMPUTED_VALUE"""),"Mentorship")</f>
        <v>Mentorship</v>
      </c>
      <c r="K415" s="124"/>
      <c r="L415" s="124"/>
      <c r="M415" s="124"/>
      <c r="N415" s="124"/>
      <c r="O415" s="124"/>
      <c r="T415" s="129">
        <f>IFERROR(__xludf.DUMMYFUNCTION("""COMPUTED_VALUE"""),46061.0)</f>
        <v>46061</v>
      </c>
      <c r="U415" s="124" t="str">
        <f>IFERROR(__xludf.DUMMYFUNCTION("""COMPUTED_VALUE"""),"External Leads")</f>
        <v>External Leads</v>
      </c>
      <c r="V415" s="124" t="str">
        <f>IFERROR(__xludf.DUMMYFUNCTION("""COMPUTED_VALUE"""),"Outbound Call")</f>
        <v>Outbound Call</v>
      </c>
      <c r="W415" s="124" t="str">
        <f>IFERROR(__xludf.DUMMYFUNCTION("""COMPUTED_VALUE"""),"Outbound Call")</f>
        <v>Outbound Call</v>
      </c>
      <c r="X415" s="124" t="str">
        <f>IFERROR(__xludf.DUMMYFUNCTION("""COMPUTED_VALUE"""),"Outbound Call")</f>
        <v>Outbound Call</v>
      </c>
      <c r="Y415" s="124"/>
      <c r="Z415" s="124">
        <f>IFERROR(__xludf.DUMMYFUNCTION("""COMPUTED_VALUE"""),1.0)</f>
        <v>1</v>
      </c>
      <c r="AA415" s="124" t="str">
        <f>IFERROR(__xludf.DUMMYFUNCTION("""COMPUTED_VALUE"""),"Fake Lead")</f>
        <v>Fake Lead</v>
      </c>
      <c r="AB415" s="124"/>
    </row>
    <row r="416">
      <c r="A416" s="126">
        <f>IFERROR(__xludf.DUMMYFUNCTION("""COMPUTED_VALUE"""),46064.0)</f>
        <v>46064</v>
      </c>
      <c r="B416" s="124" t="str">
        <f>IFERROR(__xludf.DUMMYFUNCTION("""COMPUTED_VALUE"""),"Walkin")</f>
        <v>Walkin</v>
      </c>
      <c r="C416" s="124" t="str">
        <f>IFERROR(__xludf.DUMMYFUNCTION("""COMPUTED_VALUE"""),"Indore")</f>
        <v>Indore</v>
      </c>
      <c r="D416" s="124" t="str">
        <f>IFERROR(__xludf.DUMMYFUNCTION("""COMPUTED_VALUE"""),"Primary_Walkin")</f>
        <v>Primary_Walkin</v>
      </c>
      <c r="E416" s="127">
        <f>IFERROR(__xludf.DUMMYFUNCTION("""COMPUTED_VALUE"""),1.0)</f>
        <v>1</v>
      </c>
      <c r="F416" s="128" t="str">
        <f>IFERROR(__xludf.DUMMYFUNCTION("""COMPUTED_VALUE"""),"Not Interested")</f>
        <v>Not Interested</v>
      </c>
      <c r="G416" s="124" t="str">
        <f>IFERROR(__xludf.DUMMYFUNCTION("""COMPUTED_VALUE"""),"GS Foundation")</f>
        <v>GS Foundation</v>
      </c>
      <c r="K416" s="124"/>
      <c r="L416" s="124"/>
      <c r="M416" s="124"/>
      <c r="N416" s="124"/>
      <c r="O416" s="124"/>
      <c r="T416" s="126">
        <f>IFERROR(__xludf.DUMMYFUNCTION("""COMPUTED_VALUE"""),46076.0)</f>
        <v>46076</v>
      </c>
      <c r="U416" s="124" t="str">
        <f>IFERROR(__xludf.DUMMYFUNCTION("""COMPUTED_VALUE"""),"External Leads")</f>
        <v>External Leads</v>
      </c>
      <c r="V416" s="124" t="str">
        <f>IFERROR(__xludf.DUMMYFUNCTION("""COMPUTED_VALUE"""),"Outbound Call")</f>
        <v>Outbound Call</v>
      </c>
      <c r="W416" s="124" t="str">
        <f>IFERROR(__xludf.DUMMYFUNCTION("""COMPUTED_VALUE"""),"Outbound Call")</f>
        <v>Outbound Call</v>
      </c>
      <c r="X416" s="124" t="str">
        <f>IFERROR(__xludf.DUMMYFUNCTION("""COMPUTED_VALUE"""),"Outbound Call")</f>
        <v>Outbound Call</v>
      </c>
      <c r="Y416" s="124"/>
      <c r="Z416" s="124">
        <f>IFERROR(__xludf.DUMMYFUNCTION("""COMPUTED_VALUE"""),15.0)</f>
        <v>15</v>
      </c>
      <c r="AA416" s="124"/>
      <c r="AB416" s="124"/>
    </row>
    <row r="417">
      <c r="A417" s="126">
        <f>IFERROR(__xludf.DUMMYFUNCTION("""COMPUTED_VALUE"""),46045.0)</f>
        <v>46045</v>
      </c>
      <c r="B417" s="124" t="str">
        <f>IFERROR(__xludf.DUMMYFUNCTION("""COMPUTED_VALUE"""),"Walkin")</f>
        <v>Walkin</v>
      </c>
      <c r="C417" s="124" t="str">
        <f>IFERROR(__xludf.DUMMYFUNCTION("""COMPUTED_VALUE"""),"Indore")</f>
        <v>Indore</v>
      </c>
      <c r="D417" s="124" t="str">
        <f>IFERROR(__xludf.DUMMYFUNCTION("""COMPUTED_VALUE"""),"Primary_Walkin")</f>
        <v>Primary_Walkin</v>
      </c>
      <c r="E417" s="127">
        <f>IFERROR(__xludf.DUMMYFUNCTION("""COMPUTED_VALUE"""),2.0)</f>
        <v>2</v>
      </c>
      <c r="F417" s="128" t="str">
        <f>IFERROR(__xludf.DUMMYFUNCTION("""COMPUTED_VALUE"""),"Warm")</f>
        <v>Warm</v>
      </c>
      <c r="G417" s="124" t="str">
        <f>IFERROR(__xludf.DUMMYFUNCTION("""COMPUTED_VALUE"""),"Test Series")</f>
        <v>Test Series</v>
      </c>
      <c r="K417" s="124"/>
      <c r="L417" s="124"/>
      <c r="M417" s="124"/>
      <c r="N417" s="124"/>
      <c r="O417" s="124"/>
      <c r="T417" s="126">
        <f>IFERROR(__xludf.DUMMYFUNCTION("""COMPUTED_VALUE"""),46080.0)</f>
        <v>46080</v>
      </c>
      <c r="U417" s="124" t="str">
        <f>IFERROR(__xludf.DUMMYFUNCTION("""COMPUTED_VALUE"""),"External Leads")</f>
        <v>External Leads</v>
      </c>
      <c r="V417" s="124" t="str">
        <f>IFERROR(__xludf.DUMMYFUNCTION("""COMPUTED_VALUE"""),"Outbound Call")</f>
        <v>Outbound Call</v>
      </c>
      <c r="W417" s="124" t="str">
        <f>IFERROR(__xludf.DUMMYFUNCTION("""COMPUTED_VALUE"""),"Outbound Call")</f>
        <v>Outbound Call</v>
      </c>
      <c r="X417" s="124" t="str">
        <f>IFERROR(__xludf.DUMMYFUNCTION("""COMPUTED_VALUE"""),"Outbound Call")</f>
        <v>Outbound Call</v>
      </c>
      <c r="Y417" s="124"/>
      <c r="Z417" s="124">
        <f>IFERROR(__xludf.DUMMYFUNCTION("""COMPUTED_VALUE"""),14.0)</f>
        <v>14</v>
      </c>
      <c r="AA417" s="124"/>
      <c r="AB417" s="124"/>
    </row>
    <row r="418">
      <c r="A418" s="126">
        <f>IFERROR(__xludf.DUMMYFUNCTION("""COMPUTED_VALUE"""),46083.0)</f>
        <v>46083</v>
      </c>
      <c r="B418" s="124" t="str">
        <f>IFERROR(__xludf.DUMMYFUNCTION("""COMPUTED_VALUE"""),"Walkin")</f>
        <v>Walkin</v>
      </c>
      <c r="C418" s="124" t="str">
        <f>IFERROR(__xludf.DUMMYFUNCTION("""COMPUTED_VALUE"""),"Indore")</f>
        <v>Indore</v>
      </c>
      <c r="D418" s="124" t="str">
        <f>IFERROR(__xludf.DUMMYFUNCTION("""COMPUTED_VALUE"""),"Primary_Walkin")</f>
        <v>Primary_Walkin</v>
      </c>
      <c r="E418" s="127">
        <f>IFERROR(__xludf.DUMMYFUNCTION("""COMPUTED_VALUE"""),2.0)</f>
        <v>2</v>
      </c>
      <c r="F418" s="128" t="str">
        <f>IFERROR(__xludf.DUMMYFUNCTION("""COMPUTED_VALUE"""),"Cold")</f>
        <v>Cold</v>
      </c>
      <c r="G418" s="124" t="str">
        <f>IFERROR(__xludf.DUMMYFUNCTION("""COMPUTED_VALUE"""),"Test Series")</f>
        <v>Test Series</v>
      </c>
      <c r="K418" s="124"/>
      <c r="L418" s="124"/>
      <c r="M418" s="124"/>
      <c r="N418" s="124"/>
      <c r="O418" s="124"/>
      <c r="T418" s="126">
        <f>IFERROR(__xludf.DUMMYFUNCTION("""COMPUTED_VALUE"""),46074.0)</f>
        <v>46074</v>
      </c>
      <c r="U418" s="124" t="str">
        <f>IFERROR(__xludf.DUMMYFUNCTION("""COMPUTED_VALUE"""),"External Leads")</f>
        <v>External Leads</v>
      </c>
      <c r="V418" s="124" t="str">
        <f>IFERROR(__xludf.DUMMYFUNCTION("""COMPUTED_VALUE"""),"Outbound Call")</f>
        <v>Outbound Call</v>
      </c>
      <c r="W418" s="124" t="str">
        <f>IFERROR(__xludf.DUMMYFUNCTION("""COMPUTED_VALUE"""),"Outbound Call")</f>
        <v>Outbound Call</v>
      </c>
      <c r="X418" s="124" t="str">
        <f>IFERROR(__xludf.DUMMYFUNCTION("""COMPUTED_VALUE"""),"Outbound Call")</f>
        <v>Outbound Call</v>
      </c>
      <c r="Y418" s="124"/>
      <c r="Z418" s="124">
        <f>IFERROR(__xludf.DUMMYFUNCTION("""COMPUTED_VALUE"""),64.0)</f>
        <v>64</v>
      </c>
      <c r="AA418" s="124"/>
      <c r="AB418" s="124"/>
    </row>
    <row r="419">
      <c r="A419" s="126">
        <f>IFERROR(__xludf.DUMMYFUNCTION("""COMPUTED_VALUE"""),46112.0)</f>
        <v>46112</v>
      </c>
      <c r="B419" s="124" t="str">
        <f>IFERROR(__xludf.DUMMYFUNCTION("""COMPUTED_VALUE"""),"Walkin")</f>
        <v>Walkin</v>
      </c>
      <c r="C419" s="124" t="str">
        <f>IFERROR(__xludf.DUMMYFUNCTION("""COMPUTED_VALUE"""),"Indore")</f>
        <v>Indore</v>
      </c>
      <c r="D419" s="124" t="str">
        <f>IFERROR(__xludf.DUMMYFUNCTION("""COMPUTED_VALUE"""),"Primary_Walkin")</f>
        <v>Primary_Walkin</v>
      </c>
      <c r="E419" s="127">
        <f>IFERROR(__xludf.DUMMYFUNCTION("""COMPUTED_VALUE"""),1.0)</f>
        <v>1</v>
      </c>
      <c r="F419" s="128" t="str">
        <f>IFERROR(__xludf.DUMMYFUNCTION("""COMPUTED_VALUE"""),"Fake Lead")</f>
        <v>Fake Lead</v>
      </c>
      <c r="G419" s="124" t="str">
        <f>IFERROR(__xludf.DUMMYFUNCTION("""COMPUTED_VALUE"""),"Other")</f>
        <v>Other</v>
      </c>
      <c r="K419" s="124"/>
      <c r="L419" s="124"/>
      <c r="M419" s="124"/>
      <c r="N419" s="124"/>
      <c r="O419" s="124"/>
      <c r="T419" s="126">
        <f>IFERROR(__xludf.DUMMYFUNCTION("""COMPUTED_VALUE"""),46109.0)</f>
        <v>46109</v>
      </c>
      <c r="U419" s="124" t="str">
        <f>IFERROR(__xludf.DUMMYFUNCTION("""COMPUTED_VALUE"""),"Paid Ads")</f>
        <v>Paid Ads</v>
      </c>
      <c r="V419" s="124" t="str">
        <f>IFERROR(__xludf.DUMMYFUNCTION("""COMPUTED_VALUE"""),"Facebook")</f>
        <v>Facebook</v>
      </c>
      <c r="W419" s="124" t="str">
        <f>IFERROR(__xludf.DUMMYFUNCTION("""COMPUTED_VALUE"""),"LeadAd")</f>
        <v>LeadAd</v>
      </c>
      <c r="X419" s="124" t="str">
        <f>IFERROR(__xludf.DUMMYFUNCTION("""COMPUTED_VALUE"""),"Upsc_Lead_English_South_FB_Video")</f>
        <v>Upsc_Lead_English_South_FB_Video</v>
      </c>
      <c r="Y419" s="124"/>
      <c r="Z419" s="124">
        <f>IFERROR(__xludf.DUMMYFUNCTION("""COMPUTED_VALUE"""),8.0)</f>
        <v>8</v>
      </c>
      <c r="AA419" s="124"/>
      <c r="AB419" s="124"/>
    </row>
    <row r="420">
      <c r="A420" s="126">
        <f>IFERROR(__xludf.DUMMYFUNCTION("""COMPUTED_VALUE"""),46108.0)</f>
        <v>46108</v>
      </c>
      <c r="B420" s="124" t="str">
        <f>IFERROR(__xludf.DUMMYFUNCTION("""COMPUTED_VALUE"""),"Walkin")</f>
        <v>Walkin</v>
      </c>
      <c r="C420" s="124" t="str">
        <f>IFERROR(__xludf.DUMMYFUNCTION("""COMPUTED_VALUE"""),"Lucknow")</f>
        <v>Lucknow</v>
      </c>
      <c r="D420" s="124" t="str">
        <f>IFERROR(__xludf.DUMMYFUNCTION("""COMPUTED_VALUE"""),"Primary_Walkin")</f>
        <v>Primary_Walkin</v>
      </c>
      <c r="E420" s="127">
        <f>IFERROR(__xludf.DUMMYFUNCTION("""COMPUTED_VALUE"""),3.0)</f>
        <v>3</v>
      </c>
      <c r="F420" s="128" t="str">
        <f>IFERROR(__xludf.DUMMYFUNCTION("""COMPUTED_VALUE"""),"Enrolled")</f>
        <v>Enrolled</v>
      </c>
      <c r="G420" s="124" t="str">
        <f>IFERROR(__xludf.DUMMYFUNCTION("""COMPUTED_VALUE"""),"GS Foundation")</f>
        <v>GS Foundation</v>
      </c>
      <c r="K420" s="124"/>
      <c r="L420" s="124"/>
      <c r="M420" s="124"/>
      <c r="N420" s="124"/>
      <c r="O420" s="124"/>
      <c r="T420" s="126">
        <f>IFERROR(__xludf.DUMMYFUNCTION("""COMPUTED_VALUE"""),46057.0)</f>
        <v>46057</v>
      </c>
      <c r="U420" s="124" t="str">
        <f>IFERROR(__xludf.DUMMYFUNCTION("""COMPUTED_VALUE"""),"External Leads")</f>
        <v>External Leads</v>
      </c>
      <c r="V420" s="124" t="str">
        <f>IFERROR(__xludf.DUMMYFUNCTION("""COMPUTED_VALUE"""),"Outbound Call")</f>
        <v>Outbound Call</v>
      </c>
      <c r="W420" s="124" t="str">
        <f>IFERROR(__xludf.DUMMYFUNCTION("""COMPUTED_VALUE"""),"Outbound Call")</f>
        <v>Outbound Call</v>
      </c>
      <c r="X420" s="124" t="str">
        <f>IFERROR(__xludf.DUMMYFUNCTION("""COMPUTED_VALUE"""),"Outbound Call")</f>
        <v>Outbound Call</v>
      </c>
      <c r="Y420" s="124"/>
      <c r="Z420" s="124">
        <f>IFERROR(__xludf.DUMMYFUNCTION("""COMPUTED_VALUE"""),3.0)</f>
        <v>3</v>
      </c>
      <c r="AA420" s="124"/>
      <c r="AB420" s="124"/>
    </row>
    <row r="421">
      <c r="A421" s="126">
        <f>IFERROR(__xludf.DUMMYFUNCTION("""COMPUTED_VALUE"""),46071.0)</f>
        <v>46071</v>
      </c>
      <c r="B421" s="124" t="str">
        <f>IFERROR(__xludf.DUMMYFUNCTION("""COMPUTED_VALUE"""),"Walkin")</f>
        <v>Walkin</v>
      </c>
      <c r="C421" s="124" t="str">
        <f>IFERROR(__xludf.DUMMYFUNCTION("""COMPUTED_VALUE"""),"Lucknow")</f>
        <v>Lucknow</v>
      </c>
      <c r="D421" s="124" t="str">
        <f>IFERROR(__xludf.DUMMYFUNCTION("""COMPUTED_VALUE"""),"Primary_Walkin")</f>
        <v>Primary_Walkin</v>
      </c>
      <c r="E421" s="127">
        <f>IFERROR(__xludf.DUMMYFUNCTION("""COMPUTED_VALUE"""),3.0)</f>
        <v>3</v>
      </c>
      <c r="F421" s="128" t="str">
        <f>IFERROR(__xludf.DUMMYFUNCTION("""COMPUTED_VALUE"""),"Cold")</f>
        <v>Cold</v>
      </c>
      <c r="G421" s="124" t="str">
        <f>IFERROR(__xludf.DUMMYFUNCTION("""COMPUTED_VALUE"""),"Other")</f>
        <v>Other</v>
      </c>
      <c r="K421" s="124"/>
      <c r="L421" s="124"/>
      <c r="M421" s="124"/>
      <c r="N421" s="124"/>
      <c r="O421" s="124"/>
      <c r="T421" s="126">
        <f>IFERROR(__xludf.DUMMYFUNCTION("""COMPUTED_VALUE"""),46093.0)</f>
        <v>46093</v>
      </c>
      <c r="U421" s="124" t="str">
        <f>IFERROR(__xludf.DUMMYFUNCTION("""COMPUTED_VALUE"""),"External Leads")</f>
        <v>External Leads</v>
      </c>
      <c r="V421" s="124" t="str">
        <f>IFERROR(__xludf.DUMMYFUNCTION("""COMPUTED_VALUE"""),"Outbound Call")</f>
        <v>Outbound Call</v>
      </c>
      <c r="W421" s="124" t="str">
        <f>IFERROR(__xludf.DUMMYFUNCTION("""COMPUTED_VALUE"""),"Outbound Call")</f>
        <v>Outbound Call</v>
      </c>
      <c r="X421" s="124" t="str">
        <f>IFERROR(__xludf.DUMMYFUNCTION("""COMPUTED_VALUE"""),"Outbound Call")</f>
        <v>Outbound Call</v>
      </c>
      <c r="Y421" s="124"/>
      <c r="Z421" s="124">
        <f>IFERROR(__xludf.DUMMYFUNCTION("""COMPUTED_VALUE"""),1.0)</f>
        <v>1</v>
      </c>
      <c r="AA421" s="124" t="str">
        <f>IFERROR(__xludf.DUMMYFUNCTION("""COMPUTED_VALUE"""),"Cold")</f>
        <v>Cold</v>
      </c>
      <c r="AB421" s="124"/>
    </row>
    <row r="422">
      <c r="A422" s="126">
        <f>IFERROR(__xludf.DUMMYFUNCTION("""COMPUTED_VALUE"""),46058.0)</f>
        <v>46058</v>
      </c>
      <c r="B422" s="124" t="str">
        <f>IFERROR(__xludf.DUMMYFUNCTION("""COMPUTED_VALUE"""),"external leads")</f>
        <v>external leads</v>
      </c>
      <c r="C422" s="124" t="str">
        <f>IFERROR(__xludf.DUMMYFUNCTION("""COMPUTED_VALUE"""),"Lucknow")</f>
        <v>Lucknow</v>
      </c>
      <c r="D422" s="124" t="str">
        <f>IFERROR(__xludf.DUMMYFUNCTION("""COMPUTED_VALUE"""),"Secondary_Walkin")</f>
        <v>Secondary_Walkin</v>
      </c>
      <c r="E422" s="127">
        <f>IFERROR(__xludf.DUMMYFUNCTION("""COMPUTED_VALUE"""),1.0)</f>
        <v>1</v>
      </c>
      <c r="F422" s="128" t="str">
        <f>IFERROR(__xludf.DUMMYFUNCTION("""COMPUTED_VALUE"""),"Cold")</f>
        <v>Cold</v>
      </c>
      <c r="G422" s="124" t="str">
        <f>IFERROR(__xludf.DUMMYFUNCTION("""COMPUTED_VALUE"""),"GS Foundation")</f>
        <v>GS Foundation</v>
      </c>
      <c r="K422" s="124"/>
      <c r="L422" s="124"/>
      <c r="M422" s="124"/>
      <c r="N422" s="124"/>
      <c r="O422" s="124"/>
      <c r="T422" s="126">
        <f>IFERROR(__xludf.DUMMYFUNCTION("""COMPUTED_VALUE"""),46066.0)</f>
        <v>46066</v>
      </c>
      <c r="U422" s="124" t="str">
        <f>IFERROR(__xludf.DUMMYFUNCTION("""COMPUTED_VALUE"""),"Event")</f>
        <v>Event</v>
      </c>
      <c r="V422" s="124" t="str">
        <f>IFERROR(__xludf.DUMMYFUNCTION("""COMPUTED_VALUE"""),"whatsapp")</f>
        <v>whatsapp</v>
      </c>
      <c r="W422" s="124" t="str">
        <f>IFERROR(__xludf.DUMMYFUNCTION("""COMPUTED_VALUE"""),"api")</f>
        <v>api</v>
      </c>
      <c r="X422" s="124" t="str">
        <f>IFERROR(__xludf.DUMMYFUNCTION("""COMPUTED_VALUE"""),"reply")</f>
        <v>reply</v>
      </c>
      <c r="Y422" s="124"/>
      <c r="Z422" s="124">
        <f>IFERROR(__xludf.DUMMYFUNCTION("""COMPUTED_VALUE"""),1.0)</f>
        <v>1</v>
      </c>
      <c r="AA422" s="124" t="str">
        <f>IFERROR(__xludf.DUMMYFUNCTION("""COMPUTED_VALUE"""),"Not Interested")</f>
        <v>Not Interested</v>
      </c>
      <c r="AB422" s="124"/>
    </row>
    <row r="423">
      <c r="A423" s="126">
        <f>IFERROR(__xludf.DUMMYFUNCTION("""COMPUTED_VALUE"""),46098.0)</f>
        <v>46098</v>
      </c>
      <c r="B423" s="124" t="str">
        <f>IFERROR(__xludf.DUMMYFUNCTION("""COMPUTED_VALUE"""),"Walkin")</f>
        <v>Walkin</v>
      </c>
      <c r="C423" s="124" t="str">
        <f>IFERROR(__xludf.DUMMYFUNCTION("""COMPUTED_VALUE"""),"Lucknow")</f>
        <v>Lucknow</v>
      </c>
      <c r="D423" s="124" t="str">
        <f>IFERROR(__xludf.DUMMYFUNCTION("""COMPUTED_VALUE"""),"Primary_Walkin")</f>
        <v>Primary_Walkin</v>
      </c>
      <c r="E423" s="127">
        <f>IFERROR(__xludf.DUMMYFUNCTION("""COMPUTED_VALUE"""),2.0)</f>
        <v>2</v>
      </c>
      <c r="F423" s="128" t="str">
        <f>IFERROR(__xludf.DUMMYFUNCTION("""COMPUTED_VALUE"""),"Warm")</f>
        <v>Warm</v>
      </c>
      <c r="G423" s="124" t="str">
        <f>IFERROR(__xludf.DUMMYFUNCTION("""COMPUTED_VALUE"""),"GS Foundation")</f>
        <v>GS Foundation</v>
      </c>
      <c r="K423" s="124"/>
      <c r="L423" s="124"/>
      <c r="M423" s="124"/>
      <c r="N423" s="124"/>
      <c r="O423" s="124"/>
      <c r="T423" s="126">
        <f>IFERROR(__xludf.DUMMYFUNCTION("""COMPUTED_VALUE"""),46101.0)</f>
        <v>46101</v>
      </c>
      <c r="U423" s="124" t="str">
        <f>IFERROR(__xludf.DUMMYFUNCTION("""COMPUTED_VALUE"""),"Event")</f>
        <v>Event</v>
      </c>
      <c r="V423" s="124" t="str">
        <f>IFERROR(__xludf.DUMMYFUNCTION("""COMPUTED_VALUE"""),"whatsapp")</f>
        <v>whatsapp</v>
      </c>
      <c r="W423" s="124" t="str">
        <f>IFERROR(__xludf.DUMMYFUNCTION("""COMPUTED_VALUE"""),"api")</f>
        <v>api</v>
      </c>
      <c r="X423" s="124" t="str">
        <f>IFERROR(__xludf.DUMMYFUNCTION("""COMPUTED_VALUE"""),"reply")</f>
        <v>reply</v>
      </c>
      <c r="Y423" s="124" t="str">
        <f>IFERROR(__xludf.DUMMYFUNCTION("""COMPUTED_VALUE"""),"Delhi")</f>
        <v>Delhi</v>
      </c>
      <c r="Z423" s="124">
        <f>IFERROR(__xludf.DUMMYFUNCTION("""COMPUTED_VALUE"""),1.0)</f>
        <v>1</v>
      </c>
      <c r="AA423" s="124" t="str">
        <f>IFERROR(__xludf.DUMMYFUNCTION("""COMPUTED_VALUE"""),"Fake Lead")</f>
        <v>Fake Lead</v>
      </c>
      <c r="AB423" s="124"/>
    </row>
    <row r="424">
      <c r="A424" s="129">
        <f>IFERROR(__xludf.DUMMYFUNCTION("""COMPUTED_VALUE"""),46095.0)</f>
        <v>46095</v>
      </c>
      <c r="B424" s="124" t="str">
        <f>IFERROR(__xludf.DUMMYFUNCTION("""COMPUTED_VALUE"""),"Walkin")</f>
        <v>Walkin</v>
      </c>
      <c r="C424" s="124" t="str">
        <f>IFERROR(__xludf.DUMMYFUNCTION("""COMPUTED_VALUE"""),"Indore")</f>
        <v>Indore</v>
      </c>
      <c r="D424" s="124" t="str">
        <f>IFERROR(__xludf.DUMMYFUNCTION("""COMPUTED_VALUE"""),"Primary_Walkin")</f>
        <v>Primary_Walkin</v>
      </c>
      <c r="E424" s="127">
        <f>IFERROR(__xludf.DUMMYFUNCTION("""COMPUTED_VALUE"""),2.0)</f>
        <v>2</v>
      </c>
      <c r="F424" s="128" t="str">
        <f>IFERROR(__xludf.DUMMYFUNCTION("""COMPUTED_VALUE"""),"Future Prospects")</f>
        <v>Future Prospects</v>
      </c>
      <c r="G424" s="124" t="str">
        <f>IFERROR(__xludf.DUMMYFUNCTION("""COMPUTED_VALUE"""),"State PCS")</f>
        <v>State PCS</v>
      </c>
      <c r="K424" s="124"/>
      <c r="L424" s="124"/>
      <c r="M424" s="124"/>
      <c r="N424" s="124"/>
      <c r="O424" s="124"/>
      <c r="T424" s="126">
        <f>IFERROR(__xludf.DUMMYFUNCTION("""COMPUTED_VALUE"""),46062.0)</f>
        <v>46062</v>
      </c>
      <c r="U424" s="124" t="str">
        <f>IFERROR(__xludf.DUMMYFUNCTION("""COMPUTED_VALUE"""),"External Leads")</f>
        <v>External Leads</v>
      </c>
      <c r="V424" s="124" t="str">
        <f>IFERROR(__xludf.DUMMYFUNCTION("""COMPUTED_VALUE"""),"Outbound Call")</f>
        <v>Outbound Call</v>
      </c>
      <c r="W424" s="124" t="str">
        <f>IFERROR(__xludf.DUMMYFUNCTION("""COMPUTED_VALUE"""),"Outbound Call")</f>
        <v>Outbound Call</v>
      </c>
      <c r="X424" s="124" t="str">
        <f>IFERROR(__xludf.DUMMYFUNCTION("""COMPUTED_VALUE"""),"Outbound Call")</f>
        <v>Outbound Call</v>
      </c>
      <c r="Y424" s="124"/>
      <c r="Z424" s="124">
        <f>IFERROR(__xludf.DUMMYFUNCTION("""COMPUTED_VALUE"""),9.0)</f>
        <v>9</v>
      </c>
      <c r="AA424" s="124"/>
      <c r="AB424" s="124"/>
    </row>
    <row r="425">
      <c r="A425" s="126">
        <f>IFERROR(__xludf.DUMMYFUNCTION("""COMPUTED_VALUE"""),46051.0)</f>
        <v>46051</v>
      </c>
      <c r="B425" s="124" t="str">
        <f>IFERROR(__xludf.DUMMYFUNCTION("""COMPUTED_VALUE"""),"Walkin")</f>
        <v>Walkin</v>
      </c>
      <c r="C425" s="124" t="str">
        <f>IFERROR(__xludf.DUMMYFUNCTION("""COMPUTED_VALUE"""),"Indore")</f>
        <v>Indore</v>
      </c>
      <c r="D425" s="124" t="str">
        <f>IFERROR(__xludf.DUMMYFUNCTION("""COMPUTED_VALUE"""),"Primary_Walkin")</f>
        <v>Primary_Walkin</v>
      </c>
      <c r="E425" s="127">
        <f>IFERROR(__xludf.DUMMYFUNCTION("""COMPUTED_VALUE"""),1.0)</f>
        <v>1</v>
      </c>
      <c r="F425" s="128" t="str">
        <f>IFERROR(__xludf.DUMMYFUNCTION("""COMPUTED_VALUE"""),"Cold")</f>
        <v>Cold</v>
      </c>
      <c r="G425" s="124" t="str">
        <f>IFERROR(__xludf.DUMMYFUNCTION("""COMPUTED_VALUE"""),"GS Foundation")</f>
        <v>GS Foundation</v>
      </c>
      <c r="K425" s="124"/>
      <c r="L425" s="124"/>
      <c r="M425" s="124"/>
      <c r="N425" s="124"/>
      <c r="O425" s="124"/>
      <c r="T425" s="126">
        <f>IFERROR(__xludf.DUMMYFUNCTION("""COMPUTED_VALUE"""),46043.0)</f>
        <v>46043</v>
      </c>
      <c r="U425" s="124" t="str">
        <f>IFERROR(__xludf.DUMMYFUNCTION("""COMPUTED_VALUE"""),"External Leads")</f>
        <v>External Leads</v>
      </c>
      <c r="V425" s="124" t="str">
        <f>IFERROR(__xludf.DUMMYFUNCTION("""COMPUTED_VALUE"""),"Outbound Call")</f>
        <v>Outbound Call</v>
      </c>
      <c r="W425" s="124" t="str">
        <f>IFERROR(__xludf.DUMMYFUNCTION("""COMPUTED_VALUE"""),"Outbound Call")</f>
        <v>Outbound Call</v>
      </c>
      <c r="X425" s="124" t="str">
        <f>IFERROR(__xludf.DUMMYFUNCTION("""COMPUTED_VALUE"""),"Outbound Call")</f>
        <v>Outbound Call</v>
      </c>
      <c r="Y425" s="124"/>
      <c r="Z425" s="124">
        <f>IFERROR(__xludf.DUMMYFUNCTION("""COMPUTED_VALUE"""),2.0)</f>
        <v>2</v>
      </c>
      <c r="AA425" s="124" t="str">
        <f>IFERROR(__xludf.DUMMYFUNCTION("""COMPUTED_VALUE"""),"Fake Lead")</f>
        <v>Fake Lead</v>
      </c>
      <c r="AB425" s="124"/>
    </row>
    <row r="426">
      <c r="A426" s="126">
        <f>IFERROR(__xludf.DUMMYFUNCTION("""COMPUTED_VALUE"""),46108.0)</f>
        <v>46108</v>
      </c>
      <c r="B426" s="124" t="str">
        <f>IFERROR(__xludf.DUMMYFUNCTION("""COMPUTED_VALUE"""),"Walkin")</f>
        <v>Walkin</v>
      </c>
      <c r="C426" s="124" t="str">
        <f>IFERROR(__xludf.DUMMYFUNCTION("""COMPUTED_VALUE"""),"Lucknow")</f>
        <v>Lucknow</v>
      </c>
      <c r="D426" s="124" t="str">
        <f>IFERROR(__xludf.DUMMYFUNCTION("""COMPUTED_VALUE"""),"Primary_Walkin")</f>
        <v>Primary_Walkin</v>
      </c>
      <c r="E426" s="127">
        <f>IFERROR(__xludf.DUMMYFUNCTION("""COMPUTED_VALUE"""),2.0)</f>
        <v>2</v>
      </c>
      <c r="F426" s="128" t="str">
        <f>IFERROR(__xludf.DUMMYFUNCTION("""COMPUTED_VALUE"""),"Warm")</f>
        <v>Warm</v>
      </c>
      <c r="G426" s="124" t="str">
        <f>IFERROR(__xludf.DUMMYFUNCTION("""COMPUTED_VALUE"""),"GS Foundation")</f>
        <v>GS Foundation</v>
      </c>
      <c r="K426" s="124"/>
      <c r="L426" s="124"/>
      <c r="M426" s="124"/>
      <c r="N426" s="124"/>
      <c r="O426" s="124"/>
      <c r="T426" s="126">
        <f>IFERROR(__xludf.DUMMYFUNCTION("""COMPUTED_VALUE"""),46059.0)</f>
        <v>46059</v>
      </c>
      <c r="U426" s="124" t="str">
        <f>IFERROR(__xludf.DUMMYFUNCTION("""COMPUTED_VALUE"""),"External Leads")</f>
        <v>External Leads</v>
      </c>
      <c r="V426" s="124" t="str">
        <f>IFERROR(__xludf.DUMMYFUNCTION("""COMPUTED_VALUE"""),"Outbound Call")</f>
        <v>Outbound Call</v>
      </c>
      <c r="W426" s="124" t="str">
        <f>IFERROR(__xludf.DUMMYFUNCTION("""COMPUTED_VALUE"""),"Outbound Call")</f>
        <v>Outbound Call</v>
      </c>
      <c r="X426" s="124" t="str">
        <f>IFERROR(__xludf.DUMMYFUNCTION("""COMPUTED_VALUE"""),"Outbound Call")</f>
        <v>Outbound Call</v>
      </c>
      <c r="Y426" s="124"/>
      <c r="Z426" s="124">
        <f>IFERROR(__xludf.DUMMYFUNCTION("""COMPUTED_VALUE"""),1.0)</f>
        <v>1</v>
      </c>
      <c r="AA426" s="124"/>
      <c r="AB426" s="124"/>
    </row>
    <row r="427">
      <c r="A427" s="129">
        <f>IFERROR(__xludf.DUMMYFUNCTION("""COMPUTED_VALUE"""),46044.0)</f>
        <v>46044</v>
      </c>
      <c r="B427" s="124" t="str">
        <f>IFERROR(__xludf.DUMMYFUNCTION("""COMPUTED_VALUE"""),"Outbound Call")</f>
        <v>Outbound Call</v>
      </c>
      <c r="C427" s="124" t="str">
        <f>IFERROR(__xludf.DUMMYFUNCTION("""COMPUTED_VALUE"""),"Indore")</f>
        <v>Indore</v>
      </c>
      <c r="D427" s="124" t="str">
        <f>IFERROR(__xludf.DUMMYFUNCTION("""COMPUTED_VALUE"""),"Secondary_Walkin")</f>
        <v>Secondary_Walkin</v>
      </c>
      <c r="E427" s="127">
        <f>IFERROR(__xludf.DUMMYFUNCTION("""COMPUTED_VALUE"""),1.0)</f>
        <v>1</v>
      </c>
      <c r="F427" s="128" t="str">
        <f>IFERROR(__xludf.DUMMYFUNCTION("""COMPUTED_VALUE"""),"Enrolled")</f>
        <v>Enrolled</v>
      </c>
      <c r="G427" s="124" t="str">
        <f>IFERROR(__xludf.DUMMYFUNCTION("""COMPUTED_VALUE"""),"GS Foundation")</f>
        <v>GS Foundation</v>
      </c>
      <c r="K427" s="124"/>
      <c r="L427" s="124"/>
      <c r="M427" s="124"/>
      <c r="N427" s="124"/>
      <c r="O427" s="124"/>
      <c r="T427" s="126">
        <f>IFERROR(__xludf.DUMMYFUNCTION("""COMPUTED_VALUE"""),46100.0)</f>
        <v>46100</v>
      </c>
      <c r="U427" s="124" t="str">
        <f>IFERROR(__xludf.DUMMYFUNCTION("""COMPUTED_VALUE"""),"Paid Ads")</f>
        <v>Paid Ads</v>
      </c>
      <c r="V427" s="124" t="str">
        <f>IFERROR(__xludf.DUMMYFUNCTION("""COMPUTED_VALUE"""),"Facebook")</f>
        <v>Facebook</v>
      </c>
      <c r="W427" s="124" t="str">
        <f>IFERROR(__xludf.DUMMYFUNCTION("""COMPUTED_VALUE"""),"LeadAd")</f>
        <v>LeadAd</v>
      </c>
      <c r="X427" s="124" t="str">
        <f>IFERROR(__xludf.DUMMYFUNCTION("""COMPUTED_VALUE"""),"Upsc_Lead_English_South_FB_Video")</f>
        <v>Upsc_Lead_English_South_FB_Video</v>
      </c>
      <c r="Y427" s="124"/>
      <c r="Z427" s="124">
        <f>IFERROR(__xludf.DUMMYFUNCTION("""COMPUTED_VALUE"""),11.0)</f>
        <v>11</v>
      </c>
      <c r="AA427" s="124"/>
      <c r="AB427" s="124"/>
    </row>
    <row r="428">
      <c r="A428" s="126">
        <f>IFERROR(__xludf.DUMMYFUNCTION("""COMPUTED_VALUE"""),46078.0)</f>
        <v>46078</v>
      </c>
      <c r="B428" s="124" t="str">
        <f>IFERROR(__xludf.DUMMYFUNCTION("""COMPUTED_VALUE"""),"Walkin")</f>
        <v>Walkin</v>
      </c>
      <c r="C428" s="124" t="str">
        <f>IFERROR(__xludf.DUMMYFUNCTION("""COMPUTED_VALUE"""),"Lucknow")</f>
        <v>Lucknow</v>
      </c>
      <c r="D428" s="124" t="str">
        <f>IFERROR(__xludf.DUMMYFUNCTION("""COMPUTED_VALUE"""),"Primary_Walkin")</f>
        <v>Primary_Walkin</v>
      </c>
      <c r="E428" s="127">
        <f>IFERROR(__xludf.DUMMYFUNCTION("""COMPUTED_VALUE"""),1.0)</f>
        <v>1</v>
      </c>
      <c r="F428" s="128" t="str">
        <f>IFERROR(__xludf.DUMMYFUNCTION("""COMPUTED_VALUE"""),"Warm")</f>
        <v>Warm</v>
      </c>
      <c r="G428" s="124" t="str">
        <f>IFERROR(__xludf.DUMMYFUNCTION("""COMPUTED_VALUE"""),"GS Foundation")</f>
        <v>GS Foundation</v>
      </c>
      <c r="K428" s="124"/>
      <c r="L428" s="124"/>
      <c r="M428" s="124"/>
      <c r="N428" s="124"/>
      <c r="O428" s="124"/>
      <c r="T428" s="126">
        <f>IFERROR(__xludf.DUMMYFUNCTION("""COMPUTED_VALUE"""),46059.0)</f>
        <v>46059</v>
      </c>
      <c r="U428" s="124" t="str">
        <f>IFERROR(__xludf.DUMMYFUNCTION("""COMPUTED_VALUE"""),"Event")</f>
        <v>Event</v>
      </c>
      <c r="V428" s="124" t="str">
        <f>IFERROR(__xludf.DUMMYFUNCTION("""COMPUTED_VALUE"""),"whatsapp")</f>
        <v>whatsapp</v>
      </c>
      <c r="W428" s="124" t="str">
        <f>IFERROR(__xludf.DUMMYFUNCTION("""COMPUTED_VALUE"""),"api")</f>
        <v>api</v>
      </c>
      <c r="X428" s="124" t="str">
        <f>IFERROR(__xludf.DUMMYFUNCTION("""COMPUTED_VALUE"""),"reply")</f>
        <v>reply</v>
      </c>
      <c r="Y428" s="124"/>
      <c r="Z428" s="124">
        <f>IFERROR(__xludf.DUMMYFUNCTION("""COMPUTED_VALUE"""),2.0)</f>
        <v>2</v>
      </c>
      <c r="AA428" s="124" t="str">
        <f>IFERROR(__xludf.DUMMYFUNCTION("""COMPUTED_VALUE"""),"Cold")</f>
        <v>Cold</v>
      </c>
      <c r="AB428" s="124"/>
    </row>
    <row r="429">
      <c r="A429" s="126">
        <f>IFERROR(__xludf.DUMMYFUNCTION("""COMPUTED_VALUE"""),46076.0)</f>
        <v>46076</v>
      </c>
      <c r="B429" s="124" t="str">
        <f>IFERROR(__xludf.DUMMYFUNCTION("""COMPUTED_VALUE"""),"Walkin")</f>
        <v>Walkin</v>
      </c>
      <c r="C429" s="124" t="str">
        <f>IFERROR(__xludf.DUMMYFUNCTION("""COMPUTED_VALUE"""),"Indore")</f>
        <v>Indore</v>
      </c>
      <c r="D429" s="124" t="str">
        <f>IFERROR(__xludf.DUMMYFUNCTION("""COMPUTED_VALUE"""),"Primary_Walkin")</f>
        <v>Primary_Walkin</v>
      </c>
      <c r="E429" s="127">
        <f>IFERROR(__xludf.DUMMYFUNCTION("""COMPUTED_VALUE"""),2.0)</f>
        <v>2</v>
      </c>
      <c r="F429" s="128" t="str">
        <f>IFERROR(__xludf.DUMMYFUNCTION("""COMPUTED_VALUE"""),"Cold")</f>
        <v>Cold</v>
      </c>
      <c r="G429" s="124" t="str">
        <f>IFERROR(__xludf.DUMMYFUNCTION("""COMPUTED_VALUE"""),"Test Series")</f>
        <v>Test Series</v>
      </c>
      <c r="K429" s="124"/>
      <c r="L429" s="124"/>
      <c r="M429" s="124"/>
      <c r="N429" s="124"/>
      <c r="O429" s="124"/>
      <c r="T429" s="126">
        <f>IFERROR(__xludf.DUMMYFUNCTION("""COMPUTED_VALUE"""),46061.0)</f>
        <v>46061</v>
      </c>
      <c r="U429" s="124" t="str">
        <f>IFERROR(__xludf.DUMMYFUNCTION("""COMPUTED_VALUE"""),"External Leads")</f>
        <v>External Leads</v>
      </c>
      <c r="V429" s="124" t="str">
        <f>IFERROR(__xludf.DUMMYFUNCTION("""COMPUTED_VALUE"""),"Outbound Call")</f>
        <v>Outbound Call</v>
      </c>
      <c r="W429" s="124" t="str">
        <f>IFERROR(__xludf.DUMMYFUNCTION("""COMPUTED_VALUE"""),"Outbound Call")</f>
        <v>Outbound Call</v>
      </c>
      <c r="X429" s="124" t="str">
        <f>IFERROR(__xludf.DUMMYFUNCTION("""COMPUTED_VALUE"""),"Outbound Call")</f>
        <v>Outbound Call</v>
      </c>
      <c r="Y429" s="124"/>
      <c r="Z429" s="124">
        <f>IFERROR(__xludf.DUMMYFUNCTION("""COMPUTED_VALUE"""),3.0)</f>
        <v>3</v>
      </c>
      <c r="AA429" s="124"/>
      <c r="AB429" s="124"/>
    </row>
    <row r="430">
      <c r="A430" s="126">
        <f>IFERROR(__xludf.DUMMYFUNCTION("""COMPUTED_VALUE"""),46064.0)</f>
        <v>46064</v>
      </c>
      <c r="B430" s="124" t="str">
        <f>IFERROR(__xludf.DUMMYFUNCTION("""COMPUTED_VALUE"""),"Walkin")</f>
        <v>Walkin</v>
      </c>
      <c r="C430" s="124" t="str">
        <f>IFERROR(__xludf.DUMMYFUNCTION("""COMPUTED_VALUE"""),"Indore")</f>
        <v>Indore</v>
      </c>
      <c r="D430" s="124" t="str">
        <f>IFERROR(__xludf.DUMMYFUNCTION("""COMPUTED_VALUE"""),"Primary_Walkin")</f>
        <v>Primary_Walkin</v>
      </c>
      <c r="E430" s="127">
        <f>IFERROR(__xludf.DUMMYFUNCTION("""COMPUTED_VALUE"""),1.0)</f>
        <v>1</v>
      </c>
      <c r="F430" s="128" t="str">
        <f>IFERROR(__xludf.DUMMYFUNCTION("""COMPUTED_VALUE"""),"Not Interested")</f>
        <v>Not Interested</v>
      </c>
      <c r="G430" s="124" t="str">
        <f>IFERROR(__xludf.DUMMYFUNCTION("""COMPUTED_VALUE"""),"State PCS")</f>
        <v>State PCS</v>
      </c>
      <c r="K430" s="124"/>
      <c r="L430" s="124"/>
      <c r="M430" s="124"/>
      <c r="N430" s="124"/>
      <c r="O430" s="124"/>
      <c r="T430" s="126">
        <f>IFERROR(__xludf.DUMMYFUNCTION("""COMPUTED_VALUE"""),46079.0)</f>
        <v>46079</v>
      </c>
      <c r="U430" s="124" t="str">
        <f>IFERROR(__xludf.DUMMYFUNCTION("""COMPUTED_VALUE"""),"External Leads")</f>
        <v>External Leads</v>
      </c>
      <c r="V430" s="124" t="str">
        <f>IFERROR(__xludf.DUMMYFUNCTION("""COMPUTED_VALUE"""),"Outbound Call")</f>
        <v>Outbound Call</v>
      </c>
      <c r="W430" s="124" t="str">
        <f>IFERROR(__xludf.DUMMYFUNCTION("""COMPUTED_VALUE"""),"Outbound Call")</f>
        <v>Outbound Call</v>
      </c>
      <c r="X430" s="124" t="str">
        <f>IFERROR(__xludf.DUMMYFUNCTION("""COMPUTED_VALUE"""),"Outbound Call")</f>
        <v>Outbound Call</v>
      </c>
      <c r="Y430" s="124"/>
      <c r="Z430" s="124">
        <f>IFERROR(__xludf.DUMMYFUNCTION("""COMPUTED_VALUE"""),8.0)</f>
        <v>8</v>
      </c>
      <c r="AA430" s="124"/>
      <c r="AB430" s="124"/>
    </row>
    <row r="431">
      <c r="A431" s="126">
        <f>IFERROR(__xludf.DUMMYFUNCTION("""COMPUTED_VALUE"""),46099.0)</f>
        <v>46099</v>
      </c>
      <c r="B431" s="124" t="str">
        <f>IFERROR(__xludf.DUMMYFUNCTION("""COMPUTED_VALUE"""),"walk-in")</f>
        <v>walk-in</v>
      </c>
      <c r="C431" s="124" t="str">
        <f>IFERROR(__xludf.DUMMYFUNCTION("""COMPUTED_VALUE"""),"Indore")</f>
        <v>Indore</v>
      </c>
      <c r="D431" s="124" t="str">
        <f>IFERROR(__xludf.DUMMYFUNCTION("""COMPUTED_VALUE"""),"Primary_Walkin")</f>
        <v>Primary_Walkin</v>
      </c>
      <c r="E431" s="127">
        <f>IFERROR(__xludf.DUMMYFUNCTION("""COMPUTED_VALUE"""),1.0)</f>
        <v>1</v>
      </c>
      <c r="F431" s="128" t="str">
        <f>IFERROR(__xludf.DUMMYFUNCTION("""COMPUTED_VALUE"""),"Cold")</f>
        <v>Cold</v>
      </c>
      <c r="G431" s="124" t="str">
        <f>IFERROR(__xludf.DUMMYFUNCTION("""COMPUTED_VALUE"""),"State PCS")</f>
        <v>State PCS</v>
      </c>
      <c r="K431" s="124"/>
      <c r="L431" s="124"/>
      <c r="M431" s="124"/>
      <c r="N431" s="124"/>
      <c r="O431" s="124"/>
      <c r="T431" s="129">
        <f>IFERROR(__xludf.DUMMYFUNCTION("""COMPUTED_VALUE"""),46101.0)</f>
        <v>46101</v>
      </c>
      <c r="U431" s="124" t="str">
        <f>IFERROR(__xludf.DUMMYFUNCTION("""COMPUTED_VALUE"""),"Paid Ads")</f>
        <v>Paid Ads</v>
      </c>
      <c r="V431" s="124" t="str">
        <f>IFERROR(__xludf.DUMMYFUNCTION("""COMPUTED_VALUE"""),"Facebook")</f>
        <v>Facebook</v>
      </c>
      <c r="W431" s="124" t="str">
        <f>IFERROR(__xludf.DUMMYFUNCTION("""COMPUTED_VALUE"""),"LeadAd")</f>
        <v>LeadAd</v>
      </c>
      <c r="X431" s="124" t="str">
        <f>IFERROR(__xludf.DUMMYFUNCTION("""COMPUTED_VALUE"""),"Upsc_Lead_English_South_FB_Video")</f>
        <v>Upsc_Lead_English_South_FB_Video</v>
      </c>
      <c r="Y431" s="124"/>
      <c r="Z431" s="124">
        <f>IFERROR(__xludf.DUMMYFUNCTION("""COMPUTED_VALUE"""),4.0)</f>
        <v>4</v>
      </c>
      <c r="AA431" s="124"/>
      <c r="AB431" s="124"/>
    </row>
    <row r="432">
      <c r="A432" s="126">
        <f>IFERROR(__xludf.DUMMYFUNCTION("""COMPUTED_VALUE"""),46081.0)</f>
        <v>46081</v>
      </c>
      <c r="B432" s="124" t="str">
        <f>IFERROR(__xludf.DUMMYFUNCTION("""COMPUTED_VALUE"""),"Walkin")</f>
        <v>Walkin</v>
      </c>
      <c r="C432" s="124" t="str">
        <f>IFERROR(__xludf.DUMMYFUNCTION("""COMPUTED_VALUE"""),"Indore")</f>
        <v>Indore</v>
      </c>
      <c r="D432" s="124" t="str">
        <f>IFERROR(__xludf.DUMMYFUNCTION("""COMPUTED_VALUE"""),"Primary_Walkin")</f>
        <v>Primary_Walkin</v>
      </c>
      <c r="E432" s="127">
        <f>IFERROR(__xludf.DUMMYFUNCTION("""COMPUTED_VALUE"""),1.0)</f>
        <v>1</v>
      </c>
      <c r="F432" s="128" t="str">
        <f>IFERROR(__xludf.DUMMYFUNCTION("""COMPUTED_VALUE"""),"Future Prospects")</f>
        <v>Future Prospects</v>
      </c>
      <c r="G432" s="124" t="str">
        <f>IFERROR(__xludf.DUMMYFUNCTION("""COMPUTED_VALUE"""),"GS Foundation")</f>
        <v>GS Foundation</v>
      </c>
      <c r="K432" s="124"/>
      <c r="L432" s="124"/>
      <c r="M432" s="124"/>
      <c r="N432" s="124"/>
      <c r="O432" s="124"/>
      <c r="T432" s="126">
        <f>IFERROR(__xludf.DUMMYFUNCTION("""COMPUTED_VALUE"""),46106.0)</f>
        <v>46106</v>
      </c>
      <c r="U432" s="124" t="str">
        <f>IFERROR(__xludf.DUMMYFUNCTION("""COMPUTED_VALUE"""),"Paid Ads")</f>
        <v>Paid Ads</v>
      </c>
      <c r="V432" s="124" t="str">
        <f>IFERROR(__xludf.DUMMYFUNCTION("""COMPUTED_VALUE"""),"Facebook")</f>
        <v>Facebook</v>
      </c>
      <c r="W432" s="124" t="str">
        <f>IFERROR(__xludf.DUMMYFUNCTION("""COMPUTED_VALUE"""),"LeadAd")</f>
        <v>LeadAd</v>
      </c>
      <c r="X432" s="124" t="str">
        <f>IFERROR(__xludf.DUMMYFUNCTION("""COMPUTED_VALUE"""),"Upsc_Lead_English_South_FB_Video")</f>
        <v>Upsc_Lead_English_South_FB_Video</v>
      </c>
      <c r="Y432" s="124"/>
      <c r="Z432" s="124">
        <f>IFERROR(__xludf.DUMMYFUNCTION("""COMPUTED_VALUE"""),6.0)</f>
        <v>6</v>
      </c>
      <c r="AA432" s="124"/>
      <c r="AB432" s="124"/>
    </row>
    <row r="433">
      <c r="A433" s="126">
        <f>IFERROR(__xludf.DUMMYFUNCTION("""COMPUTED_VALUE"""),46074.0)</f>
        <v>46074</v>
      </c>
      <c r="B433" s="124" t="str">
        <f>IFERROR(__xludf.DUMMYFUNCTION("""COMPUTED_VALUE"""),"Walkin")</f>
        <v>Walkin</v>
      </c>
      <c r="C433" s="124" t="str">
        <f>IFERROR(__xludf.DUMMYFUNCTION("""COMPUTED_VALUE"""),"Indore")</f>
        <v>Indore</v>
      </c>
      <c r="D433" s="124" t="str">
        <f>IFERROR(__xludf.DUMMYFUNCTION("""COMPUTED_VALUE"""),"Primary_Walkin")</f>
        <v>Primary_Walkin</v>
      </c>
      <c r="E433" s="127">
        <f>IFERROR(__xludf.DUMMYFUNCTION("""COMPUTED_VALUE"""),1.0)</f>
        <v>1</v>
      </c>
      <c r="F433" s="128" t="str">
        <f>IFERROR(__xludf.DUMMYFUNCTION("""COMPUTED_VALUE"""),"Cold")</f>
        <v>Cold</v>
      </c>
      <c r="G433" s="124" t="str">
        <f>IFERROR(__xludf.DUMMYFUNCTION("""COMPUTED_VALUE"""),"Other")</f>
        <v>Other</v>
      </c>
      <c r="K433" s="124"/>
      <c r="L433" s="124"/>
      <c r="M433" s="124"/>
      <c r="N433" s="124"/>
      <c r="O433" s="124"/>
      <c r="T433" s="126">
        <f>IFERROR(__xludf.DUMMYFUNCTION("""COMPUTED_VALUE"""),46101.0)</f>
        <v>46101</v>
      </c>
      <c r="U433" s="124" t="str">
        <f>IFERROR(__xludf.DUMMYFUNCTION("""COMPUTED_VALUE"""),"Event")</f>
        <v>Event</v>
      </c>
      <c r="V433" s="124" t="str">
        <f>IFERROR(__xludf.DUMMYFUNCTION("""COMPUTED_VALUE"""),"whatsapp")</f>
        <v>whatsapp</v>
      </c>
      <c r="W433" s="124" t="str">
        <f>IFERROR(__xludf.DUMMYFUNCTION("""COMPUTED_VALUE"""),"api")</f>
        <v>api</v>
      </c>
      <c r="X433" s="124" t="str">
        <f>IFERROR(__xludf.DUMMYFUNCTION("""COMPUTED_VALUE"""),"reply")</f>
        <v>reply</v>
      </c>
      <c r="Y433" s="124" t="str">
        <f>IFERROR(__xludf.DUMMYFUNCTION("""COMPUTED_VALUE"""),"Delhi")</f>
        <v>Delhi</v>
      </c>
      <c r="Z433" s="124">
        <f>IFERROR(__xludf.DUMMYFUNCTION("""COMPUTED_VALUE"""),2.0)</f>
        <v>2</v>
      </c>
      <c r="AA433" s="124" t="str">
        <f>IFERROR(__xludf.DUMMYFUNCTION("""COMPUTED_VALUE"""),"Cold")</f>
        <v>Cold</v>
      </c>
      <c r="AB433" s="124"/>
    </row>
    <row r="434">
      <c r="A434" s="129">
        <f>IFERROR(__xludf.DUMMYFUNCTION("""COMPUTED_VALUE"""),46092.0)</f>
        <v>46092</v>
      </c>
      <c r="B434" s="124" t="str">
        <f>IFERROR(__xludf.DUMMYFUNCTION("""COMPUTED_VALUE"""),"Walkin")</f>
        <v>Walkin</v>
      </c>
      <c r="C434" s="124" t="str">
        <f>IFERROR(__xludf.DUMMYFUNCTION("""COMPUTED_VALUE"""),"Lucknow")</f>
        <v>Lucknow</v>
      </c>
      <c r="D434" s="124" t="str">
        <f>IFERROR(__xludf.DUMMYFUNCTION("""COMPUTED_VALUE"""),"Primary_Walkin")</f>
        <v>Primary_Walkin</v>
      </c>
      <c r="E434" s="127">
        <f>IFERROR(__xludf.DUMMYFUNCTION("""COMPUTED_VALUE"""),1.0)</f>
        <v>1</v>
      </c>
      <c r="F434" s="128" t="str">
        <f>IFERROR(__xludf.DUMMYFUNCTION("""COMPUTED_VALUE"""),"Warm")</f>
        <v>Warm</v>
      </c>
      <c r="G434" s="124" t="str">
        <f>IFERROR(__xludf.DUMMYFUNCTION("""COMPUTED_VALUE"""),"GS Foundation")</f>
        <v>GS Foundation</v>
      </c>
      <c r="K434" s="124"/>
      <c r="L434" s="124"/>
      <c r="M434" s="124"/>
      <c r="N434" s="124"/>
      <c r="O434" s="124"/>
      <c r="T434" s="126">
        <f>IFERROR(__xludf.DUMMYFUNCTION("""COMPUTED_VALUE"""),46087.0)</f>
        <v>46087</v>
      </c>
      <c r="U434" s="124" t="str">
        <f>IFERROR(__xludf.DUMMYFUNCTION("""COMPUTED_VALUE"""),"External Leads")</f>
        <v>External Leads</v>
      </c>
      <c r="V434" s="124" t="str">
        <f>IFERROR(__xludf.DUMMYFUNCTION("""COMPUTED_VALUE"""),"Outbound Call")</f>
        <v>Outbound Call</v>
      </c>
      <c r="W434" s="124" t="str">
        <f>IFERROR(__xludf.DUMMYFUNCTION("""COMPUTED_VALUE"""),"Outbound Call")</f>
        <v>Outbound Call</v>
      </c>
      <c r="X434" s="124" t="str">
        <f>IFERROR(__xludf.DUMMYFUNCTION("""COMPUTED_VALUE"""),"Outbound Call")</f>
        <v>Outbound Call</v>
      </c>
      <c r="Y434" s="124"/>
      <c r="Z434" s="124">
        <f>IFERROR(__xludf.DUMMYFUNCTION("""COMPUTED_VALUE"""),3.0)</f>
        <v>3</v>
      </c>
      <c r="AA434" s="124"/>
      <c r="AB434" s="124"/>
    </row>
    <row r="435">
      <c r="A435" s="126">
        <f>IFERROR(__xludf.DUMMYFUNCTION("""COMPUTED_VALUE"""),46053.0)</f>
        <v>46053</v>
      </c>
      <c r="B435" s="124" t="str">
        <f>IFERROR(__xludf.DUMMYFUNCTION("""COMPUTED_VALUE"""),"events")</f>
        <v>events</v>
      </c>
      <c r="C435" s="124" t="str">
        <f>IFERROR(__xludf.DUMMYFUNCTION("""COMPUTED_VALUE"""),"Indore")</f>
        <v>Indore</v>
      </c>
      <c r="D435" s="124" t="str">
        <f>IFERROR(__xludf.DUMMYFUNCTION("""COMPUTED_VALUE"""),"Secondary_Walkin")</f>
        <v>Secondary_Walkin</v>
      </c>
      <c r="E435" s="127">
        <f>IFERROR(__xludf.DUMMYFUNCTION("""COMPUTED_VALUE"""),1.0)</f>
        <v>1</v>
      </c>
      <c r="F435" s="128" t="str">
        <f>IFERROR(__xludf.DUMMYFUNCTION("""COMPUTED_VALUE"""),"Cold")</f>
        <v>Cold</v>
      </c>
      <c r="G435" s="124" t="str">
        <f>IFERROR(__xludf.DUMMYFUNCTION("""COMPUTED_VALUE"""),"Mentorship")</f>
        <v>Mentorship</v>
      </c>
      <c r="K435" s="124"/>
      <c r="L435" s="124"/>
      <c r="M435" s="124"/>
      <c r="N435" s="124"/>
      <c r="O435" s="124"/>
      <c r="T435" s="126">
        <f>IFERROR(__xludf.DUMMYFUNCTION("""COMPUTED_VALUE"""),46104.0)</f>
        <v>46104</v>
      </c>
      <c r="U435" s="124" t="str">
        <f>IFERROR(__xludf.DUMMYFUNCTION("""COMPUTED_VALUE"""),"Paid Ads")</f>
        <v>Paid Ads</v>
      </c>
      <c r="V435" s="124" t="str">
        <f>IFERROR(__xludf.DUMMYFUNCTION("""COMPUTED_VALUE"""),"Facebook")</f>
        <v>Facebook</v>
      </c>
      <c r="W435" s="124" t="str">
        <f>IFERROR(__xludf.DUMMYFUNCTION("""COMPUTED_VALUE"""),"LeadAd")</f>
        <v>LeadAd</v>
      </c>
      <c r="X435" s="124" t="str">
        <f>IFERROR(__xludf.DUMMYFUNCTION("""COMPUTED_VALUE"""),"Upsc_Lead_English_South_FB_Video")</f>
        <v>Upsc_Lead_English_South_FB_Video</v>
      </c>
      <c r="Y435" s="124"/>
      <c r="Z435" s="124">
        <f>IFERROR(__xludf.DUMMYFUNCTION("""COMPUTED_VALUE"""),8.0)</f>
        <v>8</v>
      </c>
      <c r="AA435" s="124"/>
      <c r="AB435" s="124"/>
    </row>
    <row r="436">
      <c r="A436" s="129">
        <f>IFERROR(__xludf.DUMMYFUNCTION("""COMPUTED_VALUE"""),46046.0)</f>
        <v>46046</v>
      </c>
      <c r="B436" s="124" t="str">
        <f>IFERROR(__xludf.DUMMYFUNCTION("""COMPUTED_VALUE"""),"Walkin")</f>
        <v>Walkin</v>
      </c>
      <c r="C436" s="124" t="str">
        <f>IFERROR(__xludf.DUMMYFUNCTION("""COMPUTED_VALUE"""),"Indore")</f>
        <v>Indore</v>
      </c>
      <c r="D436" s="124" t="str">
        <f>IFERROR(__xludf.DUMMYFUNCTION("""COMPUTED_VALUE"""),"Primary_Walkin")</f>
        <v>Primary_Walkin</v>
      </c>
      <c r="E436" s="127">
        <f>IFERROR(__xludf.DUMMYFUNCTION("""COMPUTED_VALUE"""),1.0)</f>
        <v>1</v>
      </c>
      <c r="F436" s="128" t="str">
        <f>IFERROR(__xludf.DUMMYFUNCTION("""COMPUTED_VALUE"""),"Future Prospects")</f>
        <v>Future Prospects</v>
      </c>
      <c r="G436" s="124" t="str">
        <f>IFERROR(__xludf.DUMMYFUNCTION("""COMPUTED_VALUE"""),"State PCS")</f>
        <v>State PCS</v>
      </c>
      <c r="K436" s="124"/>
      <c r="L436" s="124"/>
      <c r="M436" s="124"/>
      <c r="N436" s="124"/>
      <c r="O436" s="124"/>
      <c r="T436" s="126">
        <f>IFERROR(__xludf.DUMMYFUNCTION("""COMPUTED_VALUE"""),46083.0)</f>
        <v>46083</v>
      </c>
      <c r="U436" s="124" t="str">
        <f>IFERROR(__xludf.DUMMYFUNCTION("""COMPUTED_VALUE"""),"External Leads")</f>
        <v>External Leads</v>
      </c>
      <c r="V436" s="124" t="str">
        <f>IFERROR(__xludf.DUMMYFUNCTION("""COMPUTED_VALUE"""),"Outbound Call")</f>
        <v>Outbound Call</v>
      </c>
      <c r="W436" s="124" t="str">
        <f>IFERROR(__xludf.DUMMYFUNCTION("""COMPUTED_VALUE"""),"Outbound Call")</f>
        <v>Outbound Call</v>
      </c>
      <c r="X436" s="124" t="str">
        <f>IFERROR(__xludf.DUMMYFUNCTION("""COMPUTED_VALUE"""),"Outbound Call")</f>
        <v>Outbound Call</v>
      </c>
      <c r="Y436" s="124"/>
      <c r="Z436" s="124">
        <f>IFERROR(__xludf.DUMMYFUNCTION("""COMPUTED_VALUE"""),11.0)</f>
        <v>11</v>
      </c>
      <c r="AA436" s="124"/>
      <c r="AB436" s="124"/>
    </row>
    <row r="437">
      <c r="A437" s="126">
        <f>IFERROR(__xludf.DUMMYFUNCTION("""COMPUTED_VALUE"""),46094.0)</f>
        <v>46094</v>
      </c>
      <c r="B437" s="124" t="str">
        <f>IFERROR(__xludf.DUMMYFUNCTION("""COMPUTED_VALUE"""),"Walkin")</f>
        <v>Walkin</v>
      </c>
      <c r="C437" s="124" t="str">
        <f>IFERROR(__xludf.DUMMYFUNCTION("""COMPUTED_VALUE"""),"Indore")</f>
        <v>Indore</v>
      </c>
      <c r="D437" s="124" t="str">
        <f>IFERROR(__xludf.DUMMYFUNCTION("""COMPUTED_VALUE"""),"Primary_Walkin")</f>
        <v>Primary_Walkin</v>
      </c>
      <c r="E437" s="127">
        <f>IFERROR(__xludf.DUMMYFUNCTION("""COMPUTED_VALUE"""),2.0)</f>
        <v>2</v>
      </c>
      <c r="F437" s="128" t="str">
        <f>IFERROR(__xludf.DUMMYFUNCTION("""COMPUTED_VALUE"""),"Future Prospects")</f>
        <v>Future Prospects</v>
      </c>
      <c r="G437" s="124" t="str">
        <f>IFERROR(__xludf.DUMMYFUNCTION("""COMPUTED_VALUE"""),"Other")</f>
        <v>Other</v>
      </c>
      <c r="K437" s="124"/>
      <c r="L437" s="124"/>
      <c r="M437" s="124"/>
      <c r="N437" s="124"/>
      <c r="O437" s="124"/>
      <c r="T437" s="126">
        <f>IFERROR(__xludf.DUMMYFUNCTION("""COMPUTED_VALUE"""),46103.0)</f>
        <v>46103</v>
      </c>
      <c r="U437" s="124" t="str">
        <f>IFERROR(__xludf.DUMMYFUNCTION("""COMPUTED_VALUE"""),"Paid Ads")</f>
        <v>Paid Ads</v>
      </c>
      <c r="V437" s="124" t="str">
        <f>IFERROR(__xludf.DUMMYFUNCTION("""COMPUTED_VALUE"""),"Facebook")</f>
        <v>Facebook</v>
      </c>
      <c r="W437" s="124" t="str">
        <f>IFERROR(__xludf.DUMMYFUNCTION("""COMPUTED_VALUE"""),"LeadAd")</f>
        <v>LeadAd</v>
      </c>
      <c r="X437" s="124" t="str">
        <f>IFERROR(__xludf.DUMMYFUNCTION("""COMPUTED_VALUE"""),"Upsc_Lead_English_South_FB_Video")</f>
        <v>Upsc_Lead_English_South_FB_Video</v>
      </c>
      <c r="Y437" s="124"/>
      <c r="Z437" s="124">
        <f>IFERROR(__xludf.DUMMYFUNCTION("""COMPUTED_VALUE"""),19.0)</f>
        <v>19</v>
      </c>
      <c r="AA437" s="124"/>
      <c r="AB437" s="124"/>
    </row>
    <row r="438">
      <c r="A438" s="126">
        <f>IFERROR(__xludf.DUMMYFUNCTION("""COMPUTED_VALUE"""),46081.0)</f>
        <v>46081</v>
      </c>
      <c r="B438" s="124" t="str">
        <f>IFERROR(__xludf.DUMMYFUNCTION("""COMPUTED_VALUE"""),"Walkin")</f>
        <v>Walkin</v>
      </c>
      <c r="C438" s="124" t="str">
        <f>IFERROR(__xludf.DUMMYFUNCTION("""COMPUTED_VALUE"""),"Indore")</f>
        <v>Indore</v>
      </c>
      <c r="D438" s="124" t="str">
        <f>IFERROR(__xludf.DUMMYFUNCTION("""COMPUTED_VALUE"""),"Primary_Walkin")</f>
        <v>Primary_Walkin</v>
      </c>
      <c r="E438" s="127">
        <f>IFERROR(__xludf.DUMMYFUNCTION("""COMPUTED_VALUE"""),4.0)</f>
        <v>4</v>
      </c>
      <c r="F438" s="128" t="str">
        <f>IFERROR(__xludf.DUMMYFUNCTION("""COMPUTED_VALUE"""),"Cold")</f>
        <v>Cold</v>
      </c>
      <c r="G438" s="124" t="str">
        <f>IFERROR(__xludf.DUMMYFUNCTION("""COMPUTED_VALUE"""),"State PCS")</f>
        <v>State PCS</v>
      </c>
      <c r="K438" s="124"/>
      <c r="L438" s="124"/>
      <c r="M438" s="124"/>
      <c r="N438" s="124"/>
      <c r="O438" s="124"/>
      <c r="T438" s="126">
        <f>IFERROR(__xludf.DUMMYFUNCTION("""COMPUTED_VALUE"""),46110.0)</f>
        <v>46110</v>
      </c>
      <c r="U438" s="124" t="str">
        <f>IFERROR(__xludf.DUMMYFUNCTION("""COMPUTED_VALUE"""),"Paid Ads")</f>
        <v>Paid Ads</v>
      </c>
      <c r="V438" s="124" t="str">
        <f>IFERROR(__xludf.DUMMYFUNCTION("""COMPUTED_VALUE"""),"Facebook")</f>
        <v>Facebook</v>
      </c>
      <c r="W438" s="124" t="str">
        <f>IFERROR(__xludf.DUMMYFUNCTION("""COMPUTED_VALUE"""),"LeadAd")</f>
        <v>LeadAd</v>
      </c>
      <c r="X438" s="124" t="str">
        <f>IFERROR(__xludf.DUMMYFUNCTION("""COMPUTED_VALUE"""),"Upsc_Lead_English_South_FB_Video")</f>
        <v>Upsc_Lead_English_South_FB_Video</v>
      </c>
      <c r="Y438" s="124"/>
      <c r="Z438" s="124">
        <f>IFERROR(__xludf.DUMMYFUNCTION("""COMPUTED_VALUE"""),4.0)</f>
        <v>4</v>
      </c>
      <c r="AA438" s="124"/>
      <c r="AB438" s="124"/>
    </row>
    <row r="439">
      <c r="A439" s="126">
        <f>IFERROR(__xludf.DUMMYFUNCTION("""COMPUTED_VALUE"""),46062.0)</f>
        <v>46062</v>
      </c>
      <c r="B439" s="124" t="str">
        <f>IFERROR(__xludf.DUMMYFUNCTION("""COMPUTED_VALUE"""),"Walkin")</f>
        <v>Walkin</v>
      </c>
      <c r="C439" s="124" t="str">
        <f>IFERROR(__xludf.DUMMYFUNCTION("""COMPUTED_VALUE"""),"Lucknow")</f>
        <v>Lucknow</v>
      </c>
      <c r="D439" s="124" t="str">
        <f>IFERROR(__xludf.DUMMYFUNCTION("""COMPUTED_VALUE"""),"Primary_Walkin")</f>
        <v>Primary_Walkin</v>
      </c>
      <c r="E439" s="127">
        <f>IFERROR(__xludf.DUMMYFUNCTION("""COMPUTED_VALUE"""),4.0)</f>
        <v>4</v>
      </c>
      <c r="F439" s="128" t="str">
        <f>IFERROR(__xludf.DUMMYFUNCTION("""COMPUTED_VALUE"""),"Cold")</f>
        <v>Cold</v>
      </c>
      <c r="G439" s="124" t="str">
        <f>IFERROR(__xludf.DUMMYFUNCTION("""COMPUTED_VALUE"""),"IGP UPPSC")</f>
        <v>IGP UPPSC</v>
      </c>
      <c r="K439" s="124"/>
      <c r="L439" s="124"/>
      <c r="M439" s="124"/>
      <c r="N439" s="124"/>
      <c r="O439" s="124"/>
      <c r="T439" s="126">
        <f>IFERROR(__xludf.DUMMYFUNCTION("""COMPUTED_VALUE"""),46043.0)</f>
        <v>46043</v>
      </c>
      <c r="U439" s="124" t="str">
        <f>IFERROR(__xludf.DUMMYFUNCTION("""COMPUTED_VALUE"""),"External Leads")</f>
        <v>External Leads</v>
      </c>
      <c r="V439" s="124" t="str">
        <f>IFERROR(__xludf.DUMMYFUNCTION("""COMPUTED_VALUE"""),"Outbound Call")</f>
        <v>Outbound Call</v>
      </c>
      <c r="W439" s="124" t="str">
        <f>IFERROR(__xludf.DUMMYFUNCTION("""COMPUTED_VALUE"""),"Outbound Call")</f>
        <v>Outbound Call</v>
      </c>
      <c r="X439" s="124" t="str">
        <f>IFERROR(__xludf.DUMMYFUNCTION("""COMPUTED_VALUE"""),"Outbound Call")</f>
        <v>Outbound Call</v>
      </c>
      <c r="Y439" s="124"/>
      <c r="Z439" s="124">
        <f>IFERROR(__xludf.DUMMYFUNCTION("""COMPUTED_VALUE"""),14.0)</f>
        <v>14</v>
      </c>
      <c r="AA439" s="124" t="str">
        <f>IFERROR(__xludf.DUMMYFUNCTION("""COMPUTED_VALUE"""),"Cold")</f>
        <v>Cold</v>
      </c>
      <c r="AB439" s="124"/>
    </row>
    <row r="440">
      <c r="A440" s="126">
        <f>IFERROR(__xludf.DUMMYFUNCTION("""COMPUTED_VALUE"""),46105.0)</f>
        <v>46105</v>
      </c>
      <c r="B440" s="124" t="str">
        <f>IFERROR(__xludf.DUMMYFUNCTION("""COMPUTED_VALUE"""),"events")</f>
        <v>events</v>
      </c>
      <c r="C440" s="124" t="str">
        <f>IFERROR(__xludf.DUMMYFUNCTION("""COMPUTED_VALUE"""),"Indore")</f>
        <v>Indore</v>
      </c>
      <c r="D440" s="124" t="str">
        <f>IFERROR(__xludf.DUMMYFUNCTION("""COMPUTED_VALUE"""),"Secondary_Walkin")</f>
        <v>Secondary_Walkin</v>
      </c>
      <c r="E440" s="127">
        <f>IFERROR(__xludf.DUMMYFUNCTION("""COMPUTED_VALUE"""),1.0)</f>
        <v>1</v>
      </c>
      <c r="F440" s="128" t="str">
        <f>IFERROR(__xludf.DUMMYFUNCTION("""COMPUTED_VALUE"""),"Warm")</f>
        <v>Warm</v>
      </c>
      <c r="G440" s="124" t="str">
        <f>IFERROR(__xludf.DUMMYFUNCTION("""COMPUTED_VALUE"""),"Mentorship")</f>
        <v>Mentorship</v>
      </c>
      <c r="K440" s="124"/>
      <c r="L440" s="124"/>
      <c r="M440" s="124"/>
      <c r="N440" s="124"/>
      <c r="O440" s="124"/>
      <c r="T440" s="126">
        <f>IFERROR(__xludf.DUMMYFUNCTION("""COMPUTED_VALUE"""),46104.0)</f>
        <v>46104</v>
      </c>
      <c r="U440" s="124" t="str">
        <f>IFERROR(__xludf.DUMMYFUNCTION("""COMPUTED_VALUE"""),"Event")</f>
        <v>Event</v>
      </c>
      <c r="V440" s="124" t="str">
        <f>IFERROR(__xludf.DUMMYFUNCTION("""COMPUTED_VALUE"""),"whatsapp")</f>
        <v>whatsapp</v>
      </c>
      <c r="W440" s="124" t="str">
        <f>IFERROR(__xludf.DUMMYFUNCTION("""COMPUTED_VALUE"""),"api")</f>
        <v>api</v>
      </c>
      <c r="X440" s="124" t="str">
        <f>IFERROR(__xludf.DUMMYFUNCTION("""COMPUTED_VALUE"""),"reply")</f>
        <v>reply</v>
      </c>
      <c r="Y440" s="124" t="str">
        <f>IFERROR(__xludf.DUMMYFUNCTION("""COMPUTED_VALUE"""),"Delhi")</f>
        <v>Delhi</v>
      </c>
      <c r="Z440" s="124">
        <f>IFERROR(__xludf.DUMMYFUNCTION("""COMPUTED_VALUE"""),1.0)</f>
        <v>1</v>
      </c>
      <c r="AA440" s="124" t="str">
        <f>IFERROR(__xludf.DUMMYFUNCTION("""COMPUTED_VALUE"""),"Cold")</f>
        <v>Cold</v>
      </c>
      <c r="AB440" s="124"/>
    </row>
    <row r="441">
      <c r="A441" s="129">
        <f>IFERROR(__xludf.DUMMYFUNCTION("""COMPUTED_VALUE"""),46043.0)</f>
        <v>46043</v>
      </c>
      <c r="B441" s="124" t="str">
        <f>IFERROR(__xludf.DUMMYFUNCTION("""COMPUTED_VALUE"""),"Walkin")</f>
        <v>Walkin</v>
      </c>
      <c r="C441" s="124" t="str">
        <f>IFERROR(__xludf.DUMMYFUNCTION("""COMPUTED_VALUE"""),"Indore")</f>
        <v>Indore</v>
      </c>
      <c r="D441" s="124" t="str">
        <f>IFERROR(__xludf.DUMMYFUNCTION("""COMPUTED_VALUE"""),"Primary_Walkin")</f>
        <v>Primary_Walkin</v>
      </c>
      <c r="E441" s="127">
        <f>IFERROR(__xludf.DUMMYFUNCTION("""COMPUTED_VALUE"""),1.0)</f>
        <v>1</v>
      </c>
      <c r="F441" s="128" t="str">
        <f>IFERROR(__xludf.DUMMYFUNCTION("""COMPUTED_VALUE"""),"Not Interested")</f>
        <v>Not Interested</v>
      </c>
      <c r="G441" s="124" t="str">
        <f>IFERROR(__xludf.DUMMYFUNCTION("""COMPUTED_VALUE"""),"State PCS")</f>
        <v>State PCS</v>
      </c>
      <c r="K441" s="124"/>
      <c r="L441" s="124"/>
      <c r="M441" s="124"/>
      <c r="N441" s="124"/>
      <c r="O441" s="124"/>
      <c r="T441" s="126">
        <f>IFERROR(__xludf.DUMMYFUNCTION("""COMPUTED_VALUE"""),46078.0)</f>
        <v>46078</v>
      </c>
      <c r="U441" s="124" t="str">
        <f>IFERROR(__xludf.DUMMYFUNCTION("""COMPUTED_VALUE"""),"Event")</f>
        <v>Event</v>
      </c>
      <c r="V441" s="124" t="str">
        <f>IFERROR(__xludf.DUMMYFUNCTION("""COMPUTED_VALUE"""),"whatsapp")</f>
        <v>whatsapp</v>
      </c>
      <c r="W441" s="124" t="str">
        <f>IFERROR(__xludf.DUMMYFUNCTION("""COMPUTED_VALUE"""),"api")</f>
        <v>api</v>
      </c>
      <c r="X441" s="124" t="str">
        <f>IFERROR(__xludf.DUMMYFUNCTION("""COMPUTED_VALUE"""),"reply")</f>
        <v>reply</v>
      </c>
      <c r="Y441" s="124"/>
      <c r="Z441" s="124">
        <f>IFERROR(__xludf.DUMMYFUNCTION("""COMPUTED_VALUE"""),1.0)</f>
        <v>1</v>
      </c>
      <c r="AA441" s="124" t="str">
        <f>IFERROR(__xludf.DUMMYFUNCTION("""COMPUTED_VALUE"""),"Cold")</f>
        <v>Cold</v>
      </c>
      <c r="AB441" s="124"/>
    </row>
    <row r="442">
      <c r="A442" s="126">
        <f>IFERROR(__xludf.DUMMYFUNCTION("""COMPUTED_VALUE"""),46105.0)</f>
        <v>46105</v>
      </c>
      <c r="B442" s="124" t="str">
        <f>IFERROR(__xludf.DUMMYFUNCTION("""COMPUTED_VALUE"""),"Walkin")</f>
        <v>Walkin</v>
      </c>
      <c r="C442" s="124" t="str">
        <f>IFERROR(__xludf.DUMMYFUNCTION("""COMPUTED_VALUE"""),"Lucknow")</f>
        <v>Lucknow</v>
      </c>
      <c r="D442" s="124" t="str">
        <f>IFERROR(__xludf.DUMMYFUNCTION("""COMPUTED_VALUE"""),"Primary_Walkin")</f>
        <v>Primary_Walkin</v>
      </c>
      <c r="E442" s="127">
        <f>IFERROR(__xludf.DUMMYFUNCTION("""COMPUTED_VALUE"""),3.0)</f>
        <v>3</v>
      </c>
      <c r="F442" s="128" t="str">
        <f>IFERROR(__xludf.DUMMYFUNCTION("""COMPUTED_VALUE"""),"Warm")</f>
        <v>Warm</v>
      </c>
      <c r="G442" s="124" t="str">
        <f>IFERROR(__xludf.DUMMYFUNCTION("""COMPUTED_VALUE"""),"GS Foundation")</f>
        <v>GS Foundation</v>
      </c>
      <c r="K442" s="124"/>
      <c r="L442" s="124"/>
      <c r="M442" s="124"/>
      <c r="N442" s="124"/>
      <c r="O442" s="124"/>
      <c r="T442" s="129">
        <f>IFERROR(__xludf.DUMMYFUNCTION("""COMPUTED_VALUE"""),46067.0)</f>
        <v>46067</v>
      </c>
      <c r="U442" s="124" t="str">
        <f>IFERROR(__xludf.DUMMYFUNCTION("""COMPUTED_VALUE"""),"Event")</f>
        <v>Event</v>
      </c>
      <c r="V442" s="124" t="str">
        <f>IFERROR(__xludf.DUMMYFUNCTION("""COMPUTED_VALUE"""),"whatsapp")</f>
        <v>whatsapp</v>
      </c>
      <c r="W442" s="124" t="str">
        <f>IFERROR(__xludf.DUMMYFUNCTION("""COMPUTED_VALUE"""),"api")</f>
        <v>api</v>
      </c>
      <c r="X442" s="124" t="str">
        <f>IFERROR(__xludf.DUMMYFUNCTION("""COMPUTED_VALUE"""),"reply")</f>
        <v>reply</v>
      </c>
      <c r="Y442" s="124"/>
      <c r="Z442" s="124">
        <f>IFERROR(__xludf.DUMMYFUNCTION("""COMPUTED_VALUE"""),1.0)</f>
        <v>1</v>
      </c>
      <c r="AA442" s="124" t="str">
        <f>IFERROR(__xludf.DUMMYFUNCTION("""COMPUTED_VALUE"""),"Fake Lead")</f>
        <v>Fake Lead</v>
      </c>
      <c r="AB442" s="124"/>
    </row>
    <row r="443">
      <c r="A443" s="126">
        <f>IFERROR(__xludf.DUMMYFUNCTION("""COMPUTED_VALUE"""),46064.0)</f>
        <v>46064</v>
      </c>
      <c r="B443" s="124" t="str">
        <f>IFERROR(__xludf.DUMMYFUNCTION("""COMPUTED_VALUE"""),"Walkin")</f>
        <v>Walkin</v>
      </c>
      <c r="C443" s="124" t="str">
        <f>IFERROR(__xludf.DUMMYFUNCTION("""COMPUTED_VALUE"""),"Indore")</f>
        <v>Indore</v>
      </c>
      <c r="D443" s="124" t="str">
        <f>IFERROR(__xludf.DUMMYFUNCTION("""COMPUTED_VALUE"""),"Primary_Walkin")</f>
        <v>Primary_Walkin</v>
      </c>
      <c r="E443" s="127">
        <f>IFERROR(__xludf.DUMMYFUNCTION("""COMPUTED_VALUE"""),2.0)</f>
        <v>2</v>
      </c>
      <c r="F443" s="128" t="str">
        <f>IFERROR(__xludf.DUMMYFUNCTION("""COMPUTED_VALUE"""),"Enrolled")</f>
        <v>Enrolled</v>
      </c>
      <c r="G443" s="124" t="str">
        <f>IFERROR(__xludf.DUMMYFUNCTION("""COMPUTED_VALUE"""),"GS Foundation")</f>
        <v>GS Foundation</v>
      </c>
      <c r="K443" s="124"/>
      <c r="L443" s="124"/>
      <c r="M443" s="124"/>
      <c r="N443" s="124"/>
      <c r="O443" s="124"/>
      <c r="T443" s="129">
        <f>IFERROR(__xludf.DUMMYFUNCTION("""COMPUTED_VALUE"""),46055.0)</f>
        <v>46055</v>
      </c>
      <c r="U443" s="124" t="str">
        <f>IFERROR(__xludf.DUMMYFUNCTION("""COMPUTED_VALUE"""),"External Leads")</f>
        <v>External Leads</v>
      </c>
      <c r="V443" s="124" t="str">
        <f>IFERROR(__xludf.DUMMYFUNCTION("""COMPUTED_VALUE"""),"Outbound Call")</f>
        <v>Outbound Call</v>
      </c>
      <c r="W443" s="124" t="str">
        <f>IFERROR(__xludf.DUMMYFUNCTION("""COMPUTED_VALUE"""),"Outbound Call")</f>
        <v>Outbound Call</v>
      </c>
      <c r="X443" s="124" t="str">
        <f>IFERROR(__xludf.DUMMYFUNCTION("""COMPUTED_VALUE"""),"Outbound Call")</f>
        <v>Outbound Call</v>
      </c>
      <c r="Y443" s="124"/>
      <c r="Z443" s="124">
        <f>IFERROR(__xludf.DUMMYFUNCTION("""COMPUTED_VALUE"""),6.0)</f>
        <v>6</v>
      </c>
      <c r="AA443" s="124"/>
      <c r="AB443" s="124"/>
    </row>
    <row r="444">
      <c r="A444" s="126">
        <f>IFERROR(__xludf.DUMMYFUNCTION("""COMPUTED_VALUE"""),46056.0)</f>
        <v>46056</v>
      </c>
      <c r="B444" s="124" t="str">
        <f>IFERROR(__xludf.DUMMYFUNCTION("""COMPUTED_VALUE"""),"Walkin")</f>
        <v>Walkin</v>
      </c>
      <c r="C444" s="124" t="str">
        <f>IFERROR(__xludf.DUMMYFUNCTION("""COMPUTED_VALUE"""),"Lucknow")</f>
        <v>Lucknow</v>
      </c>
      <c r="D444" s="124" t="str">
        <f>IFERROR(__xludf.DUMMYFUNCTION("""COMPUTED_VALUE"""),"Primary_Walkin")</f>
        <v>Primary_Walkin</v>
      </c>
      <c r="E444" s="127">
        <f>IFERROR(__xludf.DUMMYFUNCTION("""COMPUTED_VALUE"""),1.0)</f>
        <v>1</v>
      </c>
      <c r="F444" s="128" t="str">
        <f>IFERROR(__xludf.DUMMYFUNCTION("""COMPUTED_VALUE"""),"Cold")</f>
        <v>Cold</v>
      </c>
      <c r="G444" s="124" t="str">
        <f>IFERROR(__xludf.DUMMYFUNCTION("""COMPUTED_VALUE"""),"State PCS")</f>
        <v>State PCS</v>
      </c>
      <c r="K444" s="124"/>
      <c r="L444" s="124"/>
      <c r="M444" s="124"/>
      <c r="N444" s="124"/>
      <c r="O444" s="124"/>
      <c r="T444" s="126">
        <f>IFERROR(__xludf.DUMMYFUNCTION("""COMPUTED_VALUE"""),46095.0)</f>
        <v>46095</v>
      </c>
      <c r="U444" s="124" t="str">
        <f>IFERROR(__xludf.DUMMYFUNCTION("""COMPUTED_VALUE"""),"External Leads")</f>
        <v>External Leads</v>
      </c>
      <c r="V444" s="124" t="str">
        <f>IFERROR(__xludf.DUMMYFUNCTION("""COMPUTED_VALUE"""),"Outbound Call")</f>
        <v>Outbound Call</v>
      </c>
      <c r="W444" s="124" t="str">
        <f>IFERROR(__xludf.DUMMYFUNCTION("""COMPUTED_VALUE"""),"Outbound Call")</f>
        <v>Outbound Call</v>
      </c>
      <c r="X444" s="124" t="str">
        <f>IFERROR(__xludf.DUMMYFUNCTION("""COMPUTED_VALUE"""),"Outbound Call")</f>
        <v>Outbound Call</v>
      </c>
      <c r="Y444" s="124"/>
      <c r="Z444" s="124">
        <f>IFERROR(__xludf.DUMMYFUNCTION("""COMPUTED_VALUE"""),14.0)</f>
        <v>14</v>
      </c>
      <c r="AA444" s="124"/>
      <c r="AB444" s="124"/>
    </row>
    <row r="445">
      <c r="A445" s="126">
        <f>IFERROR(__xludf.DUMMYFUNCTION("""COMPUTED_VALUE"""),46066.0)</f>
        <v>46066</v>
      </c>
      <c r="B445" s="124" t="str">
        <f>IFERROR(__xludf.DUMMYFUNCTION("""COMPUTED_VALUE"""),"Walkin")</f>
        <v>Walkin</v>
      </c>
      <c r="C445" s="124" t="str">
        <f>IFERROR(__xludf.DUMMYFUNCTION("""COMPUTED_VALUE"""),"Lucknow")</f>
        <v>Lucknow</v>
      </c>
      <c r="D445" s="124" t="str">
        <f>IFERROR(__xludf.DUMMYFUNCTION("""COMPUTED_VALUE"""),"Primary_Walkin")</f>
        <v>Primary_Walkin</v>
      </c>
      <c r="E445" s="127">
        <f>IFERROR(__xludf.DUMMYFUNCTION("""COMPUTED_VALUE"""),1.0)</f>
        <v>1</v>
      </c>
      <c r="F445" s="128" t="str">
        <f>IFERROR(__xludf.DUMMYFUNCTION("""COMPUTED_VALUE"""),"Enrolled")</f>
        <v>Enrolled</v>
      </c>
      <c r="G445" s="124" t="str">
        <f>IFERROR(__xludf.DUMMYFUNCTION("""COMPUTED_VALUE"""),"GS Foundation")</f>
        <v>GS Foundation</v>
      </c>
      <c r="K445" s="124"/>
      <c r="L445" s="124"/>
      <c r="M445" s="124"/>
      <c r="N445" s="124"/>
      <c r="O445" s="124"/>
      <c r="T445" s="126">
        <f>IFERROR(__xludf.DUMMYFUNCTION("""COMPUTED_VALUE"""),46093.0)</f>
        <v>46093</v>
      </c>
      <c r="U445" s="124" t="str">
        <f>IFERROR(__xludf.DUMMYFUNCTION("""COMPUTED_VALUE"""),"External Leads")</f>
        <v>External Leads</v>
      </c>
      <c r="V445" s="124" t="str">
        <f>IFERROR(__xludf.DUMMYFUNCTION("""COMPUTED_VALUE"""),"Outbound Call")</f>
        <v>Outbound Call</v>
      </c>
      <c r="W445" s="124" t="str">
        <f>IFERROR(__xludf.DUMMYFUNCTION("""COMPUTED_VALUE"""),"Outbound Call")</f>
        <v>Outbound Call</v>
      </c>
      <c r="X445" s="124" t="str">
        <f>IFERROR(__xludf.DUMMYFUNCTION("""COMPUTED_VALUE"""),"Outbound Call")</f>
        <v>Outbound Call</v>
      </c>
      <c r="Y445" s="124"/>
      <c r="Z445" s="124">
        <f>IFERROR(__xludf.DUMMYFUNCTION("""COMPUTED_VALUE"""),22.0)</f>
        <v>22</v>
      </c>
      <c r="AA445" s="124"/>
      <c r="AB445" s="124"/>
    </row>
    <row r="446">
      <c r="A446" s="126">
        <f>IFERROR(__xludf.DUMMYFUNCTION("""COMPUTED_VALUE"""),46060.0)</f>
        <v>46060</v>
      </c>
      <c r="B446" s="124" t="str">
        <f>IFERROR(__xludf.DUMMYFUNCTION("""COMPUTED_VALUE"""),"Walkin")</f>
        <v>Walkin</v>
      </c>
      <c r="C446" s="124" t="str">
        <f>IFERROR(__xludf.DUMMYFUNCTION("""COMPUTED_VALUE"""),"Lucknow")</f>
        <v>Lucknow</v>
      </c>
      <c r="D446" s="124" t="str">
        <f>IFERROR(__xludf.DUMMYFUNCTION("""COMPUTED_VALUE"""),"Primary_Walkin")</f>
        <v>Primary_Walkin</v>
      </c>
      <c r="E446" s="127">
        <f>IFERROR(__xludf.DUMMYFUNCTION("""COMPUTED_VALUE"""),1.0)</f>
        <v>1</v>
      </c>
      <c r="F446" s="128" t="str">
        <f>IFERROR(__xludf.DUMMYFUNCTION("""COMPUTED_VALUE"""),"Enrolled")</f>
        <v>Enrolled</v>
      </c>
      <c r="G446" s="124" t="str">
        <f>IFERROR(__xludf.DUMMYFUNCTION("""COMPUTED_VALUE"""),"GS Foundation")</f>
        <v>GS Foundation</v>
      </c>
      <c r="K446" s="124"/>
      <c r="L446" s="124"/>
      <c r="M446" s="124"/>
      <c r="N446" s="124"/>
      <c r="O446" s="124"/>
      <c r="T446" s="126">
        <f>IFERROR(__xludf.DUMMYFUNCTION("""COMPUTED_VALUE"""),46085.0)</f>
        <v>46085</v>
      </c>
      <c r="U446" s="124" t="str">
        <f>IFERROR(__xludf.DUMMYFUNCTION("""COMPUTED_VALUE"""),"Event")</f>
        <v>Event</v>
      </c>
      <c r="V446" s="124" t="str">
        <f>IFERROR(__xludf.DUMMYFUNCTION("""COMPUTED_VALUE"""),"whatsapp")</f>
        <v>whatsapp</v>
      </c>
      <c r="W446" s="124" t="str">
        <f>IFERROR(__xludf.DUMMYFUNCTION("""COMPUTED_VALUE"""),"api")</f>
        <v>api</v>
      </c>
      <c r="X446" s="124" t="str">
        <f>IFERROR(__xludf.DUMMYFUNCTION("""COMPUTED_VALUE"""),"reply")</f>
        <v>reply</v>
      </c>
      <c r="Y446" s="124"/>
      <c r="Z446" s="124">
        <f>IFERROR(__xludf.DUMMYFUNCTION("""COMPUTED_VALUE"""),1.0)</f>
        <v>1</v>
      </c>
      <c r="AA446" s="124" t="str">
        <f>IFERROR(__xludf.DUMMYFUNCTION("""COMPUTED_VALUE"""),"Not Interested")</f>
        <v>Not Interested</v>
      </c>
      <c r="AB446" s="124"/>
    </row>
    <row r="447">
      <c r="A447" s="129">
        <f>IFERROR(__xludf.DUMMYFUNCTION("""COMPUTED_VALUE"""),46100.0)</f>
        <v>46100</v>
      </c>
      <c r="B447" s="124" t="str">
        <f>IFERROR(__xludf.DUMMYFUNCTION("""COMPUTED_VALUE"""),"Walkin")</f>
        <v>Walkin</v>
      </c>
      <c r="C447" s="124" t="str">
        <f>IFERROR(__xludf.DUMMYFUNCTION("""COMPUTED_VALUE"""),"Lucknow")</f>
        <v>Lucknow</v>
      </c>
      <c r="D447" s="124" t="str">
        <f>IFERROR(__xludf.DUMMYFUNCTION("""COMPUTED_VALUE"""),"Primary_Walkin")</f>
        <v>Primary_Walkin</v>
      </c>
      <c r="E447" s="127">
        <f>IFERROR(__xludf.DUMMYFUNCTION("""COMPUTED_VALUE"""),1.0)</f>
        <v>1</v>
      </c>
      <c r="F447" s="128" t="str">
        <f>IFERROR(__xludf.DUMMYFUNCTION("""COMPUTED_VALUE"""),"Cold")</f>
        <v>Cold</v>
      </c>
      <c r="G447" s="124" t="str">
        <f>IFERROR(__xludf.DUMMYFUNCTION("""COMPUTED_VALUE"""),"GS Foundation")</f>
        <v>GS Foundation</v>
      </c>
      <c r="K447" s="124"/>
      <c r="L447" s="124"/>
      <c r="M447" s="124"/>
      <c r="N447" s="124"/>
      <c r="O447" s="124"/>
      <c r="T447" s="126">
        <f>IFERROR(__xludf.DUMMYFUNCTION("""COMPUTED_VALUE"""),46044.0)</f>
        <v>46044</v>
      </c>
      <c r="U447" s="124" t="str">
        <f>IFERROR(__xludf.DUMMYFUNCTION("""COMPUTED_VALUE"""),"External Leads")</f>
        <v>External Leads</v>
      </c>
      <c r="V447" s="124" t="str">
        <f>IFERROR(__xludf.DUMMYFUNCTION("""COMPUTED_VALUE"""),"Outbound Call")</f>
        <v>Outbound Call</v>
      </c>
      <c r="W447" s="124" t="str">
        <f>IFERROR(__xludf.DUMMYFUNCTION("""COMPUTED_VALUE"""),"Outbound Call")</f>
        <v>Outbound Call</v>
      </c>
      <c r="X447" s="124" t="str">
        <f>IFERROR(__xludf.DUMMYFUNCTION("""COMPUTED_VALUE"""),"Outbound Call")</f>
        <v>Outbound Call</v>
      </c>
      <c r="Y447" s="124"/>
      <c r="Z447" s="124">
        <f>IFERROR(__xludf.DUMMYFUNCTION("""COMPUTED_VALUE"""),7.0)</f>
        <v>7</v>
      </c>
      <c r="AA447" s="124" t="str">
        <f>IFERROR(__xludf.DUMMYFUNCTION("""COMPUTED_VALUE"""),"Cold")</f>
        <v>Cold</v>
      </c>
      <c r="AB447" s="124"/>
    </row>
    <row r="448">
      <c r="A448" s="129">
        <f>IFERROR(__xludf.DUMMYFUNCTION("""COMPUTED_VALUE"""),46092.0)</f>
        <v>46092</v>
      </c>
      <c r="B448" s="124" t="str">
        <f>IFERROR(__xludf.DUMMYFUNCTION("""COMPUTED_VALUE"""),"Walkin")</f>
        <v>Walkin</v>
      </c>
      <c r="C448" s="124" t="str">
        <f>IFERROR(__xludf.DUMMYFUNCTION("""COMPUTED_VALUE"""),"Lucknow")</f>
        <v>Lucknow</v>
      </c>
      <c r="D448" s="124" t="str">
        <f>IFERROR(__xludf.DUMMYFUNCTION("""COMPUTED_VALUE"""),"Primary_Walkin")</f>
        <v>Primary_Walkin</v>
      </c>
      <c r="E448" s="127">
        <f>IFERROR(__xludf.DUMMYFUNCTION("""COMPUTED_VALUE"""),1.0)</f>
        <v>1</v>
      </c>
      <c r="F448" s="128" t="str">
        <f>IFERROR(__xludf.DUMMYFUNCTION("""COMPUTED_VALUE"""),"Enrolled")</f>
        <v>Enrolled</v>
      </c>
      <c r="G448" s="124" t="str">
        <f>IFERROR(__xludf.DUMMYFUNCTION("""COMPUTED_VALUE"""),"GS Foundation")</f>
        <v>GS Foundation</v>
      </c>
      <c r="K448" s="124"/>
      <c r="L448" s="124"/>
      <c r="M448" s="124"/>
      <c r="N448" s="124"/>
      <c r="O448" s="124"/>
      <c r="T448" s="126">
        <f>IFERROR(__xludf.DUMMYFUNCTION("""COMPUTED_VALUE"""),46105.0)</f>
        <v>46105</v>
      </c>
      <c r="U448" s="124" t="str">
        <f>IFERROR(__xludf.DUMMYFUNCTION("""COMPUTED_VALUE"""),"Paid Ads")</f>
        <v>Paid Ads</v>
      </c>
      <c r="V448" s="124" t="str">
        <f>IFERROR(__xludf.DUMMYFUNCTION("""COMPUTED_VALUE"""),"Facebook")</f>
        <v>Facebook</v>
      </c>
      <c r="W448" s="124" t="str">
        <f>IFERROR(__xludf.DUMMYFUNCTION("""COMPUTED_VALUE"""),"LeadAd")</f>
        <v>LeadAd</v>
      </c>
      <c r="X448" s="124" t="str">
        <f>IFERROR(__xludf.DUMMYFUNCTION("""COMPUTED_VALUE"""),"Upsc_Lead_English_South_FB_Video")</f>
        <v>Upsc_Lead_English_South_FB_Video</v>
      </c>
      <c r="Y448" s="124"/>
      <c r="Z448" s="124">
        <f>IFERROR(__xludf.DUMMYFUNCTION("""COMPUTED_VALUE"""),7.0)</f>
        <v>7</v>
      </c>
      <c r="AA448" s="124"/>
      <c r="AB448" s="124"/>
    </row>
    <row r="449">
      <c r="A449" s="126">
        <f>IFERROR(__xludf.DUMMYFUNCTION("""COMPUTED_VALUE"""),46065.0)</f>
        <v>46065</v>
      </c>
      <c r="B449" s="124" t="str">
        <f>IFERROR(__xludf.DUMMYFUNCTION("""COMPUTED_VALUE"""),"Walkin")</f>
        <v>Walkin</v>
      </c>
      <c r="C449" s="124" t="str">
        <f>IFERROR(__xludf.DUMMYFUNCTION("""COMPUTED_VALUE"""),"Indore")</f>
        <v>Indore</v>
      </c>
      <c r="D449" s="124" t="str">
        <f>IFERROR(__xludf.DUMMYFUNCTION("""COMPUTED_VALUE"""),"Primary_Walkin")</f>
        <v>Primary_Walkin</v>
      </c>
      <c r="E449" s="127">
        <f>IFERROR(__xludf.DUMMYFUNCTION("""COMPUTED_VALUE"""),1.0)</f>
        <v>1</v>
      </c>
      <c r="F449" s="128" t="str">
        <f>IFERROR(__xludf.DUMMYFUNCTION("""COMPUTED_VALUE"""),"Not Interested")</f>
        <v>Not Interested</v>
      </c>
      <c r="G449" s="124" t="str">
        <f>IFERROR(__xludf.DUMMYFUNCTION("""COMPUTED_VALUE"""),"GS Foundation")</f>
        <v>GS Foundation</v>
      </c>
      <c r="K449" s="124"/>
      <c r="L449" s="124"/>
      <c r="M449" s="124"/>
      <c r="N449" s="124"/>
      <c r="O449" s="124"/>
      <c r="T449" s="126">
        <f>IFERROR(__xludf.DUMMYFUNCTION("""COMPUTED_VALUE"""),46051.0)</f>
        <v>46051</v>
      </c>
      <c r="U449" s="124" t="str">
        <f>IFERROR(__xludf.DUMMYFUNCTION("""COMPUTED_VALUE"""),"Event")</f>
        <v>Event</v>
      </c>
      <c r="V449" s="124" t="str">
        <f>IFERROR(__xludf.DUMMYFUNCTION("""COMPUTED_VALUE"""),"whatsapp")</f>
        <v>whatsapp</v>
      </c>
      <c r="W449" s="124" t="str">
        <f>IFERROR(__xludf.DUMMYFUNCTION("""COMPUTED_VALUE"""),"api")</f>
        <v>api</v>
      </c>
      <c r="X449" s="124" t="str">
        <f>IFERROR(__xludf.DUMMYFUNCTION("""COMPUTED_VALUE"""),"reply")</f>
        <v>reply</v>
      </c>
      <c r="Y449" s="124"/>
      <c r="Z449" s="124">
        <f>IFERROR(__xludf.DUMMYFUNCTION("""COMPUTED_VALUE"""),1.0)</f>
        <v>1</v>
      </c>
      <c r="AA449" s="124" t="str">
        <f>IFERROR(__xludf.DUMMYFUNCTION("""COMPUTED_VALUE"""),"Fake Lead")</f>
        <v>Fake Lead</v>
      </c>
      <c r="AB449" s="124"/>
    </row>
    <row r="450">
      <c r="A450" s="126">
        <f>IFERROR(__xludf.DUMMYFUNCTION("""COMPUTED_VALUE"""),46098.0)</f>
        <v>46098</v>
      </c>
      <c r="B450" s="124" t="str">
        <f>IFERROR(__xludf.DUMMYFUNCTION("""COMPUTED_VALUE"""),"walk-in")</f>
        <v>walk-in</v>
      </c>
      <c r="C450" s="124" t="str">
        <f>IFERROR(__xludf.DUMMYFUNCTION("""COMPUTED_VALUE"""),"Indore")</f>
        <v>Indore</v>
      </c>
      <c r="D450" s="124" t="str">
        <f>IFERROR(__xludf.DUMMYFUNCTION("""COMPUTED_VALUE"""),"Primary_Walkin")</f>
        <v>Primary_Walkin</v>
      </c>
      <c r="E450" s="127">
        <f>IFERROR(__xludf.DUMMYFUNCTION("""COMPUTED_VALUE"""),1.0)</f>
        <v>1</v>
      </c>
      <c r="F450" s="128" t="str">
        <f>IFERROR(__xludf.DUMMYFUNCTION("""COMPUTED_VALUE"""),"Warm")</f>
        <v>Warm</v>
      </c>
      <c r="G450" s="124" t="str">
        <f>IFERROR(__xludf.DUMMYFUNCTION("""COMPUTED_VALUE"""),"State PCS")</f>
        <v>State PCS</v>
      </c>
      <c r="K450" s="124"/>
      <c r="L450" s="124"/>
      <c r="M450" s="124"/>
      <c r="N450" s="124"/>
      <c r="O450" s="124"/>
      <c r="T450" s="126">
        <f>IFERROR(__xludf.DUMMYFUNCTION("""COMPUTED_VALUE"""),46107.0)</f>
        <v>46107</v>
      </c>
      <c r="U450" s="124" t="str">
        <f>IFERROR(__xludf.DUMMYFUNCTION("""COMPUTED_VALUE"""),"Paid Ads")</f>
        <v>Paid Ads</v>
      </c>
      <c r="V450" s="124" t="str">
        <f>IFERROR(__xludf.DUMMYFUNCTION("""COMPUTED_VALUE"""),"Facebook")</f>
        <v>Facebook</v>
      </c>
      <c r="W450" s="124" t="str">
        <f>IFERROR(__xludf.DUMMYFUNCTION("""COMPUTED_VALUE"""),"LeadAd")</f>
        <v>LeadAd</v>
      </c>
      <c r="X450" s="124" t="str">
        <f>IFERROR(__xludf.DUMMYFUNCTION("""COMPUTED_VALUE"""),"Upsc_Lead_English_South_FB_Video")</f>
        <v>Upsc_Lead_English_South_FB_Video</v>
      </c>
      <c r="Y450" s="124"/>
      <c r="Z450" s="124">
        <f>IFERROR(__xludf.DUMMYFUNCTION("""COMPUTED_VALUE"""),2.0)</f>
        <v>2</v>
      </c>
      <c r="AA450" s="124"/>
      <c r="AB450" s="124"/>
    </row>
    <row r="451">
      <c r="A451" s="126">
        <f>IFERROR(__xludf.DUMMYFUNCTION("""COMPUTED_VALUE"""),46103.0)</f>
        <v>46103</v>
      </c>
      <c r="B451" s="124" t="str">
        <f>IFERROR(__xludf.DUMMYFUNCTION("""COMPUTED_VALUE"""),"Walkin")</f>
        <v>Walkin</v>
      </c>
      <c r="C451" s="124" t="str">
        <f>IFERROR(__xludf.DUMMYFUNCTION("""COMPUTED_VALUE"""),"Lucknow")</f>
        <v>Lucknow</v>
      </c>
      <c r="D451" s="124" t="str">
        <f>IFERROR(__xludf.DUMMYFUNCTION("""COMPUTED_VALUE"""),"Primary_Walkin")</f>
        <v>Primary_Walkin</v>
      </c>
      <c r="E451" s="127">
        <f>IFERROR(__xludf.DUMMYFUNCTION("""COMPUTED_VALUE"""),1.0)</f>
        <v>1</v>
      </c>
      <c r="F451" s="128" t="str">
        <f>IFERROR(__xludf.DUMMYFUNCTION("""COMPUTED_VALUE"""),"Warm")</f>
        <v>Warm</v>
      </c>
      <c r="G451" s="124" t="str">
        <f>IFERROR(__xludf.DUMMYFUNCTION("""COMPUTED_VALUE"""),"Hybrid")</f>
        <v>Hybrid</v>
      </c>
      <c r="K451" s="124"/>
      <c r="L451" s="124"/>
      <c r="M451" s="124"/>
      <c r="N451" s="124"/>
      <c r="O451" s="124"/>
      <c r="T451" s="129">
        <f>IFERROR(__xludf.DUMMYFUNCTION("""COMPUTED_VALUE"""),46104.0)</f>
        <v>46104</v>
      </c>
      <c r="U451" s="124" t="str">
        <f>IFERROR(__xludf.DUMMYFUNCTION("""COMPUTED_VALUE"""),"External Leads")</f>
        <v>External Leads</v>
      </c>
      <c r="V451" s="124" t="str">
        <f>IFERROR(__xludf.DUMMYFUNCTION("""COMPUTED_VALUE"""),"external leads")</f>
        <v>external leads</v>
      </c>
      <c r="W451" s="124" t="str">
        <f>IFERROR(__xludf.DUMMYFUNCTION("""COMPUTED_VALUE"""),"lucknow")</f>
        <v>lucknow</v>
      </c>
      <c r="X451" s="124" t="str">
        <f>IFERROR(__xludf.DUMMYFUNCTION("""COMPUTED_VALUE"""),"libraries")</f>
        <v>libraries</v>
      </c>
      <c r="Y451" s="124" t="str">
        <f>IFERROR(__xludf.DUMMYFUNCTION("""COMPUTED_VALUE"""),"Lucknow")</f>
        <v>Lucknow</v>
      </c>
      <c r="Z451" s="124">
        <f>IFERROR(__xludf.DUMMYFUNCTION("""COMPUTED_VALUE"""),359.0)</f>
        <v>359</v>
      </c>
      <c r="AA451" s="124"/>
      <c r="AB451" s="124"/>
    </row>
    <row r="452">
      <c r="A452" s="126">
        <f>IFERROR(__xludf.DUMMYFUNCTION("""COMPUTED_VALUE"""),46052.0)</f>
        <v>46052</v>
      </c>
      <c r="B452" s="124" t="str">
        <f>IFERROR(__xludf.DUMMYFUNCTION("""COMPUTED_VALUE"""),"Inbound Call")</f>
        <v>Inbound Call</v>
      </c>
      <c r="C452" s="124" t="str">
        <f>IFERROR(__xludf.DUMMYFUNCTION("""COMPUTED_VALUE"""),"Indore")</f>
        <v>Indore</v>
      </c>
      <c r="D452" s="124" t="str">
        <f>IFERROR(__xludf.DUMMYFUNCTION("""COMPUTED_VALUE"""),"Secondary_Walkin")</f>
        <v>Secondary_Walkin</v>
      </c>
      <c r="E452" s="127">
        <f>IFERROR(__xludf.DUMMYFUNCTION("""COMPUTED_VALUE"""),1.0)</f>
        <v>1</v>
      </c>
      <c r="F452" s="128" t="str">
        <f>IFERROR(__xludf.DUMMYFUNCTION("""COMPUTED_VALUE"""),"Future Prospects")</f>
        <v>Future Prospects</v>
      </c>
      <c r="G452" s="124" t="str">
        <f>IFERROR(__xludf.DUMMYFUNCTION("""COMPUTED_VALUE"""),"GS Foundation")</f>
        <v>GS Foundation</v>
      </c>
      <c r="K452" s="124"/>
      <c r="L452" s="124"/>
      <c r="M452" s="124"/>
      <c r="N452" s="124"/>
      <c r="O452" s="124"/>
      <c r="T452" s="126">
        <f>IFERROR(__xludf.DUMMYFUNCTION("""COMPUTED_VALUE"""),46059.0)</f>
        <v>46059</v>
      </c>
      <c r="U452" s="124" t="str">
        <f>IFERROR(__xludf.DUMMYFUNCTION("""COMPUTED_VALUE"""),"External Leads")</f>
        <v>External Leads</v>
      </c>
      <c r="V452" s="124" t="str">
        <f>IFERROR(__xludf.DUMMYFUNCTION("""COMPUTED_VALUE"""),"external leads")</f>
        <v>external leads</v>
      </c>
      <c r="W452" s="124" t="str">
        <f>IFERROR(__xludf.DUMMYFUNCTION("""COMPUTED_VALUE"""),"lucknow")</f>
        <v>lucknow</v>
      </c>
      <c r="X452" s="124" t="str">
        <f>IFERROR(__xludf.DUMMYFUNCTION("""COMPUTED_VALUE"""),"library")</f>
        <v>library</v>
      </c>
      <c r="Y452" s="124" t="str">
        <f>IFERROR(__xludf.DUMMYFUNCTION("""COMPUTED_VALUE"""),"Lucknow")</f>
        <v>Lucknow</v>
      </c>
      <c r="Z452" s="124">
        <f>IFERROR(__xludf.DUMMYFUNCTION("""COMPUTED_VALUE"""),374.0)</f>
        <v>374</v>
      </c>
      <c r="AA452" s="124" t="str">
        <f>IFERROR(__xludf.DUMMYFUNCTION("""COMPUTED_VALUE"""),"Cold")</f>
        <v>Cold</v>
      </c>
      <c r="AB452" s="124"/>
    </row>
    <row r="453">
      <c r="A453" s="126">
        <f>IFERROR(__xludf.DUMMYFUNCTION("""COMPUTED_VALUE"""),46093.0)</f>
        <v>46093</v>
      </c>
      <c r="B453" s="124" t="str">
        <f>IFERROR(__xludf.DUMMYFUNCTION("""COMPUTED_VALUE"""),"Walkin")</f>
        <v>Walkin</v>
      </c>
      <c r="C453" s="124" t="str">
        <f>IFERROR(__xludf.DUMMYFUNCTION("""COMPUTED_VALUE"""),"Indore")</f>
        <v>Indore</v>
      </c>
      <c r="D453" s="124" t="str">
        <f>IFERROR(__xludf.DUMMYFUNCTION("""COMPUTED_VALUE"""),"Primary_Walkin")</f>
        <v>Primary_Walkin</v>
      </c>
      <c r="E453" s="127">
        <f>IFERROR(__xludf.DUMMYFUNCTION("""COMPUTED_VALUE"""),2.0)</f>
        <v>2</v>
      </c>
      <c r="F453" s="128" t="str">
        <f>IFERROR(__xludf.DUMMYFUNCTION("""COMPUTED_VALUE"""),"Future Prospects")</f>
        <v>Future Prospects</v>
      </c>
      <c r="G453" s="124" t="str">
        <f>IFERROR(__xludf.DUMMYFUNCTION("""COMPUTED_VALUE"""),"GS Foundation")</f>
        <v>GS Foundation</v>
      </c>
      <c r="K453" s="124"/>
      <c r="L453" s="124"/>
      <c r="M453" s="124"/>
      <c r="N453" s="124"/>
      <c r="O453" s="124"/>
      <c r="T453" s="126">
        <f>IFERROR(__xludf.DUMMYFUNCTION("""COMPUTED_VALUE"""),46078.0)</f>
        <v>46078</v>
      </c>
      <c r="U453" s="124" t="str">
        <f>IFERROR(__xludf.DUMMYFUNCTION("""COMPUTED_VALUE"""),"Event")</f>
        <v>Event</v>
      </c>
      <c r="V453" s="124" t="str">
        <f>IFERROR(__xludf.DUMMYFUNCTION("""COMPUTED_VALUE"""),"Events")</f>
        <v>Events</v>
      </c>
      <c r="W453" s="124" t="str">
        <f>IFERROR(__xludf.DUMMYFUNCTION("""COMPUTED_VALUE"""),"All Centre")</f>
        <v>All Centre</v>
      </c>
      <c r="X453" s="124" t="str">
        <f>IFERROR(__xludf.DUMMYFUNCTION("""COMPUTED_VALUE"""),"Generic")</f>
        <v>Generic</v>
      </c>
      <c r="Y453" s="124" t="str">
        <f>IFERROR(__xludf.DUMMYFUNCTION("""COMPUTED_VALUE"""),"Delhi")</f>
        <v>Delhi</v>
      </c>
      <c r="Z453" s="124">
        <f>IFERROR(__xludf.DUMMYFUNCTION("""COMPUTED_VALUE"""),7.0)</f>
        <v>7</v>
      </c>
      <c r="AA453" s="124" t="str">
        <f>IFERROR(__xludf.DUMMYFUNCTION("""COMPUTED_VALUE"""),"Warm")</f>
        <v>Warm</v>
      </c>
      <c r="AB453" s="124" t="str">
        <f>IFERROR(__xludf.DUMMYFUNCTION("""COMPUTED_VALUE"""),"GS Advanced")</f>
        <v>GS Advanced</v>
      </c>
    </row>
    <row r="454">
      <c r="A454" s="126">
        <f>IFERROR(__xludf.DUMMYFUNCTION("""COMPUTED_VALUE"""),46072.0)</f>
        <v>46072</v>
      </c>
      <c r="B454" s="124" t="str">
        <f>IFERROR(__xludf.DUMMYFUNCTION("""COMPUTED_VALUE"""),"Walkin")</f>
        <v>Walkin</v>
      </c>
      <c r="C454" s="124" t="str">
        <f>IFERROR(__xludf.DUMMYFUNCTION("""COMPUTED_VALUE"""),"Indore")</f>
        <v>Indore</v>
      </c>
      <c r="D454" s="124" t="str">
        <f>IFERROR(__xludf.DUMMYFUNCTION("""COMPUTED_VALUE"""),"Primary_Walkin")</f>
        <v>Primary_Walkin</v>
      </c>
      <c r="E454" s="127">
        <f>IFERROR(__xludf.DUMMYFUNCTION("""COMPUTED_VALUE"""),2.0)</f>
        <v>2</v>
      </c>
      <c r="F454" s="128" t="str">
        <f>IFERROR(__xludf.DUMMYFUNCTION("""COMPUTED_VALUE"""),"Future Prospects")</f>
        <v>Future Prospects</v>
      </c>
      <c r="G454" s="124" t="str">
        <f>IFERROR(__xludf.DUMMYFUNCTION("""COMPUTED_VALUE"""),"State PCS")</f>
        <v>State PCS</v>
      </c>
      <c r="K454" s="124"/>
      <c r="L454" s="124"/>
      <c r="M454" s="124"/>
      <c r="N454" s="124"/>
      <c r="O454" s="124"/>
      <c r="T454" s="126">
        <f>IFERROR(__xludf.DUMMYFUNCTION("""COMPUTED_VALUE"""),46056.0)</f>
        <v>46056</v>
      </c>
      <c r="U454" s="124" t="str">
        <f>IFERROR(__xludf.DUMMYFUNCTION("""COMPUTED_VALUE"""),"External Leads")</f>
        <v>External Leads</v>
      </c>
      <c r="V454" s="124" t="str">
        <f>IFERROR(__xludf.DUMMYFUNCTION("""COMPUTED_VALUE"""),"external leads")</f>
        <v>external leads</v>
      </c>
      <c r="W454" s="124" t="str">
        <f>IFERROR(__xludf.DUMMYFUNCTION("""COMPUTED_VALUE"""),"lucknow")</f>
        <v>lucknow</v>
      </c>
      <c r="X454" s="124" t="str">
        <f>IFERROR(__xludf.DUMMYFUNCTION("""COMPUTED_VALUE"""),"library")</f>
        <v>library</v>
      </c>
      <c r="Y454" s="124" t="str">
        <f>IFERROR(__xludf.DUMMYFUNCTION("""COMPUTED_VALUE"""),"Lucknow")</f>
        <v>Lucknow</v>
      </c>
      <c r="Z454" s="124">
        <f>IFERROR(__xludf.DUMMYFUNCTION("""COMPUTED_VALUE"""),134.0)</f>
        <v>134</v>
      </c>
      <c r="AA454" s="124"/>
      <c r="AB454" s="124"/>
    </row>
    <row r="455">
      <c r="A455" s="126">
        <f>IFERROR(__xludf.DUMMYFUNCTION("""COMPUTED_VALUE"""),46098.0)</f>
        <v>46098</v>
      </c>
      <c r="B455" s="124" t="str">
        <f>IFERROR(__xludf.DUMMYFUNCTION("""COMPUTED_VALUE"""),"Walkin")</f>
        <v>Walkin</v>
      </c>
      <c r="C455" s="124" t="str">
        <f>IFERROR(__xludf.DUMMYFUNCTION("""COMPUTED_VALUE"""),"Indore")</f>
        <v>Indore</v>
      </c>
      <c r="D455" s="124" t="str">
        <f>IFERROR(__xludf.DUMMYFUNCTION("""COMPUTED_VALUE"""),"Primary_Walkin")</f>
        <v>Primary_Walkin</v>
      </c>
      <c r="E455" s="127">
        <f>IFERROR(__xludf.DUMMYFUNCTION("""COMPUTED_VALUE"""),1.0)</f>
        <v>1</v>
      </c>
      <c r="F455" s="128" t="str">
        <f>IFERROR(__xludf.DUMMYFUNCTION("""COMPUTED_VALUE"""),"Cold")</f>
        <v>Cold</v>
      </c>
      <c r="G455" s="124" t="str">
        <f>IFERROR(__xludf.DUMMYFUNCTION("""COMPUTED_VALUE"""),"Other")</f>
        <v>Other</v>
      </c>
      <c r="K455" s="124"/>
      <c r="L455" s="124"/>
      <c r="M455" s="124"/>
      <c r="N455" s="124"/>
      <c r="O455" s="124"/>
      <c r="T455" s="126">
        <f>IFERROR(__xludf.DUMMYFUNCTION("""COMPUTED_VALUE"""),46098.0)</f>
        <v>46098</v>
      </c>
      <c r="U455" s="124" t="str">
        <f>IFERROR(__xludf.DUMMYFUNCTION("""COMPUTED_VALUE"""),"Event")</f>
        <v>Event</v>
      </c>
      <c r="V455" s="124" t="str">
        <f>IFERROR(__xludf.DUMMYFUNCTION("""COMPUTED_VALUE"""),"Events")</f>
        <v>Events</v>
      </c>
      <c r="W455" s="124" t="str">
        <f>IFERROR(__xludf.DUMMYFUNCTION("""COMPUTED_VALUE"""),"All Centre")</f>
        <v>All Centre</v>
      </c>
      <c r="X455" s="124" t="str">
        <f>IFERROR(__xludf.DUMMYFUNCTION("""COMPUTED_VALUE"""),"Generic")</f>
        <v>Generic</v>
      </c>
      <c r="Y455" s="124" t="str">
        <f>IFERROR(__xludf.DUMMYFUNCTION("""COMPUTED_VALUE"""),"Delhi")</f>
        <v>Delhi</v>
      </c>
      <c r="Z455" s="124">
        <f>IFERROR(__xludf.DUMMYFUNCTION("""COMPUTED_VALUE"""),71.0)</f>
        <v>71</v>
      </c>
      <c r="AA455" s="124" t="str">
        <f>IFERROR(__xludf.DUMMYFUNCTION("""COMPUTED_VALUE"""),"Cold")</f>
        <v>Cold</v>
      </c>
      <c r="AB455" s="124" t="str">
        <f>IFERROR(__xludf.DUMMYFUNCTION("""COMPUTED_VALUE"""),"GS Foundation")</f>
        <v>GS Foundation</v>
      </c>
    </row>
    <row r="456">
      <c r="A456" s="129">
        <f>IFERROR(__xludf.DUMMYFUNCTION("""COMPUTED_VALUE"""),46066.0)</f>
        <v>46066</v>
      </c>
      <c r="B456" s="124" t="str">
        <f>IFERROR(__xludf.DUMMYFUNCTION("""COMPUTED_VALUE"""),"Walkin")</f>
        <v>Walkin</v>
      </c>
      <c r="C456" s="124" t="str">
        <f>IFERROR(__xludf.DUMMYFUNCTION("""COMPUTED_VALUE"""),"Indore")</f>
        <v>Indore</v>
      </c>
      <c r="D456" s="124" t="str">
        <f>IFERROR(__xludf.DUMMYFUNCTION("""COMPUTED_VALUE"""),"Primary_Walkin")</f>
        <v>Primary_Walkin</v>
      </c>
      <c r="E456" s="127">
        <f>IFERROR(__xludf.DUMMYFUNCTION("""COMPUTED_VALUE"""),1.0)</f>
        <v>1</v>
      </c>
      <c r="F456" s="128" t="str">
        <f>IFERROR(__xludf.DUMMYFUNCTION("""COMPUTED_VALUE"""),"Cold")</f>
        <v>Cold</v>
      </c>
      <c r="G456" s="124" t="str">
        <f>IFERROR(__xludf.DUMMYFUNCTION("""COMPUTED_VALUE"""),"State PCS")</f>
        <v>State PCS</v>
      </c>
      <c r="K456" s="124"/>
      <c r="L456" s="124"/>
      <c r="M456" s="124"/>
      <c r="N456" s="124"/>
      <c r="O456" s="124"/>
      <c r="T456" s="126">
        <f>IFERROR(__xludf.DUMMYFUNCTION("""COMPUTED_VALUE"""),46045.0)</f>
        <v>46045</v>
      </c>
      <c r="U456" s="124" t="str">
        <f>IFERROR(__xludf.DUMMYFUNCTION("""COMPUTED_VALUE"""),"Event")</f>
        <v>Event</v>
      </c>
      <c r="V456" s="124" t="str">
        <f>IFERROR(__xludf.DUMMYFUNCTION("""COMPUTED_VALUE"""),"Events")</f>
        <v>Events</v>
      </c>
      <c r="W456" s="124" t="str">
        <f>IFERROR(__xludf.DUMMYFUNCTION("""COMPUTED_VALUE"""),"Delhi")</f>
        <v>Delhi</v>
      </c>
      <c r="X456" s="124" t="str">
        <f>IFERROR(__xludf.DUMMYFUNCTION("""COMPUTED_VALUE"""),"DRCSEMINAR(CTC)")</f>
        <v>DRCSEMINAR(CTC)</v>
      </c>
      <c r="Y456" s="124"/>
      <c r="Z456" s="124">
        <f>IFERROR(__xludf.DUMMYFUNCTION("""COMPUTED_VALUE"""),4.0)</f>
        <v>4</v>
      </c>
      <c r="AA456" s="124" t="str">
        <f>IFERROR(__xludf.DUMMYFUNCTION("""COMPUTED_VALUE"""),"Cold")</f>
        <v>Cold</v>
      </c>
      <c r="AB456" s="124"/>
    </row>
    <row r="457">
      <c r="A457" s="126">
        <f>IFERROR(__xludf.DUMMYFUNCTION("""COMPUTED_VALUE"""),46076.0)</f>
        <v>46076</v>
      </c>
      <c r="B457" s="124" t="str">
        <f>IFERROR(__xludf.DUMMYFUNCTION("""COMPUTED_VALUE"""),"Walk-In")</f>
        <v>Walk-In</v>
      </c>
      <c r="C457" s="124" t="str">
        <f>IFERROR(__xludf.DUMMYFUNCTION("""COMPUTED_VALUE"""),"Indore")</f>
        <v>Indore</v>
      </c>
      <c r="D457" s="124" t="str">
        <f>IFERROR(__xludf.DUMMYFUNCTION("""COMPUTED_VALUE"""),"Primary_Walkin")</f>
        <v>Primary_Walkin</v>
      </c>
      <c r="E457" s="127">
        <f>IFERROR(__xludf.DUMMYFUNCTION("""COMPUTED_VALUE"""),1.0)</f>
        <v>1</v>
      </c>
      <c r="F457" s="128" t="str">
        <f>IFERROR(__xludf.DUMMYFUNCTION("""COMPUTED_VALUE"""),"Enrolled")</f>
        <v>Enrolled</v>
      </c>
      <c r="G457" s="124" t="str">
        <f>IFERROR(__xludf.DUMMYFUNCTION("""COMPUTED_VALUE"""),"GS Foundation")</f>
        <v>GS Foundation</v>
      </c>
      <c r="K457" s="124"/>
      <c r="L457" s="124"/>
      <c r="M457" s="124"/>
      <c r="N457" s="124"/>
      <c r="O457" s="124"/>
      <c r="T457" s="126">
        <f>IFERROR(__xludf.DUMMYFUNCTION("""COMPUTED_VALUE"""),46057.0)</f>
        <v>46057</v>
      </c>
      <c r="U457" s="124" t="str">
        <f>IFERROR(__xludf.DUMMYFUNCTION("""COMPUTED_VALUE"""),"Event")</f>
        <v>Event</v>
      </c>
      <c r="V457" s="124" t="str">
        <f>IFERROR(__xludf.DUMMYFUNCTION("""COMPUTED_VALUE"""),"Events")</f>
        <v>Events</v>
      </c>
      <c r="W457" s="124" t="str">
        <f>IFERROR(__xludf.DUMMYFUNCTION("""COMPUTED_VALUE"""),"Delhi")</f>
        <v>Delhi</v>
      </c>
      <c r="X457" s="124" t="str">
        <f>IFERROR(__xludf.DUMMYFUNCTION("""COMPUTED_VALUE"""),"DRCSEMINAR(CTC)")</f>
        <v>DRCSEMINAR(CTC)</v>
      </c>
      <c r="Y457" s="124" t="str">
        <f>IFERROR(__xludf.DUMMYFUNCTION("""COMPUTED_VALUE"""),"Delhi")</f>
        <v>Delhi</v>
      </c>
      <c r="Z457" s="124">
        <f>IFERROR(__xludf.DUMMYFUNCTION("""COMPUTED_VALUE"""),65.0)</f>
        <v>65</v>
      </c>
      <c r="AA457" s="124" t="str">
        <f>IFERROR(__xludf.DUMMYFUNCTION("""COMPUTED_VALUE"""),"Cold")</f>
        <v>Cold</v>
      </c>
      <c r="AB457" s="124"/>
    </row>
    <row r="458">
      <c r="A458" s="126">
        <f>IFERROR(__xludf.DUMMYFUNCTION("""COMPUTED_VALUE"""),46083.0)</f>
        <v>46083</v>
      </c>
      <c r="B458" s="124" t="str">
        <f>IFERROR(__xludf.DUMMYFUNCTION("""COMPUTED_VALUE"""),"Walkin")</f>
        <v>Walkin</v>
      </c>
      <c r="C458" s="124" t="str">
        <f>IFERROR(__xludf.DUMMYFUNCTION("""COMPUTED_VALUE"""),"Indore")</f>
        <v>Indore</v>
      </c>
      <c r="D458" s="124" t="str">
        <f>IFERROR(__xludf.DUMMYFUNCTION("""COMPUTED_VALUE"""),"Primary_Walkin")</f>
        <v>Primary_Walkin</v>
      </c>
      <c r="E458" s="127">
        <f>IFERROR(__xludf.DUMMYFUNCTION("""COMPUTED_VALUE"""),1.0)</f>
        <v>1</v>
      </c>
      <c r="F458" s="128" t="str">
        <f>IFERROR(__xludf.DUMMYFUNCTION("""COMPUTED_VALUE"""),"Cold")</f>
        <v>Cold</v>
      </c>
      <c r="G458" s="124" t="str">
        <f>IFERROR(__xludf.DUMMYFUNCTION("""COMPUTED_VALUE"""),"Other")</f>
        <v>Other</v>
      </c>
      <c r="K458" s="124"/>
      <c r="L458" s="124"/>
      <c r="M458" s="124"/>
      <c r="N458" s="124"/>
      <c r="O458" s="124"/>
      <c r="T458" s="126">
        <f>IFERROR(__xludf.DUMMYFUNCTION("""COMPUTED_VALUE"""),46077.0)</f>
        <v>46077</v>
      </c>
      <c r="U458" s="124" t="str">
        <f>IFERROR(__xludf.DUMMYFUNCTION("""COMPUTED_VALUE"""),"Event")</f>
        <v>Event</v>
      </c>
      <c r="V458" s="124" t="str">
        <f>IFERROR(__xludf.DUMMYFUNCTION("""COMPUTED_VALUE"""),"Events")</f>
        <v>Events</v>
      </c>
      <c r="W458" s="124" t="str">
        <f>IFERROR(__xludf.DUMMYFUNCTION("""COMPUTED_VALUE"""),"All Centre")</f>
        <v>All Centre</v>
      </c>
      <c r="X458" s="124" t="str">
        <f>IFERROR(__xludf.DUMMYFUNCTION("""COMPUTED_VALUE"""),"Generic")</f>
        <v>Generic</v>
      </c>
      <c r="Y458" s="124" t="str">
        <f>IFERROR(__xludf.DUMMYFUNCTION("""COMPUTED_VALUE"""),"Patna")</f>
        <v>Patna</v>
      </c>
      <c r="Z458" s="124">
        <f>IFERROR(__xludf.DUMMYFUNCTION("""COMPUTED_VALUE"""),2.0)</f>
        <v>2</v>
      </c>
      <c r="AA458" s="124" t="str">
        <f>IFERROR(__xludf.DUMMYFUNCTION("""COMPUTED_VALUE"""),"Cold")</f>
        <v>Cold</v>
      </c>
      <c r="AB458" s="124" t="str">
        <f>IFERROR(__xludf.DUMMYFUNCTION("""COMPUTED_VALUE"""),"GS Foundation")</f>
        <v>GS Foundation</v>
      </c>
    </row>
    <row r="459">
      <c r="A459" s="126">
        <f>IFERROR(__xludf.DUMMYFUNCTION("""COMPUTED_VALUE"""),46106.0)</f>
        <v>46106</v>
      </c>
      <c r="B459" s="124" t="str">
        <f>IFERROR(__xludf.DUMMYFUNCTION("""COMPUTED_VALUE"""),"Walkin")</f>
        <v>Walkin</v>
      </c>
      <c r="C459" s="124" t="str">
        <f>IFERROR(__xludf.DUMMYFUNCTION("""COMPUTED_VALUE"""),"Lucknow")</f>
        <v>Lucknow</v>
      </c>
      <c r="D459" s="124" t="str">
        <f>IFERROR(__xludf.DUMMYFUNCTION("""COMPUTED_VALUE"""),"Primary_Walkin")</f>
        <v>Primary_Walkin</v>
      </c>
      <c r="E459" s="127">
        <f>IFERROR(__xludf.DUMMYFUNCTION("""COMPUTED_VALUE"""),1.0)</f>
        <v>1</v>
      </c>
      <c r="F459" s="128" t="str">
        <f>IFERROR(__xludf.DUMMYFUNCTION("""COMPUTED_VALUE"""),"Enrolled")</f>
        <v>Enrolled</v>
      </c>
      <c r="G459" s="124" t="str">
        <f>IFERROR(__xludf.DUMMYFUNCTION("""COMPUTED_VALUE"""),"GS Foundation")</f>
        <v>GS Foundation</v>
      </c>
      <c r="K459" s="124"/>
      <c r="L459" s="124"/>
      <c r="M459" s="124"/>
      <c r="N459" s="124"/>
      <c r="O459" s="124"/>
      <c r="T459" s="126">
        <f>IFERROR(__xludf.DUMMYFUNCTION("""COMPUTED_VALUE"""),46048.0)</f>
        <v>46048</v>
      </c>
      <c r="U459" s="124" t="str">
        <f>IFERROR(__xludf.DUMMYFUNCTION("""COMPUTED_VALUE"""),"Event")</f>
        <v>Event</v>
      </c>
      <c r="V459" s="124" t="str">
        <f>IFERROR(__xludf.DUMMYFUNCTION("""COMPUTED_VALUE"""),"Events")</f>
        <v>Events</v>
      </c>
      <c r="W459" s="124" t="str">
        <f>IFERROR(__xludf.DUMMYFUNCTION("""COMPUTED_VALUE"""),"Delhi")</f>
        <v>Delhi</v>
      </c>
      <c r="X459" s="124" t="str">
        <f>IFERROR(__xludf.DUMMYFUNCTION("""COMPUTED_VALUE"""),"DRCSEMINAR(CTC)")</f>
        <v>DRCSEMINAR(CTC)</v>
      </c>
      <c r="Y459" s="124"/>
      <c r="Z459" s="124">
        <f>IFERROR(__xludf.DUMMYFUNCTION("""COMPUTED_VALUE"""),1.0)</f>
        <v>1</v>
      </c>
      <c r="AA459" s="124" t="str">
        <f>IFERROR(__xludf.DUMMYFUNCTION("""COMPUTED_VALUE"""),"Engaged")</f>
        <v>Engaged</v>
      </c>
      <c r="AB459" s="124"/>
    </row>
    <row r="460">
      <c r="A460" s="129">
        <f>IFERROR(__xludf.DUMMYFUNCTION("""COMPUTED_VALUE"""),46052.0)</f>
        <v>46052</v>
      </c>
      <c r="B460" s="124" t="str">
        <f>IFERROR(__xludf.DUMMYFUNCTION("""COMPUTED_VALUE"""),"Walkin")</f>
        <v>Walkin</v>
      </c>
      <c r="C460" s="124" t="str">
        <f>IFERROR(__xludf.DUMMYFUNCTION("""COMPUTED_VALUE"""),"Indore")</f>
        <v>Indore</v>
      </c>
      <c r="D460" s="124" t="str">
        <f>IFERROR(__xludf.DUMMYFUNCTION("""COMPUTED_VALUE"""),"Primary_Walkin")</f>
        <v>Primary_Walkin</v>
      </c>
      <c r="E460" s="127">
        <f>IFERROR(__xludf.DUMMYFUNCTION("""COMPUTED_VALUE"""),1.0)</f>
        <v>1</v>
      </c>
      <c r="F460" s="128" t="str">
        <f>IFERROR(__xludf.DUMMYFUNCTION("""COMPUTED_VALUE"""),"Cold")</f>
        <v>Cold</v>
      </c>
      <c r="G460" s="124" t="str">
        <f>IFERROR(__xludf.DUMMYFUNCTION("""COMPUTED_VALUE"""),"State PCS")</f>
        <v>State PCS</v>
      </c>
      <c r="K460" s="124"/>
      <c r="L460" s="124"/>
      <c r="M460" s="124"/>
      <c r="N460" s="124"/>
      <c r="O460" s="124"/>
      <c r="T460" s="126">
        <f>IFERROR(__xludf.DUMMYFUNCTION("""COMPUTED_VALUE"""),46051.0)</f>
        <v>46051</v>
      </c>
      <c r="U460" s="124" t="str">
        <f>IFERROR(__xludf.DUMMYFUNCTION("""COMPUTED_VALUE"""),"Event")</f>
        <v>Event</v>
      </c>
      <c r="V460" s="124" t="str">
        <f>IFERROR(__xludf.DUMMYFUNCTION("""COMPUTED_VALUE"""),"Events")</f>
        <v>Events</v>
      </c>
      <c r="W460" s="124" t="str">
        <f>IFERROR(__xludf.DUMMYFUNCTION("""COMPUTED_VALUE"""),"Delhi")</f>
        <v>Delhi</v>
      </c>
      <c r="X460" s="124" t="str">
        <f>IFERROR(__xludf.DUMMYFUNCTION("""COMPUTED_VALUE"""),"DRCSEMINAR(CTC)")</f>
        <v>DRCSEMINAR(CTC)</v>
      </c>
      <c r="Y460" s="124" t="str">
        <f>IFERROR(__xludf.DUMMYFUNCTION("""COMPUTED_VALUE"""),"Delhi")</f>
        <v>Delhi</v>
      </c>
      <c r="Z460" s="124">
        <f>IFERROR(__xludf.DUMMYFUNCTION("""COMPUTED_VALUE"""),16.0)</f>
        <v>16</v>
      </c>
      <c r="AA460" s="124" t="str">
        <f>IFERROR(__xludf.DUMMYFUNCTION("""COMPUTED_VALUE"""),"Not Interested")</f>
        <v>Not Interested</v>
      </c>
      <c r="AB460" s="124"/>
    </row>
    <row r="461">
      <c r="A461" s="126">
        <f>IFERROR(__xludf.DUMMYFUNCTION("""COMPUTED_VALUE"""),46063.0)</f>
        <v>46063</v>
      </c>
      <c r="B461" s="124" t="str">
        <f>IFERROR(__xludf.DUMMYFUNCTION("""COMPUTED_VALUE"""),"Walkin")</f>
        <v>Walkin</v>
      </c>
      <c r="C461" s="124" t="str">
        <f>IFERROR(__xludf.DUMMYFUNCTION("""COMPUTED_VALUE"""),"Indore")</f>
        <v>Indore</v>
      </c>
      <c r="D461" s="124" t="str">
        <f>IFERROR(__xludf.DUMMYFUNCTION("""COMPUTED_VALUE"""),"Primary_Walkin")</f>
        <v>Primary_Walkin</v>
      </c>
      <c r="E461" s="127">
        <f>IFERROR(__xludf.DUMMYFUNCTION("""COMPUTED_VALUE"""),1.0)</f>
        <v>1</v>
      </c>
      <c r="F461" s="128" t="str">
        <f>IFERROR(__xludf.DUMMYFUNCTION("""COMPUTED_VALUE"""),"Cold")</f>
        <v>Cold</v>
      </c>
      <c r="G461" s="124" t="str">
        <f>IFERROR(__xludf.DUMMYFUNCTION("""COMPUTED_VALUE"""),"Test Series")</f>
        <v>Test Series</v>
      </c>
      <c r="K461" s="124"/>
      <c r="L461" s="124"/>
      <c r="M461" s="124"/>
      <c r="N461" s="124"/>
      <c r="O461" s="124"/>
      <c r="T461" s="126">
        <f>IFERROR(__xludf.DUMMYFUNCTION("""COMPUTED_VALUE"""),46051.0)</f>
        <v>46051</v>
      </c>
      <c r="U461" s="124" t="str">
        <f>IFERROR(__xludf.DUMMYFUNCTION("""COMPUTED_VALUE"""),"Event")</f>
        <v>Event</v>
      </c>
      <c r="V461" s="124" t="str">
        <f>IFERROR(__xludf.DUMMYFUNCTION("""COMPUTED_VALUE"""),"Events")</f>
        <v>Events</v>
      </c>
      <c r="W461" s="124" t="str">
        <f>IFERROR(__xludf.DUMMYFUNCTION("""COMPUTED_VALUE"""),"Delhi")</f>
        <v>Delhi</v>
      </c>
      <c r="X461" s="124" t="str">
        <f>IFERROR(__xludf.DUMMYFUNCTION("""COMPUTED_VALUE"""),"DRCSEMINAR(CTC)")</f>
        <v>DRCSEMINAR(CTC)</v>
      </c>
      <c r="Y461" s="124" t="str">
        <f>IFERROR(__xludf.DUMMYFUNCTION("""COMPUTED_VALUE"""),"Delhi")</f>
        <v>Delhi</v>
      </c>
      <c r="Z461" s="124">
        <f>IFERROR(__xludf.DUMMYFUNCTION("""COMPUTED_VALUE"""),52.0)</f>
        <v>52</v>
      </c>
      <c r="AA461" s="124" t="str">
        <f>IFERROR(__xludf.DUMMYFUNCTION("""COMPUTED_VALUE"""),"Cold")</f>
        <v>Cold</v>
      </c>
      <c r="AB461" s="124"/>
    </row>
    <row r="462">
      <c r="A462" s="126">
        <f>IFERROR(__xludf.DUMMYFUNCTION("""COMPUTED_VALUE"""),46074.0)</f>
        <v>46074</v>
      </c>
      <c r="B462" s="124" t="str">
        <f>IFERROR(__xludf.DUMMYFUNCTION("""COMPUTED_VALUE"""),"Walkin")</f>
        <v>Walkin</v>
      </c>
      <c r="C462" s="124" t="str">
        <f>IFERROR(__xludf.DUMMYFUNCTION("""COMPUTED_VALUE"""),"Indore")</f>
        <v>Indore</v>
      </c>
      <c r="D462" s="124" t="str">
        <f>IFERROR(__xludf.DUMMYFUNCTION("""COMPUTED_VALUE"""),"Primary_Walkin")</f>
        <v>Primary_Walkin</v>
      </c>
      <c r="E462" s="127">
        <f>IFERROR(__xludf.DUMMYFUNCTION("""COMPUTED_VALUE"""),1.0)</f>
        <v>1</v>
      </c>
      <c r="F462" s="128" t="str">
        <f>IFERROR(__xludf.DUMMYFUNCTION("""COMPUTED_VALUE"""),"Cold")</f>
        <v>Cold</v>
      </c>
      <c r="G462" s="124" t="str">
        <f>IFERROR(__xludf.DUMMYFUNCTION("""COMPUTED_VALUE"""),"GS Foundation")</f>
        <v>GS Foundation</v>
      </c>
      <c r="K462" s="124"/>
      <c r="L462" s="124"/>
      <c r="M462" s="124"/>
      <c r="N462" s="124"/>
      <c r="O462" s="124"/>
      <c r="T462" s="126">
        <f>IFERROR(__xludf.DUMMYFUNCTION("""COMPUTED_VALUE"""),46107.0)</f>
        <v>46107</v>
      </c>
      <c r="U462" s="124" t="str">
        <f>IFERROR(__xludf.DUMMYFUNCTION("""COMPUTED_VALUE"""),"Event")</f>
        <v>Event</v>
      </c>
      <c r="V462" s="124" t="str">
        <f>IFERROR(__xludf.DUMMYFUNCTION("""COMPUTED_VALUE"""),"Events")</f>
        <v>Events</v>
      </c>
      <c r="W462" s="124" t="str">
        <f>IFERROR(__xludf.DUMMYFUNCTION("""COMPUTED_VALUE"""),"All Centre")</f>
        <v>All Centre</v>
      </c>
      <c r="X462" s="124" t="str">
        <f>IFERROR(__xludf.DUMMYFUNCTION("""COMPUTED_VALUE"""),"Generic")</f>
        <v>Generic</v>
      </c>
      <c r="Y462" s="124" t="str">
        <f>IFERROR(__xludf.DUMMYFUNCTION("""COMPUTED_VALUE"""),"Delhi")</f>
        <v>Delhi</v>
      </c>
      <c r="Z462" s="124">
        <f>IFERROR(__xludf.DUMMYFUNCTION("""COMPUTED_VALUE"""),69.0)</f>
        <v>69</v>
      </c>
      <c r="AA462" s="124"/>
      <c r="AB462" s="124" t="str">
        <f>IFERROR(__xludf.DUMMYFUNCTION("""COMPUTED_VALUE"""),"GS Foundation")</f>
        <v>GS Foundation</v>
      </c>
    </row>
    <row r="463">
      <c r="A463" s="126">
        <f>IFERROR(__xludf.DUMMYFUNCTION("""COMPUTED_VALUE"""),46090.0)</f>
        <v>46090</v>
      </c>
      <c r="B463" s="124" t="str">
        <f>IFERROR(__xludf.DUMMYFUNCTION("""COMPUTED_VALUE"""),"Walkin")</f>
        <v>Walkin</v>
      </c>
      <c r="C463" s="124" t="str">
        <f>IFERROR(__xludf.DUMMYFUNCTION("""COMPUTED_VALUE"""),"Indore")</f>
        <v>Indore</v>
      </c>
      <c r="D463" s="124" t="str">
        <f>IFERROR(__xludf.DUMMYFUNCTION("""COMPUTED_VALUE"""),"Primary_Walkin")</f>
        <v>Primary_Walkin</v>
      </c>
      <c r="E463" s="127">
        <f>IFERROR(__xludf.DUMMYFUNCTION("""COMPUTED_VALUE"""),1.0)</f>
        <v>1</v>
      </c>
      <c r="F463" s="128" t="str">
        <f>IFERROR(__xludf.DUMMYFUNCTION("""COMPUTED_VALUE"""),"Enrolled")</f>
        <v>Enrolled</v>
      </c>
      <c r="G463" s="124" t="str">
        <f>IFERROR(__xludf.DUMMYFUNCTION("""COMPUTED_VALUE"""),"GS Foundation")</f>
        <v>GS Foundation</v>
      </c>
      <c r="K463" s="124"/>
      <c r="L463" s="124"/>
      <c r="M463" s="124"/>
      <c r="N463" s="124"/>
      <c r="O463" s="124"/>
      <c r="T463" s="126">
        <f>IFERROR(__xludf.DUMMYFUNCTION("""COMPUTED_VALUE"""),46099.0)</f>
        <v>46099</v>
      </c>
      <c r="U463" s="124" t="str">
        <f>IFERROR(__xludf.DUMMYFUNCTION("""COMPUTED_VALUE"""),"Event")</f>
        <v>Event</v>
      </c>
      <c r="V463" s="124" t="str">
        <f>IFERROR(__xludf.DUMMYFUNCTION("""COMPUTED_VALUE"""),"Events")</f>
        <v>Events</v>
      </c>
      <c r="W463" s="124" t="str">
        <f>IFERROR(__xludf.DUMMYFUNCTION("""COMPUTED_VALUE"""),"All Centre")</f>
        <v>All Centre</v>
      </c>
      <c r="X463" s="124" t="str">
        <f>IFERROR(__xludf.DUMMYFUNCTION("""COMPUTED_VALUE"""),"Generic")</f>
        <v>Generic</v>
      </c>
      <c r="Y463" s="124" t="str">
        <f>IFERROR(__xludf.DUMMYFUNCTION("""COMPUTED_VALUE"""),"Delhi")</f>
        <v>Delhi</v>
      </c>
      <c r="Z463" s="124">
        <f>IFERROR(__xludf.DUMMYFUNCTION("""COMPUTED_VALUE"""),15.0)</f>
        <v>15</v>
      </c>
      <c r="AA463" s="124"/>
      <c r="AB463" s="124" t="str">
        <f>IFERROR(__xludf.DUMMYFUNCTION("""COMPUTED_VALUE"""),"GS Foundation")</f>
        <v>GS Foundation</v>
      </c>
    </row>
    <row r="464">
      <c r="A464" s="126">
        <f>IFERROR(__xludf.DUMMYFUNCTION("""COMPUTED_VALUE"""),46073.0)</f>
        <v>46073</v>
      </c>
      <c r="B464" s="124" t="str">
        <f>IFERROR(__xludf.DUMMYFUNCTION("""COMPUTED_VALUE"""),"Walkin")</f>
        <v>Walkin</v>
      </c>
      <c r="C464" s="124" t="str">
        <f>IFERROR(__xludf.DUMMYFUNCTION("""COMPUTED_VALUE"""),"Lucknow")</f>
        <v>Lucknow</v>
      </c>
      <c r="D464" s="124" t="str">
        <f>IFERROR(__xludf.DUMMYFUNCTION("""COMPUTED_VALUE"""),"Primary_Walkin")</f>
        <v>Primary_Walkin</v>
      </c>
      <c r="E464" s="127">
        <f>IFERROR(__xludf.DUMMYFUNCTION("""COMPUTED_VALUE"""),1.0)</f>
        <v>1</v>
      </c>
      <c r="F464" s="128" t="str">
        <f>IFERROR(__xludf.DUMMYFUNCTION("""COMPUTED_VALUE"""),"Not Interested")</f>
        <v>Not Interested</v>
      </c>
      <c r="G464" s="124" t="str">
        <f>IFERROR(__xludf.DUMMYFUNCTION("""COMPUTED_VALUE"""),"State PCS")</f>
        <v>State PCS</v>
      </c>
      <c r="K464" s="124"/>
      <c r="L464" s="124"/>
      <c r="M464" s="124"/>
      <c r="N464" s="124"/>
      <c r="O464" s="124"/>
      <c r="T464" s="126">
        <f>IFERROR(__xludf.DUMMYFUNCTION("""COMPUTED_VALUE"""),46101.0)</f>
        <v>46101</v>
      </c>
      <c r="U464" s="124" t="str">
        <f>IFERROR(__xludf.DUMMYFUNCTION("""COMPUTED_VALUE"""),"Event")</f>
        <v>Event</v>
      </c>
      <c r="V464" s="124" t="str">
        <f>IFERROR(__xludf.DUMMYFUNCTION("""COMPUTED_VALUE"""),"Events")</f>
        <v>Events</v>
      </c>
      <c r="W464" s="124" t="str">
        <f>IFERROR(__xludf.DUMMYFUNCTION("""COMPUTED_VALUE"""),"All Centre")</f>
        <v>All Centre</v>
      </c>
      <c r="X464" s="124" t="str">
        <f>IFERROR(__xludf.DUMMYFUNCTION("""COMPUTED_VALUE"""),"Generic")</f>
        <v>Generic</v>
      </c>
      <c r="Y464" s="124" t="str">
        <f>IFERROR(__xludf.DUMMYFUNCTION("""COMPUTED_VALUE"""),"Delhi")</f>
        <v>Delhi</v>
      </c>
      <c r="Z464" s="124">
        <f>IFERROR(__xludf.DUMMYFUNCTION("""COMPUTED_VALUE"""),6.0)</f>
        <v>6</v>
      </c>
      <c r="AA464" s="124" t="str">
        <f>IFERROR(__xludf.DUMMYFUNCTION("""COMPUTED_VALUE"""),"Not Interested")</f>
        <v>Not Interested</v>
      </c>
      <c r="AB464" s="124" t="str">
        <f>IFERROR(__xludf.DUMMYFUNCTION("""COMPUTED_VALUE"""),"GS Foundation")</f>
        <v>GS Foundation</v>
      </c>
    </row>
    <row r="465">
      <c r="A465" s="126">
        <f>IFERROR(__xludf.DUMMYFUNCTION("""COMPUTED_VALUE"""),46044.0)</f>
        <v>46044</v>
      </c>
      <c r="B465" s="124" t="str">
        <f>IFERROR(__xludf.DUMMYFUNCTION("""COMPUTED_VALUE"""),"Walkin")</f>
        <v>Walkin</v>
      </c>
      <c r="C465" s="124" t="str">
        <f>IFERROR(__xludf.DUMMYFUNCTION("""COMPUTED_VALUE"""),"Lucknow")</f>
        <v>Lucknow</v>
      </c>
      <c r="D465" s="124" t="str">
        <f>IFERROR(__xludf.DUMMYFUNCTION("""COMPUTED_VALUE"""),"Primary_Walkin")</f>
        <v>Primary_Walkin</v>
      </c>
      <c r="E465" s="127">
        <f>IFERROR(__xludf.DUMMYFUNCTION("""COMPUTED_VALUE"""),1.0)</f>
        <v>1</v>
      </c>
      <c r="F465" s="128" t="str">
        <f>IFERROR(__xludf.DUMMYFUNCTION("""COMPUTED_VALUE"""),"Cold")</f>
        <v>Cold</v>
      </c>
      <c r="G465" s="124" t="str">
        <f>IFERROR(__xludf.DUMMYFUNCTION("""COMPUTED_VALUE"""),"GS Foundation")</f>
        <v>GS Foundation</v>
      </c>
      <c r="K465" s="124"/>
      <c r="L465" s="124"/>
      <c r="M465" s="124"/>
      <c r="N465" s="124"/>
      <c r="O465" s="124"/>
      <c r="T465" s="126">
        <f>IFERROR(__xludf.DUMMYFUNCTION("""COMPUTED_VALUE"""),46098.0)</f>
        <v>46098</v>
      </c>
      <c r="U465" s="124" t="str">
        <f>IFERROR(__xludf.DUMMYFUNCTION("""COMPUTED_VALUE"""),"Event")</f>
        <v>Event</v>
      </c>
      <c r="V465" s="124" t="str">
        <f>IFERROR(__xludf.DUMMYFUNCTION("""COMPUTED_VALUE"""),"Events")</f>
        <v>Events</v>
      </c>
      <c r="W465" s="124" t="str">
        <f>IFERROR(__xludf.DUMMYFUNCTION("""COMPUTED_VALUE"""),"All Centre")</f>
        <v>All Centre</v>
      </c>
      <c r="X465" s="124" t="str">
        <f>IFERROR(__xludf.DUMMYFUNCTION("""COMPUTED_VALUE"""),"Generic")</f>
        <v>Generic</v>
      </c>
      <c r="Y465" s="124" t="str">
        <f>IFERROR(__xludf.DUMMYFUNCTION("""COMPUTED_VALUE"""),"Delhi")</f>
        <v>Delhi</v>
      </c>
      <c r="Z465" s="124">
        <f>IFERROR(__xludf.DUMMYFUNCTION("""COMPUTED_VALUE"""),22.0)</f>
        <v>22</v>
      </c>
      <c r="AA465" s="124" t="str">
        <f>IFERROR(__xludf.DUMMYFUNCTION("""COMPUTED_VALUE"""),"Not Interested")</f>
        <v>Not Interested</v>
      </c>
      <c r="AB465" s="124" t="str">
        <f>IFERROR(__xludf.DUMMYFUNCTION("""COMPUTED_VALUE"""),"GS Foundation")</f>
        <v>GS Foundation</v>
      </c>
    </row>
    <row r="466">
      <c r="A466" s="126">
        <f>IFERROR(__xludf.DUMMYFUNCTION("""COMPUTED_VALUE"""),46112.0)</f>
        <v>46112</v>
      </c>
      <c r="B466" s="124" t="str">
        <f>IFERROR(__xludf.DUMMYFUNCTION("""COMPUTED_VALUE"""),"Walkin")</f>
        <v>Walkin</v>
      </c>
      <c r="C466" s="124" t="str">
        <f>IFERROR(__xludf.DUMMYFUNCTION("""COMPUTED_VALUE"""),"Indore")</f>
        <v>Indore</v>
      </c>
      <c r="D466" s="124" t="str">
        <f>IFERROR(__xludf.DUMMYFUNCTION("""COMPUTED_VALUE"""),"Primary_Walkin")</f>
        <v>Primary_Walkin</v>
      </c>
      <c r="E466" s="127">
        <f>IFERROR(__xludf.DUMMYFUNCTION("""COMPUTED_VALUE"""),4.0)</f>
        <v>4</v>
      </c>
      <c r="F466" s="128" t="str">
        <f>IFERROR(__xludf.DUMMYFUNCTION("""COMPUTED_VALUE"""),"Warm")</f>
        <v>Warm</v>
      </c>
      <c r="G466" s="124" t="str">
        <f>IFERROR(__xludf.DUMMYFUNCTION("""COMPUTED_VALUE"""),"State PCS")</f>
        <v>State PCS</v>
      </c>
      <c r="K466" s="124"/>
      <c r="L466" s="124"/>
      <c r="M466" s="124"/>
      <c r="N466" s="124"/>
      <c r="O466" s="124"/>
      <c r="T466" s="126">
        <f>IFERROR(__xludf.DUMMYFUNCTION("""COMPUTED_VALUE"""),46065.0)</f>
        <v>46065</v>
      </c>
      <c r="U466" s="124" t="str">
        <f>IFERROR(__xludf.DUMMYFUNCTION("""COMPUTED_VALUE"""),"Event")</f>
        <v>Event</v>
      </c>
      <c r="V466" s="124" t="str">
        <f>IFERROR(__xludf.DUMMYFUNCTION("""COMPUTED_VALUE"""),"Events")</f>
        <v>Events</v>
      </c>
      <c r="W466" s="124" t="str">
        <f>IFERROR(__xludf.DUMMYFUNCTION("""COMPUTED_VALUE"""),"All Centre")</f>
        <v>All Centre</v>
      </c>
      <c r="X466" s="124" t="str">
        <f>IFERROR(__xludf.DUMMYFUNCTION("""COMPUTED_VALUE"""),"Generic")</f>
        <v>Generic</v>
      </c>
      <c r="Y466" s="124" t="str">
        <f>IFERROR(__xludf.DUMMYFUNCTION("""COMPUTED_VALUE"""),"Delhi")</f>
        <v>Delhi</v>
      </c>
      <c r="Z466" s="124">
        <f>IFERROR(__xludf.DUMMYFUNCTION("""COMPUTED_VALUE"""),9.0)</f>
        <v>9</v>
      </c>
      <c r="AA466" s="124" t="str">
        <f>IFERROR(__xludf.DUMMYFUNCTION("""COMPUTED_VALUE"""),"Engaged")</f>
        <v>Engaged</v>
      </c>
      <c r="AB466" s="124" t="str">
        <f>IFERROR(__xludf.DUMMYFUNCTION("""COMPUTED_VALUE"""),"GS Foundation")</f>
        <v>GS Foundation</v>
      </c>
    </row>
    <row r="467">
      <c r="A467" s="126">
        <f>IFERROR(__xludf.DUMMYFUNCTION("""COMPUTED_VALUE"""),46094.0)</f>
        <v>46094</v>
      </c>
      <c r="B467" s="124" t="str">
        <f>IFERROR(__xludf.DUMMYFUNCTION("""COMPUTED_VALUE"""),"Walkin")</f>
        <v>Walkin</v>
      </c>
      <c r="C467" s="124" t="str">
        <f>IFERROR(__xludf.DUMMYFUNCTION("""COMPUTED_VALUE"""),"Indore")</f>
        <v>Indore</v>
      </c>
      <c r="D467" s="124" t="str">
        <f>IFERROR(__xludf.DUMMYFUNCTION("""COMPUTED_VALUE"""),"Primary_Walkin")</f>
        <v>Primary_Walkin</v>
      </c>
      <c r="E467" s="127">
        <f>IFERROR(__xludf.DUMMYFUNCTION("""COMPUTED_VALUE"""),1.0)</f>
        <v>1</v>
      </c>
      <c r="F467" s="128" t="str">
        <f>IFERROR(__xludf.DUMMYFUNCTION("""COMPUTED_VALUE"""),"Cold")</f>
        <v>Cold</v>
      </c>
      <c r="G467" s="124" t="str">
        <f>IFERROR(__xludf.DUMMYFUNCTION("""COMPUTED_VALUE"""),"Other")</f>
        <v>Other</v>
      </c>
      <c r="K467" s="124"/>
      <c r="L467" s="124"/>
      <c r="M467" s="124"/>
      <c r="N467" s="124"/>
      <c r="O467" s="124"/>
      <c r="T467" s="126">
        <f>IFERROR(__xludf.DUMMYFUNCTION("""COMPUTED_VALUE"""),46059.0)</f>
        <v>46059</v>
      </c>
      <c r="U467" s="124" t="str">
        <f>IFERROR(__xludf.DUMMYFUNCTION("""COMPUTED_VALUE"""),"External Leads")</f>
        <v>External Leads</v>
      </c>
      <c r="V467" s="124" t="str">
        <f>IFERROR(__xludf.DUMMYFUNCTION("""COMPUTED_VALUE"""),"external leads")</f>
        <v>external leads</v>
      </c>
      <c r="W467" s="124" t="str">
        <f>IFERROR(__xludf.DUMMYFUNCTION("""COMPUTED_VALUE"""),"lucknow")</f>
        <v>lucknow</v>
      </c>
      <c r="X467" s="124" t="str">
        <f>IFERROR(__xludf.DUMMYFUNCTION("""COMPUTED_VALUE"""),"library")</f>
        <v>library</v>
      </c>
      <c r="Y467" s="124" t="str">
        <f>IFERROR(__xludf.DUMMYFUNCTION("""COMPUTED_VALUE"""),"Lucknow")</f>
        <v>Lucknow</v>
      </c>
      <c r="Z467" s="124">
        <f>IFERROR(__xludf.DUMMYFUNCTION("""COMPUTED_VALUE"""),87.0)</f>
        <v>87</v>
      </c>
      <c r="AA467" s="124" t="str">
        <f>IFERROR(__xludf.DUMMYFUNCTION("""COMPUTED_VALUE"""),"Not Interested")</f>
        <v>Not Interested</v>
      </c>
      <c r="AB467" s="124"/>
    </row>
    <row r="468">
      <c r="A468" s="126">
        <f>IFERROR(__xludf.DUMMYFUNCTION("""COMPUTED_VALUE"""),46056.0)</f>
        <v>46056</v>
      </c>
      <c r="B468" s="124" t="str">
        <f>IFERROR(__xludf.DUMMYFUNCTION("""COMPUTED_VALUE"""),"Walkin")</f>
        <v>Walkin</v>
      </c>
      <c r="C468" s="124" t="str">
        <f>IFERROR(__xludf.DUMMYFUNCTION("""COMPUTED_VALUE"""),"Indore")</f>
        <v>Indore</v>
      </c>
      <c r="D468" s="124" t="str">
        <f>IFERROR(__xludf.DUMMYFUNCTION("""COMPUTED_VALUE"""),"Primary_Walkin")</f>
        <v>Primary_Walkin</v>
      </c>
      <c r="E468" s="127">
        <f>IFERROR(__xludf.DUMMYFUNCTION("""COMPUTED_VALUE"""),3.0)</f>
        <v>3</v>
      </c>
      <c r="F468" s="128" t="str">
        <f>IFERROR(__xludf.DUMMYFUNCTION("""COMPUTED_VALUE"""),"Cold")</f>
        <v>Cold</v>
      </c>
      <c r="G468" s="124" t="str">
        <f>IFERROR(__xludf.DUMMYFUNCTION("""COMPUTED_VALUE"""),"State PCS")</f>
        <v>State PCS</v>
      </c>
      <c r="K468" s="124"/>
      <c r="L468" s="124"/>
      <c r="M468" s="124"/>
      <c r="N468" s="124"/>
      <c r="O468" s="124"/>
      <c r="T468" s="126">
        <f>IFERROR(__xludf.DUMMYFUNCTION("""COMPUTED_VALUE"""),46109.0)</f>
        <v>46109</v>
      </c>
      <c r="U468" s="124" t="str">
        <f>IFERROR(__xludf.DUMMYFUNCTION("""COMPUTED_VALUE"""),"Event")</f>
        <v>Event</v>
      </c>
      <c r="V468" s="124" t="str">
        <f>IFERROR(__xludf.DUMMYFUNCTION("""COMPUTED_VALUE"""),"Events")</f>
        <v>Events</v>
      </c>
      <c r="W468" s="124" t="str">
        <f>IFERROR(__xludf.DUMMYFUNCTION("""COMPUTED_VALUE"""),"All Centre")</f>
        <v>All Centre</v>
      </c>
      <c r="X468" s="124" t="str">
        <f>IFERROR(__xludf.DUMMYFUNCTION("""COMPUTED_VALUE"""),"Generic")</f>
        <v>Generic</v>
      </c>
      <c r="Y468" s="124" t="str">
        <f>IFERROR(__xludf.DUMMYFUNCTION("""COMPUTED_VALUE"""),"Delhi")</f>
        <v>Delhi</v>
      </c>
      <c r="Z468" s="124">
        <f>IFERROR(__xludf.DUMMYFUNCTION("""COMPUTED_VALUE"""),106.0)</f>
        <v>106</v>
      </c>
      <c r="AA468" s="124"/>
      <c r="AB468" s="124" t="str">
        <f>IFERROR(__xludf.DUMMYFUNCTION("""COMPUTED_VALUE"""),"GS Foundation")</f>
        <v>GS Foundation</v>
      </c>
    </row>
    <row r="469">
      <c r="A469" s="126">
        <f>IFERROR(__xludf.DUMMYFUNCTION("""COMPUTED_VALUE"""),46077.0)</f>
        <v>46077</v>
      </c>
      <c r="B469" s="124" t="str">
        <f>IFERROR(__xludf.DUMMYFUNCTION("""COMPUTED_VALUE"""),"Walk-In")</f>
        <v>Walk-In</v>
      </c>
      <c r="C469" s="124" t="str">
        <f>IFERROR(__xludf.DUMMYFUNCTION("""COMPUTED_VALUE"""),"Indore")</f>
        <v>Indore</v>
      </c>
      <c r="D469" s="124" t="str">
        <f>IFERROR(__xludf.DUMMYFUNCTION("""COMPUTED_VALUE"""),"Primary_Walkin")</f>
        <v>Primary_Walkin</v>
      </c>
      <c r="E469" s="127">
        <f>IFERROR(__xludf.DUMMYFUNCTION("""COMPUTED_VALUE"""),1.0)</f>
        <v>1</v>
      </c>
      <c r="F469" s="128" t="str">
        <f>IFERROR(__xludf.DUMMYFUNCTION("""COMPUTED_VALUE"""),"Not Interested")</f>
        <v>Not Interested</v>
      </c>
      <c r="G469" s="124" t="str">
        <f>IFERROR(__xludf.DUMMYFUNCTION("""COMPUTED_VALUE"""),"Other")</f>
        <v>Other</v>
      </c>
      <c r="K469" s="124"/>
      <c r="L469" s="124"/>
      <c r="M469" s="124"/>
      <c r="N469" s="124"/>
      <c r="O469" s="124"/>
      <c r="T469" s="126">
        <f>IFERROR(__xludf.DUMMYFUNCTION("""COMPUTED_VALUE"""),46077.0)</f>
        <v>46077</v>
      </c>
      <c r="U469" s="124" t="str">
        <f>IFERROR(__xludf.DUMMYFUNCTION("""COMPUTED_VALUE"""),"Event")</f>
        <v>Event</v>
      </c>
      <c r="V469" s="124" t="str">
        <f>IFERROR(__xludf.DUMMYFUNCTION("""COMPUTED_VALUE"""),"Events")</f>
        <v>Events</v>
      </c>
      <c r="W469" s="124" t="str">
        <f>IFERROR(__xludf.DUMMYFUNCTION("""COMPUTED_VALUE"""),"All Centre")</f>
        <v>All Centre</v>
      </c>
      <c r="X469" s="124" t="str">
        <f>IFERROR(__xludf.DUMMYFUNCTION("""COMPUTED_VALUE"""),"Generic")</f>
        <v>Generic</v>
      </c>
      <c r="Y469" s="124" t="str">
        <f>IFERROR(__xludf.DUMMYFUNCTION("""COMPUTED_VALUE"""),"Delhi")</f>
        <v>Delhi</v>
      </c>
      <c r="Z469" s="124">
        <f>IFERROR(__xludf.DUMMYFUNCTION("""COMPUTED_VALUE"""),2.0)</f>
        <v>2</v>
      </c>
      <c r="AA469" s="124" t="str">
        <f>IFERROR(__xludf.DUMMYFUNCTION("""COMPUTED_VALUE"""),"Not Interested")</f>
        <v>Not Interested</v>
      </c>
      <c r="AB469" s="124" t="str">
        <f>IFERROR(__xludf.DUMMYFUNCTION("""COMPUTED_VALUE"""),"Hybrid")</f>
        <v>Hybrid</v>
      </c>
    </row>
    <row r="470">
      <c r="A470" s="129">
        <f>IFERROR(__xludf.DUMMYFUNCTION("""COMPUTED_VALUE"""),46063.0)</f>
        <v>46063</v>
      </c>
      <c r="B470" s="124" t="str">
        <f>IFERROR(__xludf.DUMMYFUNCTION("""COMPUTED_VALUE"""),"Walkin")</f>
        <v>Walkin</v>
      </c>
      <c r="C470" s="124" t="str">
        <f>IFERROR(__xludf.DUMMYFUNCTION("""COMPUTED_VALUE"""),"Indore")</f>
        <v>Indore</v>
      </c>
      <c r="D470" s="124" t="str">
        <f>IFERROR(__xludf.DUMMYFUNCTION("""COMPUTED_VALUE"""),"Primary_Walkin")</f>
        <v>Primary_Walkin</v>
      </c>
      <c r="E470" s="127">
        <f>IFERROR(__xludf.DUMMYFUNCTION("""COMPUTED_VALUE"""),1.0)</f>
        <v>1</v>
      </c>
      <c r="F470" s="128" t="str">
        <f>IFERROR(__xludf.DUMMYFUNCTION("""COMPUTED_VALUE"""),"Future Prospects")</f>
        <v>Future Prospects</v>
      </c>
      <c r="G470" s="124" t="str">
        <f>IFERROR(__xludf.DUMMYFUNCTION("""COMPUTED_VALUE"""),"GS Foundation")</f>
        <v>GS Foundation</v>
      </c>
      <c r="K470" s="124"/>
      <c r="L470" s="124"/>
      <c r="M470" s="124"/>
      <c r="N470" s="124"/>
      <c r="O470" s="124"/>
      <c r="T470" s="126">
        <f>IFERROR(__xludf.DUMMYFUNCTION("""COMPUTED_VALUE"""),46065.0)</f>
        <v>46065</v>
      </c>
      <c r="U470" s="124" t="str">
        <f>IFERROR(__xludf.DUMMYFUNCTION("""COMPUTED_VALUE"""),"Event")</f>
        <v>Event</v>
      </c>
      <c r="V470" s="124" t="str">
        <f>IFERROR(__xludf.DUMMYFUNCTION("""COMPUTED_VALUE"""),"Events")</f>
        <v>Events</v>
      </c>
      <c r="W470" s="124" t="str">
        <f>IFERROR(__xludf.DUMMYFUNCTION("""COMPUTED_VALUE"""),"All Centre")</f>
        <v>All Centre</v>
      </c>
      <c r="X470" s="124" t="str">
        <f>IFERROR(__xludf.DUMMYFUNCTION("""COMPUTED_VALUE"""),"Generic")</f>
        <v>Generic</v>
      </c>
      <c r="Y470" s="124" t="str">
        <f>IFERROR(__xludf.DUMMYFUNCTION("""COMPUTED_VALUE"""),"Delhi")</f>
        <v>Delhi</v>
      </c>
      <c r="Z470" s="124">
        <f>IFERROR(__xludf.DUMMYFUNCTION("""COMPUTED_VALUE"""),32.0)</f>
        <v>32</v>
      </c>
      <c r="AA470" s="124" t="str">
        <f>IFERROR(__xludf.DUMMYFUNCTION("""COMPUTED_VALUE"""),"Cold")</f>
        <v>Cold</v>
      </c>
      <c r="AB470" s="124" t="str">
        <f>IFERROR(__xludf.DUMMYFUNCTION("""COMPUTED_VALUE"""),"GS Foundation")</f>
        <v>GS Foundation</v>
      </c>
    </row>
    <row r="471">
      <c r="A471" s="126">
        <f>IFERROR(__xludf.DUMMYFUNCTION("""COMPUTED_VALUE"""),46075.0)</f>
        <v>46075</v>
      </c>
      <c r="B471" s="124" t="str">
        <f>IFERROR(__xludf.DUMMYFUNCTION("""COMPUTED_VALUE"""),"events")</f>
        <v>events</v>
      </c>
      <c r="C471" s="124" t="str">
        <f>IFERROR(__xludf.DUMMYFUNCTION("""COMPUTED_VALUE"""),"Indore")</f>
        <v>Indore</v>
      </c>
      <c r="D471" s="124" t="str">
        <f>IFERROR(__xludf.DUMMYFUNCTION("""COMPUTED_VALUE"""),"Secondary_Walkin")</f>
        <v>Secondary_Walkin</v>
      </c>
      <c r="E471" s="127">
        <f>IFERROR(__xludf.DUMMYFUNCTION("""COMPUTED_VALUE"""),1.0)</f>
        <v>1</v>
      </c>
      <c r="F471" s="128" t="str">
        <f>IFERROR(__xludf.DUMMYFUNCTION("""COMPUTED_VALUE"""),"Not Interested")</f>
        <v>Not Interested</v>
      </c>
      <c r="G471" s="124" t="str">
        <f>IFERROR(__xludf.DUMMYFUNCTION("""COMPUTED_VALUE"""),"GS Foundation")</f>
        <v>GS Foundation</v>
      </c>
      <c r="K471" s="124"/>
      <c r="L471" s="124"/>
      <c r="M471" s="124"/>
      <c r="N471" s="124"/>
      <c r="O471" s="124"/>
      <c r="T471" s="126">
        <f>IFERROR(__xludf.DUMMYFUNCTION("""COMPUTED_VALUE"""),46052.0)</f>
        <v>46052</v>
      </c>
      <c r="U471" s="124" t="str">
        <f>IFERROR(__xludf.DUMMYFUNCTION("""COMPUTED_VALUE"""),"Event")</f>
        <v>Event</v>
      </c>
      <c r="V471" s="124" t="str">
        <f>IFERROR(__xludf.DUMMYFUNCTION("""COMPUTED_VALUE"""),"Events")</f>
        <v>Events</v>
      </c>
      <c r="W471" s="124" t="str">
        <f>IFERROR(__xludf.DUMMYFUNCTION("""COMPUTED_VALUE"""),"Delhi")</f>
        <v>Delhi</v>
      </c>
      <c r="X471" s="124" t="str">
        <f>IFERROR(__xludf.DUMMYFUNCTION("""COMPUTED_VALUE"""),"DRCSEMINAR(CTC)")</f>
        <v>DRCSEMINAR(CTC)</v>
      </c>
      <c r="Y471" s="124"/>
      <c r="Z471" s="124">
        <f>IFERROR(__xludf.DUMMYFUNCTION("""COMPUTED_VALUE"""),39.0)</f>
        <v>39</v>
      </c>
      <c r="AA471" s="124" t="str">
        <f>IFERROR(__xludf.DUMMYFUNCTION("""COMPUTED_VALUE"""),"Cold")</f>
        <v>Cold</v>
      </c>
      <c r="AB471" s="124"/>
    </row>
    <row r="472">
      <c r="A472" s="129">
        <f>IFERROR(__xludf.DUMMYFUNCTION("""COMPUTED_VALUE"""),46092.0)</f>
        <v>46092</v>
      </c>
      <c r="B472" s="124" t="str">
        <f>IFERROR(__xludf.DUMMYFUNCTION("""COMPUTED_VALUE"""),"Walkin")</f>
        <v>Walkin</v>
      </c>
      <c r="C472" s="124" t="str">
        <f>IFERROR(__xludf.DUMMYFUNCTION("""COMPUTED_VALUE"""),"Indore")</f>
        <v>Indore</v>
      </c>
      <c r="D472" s="124" t="str">
        <f>IFERROR(__xludf.DUMMYFUNCTION("""COMPUTED_VALUE"""),"Primary_Walkin")</f>
        <v>Primary_Walkin</v>
      </c>
      <c r="E472" s="127">
        <f>IFERROR(__xludf.DUMMYFUNCTION("""COMPUTED_VALUE"""),2.0)</f>
        <v>2</v>
      </c>
      <c r="F472" s="128" t="str">
        <f>IFERROR(__xludf.DUMMYFUNCTION("""COMPUTED_VALUE"""),"Not Interested")</f>
        <v>Not Interested</v>
      </c>
      <c r="G472" s="124" t="str">
        <f>IFERROR(__xludf.DUMMYFUNCTION("""COMPUTED_VALUE"""),"State PCS")</f>
        <v>State PCS</v>
      </c>
      <c r="K472" s="124"/>
      <c r="L472" s="124"/>
      <c r="M472" s="124"/>
      <c r="N472" s="124"/>
      <c r="O472" s="124"/>
      <c r="T472" s="129">
        <f>IFERROR(__xludf.DUMMYFUNCTION("""COMPUTED_VALUE"""),46104.0)</f>
        <v>46104</v>
      </c>
      <c r="U472" s="124" t="str">
        <f>IFERROR(__xludf.DUMMYFUNCTION("""COMPUTED_VALUE"""),"Event")</f>
        <v>Event</v>
      </c>
      <c r="V472" s="124" t="str">
        <f>IFERROR(__xludf.DUMMYFUNCTION("""COMPUTED_VALUE"""),"Events")</f>
        <v>Events</v>
      </c>
      <c r="W472" s="124" t="str">
        <f>IFERROR(__xludf.DUMMYFUNCTION("""COMPUTED_VALUE"""),"All Centre")</f>
        <v>All Centre</v>
      </c>
      <c r="X472" s="124" t="str">
        <f>IFERROR(__xludf.DUMMYFUNCTION("""COMPUTED_VALUE"""),"Generic")</f>
        <v>Generic</v>
      </c>
      <c r="Y472" s="124" t="str">
        <f>IFERROR(__xludf.DUMMYFUNCTION("""COMPUTED_VALUE"""),"Delhi")</f>
        <v>Delhi</v>
      </c>
      <c r="Z472" s="124">
        <f>IFERROR(__xludf.DUMMYFUNCTION("""COMPUTED_VALUE"""),112.0)</f>
        <v>112</v>
      </c>
      <c r="AA472" s="124"/>
      <c r="AB472" s="124" t="str">
        <f>IFERROR(__xludf.DUMMYFUNCTION("""COMPUTED_VALUE"""),"GS Foundation")</f>
        <v>GS Foundation</v>
      </c>
    </row>
    <row r="473">
      <c r="A473" s="126">
        <f>IFERROR(__xludf.DUMMYFUNCTION("""COMPUTED_VALUE"""),46062.0)</f>
        <v>46062</v>
      </c>
      <c r="B473" s="124" t="str">
        <f>IFERROR(__xludf.DUMMYFUNCTION("""COMPUTED_VALUE"""),"Walkin")</f>
        <v>Walkin</v>
      </c>
      <c r="C473" s="124" t="str">
        <f>IFERROR(__xludf.DUMMYFUNCTION("""COMPUTED_VALUE"""),"Indore")</f>
        <v>Indore</v>
      </c>
      <c r="D473" s="124" t="str">
        <f>IFERROR(__xludf.DUMMYFUNCTION("""COMPUTED_VALUE"""),"Primary_Walkin")</f>
        <v>Primary_Walkin</v>
      </c>
      <c r="E473" s="127">
        <f>IFERROR(__xludf.DUMMYFUNCTION("""COMPUTED_VALUE"""),1.0)</f>
        <v>1</v>
      </c>
      <c r="F473" s="128" t="str">
        <f>IFERROR(__xludf.DUMMYFUNCTION("""COMPUTED_VALUE"""),"Cold")</f>
        <v>Cold</v>
      </c>
      <c r="G473" s="124" t="str">
        <f>IFERROR(__xludf.DUMMYFUNCTION("""COMPUTED_VALUE"""),"Other")</f>
        <v>Other</v>
      </c>
      <c r="K473" s="124"/>
      <c r="L473" s="124"/>
      <c r="M473" s="124"/>
      <c r="N473" s="124"/>
      <c r="O473" s="124"/>
      <c r="T473" s="129">
        <f>IFERROR(__xludf.DUMMYFUNCTION("""COMPUTED_VALUE"""),46052.0)</f>
        <v>46052</v>
      </c>
      <c r="U473" s="124" t="str">
        <f>IFERROR(__xludf.DUMMYFUNCTION("""COMPUTED_VALUE"""),"Event")</f>
        <v>Event</v>
      </c>
      <c r="V473" s="124" t="str">
        <f>IFERROR(__xludf.DUMMYFUNCTION("""COMPUTED_VALUE"""),"Events")</f>
        <v>Events</v>
      </c>
      <c r="W473" s="124" t="str">
        <f>IFERROR(__xludf.DUMMYFUNCTION("""COMPUTED_VALUE"""),"Delhi")</f>
        <v>Delhi</v>
      </c>
      <c r="X473" s="124" t="str">
        <f>IFERROR(__xludf.DUMMYFUNCTION("""COMPUTED_VALUE"""),"DRCSEMINAR(CTC)")</f>
        <v>DRCSEMINAR(CTC)</v>
      </c>
      <c r="Y473" s="124" t="str">
        <f>IFERROR(__xludf.DUMMYFUNCTION("""COMPUTED_VALUE"""),"Delhi")</f>
        <v>Delhi</v>
      </c>
      <c r="Z473" s="124">
        <f>IFERROR(__xludf.DUMMYFUNCTION("""COMPUTED_VALUE"""),3.0)</f>
        <v>3</v>
      </c>
      <c r="AA473" s="124" t="str">
        <f>IFERROR(__xludf.DUMMYFUNCTION("""COMPUTED_VALUE"""),"Future Prospects")</f>
        <v>Future Prospects</v>
      </c>
      <c r="AB473" s="124"/>
    </row>
    <row r="474">
      <c r="A474" s="129">
        <f>IFERROR(__xludf.DUMMYFUNCTION("""COMPUTED_VALUE"""),46056.0)</f>
        <v>46056</v>
      </c>
      <c r="B474" s="124" t="str">
        <f>IFERROR(__xludf.DUMMYFUNCTION("""COMPUTED_VALUE"""),"Walkin")</f>
        <v>Walkin</v>
      </c>
      <c r="C474" s="124" t="str">
        <f>IFERROR(__xludf.DUMMYFUNCTION("""COMPUTED_VALUE"""),"Indore")</f>
        <v>Indore</v>
      </c>
      <c r="D474" s="124" t="str">
        <f>IFERROR(__xludf.DUMMYFUNCTION("""COMPUTED_VALUE"""),"Primary_Walkin")</f>
        <v>Primary_Walkin</v>
      </c>
      <c r="E474" s="127">
        <f>IFERROR(__xludf.DUMMYFUNCTION("""COMPUTED_VALUE"""),1.0)</f>
        <v>1</v>
      </c>
      <c r="F474" s="128" t="str">
        <f>IFERROR(__xludf.DUMMYFUNCTION("""COMPUTED_VALUE"""),"Future Prospects")</f>
        <v>Future Prospects</v>
      </c>
      <c r="G474" s="124" t="str">
        <f>IFERROR(__xludf.DUMMYFUNCTION("""COMPUTED_VALUE"""),"State PCS")</f>
        <v>State PCS</v>
      </c>
      <c r="K474" s="124"/>
      <c r="L474" s="124"/>
      <c r="M474" s="124"/>
      <c r="N474" s="124"/>
      <c r="O474" s="124"/>
      <c r="T474" s="126">
        <f>IFERROR(__xludf.DUMMYFUNCTION("""COMPUTED_VALUE"""),46077.0)</f>
        <v>46077</v>
      </c>
      <c r="U474" s="124" t="str">
        <f>IFERROR(__xludf.DUMMYFUNCTION("""COMPUTED_VALUE"""),"Event")</f>
        <v>Event</v>
      </c>
      <c r="V474" s="124" t="str">
        <f>IFERROR(__xludf.DUMMYFUNCTION("""COMPUTED_VALUE"""),"Events")</f>
        <v>Events</v>
      </c>
      <c r="W474" s="124" t="str">
        <f>IFERROR(__xludf.DUMMYFUNCTION("""COMPUTED_VALUE"""),"All Centre")</f>
        <v>All Centre</v>
      </c>
      <c r="X474" s="124" t="str">
        <f>IFERROR(__xludf.DUMMYFUNCTION("""COMPUTED_VALUE"""),"Generic")</f>
        <v>Generic</v>
      </c>
      <c r="Y474" s="124" t="str">
        <f>IFERROR(__xludf.DUMMYFUNCTION("""COMPUTED_VALUE"""),"Delhi")</f>
        <v>Delhi</v>
      </c>
      <c r="Z474" s="124">
        <f>IFERROR(__xludf.DUMMYFUNCTION("""COMPUTED_VALUE"""),11.0)</f>
        <v>11</v>
      </c>
      <c r="AA474" s="124" t="str">
        <f>IFERROR(__xludf.DUMMYFUNCTION("""COMPUTED_VALUE"""),"Cold")</f>
        <v>Cold</v>
      </c>
      <c r="AB474" s="124" t="str">
        <f>IFERROR(__xludf.DUMMYFUNCTION("""COMPUTED_VALUE"""),"Mentorship")</f>
        <v>Mentorship</v>
      </c>
    </row>
    <row r="475">
      <c r="A475" s="126">
        <f>IFERROR(__xludf.DUMMYFUNCTION("""COMPUTED_VALUE"""),46107.0)</f>
        <v>46107</v>
      </c>
      <c r="B475" s="124" t="str">
        <f>IFERROR(__xludf.DUMMYFUNCTION("""COMPUTED_VALUE"""),"Walkin")</f>
        <v>Walkin</v>
      </c>
      <c r="C475" s="124" t="str">
        <f>IFERROR(__xludf.DUMMYFUNCTION("""COMPUTED_VALUE"""),"Indore")</f>
        <v>Indore</v>
      </c>
      <c r="D475" s="124" t="str">
        <f>IFERROR(__xludf.DUMMYFUNCTION("""COMPUTED_VALUE"""),"Primary_Walkin")</f>
        <v>Primary_Walkin</v>
      </c>
      <c r="E475" s="127">
        <f>IFERROR(__xludf.DUMMYFUNCTION("""COMPUTED_VALUE"""),1.0)</f>
        <v>1</v>
      </c>
      <c r="F475" s="128" t="str">
        <f>IFERROR(__xludf.DUMMYFUNCTION("""COMPUTED_VALUE"""),"Warm")</f>
        <v>Warm</v>
      </c>
      <c r="G475" s="124" t="str">
        <f>IFERROR(__xludf.DUMMYFUNCTION("""COMPUTED_VALUE"""),"GS Foundation")</f>
        <v>GS Foundation</v>
      </c>
      <c r="K475" s="124"/>
      <c r="L475" s="124"/>
      <c r="M475" s="124"/>
      <c r="N475" s="124"/>
      <c r="O475" s="124"/>
      <c r="T475" s="126">
        <f>IFERROR(__xludf.DUMMYFUNCTION("""COMPUTED_VALUE"""),46047.0)</f>
        <v>46047</v>
      </c>
      <c r="U475" s="124" t="str">
        <f>IFERROR(__xludf.DUMMYFUNCTION("""COMPUTED_VALUE"""),"Event")</f>
        <v>Event</v>
      </c>
      <c r="V475" s="124" t="str">
        <f>IFERROR(__xludf.DUMMYFUNCTION("""COMPUTED_VALUE"""),"Events")</f>
        <v>Events</v>
      </c>
      <c r="W475" s="124" t="str">
        <f>IFERROR(__xludf.DUMMYFUNCTION("""COMPUTED_VALUE"""),"Delhi")</f>
        <v>Delhi</v>
      </c>
      <c r="X475" s="124" t="str">
        <f>IFERROR(__xludf.DUMMYFUNCTION("""COMPUTED_VALUE"""),"DRCSEMINAR(CTC)")</f>
        <v>DRCSEMINAR(CTC)</v>
      </c>
      <c r="Y475" s="124"/>
      <c r="Z475" s="124">
        <f>IFERROR(__xludf.DUMMYFUNCTION("""COMPUTED_VALUE"""),38.0)</f>
        <v>38</v>
      </c>
      <c r="AA475" s="124" t="str">
        <f>IFERROR(__xludf.DUMMYFUNCTION("""COMPUTED_VALUE"""),"Cold")</f>
        <v>Cold</v>
      </c>
      <c r="AB475" s="124"/>
    </row>
    <row r="476">
      <c r="A476" s="126">
        <f>IFERROR(__xludf.DUMMYFUNCTION("""COMPUTED_VALUE"""),46103.0)</f>
        <v>46103</v>
      </c>
      <c r="B476" s="124" t="str">
        <f>IFERROR(__xludf.DUMMYFUNCTION("""COMPUTED_VALUE"""),"Walkin")</f>
        <v>Walkin</v>
      </c>
      <c r="C476" s="124" t="str">
        <f>IFERROR(__xludf.DUMMYFUNCTION("""COMPUTED_VALUE"""),"Patna")</f>
        <v>Patna</v>
      </c>
      <c r="D476" s="124" t="str">
        <f>IFERROR(__xludf.DUMMYFUNCTION("""COMPUTED_VALUE"""),"Primary_Walkin")</f>
        <v>Primary_Walkin</v>
      </c>
      <c r="E476" s="127">
        <f>IFERROR(__xludf.DUMMYFUNCTION("""COMPUTED_VALUE"""),4.0)</f>
        <v>4</v>
      </c>
      <c r="F476" s="128" t="str">
        <f>IFERROR(__xludf.DUMMYFUNCTION("""COMPUTED_VALUE"""),"Warm")</f>
        <v>Warm</v>
      </c>
      <c r="G476" s="124" t="str">
        <f>IFERROR(__xludf.DUMMYFUNCTION("""COMPUTED_VALUE"""),"Test Series")</f>
        <v>Test Series</v>
      </c>
      <c r="K476" s="124"/>
      <c r="L476" s="124"/>
      <c r="M476" s="124"/>
      <c r="N476" s="124"/>
      <c r="O476" s="124"/>
      <c r="T476" s="126">
        <f>IFERROR(__xludf.DUMMYFUNCTION("""COMPUTED_VALUE"""),46056.0)</f>
        <v>46056</v>
      </c>
      <c r="U476" s="124" t="str">
        <f>IFERROR(__xludf.DUMMYFUNCTION("""COMPUTED_VALUE"""),"Event")</f>
        <v>Event</v>
      </c>
      <c r="V476" s="124" t="str">
        <f>IFERROR(__xludf.DUMMYFUNCTION("""COMPUTED_VALUE"""),"Events")</f>
        <v>Events</v>
      </c>
      <c r="W476" s="124" t="str">
        <f>IFERROR(__xludf.DUMMYFUNCTION("""COMPUTED_VALUE"""),"All Centre")</f>
        <v>All Centre</v>
      </c>
      <c r="X476" s="124" t="str">
        <f>IFERROR(__xludf.DUMMYFUNCTION("""COMPUTED_VALUE"""),"Generic")</f>
        <v>Generic</v>
      </c>
      <c r="Y476" s="124" t="str">
        <f>IFERROR(__xludf.DUMMYFUNCTION("""COMPUTED_VALUE"""),"Delhi")</f>
        <v>Delhi</v>
      </c>
      <c r="Z476" s="124">
        <f>IFERROR(__xludf.DUMMYFUNCTION("""COMPUTED_VALUE"""),6.0)</f>
        <v>6</v>
      </c>
      <c r="AA476" s="124" t="str">
        <f>IFERROR(__xludf.DUMMYFUNCTION("""COMPUTED_VALUE"""),"Cold")</f>
        <v>Cold</v>
      </c>
      <c r="AB476" s="124" t="str">
        <f>IFERROR(__xludf.DUMMYFUNCTION("""COMPUTED_VALUE"""),"GS Foundation")</f>
        <v>GS Foundation</v>
      </c>
    </row>
    <row r="477">
      <c r="A477" s="129">
        <f>IFERROR(__xludf.DUMMYFUNCTION("""COMPUTED_VALUE"""),46111.0)</f>
        <v>46111</v>
      </c>
      <c r="B477" s="124" t="str">
        <f>IFERROR(__xludf.DUMMYFUNCTION("""COMPUTED_VALUE"""),"Walkin")</f>
        <v>Walkin</v>
      </c>
      <c r="C477" s="124" t="str">
        <f>IFERROR(__xludf.DUMMYFUNCTION("""COMPUTED_VALUE"""),"Patna")</f>
        <v>Patna</v>
      </c>
      <c r="D477" s="124" t="str">
        <f>IFERROR(__xludf.DUMMYFUNCTION("""COMPUTED_VALUE"""),"Primary_Walkin")</f>
        <v>Primary_Walkin</v>
      </c>
      <c r="E477" s="127">
        <f>IFERROR(__xludf.DUMMYFUNCTION("""COMPUTED_VALUE"""),13.0)</f>
        <v>13</v>
      </c>
      <c r="F477" s="128" t="str">
        <f>IFERROR(__xludf.DUMMYFUNCTION("""COMPUTED_VALUE"""),"Warm")</f>
        <v>Warm</v>
      </c>
      <c r="G477" s="124" t="str">
        <f>IFERROR(__xludf.DUMMYFUNCTION("""COMPUTED_VALUE"""),"State PCS")</f>
        <v>State PCS</v>
      </c>
      <c r="K477" s="124"/>
      <c r="L477" s="124"/>
      <c r="M477" s="124"/>
      <c r="N477" s="124"/>
      <c r="O477" s="124"/>
      <c r="T477" s="126">
        <f>IFERROR(__xludf.DUMMYFUNCTION("""COMPUTED_VALUE"""),46097.0)</f>
        <v>46097</v>
      </c>
      <c r="U477" s="124" t="str">
        <f>IFERROR(__xludf.DUMMYFUNCTION("""COMPUTED_VALUE"""),"Event")</f>
        <v>Event</v>
      </c>
      <c r="V477" s="124" t="str">
        <f>IFERROR(__xludf.DUMMYFUNCTION("""COMPUTED_VALUE"""),"Events")</f>
        <v>Events</v>
      </c>
      <c r="W477" s="124" t="str">
        <f>IFERROR(__xludf.DUMMYFUNCTION("""COMPUTED_VALUE"""),"All Centre")</f>
        <v>All Centre</v>
      </c>
      <c r="X477" s="124" t="str">
        <f>IFERROR(__xludf.DUMMYFUNCTION("""COMPUTED_VALUE"""),"Generic")</f>
        <v>Generic</v>
      </c>
      <c r="Y477" s="124" t="str">
        <f>IFERROR(__xludf.DUMMYFUNCTION("""COMPUTED_VALUE"""),"Delhi")</f>
        <v>Delhi</v>
      </c>
      <c r="Z477" s="124">
        <f>IFERROR(__xludf.DUMMYFUNCTION("""COMPUTED_VALUE"""),31.0)</f>
        <v>31</v>
      </c>
      <c r="AA477" s="124" t="str">
        <f>IFERROR(__xludf.DUMMYFUNCTION("""COMPUTED_VALUE"""),"Cold")</f>
        <v>Cold</v>
      </c>
      <c r="AB477" s="124" t="str">
        <f>IFERROR(__xludf.DUMMYFUNCTION("""COMPUTED_VALUE"""),"GS Foundation")</f>
        <v>GS Foundation</v>
      </c>
    </row>
    <row r="478">
      <c r="A478" s="126">
        <f>IFERROR(__xludf.DUMMYFUNCTION("""COMPUTED_VALUE"""),46104.0)</f>
        <v>46104</v>
      </c>
      <c r="B478" s="124" t="str">
        <f>IFERROR(__xludf.DUMMYFUNCTION("""COMPUTED_VALUE"""),"Walkin")</f>
        <v>Walkin</v>
      </c>
      <c r="C478" s="124" t="str">
        <f>IFERROR(__xludf.DUMMYFUNCTION("""COMPUTED_VALUE"""),"Patna")</f>
        <v>Patna</v>
      </c>
      <c r="D478" s="124" t="str">
        <f>IFERROR(__xludf.DUMMYFUNCTION("""COMPUTED_VALUE"""),"Primary_Walkin")</f>
        <v>Primary_Walkin</v>
      </c>
      <c r="E478" s="127">
        <f>IFERROR(__xludf.DUMMYFUNCTION("""COMPUTED_VALUE"""),3.0)</f>
        <v>3</v>
      </c>
      <c r="F478" s="128" t="str">
        <f>IFERROR(__xludf.DUMMYFUNCTION("""COMPUTED_VALUE"""),"Warm")</f>
        <v>Warm</v>
      </c>
      <c r="G478" s="124" t="str">
        <f>IFERROR(__xludf.DUMMYFUNCTION("""COMPUTED_VALUE"""),"GS Foundation")</f>
        <v>GS Foundation</v>
      </c>
      <c r="K478" s="124"/>
      <c r="L478" s="124"/>
      <c r="M478" s="124"/>
      <c r="N478" s="124"/>
      <c r="O478" s="124"/>
      <c r="T478" s="126">
        <f>IFERROR(__xludf.DUMMYFUNCTION("""COMPUTED_VALUE"""),46065.0)</f>
        <v>46065</v>
      </c>
      <c r="U478" s="124" t="str">
        <f>IFERROR(__xludf.DUMMYFUNCTION("""COMPUTED_VALUE"""),"Event")</f>
        <v>Event</v>
      </c>
      <c r="V478" s="124" t="str">
        <f>IFERROR(__xludf.DUMMYFUNCTION("""COMPUTED_VALUE"""),"Events")</f>
        <v>Events</v>
      </c>
      <c r="W478" s="124" t="str">
        <f>IFERROR(__xludf.DUMMYFUNCTION("""COMPUTED_VALUE"""),"All Centre")</f>
        <v>All Centre</v>
      </c>
      <c r="X478" s="124" t="str">
        <f>IFERROR(__xludf.DUMMYFUNCTION("""COMPUTED_VALUE"""),"Generic")</f>
        <v>Generic</v>
      </c>
      <c r="Y478" s="124" t="str">
        <f>IFERROR(__xludf.DUMMYFUNCTION("""COMPUTED_VALUE"""),"Delhi")</f>
        <v>Delhi</v>
      </c>
      <c r="Z478" s="124">
        <f>IFERROR(__xludf.DUMMYFUNCTION("""COMPUTED_VALUE"""),10.0)</f>
        <v>10</v>
      </c>
      <c r="AA478" s="124" t="str">
        <f>IFERROR(__xludf.DUMMYFUNCTION("""COMPUTED_VALUE"""),"Cold")</f>
        <v>Cold</v>
      </c>
      <c r="AB478" s="124" t="str">
        <f>IFERROR(__xludf.DUMMYFUNCTION("""COMPUTED_VALUE"""),"Mentorship")</f>
        <v>Mentorship</v>
      </c>
    </row>
    <row r="479">
      <c r="A479" s="126">
        <f>IFERROR(__xludf.DUMMYFUNCTION("""COMPUTED_VALUE"""),46109.0)</f>
        <v>46109</v>
      </c>
      <c r="B479" s="124" t="str">
        <f>IFERROR(__xludf.DUMMYFUNCTION("""COMPUTED_VALUE"""),"Walkin")</f>
        <v>Walkin</v>
      </c>
      <c r="C479" s="124" t="str">
        <f>IFERROR(__xludf.DUMMYFUNCTION("""COMPUTED_VALUE"""),"Patna")</f>
        <v>Patna</v>
      </c>
      <c r="D479" s="124" t="str">
        <f>IFERROR(__xludf.DUMMYFUNCTION("""COMPUTED_VALUE"""),"Primary_Walkin")</f>
        <v>Primary_Walkin</v>
      </c>
      <c r="E479" s="127">
        <f>IFERROR(__xludf.DUMMYFUNCTION("""COMPUTED_VALUE"""),2.0)</f>
        <v>2</v>
      </c>
      <c r="F479" s="128" t="str">
        <f>IFERROR(__xludf.DUMMYFUNCTION("""COMPUTED_VALUE"""),"Warm")</f>
        <v>Warm</v>
      </c>
      <c r="G479" s="124" t="str">
        <f>IFERROR(__xludf.DUMMYFUNCTION("""COMPUTED_VALUE"""),"GS Foundation")</f>
        <v>GS Foundation</v>
      </c>
      <c r="K479" s="124"/>
      <c r="L479" s="124"/>
      <c r="M479" s="124"/>
      <c r="N479" s="124"/>
      <c r="O479" s="124"/>
      <c r="T479" s="126">
        <f>IFERROR(__xludf.DUMMYFUNCTION("""COMPUTED_VALUE"""),46101.0)</f>
        <v>46101</v>
      </c>
      <c r="U479" s="124" t="str">
        <f>IFERROR(__xludf.DUMMYFUNCTION("""COMPUTED_VALUE"""),"Event")</f>
        <v>Event</v>
      </c>
      <c r="V479" s="124" t="str">
        <f>IFERROR(__xludf.DUMMYFUNCTION("""COMPUTED_VALUE"""),"Events")</f>
        <v>Events</v>
      </c>
      <c r="W479" s="124" t="str">
        <f>IFERROR(__xludf.DUMMYFUNCTION("""COMPUTED_VALUE"""),"All Centre")</f>
        <v>All Centre</v>
      </c>
      <c r="X479" s="124" t="str">
        <f>IFERROR(__xludf.DUMMYFUNCTION("""COMPUTED_VALUE"""),"Generic")</f>
        <v>Generic</v>
      </c>
      <c r="Y479" s="124" t="str">
        <f>IFERROR(__xludf.DUMMYFUNCTION("""COMPUTED_VALUE"""),"Delhi")</f>
        <v>Delhi</v>
      </c>
      <c r="Z479" s="124">
        <f>IFERROR(__xludf.DUMMYFUNCTION("""COMPUTED_VALUE"""),3.0)</f>
        <v>3</v>
      </c>
      <c r="AA479" s="124"/>
      <c r="AB479" s="124" t="str">
        <f>IFERROR(__xludf.DUMMYFUNCTION("""COMPUTED_VALUE"""),"GS Foundation")</f>
        <v>GS Foundation</v>
      </c>
    </row>
    <row r="480">
      <c r="A480" s="126">
        <f>IFERROR(__xludf.DUMMYFUNCTION("""COMPUTED_VALUE"""),46095.0)</f>
        <v>46095</v>
      </c>
      <c r="B480" s="124" t="str">
        <f>IFERROR(__xludf.DUMMYFUNCTION("""COMPUTED_VALUE"""),"Walkin")</f>
        <v>Walkin</v>
      </c>
      <c r="C480" s="124" t="str">
        <f>IFERROR(__xludf.DUMMYFUNCTION("""COMPUTED_VALUE"""),"Patna")</f>
        <v>Patna</v>
      </c>
      <c r="D480" s="124" t="str">
        <f>IFERROR(__xludf.DUMMYFUNCTION("""COMPUTED_VALUE"""),"Primary_Walkin")</f>
        <v>Primary_Walkin</v>
      </c>
      <c r="E480" s="127">
        <f>IFERROR(__xludf.DUMMYFUNCTION("""COMPUTED_VALUE"""),1.0)</f>
        <v>1</v>
      </c>
      <c r="F480" s="128" t="str">
        <f>IFERROR(__xludf.DUMMYFUNCTION("""COMPUTED_VALUE"""),"Future Prospects")</f>
        <v>Future Prospects</v>
      </c>
      <c r="G480" s="124" t="str">
        <f>IFERROR(__xludf.DUMMYFUNCTION("""COMPUTED_VALUE"""),"State PCS")</f>
        <v>State PCS</v>
      </c>
      <c r="K480" s="124"/>
      <c r="L480" s="124"/>
      <c r="M480" s="124"/>
      <c r="N480" s="124"/>
      <c r="O480" s="124"/>
      <c r="T480" s="126">
        <f>IFERROR(__xludf.DUMMYFUNCTION("""COMPUTED_VALUE"""),46065.0)</f>
        <v>46065</v>
      </c>
      <c r="U480" s="124" t="str">
        <f>IFERROR(__xludf.DUMMYFUNCTION("""COMPUTED_VALUE"""),"Event")</f>
        <v>Event</v>
      </c>
      <c r="V480" s="124" t="str">
        <f>IFERROR(__xludf.DUMMYFUNCTION("""COMPUTED_VALUE"""),"Events")</f>
        <v>Events</v>
      </c>
      <c r="W480" s="124" t="str">
        <f>IFERROR(__xludf.DUMMYFUNCTION("""COMPUTED_VALUE"""),"All Centre")</f>
        <v>All Centre</v>
      </c>
      <c r="X480" s="124" t="str">
        <f>IFERROR(__xludf.DUMMYFUNCTION("""COMPUTED_VALUE"""),"Generic")</f>
        <v>Generic</v>
      </c>
      <c r="Y480" s="124" t="str">
        <f>IFERROR(__xludf.DUMMYFUNCTION("""COMPUTED_VALUE"""),"Delhi")</f>
        <v>Delhi</v>
      </c>
      <c r="Z480" s="124">
        <f>IFERROR(__xludf.DUMMYFUNCTION("""COMPUTED_VALUE"""),34.0)</f>
        <v>34</v>
      </c>
      <c r="AA480" s="124" t="str">
        <f>IFERROR(__xludf.DUMMYFUNCTION("""COMPUTED_VALUE"""),"Cold")</f>
        <v>Cold</v>
      </c>
      <c r="AB480" s="124" t="str">
        <f>IFERROR(__xludf.DUMMYFUNCTION("""COMPUTED_VALUE"""),"GS Advanced")</f>
        <v>GS Advanced</v>
      </c>
    </row>
    <row r="481">
      <c r="A481" s="126">
        <f>IFERROR(__xludf.DUMMYFUNCTION("""COMPUTED_VALUE"""),46044.0)</f>
        <v>46044</v>
      </c>
      <c r="B481" s="124" t="str">
        <f>IFERROR(__xludf.DUMMYFUNCTION("""COMPUTED_VALUE"""),"Walkin")</f>
        <v>Walkin</v>
      </c>
      <c r="C481" s="124" t="str">
        <f>IFERROR(__xludf.DUMMYFUNCTION("""COMPUTED_VALUE"""),"Patna")</f>
        <v>Patna</v>
      </c>
      <c r="D481" s="124" t="str">
        <f>IFERROR(__xludf.DUMMYFUNCTION("""COMPUTED_VALUE"""),"Primary_Walkin")</f>
        <v>Primary_Walkin</v>
      </c>
      <c r="E481" s="127">
        <f>IFERROR(__xludf.DUMMYFUNCTION("""COMPUTED_VALUE"""),6.0)</f>
        <v>6</v>
      </c>
      <c r="F481" s="128" t="str">
        <f>IFERROR(__xludf.DUMMYFUNCTION("""COMPUTED_VALUE"""),"Fake Lead")</f>
        <v>Fake Lead</v>
      </c>
      <c r="G481" s="124" t="str">
        <f>IFERROR(__xludf.DUMMYFUNCTION("""COMPUTED_VALUE"""),"State PCS")</f>
        <v>State PCS</v>
      </c>
      <c r="K481" s="124"/>
      <c r="L481" s="124"/>
      <c r="M481" s="124"/>
      <c r="N481" s="124"/>
      <c r="O481" s="124"/>
      <c r="T481" s="126">
        <f>IFERROR(__xludf.DUMMYFUNCTION("""COMPUTED_VALUE"""),46078.0)</f>
        <v>46078</v>
      </c>
      <c r="U481" s="124" t="str">
        <f>IFERROR(__xludf.DUMMYFUNCTION("""COMPUTED_VALUE"""),"Event")</f>
        <v>Event</v>
      </c>
      <c r="V481" s="124" t="str">
        <f>IFERROR(__xludf.DUMMYFUNCTION("""COMPUTED_VALUE"""),"Events")</f>
        <v>Events</v>
      </c>
      <c r="W481" s="124" t="str">
        <f>IFERROR(__xludf.DUMMYFUNCTION("""COMPUTED_VALUE"""),"All Centre")</f>
        <v>All Centre</v>
      </c>
      <c r="X481" s="124" t="str">
        <f>IFERROR(__xludf.DUMMYFUNCTION("""COMPUTED_VALUE"""),"Generic")</f>
        <v>Generic</v>
      </c>
      <c r="Y481" s="124" t="str">
        <f>IFERROR(__xludf.DUMMYFUNCTION("""COMPUTED_VALUE"""),"Delhi")</f>
        <v>Delhi</v>
      </c>
      <c r="Z481" s="124">
        <f>IFERROR(__xludf.DUMMYFUNCTION("""COMPUTED_VALUE"""),16.0)</f>
        <v>16</v>
      </c>
      <c r="AA481" s="124" t="str">
        <f>IFERROR(__xludf.DUMMYFUNCTION("""COMPUTED_VALUE"""),"Cold")</f>
        <v>Cold</v>
      </c>
      <c r="AB481" s="124" t="str">
        <f>IFERROR(__xludf.DUMMYFUNCTION("""COMPUTED_VALUE"""),"GS Foundation")</f>
        <v>GS Foundation</v>
      </c>
    </row>
    <row r="482">
      <c r="A482" s="126">
        <f>IFERROR(__xludf.DUMMYFUNCTION("""COMPUTED_VALUE"""),46064.0)</f>
        <v>46064</v>
      </c>
      <c r="B482" s="124" t="str">
        <f>IFERROR(__xludf.DUMMYFUNCTION("""COMPUTED_VALUE"""),"Walkin")</f>
        <v>Walkin</v>
      </c>
      <c r="C482" s="124" t="str">
        <f>IFERROR(__xludf.DUMMYFUNCTION("""COMPUTED_VALUE"""),"Patna")</f>
        <v>Patna</v>
      </c>
      <c r="D482" s="124" t="str">
        <f>IFERROR(__xludf.DUMMYFUNCTION("""COMPUTED_VALUE"""),"Primary_Walkin")</f>
        <v>Primary_Walkin</v>
      </c>
      <c r="E482" s="127">
        <f>IFERROR(__xludf.DUMMYFUNCTION("""COMPUTED_VALUE"""),1.0)</f>
        <v>1</v>
      </c>
      <c r="F482" s="128" t="str">
        <f>IFERROR(__xludf.DUMMYFUNCTION("""COMPUTED_VALUE"""),"Future Prospects")</f>
        <v>Future Prospects</v>
      </c>
      <c r="G482" s="124" t="str">
        <f>IFERROR(__xludf.DUMMYFUNCTION("""COMPUTED_VALUE"""),"GS Foundation")</f>
        <v>GS Foundation</v>
      </c>
      <c r="K482" s="124"/>
      <c r="L482" s="124"/>
      <c r="M482" s="124"/>
      <c r="N482" s="124"/>
      <c r="O482" s="124"/>
      <c r="T482" s="126">
        <f>IFERROR(__xludf.DUMMYFUNCTION("""COMPUTED_VALUE"""),46049.0)</f>
        <v>46049</v>
      </c>
      <c r="U482" s="124" t="str">
        <f>IFERROR(__xludf.DUMMYFUNCTION("""COMPUTED_VALUE"""),"Event")</f>
        <v>Event</v>
      </c>
      <c r="V482" s="124" t="str">
        <f>IFERROR(__xludf.DUMMYFUNCTION("""COMPUTED_VALUE"""),"Events")</f>
        <v>Events</v>
      </c>
      <c r="W482" s="124" t="str">
        <f>IFERROR(__xludf.DUMMYFUNCTION("""COMPUTED_VALUE"""),"Delhi")</f>
        <v>Delhi</v>
      </c>
      <c r="X482" s="124" t="str">
        <f>IFERROR(__xludf.DUMMYFUNCTION("""COMPUTED_VALUE"""),"DRCSEMINAR(CTC)")</f>
        <v>DRCSEMINAR(CTC)</v>
      </c>
      <c r="Y482" s="124" t="str">
        <f>IFERROR(__xludf.DUMMYFUNCTION("""COMPUTED_VALUE"""),"Delhi")</f>
        <v>Delhi</v>
      </c>
      <c r="Z482" s="124">
        <f>IFERROR(__xludf.DUMMYFUNCTION("""COMPUTED_VALUE"""),34.0)</f>
        <v>34</v>
      </c>
      <c r="AA482" s="124" t="str">
        <f>IFERROR(__xludf.DUMMYFUNCTION("""COMPUTED_VALUE"""),"Cold")</f>
        <v>Cold</v>
      </c>
      <c r="AB482" s="124"/>
    </row>
    <row r="483">
      <c r="A483" s="126">
        <f>IFERROR(__xludf.DUMMYFUNCTION("""COMPUTED_VALUE"""),46105.0)</f>
        <v>46105</v>
      </c>
      <c r="B483" s="124" t="str">
        <f>IFERROR(__xludf.DUMMYFUNCTION("""COMPUTED_VALUE"""),"Walkin")</f>
        <v>Walkin</v>
      </c>
      <c r="C483" s="124" t="str">
        <f>IFERROR(__xludf.DUMMYFUNCTION("""COMPUTED_VALUE"""),"Patna")</f>
        <v>Patna</v>
      </c>
      <c r="D483" s="124" t="str">
        <f>IFERROR(__xludf.DUMMYFUNCTION("""COMPUTED_VALUE"""),"Primary_Walkin")</f>
        <v>Primary_Walkin</v>
      </c>
      <c r="E483" s="127">
        <f>IFERROR(__xludf.DUMMYFUNCTION("""COMPUTED_VALUE"""),4.0)</f>
        <v>4</v>
      </c>
      <c r="F483" s="128" t="str">
        <f>IFERROR(__xludf.DUMMYFUNCTION("""COMPUTED_VALUE"""),"Not Interested")</f>
        <v>Not Interested</v>
      </c>
      <c r="G483" s="124" t="str">
        <f>IFERROR(__xludf.DUMMYFUNCTION("""COMPUTED_VALUE"""),"State PCS")</f>
        <v>State PCS</v>
      </c>
      <c r="K483" s="124"/>
      <c r="L483" s="124"/>
      <c r="M483" s="124"/>
      <c r="N483" s="124"/>
      <c r="O483" s="124"/>
      <c r="T483" s="126">
        <f>IFERROR(__xludf.DUMMYFUNCTION("""COMPUTED_VALUE"""),46065.0)</f>
        <v>46065</v>
      </c>
      <c r="U483" s="124" t="str">
        <f>IFERROR(__xludf.DUMMYFUNCTION("""COMPUTED_VALUE"""),"Event")</f>
        <v>Event</v>
      </c>
      <c r="V483" s="124" t="str">
        <f>IFERROR(__xludf.DUMMYFUNCTION("""COMPUTED_VALUE"""),"Events")</f>
        <v>Events</v>
      </c>
      <c r="W483" s="124" t="str">
        <f>IFERROR(__xludf.DUMMYFUNCTION("""COMPUTED_VALUE"""),"All Centre")</f>
        <v>All Centre</v>
      </c>
      <c r="X483" s="124" t="str">
        <f>IFERROR(__xludf.DUMMYFUNCTION("""COMPUTED_VALUE"""),"Generic")</f>
        <v>Generic</v>
      </c>
      <c r="Y483" s="124" t="str">
        <f>IFERROR(__xludf.DUMMYFUNCTION("""COMPUTED_VALUE"""),"Delhi")</f>
        <v>Delhi</v>
      </c>
      <c r="Z483" s="124">
        <f>IFERROR(__xludf.DUMMYFUNCTION("""COMPUTED_VALUE"""),8.0)</f>
        <v>8</v>
      </c>
      <c r="AA483" s="124" t="str">
        <f>IFERROR(__xludf.DUMMYFUNCTION("""COMPUTED_VALUE"""),"Cold")</f>
        <v>Cold</v>
      </c>
      <c r="AB483" s="124" t="str">
        <f>IFERROR(__xludf.DUMMYFUNCTION("""COMPUTED_VALUE"""),"State PCS")</f>
        <v>State PCS</v>
      </c>
    </row>
    <row r="484">
      <c r="A484" s="126">
        <f>IFERROR(__xludf.DUMMYFUNCTION("""COMPUTED_VALUE"""),46072.0)</f>
        <v>46072</v>
      </c>
      <c r="B484" s="124" t="str">
        <f>IFERROR(__xludf.DUMMYFUNCTION("""COMPUTED_VALUE"""),"Walkin")</f>
        <v>Walkin</v>
      </c>
      <c r="C484" s="124" t="str">
        <f>IFERROR(__xludf.DUMMYFUNCTION("""COMPUTED_VALUE"""),"Patna")</f>
        <v>Patna</v>
      </c>
      <c r="D484" s="124" t="str">
        <f>IFERROR(__xludf.DUMMYFUNCTION("""COMPUTED_VALUE"""),"Primary_Walkin")</f>
        <v>Primary_Walkin</v>
      </c>
      <c r="E484" s="127">
        <f>IFERROR(__xludf.DUMMYFUNCTION("""COMPUTED_VALUE"""),1.0)</f>
        <v>1</v>
      </c>
      <c r="F484" s="128" t="str">
        <f>IFERROR(__xludf.DUMMYFUNCTION("""COMPUTED_VALUE"""),"Warm")</f>
        <v>Warm</v>
      </c>
      <c r="G484" s="124" t="str">
        <f>IFERROR(__xludf.DUMMYFUNCTION("""COMPUTED_VALUE"""),"State PCS")</f>
        <v>State PCS</v>
      </c>
      <c r="K484" s="124"/>
      <c r="L484" s="124"/>
      <c r="M484" s="124"/>
      <c r="N484" s="124"/>
      <c r="O484" s="124"/>
      <c r="T484" s="126">
        <f>IFERROR(__xludf.DUMMYFUNCTION("""COMPUTED_VALUE"""),46111.0)</f>
        <v>46111</v>
      </c>
      <c r="U484" s="124" t="str">
        <f>IFERROR(__xludf.DUMMYFUNCTION("""COMPUTED_VALUE"""),"Event")</f>
        <v>Event</v>
      </c>
      <c r="V484" s="124" t="str">
        <f>IFERROR(__xludf.DUMMYFUNCTION("""COMPUTED_VALUE"""),"Events")</f>
        <v>Events</v>
      </c>
      <c r="W484" s="124" t="str">
        <f>IFERROR(__xludf.DUMMYFUNCTION("""COMPUTED_VALUE"""),"All Centre")</f>
        <v>All Centre</v>
      </c>
      <c r="X484" s="124" t="str">
        <f>IFERROR(__xludf.DUMMYFUNCTION("""COMPUTED_VALUE"""),"Generic")</f>
        <v>Generic</v>
      </c>
      <c r="Y484" s="124" t="str">
        <f>IFERROR(__xludf.DUMMYFUNCTION("""COMPUTED_VALUE"""),"Delhi")</f>
        <v>Delhi</v>
      </c>
      <c r="Z484" s="124">
        <f>IFERROR(__xludf.DUMMYFUNCTION("""COMPUTED_VALUE"""),24.0)</f>
        <v>24</v>
      </c>
      <c r="AA484" s="124"/>
      <c r="AB484" s="124" t="str">
        <f>IFERROR(__xludf.DUMMYFUNCTION("""COMPUTED_VALUE"""),"GS Foundation")</f>
        <v>GS Foundation</v>
      </c>
    </row>
    <row r="485">
      <c r="A485" s="129">
        <f>IFERROR(__xludf.DUMMYFUNCTION("""COMPUTED_VALUE"""),46075.0)</f>
        <v>46075</v>
      </c>
      <c r="B485" s="124" t="str">
        <f>IFERROR(__xludf.DUMMYFUNCTION("""COMPUTED_VALUE"""),"Walk-In")</f>
        <v>Walk-In</v>
      </c>
      <c r="C485" s="124" t="str">
        <f>IFERROR(__xludf.DUMMYFUNCTION("""COMPUTED_VALUE"""),"Patna")</f>
        <v>Patna</v>
      </c>
      <c r="D485" s="124" t="str">
        <f>IFERROR(__xludf.DUMMYFUNCTION("""COMPUTED_VALUE"""),"Primary_Walkin")</f>
        <v>Primary_Walkin</v>
      </c>
      <c r="E485" s="127">
        <f>IFERROR(__xludf.DUMMYFUNCTION("""COMPUTED_VALUE"""),1.0)</f>
        <v>1</v>
      </c>
      <c r="F485" s="128" t="str">
        <f>IFERROR(__xludf.DUMMYFUNCTION("""COMPUTED_VALUE"""),"Not Interested")</f>
        <v>Not Interested</v>
      </c>
      <c r="G485" s="124" t="str">
        <f>IFERROR(__xludf.DUMMYFUNCTION("""COMPUTED_VALUE"""),"Test Series")</f>
        <v>Test Series</v>
      </c>
      <c r="K485" s="124"/>
      <c r="L485" s="124"/>
      <c r="M485" s="124"/>
      <c r="N485" s="124"/>
      <c r="O485" s="124"/>
      <c r="T485" s="126">
        <f>IFERROR(__xludf.DUMMYFUNCTION("""COMPUTED_VALUE"""),46110.0)</f>
        <v>46110</v>
      </c>
      <c r="U485" s="124" t="str">
        <f>IFERROR(__xludf.DUMMYFUNCTION("""COMPUTED_VALUE"""),"Event")</f>
        <v>Event</v>
      </c>
      <c r="V485" s="124" t="str">
        <f>IFERROR(__xludf.DUMMYFUNCTION("""COMPUTED_VALUE"""),"Events")</f>
        <v>Events</v>
      </c>
      <c r="W485" s="124" t="str">
        <f>IFERROR(__xludf.DUMMYFUNCTION("""COMPUTED_VALUE"""),"All Centre")</f>
        <v>All Centre</v>
      </c>
      <c r="X485" s="124" t="str">
        <f>IFERROR(__xludf.DUMMYFUNCTION("""COMPUTED_VALUE"""),"Generic")</f>
        <v>Generic</v>
      </c>
      <c r="Y485" s="124" t="str">
        <f>IFERROR(__xludf.DUMMYFUNCTION("""COMPUTED_VALUE"""),"Delhi")</f>
        <v>Delhi</v>
      </c>
      <c r="Z485" s="124">
        <f>IFERROR(__xludf.DUMMYFUNCTION("""COMPUTED_VALUE"""),83.0)</f>
        <v>83</v>
      </c>
      <c r="AA485" s="124"/>
      <c r="AB485" s="124" t="str">
        <f>IFERROR(__xludf.DUMMYFUNCTION("""COMPUTED_VALUE"""),"GS Foundation")</f>
        <v>GS Foundation</v>
      </c>
    </row>
    <row r="486">
      <c r="A486" s="126">
        <f>IFERROR(__xludf.DUMMYFUNCTION("""COMPUTED_VALUE"""),46107.0)</f>
        <v>46107</v>
      </c>
      <c r="B486" s="124" t="str">
        <f>IFERROR(__xludf.DUMMYFUNCTION("""COMPUTED_VALUE"""),"Walkin")</f>
        <v>Walkin</v>
      </c>
      <c r="C486" s="124" t="str">
        <f>IFERROR(__xludf.DUMMYFUNCTION("""COMPUTED_VALUE"""),"Patna")</f>
        <v>Patna</v>
      </c>
      <c r="D486" s="124" t="str">
        <f>IFERROR(__xludf.DUMMYFUNCTION("""COMPUTED_VALUE"""),"Primary_Walkin")</f>
        <v>Primary_Walkin</v>
      </c>
      <c r="E486" s="127">
        <f>IFERROR(__xludf.DUMMYFUNCTION("""COMPUTED_VALUE"""),2.0)</f>
        <v>2</v>
      </c>
      <c r="F486" s="128" t="str">
        <f>IFERROR(__xludf.DUMMYFUNCTION("""COMPUTED_VALUE"""),"Warm")</f>
        <v>Warm</v>
      </c>
      <c r="G486" s="124" t="str">
        <f>IFERROR(__xludf.DUMMYFUNCTION("""COMPUTED_VALUE"""),"State PCS")</f>
        <v>State PCS</v>
      </c>
      <c r="K486" s="124"/>
      <c r="L486" s="124"/>
      <c r="M486" s="124"/>
      <c r="N486" s="124"/>
      <c r="O486" s="124"/>
      <c r="T486" s="126">
        <f>IFERROR(__xludf.DUMMYFUNCTION("""COMPUTED_VALUE"""),46050.0)</f>
        <v>46050</v>
      </c>
      <c r="U486" s="124" t="str">
        <f>IFERROR(__xludf.DUMMYFUNCTION("""COMPUTED_VALUE"""),"Event")</f>
        <v>Event</v>
      </c>
      <c r="V486" s="124" t="str">
        <f>IFERROR(__xludf.DUMMYFUNCTION("""COMPUTED_VALUE"""),"Events")</f>
        <v>Events</v>
      </c>
      <c r="W486" s="124" t="str">
        <f>IFERROR(__xludf.DUMMYFUNCTION("""COMPUTED_VALUE"""),"Delhi")</f>
        <v>Delhi</v>
      </c>
      <c r="X486" s="124" t="str">
        <f>IFERROR(__xludf.DUMMYFUNCTION("""COMPUTED_VALUE"""),"DRCSEMINAR(CTC)")</f>
        <v>DRCSEMINAR(CTC)</v>
      </c>
      <c r="Y486" s="124" t="str">
        <f>IFERROR(__xludf.DUMMYFUNCTION("""COMPUTED_VALUE"""),"Delhi")</f>
        <v>Delhi</v>
      </c>
      <c r="Z486" s="124">
        <f>IFERROR(__xludf.DUMMYFUNCTION("""COMPUTED_VALUE"""),35.0)</f>
        <v>35</v>
      </c>
      <c r="AA486" s="124" t="str">
        <f>IFERROR(__xludf.DUMMYFUNCTION("""COMPUTED_VALUE"""),"Cold")</f>
        <v>Cold</v>
      </c>
      <c r="AB486" s="124"/>
    </row>
    <row r="487">
      <c r="A487" s="126">
        <f>IFERROR(__xludf.DUMMYFUNCTION("""COMPUTED_VALUE"""),46107.0)</f>
        <v>46107</v>
      </c>
      <c r="B487" s="124" t="str">
        <f>IFERROR(__xludf.DUMMYFUNCTION("""COMPUTED_VALUE"""),"Walkin")</f>
        <v>Walkin</v>
      </c>
      <c r="C487" s="124" t="str">
        <f>IFERROR(__xludf.DUMMYFUNCTION("""COMPUTED_VALUE"""),"Patna")</f>
        <v>Patna</v>
      </c>
      <c r="D487" s="124" t="str">
        <f>IFERROR(__xludf.DUMMYFUNCTION("""COMPUTED_VALUE"""),"Primary_Walkin")</f>
        <v>Primary_Walkin</v>
      </c>
      <c r="E487" s="127">
        <f>IFERROR(__xludf.DUMMYFUNCTION("""COMPUTED_VALUE"""),1.0)</f>
        <v>1</v>
      </c>
      <c r="F487" s="128" t="str">
        <f>IFERROR(__xludf.DUMMYFUNCTION("""COMPUTED_VALUE"""),"Not Interested")</f>
        <v>Not Interested</v>
      </c>
      <c r="G487" s="124" t="str">
        <f>IFERROR(__xludf.DUMMYFUNCTION("""COMPUTED_VALUE"""),"State PCS")</f>
        <v>State PCS</v>
      </c>
      <c r="K487" s="124"/>
      <c r="L487" s="124"/>
      <c r="M487" s="124"/>
      <c r="N487" s="124"/>
      <c r="O487" s="124"/>
      <c r="T487" s="126">
        <f>IFERROR(__xludf.DUMMYFUNCTION("""COMPUTED_VALUE"""),46078.0)</f>
        <v>46078</v>
      </c>
      <c r="U487" s="124" t="str">
        <f>IFERROR(__xludf.DUMMYFUNCTION("""COMPUTED_VALUE"""),"Event")</f>
        <v>Event</v>
      </c>
      <c r="V487" s="124" t="str">
        <f>IFERROR(__xludf.DUMMYFUNCTION("""COMPUTED_VALUE"""),"Events")</f>
        <v>Events</v>
      </c>
      <c r="W487" s="124" t="str">
        <f>IFERROR(__xludf.DUMMYFUNCTION("""COMPUTED_VALUE"""),"All Centre")</f>
        <v>All Centre</v>
      </c>
      <c r="X487" s="124" t="str">
        <f>IFERROR(__xludf.DUMMYFUNCTION("""COMPUTED_VALUE"""),"Generic")</f>
        <v>Generic</v>
      </c>
      <c r="Y487" s="124" t="str">
        <f>IFERROR(__xludf.DUMMYFUNCTION("""COMPUTED_VALUE"""),"Delhi")</f>
        <v>Delhi</v>
      </c>
      <c r="Z487" s="124">
        <f>IFERROR(__xludf.DUMMYFUNCTION("""COMPUTED_VALUE"""),2.0)</f>
        <v>2</v>
      </c>
      <c r="AA487" s="124" t="str">
        <f>IFERROR(__xludf.DUMMYFUNCTION("""COMPUTED_VALUE"""),"Warm")</f>
        <v>Warm</v>
      </c>
      <c r="AB487" s="124" t="str">
        <f>IFERROR(__xludf.DUMMYFUNCTION("""COMPUTED_VALUE"""),"Hybrid")</f>
        <v>Hybrid</v>
      </c>
    </row>
    <row r="488">
      <c r="A488" s="129">
        <f>IFERROR(__xludf.DUMMYFUNCTION("""COMPUTED_VALUE"""),46067.0)</f>
        <v>46067</v>
      </c>
      <c r="B488" s="124" t="str">
        <f>IFERROR(__xludf.DUMMYFUNCTION("""COMPUTED_VALUE"""),"Walkin")</f>
        <v>Walkin</v>
      </c>
      <c r="C488" s="124" t="str">
        <f>IFERROR(__xludf.DUMMYFUNCTION("""COMPUTED_VALUE"""),"Patna")</f>
        <v>Patna</v>
      </c>
      <c r="D488" s="124" t="str">
        <f>IFERROR(__xludf.DUMMYFUNCTION("""COMPUTED_VALUE"""),"Primary_Walkin")</f>
        <v>Primary_Walkin</v>
      </c>
      <c r="E488" s="127">
        <f>IFERROR(__xludf.DUMMYFUNCTION("""COMPUTED_VALUE"""),3.0)</f>
        <v>3</v>
      </c>
      <c r="F488" s="128" t="str">
        <f>IFERROR(__xludf.DUMMYFUNCTION("""COMPUTED_VALUE"""),"Cold")</f>
        <v>Cold</v>
      </c>
      <c r="G488" s="124" t="str">
        <f>IFERROR(__xludf.DUMMYFUNCTION("""COMPUTED_VALUE"""),"State PCS")</f>
        <v>State PCS</v>
      </c>
      <c r="K488" s="124"/>
      <c r="L488" s="124"/>
      <c r="M488" s="124"/>
      <c r="N488" s="124"/>
      <c r="O488" s="124"/>
      <c r="T488" s="126">
        <f>IFERROR(__xludf.DUMMYFUNCTION("""COMPUTED_VALUE"""),46064.0)</f>
        <v>46064</v>
      </c>
      <c r="U488" s="124" t="str">
        <f>IFERROR(__xludf.DUMMYFUNCTION("""COMPUTED_VALUE"""),"Event")</f>
        <v>Event</v>
      </c>
      <c r="V488" s="124" t="str">
        <f>IFERROR(__xludf.DUMMYFUNCTION("""COMPUTED_VALUE"""),"Events")</f>
        <v>Events</v>
      </c>
      <c r="W488" s="124" t="str">
        <f>IFERROR(__xludf.DUMMYFUNCTION("""COMPUTED_VALUE"""),"All Centre")</f>
        <v>All Centre</v>
      </c>
      <c r="X488" s="124" t="str">
        <f>IFERROR(__xludf.DUMMYFUNCTION("""COMPUTED_VALUE"""),"Generic")</f>
        <v>Generic</v>
      </c>
      <c r="Y488" s="124" t="str">
        <f>IFERROR(__xludf.DUMMYFUNCTION("""COMPUTED_VALUE"""),"Delhi")</f>
        <v>Delhi</v>
      </c>
      <c r="Z488" s="124">
        <f>IFERROR(__xludf.DUMMYFUNCTION("""COMPUTED_VALUE"""),2.0)</f>
        <v>2</v>
      </c>
      <c r="AA488" s="124" t="str">
        <f>IFERROR(__xludf.DUMMYFUNCTION("""COMPUTED_VALUE"""),"Cold")</f>
        <v>Cold</v>
      </c>
      <c r="AB488" s="124" t="str">
        <f>IFERROR(__xludf.DUMMYFUNCTION("""COMPUTED_VALUE"""),"Hybrid")</f>
        <v>Hybrid</v>
      </c>
    </row>
    <row r="489">
      <c r="A489" s="126">
        <f>IFERROR(__xludf.DUMMYFUNCTION("""COMPUTED_VALUE"""),46057.0)</f>
        <v>46057</v>
      </c>
      <c r="B489" s="124" t="str">
        <f>IFERROR(__xludf.DUMMYFUNCTION("""COMPUTED_VALUE"""),"Walkin")</f>
        <v>Walkin</v>
      </c>
      <c r="C489" s="124" t="str">
        <f>IFERROR(__xludf.DUMMYFUNCTION("""COMPUTED_VALUE"""),"Patna")</f>
        <v>Patna</v>
      </c>
      <c r="D489" s="124" t="str">
        <f>IFERROR(__xludf.DUMMYFUNCTION("""COMPUTED_VALUE"""),"Primary_Walkin")</f>
        <v>Primary_Walkin</v>
      </c>
      <c r="E489" s="127">
        <f>IFERROR(__xludf.DUMMYFUNCTION("""COMPUTED_VALUE"""),2.0)</f>
        <v>2</v>
      </c>
      <c r="F489" s="128" t="str">
        <f>IFERROR(__xludf.DUMMYFUNCTION("""COMPUTED_VALUE"""),"Cold")</f>
        <v>Cold</v>
      </c>
      <c r="G489" s="124" t="str">
        <f>IFERROR(__xludf.DUMMYFUNCTION("""COMPUTED_VALUE"""),"GS Foundation")</f>
        <v>GS Foundation</v>
      </c>
      <c r="K489" s="124"/>
      <c r="L489" s="124"/>
      <c r="M489" s="124"/>
      <c r="N489" s="124"/>
      <c r="O489" s="124"/>
      <c r="T489" s="126">
        <f>IFERROR(__xludf.DUMMYFUNCTION("""COMPUTED_VALUE"""),46047.0)</f>
        <v>46047</v>
      </c>
      <c r="U489" s="124" t="str">
        <f>IFERROR(__xludf.DUMMYFUNCTION("""COMPUTED_VALUE"""),"Event")</f>
        <v>Event</v>
      </c>
      <c r="V489" s="124" t="str">
        <f>IFERROR(__xludf.DUMMYFUNCTION("""COMPUTED_VALUE"""),"Events")</f>
        <v>Events</v>
      </c>
      <c r="W489" s="124" t="str">
        <f>IFERROR(__xludf.DUMMYFUNCTION("""COMPUTED_VALUE"""),"Delhi")</f>
        <v>Delhi</v>
      </c>
      <c r="X489" s="124" t="str">
        <f>IFERROR(__xludf.DUMMYFUNCTION("""COMPUTED_VALUE"""),"DRCSEMINAR(CTC)")</f>
        <v>DRCSEMINAR(CTC)</v>
      </c>
      <c r="Y489" s="124"/>
      <c r="Z489" s="124">
        <f>IFERROR(__xludf.DUMMYFUNCTION("""COMPUTED_VALUE"""),2.0)</f>
        <v>2</v>
      </c>
      <c r="AA489" s="124" t="str">
        <f>IFERROR(__xludf.DUMMYFUNCTION("""COMPUTED_VALUE"""),"Fake Lead")</f>
        <v>Fake Lead</v>
      </c>
      <c r="AB489" s="124"/>
    </row>
    <row r="490">
      <c r="A490" s="129">
        <f>IFERROR(__xludf.DUMMYFUNCTION("""COMPUTED_VALUE"""),46099.0)</f>
        <v>46099</v>
      </c>
      <c r="B490" s="124" t="str">
        <f>IFERROR(__xludf.DUMMYFUNCTION("""COMPUTED_VALUE"""),"Walkin")</f>
        <v>Walkin</v>
      </c>
      <c r="C490" s="124" t="str">
        <f>IFERROR(__xludf.DUMMYFUNCTION("""COMPUTED_VALUE"""),"Patna")</f>
        <v>Patna</v>
      </c>
      <c r="D490" s="124" t="str">
        <f>IFERROR(__xludf.DUMMYFUNCTION("""COMPUTED_VALUE"""),"Primary_Walkin")</f>
        <v>Primary_Walkin</v>
      </c>
      <c r="E490" s="127">
        <f>IFERROR(__xludf.DUMMYFUNCTION("""COMPUTED_VALUE"""),1.0)</f>
        <v>1</v>
      </c>
      <c r="F490" s="128" t="str">
        <f>IFERROR(__xludf.DUMMYFUNCTION("""COMPUTED_VALUE"""),"Warm")</f>
        <v>Warm</v>
      </c>
      <c r="G490" s="124" t="str">
        <f>IFERROR(__xludf.DUMMYFUNCTION("""COMPUTED_VALUE"""),"GS Foundation")</f>
        <v>GS Foundation</v>
      </c>
      <c r="K490" s="124"/>
      <c r="L490" s="124"/>
      <c r="M490" s="124"/>
      <c r="N490" s="124"/>
      <c r="O490" s="124"/>
      <c r="T490" s="126">
        <f>IFERROR(__xludf.DUMMYFUNCTION("""COMPUTED_VALUE"""),46097.0)</f>
        <v>46097</v>
      </c>
      <c r="U490" s="124" t="str">
        <f>IFERROR(__xludf.DUMMYFUNCTION("""COMPUTED_VALUE"""),"Event")</f>
        <v>Event</v>
      </c>
      <c r="V490" s="124" t="str">
        <f>IFERROR(__xludf.DUMMYFUNCTION("""COMPUTED_VALUE"""),"Events")</f>
        <v>Events</v>
      </c>
      <c r="W490" s="124" t="str">
        <f>IFERROR(__xludf.DUMMYFUNCTION("""COMPUTED_VALUE"""),"All Centre")</f>
        <v>All Centre</v>
      </c>
      <c r="X490" s="124" t="str">
        <f>IFERROR(__xludf.DUMMYFUNCTION("""COMPUTED_VALUE"""),"Generic")</f>
        <v>Generic</v>
      </c>
      <c r="Y490" s="124" t="str">
        <f>IFERROR(__xludf.DUMMYFUNCTION("""COMPUTED_VALUE"""),"Delhi")</f>
        <v>Delhi</v>
      </c>
      <c r="Z490" s="124">
        <f>IFERROR(__xludf.DUMMYFUNCTION("""COMPUTED_VALUE"""),23.0)</f>
        <v>23</v>
      </c>
      <c r="AA490" s="124" t="str">
        <f>IFERROR(__xludf.DUMMYFUNCTION("""COMPUTED_VALUE"""),"Not Interested")</f>
        <v>Not Interested</v>
      </c>
      <c r="AB490" s="124" t="str">
        <f>IFERROR(__xludf.DUMMYFUNCTION("""COMPUTED_VALUE"""),"GS Foundation")</f>
        <v>GS Foundation</v>
      </c>
    </row>
    <row r="491">
      <c r="A491" s="126">
        <f>IFERROR(__xludf.DUMMYFUNCTION("""COMPUTED_VALUE"""),46065.0)</f>
        <v>46065</v>
      </c>
      <c r="B491" s="124" t="str">
        <f>IFERROR(__xludf.DUMMYFUNCTION("""COMPUTED_VALUE"""),"Walkin")</f>
        <v>Walkin</v>
      </c>
      <c r="C491" s="124" t="str">
        <f>IFERROR(__xludf.DUMMYFUNCTION("""COMPUTED_VALUE"""),"Patna")</f>
        <v>Patna</v>
      </c>
      <c r="D491" s="124" t="str">
        <f>IFERROR(__xludf.DUMMYFUNCTION("""COMPUTED_VALUE"""),"Primary_Walkin")</f>
        <v>Primary_Walkin</v>
      </c>
      <c r="E491" s="127">
        <f>IFERROR(__xludf.DUMMYFUNCTION("""COMPUTED_VALUE"""),1.0)</f>
        <v>1</v>
      </c>
      <c r="F491" s="128" t="str">
        <f>IFERROR(__xludf.DUMMYFUNCTION("""COMPUTED_VALUE"""),"Cold")</f>
        <v>Cold</v>
      </c>
      <c r="G491" s="124" t="str">
        <f>IFERROR(__xludf.DUMMYFUNCTION("""COMPUTED_VALUE"""),"GS Foundation")</f>
        <v>GS Foundation</v>
      </c>
      <c r="K491" s="124"/>
      <c r="L491" s="124"/>
      <c r="M491" s="124"/>
      <c r="N491" s="124"/>
      <c r="O491" s="124"/>
      <c r="T491" s="126">
        <f>IFERROR(__xludf.DUMMYFUNCTION("""COMPUTED_VALUE"""),46063.0)</f>
        <v>46063</v>
      </c>
      <c r="U491" s="124" t="str">
        <f>IFERROR(__xludf.DUMMYFUNCTION("""COMPUTED_VALUE"""),"Event")</f>
        <v>Event</v>
      </c>
      <c r="V491" s="124" t="str">
        <f>IFERROR(__xludf.DUMMYFUNCTION("""COMPUTED_VALUE"""),"Events")</f>
        <v>Events</v>
      </c>
      <c r="W491" s="124" t="str">
        <f>IFERROR(__xludf.DUMMYFUNCTION("""COMPUTED_VALUE"""),"All Centre")</f>
        <v>All Centre</v>
      </c>
      <c r="X491" s="124" t="str">
        <f>IFERROR(__xludf.DUMMYFUNCTION("""COMPUTED_VALUE"""),"Generic")</f>
        <v>Generic</v>
      </c>
      <c r="Y491" s="124" t="str">
        <f>IFERROR(__xludf.DUMMYFUNCTION("""COMPUTED_VALUE"""),"Delhi")</f>
        <v>Delhi</v>
      </c>
      <c r="Z491" s="124">
        <f>IFERROR(__xludf.DUMMYFUNCTION("""COMPUTED_VALUE"""),7.0)</f>
        <v>7</v>
      </c>
      <c r="AA491" s="124" t="str">
        <f>IFERROR(__xludf.DUMMYFUNCTION("""COMPUTED_VALUE"""),"Cold")</f>
        <v>Cold</v>
      </c>
      <c r="AB491" s="124" t="str">
        <f>IFERROR(__xludf.DUMMYFUNCTION("""COMPUTED_VALUE"""),"GS Foundation")</f>
        <v>GS Foundation</v>
      </c>
    </row>
    <row r="492">
      <c r="A492" s="129">
        <f>IFERROR(__xludf.DUMMYFUNCTION("""COMPUTED_VALUE"""),46088.0)</f>
        <v>46088</v>
      </c>
      <c r="B492" s="124" t="str">
        <f>IFERROR(__xludf.DUMMYFUNCTION("""COMPUTED_VALUE"""),"Walkin")</f>
        <v>Walkin</v>
      </c>
      <c r="C492" s="124" t="str">
        <f>IFERROR(__xludf.DUMMYFUNCTION("""COMPUTED_VALUE"""),"Patna")</f>
        <v>Patna</v>
      </c>
      <c r="D492" s="124" t="str">
        <f>IFERROR(__xludf.DUMMYFUNCTION("""COMPUTED_VALUE"""),"Primary_Walkin")</f>
        <v>Primary_Walkin</v>
      </c>
      <c r="E492" s="127">
        <f>IFERROR(__xludf.DUMMYFUNCTION("""COMPUTED_VALUE"""),1.0)</f>
        <v>1</v>
      </c>
      <c r="F492" s="128" t="str">
        <f>IFERROR(__xludf.DUMMYFUNCTION("""COMPUTED_VALUE"""),"Warm")</f>
        <v>Warm</v>
      </c>
      <c r="G492" s="124" t="str">
        <f>IFERROR(__xludf.DUMMYFUNCTION("""COMPUTED_VALUE"""),"State PCS")</f>
        <v>State PCS</v>
      </c>
      <c r="K492" s="124"/>
      <c r="L492" s="124"/>
      <c r="M492" s="124"/>
      <c r="N492" s="124"/>
      <c r="O492" s="124"/>
      <c r="T492" s="126">
        <f>IFERROR(__xludf.DUMMYFUNCTION("""COMPUTED_VALUE"""),46077.0)</f>
        <v>46077</v>
      </c>
      <c r="U492" s="124" t="str">
        <f>IFERROR(__xludf.DUMMYFUNCTION("""COMPUTED_VALUE"""),"Event")</f>
        <v>Event</v>
      </c>
      <c r="V492" s="124" t="str">
        <f>IFERROR(__xludf.DUMMYFUNCTION("""COMPUTED_VALUE"""),"Events")</f>
        <v>Events</v>
      </c>
      <c r="W492" s="124" t="str">
        <f>IFERROR(__xludf.DUMMYFUNCTION("""COMPUTED_VALUE"""),"All Centre")</f>
        <v>All Centre</v>
      </c>
      <c r="X492" s="124" t="str">
        <f>IFERROR(__xludf.DUMMYFUNCTION("""COMPUTED_VALUE"""),"Generic")</f>
        <v>Generic</v>
      </c>
      <c r="Y492" s="124" t="str">
        <f>IFERROR(__xludf.DUMMYFUNCTION("""COMPUTED_VALUE"""),"Delhi")</f>
        <v>Delhi</v>
      </c>
      <c r="Z492" s="124">
        <f>IFERROR(__xludf.DUMMYFUNCTION("""COMPUTED_VALUE"""),8.0)</f>
        <v>8</v>
      </c>
      <c r="AA492" s="124" t="str">
        <f>IFERROR(__xludf.DUMMYFUNCTION("""COMPUTED_VALUE"""),"Cold")</f>
        <v>Cold</v>
      </c>
      <c r="AB492" s="124" t="str">
        <f>IFERROR(__xludf.DUMMYFUNCTION("""COMPUTED_VALUE"""),"Other")</f>
        <v>Other</v>
      </c>
    </row>
    <row r="493">
      <c r="A493" s="126">
        <f>IFERROR(__xludf.DUMMYFUNCTION("""COMPUTED_VALUE"""),46069.0)</f>
        <v>46069</v>
      </c>
      <c r="B493" s="124" t="str">
        <f>IFERROR(__xludf.DUMMYFUNCTION("""COMPUTED_VALUE"""),"Walkin")</f>
        <v>Walkin</v>
      </c>
      <c r="C493" s="124" t="str">
        <f>IFERROR(__xludf.DUMMYFUNCTION("""COMPUTED_VALUE"""),"Patna")</f>
        <v>Patna</v>
      </c>
      <c r="D493" s="124" t="str">
        <f>IFERROR(__xludf.DUMMYFUNCTION("""COMPUTED_VALUE"""),"Primary_Walkin")</f>
        <v>Primary_Walkin</v>
      </c>
      <c r="E493" s="127">
        <f>IFERROR(__xludf.DUMMYFUNCTION("""COMPUTED_VALUE"""),1.0)</f>
        <v>1</v>
      </c>
      <c r="F493" s="128" t="str">
        <f>IFERROR(__xludf.DUMMYFUNCTION("""COMPUTED_VALUE"""),"Warm")</f>
        <v>Warm</v>
      </c>
      <c r="G493" s="124" t="str">
        <f>IFERROR(__xludf.DUMMYFUNCTION("""COMPUTED_VALUE"""),"GS Foundation")</f>
        <v>GS Foundation</v>
      </c>
      <c r="K493" s="124"/>
      <c r="L493" s="124"/>
      <c r="M493" s="124"/>
      <c r="N493" s="124"/>
      <c r="O493" s="124"/>
      <c r="T493" s="126">
        <f>IFERROR(__xludf.DUMMYFUNCTION("""COMPUTED_VALUE"""),46065.0)</f>
        <v>46065</v>
      </c>
      <c r="U493" s="124" t="str">
        <f>IFERROR(__xludf.DUMMYFUNCTION("""COMPUTED_VALUE"""),"Event")</f>
        <v>Event</v>
      </c>
      <c r="V493" s="124" t="str">
        <f>IFERROR(__xludf.DUMMYFUNCTION("""COMPUTED_VALUE"""),"Events")</f>
        <v>Events</v>
      </c>
      <c r="W493" s="124" t="str">
        <f>IFERROR(__xludf.DUMMYFUNCTION("""COMPUTED_VALUE"""),"All Centre")</f>
        <v>All Centre</v>
      </c>
      <c r="X493" s="124" t="str">
        <f>IFERROR(__xludf.DUMMYFUNCTION("""COMPUTED_VALUE"""),"Generic")</f>
        <v>Generic</v>
      </c>
      <c r="Y493" s="124" t="str">
        <f>IFERROR(__xludf.DUMMYFUNCTION("""COMPUTED_VALUE"""),"Delhi")</f>
        <v>Delhi</v>
      </c>
      <c r="Z493" s="124">
        <f>IFERROR(__xludf.DUMMYFUNCTION("""COMPUTED_VALUE"""),3.0)</f>
        <v>3</v>
      </c>
      <c r="AA493" s="124" t="str">
        <f>IFERROR(__xludf.DUMMYFUNCTION("""COMPUTED_VALUE"""),"Fake Lead")</f>
        <v>Fake Lead</v>
      </c>
      <c r="AB493" s="124" t="str">
        <f>IFERROR(__xludf.DUMMYFUNCTION("""COMPUTED_VALUE"""),"GS Advanced")</f>
        <v>GS Advanced</v>
      </c>
    </row>
    <row r="494">
      <c r="A494" s="126">
        <f>IFERROR(__xludf.DUMMYFUNCTION("""COMPUTED_VALUE"""),46109.0)</f>
        <v>46109</v>
      </c>
      <c r="B494" s="124" t="str">
        <f>IFERROR(__xludf.DUMMYFUNCTION("""COMPUTED_VALUE"""),"Walkin")</f>
        <v>Walkin</v>
      </c>
      <c r="C494" s="124" t="str">
        <f>IFERROR(__xludf.DUMMYFUNCTION("""COMPUTED_VALUE"""),"Patna")</f>
        <v>Patna</v>
      </c>
      <c r="D494" s="124" t="str">
        <f>IFERROR(__xludf.DUMMYFUNCTION("""COMPUTED_VALUE"""),"Primary_Walkin")</f>
        <v>Primary_Walkin</v>
      </c>
      <c r="E494" s="127">
        <f>IFERROR(__xludf.DUMMYFUNCTION("""COMPUTED_VALUE"""),3.0)</f>
        <v>3</v>
      </c>
      <c r="F494" s="128" t="str">
        <f>IFERROR(__xludf.DUMMYFUNCTION("""COMPUTED_VALUE"""),"Cold")</f>
        <v>Cold</v>
      </c>
      <c r="G494" s="124" t="str">
        <f>IFERROR(__xludf.DUMMYFUNCTION("""COMPUTED_VALUE"""),"State PCS")</f>
        <v>State PCS</v>
      </c>
      <c r="K494" s="124"/>
      <c r="L494" s="124"/>
      <c r="M494" s="124"/>
      <c r="N494" s="124"/>
      <c r="O494" s="124"/>
      <c r="T494" s="126">
        <f>IFERROR(__xludf.DUMMYFUNCTION("""COMPUTED_VALUE"""),46051.0)</f>
        <v>46051</v>
      </c>
      <c r="U494" s="124" t="str">
        <f>IFERROR(__xludf.DUMMYFUNCTION("""COMPUTED_VALUE"""),"Event")</f>
        <v>Event</v>
      </c>
      <c r="V494" s="124" t="str">
        <f>IFERROR(__xludf.DUMMYFUNCTION("""COMPUTED_VALUE"""),"Events")</f>
        <v>Events</v>
      </c>
      <c r="W494" s="124" t="str">
        <f>IFERROR(__xludf.DUMMYFUNCTION("""COMPUTED_VALUE"""),"Delhi")</f>
        <v>Delhi</v>
      </c>
      <c r="X494" s="124" t="str">
        <f>IFERROR(__xludf.DUMMYFUNCTION("""COMPUTED_VALUE"""),"DRCSEMINAR(CTC)")</f>
        <v>DRCSEMINAR(CTC)</v>
      </c>
      <c r="Y494" s="124"/>
      <c r="Z494" s="124">
        <f>IFERROR(__xludf.DUMMYFUNCTION("""COMPUTED_VALUE"""),57.0)</f>
        <v>57</v>
      </c>
      <c r="AA494" s="124" t="str">
        <f>IFERROR(__xludf.DUMMYFUNCTION("""COMPUTED_VALUE"""),"Cold")</f>
        <v>Cold</v>
      </c>
      <c r="AB494" s="124"/>
    </row>
    <row r="495">
      <c r="A495" s="129">
        <f>IFERROR(__xludf.DUMMYFUNCTION("""COMPUTED_VALUE"""),46100.0)</f>
        <v>46100</v>
      </c>
      <c r="B495" s="124" t="str">
        <f>IFERROR(__xludf.DUMMYFUNCTION("""COMPUTED_VALUE"""),"Walkin")</f>
        <v>Walkin</v>
      </c>
      <c r="C495" s="124" t="str">
        <f>IFERROR(__xludf.DUMMYFUNCTION("""COMPUTED_VALUE"""),"Patna")</f>
        <v>Patna</v>
      </c>
      <c r="D495" s="124" t="str">
        <f>IFERROR(__xludf.DUMMYFUNCTION("""COMPUTED_VALUE"""),"Primary_Walkin")</f>
        <v>Primary_Walkin</v>
      </c>
      <c r="E495" s="127">
        <f>IFERROR(__xludf.DUMMYFUNCTION("""COMPUTED_VALUE"""),1.0)</f>
        <v>1</v>
      </c>
      <c r="F495" s="128" t="str">
        <f>IFERROR(__xludf.DUMMYFUNCTION("""COMPUTED_VALUE"""),"Future Prospects")</f>
        <v>Future Prospects</v>
      </c>
      <c r="G495" s="124" t="str">
        <f>IFERROR(__xludf.DUMMYFUNCTION("""COMPUTED_VALUE"""),"State PCS")</f>
        <v>State PCS</v>
      </c>
      <c r="K495" s="124"/>
      <c r="L495" s="124"/>
      <c r="M495" s="124"/>
      <c r="N495" s="124"/>
      <c r="O495" s="124"/>
      <c r="T495" s="126">
        <f>IFERROR(__xludf.DUMMYFUNCTION("""COMPUTED_VALUE"""),46078.0)</f>
        <v>46078</v>
      </c>
      <c r="U495" s="124" t="str">
        <f>IFERROR(__xludf.DUMMYFUNCTION("""COMPUTED_VALUE"""),"Event")</f>
        <v>Event</v>
      </c>
      <c r="V495" s="124" t="str">
        <f>IFERROR(__xludf.DUMMYFUNCTION("""COMPUTED_VALUE"""),"Events")</f>
        <v>Events</v>
      </c>
      <c r="W495" s="124" t="str">
        <f>IFERROR(__xludf.DUMMYFUNCTION("""COMPUTED_VALUE"""),"All Centre")</f>
        <v>All Centre</v>
      </c>
      <c r="X495" s="124" t="str">
        <f>IFERROR(__xludf.DUMMYFUNCTION("""COMPUTED_VALUE"""),"Generic")</f>
        <v>Generic</v>
      </c>
      <c r="Y495" s="124" t="str">
        <f>IFERROR(__xludf.DUMMYFUNCTION("""COMPUTED_VALUE"""),"Delhi")</f>
        <v>Delhi</v>
      </c>
      <c r="Z495" s="124">
        <f>IFERROR(__xludf.DUMMYFUNCTION("""COMPUTED_VALUE"""),12.0)</f>
        <v>12</v>
      </c>
      <c r="AA495" s="124" t="str">
        <f>IFERROR(__xludf.DUMMYFUNCTION("""COMPUTED_VALUE"""),"Warm")</f>
        <v>Warm</v>
      </c>
      <c r="AB495" s="124" t="str">
        <f>IFERROR(__xludf.DUMMYFUNCTION("""COMPUTED_VALUE"""),"Other")</f>
        <v>Other</v>
      </c>
    </row>
    <row r="496">
      <c r="A496" s="129">
        <f>IFERROR(__xludf.DUMMYFUNCTION("""COMPUTED_VALUE"""),46070.0)</f>
        <v>46070</v>
      </c>
      <c r="B496" s="124" t="str">
        <f>IFERROR(__xludf.DUMMYFUNCTION("""COMPUTED_VALUE"""),"Walkin")</f>
        <v>Walkin</v>
      </c>
      <c r="C496" s="124" t="str">
        <f>IFERROR(__xludf.DUMMYFUNCTION("""COMPUTED_VALUE"""),"Patna")</f>
        <v>Patna</v>
      </c>
      <c r="D496" s="124" t="str">
        <f>IFERROR(__xludf.DUMMYFUNCTION("""COMPUTED_VALUE"""),"Primary_Walkin")</f>
        <v>Primary_Walkin</v>
      </c>
      <c r="E496" s="124">
        <f>IFERROR(__xludf.DUMMYFUNCTION("""COMPUTED_VALUE"""),2.0)</f>
        <v>2</v>
      </c>
      <c r="F496" s="124" t="str">
        <f>IFERROR(__xludf.DUMMYFUNCTION("""COMPUTED_VALUE"""),"Future Prospects")</f>
        <v>Future Prospects</v>
      </c>
      <c r="G496" s="124" t="str">
        <f>IFERROR(__xludf.DUMMYFUNCTION("""COMPUTED_VALUE"""),"State PCS")</f>
        <v>State PCS</v>
      </c>
      <c r="K496" s="124"/>
      <c r="L496" s="124"/>
      <c r="M496" s="124"/>
      <c r="N496" s="124"/>
      <c r="O496" s="124"/>
      <c r="T496" s="126">
        <f>IFERROR(__xludf.DUMMYFUNCTION("""COMPUTED_VALUE"""),46052.0)</f>
        <v>46052</v>
      </c>
      <c r="U496" s="124" t="str">
        <f>IFERROR(__xludf.DUMMYFUNCTION("""COMPUTED_VALUE"""),"Event")</f>
        <v>Event</v>
      </c>
      <c r="V496" s="124" t="str">
        <f>IFERROR(__xludf.DUMMYFUNCTION("""COMPUTED_VALUE"""),"Events")</f>
        <v>Events</v>
      </c>
      <c r="W496" s="124" t="str">
        <f>IFERROR(__xludf.DUMMYFUNCTION("""COMPUTED_VALUE"""),"Delhi")</f>
        <v>Delhi</v>
      </c>
      <c r="X496" s="124" t="str">
        <f>IFERROR(__xludf.DUMMYFUNCTION("""COMPUTED_VALUE"""),"DRCSEMINAR(CTC)")</f>
        <v>DRCSEMINAR(CTC)</v>
      </c>
      <c r="Y496" s="124"/>
      <c r="Z496" s="124">
        <f>IFERROR(__xludf.DUMMYFUNCTION("""COMPUTED_VALUE"""),7.0)</f>
        <v>7</v>
      </c>
      <c r="AA496" s="124" t="str">
        <f>IFERROR(__xludf.DUMMYFUNCTION("""COMPUTED_VALUE"""),"Not Interested")</f>
        <v>Not Interested</v>
      </c>
      <c r="AB496" s="124"/>
    </row>
    <row r="497">
      <c r="A497" s="126">
        <f>IFERROR(__xludf.DUMMYFUNCTION("""COMPUTED_VALUE"""),46090.0)</f>
        <v>46090</v>
      </c>
      <c r="B497" s="124" t="str">
        <f>IFERROR(__xludf.DUMMYFUNCTION("""COMPUTED_VALUE"""),"Walkin")</f>
        <v>Walkin</v>
      </c>
      <c r="C497" s="124" t="str">
        <f>IFERROR(__xludf.DUMMYFUNCTION("""COMPUTED_VALUE"""),"Patna")</f>
        <v>Patna</v>
      </c>
      <c r="D497" s="124" t="str">
        <f>IFERROR(__xludf.DUMMYFUNCTION("""COMPUTED_VALUE"""),"Primary_Walkin")</f>
        <v>Primary_Walkin</v>
      </c>
      <c r="E497" s="124">
        <f>IFERROR(__xludf.DUMMYFUNCTION("""COMPUTED_VALUE"""),1.0)</f>
        <v>1</v>
      </c>
      <c r="F497" s="124" t="str">
        <f>IFERROR(__xludf.DUMMYFUNCTION("""COMPUTED_VALUE"""),"Warm")</f>
        <v>Warm</v>
      </c>
      <c r="G497" s="124" t="str">
        <f>IFERROR(__xludf.DUMMYFUNCTION("""COMPUTED_VALUE"""),"Test Series")</f>
        <v>Test Series</v>
      </c>
      <c r="K497" s="124"/>
      <c r="L497" s="124"/>
      <c r="M497" s="124"/>
      <c r="N497" s="124"/>
      <c r="O497" s="124"/>
      <c r="T497" s="126">
        <f>IFERROR(__xludf.DUMMYFUNCTION("""COMPUTED_VALUE"""),46065.0)</f>
        <v>46065</v>
      </c>
      <c r="U497" s="124" t="str">
        <f>IFERROR(__xludf.DUMMYFUNCTION("""COMPUTED_VALUE"""),"Event")</f>
        <v>Event</v>
      </c>
      <c r="V497" s="124" t="str">
        <f>IFERROR(__xludf.DUMMYFUNCTION("""COMPUTED_VALUE"""),"Events")</f>
        <v>Events</v>
      </c>
      <c r="W497" s="124" t="str">
        <f>IFERROR(__xludf.DUMMYFUNCTION("""COMPUTED_VALUE"""),"All Centre")</f>
        <v>All Centre</v>
      </c>
      <c r="X497" s="124" t="str">
        <f>IFERROR(__xludf.DUMMYFUNCTION("""COMPUTED_VALUE"""),"Generic")</f>
        <v>Generic</v>
      </c>
      <c r="Y497" s="124" t="str">
        <f>IFERROR(__xludf.DUMMYFUNCTION("""COMPUTED_VALUE"""),"Delhi")</f>
        <v>Delhi</v>
      </c>
      <c r="Z497" s="124">
        <f>IFERROR(__xludf.DUMMYFUNCTION("""COMPUTED_VALUE"""),14.0)</f>
        <v>14</v>
      </c>
      <c r="AA497" s="124" t="str">
        <f>IFERROR(__xludf.DUMMYFUNCTION("""COMPUTED_VALUE"""),"Cold")</f>
        <v>Cold</v>
      </c>
      <c r="AB497" s="124" t="str">
        <f>IFERROR(__xludf.DUMMYFUNCTION("""COMPUTED_VALUE"""),"Other")</f>
        <v>Other</v>
      </c>
    </row>
    <row r="498">
      <c r="A498" s="126">
        <f>IFERROR(__xludf.DUMMYFUNCTION("""COMPUTED_VALUE"""),46075.0)</f>
        <v>46075</v>
      </c>
      <c r="B498" s="124" t="str">
        <f>IFERROR(__xludf.DUMMYFUNCTION("""COMPUTED_VALUE"""),"Walkin")</f>
        <v>Walkin</v>
      </c>
      <c r="C498" s="124" t="str">
        <f>IFERROR(__xludf.DUMMYFUNCTION("""COMPUTED_VALUE"""),"Patna")</f>
        <v>Patna</v>
      </c>
      <c r="D498" s="124" t="str">
        <f>IFERROR(__xludf.DUMMYFUNCTION("""COMPUTED_VALUE"""),"Primary_Walkin")</f>
        <v>Primary_Walkin</v>
      </c>
      <c r="E498" s="124">
        <f>IFERROR(__xludf.DUMMYFUNCTION("""COMPUTED_VALUE"""),2.0)</f>
        <v>2</v>
      </c>
      <c r="F498" s="124" t="str">
        <f>IFERROR(__xludf.DUMMYFUNCTION("""COMPUTED_VALUE"""),"Cold")</f>
        <v>Cold</v>
      </c>
      <c r="G498" s="124" t="str">
        <f>IFERROR(__xludf.DUMMYFUNCTION("""COMPUTED_VALUE"""),"Other")</f>
        <v>Other</v>
      </c>
      <c r="K498" s="124"/>
      <c r="L498" s="124"/>
      <c r="M498" s="124"/>
      <c r="N498" s="124"/>
      <c r="O498" s="124"/>
      <c r="T498" s="126">
        <f>IFERROR(__xludf.DUMMYFUNCTION("""COMPUTED_VALUE"""),46048.0)</f>
        <v>46048</v>
      </c>
      <c r="U498" s="124" t="str">
        <f>IFERROR(__xludf.DUMMYFUNCTION("""COMPUTED_VALUE"""),"Event")</f>
        <v>Event</v>
      </c>
      <c r="V498" s="124" t="str">
        <f>IFERROR(__xludf.DUMMYFUNCTION("""COMPUTED_VALUE"""),"Events")</f>
        <v>Events</v>
      </c>
      <c r="W498" s="124" t="str">
        <f>IFERROR(__xludf.DUMMYFUNCTION("""COMPUTED_VALUE"""),"Delhi")</f>
        <v>Delhi</v>
      </c>
      <c r="X498" s="124" t="str">
        <f>IFERROR(__xludf.DUMMYFUNCTION("""COMPUTED_VALUE"""),"DRCSEMINAR(CTC)")</f>
        <v>DRCSEMINAR(CTC)</v>
      </c>
      <c r="Y498" s="124"/>
      <c r="Z498" s="124">
        <f>IFERROR(__xludf.DUMMYFUNCTION("""COMPUTED_VALUE"""),37.0)</f>
        <v>37</v>
      </c>
      <c r="AA498" s="124" t="str">
        <f>IFERROR(__xludf.DUMMYFUNCTION("""COMPUTED_VALUE"""),"Cold")</f>
        <v>Cold</v>
      </c>
      <c r="AB498" s="124"/>
    </row>
    <row r="499">
      <c r="A499" s="129">
        <f>IFERROR(__xludf.DUMMYFUNCTION("""COMPUTED_VALUE"""),46088.0)</f>
        <v>46088</v>
      </c>
      <c r="B499" s="124" t="str">
        <f>IFERROR(__xludf.DUMMYFUNCTION("""COMPUTED_VALUE"""),"Walk-In")</f>
        <v>Walk-In</v>
      </c>
      <c r="C499" s="124" t="str">
        <f>IFERROR(__xludf.DUMMYFUNCTION("""COMPUTED_VALUE"""),"Patna")</f>
        <v>Patna</v>
      </c>
      <c r="D499" s="124" t="str">
        <f>IFERROR(__xludf.DUMMYFUNCTION("""COMPUTED_VALUE"""),"Primary_Walkin")</f>
        <v>Primary_Walkin</v>
      </c>
      <c r="E499" s="124">
        <f>IFERROR(__xludf.DUMMYFUNCTION("""COMPUTED_VALUE"""),1.0)</f>
        <v>1</v>
      </c>
      <c r="F499" s="124" t="str">
        <f>IFERROR(__xludf.DUMMYFUNCTION("""COMPUTED_VALUE"""),"Warm")</f>
        <v>Warm</v>
      </c>
      <c r="G499" s="124" t="str">
        <f>IFERROR(__xludf.DUMMYFUNCTION("""COMPUTED_VALUE"""),"State PCS")</f>
        <v>State PCS</v>
      </c>
      <c r="K499" s="124"/>
      <c r="L499" s="124"/>
      <c r="M499" s="124"/>
      <c r="N499" s="124"/>
      <c r="O499" s="124"/>
      <c r="T499" s="129">
        <f>IFERROR(__xludf.DUMMYFUNCTION("""COMPUTED_VALUE"""),46077.0)</f>
        <v>46077</v>
      </c>
      <c r="U499" s="124" t="str">
        <f>IFERROR(__xludf.DUMMYFUNCTION("""COMPUTED_VALUE"""),"Event")</f>
        <v>Event</v>
      </c>
      <c r="V499" s="124" t="str">
        <f>IFERROR(__xludf.DUMMYFUNCTION("""COMPUTED_VALUE"""),"Events")</f>
        <v>Events</v>
      </c>
      <c r="W499" s="124" t="str">
        <f>IFERROR(__xludf.DUMMYFUNCTION("""COMPUTED_VALUE"""),"All Centre")</f>
        <v>All Centre</v>
      </c>
      <c r="X499" s="124" t="str">
        <f>IFERROR(__xludf.DUMMYFUNCTION("""COMPUTED_VALUE"""),"Generic")</f>
        <v>Generic</v>
      </c>
      <c r="Y499" s="124" t="str">
        <f>IFERROR(__xludf.DUMMYFUNCTION("""COMPUTED_VALUE"""),"Delhi")</f>
        <v>Delhi</v>
      </c>
      <c r="Z499" s="124">
        <f>IFERROR(__xludf.DUMMYFUNCTION("""COMPUTED_VALUE"""),23.0)</f>
        <v>23</v>
      </c>
      <c r="AA499" s="124" t="str">
        <f>IFERROR(__xludf.DUMMYFUNCTION("""COMPUTED_VALUE"""),"Cold")</f>
        <v>Cold</v>
      </c>
      <c r="AB499" s="124" t="str">
        <f>IFERROR(__xludf.DUMMYFUNCTION("""COMPUTED_VALUE"""),"GS Foundation")</f>
        <v>GS Foundation</v>
      </c>
    </row>
    <row r="500">
      <c r="A500" s="126">
        <f>IFERROR(__xludf.DUMMYFUNCTION("""COMPUTED_VALUE"""),46099.0)</f>
        <v>46099</v>
      </c>
      <c r="B500" s="124" t="str">
        <f>IFERROR(__xludf.DUMMYFUNCTION("""COMPUTED_VALUE"""),"Walkin")</f>
        <v>Walkin</v>
      </c>
      <c r="C500" s="124" t="str">
        <f>IFERROR(__xludf.DUMMYFUNCTION("""COMPUTED_VALUE"""),"Patna")</f>
        <v>Patna</v>
      </c>
      <c r="D500" s="124" t="str">
        <f>IFERROR(__xludf.DUMMYFUNCTION("""COMPUTED_VALUE"""),"Primary_Walkin")</f>
        <v>Primary_Walkin</v>
      </c>
      <c r="E500" s="124">
        <f>IFERROR(__xludf.DUMMYFUNCTION("""COMPUTED_VALUE"""),4.0)</f>
        <v>4</v>
      </c>
      <c r="F500" s="124" t="str">
        <f>IFERROR(__xludf.DUMMYFUNCTION("""COMPUTED_VALUE"""),"Cold")</f>
        <v>Cold</v>
      </c>
      <c r="G500" s="124" t="str">
        <f>IFERROR(__xludf.DUMMYFUNCTION("""COMPUTED_VALUE"""),"State PCS")</f>
        <v>State PCS</v>
      </c>
      <c r="K500" s="124"/>
      <c r="L500" s="124"/>
      <c r="M500" s="124"/>
      <c r="N500" s="124"/>
      <c r="O500" s="124"/>
      <c r="T500" s="129">
        <f>IFERROR(__xludf.DUMMYFUNCTION("""COMPUTED_VALUE"""),46101.0)</f>
        <v>46101</v>
      </c>
      <c r="U500" s="124" t="str">
        <f>IFERROR(__xludf.DUMMYFUNCTION("""COMPUTED_VALUE"""),"Event")</f>
        <v>Event</v>
      </c>
      <c r="V500" s="124" t="str">
        <f>IFERROR(__xludf.DUMMYFUNCTION("""COMPUTED_VALUE"""),"Events")</f>
        <v>Events</v>
      </c>
      <c r="W500" s="124" t="str">
        <f>IFERROR(__xludf.DUMMYFUNCTION("""COMPUTED_VALUE"""),"All Centre")</f>
        <v>All Centre</v>
      </c>
      <c r="X500" s="124" t="str">
        <f>IFERROR(__xludf.DUMMYFUNCTION("""COMPUTED_VALUE"""),"Generic")</f>
        <v>Generic</v>
      </c>
      <c r="Y500" s="124" t="str">
        <f>IFERROR(__xludf.DUMMYFUNCTION("""COMPUTED_VALUE"""),"Delhi")</f>
        <v>Delhi</v>
      </c>
      <c r="Z500" s="124">
        <f>IFERROR(__xludf.DUMMYFUNCTION("""COMPUTED_VALUE"""),40.0)</f>
        <v>40</v>
      </c>
      <c r="AA500" s="124" t="str">
        <f>IFERROR(__xludf.DUMMYFUNCTION("""COMPUTED_VALUE"""),"Cold")</f>
        <v>Cold</v>
      </c>
      <c r="AB500" s="124" t="str">
        <f>IFERROR(__xludf.DUMMYFUNCTION("""COMPUTED_VALUE"""),"GS Foundation")</f>
        <v>GS Foundation</v>
      </c>
    </row>
    <row r="501">
      <c r="A501" s="126">
        <f>IFERROR(__xludf.DUMMYFUNCTION("""COMPUTED_VALUE"""),46060.0)</f>
        <v>46060</v>
      </c>
      <c r="B501" s="124" t="str">
        <f>IFERROR(__xludf.DUMMYFUNCTION("""COMPUTED_VALUE"""),"Walkin")</f>
        <v>Walkin</v>
      </c>
      <c r="C501" s="124" t="str">
        <f>IFERROR(__xludf.DUMMYFUNCTION("""COMPUTED_VALUE"""),"Patna")</f>
        <v>Patna</v>
      </c>
      <c r="D501" s="124" t="str">
        <f>IFERROR(__xludf.DUMMYFUNCTION("""COMPUTED_VALUE"""),"Primary_Walkin")</f>
        <v>Primary_Walkin</v>
      </c>
      <c r="E501" s="124">
        <f>IFERROR(__xludf.DUMMYFUNCTION("""COMPUTED_VALUE"""),3.0)</f>
        <v>3</v>
      </c>
      <c r="F501" s="124" t="str">
        <f>IFERROR(__xludf.DUMMYFUNCTION("""COMPUTED_VALUE"""),"Fake Lead")</f>
        <v>Fake Lead</v>
      </c>
      <c r="G501" s="124" t="str">
        <f>IFERROR(__xludf.DUMMYFUNCTION("""COMPUTED_VALUE"""),"State PCS")</f>
        <v>State PCS</v>
      </c>
      <c r="K501" s="124"/>
      <c r="L501" s="124"/>
      <c r="M501" s="124"/>
      <c r="N501" s="124"/>
      <c r="O501" s="124"/>
      <c r="T501" s="126">
        <f>IFERROR(__xludf.DUMMYFUNCTION("""COMPUTED_VALUE"""),46100.0)</f>
        <v>46100</v>
      </c>
      <c r="U501" s="124" t="str">
        <f>IFERROR(__xludf.DUMMYFUNCTION("""COMPUTED_VALUE"""),"Event")</f>
        <v>Event</v>
      </c>
      <c r="V501" s="124" t="str">
        <f>IFERROR(__xludf.DUMMYFUNCTION("""COMPUTED_VALUE"""),"Events")</f>
        <v>Events</v>
      </c>
      <c r="W501" s="124" t="str">
        <f>IFERROR(__xludf.DUMMYFUNCTION("""COMPUTED_VALUE"""),"All Centre")</f>
        <v>All Centre</v>
      </c>
      <c r="X501" s="124" t="str">
        <f>IFERROR(__xludf.DUMMYFUNCTION("""COMPUTED_VALUE"""),"Generic")</f>
        <v>Generic</v>
      </c>
      <c r="Y501" s="124" t="str">
        <f>IFERROR(__xludf.DUMMYFUNCTION("""COMPUTED_VALUE"""),"Delhi")</f>
        <v>Delhi</v>
      </c>
      <c r="Z501" s="124">
        <f>IFERROR(__xludf.DUMMYFUNCTION("""COMPUTED_VALUE"""),52.0)</f>
        <v>52</v>
      </c>
      <c r="AA501" s="124"/>
      <c r="AB501" s="124" t="str">
        <f>IFERROR(__xludf.DUMMYFUNCTION("""COMPUTED_VALUE"""),"GS Foundation")</f>
        <v>GS Foundation</v>
      </c>
    </row>
    <row r="502">
      <c r="A502" s="126">
        <f>IFERROR(__xludf.DUMMYFUNCTION("""COMPUTED_VALUE"""),46062.0)</f>
        <v>46062</v>
      </c>
      <c r="B502" s="124" t="str">
        <f>IFERROR(__xludf.DUMMYFUNCTION("""COMPUTED_VALUE"""),"Walkin")</f>
        <v>Walkin</v>
      </c>
      <c r="C502" s="124" t="str">
        <f>IFERROR(__xludf.DUMMYFUNCTION("""COMPUTED_VALUE"""),"Patna")</f>
        <v>Patna</v>
      </c>
      <c r="D502" s="124" t="str">
        <f>IFERROR(__xludf.DUMMYFUNCTION("""COMPUTED_VALUE"""),"Primary_Walkin")</f>
        <v>Primary_Walkin</v>
      </c>
      <c r="E502" s="124">
        <f>IFERROR(__xludf.DUMMYFUNCTION("""COMPUTED_VALUE"""),3.0)</f>
        <v>3</v>
      </c>
      <c r="F502" s="124" t="str">
        <f>IFERROR(__xludf.DUMMYFUNCTION("""COMPUTED_VALUE"""),"Fake Lead")</f>
        <v>Fake Lead</v>
      </c>
      <c r="G502" s="124" t="str">
        <f>IFERROR(__xludf.DUMMYFUNCTION("""COMPUTED_VALUE"""),"GS Foundation")</f>
        <v>GS Foundation</v>
      </c>
      <c r="K502" s="124"/>
      <c r="L502" s="124"/>
      <c r="M502" s="124"/>
      <c r="N502" s="124"/>
      <c r="O502" s="124"/>
      <c r="T502" s="126">
        <f>IFERROR(__xludf.DUMMYFUNCTION("""COMPUTED_VALUE"""),46077.0)</f>
        <v>46077</v>
      </c>
      <c r="U502" s="124" t="str">
        <f>IFERROR(__xludf.DUMMYFUNCTION("""COMPUTED_VALUE"""),"Event")</f>
        <v>Event</v>
      </c>
      <c r="V502" s="124" t="str">
        <f>IFERROR(__xludf.DUMMYFUNCTION("""COMPUTED_VALUE"""),"Events")</f>
        <v>Events</v>
      </c>
      <c r="W502" s="124" t="str">
        <f>IFERROR(__xludf.DUMMYFUNCTION("""COMPUTED_VALUE"""),"All Centre")</f>
        <v>All Centre</v>
      </c>
      <c r="X502" s="124" t="str">
        <f>IFERROR(__xludf.DUMMYFUNCTION("""COMPUTED_VALUE"""),"Generic")</f>
        <v>Generic</v>
      </c>
      <c r="Y502" s="124" t="str">
        <f>IFERROR(__xludf.DUMMYFUNCTION("""COMPUTED_VALUE"""),"Delhi")</f>
        <v>Delhi</v>
      </c>
      <c r="Z502" s="124">
        <f>IFERROR(__xludf.DUMMYFUNCTION("""COMPUTED_VALUE"""),8.0)</f>
        <v>8</v>
      </c>
      <c r="AA502" s="124" t="str">
        <f>IFERROR(__xludf.DUMMYFUNCTION("""COMPUTED_VALUE"""),"Cold")</f>
        <v>Cold</v>
      </c>
      <c r="AB502" s="124" t="str">
        <f>IFERROR(__xludf.DUMMYFUNCTION("""COMPUTED_VALUE"""),"CSAT")</f>
        <v>CSAT</v>
      </c>
    </row>
    <row r="503">
      <c r="A503" s="129">
        <f>IFERROR(__xludf.DUMMYFUNCTION("""COMPUTED_VALUE"""),46104.0)</f>
        <v>46104</v>
      </c>
      <c r="B503" s="124" t="str">
        <f>IFERROR(__xludf.DUMMYFUNCTION("""COMPUTED_VALUE"""),"Walkin")</f>
        <v>Walkin</v>
      </c>
      <c r="C503" s="124" t="str">
        <f>IFERROR(__xludf.DUMMYFUNCTION("""COMPUTED_VALUE"""),"Patna")</f>
        <v>Patna</v>
      </c>
      <c r="D503" s="124" t="str">
        <f>IFERROR(__xludf.DUMMYFUNCTION("""COMPUTED_VALUE"""),"Primary_Walkin")</f>
        <v>Primary_Walkin</v>
      </c>
      <c r="E503" s="124">
        <f>IFERROR(__xludf.DUMMYFUNCTION("""COMPUTED_VALUE"""),1.0)</f>
        <v>1</v>
      </c>
      <c r="F503" s="124" t="str">
        <f>IFERROR(__xludf.DUMMYFUNCTION("""COMPUTED_VALUE"""),"Fake Lead")</f>
        <v>Fake Lead</v>
      </c>
      <c r="G503" s="124" t="str">
        <f>IFERROR(__xludf.DUMMYFUNCTION("""COMPUTED_VALUE"""),"State PCS")</f>
        <v>State PCS</v>
      </c>
      <c r="K503" s="124"/>
      <c r="L503" s="124"/>
      <c r="M503" s="124"/>
      <c r="N503" s="124"/>
      <c r="O503" s="124"/>
      <c r="T503" s="126">
        <f>IFERROR(__xludf.DUMMYFUNCTION("""COMPUTED_VALUE"""),46077.0)</f>
        <v>46077</v>
      </c>
      <c r="U503" s="124" t="str">
        <f>IFERROR(__xludf.DUMMYFUNCTION("""COMPUTED_VALUE"""),"Event")</f>
        <v>Event</v>
      </c>
      <c r="V503" s="124" t="str">
        <f>IFERROR(__xludf.DUMMYFUNCTION("""COMPUTED_VALUE"""),"Events")</f>
        <v>Events</v>
      </c>
      <c r="W503" s="124" t="str">
        <f>IFERROR(__xludf.DUMMYFUNCTION("""COMPUTED_VALUE"""),"All Centre")</f>
        <v>All Centre</v>
      </c>
      <c r="X503" s="124" t="str">
        <f>IFERROR(__xludf.DUMMYFUNCTION("""COMPUTED_VALUE"""),"Generic")</f>
        <v>Generic</v>
      </c>
      <c r="Y503" s="124" t="str">
        <f>IFERROR(__xludf.DUMMYFUNCTION("""COMPUTED_VALUE"""),"Delhi")</f>
        <v>Delhi</v>
      </c>
      <c r="Z503" s="124">
        <f>IFERROR(__xludf.DUMMYFUNCTION("""COMPUTED_VALUE"""),1.0)</f>
        <v>1</v>
      </c>
      <c r="AA503" s="124" t="str">
        <f>IFERROR(__xludf.DUMMYFUNCTION("""COMPUTED_VALUE"""),"Fake Lead")</f>
        <v>Fake Lead</v>
      </c>
      <c r="AB503" s="124" t="str">
        <f>IFERROR(__xludf.DUMMYFUNCTION("""COMPUTED_VALUE"""),"Prelims Crash Course - SIP")</f>
        <v>Prelims Crash Course - SIP</v>
      </c>
    </row>
    <row r="504">
      <c r="A504" s="126">
        <f>IFERROR(__xludf.DUMMYFUNCTION("""COMPUTED_VALUE"""),46049.0)</f>
        <v>46049</v>
      </c>
      <c r="B504" s="124" t="str">
        <f>IFERROR(__xludf.DUMMYFUNCTION("""COMPUTED_VALUE"""),"Walkin")</f>
        <v>Walkin</v>
      </c>
      <c r="C504" s="124" t="str">
        <f>IFERROR(__xludf.DUMMYFUNCTION("""COMPUTED_VALUE"""),"Patna")</f>
        <v>Patna</v>
      </c>
      <c r="D504" s="124" t="str">
        <f>IFERROR(__xludf.DUMMYFUNCTION("""COMPUTED_VALUE"""),"Primary_Walkin")</f>
        <v>Primary_Walkin</v>
      </c>
      <c r="E504" s="124">
        <f>IFERROR(__xludf.DUMMYFUNCTION("""COMPUTED_VALUE"""),2.0)</f>
        <v>2</v>
      </c>
      <c r="F504" s="124" t="str">
        <f>IFERROR(__xludf.DUMMYFUNCTION("""COMPUTED_VALUE"""),"Warm")</f>
        <v>Warm</v>
      </c>
      <c r="G504" s="124" t="str">
        <f>IFERROR(__xludf.DUMMYFUNCTION("""COMPUTED_VALUE"""),"GS Foundation")</f>
        <v>GS Foundation</v>
      </c>
      <c r="K504" s="124"/>
      <c r="L504" s="124"/>
      <c r="M504" s="124"/>
      <c r="N504" s="124"/>
      <c r="O504" s="124"/>
      <c r="T504" s="129">
        <f>IFERROR(__xludf.DUMMYFUNCTION("""COMPUTED_VALUE"""),46069.0)</f>
        <v>46069</v>
      </c>
      <c r="U504" s="124" t="str">
        <f>IFERROR(__xludf.DUMMYFUNCTION("""COMPUTED_VALUE"""),"Event")</f>
        <v>Event</v>
      </c>
      <c r="V504" s="124" t="str">
        <f>IFERROR(__xludf.DUMMYFUNCTION("""COMPUTED_VALUE"""),"Events")</f>
        <v>Events</v>
      </c>
      <c r="W504" s="124" t="str">
        <f>IFERROR(__xludf.DUMMYFUNCTION("""COMPUTED_VALUE"""),"All Centre")</f>
        <v>All Centre</v>
      </c>
      <c r="X504" s="124" t="str">
        <f>IFERROR(__xludf.DUMMYFUNCTION("""COMPUTED_VALUE"""),"Generic")</f>
        <v>Generic</v>
      </c>
      <c r="Y504" s="124" t="str">
        <f>IFERROR(__xludf.DUMMYFUNCTION("""COMPUTED_VALUE"""),"Delhi")</f>
        <v>Delhi</v>
      </c>
      <c r="Z504" s="124">
        <f>IFERROR(__xludf.DUMMYFUNCTION("""COMPUTED_VALUE"""),1.0)</f>
        <v>1</v>
      </c>
      <c r="AA504" s="124" t="str">
        <f>IFERROR(__xludf.DUMMYFUNCTION("""COMPUTED_VALUE"""),"Not Interested")</f>
        <v>Not Interested</v>
      </c>
      <c r="AB504" s="124" t="str">
        <f>IFERROR(__xludf.DUMMYFUNCTION("""COMPUTED_VALUE"""),"GS Foundation")</f>
        <v>GS Foundation</v>
      </c>
    </row>
    <row r="505">
      <c r="A505" s="126">
        <f>IFERROR(__xludf.DUMMYFUNCTION("""COMPUTED_VALUE"""),46077.0)</f>
        <v>46077</v>
      </c>
      <c r="B505" s="124" t="str">
        <f>IFERROR(__xludf.DUMMYFUNCTION("""COMPUTED_VALUE"""),"Webinar")</f>
        <v>Webinar</v>
      </c>
      <c r="C505" s="124" t="str">
        <f>IFERROR(__xludf.DUMMYFUNCTION("""COMPUTED_VALUE"""),"Patna")</f>
        <v>Patna</v>
      </c>
      <c r="D505" s="124" t="str">
        <f>IFERROR(__xludf.DUMMYFUNCTION("""COMPUTED_VALUE"""),"Secondary_Walkin")</f>
        <v>Secondary_Walkin</v>
      </c>
      <c r="E505" s="124">
        <f>IFERROR(__xludf.DUMMYFUNCTION("""COMPUTED_VALUE"""),1.0)</f>
        <v>1</v>
      </c>
      <c r="F505" s="124" t="str">
        <f>IFERROR(__xludf.DUMMYFUNCTION("""COMPUTED_VALUE"""),"Cold")</f>
        <v>Cold</v>
      </c>
      <c r="G505" s="124" t="str">
        <f>IFERROR(__xludf.DUMMYFUNCTION("""COMPUTED_VALUE"""),"Mentorship")</f>
        <v>Mentorship</v>
      </c>
      <c r="K505" s="124"/>
      <c r="L505" s="124"/>
      <c r="M505" s="124"/>
      <c r="N505" s="124"/>
      <c r="O505" s="124"/>
      <c r="T505" s="129">
        <f>IFERROR(__xludf.DUMMYFUNCTION("""COMPUTED_VALUE"""),46064.0)</f>
        <v>46064</v>
      </c>
      <c r="U505" s="124" t="str">
        <f>IFERROR(__xludf.DUMMYFUNCTION("""COMPUTED_VALUE"""),"Event")</f>
        <v>Event</v>
      </c>
      <c r="V505" s="124" t="str">
        <f>IFERROR(__xludf.DUMMYFUNCTION("""COMPUTED_VALUE"""),"Events")</f>
        <v>Events</v>
      </c>
      <c r="W505" s="124" t="str">
        <f>IFERROR(__xludf.DUMMYFUNCTION("""COMPUTED_VALUE"""),"All Centre")</f>
        <v>All Centre</v>
      </c>
      <c r="X505" s="124" t="str">
        <f>IFERROR(__xludf.DUMMYFUNCTION("""COMPUTED_VALUE"""),"Generic")</f>
        <v>Generic</v>
      </c>
      <c r="Y505" s="124" t="str">
        <f>IFERROR(__xludf.DUMMYFUNCTION("""COMPUTED_VALUE"""),"Delhi")</f>
        <v>Delhi</v>
      </c>
      <c r="Z505" s="124">
        <f>IFERROR(__xludf.DUMMYFUNCTION("""COMPUTED_VALUE"""),8.0)</f>
        <v>8</v>
      </c>
      <c r="AA505" s="124" t="str">
        <f>IFERROR(__xludf.DUMMYFUNCTION("""COMPUTED_VALUE"""),"Cold")</f>
        <v>Cold</v>
      </c>
      <c r="AB505" s="124" t="str">
        <f>IFERROR(__xludf.DUMMYFUNCTION("""COMPUTED_VALUE"""),"GS Foundation")</f>
        <v>GS Foundation</v>
      </c>
    </row>
    <row r="506">
      <c r="A506" s="129">
        <f>IFERROR(__xludf.DUMMYFUNCTION("""COMPUTED_VALUE"""),46056.0)</f>
        <v>46056</v>
      </c>
      <c r="B506" s="124" t="str">
        <f>IFERROR(__xludf.DUMMYFUNCTION("""COMPUTED_VALUE"""),"Walk-In")</f>
        <v>Walk-In</v>
      </c>
      <c r="C506" s="124" t="str">
        <f>IFERROR(__xludf.DUMMYFUNCTION("""COMPUTED_VALUE"""),"Patna")</f>
        <v>Patna</v>
      </c>
      <c r="D506" s="124" t="str">
        <f>IFERROR(__xludf.DUMMYFUNCTION("""COMPUTED_VALUE"""),"Primary_Walkin")</f>
        <v>Primary_Walkin</v>
      </c>
      <c r="E506" s="124">
        <f>IFERROR(__xludf.DUMMYFUNCTION("""COMPUTED_VALUE"""),1.0)</f>
        <v>1</v>
      </c>
      <c r="F506" s="124" t="str">
        <f>IFERROR(__xludf.DUMMYFUNCTION("""COMPUTED_VALUE"""),"Warm")</f>
        <v>Warm</v>
      </c>
      <c r="G506" s="124" t="str">
        <f>IFERROR(__xludf.DUMMYFUNCTION("""COMPUTED_VALUE"""),"State PCS")</f>
        <v>State PCS</v>
      </c>
      <c r="K506" s="124"/>
      <c r="L506" s="124"/>
      <c r="M506" s="124"/>
      <c r="N506" s="124"/>
      <c r="O506" s="124"/>
      <c r="T506" s="129">
        <f>IFERROR(__xludf.DUMMYFUNCTION("""COMPUTED_VALUE"""),46077.0)</f>
        <v>46077</v>
      </c>
      <c r="U506" s="124" t="str">
        <f>IFERROR(__xludf.DUMMYFUNCTION("""COMPUTED_VALUE"""),"Event")</f>
        <v>Event</v>
      </c>
      <c r="V506" s="124" t="str">
        <f>IFERROR(__xludf.DUMMYFUNCTION("""COMPUTED_VALUE"""),"Events")</f>
        <v>Events</v>
      </c>
      <c r="W506" s="124" t="str">
        <f>IFERROR(__xludf.DUMMYFUNCTION("""COMPUTED_VALUE"""),"All Centre")</f>
        <v>All Centre</v>
      </c>
      <c r="X506" s="124" t="str">
        <f>IFERROR(__xludf.DUMMYFUNCTION("""COMPUTED_VALUE"""),"Generic")</f>
        <v>Generic</v>
      </c>
      <c r="Y506" s="124" t="str">
        <f>IFERROR(__xludf.DUMMYFUNCTION("""COMPUTED_VALUE"""),"Delhi")</f>
        <v>Delhi</v>
      </c>
      <c r="Z506" s="124">
        <f>IFERROR(__xludf.DUMMYFUNCTION("""COMPUTED_VALUE"""),4.0)</f>
        <v>4</v>
      </c>
      <c r="AA506" s="124" t="str">
        <f>IFERROR(__xludf.DUMMYFUNCTION("""COMPUTED_VALUE"""),"Cold")</f>
        <v>Cold</v>
      </c>
      <c r="AB506" s="124" t="str">
        <f>IFERROR(__xludf.DUMMYFUNCTION("""COMPUTED_VALUE"""),"Optionals")</f>
        <v>Optionals</v>
      </c>
    </row>
    <row r="507">
      <c r="A507" s="126">
        <f>IFERROR(__xludf.DUMMYFUNCTION("""COMPUTED_VALUE"""),46047.0)</f>
        <v>46047</v>
      </c>
      <c r="B507" s="124" t="str">
        <f>IFERROR(__xludf.DUMMYFUNCTION("""COMPUTED_VALUE"""),"Walkin")</f>
        <v>Walkin</v>
      </c>
      <c r="C507" s="124" t="str">
        <f>IFERROR(__xludf.DUMMYFUNCTION("""COMPUTED_VALUE"""),"Patna")</f>
        <v>Patna</v>
      </c>
      <c r="D507" s="124" t="str">
        <f>IFERROR(__xludf.DUMMYFUNCTION("""COMPUTED_VALUE"""),"Primary_Walkin")</f>
        <v>Primary_Walkin</v>
      </c>
      <c r="E507" s="124">
        <f>IFERROR(__xludf.DUMMYFUNCTION("""COMPUTED_VALUE"""),2.0)</f>
        <v>2</v>
      </c>
      <c r="F507" s="124" t="str">
        <f>IFERROR(__xludf.DUMMYFUNCTION("""COMPUTED_VALUE"""),"Warm")</f>
        <v>Warm</v>
      </c>
      <c r="G507" s="124" t="str">
        <f>IFERROR(__xludf.DUMMYFUNCTION("""COMPUTED_VALUE"""),"State PCS")</f>
        <v>State PCS</v>
      </c>
      <c r="K507" s="124"/>
      <c r="L507" s="124"/>
      <c r="M507" s="124"/>
      <c r="N507" s="124"/>
      <c r="O507" s="124"/>
      <c r="T507" s="126">
        <f>IFERROR(__xludf.DUMMYFUNCTION("""COMPUTED_VALUE"""),46057.0)</f>
        <v>46057</v>
      </c>
      <c r="U507" s="124" t="str">
        <f>IFERROR(__xludf.DUMMYFUNCTION("""COMPUTED_VALUE"""),"Event")</f>
        <v>Event</v>
      </c>
      <c r="V507" s="124" t="str">
        <f>IFERROR(__xludf.DUMMYFUNCTION("""COMPUTED_VALUE"""),"Events")</f>
        <v>Events</v>
      </c>
      <c r="W507" s="124" t="str">
        <f>IFERROR(__xludf.DUMMYFUNCTION("""COMPUTED_VALUE"""),"Delhi")</f>
        <v>Delhi</v>
      </c>
      <c r="X507" s="124" t="str">
        <f>IFERROR(__xludf.DUMMYFUNCTION("""COMPUTED_VALUE"""),"DRCSEMINAR(CTC)")</f>
        <v>DRCSEMINAR(CTC)</v>
      </c>
      <c r="Y507" s="124" t="str">
        <f>IFERROR(__xludf.DUMMYFUNCTION("""COMPUTED_VALUE"""),"Delhi")</f>
        <v>Delhi</v>
      </c>
      <c r="Z507" s="124">
        <f>IFERROR(__xludf.DUMMYFUNCTION("""COMPUTED_VALUE"""),25.0)</f>
        <v>25</v>
      </c>
      <c r="AA507" s="124" t="str">
        <f>IFERROR(__xludf.DUMMYFUNCTION("""COMPUTED_VALUE"""),"Cold")</f>
        <v>Cold</v>
      </c>
      <c r="AB507" s="124"/>
    </row>
    <row r="508">
      <c r="A508" s="129">
        <f>IFERROR(__xludf.DUMMYFUNCTION("""COMPUTED_VALUE"""),46058.0)</f>
        <v>46058</v>
      </c>
      <c r="B508" s="124" t="str">
        <f>IFERROR(__xludf.DUMMYFUNCTION("""COMPUTED_VALUE"""),"Walkin")</f>
        <v>Walkin</v>
      </c>
      <c r="C508" s="124" t="str">
        <f>IFERROR(__xludf.DUMMYFUNCTION("""COMPUTED_VALUE"""),"Patna")</f>
        <v>Patna</v>
      </c>
      <c r="D508" s="124" t="str">
        <f>IFERROR(__xludf.DUMMYFUNCTION("""COMPUTED_VALUE"""),"Primary_Walkin")</f>
        <v>Primary_Walkin</v>
      </c>
      <c r="E508" s="124">
        <f>IFERROR(__xludf.DUMMYFUNCTION("""COMPUTED_VALUE"""),2.0)</f>
        <v>2</v>
      </c>
      <c r="F508" s="124" t="str">
        <f>IFERROR(__xludf.DUMMYFUNCTION("""COMPUTED_VALUE"""),"Cold")</f>
        <v>Cold</v>
      </c>
      <c r="G508" s="124" t="str">
        <f>IFERROR(__xludf.DUMMYFUNCTION("""COMPUTED_VALUE"""),"GS Foundation")</f>
        <v>GS Foundation</v>
      </c>
      <c r="K508" s="124"/>
      <c r="L508" s="124"/>
      <c r="M508" s="124"/>
      <c r="N508" s="124"/>
      <c r="O508" s="124"/>
      <c r="T508" s="129">
        <f>IFERROR(__xludf.DUMMYFUNCTION("""COMPUTED_VALUE"""),46064.0)</f>
        <v>46064</v>
      </c>
      <c r="U508" s="124" t="str">
        <f>IFERROR(__xludf.DUMMYFUNCTION("""COMPUTED_VALUE"""),"Event")</f>
        <v>Event</v>
      </c>
      <c r="V508" s="124" t="str">
        <f>IFERROR(__xludf.DUMMYFUNCTION("""COMPUTED_VALUE"""),"Events")</f>
        <v>Events</v>
      </c>
      <c r="W508" s="124" t="str">
        <f>IFERROR(__xludf.DUMMYFUNCTION("""COMPUTED_VALUE"""),"All Centre")</f>
        <v>All Centre</v>
      </c>
      <c r="X508" s="124" t="str">
        <f>IFERROR(__xludf.DUMMYFUNCTION("""COMPUTED_VALUE"""),"Generic")</f>
        <v>Generic</v>
      </c>
      <c r="Y508" s="124" t="str">
        <f>IFERROR(__xludf.DUMMYFUNCTION("""COMPUTED_VALUE"""),"Lucknow")</f>
        <v>Lucknow</v>
      </c>
      <c r="Z508" s="124">
        <f>IFERROR(__xludf.DUMMYFUNCTION("""COMPUTED_VALUE"""),1.0)</f>
        <v>1</v>
      </c>
      <c r="AA508" s="124" t="str">
        <f>IFERROR(__xludf.DUMMYFUNCTION("""COMPUTED_VALUE"""),"Not Interested")</f>
        <v>Not Interested</v>
      </c>
      <c r="AB508" s="124" t="str">
        <f>IFERROR(__xludf.DUMMYFUNCTION("""COMPUTED_VALUE"""),"SIM")</f>
        <v>SIM</v>
      </c>
    </row>
    <row r="509">
      <c r="A509" s="126">
        <f>IFERROR(__xludf.DUMMYFUNCTION("""COMPUTED_VALUE"""),46045.0)</f>
        <v>46045</v>
      </c>
      <c r="B509" s="124" t="str">
        <f>IFERROR(__xludf.DUMMYFUNCTION("""COMPUTED_VALUE"""),"Walkin")</f>
        <v>Walkin</v>
      </c>
      <c r="C509" s="124" t="str">
        <f>IFERROR(__xludf.DUMMYFUNCTION("""COMPUTED_VALUE"""),"Patna")</f>
        <v>Patna</v>
      </c>
      <c r="D509" s="124" t="str">
        <f>IFERROR(__xludf.DUMMYFUNCTION("""COMPUTED_VALUE"""),"Primary_Walkin")</f>
        <v>Primary_Walkin</v>
      </c>
      <c r="E509" s="124">
        <f>IFERROR(__xludf.DUMMYFUNCTION("""COMPUTED_VALUE"""),1.0)</f>
        <v>1</v>
      </c>
      <c r="F509" s="124" t="str">
        <f>IFERROR(__xludf.DUMMYFUNCTION("""COMPUTED_VALUE"""),"Cold")</f>
        <v>Cold</v>
      </c>
      <c r="G509" s="124" t="str">
        <f>IFERROR(__xludf.DUMMYFUNCTION("""COMPUTED_VALUE"""),"SIM")</f>
        <v>SIM</v>
      </c>
      <c r="K509" s="124"/>
      <c r="L509" s="124"/>
      <c r="M509" s="124"/>
      <c r="N509" s="124"/>
      <c r="O509" s="124"/>
      <c r="T509" s="126">
        <f>IFERROR(__xludf.DUMMYFUNCTION("""COMPUTED_VALUE"""),46050.0)</f>
        <v>46050</v>
      </c>
      <c r="U509" s="124" t="str">
        <f>IFERROR(__xludf.DUMMYFUNCTION("""COMPUTED_VALUE"""),"Event")</f>
        <v>Event</v>
      </c>
      <c r="V509" s="124" t="str">
        <f>IFERROR(__xludf.DUMMYFUNCTION("""COMPUTED_VALUE"""),"Events")</f>
        <v>Events</v>
      </c>
      <c r="W509" s="124" t="str">
        <f>IFERROR(__xludf.DUMMYFUNCTION("""COMPUTED_VALUE"""),"Delhi")</f>
        <v>Delhi</v>
      </c>
      <c r="X509" s="124" t="str">
        <f>IFERROR(__xludf.DUMMYFUNCTION("""COMPUTED_VALUE"""),"DRCSEMINAR(CTC)")</f>
        <v>DRCSEMINAR(CTC)</v>
      </c>
      <c r="Y509" s="124"/>
      <c r="Z509" s="124">
        <f>IFERROR(__xludf.DUMMYFUNCTION("""COMPUTED_VALUE"""),4.0)</f>
        <v>4</v>
      </c>
      <c r="AA509" s="124" t="str">
        <f>IFERROR(__xludf.DUMMYFUNCTION("""COMPUTED_VALUE"""),"Cold")</f>
        <v>Cold</v>
      </c>
      <c r="AB509" s="124"/>
    </row>
    <row r="510">
      <c r="A510" s="129">
        <f>IFERROR(__xludf.DUMMYFUNCTION("""COMPUTED_VALUE"""),46091.0)</f>
        <v>46091</v>
      </c>
      <c r="B510" s="124" t="str">
        <f>IFERROR(__xludf.DUMMYFUNCTION("""COMPUTED_VALUE"""),"Inbound Call")</f>
        <v>Inbound Call</v>
      </c>
      <c r="C510" s="124" t="str">
        <f>IFERROR(__xludf.DUMMYFUNCTION("""COMPUTED_VALUE"""),"Patna")</f>
        <v>Patna</v>
      </c>
      <c r="D510" s="124" t="str">
        <f>IFERROR(__xludf.DUMMYFUNCTION("""COMPUTED_VALUE"""),"Secondary_Walkin")</f>
        <v>Secondary_Walkin</v>
      </c>
      <c r="E510" s="124">
        <f>IFERROR(__xludf.DUMMYFUNCTION("""COMPUTED_VALUE"""),1.0)</f>
        <v>1</v>
      </c>
      <c r="F510" s="124" t="str">
        <f>IFERROR(__xludf.DUMMYFUNCTION("""COMPUTED_VALUE"""),"Cold")</f>
        <v>Cold</v>
      </c>
      <c r="G510" s="124" t="str">
        <f>IFERROR(__xludf.DUMMYFUNCTION("""COMPUTED_VALUE"""),"State PCS")</f>
        <v>State PCS</v>
      </c>
      <c r="K510" s="124"/>
      <c r="L510" s="124"/>
      <c r="M510" s="124"/>
      <c r="N510" s="124"/>
      <c r="O510" s="124"/>
      <c r="T510" s="126">
        <f>IFERROR(__xludf.DUMMYFUNCTION("""COMPUTED_VALUE"""),46046.0)</f>
        <v>46046</v>
      </c>
      <c r="U510" s="124" t="str">
        <f>IFERROR(__xludf.DUMMYFUNCTION("""COMPUTED_VALUE"""),"Event")</f>
        <v>Event</v>
      </c>
      <c r="V510" s="124" t="str">
        <f>IFERROR(__xludf.DUMMYFUNCTION("""COMPUTED_VALUE"""),"Events")</f>
        <v>Events</v>
      </c>
      <c r="W510" s="124" t="str">
        <f>IFERROR(__xludf.DUMMYFUNCTION("""COMPUTED_VALUE"""),"Delhi")</f>
        <v>Delhi</v>
      </c>
      <c r="X510" s="124" t="str">
        <f>IFERROR(__xludf.DUMMYFUNCTION("""COMPUTED_VALUE"""),"DRCSEMINAR(CTC)")</f>
        <v>DRCSEMINAR(CTC)</v>
      </c>
      <c r="Y510" s="124" t="str">
        <f>IFERROR(__xludf.DUMMYFUNCTION("""COMPUTED_VALUE"""),"Delhi")</f>
        <v>Delhi</v>
      </c>
      <c r="Z510" s="124">
        <f>IFERROR(__xludf.DUMMYFUNCTION("""COMPUTED_VALUE"""),1.0)</f>
        <v>1</v>
      </c>
      <c r="AA510" s="124" t="str">
        <f>IFERROR(__xludf.DUMMYFUNCTION("""COMPUTED_VALUE"""),"Not Interested")</f>
        <v>Not Interested</v>
      </c>
      <c r="AB510" s="124" t="str">
        <f>IFERROR(__xludf.DUMMYFUNCTION("""COMPUTED_VALUE"""),"GS Foundation")</f>
        <v>GS Foundation</v>
      </c>
    </row>
    <row r="511">
      <c r="A511" s="126">
        <f>IFERROR(__xludf.DUMMYFUNCTION("""COMPUTED_VALUE"""),46067.0)</f>
        <v>46067</v>
      </c>
      <c r="B511" s="124" t="str">
        <f>IFERROR(__xludf.DUMMYFUNCTION("""COMPUTED_VALUE"""),"Walkin")</f>
        <v>Walkin</v>
      </c>
      <c r="C511" s="124" t="str">
        <f>IFERROR(__xludf.DUMMYFUNCTION("""COMPUTED_VALUE"""),"Patna")</f>
        <v>Patna</v>
      </c>
      <c r="D511" s="124" t="str">
        <f>IFERROR(__xludf.DUMMYFUNCTION("""COMPUTED_VALUE"""),"Primary_Walkin")</f>
        <v>Primary_Walkin</v>
      </c>
      <c r="E511" s="124">
        <f>IFERROR(__xludf.DUMMYFUNCTION("""COMPUTED_VALUE"""),1.0)</f>
        <v>1</v>
      </c>
      <c r="F511" s="124" t="str">
        <f>IFERROR(__xludf.DUMMYFUNCTION("""COMPUTED_VALUE"""),"Future Prospects")</f>
        <v>Future Prospects</v>
      </c>
      <c r="G511" s="124" t="str">
        <f>IFERROR(__xludf.DUMMYFUNCTION("""COMPUTED_VALUE"""),"State PCS")</f>
        <v>State PCS</v>
      </c>
      <c r="K511" s="124"/>
      <c r="L511" s="124"/>
      <c r="M511" s="124"/>
      <c r="N511" s="124"/>
      <c r="O511" s="124"/>
      <c r="T511" s="126">
        <f>IFERROR(__xludf.DUMMYFUNCTION("""COMPUTED_VALUE"""),46099.0)</f>
        <v>46099</v>
      </c>
      <c r="U511" s="124" t="str">
        <f>IFERROR(__xludf.DUMMYFUNCTION("""COMPUTED_VALUE"""),"Event")</f>
        <v>Event</v>
      </c>
      <c r="V511" s="124" t="str">
        <f>IFERROR(__xludf.DUMMYFUNCTION("""COMPUTED_VALUE"""),"Events")</f>
        <v>Events</v>
      </c>
      <c r="W511" s="124" t="str">
        <f>IFERROR(__xludf.DUMMYFUNCTION("""COMPUTED_VALUE"""),"All Centre")</f>
        <v>All Centre</v>
      </c>
      <c r="X511" s="124" t="str">
        <f>IFERROR(__xludf.DUMMYFUNCTION("""COMPUTED_VALUE"""),"Generic")</f>
        <v>Generic</v>
      </c>
      <c r="Y511" s="124" t="str">
        <f>IFERROR(__xludf.DUMMYFUNCTION("""COMPUTED_VALUE"""),"Delhi")</f>
        <v>Delhi</v>
      </c>
      <c r="Z511" s="124">
        <f>IFERROR(__xludf.DUMMYFUNCTION("""COMPUTED_VALUE"""),1.0)</f>
        <v>1</v>
      </c>
      <c r="AA511" s="124" t="str">
        <f>IFERROR(__xludf.DUMMYFUNCTION("""COMPUTED_VALUE"""),"Fake Lead")</f>
        <v>Fake Lead</v>
      </c>
      <c r="AB511" s="124" t="str">
        <f>IFERROR(__xludf.DUMMYFUNCTION("""COMPUTED_VALUE"""),"GS Foundation")</f>
        <v>GS Foundation</v>
      </c>
    </row>
    <row r="512">
      <c r="A512" s="126">
        <f>IFERROR(__xludf.DUMMYFUNCTION("""COMPUTED_VALUE"""),46106.0)</f>
        <v>46106</v>
      </c>
      <c r="B512" s="124" t="str">
        <f>IFERROR(__xludf.DUMMYFUNCTION("""COMPUTED_VALUE"""),"Walkin")</f>
        <v>Walkin</v>
      </c>
      <c r="C512" s="124" t="str">
        <f>IFERROR(__xludf.DUMMYFUNCTION("""COMPUTED_VALUE"""),"Patna")</f>
        <v>Patna</v>
      </c>
      <c r="D512" s="124" t="str">
        <f>IFERROR(__xludf.DUMMYFUNCTION("""COMPUTED_VALUE"""),"Primary_Walkin")</f>
        <v>Primary_Walkin</v>
      </c>
      <c r="E512" s="124">
        <f>IFERROR(__xludf.DUMMYFUNCTION("""COMPUTED_VALUE"""),1.0)</f>
        <v>1</v>
      </c>
      <c r="F512" s="124" t="str">
        <f>IFERROR(__xludf.DUMMYFUNCTION("""COMPUTED_VALUE"""),"Fake Lead")</f>
        <v>Fake Lead</v>
      </c>
      <c r="G512" s="124" t="str">
        <f>IFERROR(__xludf.DUMMYFUNCTION("""COMPUTED_VALUE"""),"GS Advanced")</f>
        <v>GS Advanced</v>
      </c>
      <c r="K512" s="124"/>
      <c r="L512" s="124"/>
      <c r="M512" s="124"/>
      <c r="N512" s="124"/>
      <c r="O512" s="124"/>
      <c r="T512" s="126">
        <f>IFERROR(__xludf.DUMMYFUNCTION("""COMPUTED_VALUE"""),46049.0)</f>
        <v>46049</v>
      </c>
      <c r="U512" s="124" t="str">
        <f>IFERROR(__xludf.DUMMYFUNCTION("""COMPUTED_VALUE"""),"Event")</f>
        <v>Event</v>
      </c>
      <c r="V512" s="124" t="str">
        <f>IFERROR(__xludf.DUMMYFUNCTION("""COMPUTED_VALUE"""),"Events")</f>
        <v>Events</v>
      </c>
      <c r="W512" s="124" t="str">
        <f>IFERROR(__xludf.DUMMYFUNCTION("""COMPUTED_VALUE"""),"Delhi")</f>
        <v>Delhi</v>
      </c>
      <c r="X512" s="124" t="str">
        <f>IFERROR(__xludf.DUMMYFUNCTION("""COMPUTED_VALUE"""),"DRCSEMINAR(CTC)")</f>
        <v>DRCSEMINAR(CTC)</v>
      </c>
      <c r="Y512" s="124" t="str">
        <f>IFERROR(__xludf.DUMMYFUNCTION("""COMPUTED_VALUE"""),"Delhi")</f>
        <v>Delhi</v>
      </c>
      <c r="Z512" s="124">
        <f>IFERROR(__xludf.DUMMYFUNCTION("""COMPUTED_VALUE"""),1.0)</f>
        <v>1</v>
      </c>
      <c r="AA512" s="124" t="str">
        <f>IFERROR(__xludf.DUMMYFUNCTION("""COMPUTED_VALUE"""),"Future Prospects")</f>
        <v>Future Prospects</v>
      </c>
      <c r="AB512" s="124"/>
    </row>
    <row r="513">
      <c r="A513" s="126">
        <f>IFERROR(__xludf.DUMMYFUNCTION("""COMPUTED_VALUE"""),46070.0)</f>
        <v>46070</v>
      </c>
      <c r="B513" s="124" t="str">
        <f>IFERROR(__xludf.DUMMYFUNCTION("""COMPUTED_VALUE"""),"external leads")</f>
        <v>external leads</v>
      </c>
      <c r="C513" s="124" t="str">
        <f>IFERROR(__xludf.DUMMYFUNCTION("""COMPUTED_VALUE"""),"Patna")</f>
        <v>Patna</v>
      </c>
      <c r="D513" s="124" t="str">
        <f>IFERROR(__xludf.DUMMYFUNCTION("""COMPUTED_VALUE"""),"Secondary_Walkin")</f>
        <v>Secondary_Walkin</v>
      </c>
      <c r="E513" s="124">
        <f>IFERROR(__xludf.DUMMYFUNCTION("""COMPUTED_VALUE"""),1.0)</f>
        <v>1</v>
      </c>
      <c r="F513" s="124" t="str">
        <f>IFERROR(__xludf.DUMMYFUNCTION("""COMPUTED_VALUE"""),"Cold")</f>
        <v>Cold</v>
      </c>
      <c r="G513" s="124" t="str">
        <f>IFERROR(__xludf.DUMMYFUNCTION("""COMPUTED_VALUE"""),"GS Foundation")</f>
        <v>GS Foundation</v>
      </c>
      <c r="K513" s="124"/>
      <c r="L513" s="124"/>
      <c r="M513" s="124"/>
      <c r="N513" s="124"/>
      <c r="O513" s="124"/>
      <c r="T513" s="126">
        <f>IFERROR(__xludf.DUMMYFUNCTION("""COMPUTED_VALUE"""),46065.0)</f>
        <v>46065</v>
      </c>
      <c r="U513" s="124" t="str">
        <f>IFERROR(__xludf.DUMMYFUNCTION("""COMPUTED_VALUE"""),"Event")</f>
        <v>Event</v>
      </c>
      <c r="V513" s="124" t="str">
        <f>IFERROR(__xludf.DUMMYFUNCTION("""COMPUTED_VALUE"""),"Events")</f>
        <v>Events</v>
      </c>
      <c r="W513" s="124" t="str">
        <f>IFERROR(__xludf.DUMMYFUNCTION("""COMPUTED_VALUE"""),"All Centre")</f>
        <v>All Centre</v>
      </c>
      <c r="X513" s="124" t="str">
        <f>IFERROR(__xludf.DUMMYFUNCTION("""COMPUTED_VALUE"""),"Generic")</f>
        <v>Generic</v>
      </c>
      <c r="Y513" s="124" t="str">
        <f>IFERROR(__xludf.DUMMYFUNCTION("""COMPUTED_VALUE"""),"Delhi")</f>
        <v>Delhi</v>
      </c>
      <c r="Z513" s="124">
        <f>IFERROR(__xludf.DUMMYFUNCTION("""COMPUTED_VALUE"""),20.0)</f>
        <v>20</v>
      </c>
      <c r="AA513" s="124" t="str">
        <f>IFERROR(__xludf.DUMMYFUNCTION("""COMPUTED_VALUE"""),"Cold")</f>
        <v>Cold</v>
      </c>
      <c r="AB513" s="124" t="str">
        <f>IFERROR(__xludf.DUMMYFUNCTION("""COMPUTED_VALUE"""),"CSAT")</f>
        <v>CSAT</v>
      </c>
    </row>
    <row r="514">
      <c r="A514" s="126">
        <f>IFERROR(__xludf.DUMMYFUNCTION("""COMPUTED_VALUE"""),46099.0)</f>
        <v>46099</v>
      </c>
      <c r="B514" s="124" t="str">
        <f>IFERROR(__xludf.DUMMYFUNCTION("""COMPUTED_VALUE"""),"Walkin")</f>
        <v>Walkin</v>
      </c>
      <c r="C514" s="124" t="str">
        <f>IFERROR(__xludf.DUMMYFUNCTION("""COMPUTED_VALUE"""),"Patna")</f>
        <v>Patna</v>
      </c>
      <c r="D514" s="124" t="str">
        <f>IFERROR(__xludf.DUMMYFUNCTION("""COMPUTED_VALUE"""),"Primary_Walkin")</f>
        <v>Primary_Walkin</v>
      </c>
      <c r="E514" s="124">
        <f>IFERROR(__xludf.DUMMYFUNCTION("""COMPUTED_VALUE"""),2.0)</f>
        <v>2</v>
      </c>
      <c r="F514" s="124" t="str">
        <f>IFERROR(__xludf.DUMMYFUNCTION("""COMPUTED_VALUE"""),"Warm")</f>
        <v>Warm</v>
      </c>
      <c r="G514" s="124" t="str">
        <f>IFERROR(__xludf.DUMMYFUNCTION("""COMPUTED_VALUE"""),"State PCS")</f>
        <v>State PCS</v>
      </c>
      <c r="K514" s="124"/>
      <c r="L514" s="124"/>
      <c r="M514" s="124"/>
      <c r="N514" s="124"/>
      <c r="O514" s="124"/>
      <c r="T514" s="126">
        <f>IFERROR(__xludf.DUMMYFUNCTION("""COMPUTED_VALUE"""),46051.0)</f>
        <v>46051</v>
      </c>
      <c r="U514" s="124" t="str">
        <f>IFERROR(__xludf.DUMMYFUNCTION("""COMPUTED_VALUE"""),"Event")</f>
        <v>Event</v>
      </c>
      <c r="V514" s="124" t="str">
        <f>IFERROR(__xludf.DUMMYFUNCTION("""COMPUTED_VALUE"""),"Events")</f>
        <v>Events</v>
      </c>
      <c r="W514" s="124" t="str">
        <f>IFERROR(__xludf.DUMMYFUNCTION("""COMPUTED_VALUE"""),"Delhi")</f>
        <v>Delhi</v>
      </c>
      <c r="X514" s="124" t="str">
        <f>IFERROR(__xludf.DUMMYFUNCTION("""COMPUTED_VALUE"""),"DRCSEMINAR(CTC)")</f>
        <v>DRCSEMINAR(CTC)</v>
      </c>
      <c r="Y514" s="124"/>
      <c r="Z514" s="124">
        <f>IFERROR(__xludf.DUMMYFUNCTION("""COMPUTED_VALUE"""),10.0)</f>
        <v>10</v>
      </c>
      <c r="AA514" s="124" t="str">
        <f>IFERROR(__xludf.DUMMYFUNCTION("""COMPUTED_VALUE"""),"Not Interested")</f>
        <v>Not Interested</v>
      </c>
      <c r="AB514" s="124"/>
    </row>
    <row r="515">
      <c r="A515" s="126">
        <f>IFERROR(__xludf.DUMMYFUNCTION("""COMPUTED_VALUE"""),46102.0)</f>
        <v>46102</v>
      </c>
      <c r="B515" s="124" t="str">
        <f>IFERROR(__xludf.DUMMYFUNCTION("""COMPUTED_VALUE"""),"Walkin")</f>
        <v>Walkin</v>
      </c>
      <c r="C515" s="124" t="str">
        <f>IFERROR(__xludf.DUMMYFUNCTION("""COMPUTED_VALUE"""),"Patna")</f>
        <v>Patna</v>
      </c>
      <c r="D515" s="124" t="str">
        <f>IFERROR(__xludf.DUMMYFUNCTION("""COMPUTED_VALUE"""),"Primary_Walkin")</f>
        <v>Primary_Walkin</v>
      </c>
      <c r="E515" s="124">
        <f>IFERROR(__xludf.DUMMYFUNCTION("""COMPUTED_VALUE"""),1.0)</f>
        <v>1</v>
      </c>
      <c r="F515" s="124" t="str">
        <f>IFERROR(__xludf.DUMMYFUNCTION("""COMPUTED_VALUE"""),"Warm")</f>
        <v>Warm</v>
      </c>
      <c r="G515" s="124" t="str">
        <f>IFERROR(__xludf.DUMMYFUNCTION("""COMPUTED_VALUE"""),"State PCS")</f>
        <v>State PCS</v>
      </c>
      <c r="K515" s="124"/>
      <c r="L515" s="124"/>
      <c r="M515" s="124"/>
      <c r="N515" s="124"/>
      <c r="O515" s="124"/>
      <c r="T515" s="126">
        <f>IFERROR(__xludf.DUMMYFUNCTION("""COMPUTED_VALUE"""),46078.0)</f>
        <v>46078</v>
      </c>
      <c r="U515" s="124" t="str">
        <f>IFERROR(__xludf.DUMMYFUNCTION("""COMPUTED_VALUE"""),"Event")</f>
        <v>Event</v>
      </c>
      <c r="V515" s="124" t="str">
        <f>IFERROR(__xludf.DUMMYFUNCTION("""COMPUTED_VALUE"""),"Events")</f>
        <v>Events</v>
      </c>
      <c r="W515" s="124" t="str">
        <f>IFERROR(__xludf.DUMMYFUNCTION("""COMPUTED_VALUE"""),"All Centre")</f>
        <v>All Centre</v>
      </c>
      <c r="X515" s="124" t="str">
        <f>IFERROR(__xludf.DUMMYFUNCTION("""COMPUTED_VALUE"""),"Generic")</f>
        <v>Generic</v>
      </c>
      <c r="Y515" s="124" t="str">
        <f>IFERROR(__xludf.DUMMYFUNCTION("""COMPUTED_VALUE"""),"Patna")</f>
        <v>Patna</v>
      </c>
      <c r="Z515" s="124">
        <f>IFERROR(__xludf.DUMMYFUNCTION("""COMPUTED_VALUE"""),1.0)</f>
        <v>1</v>
      </c>
      <c r="AA515" s="124" t="str">
        <f>IFERROR(__xludf.DUMMYFUNCTION("""COMPUTED_VALUE"""),"Cold")</f>
        <v>Cold</v>
      </c>
      <c r="AB515" s="124" t="str">
        <f>IFERROR(__xludf.DUMMYFUNCTION("""COMPUTED_VALUE"""),"Optionals")</f>
        <v>Optionals</v>
      </c>
    </row>
    <row r="516">
      <c r="A516" s="126">
        <f>IFERROR(__xludf.DUMMYFUNCTION("""COMPUTED_VALUE"""),46106.0)</f>
        <v>46106</v>
      </c>
      <c r="B516" s="124" t="str">
        <f>IFERROR(__xludf.DUMMYFUNCTION("""COMPUTED_VALUE"""),"Walkin")</f>
        <v>Walkin</v>
      </c>
      <c r="C516" s="124" t="str">
        <f>IFERROR(__xludf.DUMMYFUNCTION("""COMPUTED_VALUE"""),"Patna")</f>
        <v>Patna</v>
      </c>
      <c r="D516" s="124" t="str">
        <f>IFERROR(__xludf.DUMMYFUNCTION("""COMPUTED_VALUE"""),"Primary_Walkin")</f>
        <v>Primary_Walkin</v>
      </c>
      <c r="E516" s="124">
        <f>IFERROR(__xludf.DUMMYFUNCTION("""COMPUTED_VALUE"""),4.0)</f>
        <v>4</v>
      </c>
      <c r="F516" s="124" t="str">
        <f>IFERROR(__xludf.DUMMYFUNCTION("""COMPUTED_VALUE"""),"Future Prospects")</f>
        <v>Future Prospects</v>
      </c>
      <c r="G516" s="124" t="str">
        <f>IFERROR(__xludf.DUMMYFUNCTION("""COMPUTED_VALUE"""),"State PCS")</f>
        <v>State PCS</v>
      </c>
      <c r="K516" s="124"/>
      <c r="L516" s="124"/>
      <c r="M516" s="124"/>
      <c r="N516" s="124"/>
      <c r="O516" s="124"/>
      <c r="T516" s="126">
        <f>IFERROR(__xludf.DUMMYFUNCTION("""COMPUTED_VALUE"""),46065.0)</f>
        <v>46065</v>
      </c>
      <c r="U516" s="124" t="str">
        <f>IFERROR(__xludf.DUMMYFUNCTION("""COMPUTED_VALUE"""),"Event")</f>
        <v>Event</v>
      </c>
      <c r="V516" s="124" t="str">
        <f>IFERROR(__xludf.DUMMYFUNCTION("""COMPUTED_VALUE"""),"Events")</f>
        <v>Events</v>
      </c>
      <c r="W516" s="124" t="str">
        <f>IFERROR(__xludf.DUMMYFUNCTION("""COMPUTED_VALUE"""),"All Centre")</f>
        <v>All Centre</v>
      </c>
      <c r="X516" s="124" t="str">
        <f>IFERROR(__xludf.DUMMYFUNCTION("""COMPUTED_VALUE"""),"Generic")</f>
        <v>Generic</v>
      </c>
      <c r="Y516" s="124" t="str">
        <f>IFERROR(__xludf.DUMMYFUNCTION("""COMPUTED_VALUE"""),"Delhi")</f>
        <v>Delhi</v>
      </c>
      <c r="Z516" s="124">
        <f>IFERROR(__xludf.DUMMYFUNCTION("""COMPUTED_VALUE"""),5.0)</f>
        <v>5</v>
      </c>
      <c r="AA516" s="124" t="str">
        <f>IFERROR(__xludf.DUMMYFUNCTION("""COMPUTED_VALUE"""),"Cold")</f>
        <v>Cold</v>
      </c>
      <c r="AB516" s="124" t="str">
        <f>IFERROR(__xludf.DUMMYFUNCTION("""COMPUTED_VALUE"""),"Test Series")</f>
        <v>Test Series</v>
      </c>
    </row>
    <row r="517">
      <c r="A517" s="126">
        <f>IFERROR(__xludf.DUMMYFUNCTION("""COMPUTED_VALUE"""),46099.0)</f>
        <v>46099</v>
      </c>
      <c r="B517" s="124" t="str">
        <f>IFERROR(__xludf.DUMMYFUNCTION("""COMPUTED_VALUE"""),"Walkin")</f>
        <v>Walkin</v>
      </c>
      <c r="C517" s="124" t="str">
        <f>IFERROR(__xludf.DUMMYFUNCTION("""COMPUTED_VALUE"""),"Patna")</f>
        <v>Patna</v>
      </c>
      <c r="D517" s="124" t="str">
        <f>IFERROR(__xludf.DUMMYFUNCTION("""COMPUTED_VALUE"""),"Primary_Walkin")</f>
        <v>Primary_Walkin</v>
      </c>
      <c r="E517" s="124">
        <f>IFERROR(__xludf.DUMMYFUNCTION("""COMPUTED_VALUE"""),1.0)</f>
        <v>1</v>
      </c>
      <c r="F517" s="124" t="str">
        <f>IFERROR(__xludf.DUMMYFUNCTION("""COMPUTED_VALUE"""),"Cold")</f>
        <v>Cold</v>
      </c>
      <c r="G517" s="124" t="str">
        <f>IFERROR(__xludf.DUMMYFUNCTION("""COMPUTED_VALUE"""),"Prelims Crash Course - SIP")</f>
        <v>Prelims Crash Course - SIP</v>
      </c>
      <c r="K517" s="124"/>
      <c r="L517" s="124"/>
      <c r="M517" s="124"/>
      <c r="N517" s="124"/>
      <c r="O517" s="124"/>
      <c r="T517" s="126">
        <f>IFERROR(__xludf.DUMMYFUNCTION("""COMPUTED_VALUE"""),46056.0)</f>
        <v>46056</v>
      </c>
      <c r="U517" s="124" t="str">
        <f>IFERROR(__xludf.DUMMYFUNCTION("""COMPUTED_VALUE"""),"Event")</f>
        <v>Event</v>
      </c>
      <c r="V517" s="124" t="str">
        <f>IFERROR(__xludf.DUMMYFUNCTION("""COMPUTED_VALUE"""),"Events")</f>
        <v>Events</v>
      </c>
      <c r="W517" s="124" t="str">
        <f>IFERROR(__xludf.DUMMYFUNCTION("""COMPUTED_VALUE"""),"All Centre")</f>
        <v>All Centre</v>
      </c>
      <c r="X517" s="124" t="str">
        <f>IFERROR(__xludf.DUMMYFUNCTION("""COMPUTED_VALUE"""),"Generic")</f>
        <v>Generic</v>
      </c>
      <c r="Y517" s="124" t="str">
        <f>IFERROR(__xludf.DUMMYFUNCTION("""COMPUTED_VALUE"""),"Delhi")</f>
        <v>Delhi</v>
      </c>
      <c r="Z517" s="124">
        <f>IFERROR(__xludf.DUMMYFUNCTION("""COMPUTED_VALUE"""),2.0)</f>
        <v>2</v>
      </c>
      <c r="AA517" s="124" t="str">
        <f>IFERROR(__xludf.DUMMYFUNCTION("""COMPUTED_VALUE"""),"Not Interested")</f>
        <v>Not Interested</v>
      </c>
      <c r="AB517" s="124" t="str">
        <f>IFERROR(__xludf.DUMMYFUNCTION("""COMPUTED_VALUE"""),"GS Foundation")</f>
        <v>GS Foundation</v>
      </c>
    </row>
    <row r="518">
      <c r="A518" s="126">
        <f>IFERROR(__xludf.DUMMYFUNCTION("""COMPUTED_VALUE"""),46101.0)</f>
        <v>46101</v>
      </c>
      <c r="B518" s="124" t="str">
        <f>IFERROR(__xludf.DUMMYFUNCTION("""COMPUTED_VALUE"""),"Walkin")</f>
        <v>Walkin</v>
      </c>
      <c r="C518" s="124" t="str">
        <f>IFERROR(__xludf.DUMMYFUNCTION("""COMPUTED_VALUE"""),"Patna")</f>
        <v>Patna</v>
      </c>
      <c r="D518" s="124" t="str">
        <f>IFERROR(__xludf.DUMMYFUNCTION("""COMPUTED_VALUE"""),"Primary_Walkin")</f>
        <v>Primary_Walkin</v>
      </c>
      <c r="E518" s="124">
        <f>IFERROR(__xludf.DUMMYFUNCTION("""COMPUTED_VALUE"""),4.0)</f>
        <v>4</v>
      </c>
      <c r="F518" s="124" t="str">
        <f>IFERROR(__xludf.DUMMYFUNCTION("""COMPUTED_VALUE"""),"Cold")</f>
        <v>Cold</v>
      </c>
      <c r="G518" s="124" t="str">
        <f>IFERROR(__xludf.DUMMYFUNCTION("""COMPUTED_VALUE"""),"GS Foundation")</f>
        <v>GS Foundation</v>
      </c>
      <c r="K518" s="124"/>
      <c r="L518" s="124"/>
      <c r="M518" s="124"/>
      <c r="N518" s="124"/>
      <c r="O518" s="124"/>
      <c r="T518" s="126">
        <f>IFERROR(__xludf.DUMMYFUNCTION("""COMPUTED_VALUE"""),46065.0)</f>
        <v>46065</v>
      </c>
      <c r="U518" s="124" t="str">
        <f>IFERROR(__xludf.DUMMYFUNCTION("""COMPUTED_VALUE"""),"Event")</f>
        <v>Event</v>
      </c>
      <c r="V518" s="124" t="str">
        <f>IFERROR(__xludf.DUMMYFUNCTION("""COMPUTED_VALUE"""),"Events")</f>
        <v>Events</v>
      </c>
      <c r="W518" s="124" t="str">
        <f>IFERROR(__xludf.DUMMYFUNCTION("""COMPUTED_VALUE"""),"All Centre")</f>
        <v>All Centre</v>
      </c>
      <c r="X518" s="124" t="str">
        <f>IFERROR(__xludf.DUMMYFUNCTION("""COMPUTED_VALUE"""),"Generic")</f>
        <v>Generic</v>
      </c>
      <c r="Y518" s="124" t="str">
        <f>IFERROR(__xludf.DUMMYFUNCTION("""COMPUTED_VALUE"""),"Prayagraj")</f>
        <v>Prayagraj</v>
      </c>
      <c r="Z518" s="124">
        <f>IFERROR(__xludf.DUMMYFUNCTION("""COMPUTED_VALUE"""),1.0)</f>
        <v>1</v>
      </c>
      <c r="AA518" s="124" t="str">
        <f>IFERROR(__xludf.DUMMYFUNCTION("""COMPUTED_VALUE"""),"Cold")</f>
        <v>Cold</v>
      </c>
      <c r="AB518" s="124" t="str">
        <f>IFERROR(__xludf.DUMMYFUNCTION("""COMPUTED_VALUE"""),"Test Series")</f>
        <v>Test Series</v>
      </c>
    </row>
    <row r="519">
      <c r="A519" s="126">
        <f>IFERROR(__xludf.DUMMYFUNCTION("""COMPUTED_VALUE"""),46067.0)</f>
        <v>46067</v>
      </c>
      <c r="B519" s="124" t="str">
        <f>IFERROR(__xludf.DUMMYFUNCTION("""COMPUTED_VALUE"""),"Walkin")</f>
        <v>Walkin</v>
      </c>
      <c r="C519" s="124" t="str">
        <f>IFERROR(__xludf.DUMMYFUNCTION("""COMPUTED_VALUE"""),"Patna")</f>
        <v>Patna</v>
      </c>
      <c r="D519" s="124" t="str">
        <f>IFERROR(__xludf.DUMMYFUNCTION("""COMPUTED_VALUE"""),"Primary_Walkin")</f>
        <v>Primary_Walkin</v>
      </c>
      <c r="E519" s="124">
        <f>IFERROR(__xludf.DUMMYFUNCTION("""COMPUTED_VALUE"""),1.0)</f>
        <v>1</v>
      </c>
      <c r="F519" s="124" t="str">
        <f>IFERROR(__xludf.DUMMYFUNCTION("""COMPUTED_VALUE"""),"Future Prospects")</f>
        <v>Future Prospects</v>
      </c>
      <c r="G519" s="124" t="str">
        <f>IFERROR(__xludf.DUMMYFUNCTION("""COMPUTED_VALUE"""),"GS Foundation")</f>
        <v>GS Foundation</v>
      </c>
      <c r="K519" s="124"/>
      <c r="L519" s="124"/>
      <c r="M519" s="124"/>
      <c r="N519" s="124"/>
      <c r="O519" s="124"/>
      <c r="T519" s="126">
        <f>IFERROR(__xludf.DUMMYFUNCTION("""COMPUTED_VALUE"""),46078.0)</f>
        <v>46078</v>
      </c>
      <c r="U519" s="124" t="str">
        <f>IFERROR(__xludf.DUMMYFUNCTION("""COMPUTED_VALUE"""),"Event")</f>
        <v>Event</v>
      </c>
      <c r="V519" s="124" t="str">
        <f>IFERROR(__xludf.DUMMYFUNCTION("""COMPUTED_VALUE"""),"Events")</f>
        <v>Events</v>
      </c>
      <c r="W519" s="124" t="str">
        <f>IFERROR(__xludf.DUMMYFUNCTION("""COMPUTED_VALUE"""),"All Centre")</f>
        <v>All Centre</v>
      </c>
      <c r="X519" s="124" t="str">
        <f>IFERROR(__xludf.DUMMYFUNCTION("""COMPUTED_VALUE"""),"Generic")</f>
        <v>Generic</v>
      </c>
      <c r="Y519" s="124" t="str">
        <f>IFERROR(__xludf.DUMMYFUNCTION("""COMPUTED_VALUE"""),"Delhi")</f>
        <v>Delhi</v>
      </c>
      <c r="Z519" s="124">
        <f>IFERROR(__xludf.DUMMYFUNCTION("""COMPUTED_VALUE"""),2.0)</f>
        <v>2</v>
      </c>
      <c r="AA519" s="124" t="str">
        <f>IFERROR(__xludf.DUMMYFUNCTION("""COMPUTED_VALUE"""),"Warm")</f>
        <v>Warm</v>
      </c>
      <c r="AB519" s="124" t="str">
        <f>IFERROR(__xludf.DUMMYFUNCTION("""COMPUTED_VALUE"""),"Test Series")</f>
        <v>Test Series</v>
      </c>
    </row>
    <row r="520">
      <c r="A520" s="126">
        <f>IFERROR(__xludf.DUMMYFUNCTION("""COMPUTED_VALUE"""),46112.0)</f>
        <v>46112</v>
      </c>
      <c r="B520" s="124" t="str">
        <f>IFERROR(__xludf.DUMMYFUNCTION("""COMPUTED_VALUE"""),"external leads")</f>
        <v>external leads</v>
      </c>
      <c r="C520" s="124" t="str">
        <f>IFERROR(__xludf.DUMMYFUNCTION("""COMPUTED_VALUE"""),"Patna")</f>
        <v>Patna</v>
      </c>
      <c r="D520" s="124" t="str">
        <f>IFERROR(__xludf.DUMMYFUNCTION("""COMPUTED_VALUE"""),"Secondary_Walkin")</f>
        <v>Secondary_Walkin</v>
      </c>
      <c r="E520" s="124">
        <f>IFERROR(__xludf.DUMMYFUNCTION("""COMPUTED_VALUE"""),1.0)</f>
        <v>1</v>
      </c>
      <c r="F520" s="124" t="str">
        <f>IFERROR(__xludf.DUMMYFUNCTION("""COMPUTED_VALUE"""),"Cold")</f>
        <v>Cold</v>
      </c>
      <c r="G520" s="124" t="str">
        <f>IFERROR(__xludf.DUMMYFUNCTION("""COMPUTED_VALUE"""),"Test Series")</f>
        <v>Test Series</v>
      </c>
      <c r="K520" s="124"/>
      <c r="L520" s="124"/>
      <c r="M520" s="124"/>
      <c r="N520" s="124"/>
      <c r="O520" s="124"/>
      <c r="T520" s="129">
        <f>IFERROR(__xludf.DUMMYFUNCTION("""COMPUTED_VALUE"""),46059.0)</f>
        <v>46059</v>
      </c>
      <c r="U520" s="124" t="str">
        <f>IFERROR(__xludf.DUMMYFUNCTION("""COMPUTED_VALUE"""),"External Leads")</f>
        <v>External Leads</v>
      </c>
      <c r="V520" s="124" t="str">
        <f>IFERROR(__xludf.DUMMYFUNCTION("""COMPUTED_VALUE"""),"external leads")</f>
        <v>external leads</v>
      </c>
      <c r="W520" s="124" t="str">
        <f>IFERROR(__xludf.DUMMYFUNCTION("""COMPUTED_VALUE"""),"lucknow")</f>
        <v>lucknow</v>
      </c>
      <c r="X520" s="124" t="str">
        <f>IFERROR(__xludf.DUMMYFUNCTION("""COMPUTED_VALUE"""),"library")</f>
        <v>library</v>
      </c>
      <c r="Y520" s="124" t="str">
        <f>IFERROR(__xludf.DUMMYFUNCTION("""COMPUTED_VALUE"""),"Lucknow")</f>
        <v>Lucknow</v>
      </c>
      <c r="Z520" s="124">
        <f>IFERROR(__xludf.DUMMYFUNCTION("""COMPUTED_VALUE"""),2.0)</f>
        <v>2</v>
      </c>
      <c r="AA520" s="124" t="str">
        <f>IFERROR(__xludf.DUMMYFUNCTION("""COMPUTED_VALUE"""),"Cold")</f>
        <v>Cold</v>
      </c>
      <c r="AB520" s="124" t="str">
        <f>IFERROR(__xludf.DUMMYFUNCTION("""COMPUTED_VALUE"""),"Hybrid")</f>
        <v>Hybrid</v>
      </c>
    </row>
    <row r="521">
      <c r="A521" s="126">
        <f>IFERROR(__xludf.DUMMYFUNCTION("""COMPUTED_VALUE"""),46105.0)</f>
        <v>46105</v>
      </c>
      <c r="B521" s="124" t="str">
        <f>IFERROR(__xludf.DUMMYFUNCTION("""COMPUTED_VALUE"""),"Walkin")</f>
        <v>Walkin</v>
      </c>
      <c r="C521" s="124" t="str">
        <f>IFERROR(__xludf.DUMMYFUNCTION("""COMPUTED_VALUE"""),"Patna")</f>
        <v>Patna</v>
      </c>
      <c r="D521" s="124" t="str">
        <f>IFERROR(__xludf.DUMMYFUNCTION("""COMPUTED_VALUE"""),"Primary_Walkin")</f>
        <v>Primary_Walkin</v>
      </c>
      <c r="E521" s="124">
        <f>IFERROR(__xludf.DUMMYFUNCTION("""COMPUTED_VALUE"""),2.0)</f>
        <v>2</v>
      </c>
      <c r="F521" s="124" t="str">
        <f>IFERROR(__xludf.DUMMYFUNCTION("""COMPUTED_VALUE"""),"Warm")</f>
        <v>Warm</v>
      </c>
      <c r="G521" s="124" t="str">
        <f>IFERROR(__xludf.DUMMYFUNCTION("""COMPUTED_VALUE"""),"GS Foundation")</f>
        <v>GS Foundation</v>
      </c>
      <c r="K521" s="124"/>
      <c r="L521" s="124"/>
      <c r="M521" s="124"/>
      <c r="N521" s="124"/>
      <c r="O521" s="124"/>
      <c r="T521" s="126">
        <f>IFERROR(__xludf.DUMMYFUNCTION("""COMPUTED_VALUE"""),46057.0)</f>
        <v>46057</v>
      </c>
      <c r="U521" s="124" t="str">
        <f>IFERROR(__xludf.DUMMYFUNCTION("""COMPUTED_VALUE"""),"Event")</f>
        <v>Event</v>
      </c>
      <c r="V521" s="124" t="str">
        <f>IFERROR(__xludf.DUMMYFUNCTION("""COMPUTED_VALUE"""),"Events")</f>
        <v>Events</v>
      </c>
      <c r="W521" s="124" t="str">
        <f>IFERROR(__xludf.DUMMYFUNCTION("""COMPUTED_VALUE"""),"All Centre")</f>
        <v>All Centre</v>
      </c>
      <c r="X521" s="124" t="str">
        <f>IFERROR(__xludf.DUMMYFUNCTION("""COMPUTED_VALUE"""),"Generic")</f>
        <v>Generic</v>
      </c>
      <c r="Y521" s="124" t="str">
        <f>IFERROR(__xludf.DUMMYFUNCTION("""COMPUTED_VALUE"""),"Delhi")</f>
        <v>Delhi</v>
      </c>
      <c r="Z521" s="124">
        <f>IFERROR(__xludf.DUMMYFUNCTION("""COMPUTED_VALUE"""),1.0)</f>
        <v>1</v>
      </c>
      <c r="AA521" s="124" t="str">
        <f>IFERROR(__xludf.DUMMYFUNCTION("""COMPUTED_VALUE"""),"Cold")</f>
        <v>Cold</v>
      </c>
      <c r="AB521" s="124" t="str">
        <f>IFERROR(__xludf.DUMMYFUNCTION("""COMPUTED_VALUE"""),"Test Series")</f>
        <v>Test Series</v>
      </c>
    </row>
    <row r="522">
      <c r="A522" s="126">
        <f>IFERROR(__xludf.DUMMYFUNCTION("""COMPUTED_VALUE"""),46063.0)</f>
        <v>46063</v>
      </c>
      <c r="B522" s="124" t="str">
        <f>IFERROR(__xludf.DUMMYFUNCTION("""COMPUTED_VALUE"""),"Walkin")</f>
        <v>Walkin</v>
      </c>
      <c r="C522" s="124" t="str">
        <f>IFERROR(__xludf.DUMMYFUNCTION("""COMPUTED_VALUE"""),"Patna")</f>
        <v>Patna</v>
      </c>
      <c r="D522" s="124" t="str">
        <f>IFERROR(__xludf.DUMMYFUNCTION("""COMPUTED_VALUE"""),"Primary_Walkin")</f>
        <v>Primary_Walkin</v>
      </c>
      <c r="E522" s="124">
        <f>IFERROR(__xludf.DUMMYFUNCTION("""COMPUTED_VALUE"""),2.0)</f>
        <v>2</v>
      </c>
      <c r="F522" s="124" t="str">
        <f>IFERROR(__xludf.DUMMYFUNCTION("""COMPUTED_VALUE"""),"Cold")</f>
        <v>Cold</v>
      </c>
      <c r="G522" s="124" t="str">
        <f>IFERROR(__xludf.DUMMYFUNCTION("""COMPUTED_VALUE"""),"GS Foundation")</f>
        <v>GS Foundation</v>
      </c>
      <c r="K522" s="124"/>
      <c r="L522" s="124"/>
      <c r="M522" s="124"/>
      <c r="N522" s="124"/>
      <c r="O522" s="124"/>
      <c r="T522" s="126">
        <f>IFERROR(__xludf.DUMMYFUNCTION("""COMPUTED_VALUE"""),46065.0)</f>
        <v>46065</v>
      </c>
      <c r="U522" s="124" t="str">
        <f>IFERROR(__xludf.DUMMYFUNCTION("""COMPUTED_VALUE"""),"Event")</f>
        <v>Event</v>
      </c>
      <c r="V522" s="124" t="str">
        <f>IFERROR(__xludf.DUMMYFUNCTION("""COMPUTED_VALUE"""),"Events")</f>
        <v>Events</v>
      </c>
      <c r="W522" s="124" t="str">
        <f>IFERROR(__xludf.DUMMYFUNCTION("""COMPUTED_VALUE"""),"All Centre")</f>
        <v>All Centre</v>
      </c>
      <c r="X522" s="124" t="str">
        <f>IFERROR(__xludf.DUMMYFUNCTION("""COMPUTED_VALUE"""),"Generic")</f>
        <v>Generic</v>
      </c>
      <c r="Y522" s="124" t="str">
        <f>IFERROR(__xludf.DUMMYFUNCTION("""COMPUTED_VALUE"""),"Delhi")</f>
        <v>Delhi</v>
      </c>
      <c r="Z522" s="124">
        <f>IFERROR(__xludf.DUMMYFUNCTION("""COMPUTED_VALUE"""),3.0)</f>
        <v>3</v>
      </c>
      <c r="AA522" s="124" t="str">
        <f>IFERROR(__xludf.DUMMYFUNCTION("""COMPUTED_VALUE"""),"Fake Lead")</f>
        <v>Fake Lead</v>
      </c>
      <c r="AB522" s="124" t="str">
        <f>IFERROR(__xludf.DUMMYFUNCTION("""COMPUTED_VALUE"""),"Optionals")</f>
        <v>Optionals</v>
      </c>
    </row>
    <row r="523">
      <c r="A523" s="126">
        <f>IFERROR(__xludf.DUMMYFUNCTION("""COMPUTED_VALUE"""),46062.0)</f>
        <v>46062</v>
      </c>
      <c r="B523" s="124" t="str">
        <f>IFERROR(__xludf.DUMMYFUNCTION("""COMPUTED_VALUE"""),"Walkin")</f>
        <v>Walkin</v>
      </c>
      <c r="C523" s="124" t="str">
        <f>IFERROR(__xludf.DUMMYFUNCTION("""COMPUTED_VALUE"""),"Patna")</f>
        <v>Patna</v>
      </c>
      <c r="D523" s="124" t="str">
        <f>IFERROR(__xludf.DUMMYFUNCTION("""COMPUTED_VALUE"""),"Primary_Walkin")</f>
        <v>Primary_Walkin</v>
      </c>
      <c r="E523" s="124">
        <f>IFERROR(__xludf.DUMMYFUNCTION("""COMPUTED_VALUE"""),3.0)</f>
        <v>3</v>
      </c>
      <c r="F523" s="124" t="str">
        <f>IFERROR(__xludf.DUMMYFUNCTION("""COMPUTED_VALUE"""),"Enrolled")</f>
        <v>Enrolled</v>
      </c>
      <c r="G523" s="124" t="str">
        <f>IFERROR(__xludf.DUMMYFUNCTION("""COMPUTED_VALUE"""),"State PCS")</f>
        <v>State PCS</v>
      </c>
      <c r="K523" s="124"/>
      <c r="L523" s="124"/>
      <c r="M523" s="124"/>
      <c r="N523" s="124"/>
      <c r="O523" s="124"/>
      <c r="T523" s="126">
        <f>IFERROR(__xludf.DUMMYFUNCTION("""COMPUTED_VALUE"""),46058.0)</f>
        <v>46058</v>
      </c>
      <c r="U523" s="124" t="str">
        <f>IFERROR(__xludf.DUMMYFUNCTION("""COMPUTED_VALUE"""),"Event")</f>
        <v>Event</v>
      </c>
      <c r="V523" s="124" t="str">
        <f>IFERROR(__xludf.DUMMYFUNCTION("""COMPUTED_VALUE"""),"Events")</f>
        <v>Events</v>
      </c>
      <c r="W523" s="124" t="str">
        <f>IFERROR(__xludf.DUMMYFUNCTION("""COMPUTED_VALUE"""),"Delhi")</f>
        <v>Delhi</v>
      </c>
      <c r="X523" s="124" t="str">
        <f>IFERROR(__xludf.DUMMYFUNCTION("""COMPUTED_VALUE"""),"DRCSEMINAR(CTC)")</f>
        <v>DRCSEMINAR(CTC)</v>
      </c>
      <c r="Y523" s="124"/>
      <c r="Z523" s="124">
        <f>IFERROR(__xludf.DUMMYFUNCTION("""COMPUTED_VALUE"""),3.0)</f>
        <v>3</v>
      </c>
      <c r="AA523" s="124" t="str">
        <f>IFERROR(__xludf.DUMMYFUNCTION("""COMPUTED_VALUE"""),"Cold")</f>
        <v>Cold</v>
      </c>
      <c r="AB523" s="124"/>
    </row>
    <row r="524">
      <c r="A524" s="126">
        <f>IFERROR(__xludf.DUMMYFUNCTION("""COMPUTED_VALUE"""),46057.0)</f>
        <v>46057</v>
      </c>
      <c r="B524" s="124" t="str">
        <f>IFERROR(__xludf.DUMMYFUNCTION("""COMPUTED_VALUE"""),"external leads")</f>
        <v>external leads</v>
      </c>
      <c r="C524" s="124" t="str">
        <f>IFERROR(__xludf.DUMMYFUNCTION("""COMPUTED_VALUE"""),"Patna")</f>
        <v>Patna</v>
      </c>
      <c r="D524" s="124" t="str">
        <f>IFERROR(__xludf.DUMMYFUNCTION("""COMPUTED_VALUE"""),"Secondary_Walkin")</f>
        <v>Secondary_Walkin</v>
      </c>
      <c r="E524" s="124">
        <f>IFERROR(__xludf.DUMMYFUNCTION("""COMPUTED_VALUE"""),1.0)</f>
        <v>1</v>
      </c>
      <c r="F524" s="124" t="str">
        <f>IFERROR(__xludf.DUMMYFUNCTION("""COMPUTED_VALUE"""),"Cold")</f>
        <v>Cold</v>
      </c>
      <c r="G524" s="124" t="str">
        <f>IFERROR(__xludf.DUMMYFUNCTION("""COMPUTED_VALUE"""),"GS Foundation")</f>
        <v>GS Foundation</v>
      </c>
      <c r="K524" s="124"/>
      <c r="L524" s="124"/>
      <c r="M524" s="124"/>
      <c r="N524" s="124"/>
      <c r="O524" s="124"/>
      <c r="T524" s="126">
        <f>IFERROR(__xludf.DUMMYFUNCTION("""COMPUTED_VALUE"""),46064.0)</f>
        <v>46064</v>
      </c>
      <c r="U524" s="124" t="str">
        <f>IFERROR(__xludf.DUMMYFUNCTION("""COMPUTED_VALUE"""),"Event")</f>
        <v>Event</v>
      </c>
      <c r="V524" s="124" t="str">
        <f>IFERROR(__xludf.DUMMYFUNCTION("""COMPUTED_VALUE"""),"Events")</f>
        <v>Events</v>
      </c>
      <c r="W524" s="124" t="str">
        <f>IFERROR(__xludf.DUMMYFUNCTION("""COMPUTED_VALUE"""),"All Centre")</f>
        <v>All Centre</v>
      </c>
      <c r="X524" s="124" t="str">
        <f>IFERROR(__xludf.DUMMYFUNCTION("""COMPUTED_VALUE"""),"Generic")</f>
        <v>Generic</v>
      </c>
      <c r="Y524" s="124" t="str">
        <f>IFERROR(__xludf.DUMMYFUNCTION("""COMPUTED_VALUE"""),"Delhi")</f>
        <v>Delhi</v>
      </c>
      <c r="Z524" s="124">
        <f>IFERROR(__xludf.DUMMYFUNCTION("""COMPUTED_VALUE"""),1.0)</f>
        <v>1</v>
      </c>
      <c r="AA524" s="124" t="str">
        <f>IFERROR(__xludf.DUMMYFUNCTION("""COMPUTED_VALUE"""),"Engaged")</f>
        <v>Engaged</v>
      </c>
      <c r="AB524" s="124" t="str">
        <f>IFERROR(__xludf.DUMMYFUNCTION("""COMPUTED_VALUE"""),"Hybrid")</f>
        <v>Hybrid</v>
      </c>
    </row>
    <row r="525">
      <c r="A525" s="126">
        <f>IFERROR(__xludf.DUMMYFUNCTION("""COMPUTED_VALUE"""),46052.0)</f>
        <v>46052</v>
      </c>
      <c r="B525" s="124" t="str">
        <f>IFERROR(__xludf.DUMMYFUNCTION("""COMPUTED_VALUE"""),"Walk-In")</f>
        <v>Walk-In</v>
      </c>
      <c r="C525" s="124" t="str">
        <f>IFERROR(__xludf.DUMMYFUNCTION("""COMPUTED_VALUE"""),"Patna")</f>
        <v>Patna</v>
      </c>
      <c r="D525" s="124" t="str">
        <f>IFERROR(__xludf.DUMMYFUNCTION("""COMPUTED_VALUE"""),"Primary_Walkin")</f>
        <v>Primary_Walkin</v>
      </c>
      <c r="E525" s="124">
        <f>IFERROR(__xludf.DUMMYFUNCTION("""COMPUTED_VALUE"""),2.0)</f>
        <v>2</v>
      </c>
      <c r="F525" s="124" t="str">
        <f>IFERROR(__xludf.DUMMYFUNCTION("""COMPUTED_VALUE"""),"Cold")</f>
        <v>Cold</v>
      </c>
      <c r="G525" s="124" t="str">
        <f>IFERROR(__xludf.DUMMYFUNCTION("""COMPUTED_VALUE"""),"State PCS")</f>
        <v>State PCS</v>
      </c>
      <c r="K525" s="124"/>
      <c r="L525" s="124"/>
      <c r="M525" s="124"/>
      <c r="N525" s="124"/>
      <c r="O525" s="124"/>
      <c r="T525" s="126">
        <f>IFERROR(__xludf.DUMMYFUNCTION("""COMPUTED_VALUE"""),46057.0)</f>
        <v>46057</v>
      </c>
      <c r="U525" s="124" t="str">
        <f>IFERROR(__xludf.DUMMYFUNCTION("""COMPUTED_VALUE"""),"Event")</f>
        <v>Event</v>
      </c>
      <c r="V525" s="124" t="str">
        <f>IFERROR(__xludf.DUMMYFUNCTION("""COMPUTED_VALUE"""),"Events")</f>
        <v>Events</v>
      </c>
      <c r="W525" s="124" t="str">
        <f>IFERROR(__xludf.DUMMYFUNCTION("""COMPUTED_VALUE"""),"All Centre")</f>
        <v>All Centre</v>
      </c>
      <c r="X525" s="124" t="str">
        <f>IFERROR(__xludf.DUMMYFUNCTION("""COMPUTED_VALUE"""),"Generic")</f>
        <v>Generic</v>
      </c>
      <c r="Y525" s="124" t="str">
        <f>IFERROR(__xludf.DUMMYFUNCTION("""COMPUTED_VALUE"""),"Delhi")</f>
        <v>Delhi</v>
      </c>
      <c r="Z525" s="124">
        <f>IFERROR(__xludf.DUMMYFUNCTION("""COMPUTED_VALUE"""),3.0)</f>
        <v>3</v>
      </c>
      <c r="AA525" s="124" t="str">
        <f>IFERROR(__xludf.DUMMYFUNCTION("""COMPUTED_VALUE"""),"Cold")</f>
        <v>Cold</v>
      </c>
      <c r="AB525" s="124" t="str">
        <f>IFERROR(__xludf.DUMMYFUNCTION("""COMPUTED_VALUE"""),"GS Foundation")</f>
        <v>GS Foundation</v>
      </c>
    </row>
    <row r="526">
      <c r="A526" s="126">
        <f>IFERROR(__xludf.DUMMYFUNCTION("""COMPUTED_VALUE"""),46091.0)</f>
        <v>46091</v>
      </c>
      <c r="B526" s="124" t="str">
        <f>IFERROR(__xludf.DUMMYFUNCTION("""COMPUTED_VALUE"""),"Walkin")</f>
        <v>Walkin</v>
      </c>
      <c r="C526" s="124" t="str">
        <f>IFERROR(__xludf.DUMMYFUNCTION("""COMPUTED_VALUE"""),"Patna")</f>
        <v>Patna</v>
      </c>
      <c r="D526" s="124" t="str">
        <f>IFERROR(__xludf.DUMMYFUNCTION("""COMPUTED_VALUE"""),"Primary_Walkin")</f>
        <v>Primary_Walkin</v>
      </c>
      <c r="E526" s="124">
        <f>IFERROR(__xludf.DUMMYFUNCTION("""COMPUTED_VALUE"""),2.0)</f>
        <v>2</v>
      </c>
      <c r="F526" s="124" t="str">
        <f>IFERROR(__xludf.DUMMYFUNCTION("""COMPUTED_VALUE"""),"Cold")</f>
        <v>Cold</v>
      </c>
      <c r="G526" s="124" t="str">
        <f>IFERROR(__xludf.DUMMYFUNCTION("""COMPUTED_VALUE"""),"State PCS")</f>
        <v>State PCS</v>
      </c>
      <c r="K526" s="124"/>
      <c r="L526" s="124"/>
      <c r="M526" s="124"/>
      <c r="N526" s="124"/>
      <c r="O526" s="124"/>
      <c r="T526" s="126">
        <f>IFERROR(__xludf.DUMMYFUNCTION("""COMPUTED_VALUE"""),46057.0)</f>
        <v>46057</v>
      </c>
      <c r="U526" s="124" t="str">
        <f>IFERROR(__xludf.DUMMYFUNCTION("""COMPUTED_VALUE"""),"Event")</f>
        <v>Event</v>
      </c>
      <c r="V526" s="124" t="str">
        <f>IFERROR(__xludf.DUMMYFUNCTION("""COMPUTED_VALUE"""),"Events")</f>
        <v>Events</v>
      </c>
      <c r="W526" s="124" t="str">
        <f>IFERROR(__xludf.DUMMYFUNCTION("""COMPUTED_VALUE"""),"All Centre")</f>
        <v>All Centre</v>
      </c>
      <c r="X526" s="124" t="str">
        <f>IFERROR(__xludf.DUMMYFUNCTION("""COMPUTED_VALUE"""),"Generic")</f>
        <v>Generic</v>
      </c>
      <c r="Y526" s="124" t="str">
        <f>IFERROR(__xludf.DUMMYFUNCTION("""COMPUTED_VALUE"""),"Delhi")</f>
        <v>Delhi</v>
      </c>
      <c r="Z526" s="124">
        <f>IFERROR(__xludf.DUMMYFUNCTION("""COMPUTED_VALUE"""),5.0)</f>
        <v>5</v>
      </c>
      <c r="AA526" s="124" t="str">
        <f>IFERROR(__xludf.DUMMYFUNCTION("""COMPUTED_VALUE"""),"Engaged")</f>
        <v>Engaged</v>
      </c>
      <c r="AB526" s="124" t="str">
        <f>IFERROR(__xludf.DUMMYFUNCTION("""COMPUTED_VALUE"""),"GS Foundation")</f>
        <v>GS Foundation</v>
      </c>
    </row>
    <row r="527">
      <c r="A527" s="129">
        <f>IFERROR(__xludf.DUMMYFUNCTION("""COMPUTED_VALUE"""),46099.0)</f>
        <v>46099</v>
      </c>
      <c r="B527" s="124" t="str">
        <f>IFERROR(__xludf.DUMMYFUNCTION("""COMPUTED_VALUE"""),"external leads")</f>
        <v>external leads</v>
      </c>
      <c r="C527" s="124" t="str">
        <f>IFERROR(__xludf.DUMMYFUNCTION("""COMPUTED_VALUE"""),"Patna")</f>
        <v>Patna</v>
      </c>
      <c r="D527" s="124" t="str">
        <f>IFERROR(__xludf.DUMMYFUNCTION("""COMPUTED_VALUE"""),"Secondary_Walkin")</f>
        <v>Secondary_Walkin</v>
      </c>
      <c r="E527" s="124">
        <f>IFERROR(__xludf.DUMMYFUNCTION("""COMPUTED_VALUE"""),1.0)</f>
        <v>1</v>
      </c>
      <c r="F527" s="124" t="str">
        <f>IFERROR(__xludf.DUMMYFUNCTION("""COMPUTED_VALUE"""),"Cold")</f>
        <v>Cold</v>
      </c>
      <c r="G527" s="124" t="str">
        <f>IFERROR(__xludf.DUMMYFUNCTION("""COMPUTED_VALUE"""),"State PCS")</f>
        <v>State PCS</v>
      </c>
      <c r="K527" s="124"/>
      <c r="L527" s="124"/>
      <c r="M527" s="124"/>
      <c r="N527" s="124"/>
      <c r="O527" s="124"/>
      <c r="T527" s="126">
        <f>IFERROR(__xludf.DUMMYFUNCTION("""COMPUTED_VALUE"""),46081.0)</f>
        <v>46081</v>
      </c>
      <c r="U527" s="124" t="str">
        <f>IFERROR(__xludf.DUMMYFUNCTION("""COMPUTED_VALUE"""),"Walk-Ins")</f>
        <v>Walk-Ins</v>
      </c>
      <c r="V527" s="124" t="str">
        <f>IFERROR(__xludf.DUMMYFUNCTION("""COMPUTED_VALUE"""),"Walk-In")</f>
        <v>Walk-In</v>
      </c>
      <c r="W527" s="124" t="str">
        <f>IFERROR(__xludf.DUMMYFUNCTION("""COMPUTED_VALUE"""),"Patna")</f>
        <v>Patna</v>
      </c>
      <c r="X527" s="124" t="str">
        <f>IFERROR(__xludf.DUMMYFUNCTION("""COMPUTED_VALUE"""),"Tejaswi")</f>
        <v>Tejaswi</v>
      </c>
      <c r="Y527" s="124"/>
      <c r="Z527" s="124">
        <f>IFERROR(__xludf.DUMMYFUNCTION("""COMPUTED_VALUE"""),1.0)</f>
        <v>1</v>
      </c>
      <c r="AA527" s="124" t="str">
        <f>IFERROR(__xludf.DUMMYFUNCTION("""COMPUTED_VALUE"""),"Cold")</f>
        <v>Cold</v>
      </c>
      <c r="AB527" s="124" t="str">
        <f>IFERROR(__xludf.DUMMYFUNCTION("""COMPUTED_VALUE"""),"GS Foundation")</f>
        <v>GS Foundation</v>
      </c>
    </row>
    <row r="528">
      <c r="A528" s="126">
        <f>IFERROR(__xludf.DUMMYFUNCTION("""COMPUTED_VALUE"""),46051.0)</f>
        <v>46051</v>
      </c>
      <c r="B528" s="124" t="str">
        <f>IFERROR(__xludf.DUMMYFUNCTION("""COMPUTED_VALUE"""),"Walkin")</f>
        <v>Walkin</v>
      </c>
      <c r="C528" s="124" t="str">
        <f>IFERROR(__xludf.DUMMYFUNCTION("""COMPUTED_VALUE"""),"Patna")</f>
        <v>Patna</v>
      </c>
      <c r="D528" s="124" t="str">
        <f>IFERROR(__xludf.DUMMYFUNCTION("""COMPUTED_VALUE"""),"Primary_Walkin")</f>
        <v>Primary_Walkin</v>
      </c>
      <c r="E528" s="124">
        <f>IFERROR(__xludf.DUMMYFUNCTION("""COMPUTED_VALUE"""),4.0)</f>
        <v>4</v>
      </c>
      <c r="F528" s="124" t="str">
        <f>IFERROR(__xludf.DUMMYFUNCTION("""COMPUTED_VALUE"""),"Fake Lead")</f>
        <v>Fake Lead</v>
      </c>
      <c r="G528" s="124" t="str">
        <f>IFERROR(__xludf.DUMMYFUNCTION("""COMPUTED_VALUE"""),"State PCS")</f>
        <v>State PCS</v>
      </c>
      <c r="K528" s="124"/>
      <c r="L528" s="124"/>
      <c r="M528" s="124"/>
      <c r="N528" s="124"/>
      <c r="O528" s="124"/>
      <c r="T528" s="126">
        <f>IFERROR(__xludf.DUMMYFUNCTION("""COMPUTED_VALUE"""),46050.0)</f>
        <v>46050</v>
      </c>
      <c r="U528" s="124" t="str">
        <f>IFERROR(__xludf.DUMMYFUNCTION("""COMPUTED_VALUE"""),"Paid Ads")</f>
        <v>Paid Ads</v>
      </c>
      <c r="V528" s="124" t="str">
        <f>IFERROR(__xludf.DUMMYFUNCTION("""COMPUTED_VALUE"""),"Facebook")</f>
        <v>Facebook</v>
      </c>
      <c r="W528" s="124" t="str">
        <f>IFERROR(__xludf.DUMMYFUNCTION("""COMPUTED_VALUE"""),"LeadAd")</f>
        <v>LeadAd</v>
      </c>
      <c r="X528" s="124" t="str">
        <f>IFERROR(__xludf.DUMMYFUNCTION("""COMPUTED_VALUE"""),"Upsc_offline_26_delhi_FB_Creatives")</f>
        <v>Upsc_offline_26_delhi_FB_Creatives</v>
      </c>
      <c r="Y528" s="124" t="str">
        <f>IFERROR(__xludf.DUMMYFUNCTION("""COMPUTED_VALUE"""),"Delhi")</f>
        <v>Delhi</v>
      </c>
      <c r="Z528" s="124">
        <f>IFERROR(__xludf.DUMMYFUNCTION("""COMPUTED_VALUE"""),5.0)</f>
        <v>5</v>
      </c>
      <c r="AA528" s="124" t="str">
        <f>IFERROR(__xludf.DUMMYFUNCTION("""COMPUTED_VALUE"""),"Fake Lead")</f>
        <v>Fake Lead</v>
      </c>
      <c r="AB528" s="124"/>
    </row>
    <row r="529">
      <c r="A529" s="126">
        <f>IFERROR(__xludf.DUMMYFUNCTION("""COMPUTED_VALUE"""),46075.0)</f>
        <v>46075</v>
      </c>
      <c r="B529" s="124" t="str">
        <f>IFERROR(__xludf.DUMMYFUNCTION("""COMPUTED_VALUE"""),"Walkin")</f>
        <v>Walkin</v>
      </c>
      <c r="C529" s="124" t="str">
        <f>IFERROR(__xludf.DUMMYFUNCTION("""COMPUTED_VALUE"""),"Patna")</f>
        <v>Patna</v>
      </c>
      <c r="D529" s="124" t="str">
        <f>IFERROR(__xludf.DUMMYFUNCTION("""COMPUTED_VALUE"""),"Primary_Walkin")</f>
        <v>Primary_Walkin</v>
      </c>
      <c r="E529" s="124">
        <f>IFERROR(__xludf.DUMMYFUNCTION("""COMPUTED_VALUE"""),1.0)</f>
        <v>1</v>
      </c>
      <c r="F529" s="124" t="str">
        <f>IFERROR(__xludf.DUMMYFUNCTION("""COMPUTED_VALUE"""),"Enrolled")</f>
        <v>Enrolled</v>
      </c>
      <c r="G529" s="124" t="str">
        <f>IFERROR(__xludf.DUMMYFUNCTION("""COMPUTED_VALUE"""),"State PCS")</f>
        <v>State PCS</v>
      </c>
      <c r="K529" s="124"/>
      <c r="L529" s="124"/>
      <c r="M529" s="124"/>
      <c r="N529" s="124"/>
      <c r="O529" s="124"/>
      <c r="T529" s="126">
        <f>IFERROR(__xludf.DUMMYFUNCTION("""COMPUTED_VALUE"""),46047.0)</f>
        <v>46047</v>
      </c>
      <c r="U529" s="124" t="str">
        <f>IFERROR(__xludf.DUMMYFUNCTION("""COMPUTED_VALUE"""),"Paid Ads")</f>
        <v>Paid Ads</v>
      </c>
      <c r="V529" s="124" t="str">
        <f>IFERROR(__xludf.DUMMYFUNCTION("""COMPUTED_VALUE"""),"Facebook")</f>
        <v>Facebook</v>
      </c>
      <c r="W529" s="124" t="str">
        <f>IFERROR(__xludf.DUMMYFUNCTION("""COMPUTED_VALUE"""),"LeadAd")</f>
        <v>LeadAd</v>
      </c>
      <c r="X529" s="124" t="str">
        <f>IFERROR(__xludf.DUMMYFUNCTION("""COMPUTED_VALUE"""),"Upsc_offline_26_delhi_FB_Creatives")</f>
        <v>Upsc_offline_26_delhi_FB_Creatives</v>
      </c>
      <c r="Y529" s="124" t="str">
        <f>IFERROR(__xludf.DUMMYFUNCTION("""COMPUTED_VALUE"""),"Delhi")</f>
        <v>Delhi</v>
      </c>
      <c r="Z529" s="124">
        <f>IFERROR(__xludf.DUMMYFUNCTION("""COMPUTED_VALUE"""),11.0)</f>
        <v>11</v>
      </c>
      <c r="AA529" s="124" t="str">
        <f>IFERROR(__xludf.DUMMYFUNCTION("""COMPUTED_VALUE"""),"Fake Lead")</f>
        <v>Fake Lead</v>
      </c>
      <c r="AB529" s="124"/>
    </row>
    <row r="530">
      <c r="A530" s="129">
        <f>IFERROR(__xludf.DUMMYFUNCTION("""COMPUTED_VALUE"""),46056.0)</f>
        <v>46056</v>
      </c>
      <c r="B530" s="124" t="str">
        <f>IFERROR(__xludf.DUMMYFUNCTION("""COMPUTED_VALUE"""),"Walkin")</f>
        <v>Walkin</v>
      </c>
      <c r="C530" s="124" t="str">
        <f>IFERROR(__xludf.DUMMYFUNCTION("""COMPUTED_VALUE"""),"Patna")</f>
        <v>Patna</v>
      </c>
      <c r="D530" s="124" t="str">
        <f>IFERROR(__xludf.DUMMYFUNCTION("""COMPUTED_VALUE"""),"Primary_Walkin")</f>
        <v>Primary_Walkin</v>
      </c>
      <c r="E530" s="124">
        <f>IFERROR(__xludf.DUMMYFUNCTION("""COMPUTED_VALUE"""),2.0)</f>
        <v>2</v>
      </c>
      <c r="F530" s="124" t="str">
        <f>IFERROR(__xludf.DUMMYFUNCTION("""COMPUTED_VALUE"""),"Cold")</f>
        <v>Cold</v>
      </c>
      <c r="G530" s="124" t="str">
        <f>IFERROR(__xludf.DUMMYFUNCTION("""COMPUTED_VALUE"""),"State PCS")</f>
        <v>State PCS</v>
      </c>
      <c r="K530" s="124"/>
      <c r="L530" s="124"/>
      <c r="M530" s="124"/>
      <c r="N530" s="124"/>
      <c r="O530" s="124"/>
      <c r="T530" s="126">
        <f>IFERROR(__xludf.DUMMYFUNCTION("""COMPUTED_VALUE"""),46049.0)</f>
        <v>46049</v>
      </c>
      <c r="U530" s="124" t="str">
        <f>IFERROR(__xludf.DUMMYFUNCTION("""COMPUTED_VALUE"""),"Paid Ads")</f>
        <v>Paid Ads</v>
      </c>
      <c r="V530" s="124" t="str">
        <f>IFERROR(__xludf.DUMMYFUNCTION("""COMPUTED_VALUE"""),"Facebook")</f>
        <v>Facebook</v>
      </c>
      <c r="W530" s="124" t="str">
        <f>IFERROR(__xludf.DUMMYFUNCTION("""COMPUTED_VALUE"""),"LeadAd")</f>
        <v>LeadAd</v>
      </c>
      <c r="X530" s="124" t="str">
        <f>IFERROR(__xludf.DUMMYFUNCTION("""COMPUTED_VALUE"""),"Upsc_Offline_26_Prygrj_FB_Creatives")</f>
        <v>Upsc_Offline_26_Prygrj_FB_Creatives</v>
      </c>
      <c r="Y530" s="124" t="str">
        <f>IFERROR(__xludf.DUMMYFUNCTION("""COMPUTED_VALUE"""),"Prayagraj")</f>
        <v>Prayagraj</v>
      </c>
      <c r="Z530" s="124">
        <f>IFERROR(__xludf.DUMMYFUNCTION("""COMPUTED_VALUE"""),3.0)</f>
        <v>3</v>
      </c>
      <c r="AA530" s="124" t="str">
        <f>IFERROR(__xludf.DUMMYFUNCTION("""COMPUTED_VALUE"""),"Fake Lead")</f>
        <v>Fake Lead</v>
      </c>
      <c r="AB530" s="124"/>
    </row>
    <row r="531">
      <c r="A531" s="129">
        <f>IFERROR(__xludf.DUMMYFUNCTION("""COMPUTED_VALUE"""),46046.0)</f>
        <v>46046</v>
      </c>
      <c r="B531" s="124" t="str">
        <f>IFERROR(__xludf.DUMMYFUNCTION("""COMPUTED_VALUE"""),"Walkin")</f>
        <v>Walkin</v>
      </c>
      <c r="C531" s="124" t="str">
        <f>IFERROR(__xludf.DUMMYFUNCTION("""COMPUTED_VALUE"""),"Patna")</f>
        <v>Patna</v>
      </c>
      <c r="D531" s="124" t="str">
        <f>IFERROR(__xludf.DUMMYFUNCTION("""COMPUTED_VALUE"""),"Primary_Walkin")</f>
        <v>Primary_Walkin</v>
      </c>
      <c r="E531" s="124">
        <f>IFERROR(__xludf.DUMMYFUNCTION("""COMPUTED_VALUE"""),1.0)</f>
        <v>1</v>
      </c>
      <c r="F531" s="124" t="str">
        <f>IFERROR(__xludf.DUMMYFUNCTION("""COMPUTED_VALUE"""),"Cold")</f>
        <v>Cold</v>
      </c>
      <c r="G531" s="124" t="str">
        <f>IFERROR(__xludf.DUMMYFUNCTION("""COMPUTED_VALUE"""),"GS Foundation")</f>
        <v>GS Foundation</v>
      </c>
      <c r="K531" s="124"/>
      <c r="L531" s="124"/>
      <c r="M531" s="124"/>
      <c r="N531" s="124"/>
      <c r="O531" s="124"/>
      <c r="T531" s="129">
        <f>IFERROR(__xludf.DUMMYFUNCTION("""COMPUTED_VALUE"""),46051.0)</f>
        <v>46051</v>
      </c>
      <c r="U531" s="124" t="str">
        <f>IFERROR(__xludf.DUMMYFUNCTION("""COMPUTED_VALUE"""),"Paid Ads")</f>
        <v>Paid Ads</v>
      </c>
      <c r="V531" s="124" t="str">
        <f>IFERROR(__xludf.DUMMYFUNCTION("""COMPUTED_VALUE"""),"Facebook")</f>
        <v>Facebook</v>
      </c>
      <c r="W531" s="124" t="str">
        <f>IFERROR(__xludf.DUMMYFUNCTION("""COMPUTED_VALUE"""),"LeadAd")</f>
        <v>LeadAd</v>
      </c>
      <c r="X531" s="124" t="str">
        <f>IFERROR(__xludf.DUMMYFUNCTION("""COMPUTED_VALUE"""),"Upsc_offline_26_delhi_FB_Creatives")</f>
        <v>Upsc_offline_26_delhi_FB_Creatives</v>
      </c>
      <c r="Y531" s="124" t="str">
        <f>IFERROR(__xludf.DUMMYFUNCTION("""COMPUTED_VALUE"""),"Delhi")</f>
        <v>Delhi</v>
      </c>
      <c r="Z531" s="124">
        <f>IFERROR(__xludf.DUMMYFUNCTION("""COMPUTED_VALUE"""),1.0)</f>
        <v>1</v>
      </c>
      <c r="AA531" s="124" t="str">
        <f>IFERROR(__xludf.DUMMYFUNCTION("""COMPUTED_VALUE"""),"Not Interested")</f>
        <v>Not Interested</v>
      </c>
      <c r="AB531" s="124"/>
    </row>
    <row r="532">
      <c r="A532" s="129">
        <f>IFERROR(__xludf.DUMMYFUNCTION("""COMPUTED_VALUE"""),46072.0)</f>
        <v>46072</v>
      </c>
      <c r="B532" s="124" t="str">
        <f>IFERROR(__xludf.DUMMYFUNCTION("""COMPUTED_VALUE"""),"Walkin")</f>
        <v>Walkin</v>
      </c>
      <c r="C532" s="124" t="str">
        <f>IFERROR(__xludf.DUMMYFUNCTION("""COMPUTED_VALUE"""),"Patna")</f>
        <v>Patna</v>
      </c>
      <c r="D532" s="124" t="str">
        <f>IFERROR(__xludf.DUMMYFUNCTION("""COMPUTED_VALUE"""),"Primary_Walkin")</f>
        <v>Primary_Walkin</v>
      </c>
      <c r="E532" s="124">
        <f>IFERROR(__xludf.DUMMYFUNCTION("""COMPUTED_VALUE"""),3.0)</f>
        <v>3</v>
      </c>
      <c r="F532" s="124" t="str">
        <f>IFERROR(__xludf.DUMMYFUNCTION("""COMPUTED_VALUE"""),"Cold")</f>
        <v>Cold</v>
      </c>
      <c r="G532" s="124" t="str">
        <f>IFERROR(__xludf.DUMMYFUNCTION("""COMPUTED_VALUE"""),"GS Foundation")</f>
        <v>GS Foundation</v>
      </c>
      <c r="K532" s="124"/>
      <c r="L532" s="124"/>
      <c r="M532" s="124"/>
      <c r="N532" s="124"/>
      <c r="O532" s="124"/>
      <c r="T532" s="129">
        <f>IFERROR(__xludf.DUMMYFUNCTION("""COMPUTED_VALUE"""),46045.0)</f>
        <v>46045</v>
      </c>
      <c r="U532" s="124" t="str">
        <f>IFERROR(__xludf.DUMMYFUNCTION("""COMPUTED_VALUE"""),"Walk-Ins")</f>
        <v>Walk-Ins</v>
      </c>
      <c r="V532" s="124" t="str">
        <f>IFERROR(__xludf.DUMMYFUNCTION("""COMPUTED_VALUE"""),"Walk-In")</f>
        <v>Walk-In</v>
      </c>
      <c r="W532" s="124" t="str">
        <f>IFERROR(__xludf.DUMMYFUNCTION("""COMPUTED_VALUE"""),"Patna")</f>
        <v>Patna</v>
      </c>
      <c r="X532" s="124" t="str">
        <f>IFERROR(__xludf.DUMMYFUNCTION("""COMPUTED_VALUE"""),"Tejaswi")</f>
        <v>Tejaswi</v>
      </c>
      <c r="Y532" s="124"/>
      <c r="Z532" s="124">
        <f>IFERROR(__xludf.DUMMYFUNCTION("""COMPUTED_VALUE"""),1.0)</f>
        <v>1</v>
      </c>
      <c r="AA532" s="124" t="str">
        <f>IFERROR(__xludf.DUMMYFUNCTION("""COMPUTED_VALUE"""),"Cold")</f>
        <v>Cold</v>
      </c>
      <c r="AB532" s="124" t="str">
        <f>IFERROR(__xludf.DUMMYFUNCTION("""COMPUTED_VALUE"""),"State PCS")</f>
        <v>State PCS</v>
      </c>
    </row>
    <row r="533">
      <c r="A533" s="126">
        <f>IFERROR(__xludf.DUMMYFUNCTION("""COMPUTED_VALUE"""),46078.0)</f>
        <v>46078</v>
      </c>
      <c r="B533" s="124" t="str">
        <f>IFERROR(__xludf.DUMMYFUNCTION("""COMPUTED_VALUE"""),"Walkin")</f>
        <v>Walkin</v>
      </c>
      <c r="C533" s="124" t="str">
        <f>IFERROR(__xludf.DUMMYFUNCTION("""COMPUTED_VALUE"""),"Patna")</f>
        <v>Patna</v>
      </c>
      <c r="D533" s="124" t="str">
        <f>IFERROR(__xludf.DUMMYFUNCTION("""COMPUTED_VALUE"""),"Primary_Walkin")</f>
        <v>Primary_Walkin</v>
      </c>
      <c r="E533" s="124">
        <f>IFERROR(__xludf.DUMMYFUNCTION("""COMPUTED_VALUE"""),1.0)</f>
        <v>1</v>
      </c>
      <c r="F533" s="124" t="str">
        <f>IFERROR(__xludf.DUMMYFUNCTION("""COMPUTED_VALUE"""),"Warm")</f>
        <v>Warm</v>
      </c>
      <c r="G533" s="124" t="str">
        <f>IFERROR(__xludf.DUMMYFUNCTION("""COMPUTED_VALUE"""),"State PCS")</f>
        <v>State PCS</v>
      </c>
      <c r="K533" s="124"/>
      <c r="L533" s="124"/>
      <c r="M533" s="124"/>
      <c r="N533" s="124"/>
      <c r="O533" s="124"/>
      <c r="T533" s="126">
        <f>IFERROR(__xludf.DUMMYFUNCTION("""COMPUTED_VALUE"""),46109.0)</f>
        <v>46109</v>
      </c>
      <c r="U533" s="124" t="str">
        <f>IFERROR(__xludf.DUMMYFUNCTION("""COMPUTED_VALUE"""),"Walk-Ins")</f>
        <v>Walk-Ins</v>
      </c>
      <c r="V533" s="124" t="str">
        <f>IFERROR(__xludf.DUMMYFUNCTION("""COMPUTED_VALUE"""),"Walk-In")</f>
        <v>Walk-In</v>
      </c>
      <c r="W533" s="124" t="str">
        <f>IFERROR(__xludf.DUMMYFUNCTION("""COMPUTED_VALUE"""),"Delhi")</f>
        <v>Delhi</v>
      </c>
      <c r="X533" s="124" t="str">
        <f>IFERROR(__xludf.DUMMYFUNCTION("""COMPUTED_VALUE"""),"Netri")</f>
        <v>Netri</v>
      </c>
      <c r="Y533" s="124" t="str">
        <f>IFERROR(__xludf.DUMMYFUNCTION("""COMPUTED_VALUE"""),"Delhi")</f>
        <v>Delhi</v>
      </c>
      <c r="Z533" s="124">
        <f>IFERROR(__xludf.DUMMYFUNCTION("""COMPUTED_VALUE"""),1.0)</f>
        <v>1</v>
      </c>
      <c r="AA533" s="124" t="str">
        <f>IFERROR(__xludf.DUMMYFUNCTION("""COMPUTED_VALUE"""),"Future Prospects")</f>
        <v>Future Prospects</v>
      </c>
      <c r="AB533" s="124" t="str">
        <f>IFERROR(__xludf.DUMMYFUNCTION("""COMPUTED_VALUE"""),"GS Foundation")</f>
        <v>GS Foundation</v>
      </c>
    </row>
    <row r="534">
      <c r="A534" s="126">
        <f>IFERROR(__xludf.DUMMYFUNCTION("""COMPUTED_VALUE"""),46064.0)</f>
        <v>46064</v>
      </c>
      <c r="B534" s="124" t="str">
        <f>IFERROR(__xludf.DUMMYFUNCTION("""COMPUTED_VALUE"""),"Walkin")</f>
        <v>Walkin</v>
      </c>
      <c r="C534" s="124" t="str">
        <f>IFERROR(__xludf.DUMMYFUNCTION("""COMPUTED_VALUE"""),"Patna")</f>
        <v>Patna</v>
      </c>
      <c r="D534" s="124" t="str">
        <f>IFERROR(__xludf.DUMMYFUNCTION("""COMPUTED_VALUE"""),"Primary_Walkin")</f>
        <v>Primary_Walkin</v>
      </c>
      <c r="E534" s="124">
        <f>IFERROR(__xludf.DUMMYFUNCTION("""COMPUTED_VALUE"""),2.0)</f>
        <v>2</v>
      </c>
      <c r="F534" s="124" t="str">
        <f>IFERROR(__xludf.DUMMYFUNCTION("""COMPUTED_VALUE"""),"Cold")</f>
        <v>Cold</v>
      </c>
      <c r="G534" s="124" t="str">
        <f>IFERROR(__xludf.DUMMYFUNCTION("""COMPUTED_VALUE"""),"GS Foundation")</f>
        <v>GS Foundation</v>
      </c>
      <c r="K534" s="124"/>
      <c r="L534" s="124"/>
      <c r="M534" s="124"/>
      <c r="N534" s="124"/>
      <c r="O534" s="124"/>
      <c r="T534" s="126">
        <f>IFERROR(__xludf.DUMMYFUNCTION("""COMPUTED_VALUE"""),46047.0)</f>
        <v>46047</v>
      </c>
      <c r="U534" s="124" t="str">
        <f>IFERROR(__xludf.DUMMYFUNCTION("""COMPUTED_VALUE"""),"Paid Ads")</f>
        <v>Paid Ads</v>
      </c>
      <c r="V534" s="124" t="str">
        <f>IFERROR(__xludf.DUMMYFUNCTION("""COMPUTED_VALUE"""),"Facebook")</f>
        <v>Facebook</v>
      </c>
      <c r="W534" s="124" t="str">
        <f>IFERROR(__xludf.DUMMYFUNCTION("""COMPUTED_VALUE"""),"LeadAd")</f>
        <v>LeadAd</v>
      </c>
      <c r="X534" s="124" t="str">
        <f>IFERROR(__xludf.DUMMYFUNCTION("""COMPUTED_VALUE"""),"Upsc_Offline_26_Prygrj_FB_Creatives")</f>
        <v>Upsc_Offline_26_Prygrj_FB_Creatives</v>
      </c>
      <c r="Y534" s="124" t="str">
        <f>IFERROR(__xludf.DUMMYFUNCTION("""COMPUTED_VALUE"""),"Prayagraj")</f>
        <v>Prayagraj</v>
      </c>
      <c r="Z534" s="124">
        <f>IFERROR(__xludf.DUMMYFUNCTION("""COMPUTED_VALUE"""),3.0)</f>
        <v>3</v>
      </c>
      <c r="AA534" s="124" t="str">
        <f>IFERROR(__xludf.DUMMYFUNCTION("""COMPUTED_VALUE"""),"Cold")</f>
        <v>Cold</v>
      </c>
      <c r="AB534" s="124"/>
    </row>
    <row r="535">
      <c r="A535" s="126">
        <f>IFERROR(__xludf.DUMMYFUNCTION("""COMPUTED_VALUE"""),46060.0)</f>
        <v>46060</v>
      </c>
      <c r="B535" s="124" t="str">
        <f>IFERROR(__xludf.DUMMYFUNCTION("""COMPUTED_VALUE"""),"Walkin")</f>
        <v>Walkin</v>
      </c>
      <c r="C535" s="124" t="str">
        <f>IFERROR(__xludf.DUMMYFUNCTION("""COMPUTED_VALUE"""),"Patna")</f>
        <v>Patna</v>
      </c>
      <c r="D535" s="124" t="str">
        <f>IFERROR(__xludf.DUMMYFUNCTION("""COMPUTED_VALUE"""),"Primary_Walkin")</f>
        <v>Primary_Walkin</v>
      </c>
      <c r="E535" s="124">
        <f>IFERROR(__xludf.DUMMYFUNCTION("""COMPUTED_VALUE"""),3.0)</f>
        <v>3</v>
      </c>
      <c r="F535" s="124" t="str">
        <f>IFERROR(__xludf.DUMMYFUNCTION("""COMPUTED_VALUE"""),"Cold")</f>
        <v>Cold</v>
      </c>
      <c r="G535" s="124" t="str">
        <f>IFERROR(__xludf.DUMMYFUNCTION("""COMPUTED_VALUE"""),"GS Foundation")</f>
        <v>GS Foundation</v>
      </c>
      <c r="K535" s="124"/>
      <c r="L535" s="124"/>
      <c r="M535" s="124"/>
      <c r="N535" s="124"/>
      <c r="O535" s="124"/>
      <c r="T535" s="129">
        <f>IFERROR(__xludf.DUMMYFUNCTION("""COMPUTED_VALUE"""),46105.0)</f>
        <v>46105</v>
      </c>
      <c r="U535" s="124" t="str">
        <f>IFERROR(__xludf.DUMMYFUNCTION("""COMPUTED_VALUE"""),"Walk-Ins")</f>
        <v>Walk-Ins</v>
      </c>
      <c r="V535" s="124" t="str">
        <f>IFERROR(__xludf.DUMMYFUNCTION("""COMPUTED_VALUE"""),"Walk-In")</f>
        <v>Walk-In</v>
      </c>
      <c r="W535" s="124" t="str">
        <f>IFERROR(__xludf.DUMMYFUNCTION("""COMPUTED_VALUE"""),"Delhi")</f>
        <v>Delhi</v>
      </c>
      <c r="X535" s="124" t="str">
        <f>IFERROR(__xludf.DUMMYFUNCTION("""COMPUTED_VALUE"""),"Netri")</f>
        <v>Netri</v>
      </c>
      <c r="Y535" s="124" t="str">
        <f>IFERROR(__xludf.DUMMYFUNCTION("""COMPUTED_VALUE"""),"Delhi")</f>
        <v>Delhi</v>
      </c>
      <c r="Z535" s="124">
        <f>IFERROR(__xludf.DUMMYFUNCTION("""COMPUTED_VALUE"""),1.0)</f>
        <v>1</v>
      </c>
      <c r="AA535" s="124" t="str">
        <f>IFERROR(__xludf.DUMMYFUNCTION("""COMPUTED_VALUE"""),"Interested")</f>
        <v>Interested</v>
      </c>
      <c r="AB535" s="124" t="str">
        <f>IFERROR(__xludf.DUMMYFUNCTION("""COMPUTED_VALUE"""),"GS Foundation")</f>
        <v>GS Foundation</v>
      </c>
    </row>
    <row r="536">
      <c r="A536" s="126">
        <f>IFERROR(__xludf.DUMMYFUNCTION("""COMPUTED_VALUE"""),46091.0)</f>
        <v>46091</v>
      </c>
      <c r="B536" s="124" t="str">
        <f>IFERROR(__xludf.DUMMYFUNCTION("""COMPUTED_VALUE"""),"Walkin")</f>
        <v>Walkin</v>
      </c>
      <c r="C536" s="124" t="str">
        <f>IFERROR(__xludf.DUMMYFUNCTION("""COMPUTED_VALUE"""),"Patna")</f>
        <v>Patna</v>
      </c>
      <c r="D536" s="124" t="str">
        <f>IFERROR(__xludf.DUMMYFUNCTION("""COMPUTED_VALUE"""),"Primary_Walkin")</f>
        <v>Primary_Walkin</v>
      </c>
      <c r="E536" s="124">
        <f>IFERROR(__xludf.DUMMYFUNCTION("""COMPUTED_VALUE"""),1.0)</f>
        <v>1</v>
      </c>
      <c r="F536" s="124" t="str">
        <f>IFERROR(__xludf.DUMMYFUNCTION("""COMPUTED_VALUE"""),"Warm")</f>
        <v>Warm</v>
      </c>
      <c r="G536" s="124" t="str">
        <f>IFERROR(__xludf.DUMMYFUNCTION("""COMPUTED_VALUE"""),"State PCS")</f>
        <v>State PCS</v>
      </c>
      <c r="K536" s="124"/>
      <c r="L536" s="124"/>
      <c r="M536" s="124"/>
      <c r="N536" s="124"/>
      <c r="O536" s="124"/>
      <c r="T536" s="126">
        <f>IFERROR(__xludf.DUMMYFUNCTION("""COMPUTED_VALUE"""),46107.0)</f>
        <v>46107</v>
      </c>
      <c r="U536" s="124" t="str">
        <f>IFERROR(__xludf.DUMMYFUNCTION("""COMPUTED_VALUE"""),"Walk-Ins")</f>
        <v>Walk-Ins</v>
      </c>
      <c r="V536" s="124" t="str">
        <f>IFERROR(__xludf.DUMMYFUNCTION("""COMPUTED_VALUE"""),"Walk-In")</f>
        <v>Walk-In</v>
      </c>
      <c r="W536" s="124" t="str">
        <f>IFERROR(__xludf.DUMMYFUNCTION("""COMPUTED_VALUE"""),"Patna")</f>
        <v>Patna</v>
      </c>
      <c r="X536" s="124" t="str">
        <f>IFERROR(__xludf.DUMMYFUNCTION("""COMPUTED_VALUE"""),"Tejaswi")</f>
        <v>Tejaswi</v>
      </c>
      <c r="Y536" s="124" t="str">
        <f>IFERROR(__xludf.DUMMYFUNCTION("""COMPUTED_VALUE"""),"Patna")</f>
        <v>Patna</v>
      </c>
      <c r="Z536" s="124">
        <f>IFERROR(__xludf.DUMMYFUNCTION("""COMPUTED_VALUE"""),1.0)</f>
        <v>1</v>
      </c>
      <c r="AA536" s="124" t="str">
        <f>IFERROR(__xludf.DUMMYFUNCTION("""COMPUTED_VALUE"""),"Fake Lead")</f>
        <v>Fake Lead</v>
      </c>
      <c r="AB536" s="124" t="str">
        <f>IFERROR(__xludf.DUMMYFUNCTION("""COMPUTED_VALUE"""),"State PCS")</f>
        <v>State PCS</v>
      </c>
    </row>
    <row r="537">
      <c r="A537" s="126">
        <f>IFERROR(__xludf.DUMMYFUNCTION("""COMPUTED_VALUE"""),46099.0)</f>
        <v>46099</v>
      </c>
      <c r="B537" s="124" t="str">
        <f>IFERROR(__xludf.DUMMYFUNCTION("""COMPUTED_VALUE"""),"Walkin")</f>
        <v>Walkin</v>
      </c>
      <c r="C537" s="124" t="str">
        <f>IFERROR(__xludf.DUMMYFUNCTION("""COMPUTED_VALUE"""),"Patna")</f>
        <v>Patna</v>
      </c>
      <c r="D537" s="124" t="str">
        <f>IFERROR(__xludf.DUMMYFUNCTION("""COMPUTED_VALUE"""),"Primary_Walkin")</f>
        <v>Primary_Walkin</v>
      </c>
      <c r="E537" s="124">
        <f>IFERROR(__xludf.DUMMYFUNCTION("""COMPUTED_VALUE"""),2.0)</f>
        <v>2</v>
      </c>
      <c r="F537" s="124" t="str">
        <f>IFERROR(__xludf.DUMMYFUNCTION("""COMPUTED_VALUE"""),"Not Interested")</f>
        <v>Not Interested</v>
      </c>
      <c r="G537" s="124" t="str">
        <f>IFERROR(__xludf.DUMMYFUNCTION("""COMPUTED_VALUE"""),"State PCS")</f>
        <v>State PCS</v>
      </c>
      <c r="K537" s="124"/>
      <c r="L537" s="124"/>
      <c r="M537" s="124"/>
      <c r="N537" s="124"/>
      <c r="O537" s="124"/>
      <c r="T537" s="126">
        <f>IFERROR(__xludf.DUMMYFUNCTION("""COMPUTED_VALUE"""),46100.0)</f>
        <v>46100</v>
      </c>
      <c r="U537" s="124" t="str">
        <f>IFERROR(__xludf.DUMMYFUNCTION("""COMPUTED_VALUE"""),"Walk-Ins")</f>
        <v>Walk-Ins</v>
      </c>
      <c r="V537" s="124" t="str">
        <f>IFERROR(__xludf.DUMMYFUNCTION("""COMPUTED_VALUE"""),"Walk-In")</f>
        <v>Walk-In</v>
      </c>
      <c r="W537" s="124" t="str">
        <f>IFERROR(__xludf.DUMMYFUNCTION("""COMPUTED_VALUE"""),"Patna")</f>
        <v>Patna</v>
      </c>
      <c r="X537" s="124" t="str">
        <f>IFERROR(__xludf.DUMMYFUNCTION("""COMPUTED_VALUE"""),"Tejaswi")</f>
        <v>Tejaswi</v>
      </c>
      <c r="Y537" s="124"/>
      <c r="Z537" s="124">
        <f>IFERROR(__xludf.DUMMYFUNCTION("""COMPUTED_VALUE"""),1.0)</f>
        <v>1</v>
      </c>
      <c r="AA537" s="124" t="str">
        <f>IFERROR(__xludf.DUMMYFUNCTION("""COMPUTED_VALUE"""),"Warm")</f>
        <v>Warm</v>
      </c>
      <c r="AB537" s="124" t="str">
        <f>IFERROR(__xludf.DUMMYFUNCTION("""COMPUTED_VALUE"""),"State PCS")</f>
        <v>State PCS</v>
      </c>
    </row>
    <row r="538">
      <c r="A538" s="126">
        <f>IFERROR(__xludf.DUMMYFUNCTION("""COMPUTED_VALUE"""),46066.0)</f>
        <v>46066</v>
      </c>
      <c r="B538" s="124" t="str">
        <f>IFERROR(__xludf.DUMMYFUNCTION("""COMPUTED_VALUE"""),"Walkin")</f>
        <v>Walkin</v>
      </c>
      <c r="C538" s="124" t="str">
        <f>IFERROR(__xludf.DUMMYFUNCTION("""COMPUTED_VALUE"""),"Patna")</f>
        <v>Patna</v>
      </c>
      <c r="D538" s="124" t="str">
        <f>IFERROR(__xludf.DUMMYFUNCTION("""COMPUTED_VALUE"""),"Primary_Walkin")</f>
        <v>Primary_Walkin</v>
      </c>
      <c r="E538" s="124">
        <f>IFERROR(__xludf.DUMMYFUNCTION("""COMPUTED_VALUE"""),1.0)</f>
        <v>1</v>
      </c>
      <c r="F538" s="124" t="str">
        <f>IFERROR(__xludf.DUMMYFUNCTION("""COMPUTED_VALUE"""),"Warm")</f>
        <v>Warm</v>
      </c>
      <c r="G538" s="124" t="str">
        <f>IFERROR(__xludf.DUMMYFUNCTION("""COMPUTED_VALUE"""),"GS Foundation")</f>
        <v>GS Foundation</v>
      </c>
      <c r="K538" s="124"/>
      <c r="L538" s="124"/>
      <c r="M538" s="124"/>
      <c r="N538" s="124"/>
      <c r="O538" s="124"/>
      <c r="T538" s="126">
        <f>IFERROR(__xludf.DUMMYFUNCTION("""COMPUTED_VALUE"""),46061.0)</f>
        <v>46061</v>
      </c>
      <c r="U538" s="124" t="str">
        <f>IFERROR(__xludf.DUMMYFUNCTION("""COMPUTED_VALUE"""),"Walk-Ins")</f>
        <v>Walk-Ins</v>
      </c>
      <c r="V538" s="124" t="str">
        <f>IFERROR(__xludf.DUMMYFUNCTION("""COMPUTED_VALUE"""),"Walk-In")</f>
        <v>Walk-In</v>
      </c>
      <c r="W538" s="124" t="str">
        <f>IFERROR(__xludf.DUMMYFUNCTION("""COMPUTED_VALUE"""),"New Delhi")</f>
        <v>New Delhi</v>
      </c>
      <c r="X538" s="124" t="str">
        <f>IFERROR(__xludf.DUMMYFUNCTION("""COMPUTED_VALUE"""),"New Delhi")</f>
        <v>New Delhi</v>
      </c>
      <c r="Y538" s="124" t="str">
        <f>IFERROR(__xludf.DUMMYFUNCTION("""COMPUTED_VALUE"""),"Delhi")</f>
        <v>Delhi</v>
      </c>
      <c r="Z538" s="124">
        <f>IFERROR(__xludf.DUMMYFUNCTION("""COMPUTED_VALUE"""),1.0)</f>
        <v>1</v>
      </c>
      <c r="AA538" s="124" t="str">
        <f>IFERROR(__xludf.DUMMYFUNCTION("""COMPUTED_VALUE"""),"Not Interested")</f>
        <v>Not Interested</v>
      </c>
      <c r="AB538" s="124" t="str">
        <f>IFERROR(__xludf.DUMMYFUNCTION("""COMPUTED_VALUE"""),"GS Foundation")</f>
        <v>GS Foundation</v>
      </c>
    </row>
    <row r="539">
      <c r="A539" s="129">
        <f>IFERROR(__xludf.DUMMYFUNCTION("""COMPUTED_VALUE"""),46111.0)</f>
        <v>46111</v>
      </c>
      <c r="B539" s="124" t="str">
        <f>IFERROR(__xludf.DUMMYFUNCTION("""COMPUTED_VALUE"""),"Walkin")</f>
        <v>Walkin</v>
      </c>
      <c r="C539" s="124" t="str">
        <f>IFERROR(__xludf.DUMMYFUNCTION("""COMPUTED_VALUE"""),"Patna")</f>
        <v>Patna</v>
      </c>
      <c r="D539" s="124" t="str">
        <f>IFERROR(__xludf.DUMMYFUNCTION("""COMPUTED_VALUE"""),"Primary_Walkin")</f>
        <v>Primary_Walkin</v>
      </c>
      <c r="E539" s="124">
        <f>IFERROR(__xludf.DUMMYFUNCTION("""COMPUTED_VALUE"""),1.0)</f>
        <v>1</v>
      </c>
      <c r="F539" s="124" t="str">
        <f>IFERROR(__xludf.DUMMYFUNCTION("""COMPUTED_VALUE"""),"Cold")</f>
        <v>Cold</v>
      </c>
      <c r="G539" s="124" t="str">
        <f>IFERROR(__xludf.DUMMYFUNCTION("""COMPUTED_VALUE"""),"GS Foundation")</f>
        <v>GS Foundation</v>
      </c>
      <c r="K539" s="124"/>
      <c r="L539" s="124"/>
      <c r="M539" s="124"/>
      <c r="N539" s="124"/>
      <c r="O539" s="124"/>
      <c r="T539" s="126">
        <f>IFERROR(__xludf.DUMMYFUNCTION("""COMPUTED_VALUE"""),46070.0)</f>
        <v>46070</v>
      </c>
      <c r="U539" s="124" t="str">
        <f>IFERROR(__xludf.DUMMYFUNCTION("""COMPUTED_VALUE"""),"Paid Ads")</f>
        <v>Paid Ads</v>
      </c>
      <c r="V539" s="124" t="str">
        <f>IFERROR(__xludf.DUMMYFUNCTION("""COMPUTED_VALUE"""),"facebook")</f>
        <v>facebook</v>
      </c>
      <c r="W539" s="124" t="str">
        <f>IFERROR(__xludf.DUMMYFUNCTION("""COMPUTED_VALUE"""),"indore")</f>
        <v>indore</v>
      </c>
      <c r="X539" s="124" t="str">
        <f>IFERROR(__xludf.DUMMYFUNCTION("""COMPUTED_VALUE"""),"metaleads")</f>
        <v>metaleads</v>
      </c>
      <c r="Y539" s="124" t="str">
        <f>IFERROR(__xludf.DUMMYFUNCTION("""COMPUTED_VALUE"""),"Indore")</f>
        <v>Indore</v>
      </c>
      <c r="Z539" s="124">
        <f>IFERROR(__xludf.DUMMYFUNCTION("""COMPUTED_VALUE"""),16.0)</f>
        <v>16</v>
      </c>
      <c r="AA539" s="124" t="str">
        <f>IFERROR(__xludf.DUMMYFUNCTION("""COMPUTED_VALUE"""),"Cold")</f>
        <v>Cold</v>
      </c>
      <c r="AB539" s="124"/>
    </row>
    <row r="540">
      <c r="A540" s="126">
        <f>IFERROR(__xludf.DUMMYFUNCTION("""COMPUTED_VALUE"""),46110.0)</f>
        <v>46110</v>
      </c>
      <c r="B540" s="124" t="str">
        <f>IFERROR(__xludf.DUMMYFUNCTION("""COMPUTED_VALUE"""),"Walkin")</f>
        <v>Walkin</v>
      </c>
      <c r="C540" s="124" t="str">
        <f>IFERROR(__xludf.DUMMYFUNCTION("""COMPUTED_VALUE"""),"Patna")</f>
        <v>Patna</v>
      </c>
      <c r="D540" s="124" t="str">
        <f>IFERROR(__xludf.DUMMYFUNCTION("""COMPUTED_VALUE"""),"Primary_Walkin")</f>
        <v>Primary_Walkin</v>
      </c>
      <c r="E540" s="124">
        <f>IFERROR(__xludf.DUMMYFUNCTION("""COMPUTED_VALUE"""),2.0)</f>
        <v>2</v>
      </c>
      <c r="F540" s="124" t="str">
        <f>IFERROR(__xludf.DUMMYFUNCTION("""COMPUTED_VALUE"""),"Warm")</f>
        <v>Warm</v>
      </c>
      <c r="G540" s="124" t="str">
        <f>IFERROR(__xludf.DUMMYFUNCTION("""COMPUTED_VALUE"""),"GS Foundation")</f>
        <v>GS Foundation</v>
      </c>
      <c r="K540" s="124"/>
      <c r="L540" s="124"/>
      <c r="M540" s="124"/>
      <c r="N540" s="124"/>
      <c r="O540" s="124"/>
      <c r="T540" s="126">
        <f>IFERROR(__xludf.DUMMYFUNCTION("""COMPUTED_VALUE"""),46044.0)</f>
        <v>46044</v>
      </c>
      <c r="U540" s="124" t="str">
        <f>IFERROR(__xludf.DUMMYFUNCTION("""COMPUTED_VALUE"""),"External Leads")</f>
        <v>External Leads</v>
      </c>
      <c r="V540" s="124" t="str">
        <f>IFERROR(__xludf.DUMMYFUNCTION("""COMPUTED_VALUE"""),"external leads")</f>
        <v>external leads</v>
      </c>
      <c r="W540" s="124" t="str">
        <f>IFERROR(__xludf.DUMMYFUNCTION("""COMPUTED_VALUE"""),"patna")</f>
        <v>patna</v>
      </c>
      <c r="X540" s="124" t="str">
        <f>IFERROR(__xludf.DUMMYFUNCTION("""COMPUTED_VALUE"""),"perfectionias")</f>
        <v>perfectionias</v>
      </c>
      <c r="Y540" s="124" t="str">
        <f>IFERROR(__xludf.DUMMYFUNCTION("""COMPUTED_VALUE"""),"Patna")</f>
        <v>Patna</v>
      </c>
      <c r="Z540" s="124">
        <f>IFERROR(__xludf.DUMMYFUNCTION("""COMPUTED_VALUE"""),14.0)</f>
        <v>14</v>
      </c>
      <c r="AA540" s="124" t="str">
        <f>IFERROR(__xludf.DUMMYFUNCTION("""COMPUTED_VALUE"""),"Cold")</f>
        <v>Cold</v>
      </c>
      <c r="AB540" s="124"/>
    </row>
    <row r="541">
      <c r="A541" s="126">
        <f>IFERROR(__xludf.DUMMYFUNCTION("""COMPUTED_VALUE"""),46104.0)</f>
        <v>46104</v>
      </c>
      <c r="B541" s="124" t="str">
        <f>IFERROR(__xludf.DUMMYFUNCTION("""COMPUTED_VALUE"""),"Walkin")</f>
        <v>Walkin</v>
      </c>
      <c r="C541" s="124" t="str">
        <f>IFERROR(__xludf.DUMMYFUNCTION("""COMPUTED_VALUE"""),"Patna")</f>
        <v>Patna</v>
      </c>
      <c r="D541" s="124" t="str">
        <f>IFERROR(__xludf.DUMMYFUNCTION("""COMPUTED_VALUE"""),"Primary_Walkin")</f>
        <v>Primary_Walkin</v>
      </c>
      <c r="E541" s="124">
        <f>IFERROR(__xludf.DUMMYFUNCTION("""COMPUTED_VALUE"""),3.0)</f>
        <v>3</v>
      </c>
      <c r="F541" s="124" t="str">
        <f>IFERROR(__xludf.DUMMYFUNCTION("""COMPUTED_VALUE"""),"Cold")</f>
        <v>Cold</v>
      </c>
      <c r="G541" s="124" t="str">
        <f>IFERROR(__xludf.DUMMYFUNCTION("""COMPUTED_VALUE"""),"GS Foundation")</f>
        <v>GS Foundation</v>
      </c>
      <c r="K541" s="124"/>
      <c r="L541" s="124"/>
      <c r="M541" s="124"/>
      <c r="N541" s="124"/>
      <c r="O541" s="124"/>
      <c r="T541" s="126">
        <f>IFERROR(__xludf.DUMMYFUNCTION("""COMPUTED_VALUE"""),46060.0)</f>
        <v>46060</v>
      </c>
      <c r="U541" s="124" t="str">
        <f>IFERROR(__xludf.DUMMYFUNCTION("""COMPUTED_VALUE"""),"Walk-Ins")</f>
        <v>Walk-Ins</v>
      </c>
      <c r="V541" s="124" t="str">
        <f>IFERROR(__xludf.DUMMYFUNCTION("""COMPUTED_VALUE"""),"Walk-In")</f>
        <v>Walk-In</v>
      </c>
      <c r="W541" s="124" t="str">
        <f>IFERROR(__xludf.DUMMYFUNCTION("""COMPUTED_VALUE"""),"New Delhi")</f>
        <v>New Delhi</v>
      </c>
      <c r="X541" s="124" t="str">
        <f>IFERROR(__xludf.DUMMYFUNCTION("""COMPUTED_VALUE"""),"New Delhi")</f>
        <v>New Delhi</v>
      </c>
      <c r="Y541" s="124" t="str">
        <f>IFERROR(__xludf.DUMMYFUNCTION("""COMPUTED_VALUE"""),"Delhi")</f>
        <v>Delhi</v>
      </c>
      <c r="Z541" s="124">
        <f>IFERROR(__xludf.DUMMYFUNCTION("""COMPUTED_VALUE"""),1.0)</f>
        <v>1</v>
      </c>
      <c r="AA541" s="124" t="str">
        <f>IFERROR(__xludf.DUMMYFUNCTION("""COMPUTED_VALUE"""),"Fake Lead")</f>
        <v>Fake Lead</v>
      </c>
      <c r="AB541" s="124" t="str">
        <f>IFERROR(__xludf.DUMMYFUNCTION("""COMPUTED_VALUE"""),"IGP UPPSC")</f>
        <v>IGP UPPSC</v>
      </c>
    </row>
    <row r="542">
      <c r="A542" s="126">
        <f>IFERROR(__xludf.DUMMYFUNCTION("""COMPUTED_VALUE"""),46059.0)</f>
        <v>46059</v>
      </c>
      <c r="B542" s="124" t="str">
        <f>IFERROR(__xludf.DUMMYFUNCTION("""COMPUTED_VALUE"""),"Walkin")</f>
        <v>Walkin</v>
      </c>
      <c r="C542" s="124" t="str">
        <f>IFERROR(__xludf.DUMMYFUNCTION("""COMPUTED_VALUE"""),"Patna")</f>
        <v>Patna</v>
      </c>
      <c r="D542" s="124" t="str">
        <f>IFERROR(__xludf.DUMMYFUNCTION("""COMPUTED_VALUE"""),"Primary_Walkin")</f>
        <v>Primary_Walkin</v>
      </c>
      <c r="E542" s="124">
        <f>IFERROR(__xludf.DUMMYFUNCTION("""COMPUTED_VALUE"""),1.0)</f>
        <v>1</v>
      </c>
      <c r="F542" s="124" t="str">
        <f>IFERROR(__xludf.DUMMYFUNCTION("""COMPUTED_VALUE"""),"Future Prospects")</f>
        <v>Future Prospects</v>
      </c>
      <c r="G542" s="124" t="str">
        <f>IFERROR(__xludf.DUMMYFUNCTION("""COMPUTED_VALUE"""),"GS Foundation")</f>
        <v>GS Foundation</v>
      </c>
      <c r="K542" s="124"/>
      <c r="L542" s="124"/>
      <c r="M542" s="124"/>
      <c r="N542" s="124"/>
      <c r="O542" s="124"/>
      <c r="T542" s="129">
        <f>IFERROR(__xludf.DUMMYFUNCTION("""COMPUTED_VALUE"""),46072.0)</f>
        <v>46072</v>
      </c>
      <c r="U542" s="124" t="str">
        <f>IFERROR(__xludf.DUMMYFUNCTION("""COMPUTED_VALUE"""),"Walk-Ins")</f>
        <v>Walk-Ins</v>
      </c>
      <c r="V542" s="124" t="str">
        <f>IFERROR(__xludf.DUMMYFUNCTION("""COMPUTED_VALUE"""),"Walk-In")</f>
        <v>Walk-In</v>
      </c>
      <c r="W542" s="124" t="str">
        <f>IFERROR(__xludf.DUMMYFUNCTION("""COMPUTED_VALUE"""),"New Delhi")</f>
        <v>New Delhi</v>
      </c>
      <c r="X542" s="124" t="str">
        <f>IFERROR(__xludf.DUMMYFUNCTION("""COMPUTED_VALUE"""),"New Delhi")</f>
        <v>New Delhi</v>
      </c>
      <c r="Y542" s="124"/>
      <c r="Z542" s="124">
        <f>IFERROR(__xludf.DUMMYFUNCTION("""COMPUTED_VALUE"""),1.0)</f>
        <v>1</v>
      </c>
      <c r="AA542" s="124" t="str">
        <f>IFERROR(__xludf.DUMMYFUNCTION("""COMPUTED_VALUE"""),"Not Interested")</f>
        <v>Not Interested</v>
      </c>
      <c r="AB542" s="124" t="str">
        <f>IFERROR(__xludf.DUMMYFUNCTION("""COMPUTED_VALUE"""),"GS Foundation")</f>
        <v>GS Foundation</v>
      </c>
    </row>
    <row r="543">
      <c r="A543" s="126">
        <f>IFERROR(__xludf.DUMMYFUNCTION("""COMPUTED_VALUE"""),46062.0)</f>
        <v>46062</v>
      </c>
      <c r="B543" s="124" t="str">
        <f>IFERROR(__xludf.DUMMYFUNCTION("""COMPUTED_VALUE"""),"Walkin")</f>
        <v>Walkin</v>
      </c>
      <c r="C543" s="124" t="str">
        <f>IFERROR(__xludf.DUMMYFUNCTION("""COMPUTED_VALUE"""),"Patna")</f>
        <v>Patna</v>
      </c>
      <c r="D543" s="124" t="str">
        <f>IFERROR(__xludf.DUMMYFUNCTION("""COMPUTED_VALUE"""),"Primary_Walkin")</f>
        <v>Primary_Walkin</v>
      </c>
      <c r="E543" s="124">
        <f>IFERROR(__xludf.DUMMYFUNCTION("""COMPUTED_VALUE"""),4.0)</f>
        <v>4</v>
      </c>
      <c r="F543" s="124" t="str">
        <f>IFERROR(__xludf.DUMMYFUNCTION("""COMPUTED_VALUE"""),"Cold")</f>
        <v>Cold</v>
      </c>
      <c r="G543" s="124" t="str">
        <f>IFERROR(__xludf.DUMMYFUNCTION("""COMPUTED_VALUE"""),"State PCS")</f>
        <v>State PCS</v>
      </c>
      <c r="K543" s="124"/>
      <c r="L543" s="124"/>
      <c r="M543" s="124"/>
      <c r="N543" s="124"/>
      <c r="O543" s="124"/>
      <c r="T543" s="126">
        <f>IFERROR(__xludf.DUMMYFUNCTION("""COMPUTED_VALUE"""),46060.0)</f>
        <v>46060</v>
      </c>
      <c r="U543" s="124" t="str">
        <f>IFERROR(__xludf.DUMMYFUNCTION("""COMPUTED_VALUE"""),"Walk-Ins")</f>
        <v>Walk-Ins</v>
      </c>
      <c r="V543" s="124" t="str">
        <f>IFERROR(__xludf.DUMMYFUNCTION("""COMPUTED_VALUE"""),"Walk-In")</f>
        <v>Walk-In</v>
      </c>
      <c r="W543" s="124" t="str">
        <f>IFERROR(__xludf.DUMMYFUNCTION("""COMPUTED_VALUE"""),"New Delhi")</f>
        <v>New Delhi</v>
      </c>
      <c r="X543" s="124" t="str">
        <f>IFERROR(__xludf.DUMMYFUNCTION("""COMPUTED_VALUE"""),"New Delhi")</f>
        <v>New Delhi</v>
      </c>
      <c r="Y543" s="124" t="str">
        <f>IFERROR(__xludf.DUMMYFUNCTION("""COMPUTED_VALUE"""),"Delhi")</f>
        <v>Delhi</v>
      </c>
      <c r="Z543" s="124">
        <f>IFERROR(__xludf.DUMMYFUNCTION("""COMPUTED_VALUE"""),4.0)</f>
        <v>4</v>
      </c>
      <c r="AA543" s="124" t="str">
        <f>IFERROR(__xludf.DUMMYFUNCTION("""COMPUTED_VALUE"""),"Future Prospects")</f>
        <v>Future Prospects</v>
      </c>
      <c r="AB543" s="124" t="str">
        <f>IFERROR(__xludf.DUMMYFUNCTION("""COMPUTED_VALUE"""),"GS Foundation")</f>
        <v>GS Foundation</v>
      </c>
    </row>
    <row r="544">
      <c r="A544" s="126">
        <f>IFERROR(__xludf.DUMMYFUNCTION("""COMPUTED_VALUE"""),46111.0)</f>
        <v>46111</v>
      </c>
      <c r="B544" s="124" t="str">
        <f>IFERROR(__xludf.DUMMYFUNCTION("""COMPUTED_VALUE"""),"Walkin")</f>
        <v>Walkin</v>
      </c>
      <c r="C544" s="124" t="str">
        <f>IFERROR(__xludf.DUMMYFUNCTION("""COMPUTED_VALUE"""),"Patna")</f>
        <v>Patna</v>
      </c>
      <c r="D544" s="124" t="str">
        <f>IFERROR(__xludf.DUMMYFUNCTION("""COMPUTED_VALUE"""),"Primary_Walkin")</f>
        <v>Primary_Walkin</v>
      </c>
      <c r="E544" s="124">
        <f>IFERROR(__xludf.DUMMYFUNCTION("""COMPUTED_VALUE"""),1.0)</f>
        <v>1</v>
      </c>
      <c r="F544" s="124" t="str">
        <f>IFERROR(__xludf.DUMMYFUNCTION("""COMPUTED_VALUE"""),"Not Interested")</f>
        <v>Not Interested</v>
      </c>
      <c r="G544" s="124" t="str">
        <f>IFERROR(__xludf.DUMMYFUNCTION("""COMPUTED_VALUE"""),"State PCS")</f>
        <v>State PCS</v>
      </c>
      <c r="K544" s="124"/>
      <c r="L544" s="124"/>
      <c r="M544" s="124"/>
      <c r="N544" s="124"/>
      <c r="O544" s="124"/>
      <c r="T544" s="126">
        <f>IFERROR(__xludf.DUMMYFUNCTION("""COMPUTED_VALUE"""),46073.0)</f>
        <v>46073</v>
      </c>
      <c r="U544" s="124" t="str">
        <f>IFERROR(__xludf.DUMMYFUNCTION("""COMPUTED_VALUE"""),"Walk-Ins")</f>
        <v>Walk-Ins</v>
      </c>
      <c r="V544" s="124" t="str">
        <f>IFERROR(__xludf.DUMMYFUNCTION("""COMPUTED_VALUE"""),"Walk-In")</f>
        <v>Walk-In</v>
      </c>
      <c r="W544" s="124" t="str">
        <f>IFERROR(__xludf.DUMMYFUNCTION("""COMPUTED_VALUE"""),"New Delhi")</f>
        <v>New Delhi</v>
      </c>
      <c r="X544" s="124" t="str">
        <f>IFERROR(__xludf.DUMMYFUNCTION("""COMPUTED_VALUE"""),"New Delhi")</f>
        <v>New Delhi</v>
      </c>
      <c r="Y544" s="124" t="str">
        <f>IFERROR(__xludf.DUMMYFUNCTION("""COMPUTED_VALUE"""),"Delhi")</f>
        <v>Delhi</v>
      </c>
      <c r="Z544" s="124">
        <f>IFERROR(__xludf.DUMMYFUNCTION("""COMPUTED_VALUE"""),1.0)</f>
        <v>1</v>
      </c>
      <c r="AA544" s="124" t="str">
        <f>IFERROR(__xludf.DUMMYFUNCTION("""COMPUTED_VALUE"""),"Cold")</f>
        <v>Cold</v>
      </c>
      <c r="AB544" s="124" t="str">
        <f>IFERROR(__xludf.DUMMYFUNCTION("""COMPUTED_VALUE"""),"GS Foundation")</f>
        <v>GS Foundation</v>
      </c>
    </row>
    <row r="545">
      <c r="A545" s="126">
        <f>IFERROR(__xludf.DUMMYFUNCTION("""COMPUTED_VALUE"""),46097.0)</f>
        <v>46097</v>
      </c>
      <c r="B545" s="124" t="str">
        <f>IFERROR(__xludf.DUMMYFUNCTION("""COMPUTED_VALUE"""),"Walkin")</f>
        <v>Walkin</v>
      </c>
      <c r="C545" s="124" t="str">
        <f>IFERROR(__xludf.DUMMYFUNCTION("""COMPUTED_VALUE"""),"Patna")</f>
        <v>Patna</v>
      </c>
      <c r="D545" s="124" t="str">
        <f>IFERROR(__xludf.DUMMYFUNCTION("""COMPUTED_VALUE"""),"Primary_Walkin")</f>
        <v>Primary_Walkin</v>
      </c>
      <c r="E545" s="124">
        <f>IFERROR(__xludf.DUMMYFUNCTION("""COMPUTED_VALUE"""),1.0)</f>
        <v>1</v>
      </c>
      <c r="F545" s="124" t="str">
        <f>IFERROR(__xludf.DUMMYFUNCTION("""COMPUTED_VALUE"""),"Cold")</f>
        <v>Cold</v>
      </c>
      <c r="G545" s="124" t="str">
        <f>IFERROR(__xludf.DUMMYFUNCTION("""COMPUTED_VALUE"""),"Mentorship")</f>
        <v>Mentorship</v>
      </c>
      <c r="K545" s="124"/>
      <c r="L545" s="124"/>
      <c r="M545" s="124"/>
      <c r="N545" s="124"/>
      <c r="O545" s="124"/>
      <c r="T545" s="126">
        <f>IFERROR(__xludf.DUMMYFUNCTION("""COMPUTED_VALUE"""),46105.0)</f>
        <v>46105</v>
      </c>
      <c r="U545" s="124" t="str">
        <f>IFERROR(__xludf.DUMMYFUNCTION("""COMPUTED_VALUE"""),"Walk-Ins")</f>
        <v>Walk-Ins</v>
      </c>
      <c r="V545" s="124" t="str">
        <f>IFERROR(__xludf.DUMMYFUNCTION("""COMPUTED_VALUE"""),"Walk-In")</f>
        <v>Walk-In</v>
      </c>
      <c r="W545" s="124" t="str">
        <f>IFERROR(__xludf.DUMMYFUNCTION("""COMPUTED_VALUE"""),"Delhi")</f>
        <v>Delhi</v>
      </c>
      <c r="X545" s="124" t="str">
        <f>IFERROR(__xludf.DUMMYFUNCTION("""COMPUTED_VALUE"""),"Aryan")</f>
        <v>Aryan</v>
      </c>
      <c r="Y545" s="124" t="str">
        <f>IFERROR(__xludf.DUMMYFUNCTION("""COMPUTED_VALUE"""),"Delhi")</f>
        <v>Delhi</v>
      </c>
      <c r="Z545" s="124">
        <f>IFERROR(__xludf.DUMMYFUNCTION("""COMPUTED_VALUE"""),1.0)</f>
        <v>1</v>
      </c>
      <c r="AA545" s="124" t="str">
        <f>IFERROR(__xludf.DUMMYFUNCTION("""COMPUTED_VALUE"""),"Enrolled")</f>
        <v>Enrolled</v>
      </c>
      <c r="AB545" s="124" t="str">
        <f>IFERROR(__xludf.DUMMYFUNCTION("""COMPUTED_VALUE"""),"GS Foundation")</f>
        <v>GS Foundation</v>
      </c>
    </row>
    <row r="546">
      <c r="A546" s="129">
        <f>IFERROR(__xludf.DUMMYFUNCTION("""COMPUTED_VALUE"""),46075.0)</f>
        <v>46075</v>
      </c>
      <c r="B546" s="124" t="str">
        <f>IFERROR(__xludf.DUMMYFUNCTION("""COMPUTED_VALUE"""),"Walk-In")</f>
        <v>Walk-In</v>
      </c>
      <c r="C546" s="124" t="str">
        <f>IFERROR(__xludf.DUMMYFUNCTION("""COMPUTED_VALUE"""),"Patna")</f>
        <v>Patna</v>
      </c>
      <c r="D546" s="124" t="str">
        <f>IFERROR(__xludf.DUMMYFUNCTION("""COMPUTED_VALUE"""),"Primary_Walkin")</f>
        <v>Primary_Walkin</v>
      </c>
      <c r="E546" s="124">
        <f>IFERROR(__xludf.DUMMYFUNCTION("""COMPUTED_VALUE"""),1.0)</f>
        <v>1</v>
      </c>
      <c r="F546" s="124" t="str">
        <f>IFERROR(__xludf.DUMMYFUNCTION("""COMPUTED_VALUE"""),"Not Interested")</f>
        <v>Not Interested</v>
      </c>
      <c r="G546" s="124" t="str">
        <f>IFERROR(__xludf.DUMMYFUNCTION("""COMPUTED_VALUE"""),"GS Foundation")</f>
        <v>GS Foundation</v>
      </c>
      <c r="K546" s="124"/>
      <c r="L546" s="124"/>
      <c r="M546" s="124"/>
      <c r="N546" s="124"/>
      <c r="O546" s="124"/>
      <c r="T546" s="126">
        <f>IFERROR(__xludf.DUMMYFUNCTION("""COMPUTED_VALUE"""),46090.0)</f>
        <v>46090</v>
      </c>
      <c r="U546" s="124" t="str">
        <f>IFERROR(__xludf.DUMMYFUNCTION("""COMPUTED_VALUE"""),"Paid Ads")</f>
        <v>Paid Ads</v>
      </c>
      <c r="V546" s="124" t="str">
        <f>IFERROR(__xludf.DUMMYFUNCTION("""COMPUTED_VALUE"""),"facebook")</f>
        <v>facebook</v>
      </c>
      <c r="W546" s="124" t="str">
        <f>IFERROR(__xludf.DUMMYFUNCTION("""COMPUTED_VALUE"""),"lucknow")</f>
        <v>lucknow</v>
      </c>
      <c r="X546" s="124" t="str">
        <f>IFERROR(__xludf.DUMMYFUNCTION("""COMPUTED_VALUE"""),"metaleads")</f>
        <v>metaleads</v>
      </c>
      <c r="Y546" s="124" t="str">
        <f>IFERROR(__xludf.DUMMYFUNCTION("""COMPUTED_VALUE"""),"Lucknow")</f>
        <v>Lucknow</v>
      </c>
      <c r="Z546" s="124">
        <f>IFERROR(__xludf.DUMMYFUNCTION("""COMPUTED_VALUE"""),3.0)</f>
        <v>3</v>
      </c>
      <c r="AA546" s="124" t="str">
        <f>IFERROR(__xludf.DUMMYFUNCTION("""COMPUTED_VALUE"""),"Not Interested")</f>
        <v>Not Interested</v>
      </c>
      <c r="AB546" s="124"/>
    </row>
    <row r="547">
      <c r="A547" s="126">
        <f>IFERROR(__xludf.DUMMYFUNCTION("""COMPUTED_VALUE"""),46046.0)</f>
        <v>46046</v>
      </c>
      <c r="B547" s="124" t="str">
        <f>IFERROR(__xludf.DUMMYFUNCTION("""COMPUTED_VALUE"""),"Walkin")</f>
        <v>Walkin</v>
      </c>
      <c r="C547" s="124" t="str">
        <f>IFERROR(__xludf.DUMMYFUNCTION("""COMPUTED_VALUE"""),"Patna")</f>
        <v>Patna</v>
      </c>
      <c r="D547" s="124" t="str">
        <f>IFERROR(__xludf.DUMMYFUNCTION("""COMPUTED_VALUE"""),"Primary_Walkin")</f>
        <v>Primary_Walkin</v>
      </c>
      <c r="E547" s="124">
        <f>IFERROR(__xludf.DUMMYFUNCTION("""COMPUTED_VALUE"""),1.0)</f>
        <v>1</v>
      </c>
      <c r="F547" s="124" t="str">
        <f>IFERROR(__xludf.DUMMYFUNCTION("""COMPUTED_VALUE"""),"Not Interested")</f>
        <v>Not Interested</v>
      </c>
      <c r="G547" s="124" t="str">
        <f>IFERROR(__xludf.DUMMYFUNCTION("""COMPUTED_VALUE"""),"State PCS")</f>
        <v>State PCS</v>
      </c>
      <c r="K547" s="124"/>
      <c r="L547" s="124"/>
      <c r="M547" s="124"/>
      <c r="N547" s="124"/>
      <c r="O547" s="124"/>
      <c r="T547" s="126">
        <f>IFERROR(__xludf.DUMMYFUNCTION("""COMPUTED_VALUE"""),46061.0)</f>
        <v>46061</v>
      </c>
      <c r="U547" s="124" t="str">
        <f>IFERROR(__xludf.DUMMYFUNCTION("""COMPUTED_VALUE"""),"Walk-Ins")</f>
        <v>Walk-Ins</v>
      </c>
      <c r="V547" s="124" t="str">
        <f>IFERROR(__xludf.DUMMYFUNCTION("""COMPUTED_VALUE"""),"Walk-In")</f>
        <v>Walk-In</v>
      </c>
      <c r="W547" s="124" t="str">
        <f>IFERROR(__xludf.DUMMYFUNCTION("""COMPUTED_VALUE"""),"New Delhi")</f>
        <v>New Delhi</v>
      </c>
      <c r="X547" s="124" t="str">
        <f>IFERROR(__xludf.DUMMYFUNCTION("""COMPUTED_VALUE"""),"New Delhi")</f>
        <v>New Delhi</v>
      </c>
      <c r="Y547" s="124" t="str">
        <f>IFERROR(__xludf.DUMMYFUNCTION("""COMPUTED_VALUE"""),"Delhi")</f>
        <v>Delhi</v>
      </c>
      <c r="Z547" s="124">
        <f>IFERROR(__xludf.DUMMYFUNCTION("""COMPUTED_VALUE"""),1.0)</f>
        <v>1</v>
      </c>
      <c r="AA547" s="124" t="str">
        <f>IFERROR(__xludf.DUMMYFUNCTION("""COMPUTED_VALUE"""),"Cold")</f>
        <v>Cold</v>
      </c>
      <c r="AB547" s="124" t="str">
        <f>IFERROR(__xludf.DUMMYFUNCTION("""COMPUTED_VALUE"""),"GS Foundation")</f>
        <v>GS Foundation</v>
      </c>
    </row>
    <row r="548">
      <c r="A548" s="126">
        <f>IFERROR(__xludf.DUMMYFUNCTION("""COMPUTED_VALUE"""),46074.0)</f>
        <v>46074</v>
      </c>
      <c r="B548" s="124" t="str">
        <f>IFERROR(__xludf.DUMMYFUNCTION("""COMPUTED_VALUE"""),"Walkin")</f>
        <v>Walkin</v>
      </c>
      <c r="C548" s="124" t="str">
        <f>IFERROR(__xludf.DUMMYFUNCTION("""COMPUTED_VALUE"""),"Patna")</f>
        <v>Patna</v>
      </c>
      <c r="D548" s="124" t="str">
        <f>IFERROR(__xludf.DUMMYFUNCTION("""COMPUTED_VALUE"""),"Primary_Walkin")</f>
        <v>Primary_Walkin</v>
      </c>
      <c r="E548" s="124">
        <f>IFERROR(__xludf.DUMMYFUNCTION("""COMPUTED_VALUE"""),2.0)</f>
        <v>2</v>
      </c>
      <c r="F548" s="124" t="str">
        <f>IFERROR(__xludf.DUMMYFUNCTION("""COMPUTED_VALUE"""),"Cold")</f>
        <v>Cold</v>
      </c>
      <c r="G548" s="124" t="str">
        <f>IFERROR(__xludf.DUMMYFUNCTION("""COMPUTED_VALUE"""),"GS Foundation")</f>
        <v>GS Foundation</v>
      </c>
      <c r="K548" s="124"/>
      <c r="L548" s="124"/>
      <c r="M548" s="124"/>
      <c r="N548" s="124"/>
      <c r="O548" s="124"/>
      <c r="T548" s="126">
        <f>IFERROR(__xludf.DUMMYFUNCTION("""COMPUTED_VALUE"""),46090.0)</f>
        <v>46090</v>
      </c>
      <c r="U548" s="124" t="str">
        <f>IFERROR(__xludf.DUMMYFUNCTION("""COMPUTED_VALUE"""),"Paid Ads")</f>
        <v>Paid Ads</v>
      </c>
      <c r="V548" s="124" t="str">
        <f>IFERROR(__xludf.DUMMYFUNCTION("""COMPUTED_VALUE"""),"facebook")</f>
        <v>facebook</v>
      </c>
      <c r="W548" s="124" t="str">
        <f>IFERROR(__xludf.DUMMYFUNCTION("""COMPUTED_VALUE"""),"lucknow")</f>
        <v>lucknow</v>
      </c>
      <c r="X548" s="124" t="str">
        <f>IFERROR(__xludf.DUMMYFUNCTION("""COMPUTED_VALUE"""),"metaleads")</f>
        <v>metaleads</v>
      </c>
      <c r="Y548" s="124" t="str">
        <f>IFERROR(__xludf.DUMMYFUNCTION("""COMPUTED_VALUE"""),"Lucknow")</f>
        <v>Lucknow</v>
      </c>
      <c r="Z548" s="124">
        <f>IFERROR(__xludf.DUMMYFUNCTION("""COMPUTED_VALUE"""),2.0)</f>
        <v>2</v>
      </c>
      <c r="AA548" s="124" t="str">
        <f>IFERROR(__xludf.DUMMYFUNCTION("""COMPUTED_VALUE"""),"Cold")</f>
        <v>Cold</v>
      </c>
      <c r="AB548" s="124"/>
    </row>
    <row r="549">
      <c r="A549" s="129">
        <f>IFERROR(__xludf.DUMMYFUNCTION("""COMPUTED_VALUE"""),46090.0)</f>
        <v>46090</v>
      </c>
      <c r="B549" s="124" t="str">
        <f>IFERROR(__xludf.DUMMYFUNCTION("""COMPUTED_VALUE"""),"Walkin")</f>
        <v>Walkin</v>
      </c>
      <c r="C549" s="124" t="str">
        <f>IFERROR(__xludf.DUMMYFUNCTION("""COMPUTED_VALUE"""),"Patna")</f>
        <v>Patna</v>
      </c>
      <c r="D549" s="124" t="str">
        <f>IFERROR(__xludf.DUMMYFUNCTION("""COMPUTED_VALUE"""),"Primary_Walkin")</f>
        <v>Primary_Walkin</v>
      </c>
      <c r="E549" s="124">
        <f>IFERROR(__xludf.DUMMYFUNCTION("""COMPUTED_VALUE"""),4.0)</f>
        <v>4</v>
      </c>
      <c r="F549" s="124" t="str">
        <f>IFERROR(__xludf.DUMMYFUNCTION("""COMPUTED_VALUE"""),"Warm")</f>
        <v>Warm</v>
      </c>
      <c r="G549" s="124" t="str">
        <f>IFERROR(__xludf.DUMMYFUNCTION("""COMPUTED_VALUE"""),"State PCS")</f>
        <v>State PCS</v>
      </c>
      <c r="K549" s="124"/>
      <c r="L549" s="124"/>
      <c r="M549" s="124"/>
      <c r="N549" s="124"/>
      <c r="O549" s="124"/>
      <c r="T549" s="129">
        <f>IFERROR(__xludf.DUMMYFUNCTION("""COMPUTED_VALUE"""),46070.0)</f>
        <v>46070</v>
      </c>
      <c r="U549" s="124" t="str">
        <f>IFERROR(__xludf.DUMMYFUNCTION("""COMPUTED_VALUE"""),"Paid Ads")</f>
        <v>Paid Ads</v>
      </c>
      <c r="V549" s="124" t="str">
        <f>IFERROR(__xludf.DUMMYFUNCTION("""COMPUTED_VALUE"""),"facebook")</f>
        <v>facebook</v>
      </c>
      <c r="W549" s="124" t="str">
        <f>IFERROR(__xludf.DUMMYFUNCTION("""COMPUTED_VALUE"""),"indore")</f>
        <v>indore</v>
      </c>
      <c r="X549" s="124" t="str">
        <f>IFERROR(__xludf.DUMMYFUNCTION("""COMPUTED_VALUE"""),"metaleads")</f>
        <v>metaleads</v>
      </c>
      <c r="Y549" s="124" t="str">
        <f>IFERROR(__xludf.DUMMYFUNCTION("""COMPUTED_VALUE"""),"Indore")</f>
        <v>Indore</v>
      </c>
      <c r="Z549" s="124">
        <f>IFERROR(__xludf.DUMMYFUNCTION("""COMPUTED_VALUE"""),17.0)</f>
        <v>17</v>
      </c>
      <c r="AA549" s="124" t="str">
        <f>IFERROR(__xludf.DUMMYFUNCTION("""COMPUTED_VALUE"""),"Not Interested")</f>
        <v>Not Interested</v>
      </c>
      <c r="AB549" s="124"/>
    </row>
    <row r="550">
      <c r="A550" s="126">
        <f>IFERROR(__xludf.DUMMYFUNCTION("""COMPUTED_VALUE"""),46066.0)</f>
        <v>46066</v>
      </c>
      <c r="B550" s="124" t="str">
        <f>IFERROR(__xludf.DUMMYFUNCTION("""COMPUTED_VALUE"""),"Walkin")</f>
        <v>Walkin</v>
      </c>
      <c r="C550" s="124" t="str">
        <f>IFERROR(__xludf.DUMMYFUNCTION("""COMPUTED_VALUE"""),"Patna")</f>
        <v>Patna</v>
      </c>
      <c r="D550" s="124" t="str">
        <f>IFERROR(__xludf.DUMMYFUNCTION("""COMPUTED_VALUE"""),"Primary_Walkin")</f>
        <v>Primary_Walkin</v>
      </c>
      <c r="E550" s="124">
        <f>IFERROR(__xludf.DUMMYFUNCTION("""COMPUTED_VALUE"""),1.0)</f>
        <v>1</v>
      </c>
      <c r="F550" s="124" t="str">
        <f>IFERROR(__xludf.DUMMYFUNCTION("""COMPUTED_VALUE"""),"Fake Lead")</f>
        <v>Fake Lead</v>
      </c>
      <c r="G550" s="124" t="str">
        <f>IFERROR(__xludf.DUMMYFUNCTION("""COMPUTED_VALUE"""),"GS Foundation")</f>
        <v>GS Foundation</v>
      </c>
      <c r="K550" s="124"/>
      <c r="L550" s="124"/>
      <c r="M550" s="124"/>
      <c r="N550" s="124"/>
      <c r="O550" s="124"/>
      <c r="T550" s="126">
        <f>IFERROR(__xludf.DUMMYFUNCTION("""COMPUTED_VALUE"""),46044.0)</f>
        <v>46044</v>
      </c>
      <c r="U550" s="124" t="str">
        <f>IFERROR(__xludf.DUMMYFUNCTION("""COMPUTED_VALUE"""),"External Leads")</f>
        <v>External Leads</v>
      </c>
      <c r="V550" s="124" t="str">
        <f>IFERROR(__xludf.DUMMYFUNCTION("""COMPUTED_VALUE"""),"external leads")</f>
        <v>external leads</v>
      </c>
      <c r="W550" s="124" t="str">
        <f>IFERROR(__xludf.DUMMYFUNCTION("""COMPUTED_VALUE"""),"patna")</f>
        <v>patna</v>
      </c>
      <c r="X550" s="124" t="str">
        <f>IFERROR(__xludf.DUMMYFUNCTION("""COMPUTED_VALUE"""),"perfectionias")</f>
        <v>perfectionias</v>
      </c>
      <c r="Y550" s="124" t="str">
        <f>IFERROR(__xludf.DUMMYFUNCTION("""COMPUTED_VALUE"""),"Patna")</f>
        <v>Patna</v>
      </c>
      <c r="Z550" s="124">
        <f>IFERROR(__xludf.DUMMYFUNCTION("""COMPUTED_VALUE"""),3.0)</f>
        <v>3</v>
      </c>
      <c r="AA550" s="124" t="str">
        <f>IFERROR(__xludf.DUMMYFUNCTION("""COMPUTED_VALUE"""),"Not Interested")</f>
        <v>Not Interested</v>
      </c>
      <c r="AB550" s="124"/>
    </row>
    <row r="551">
      <c r="A551" s="129">
        <f>IFERROR(__xludf.DUMMYFUNCTION("""COMPUTED_VALUE"""),46105.0)</f>
        <v>46105</v>
      </c>
      <c r="B551" s="124" t="str">
        <f>IFERROR(__xludf.DUMMYFUNCTION("""COMPUTED_VALUE"""),"Walkin")</f>
        <v>Walkin</v>
      </c>
      <c r="C551" s="124" t="str">
        <f>IFERROR(__xludf.DUMMYFUNCTION("""COMPUTED_VALUE"""),"Patna")</f>
        <v>Patna</v>
      </c>
      <c r="D551" s="124" t="str">
        <f>IFERROR(__xludf.DUMMYFUNCTION("""COMPUTED_VALUE"""),"Primary_Walkin")</f>
        <v>Primary_Walkin</v>
      </c>
      <c r="E551" s="124">
        <f>IFERROR(__xludf.DUMMYFUNCTION("""COMPUTED_VALUE"""),1.0)</f>
        <v>1</v>
      </c>
      <c r="F551" s="124" t="str">
        <f>IFERROR(__xludf.DUMMYFUNCTION("""COMPUTED_VALUE"""),"Fake Lead")</f>
        <v>Fake Lead</v>
      </c>
      <c r="G551" s="124" t="str">
        <f>IFERROR(__xludf.DUMMYFUNCTION("""COMPUTED_VALUE"""),"State PCS")</f>
        <v>State PCS</v>
      </c>
      <c r="K551" s="124"/>
      <c r="L551" s="124"/>
      <c r="M551" s="124"/>
      <c r="N551" s="124"/>
      <c r="O551" s="124"/>
      <c r="T551" s="126">
        <f>IFERROR(__xludf.DUMMYFUNCTION("""COMPUTED_VALUE"""),46048.0)</f>
        <v>46048</v>
      </c>
      <c r="U551" s="124" t="str">
        <f>IFERROR(__xludf.DUMMYFUNCTION("""COMPUTED_VALUE"""),"Paid Ads")</f>
        <v>Paid Ads</v>
      </c>
      <c r="V551" s="124" t="str">
        <f>IFERROR(__xludf.DUMMYFUNCTION("""COMPUTED_VALUE"""),"Facebook")</f>
        <v>Facebook</v>
      </c>
      <c r="W551" s="124" t="str">
        <f>IFERROR(__xludf.DUMMYFUNCTION("""COMPUTED_VALUE"""),"LeadAd")</f>
        <v>LeadAd</v>
      </c>
      <c r="X551" s="124" t="str">
        <f>IFERROR(__xludf.DUMMYFUNCTION("""COMPUTED_VALUE"""),"Upsc_Offline_26_Indore_FB_Creatives")</f>
        <v>Upsc_Offline_26_Indore_FB_Creatives</v>
      </c>
      <c r="Y551" s="124" t="str">
        <f>IFERROR(__xludf.DUMMYFUNCTION("""COMPUTED_VALUE"""),"Indore")</f>
        <v>Indore</v>
      </c>
      <c r="Z551" s="124">
        <f>IFERROR(__xludf.DUMMYFUNCTION("""COMPUTED_VALUE"""),3.0)</f>
        <v>3</v>
      </c>
      <c r="AA551" s="124" t="str">
        <f>IFERROR(__xludf.DUMMYFUNCTION("""COMPUTED_VALUE"""),"Cold")</f>
        <v>Cold</v>
      </c>
      <c r="AB551" s="124"/>
    </row>
    <row r="552">
      <c r="A552" s="126">
        <f>IFERROR(__xludf.DUMMYFUNCTION("""COMPUTED_VALUE"""),46057.0)</f>
        <v>46057</v>
      </c>
      <c r="B552" s="124" t="str">
        <f>IFERROR(__xludf.DUMMYFUNCTION("""COMPUTED_VALUE"""),"Outbound Call")</f>
        <v>Outbound Call</v>
      </c>
      <c r="C552" s="124"/>
      <c r="D552" s="124" t="str">
        <f>IFERROR(__xludf.DUMMYFUNCTION("""COMPUTED_VALUE"""),"Secondary_Walkin")</f>
        <v>Secondary_Walkin</v>
      </c>
      <c r="E552" s="124">
        <f>IFERROR(__xludf.DUMMYFUNCTION("""COMPUTED_VALUE"""),1.0)</f>
        <v>1</v>
      </c>
      <c r="F552" s="124" t="str">
        <f>IFERROR(__xludf.DUMMYFUNCTION("""COMPUTED_VALUE"""),"Cold")</f>
        <v>Cold</v>
      </c>
      <c r="G552" s="124"/>
      <c r="K552" s="124"/>
      <c r="L552" s="124"/>
      <c r="M552" s="124"/>
      <c r="N552" s="124"/>
      <c r="O552" s="124"/>
      <c r="T552" s="126">
        <f>IFERROR(__xludf.DUMMYFUNCTION("""COMPUTED_VALUE"""),46098.0)</f>
        <v>46098</v>
      </c>
      <c r="U552" s="124" t="str">
        <f>IFERROR(__xludf.DUMMYFUNCTION("""COMPUTED_VALUE"""),"Walk-Ins")</f>
        <v>Walk-Ins</v>
      </c>
      <c r="V552" s="124" t="str">
        <f>IFERROR(__xludf.DUMMYFUNCTION("""COMPUTED_VALUE"""),"Walk-In")</f>
        <v>Walk-In</v>
      </c>
      <c r="W552" s="124" t="str">
        <f>IFERROR(__xludf.DUMMYFUNCTION("""COMPUTED_VALUE"""),"Delhi")</f>
        <v>Delhi</v>
      </c>
      <c r="X552" s="124" t="str">
        <f>IFERROR(__xludf.DUMMYFUNCTION("""COMPUTED_VALUE"""),"Bijender")</f>
        <v>Bijender</v>
      </c>
      <c r="Y552" s="124" t="str">
        <f>IFERROR(__xludf.DUMMYFUNCTION("""COMPUTED_VALUE"""),"Delhi")</f>
        <v>Delhi</v>
      </c>
      <c r="Z552" s="124">
        <f>IFERROR(__xludf.DUMMYFUNCTION("""COMPUTED_VALUE"""),1.0)</f>
        <v>1</v>
      </c>
      <c r="AA552" s="124" t="str">
        <f>IFERROR(__xludf.DUMMYFUNCTION("""COMPUTED_VALUE"""),"Future Prospects")</f>
        <v>Future Prospects</v>
      </c>
      <c r="AB552" s="124" t="str">
        <f>IFERROR(__xludf.DUMMYFUNCTION("""COMPUTED_VALUE"""),"GS Advanced")</f>
        <v>GS Advanced</v>
      </c>
    </row>
    <row r="553">
      <c r="A553" s="126">
        <f>IFERROR(__xludf.DUMMYFUNCTION("""COMPUTED_VALUE"""),46099.0)</f>
        <v>46099</v>
      </c>
      <c r="B553" s="124" t="str">
        <f>IFERROR(__xludf.DUMMYFUNCTION("""COMPUTED_VALUE"""),"Inbound")</f>
        <v>Inbound</v>
      </c>
      <c r="C553" s="124"/>
      <c r="D553" s="124" t="str">
        <f>IFERROR(__xludf.DUMMYFUNCTION("""COMPUTED_VALUE"""),"Secondary_Walkin")</f>
        <v>Secondary_Walkin</v>
      </c>
      <c r="E553" s="124">
        <f>IFERROR(__xludf.DUMMYFUNCTION("""COMPUTED_VALUE"""),1.0)</f>
        <v>1</v>
      </c>
      <c r="F553" s="124" t="str">
        <f>IFERROR(__xludf.DUMMYFUNCTION("""COMPUTED_VALUE"""),"Warm")</f>
        <v>Warm</v>
      </c>
      <c r="G553" s="124" t="str">
        <f>IFERROR(__xludf.DUMMYFUNCTION("""COMPUTED_VALUE"""),"State PCS")</f>
        <v>State PCS</v>
      </c>
      <c r="K553" s="124"/>
      <c r="L553" s="124"/>
      <c r="M553" s="124"/>
      <c r="N553" s="124"/>
      <c r="O553" s="124"/>
      <c r="T553" s="126">
        <f>IFERROR(__xludf.DUMMYFUNCTION("""COMPUTED_VALUE"""),46070.0)</f>
        <v>46070</v>
      </c>
      <c r="U553" s="124" t="str">
        <f>IFERROR(__xludf.DUMMYFUNCTION("""COMPUTED_VALUE"""),"Paid Ads")</f>
        <v>Paid Ads</v>
      </c>
      <c r="V553" s="124" t="str">
        <f>IFERROR(__xludf.DUMMYFUNCTION("""COMPUTED_VALUE"""),"facebook")</f>
        <v>facebook</v>
      </c>
      <c r="W553" s="124" t="str">
        <f>IFERROR(__xludf.DUMMYFUNCTION("""COMPUTED_VALUE"""),"lucknow")</f>
        <v>lucknow</v>
      </c>
      <c r="X553" s="124" t="str">
        <f>IFERROR(__xludf.DUMMYFUNCTION("""COMPUTED_VALUE"""),"metaleads")</f>
        <v>metaleads</v>
      </c>
      <c r="Y553" s="124" t="str">
        <f>IFERROR(__xludf.DUMMYFUNCTION("""COMPUTED_VALUE"""),"Lucknow")</f>
        <v>Lucknow</v>
      </c>
      <c r="Z553" s="124">
        <f>IFERROR(__xludf.DUMMYFUNCTION("""COMPUTED_VALUE"""),15.0)</f>
        <v>15</v>
      </c>
      <c r="AA553" s="124" t="str">
        <f>IFERROR(__xludf.DUMMYFUNCTION("""COMPUTED_VALUE"""),"Cold")</f>
        <v>Cold</v>
      </c>
      <c r="AB553" s="124"/>
    </row>
    <row r="554">
      <c r="A554" s="129">
        <f>IFERROR(__xludf.DUMMYFUNCTION("""COMPUTED_VALUE"""),46066.0)</f>
        <v>46066</v>
      </c>
      <c r="B554" s="124" t="str">
        <f>IFERROR(__xludf.DUMMYFUNCTION("""COMPUTED_VALUE"""),"Walk-In")</f>
        <v>Walk-In</v>
      </c>
      <c r="C554" s="124"/>
      <c r="D554" s="124" t="str">
        <f>IFERROR(__xludf.DUMMYFUNCTION("""COMPUTED_VALUE"""),"Primary_Walkin")</f>
        <v>Primary_Walkin</v>
      </c>
      <c r="E554" s="124">
        <f>IFERROR(__xludf.DUMMYFUNCTION("""COMPUTED_VALUE"""),1.0)</f>
        <v>1</v>
      </c>
      <c r="F554" s="124" t="str">
        <f>IFERROR(__xludf.DUMMYFUNCTION("""COMPUTED_VALUE"""),"Interested")</f>
        <v>Interested</v>
      </c>
      <c r="G554" s="124" t="str">
        <f>IFERROR(__xludf.DUMMYFUNCTION("""COMPUTED_VALUE"""),"GS Foundation")</f>
        <v>GS Foundation</v>
      </c>
      <c r="K554" s="124"/>
      <c r="L554" s="124"/>
      <c r="M554" s="124"/>
      <c r="N554" s="124"/>
      <c r="O554" s="124"/>
      <c r="T554" s="126">
        <f>IFERROR(__xludf.DUMMYFUNCTION("""COMPUTED_VALUE"""),46050.0)</f>
        <v>46050</v>
      </c>
      <c r="U554" s="124" t="str">
        <f>IFERROR(__xludf.DUMMYFUNCTION("""COMPUTED_VALUE"""),"Paid Ads")</f>
        <v>Paid Ads</v>
      </c>
      <c r="V554" s="124" t="str">
        <f>IFERROR(__xludf.DUMMYFUNCTION("""COMPUTED_VALUE"""),"Facebook")</f>
        <v>Facebook</v>
      </c>
      <c r="W554" s="124" t="str">
        <f>IFERROR(__xludf.DUMMYFUNCTION("""COMPUTED_VALUE"""),"LeadAd")</f>
        <v>LeadAd</v>
      </c>
      <c r="X554" s="124" t="str">
        <f>IFERROR(__xludf.DUMMYFUNCTION("""COMPUTED_VALUE"""),"Upsc_Offline_26_Indore_FB_Creatives")</f>
        <v>Upsc_Offline_26_Indore_FB_Creatives</v>
      </c>
      <c r="Y554" s="124" t="str">
        <f>IFERROR(__xludf.DUMMYFUNCTION("""COMPUTED_VALUE"""),"Indore")</f>
        <v>Indore</v>
      </c>
      <c r="Z554" s="124">
        <f>IFERROR(__xludf.DUMMYFUNCTION("""COMPUTED_VALUE"""),4.0)</f>
        <v>4</v>
      </c>
      <c r="AA554" s="124" t="str">
        <f>IFERROR(__xludf.DUMMYFUNCTION("""COMPUTED_VALUE"""),"Fake Lead")</f>
        <v>Fake Lead</v>
      </c>
      <c r="AB554" s="124"/>
    </row>
    <row r="555">
      <c r="A555" s="126">
        <f>IFERROR(__xludf.DUMMYFUNCTION("""COMPUTED_VALUE"""),46107.0)</f>
        <v>46107</v>
      </c>
      <c r="B555" s="124" t="str">
        <f>IFERROR(__xludf.DUMMYFUNCTION("""COMPUTED_VALUE"""),"Walk-In")</f>
        <v>Walk-In</v>
      </c>
      <c r="C555" s="124"/>
      <c r="D555" s="124" t="str">
        <f>IFERROR(__xludf.DUMMYFUNCTION("""COMPUTED_VALUE"""),"Primary_Walkin")</f>
        <v>Primary_Walkin</v>
      </c>
      <c r="E555" s="124">
        <f>IFERROR(__xludf.DUMMYFUNCTION("""COMPUTED_VALUE"""),1.0)</f>
        <v>1</v>
      </c>
      <c r="F555" s="124" t="str">
        <f>IFERROR(__xludf.DUMMYFUNCTION("""COMPUTED_VALUE"""),"Warm")</f>
        <v>Warm</v>
      </c>
      <c r="G555" s="124" t="str">
        <f>IFERROR(__xludf.DUMMYFUNCTION("""COMPUTED_VALUE"""),"Mentorship")</f>
        <v>Mentorship</v>
      </c>
      <c r="K555" s="124"/>
      <c r="L555" s="124"/>
      <c r="M555" s="124"/>
      <c r="N555" s="124"/>
      <c r="O555" s="124"/>
      <c r="T555" s="129">
        <f>IFERROR(__xludf.DUMMYFUNCTION("""COMPUTED_VALUE"""),46067.0)</f>
        <v>46067</v>
      </c>
      <c r="U555" s="124" t="str">
        <f>IFERROR(__xludf.DUMMYFUNCTION("""COMPUTED_VALUE"""),"Walk-Ins")</f>
        <v>Walk-Ins</v>
      </c>
      <c r="V555" s="124" t="str">
        <f>IFERROR(__xludf.DUMMYFUNCTION("""COMPUTED_VALUE"""),"Walk-In")</f>
        <v>Walk-In</v>
      </c>
      <c r="W555" s="124" t="str">
        <f>IFERROR(__xludf.DUMMYFUNCTION("""COMPUTED_VALUE"""),"New Delhi")</f>
        <v>New Delhi</v>
      </c>
      <c r="X555" s="124" t="str">
        <f>IFERROR(__xludf.DUMMYFUNCTION("""COMPUTED_VALUE"""),"New Delhi")</f>
        <v>New Delhi</v>
      </c>
      <c r="Y555" s="124" t="str">
        <f>IFERROR(__xludf.DUMMYFUNCTION("""COMPUTED_VALUE"""),"Delhi")</f>
        <v>Delhi</v>
      </c>
      <c r="Z555" s="124">
        <f>IFERROR(__xludf.DUMMYFUNCTION("""COMPUTED_VALUE"""),1.0)</f>
        <v>1</v>
      </c>
      <c r="AA555" s="124" t="str">
        <f>IFERROR(__xludf.DUMMYFUNCTION("""COMPUTED_VALUE"""),"Cold")</f>
        <v>Cold</v>
      </c>
      <c r="AB555" s="124" t="str">
        <f>IFERROR(__xludf.DUMMYFUNCTION("""COMPUTED_VALUE"""),"Optionals")</f>
        <v>Optionals</v>
      </c>
    </row>
    <row r="556">
      <c r="A556" s="129">
        <f>IFERROR(__xludf.DUMMYFUNCTION("""COMPUTED_VALUE"""),46049.0)</f>
        <v>46049</v>
      </c>
      <c r="B556" s="124" t="str">
        <f>IFERROR(__xludf.DUMMYFUNCTION("""COMPUTED_VALUE"""),"Walk-In")</f>
        <v>Walk-In</v>
      </c>
      <c r="C556" s="124"/>
      <c r="D556" s="124" t="str">
        <f>IFERROR(__xludf.DUMMYFUNCTION("""COMPUTED_VALUE"""),"Primary_Walkin")</f>
        <v>Primary_Walkin</v>
      </c>
      <c r="E556" s="124">
        <f>IFERROR(__xludf.DUMMYFUNCTION("""COMPUTED_VALUE"""),1.0)</f>
        <v>1</v>
      </c>
      <c r="F556" s="124" t="str">
        <f>IFERROR(__xludf.DUMMYFUNCTION("""COMPUTED_VALUE"""),"Enrolled")</f>
        <v>Enrolled</v>
      </c>
      <c r="G556" s="124" t="str">
        <f>IFERROR(__xludf.DUMMYFUNCTION("""COMPUTED_VALUE"""),"GS Foundation")</f>
        <v>GS Foundation</v>
      </c>
      <c r="K556" s="124"/>
      <c r="L556" s="124"/>
      <c r="M556" s="124"/>
      <c r="N556" s="124"/>
      <c r="O556" s="124"/>
      <c r="T556" s="129">
        <f>IFERROR(__xludf.DUMMYFUNCTION("""COMPUTED_VALUE"""),46107.0)</f>
        <v>46107</v>
      </c>
      <c r="U556" s="124" t="str">
        <f>IFERROR(__xludf.DUMMYFUNCTION("""COMPUTED_VALUE"""),"Event")</f>
        <v>Event</v>
      </c>
      <c r="V556" s="124" t="str">
        <f>IFERROR(__xludf.DUMMYFUNCTION("""COMPUTED_VALUE"""),"events")</f>
        <v>events</v>
      </c>
      <c r="W556" s="124" t="str">
        <f>IFERROR(__xludf.DUMMYFUNCTION("""COMPUTED_VALUE"""),"delhi")</f>
        <v>delhi</v>
      </c>
      <c r="X556" s="124" t="str">
        <f>IFERROR(__xludf.DUMMYFUNCTION("""COMPUTED_VALUE"""),"seminar")</f>
        <v>seminar</v>
      </c>
      <c r="Y556" s="124" t="str">
        <f>IFERROR(__xludf.DUMMYFUNCTION("""COMPUTED_VALUE"""),"Delhi")</f>
        <v>Delhi</v>
      </c>
      <c r="Z556" s="124">
        <f>IFERROR(__xludf.DUMMYFUNCTION("""COMPUTED_VALUE"""),4587.0)</f>
        <v>4587</v>
      </c>
      <c r="AA556" s="124"/>
      <c r="AB556" s="124"/>
    </row>
    <row r="557">
      <c r="A557" s="126">
        <f>IFERROR(__xludf.DUMMYFUNCTION("""COMPUTED_VALUE"""),46110.0)</f>
        <v>46110</v>
      </c>
      <c r="B557" s="124" t="str">
        <f>IFERROR(__xludf.DUMMYFUNCTION("""COMPUTED_VALUE"""),"Walk-In")</f>
        <v>Walk-In</v>
      </c>
      <c r="C557" s="124"/>
      <c r="D557" s="124" t="str">
        <f>IFERROR(__xludf.DUMMYFUNCTION("""COMPUTED_VALUE"""),"Primary_Walkin")</f>
        <v>Primary_Walkin</v>
      </c>
      <c r="E557" s="124">
        <f>IFERROR(__xludf.DUMMYFUNCTION("""COMPUTED_VALUE"""),1.0)</f>
        <v>1</v>
      </c>
      <c r="F557" s="124" t="str">
        <f>IFERROR(__xludf.DUMMYFUNCTION("""COMPUTED_VALUE"""),"Warm")</f>
        <v>Warm</v>
      </c>
      <c r="G557" s="124" t="str">
        <f>IFERROR(__xludf.DUMMYFUNCTION("""COMPUTED_VALUE"""),"State PCS")</f>
        <v>State PCS</v>
      </c>
      <c r="K557" s="124"/>
      <c r="L557" s="124"/>
      <c r="M557" s="124"/>
      <c r="N557" s="124"/>
      <c r="O557" s="124"/>
      <c r="T557" s="129">
        <f>IFERROR(__xludf.DUMMYFUNCTION("""COMPUTED_VALUE"""),46106.0)</f>
        <v>46106</v>
      </c>
      <c r="U557" s="124" t="str">
        <f>IFERROR(__xludf.DUMMYFUNCTION("""COMPUTED_VALUE"""),"Event")</f>
        <v>Event</v>
      </c>
      <c r="V557" s="124" t="str">
        <f>IFERROR(__xludf.DUMMYFUNCTION("""COMPUTED_VALUE"""),"events")</f>
        <v>events</v>
      </c>
      <c r="W557" s="124" t="str">
        <f>IFERROR(__xludf.DUMMYFUNCTION("""COMPUTED_VALUE"""),"prayagraj")</f>
        <v>prayagraj</v>
      </c>
      <c r="X557" s="124" t="str">
        <f>IFERROR(__xludf.DUMMYFUNCTION("""COMPUTED_VALUE"""),"seminar")</f>
        <v>seminar</v>
      </c>
      <c r="Y557" s="124" t="str">
        <f>IFERROR(__xludf.DUMMYFUNCTION("""COMPUTED_VALUE"""),"Prayagraj")</f>
        <v>Prayagraj</v>
      </c>
      <c r="Z557" s="124">
        <f>IFERROR(__xludf.DUMMYFUNCTION("""COMPUTED_VALUE"""),980.0)</f>
        <v>980</v>
      </c>
      <c r="AA557" s="124"/>
      <c r="AB557" s="124"/>
    </row>
    <row r="558">
      <c r="A558" s="126">
        <f>IFERROR(__xludf.DUMMYFUNCTION("""COMPUTED_VALUE"""),46100.0)</f>
        <v>46100</v>
      </c>
      <c r="B558" s="124" t="str">
        <f>IFERROR(__xludf.DUMMYFUNCTION("""COMPUTED_VALUE"""),"Walkin")</f>
        <v>Walkin</v>
      </c>
      <c r="C558" s="124" t="str">
        <f>IFERROR(__xludf.DUMMYFUNCTION("""COMPUTED_VALUE"""),"Prayagraj")</f>
        <v>Prayagraj</v>
      </c>
      <c r="D558" s="124" t="str">
        <f>IFERROR(__xludf.DUMMYFUNCTION("""COMPUTED_VALUE"""),"Primary_Walkin")</f>
        <v>Primary_Walkin</v>
      </c>
      <c r="E558" s="124">
        <f>IFERROR(__xludf.DUMMYFUNCTION("""COMPUTED_VALUE"""),1.0)</f>
        <v>1</v>
      </c>
      <c r="F558" s="124" t="str">
        <f>IFERROR(__xludf.DUMMYFUNCTION("""COMPUTED_VALUE"""),"Enrolled")</f>
        <v>Enrolled</v>
      </c>
      <c r="G558" s="124" t="str">
        <f>IFERROR(__xludf.DUMMYFUNCTION("""COMPUTED_VALUE"""),"State PCS")</f>
        <v>State PCS</v>
      </c>
      <c r="K558" s="124"/>
      <c r="L558" s="124"/>
      <c r="M558" s="124"/>
      <c r="N558" s="124"/>
      <c r="O558" s="124"/>
      <c r="T558" s="126">
        <f>IFERROR(__xludf.DUMMYFUNCTION("""COMPUTED_VALUE"""),46106.0)</f>
        <v>46106</v>
      </c>
      <c r="U558" s="124" t="str">
        <f>IFERROR(__xludf.DUMMYFUNCTION("""COMPUTED_VALUE"""),"Event")</f>
        <v>Event</v>
      </c>
      <c r="V558" s="124" t="str">
        <f>IFERROR(__xludf.DUMMYFUNCTION("""COMPUTED_VALUE"""),"events")</f>
        <v>events</v>
      </c>
      <c r="W558" s="124" t="str">
        <f>IFERROR(__xludf.DUMMYFUNCTION("""COMPUTED_VALUE"""),"prayagraj")</f>
        <v>prayagraj</v>
      </c>
      <c r="X558" s="124" t="str">
        <f>IFERROR(__xludf.DUMMYFUNCTION("""COMPUTED_VALUE"""),"seminar")</f>
        <v>seminar</v>
      </c>
      <c r="Y558" s="124" t="str">
        <f>IFERROR(__xludf.DUMMYFUNCTION("""COMPUTED_VALUE"""),"Prayagraj")</f>
        <v>Prayagraj</v>
      </c>
      <c r="Z558" s="124">
        <f>IFERROR(__xludf.DUMMYFUNCTION("""COMPUTED_VALUE"""),139.0)</f>
        <v>139</v>
      </c>
      <c r="AA558" s="124" t="str">
        <f>IFERROR(__xludf.DUMMYFUNCTION("""COMPUTED_VALUE"""),"Cold")</f>
        <v>Cold</v>
      </c>
      <c r="AB558" s="124"/>
    </row>
    <row r="559">
      <c r="A559" s="126">
        <f>IFERROR(__xludf.DUMMYFUNCTION("""COMPUTED_VALUE"""),46110.0)</f>
        <v>46110</v>
      </c>
      <c r="B559" s="124" t="str">
        <f>IFERROR(__xludf.DUMMYFUNCTION("""COMPUTED_VALUE"""),"BTL Activities")</f>
        <v>BTL Activities</v>
      </c>
      <c r="C559" s="124" t="str">
        <f>IFERROR(__xludf.DUMMYFUNCTION("""COMPUTED_VALUE"""),"Prayagraj")</f>
        <v>Prayagraj</v>
      </c>
      <c r="D559" s="124" t="str">
        <f>IFERROR(__xludf.DUMMYFUNCTION("""COMPUTED_VALUE"""),"Secondary_Walkin")</f>
        <v>Secondary_Walkin</v>
      </c>
      <c r="E559" s="124">
        <f>IFERROR(__xludf.DUMMYFUNCTION("""COMPUTED_VALUE"""),2.0)</f>
        <v>2</v>
      </c>
      <c r="F559" s="124" t="str">
        <f>IFERROR(__xludf.DUMMYFUNCTION("""COMPUTED_VALUE"""),"Warm")</f>
        <v>Warm</v>
      </c>
      <c r="G559" s="124" t="str">
        <f>IFERROR(__xludf.DUMMYFUNCTION("""COMPUTED_VALUE"""),"Mentorship")</f>
        <v>Mentorship</v>
      </c>
      <c r="K559" s="124"/>
      <c r="L559" s="124"/>
      <c r="M559" s="124"/>
      <c r="N559" s="124"/>
      <c r="O559" s="124"/>
      <c r="T559" s="126">
        <f>IFERROR(__xludf.DUMMYFUNCTION("""COMPUTED_VALUE"""),46047.0)</f>
        <v>46047</v>
      </c>
      <c r="U559" s="124" t="str">
        <f>IFERROR(__xludf.DUMMYFUNCTION("""COMPUTED_VALUE"""),"Paid Ads")</f>
        <v>Paid Ads</v>
      </c>
      <c r="V559" s="124" t="str">
        <f>IFERROR(__xludf.DUMMYFUNCTION("""COMPUTED_VALUE"""),"Facebook")</f>
        <v>Facebook</v>
      </c>
      <c r="W559" s="124" t="str">
        <f>IFERROR(__xludf.DUMMYFUNCTION("""COMPUTED_VALUE"""),"LeadAd")</f>
        <v>LeadAd</v>
      </c>
      <c r="X559" s="124" t="str">
        <f>IFERROR(__xludf.DUMMYFUNCTION("""COMPUTED_VALUE"""),"Upsc_offline_26_Lucknow_FB_Video")</f>
        <v>Upsc_offline_26_Lucknow_FB_Video</v>
      </c>
      <c r="Y559" s="124" t="str">
        <f>IFERROR(__xludf.DUMMYFUNCTION("""COMPUTED_VALUE"""),"Lucknow")</f>
        <v>Lucknow</v>
      </c>
      <c r="Z559" s="124">
        <f>IFERROR(__xludf.DUMMYFUNCTION("""COMPUTED_VALUE"""),10.0)</f>
        <v>10</v>
      </c>
      <c r="AA559" s="124" t="str">
        <f>IFERROR(__xludf.DUMMYFUNCTION("""COMPUTED_VALUE"""),"Not Interested")</f>
        <v>Not Interested</v>
      </c>
      <c r="AB559" s="124"/>
    </row>
    <row r="560">
      <c r="A560" s="126">
        <f>IFERROR(__xludf.DUMMYFUNCTION("""COMPUTED_VALUE"""),46076.0)</f>
        <v>46076</v>
      </c>
      <c r="B560" s="124" t="str">
        <f>IFERROR(__xludf.DUMMYFUNCTION("""COMPUTED_VALUE"""),"Walkin")</f>
        <v>Walkin</v>
      </c>
      <c r="C560" s="124" t="str">
        <f>IFERROR(__xludf.DUMMYFUNCTION("""COMPUTED_VALUE"""),"Prayagraj")</f>
        <v>Prayagraj</v>
      </c>
      <c r="D560" s="124" t="str">
        <f>IFERROR(__xludf.DUMMYFUNCTION("""COMPUTED_VALUE"""),"Primary_Walkin")</f>
        <v>Primary_Walkin</v>
      </c>
      <c r="E560" s="124">
        <f>IFERROR(__xludf.DUMMYFUNCTION("""COMPUTED_VALUE"""),1.0)</f>
        <v>1</v>
      </c>
      <c r="F560" s="124" t="str">
        <f>IFERROR(__xludf.DUMMYFUNCTION("""COMPUTED_VALUE"""),"Cold")</f>
        <v>Cold</v>
      </c>
      <c r="G560" s="124" t="str">
        <f>IFERROR(__xludf.DUMMYFUNCTION("""COMPUTED_VALUE"""),"State PCS")</f>
        <v>State PCS</v>
      </c>
      <c r="K560" s="124"/>
      <c r="L560" s="124"/>
      <c r="M560" s="124"/>
      <c r="N560" s="124"/>
      <c r="O560" s="124"/>
      <c r="T560" s="126">
        <f>IFERROR(__xludf.DUMMYFUNCTION("""COMPUTED_VALUE"""),46106.0)</f>
        <v>46106</v>
      </c>
      <c r="U560" s="124" t="str">
        <f>IFERROR(__xludf.DUMMYFUNCTION("""COMPUTED_VALUE"""),"Paid Ads")</f>
        <v>Paid Ads</v>
      </c>
      <c r="V560" s="124" t="str">
        <f>IFERROR(__xludf.DUMMYFUNCTION("""COMPUTED_VALUE"""),"Facebook")</f>
        <v>Facebook</v>
      </c>
      <c r="W560" s="124" t="str">
        <f>IFERROR(__xludf.DUMMYFUNCTION("""COMPUTED_VALUE"""),"LeadAd")</f>
        <v>LeadAd</v>
      </c>
      <c r="X560" s="124" t="str">
        <f>IFERROR(__xludf.DUMMYFUNCTION("""COMPUTED_VALUE"""),"Upsc_offline_Patna_Lead_Fb_Mar")</f>
        <v>Upsc_offline_Patna_Lead_Fb_Mar</v>
      </c>
      <c r="Y560" s="124" t="str">
        <f>IFERROR(__xludf.DUMMYFUNCTION("""COMPUTED_VALUE"""),"Patna")</f>
        <v>Patna</v>
      </c>
      <c r="Z560" s="124">
        <f>IFERROR(__xludf.DUMMYFUNCTION("""COMPUTED_VALUE"""),9.0)</f>
        <v>9</v>
      </c>
      <c r="AA560" s="124" t="str">
        <f>IFERROR(__xludf.DUMMYFUNCTION("""COMPUTED_VALUE"""),"Cold")</f>
        <v>Cold</v>
      </c>
      <c r="AB560" s="124"/>
    </row>
    <row r="561">
      <c r="A561" s="126">
        <f>IFERROR(__xludf.DUMMYFUNCTION("""COMPUTED_VALUE"""),46079.0)</f>
        <v>46079</v>
      </c>
      <c r="B561" s="124" t="str">
        <f>IFERROR(__xludf.DUMMYFUNCTION("""COMPUTED_VALUE"""),"Walkin")</f>
        <v>Walkin</v>
      </c>
      <c r="C561" s="124" t="str">
        <f>IFERROR(__xludf.DUMMYFUNCTION("""COMPUTED_VALUE"""),"Prayagraj")</f>
        <v>Prayagraj</v>
      </c>
      <c r="D561" s="124" t="str">
        <f>IFERROR(__xludf.DUMMYFUNCTION("""COMPUTED_VALUE"""),"Primary_Walkin")</f>
        <v>Primary_Walkin</v>
      </c>
      <c r="E561" s="124">
        <f>IFERROR(__xludf.DUMMYFUNCTION("""COMPUTED_VALUE"""),2.0)</f>
        <v>2</v>
      </c>
      <c r="F561" s="124" t="str">
        <f>IFERROR(__xludf.DUMMYFUNCTION("""COMPUTED_VALUE"""),"Warm")</f>
        <v>Warm</v>
      </c>
      <c r="G561" s="124" t="str">
        <f>IFERROR(__xludf.DUMMYFUNCTION("""COMPUTED_VALUE"""),"GS Foundation")</f>
        <v>GS Foundation</v>
      </c>
      <c r="K561" s="124"/>
      <c r="L561" s="124"/>
      <c r="M561" s="124"/>
      <c r="N561" s="124"/>
      <c r="O561" s="124"/>
      <c r="T561" s="126">
        <f>IFERROR(__xludf.DUMMYFUNCTION("""COMPUTED_VALUE"""),46102.0)</f>
        <v>46102</v>
      </c>
      <c r="U561" s="124" t="str">
        <f>IFERROR(__xludf.DUMMYFUNCTION("""COMPUTED_VALUE"""),"Event")</f>
        <v>Event</v>
      </c>
      <c r="V561" s="124" t="str">
        <f>IFERROR(__xludf.DUMMYFUNCTION("""COMPUTED_VALUE"""),"events")</f>
        <v>events</v>
      </c>
      <c r="W561" s="124" t="str">
        <f>IFERROR(__xludf.DUMMYFUNCTION("""COMPUTED_VALUE"""),"indore")</f>
        <v>indore</v>
      </c>
      <c r="X561" s="124" t="str">
        <f>IFERROR(__xludf.DUMMYFUNCTION("""COMPUTED_VALUE"""),"seminar")</f>
        <v>seminar</v>
      </c>
      <c r="Y561" s="124" t="str">
        <f>IFERROR(__xludf.DUMMYFUNCTION("""COMPUTED_VALUE"""),"Indore")</f>
        <v>Indore</v>
      </c>
      <c r="Z561" s="124">
        <f>IFERROR(__xludf.DUMMYFUNCTION("""COMPUTED_VALUE"""),4.0)</f>
        <v>4</v>
      </c>
      <c r="AA561" s="124" t="str">
        <f>IFERROR(__xludf.DUMMYFUNCTION("""COMPUTED_VALUE"""),"Warm")</f>
        <v>Warm</v>
      </c>
      <c r="AB561" s="124"/>
    </row>
    <row r="562">
      <c r="A562" s="129">
        <f>IFERROR(__xludf.DUMMYFUNCTION("""COMPUTED_VALUE"""),46076.0)</f>
        <v>46076</v>
      </c>
      <c r="B562" s="124" t="str">
        <f>IFERROR(__xludf.DUMMYFUNCTION("""COMPUTED_VALUE"""),"Walk-In")</f>
        <v>Walk-In</v>
      </c>
      <c r="C562" s="124" t="str">
        <f>IFERROR(__xludf.DUMMYFUNCTION("""COMPUTED_VALUE"""),"Prayagraj")</f>
        <v>Prayagraj</v>
      </c>
      <c r="D562" s="124" t="str">
        <f>IFERROR(__xludf.DUMMYFUNCTION("""COMPUTED_VALUE"""),"Primary_Walkin")</f>
        <v>Primary_Walkin</v>
      </c>
      <c r="E562" s="124">
        <f>IFERROR(__xludf.DUMMYFUNCTION("""COMPUTED_VALUE"""),1.0)</f>
        <v>1</v>
      </c>
      <c r="F562" s="124" t="str">
        <f>IFERROR(__xludf.DUMMYFUNCTION("""COMPUTED_VALUE"""),"Future Prospects")</f>
        <v>Future Prospects</v>
      </c>
      <c r="G562" s="124" t="str">
        <f>IFERROR(__xludf.DUMMYFUNCTION("""COMPUTED_VALUE"""),"GS Foundation")</f>
        <v>GS Foundation</v>
      </c>
      <c r="K562" s="124"/>
      <c r="L562" s="124"/>
      <c r="M562" s="124"/>
      <c r="N562" s="124"/>
      <c r="O562" s="124"/>
      <c r="T562" s="129">
        <f>IFERROR(__xludf.DUMMYFUNCTION("""COMPUTED_VALUE"""),46112.0)</f>
        <v>46112</v>
      </c>
      <c r="U562" s="124" t="str">
        <f>IFERROR(__xludf.DUMMYFUNCTION("""COMPUTED_VALUE"""),"Event")</f>
        <v>Event</v>
      </c>
      <c r="V562" s="124" t="str">
        <f>IFERROR(__xludf.DUMMYFUNCTION("""COMPUTED_VALUE"""),"events")</f>
        <v>events</v>
      </c>
      <c r="W562" s="124" t="str">
        <f>IFERROR(__xludf.DUMMYFUNCTION("""COMPUTED_VALUE"""),"lucknow")</f>
        <v>lucknow</v>
      </c>
      <c r="X562" s="124" t="str">
        <f>IFERROR(__xludf.DUMMYFUNCTION("""COMPUTED_VALUE"""),"seminar")</f>
        <v>seminar</v>
      </c>
      <c r="Y562" s="124" t="str">
        <f>IFERROR(__xludf.DUMMYFUNCTION("""COMPUTED_VALUE"""),"Lucknow")</f>
        <v>Lucknow</v>
      </c>
      <c r="Z562" s="124">
        <f>IFERROR(__xludf.DUMMYFUNCTION("""COMPUTED_VALUE"""),175.0)</f>
        <v>175</v>
      </c>
      <c r="AA562" s="124"/>
      <c r="AB562" s="124"/>
    </row>
    <row r="563">
      <c r="A563" s="126">
        <f>IFERROR(__xludf.DUMMYFUNCTION("""COMPUTED_VALUE"""),46069.0)</f>
        <v>46069</v>
      </c>
      <c r="B563" s="124" t="str">
        <f>IFERROR(__xludf.DUMMYFUNCTION("""COMPUTED_VALUE"""),"Walkin")</f>
        <v>Walkin</v>
      </c>
      <c r="C563" s="124" t="str">
        <f>IFERROR(__xludf.DUMMYFUNCTION("""COMPUTED_VALUE"""),"Prayagraj")</f>
        <v>Prayagraj</v>
      </c>
      <c r="D563" s="124" t="str">
        <f>IFERROR(__xludf.DUMMYFUNCTION("""COMPUTED_VALUE"""),"Primary_Walkin")</f>
        <v>Primary_Walkin</v>
      </c>
      <c r="E563" s="124">
        <f>IFERROR(__xludf.DUMMYFUNCTION("""COMPUTED_VALUE"""),1.0)</f>
        <v>1</v>
      </c>
      <c r="F563" s="124" t="str">
        <f>IFERROR(__xludf.DUMMYFUNCTION("""COMPUTED_VALUE"""),"Cold")</f>
        <v>Cold</v>
      </c>
      <c r="G563" s="124" t="str">
        <f>IFERROR(__xludf.DUMMYFUNCTION("""COMPUTED_VALUE"""),"State PCS")</f>
        <v>State PCS</v>
      </c>
      <c r="K563" s="124"/>
      <c r="L563" s="124"/>
      <c r="M563" s="124"/>
      <c r="N563" s="124"/>
      <c r="O563" s="124"/>
      <c r="T563" s="126">
        <f>IFERROR(__xludf.DUMMYFUNCTION("""COMPUTED_VALUE"""),46107.0)</f>
        <v>46107</v>
      </c>
      <c r="U563" s="124" t="str">
        <f>IFERROR(__xludf.DUMMYFUNCTION("""COMPUTED_VALUE"""),"Event")</f>
        <v>Event</v>
      </c>
      <c r="V563" s="124" t="str">
        <f>IFERROR(__xludf.DUMMYFUNCTION("""COMPUTED_VALUE"""),"events")</f>
        <v>events</v>
      </c>
      <c r="W563" s="124" t="str">
        <f>IFERROR(__xludf.DUMMYFUNCTION("""COMPUTED_VALUE"""),"indore")</f>
        <v>indore</v>
      </c>
      <c r="X563" s="124" t="str">
        <f>IFERROR(__xludf.DUMMYFUNCTION("""COMPUTED_VALUE"""),"seminar")</f>
        <v>seminar</v>
      </c>
      <c r="Y563" s="124" t="str">
        <f>IFERROR(__xludf.DUMMYFUNCTION("""COMPUTED_VALUE"""),"Indore")</f>
        <v>Indore</v>
      </c>
      <c r="Z563" s="124">
        <f>IFERROR(__xludf.DUMMYFUNCTION("""COMPUTED_VALUE"""),88.0)</f>
        <v>88</v>
      </c>
      <c r="AA563" s="124" t="str">
        <f>IFERROR(__xludf.DUMMYFUNCTION("""COMPUTED_VALUE"""),"Cold")</f>
        <v>Cold</v>
      </c>
      <c r="AB563" s="124"/>
    </row>
    <row r="564">
      <c r="A564" s="126">
        <f>IFERROR(__xludf.DUMMYFUNCTION("""COMPUTED_VALUE"""),46097.0)</f>
        <v>46097</v>
      </c>
      <c r="B564" s="124" t="str">
        <f>IFERROR(__xludf.DUMMYFUNCTION("""COMPUTED_VALUE"""),"Walkin")</f>
        <v>Walkin</v>
      </c>
      <c r="C564" s="124" t="str">
        <f>IFERROR(__xludf.DUMMYFUNCTION("""COMPUTED_VALUE"""),"Prayagraj")</f>
        <v>Prayagraj</v>
      </c>
      <c r="D564" s="124" t="str">
        <f>IFERROR(__xludf.DUMMYFUNCTION("""COMPUTED_VALUE"""),"Primary_Walkin")</f>
        <v>Primary_Walkin</v>
      </c>
      <c r="E564" s="124">
        <f>IFERROR(__xludf.DUMMYFUNCTION("""COMPUTED_VALUE"""),3.0)</f>
        <v>3</v>
      </c>
      <c r="F564" s="124" t="str">
        <f>IFERROR(__xludf.DUMMYFUNCTION("""COMPUTED_VALUE"""),"Not Interested")</f>
        <v>Not Interested</v>
      </c>
      <c r="G564" s="124" t="str">
        <f>IFERROR(__xludf.DUMMYFUNCTION("""COMPUTED_VALUE"""),"GS Foundation")</f>
        <v>GS Foundation</v>
      </c>
      <c r="K564" s="124"/>
      <c r="L564" s="124"/>
      <c r="M564" s="124"/>
      <c r="N564" s="124"/>
      <c r="O564" s="124"/>
      <c r="T564" s="126">
        <f>IFERROR(__xludf.DUMMYFUNCTION("""COMPUTED_VALUE"""),46074.0)</f>
        <v>46074</v>
      </c>
      <c r="U564" s="124" t="str">
        <f>IFERROR(__xludf.DUMMYFUNCTION("""COMPUTED_VALUE"""),"Walk-Ins")</f>
        <v>Walk-Ins</v>
      </c>
      <c r="V564" s="124" t="str">
        <f>IFERROR(__xludf.DUMMYFUNCTION("""COMPUTED_VALUE"""),"Walk-In")</f>
        <v>Walk-In</v>
      </c>
      <c r="W564" s="124" t="str">
        <f>IFERROR(__xludf.DUMMYFUNCTION("""COMPUTED_VALUE"""),"Patna")</f>
        <v>Patna</v>
      </c>
      <c r="X564" s="124" t="str">
        <f>IFERROR(__xludf.DUMMYFUNCTION("""COMPUTED_VALUE"""),"Patna")</f>
        <v>Patna</v>
      </c>
      <c r="Y564" s="124" t="str">
        <f>IFERROR(__xludf.DUMMYFUNCTION("""COMPUTED_VALUE"""),"Patna")</f>
        <v>Patna</v>
      </c>
      <c r="Z564" s="124">
        <f>IFERROR(__xludf.DUMMYFUNCTION("""COMPUTED_VALUE"""),1.0)</f>
        <v>1</v>
      </c>
      <c r="AA564" s="124" t="str">
        <f>IFERROR(__xludf.DUMMYFUNCTION("""COMPUTED_VALUE"""),"Cold")</f>
        <v>Cold</v>
      </c>
      <c r="AB564" s="124" t="str">
        <f>IFERROR(__xludf.DUMMYFUNCTION("""COMPUTED_VALUE"""),"GS Foundation")</f>
        <v>GS Foundation</v>
      </c>
    </row>
    <row r="565">
      <c r="A565" s="126">
        <f>IFERROR(__xludf.DUMMYFUNCTION("""COMPUTED_VALUE"""),46058.0)</f>
        <v>46058</v>
      </c>
      <c r="B565" s="124" t="str">
        <f>IFERROR(__xludf.DUMMYFUNCTION("""COMPUTED_VALUE"""),"Walk-In")</f>
        <v>Walk-In</v>
      </c>
      <c r="C565" s="124" t="str">
        <f>IFERROR(__xludf.DUMMYFUNCTION("""COMPUTED_VALUE"""),"Prayagraj")</f>
        <v>Prayagraj</v>
      </c>
      <c r="D565" s="124" t="str">
        <f>IFERROR(__xludf.DUMMYFUNCTION("""COMPUTED_VALUE"""),"Primary_Walkin")</f>
        <v>Primary_Walkin</v>
      </c>
      <c r="E565" s="124">
        <f>IFERROR(__xludf.DUMMYFUNCTION("""COMPUTED_VALUE"""),2.0)</f>
        <v>2</v>
      </c>
      <c r="F565" s="124" t="str">
        <f>IFERROR(__xludf.DUMMYFUNCTION("""COMPUTED_VALUE"""),"Cold")</f>
        <v>Cold</v>
      </c>
      <c r="G565" s="124" t="str">
        <f>IFERROR(__xludf.DUMMYFUNCTION("""COMPUTED_VALUE"""),"GS Foundation")</f>
        <v>GS Foundation</v>
      </c>
      <c r="K565" s="124"/>
      <c r="L565" s="124"/>
      <c r="M565" s="124"/>
      <c r="N565" s="124"/>
      <c r="O565" s="124"/>
      <c r="T565" s="126">
        <f>IFERROR(__xludf.DUMMYFUNCTION("""COMPUTED_VALUE"""),46103.0)</f>
        <v>46103</v>
      </c>
      <c r="U565" s="124" t="str">
        <f>IFERROR(__xludf.DUMMYFUNCTION("""COMPUTED_VALUE"""),"Event")</f>
        <v>Event</v>
      </c>
      <c r="V565" s="124" t="str">
        <f>IFERROR(__xludf.DUMMYFUNCTION("""COMPUTED_VALUE"""),"events")</f>
        <v>events</v>
      </c>
      <c r="W565" s="124" t="str">
        <f>IFERROR(__xludf.DUMMYFUNCTION("""COMPUTED_VALUE"""),"lucknow")</f>
        <v>lucknow</v>
      </c>
      <c r="X565" s="124" t="str">
        <f>IFERROR(__xludf.DUMMYFUNCTION("""COMPUTED_VALUE"""),"seminar")</f>
        <v>seminar</v>
      </c>
      <c r="Y565" s="124" t="str">
        <f>IFERROR(__xludf.DUMMYFUNCTION("""COMPUTED_VALUE"""),"Lucknow")</f>
        <v>Lucknow</v>
      </c>
      <c r="Z565" s="124">
        <f>IFERROR(__xludf.DUMMYFUNCTION("""COMPUTED_VALUE"""),110.0)</f>
        <v>110</v>
      </c>
      <c r="AA565" s="124"/>
      <c r="AB565" s="124"/>
    </row>
    <row r="566">
      <c r="A566" s="126">
        <f>IFERROR(__xludf.DUMMYFUNCTION("""COMPUTED_VALUE"""),46111.0)</f>
        <v>46111</v>
      </c>
      <c r="B566" s="124" t="str">
        <f>IFERROR(__xludf.DUMMYFUNCTION("""COMPUTED_VALUE"""),"Walkin")</f>
        <v>Walkin</v>
      </c>
      <c r="C566" s="124" t="str">
        <f>IFERROR(__xludf.DUMMYFUNCTION("""COMPUTED_VALUE"""),"Prayagraj")</f>
        <v>Prayagraj</v>
      </c>
      <c r="D566" s="124" t="str">
        <f>IFERROR(__xludf.DUMMYFUNCTION("""COMPUTED_VALUE"""),"Primary_Walkin")</f>
        <v>Primary_Walkin</v>
      </c>
      <c r="E566" s="124">
        <f>IFERROR(__xludf.DUMMYFUNCTION("""COMPUTED_VALUE"""),11.0)</f>
        <v>11</v>
      </c>
      <c r="F566" s="124" t="str">
        <f>IFERROR(__xludf.DUMMYFUNCTION("""COMPUTED_VALUE"""),"Warm")</f>
        <v>Warm</v>
      </c>
      <c r="G566" s="124" t="str">
        <f>IFERROR(__xludf.DUMMYFUNCTION("""COMPUTED_VALUE"""),"GS Foundation")</f>
        <v>GS Foundation</v>
      </c>
      <c r="K566" s="124"/>
      <c r="L566" s="124"/>
      <c r="M566" s="124"/>
      <c r="N566" s="124"/>
      <c r="O566" s="124"/>
      <c r="T566" s="126">
        <f>IFERROR(__xludf.DUMMYFUNCTION("""COMPUTED_VALUE"""),46097.0)</f>
        <v>46097</v>
      </c>
      <c r="U566" s="124" t="str">
        <f>IFERROR(__xludf.DUMMYFUNCTION("""COMPUTED_VALUE"""),"Event")</f>
        <v>Event</v>
      </c>
      <c r="V566" s="124" t="str">
        <f>IFERROR(__xludf.DUMMYFUNCTION("""COMPUTED_VALUE"""),"events")</f>
        <v>events</v>
      </c>
      <c r="W566" s="124" t="str">
        <f>IFERROR(__xludf.DUMMYFUNCTION("""COMPUTED_VALUE"""),"indore")</f>
        <v>indore</v>
      </c>
      <c r="X566" s="124" t="str">
        <f>IFERROR(__xludf.DUMMYFUNCTION("""COMPUTED_VALUE"""),"seminar")</f>
        <v>seminar</v>
      </c>
      <c r="Y566" s="124" t="str">
        <f>IFERROR(__xludf.DUMMYFUNCTION("""COMPUTED_VALUE"""),"Indore")</f>
        <v>Indore</v>
      </c>
      <c r="Z566" s="124">
        <f>IFERROR(__xludf.DUMMYFUNCTION("""COMPUTED_VALUE"""),174.0)</f>
        <v>174</v>
      </c>
      <c r="AA566" s="124"/>
      <c r="AB566" s="124"/>
    </row>
    <row r="567">
      <c r="A567" s="126">
        <f>IFERROR(__xludf.DUMMYFUNCTION("""COMPUTED_VALUE"""),46097.0)</f>
        <v>46097</v>
      </c>
      <c r="B567" s="124" t="str">
        <f>IFERROR(__xludf.DUMMYFUNCTION("""COMPUTED_VALUE"""),"Walkin")</f>
        <v>Walkin</v>
      </c>
      <c r="C567" s="124" t="str">
        <f>IFERROR(__xludf.DUMMYFUNCTION("""COMPUTED_VALUE"""),"Prayagraj")</f>
        <v>Prayagraj</v>
      </c>
      <c r="D567" s="124" t="str">
        <f>IFERROR(__xludf.DUMMYFUNCTION("""COMPUTED_VALUE"""),"Primary_Walkin")</f>
        <v>Primary_Walkin</v>
      </c>
      <c r="E567" s="124">
        <f>IFERROR(__xludf.DUMMYFUNCTION("""COMPUTED_VALUE"""),4.0)</f>
        <v>4</v>
      </c>
      <c r="F567" s="124" t="str">
        <f>IFERROR(__xludf.DUMMYFUNCTION("""COMPUTED_VALUE"""),"Cold")</f>
        <v>Cold</v>
      </c>
      <c r="G567" s="124" t="str">
        <f>IFERROR(__xludf.DUMMYFUNCTION("""COMPUTED_VALUE"""),"GS Foundation")</f>
        <v>GS Foundation</v>
      </c>
      <c r="K567" s="124"/>
      <c r="L567" s="124"/>
      <c r="M567" s="124"/>
      <c r="N567" s="124"/>
      <c r="O567" s="124"/>
      <c r="T567" s="129">
        <f>IFERROR(__xludf.DUMMYFUNCTION("""COMPUTED_VALUE"""),46107.0)</f>
        <v>46107</v>
      </c>
      <c r="U567" s="124" t="str">
        <f>IFERROR(__xludf.DUMMYFUNCTION("""COMPUTED_VALUE"""),"Event")</f>
        <v>Event</v>
      </c>
      <c r="V567" s="124" t="str">
        <f>IFERROR(__xludf.DUMMYFUNCTION("""COMPUTED_VALUE"""),"events")</f>
        <v>events</v>
      </c>
      <c r="W567" s="124" t="str">
        <f>IFERROR(__xludf.DUMMYFUNCTION("""COMPUTED_VALUE"""),"indore")</f>
        <v>indore</v>
      </c>
      <c r="X567" s="124" t="str">
        <f>IFERROR(__xludf.DUMMYFUNCTION("""COMPUTED_VALUE"""),"seminar")</f>
        <v>seminar</v>
      </c>
      <c r="Y567" s="124" t="str">
        <f>IFERROR(__xludf.DUMMYFUNCTION("""COMPUTED_VALUE"""),"Indore")</f>
        <v>Indore</v>
      </c>
      <c r="Z567" s="124">
        <f>IFERROR(__xludf.DUMMYFUNCTION("""COMPUTED_VALUE"""),36.0)</f>
        <v>36</v>
      </c>
      <c r="AA567" s="124" t="str">
        <f>IFERROR(__xludf.DUMMYFUNCTION("""COMPUTED_VALUE"""),"Not Interested")</f>
        <v>Not Interested</v>
      </c>
      <c r="AB567" s="124"/>
    </row>
    <row r="568">
      <c r="A568" s="129">
        <f>IFERROR(__xludf.DUMMYFUNCTION("""COMPUTED_VALUE"""),46096.0)</f>
        <v>46096</v>
      </c>
      <c r="B568" s="124" t="str">
        <f>IFERROR(__xludf.DUMMYFUNCTION("""COMPUTED_VALUE"""),"Walkin")</f>
        <v>Walkin</v>
      </c>
      <c r="C568" s="124" t="str">
        <f>IFERROR(__xludf.DUMMYFUNCTION("""COMPUTED_VALUE"""),"Prayagraj")</f>
        <v>Prayagraj</v>
      </c>
      <c r="D568" s="124" t="str">
        <f>IFERROR(__xludf.DUMMYFUNCTION("""COMPUTED_VALUE"""),"Primary_Walkin")</f>
        <v>Primary_Walkin</v>
      </c>
      <c r="E568" s="124">
        <f>IFERROR(__xludf.DUMMYFUNCTION("""COMPUTED_VALUE"""),1.0)</f>
        <v>1</v>
      </c>
      <c r="F568" s="124" t="str">
        <f>IFERROR(__xludf.DUMMYFUNCTION("""COMPUTED_VALUE"""),"Future Prospects")</f>
        <v>Future Prospects</v>
      </c>
      <c r="G568" s="124" t="str">
        <f>IFERROR(__xludf.DUMMYFUNCTION("""COMPUTED_VALUE"""),"GS Foundation")</f>
        <v>GS Foundation</v>
      </c>
      <c r="K568" s="124"/>
      <c r="L568" s="124"/>
      <c r="M568" s="124"/>
      <c r="N568" s="124"/>
      <c r="O568" s="124"/>
      <c r="T568" s="129">
        <f>IFERROR(__xludf.DUMMYFUNCTION("""COMPUTED_VALUE"""),46063.0)</f>
        <v>46063</v>
      </c>
      <c r="U568" s="124" t="str">
        <f>IFERROR(__xludf.DUMMYFUNCTION("""COMPUTED_VALUE"""),"Walk-Ins")</f>
        <v>Walk-Ins</v>
      </c>
      <c r="V568" s="124" t="str">
        <f>IFERROR(__xludf.DUMMYFUNCTION("""COMPUTED_VALUE"""),"Walk-In")</f>
        <v>Walk-In</v>
      </c>
      <c r="W568" s="124" t="str">
        <f>IFERROR(__xludf.DUMMYFUNCTION("""COMPUTED_VALUE"""),"Patna")</f>
        <v>Patna</v>
      </c>
      <c r="X568" s="124" t="str">
        <f>IFERROR(__xludf.DUMMYFUNCTION("""COMPUTED_VALUE"""),"Patna")</f>
        <v>Patna</v>
      </c>
      <c r="Y568" s="124" t="str">
        <f>IFERROR(__xludf.DUMMYFUNCTION("""COMPUTED_VALUE"""),"Patna")</f>
        <v>Patna</v>
      </c>
      <c r="Z568" s="124">
        <f>IFERROR(__xludf.DUMMYFUNCTION("""COMPUTED_VALUE"""),1.0)</f>
        <v>1</v>
      </c>
      <c r="AA568" s="124" t="str">
        <f>IFERROR(__xludf.DUMMYFUNCTION("""COMPUTED_VALUE"""),"Warm")</f>
        <v>Warm</v>
      </c>
      <c r="AB568" s="124" t="str">
        <f>IFERROR(__xludf.DUMMYFUNCTION("""COMPUTED_VALUE"""),"State PCS")</f>
        <v>State PCS</v>
      </c>
    </row>
    <row r="569">
      <c r="A569" s="126">
        <f>IFERROR(__xludf.DUMMYFUNCTION("""COMPUTED_VALUE"""),46089.0)</f>
        <v>46089</v>
      </c>
      <c r="B569" s="124" t="str">
        <f>IFERROR(__xludf.DUMMYFUNCTION("""COMPUTED_VALUE"""),"Walkin")</f>
        <v>Walkin</v>
      </c>
      <c r="C569" s="124" t="str">
        <f>IFERROR(__xludf.DUMMYFUNCTION("""COMPUTED_VALUE"""),"Prayagraj")</f>
        <v>Prayagraj</v>
      </c>
      <c r="D569" s="124" t="str">
        <f>IFERROR(__xludf.DUMMYFUNCTION("""COMPUTED_VALUE"""),"Primary_Walkin")</f>
        <v>Primary_Walkin</v>
      </c>
      <c r="E569" s="124">
        <f>IFERROR(__xludf.DUMMYFUNCTION("""COMPUTED_VALUE"""),3.0)</f>
        <v>3</v>
      </c>
      <c r="F569" s="124" t="str">
        <f>IFERROR(__xludf.DUMMYFUNCTION("""COMPUTED_VALUE"""),"Enrolled")</f>
        <v>Enrolled</v>
      </c>
      <c r="G569" s="124" t="str">
        <f>IFERROR(__xludf.DUMMYFUNCTION("""COMPUTED_VALUE"""),"GS Foundation")</f>
        <v>GS Foundation</v>
      </c>
      <c r="K569" s="124"/>
      <c r="L569" s="124"/>
      <c r="M569" s="124"/>
      <c r="N569" s="124"/>
      <c r="O569" s="124"/>
      <c r="T569" s="126">
        <f>IFERROR(__xludf.DUMMYFUNCTION("""COMPUTED_VALUE"""),46097.0)</f>
        <v>46097</v>
      </c>
      <c r="U569" s="124" t="str">
        <f>IFERROR(__xludf.DUMMYFUNCTION("""COMPUTED_VALUE"""),"Event")</f>
        <v>Event</v>
      </c>
      <c r="V569" s="124" t="str">
        <f>IFERROR(__xludf.DUMMYFUNCTION("""COMPUTED_VALUE"""),"events")</f>
        <v>events</v>
      </c>
      <c r="W569" s="124" t="str">
        <f>IFERROR(__xludf.DUMMYFUNCTION("""COMPUTED_VALUE"""),"indore")</f>
        <v>indore</v>
      </c>
      <c r="X569" s="124" t="str">
        <f>IFERROR(__xludf.DUMMYFUNCTION("""COMPUTED_VALUE"""),"seminar")</f>
        <v>seminar</v>
      </c>
      <c r="Y569" s="124" t="str">
        <f>IFERROR(__xludf.DUMMYFUNCTION("""COMPUTED_VALUE"""),"Indore")</f>
        <v>Indore</v>
      </c>
      <c r="Z569" s="124">
        <f>IFERROR(__xludf.DUMMYFUNCTION("""COMPUTED_VALUE"""),77.0)</f>
        <v>77</v>
      </c>
      <c r="AA569" s="124" t="str">
        <f>IFERROR(__xludf.DUMMYFUNCTION("""COMPUTED_VALUE"""),"Cold")</f>
        <v>Cold</v>
      </c>
      <c r="AB569" s="124"/>
    </row>
    <row r="570">
      <c r="A570" s="126">
        <f>IFERROR(__xludf.DUMMYFUNCTION("""COMPUTED_VALUE"""),46057.0)</f>
        <v>46057</v>
      </c>
      <c r="B570" s="124" t="str">
        <f>IFERROR(__xludf.DUMMYFUNCTION("""COMPUTED_VALUE"""),"external leads")</f>
        <v>external leads</v>
      </c>
      <c r="C570" s="124" t="str">
        <f>IFERROR(__xludf.DUMMYFUNCTION("""COMPUTED_VALUE"""),"Prayagraj")</f>
        <v>Prayagraj</v>
      </c>
      <c r="D570" s="124" t="str">
        <f>IFERROR(__xludf.DUMMYFUNCTION("""COMPUTED_VALUE"""),"Secondary_Walkin")</f>
        <v>Secondary_Walkin</v>
      </c>
      <c r="E570" s="124">
        <f>IFERROR(__xludf.DUMMYFUNCTION("""COMPUTED_VALUE"""),2.0)</f>
        <v>2</v>
      </c>
      <c r="F570" s="124" t="str">
        <f>IFERROR(__xludf.DUMMYFUNCTION("""COMPUTED_VALUE"""),"Cold")</f>
        <v>Cold</v>
      </c>
      <c r="G570" s="124" t="str">
        <f>IFERROR(__xludf.DUMMYFUNCTION("""COMPUTED_VALUE"""),"GS Foundation")</f>
        <v>GS Foundation</v>
      </c>
      <c r="K570" s="124"/>
      <c r="L570" s="124"/>
      <c r="M570" s="124"/>
      <c r="N570" s="124"/>
      <c r="O570" s="124"/>
      <c r="T570" s="126">
        <f>IFERROR(__xludf.DUMMYFUNCTION("""COMPUTED_VALUE"""),46099.0)</f>
        <v>46099</v>
      </c>
      <c r="U570" s="124" t="str">
        <f>IFERROR(__xludf.DUMMYFUNCTION("""COMPUTED_VALUE"""),"Event")</f>
        <v>Event</v>
      </c>
      <c r="V570" s="124" t="str">
        <f>IFERROR(__xludf.DUMMYFUNCTION("""COMPUTED_VALUE"""),"events")</f>
        <v>events</v>
      </c>
      <c r="W570" s="124" t="str">
        <f>IFERROR(__xludf.DUMMYFUNCTION("""COMPUTED_VALUE"""),"prayagraj")</f>
        <v>prayagraj</v>
      </c>
      <c r="X570" s="124" t="str">
        <f>IFERROR(__xludf.DUMMYFUNCTION("""COMPUTED_VALUE"""),"seminar")</f>
        <v>seminar</v>
      </c>
      <c r="Y570" s="124" t="str">
        <f>IFERROR(__xludf.DUMMYFUNCTION("""COMPUTED_VALUE"""),"Prayagraj")</f>
        <v>Prayagraj</v>
      </c>
      <c r="Z570" s="124">
        <f>IFERROR(__xludf.DUMMYFUNCTION("""COMPUTED_VALUE"""),57.0)</f>
        <v>57</v>
      </c>
      <c r="AA570" s="124"/>
      <c r="AB570" s="124"/>
    </row>
    <row r="571">
      <c r="A571" s="129">
        <f>IFERROR(__xludf.DUMMYFUNCTION("""COMPUTED_VALUE"""),46044.0)</f>
        <v>46044</v>
      </c>
      <c r="B571" s="124" t="str">
        <f>IFERROR(__xludf.DUMMYFUNCTION("""COMPUTED_VALUE"""),"Walkin")</f>
        <v>Walkin</v>
      </c>
      <c r="C571" s="124" t="str">
        <f>IFERROR(__xludf.DUMMYFUNCTION("""COMPUTED_VALUE"""),"Prayagraj")</f>
        <v>Prayagraj</v>
      </c>
      <c r="D571" s="124" t="str">
        <f>IFERROR(__xludf.DUMMYFUNCTION("""COMPUTED_VALUE"""),"Primary_Walkin")</f>
        <v>Primary_Walkin</v>
      </c>
      <c r="E571" s="124">
        <f>IFERROR(__xludf.DUMMYFUNCTION("""COMPUTED_VALUE"""),3.0)</f>
        <v>3</v>
      </c>
      <c r="F571" s="124" t="str">
        <f>IFERROR(__xludf.DUMMYFUNCTION("""COMPUTED_VALUE"""),"Cold")</f>
        <v>Cold</v>
      </c>
      <c r="G571" s="124" t="str">
        <f>IFERROR(__xludf.DUMMYFUNCTION("""COMPUTED_VALUE"""),"GS Foundation")</f>
        <v>GS Foundation</v>
      </c>
      <c r="K571" s="124"/>
      <c r="L571" s="124"/>
      <c r="M571" s="124"/>
      <c r="N571" s="124"/>
      <c r="O571" s="124"/>
      <c r="T571" s="126">
        <f>IFERROR(__xludf.DUMMYFUNCTION("""COMPUTED_VALUE"""),46106.0)</f>
        <v>46106</v>
      </c>
      <c r="U571" s="124" t="str">
        <f>IFERROR(__xludf.DUMMYFUNCTION("""COMPUTED_VALUE"""),"Event")</f>
        <v>Event</v>
      </c>
      <c r="V571" s="124" t="str">
        <f>IFERROR(__xludf.DUMMYFUNCTION("""COMPUTED_VALUE"""),"events")</f>
        <v>events</v>
      </c>
      <c r="W571" s="124" t="str">
        <f>IFERROR(__xludf.DUMMYFUNCTION("""COMPUTED_VALUE"""),"prayagraj")</f>
        <v>prayagraj</v>
      </c>
      <c r="X571" s="124" t="str">
        <f>IFERROR(__xludf.DUMMYFUNCTION("""COMPUTED_VALUE"""),"seminar")</f>
        <v>seminar</v>
      </c>
      <c r="Y571" s="124" t="str">
        <f>IFERROR(__xludf.DUMMYFUNCTION("""COMPUTED_VALUE"""),"Prayagraj")</f>
        <v>Prayagraj</v>
      </c>
      <c r="Z571" s="124">
        <f>IFERROR(__xludf.DUMMYFUNCTION("""COMPUTED_VALUE"""),27.0)</f>
        <v>27</v>
      </c>
      <c r="AA571" s="124" t="str">
        <f>IFERROR(__xludf.DUMMYFUNCTION("""COMPUTED_VALUE"""),"Fake Lead")</f>
        <v>Fake Lead</v>
      </c>
      <c r="AB571" s="124"/>
    </row>
    <row r="572">
      <c r="A572" s="126">
        <f>IFERROR(__xludf.DUMMYFUNCTION("""COMPUTED_VALUE"""),46076.0)</f>
        <v>46076</v>
      </c>
      <c r="B572" s="124" t="str">
        <f>IFERROR(__xludf.DUMMYFUNCTION("""COMPUTED_VALUE"""),"Walkin")</f>
        <v>Walkin</v>
      </c>
      <c r="C572" s="124" t="str">
        <f>IFERROR(__xludf.DUMMYFUNCTION("""COMPUTED_VALUE"""),"Prayagraj")</f>
        <v>Prayagraj</v>
      </c>
      <c r="D572" s="124" t="str">
        <f>IFERROR(__xludf.DUMMYFUNCTION("""COMPUTED_VALUE"""),"Primary_Walkin")</f>
        <v>Primary_Walkin</v>
      </c>
      <c r="E572" s="124">
        <f>IFERROR(__xludf.DUMMYFUNCTION("""COMPUTED_VALUE"""),1.0)</f>
        <v>1</v>
      </c>
      <c r="F572" s="124" t="str">
        <f>IFERROR(__xludf.DUMMYFUNCTION("""COMPUTED_VALUE"""),"Warm")</f>
        <v>Warm</v>
      </c>
      <c r="G572" s="124" t="str">
        <f>IFERROR(__xludf.DUMMYFUNCTION("""COMPUTED_VALUE"""),"GS Foundation")</f>
        <v>GS Foundation</v>
      </c>
      <c r="K572" s="124"/>
      <c r="L572" s="124"/>
      <c r="M572" s="124"/>
      <c r="N572" s="124"/>
      <c r="O572" s="124"/>
      <c r="T572" s="126">
        <f>IFERROR(__xludf.DUMMYFUNCTION("""COMPUTED_VALUE"""),46103.0)</f>
        <v>46103</v>
      </c>
      <c r="U572" s="124" t="str">
        <f>IFERROR(__xludf.DUMMYFUNCTION("""COMPUTED_VALUE"""),"Event")</f>
        <v>Event</v>
      </c>
      <c r="V572" s="124" t="str">
        <f>IFERROR(__xludf.DUMMYFUNCTION("""COMPUTED_VALUE"""),"events")</f>
        <v>events</v>
      </c>
      <c r="W572" s="124" t="str">
        <f>IFERROR(__xludf.DUMMYFUNCTION("""COMPUTED_VALUE"""),"lucknow")</f>
        <v>lucknow</v>
      </c>
      <c r="X572" s="124" t="str">
        <f>IFERROR(__xludf.DUMMYFUNCTION("""COMPUTED_VALUE"""),"seminar")</f>
        <v>seminar</v>
      </c>
      <c r="Y572" s="124" t="str">
        <f>IFERROR(__xludf.DUMMYFUNCTION("""COMPUTED_VALUE"""),"Lucknow")</f>
        <v>Lucknow</v>
      </c>
      <c r="Z572" s="124">
        <f>IFERROR(__xludf.DUMMYFUNCTION("""COMPUTED_VALUE"""),82.0)</f>
        <v>82</v>
      </c>
      <c r="AA572" s="124" t="str">
        <f>IFERROR(__xludf.DUMMYFUNCTION("""COMPUTED_VALUE"""),"Cold")</f>
        <v>Cold</v>
      </c>
      <c r="AB572" s="124"/>
    </row>
    <row r="573">
      <c r="A573" s="126">
        <f>IFERROR(__xludf.DUMMYFUNCTION("""COMPUTED_VALUE"""),46106.0)</f>
        <v>46106</v>
      </c>
      <c r="B573" s="124" t="str">
        <f>IFERROR(__xludf.DUMMYFUNCTION("""COMPUTED_VALUE"""),"Walk-In")</f>
        <v>Walk-In</v>
      </c>
      <c r="C573" s="124" t="str">
        <f>IFERROR(__xludf.DUMMYFUNCTION("""COMPUTED_VALUE"""),"Prayagraj")</f>
        <v>Prayagraj</v>
      </c>
      <c r="D573" s="124" t="str">
        <f>IFERROR(__xludf.DUMMYFUNCTION("""COMPUTED_VALUE"""),"Primary_Walkin")</f>
        <v>Primary_Walkin</v>
      </c>
      <c r="E573" s="124">
        <f>IFERROR(__xludf.DUMMYFUNCTION("""COMPUTED_VALUE"""),1.0)</f>
        <v>1</v>
      </c>
      <c r="F573" s="124" t="str">
        <f>IFERROR(__xludf.DUMMYFUNCTION("""COMPUTED_VALUE"""),"Warm")</f>
        <v>Warm</v>
      </c>
      <c r="G573" s="124" t="str">
        <f>IFERROR(__xludf.DUMMYFUNCTION("""COMPUTED_VALUE"""),"GS Foundation")</f>
        <v>GS Foundation</v>
      </c>
      <c r="K573" s="124"/>
      <c r="L573" s="124"/>
      <c r="M573" s="124"/>
      <c r="N573" s="124"/>
      <c r="O573" s="124"/>
      <c r="T573" s="126">
        <f>IFERROR(__xludf.DUMMYFUNCTION("""COMPUTED_VALUE"""),46102.0)</f>
        <v>46102</v>
      </c>
      <c r="U573" s="124" t="str">
        <f>IFERROR(__xludf.DUMMYFUNCTION("""COMPUTED_VALUE"""),"Event")</f>
        <v>Event</v>
      </c>
      <c r="V573" s="124" t="str">
        <f>IFERROR(__xludf.DUMMYFUNCTION("""COMPUTED_VALUE"""),"events")</f>
        <v>events</v>
      </c>
      <c r="W573" s="124" t="str">
        <f>IFERROR(__xludf.DUMMYFUNCTION("""COMPUTED_VALUE"""),"indore")</f>
        <v>indore</v>
      </c>
      <c r="X573" s="124" t="str">
        <f>IFERROR(__xludf.DUMMYFUNCTION("""COMPUTED_VALUE"""),"seminar")</f>
        <v>seminar</v>
      </c>
      <c r="Y573" s="124" t="str">
        <f>IFERROR(__xludf.DUMMYFUNCTION("""COMPUTED_VALUE"""),"Indore")</f>
        <v>Indore</v>
      </c>
      <c r="Z573" s="124">
        <f>IFERROR(__xludf.DUMMYFUNCTION("""COMPUTED_VALUE"""),12.0)</f>
        <v>12</v>
      </c>
      <c r="AA573" s="124" t="str">
        <f>IFERROR(__xludf.DUMMYFUNCTION("""COMPUTED_VALUE"""),"Not Interested")</f>
        <v>Not Interested</v>
      </c>
      <c r="AB573" s="124"/>
    </row>
    <row r="574">
      <c r="A574" s="126">
        <f>IFERROR(__xludf.DUMMYFUNCTION("""COMPUTED_VALUE"""),46112.0)</f>
        <v>46112</v>
      </c>
      <c r="B574" s="124" t="str">
        <f>IFERROR(__xludf.DUMMYFUNCTION("""COMPUTED_VALUE"""),"Walkin")</f>
        <v>Walkin</v>
      </c>
      <c r="C574" s="124" t="str">
        <f>IFERROR(__xludf.DUMMYFUNCTION("""COMPUTED_VALUE"""),"Prayagraj")</f>
        <v>Prayagraj</v>
      </c>
      <c r="D574" s="124" t="str">
        <f>IFERROR(__xludf.DUMMYFUNCTION("""COMPUTED_VALUE"""),"Primary_Walkin")</f>
        <v>Primary_Walkin</v>
      </c>
      <c r="E574" s="124">
        <f>IFERROR(__xludf.DUMMYFUNCTION("""COMPUTED_VALUE"""),1.0)</f>
        <v>1</v>
      </c>
      <c r="F574" s="124"/>
      <c r="G574" s="124" t="str">
        <f>IFERROR(__xludf.DUMMYFUNCTION("""COMPUTED_VALUE"""),"Mentorship")</f>
        <v>Mentorship</v>
      </c>
      <c r="K574" s="124"/>
      <c r="L574" s="124"/>
      <c r="M574" s="124"/>
      <c r="N574" s="124"/>
      <c r="O574" s="124"/>
      <c r="T574" s="126">
        <f>IFERROR(__xludf.DUMMYFUNCTION("""COMPUTED_VALUE"""),46097.0)</f>
        <v>46097</v>
      </c>
      <c r="U574" s="124" t="str">
        <f>IFERROR(__xludf.DUMMYFUNCTION("""COMPUTED_VALUE"""),"Event")</f>
        <v>Event</v>
      </c>
      <c r="V574" s="124" t="str">
        <f>IFERROR(__xludf.DUMMYFUNCTION("""COMPUTED_VALUE"""),"events")</f>
        <v>events</v>
      </c>
      <c r="W574" s="124" t="str">
        <f>IFERROR(__xludf.DUMMYFUNCTION("""COMPUTED_VALUE"""),"prayagraj")</f>
        <v>prayagraj</v>
      </c>
      <c r="X574" s="124" t="str">
        <f>IFERROR(__xludf.DUMMYFUNCTION("""COMPUTED_VALUE"""),"seminar")</f>
        <v>seminar</v>
      </c>
      <c r="Y574" s="124" t="str">
        <f>IFERROR(__xludf.DUMMYFUNCTION("""COMPUTED_VALUE"""),"Prayagraj")</f>
        <v>Prayagraj</v>
      </c>
      <c r="Z574" s="124">
        <f>IFERROR(__xludf.DUMMYFUNCTION("""COMPUTED_VALUE"""),43.0)</f>
        <v>43</v>
      </c>
      <c r="AA574" s="124" t="str">
        <f>IFERROR(__xludf.DUMMYFUNCTION("""COMPUTED_VALUE"""),"Cold")</f>
        <v>Cold</v>
      </c>
      <c r="AB574" s="124"/>
    </row>
    <row r="575">
      <c r="A575" s="126">
        <f>IFERROR(__xludf.DUMMYFUNCTION("""COMPUTED_VALUE"""),46098.0)</f>
        <v>46098</v>
      </c>
      <c r="B575" s="124" t="str">
        <f>IFERROR(__xludf.DUMMYFUNCTION("""COMPUTED_VALUE"""),"Walkin")</f>
        <v>Walkin</v>
      </c>
      <c r="C575" s="124" t="str">
        <f>IFERROR(__xludf.DUMMYFUNCTION("""COMPUTED_VALUE"""),"Prayagraj")</f>
        <v>Prayagraj</v>
      </c>
      <c r="D575" s="124" t="str">
        <f>IFERROR(__xludf.DUMMYFUNCTION("""COMPUTED_VALUE"""),"Primary_Walkin")</f>
        <v>Primary_Walkin</v>
      </c>
      <c r="E575" s="124">
        <f>IFERROR(__xludf.DUMMYFUNCTION("""COMPUTED_VALUE"""),1.0)</f>
        <v>1</v>
      </c>
      <c r="F575" s="124" t="str">
        <f>IFERROR(__xludf.DUMMYFUNCTION("""COMPUTED_VALUE"""),"Warm")</f>
        <v>Warm</v>
      </c>
      <c r="G575" s="124" t="str">
        <f>IFERROR(__xludf.DUMMYFUNCTION("""COMPUTED_VALUE"""),"State PCS")</f>
        <v>State PCS</v>
      </c>
      <c r="K575" s="124"/>
      <c r="L575" s="124"/>
      <c r="M575" s="124"/>
      <c r="N575" s="124"/>
      <c r="O575" s="124"/>
      <c r="T575" s="126">
        <f>IFERROR(__xludf.DUMMYFUNCTION("""COMPUTED_VALUE"""),46101.0)</f>
        <v>46101</v>
      </c>
      <c r="U575" s="124" t="str">
        <f>IFERROR(__xludf.DUMMYFUNCTION("""COMPUTED_VALUE"""),"Event")</f>
        <v>Event</v>
      </c>
      <c r="V575" s="124" t="str">
        <f>IFERROR(__xludf.DUMMYFUNCTION("""COMPUTED_VALUE"""),"events")</f>
        <v>events</v>
      </c>
      <c r="W575" s="124" t="str">
        <f>IFERROR(__xludf.DUMMYFUNCTION("""COMPUTED_VALUE"""),"prayagraj")</f>
        <v>prayagraj</v>
      </c>
      <c r="X575" s="124" t="str">
        <f>IFERROR(__xludf.DUMMYFUNCTION("""COMPUTED_VALUE"""),"seminar")</f>
        <v>seminar</v>
      </c>
      <c r="Y575" s="124" t="str">
        <f>IFERROR(__xludf.DUMMYFUNCTION("""COMPUTED_VALUE"""),"Prayagraj")</f>
        <v>Prayagraj</v>
      </c>
      <c r="Z575" s="124">
        <f>IFERROR(__xludf.DUMMYFUNCTION("""COMPUTED_VALUE"""),61.0)</f>
        <v>61</v>
      </c>
      <c r="AA575" s="124" t="str">
        <f>IFERROR(__xludf.DUMMYFUNCTION("""COMPUTED_VALUE"""),"Cold")</f>
        <v>Cold</v>
      </c>
      <c r="AB575" s="124"/>
    </row>
    <row r="576">
      <c r="A576" s="126">
        <f>IFERROR(__xludf.DUMMYFUNCTION("""COMPUTED_VALUE"""),46101.0)</f>
        <v>46101</v>
      </c>
      <c r="B576" s="124" t="str">
        <f>IFERROR(__xludf.DUMMYFUNCTION("""COMPUTED_VALUE"""),"Walkin")</f>
        <v>Walkin</v>
      </c>
      <c r="C576" s="124" t="str">
        <f>IFERROR(__xludf.DUMMYFUNCTION("""COMPUTED_VALUE"""),"Prayagraj")</f>
        <v>Prayagraj</v>
      </c>
      <c r="D576" s="124" t="str">
        <f>IFERROR(__xludf.DUMMYFUNCTION("""COMPUTED_VALUE"""),"Primary_Walkin")</f>
        <v>Primary_Walkin</v>
      </c>
      <c r="E576" s="124">
        <f>IFERROR(__xludf.DUMMYFUNCTION("""COMPUTED_VALUE"""),5.0)</f>
        <v>5</v>
      </c>
      <c r="F576" s="124" t="str">
        <f>IFERROR(__xludf.DUMMYFUNCTION("""COMPUTED_VALUE"""),"Cold")</f>
        <v>Cold</v>
      </c>
      <c r="G576" s="124" t="str">
        <f>IFERROR(__xludf.DUMMYFUNCTION("""COMPUTED_VALUE"""),"Mentorship")</f>
        <v>Mentorship</v>
      </c>
      <c r="K576" s="124"/>
      <c r="L576" s="124"/>
      <c r="M576" s="124"/>
      <c r="N576" s="124"/>
      <c r="O576" s="124"/>
      <c r="T576" s="126">
        <f>IFERROR(__xludf.DUMMYFUNCTION("""COMPUTED_VALUE"""),46056.0)</f>
        <v>46056</v>
      </c>
      <c r="U576" s="124" t="str">
        <f>IFERROR(__xludf.DUMMYFUNCTION("""COMPUTED_VALUE"""),"Walk-Ins")</f>
        <v>Walk-Ins</v>
      </c>
      <c r="V576" s="124" t="str">
        <f>IFERROR(__xludf.DUMMYFUNCTION("""COMPUTED_VALUE"""),"Walk-In")</f>
        <v>Walk-In</v>
      </c>
      <c r="W576" s="124" t="str">
        <f>IFERROR(__xludf.DUMMYFUNCTION("""COMPUTED_VALUE"""),"Patna")</f>
        <v>Patna</v>
      </c>
      <c r="X576" s="124" t="str">
        <f>IFERROR(__xludf.DUMMYFUNCTION("""COMPUTED_VALUE"""),"Patna")</f>
        <v>Patna</v>
      </c>
      <c r="Y576" s="124" t="str">
        <f>IFERROR(__xludf.DUMMYFUNCTION("""COMPUTED_VALUE"""),"Patna")</f>
        <v>Patna</v>
      </c>
      <c r="Z576" s="124">
        <f>IFERROR(__xludf.DUMMYFUNCTION("""COMPUTED_VALUE"""),1.0)</f>
        <v>1</v>
      </c>
      <c r="AA576" s="124" t="str">
        <f>IFERROR(__xludf.DUMMYFUNCTION("""COMPUTED_VALUE"""),"Enrolled")</f>
        <v>Enrolled</v>
      </c>
      <c r="AB576" s="124" t="str">
        <f>IFERROR(__xludf.DUMMYFUNCTION("""COMPUTED_VALUE"""),"GS Foundation")</f>
        <v>GS Foundation</v>
      </c>
    </row>
    <row r="577">
      <c r="A577" s="126">
        <f>IFERROR(__xludf.DUMMYFUNCTION("""COMPUTED_VALUE"""),46049.0)</f>
        <v>46049</v>
      </c>
      <c r="B577" s="124" t="str">
        <f>IFERROR(__xludf.DUMMYFUNCTION("""COMPUTED_VALUE"""),"Walkin")</f>
        <v>Walkin</v>
      </c>
      <c r="C577" s="124" t="str">
        <f>IFERROR(__xludf.DUMMYFUNCTION("""COMPUTED_VALUE"""),"Prayagraj")</f>
        <v>Prayagraj</v>
      </c>
      <c r="D577" s="124" t="str">
        <f>IFERROR(__xludf.DUMMYFUNCTION("""COMPUTED_VALUE"""),"Primary_Walkin")</f>
        <v>Primary_Walkin</v>
      </c>
      <c r="E577" s="124">
        <f>IFERROR(__xludf.DUMMYFUNCTION("""COMPUTED_VALUE"""),1.0)</f>
        <v>1</v>
      </c>
      <c r="F577" s="124" t="str">
        <f>IFERROR(__xludf.DUMMYFUNCTION("""COMPUTED_VALUE"""),"Future Prospects")</f>
        <v>Future Prospects</v>
      </c>
      <c r="G577" s="124" t="str">
        <f>IFERROR(__xludf.DUMMYFUNCTION("""COMPUTED_VALUE"""),"GS Foundation")</f>
        <v>GS Foundation</v>
      </c>
      <c r="K577" s="124"/>
      <c r="L577" s="124"/>
      <c r="M577" s="124"/>
      <c r="N577" s="124"/>
      <c r="O577" s="124"/>
      <c r="T577" s="126">
        <f>IFERROR(__xludf.DUMMYFUNCTION("""COMPUTED_VALUE"""),46049.0)</f>
        <v>46049</v>
      </c>
      <c r="U577" s="124" t="str">
        <f>IFERROR(__xludf.DUMMYFUNCTION("""COMPUTED_VALUE"""),"Paid Ads")</f>
        <v>Paid Ads</v>
      </c>
      <c r="V577" s="124" t="str">
        <f>IFERROR(__xludf.DUMMYFUNCTION("""COMPUTED_VALUE"""),"Facebook")</f>
        <v>Facebook</v>
      </c>
      <c r="W577" s="124" t="str">
        <f>IFERROR(__xludf.DUMMYFUNCTION("""COMPUTED_VALUE"""),"LeadAd")</f>
        <v>LeadAd</v>
      </c>
      <c r="X577" s="124" t="str">
        <f>IFERROR(__xludf.DUMMYFUNCTION("""COMPUTED_VALUE"""),"Upsc_offline_26_Lucknow_FB_Video")</f>
        <v>Upsc_offline_26_Lucknow_FB_Video</v>
      </c>
      <c r="Y577" s="124" t="str">
        <f>IFERROR(__xludf.DUMMYFUNCTION("""COMPUTED_VALUE"""),"Lucknow")</f>
        <v>Lucknow</v>
      </c>
      <c r="Z577" s="124">
        <f>IFERROR(__xludf.DUMMYFUNCTION("""COMPUTED_VALUE"""),7.0)</f>
        <v>7</v>
      </c>
      <c r="AA577" s="124" t="str">
        <f>IFERROR(__xludf.DUMMYFUNCTION("""COMPUTED_VALUE"""),"Not Interested")</f>
        <v>Not Interested</v>
      </c>
      <c r="AB577" s="124"/>
    </row>
    <row r="578">
      <c r="A578" s="126">
        <f>IFERROR(__xludf.DUMMYFUNCTION("""COMPUTED_VALUE"""),46064.0)</f>
        <v>46064</v>
      </c>
      <c r="B578" s="124" t="str">
        <f>IFERROR(__xludf.DUMMYFUNCTION("""COMPUTED_VALUE"""),"Walkin")</f>
        <v>Walkin</v>
      </c>
      <c r="C578" s="124" t="str">
        <f>IFERROR(__xludf.DUMMYFUNCTION("""COMPUTED_VALUE"""),"Prayagraj")</f>
        <v>Prayagraj</v>
      </c>
      <c r="D578" s="124" t="str">
        <f>IFERROR(__xludf.DUMMYFUNCTION("""COMPUTED_VALUE"""),"Primary_Walkin")</f>
        <v>Primary_Walkin</v>
      </c>
      <c r="E578" s="124">
        <f>IFERROR(__xludf.DUMMYFUNCTION("""COMPUTED_VALUE"""),1.0)</f>
        <v>1</v>
      </c>
      <c r="F578" s="124" t="str">
        <f>IFERROR(__xludf.DUMMYFUNCTION("""COMPUTED_VALUE"""),"Not Interested")</f>
        <v>Not Interested</v>
      </c>
      <c r="G578" s="124" t="str">
        <f>IFERROR(__xludf.DUMMYFUNCTION("""COMPUTED_VALUE"""),"State PCS")</f>
        <v>State PCS</v>
      </c>
      <c r="K578" s="124"/>
      <c r="L578" s="124"/>
      <c r="M578" s="124"/>
      <c r="N578" s="124"/>
      <c r="O578" s="124"/>
      <c r="T578" s="129">
        <f>IFERROR(__xludf.DUMMYFUNCTION("""COMPUTED_VALUE"""),46102.0)</f>
        <v>46102</v>
      </c>
      <c r="U578" s="124" t="str">
        <f>IFERROR(__xludf.DUMMYFUNCTION("""COMPUTED_VALUE"""),"Event")</f>
        <v>Event</v>
      </c>
      <c r="V578" s="124" t="str">
        <f>IFERROR(__xludf.DUMMYFUNCTION("""COMPUTED_VALUE"""),"events")</f>
        <v>events</v>
      </c>
      <c r="W578" s="124" t="str">
        <f>IFERROR(__xludf.DUMMYFUNCTION("""COMPUTED_VALUE"""),"indore")</f>
        <v>indore</v>
      </c>
      <c r="X578" s="124" t="str">
        <f>IFERROR(__xludf.DUMMYFUNCTION("""COMPUTED_VALUE"""),"seminar")</f>
        <v>seminar</v>
      </c>
      <c r="Y578" s="124" t="str">
        <f>IFERROR(__xludf.DUMMYFUNCTION("""COMPUTED_VALUE"""),"Indore")</f>
        <v>Indore</v>
      </c>
      <c r="Z578" s="124">
        <f>IFERROR(__xludf.DUMMYFUNCTION("""COMPUTED_VALUE"""),87.0)</f>
        <v>87</v>
      </c>
      <c r="AA578" s="124" t="str">
        <f>IFERROR(__xludf.DUMMYFUNCTION("""COMPUTED_VALUE"""),"Cold")</f>
        <v>Cold</v>
      </c>
      <c r="AB578" s="124"/>
    </row>
    <row r="579">
      <c r="A579" s="126">
        <f>IFERROR(__xludf.DUMMYFUNCTION("""COMPUTED_VALUE"""),46057.0)</f>
        <v>46057</v>
      </c>
      <c r="B579" s="124" t="str">
        <f>IFERROR(__xludf.DUMMYFUNCTION("""COMPUTED_VALUE"""),"Walkin")</f>
        <v>Walkin</v>
      </c>
      <c r="C579" s="124" t="str">
        <f>IFERROR(__xludf.DUMMYFUNCTION("""COMPUTED_VALUE"""),"Prayagraj")</f>
        <v>Prayagraj</v>
      </c>
      <c r="D579" s="124" t="str">
        <f>IFERROR(__xludf.DUMMYFUNCTION("""COMPUTED_VALUE"""),"Primary_Walkin")</f>
        <v>Primary_Walkin</v>
      </c>
      <c r="E579" s="124">
        <f>IFERROR(__xludf.DUMMYFUNCTION("""COMPUTED_VALUE"""),1.0)</f>
        <v>1</v>
      </c>
      <c r="F579" s="124" t="str">
        <f>IFERROR(__xludf.DUMMYFUNCTION("""COMPUTED_VALUE"""),"Future Prospects")</f>
        <v>Future Prospects</v>
      </c>
      <c r="G579" s="124" t="str">
        <f>IFERROR(__xludf.DUMMYFUNCTION("""COMPUTED_VALUE"""),"Optionals")</f>
        <v>Optionals</v>
      </c>
      <c r="K579" s="124"/>
      <c r="L579" s="124"/>
      <c r="M579" s="124"/>
      <c r="N579" s="124"/>
      <c r="O579" s="124"/>
      <c r="T579" s="126">
        <f>IFERROR(__xludf.DUMMYFUNCTION("""COMPUTED_VALUE"""),46097.0)</f>
        <v>46097</v>
      </c>
      <c r="U579" s="124" t="str">
        <f>IFERROR(__xludf.DUMMYFUNCTION("""COMPUTED_VALUE"""),"Event")</f>
        <v>Event</v>
      </c>
      <c r="V579" s="124" t="str">
        <f>IFERROR(__xludf.DUMMYFUNCTION("""COMPUTED_VALUE"""),"events")</f>
        <v>events</v>
      </c>
      <c r="W579" s="124" t="str">
        <f>IFERROR(__xludf.DUMMYFUNCTION("""COMPUTED_VALUE"""),"prayagraj")</f>
        <v>prayagraj</v>
      </c>
      <c r="X579" s="124" t="str">
        <f>IFERROR(__xludf.DUMMYFUNCTION("""COMPUTED_VALUE"""),"seminar")</f>
        <v>seminar</v>
      </c>
      <c r="Y579" s="124" t="str">
        <f>IFERROR(__xludf.DUMMYFUNCTION("""COMPUTED_VALUE"""),"Prayagraj")</f>
        <v>Prayagraj</v>
      </c>
      <c r="Z579" s="124">
        <f>IFERROR(__xludf.DUMMYFUNCTION("""COMPUTED_VALUE"""),3.0)</f>
        <v>3</v>
      </c>
      <c r="AA579" s="124" t="str">
        <f>IFERROR(__xludf.DUMMYFUNCTION("""COMPUTED_VALUE"""),"Fake Lead")</f>
        <v>Fake Lead</v>
      </c>
      <c r="AB579" s="124"/>
    </row>
    <row r="580">
      <c r="A580" s="129">
        <f>IFERROR(__xludf.DUMMYFUNCTION("""COMPUTED_VALUE"""),46081.0)</f>
        <v>46081</v>
      </c>
      <c r="B580" s="124" t="str">
        <f>IFERROR(__xludf.DUMMYFUNCTION("""COMPUTED_VALUE"""),"Walkin")</f>
        <v>Walkin</v>
      </c>
      <c r="C580" s="124" t="str">
        <f>IFERROR(__xludf.DUMMYFUNCTION("""COMPUTED_VALUE"""),"Prayagraj")</f>
        <v>Prayagraj</v>
      </c>
      <c r="D580" s="124" t="str">
        <f>IFERROR(__xludf.DUMMYFUNCTION("""COMPUTED_VALUE"""),"Primary_Walkin")</f>
        <v>Primary_Walkin</v>
      </c>
      <c r="E580" s="124">
        <f>IFERROR(__xludf.DUMMYFUNCTION("""COMPUTED_VALUE"""),1.0)</f>
        <v>1</v>
      </c>
      <c r="F580" s="124" t="str">
        <f>IFERROR(__xludf.DUMMYFUNCTION("""COMPUTED_VALUE"""),"Cold")</f>
        <v>Cold</v>
      </c>
      <c r="G580" s="124" t="str">
        <f>IFERROR(__xludf.DUMMYFUNCTION("""COMPUTED_VALUE"""),"GS Foundation")</f>
        <v>GS Foundation</v>
      </c>
      <c r="K580" s="124"/>
      <c r="L580" s="124"/>
      <c r="M580" s="124"/>
      <c r="N580" s="124"/>
      <c r="O580" s="124"/>
      <c r="T580" s="126">
        <f>IFERROR(__xludf.DUMMYFUNCTION("""COMPUTED_VALUE"""),46046.0)</f>
        <v>46046</v>
      </c>
      <c r="U580" s="124" t="str">
        <f>IFERROR(__xludf.DUMMYFUNCTION("""COMPUTED_VALUE"""),"Paid Ads")</f>
        <v>Paid Ads</v>
      </c>
      <c r="V580" s="124" t="str">
        <f>IFERROR(__xludf.DUMMYFUNCTION("""COMPUTED_VALUE"""),"Facebook")</f>
        <v>Facebook</v>
      </c>
      <c r="W580" s="124" t="str">
        <f>IFERROR(__xludf.DUMMYFUNCTION("""COMPUTED_VALUE"""),"LeadAd")</f>
        <v>LeadAd</v>
      </c>
      <c r="X580" s="124" t="str">
        <f>IFERROR(__xludf.DUMMYFUNCTION("""COMPUTED_VALUE"""),"Upsc_offline_26_Lucknow_FB_Video")</f>
        <v>Upsc_offline_26_Lucknow_FB_Video</v>
      </c>
      <c r="Y580" s="124" t="str">
        <f>IFERROR(__xludf.DUMMYFUNCTION("""COMPUTED_VALUE"""),"Lucknow")</f>
        <v>Lucknow</v>
      </c>
      <c r="Z580" s="124">
        <f>IFERROR(__xludf.DUMMYFUNCTION("""COMPUTED_VALUE"""),3.0)</f>
        <v>3</v>
      </c>
      <c r="AA580" s="124" t="str">
        <f>IFERROR(__xludf.DUMMYFUNCTION("""COMPUTED_VALUE"""),"Not Interested")</f>
        <v>Not Interested</v>
      </c>
      <c r="AB580" s="124"/>
    </row>
    <row r="581">
      <c r="A581" s="129">
        <f>IFERROR(__xludf.DUMMYFUNCTION("""COMPUTED_VALUE"""),46062.0)</f>
        <v>46062</v>
      </c>
      <c r="B581" s="124" t="str">
        <f>IFERROR(__xludf.DUMMYFUNCTION("""COMPUTED_VALUE"""),"Walk-In")</f>
        <v>Walk-In</v>
      </c>
      <c r="C581" s="124" t="str">
        <f>IFERROR(__xludf.DUMMYFUNCTION("""COMPUTED_VALUE"""),"Prayagraj")</f>
        <v>Prayagraj</v>
      </c>
      <c r="D581" s="124" t="str">
        <f>IFERROR(__xludf.DUMMYFUNCTION("""COMPUTED_VALUE"""),"Primary_Walkin")</f>
        <v>Primary_Walkin</v>
      </c>
      <c r="E581" s="124">
        <f>IFERROR(__xludf.DUMMYFUNCTION("""COMPUTED_VALUE"""),1.0)</f>
        <v>1</v>
      </c>
      <c r="F581" s="124" t="str">
        <f>IFERROR(__xludf.DUMMYFUNCTION("""COMPUTED_VALUE"""),"Future Prospects")</f>
        <v>Future Prospects</v>
      </c>
      <c r="G581" s="124" t="str">
        <f>IFERROR(__xludf.DUMMYFUNCTION("""COMPUTED_VALUE"""),"Mentorship")</f>
        <v>Mentorship</v>
      </c>
      <c r="K581" s="124"/>
      <c r="L581" s="124"/>
      <c r="M581" s="124"/>
      <c r="N581" s="124"/>
      <c r="O581" s="124"/>
      <c r="T581" s="126">
        <f>IFERROR(__xludf.DUMMYFUNCTION("""COMPUTED_VALUE"""),46111.0)</f>
        <v>46111</v>
      </c>
      <c r="U581" s="124" t="str">
        <f>IFERROR(__xludf.DUMMYFUNCTION("""COMPUTED_VALUE"""),"Event")</f>
        <v>Event</v>
      </c>
      <c r="V581" s="124" t="str">
        <f>IFERROR(__xludf.DUMMYFUNCTION("""COMPUTED_VALUE"""),"events")</f>
        <v>events</v>
      </c>
      <c r="W581" s="124" t="str">
        <f>IFERROR(__xludf.DUMMYFUNCTION("""COMPUTED_VALUE"""),"patna")</f>
        <v>patna</v>
      </c>
      <c r="X581" s="124" t="str">
        <f>IFERROR(__xludf.DUMMYFUNCTION("""COMPUTED_VALUE"""),"seminar")</f>
        <v>seminar</v>
      </c>
      <c r="Y581" s="124" t="str">
        <f>IFERROR(__xludf.DUMMYFUNCTION("""COMPUTED_VALUE"""),"Patna")</f>
        <v>Patna</v>
      </c>
      <c r="Z581" s="124">
        <f>IFERROR(__xludf.DUMMYFUNCTION("""COMPUTED_VALUE"""),41.0)</f>
        <v>41</v>
      </c>
      <c r="AA581" s="124"/>
      <c r="AB581" s="124"/>
    </row>
    <row r="582">
      <c r="A582" s="126">
        <f>IFERROR(__xludf.DUMMYFUNCTION("""COMPUTED_VALUE"""),46097.0)</f>
        <v>46097</v>
      </c>
      <c r="B582" s="124" t="str">
        <f>IFERROR(__xludf.DUMMYFUNCTION("""COMPUTED_VALUE"""),"Walkin")</f>
        <v>Walkin</v>
      </c>
      <c r="C582" s="124" t="str">
        <f>IFERROR(__xludf.DUMMYFUNCTION("""COMPUTED_VALUE"""),"Prayagraj")</f>
        <v>Prayagraj</v>
      </c>
      <c r="D582" s="124" t="str">
        <f>IFERROR(__xludf.DUMMYFUNCTION("""COMPUTED_VALUE"""),"Primary_Walkin")</f>
        <v>Primary_Walkin</v>
      </c>
      <c r="E582" s="124">
        <f>IFERROR(__xludf.DUMMYFUNCTION("""COMPUTED_VALUE"""),1.0)</f>
        <v>1</v>
      </c>
      <c r="F582" s="124" t="str">
        <f>IFERROR(__xludf.DUMMYFUNCTION("""COMPUTED_VALUE"""),"Warm")</f>
        <v>Warm</v>
      </c>
      <c r="G582" s="124" t="str">
        <f>IFERROR(__xludf.DUMMYFUNCTION("""COMPUTED_VALUE"""),"GS Foundation")</f>
        <v>GS Foundation</v>
      </c>
      <c r="K582" s="124"/>
      <c r="L582" s="124"/>
      <c r="M582" s="124"/>
      <c r="N582" s="124"/>
      <c r="O582" s="124"/>
      <c r="T582" s="126">
        <f>IFERROR(__xludf.DUMMYFUNCTION("""COMPUTED_VALUE"""),46097.0)</f>
        <v>46097</v>
      </c>
      <c r="U582" s="124" t="str">
        <f>IFERROR(__xludf.DUMMYFUNCTION("""COMPUTED_VALUE"""),"Event")</f>
        <v>Event</v>
      </c>
      <c r="V582" s="124" t="str">
        <f>IFERROR(__xludf.DUMMYFUNCTION("""COMPUTED_VALUE"""),"events")</f>
        <v>events</v>
      </c>
      <c r="W582" s="124" t="str">
        <f>IFERROR(__xludf.DUMMYFUNCTION("""COMPUTED_VALUE"""),"prayagraj")</f>
        <v>prayagraj</v>
      </c>
      <c r="X582" s="124" t="str">
        <f>IFERROR(__xludf.DUMMYFUNCTION("""COMPUTED_VALUE"""),"seminar")</f>
        <v>seminar</v>
      </c>
      <c r="Y582" s="124" t="str">
        <f>IFERROR(__xludf.DUMMYFUNCTION("""COMPUTED_VALUE"""),"Prayagraj")</f>
        <v>Prayagraj</v>
      </c>
      <c r="Z582" s="124">
        <f>IFERROR(__xludf.DUMMYFUNCTION("""COMPUTED_VALUE"""),2.0)</f>
        <v>2</v>
      </c>
      <c r="AA582" s="124" t="str">
        <f>IFERROR(__xludf.DUMMYFUNCTION("""COMPUTED_VALUE"""),"Cold")</f>
        <v>Cold</v>
      </c>
      <c r="AB582" s="124" t="str">
        <f>IFERROR(__xludf.DUMMYFUNCTION("""COMPUTED_VALUE"""),"GS Foundation")</f>
        <v>GS Foundation</v>
      </c>
    </row>
    <row r="583">
      <c r="A583" s="126">
        <f>IFERROR(__xludf.DUMMYFUNCTION("""COMPUTED_VALUE"""),46077.0)</f>
        <v>46077</v>
      </c>
      <c r="B583" s="124" t="str">
        <f>IFERROR(__xludf.DUMMYFUNCTION("""COMPUTED_VALUE"""),"events")</f>
        <v>events</v>
      </c>
      <c r="C583" s="124" t="str">
        <f>IFERROR(__xludf.DUMMYFUNCTION("""COMPUTED_VALUE"""),"Prayagraj")</f>
        <v>Prayagraj</v>
      </c>
      <c r="D583" s="124" t="str">
        <f>IFERROR(__xludf.DUMMYFUNCTION("""COMPUTED_VALUE"""),"Secondary_Walkin")</f>
        <v>Secondary_Walkin</v>
      </c>
      <c r="E583" s="124">
        <f>IFERROR(__xludf.DUMMYFUNCTION("""COMPUTED_VALUE"""),1.0)</f>
        <v>1</v>
      </c>
      <c r="F583" s="124" t="str">
        <f>IFERROR(__xludf.DUMMYFUNCTION("""COMPUTED_VALUE"""),"Enrolled")</f>
        <v>Enrolled</v>
      </c>
      <c r="G583" s="124" t="str">
        <f>IFERROR(__xludf.DUMMYFUNCTION("""COMPUTED_VALUE"""),"Optionals")</f>
        <v>Optionals</v>
      </c>
      <c r="K583" s="124"/>
      <c r="L583" s="124"/>
      <c r="M583" s="124"/>
      <c r="N583" s="124"/>
      <c r="O583" s="124"/>
      <c r="T583" s="126">
        <f>IFERROR(__xludf.DUMMYFUNCTION("""COMPUTED_VALUE"""),46105.0)</f>
        <v>46105</v>
      </c>
      <c r="U583" s="124" t="str">
        <f>IFERROR(__xludf.DUMMYFUNCTION("""COMPUTED_VALUE"""),"Event")</f>
        <v>Event</v>
      </c>
      <c r="V583" s="124" t="str">
        <f>IFERROR(__xludf.DUMMYFUNCTION("""COMPUTED_VALUE"""),"events")</f>
        <v>events</v>
      </c>
      <c r="W583" s="124" t="str">
        <f>IFERROR(__xludf.DUMMYFUNCTION("""COMPUTED_VALUE"""),"lucknow")</f>
        <v>lucknow</v>
      </c>
      <c r="X583" s="124" t="str">
        <f>IFERROR(__xludf.DUMMYFUNCTION("""COMPUTED_VALUE"""),"seminar")</f>
        <v>seminar</v>
      </c>
      <c r="Y583" s="124" t="str">
        <f>IFERROR(__xludf.DUMMYFUNCTION("""COMPUTED_VALUE"""),"Lucknow")</f>
        <v>Lucknow</v>
      </c>
      <c r="Z583" s="124">
        <f>IFERROR(__xludf.DUMMYFUNCTION("""COMPUTED_VALUE"""),74.0)</f>
        <v>74</v>
      </c>
      <c r="AA583" s="124"/>
      <c r="AB583" s="124"/>
    </row>
    <row r="584">
      <c r="A584" s="129">
        <f>IFERROR(__xludf.DUMMYFUNCTION("""COMPUTED_VALUE"""),46046.0)</f>
        <v>46046</v>
      </c>
      <c r="B584" s="124" t="str">
        <f>IFERROR(__xludf.DUMMYFUNCTION("""COMPUTED_VALUE"""),"Walkin")</f>
        <v>Walkin</v>
      </c>
      <c r="C584" s="124" t="str">
        <f>IFERROR(__xludf.DUMMYFUNCTION("""COMPUTED_VALUE"""),"Prayagraj")</f>
        <v>Prayagraj</v>
      </c>
      <c r="D584" s="124" t="str">
        <f>IFERROR(__xludf.DUMMYFUNCTION("""COMPUTED_VALUE"""),"Primary_Walkin")</f>
        <v>Primary_Walkin</v>
      </c>
      <c r="E584" s="124">
        <f>IFERROR(__xludf.DUMMYFUNCTION("""COMPUTED_VALUE"""),1.0)</f>
        <v>1</v>
      </c>
      <c r="F584" s="124" t="str">
        <f>IFERROR(__xludf.DUMMYFUNCTION("""COMPUTED_VALUE"""),"Future Prospects")</f>
        <v>Future Prospects</v>
      </c>
      <c r="G584" s="124" t="str">
        <f>IFERROR(__xludf.DUMMYFUNCTION("""COMPUTED_VALUE"""),"GS Foundation")</f>
        <v>GS Foundation</v>
      </c>
      <c r="K584" s="124"/>
      <c r="L584" s="124"/>
      <c r="M584" s="124"/>
      <c r="N584" s="124"/>
      <c r="O584" s="124"/>
      <c r="T584" s="126">
        <f>IFERROR(__xludf.DUMMYFUNCTION("""COMPUTED_VALUE"""),46097.0)</f>
        <v>46097</v>
      </c>
      <c r="U584" s="124" t="str">
        <f>IFERROR(__xludf.DUMMYFUNCTION("""COMPUTED_VALUE"""),"Event")</f>
        <v>Event</v>
      </c>
      <c r="V584" s="124" t="str">
        <f>IFERROR(__xludf.DUMMYFUNCTION("""COMPUTED_VALUE"""),"events")</f>
        <v>events</v>
      </c>
      <c r="W584" s="124" t="str">
        <f>IFERROR(__xludf.DUMMYFUNCTION("""COMPUTED_VALUE"""),"prayagraj")</f>
        <v>prayagraj</v>
      </c>
      <c r="X584" s="124" t="str">
        <f>IFERROR(__xludf.DUMMYFUNCTION("""COMPUTED_VALUE"""),"seminar")</f>
        <v>seminar</v>
      </c>
      <c r="Y584" s="124" t="str">
        <f>IFERROR(__xludf.DUMMYFUNCTION("""COMPUTED_VALUE"""),"Prayagraj")</f>
        <v>Prayagraj</v>
      </c>
      <c r="Z584" s="124">
        <f>IFERROR(__xludf.DUMMYFUNCTION("""COMPUTED_VALUE"""),22.0)</f>
        <v>22</v>
      </c>
      <c r="AA584" s="124"/>
      <c r="AB584" s="124"/>
    </row>
    <row r="585">
      <c r="A585" s="129">
        <f>IFERROR(__xludf.DUMMYFUNCTION("""COMPUTED_VALUE"""),46109.0)</f>
        <v>46109</v>
      </c>
      <c r="B585" s="124" t="str">
        <f>IFERROR(__xludf.DUMMYFUNCTION("""COMPUTED_VALUE"""),"Walkin")</f>
        <v>Walkin</v>
      </c>
      <c r="C585" s="124" t="str">
        <f>IFERROR(__xludf.DUMMYFUNCTION("""COMPUTED_VALUE"""),"Prayagraj")</f>
        <v>Prayagraj</v>
      </c>
      <c r="D585" s="124" t="str">
        <f>IFERROR(__xludf.DUMMYFUNCTION("""COMPUTED_VALUE"""),"Primary_Walkin")</f>
        <v>Primary_Walkin</v>
      </c>
      <c r="E585" s="124">
        <f>IFERROR(__xludf.DUMMYFUNCTION("""COMPUTED_VALUE"""),2.0)</f>
        <v>2</v>
      </c>
      <c r="F585" s="124" t="str">
        <f>IFERROR(__xludf.DUMMYFUNCTION("""COMPUTED_VALUE"""),"Warm")</f>
        <v>Warm</v>
      </c>
      <c r="G585" s="124" t="str">
        <f>IFERROR(__xludf.DUMMYFUNCTION("""COMPUTED_VALUE"""),"State PCS")</f>
        <v>State PCS</v>
      </c>
      <c r="K585" s="124"/>
      <c r="L585" s="124"/>
      <c r="M585" s="124"/>
      <c r="N585" s="124"/>
      <c r="O585" s="124"/>
      <c r="T585" s="126">
        <f>IFERROR(__xludf.DUMMYFUNCTION("""COMPUTED_VALUE"""),46050.0)</f>
        <v>46050</v>
      </c>
      <c r="U585" s="124" t="str">
        <f>IFERROR(__xludf.DUMMYFUNCTION("""COMPUTED_VALUE"""),"Paid Ads")</f>
        <v>Paid Ads</v>
      </c>
      <c r="V585" s="124" t="str">
        <f>IFERROR(__xludf.DUMMYFUNCTION("""COMPUTED_VALUE"""),"Facebook")</f>
        <v>Facebook</v>
      </c>
      <c r="W585" s="124" t="str">
        <f>IFERROR(__xludf.DUMMYFUNCTION("""COMPUTED_VALUE"""),"LeadAd")</f>
        <v>LeadAd</v>
      </c>
      <c r="X585" s="124" t="str">
        <f>IFERROR(__xludf.DUMMYFUNCTION("""COMPUTED_VALUE"""),"Upsc_offline_26_Lucknow_FB_Video")</f>
        <v>Upsc_offline_26_Lucknow_FB_Video</v>
      </c>
      <c r="Y585" s="124" t="str">
        <f>IFERROR(__xludf.DUMMYFUNCTION("""COMPUTED_VALUE"""),"Lucknow")</f>
        <v>Lucknow</v>
      </c>
      <c r="Z585" s="124">
        <f>IFERROR(__xludf.DUMMYFUNCTION("""COMPUTED_VALUE"""),17.0)</f>
        <v>17</v>
      </c>
      <c r="AA585" s="124" t="str">
        <f>IFERROR(__xludf.DUMMYFUNCTION("""COMPUTED_VALUE"""),"Cold")</f>
        <v>Cold</v>
      </c>
      <c r="AB585" s="124"/>
    </row>
    <row r="586">
      <c r="A586" s="126">
        <f>IFERROR(__xludf.DUMMYFUNCTION("""COMPUTED_VALUE"""),46061.0)</f>
        <v>46061</v>
      </c>
      <c r="B586" s="124" t="str">
        <f>IFERROR(__xludf.DUMMYFUNCTION("""COMPUTED_VALUE"""),"Walk-In")</f>
        <v>Walk-In</v>
      </c>
      <c r="C586" s="124" t="str">
        <f>IFERROR(__xludf.DUMMYFUNCTION("""COMPUTED_VALUE"""),"Prayagraj")</f>
        <v>Prayagraj</v>
      </c>
      <c r="D586" s="124" t="str">
        <f>IFERROR(__xludf.DUMMYFUNCTION("""COMPUTED_VALUE"""),"Primary_Walkin")</f>
        <v>Primary_Walkin</v>
      </c>
      <c r="E586" s="124">
        <f>IFERROR(__xludf.DUMMYFUNCTION("""COMPUTED_VALUE"""),1.0)</f>
        <v>1</v>
      </c>
      <c r="F586" s="124" t="str">
        <f>IFERROR(__xludf.DUMMYFUNCTION("""COMPUTED_VALUE"""),"Warm")</f>
        <v>Warm</v>
      </c>
      <c r="G586" s="124" t="str">
        <f>IFERROR(__xludf.DUMMYFUNCTION("""COMPUTED_VALUE"""),"GS Foundation")</f>
        <v>GS Foundation</v>
      </c>
      <c r="K586" s="124"/>
      <c r="L586" s="124"/>
      <c r="M586" s="124"/>
      <c r="N586" s="124"/>
      <c r="O586" s="124"/>
      <c r="T586" s="126">
        <f>IFERROR(__xludf.DUMMYFUNCTION("""COMPUTED_VALUE"""),46049.0)</f>
        <v>46049</v>
      </c>
      <c r="U586" s="124" t="str">
        <f>IFERROR(__xludf.DUMMYFUNCTION("""COMPUTED_VALUE"""),"Paid Ads")</f>
        <v>Paid Ads</v>
      </c>
      <c r="V586" s="124" t="str">
        <f>IFERROR(__xludf.DUMMYFUNCTION("""COMPUTED_VALUE"""),"google")</f>
        <v>google</v>
      </c>
      <c r="W586" s="124" t="str">
        <f>IFERROR(__xludf.DUMMYFUNCTION("""COMPUTED_VALUE"""),"cpc")</f>
        <v>cpc</v>
      </c>
      <c r="X586" s="124">
        <f>IFERROR(__xludf.DUMMYFUNCTION("""COMPUTED_VALUE"""),2.2758016291E10)</f>
        <v>22758016291</v>
      </c>
      <c r="Y586" s="124" t="str">
        <f>IFERROR(__xludf.DUMMYFUNCTION("""COMPUTED_VALUE"""),"Lucknow")</f>
        <v>Lucknow</v>
      </c>
      <c r="Z586" s="124">
        <f>IFERROR(__xludf.DUMMYFUNCTION("""COMPUTED_VALUE"""),1.0)</f>
        <v>1</v>
      </c>
      <c r="AA586" s="124" t="str">
        <f>IFERROR(__xludf.DUMMYFUNCTION("""COMPUTED_VALUE"""),"Cold")</f>
        <v>Cold</v>
      </c>
      <c r="AB586" s="124" t="str">
        <f>IFERROR(__xludf.DUMMYFUNCTION("""COMPUTED_VALUE"""),"SIM")</f>
        <v>SIM</v>
      </c>
    </row>
    <row r="587">
      <c r="A587" s="129">
        <f>IFERROR(__xludf.DUMMYFUNCTION("""COMPUTED_VALUE"""),46110.0)</f>
        <v>46110</v>
      </c>
      <c r="B587" s="124" t="str">
        <f>IFERROR(__xludf.DUMMYFUNCTION("""COMPUTED_VALUE"""),"Walkin")</f>
        <v>Walkin</v>
      </c>
      <c r="C587" s="124" t="str">
        <f>IFERROR(__xludf.DUMMYFUNCTION("""COMPUTED_VALUE"""),"Prayagraj")</f>
        <v>Prayagraj</v>
      </c>
      <c r="D587" s="124" t="str">
        <f>IFERROR(__xludf.DUMMYFUNCTION("""COMPUTED_VALUE"""),"Primary_Walkin")</f>
        <v>Primary_Walkin</v>
      </c>
      <c r="E587" s="124">
        <f>IFERROR(__xludf.DUMMYFUNCTION("""COMPUTED_VALUE"""),1.0)</f>
        <v>1</v>
      </c>
      <c r="F587" s="124" t="str">
        <f>IFERROR(__xludf.DUMMYFUNCTION("""COMPUTED_VALUE"""),"Interested")</f>
        <v>Interested</v>
      </c>
      <c r="G587" s="124" t="str">
        <f>IFERROR(__xludf.DUMMYFUNCTION("""COMPUTED_VALUE"""),"Mentorship")</f>
        <v>Mentorship</v>
      </c>
      <c r="K587" s="124"/>
      <c r="L587" s="124"/>
      <c r="M587" s="124"/>
      <c r="N587" s="124"/>
      <c r="O587" s="124"/>
      <c r="T587" s="126">
        <f>IFERROR(__xludf.DUMMYFUNCTION("""COMPUTED_VALUE"""),46048.0)</f>
        <v>46048</v>
      </c>
      <c r="U587" s="124" t="str">
        <f>IFERROR(__xludf.DUMMYFUNCTION("""COMPUTED_VALUE"""),"Paid Ads")</f>
        <v>Paid Ads</v>
      </c>
      <c r="V587" s="124" t="str">
        <f>IFERROR(__xludf.DUMMYFUNCTION("""COMPUTED_VALUE"""),"Facebook")</f>
        <v>Facebook</v>
      </c>
      <c r="W587" s="124" t="str">
        <f>IFERROR(__xludf.DUMMYFUNCTION("""COMPUTED_VALUE"""),"LeadAd")</f>
        <v>LeadAd</v>
      </c>
      <c r="X587" s="124" t="str">
        <f>IFERROR(__xludf.DUMMYFUNCTION("""COMPUTED_VALUE"""),"Upsc_offline_26_Lucknow_FB_Video")</f>
        <v>Upsc_offline_26_Lucknow_FB_Video</v>
      </c>
      <c r="Y587" s="124" t="str">
        <f>IFERROR(__xludf.DUMMYFUNCTION("""COMPUTED_VALUE"""),"Lucknow")</f>
        <v>Lucknow</v>
      </c>
      <c r="Z587" s="124">
        <f>IFERROR(__xludf.DUMMYFUNCTION("""COMPUTED_VALUE"""),8.0)</f>
        <v>8</v>
      </c>
      <c r="AA587" s="124" t="str">
        <f>IFERROR(__xludf.DUMMYFUNCTION("""COMPUTED_VALUE"""),"Fake Lead")</f>
        <v>Fake Lead</v>
      </c>
      <c r="AB587" s="124"/>
    </row>
    <row r="588">
      <c r="A588" s="126">
        <f>IFERROR(__xludf.DUMMYFUNCTION("""COMPUTED_VALUE"""),46078.0)</f>
        <v>46078</v>
      </c>
      <c r="B588" s="124" t="str">
        <f>IFERROR(__xludf.DUMMYFUNCTION("""COMPUTED_VALUE"""),"Walkin")</f>
        <v>Walkin</v>
      </c>
      <c r="C588" s="124" t="str">
        <f>IFERROR(__xludf.DUMMYFUNCTION("""COMPUTED_VALUE"""),"Prayagraj")</f>
        <v>Prayagraj</v>
      </c>
      <c r="D588" s="124" t="str">
        <f>IFERROR(__xludf.DUMMYFUNCTION("""COMPUTED_VALUE"""),"Primary_Walkin")</f>
        <v>Primary_Walkin</v>
      </c>
      <c r="E588" s="124">
        <f>IFERROR(__xludf.DUMMYFUNCTION("""COMPUTED_VALUE"""),2.0)</f>
        <v>2</v>
      </c>
      <c r="F588" s="124" t="str">
        <f>IFERROR(__xludf.DUMMYFUNCTION("""COMPUTED_VALUE"""),"Not Interested")</f>
        <v>Not Interested</v>
      </c>
      <c r="G588" s="124" t="str">
        <f>IFERROR(__xludf.DUMMYFUNCTION("""COMPUTED_VALUE"""),"GS Foundation")</f>
        <v>GS Foundation</v>
      </c>
      <c r="K588" s="124"/>
      <c r="L588" s="124"/>
      <c r="M588" s="124"/>
      <c r="N588" s="124"/>
      <c r="O588" s="124"/>
      <c r="T588" s="129">
        <f>IFERROR(__xludf.DUMMYFUNCTION("""COMPUTED_VALUE"""),46108.0)</f>
        <v>46108</v>
      </c>
      <c r="U588" s="124" t="str">
        <f>IFERROR(__xludf.DUMMYFUNCTION("""COMPUTED_VALUE"""),"Paid Ads")</f>
        <v>Paid Ads</v>
      </c>
      <c r="V588" s="124" t="str">
        <f>IFERROR(__xludf.DUMMYFUNCTION("""COMPUTED_VALUE"""),"Facebook")</f>
        <v>Facebook</v>
      </c>
      <c r="W588" s="124" t="str">
        <f>IFERROR(__xludf.DUMMYFUNCTION("""COMPUTED_VALUE"""),"LeadAd")</f>
        <v>LeadAd</v>
      </c>
      <c r="X588" s="124" t="str">
        <f>IFERROR(__xludf.DUMMYFUNCTION("""COMPUTED_VALUE"""),"Upsc_offline_Patna_Lead_Fb_Mar")</f>
        <v>Upsc_offline_Patna_Lead_Fb_Mar</v>
      </c>
      <c r="Y588" s="124" t="str">
        <f>IFERROR(__xludf.DUMMYFUNCTION("""COMPUTED_VALUE"""),"Patna")</f>
        <v>Patna</v>
      </c>
      <c r="Z588" s="124">
        <f>IFERROR(__xludf.DUMMYFUNCTION("""COMPUTED_VALUE"""),3.0)</f>
        <v>3</v>
      </c>
      <c r="AA588" s="124" t="str">
        <f>IFERROR(__xludf.DUMMYFUNCTION("""COMPUTED_VALUE"""),"Fake Lead")</f>
        <v>Fake Lead</v>
      </c>
      <c r="AB588" s="124"/>
    </row>
    <row r="589">
      <c r="A589" s="126">
        <f>IFERROR(__xludf.DUMMYFUNCTION("""COMPUTED_VALUE"""),46100.0)</f>
        <v>46100</v>
      </c>
      <c r="B589" s="124" t="str">
        <f>IFERROR(__xludf.DUMMYFUNCTION("""COMPUTED_VALUE"""),"Walkin")</f>
        <v>Walkin</v>
      </c>
      <c r="C589" s="124" t="str">
        <f>IFERROR(__xludf.DUMMYFUNCTION("""COMPUTED_VALUE"""),"Prayagraj")</f>
        <v>Prayagraj</v>
      </c>
      <c r="D589" s="124" t="str">
        <f>IFERROR(__xludf.DUMMYFUNCTION("""COMPUTED_VALUE"""),"Primary_Walkin")</f>
        <v>Primary_Walkin</v>
      </c>
      <c r="E589" s="124">
        <f>IFERROR(__xludf.DUMMYFUNCTION("""COMPUTED_VALUE"""),2.0)</f>
        <v>2</v>
      </c>
      <c r="F589" s="124" t="str">
        <f>IFERROR(__xludf.DUMMYFUNCTION("""COMPUTED_VALUE"""),"Warm")</f>
        <v>Warm</v>
      </c>
      <c r="G589" s="124" t="str">
        <f>IFERROR(__xludf.DUMMYFUNCTION("""COMPUTED_VALUE"""),"GS Foundation")</f>
        <v>GS Foundation</v>
      </c>
      <c r="K589" s="124"/>
      <c r="L589" s="124"/>
      <c r="M589" s="124"/>
      <c r="N589" s="124"/>
      <c r="O589" s="124"/>
      <c r="T589" s="126">
        <f>IFERROR(__xludf.DUMMYFUNCTION("""COMPUTED_VALUE"""),46049.0)</f>
        <v>46049</v>
      </c>
      <c r="U589" s="124" t="str">
        <f>IFERROR(__xludf.DUMMYFUNCTION("""COMPUTED_VALUE"""),"Paid Ads")</f>
        <v>Paid Ads</v>
      </c>
      <c r="V589" s="124" t="str">
        <f>IFERROR(__xludf.DUMMYFUNCTION("""COMPUTED_VALUE"""),"google")</f>
        <v>google</v>
      </c>
      <c r="W589" s="124" t="str">
        <f>IFERROR(__xludf.DUMMYFUNCTION("""COMPUTED_VALUE"""),"cpc")</f>
        <v>cpc</v>
      </c>
      <c r="X589" s="124">
        <f>IFERROR(__xludf.DUMMYFUNCTION("""COMPUTED_VALUE"""),2.2758016291E10)</f>
        <v>22758016291</v>
      </c>
      <c r="Y589" s="124" t="str">
        <f>IFERROR(__xludf.DUMMYFUNCTION("""COMPUTED_VALUE"""),"Delhi")</f>
        <v>Delhi</v>
      </c>
      <c r="Z589" s="124">
        <f>IFERROR(__xludf.DUMMYFUNCTION("""COMPUTED_VALUE"""),3.0)</f>
        <v>3</v>
      </c>
      <c r="AA589" s="124" t="str">
        <f>IFERROR(__xludf.DUMMYFUNCTION("""COMPUTED_VALUE"""),"Cold")</f>
        <v>Cold</v>
      </c>
      <c r="AB589" s="124" t="str">
        <f>IFERROR(__xludf.DUMMYFUNCTION("""COMPUTED_VALUE"""),"SIM")</f>
        <v>SIM</v>
      </c>
    </row>
    <row r="590">
      <c r="A590" s="126">
        <f>IFERROR(__xludf.DUMMYFUNCTION("""COMPUTED_VALUE"""),46056.0)</f>
        <v>46056</v>
      </c>
      <c r="B590" s="124" t="str">
        <f>IFERROR(__xludf.DUMMYFUNCTION("""COMPUTED_VALUE"""),"Walkin")</f>
        <v>Walkin</v>
      </c>
      <c r="C590" s="124" t="str">
        <f>IFERROR(__xludf.DUMMYFUNCTION("""COMPUTED_VALUE"""),"Prayagraj")</f>
        <v>Prayagraj</v>
      </c>
      <c r="D590" s="124" t="str">
        <f>IFERROR(__xludf.DUMMYFUNCTION("""COMPUTED_VALUE"""),"Primary_Walkin")</f>
        <v>Primary_Walkin</v>
      </c>
      <c r="E590" s="124">
        <f>IFERROR(__xludf.DUMMYFUNCTION("""COMPUTED_VALUE"""),2.0)</f>
        <v>2</v>
      </c>
      <c r="F590" s="124" t="str">
        <f>IFERROR(__xludf.DUMMYFUNCTION("""COMPUTED_VALUE"""),"Cold")</f>
        <v>Cold</v>
      </c>
      <c r="G590" s="124" t="str">
        <f>IFERROR(__xludf.DUMMYFUNCTION("""COMPUTED_VALUE"""),"GS Foundation")</f>
        <v>GS Foundation</v>
      </c>
      <c r="K590" s="124"/>
      <c r="L590" s="124"/>
      <c r="M590" s="124"/>
      <c r="N590" s="124"/>
      <c r="O590" s="124"/>
      <c r="T590" s="126">
        <f>IFERROR(__xludf.DUMMYFUNCTION("""COMPUTED_VALUE"""),46101.0)</f>
        <v>46101</v>
      </c>
      <c r="U590" s="124" t="str">
        <f>IFERROR(__xludf.DUMMYFUNCTION("""COMPUTED_VALUE"""),"Event")</f>
        <v>Event</v>
      </c>
      <c r="V590" s="124" t="str">
        <f>IFERROR(__xludf.DUMMYFUNCTION("""COMPUTED_VALUE"""),"events")</f>
        <v>events</v>
      </c>
      <c r="W590" s="124" t="str">
        <f>IFERROR(__xludf.DUMMYFUNCTION("""COMPUTED_VALUE"""),"prayagraj")</f>
        <v>prayagraj</v>
      </c>
      <c r="X590" s="124" t="str">
        <f>IFERROR(__xludf.DUMMYFUNCTION("""COMPUTED_VALUE"""),"seminar")</f>
        <v>seminar</v>
      </c>
      <c r="Y590" s="124" t="str">
        <f>IFERROR(__xludf.DUMMYFUNCTION("""COMPUTED_VALUE"""),"Prayagraj")</f>
        <v>Prayagraj</v>
      </c>
      <c r="Z590" s="124">
        <f>IFERROR(__xludf.DUMMYFUNCTION("""COMPUTED_VALUE"""),10.0)</f>
        <v>10</v>
      </c>
      <c r="AA590" s="124" t="str">
        <f>IFERROR(__xludf.DUMMYFUNCTION("""COMPUTED_VALUE"""),"Engaged")</f>
        <v>Engaged</v>
      </c>
      <c r="AB590" s="124"/>
    </row>
    <row r="591">
      <c r="A591" s="126">
        <f>IFERROR(__xludf.DUMMYFUNCTION("""COMPUTED_VALUE"""),46059.0)</f>
        <v>46059</v>
      </c>
      <c r="B591" s="124" t="str">
        <f>IFERROR(__xludf.DUMMYFUNCTION("""COMPUTED_VALUE"""),"Walk-In")</f>
        <v>Walk-In</v>
      </c>
      <c r="C591" s="124" t="str">
        <f>IFERROR(__xludf.DUMMYFUNCTION("""COMPUTED_VALUE"""),"Prayagraj")</f>
        <v>Prayagraj</v>
      </c>
      <c r="D591" s="124" t="str">
        <f>IFERROR(__xludf.DUMMYFUNCTION("""COMPUTED_VALUE"""),"Primary_Walkin")</f>
        <v>Primary_Walkin</v>
      </c>
      <c r="E591" s="124">
        <f>IFERROR(__xludf.DUMMYFUNCTION("""COMPUTED_VALUE"""),1.0)</f>
        <v>1</v>
      </c>
      <c r="F591" s="124" t="str">
        <f>IFERROR(__xludf.DUMMYFUNCTION("""COMPUTED_VALUE"""),"Cold")</f>
        <v>Cold</v>
      </c>
      <c r="G591" s="124" t="str">
        <f>IFERROR(__xludf.DUMMYFUNCTION("""COMPUTED_VALUE"""),"State PCS")</f>
        <v>State PCS</v>
      </c>
      <c r="K591" s="124"/>
      <c r="L591" s="124"/>
      <c r="M591" s="124"/>
      <c r="N591" s="124"/>
      <c r="O591" s="124"/>
      <c r="T591" s="126">
        <f>IFERROR(__xludf.DUMMYFUNCTION("""COMPUTED_VALUE"""),46101.0)</f>
        <v>46101</v>
      </c>
      <c r="U591" s="124" t="str">
        <f>IFERROR(__xludf.DUMMYFUNCTION("""COMPUTED_VALUE"""),"Event")</f>
        <v>Event</v>
      </c>
      <c r="V591" s="124" t="str">
        <f>IFERROR(__xludf.DUMMYFUNCTION("""COMPUTED_VALUE"""),"events")</f>
        <v>events</v>
      </c>
      <c r="W591" s="124" t="str">
        <f>IFERROR(__xludf.DUMMYFUNCTION("""COMPUTED_VALUE"""),"prayagraj")</f>
        <v>prayagraj</v>
      </c>
      <c r="X591" s="124" t="str">
        <f>IFERROR(__xludf.DUMMYFUNCTION("""COMPUTED_VALUE"""),"seminar")</f>
        <v>seminar</v>
      </c>
      <c r="Y591" s="124" t="str">
        <f>IFERROR(__xludf.DUMMYFUNCTION("""COMPUTED_VALUE"""),"Prayagraj")</f>
        <v>Prayagraj</v>
      </c>
      <c r="Z591" s="124">
        <f>IFERROR(__xludf.DUMMYFUNCTION("""COMPUTED_VALUE"""),2.0)</f>
        <v>2</v>
      </c>
      <c r="AA591" s="124" t="str">
        <f>IFERROR(__xludf.DUMMYFUNCTION("""COMPUTED_VALUE"""),"Warm")</f>
        <v>Warm</v>
      </c>
      <c r="AB591" s="124" t="str">
        <f>IFERROR(__xludf.DUMMYFUNCTION("""COMPUTED_VALUE"""),"GS Foundation")</f>
        <v>GS Foundation</v>
      </c>
    </row>
    <row r="592">
      <c r="A592" s="126">
        <f>IFERROR(__xludf.DUMMYFUNCTION("""COMPUTED_VALUE"""),46071.0)</f>
        <v>46071</v>
      </c>
      <c r="B592" s="124" t="str">
        <f>IFERROR(__xludf.DUMMYFUNCTION("""COMPUTED_VALUE"""),"Walkin")</f>
        <v>Walkin</v>
      </c>
      <c r="C592" s="124" t="str">
        <f>IFERROR(__xludf.DUMMYFUNCTION("""COMPUTED_VALUE"""),"Prayagraj")</f>
        <v>Prayagraj</v>
      </c>
      <c r="D592" s="124" t="str">
        <f>IFERROR(__xludf.DUMMYFUNCTION("""COMPUTED_VALUE"""),"Primary_Walkin")</f>
        <v>Primary_Walkin</v>
      </c>
      <c r="E592" s="124">
        <f>IFERROR(__xludf.DUMMYFUNCTION("""COMPUTED_VALUE"""),1.0)</f>
        <v>1</v>
      </c>
      <c r="F592" s="124" t="str">
        <f>IFERROR(__xludf.DUMMYFUNCTION("""COMPUTED_VALUE"""),"Not Interested")</f>
        <v>Not Interested</v>
      </c>
      <c r="G592" s="124" t="str">
        <f>IFERROR(__xludf.DUMMYFUNCTION("""COMPUTED_VALUE"""),"GS Foundation")</f>
        <v>GS Foundation</v>
      </c>
      <c r="K592" s="124"/>
      <c r="L592" s="124"/>
      <c r="M592" s="124"/>
      <c r="N592" s="124"/>
      <c r="O592" s="124"/>
      <c r="T592" s="126">
        <f>IFERROR(__xludf.DUMMYFUNCTION("""COMPUTED_VALUE"""),46050.0)</f>
        <v>46050</v>
      </c>
      <c r="U592" s="124" t="str">
        <f>IFERROR(__xludf.DUMMYFUNCTION("""COMPUTED_VALUE"""),"Paid Ads")</f>
        <v>Paid Ads</v>
      </c>
      <c r="V592" s="124" t="str">
        <f>IFERROR(__xludf.DUMMYFUNCTION("""COMPUTED_VALUE"""),"google")</f>
        <v>google</v>
      </c>
      <c r="W592" s="124" t="str">
        <f>IFERROR(__xludf.DUMMYFUNCTION("""COMPUTED_VALUE"""),"cpc")</f>
        <v>cpc</v>
      </c>
      <c r="X592" s="124">
        <f>IFERROR(__xludf.DUMMYFUNCTION("""COMPUTED_VALUE"""),2.2758016291E10)</f>
        <v>22758016291</v>
      </c>
      <c r="Y592" s="124" t="str">
        <f>IFERROR(__xludf.DUMMYFUNCTION("""COMPUTED_VALUE"""),"Delhi")</f>
        <v>Delhi</v>
      </c>
      <c r="Z592" s="124">
        <f>IFERROR(__xludf.DUMMYFUNCTION("""COMPUTED_VALUE"""),1.0)</f>
        <v>1</v>
      </c>
      <c r="AA592" s="124" t="str">
        <f>IFERROR(__xludf.DUMMYFUNCTION("""COMPUTED_VALUE"""),"Cold")</f>
        <v>Cold</v>
      </c>
      <c r="AB592" s="124" t="str">
        <f>IFERROR(__xludf.DUMMYFUNCTION("""COMPUTED_VALUE"""),"GS Advanced")</f>
        <v>GS Advanced</v>
      </c>
    </row>
    <row r="593">
      <c r="A593" s="126">
        <f>IFERROR(__xludf.DUMMYFUNCTION("""COMPUTED_VALUE"""),46093.0)</f>
        <v>46093</v>
      </c>
      <c r="B593" s="124" t="str">
        <f>IFERROR(__xludf.DUMMYFUNCTION("""COMPUTED_VALUE"""),"Walkin")</f>
        <v>Walkin</v>
      </c>
      <c r="C593" s="124" t="str">
        <f>IFERROR(__xludf.DUMMYFUNCTION("""COMPUTED_VALUE"""),"Prayagraj")</f>
        <v>Prayagraj</v>
      </c>
      <c r="D593" s="124" t="str">
        <f>IFERROR(__xludf.DUMMYFUNCTION("""COMPUTED_VALUE"""),"Primary_Walkin")</f>
        <v>Primary_Walkin</v>
      </c>
      <c r="E593" s="124">
        <f>IFERROR(__xludf.DUMMYFUNCTION("""COMPUTED_VALUE"""),1.0)</f>
        <v>1</v>
      </c>
      <c r="F593" s="124" t="str">
        <f>IFERROR(__xludf.DUMMYFUNCTION("""COMPUTED_VALUE"""),"Future Prospects")</f>
        <v>Future Prospects</v>
      </c>
      <c r="G593" s="124" t="str">
        <f>IFERROR(__xludf.DUMMYFUNCTION("""COMPUTED_VALUE"""),"State PCS")</f>
        <v>State PCS</v>
      </c>
      <c r="K593" s="124"/>
      <c r="L593" s="124"/>
      <c r="M593" s="124"/>
      <c r="N593" s="124"/>
      <c r="O593" s="124"/>
      <c r="T593" s="126">
        <f>IFERROR(__xludf.DUMMYFUNCTION("""COMPUTED_VALUE"""),46048.0)</f>
        <v>46048</v>
      </c>
      <c r="U593" s="124" t="str">
        <f>IFERROR(__xludf.DUMMYFUNCTION("""COMPUTED_VALUE"""),"Paid Ads")</f>
        <v>Paid Ads</v>
      </c>
      <c r="V593" s="124" t="str">
        <f>IFERROR(__xludf.DUMMYFUNCTION("""COMPUTED_VALUE"""),"Facebook")</f>
        <v>Facebook</v>
      </c>
      <c r="W593" s="124" t="str">
        <f>IFERROR(__xludf.DUMMYFUNCTION("""COMPUTED_VALUE"""),"LeadAd")</f>
        <v>LeadAd</v>
      </c>
      <c r="X593" s="124" t="str">
        <f>IFERROR(__xludf.DUMMYFUNCTION("""COMPUTED_VALUE"""),"Upsc_offline_26_Lucknow_FB_Video")</f>
        <v>Upsc_offline_26_Lucknow_FB_Video</v>
      </c>
      <c r="Y593" s="124" t="str">
        <f>IFERROR(__xludf.DUMMYFUNCTION("""COMPUTED_VALUE"""),"Lucknow")</f>
        <v>Lucknow</v>
      </c>
      <c r="Z593" s="124">
        <f>IFERROR(__xludf.DUMMYFUNCTION("""COMPUTED_VALUE"""),13.0)</f>
        <v>13</v>
      </c>
      <c r="AA593" s="124" t="str">
        <f>IFERROR(__xludf.DUMMYFUNCTION("""COMPUTED_VALUE"""),"Cold")</f>
        <v>Cold</v>
      </c>
      <c r="AB593" s="124"/>
    </row>
    <row r="594">
      <c r="A594" s="126">
        <f>IFERROR(__xludf.DUMMYFUNCTION("""COMPUTED_VALUE"""),46101.0)</f>
        <v>46101</v>
      </c>
      <c r="B594" s="124" t="str">
        <f>IFERROR(__xludf.DUMMYFUNCTION("""COMPUTED_VALUE"""),"Walkin")</f>
        <v>Walkin</v>
      </c>
      <c r="C594" s="124" t="str">
        <f>IFERROR(__xludf.DUMMYFUNCTION("""COMPUTED_VALUE"""),"Prayagraj")</f>
        <v>Prayagraj</v>
      </c>
      <c r="D594" s="124" t="str">
        <f>IFERROR(__xludf.DUMMYFUNCTION("""COMPUTED_VALUE"""),"Primary_Walkin")</f>
        <v>Primary_Walkin</v>
      </c>
      <c r="E594" s="124">
        <f>IFERROR(__xludf.DUMMYFUNCTION("""COMPUTED_VALUE"""),1.0)</f>
        <v>1</v>
      </c>
      <c r="F594" s="124" t="str">
        <f>IFERROR(__xludf.DUMMYFUNCTION("""COMPUTED_VALUE"""),"Fake Lead")</f>
        <v>Fake Lead</v>
      </c>
      <c r="G594" s="124" t="str">
        <f>IFERROR(__xludf.DUMMYFUNCTION("""COMPUTED_VALUE"""),"State PCS")</f>
        <v>State PCS</v>
      </c>
      <c r="K594" s="124"/>
      <c r="L594" s="124"/>
      <c r="M594" s="124"/>
      <c r="N594" s="124"/>
      <c r="O594" s="124"/>
      <c r="T594" s="126">
        <f>IFERROR(__xludf.DUMMYFUNCTION("""COMPUTED_VALUE"""),46047.0)</f>
        <v>46047</v>
      </c>
      <c r="U594" s="124" t="str">
        <f>IFERROR(__xludf.DUMMYFUNCTION("""COMPUTED_VALUE"""),"Paid Ads")</f>
        <v>Paid Ads</v>
      </c>
      <c r="V594" s="124" t="str">
        <f>IFERROR(__xludf.DUMMYFUNCTION("""COMPUTED_VALUE"""),"Facebook")</f>
        <v>Facebook</v>
      </c>
      <c r="W594" s="124" t="str">
        <f>IFERROR(__xludf.DUMMYFUNCTION("""COMPUTED_VALUE"""),"LeadAd")</f>
        <v>LeadAd</v>
      </c>
      <c r="X594" s="124" t="str">
        <f>IFERROR(__xludf.DUMMYFUNCTION("""COMPUTED_VALUE"""),"Upsc_offline_26_Lucknow_FB_Video")</f>
        <v>Upsc_offline_26_Lucknow_FB_Video</v>
      </c>
      <c r="Y594" s="124" t="str">
        <f>IFERROR(__xludf.DUMMYFUNCTION("""COMPUTED_VALUE"""),"Lucknow")</f>
        <v>Lucknow</v>
      </c>
      <c r="Z594" s="124">
        <f>IFERROR(__xludf.DUMMYFUNCTION("""COMPUTED_VALUE"""),11.0)</f>
        <v>11</v>
      </c>
      <c r="AA594" s="124" t="str">
        <f>IFERROR(__xludf.DUMMYFUNCTION("""COMPUTED_VALUE"""),"Cold")</f>
        <v>Cold</v>
      </c>
      <c r="AB594" s="124"/>
    </row>
    <row r="595">
      <c r="A595" s="126">
        <f>IFERROR(__xludf.DUMMYFUNCTION("""COMPUTED_VALUE"""),46101.0)</f>
        <v>46101</v>
      </c>
      <c r="B595" s="124" t="str">
        <f>IFERROR(__xludf.DUMMYFUNCTION("""COMPUTED_VALUE"""),"Walkin")</f>
        <v>Walkin</v>
      </c>
      <c r="C595" s="124" t="str">
        <f>IFERROR(__xludf.DUMMYFUNCTION("""COMPUTED_VALUE"""),"Prayagraj")</f>
        <v>Prayagraj</v>
      </c>
      <c r="D595" s="124" t="str">
        <f>IFERROR(__xludf.DUMMYFUNCTION("""COMPUTED_VALUE"""),"Primary_Walkin")</f>
        <v>Primary_Walkin</v>
      </c>
      <c r="E595" s="124">
        <f>IFERROR(__xludf.DUMMYFUNCTION("""COMPUTED_VALUE"""),1.0)</f>
        <v>1</v>
      </c>
      <c r="F595" s="124" t="str">
        <f>IFERROR(__xludf.DUMMYFUNCTION("""COMPUTED_VALUE"""),"Future Prospects")</f>
        <v>Future Prospects</v>
      </c>
      <c r="G595" s="124" t="str">
        <f>IFERROR(__xludf.DUMMYFUNCTION("""COMPUTED_VALUE"""),"Mentorship")</f>
        <v>Mentorship</v>
      </c>
      <c r="K595" s="124"/>
      <c r="L595" s="124"/>
      <c r="M595" s="124"/>
      <c r="N595" s="124"/>
      <c r="O595" s="124"/>
      <c r="T595" s="126">
        <f>IFERROR(__xludf.DUMMYFUNCTION("""COMPUTED_VALUE"""),46065.0)</f>
        <v>46065</v>
      </c>
      <c r="U595" s="124" t="str">
        <f>IFERROR(__xludf.DUMMYFUNCTION("""COMPUTED_VALUE"""),"Walk-Ins")</f>
        <v>Walk-Ins</v>
      </c>
      <c r="V595" s="124" t="str">
        <f>IFERROR(__xludf.DUMMYFUNCTION("""COMPUTED_VALUE"""),"Walk-In")</f>
        <v>Walk-In</v>
      </c>
      <c r="W595" s="124" t="str">
        <f>IFERROR(__xludf.DUMMYFUNCTION("""COMPUTED_VALUE"""),"Patna")</f>
        <v>Patna</v>
      </c>
      <c r="X595" s="124" t="str">
        <f>IFERROR(__xludf.DUMMYFUNCTION("""COMPUTED_VALUE"""),"Patna")</f>
        <v>Patna</v>
      </c>
      <c r="Y595" s="124"/>
      <c r="Z595" s="124">
        <f>IFERROR(__xludf.DUMMYFUNCTION("""COMPUTED_VALUE"""),1.0)</f>
        <v>1</v>
      </c>
      <c r="AA595" s="124" t="str">
        <f>IFERROR(__xludf.DUMMYFUNCTION("""COMPUTED_VALUE"""),"Cold")</f>
        <v>Cold</v>
      </c>
      <c r="AB595" s="124" t="str">
        <f>IFERROR(__xludf.DUMMYFUNCTION("""COMPUTED_VALUE"""),"State PCS")</f>
        <v>State PCS</v>
      </c>
    </row>
    <row r="596">
      <c r="A596" s="129">
        <f>IFERROR(__xludf.DUMMYFUNCTION("""COMPUTED_VALUE"""),46098.0)</f>
        <v>46098</v>
      </c>
      <c r="B596" s="124" t="str">
        <f>IFERROR(__xludf.DUMMYFUNCTION("""COMPUTED_VALUE"""),"Walkin")</f>
        <v>Walkin</v>
      </c>
      <c r="C596" s="124" t="str">
        <f>IFERROR(__xludf.DUMMYFUNCTION("""COMPUTED_VALUE"""),"Prayagraj")</f>
        <v>Prayagraj</v>
      </c>
      <c r="D596" s="124" t="str">
        <f>IFERROR(__xludf.DUMMYFUNCTION("""COMPUTED_VALUE"""),"Primary_Walkin")</f>
        <v>Primary_Walkin</v>
      </c>
      <c r="E596" s="124">
        <f>IFERROR(__xludf.DUMMYFUNCTION("""COMPUTED_VALUE"""),2.0)</f>
        <v>2</v>
      </c>
      <c r="F596" s="124" t="str">
        <f>IFERROR(__xludf.DUMMYFUNCTION("""COMPUTED_VALUE"""),"Cold")</f>
        <v>Cold</v>
      </c>
      <c r="G596" s="124" t="str">
        <f>IFERROR(__xludf.DUMMYFUNCTION("""COMPUTED_VALUE"""),"GS Foundation")</f>
        <v>GS Foundation</v>
      </c>
      <c r="K596" s="124"/>
      <c r="L596" s="124"/>
      <c r="M596" s="124"/>
      <c r="N596" s="124"/>
      <c r="O596" s="124"/>
      <c r="T596" s="126">
        <f>IFERROR(__xludf.DUMMYFUNCTION("""COMPUTED_VALUE"""),46047.0)</f>
        <v>46047</v>
      </c>
      <c r="U596" s="124" t="str">
        <f>IFERROR(__xludf.DUMMYFUNCTION("""COMPUTED_VALUE"""),"Paid Ads")</f>
        <v>Paid Ads</v>
      </c>
      <c r="V596" s="124" t="str">
        <f>IFERROR(__xludf.DUMMYFUNCTION("""COMPUTED_VALUE"""),"Facebook")</f>
        <v>Facebook</v>
      </c>
      <c r="W596" s="124" t="str">
        <f>IFERROR(__xludf.DUMMYFUNCTION("""COMPUTED_VALUE"""),"LeadAd")</f>
        <v>LeadAd</v>
      </c>
      <c r="X596" s="124" t="str">
        <f>IFERROR(__xludf.DUMMYFUNCTION("""COMPUTED_VALUE"""),"Upsc_offline_26_Lucknow_FB_Video")</f>
        <v>Upsc_offline_26_Lucknow_FB_Video</v>
      </c>
      <c r="Y596" s="124" t="str">
        <f>IFERROR(__xludf.DUMMYFUNCTION("""COMPUTED_VALUE"""),"Lucknow")</f>
        <v>Lucknow</v>
      </c>
      <c r="Z596" s="124">
        <f>IFERROR(__xludf.DUMMYFUNCTION("""COMPUTED_VALUE"""),5.0)</f>
        <v>5</v>
      </c>
      <c r="AA596" s="124" t="str">
        <f>IFERROR(__xludf.DUMMYFUNCTION("""COMPUTED_VALUE"""),"Fake Lead")</f>
        <v>Fake Lead</v>
      </c>
      <c r="AB596" s="124"/>
    </row>
    <row r="597">
      <c r="A597" s="126">
        <f>IFERROR(__xludf.DUMMYFUNCTION("""COMPUTED_VALUE"""),46067.0)</f>
        <v>46067</v>
      </c>
      <c r="B597" s="124" t="str">
        <f>IFERROR(__xludf.DUMMYFUNCTION("""COMPUTED_VALUE"""),"Walkin")</f>
        <v>Walkin</v>
      </c>
      <c r="C597" s="124" t="str">
        <f>IFERROR(__xludf.DUMMYFUNCTION("""COMPUTED_VALUE"""),"Prayagraj")</f>
        <v>Prayagraj</v>
      </c>
      <c r="D597" s="124" t="str">
        <f>IFERROR(__xludf.DUMMYFUNCTION("""COMPUTED_VALUE"""),"Primary_Walkin")</f>
        <v>Primary_Walkin</v>
      </c>
      <c r="E597" s="124">
        <f>IFERROR(__xludf.DUMMYFUNCTION("""COMPUTED_VALUE"""),1.0)</f>
        <v>1</v>
      </c>
      <c r="F597" s="124" t="str">
        <f>IFERROR(__xludf.DUMMYFUNCTION("""COMPUTED_VALUE"""),"Future Prospects")</f>
        <v>Future Prospects</v>
      </c>
      <c r="G597" s="124" t="str">
        <f>IFERROR(__xludf.DUMMYFUNCTION("""COMPUTED_VALUE"""),"State PCS")</f>
        <v>State PCS</v>
      </c>
      <c r="K597" s="124"/>
      <c r="L597" s="124"/>
      <c r="M597" s="124"/>
      <c r="N597" s="124"/>
      <c r="O597" s="124"/>
      <c r="T597" s="126">
        <f>IFERROR(__xludf.DUMMYFUNCTION("""COMPUTED_VALUE"""),46107.0)</f>
        <v>46107</v>
      </c>
      <c r="U597" s="124" t="str">
        <f>IFERROR(__xludf.DUMMYFUNCTION("""COMPUTED_VALUE"""),"Paid Ads")</f>
        <v>Paid Ads</v>
      </c>
      <c r="V597" s="124" t="str">
        <f>IFERROR(__xludf.DUMMYFUNCTION("""COMPUTED_VALUE"""),"Facebook")</f>
        <v>Facebook</v>
      </c>
      <c r="W597" s="124" t="str">
        <f>IFERROR(__xludf.DUMMYFUNCTION("""COMPUTED_VALUE"""),"LeadAd")</f>
        <v>LeadAd</v>
      </c>
      <c r="X597" s="124" t="str">
        <f>IFERROR(__xludf.DUMMYFUNCTION("""COMPUTED_VALUE"""),"Upsc_offline_Patna_Lead_Fb_Mar")</f>
        <v>Upsc_offline_Patna_Lead_Fb_Mar</v>
      </c>
      <c r="Y597" s="124" t="str">
        <f>IFERROR(__xludf.DUMMYFUNCTION("""COMPUTED_VALUE"""),"Patna")</f>
        <v>Patna</v>
      </c>
      <c r="Z597" s="124">
        <f>IFERROR(__xludf.DUMMYFUNCTION("""COMPUTED_VALUE"""),3.0)</f>
        <v>3</v>
      </c>
      <c r="AA597" s="124" t="str">
        <f>IFERROR(__xludf.DUMMYFUNCTION("""COMPUTED_VALUE"""),"Cold")</f>
        <v>Cold</v>
      </c>
      <c r="AB597" s="124"/>
    </row>
    <row r="598">
      <c r="A598" s="129">
        <f>IFERROR(__xludf.DUMMYFUNCTION("""COMPUTED_VALUE"""),46066.0)</f>
        <v>46066</v>
      </c>
      <c r="B598" s="124" t="str">
        <f>IFERROR(__xludf.DUMMYFUNCTION("""COMPUTED_VALUE"""),"Walkin")</f>
        <v>Walkin</v>
      </c>
      <c r="C598" s="124" t="str">
        <f>IFERROR(__xludf.DUMMYFUNCTION("""COMPUTED_VALUE"""),"Prayagraj")</f>
        <v>Prayagraj</v>
      </c>
      <c r="D598" s="124" t="str">
        <f>IFERROR(__xludf.DUMMYFUNCTION("""COMPUTED_VALUE"""),"Primary_Walkin")</f>
        <v>Primary_Walkin</v>
      </c>
      <c r="E598" s="124">
        <f>IFERROR(__xludf.DUMMYFUNCTION("""COMPUTED_VALUE"""),1.0)</f>
        <v>1</v>
      </c>
      <c r="F598" s="124" t="str">
        <f>IFERROR(__xludf.DUMMYFUNCTION("""COMPUTED_VALUE"""),"Warm")</f>
        <v>Warm</v>
      </c>
      <c r="G598" s="124" t="str">
        <f>IFERROR(__xludf.DUMMYFUNCTION("""COMPUTED_VALUE"""),"Mentorship")</f>
        <v>Mentorship</v>
      </c>
      <c r="K598" s="124"/>
      <c r="L598" s="124"/>
      <c r="M598" s="124"/>
      <c r="N598" s="124"/>
      <c r="O598" s="124"/>
      <c r="T598" s="126">
        <f>IFERROR(__xludf.DUMMYFUNCTION("""COMPUTED_VALUE"""),46106.0)</f>
        <v>46106</v>
      </c>
      <c r="U598" s="124" t="str">
        <f>IFERROR(__xludf.DUMMYFUNCTION("""COMPUTED_VALUE"""),"Event")</f>
        <v>Event</v>
      </c>
      <c r="V598" s="124" t="str">
        <f>IFERROR(__xludf.DUMMYFUNCTION("""COMPUTED_VALUE"""),"events")</f>
        <v>events</v>
      </c>
      <c r="W598" s="124" t="str">
        <f>IFERROR(__xludf.DUMMYFUNCTION("""COMPUTED_VALUE"""),"prayagraj")</f>
        <v>prayagraj</v>
      </c>
      <c r="X598" s="124" t="str">
        <f>IFERROR(__xludf.DUMMYFUNCTION("""COMPUTED_VALUE"""),"seminar")</f>
        <v>seminar</v>
      </c>
      <c r="Y598" s="124" t="str">
        <f>IFERROR(__xludf.DUMMYFUNCTION("""COMPUTED_VALUE"""),"Prayagraj")</f>
        <v>Prayagraj</v>
      </c>
      <c r="Z598" s="124">
        <f>IFERROR(__xludf.DUMMYFUNCTION("""COMPUTED_VALUE"""),2.0)</f>
        <v>2</v>
      </c>
      <c r="AA598" s="124" t="str">
        <f>IFERROR(__xludf.DUMMYFUNCTION("""COMPUTED_VALUE"""),"Future Prospects")</f>
        <v>Future Prospects</v>
      </c>
      <c r="AB598" s="124"/>
    </row>
    <row r="599">
      <c r="A599" s="126">
        <f>IFERROR(__xludf.DUMMYFUNCTION("""COMPUTED_VALUE"""),46070.0)</f>
        <v>46070</v>
      </c>
      <c r="B599" s="124" t="str">
        <f>IFERROR(__xludf.DUMMYFUNCTION("""COMPUTED_VALUE"""),"Inbound Call")</f>
        <v>Inbound Call</v>
      </c>
      <c r="C599" s="124" t="str">
        <f>IFERROR(__xludf.DUMMYFUNCTION("""COMPUTED_VALUE"""),"Prayagraj")</f>
        <v>Prayagraj</v>
      </c>
      <c r="D599" s="124" t="str">
        <f>IFERROR(__xludf.DUMMYFUNCTION("""COMPUTED_VALUE"""),"Secondary_Walkin")</f>
        <v>Secondary_Walkin</v>
      </c>
      <c r="E599" s="124">
        <f>IFERROR(__xludf.DUMMYFUNCTION("""COMPUTED_VALUE"""),1.0)</f>
        <v>1</v>
      </c>
      <c r="F599" s="124" t="str">
        <f>IFERROR(__xludf.DUMMYFUNCTION("""COMPUTED_VALUE"""),"Cold")</f>
        <v>Cold</v>
      </c>
      <c r="G599" s="124" t="str">
        <f>IFERROR(__xludf.DUMMYFUNCTION("""COMPUTED_VALUE"""),"State PCS")</f>
        <v>State PCS</v>
      </c>
      <c r="K599" s="124"/>
      <c r="L599" s="124"/>
      <c r="M599" s="124"/>
      <c r="N599" s="124"/>
      <c r="O599" s="124"/>
      <c r="T599" s="129">
        <f>IFERROR(__xludf.DUMMYFUNCTION("""COMPUTED_VALUE"""),46045.0)</f>
        <v>46045</v>
      </c>
      <c r="U599" s="124" t="str">
        <f>IFERROR(__xludf.DUMMYFUNCTION("""COMPUTED_VALUE"""),"Paid Ads")</f>
        <v>Paid Ads</v>
      </c>
      <c r="V599" s="124" t="str">
        <f>IFERROR(__xludf.DUMMYFUNCTION("""COMPUTED_VALUE"""),"Facebook")</f>
        <v>Facebook</v>
      </c>
      <c r="W599" s="124" t="str">
        <f>IFERROR(__xludf.DUMMYFUNCTION("""COMPUTED_VALUE"""),"LeadAd")</f>
        <v>LeadAd</v>
      </c>
      <c r="X599" s="124" t="str">
        <f>IFERROR(__xludf.DUMMYFUNCTION("""COMPUTED_VALUE"""),"Upsc_offline_26_Lucknow_FB_Video")</f>
        <v>Upsc_offline_26_Lucknow_FB_Video</v>
      </c>
      <c r="Y599" s="124" t="str">
        <f>IFERROR(__xludf.DUMMYFUNCTION("""COMPUTED_VALUE"""),"Lucknow")</f>
        <v>Lucknow</v>
      </c>
      <c r="Z599" s="124">
        <f>IFERROR(__xludf.DUMMYFUNCTION("""COMPUTED_VALUE"""),5.0)</f>
        <v>5</v>
      </c>
      <c r="AA599" s="124" t="str">
        <f>IFERROR(__xludf.DUMMYFUNCTION("""COMPUTED_VALUE"""),"Cold")</f>
        <v>Cold</v>
      </c>
      <c r="AB599" s="124"/>
    </row>
    <row r="600">
      <c r="A600" s="126">
        <f>IFERROR(__xludf.DUMMYFUNCTION("""COMPUTED_VALUE"""),46067.0)</f>
        <v>46067</v>
      </c>
      <c r="B600" s="124" t="str">
        <f>IFERROR(__xludf.DUMMYFUNCTION("""COMPUTED_VALUE"""),"Walkin")</f>
        <v>Walkin</v>
      </c>
      <c r="C600" s="124" t="str">
        <f>IFERROR(__xludf.DUMMYFUNCTION("""COMPUTED_VALUE"""),"Prayagraj")</f>
        <v>Prayagraj</v>
      </c>
      <c r="D600" s="124" t="str">
        <f>IFERROR(__xludf.DUMMYFUNCTION("""COMPUTED_VALUE"""),"Primary_Walkin")</f>
        <v>Primary_Walkin</v>
      </c>
      <c r="E600" s="124">
        <f>IFERROR(__xludf.DUMMYFUNCTION("""COMPUTED_VALUE"""),3.0)</f>
        <v>3</v>
      </c>
      <c r="F600" s="124" t="str">
        <f>IFERROR(__xludf.DUMMYFUNCTION("""COMPUTED_VALUE"""),"Warm")</f>
        <v>Warm</v>
      </c>
      <c r="G600" s="124" t="str">
        <f>IFERROR(__xludf.DUMMYFUNCTION("""COMPUTED_VALUE"""),"GS Foundation")</f>
        <v>GS Foundation</v>
      </c>
      <c r="K600" s="124"/>
      <c r="L600" s="124"/>
      <c r="M600" s="124"/>
      <c r="N600" s="124"/>
      <c r="O600" s="124"/>
      <c r="T600" s="126">
        <f>IFERROR(__xludf.DUMMYFUNCTION("""COMPUTED_VALUE"""),46087.0)</f>
        <v>46087</v>
      </c>
      <c r="U600" s="124" t="str">
        <f>IFERROR(__xludf.DUMMYFUNCTION("""COMPUTED_VALUE"""),"Paid Ads")</f>
        <v>Paid Ads</v>
      </c>
      <c r="V600" s="124" t="str">
        <f>IFERROR(__xludf.DUMMYFUNCTION("""COMPUTED_VALUE"""),"google")</f>
        <v>google</v>
      </c>
      <c r="W600" s="124" t="str">
        <f>IFERROR(__xludf.DUMMYFUNCTION("""COMPUTED_VALUE"""),"cpc")</f>
        <v>cpc</v>
      </c>
      <c r="X600" s="124">
        <f>IFERROR(__xludf.DUMMYFUNCTION("""COMPUTED_VALUE"""),2.2758016291E10)</f>
        <v>22758016291</v>
      </c>
      <c r="Y600" s="124" t="str">
        <f>IFERROR(__xludf.DUMMYFUNCTION("""COMPUTED_VALUE"""),"Delhi")</f>
        <v>Delhi</v>
      </c>
      <c r="Z600" s="124">
        <f>IFERROR(__xludf.DUMMYFUNCTION("""COMPUTED_VALUE"""),1.0)</f>
        <v>1</v>
      </c>
      <c r="AA600" s="124" t="str">
        <f>IFERROR(__xludf.DUMMYFUNCTION("""COMPUTED_VALUE"""),"Cold")</f>
        <v>Cold</v>
      </c>
      <c r="AB600" s="124" t="str">
        <f>IFERROR(__xludf.DUMMYFUNCTION("""COMPUTED_VALUE"""),"GS Foundation")</f>
        <v>GS Foundation</v>
      </c>
    </row>
    <row r="601">
      <c r="A601" s="129">
        <f>IFERROR(__xludf.DUMMYFUNCTION("""COMPUTED_VALUE"""),46065.0)</f>
        <v>46065</v>
      </c>
      <c r="B601" s="124" t="str">
        <f>IFERROR(__xludf.DUMMYFUNCTION("""COMPUTED_VALUE"""),"Walkin")</f>
        <v>Walkin</v>
      </c>
      <c r="C601" s="124" t="str">
        <f>IFERROR(__xludf.DUMMYFUNCTION("""COMPUTED_VALUE"""),"Prayagraj")</f>
        <v>Prayagraj</v>
      </c>
      <c r="D601" s="124" t="str">
        <f>IFERROR(__xludf.DUMMYFUNCTION("""COMPUTED_VALUE"""),"Primary_Walkin")</f>
        <v>Primary_Walkin</v>
      </c>
      <c r="E601" s="124">
        <f>IFERROR(__xludf.DUMMYFUNCTION("""COMPUTED_VALUE"""),1.0)</f>
        <v>1</v>
      </c>
      <c r="F601" s="124" t="str">
        <f>IFERROR(__xludf.DUMMYFUNCTION("""COMPUTED_VALUE"""),"Cold")</f>
        <v>Cold</v>
      </c>
      <c r="G601" s="124" t="str">
        <f>IFERROR(__xludf.DUMMYFUNCTION("""COMPUTED_VALUE"""),"Other")</f>
        <v>Other</v>
      </c>
      <c r="K601" s="124"/>
      <c r="L601" s="124"/>
      <c r="M601" s="124"/>
      <c r="N601" s="124"/>
      <c r="O601" s="124"/>
      <c r="T601" s="126">
        <f>IFERROR(__xludf.DUMMYFUNCTION("""COMPUTED_VALUE"""),46048.0)</f>
        <v>46048</v>
      </c>
      <c r="U601" s="124" t="str">
        <f>IFERROR(__xludf.DUMMYFUNCTION("""COMPUTED_VALUE"""),"Paid Ads")</f>
        <v>Paid Ads</v>
      </c>
      <c r="V601" s="124" t="str">
        <f>IFERROR(__xludf.DUMMYFUNCTION("""COMPUTED_VALUE"""),"google")</f>
        <v>google</v>
      </c>
      <c r="W601" s="124" t="str">
        <f>IFERROR(__xludf.DUMMYFUNCTION("""COMPUTED_VALUE"""),"cpc")</f>
        <v>cpc</v>
      </c>
      <c r="X601" s="124">
        <f>IFERROR(__xludf.DUMMYFUNCTION("""COMPUTED_VALUE"""),2.2758016291E10)</f>
        <v>22758016291</v>
      </c>
      <c r="Y601" s="124" t="str">
        <f>IFERROR(__xludf.DUMMYFUNCTION("""COMPUTED_VALUE"""),"Lucknow")</f>
        <v>Lucknow</v>
      </c>
      <c r="Z601" s="124">
        <f>IFERROR(__xludf.DUMMYFUNCTION("""COMPUTED_VALUE"""),1.0)</f>
        <v>1</v>
      </c>
      <c r="AA601" s="124" t="str">
        <f>IFERROR(__xludf.DUMMYFUNCTION("""COMPUTED_VALUE"""),"Cold")</f>
        <v>Cold</v>
      </c>
      <c r="AB601" s="124" t="str">
        <f>IFERROR(__xludf.DUMMYFUNCTION("""COMPUTED_VALUE"""),"Other")</f>
        <v>Other</v>
      </c>
    </row>
    <row r="602">
      <c r="A602" s="126">
        <f>IFERROR(__xludf.DUMMYFUNCTION("""COMPUTED_VALUE"""),46096.0)</f>
        <v>46096</v>
      </c>
      <c r="B602" s="124" t="str">
        <f>IFERROR(__xludf.DUMMYFUNCTION("""COMPUTED_VALUE"""),"Walkin")</f>
        <v>Walkin</v>
      </c>
      <c r="C602" s="124" t="str">
        <f>IFERROR(__xludf.DUMMYFUNCTION("""COMPUTED_VALUE"""),"Prayagraj")</f>
        <v>Prayagraj</v>
      </c>
      <c r="D602" s="124" t="str">
        <f>IFERROR(__xludf.DUMMYFUNCTION("""COMPUTED_VALUE"""),"Primary_Walkin")</f>
        <v>Primary_Walkin</v>
      </c>
      <c r="E602" s="124">
        <f>IFERROR(__xludf.DUMMYFUNCTION("""COMPUTED_VALUE"""),1.0)</f>
        <v>1</v>
      </c>
      <c r="F602" s="124" t="str">
        <f>IFERROR(__xludf.DUMMYFUNCTION("""COMPUTED_VALUE"""),"Future Prospects")</f>
        <v>Future Prospects</v>
      </c>
      <c r="G602" s="124" t="str">
        <f>IFERROR(__xludf.DUMMYFUNCTION("""COMPUTED_VALUE"""),"Other")</f>
        <v>Other</v>
      </c>
      <c r="K602" s="124"/>
      <c r="L602" s="124"/>
      <c r="M602" s="124"/>
      <c r="N602" s="124"/>
      <c r="O602" s="124"/>
      <c r="T602" s="129">
        <f>IFERROR(__xludf.DUMMYFUNCTION("""COMPUTED_VALUE"""),46094.0)</f>
        <v>46094</v>
      </c>
      <c r="U602" s="124" t="str">
        <f>IFERROR(__xludf.DUMMYFUNCTION("""COMPUTED_VALUE"""),"External Leads")</f>
        <v>External Leads</v>
      </c>
      <c r="V602" s="124" t="str">
        <f>IFERROR(__xludf.DUMMYFUNCTION("""COMPUTED_VALUE"""),"external leads")</f>
        <v>external leads</v>
      </c>
      <c r="W602" s="124" t="str">
        <f>IFERROR(__xludf.DUMMYFUNCTION("""COMPUTED_VALUE"""),"lucknow")</f>
        <v>lucknow</v>
      </c>
      <c r="X602" s="124" t="str">
        <f>IFERROR(__xludf.DUMMYFUNCTION("""COMPUTED_VALUE"""),"justdial")</f>
        <v>justdial</v>
      </c>
      <c r="Y602" s="124" t="str">
        <f>IFERROR(__xludf.DUMMYFUNCTION("""COMPUTED_VALUE"""),"Lucknow")</f>
        <v>Lucknow</v>
      </c>
      <c r="Z602" s="124">
        <f>IFERROR(__xludf.DUMMYFUNCTION("""COMPUTED_VALUE"""),15.0)</f>
        <v>15</v>
      </c>
      <c r="AA602" s="124" t="str">
        <f>IFERROR(__xludf.DUMMYFUNCTION("""COMPUTED_VALUE"""),"Cold")</f>
        <v>Cold</v>
      </c>
      <c r="AB602" s="124"/>
    </row>
    <row r="603">
      <c r="A603" s="129">
        <f>IFERROR(__xludf.DUMMYFUNCTION("""COMPUTED_VALUE"""),46057.0)</f>
        <v>46057</v>
      </c>
      <c r="B603" s="124" t="str">
        <f>IFERROR(__xludf.DUMMYFUNCTION("""COMPUTED_VALUE"""),"Walk-In")</f>
        <v>Walk-In</v>
      </c>
      <c r="C603" s="124" t="str">
        <f>IFERROR(__xludf.DUMMYFUNCTION("""COMPUTED_VALUE"""),"Prayagraj")</f>
        <v>Prayagraj</v>
      </c>
      <c r="D603" s="124" t="str">
        <f>IFERROR(__xludf.DUMMYFUNCTION("""COMPUTED_VALUE"""),"Primary_Walkin")</f>
        <v>Primary_Walkin</v>
      </c>
      <c r="E603" s="124">
        <f>IFERROR(__xludf.DUMMYFUNCTION("""COMPUTED_VALUE"""),1.0)</f>
        <v>1</v>
      </c>
      <c r="F603" s="124" t="str">
        <f>IFERROR(__xludf.DUMMYFUNCTION("""COMPUTED_VALUE"""),"Future Prospects")</f>
        <v>Future Prospects</v>
      </c>
      <c r="G603" s="124" t="str">
        <f>IFERROR(__xludf.DUMMYFUNCTION("""COMPUTED_VALUE"""),"GS Foundation")</f>
        <v>GS Foundation</v>
      </c>
      <c r="K603" s="124"/>
      <c r="L603" s="124"/>
      <c r="M603" s="124"/>
      <c r="N603" s="124"/>
      <c r="O603" s="124"/>
      <c r="T603" s="126">
        <f>IFERROR(__xludf.DUMMYFUNCTION("""COMPUTED_VALUE"""),46112.0)</f>
        <v>46112</v>
      </c>
      <c r="U603" s="124" t="str">
        <f>IFERROR(__xludf.DUMMYFUNCTION("""COMPUTED_VALUE"""),"External Leads")</f>
        <v>External Leads</v>
      </c>
      <c r="V603" s="124" t="str">
        <f>IFERROR(__xludf.DUMMYFUNCTION("""COMPUTED_VALUE"""),"external leads")</f>
        <v>external leads</v>
      </c>
      <c r="W603" s="124" t="str">
        <f>IFERROR(__xludf.DUMMYFUNCTION("""COMPUTED_VALUE"""),"delhi")</f>
        <v>delhi</v>
      </c>
      <c r="X603" s="124" t="str">
        <f>IFERROR(__xludf.DUMMYFUNCTION("""COMPUTED_VALUE"""),"srcc")</f>
        <v>srcc</v>
      </c>
      <c r="Y603" s="124" t="str">
        <f>IFERROR(__xludf.DUMMYFUNCTION("""COMPUTED_VALUE"""),"Delhi")</f>
        <v>Delhi</v>
      </c>
      <c r="Z603" s="124">
        <f>IFERROR(__xludf.DUMMYFUNCTION("""COMPUTED_VALUE"""),657.0)</f>
        <v>657</v>
      </c>
      <c r="AA603" s="124"/>
      <c r="AB603" s="124"/>
    </row>
    <row r="604">
      <c r="A604" s="129">
        <f>IFERROR(__xludf.DUMMYFUNCTION("""COMPUTED_VALUE"""),46053.0)</f>
        <v>46053</v>
      </c>
      <c r="B604" s="124" t="str">
        <f>IFERROR(__xludf.DUMMYFUNCTION("""COMPUTED_VALUE"""),"Walkin")</f>
        <v>Walkin</v>
      </c>
      <c r="C604" s="124" t="str">
        <f>IFERROR(__xludf.DUMMYFUNCTION("""COMPUTED_VALUE"""),"Prayagraj")</f>
        <v>Prayagraj</v>
      </c>
      <c r="D604" s="124" t="str">
        <f>IFERROR(__xludf.DUMMYFUNCTION("""COMPUTED_VALUE"""),"Primary_Walkin")</f>
        <v>Primary_Walkin</v>
      </c>
      <c r="E604" s="124">
        <f>IFERROR(__xludf.DUMMYFUNCTION("""COMPUTED_VALUE"""),1.0)</f>
        <v>1</v>
      </c>
      <c r="F604" s="124" t="str">
        <f>IFERROR(__xludf.DUMMYFUNCTION("""COMPUTED_VALUE"""),"Not Interested")</f>
        <v>Not Interested</v>
      </c>
      <c r="G604" s="124" t="str">
        <f>IFERROR(__xludf.DUMMYFUNCTION("""COMPUTED_VALUE"""),"Mentorship")</f>
        <v>Mentorship</v>
      </c>
      <c r="K604" s="124"/>
      <c r="L604" s="124"/>
      <c r="M604" s="124"/>
      <c r="N604" s="124"/>
      <c r="O604" s="124"/>
      <c r="T604" s="126">
        <f>IFERROR(__xludf.DUMMYFUNCTION("""COMPUTED_VALUE"""),46087.0)</f>
        <v>46087</v>
      </c>
      <c r="U604" s="124" t="str">
        <f>IFERROR(__xludf.DUMMYFUNCTION("""COMPUTED_VALUE"""),"Walk-Ins")</f>
        <v>Walk-Ins</v>
      </c>
      <c r="V604" s="124" t="str">
        <f>IFERROR(__xludf.DUMMYFUNCTION("""COMPUTED_VALUE"""),"Walkin")</f>
        <v>Walkin</v>
      </c>
      <c r="W604" s="124" t="str">
        <f>IFERROR(__xludf.DUMMYFUNCTION("""COMPUTED_VALUE"""),"Patna")</f>
        <v>Patna</v>
      </c>
      <c r="X604" s="124" t="str">
        <f>IFERROR(__xludf.DUMMYFUNCTION("""COMPUTED_VALUE"""),"Walkin")</f>
        <v>Walkin</v>
      </c>
      <c r="Y604" s="124" t="str">
        <f>IFERROR(__xludf.DUMMYFUNCTION("""COMPUTED_VALUE"""),"Patna")</f>
        <v>Patna</v>
      </c>
      <c r="Z604" s="124">
        <f>IFERROR(__xludf.DUMMYFUNCTION("""COMPUTED_VALUE"""),1.0)</f>
        <v>1</v>
      </c>
      <c r="AA604" s="124" t="str">
        <f>IFERROR(__xludf.DUMMYFUNCTION("""COMPUTED_VALUE"""),"Warm")</f>
        <v>Warm</v>
      </c>
      <c r="AB604" s="124" t="str">
        <f>IFERROR(__xludf.DUMMYFUNCTION("""COMPUTED_VALUE"""),"State PCS")</f>
        <v>State PCS</v>
      </c>
    </row>
    <row r="605">
      <c r="A605" s="126">
        <f>IFERROR(__xludf.DUMMYFUNCTION("""COMPUTED_VALUE"""),46076.0)</f>
        <v>46076</v>
      </c>
      <c r="B605" s="124" t="str">
        <f>IFERROR(__xludf.DUMMYFUNCTION("""COMPUTED_VALUE"""),"Walkin")</f>
        <v>Walkin</v>
      </c>
      <c r="C605" s="124" t="str">
        <f>IFERROR(__xludf.DUMMYFUNCTION("""COMPUTED_VALUE"""),"Prayagraj")</f>
        <v>Prayagraj</v>
      </c>
      <c r="D605" s="124" t="str">
        <f>IFERROR(__xludf.DUMMYFUNCTION("""COMPUTED_VALUE"""),"Primary_Walkin")</f>
        <v>Primary_Walkin</v>
      </c>
      <c r="E605" s="124">
        <f>IFERROR(__xludf.DUMMYFUNCTION("""COMPUTED_VALUE"""),1.0)</f>
        <v>1</v>
      </c>
      <c r="F605" s="124" t="str">
        <f>IFERROR(__xludf.DUMMYFUNCTION("""COMPUTED_VALUE"""),"Future Prospects")</f>
        <v>Future Prospects</v>
      </c>
      <c r="G605" s="124" t="str">
        <f>IFERROR(__xludf.DUMMYFUNCTION("""COMPUTED_VALUE"""),"State PCS")</f>
        <v>State PCS</v>
      </c>
      <c r="K605" s="124"/>
      <c r="L605" s="124"/>
      <c r="M605" s="124"/>
      <c r="N605" s="124"/>
      <c r="O605" s="124"/>
      <c r="T605" s="126">
        <f>IFERROR(__xludf.DUMMYFUNCTION("""COMPUTED_VALUE"""),46096.0)</f>
        <v>46096</v>
      </c>
      <c r="U605" s="124" t="str">
        <f>IFERROR(__xludf.DUMMYFUNCTION("""COMPUTED_VALUE"""),"Walk-Ins")</f>
        <v>Walk-Ins</v>
      </c>
      <c r="V605" s="124" t="str">
        <f>IFERROR(__xludf.DUMMYFUNCTION("""COMPUTED_VALUE"""),"Walkin")</f>
        <v>Walkin</v>
      </c>
      <c r="W605" s="124" t="str">
        <f>IFERROR(__xludf.DUMMYFUNCTION("""COMPUTED_VALUE"""),"Lucknow")</f>
        <v>Lucknow</v>
      </c>
      <c r="X605" s="124" t="str">
        <f>IFERROR(__xludf.DUMMYFUNCTION("""COMPUTED_VALUE"""),"Walkin")</f>
        <v>Walkin</v>
      </c>
      <c r="Y605" s="124" t="str">
        <f>IFERROR(__xludf.DUMMYFUNCTION("""COMPUTED_VALUE"""),"Lucknow")</f>
        <v>Lucknow</v>
      </c>
      <c r="Z605" s="124">
        <f>IFERROR(__xludf.DUMMYFUNCTION("""COMPUTED_VALUE"""),1.0)</f>
        <v>1</v>
      </c>
      <c r="AA605" s="124" t="str">
        <f>IFERROR(__xludf.DUMMYFUNCTION("""COMPUTED_VALUE"""),"Not Interested")</f>
        <v>Not Interested</v>
      </c>
      <c r="AB605" s="124" t="str">
        <f>IFERROR(__xludf.DUMMYFUNCTION("""COMPUTED_VALUE"""),"GS Foundation")</f>
        <v>GS Foundation</v>
      </c>
    </row>
    <row r="606">
      <c r="A606" s="129">
        <f>IFERROR(__xludf.DUMMYFUNCTION("""COMPUTED_VALUE"""),46110.0)</f>
        <v>46110</v>
      </c>
      <c r="B606" s="124" t="str">
        <f>IFERROR(__xludf.DUMMYFUNCTION("""COMPUTED_VALUE"""),"Walk-In")</f>
        <v>Walk-In</v>
      </c>
      <c r="C606" s="124" t="str">
        <f>IFERROR(__xludf.DUMMYFUNCTION("""COMPUTED_VALUE"""),"Prayagraj")</f>
        <v>Prayagraj</v>
      </c>
      <c r="D606" s="124" t="str">
        <f>IFERROR(__xludf.DUMMYFUNCTION("""COMPUTED_VALUE"""),"Primary_Walkin")</f>
        <v>Primary_Walkin</v>
      </c>
      <c r="E606" s="124">
        <f>IFERROR(__xludf.DUMMYFUNCTION("""COMPUTED_VALUE"""),1.0)</f>
        <v>1</v>
      </c>
      <c r="F606" s="124" t="str">
        <f>IFERROR(__xludf.DUMMYFUNCTION("""COMPUTED_VALUE"""),"Warm")</f>
        <v>Warm</v>
      </c>
      <c r="G606" s="124" t="str">
        <f>IFERROR(__xludf.DUMMYFUNCTION("""COMPUTED_VALUE"""),"GS Foundation")</f>
        <v>GS Foundation</v>
      </c>
      <c r="K606" s="124"/>
      <c r="L606" s="124"/>
      <c r="M606" s="124"/>
      <c r="N606" s="124"/>
      <c r="O606" s="124"/>
      <c r="T606" s="126">
        <f>IFERROR(__xludf.DUMMYFUNCTION("""COMPUTED_VALUE"""),46046.0)</f>
        <v>46046</v>
      </c>
      <c r="U606" s="124" t="str">
        <f>IFERROR(__xludf.DUMMYFUNCTION("""COMPUTED_VALUE"""),"Walk-Ins")</f>
        <v>Walk-Ins</v>
      </c>
      <c r="V606" s="124" t="str">
        <f>IFERROR(__xludf.DUMMYFUNCTION("""COMPUTED_VALUE"""),"Walkin")</f>
        <v>Walkin</v>
      </c>
      <c r="W606" s="124" t="str">
        <f>IFERROR(__xludf.DUMMYFUNCTION("""COMPUTED_VALUE"""),"Prayagraj")</f>
        <v>Prayagraj</v>
      </c>
      <c r="X606" s="124" t="str">
        <f>IFERROR(__xludf.DUMMYFUNCTION("""COMPUTED_VALUE"""),"Walkin")</f>
        <v>Walkin</v>
      </c>
      <c r="Y606" s="124" t="str">
        <f>IFERROR(__xludf.DUMMYFUNCTION("""COMPUTED_VALUE"""),"Prayagraj")</f>
        <v>Prayagraj</v>
      </c>
      <c r="Z606" s="124">
        <f>IFERROR(__xludf.DUMMYFUNCTION("""COMPUTED_VALUE"""),1.0)</f>
        <v>1</v>
      </c>
      <c r="AA606" s="124" t="str">
        <f>IFERROR(__xludf.DUMMYFUNCTION("""COMPUTED_VALUE"""),"Cold")</f>
        <v>Cold</v>
      </c>
      <c r="AB606" s="124" t="str">
        <f>IFERROR(__xludf.DUMMYFUNCTION("""COMPUTED_VALUE"""),"Mentorship")</f>
        <v>Mentorship</v>
      </c>
    </row>
    <row r="607">
      <c r="A607" s="126">
        <f>IFERROR(__xludf.DUMMYFUNCTION("""COMPUTED_VALUE"""),46104.0)</f>
        <v>46104</v>
      </c>
      <c r="B607" s="124" t="str">
        <f>IFERROR(__xludf.DUMMYFUNCTION("""COMPUTED_VALUE"""),"Walk-In")</f>
        <v>Walk-In</v>
      </c>
      <c r="C607" s="124" t="str">
        <f>IFERROR(__xludf.DUMMYFUNCTION("""COMPUTED_VALUE"""),"Prayagraj")</f>
        <v>Prayagraj</v>
      </c>
      <c r="D607" s="124" t="str">
        <f>IFERROR(__xludf.DUMMYFUNCTION("""COMPUTED_VALUE"""),"Primary_Walkin")</f>
        <v>Primary_Walkin</v>
      </c>
      <c r="E607" s="124">
        <f>IFERROR(__xludf.DUMMYFUNCTION("""COMPUTED_VALUE"""),1.0)</f>
        <v>1</v>
      </c>
      <c r="F607" s="124" t="str">
        <f>IFERROR(__xludf.DUMMYFUNCTION("""COMPUTED_VALUE"""),"Cold")</f>
        <v>Cold</v>
      </c>
      <c r="G607" s="124" t="str">
        <f>IFERROR(__xludf.DUMMYFUNCTION("""COMPUTED_VALUE"""),"Mentorship")</f>
        <v>Mentorship</v>
      </c>
      <c r="K607" s="124"/>
      <c r="L607" s="124"/>
      <c r="M607" s="124"/>
      <c r="N607" s="124"/>
      <c r="O607" s="124"/>
      <c r="T607" s="126">
        <f>IFERROR(__xludf.DUMMYFUNCTION("""COMPUTED_VALUE"""),46103.0)</f>
        <v>46103</v>
      </c>
      <c r="U607" s="124" t="str">
        <f>IFERROR(__xludf.DUMMYFUNCTION("""COMPUTED_VALUE"""),"Walk-Ins")</f>
        <v>Walk-Ins</v>
      </c>
      <c r="V607" s="124" t="str">
        <f>IFERROR(__xludf.DUMMYFUNCTION("""COMPUTED_VALUE"""),"Walkin")</f>
        <v>Walkin</v>
      </c>
      <c r="W607" s="124" t="str">
        <f>IFERROR(__xludf.DUMMYFUNCTION("""COMPUTED_VALUE"""),"Patna")</f>
        <v>Patna</v>
      </c>
      <c r="X607" s="124" t="str">
        <f>IFERROR(__xludf.DUMMYFUNCTION("""COMPUTED_VALUE"""),"Walkin")</f>
        <v>Walkin</v>
      </c>
      <c r="Y607" s="124" t="str">
        <f>IFERROR(__xludf.DUMMYFUNCTION("""COMPUTED_VALUE"""),"Patna")</f>
        <v>Patna</v>
      </c>
      <c r="Z607" s="124">
        <f>IFERROR(__xludf.DUMMYFUNCTION("""COMPUTED_VALUE"""),2.0)</f>
        <v>2</v>
      </c>
      <c r="AA607" s="124" t="str">
        <f>IFERROR(__xludf.DUMMYFUNCTION("""COMPUTED_VALUE"""),"Cold")</f>
        <v>Cold</v>
      </c>
      <c r="AB607" s="124" t="str">
        <f>IFERROR(__xludf.DUMMYFUNCTION("""COMPUTED_VALUE"""),"Test Series")</f>
        <v>Test Series</v>
      </c>
    </row>
    <row r="608">
      <c r="A608" s="126">
        <f>IFERROR(__xludf.DUMMYFUNCTION("""COMPUTED_VALUE"""),46112.0)</f>
        <v>46112</v>
      </c>
      <c r="B608" s="124" t="str">
        <f>IFERROR(__xludf.DUMMYFUNCTION("""COMPUTED_VALUE"""),"Walkin")</f>
        <v>Walkin</v>
      </c>
      <c r="C608" s="124" t="str">
        <f>IFERROR(__xludf.DUMMYFUNCTION("""COMPUTED_VALUE"""),"Prayagraj")</f>
        <v>Prayagraj</v>
      </c>
      <c r="D608" s="124" t="str">
        <f>IFERROR(__xludf.DUMMYFUNCTION("""COMPUTED_VALUE"""),"Primary_Walkin")</f>
        <v>Primary_Walkin</v>
      </c>
      <c r="E608" s="124">
        <f>IFERROR(__xludf.DUMMYFUNCTION("""COMPUTED_VALUE"""),7.0)</f>
        <v>7</v>
      </c>
      <c r="F608" s="124" t="str">
        <f>IFERROR(__xludf.DUMMYFUNCTION("""COMPUTED_VALUE"""),"Warm")</f>
        <v>Warm</v>
      </c>
      <c r="G608" s="124" t="str">
        <f>IFERROR(__xludf.DUMMYFUNCTION("""COMPUTED_VALUE"""),"GS Foundation")</f>
        <v>GS Foundation</v>
      </c>
      <c r="K608" s="124"/>
      <c r="L608" s="124"/>
      <c r="M608" s="124"/>
      <c r="N608" s="124"/>
      <c r="O608" s="124"/>
      <c r="T608" s="126">
        <f>IFERROR(__xludf.DUMMYFUNCTION("""COMPUTED_VALUE"""),46053.0)</f>
        <v>46053</v>
      </c>
      <c r="U608" s="124" t="str">
        <f>IFERROR(__xludf.DUMMYFUNCTION("""COMPUTED_VALUE"""),"Walk-Ins")</f>
        <v>Walk-Ins</v>
      </c>
      <c r="V608" s="124" t="str">
        <f>IFERROR(__xludf.DUMMYFUNCTION("""COMPUTED_VALUE"""),"Walkin")</f>
        <v>Walkin</v>
      </c>
      <c r="W608" s="124" t="str">
        <f>IFERROR(__xludf.DUMMYFUNCTION("""COMPUTED_VALUE"""),"Patna")</f>
        <v>Patna</v>
      </c>
      <c r="X608" s="124" t="str">
        <f>IFERROR(__xludf.DUMMYFUNCTION("""COMPUTED_VALUE"""),"Walkin")</f>
        <v>Walkin</v>
      </c>
      <c r="Y608" s="124" t="str">
        <f>IFERROR(__xludf.DUMMYFUNCTION("""COMPUTED_VALUE"""),"Patna")</f>
        <v>Patna</v>
      </c>
      <c r="Z608" s="124">
        <f>IFERROR(__xludf.DUMMYFUNCTION("""COMPUTED_VALUE"""),2.0)</f>
        <v>2</v>
      </c>
      <c r="AA608" s="124" t="str">
        <f>IFERROR(__xludf.DUMMYFUNCTION("""COMPUTED_VALUE"""),"Fake Lead")</f>
        <v>Fake Lead</v>
      </c>
      <c r="AB608" s="124" t="str">
        <f>IFERROR(__xludf.DUMMYFUNCTION("""COMPUTED_VALUE"""),"State PCS")</f>
        <v>State PCS</v>
      </c>
    </row>
    <row r="609">
      <c r="A609" s="126">
        <f>IFERROR(__xludf.DUMMYFUNCTION("""COMPUTED_VALUE"""),46049.0)</f>
        <v>46049</v>
      </c>
      <c r="B609" s="124" t="str">
        <f>IFERROR(__xludf.DUMMYFUNCTION("""COMPUTED_VALUE"""),"Events")</f>
        <v>Events</v>
      </c>
      <c r="C609" s="124" t="str">
        <f>IFERROR(__xludf.DUMMYFUNCTION("""COMPUTED_VALUE"""),"Prayagraj")</f>
        <v>Prayagraj</v>
      </c>
      <c r="D609" s="124" t="str">
        <f>IFERROR(__xludf.DUMMYFUNCTION("""COMPUTED_VALUE"""),"Secondary_Walkin")</f>
        <v>Secondary_Walkin</v>
      </c>
      <c r="E609" s="124">
        <f>IFERROR(__xludf.DUMMYFUNCTION("""COMPUTED_VALUE"""),1.0)</f>
        <v>1</v>
      </c>
      <c r="F609" s="124" t="str">
        <f>IFERROR(__xludf.DUMMYFUNCTION("""COMPUTED_VALUE"""),"Not Interested")</f>
        <v>Not Interested</v>
      </c>
      <c r="G609" s="124" t="str">
        <f>IFERROR(__xludf.DUMMYFUNCTION("""COMPUTED_VALUE"""),"GS Foundation")</f>
        <v>GS Foundation</v>
      </c>
      <c r="K609" s="124"/>
      <c r="L609" s="124"/>
      <c r="M609" s="124"/>
      <c r="N609" s="124"/>
      <c r="O609" s="124"/>
      <c r="T609" s="126">
        <f>IFERROR(__xludf.DUMMYFUNCTION("""COMPUTED_VALUE"""),46082.0)</f>
        <v>46082</v>
      </c>
      <c r="U609" s="124" t="str">
        <f>IFERROR(__xludf.DUMMYFUNCTION("""COMPUTED_VALUE"""),"Walk-Ins")</f>
        <v>Walk-Ins</v>
      </c>
      <c r="V609" s="124" t="str">
        <f>IFERROR(__xludf.DUMMYFUNCTION("""COMPUTED_VALUE"""),"Walk-In")</f>
        <v>Walk-In</v>
      </c>
      <c r="W609" s="124" t="str">
        <f>IFERROR(__xludf.DUMMYFUNCTION("""COMPUTED_VALUE"""),"Prayagraj")</f>
        <v>Prayagraj</v>
      </c>
      <c r="X609" s="124" t="str">
        <f>IFERROR(__xludf.DUMMYFUNCTION("""COMPUTED_VALUE"""),"Others")</f>
        <v>Others</v>
      </c>
      <c r="Y609" s="124" t="str">
        <f>IFERROR(__xludf.DUMMYFUNCTION("""COMPUTED_VALUE"""),"Prayagraj")</f>
        <v>Prayagraj</v>
      </c>
      <c r="Z609" s="124">
        <f>IFERROR(__xludf.DUMMYFUNCTION("""COMPUTED_VALUE"""),1.0)</f>
        <v>1</v>
      </c>
      <c r="AA609" s="124" t="str">
        <f>IFERROR(__xludf.DUMMYFUNCTION("""COMPUTED_VALUE"""),"Warm")</f>
        <v>Warm</v>
      </c>
      <c r="AB609" s="124" t="str">
        <f>IFERROR(__xludf.DUMMYFUNCTION("""COMPUTED_VALUE"""),"State PCS")</f>
        <v>State PCS</v>
      </c>
    </row>
    <row r="610">
      <c r="A610" s="126">
        <f>IFERROR(__xludf.DUMMYFUNCTION("""COMPUTED_VALUE"""),46108.0)</f>
        <v>46108</v>
      </c>
      <c r="B610" s="124" t="str">
        <f>IFERROR(__xludf.DUMMYFUNCTION("""COMPUTED_VALUE"""),"Walkin")</f>
        <v>Walkin</v>
      </c>
      <c r="C610" s="124" t="str">
        <f>IFERROR(__xludf.DUMMYFUNCTION("""COMPUTED_VALUE"""),"Prayagraj")</f>
        <v>Prayagraj</v>
      </c>
      <c r="D610" s="124" t="str">
        <f>IFERROR(__xludf.DUMMYFUNCTION("""COMPUTED_VALUE"""),"Primary_Walkin")</f>
        <v>Primary_Walkin</v>
      </c>
      <c r="E610" s="124">
        <f>IFERROR(__xludf.DUMMYFUNCTION("""COMPUTED_VALUE"""),4.0)</f>
        <v>4</v>
      </c>
      <c r="F610" s="124" t="str">
        <f>IFERROR(__xludf.DUMMYFUNCTION("""COMPUTED_VALUE"""),"Warm")</f>
        <v>Warm</v>
      </c>
      <c r="G610" s="124" t="str">
        <f>IFERROR(__xludf.DUMMYFUNCTION("""COMPUTED_VALUE"""),"GS Foundation")</f>
        <v>GS Foundation</v>
      </c>
      <c r="K610" s="124"/>
      <c r="L610" s="124"/>
      <c r="M610" s="124"/>
      <c r="N610" s="124"/>
      <c r="O610" s="124"/>
      <c r="T610" s="126">
        <f>IFERROR(__xludf.DUMMYFUNCTION("""COMPUTED_VALUE"""),46111.0)</f>
        <v>46111</v>
      </c>
      <c r="U610" s="124" t="str">
        <f>IFERROR(__xludf.DUMMYFUNCTION("""COMPUTED_VALUE"""),"Walk-Ins")</f>
        <v>Walk-Ins</v>
      </c>
      <c r="V610" s="124" t="str">
        <f>IFERROR(__xludf.DUMMYFUNCTION("""COMPUTED_VALUE"""),"Walkin")</f>
        <v>Walkin</v>
      </c>
      <c r="W610" s="124" t="str">
        <f>IFERROR(__xludf.DUMMYFUNCTION("""COMPUTED_VALUE"""),"Indore")</f>
        <v>Indore</v>
      </c>
      <c r="X610" s="124" t="str">
        <f>IFERROR(__xludf.DUMMYFUNCTION("""COMPUTED_VALUE"""),"Walkin")</f>
        <v>Walkin</v>
      </c>
      <c r="Y610" s="124" t="str">
        <f>IFERROR(__xludf.DUMMYFUNCTION("""COMPUTED_VALUE"""),"Indore")</f>
        <v>Indore</v>
      </c>
      <c r="Z610" s="124">
        <f>IFERROR(__xludf.DUMMYFUNCTION("""COMPUTED_VALUE"""),4.0)</f>
        <v>4</v>
      </c>
      <c r="AA610" s="124" t="str">
        <f>IFERROR(__xludf.DUMMYFUNCTION("""COMPUTED_VALUE"""),"Future Prospects")</f>
        <v>Future Prospects</v>
      </c>
      <c r="AB610" s="124" t="str">
        <f>IFERROR(__xludf.DUMMYFUNCTION("""COMPUTED_VALUE"""),"GS Foundation")</f>
        <v>GS Foundation</v>
      </c>
    </row>
    <row r="611">
      <c r="A611" s="126">
        <f>IFERROR(__xludf.DUMMYFUNCTION("""COMPUTED_VALUE"""),46088.0)</f>
        <v>46088</v>
      </c>
      <c r="B611" s="124" t="str">
        <f>IFERROR(__xludf.DUMMYFUNCTION("""COMPUTED_VALUE"""),"Walkin")</f>
        <v>Walkin</v>
      </c>
      <c r="C611" s="124" t="str">
        <f>IFERROR(__xludf.DUMMYFUNCTION("""COMPUTED_VALUE"""),"Prayagraj")</f>
        <v>Prayagraj</v>
      </c>
      <c r="D611" s="124" t="str">
        <f>IFERROR(__xludf.DUMMYFUNCTION("""COMPUTED_VALUE"""),"Primary_Walkin")</f>
        <v>Primary_Walkin</v>
      </c>
      <c r="E611" s="124">
        <f>IFERROR(__xludf.DUMMYFUNCTION("""COMPUTED_VALUE"""),2.0)</f>
        <v>2</v>
      </c>
      <c r="F611" s="124" t="str">
        <f>IFERROR(__xludf.DUMMYFUNCTION("""COMPUTED_VALUE"""),"Cold")</f>
        <v>Cold</v>
      </c>
      <c r="G611" s="124" t="str">
        <f>IFERROR(__xludf.DUMMYFUNCTION("""COMPUTED_VALUE"""),"Optionals")</f>
        <v>Optionals</v>
      </c>
      <c r="K611" s="124"/>
      <c r="L611" s="124"/>
      <c r="M611" s="124"/>
      <c r="N611" s="124"/>
      <c r="O611" s="124"/>
      <c r="T611" s="126">
        <f>IFERROR(__xludf.DUMMYFUNCTION("""COMPUTED_VALUE"""),46069.0)</f>
        <v>46069</v>
      </c>
      <c r="U611" s="124" t="str">
        <f>IFERROR(__xludf.DUMMYFUNCTION("""COMPUTED_VALUE"""),"Walk-Ins")</f>
        <v>Walk-Ins</v>
      </c>
      <c r="V611" s="124" t="str">
        <f>IFERROR(__xludf.DUMMYFUNCTION("""COMPUTED_VALUE"""),"Walkin")</f>
        <v>Walkin</v>
      </c>
      <c r="W611" s="124" t="str">
        <f>IFERROR(__xludf.DUMMYFUNCTION("""COMPUTED_VALUE"""),"Indore")</f>
        <v>Indore</v>
      </c>
      <c r="X611" s="124" t="str">
        <f>IFERROR(__xludf.DUMMYFUNCTION("""COMPUTED_VALUE"""),"Walkin")</f>
        <v>Walkin</v>
      </c>
      <c r="Y611" s="124" t="str">
        <f>IFERROR(__xludf.DUMMYFUNCTION("""COMPUTED_VALUE"""),"Indore")</f>
        <v>Indore</v>
      </c>
      <c r="Z611" s="124">
        <f>IFERROR(__xludf.DUMMYFUNCTION("""COMPUTED_VALUE"""),1.0)</f>
        <v>1</v>
      </c>
      <c r="AA611" s="124" t="str">
        <f>IFERROR(__xludf.DUMMYFUNCTION("""COMPUTED_VALUE"""),"Warm")</f>
        <v>Warm</v>
      </c>
      <c r="AB611" s="124" t="str">
        <f>IFERROR(__xludf.DUMMYFUNCTION("""COMPUTED_VALUE"""),"Test Series")</f>
        <v>Test Series</v>
      </c>
    </row>
    <row r="612">
      <c r="A612" s="129">
        <f>IFERROR(__xludf.DUMMYFUNCTION("""COMPUTED_VALUE"""),46067.0)</f>
        <v>46067</v>
      </c>
      <c r="B612" s="124" t="str">
        <f>IFERROR(__xludf.DUMMYFUNCTION("""COMPUTED_VALUE"""),"Walkin")</f>
        <v>Walkin</v>
      </c>
      <c r="C612" s="124" t="str">
        <f>IFERROR(__xludf.DUMMYFUNCTION("""COMPUTED_VALUE"""),"Prayagraj")</f>
        <v>Prayagraj</v>
      </c>
      <c r="D612" s="124" t="str">
        <f>IFERROR(__xludf.DUMMYFUNCTION("""COMPUTED_VALUE"""),"Primary_Walkin")</f>
        <v>Primary_Walkin</v>
      </c>
      <c r="E612" s="124">
        <f>IFERROR(__xludf.DUMMYFUNCTION("""COMPUTED_VALUE"""),1.0)</f>
        <v>1</v>
      </c>
      <c r="F612" s="124" t="str">
        <f>IFERROR(__xludf.DUMMYFUNCTION("""COMPUTED_VALUE"""),"Cold")</f>
        <v>Cold</v>
      </c>
      <c r="G612" s="124" t="str">
        <f>IFERROR(__xludf.DUMMYFUNCTION("""COMPUTED_VALUE"""),"GS Foundation")</f>
        <v>GS Foundation</v>
      </c>
      <c r="K612" s="124"/>
      <c r="L612" s="124"/>
      <c r="M612" s="124"/>
      <c r="N612" s="124"/>
      <c r="O612" s="124"/>
      <c r="T612" s="129">
        <f>IFERROR(__xludf.DUMMYFUNCTION("""COMPUTED_VALUE"""),46101.0)</f>
        <v>46101</v>
      </c>
      <c r="U612" s="124" t="str">
        <f>IFERROR(__xludf.DUMMYFUNCTION("""COMPUTED_VALUE"""),"Walk-Ins")</f>
        <v>Walk-Ins</v>
      </c>
      <c r="V612" s="124" t="str">
        <f>IFERROR(__xludf.DUMMYFUNCTION("""COMPUTED_VALUE"""),"Walkin")</f>
        <v>Walkin</v>
      </c>
      <c r="W612" s="124" t="str">
        <f>IFERROR(__xludf.DUMMYFUNCTION("""COMPUTED_VALUE"""),"Indore")</f>
        <v>Indore</v>
      </c>
      <c r="X612" s="124" t="str">
        <f>IFERROR(__xludf.DUMMYFUNCTION("""COMPUTED_VALUE"""),"Walkin")</f>
        <v>Walkin</v>
      </c>
      <c r="Y612" s="124" t="str">
        <f>IFERROR(__xludf.DUMMYFUNCTION("""COMPUTED_VALUE"""),"Indore")</f>
        <v>Indore</v>
      </c>
      <c r="Z612" s="124">
        <f>IFERROR(__xludf.DUMMYFUNCTION("""COMPUTED_VALUE"""),1.0)</f>
        <v>1</v>
      </c>
      <c r="AA612" s="124" t="str">
        <f>IFERROR(__xludf.DUMMYFUNCTION("""COMPUTED_VALUE"""),"Cold")</f>
        <v>Cold</v>
      </c>
      <c r="AB612" s="124" t="str">
        <f>IFERROR(__xludf.DUMMYFUNCTION("""COMPUTED_VALUE"""),"Other")</f>
        <v>Other</v>
      </c>
    </row>
    <row r="613">
      <c r="A613" s="126">
        <f>IFERROR(__xludf.DUMMYFUNCTION("""COMPUTED_VALUE"""),46111.0)</f>
        <v>46111</v>
      </c>
      <c r="B613" s="124" t="str">
        <f>IFERROR(__xludf.DUMMYFUNCTION("""COMPUTED_VALUE"""),"Walkin")</f>
        <v>Walkin</v>
      </c>
      <c r="C613" s="124" t="str">
        <f>IFERROR(__xludf.DUMMYFUNCTION("""COMPUTED_VALUE"""),"Prayagraj")</f>
        <v>Prayagraj</v>
      </c>
      <c r="D613" s="124" t="str">
        <f>IFERROR(__xludf.DUMMYFUNCTION("""COMPUTED_VALUE"""),"Primary_Walkin")</f>
        <v>Primary_Walkin</v>
      </c>
      <c r="E613" s="124">
        <f>IFERROR(__xludf.DUMMYFUNCTION("""COMPUTED_VALUE"""),4.0)</f>
        <v>4</v>
      </c>
      <c r="F613" s="124" t="str">
        <f>IFERROR(__xludf.DUMMYFUNCTION("""COMPUTED_VALUE"""),"Warm")</f>
        <v>Warm</v>
      </c>
      <c r="G613" s="124" t="str">
        <f>IFERROR(__xludf.DUMMYFUNCTION("""COMPUTED_VALUE"""),"State PCS")</f>
        <v>State PCS</v>
      </c>
      <c r="K613" s="124"/>
      <c r="L613" s="124"/>
      <c r="M613" s="124"/>
      <c r="N613" s="124"/>
      <c r="O613" s="124"/>
      <c r="T613" s="126">
        <f>IFERROR(__xludf.DUMMYFUNCTION("""COMPUTED_VALUE"""),46104.0)</f>
        <v>46104</v>
      </c>
      <c r="U613" s="124" t="str">
        <f>IFERROR(__xludf.DUMMYFUNCTION("""COMPUTED_VALUE"""),"Walk-Ins")</f>
        <v>Walk-Ins</v>
      </c>
      <c r="V613" s="124" t="str">
        <f>IFERROR(__xludf.DUMMYFUNCTION("""COMPUTED_VALUE"""),"Walkin")</f>
        <v>Walkin</v>
      </c>
      <c r="W613" s="124" t="str">
        <f>IFERROR(__xludf.DUMMYFUNCTION("""COMPUTED_VALUE"""),"Patna")</f>
        <v>Patna</v>
      </c>
      <c r="X613" s="124" t="str">
        <f>IFERROR(__xludf.DUMMYFUNCTION("""COMPUTED_VALUE"""),"Walkin")</f>
        <v>Walkin</v>
      </c>
      <c r="Y613" s="124" t="str">
        <f>IFERROR(__xludf.DUMMYFUNCTION("""COMPUTED_VALUE"""),"Patna")</f>
        <v>Patna</v>
      </c>
      <c r="Z613" s="124">
        <f>IFERROR(__xludf.DUMMYFUNCTION("""COMPUTED_VALUE"""),5.0)</f>
        <v>5</v>
      </c>
      <c r="AA613" s="124" t="str">
        <f>IFERROR(__xludf.DUMMYFUNCTION("""COMPUTED_VALUE"""),"Warm")</f>
        <v>Warm</v>
      </c>
      <c r="AB613" s="124" t="str">
        <f>IFERROR(__xludf.DUMMYFUNCTION("""COMPUTED_VALUE"""),"State PCS")</f>
        <v>State PCS</v>
      </c>
    </row>
    <row r="614">
      <c r="A614" s="126">
        <f>IFERROR(__xludf.DUMMYFUNCTION("""COMPUTED_VALUE"""),46102.0)</f>
        <v>46102</v>
      </c>
      <c r="B614" s="124" t="str">
        <f>IFERROR(__xludf.DUMMYFUNCTION("""COMPUTED_VALUE"""),"Walkin")</f>
        <v>Walkin</v>
      </c>
      <c r="C614" s="124" t="str">
        <f>IFERROR(__xludf.DUMMYFUNCTION("""COMPUTED_VALUE"""),"Prayagraj")</f>
        <v>Prayagraj</v>
      </c>
      <c r="D614" s="124" t="str">
        <f>IFERROR(__xludf.DUMMYFUNCTION("""COMPUTED_VALUE"""),"Primary_Walkin")</f>
        <v>Primary_Walkin</v>
      </c>
      <c r="E614" s="124">
        <f>IFERROR(__xludf.DUMMYFUNCTION("""COMPUTED_VALUE"""),1.0)</f>
        <v>1</v>
      </c>
      <c r="F614" s="124" t="str">
        <f>IFERROR(__xludf.DUMMYFUNCTION("""COMPUTED_VALUE"""),"Warm")</f>
        <v>Warm</v>
      </c>
      <c r="G614" s="124" t="str">
        <f>IFERROR(__xludf.DUMMYFUNCTION("""COMPUTED_VALUE"""),"State PCS")</f>
        <v>State PCS</v>
      </c>
      <c r="K614" s="124"/>
      <c r="L614" s="124"/>
      <c r="M614" s="124"/>
      <c r="N614" s="124"/>
      <c r="O614" s="124"/>
      <c r="T614" s="126">
        <f>IFERROR(__xludf.DUMMYFUNCTION("""COMPUTED_VALUE"""),46091.0)</f>
        <v>46091</v>
      </c>
      <c r="U614" s="124" t="str">
        <f>IFERROR(__xludf.DUMMYFUNCTION("""COMPUTED_VALUE"""),"Walk-Ins")</f>
        <v>Walk-Ins</v>
      </c>
      <c r="V614" s="124" t="str">
        <f>IFERROR(__xludf.DUMMYFUNCTION("""COMPUTED_VALUE"""),"Walkin")</f>
        <v>Walkin</v>
      </c>
      <c r="W614" s="124" t="str">
        <f>IFERROR(__xludf.DUMMYFUNCTION("""COMPUTED_VALUE"""),"Patna")</f>
        <v>Patna</v>
      </c>
      <c r="X614" s="124" t="str">
        <f>IFERROR(__xludf.DUMMYFUNCTION("""COMPUTED_VALUE"""),"Walkin")</f>
        <v>Walkin</v>
      </c>
      <c r="Y614" s="124" t="str">
        <f>IFERROR(__xludf.DUMMYFUNCTION("""COMPUTED_VALUE"""),"Patna")</f>
        <v>Patna</v>
      </c>
      <c r="Z614" s="124">
        <f>IFERROR(__xludf.DUMMYFUNCTION("""COMPUTED_VALUE"""),2.0)</f>
        <v>2</v>
      </c>
      <c r="AA614" s="124" t="str">
        <f>IFERROR(__xludf.DUMMYFUNCTION("""COMPUTED_VALUE"""),"Warm")</f>
        <v>Warm</v>
      </c>
      <c r="AB614" s="124" t="str">
        <f>IFERROR(__xludf.DUMMYFUNCTION("""COMPUTED_VALUE"""),"GS Foundation")</f>
        <v>GS Foundation</v>
      </c>
    </row>
    <row r="615">
      <c r="A615" s="126">
        <f>IFERROR(__xludf.DUMMYFUNCTION("""COMPUTED_VALUE"""),46098.0)</f>
        <v>46098</v>
      </c>
      <c r="B615" s="124" t="str">
        <f>IFERROR(__xludf.DUMMYFUNCTION("""COMPUTED_VALUE"""),"Walk-In")</f>
        <v>Walk-In</v>
      </c>
      <c r="C615" s="124" t="str">
        <f>IFERROR(__xludf.DUMMYFUNCTION("""COMPUTED_VALUE"""),"Prayagraj")</f>
        <v>Prayagraj</v>
      </c>
      <c r="D615" s="124" t="str">
        <f>IFERROR(__xludf.DUMMYFUNCTION("""COMPUTED_VALUE"""),"Primary_Walkin")</f>
        <v>Primary_Walkin</v>
      </c>
      <c r="E615" s="124">
        <f>IFERROR(__xludf.DUMMYFUNCTION("""COMPUTED_VALUE"""),1.0)</f>
        <v>1</v>
      </c>
      <c r="F615" s="124" t="str">
        <f>IFERROR(__xludf.DUMMYFUNCTION("""COMPUTED_VALUE"""),"Warm")</f>
        <v>Warm</v>
      </c>
      <c r="G615" s="124" t="str">
        <f>IFERROR(__xludf.DUMMYFUNCTION("""COMPUTED_VALUE"""),"Mentorship")</f>
        <v>Mentorship</v>
      </c>
      <c r="K615" s="124"/>
      <c r="L615" s="124"/>
      <c r="M615" s="124"/>
      <c r="N615" s="124"/>
      <c r="O615" s="124"/>
      <c r="T615" s="126">
        <f>IFERROR(__xludf.DUMMYFUNCTION("""COMPUTED_VALUE"""),46076.0)</f>
        <v>46076</v>
      </c>
      <c r="U615" s="124" t="str">
        <f>IFERROR(__xludf.DUMMYFUNCTION("""COMPUTED_VALUE"""),"Walk-Ins")</f>
        <v>Walk-Ins</v>
      </c>
      <c r="V615" s="124" t="str">
        <f>IFERROR(__xludf.DUMMYFUNCTION("""COMPUTED_VALUE"""),"Walkin")</f>
        <v>Walkin</v>
      </c>
      <c r="W615" s="124" t="str">
        <f>IFERROR(__xludf.DUMMYFUNCTION("""COMPUTED_VALUE"""),"Indore")</f>
        <v>Indore</v>
      </c>
      <c r="X615" s="124" t="str">
        <f>IFERROR(__xludf.DUMMYFUNCTION("""COMPUTED_VALUE"""),"Walkin")</f>
        <v>Walkin</v>
      </c>
      <c r="Y615" s="124" t="str">
        <f>IFERROR(__xludf.DUMMYFUNCTION("""COMPUTED_VALUE"""),"Indore")</f>
        <v>Indore</v>
      </c>
      <c r="Z615" s="124">
        <f>IFERROR(__xludf.DUMMYFUNCTION("""COMPUTED_VALUE"""),1.0)</f>
        <v>1</v>
      </c>
      <c r="AA615" s="124" t="str">
        <f>IFERROR(__xludf.DUMMYFUNCTION("""COMPUTED_VALUE"""),"Future Prospects")</f>
        <v>Future Prospects</v>
      </c>
      <c r="AB615" s="124" t="str">
        <f>IFERROR(__xludf.DUMMYFUNCTION("""COMPUTED_VALUE"""),"State PCS")</f>
        <v>State PCS</v>
      </c>
    </row>
    <row r="616">
      <c r="A616" s="126">
        <f>IFERROR(__xludf.DUMMYFUNCTION("""COMPUTED_VALUE"""),46066.0)</f>
        <v>46066</v>
      </c>
      <c r="B616" s="124" t="str">
        <f>IFERROR(__xludf.DUMMYFUNCTION("""COMPUTED_VALUE"""),"BTL Activities")</f>
        <v>BTL Activities</v>
      </c>
      <c r="C616" s="124" t="str">
        <f>IFERROR(__xludf.DUMMYFUNCTION("""COMPUTED_VALUE"""),"Prayagraj")</f>
        <v>Prayagraj</v>
      </c>
      <c r="D616" s="124" t="str">
        <f>IFERROR(__xludf.DUMMYFUNCTION("""COMPUTED_VALUE"""),"Secondary_Walkin")</f>
        <v>Secondary_Walkin</v>
      </c>
      <c r="E616" s="124">
        <f>IFERROR(__xludf.DUMMYFUNCTION("""COMPUTED_VALUE"""),2.0)</f>
        <v>2</v>
      </c>
      <c r="F616" s="124" t="str">
        <f>IFERROR(__xludf.DUMMYFUNCTION("""COMPUTED_VALUE"""),"Enrolled")</f>
        <v>Enrolled</v>
      </c>
      <c r="G616" s="124" t="str">
        <f>IFERROR(__xludf.DUMMYFUNCTION("""COMPUTED_VALUE"""),"GS Foundation")</f>
        <v>GS Foundation</v>
      </c>
      <c r="K616" s="124"/>
      <c r="L616" s="124"/>
      <c r="M616" s="124"/>
      <c r="N616" s="124"/>
      <c r="O616" s="124"/>
      <c r="T616" s="129">
        <f>IFERROR(__xludf.DUMMYFUNCTION("""COMPUTED_VALUE"""),46112.0)</f>
        <v>46112</v>
      </c>
      <c r="U616" s="124" t="str">
        <f>IFERROR(__xludf.DUMMYFUNCTION("""COMPUTED_VALUE"""),"Walk-Ins")</f>
        <v>Walk-Ins</v>
      </c>
      <c r="V616" s="124" t="str">
        <f>IFERROR(__xludf.DUMMYFUNCTION("""COMPUTED_VALUE"""),"Walkin")</f>
        <v>Walkin</v>
      </c>
      <c r="W616" s="124" t="str">
        <f>IFERROR(__xludf.DUMMYFUNCTION("""COMPUTED_VALUE"""),"Patna")</f>
        <v>Patna</v>
      </c>
      <c r="X616" s="124" t="str">
        <f>IFERROR(__xludf.DUMMYFUNCTION("""COMPUTED_VALUE"""),"Walkin")</f>
        <v>Walkin</v>
      </c>
      <c r="Y616" s="124" t="str">
        <f>IFERROR(__xludf.DUMMYFUNCTION("""COMPUTED_VALUE"""),"Patna")</f>
        <v>Patna</v>
      </c>
      <c r="Z616" s="124">
        <f>IFERROR(__xludf.DUMMYFUNCTION("""COMPUTED_VALUE"""),1.0)</f>
        <v>1</v>
      </c>
      <c r="AA616" s="124" t="str">
        <f>IFERROR(__xludf.DUMMYFUNCTION("""COMPUTED_VALUE"""),"Fake Lead")</f>
        <v>Fake Lead</v>
      </c>
      <c r="AB616" s="124" t="str">
        <f>IFERROR(__xludf.DUMMYFUNCTION("""COMPUTED_VALUE"""),"GS Foundation")</f>
        <v>GS Foundation</v>
      </c>
    </row>
    <row r="617">
      <c r="A617" s="126">
        <f>IFERROR(__xludf.DUMMYFUNCTION("""COMPUTED_VALUE"""),46093.0)</f>
        <v>46093</v>
      </c>
      <c r="B617" s="124" t="str">
        <f>IFERROR(__xludf.DUMMYFUNCTION("""COMPUTED_VALUE"""),"Walkin")</f>
        <v>Walkin</v>
      </c>
      <c r="C617" s="124" t="str">
        <f>IFERROR(__xludf.DUMMYFUNCTION("""COMPUTED_VALUE"""),"Prayagraj")</f>
        <v>Prayagraj</v>
      </c>
      <c r="D617" s="124" t="str">
        <f>IFERROR(__xludf.DUMMYFUNCTION("""COMPUTED_VALUE"""),"Primary_Walkin")</f>
        <v>Primary_Walkin</v>
      </c>
      <c r="E617" s="124">
        <f>IFERROR(__xludf.DUMMYFUNCTION("""COMPUTED_VALUE"""),1.0)</f>
        <v>1</v>
      </c>
      <c r="F617" s="124" t="str">
        <f>IFERROR(__xludf.DUMMYFUNCTION("""COMPUTED_VALUE"""),"Warm")</f>
        <v>Warm</v>
      </c>
      <c r="G617" s="124" t="str">
        <f>IFERROR(__xludf.DUMMYFUNCTION("""COMPUTED_VALUE"""),"Mentorship")</f>
        <v>Mentorship</v>
      </c>
      <c r="K617" s="124"/>
      <c r="L617" s="124"/>
      <c r="M617" s="124"/>
      <c r="N617" s="124"/>
      <c r="O617" s="124"/>
      <c r="T617" s="129">
        <f>IFERROR(__xludf.DUMMYFUNCTION("""COMPUTED_VALUE"""),46100.0)</f>
        <v>46100</v>
      </c>
      <c r="U617" s="124" t="str">
        <f>IFERROR(__xludf.DUMMYFUNCTION("""COMPUTED_VALUE"""),"Walk-Ins")</f>
        <v>Walk-Ins</v>
      </c>
      <c r="V617" s="124" t="str">
        <f>IFERROR(__xludf.DUMMYFUNCTION("""COMPUTED_VALUE"""),"Walkin")</f>
        <v>Walkin</v>
      </c>
      <c r="W617" s="124" t="str">
        <f>IFERROR(__xludf.DUMMYFUNCTION("""COMPUTED_VALUE"""),"Patna")</f>
        <v>Patna</v>
      </c>
      <c r="X617" s="124" t="str">
        <f>IFERROR(__xludf.DUMMYFUNCTION("""COMPUTED_VALUE"""),"Walkin")</f>
        <v>Walkin</v>
      </c>
      <c r="Y617" s="124" t="str">
        <f>IFERROR(__xludf.DUMMYFUNCTION("""COMPUTED_VALUE"""),"Patna")</f>
        <v>Patna</v>
      </c>
      <c r="Z617" s="124">
        <f>IFERROR(__xludf.DUMMYFUNCTION("""COMPUTED_VALUE"""),1.0)</f>
        <v>1</v>
      </c>
      <c r="AA617" s="124" t="str">
        <f>IFERROR(__xludf.DUMMYFUNCTION("""COMPUTED_VALUE"""),"Cold")</f>
        <v>Cold</v>
      </c>
      <c r="AB617" s="124" t="str">
        <f>IFERROR(__xludf.DUMMYFUNCTION("""COMPUTED_VALUE"""),"GS Foundation")</f>
        <v>GS Foundation</v>
      </c>
    </row>
    <row r="618">
      <c r="A618" s="129">
        <f>IFERROR(__xludf.DUMMYFUNCTION("""COMPUTED_VALUE"""),46075.0)</f>
        <v>46075</v>
      </c>
      <c r="B618" s="124" t="str">
        <f>IFERROR(__xludf.DUMMYFUNCTION("""COMPUTED_VALUE"""),"Walkin")</f>
        <v>Walkin</v>
      </c>
      <c r="C618" s="124" t="str">
        <f>IFERROR(__xludf.DUMMYFUNCTION("""COMPUTED_VALUE"""),"Prayagraj")</f>
        <v>Prayagraj</v>
      </c>
      <c r="D618" s="124" t="str">
        <f>IFERROR(__xludf.DUMMYFUNCTION("""COMPUTED_VALUE"""),"Primary_Walkin")</f>
        <v>Primary_Walkin</v>
      </c>
      <c r="E618" s="124">
        <f>IFERROR(__xludf.DUMMYFUNCTION("""COMPUTED_VALUE"""),5.0)</f>
        <v>5</v>
      </c>
      <c r="F618" s="124" t="str">
        <f>IFERROR(__xludf.DUMMYFUNCTION("""COMPUTED_VALUE"""),"Future Prospects")</f>
        <v>Future Prospects</v>
      </c>
      <c r="G618" s="124" t="str">
        <f>IFERROR(__xludf.DUMMYFUNCTION("""COMPUTED_VALUE"""),"GS Foundation")</f>
        <v>GS Foundation</v>
      </c>
      <c r="K618" s="124"/>
      <c r="L618" s="124"/>
      <c r="M618" s="124"/>
      <c r="N618" s="124"/>
      <c r="O618" s="124"/>
      <c r="T618" s="126">
        <f>IFERROR(__xludf.DUMMYFUNCTION("""COMPUTED_VALUE"""),46053.0)</f>
        <v>46053</v>
      </c>
      <c r="U618" s="124" t="str">
        <f>IFERROR(__xludf.DUMMYFUNCTION("""COMPUTED_VALUE"""),"Walk-Ins")</f>
        <v>Walk-Ins</v>
      </c>
      <c r="V618" s="124" t="str">
        <f>IFERROR(__xludf.DUMMYFUNCTION("""COMPUTED_VALUE"""),"Walkin")</f>
        <v>Walkin</v>
      </c>
      <c r="W618" s="124" t="str">
        <f>IFERROR(__xludf.DUMMYFUNCTION("""COMPUTED_VALUE"""),"Indore")</f>
        <v>Indore</v>
      </c>
      <c r="X618" s="124" t="str">
        <f>IFERROR(__xludf.DUMMYFUNCTION("""COMPUTED_VALUE"""),"Walkin")</f>
        <v>Walkin</v>
      </c>
      <c r="Y618" s="124" t="str">
        <f>IFERROR(__xludf.DUMMYFUNCTION("""COMPUTED_VALUE"""),"Indore")</f>
        <v>Indore</v>
      </c>
      <c r="Z618" s="124">
        <f>IFERROR(__xludf.DUMMYFUNCTION("""COMPUTED_VALUE"""),3.0)</f>
        <v>3</v>
      </c>
      <c r="AA618" s="124" t="str">
        <f>IFERROR(__xludf.DUMMYFUNCTION("""COMPUTED_VALUE"""),"Cold")</f>
        <v>Cold</v>
      </c>
      <c r="AB618" s="124" t="str">
        <f>IFERROR(__xludf.DUMMYFUNCTION("""COMPUTED_VALUE"""),"GS Foundation")</f>
        <v>GS Foundation</v>
      </c>
    </row>
    <row r="619">
      <c r="A619" s="126">
        <f>IFERROR(__xludf.DUMMYFUNCTION("""COMPUTED_VALUE"""),46060.0)</f>
        <v>46060</v>
      </c>
      <c r="B619" s="124" t="str">
        <f>IFERROR(__xludf.DUMMYFUNCTION("""COMPUTED_VALUE"""),"Walkin")</f>
        <v>Walkin</v>
      </c>
      <c r="C619" s="124" t="str">
        <f>IFERROR(__xludf.DUMMYFUNCTION("""COMPUTED_VALUE"""),"Prayagraj")</f>
        <v>Prayagraj</v>
      </c>
      <c r="D619" s="124" t="str">
        <f>IFERROR(__xludf.DUMMYFUNCTION("""COMPUTED_VALUE"""),"Primary_Walkin")</f>
        <v>Primary_Walkin</v>
      </c>
      <c r="E619" s="124">
        <f>IFERROR(__xludf.DUMMYFUNCTION("""COMPUTED_VALUE"""),1.0)</f>
        <v>1</v>
      </c>
      <c r="F619" s="124" t="str">
        <f>IFERROR(__xludf.DUMMYFUNCTION("""COMPUTED_VALUE"""),"Cold")</f>
        <v>Cold</v>
      </c>
      <c r="G619" s="124" t="str">
        <f>IFERROR(__xludf.DUMMYFUNCTION("""COMPUTED_VALUE"""),"State PCS")</f>
        <v>State PCS</v>
      </c>
      <c r="K619" s="124"/>
      <c r="L619" s="124"/>
      <c r="M619" s="124"/>
      <c r="N619" s="124"/>
      <c r="O619" s="124"/>
      <c r="T619" s="126">
        <f>IFERROR(__xludf.DUMMYFUNCTION("""COMPUTED_VALUE"""),46069.0)</f>
        <v>46069</v>
      </c>
      <c r="U619" s="124" t="str">
        <f>IFERROR(__xludf.DUMMYFUNCTION("""COMPUTED_VALUE"""),"Walk-Ins")</f>
        <v>Walk-Ins</v>
      </c>
      <c r="V619" s="124" t="str">
        <f>IFERROR(__xludf.DUMMYFUNCTION("""COMPUTED_VALUE"""),"Walkin")</f>
        <v>Walkin</v>
      </c>
      <c r="W619" s="124" t="str">
        <f>IFERROR(__xludf.DUMMYFUNCTION("""COMPUTED_VALUE"""),"Indore")</f>
        <v>Indore</v>
      </c>
      <c r="X619" s="124" t="str">
        <f>IFERROR(__xludf.DUMMYFUNCTION("""COMPUTED_VALUE"""),"Walkin")</f>
        <v>Walkin</v>
      </c>
      <c r="Y619" s="124" t="str">
        <f>IFERROR(__xludf.DUMMYFUNCTION("""COMPUTED_VALUE"""),"Indore")</f>
        <v>Indore</v>
      </c>
      <c r="Z619" s="124">
        <f>IFERROR(__xludf.DUMMYFUNCTION("""COMPUTED_VALUE"""),3.0)</f>
        <v>3</v>
      </c>
      <c r="AA619" s="124" t="str">
        <f>IFERROR(__xludf.DUMMYFUNCTION("""COMPUTED_VALUE"""),"Cold")</f>
        <v>Cold</v>
      </c>
      <c r="AB619" s="124" t="str">
        <f>IFERROR(__xludf.DUMMYFUNCTION("""COMPUTED_VALUE"""),"Other")</f>
        <v>Other</v>
      </c>
    </row>
    <row r="620">
      <c r="A620" s="129">
        <f>IFERROR(__xludf.DUMMYFUNCTION("""COMPUTED_VALUE"""),46101.0)</f>
        <v>46101</v>
      </c>
      <c r="B620" s="124" t="str">
        <f>IFERROR(__xludf.DUMMYFUNCTION("""COMPUTED_VALUE"""),"Walkin")</f>
        <v>Walkin</v>
      </c>
      <c r="C620" s="124" t="str">
        <f>IFERROR(__xludf.DUMMYFUNCTION("""COMPUTED_VALUE"""),"Prayagraj")</f>
        <v>Prayagraj</v>
      </c>
      <c r="D620" s="124" t="str">
        <f>IFERROR(__xludf.DUMMYFUNCTION("""COMPUTED_VALUE"""),"Primary_Walkin")</f>
        <v>Primary_Walkin</v>
      </c>
      <c r="E620" s="124">
        <f>IFERROR(__xludf.DUMMYFUNCTION("""COMPUTED_VALUE"""),1.0)</f>
        <v>1</v>
      </c>
      <c r="F620" s="124" t="str">
        <f>IFERROR(__xludf.DUMMYFUNCTION("""COMPUTED_VALUE"""),"Future Prospects")</f>
        <v>Future Prospects</v>
      </c>
      <c r="G620" s="124" t="str">
        <f>IFERROR(__xludf.DUMMYFUNCTION("""COMPUTED_VALUE"""),"State PCS")</f>
        <v>State PCS</v>
      </c>
      <c r="K620" s="124"/>
      <c r="L620" s="124"/>
      <c r="M620" s="124"/>
      <c r="N620" s="124"/>
      <c r="O620" s="124"/>
      <c r="T620" s="126">
        <f>IFERROR(__xludf.DUMMYFUNCTION("""COMPUTED_VALUE"""),46049.0)</f>
        <v>46049</v>
      </c>
      <c r="U620" s="124" t="str">
        <f>IFERROR(__xludf.DUMMYFUNCTION("""COMPUTED_VALUE"""),"Walk-Ins")</f>
        <v>Walk-Ins</v>
      </c>
      <c r="V620" s="124" t="str">
        <f>IFERROR(__xludf.DUMMYFUNCTION("""COMPUTED_VALUE"""),"Walkin")</f>
        <v>Walkin</v>
      </c>
      <c r="W620" s="124" t="str">
        <f>IFERROR(__xludf.DUMMYFUNCTION("""COMPUTED_VALUE"""),"Patna")</f>
        <v>Patna</v>
      </c>
      <c r="X620" s="124" t="str">
        <f>IFERROR(__xludf.DUMMYFUNCTION("""COMPUTED_VALUE"""),"Walkin")</f>
        <v>Walkin</v>
      </c>
      <c r="Y620" s="124" t="str">
        <f>IFERROR(__xludf.DUMMYFUNCTION("""COMPUTED_VALUE"""),"Patna")</f>
        <v>Patna</v>
      </c>
      <c r="Z620" s="124">
        <f>IFERROR(__xludf.DUMMYFUNCTION("""COMPUTED_VALUE"""),3.0)</f>
        <v>3</v>
      </c>
      <c r="AA620" s="124" t="str">
        <f>IFERROR(__xludf.DUMMYFUNCTION("""COMPUTED_VALUE"""),"Cold")</f>
        <v>Cold</v>
      </c>
      <c r="AB620" s="124" t="str">
        <f>IFERROR(__xludf.DUMMYFUNCTION("""COMPUTED_VALUE"""),"State PCS")</f>
        <v>State PCS</v>
      </c>
    </row>
    <row r="621">
      <c r="A621" s="126">
        <f>IFERROR(__xludf.DUMMYFUNCTION("""COMPUTED_VALUE"""),46083.0)</f>
        <v>46083</v>
      </c>
      <c r="B621" s="124" t="str">
        <f>IFERROR(__xludf.DUMMYFUNCTION("""COMPUTED_VALUE"""),"Walk-In")</f>
        <v>Walk-In</v>
      </c>
      <c r="C621" s="124" t="str">
        <f>IFERROR(__xludf.DUMMYFUNCTION("""COMPUTED_VALUE"""),"Prayagraj")</f>
        <v>Prayagraj</v>
      </c>
      <c r="D621" s="124" t="str">
        <f>IFERROR(__xludf.DUMMYFUNCTION("""COMPUTED_VALUE"""),"Primary_Walkin")</f>
        <v>Primary_Walkin</v>
      </c>
      <c r="E621" s="124">
        <f>IFERROR(__xludf.DUMMYFUNCTION("""COMPUTED_VALUE"""),1.0)</f>
        <v>1</v>
      </c>
      <c r="F621" s="124" t="str">
        <f>IFERROR(__xludf.DUMMYFUNCTION("""COMPUTED_VALUE"""),"Enrolled")</f>
        <v>Enrolled</v>
      </c>
      <c r="G621" s="124" t="str">
        <f>IFERROR(__xludf.DUMMYFUNCTION("""COMPUTED_VALUE"""),"GS Foundation")</f>
        <v>GS Foundation</v>
      </c>
      <c r="K621" s="124"/>
      <c r="L621" s="124"/>
      <c r="M621" s="124"/>
      <c r="N621" s="124"/>
      <c r="O621" s="124"/>
      <c r="T621" s="126">
        <f>IFERROR(__xludf.DUMMYFUNCTION("""COMPUTED_VALUE"""),46096.0)</f>
        <v>46096</v>
      </c>
      <c r="U621" s="124" t="str">
        <f>IFERROR(__xludf.DUMMYFUNCTION("""COMPUTED_VALUE"""),"Walk-Ins")</f>
        <v>Walk-Ins</v>
      </c>
      <c r="V621" s="124" t="str">
        <f>IFERROR(__xludf.DUMMYFUNCTION("""COMPUTED_VALUE"""),"Walkin")</f>
        <v>Walkin</v>
      </c>
      <c r="W621" s="124" t="str">
        <f>IFERROR(__xludf.DUMMYFUNCTION("""COMPUTED_VALUE"""),"Patna")</f>
        <v>Patna</v>
      </c>
      <c r="X621" s="124" t="str">
        <f>IFERROR(__xludf.DUMMYFUNCTION("""COMPUTED_VALUE"""),"Walkin")</f>
        <v>Walkin</v>
      </c>
      <c r="Y621" s="124" t="str">
        <f>IFERROR(__xludf.DUMMYFUNCTION("""COMPUTED_VALUE"""),"Patna")</f>
        <v>Patna</v>
      </c>
      <c r="Z621" s="124">
        <f>IFERROR(__xludf.DUMMYFUNCTION("""COMPUTED_VALUE"""),4.0)</f>
        <v>4</v>
      </c>
      <c r="AA621" s="124" t="str">
        <f>IFERROR(__xludf.DUMMYFUNCTION("""COMPUTED_VALUE"""),"Warm")</f>
        <v>Warm</v>
      </c>
      <c r="AB621" s="124" t="str">
        <f>IFERROR(__xludf.DUMMYFUNCTION("""COMPUTED_VALUE"""),"State PCS")</f>
        <v>State PCS</v>
      </c>
    </row>
    <row r="622">
      <c r="A622" s="126">
        <f>IFERROR(__xludf.DUMMYFUNCTION("""COMPUTED_VALUE"""),46050.0)</f>
        <v>46050</v>
      </c>
      <c r="B622" s="124" t="str">
        <f>IFERROR(__xludf.DUMMYFUNCTION("""COMPUTED_VALUE"""),"Walkin")</f>
        <v>Walkin</v>
      </c>
      <c r="C622" s="124" t="str">
        <f>IFERROR(__xludf.DUMMYFUNCTION("""COMPUTED_VALUE"""),"Prayagraj")</f>
        <v>Prayagraj</v>
      </c>
      <c r="D622" s="124" t="str">
        <f>IFERROR(__xludf.DUMMYFUNCTION("""COMPUTED_VALUE"""),"Primary_Walkin")</f>
        <v>Primary_Walkin</v>
      </c>
      <c r="E622" s="124">
        <f>IFERROR(__xludf.DUMMYFUNCTION("""COMPUTED_VALUE"""),5.0)</f>
        <v>5</v>
      </c>
      <c r="F622" s="124" t="str">
        <f>IFERROR(__xludf.DUMMYFUNCTION("""COMPUTED_VALUE"""),"Cold")</f>
        <v>Cold</v>
      </c>
      <c r="G622" s="124" t="str">
        <f>IFERROR(__xludf.DUMMYFUNCTION("""COMPUTED_VALUE"""),"GS Foundation")</f>
        <v>GS Foundation</v>
      </c>
      <c r="K622" s="124"/>
      <c r="L622" s="124"/>
      <c r="M622" s="124"/>
      <c r="N622" s="124"/>
      <c r="O622" s="124"/>
      <c r="T622" s="126">
        <f>IFERROR(__xludf.DUMMYFUNCTION("""COMPUTED_VALUE"""),46058.0)</f>
        <v>46058</v>
      </c>
      <c r="U622" s="124" t="str">
        <f>IFERROR(__xludf.DUMMYFUNCTION("""COMPUTED_VALUE"""),"Walk-Ins")</f>
        <v>Walk-Ins</v>
      </c>
      <c r="V622" s="124" t="str">
        <f>IFERROR(__xludf.DUMMYFUNCTION("""COMPUTED_VALUE"""),"Walkin")</f>
        <v>Walkin</v>
      </c>
      <c r="W622" s="124" t="str">
        <f>IFERROR(__xludf.DUMMYFUNCTION("""COMPUTED_VALUE"""),"Indore")</f>
        <v>Indore</v>
      </c>
      <c r="X622" s="124" t="str">
        <f>IFERROR(__xludf.DUMMYFUNCTION("""COMPUTED_VALUE"""),"Walkin")</f>
        <v>Walkin</v>
      </c>
      <c r="Y622" s="124" t="str">
        <f>IFERROR(__xludf.DUMMYFUNCTION("""COMPUTED_VALUE"""),"Indore")</f>
        <v>Indore</v>
      </c>
      <c r="Z622" s="124">
        <f>IFERROR(__xludf.DUMMYFUNCTION("""COMPUTED_VALUE"""),1.0)</f>
        <v>1</v>
      </c>
      <c r="AA622" s="124" t="str">
        <f>IFERROR(__xludf.DUMMYFUNCTION("""COMPUTED_VALUE"""),"Not Interested")</f>
        <v>Not Interested</v>
      </c>
      <c r="AB622" s="124" t="str">
        <f>IFERROR(__xludf.DUMMYFUNCTION("""COMPUTED_VALUE"""),"Other")</f>
        <v>Other</v>
      </c>
    </row>
    <row r="623">
      <c r="A623" s="126">
        <f>IFERROR(__xludf.DUMMYFUNCTION("""COMPUTED_VALUE"""),46105.0)</f>
        <v>46105</v>
      </c>
      <c r="B623" s="124" t="str">
        <f>IFERROR(__xludf.DUMMYFUNCTION("""COMPUTED_VALUE"""),"Walkin")</f>
        <v>Walkin</v>
      </c>
      <c r="C623" s="124" t="str">
        <f>IFERROR(__xludf.DUMMYFUNCTION("""COMPUTED_VALUE"""),"Prayagraj")</f>
        <v>Prayagraj</v>
      </c>
      <c r="D623" s="124" t="str">
        <f>IFERROR(__xludf.DUMMYFUNCTION("""COMPUTED_VALUE"""),"Primary_Walkin")</f>
        <v>Primary_Walkin</v>
      </c>
      <c r="E623" s="124">
        <f>IFERROR(__xludf.DUMMYFUNCTION("""COMPUTED_VALUE"""),1.0)</f>
        <v>1</v>
      </c>
      <c r="F623" s="124" t="str">
        <f>IFERROR(__xludf.DUMMYFUNCTION("""COMPUTED_VALUE"""),"Future Prospects")</f>
        <v>Future Prospects</v>
      </c>
      <c r="G623" s="124" t="str">
        <f>IFERROR(__xludf.DUMMYFUNCTION("""COMPUTED_VALUE"""),"State PCS")</f>
        <v>State PCS</v>
      </c>
      <c r="K623" s="124"/>
      <c r="L623" s="124"/>
      <c r="M623" s="124"/>
      <c r="N623" s="124"/>
      <c r="O623" s="124"/>
      <c r="T623" s="126">
        <f>IFERROR(__xludf.DUMMYFUNCTION("""COMPUTED_VALUE"""),46104.0)</f>
        <v>46104</v>
      </c>
      <c r="U623" s="124" t="str">
        <f>IFERROR(__xludf.DUMMYFUNCTION("""COMPUTED_VALUE"""),"Walk-Ins")</f>
        <v>Walk-Ins</v>
      </c>
      <c r="V623" s="124" t="str">
        <f>IFERROR(__xludf.DUMMYFUNCTION("""COMPUTED_VALUE"""),"Walkin")</f>
        <v>Walkin</v>
      </c>
      <c r="W623" s="124" t="str">
        <f>IFERROR(__xludf.DUMMYFUNCTION("""COMPUTED_VALUE"""),"Patna")</f>
        <v>Patna</v>
      </c>
      <c r="X623" s="124" t="str">
        <f>IFERROR(__xludf.DUMMYFUNCTION("""COMPUTED_VALUE"""),"Walkin")</f>
        <v>Walkin</v>
      </c>
      <c r="Y623" s="124" t="str">
        <f>IFERROR(__xludf.DUMMYFUNCTION("""COMPUTED_VALUE"""),"Patna")</f>
        <v>Patna</v>
      </c>
      <c r="Z623" s="124">
        <f>IFERROR(__xludf.DUMMYFUNCTION("""COMPUTED_VALUE"""),1.0)</f>
        <v>1</v>
      </c>
      <c r="AA623" s="124" t="str">
        <f>IFERROR(__xludf.DUMMYFUNCTION("""COMPUTED_VALUE"""),"Enrolled")</f>
        <v>Enrolled</v>
      </c>
      <c r="AB623" s="124" t="str">
        <f>IFERROR(__xludf.DUMMYFUNCTION("""COMPUTED_VALUE"""),"Test Series")</f>
        <v>Test Series</v>
      </c>
    </row>
    <row r="624">
      <c r="A624" s="126">
        <f>IFERROR(__xludf.DUMMYFUNCTION("""COMPUTED_VALUE"""),46072.0)</f>
        <v>46072</v>
      </c>
      <c r="B624" s="124" t="str">
        <f>IFERROR(__xludf.DUMMYFUNCTION("""COMPUTED_VALUE"""),"Walkin")</f>
        <v>Walkin</v>
      </c>
      <c r="C624" s="124" t="str">
        <f>IFERROR(__xludf.DUMMYFUNCTION("""COMPUTED_VALUE"""),"Prayagraj")</f>
        <v>Prayagraj</v>
      </c>
      <c r="D624" s="124" t="str">
        <f>IFERROR(__xludf.DUMMYFUNCTION("""COMPUTED_VALUE"""),"Primary_Walkin")</f>
        <v>Primary_Walkin</v>
      </c>
      <c r="E624" s="124">
        <f>IFERROR(__xludf.DUMMYFUNCTION("""COMPUTED_VALUE"""),4.0)</f>
        <v>4</v>
      </c>
      <c r="F624" s="124" t="str">
        <f>IFERROR(__xludf.DUMMYFUNCTION("""COMPUTED_VALUE"""),"Cold")</f>
        <v>Cold</v>
      </c>
      <c r="G624" s="124" t="str">
        <f>IFERROR(__xludf.DUMMYFUNCTION("""COMPUTED_VALUE"""),"GS Foundation")</f>
        <v>GS Foundation</v>
      </c>
      <c r="K624" s="124"/>
      <c r="L624" s="124"/>
      <c r="M624" s="124"/>
      <c r="N624" s="124"/>
      <c r="O624" s="124"/>
      <c r="T624" s="126">
        <f>IFERROR(__xludf.DUMMYFUNCTION("""COMPUTED_VALUE"""),46045.0)</f>
        <v>46045</v>
      </c>
      <c r="U624" s="124" t="str">
        <f>IFERROR(__xludf.DUMMYFUNCTION("""COMPUTED_VALUE"""),"Walk-Ins")</f>
        <v>Walk-Ins</v>
      </c>
      <c r="V624" s="124" t="str">
        <f>IFERROR(__xludf.DUMMYFUNCTION("""COMPUTED_VALUE"""),"Walkin")</f>
        <v>Walkin</v>
      </c>
      <c r="W624" s="124" t="str">
        <f>IFERROR(__xludf.DUMMYFUNCTION("""COMPUTED_VALUE"""),"Patna")</f>
        <v>Patna</v>
      </c>
      <c r="X624" s="124" t="str">
        <f>IFERROR(__xludf.DUMMYFUNCTION("""COMPUTED_VALUE"""),"Walkin")</f>
        <v>Walkin</v>
      </c>
      <c r="Y624" s="124" t="str">
        <f>IFERROR(__xludf.DUMMYFUNCTION("""COMPUTED_VALUE"""),"Patna")</f>
        <v>Patna</v>
      </c>
      <c r="Z624" s="124">
        <f>IFERROR(__xludf.DUMMYFUNCTION("""COMPUTED_VALUE"""),1.0)</f>
        <v>1</v>
      </c>
      <c r="AA624" s="124" t="str">
        <f>IFERROR(__xludf.DUMMYFUNCTION("""COMPUTED_VALUE"""),"Future Prospects")</f>
        <v>Future Prospects</v>
      </c>
      <c r="AB624" s="124" t="str">
        <f>IFERROR(__xludf.DUMMYFUNCTION("""COMPUTED_VALUE"""),"GS Foundation")</f>
        <v>GS Foundation</v>
      </c>
    </row>
    <row r="625">
      <c r="A625" s="126">
        <f>IFERROR(__xludf.DUMMYFUNCTION("""COMPUTED_VALUE"""),46088.0)</f>
        <v>46088</v>
      </c>
      <c r="B625" s="124" t="str">
        <f>IFERROR(__xludf.DUMMYFUNCTION("""COMPUTED_VALUE"""),"Walkin")</f>
        <v>Walkin</v>
      </c>
      <c r="C625" s="124" t="str">
        <f>IFERROR(__xludf.DUMMYFUNCTION("""COMPUTED_VALUE"""),"Prayagraj")</f>
        <v>Prayagraj</v>
      </c>
      <c r="D625" s="124" t="str">
        <f>IFERROR(__xludf.DUMMYFUNCTION("""COMPUTED_VALUE"""),"Primary_Walkin")</f>
        <v>Primary_Walkin</v>
      </c>
      <c r="E625" s="124">
        <f>IFERROR(__xludf.DUMMYFUNCTION("""COMPUTED_VALUE"""),1.0)</f>
        <v>1</v>
      </c>
      <c r="F625" s="124" t="str">
        <f>IFERROR(__xludf.DUMMYFUNCTION("""COMPUTED_VALUE"""),"Enrolled")</f>
        <v>Enrolled</v>
      </c>
      <c r="G625" s="124" t="str">
        <f>IFERROR(__xludf.DUMMYFUNCTION("""COMPUTED_VALUE"""),"Optionals")</f>
        <v>Optionals</v>
      </c>
      <c r="K625" s="124"/>
      <c r="L625" s="124"/>
      <c r="M625" s="124"/>
      <c r="N625" s="124"/>
      <c r="O625" s="124"/>
      <c r="T625" s="126">
        <f>IFERROR(__xludf.DUMMYFUNCTION("""COMPUTED_VALUE"""),46077.0)</f>
        <v>46077</v>
      </c>
      <c r="U625" s="124" t="str">
        <f>IFERROR(__xludf.DUMMYFUNCTION("""COMPUTED_VALUE"""),"Walk-Ins")</f>
        <v>Walk-Ins</v>
      </c>
      <c r="V625" s="124" t="str">
        <f>IFERROR(__xludf.DUMMYFUNCTION("""COMPUTED_VALUE"""),"Walkin")</f>
        <v>Walkin</v>
      </c>
      <c r="W625" s="124" t="str">
        <f>IFERROR(__xludf.DUMMYFUNCTION("""COMPUTED_VALUE"""),"Prayagraj")</f>
        <v>Prayagraj</v>
      </c>
      <c r="X625" s="124" t="str">
        <f>IFERROR(__xludf.DUMMYFUNCTION("""COMPUTED_VALUE"""),"Walkin")</f>
        <v>Walkin</v>
      </c>
      <c r="Y625" s="124" t="str">
        <f>IFERROR(__xludf.DUMMYFUNCTION("""COMPUTED_VALUE"""),"Prayagraj")</f>
        <v>Prayagraj</v>
      </c>
      <c r="Z625" s="124">
        <f>IFERROR(__xludf.DUMMYFUNCTION("""COMPUTED_VALUE"""),1.0)</f>
        <v>1</v>
      </c>
      <c r="AA625" s="124" t="str">
        <f>IFERROR(__xludf.DUMMYFUNCTION("""COMPUTED_VALUE"""),"Fake Lead")</f>
        <v>Fake Lead</v>
      </c>
      <c r="AB625" s="124" t="str">
        <f>IFERROR(__xludf.DUMMYFUNCTION("""COMPUTED_VALUE"""),"State PCS")</f>
        <v>State PCS</v>
      </c>
    </row>
    <row r="626">
      <c r="A626" s="126">
        <f>IFERROR(__xludf.DUMMYFUNCTION("""COMPUTED_VALUE"""),46069.0)</f>
        <v>46069</v>
      </c>
      <c r="B626" s="124" t="str">
        <f>IFERROR(__xludf.DUMMYFUNCTION("""COMPUTED_VALUE"""),"Walkin")</f>
        <v>Walkin</v>
      </c>
      <c r="C626" s="124" t="str">
        <f>IFERROR(__xludf.DUMMYFUNCTION("""COMPUTED_VALUE"""),"Prayagraj")</f>
        <v>Prayagraj</v>
      </c>
      <c r="D626" s="124" t="str">
        <f>IFERROR(__xludf.DUMMYFUNCTION("""COMPUTED_VALUE"""),"Primary_Walkin")</f>
        <v>Primary_Walkin</v>
      </c>
      <c r="E626" s="124">
        <f>IFERROR(__xludf.DUMMYFUNCTION("""COMPUTED_VALUE"""),2.0)</f>
        <v>2</v>
      </c>
      <c r="F626" s="124" t="str">
        <f>IFERROR(__xludf.DUMMYFUNCTION("""COMPUTED_VALUE"""),"Future Prospects")</f>
        <v>Future Prospects</v>
      </c>
      <c r="G626" s="124" t="str">
        <f>IFERROR(__xludf.DUMMYFUNCTION("""COMPUTED_VALUE"""),"State PCS")</f>
        <v>State PCS</v>
      </c>
      <c r="K626" s="124"/>
      <c r="L626" s="124"/>
      <c r="M626" s="124"/>
      <c r="N626" s="124"/>
      <c r="O626" s="124"/>
      <c r="T626" s="126">
        <f>IFERROR(__xludf.DUMMYFUNCTION("""COMPUTED_VALUE"""),46112.0)</f>
        <v>46112</v>
      </c>
      <c r="U626" s="124" t="str">
        <f>IFERROR(__xludf.DUMMYFUNCTION("""COMPUTED_VALUE"""),"Walk-Ins")</f>
        <v>Walk-Ins</v>
      </c>
      <c r="V626" s="124" t="str">
        <f>IFERROR(__xludf.DUMMYFUNCTION("""COMPUTED_VALUE"""),"Walkin")</f>
        <v>Walkin</v>
      </c>
      <c r="W626" s="124" t="str">
        <f>IFERROR(__xludf.DUMMYFUNCTION("""COMPUTED_VALUE"""),"Patna")</f>
        <v>Patna</v>
      </c>
      <c r="X626" s="124" t="str">
        <f>IFERROR(__xludf.DUMMYFUNCTION("""COMPUTED_VALUE"""),"Walkin")</f>
        <v>Walkin</v>
      </c>
      <c r="Y626" s="124" t="str">
        <f>IFERROR(__xludf.DUMMYFUNCTION("""COMPUTED_VALUE"""),"Patna")</f>
        <v>Patna</v>
      </c>
      <c r="Z626" s="124">
        <f>IFERROR(__xludf.DUMMYFUNCTION("""COMPUTED_VALUE"""),3.0)</f>
        <v>3</v>
      </c>
      <c r="AA626" s="124" t="str">
        <f>IFERROR(__xludf.DUMMYFUNCTION("""COMPUTED_VALUE"""),"Warm")</f>
        <v>Warm</v>
      </c>
      <c r="AB626" s="124" t="str">
        <f>IFERROR(__xludf.DUMMYFUNCTION("""COMPUTED_VALUE"""),"State PCS")</f>
        <v>State PCS</v>
      </c>
    </row>
    <row r="627">
      <c r="A627" s="129">
        <f>IFERROR(__xludf.DUMMYFUNCTION("""COMPUTED_VALUE"""),46097.0)</f>
        <v>46097</v>
      </c>
      <c r="B627" s="124" t="str">
        <f>IFERROR(__xludf.DUMMYFUNCTION("""COMPUTED_VALUE"""),"Walk-In")</f>
        <v>Walk-In</v>
      </c>
      <c r="C627" s="124" t="str">
        <f>IFERROR(__xludf.DUMMYFUNCTION("""COMPUTED_VALUE"""),"Prayagraj")</f>
        <v>Prayagraj</v>
      </c>
      <c r="D627" s="124" t="str">
        <f>IFERROR(__xludf.DUMMYFUNCTION("""COMPUTED_VALUE"""),"Primary_Walkin")</f>
        <v>Primary_Walkin</v>
      </c>
      <c r="E627" s="124">
        <f>IFERROR(__xludf.DUMMYFUNCTION("""COMPUTED_VALUE"""),1.0)</f>
        <v>1</v>
      </c>
      <c r="F627" s="124" t="str">
        <f>IFERROR(__xludf.DUMMYFUNCTION("""COMPUTED_VALUE"""),"Warm")</f>
        <v>Warm</v>
      </c>
      <c r="G627" s="124" t="str">
        <f>IFERROR(__xludf.DUMMYFUNCTION("""COMPUTED_VALUE"""),"GS Foundation")</f>
        <v>GS Foundation</v>
      </c>
      <c r="K627" s="124"/>
      <c r="L627" s="124"/>
      <c r="M627" s="124"/>
      <c r="N627" s="124"/>
      <c r="O627" s="124"/>
      <c r="T627" s="126">
        <f>IFERROR(__xludf.DUMMYFUNCTION("""COMPUTED_VALUE"""),46052.0)</f>
        <v>46052</v>
      </c>
      <c r="U627" s="124" t="str">
        <f>IFERROR(__xludf.DUMMYFUNCTION("""COMPUTED_VALUE"""),"Walk-Ins")</f>
        <v>Walk-Ins</v>
      </c>
      <c r="V627" s="124" t="str">
        <f>IFERROR(__xludf.DUMMYFUNCTION("""COMPUTED_VALUE"""),"Walkin")</f>
        <v>Walkin</v>
      </c>
      <c r="W627" s="124" t="str">
        <f>IFERROR(__xludf.DUMMYFUNCTION("""COMPUTED_VALUE"""),"Patna")</f>
        <v>Patna</v>
      </c>
      <c r="X627" s="124" t="str">
        <f>IFERROR(__xludf.DUMMYFUNCTION("""COMPUTED_VALUE"""),"Walkin")</f>
        <v>Walkin</v>
      </c>
      <c r="Y627" s="124" t="str">
        <f>IFERROR(__xludf.DUMMYFUNCTION("""COMPUTED_VALUE"""),"Patna")</f>
        <v>Patna</v>
      </c>
      <c r="Z627" s="124">
        <f>IFERROR(__xludf.DUMMYFUNCTION("""COMPUTED_VALUE"""),1.0)</f>
        <v>1</v>
      </c>
      <c r="AA627" s="124" t="str">
        <f>IFERROR(__xludf.DUMMYFUNCTION("""COMPUTED_VALUE"""),"Not Interested")</f>
        <v>Not Interested</v>
      </c>
      <c r="AB627" s="124" t="str">
        <f>IFERROR(__xludf.DUMMYFUNCTION("""COMPUTED_VALUE"""),"GS Foundation")</f>
        <v>GS Foundation</v>
      </c>
    </row>
    <row r="628">
      <c r="A628" s="126">
        <f>IFERROR(__xludf.DUMMYFUNCTION("""COMPUTED_VALUE"""),46091.0)</f>
        <v>46091</v>
      </c>
      <c r="B628" s="124" t="str">
        <f>IFERROR(__xludf.DUMMYFUNCTION("""COMPUTED_VALUE"""),"Other")</f>
        <v>Other</v>
      </c>
      <c r="C628" s="124" t="str">
        <f>IFERROR(__xludf.DUMMYFUNCTION("""COMPUTED_VALUE"""),"Prayagraj")</f>
        <v>Prayagraj</v>
      </c>
      <c r="D628" s="124" t="str">
        <f>IFERROR(__xludf.DUMMYFUNCTION("""COMPUTED_VALUE"""),"Secondary_Walkin")</f>
        <v>Secondary_Walkin</v>
      </c>
      <c r="E628" s="124">
        <f>IFERROR(__xludf.DUMMYFUNCTION("""COMPUTED_VALUE"""),1.0)</f>
        <v>1</v>
      </c>
      <c r="F628" s="124" t="str">
        <f>IFERROR(__xludf.DUMMYFUNCTION("""COMPUTED_VALUE"""),"Enrolled")</f>
        <v>Enrolled</v>
      </c>
      <c r="G628" s="124" t="str">
        <f>IFERROR(__xludf.DUMMYFUNCTION("""COMPUTED_VALUE"""),"GS Foundation")</f>
        <v>GS Foundation</v>
      </c>
      <c r="K628" s="124"/>
      <c r="L628" s="124"/>
      <c r="M628" s="124"/>
      <c r="N628" s="124"/>
      <c r="O628" s="124"/>
      <c r="T628" s="126">
        <f>IFERROR(__xludf.DUMMYFUNCTION("""COMPUTED_VALUE"""),46109.0)</f>
        <v>46109</v>
      </c>
      <c r="U628" s="124" t="str">
        <f>IFERROR(__xludf.DUMMYFUNCTION("""COMPUTED_VALUE"""),"Walk-Ins")</f>
        <v>Walk-Ins</v>
      </c>
      <c r="V628" s="124" t="str">
        <f>IFERROR(__xludf.DUMMYFUNCTION("""COMPUTED_VALUE"""),"Walkin")</f>
        <v>Walkin</v>
      </c>
      <c r="W628" s="124" t="str">
        <f>IFERROR(__xludf.DUMMYFUNCTION("""COMPUTED_VALUE"""),"Lucknow")</f>
        <v>Lucknow</v>
      </c>
      <c r="X628" s="124" t="str">
        <f>IFERROR(__xludf.DUMMYFUNCTION("""COMPUTED_VALUE"""),"Walkin")</f>
        <v>Walkin</v>
      </c>
      <c r="Y628" s="124" t="str">
        <f>IFERROR(__xludf.DUMMYFUNCTION("""COMPUTED_VALUE"""),"Lucknow")</f>
        <v>Lucknow</v>
      </c>
      <c r="Z628" s="124">
        <f>IFERROR(__xludf.DUMMYFUNCTION("""COMPUTED_VALUE"""),5.0)</f>
        <v>5</v>
      </c>
      <c r="AA628" s="124" t="str">
        <f>IFERROR(__xludf.DUMMYFUNCTION("""COMPUTED_VALUE"""),"Warm")</f>
        <v>Warm</v>
      </c>
      <c r="AB628" s="124" t="str">
        <f>IFERROR(__xludf.DUMMYFUNCTION("""COMPUTED_VALUE"""),"GS Foundation")</f>
        <v>GS Foundation</v>
      </c>
    </row>
    <row r="629">
      <c r="A629" s="126">
        <f>IFERROR(__xludf.DUMMYFUNCTION("""COMPUTED_VALUE"""),46062.0)</f>
        <v>46062</v>
      </c>
      <c r="B629" s="124" t="str">
        <f>IFERROR(__xludf.DUMMYFUNCTION("""COMPUTED_VALUE"""),"Walk-In")</f>
        <v>Walk-In</v>
      </c>
      <c r="C629" s="124" t="str">
        <f>IFERROR(__xludf.DUMMYFUNCTION("""COMPUTED_VALUE"""),"Prayagraj")</f>
        <v>Prayagraj</v>
      </c>
      <c r="D629" s="124" t="str">
        <f>IFERROR(__xludf.DUMMYFUNCTION("""COMPUTED_VALUE"""),"Primary_Walkin")</f>
        <v>Primary_Walkin</v>
      </c>
      <c r="E629" s="124">
        <f>IFERROR(__xludf.DUMMYFUNCTION("""COMPUTED_VALUE"""),3.0)</f>
        <v>3</v>
      </c>
      <c r="F629" s="124" t="str">
        <f>IFERROR(__xludf.DUMMYFUNCTION("""COMPUTED_VALUE"""),"Cold")</f>
        <v>Cold</v>
      </c>
      <c r="G629" s="124" t="str">
        <f>IFERROR(__xludf.DUMMYFUNCTION("""COMPUTED_VALUE"""),"GS Foundation")</f>
        <v>GS Foundation</v>
      </c>
      <c r="K629" s="124"/>
      <c r="L629" s="124"/>
      <c r="M629" s="124"/>
      <c r="N629" s="124"/>
      <c r="O629" s="124"/>
      <c r="T629" s="126">
        <f>IFERROR(__xludf.DUMMYFUNCTION("""COMPUTED_VALUE"""),46075.0)</f>
        <v>46075</v>
      </c>
      <c r="U629" s="124" t="str">
        <f>IFERROR(__xludf.DUMMYFUNCTION("""COMPUTED_VALUE"""),"Walk-Ins")</f>
        <v>Walk-Ins</v>
      </c>
      <c r="V629" s="124" t="str">
        <f>IFERROR(__xludf.DUMMYFUNCTION("""COMPUTED_VALUE"""),"Walkin")</f>
        <v>Walkin</v>
      </c>
      <c r="W629" s="124" t="str">
        <f>IFERROR(__xludf.DUMMYFUNCTION("""COMPUTED_VALUE"""),"Prayagraj")</f>
        <v>Prayagraj</v>
      </c>
      <c r="X629" s="124" t="str">
        <f>IFERROR(__xludf.DUMMYFUNCTION("""COMPUTED_VALUE"""),"Walkin")</f>
        <v>Walkin</v>
      </c>
      <c r="Y629" s="124" t="str">
        <f>IFERROR(__xludf.DUMMYFUNCTION("""COMPUTED_VALUE"""),"Prayagraj")</f>
        <v>Prayagraj</v>
      </c>
      <c r="Z629" s="124">
        <f>IFERROR(__xludf.DUMMYFUNCTION("""COMPUTED_VALUE"""),5.0)</f>
        <v>5</v>
      </c>
      <c r="AA629" s="124" t="str">
        <f>IFERROR(__xludf.DUMMYFUNCTION("""COMPUTED_VALUE"""),"Cold")</f>
        <v>Cold</v>
      </c>
      <c r="AB629" s="124" t="str">
        <f>IFERROR(__xludf.DUMMYFUNCTION("""COMPUTED_VALUE"""),"GS Foundation")</f>
        <v>GS Foundation</v>
      </c>
    </row>
    <row r="630">
      <c r="A630" s="129">
        <f>IFERROR(__xludf.DUMMYFUNCTION("""COMPUTED_VALUE"""),46094.0)</f>
        <v>46094</v>
      </c>
      <c r="B630" s="124" t="str">
        <f>IFERROR(__xludf.DUMMYFUNCTION("""COMPUTED_VALUE"""),"Walkin")</f>
        <v>Walkin</v>
      </c>
      <c r="C630" s="124" t="str">
        <f>IFERROR(__xludf.DUMMYFUNCTION("""COMPUTED_VALUE"""),"Prayagraj")</f>
        <v>Prayagraj</v>
      </c>
      <c r="D630" s="124" t="str">
        <f>IFERROR(__xludf.DUMMYFUNCTION("""COMPUTED_VALUE"""),"Primary_Walkin")</f>
        <v>Primary_Walkin</v>
      </c>
      <c r="E630" s="124">
        <f>IFERROR(__xludf.DUMMYFUNCTION("""COMPUTED_VALUE"""),1.0)</f>
        <v>1</v>
      </c>
      <c r="F630" s="124" t="str">
        <f>IFERROR(__xludf.DUMMYFUNCTION("""COMPUTED_VALUE"""),"Interested")</f>
        <v>Interested</v>
      </c>
      <c r="G630" s="124" t="str">
        <f>IFERROR(__xludf.DUMMYFUNCTION("""COMPUTED_VALUE"""),"Mentorship")</f>
        <v>Mentorship</v>
      </c>
      <c r="K630" s="124"/>
      <c r="L630" s="124"/>
      <c r="M630" s="124"/>
      <c r="N630" s="124"/>
      <c r="O630" s="124"/>
      <c r="T630" s="126">
        <f>IFERROR(__xludf.DUMMYFUNCTION("""COMPUTED_VALUE"""),46094.0)</f>
        <v>46094</v>
      </c>
      <c r="U630" s="124" t="str">
        <f>IFERROR(__xludf.DUMMYFUNCTION("""COMPUTED_VALUE"""),"Walk-Ins")</f>
        <v>Walk-Ins</v>
      </c>
      <c r="V630" s="124" t="str">
        <f>IFERROR(__xludf.DUMMYFUNCTION("""COMPUTED_VALUE"""),"Walkin")</f>
        <v>Walkin</v>
      </c>
      <c r="W630" s="124" t="str">
        <f>IFERROR(__xludf.DUMMYFUNCTION("""COMPUTED_VALUE"""),"Indore")</f>
        <v>Indore</v>
      </c>
      <c r="X630" s="124" t="str">
        <f>IFERROR(__xludf.DUMMYFUNCTION("""COMPUTED_VALUE"""),"Walkin")</f>
        <v>Walkin</v>
      </c>
      <c r="Y630" s="124" t="str">
        <f>IFERROR(__xludf.DUMMYFUNCTION("""COMPUTED_VALUE"""),"Indore")</f>
        <v>Indore</v>
      </c>
      <c r="Z630" s="124">
        <f>IFERROR(__xludf.DUMMYFUNCTION("""COMPUTED_VALUE"""),1.0)</f>
        <v>1</v>
      </c>
      <c r="AA630" s="124" t="str">
        <f>IFERROR(__xludf.DUMMYFUNCTION("""COMPUTED_VALUE"""),"Cold")</f>
        <v>Cold</v>
      </c>
      <c r="AB630" s="124" t="str">
        <f>IFERROR(__xludf.DUMMYFUNCTION("""COMPUTED_VALUE"""),"GS Foundation")</f>
        <v>GS Foundation</v>
      </c>
    </row>
    <row r="631">
      <c r="A631" s="126">
        <f>IFERROR(__xludf.DUMMYFUNCTION("""COMPUTED_VALUE"""),46087.0)</f>
        <v>46087</v>
      </c>
      <c r="B631" s="124" t="str">
        <f>IFERROR(__xludf.DUMMYFUNCTION("""COMPUTED_VALUE"""),"Walkin")</f>
        <v>Walkin</v>
      </c>
      <c r="C631" s="124" t="str">
        <f>IFERROR(__xludf.DUMMYFUNCTION("""COMPUTED_VALUE"""),"Prayagraj")</f>
        <v>Prayagraj</v>
      </c>
      <c r="D631" s="124" t="str">
        <f>IFERROR(__xludf.DUMMYFUNCTION("""COMPUTED_VALUE"""),"Primary_Walkin")</f>
        <v>Primary_Walkin</v>
      </c>
      <c r="E631" s="124">
        <f>IFERROR(__xludf.DUMMYFUNCTION("""COMPUTED_VALUE"""),3.0)</f>
        <v>3</v>
      </c>
      <c r="F631" s="124" t="str">
        <f>IFERROR(__xludf.DUMMYFUNCTION("""COMPUTED_VALUE"""),"Cold")</f>
        <v>Cold</v>
      </c>
      <c r="G631" s="124" t="str">
        <f>IFERROR(__xludf.DUMMYFUNCTION("""COMPUTED_VALUE"""),"GS Foundation")</f>
        <v>GS Foundation</v>
      </c>
      <c r="K631" s="124"/>
      <c r="L631" s="124"/>
      <c r="M631" s="124"/>
      <c r="N631" s="124"/>
      <c r="O631" s="124"/>
      <c r="T631" s="126">
        <f>IFERROR(__xludf.DUMMYFUNCTION("""COMPUTED_VALUE"""),46044.0)</f>
        <v>46044</v>
      </c>
      <c r="U631" s="124" t="str">
        <f>IFERROR(__xludf.DUMMYFUNCTION("""COMPUTED_VALUE"""),"Walk-Ins")</f>
        <v>Walk-Ins</v>
      </c>
      <c r="V631" s="124" t="str">
        <f>IFERROR(__xludf.DUMMYFUNCTION("""COMPUTED_VALUE"""),"Walkin")</f>
        <v>Walkin</v>
      </c>
      <c r="W631" s="124" t="str">
        <f>IFERROR(__xludf.DUMMYFUNCTION("""COMPUTED_VALUE"""),"Indore")</f>
        <v>Indore</v>
      </c>
      <c r="X631" s="124" t="str">
        <f>IFERROR(__xludf.DUMMYFUNCTION("""COMPUTED_VALUE"""),"Walkin")</f>
        <v>Walkin</v>
      </c>
      <c r="Y631" s="124" t="str">
        <f>IFERROR(__xludf.DUMMYFUNCTION("""COMPUTED_VALUE"""),"Indore")</f>
        <v>Indore</v>
      </c>
      <c r="Z631" s="124">
        <f>IFERROR(__xludf.DUMMYFUNCTION("""COMPUTED_VALUE"""),1.0)</f>
        <v>1</v>
      </c>
      <c r="AA631" s="124" t="str">
        <f>IFERROR(__xludf.DUMMYFUNCTION("""COMPUTED_VALUE"""),"Warm")</f>
        <v>Warm</v>
      </c>
      <c r="AB631" s="124" t="str">
        <f>IFERROR(__xludf.DUMMYFUNCTION("""COMPUTED_VALUE"""),"Test Series")</f>
        <v>Test Series</v>
      </c>
    </row>
    <row r="632">
      <c r="A632" s="126">
        <f>IFERROR(__xludf.DUMMYFUNCTION("""COMPUTED_VALUE"""),46045.0)</f>
        <v>46045</v>
      </c>
      <c r="B632" s="124" t="str">
        <f>IFERROR(__xludf.DUMMYFUNCTION("""COMPUTED_VALUE"""),"Walkin")</f>
        <v>Walkin</v>
      </c>
      <c r="C632" s="124" t="str">
        <f>IFERROR(__xludf.DUMMYFUNCTION("""COMPUTED_VALUE"""),"Prayagraj")</f>
        <v>Prayagraj</v>
      </c>
      <c r="D632" s="124" t="str">
        <f>IFERROR(__xludf.DUMMYFUNCTION("""COMPUTED_VALUE"""),"Primary_Walkin")</f>
        <v>Primary_Walkin</v>
      </c>
      <c r="E632" s="124">
        <f>IFERROR(__xludf.DUMMYFUNCTION("""COMPUTED_VALUE"""),1.0)</f>
        <v>1</v>
      </c>
      <c r="F632" s="124" t="str">
        <f>IFERROR(__xludf.DUMMYFUNCTION("""COMPUTED_VALUE"""),"Fake Lead")</f>
        <v>Fake Lead</v>
      </c>
      <c r="G632" s="124" t="str">
        <f>IFERROR(__xludf.DUMMYFUNCTION("""COMPUTED_VALUE"""),"GS Foundation")</f>
        <v>GS Foundation</v>
      </c>
      <c r="K632" s="124"/>
      <c r="L632" s="124"/>
      <c r="M632" s="124"/>
      <c r="N632" s="124"/>
      <c r="O632" s="124"/>
      <c r="T632" s="126">
        <f>IFERROR(__xludf.DUMMYFUNCTION("""COMPUTED_VALUE"""),46064.0)</f>
        <v>46064</v>
      </c>
      <c r="U632" s="124" t="str">
        <f>IFERROR(__xludf.DUMMYFUNCTION("""COMPUTED_VALUE"""),"Walk-Ins")</f>
        <v>Walk-Ins</v>
      </c>
      <c r="V632" s="124" t="str">
        <f>IFERROR(__xludf.DUMMYFUNCTION("""COMPUTED_VALUE"""),"Walkin")</f>
        <v>Walkin</v>
      </c>
      <c r="W632" s="124" t="str">
        <f>IFERROR(__xludf.DUMMYFUNCTION("""COMPUTED_VALUE"""),"Prayagraj")</f>
        <v>Prayagraj</v>
      </c>
      <c r="X632" s="124" t="str">
        <f>IFERROR(__xludf.DUMMYFUNCTION("""COMPUTED_VALUE"""),"Walkin")</f>
        <v>Walkin</v>
      </c>
      <c r="Y632" s="124" t="str">
        <f>IFERROR(__xludf.DUMMYFUNCTION("""COMPUTED_VALUE"""),"Prayagraj")</f>
        <v>Prayagraj</v>
      </c>
      <c r="Z632" s="124">
        <f>IFERROR(__xludf.DUMMYFUNCTION("""COMPUTED_VALUE"""),3.0)</f>
        <v>3</v>
      </c>
      <c r="AA632" s="124" t="str">
        <f>IFERROR(__xludf.DUMMYFUNCTION("""COMPUTED_VALUE"""),"Cold")</f>
        <v>Cold</v>
      </c>
      <c r="AB632" s="124" t="str">
        <f>IFERROR(__xludf.DUMMYFUNCTION("""COMPUTED_VALUE"""),"GS Foundation")</f>
        <v>GS Foundation</v>
      </c>
    </row>
    <row r="633">
      <c r="A633" s="126">
        <f>IFERROR(__xludf.DUMMYFUNCTION("""COMPUTED_VALUE"""),46043.0)</f>
        <v>46043</v>
      </c>
      <c r="B633" s="124" t="str">
        <f>IFERROR(__xludf.DUMMYFUNCTION("""COMPUTED_VALUE"""),"Walkin")</f>
        <v>Walkin</v>
      </c>
      <c r="C633" s="124" t="str">
        <f>IFERROR(__xludf.DUMMYFUNCTION("""COMPUTED_VALUE"""),"Prayagraj")</f>
        <v>Prayagraj</v>
      </c>
      <c r="D633" s="124" t="str">
        <f>IFERROR(__xludf.DUMMYFUNCTION("""COMPUTED_VALUE"""),"Primary_Walkin")</f>
        <v>Primary_Walkin</v>
      </c>
      <c r="E633" s="124">
        <f>IFERROR(__xludf.DUMMYFUNCTION("""COMPUTED_VALUE"""),3.0)</f>
        <v>3</v>
      </c>
      <c r="F633" s="124" t="str">
        <f>IFERROR(__xludf.DUMMYFUNCTION("""COMPUTED_VALUE"""),"Cold")</f>
        <v>Cold</v>
      </c>
      <c r="G633" s="124" t="str">
        <f>IFERROR(__xludf.DUMMYFUNCTION("""COMPUTED_VALUE"""),"GS Foundation")</f>
        <v>GS Foundation</v>
      </c>
      <c r="K633" s="124"/>
      <c r="L633" s="124"/>
      <c r="M633" s="124"/>
      <c r="N633" s="124"/>
      <c r="O633" s="124"/>
      <c r="T633" s="126">
        <f>IFERROR(__xludf.DUMMYFUNCTION("""COMPUTED_VALUE"""),46092.0)</f>
        <v>46092</v>
      </c>
      <c r="U633" s="124" t="str">
        <f>IFERROR(__xludf.DUMMYFUNCTION("""COMPUTED_VALUE"""),"Walk-Ins")</f>
        <v>Walk-Ins</v>
      </c>
      <c r="V633" s="124" t="str">
        <f>IFERROR(__xludf.DUMMYFUNCTION("""COMPUTED_VALUE"""),"Walkin")</f>
        <v>Walkin</v>
      </c>
      <c r="W633" s="124" t="str">
        <f>IFERROR(__xludf.DUMMYFUNCTION("""COMPUTED_VALUE"""),"Prayagraj")</f>
        <v>Prayagraj</v>
      </c>
      <c r="X633" s="124" t="str">
        <f>IFERROR(__xludf.DUMMYFUNCTION("""COMPUTED_VALUE"""),"Walkin")</f>
        <v>Walkin</v>
      </c>
      <c r="Y633" s="124" t="str">
        <f>IFERROR(__xludf.DUMMYFUNCTION("""COMPUTED_VALUE"""),"Prayagraj")</f>
        <v>Prayagraj</v>
      </c>
      <c r="Z633" s="124">
        <f>IFERROR(__xludf.DUMMYFUNCTION("""COMPUTED_VALUE"""),2.0)</f>
        <v>2</v>
      </c>
      <c r="AA633" s="124" t="str">
        <f>IFERROR(__xludf.DUMMYFUNCTION("""COMPUTED_VALUE"""),"Cold")</f>
        <v>Cold</v>
      </c>
      <c r="AB633" s="124" t="str">
        <f>IFERROR(__xludf.DUMMYFUNCTION("""COMPUTED_VALUE"""),"GS Foundation")</f>
        <v>GS Foundation</v>
      </c>
    </row>
    <row r="634">
      <c r="A634" s="126">
        <f>IFERROR(__xludf.DUMMYFUNCTION("""COMPUTED_VALUE"""),46082.0)</f>
        <v>46082</v>
      </c>
      <c r="B634" s="124" t="str">
        <f>IFERROR(__xludf.DUMMYFUNCTION("""COMPUTED_VALUE"""),"Walk-In")</f>
        <v>Walk-In</v>
      </c>
      <c r="C634" s="124" t="str">
        <f>IFERROR(__xludf.DUMMYFUNCTION("""COMPUTED_VALUE"""),"Prayagraj")</f>
        <v>Prayagraj</v>
      </c>
      <c r="D634" s="124" t="str">
        <f>IFERROR(__xludf.DUMMYFUNCTION("""COMPUTED_VALUE"""),"Primary_Walkin")</f>
        <v>Primary_Walkin</v>
      </c>
      <c r="E634" s="124">
        <f>IFERROR(__xludf.DUMMYFUNCTION("""COMPUTED_VALUE"""),1.0)</f>
        <v>1</v>
      </c>
      <c r="F634" s="124" t="str">
        <f>IFERROR(__xludf.DUMMYFUNCTION("""COMPUTED_VALUE"""),"Future Prospects")</f>
        <v>Future Prospects</v>
      </c>
      <c r="G634" s="124" t="str">
        <f>IFERROR(__xludf.DUMMYFUNCTION("""COMPUTED_VALUE"""),"GS Foundation")</f>
        <v>GS Foundation</v>
      </c>
      <c r="K634" s="124"/>
      <c r="L634" s="124"/>
      <c r="M634" s="124"/>
      <c r="N634" s="124"/>
      <c r="O634" s="124"/>
      <c r="T634" s="126">
        <f>IFERROR(__xludf.DUMMYFUNCTION("""COMPUTED_VALUE"""),46069.0)</f>
        <v>46069</v>
      </c>
      <c r="U634" s="124" t="str">
        <f>IFERROR(__xludf.DUMMYFUNCTION("""COMPUTED_VALUE"""),"Walk-Ins")</f>
        <v>Walk-Ins</v>
      </c>
      <c r="V634" s="124" t="str">
        <f>IFERROR(__xludf.DUMMYFUNCTION("""COMPUTED_VALUE"""),"Walkin")</f>
        <v>Walkin</v>
      </c>
      <c r="W634" s="124" t="str">
        <f>IFERROR(__xludf.DUMMYFUNCTION("""COMPUTED_VALUE"""),"Prayagraj")</f>
        <v>Prayagraj</v>
      </c>
      <c r="X634" s="124" t="str">
        <f>IFERROR(__xludf.DUMMYFUNCTION("""COMPUTED_VALUE"""),"Walkin")</f>
        <v>Walkin</v>
      </c>
      <c r="Y634" s="124" t="str">
        <f>IFERROR(__xludf.DUMMYFUNCTION("""COMPUTED_VALUE"""),"Prayagraj")</f>
        <v>Prayagraj</v>
      </c>
      <c r="Z634" s="124">
        <f>IFERROR(__xludf.DUMMYFUNCTION("""COMPUTED_VALUE"""),5.0)</f>
        <v>5</v>
      </c>
      <c r="AA634" s="124" t="str">
        <f>IFERROR(__xludf.DUMMYFUNCTION("""COMPUTED_VALUE"""),"Cold")</f>
        <v>Cold</v>
      </c>
      <c r="AB634" s="124" t="str">
        <f>IFERROR(__xludf.DUMMYFUNCTION("""COMPUTED_VALUE"""),"GS Foundation")</f>
        <v>GS Foundation</v>
      </c>
    </row>
    <row r="635">
      <c r="A635" s="126">
        <f>IFERROR(__xludf.DUMMYFUNCTION("""COMPUTED_VALUE"""),46043.0)</f>
        <v>46043</v>
      </c>
      <c r="B635" s="124" t="str">
        <f>IFERROR(__xludf.DUMMYFUNCTION("""COMPUTED_VALUE"""),"Walkin")</f>
        <v>Walkin</v>
      </c>
      <c r="C635" s="124" t="str">
        <f>IFERROR(__xludf.DUMMYFUNCTION("""COMPUTED_VALUE"""),"Prayagraj")</f>
        <v>Prayagraj</v>
      </c>
      <c r="D635" s="124" t="str">
        <f>IFERROR(__xludf.DUMMYFUNCTION("""COMPUTED_VALUE"""),"Primary_Walkin")</f>
        <v>Primary_Walkin</v>
      </c>
      <c r="E635" s="124">
        <f>IFERROR(__xludf.DUMMYFUNCTION("""COMPUTED_VALUE"""),3.0)</f>
        <v>3</v>
      </c>
      <c r="F635" s="124" t="str">
        <f>IFERROR(__xludf.DUMMYFUNCTION("""COMPUTED_VALUE"""),"Cold")</f>
        <v>Cold</v>
      </c>
      <c r="G635" s="124" t="str">
        <f>IFERROR(__xludf.DUMMYFUNCTION("""COMPUTED_VALUE"""),"Mentorship")</f>
        <v>Mentorship</v>
      </c>
      <c r="K635" s="124"/>
      <c r="L635" s="124"/>
      <c r="M635" s="124"/>
      <c r="N635" s="124"/>
      <c r="O635" s="124"/>
      <c r="T635" s="126">
        <f>IFERROR(__xludf.DUMMYFUNCTION("""COMPUTED_VALUE"""),46066.0)</f>
        <v>46066</v>
      </c>
      <c r="U635" s="124" t="str">
        <f>IFERROR(__xludf.DUMMYFUNCTION("""COMPUTED_VALUE"""),"Walk-Ins")</f>
        <v>Walk-Ins</v>
      </c>
      <c r="V635" s="124" t="str">
        <f>IFERROR(__xludf.DUMMYFUNCTION("""COMPUTED_VALUE"""),"Walkin")</f>
        <v>Walkin</v>
      </c>
      <c r="W635" s="124" t="str">
        <f>IFERROR(__xludf.DUMMYFUNCTION("""COMPUTED_VALUE"""),"Patna")</f>
        <v>Patna</v>
      </c>
      <c r="X635" s="124" t="str">
        <f>IFERROR(__xludf.DUMMYFUNCTION("""COMPUTED_VALUE"""),"Walkin")</f>
        <v>Walkin</v>
      </c>
      <c r="Y635" s="124" t="str">
        <f>IFERROR(__xludf.DUMMYFUNCTION("""COMPUTED_VALUE"""),"Patna")</f>
        <v>Patna</v>
      </c>
      <c r="Z635" s="124">
        <f>IFERROR(__xludf.DUMMYFUNCTION("""COMPUTED_VALUE"""),7.0)</f>
        <v>7</v>
      </c>
      <c r="AA635" s="124" t="str">
        <f>IFERROR(__xludf.DUMMYFUNCTION("""COMPUTED_VALUE"""),"Cold")</f>
        <v>Cold</v>
      </c>
      <c r="AB635" s="124" t="str">
        <f>IFERROR(__xludf.DUMMYFUNCTION("""COMPUTED_VALUE"""),"GS Foundation")</f>
        <v>GS Foundation</v>
      </c>
    </row>
    <row r="636">
      <c r="A636" s="126">
        <f>IFERROR(__xludf.DUMMYFUNCTION("""COMPUTED_VALUE"""),46102.0)</f>
        <v>46102</v>
      </c>
      <c r="B636" s="124" t="str">
        <f>IFERROR(__xludf.DUMMYFUNCTION("""COMPUTED_VALUE"""),"Walkin")</f>
        <v>Walkin</v>
      </c>
      <c r="C636" s="124" t="str">
        <f>IFERROR(__xludf.DUMMYFUNCTION("""COMPUTED_VALUE"""),"Prayagraj")</f>
        <v>Prayagraj</v>
      </c>
      <c r="D636" s="124" t="str">
        <f>IFERROR(__xludf.DUMMYFUNCTION("""COMPUTED_VALUE"""),"Primary_Walkin")</f>
        <v>Primary_Walkin</v>
      </c>
      <c r="E636" s="124">
        <f>IFERROR(__xludf.DUMMYFUNCTION("""COMPUTED_VALUE"""),1.0)</f>
        <v>1</v>
      </c>
      <c r="F636" s="124" t="str">
        <f>IFERROR(__xludf.DUMMYFUNCTION("""COMPUTED_VALUE"""),"Not Interested")</f>
        <v>Not Interested</v>
      </c>
      <c r="G636" s="124" t="str">
        <f>IFERROR(__xludf.DUMMYFUNCTION("""COMPUTED_VALUE"""),"State PCS")</f>
        <v>State PCS</v>
      </c>
      <c r="K636" s="124"/>
      <c r="L636" s="124"/>
      <c r="M636" s="124"/>
      <c r="N636" s="124"/>
      <c r="O636" s="124"/>
      <c r="T636" s="126">
        <f>IFERROR(__xludf.DUMMYFUNCTION("""COMPUTED_VALUE"""),46093.0)</f>
        <v>46093</v>
      </c>
      <c r="U636" s="124" t="str">
        <f>IFERROR(__xludf.DUMMYFUNCTION("""COMPUTED_VALUE"""),"Walk-Ins")</f>
        <v>Walk-Ins</v>
      </c>
      <c r="V636" s="124" t="str">
        <f>IFERROR(__xludf.DUMMYFUNCTION("""COMPUTED_VALUE"""),"Walkin")</f>
        <v>Walkin</v>
      </c>
      <c r="W636" s="124" t="str">
        <f>IFERROR(__xludf.DUMMYFUNCTION("""COMPUTED_VALUE"""),"Patna")</f>
        <v>Patna</v>
      </c>
      <c r="X636" s="124" t="str">
        <f>IFERROR(__xludf.DUMMYFUNCTION("""COMPUTED_VALUE"""),"Walkin")</f>
        <v>Walkin</v>
      </c>
      <c r="Y636" s="124" t="str">
        <f>IFERROR(__xludf.DUMMYFUNCTION("""COMPUTED_VALUE"""),"Patna")</f>
        <v>Patna</v>
      </c>
      <c r="Z636" s="124">
        <f>IFERROR(__xludf.DUMMYFUNCTION("""COMPUTED_VALUE"""),2.0)</f>
        <v>2</v>
      </c>
      <c r="AA636" s="124" t="str">
        <f>IFERROR(__xludf.DUMMYFUNCTION("""COMPUTED_VALUE"""),"Fake Lead")</f>
        <v>Fake Lead</v>
      </c>
      <c r="AB636" s="124" t="str">
        <f>IFERROR(__xludf.DUMMYFUNCTION("""COMPUTED_VALUE"""),"State PCS")</f>
        <v>State PCS</v>
      </c>
    </row>
    <row r="637">
      <c r="A637" s="129">
        <f>IFERROR(__xludf.DUMMYFUNCTION("""COMPUTED_VALUE"""),46059.0)</f>
        <v>46059</v>
      </c>
      <c r="B637" s="124" t="str">
        <f>IFERROR(__xludf.DUMMYFUNCTION("""COMPUTED_VALUE"""),"events")</f>
        <v>events</v>
      </c>
      <c r="C637" s="124" t="str">
        <f>IFERROR(__xludf.DUMMYFUNCTION("""COMPUTED_VALUE"""),"Delhi")</f>
        <v>Delhi</v>
      </c>
      <c r="D637" s="124" t="str">
        <f>IFERROR(__xludf.DUMMYFUNCTION("""COMPUTED_VALUE"""),"Secondary_Walkin")</f>
        <v>Secondary_Walkin</v>
      </c>
      <c r="E637" s="124">
        <f>IFERROR(__xludf.DUMMYFUNCTION("""COMPUTED_VALUE"""),2.0)</f>
        <v>2</v>
      </c>
      <c r="F637" s="124" t="str">
        <f>IFERROR(__xludf.DUMMYFUNCTION("""COMPUTED_VALUE"""),"Future Prospects")</f>
        <v>Future Prospects</v>
      </c>
      <c r="G637" s="124" t="str">
        <f>IFERROR(__xludf.DUMMYFUNCTION("""COMPUTED_VALUE"""),"GS Foundation")</f>
        <v>GS Foundation</v>
      </c>
      <c r="K637" s="124"/>
      <c r="L637" s="124"/>
      <c r="M637" s="124"/>
      <c r="N637" s="124"/>
      <c r="O637" s="124"/>
      <c r="T637" s="129">
        <f>IFERROR(__xludf.DUMMYFUNCTION("""COMPUTED_VALUE"""),46101.0)</f>
        <v>46101</v>
      </c>
      <c r="U637" s="124" t="str">
        <f>IFERROR(__xludf.DUMMYFUNCTION("""COMPUTED_VALUE"""),"Walk-Ins")</f>
        <v>Walk-Ins</v>
      </c>
      <c r="V637" s="124" t="str">
        <f>IFERROR(__xludf.DUMMYFUNCTION("""COMPUTED_VALUE"""),"Walkin")</f>
        <v>Walkin</v>
      </c>
      <c r="W637" s="124" t="str">
        <f>IFERROR(__xludf.DUMMYFUNCTION("""COMPUTED_VALUE"""),"Patna")</f>
        <v>Patna</v>
      </c>
      <c r="X637" s="124" t="str">
        <f>IFERROR(__xludf.DUMMYFUNCTION("""COMPUTED_VALUE"""),"Walkin")</f>
        <v>Walkin</v>
      </c>
      <c r="Y637" s="124" t="str">
        <f>IFERROR(__xludf.DUMMYFUNCTION("""COMPUTED_VALUE"""),"Patna")</f>
        <v>Patna</v>
      </c>
      <c r="Z637" s="124">
        <f>IFERROR(__xludf.DUMMYFUNCTION("""COMPUTED_VALUE"""),1.0)</f>
        <v>1</v>
      </c>
      <c r="AA637" s="124" t="str">
        <f>IFERROR(__xludf.DUMMYFUNCTION("""COMPUTED_VALUE"""),"Future Prospects")</f>
        <v>Future Prospects</v>
      </c>
      <c r="AB637" s="124" t="str">
        <f>IFERROR(__xludf.DUMMYFUNCTION("""COMPUTED_VALUE"""),"GS Foundation")</f>
        <v>GS Foundation</v>
      </c>
    </row>
    <row r="638">
      <c r="A638" s="126">
        <f>IFERROR(__xludf.DUMMYFUNCTION("""COMPUTED_VALUE"""),46043.0)</f>
        <v>46043</v>
      </c>
      <c r="B638" s="124" t="str">
        <f>IFERROR(__xludf.DUMMYFUNCTION("""COMPUTED_VALUE"""),"Walkin")</f>
        <v>Walkin</v>
      </c>
      <c r="C638" s="124" t="str">
        <f>IFERROR(__xludf.DUMMYFUNCTION("""COMPUTED_VALUE"""),"Delhi")</f>
        <v>Delhi</v>
      </c>
      <c r="D638" s="124" t="str">
        <f>IFERROR(__xludf.DUMMYFUNCTION("""COMPUTED_VALUE"""),"Primary_Walkin")</f>
        <v>Primary_Walkin</v>
      </c>
      <c r="E638" s="124">
        <f>IFERROR(__xludf.DUMMYFUNCTION("""COMPUTED_VALUE"""),1.0)</f>
        <v>1</v>
      </c>
      <c r="F638" s="124" t="str">
        <f>IFERROR(__xludf.DUMMYFUNCTION("""COMPUTED_VALUE"""),"Enrolled")</f>
        <v>Enrolled</v>
      </c>
      <c r="G638" s="124" t="str">
        <f>IFERROR(__xludf.DUMMYFUNCTION("""COMPUTED_VALUE"""),"State PCS")</f>
        <v>State PCS</v>
      </c>
      <c r="K638" s="124"/>
      <c r="L638" s="124"/>
      <c r="M638" s="124"/>
      <c r="N638" s="124"/>
      <c r="O638" s="124"/>
      <c r="T638" s="126">
        <f>IFERROR(__xludf.DUMMYFUNCTION("""COMPUTED_VALUE"""),46103.0)</f>
        <v>46103</v>
      </c>
      <c r="U638" s="124" t="str">
        <f>IFERROR(__xludf.DUMMYFUNCTION("""COMPUTED_VALUE"""),"Walk-Ins")</f>
        <v>Walk-Ins</v>
      </c>
      <c r="V638" s="124" t="str">
        <f>IFERROR(__xludf.DUMMYFUNCTION("""COMPUTED_VALUE"""),"Walkin")</f>
        <v>Walkin</v>
      </c>
      <c r="W638" s="124" t="str">
        <f>IFERROR(__xludf.DUMMYFUNCTION("""COMPUTED_VALUE"""),"Prayagraj")</f>
        <v>Prayagraj</v>
      </c>
      <c r="X638" s="124" t="str">
        <f>IFERROR(__xludf.DUMMYFUNCTION("""COMPUTED_VALUE"""),"Walkin")</f>
        <v>Walkin</v>
      </c>
      <c r="Y638" s="124" t="str">
        <f>IFERROR(__xludf.DUMMYFUNCTION("""COMPUTED_VALUE"""),"Prayagraj")</f>
        <v>Prayagraj</v>
      </c>
      <c r="Z638" s="124">
        <f>IFERROR(__xludf.DUMMYFUNCTION("""COMPUTED_VALUE"""),8.0)</f>
        <v>8</v>
      </c>
      <c r="AA638" s="124" t="str">
        <f>IFERROR(__xludf.DUMMYFUNCTION("""COMPUTED_VALUE"""),"Future Prospects")</f>
        <v>Future Prospects</v>
      </c>
      <c r="AB638" s="124" t="str">
        <f>IFERROR(__xludf.DUMMYFUNCTION("""COMPUTED_VALUE"""),"GS Foundation")</f>
        <v>GS Foundation</v>
      </c>
    </row>
    <row r="639">
      <c r="A639" s="126">
        <f>IFERROR(__xludf.DUMMYFUNCTION("""COMPUTED_VALUE"""),46074.0)</f>
        <v>46074</v>
      </c>
      <c r="B639" s="124" t="str">
        <f>IFERROR(__xludf.DUMMYFUNCTION("""COMPUTED_VALUE"""),"Walkin")</f>
        <v>Walkin</v>
      </c>
      <c r="C639" s="124" t="str">
        <f>IFERROR(__xludf.DUMMYFUNCTION("""COMPUTED_VALUE"""),"Delhi")</f>
        <v>Delhi</v>
      </c>
      <c r="D639" s="124" t="str">
        <f>IFERROR(__xludf.DUMMYFUNCTION("""COMPUTED_VALUE"""),"Primary_Walkin")</f>
        <v>Primary_Walkin</v>
      </c>
      <c r="E639" s="124">
        <f>IFERROR(__xludf.DUMMYFUNCTION("""COMPUTED_VALUE"""),4.0)</f>
        <v>4</v>
      </c>
      <c r="F639" s="124" t="str">
        <f>IFERROR(__xludf.DUMMYFUNCTION("""COMPUTED_VALUE"""),"Cold")</f>
        <v>Cold</v>
      </c>
      <c r="G639" s="124" t="str">
        <f>IFERROR(__xludf.DUMMYFUNCTION("""COMPUTED_VALUE"""),"GS Foundation")</f>
        <v>GS Foundation</v>
      </c>
      <c r="K639" s="124"/>
      <c r="L639" s="124"/>
      <c r="M639" s="124"/>
      <c r="N639" s="124"/>
      <c r="O639" s="124"/>
      <c r="T639" s="126">
        <f>IFERROR(__xludf.DUMMYFUNCTION("""COMPUTED_VALUE"""),46049.0)</f>
        <v>46049</v>
      </c>
      <c r="U639" s="124" t="str">
        <f>IFERROR(__xludf.DUMMYFUNCTION("""COMPUTED_VALUE"""),"Walk-Ins")</f>
        <v>Walk-Ins</v>
      </c>
      <c r="V639" s="124" t="str">
        <f>IFERROR(__xludf.DUMMYFUNCTION("""COMPUTED_VALUE"""),"Walkin")</f>
        <v>Walkin</v>
      </c>
      <c r="W639" s="124" t="str">
        <f>IFERROR(__xludf.DUMMYFUNCTION("""COMPUTED_VALUE"""),"Patna")</f>
        <v>Patna</v>
      </c>
      <c r="X639" s="124" t="str">
        <f>IFERROR(__xludf.DUMMYFUNCTION("""COMPUTED_VALUE"""),"Walkin")</f>
        <v>Walkin</v>
      </c>
      <c r="Y639" s="124" t="str">
        <f>IFERROR(__xludf.DUMMYFUNCTION("""COMPUTED_VALUE"""),"Patna")</f>
        <v>Patna</v>
      </c>
      <c r="Z639" s="124">
        <f>IFERROR(__xludf.DUMMYFUNCTION("""COMPUTED_VALUE"""),2.0)</f>
        <v>2</v>
      </c>
      <c r="AA639" s="124" t="str">
        <f>IFERROR(__xludf.DUMMYFUNCTION("""COMPUTED_VALUE"""),"Fake Lead")</f>
        <v>Fake Lead</v>
      </c>
      <c r="AB639" s="124" t="str">
        <f>IFERROR(__xludf.DUMMYFUNCTION("""COMPUTED_VALUE"""),"Test Series")</f>
        <v>Test Series</v>
      </c>
    </row>
    <row r="640">
      <c r="A640" s="129">
        <f>IFERROR(__xludf.DUMMYFUNCTION("""COMPUTED_VALUE"""),46046.0)</f>
        <v>46046</v>
      </c>
      <c r="B640" s="124" t="str">
        <f>IFERROR(__xludf.DUMMYFUNCTION("""COMPUTED_VALUE"""),"Walkin")</f>
        <v>Walkin</v>
      </c>
      <c r="C640" s="124" t="str">
        <f>IFERROR(__xludf.DUMMYFUNCTION("""COMPUTED_VALUE"""),"Delhi")</f>
        <v>Delhi</v>
      </c>
      <c r="D640" s="124" t="str">
        <f>IFERROR(__xludf.DUMMYFUNCTION("""COMPUTED_VALUE"""),"Primary_Walkin")</f>
        <v>Primary_Walkin</v>
      </c>
      <c r="E640" s="124">
        <f>IFERROR(__xludf.DUMMYFUNCTION("""COMPUTED_VALUE"""),2.0)</f>
        <v>2</v>
      </c>
      <c r="F640" s="124" t="str">
        <f>IFERROR(__xludf.DUMMYFUNCTION("""COMPUTED_VALUE"""),"Enrolled")</f>
        <v>Enrolled</v>
      </c>
      <c r="G640" s="124" t="str">
        <f>IFERROR(__xludf.DUMMYFUNCTION("""COMPUTED_VALUE"""),"GS Foundation")</f>
        <v>GS Foundation</v>
      </c>
      <c r="K640" s="124"/>
      <c r="L640" s="124"/>
      <c r="M640" s="124"/>
      <c r="N640" s="124"/>
      <c r="O640" s="124"/>
      <c r="T640" s="129">
        <f>IFERROR(__xludf.DUMMYFUNCTION("""COMPUTED_VALUE"""),46070.0)</f>
        <v>46070</v>
      </c>
      <c r="U640" s="124" t="str">
        <f>IFERROR(__xludf.DUMMYFUNCTION("""COMPUTED_VALUE"""),"Walk-Ins")</f>
        <v>Walk-Ins</v>
      </c>
      <c r="V640" s="124" t="str">
        <f>IFERROR(__xludf.DUMMYFUNCTION("""COMPUTED_VALUE"""),"Walkin")</f>
        <v>Walkin</v>
      </c>
      <c r="W640" s="124" t="str">
        <f>IFERROR(__xludf.DUMMYFUNCTION("""COMPUTED_VALUE"""),"Patna")</f>
        <v>Patna</v>
      </c>
      <c r="X640" s="124" t="str">
        <f>IFERROR(__xludf.DUMMYFUNCTION("""COMPUTED_VALUE"""),"Walkin")</f>
        <v>Walkin</v>
      </c>
      <c r="Y640" s="124" t="str">
        <f>IFERROR(__xludf.DUMMYFUNCTION("""COMPUTED_VALUE"""),"Patna")</f>
        <v>Patna</v>
      </c>
      <c r="Z640" s="124">
        <f>IFERROR(__xludf.DUMMYFUNCTION("""COMPUTED_VALUE"""),2.0)</f>
        <v>2</v>
      </c>
      <c r="AA640" s="124" t="str">
        <f>IFERROR(__xludf.DUMMYFUNCTION("""COMPUTED_VALUE"""),"Cold")</f>
        <v>Cold</v>
      </c>
      <c r="AB640" s="124" t="str">
        <f>IFERROR(__xludf.DUMMYFUNCTION("""COMPUTED_VALUE"""),"State PCS")</f>
        <v>State PCS</v>
      </c>
    </row>
    <row r="641">
      <c r="A641" s="126">
        <f>IFERROR(__xludf.DUMMYFUNCTION("""COMPUTED_VALUE"""),46108.0)</f>
        <v>46108</v>
      </c>
      <c r="B641" s="124" t="str">
        <f>IFERROR(__xludf.DUMMYFUNCTION("""COMPUTED_VALUE"""),"Walkin")</f>
        <v>Walkin</v>
      </c>
      <c r="C641" s="124" t="str">
        <f>IFERROR(__xludf.DUMMYFUNCTION("""COMPUTED_VALUE"""),"Delhi")</f>
        <v>Delhi</v>
      </c>
      <c r="D641" s="124" t="str">
        <f>IFERROR(__xludf.DUMMYFUNCTION("""COMPUTED_VALUE"""),"Primary_Walkin")</f>
        <v>Primary_Walkin</v>
      </c>
      <c r="E641" s="124">
        <f>IFERROR(__xludf.DUMMYFUNCTION("""COMPUTED_VALUE"""),6.0)</f>
        <v>6</v>
      </c>
      <c r="F641" s="124" t="str">
        <f>IFERROR(__xludf.DUMMYFUNCTION("""COMPUTED_VALUE"""),"Warm")</f>
        <v>Warm</v>
      </c>
      <c r="G641" s="124" t="str">
        <f>IFERROR(__xludf.DUMMYFUNCTION("""COMPUTED_VALUE"""),"GS Foundation")</f>
        <v>GS Foundation</v>
      </c>
      <c r="K641" s="124"/>
      <c r="L641" s="124"/>
      <c r="M641" s="124"/>
      <c r="N641" s="124"/>
      <c r="O641" s="124"/>
      <c r="T641" s="126">
        <f>IFERROR(__xludf.DUMMYFUNCTION("""COMPUTED_VALUE"""),46091.0)</f>
        <v>46091</v>
      </c>
      <c r="U641" s="124" t="str">
        <f>IFERROR(__xludf.DUMMYFUNCTION("""COMPUTED_VALUE"""),"Walk-Ins")</f>
        <v>Walk-Ins</v>
      </c>
      <c r="V641" s="124" t="str">
        <f>IFERROR(__xludf.DUMMYFUNCTION("""COMPUTED_VALUE"""),"Walkin")</f>
        <v>Walkin</v>
      </c>
      <c r="W641" s="124" t="str">
        <f>IFERROR(__xludf.DUMMYFUNCTION("""COMPUTED_VALUE"""),"Prayagraj")</f>
        <v>Prayagraj</v>
      </c>
      <c r="X641" s="124" t="str">
        <f>IFERROR(__xludf.DUMMYFUNCTION("""COMPUTED_VALUE"""),"Walkin")</f>
        <v>Walkin</v>
      </c>
      <c r="Y641" s="124" t="str">
        <f>IFERROR(__xludf.DUMMYFUNCTION("""COMPUTED_VALUE"""),"Prayagraj")</f>
        <v>Prayagraj</v>
      </c>
      <c r="Z641" s="124">
        <f>IFERROR(__xludf.DUMMYFUNCTION("""COMPUTED_VALUE"""),1.0)</f>
        <v>1</v>
      </c>
      <c r="AA641" s="124" t="str">
        <f>IFERROR(__xludf.DUMMYFUNCTION("""COMPUTED_VALUE"""),"Cold")</f>
        <v>Cold</v>
      </c>
      <c r="AB641" s="124" t="str">
        <f>IFERROR(__xludf.DUMMYFUNCTION("""COMPUTED_VALUE"""),"GS Foundation")</f>
        <v>GS Foundation</v>
      </c>
    </row>
    <row r="642">
      <c r="A642" s="126">
        <f>IFERROR(__xludf.DUMMYFUNCTION("""COMPUTED_VALUE"""),46087.0)</f>
        <v>46087</v>
      </c>
      <c r="B642" s="124" t="str">
        <f>IFERROR(__xludf.DUMMYFUNCTION("""COMPUTED_VALUE"""),"Walkin")</f>
        <v>Walkin</v>
      </c>
      <c r="C642" s="124" t="str">
        <f>IFERROR(__xludf.DUMMYFUNCTION("""COMPUTED_VALUE"""),"Delhi")</f>
        <v>Delhi</v>
      </c>
      <c r="D642" s="124" t="str">
        <f>IFERROR(__xludf.DUMMYFUNCTION("""COMPUTED_VALUE"""),"Primary_Walkin")</f>
        <v>Primary_Walkin</v>
      </c>
      <c r="E642" s="124">
        <f>IFERROR(__xludf.DUMMYFUNCTION("""COMPUTED_VALUE"""),4.0)</f>
        <v>4</v>
      </c>
      <c r="F642" s="124" t="str">
        <f>IFERROR(__xludf.DUMMYFUNCTION("""COMPUTED_VALUE"""),"Warm")</f>
        <v>Warm</v>
      </c>
      <c r="G642" s="124" t="str">
        <f>IFERROR(__xludf.DUMMYFUNCTION("""COMPUTED_VALUE"""),"GS Foundation")</f>
        <v>GS Foundation</v>
      </c>
      <c r="K642" s="124"/>
      <c r="L642" s="124"/>
      <c r="M642" s="124"/>
      <c r="N642" s="124"/>
      <c r="O642" s="124"/>
      <c r="T642" s="126">
        <f>IFERROR(__xludf.DUMMYFUNCTION("""COMPUTED_VALUE"""),46045.0)</f>
        <v>46045</v>
      </c>
      <c r="U642" s="124" t="str">
        <f>IFERROR(__xludf.DUMMYFUNCTION("""COMPUTED_VALUE"""),"Walk-Ins")</f>
        <v>Walk-Ins</v>
      </c>
      <c r="V642" s="124" t="str">
        <f>IFERROR(__xludf.DUMMYFUNCTION("""COMPUTED_VALUE"""),"Walkin")</f>
        <v>Walkin</v>
      </c>
      <c r="W642" s="124" t="str">
        <f>IFERROR(__xludf.DUMMYFUNCTION("""COMPUTED_VALUE"""),"Prayagraj")</f>
        <v>Prayagraj</v>
      </c>
      <c r="X642" s="124" t="str">
        <f>IFERROR(__xludf.DUMMYFUNCTION("""COMPUTED_VALUE"""),"Walkin")</f>
        <v>Walkin</v>
      </c>
      <c r="Y642" s="124" t="str">
        <f>IFERROR(__xludf.DUMMYFUNCTION("""COMPUTED_VALUE"""),"Prayagraj")</f>
        <v>Prayagraj</v>
      </c>
      <c r="Z642" s="124">
        <f>IFERROR(__xludf.DUMMYFUNCTION("""COMPUTED_VALUE"""),3.0)</f>
        <v>3</v>
      </c>
      <c r="AA642" s="124" t="str">
        <f>IFERROR(__xludf.DUMMYFUNCTION("""COMPUTED_VALUE"""),"Cold")</f>
        <v>Cold</v>
      </c>
      <c r="AB642" s="124" t="str">
        <f>IFERROR(__xludf.DUMMYFUNCTION("""COMPUTED_VALUE"""),"State PCS")</f>
        <v>State PCS</v>
      </c>
    </row>
    <row r="643">
      <c r="A643" s="129">
        <f>IFERROR(__xludf.DUMMYFUNCTION("""COMPUTED_VALUE"""),46106.0)</f>
        <v>46106</v>
      </c>
      <c r="B643" s="124" t="str">
        <f>IFERROR(__xludf.DUMMYFUNCTION("""COMPUTED_VALUE"""),"Walkin")</f>
        <v>Walkin</v>
      </c>
      <c r="C643" s="124" t="str">
        <f>IFERROR(__xludf.DUMMYFUNCTION("""COMPUTED_VALUE"""),"Delhi")</f>
        <v>Delhi</v>
      </c>
      <c r="D643" s="124" t="str">
        <f>IFERROR(__xludf.DUMMYFUNCTION("""COMPUTED_VALUE"""),"Primary_Walkin")</f>
        <v>Primary_Walkin</v>
      </c>
      <c r="E643" s="124">
        <f>IFERROR(__xludf.DUMMYFUNCTION("""COMPUTED_VALUE"""),3.0)</f>
        <v>3</v>
      </c>
      <c r="F643" s="124" t="str">
        <f>IFERROR(__xludf.DUMMYFUNCTION("""COMPUTED_VALUE"""),"Warm")</f>
        <v>Warm</v>
      </c>
      <c r="G643" s="124" t="str">
        <f>IFERROR(__xludf.DUMMYFUNCTION("""COMPUTED_VALUE"""),"GS Foundation")</f>
        <v>GS Foundation</v>
      </c>
      <c r="K643" s="124"/>
      <c r="L643" s="124"/>
      <c r="M643" s="124"/>
      <c r="N643" s="124"/>
      <c r="O643" s="124"/>
      <c r="T643" s="126">
        <f>IFERROR(__xludf.DUMMYFUNCTION("""COMPUTED_VALUE"""),46070.0)</f>
        <v>46070</v>
      </c>
      <c r="U643" s="124" t="str">
        <f>IFERROR(__xludf.DUMMYFUNCTION("""COMPUTED_VALUE"""),"Walk-Ins")</f>
        <v>Walk-Ins</v>
      </c>
      <c r="V643" s="124" t="str">
        <f>IFERROR(__xludf.DUMMYFUNCTION("""COMPUTED_VALUE"""),"Walkin")</f>
        <v>Walkin</v>
      </c>
      <c r="W643" s="124" t="str">
        <f>IFERROR(__xludf.DUMMYFUNCTION("""COMPUTED_VALUE"""),"Indore")</f>
        <v>Indore</v>
      </c>
      <c r="X643" s="124" t="str">
        <f>IFERROR(__xludf.DUMMYFUNCTION("""COMPUTED_VALUE"""),"Walkin")</f>
        <v>Walkin</v>
      </c>
      <c r="Y643" s="124" t="str">
        <f>IFERROR(__xludf.DUMMYFUNCTION("""COMPUTED_VALUE"""),"Indore")</f>
        <v>Indore</v>
      </c>
      <c r="Z643" s="124">
        <f>IFERROR(__xludf.DUMMYFUNCTION("""COMPUTED_VALUE"""),1.0)</f>
        <v>1</v>
      </c>
      <c r="AA643" s="124" t="str">
        <f>IFERROR(__xludf.DUMMYFUNCTION("""COMPUTED_VALUE"""),"Cold")</f>
        <v>Cold</v>
      </c>
      <c r="AB643" s="124" t="str">
        <f>IFERROR(__xludf.DUMMYFUNCTION("""COMPUTED_VALUE"""),"Other")</f>
        <v>Other</v>
      </c>
    </row>
    <row r="644">
      <c r="A644" s="129">
        <f>IFERROR(__xludf.DUMMYFUNCTION("""COMPUTED_VALUE"""),46078.0)</f>
        <v>46078</v>
      </c>
      <c r="B644" s="124" t="str">
        <f>IFERROR(__xludf.DUMMYFUNCTION("""COMPUTED_VALUE"""),"Walkin")</f>
        <v>Walkin</v>
      </c>
      <c r="C644" s="124" t="str">
        <f>IFERROR(__xludf.DUMMYFUNCTION("""COMPUTED_VALUE"""),"Delhi")</f>
        <v>Delhi</v>
      </c>
      <c r="D644" s="124" t="str">
        <f>IFERROR(__xludf.DUMMYFUNCTION("""COMPUTED_VALUE"""),"Primary_Walkin")</f>
        <v>Primary_Walkin</v>
      </c>
      <c r="E644" s="124">
        <f>IFERROR(__xludf.DUMMYFUNCTION("""COMPUTED_VALUE"""),2.0)</f>
        <v>2</v>
      </c>
      <c r="F644" s="124" t="str">
        <f>IFERROR(__xludf.DUMMYFUNCTION("""COMPUTED_VALUE"""),"Not Interested")</f>
        <v>Not Interested</v>
      </c>
      <c r="G644" s="124" t="str">
        <f>IFERROR(__xludf.DUMMYFUNCTION("""COMPUTED_VALUE"""),"SIP Offline")</f>
        <v>SIP Offline</v>
      </c>
      <c r="K644" s="124"/>
      <c r="L644" s="124"/>
      <c r="M644" s="124"/>
      <c r="N644" s="124"/>
      <c r="O644" s="124"/>
      <c r="T644" s="126">
        <f>IFERROR(__xludf.DUMMYFUNCTION("""COMPUTED_VALUE"""),46053.0)</f>
        <v>46053</v>
      </c>
      <c r="U644" s="124" t="str">
        <f>IFERROR(__xludf.DUMMYFUNCTION("""COMPUTED_VALUE"""),"Walk-Ins")</f>
        <v>Walk-Ins</v>
      </c>
      <c r="V644" s="124" t="str">
        <f>IFERROR(__xludf.DUMMYFUNCTION("""COMPUTED_VALUE"""),"Walkin")</f>
        <v>Walkin</v>
      </c>
      <c r="W644" s="124" t="str">
        <f>IFERROR(__xludf.DUMMYFUNCTION("""COMPUTED_VALUE"""),"Prayagraj")</f>
        <v>Prayagraj</v>
      </c>
      <c r="X644" s="124" t="str">
        <f>IFERROR(__xludf.DUMMYFUNCTION("""COMPUTED_VALUE"""),"Walkin")</f>
        <v>Walkin</v>
      </c>
      <c r="Y644" s="124" t="str">
        <f>IFERROR(__xludf.DUMMYFUNCTION("""COMPUTED_VALUE"""),"Prayagraj")</f>
        <v>Prayagraj</v>
      </c>
      <c r="Z644" s="124">
        <f>IFERROR(__xludf.DUMMYFUNCTION("""COMPUTED_VALUE"""),2.0)</f>
        <v>2</v>
      </c>
      <c r="AA644" s="124" t="str">
        <f>IFERROR(__xludf.DUMMYFUNCTION("""COMPUTED_VALUE"""),"Not Interested")</f>
        <v>Not Interested</v>
      </c>
      <c r="AB644" s="124" t="str">
        <f>IFERROR(__xludf.DUMMYFUNCTION("""COMPUTED_VALUE"""),"GS Foundation")</f>
        <v>GS Foundation</v>
      </c>
    </row>
    <row r="645">
      <c r="A645" s="126">
        <f>IFERROR(__xludf.DUMMYFUNCTION("""COMPUTED_VALUE"""),46098.0)</f>
        <v>46098</v>
      </c>
      <c r="B645" s="124" t="str">
        <f>IFERROR(__xludf.DUMMYFUNCTION("""COMPUTED_VALUE"""),"Events")</f>
        <v>Events</v>
      </c>
      <c r="C645" s="124" t="str">
        <f>IFERROR(__xludf.DUMMYFUNCTION("""COMPUTED_VALUE"""),"Delhi")</f>
        <v>Delhi</v>
      </c>
      <c r="D645" s="124" t="str">
        <f>IFERROR(__xludf.DUMMYFUNCTION("""COMPUTED_VALUE"""),"Secondary_Walkin")</f>
        <v>Secondary_Walkin</v>
      </c>
      <c r="E645" s="124">
        <f>IFERROR(__xludf.DUMMYFUNCTION("""COMPUTED_VALUE"""),1.0)</f>
        <v>1</v>
      </c>
      <c r="F645" s="124" t="str">
        <f>IFERROR(__xludf.DUMMYFUNCTION("""COMPUTED_VALUE"""),"Cold")</f>
        <v>Cold</v>
      </c>
      <c r="G645" s="124" t="str">
        <f>IFERROR(__xludf.DUMMYFUNCTION("""COMPUTED_VALUE"""),"GS Foundation")</f>
        <v>GS Foundation</v>
      </c>
      <c r="K645" s="124"/>
      <c r="L645" s="124"/>
      <c r="M645" s="124"/>
      <c r="N645" s="124"/>
      <c r="O645" s="124"/>
      <c r="T645" s="126">
        <f>IFERROR(__xludf.DUMMYFUNCTION("""COMPUTED_VALUE"""),46106.0)</f>
        <v>46106</v>
      </c>
      <c r="U645" s="124" t="str">
        <f>IFERROR(__xludf.DUMMYFUNCTION("""COMPUTED_VALUE"""),"Walk-Ins")</f>
        <v>Walk-Ins</v>
      </c>
      <c r="V645" s="124" t="str">
        <f>IFERROR(__xludf.DUMMYFUNCTION("""COMPUTED_VALUE"""),"Walkin")</f>
        <v>Walkin</v>
      </c>
      <c r="W645" s="124" t="str">
        <f>IFERROR(__xludf.DUMMYFUNCTION("""COMPUTED_VALUE"""),"Prayagraj")</f>
        <v>Prayagraj</v>
      </c>
      <c r="X645" s="124" t="str">
        <f>IFERROR(__xludf.DUMMYFUNCTION("""COMPUTED_VALUE"""),"Walkin")</f>
        <v>Walkin</v>
      </c>
      <c r="Y645" s="124" t="str">
        <f>IFERROR(__xludf.DUMMYFUNCTION("""COMPUTED_VALUE"""),"Prayagraj")</f>
        <v>Prayagraj</v>
      </c>
      <c r="Z645" s="124">
        <f>IFERROR(__xludf.DUMMYFUNCTION("""COMPUTED_VALUE"""),1.0)</f>
        <v>1</v>
      </c>
      <c r="AA645" s="124" t="str">
        <f>IFERROR(__xludf.DUMMYFUNCTION("""COMPUTED_VALUE"""),"Interested")</f>
        <v>Interested</v>
      </c>
      <c r="AB645" s="124" t="str">
        <f>IFERROR(__xludf.DUMMYFUNCTION("""COMPUTED_VALUE"""),"GS Foundation")</f>
        <v>GS Foundation</v>
      </c>
    </row>
    <row r="646">
      <c r="A646" s="126">
        <f>IFERROR(__xludf.DUMMYFUNCTION("""COMPUTED_VALUE"""),46087.0)</f>
        <v>46087</v>
      </c>
      <c r="B646" s="124" t="str">
        <f>IFERROR(__xludf.DUMMYFUNCTION("""COMPUTED_VALUE"""),"Walkin")</f>
        <v>Walkin</v>
      </c>
      <c r="C646" s="124" t="str">
        <f>IFERROR(__xludf.DUMMYFUNCTION("""COMPUTED_VALUE"""),"Delhi")</f>
        <v>Delhi</v>
      </c>
      <c r="D646" s="124" t="str">
        <f>IFERROR(__xludf.DUMMYFUNCTION("""COMPUTED_VALUE"""),"Primary_Walkin")</f>
        <v>Primary_Walkin</v>
      </c>
      <c r="E646" s="124">
        <f>IFERROR(__xludf.DUMMYFUNCTION("""COMPUTED_VALUE"""),1.0)</f>
        <v>1</v>
      </c>
      <c r="F646" s="124" t="str">
        <f>IFERROR(__xludf.DUMMYFUNCTION("""COMPUTED_VALUE"""),"Not Interested")</f>
        <v>Not Interested</v>
      </c>
      <c r="G646" s="124" t="str">
        <f>IFERROR(__xludf.DUMMYFUNCTION("""COMPUTED_VALUE"""),"GS Foundation")</f>
        <v>GS Foundation</v>
      </c>
      <c r="K646" s="124"/>
      <c r="L646" s="124"/>
      <c r="M646" s="124"/>
      <c r="N646" s="124"/>
      <c r="O646" s="124"/>
      <c r="T646" s="126">
        <f>IFERROR(__xludf.DUMMYFUNCTION("""COMPUTED_VALUE"""),46102.0)</f>
        <v>46102</v>
      </c>
      <c r="U646" s="124" t="str">
        <f>IFERROR(__xludf.DUMMYFUNCTION("""COMPUTED_VALUE"""),"Walk-Ins")</f>
        <v>Walk-Ins</v>
      </c>
      <c r="V646" s="124" t="str">
        <f>IFERROR(__xludf.DUMMYFUNCTION("""COMPUTED_VALUE"""),"Walkin")</f>
        <v>Walkin</v>
      </c>
      <c r="W646" s="124" t="str">
        <f>IFERROR(__xludf.DUMMYFUNCTION("""COMPUTED_VALUE"""),"Indore")</f>
        <v>Indore</v>
      </c>
      <c r="X646" s="124" t="str">
        <f>IFERROR(__xludf.DUMMYFUNCTION("""COMPUTED_VALUE"""),"Walkin")</f>
        <v>Walkin</v>
      </c>
      <c r="Y646" s="124" t="str">
        <f>IFERROR(__xludf.DUMMYFUNCTION("""COMPUTED_VALUE"""),"Indore")</f>
        <v>Indore</v>
      </c>
      <c r="Z646" s="124">
        <f>IFERROR(__xludf.DUMMYFUNCTION("""COMPUTED_VALUE"""),2.0)</f>
        <v>2</v>
      </c>
      <c r="AA646" s="124" t="str">
        <f>IFERROR(__xludf.DUMMYFUNCTION("""COMPUTED_VALUE"""),"Cold")</f>
        <v>Cold</v>
      </c>
      <c r="AB646" s="124" t="str">
        <f>IFERROR(__xludf.DUMMYFUNCTION("""COMPUTED_VALUE"""),"State PCS")</f>
        <v>State PCS</v>
      </c>
    </row>
    <row r="647">
      <c r="A647" s="126">
        <f>IFERROR(__xludf.DUMMYFUNCTION("""COMPUTED_VALUE"""),46096.0)</f>
        <v>46096</v>
      </c>
      <c r="B647" s="124" t="str">
        <f>IFERROR(__xludf.DUMMYFUNCTION("""COMPUTED_VALUE"""),"Walkin")</f>
        <v>Walkin</v>
      </c>
      <c r="C647" s="124" t="str">
        <f>IFERROR(__xludf.DUMMYFUNCTION("""COMPUTED_VALUE"""),"Delhi")</f>
        <v>Delhi</v>
      </c>
      <c r="D647" s="124" t="str">
        <f>IFERROR(__xludf.DUMMYFUNCTION("""COMPUTED_VALUE"""),"Primary_Walkin")</f>
        <v>Primary_Walkin</v>
      </c>
      <c r="E647" s="124">
        <f>IFERROR(__xludf.DUMMYFUNCTION("""COMPUTED_VALUE"""),5.0)</f>
        <v>5</v>
      </c>
      <c r="F647" s="124" t="str">
        <f>IFERROR(__xludf.DUMMYFUNCTION("""COMPUTED_VALUE"""),"Not Interested")</f>
        <v>Not Interested</v>
      </c>
      <c r="G647" s="124" t="str">
        <f>IFERROR(__xludf.DUMMYFUNCTION("""COMPUTED_VALUE"""),"GS Foundation")</f>
        <v>GS Foundation</v>
      </c>
      <c r="K647" s="124"/>
      <c r="L647" s="124"/>
      <c r="M647" s="124"/>
      <c r="N647" s="124"/>
      <c r="O647" s="124"/>
      <c r="T647" s="126">
        <f>IFERROR(__xludf.DUMMYFUNCTION("""COMPUTED_VALUE"""),46112.0)</f>
        <v>46112</v>
      </c>
      <c r="U647" s="124" t="str">
        <f>IFERROR(__xludf.DUMMYFUNCTION("""COMPUTED_VALUE"""),"Walk-Ins")</f>
        <v>Walk-Ins</v>
      </c>
      <c r="V647" s="124" t="str">
        <f>IFERROR(__xludf.DUMMYFUNCTION("""COMPUTED_VALUE"""),"Walkin")</f>
        <v>Walkin</v>
      </c>
      <c r="W647" s="124" t="str">
        <f>IFERROR(__xludf.DUMMYFUNCTION("""COMPUTED_VALUE"""),"Patna")</f>
        <v>Patna</v>
      </c>
      <c r="X647" s="124" t="str">
        <f>IFERROR(__xludf.DUMMYFUNCTION("""COMPUTED_VALUE"""),"Walkin")</f>
        <v>Walkin</v>
      </c>
      <c r="Y647" s="124" t="str">
        <f>IFERROR(__xludf.DUMMYFUNCTION("""COMPUTED_VALUE"""),"Patna")</f>
        <v>Patna</v>
      </c>
      <c r="Z647" s="124">
        <f>IFERROR(__xludf.DUMMYFUNCTION("""COMPUTED_VALUE"""),2.0)</f>
        <v>2</v>
      </c>
      <c r="AA647" s="124" t="str">
        <f>IFERROR(__xludf.DUMMYFUNCTION("""COMPUTED_VALUE"""),"Fake Lead")</f>
        <v>Fake Lead</v>
      </c>
      <c r="AB647" s="124" t="str">
        <f>IFERROR(__xludf.DUMMYFUNCTION("""COMPUTED_VALUE"""),"State PCS")</f>
        <v>State PCS</v>
      </c>
    </row>
    <row r="648">
      <c r="A648" s="126">
        <f>IFERROR(__xludf.DUMMYFUNCTION("""COMPUTED_VALUE"""),46108.0)</f>
        <v>46108</v>
      </c>
      <c r="B648" s="124" t="str">
        <f>IFERROR(__xludf.DUMMYFUNCTION("""COMPUTED_VALUE"""),"Walkin")</f>
        <v>Walkin</v>
      </c>
      <c r="C648" s="124" t="str">
        <f>IFERROR(__xludf.DUMMYFUNCTION("""COMPUTED_VALUE"""),"Delhi")</f>
        <v>Delhi</v>
      </c>
      <c r="D648" s="124" t="str">
        <f>IFERROR(__xludf.DUMMYFUNCTION("""COMPUTED_VALUE"""),"Primary_Walkin")</f>
        <v>Primary_Walkin</v>
      </c>
      <c r="E648" s="124">
        <f>IFERROR(__xludf.DUMMYFUNCTION("""COMPUTED_VALUE"""),1.0)</f>
        <v>1</v>
      </c>
      <c r="F648" s="124" t="str">
        <f>IFERROR(__xludf.DUMMYFUNCTION("""COMPUTED_VALUE"""),"Interested")</f>
        <v>Interested</v>
      </c>
      <c r="G648" s="124" t="str">
        <f>IFERROR(__xludf.DUMMYFUNCTION("""COMPUTED_VALUE"""),"GS Foundation")</f>
        <v>GS Foundation</v>
      </c>
      <c r="K648" s="124"/>
      <c r="L648" s="124"/>
      <c r="M648" s="124"/>
      <c r="N648" s="124"/>
      <c r="O648" s="124"/>
      <c r="T648" s="129">
        <f>IFERROR(__xludf.DUMMYFUNCTION("""COMPUTED_VALUE"""),46062.0)</f>
        <v>46062</v>
      </c>
      <c r="U648" s="124" t="str">
        <f>IFERROR(__xludf.DUMMYFUNCTION("""COMPUTED_VALUE"""),"Walk-Ins")</f>
        <v>Walk-Ins</v>
      </c>
      <c r="V648" s="124" t="str">
        <f>IFERROR(__xludf.DUMMYFUNCTION("""COMPUTED_VALUE"""),"Walkin")</f>
        <v>Walkin</v>
      </c>
      <c r="W648" s="124" t="str">
        <f>IFERROR(__xludf.DUMMYFUNCTION("""COMPUTED_VALUE"""),"Prayagraj")</f>
        <v>Prayagraj</v>
      </c>
      <c r="X648" s="124" t="str">
        <f>IFERROR(__xludf.DUMMYFUNCTION("""COMPUTED_VALUE"""),"Walkin")</f>
        <v>Walkin</v>
      </c>
      <c r="Y648" s="124" t="str">
        <f>IFERROR(__xludf.DUMMYFUNCTION("""COMPUTED_VALUE"""),"Prayagraj")</f>
        <v>Prayagraj</v>
      </c>
      <c r="Z648" s="124">
        <f>IFERROR(__xludf.DUMMYFUNCTION("""COMPUTED_VALUE"""),2.0)</f>
        <v>2</v>
      </c>
      <c r="AA648" s="124" t="str">
        <f>IFERROR(__xludf.DUMMYFUNCTION("""COMPUTED_VALUE"""),"Cold")</f>
        <v>Cold</v>
      </c>
      <c r="AB648" s="124" t="str">
        <f>IFERROR(__xludf.DUMMYFUNCTION("""COMPUTED_VALUE"""),"GS Foundation")</f>
        <v>GS Foundation</v>
      </c>
    </row>
    <row r="649">
      <c r="A649" s="126">
        <f>IFERROR(__xludf.DUMMYFUNCTION("""COMPUTED_VALUE"""),46098.0)</f>
        <v>46098</v>
      </c>
      <c r="B649" s="124" t="str">
        <f>IFERROR(__xludf.DUMMYFUNCTION("""COMPUTED_VALUE"""),"Walk-In")</f>
        <v>Walk-In</v>
      </c>
      <c r="C649" s="124" t="str">
        <f>IFERROR(__xludf.DUMMYFUNCTION("""COMPUTED_VALUE"""),"Delhi")</f>
        <v>Delhi</v>
      </c>
      <c r="D649" s="124" t="str">
        <f>IFERROR(__xludf.DUMMYFUNCTION("""COMPUTED_VALUE"""),"Primary_Walkin")</f>
        <v>Primary_Walkin</v>
      </c>
      <c r="E649" s="124">
        <f>IFERROR(__xludf.DUMMYFUNCTION("""COMPUTED_VALUE"""),2.0)</f>
        <v>2</v>
      </c>
      <c r="F649" s="124" t="str">
        <f>IFERROR(__xludf.DUMMYFUNCTION("""COMPUTED_VALUE"""),"Cold")</f>
        <v>Cold</v>
      </c>
      <c r="G649" s="124" t="str">
        <f>IFERROR(__xludf.DUMMYFUNCTION("""COMPUTED_VALUE"""),"GS Foundation")</f>
        <v>GS Foundation</v>
      </c>
      <c r="K649" s="124"/>
      <c r="L649" s="124"/>
      <c r="M649" s="124"/>
      <c r="N649" s="124"/>
      <c r="O649" s="124"/>
      <c r="T649" s="126">
        <f>IFERROR(__xludf.DUMMYFUNCTION("""COMPUTED_VALUE"""),46079.0)</f>
        <v>46079</v>
      </c>
      <c r="U649" s="124" t="str">
        <f>IFERROR(__xludf.DUMMYFUNCTION("""COMPUTED_VALUE"""),"Walk-Ins")</f>
        <v>Walk-Ins</v>
      </c>
      <c r="V649" s="124" t="str">
        <f>IFERROR(__xludf.DUMMYFUNCTION("""COMPUTED_VALUE"""),"Walkin")</f>
        <v>Walkin</v>
      </c>
      <c r="W649" s="124" t="str">
        <f>IFERROR(__xludf.DUMMYFUNCTION("""COMPUTED_VALUE"""),"Patna")</f>
        <v>Patna</v>
      </c>
      <c r="X649" s="124" t="str">
        <f>IFERROR(__xludf.DUMMYFUNCTION("""COMPUTED_VALUE"""),"Walkin")</f>
        <v>Walkin</v>
      </c>
      <c r="Y649" s="124" t="str">
        <f>IFERROR(__xludf.DUMMYFUNCTION("""COMPUTED_VALUE"""),"Patna")</f>
        <v>Patna</v>
      </c>
      <c r="Z649" s="124">
        <f>IFERROR(__xludf.DUMMYFUNCTION("""COMPUTED_VALUE"""),3.0)</f>
        <v>3</v>
      </c>
      <c r="AA649" s="124" t="str">
        <f>IFERROR(__xludf.DUMMYFUNCTION("""COMPUTED_VALUE"""),"Future Prospects")</f>
        <v>Future Prospects</v>
      </c>
      <c r="AB649" s="124" t="str">
        <f>IFERROR(__xludf.DUMMYFUNCTION("""COMPUTED_VALUE"""),"State PCS")</f>
        <v>State PCS</v>
      </c>
    </row>
    <row r="650">
      <c r="A650" s="126">
        <f>IFERROR(__xludf.DUMMYFUNCTION("""COMPUTED_VALUE"""),46046.0)</f>
        <v>46046</v>
      </c>
      <c r="B650" s="124" t="str">
        <f>IFERROR(__xludf.DUMMYFUNCTION("""COMPUTED_VALUE"""),"Walkin")</f>
        <v>Walkin</v>
      </c>
      <c r="C650" s="124" t="str">
        <f>IFERROR(__xludf.DUMMYFUNCTION("""COMPUTED_VALUE"""),"Delhi")</f>
        <v>Delhi</v>
      </c>
      <c r="D650" s="124" t="str">
        <f>IFERROR(__xludf.DUMMYFUNCTION("""COMPUTED_VALUE"""),"Primary_Walkin")</f>
        <v>Primary_Walkin</v>
      </c>
      <c r="E650" s="124">
        <f>IFERROR(__xludf.DUMMYFUNCTION("""COMPUTED_VALUE"""),5.0)</f>
        <v>5</v>
      </c>
      <c r="F650" s="124" t="str">
        <f>IFERROR(__xludf.DUMMYFUNCTION("""COMPUTED_VALUE"""),"Not Interested")</f>
        <v>Not Interested</v>
      </c>
      <c r="G650" s="124" t="str">
        <f>IFERROR(__xludf.DUMMYFUNCTION("""COMPUTED_VALUE"""),"GS Foundation")</f>
        <v>GS Foundation</v>
      </c>
      <c r="K650" s="124"/>
      <c r="L650" s="124"/>
      <c r="M650" s="124"/>
      <c r="N650" s="124"/>
      <c r="O650" s="124"/>
      <c r="T650" s="126">
        <f>IFERROR(__xludf.DUMMYFUNCTION("""COMPUTED_VALUE"""),46094.0)</f>
        <v>46094</v>
      </c>
      <c r="U650" s="124" t="str">
        <f>IFERROR(__xludf.DUMMYFUNCTION("""COMPUTED_VALUE"""),"Walk-Ins")</f>
        <v>Walk-Ins</v>
      </c>
      <c r="V650" s="124" t="str">
        <f>IFERROR(__xludf.DUMMYFUNCTION("""COMPUTED_VALUE"""),"Walkin")</f>
        <v>Walkin</v>
      </c>
      <c r="W650" s="124" t="str">
        <f>IFERROR(__xludf.DUMMYFUNCTION("""COMPUTED_VALUE"""),"Prayagraj")</f>
        <v>Prayagraj</v>
      </c>
      <c r="X650" s="124" t="str">
        <f>IFERROR(__xludf.DUMMYFUNCTION("""COMPUTED_VALUE"""),"Walkin")</f>
        <v>Walkin</v>
      </c>
      <c r="Y650" s="124" t="str">
        <f>IFERROR(__xludf.DUMMYFUNCTION("""COMPUTED_VALUE"""),"Prayagraj")</f>
        <v>Prayagraj</v>
      </c>
      <c r="Z650" s="124">
        <f>IFERROR(__xludf.DUMMYFUNCTION("""COMPUTED_VALUE"""),2.0)</f>
        <v>2</v>
      </c>
      <c r="AA650" s="124" t="str">
        <f>IFERROR(__xludf.DUMMYFUNCTION("""COMPUTED_VALUE"""),"Not Interested")</f>
        <v>Not Interested</v>
      </c>
      <c r="AB650" s="124" t="str">
        <f>IFERROR(__xludf.DUMMYFUNCTION("""COMPUTED_VALUE"""),"GS Foundation")</f>
        <v>GS Foundation</v>
      </c>
    </row>
    <row r="651">
      <c r="A651" s="126">
        <f>IFERROR(__xludf.DUMMYFUNCTION("""COMPUTED_VALUE"""),46074.0)</f>
        <v>46074</v>
      </c>
      <c r="B651" s="124" t="str">
        <f>IFERROR(__xludf.DUMMYFUNCTION("""COMPUTED_VALUE"""),"Walkin")</f>
        <v>Walkin</v>
      </c>
      <c r="C651" s="124" t="str">
        <f>IFERROR(__xludf.DUMMYFUNCTION("""COMPUTED_VALUE"""),"Delhi")</f>
        <v>Delhi</v>
      </c>
      <c r="D651" s="124" t="str">
        <f>IFERROR(__xludf.DUMMYFUNCTION("""COMPUTED_VALUE"""),"Primary_Walkin")</f>
        <v>Primary_Walkin</v>
      </c>
      <c r="E651" s="124">
        <f>IFERROR(__xludf.DUMMYFUNCTION("""COMPUTED_VALUE"""),1.0)</f>
        <v>1</v>
      </c>
      <c r="F651" s="124" t="str">
        <f>IFERROR(__xludf.DUMMYFUNCTION("""COMPUTED_VALUE"""),"Warm")</f>
        <v>Warm</v>
      </c>
      <c r="G651" s="124" t="str">
        <f>IFERROR(__xludf.DUMMYFUNCTION("""COMPUTED_VALUE"""),"GS Foundation")</f>
        <v>GS Foundation</v>
      </c>
      <c r="K651" s="124"/>
      <c r="L651" s="124"/>
      <c r="M651" s="124"/>
      <c r="N651" s="124"/>
      <c r="O651" s="124"/>
      <c r="T651" s="126">
        <f>IFERROR(__xludf.DUMMYFUNCTION("""COMPUTED_VALUE"""),46090.0)</f>
        <v>46090</v>
      </c>
      <c r="U651" s="124" t="str">
        <f>IFERROR(__xludf.DUMMYFUNCTION("""COMPUTED_VALUE"""),"Paid Ads")</f>
        <v>Paid Ads</v>
      </c>
      <c r="V651" s="124" t="str">
        <f>IFERROR(__xludf.DUMMYFUNCTION("""COMPUTED_VALUE"""),"facebook")</f>
        <v>facebook</v>
      </c>
      <c r="W651" s="124" t="str">
        <f>IFERROR(__xludf.DUMMYFUNCTION("""COMPUTED_VALUE"""),"delhi")</f>
        <v>delhi</v>
      </c>
      <c r="X651" s="124" t="str">
        <f>IFERROR(__xludf.DUMMYFUNCTION("""COMPUTED_VALUE"""),"meta")</f>
        <v>meta</v>
      </c>
      <c r="Y651" s="124" t="str">
        <f>IFERROR(__xludf.DUMMYFUNCTION("""COMPUTED_VALUE"""),"Delhi")</f>
        <v>Delhi</v>
      </c>
      <c r="Z651" s="124">
        <f>IFERROR(__xludf.DUMMYFUNCTION("""COMPUTED_VALUE"""),3.0)</f>
        <v>3</v>
      </c>
      <c r="AA651" s="124" t="str">
        <f>IFERROR(__xludf.DUMMYFUNCTION("""COMPUTED_VALUE"""),"Cold")</f>
        <v>Cold</v>
      </c>
      <c r="AB651" s="124"/>
    </row>
    <row r="652">
      <c r="A652" s="126">
        <f>IFERROR(__xludf.DUMMYFUNCTION("""COMPUTED_VALUE"""),46060.0)</f>
        <v>46060</v>
      </c>
      <c r="B652" s="124" t="str">
        <f>IFERROR(__xludf.DUMMYFUNCTION("""COMPUTED_VALUE"""),"Walkin")</f>
        <v>Walkin</v>
      </c>
      <c r="C652" s="124" t="str">
        <f>IFERROR(__xludf.DUMMYFUNCTION("""COMPUTED_VALUE"""),"Delhi")</f>
        <v>Delhi</v>
      </c>
      <c r="D652" s="124" t="str">
        <f>IFERROR(__xludf.DUMMYFUNCTION("""COMPUTED_VALUE"""),"Primary_Walkin")</f>
        <v>Primary_Walkin</v>
      </c>
      <c r="E652" s="124">
        <f>IFERROR(__xludf.DUMMYFUNCTION("""COMPUTED_VALUE"""),2.0)</f>
        <v>2</v>
      </c>
      <c r="F652" s="124" t="str">
        <f>IFERROR(__xludf.DUMMYFUNCTION("""COMPUTED_VALUE"""),"Enrolled")</f>
        <v>Enrolled</v>
      </c>
      <c r="G652" s="124" t="str">
        <f>IFERROR(__xludf.DUMMYFUNCTION("""COMPUTED_VALUE"""),"GS Foundation")</f>
        <v>GS Foundation</v>
      </c>
      <c r="K652" s="124"/>
      <c r="L652" s="124"/>
      <c r="M652" s="124"/>
      <c r="N652" s="124"/>
      <c r="O652" s="124"/>
      <c r="T652" s="129">
        <f>IFERROR(__xludf.DUMMYFUNCTION("""COMPUTED_VALUE"""),46097.0)</f>
        <v>46097</v>
      </c>
      <c r="U652" s="124" t="str">
        <f>IFERROR(__xludf.DUMMYFUNCTION("""COMPUTED_VALUE"""),"Walk-Ins")</f>
        <v>Walk-Ins</v>
      </c>
      <c r="V652" s="124" t="str">
        <f>IFERROR(__xludf.DUMMYFUNCTION("""COMPUTED_VALUE"""),"Walkin")</f>
        <v>Walkin</v>
      </c>
      <c r="W652" s="124" t="str">
        <f>IFERROR(__xludf.DUMMYFUNCTION("""COMPUTED_VALUE"""),"Patna")</f>
        <v>Patna</v>
      </c>
      <c r="X652" s="124" t="str">
        <f>IFERROR(__xludf.DUMMYFUNCTION("""COMPUTED_VALUE"""),"Walkin")</f>
        <v>Walkin</v>
      </c>
      <c r="Y652" s="124" t="str">
        <f>IFERROR(__xludf.DUMMYFUNCTION("""COMPUTED_VALUE"""),"Patna")</f>
        <v>Patna</v>
      </c>
      <c r="Z652" s="124">
        <f>IFERROR(__xludf.DUMMYFUNCTION("""COMPUTED_VALUE"""),1.0)</f>
        <v>1</v>
      </c>
      <c r="AA652" s="124" t="str">
        <f>IFERROR(__xludf.DUMMYFUNCTION("""COMPUTED_VALUE"""),"Enrolled")</f>
        <v>Enrolled</v>
      </c>
      <c r="AB652" s="124" t="str">
        <f>IFERROR(__xludf.DUMMYFUNCTION("""COMPUTED_VALUE"""),"GS Foundation")</f>
        <v>GS Foundation</v>
      </c>
    </row>
    <row r="653">
      <c r="A653" s="129">
        <f>IFERROR(__xludf.DUMMYFUNCTION("""COMPUTED_VALUE"""),46066.0)</f>
        <v>46066</v>
      </c>
      <c r="B653" s="124" t="str">
        <f>IFERROR(__xludf.DUMMYFUNCTION("""COMPUTED_VALUE"""),"Walkin")</f>
        <v>Walkin</v>
      </c>
      <c r="C653" s="124" t="str">
        <f>IFERROR(__xludf.DUMMYFUNCTION("""COMPUTED_VALUE"""),"Delhi")</f>
        <v>Delhi</v>
      </c>
      <c r="D653" s="124" t="str">
        <f>IFERROR(__xludf.DUMMYFUNCTION("""COMPUTED_VALUE"""),"Primary_Walkin")</f>
        <v>Primary_Walkin</v>
      </c>
      <c r="E653" s="124">
        <f>IFERROR(__xludf.DUMMYFUNCTION("""COMPUTED_VALUE"""),2.0)</f>
        <v>2</v>
      </c>
      <c r="F653" s="124" t="str">
        <f>IFERROR(__xludf.DUMMYFUNCTION("""COMPUTED_VALUE"""),"Enrolled")</f>
        <v>Enrolled</v>
      </c>
      <c r="G653" s="124" t="str">
        <f>IFERROR(__xludf.DUMMYFUNCTION("""COMPUTED_VALUE"""),"GS Foundation")</f>
        <v>GS Foundation</v>
      </c>
      <c r="K653" s="124"/>
      <c r="L653" s="124"/>
      <c r="M653" s="124"/>
      <c r="N653" s="124"/>
      <c r="O653" s="124"/>
      <c r="T653" s="126">
        <f>IFERROR(__xludf.DUMMYFUNCTION("""COMPUTED_VALUE"""),46096.0)</f>
        <v>46096</v>
      </c>
      <c r="U653" s="124" t="str">
        <f>IFERROR(__xludf.DUMMYFUNCTION("""COMPUTED_VALUE"""),"Walk-Ins")</f>
        <v>Walk-Ins</v>
      </c>
      <c r="V653" s="124" t="str">
        <f>IFERROR(__xludf.DUMMYFUNCTION("""COMPUTED_VALUE"""),"Walkin")</f>
        <v>Walkin</v>
      </c>
      <c r="W653" s="124" t="str">
        <f>IFERROR(__xludf.DUMMYFUNCTION("""COMPUTED_VALUE"""),"Prayagraj")</f>
        <v>Prayagraj</v>
      </c>
      <c r="X653" s="124" t="str">
        <f>IFERROR(__xludf.DUMMYFUNCTION("""COMPUTED_VALUE"""),"Walkin")</f>
        <v>Walkin</v>
      </c>
      <c r="Y653" s="124" t="str">
        <f>IFERROR(__xludf.DUMMYFUNCTION("""COMPUTED_VALUE"""),"Prayagraj")</f>
        <v>Prayagraj</v>
      </c>
      <c r="Z653" s="124">
        <f>IFERROR(__xludf.DUMMYFUNCTION("""COMPUTED_VALUE"""),2.0)</f>
        <v>2</v>
      </c>
      <c r="AA653" s="124" t="str">
        <f>IFERROR(__xludf.DUMMYFUNCTION("""COMPUTED_VALUE"""),"Enrolled")</f>
        <v>Enrolled</v>
      </c>
      <c r="AB653" s="124" t="str">
        <f>IFERROR(__xludf.DUMMYFUNCTION("""COMPUTED_VALUE"""),"GS Foundation")</f>
        <v>GS Foundation</v>
      </c>
    </row>
    <row r="654">
      <c r="A654" s="126">
        <f>IFERROR(__xludf.DUMMYFUNCTION("""COMPUTED_VALUE"""),46079.0)</f>
        <v>46079</v>
      </c>
      <c r="B654" s="124" t="str">
        <f>IFERROR(__xludf.DUMMYFUNCTION("""COMPUTED_VALUE"""),"Walk-In")</f>
        <v>Walk-In</v>
      </c>
      <c r="C654" s="124" t="str">
        <f>IFERROR(__xludf.DUMMYFUNCTION("""COMPUTED_VALUE"""),"Delhi")</f>
        <v>Delhi</v>
      </c>
      <c r="D654" s="124" t="str">
        <f>IFERROR(__xludf.DUMMYFUNCTION("""COMPUTED_VALUE"""),"Primary_Walkin")</f>
        <v>Primary_Walkin</v>
      </c>
      <c r="E654" s="124">
        <f>IFERROR(__xludf.DUMMYFUNCTION("""COMPUTED_VALUE"""),1.0)</f>
        <v>1</v>
      </c>
      <c r="F654" s="124" t="str">
        <f>IFERROR(__xludf.DUMMYFUNCTION("""COMPUTED_VALUE"""),"Cold")</f>
        <v>Cold</v>
      </c>
      <c r="G654" s="124" t="str">
        <f>IFERROR(__xludf.DUMMYFUNCTION("""COMPUTED_VALUE"""),"Optionals")</f>
        <v>Optionals</v>
      </c>
      <c r="K654" s="124"/>
      <c r="L654" s="124"/>
      <c r="M654" s="124"/>
      <c r="N654" s="124"/>
      <c r="O654" s="124"/>
      <c r="T654" s="129">
        <f>IFERROR(__xludf.DUMMYFUNCTION("""COMPUTED_VALUE"""),46051.0)</f>
        <v>46051</v>
      </c>
      <c r="U654" s="124" t="str">
        <f>IFERROR(__xludf.DUMMYFUNCTION("""COMPUTED_VALUE"""),"Walk-Ins")</f>
        <v>Walk-Ins</v>
      </c>
      <c r="V654" s="124" t="str">
        <f>IFERROR(__xludf.DUMMYFUNCTION("""COMPUTED_VALUE"""),"Walkin")</f>
        <v>Walkin</v>
      </c>
      <c r="W654" s="124" t="str">
        <f>IFERROR(__xludf.DUMMYFUNCTION("""COMPUTED_VALUE"""),"Patna")</f>
        <v>Patna</v>
      </c>
      <c r="X654" s="124" t="str">
        <f>IFERROR(__xludf.DUMMYFUNCTION("""COMPUTED_VALUE"""),"Walkin")</f>
        <v>Walkin</v>
      </c>
      <c r="Y654" s="124" t="str">
        <f>IFERROR(__xludf.DUMMYFUNCTION("""COMPUTED_VALUE"""),"Patna")</f>
        <v>Patna</v>
      </c>
      <c r="Z654" s="124">
        <f>IFERROR(__xludf.DUMMYFUNCTION("""COMPUTED_VALUE"""),1.0)</f>
        <v>1</v>
      </c>
      <c r="AA654" s="124" t="str">
        <f>IFERROR(__xludf.DUMMYFUNCTION("""COMPUTED_VALUE"""),"Cold")</f>
        <v>Cold</v>
      </c>
      <c r="AB654" s="124" t="str">
        <f>IFERROR(__xludf.DUMMYFUNCTION("""COMPUTED_VALUE"""),"GS Advanced")</f>
        <v>GS Advanced</v>
      </c>
    </row>
    <row r="655">
      <c r="A655" s="129">
        <f>IFERROR(__xludf.DUMMYFUNCTION("""COMPUTED_VALUE"""),46073.0)</f>
        <v>46073</v>
      </c>
      <c r="B655" s="124" t="str">
        <f>IFERROR(__xludf.DUMMYFUNCTION("""COMPUTED_VALUE"""),"Walkin")</f>
        <v>Walkin</v>
      </c>
      <c r="C655" s="124" t="str">
        <f>IFERROR(__xludf.DUMMYFUNCTION("""COMPUTED_VALUE"""),"Delhi")</f>
        <v>Delhi</v>
      </c>
      <c r="D655" s="124" t="str">
        <f>IFERROR(__xludf.DUMMYFUNCTION("""COMPUTED_VALUE"""),"Primary_Walkin")</f>
        <v>Primary_Walkin</v>
      </c>
      <c r="E655" s="124">
        <f>IFERROR(__xludf.DUMMYFUNCTION("""COMPUTED_VALUE"""),6.0)</f>
        <v>6</v>
      </c>
      <c r="F655" s="124" t="str">
        <f>IFERROR(__xludf.DUMMYFUNCTION("""COMPUTED_VALUE"""),"Not Interested")</f>
        <v>Not Interested</v>
      </c>
      <c r="G655" s="124" t="str">
        <f>IFERROR(__xludf.DUMMYFUNCTION("""COMPUTED_VALUE"""),"GS Foundation")</f>
        <v>GS Foundation</v>
      </c>
      <c r="K655" s="124"/>
      <c r="L655" s="124"/>
      <c r="M655" s="124"/>
      <c r="N655" s="124"/>
      <c r="O655" s="124"/>
      <c r="T655" s="126">
        <f>IFERROR(__xludf.DUMMYFUNCTION("""COMPUTED_VALUE"""),46043.0)</f>
        <v>46043</v>
      </c>
      <c r="U655" s="124" t="str">
        <f>IFERROR(__xludf.DUMMYFUNCTION("""COMPUTED_VALUE"""),"Walk-Ins")</f>
        <v>Walk-Ins</v>
      </c>
      <c r="V655" s="124" t="str">
        <f>IFERROR(__xludf.DUMMYFUNCTION("""COMPUTED_VALUE"""),"Walkin")</f>
        <v>Walkin</v>
      </c>
      <c r="W655" s="124" t="str">
        <f>IFERROR(__xludf.DUMMYFUNCTION("""COMPUTED_VALUE"""),"Patna")</f>
        <v>Patna</v>
      </c>
      <c r="X655" s="124" t="str">
        <f>IFERROR(__xludf.DUMMYFUNCTION("""COMPUTED_VALUE"""),"Walkin")</f>
        <v>Walkin</v>
      </c>
      <c r="Y655" s="124" t="str">
        <f>IFERROR(__xludf.DUMMYFUNCTION("""COMPUTED_VALUE"""),"Patna")</f>
        <v>Patna</v>
      </c>
      <c r="Z655" s="124">
        <f>IFERROR(__xludf.DUMMYFUNCTION("""COMPUTED_VALUE"""),1.0)</f>
        <v>1</v>
      </c>
      <c r="AA655" s="124" t="str">
        <f>IFERROR(__xludf.DUMMYFUNCTION("""COMPUTED_VALUE"""),"Fake Lead")</f>
        <v>Fake Lead</v>
      </c>
      <c r="AB655" s="124" t="str">
        <f>IFERROR(__xludf.DUMMYFUNCTION("""COMPUTED_VALUE"""),"GS Foundation")</f>
        <v>GS Foundation</v>
      </c>
    </row>
    <row r="656">
      <c r="A656" s="126">
        <f>IFERROR(__xludf.DUMMYFUNCTION("""COMPUTED_VALUE"""),46067.0)</f>
        <v>46067</v>
      </c>
      <c r="B656" s="124" t="str">
        <f>IFERROR(__xludf.DUMMYFUNCTION("""COMPUTED_VALUE"""),"Walkin")</f>
        <v>Walkin</v>
      </c>
      <c r="C656" s="124" t="str">
        <f>IFERROR(__xludf.DUMMYFUNCTION("""COMPUTED_VALUE"""),"Delhi")</f>
        <v>Delhi</v>
      </c>
      <c r="D656" s="124" t="str">
        <f>IFERROR(__xludf.DUMMYFUNCTION("""COMPUTED_VALUE"""),"Primary_Walkin")</f>
        <v>Primary_Walkin</v>
      </c>
      <c r="E656" s="124">
        <f>IFERROR(__xludf.DUMMYFUNCTION("""COMPUTED_VALUE"""),3.0)</f>
        <v>3</v>
      </c>
      <c r="F656" s="124" t="str">
        <f>IFERROR(__xludf.DUMMYFUNCTION("""COMPUTED_VALUE"""),"Not Interested")</f>
        <v>Not Interested</v>
      </c>
      <c r="G656" s="124" t="str">
        <f>IFERROR(__xludf.DUMMYFUNCTION("""COMPUTED_VALUE"""),"GS Foundation")</f>
        <v>GS Foundation</v>
      </c>
      <c r="K656" s="124"/>
      <c r="L656" s="124"/>
      <c r="M656" s="124"/>
      <c r="N656" s="124"/>
      <c r="O656" s="124"/>
      <c r="T656" s="126">
        <f>IFERROR(__xludf.DUMMYFUNCTION("""COMPUTED_VALUE"""),46071.0)</f>
        <v>46071</v>
      </c>
      <c r="U656" s="124" t="str">
        <f>IFERROR(__xludf.DUMMYFUNCTION("""COMPUTED_VALUE"""),"Walk-Ins")</f>
        <v>Walk-Ins</v>
      </c>
      <c r="V656" s="124" t="str">
        <f>IFERROR(__xludf.DUMMYFUNCTION("""COMPUTED_VALUE"""),"Walkin")</f>
        <v>Walkin</v>
      </c>
      <c r="W656" s="124" t="str">
        <f>IFERROR(__xludf.DUMMYFUNCTION("""COMPUTED_VALUE"""),"Patna")</f>
        <v>Patna</v>
      </c>
      <c r="X656" s="124" t="str">
        <f>IFERROR(__xludf.DUMMYFUNCTION("""COMPUTED_VALUE"""),"Walkin")</f>
        <v>Walkin</v>
      </c>
      <c r="Y656" s="124" t="str">
        <f>IFERROR(__xludf.DUMMYFUNCTION("""COMPUTED_VALUE"""),"Patna")</f>
        <v>Patna</v>
      </c>
      <c r="Z656" s="124">
        <f>IFERROR(__xludf.DUMMYFUNCTION("""COMPUTED_VALUE"""),2.0)</f>
        <v>2</v>
      </c>
      <c r="AA656" s="124" t="str">
        <f>IFERROR(__xludf.DUMMYFUNCTION("""COMPUTED_VALUE"""),"Warm")</f>
        <v>Warm</v>
      </c>
      <c r="AB656" s="124" t="str">
        <f>IFERROR(__xludf.DUMMYFUNCTION("""COMPUTED_VALUE"""),"State PCS")</f>
        <v>State PCS</v>
      </c>
    </row>
    <row r="657">
      <c r="A657" s="129">
        <f>IFERROR(__xludf.DUMMYFUNCTION("""COMPUTED_VALUE"""),46104.0)</f>
        <v>46104</v>
      </c>
      <c r="B657" s="124" t="str">
        <f>IFERROR(__xludf.DUMMYFUNCTION("""COMPUTED_VALUE"""),"Walkin")</f>
        <v>Walkin</v>
      </c>
      <c r="C657" s="124" t="str">
        <f>IFERROR(__xludf.DUMMYFUNCTION("""COMPUTED_VALUE"""),"Delhi")</f>
        <v>Delhi</v>
      </c>
      <c r="D657" s="124" t="str">
        <f>IFERROR(__xludf.DUMMYFUNCTION("""COMPUTED_VALUE"""),"Primary_Walkin")</f>
        <v>Primary_Walkin</v>
      </c>
      <c r="E657" s="124">
        <f>IFERROR(__xludf.DUMMYFUNCTION("""COMPUTED_VALUE"""),10.0)</f>
        <v>10</v>
      </c>
      <c r="F657" s="124" t="str">
        <f>IFERROR(__xludf.DUMMYFUNCTION("""COMPUTED_VALUE"""),"Warm")</f>
        <v>Warm</v>
      </c>
      <c r="G657" s="124" t="str">
        <f>IFERROR(__xludf.DUMMYFUNCTION("""COMPUTED_VALUE"""),"GS Foundation")</f>
        <v>GS Foundation</v>
      </c>
      <c r="K657" s="124"/>
      <c r="L657" s="124"/>
      <c r="M657" s="124"/>
      <c r="N657" s="124"/>
      <c r="O657" s="124"/>
      <c r="T657" s="129">
        <f>IFERROR(__xludf.DUMMYFUNCTION("""COMPUTED_VALUE"""),46075.0)</f>
        <v>46075</v>
      </c>
      <c r="U657" s="124" t="str">
        <f>IFERROR(__xludf.DUMMYFUNCTION("""COMPUTED_VALUE"""),"Walk-Ins")</f>
        <v>Walk-Ins</v>
      </c>
      <c r="V657" s="124" t="str">
        <f>IFERROR(__xludf.DUMMYFUNCTION("""COMPUTED_VALUE"""),"Walkin")</f>
        <v>Walkin</v>
      </c>
      <c r="W657" s="124" t="str">
        <f>IFERROR(__xludf.DUMMYFUNCTION("""COMPUTED_VALUE"""),"Patna")</f>
        <v>Patna</v>
      </c>
      <c r="X657" s="124" t="str">
        <f>IFERROR(__xludf.DUMMYFUNCTION("""COMPUTED_VALUE"""),"Walkin")</f>
        <v>Walkin</v>
      </c>
      <c r="Y657" s="124" t="str">
        <f>IFERROR(__xludf.DUMMYFUNCTION("""COMPUTED_VALUE"""),"Patna")</f>
        <v>Patna</v>
      </c>
      <c r="Z657" s="124">
        <f>IFERROR(__xludf.DUMMYFUNCTION("""COMPUTED_VALUE"""),1.0)</f>
        <v>1</v>
      </c>
      <c r="AA657" s="124" t="str">
        <f>IFERROR(__xludf.DUMMYFUNCTION("""COMPUTED_VALUE"""),"Future Prospects")</f>
        <v>Future Prospects</v>
      </c>
      <c r="AB657" s="124" t="str">
        <f>IFERROR(__xludf.DUMMYFUNCTION("""COMPUTED_VALUE"""),"State PCS")</f>
        <v>State PCS</v>
      </c>
    </row>
    <row r="658">
      <c r="A658" s="126">
        <f>IFERROR(__xludf.DUMMYFUNCTION("""COMPUTED_VALUE"""),46088.0)</f>
        <v>46088</v>
      </c>
      <c r="B658" s="124" t="str">
        <f>IFERROR(__xludf.DUMMYFUNCTION("""COMPUTED_VALUE"""),"Walk-In")</f>
        <v>Walk-In</v>
      </c>
      <c r="C658" s="124" t="str">
        <f>IFERROR(__xludf.DUMMYFUNCTION("""COMPUTED_VALUE"""),"Delhi")</f>
        <v>Delhi</v>
      </c>
      <c r="D658" s="124" t="str">
        <f>IFERROR(__xludf.DUMMYFUNCTION("""COMPUTED_VALUE"""),"Primary_Walkin")</f>
        <v>Primary_Walkin</v>
      </c>
      <c r="E658" s="124">
        <f>IFERROR(__xludf.DUMMYFUNCTION("""COMPUTED_VALUE"""),1.0)</f>
        <v>1</v>
      </c>
      <c r="F658" s="124" t="str">
        <f>IFERROR(__xludf.DUMMYFUNCTION("""COMPUTED_VALUE"""),"Future Prospects")</f>
        <v>Future Prospects</v>
      </c>
      <c r="G658" s="124" t="str">
        <f>IFERROR(__xludf.DUMMYFUNCTION("""COMPUTED_VALUE"""),"Optionals")</f>
        <v>Optionals</v>
      </c>
      <c r="K658" s="124"/>
      <c r="L658" s="124"/>
      <c r="M658" s="124"/>
      <c r="N658" s="124"/>
      <c r="O658" s="124"/>
      <c r="T658" s="129">
        <f>IFERROR(__xludf.DUMMYFUNCTION("""COMPUTED_VALUE"""),46106.0)</f>
        <v>46106</v>
      </c>
      <c r="U658" s="124" t="str">
        <f>IFERROR(__xludf.DUMMYFUNCTION("""COMPUTED_VALUE"""),"Walk-Ins")</f>
        <v>Walk-Ins</v>
      </c>
      <c r="V658" s="124" t="str">
        <f>IFERROR(__xludf.DUMMYFUNCTION("""COMPUTED_VALUE"""),"Walkin")</f>
        <v>Walkin</v>
      </c>
      <c r="W658" s="124" t="str">
        <f>IFERROR(__xludf.DUMMYFUNCTION("""COMPUTED_VALUE"""),"Prayagraj")</f>
        <v>Prayagraj</v>
      </c>
      <c r="X658" s="124" t="str">
        <f>IFERROR(__xludf.DUMMYFUNCTION("""COMPUTED_VALUE"""),"Walkin")</f>
        <v>Walkin</v>
      </c>
      <c r="Y658" s="124" t="str">
        <f>IFERROR(__xludf.DUMMYFUNCTION("""COMPUTED_VALUE"""),"Prayagraj")</f>
        <v>Prayagraj</v>
      </c>
      <c r="Z658" s="124">
        <f>IFERROR(__xludf.DUMMYFUNCTION("""COMPUTED_VALUE"""),3.0)</f>
        <v>3</v>
      </c>
      <c r="AA658" s="124" t="str">
        <f>IFERROR(__xludf.DUMMYFUNCTION("""COMPUTED_VALUE"""),"Future Prospects")</f>
        <v>Future Prospects</v>
      </c>
      <c r="AB658" s="124" t="str">
        <f>IFERROR(__xludf.DUMMYFUNCTION("""COMPUTED_VALUE"""),"GS Foundation")</f>
        <v>GS Foundation</v>
      </c>
    </row>
    <row r="659">
      <c r="A659" s="126">
        <f>IFERROR(__xludf.DUMMYFUNCTION("""COMPUTED_VALUE"""),46103.0)</f>
        <v>46103</v>
      </c>
      <c r="B659" s="124" t="str">
        <f>IFERROR(__xludf.DUMMYFUNCTION("""COMPUTED_VALUE"""),"Walkin")</f>
        <v>Walkin</v>
      </c>
      <c r="C659" s="124" t="str">
        <f>IFERROR(__xludf.DUMMYFUNCTION("""COMPUTED_VALUE"""),"Delhi")</f>
        <v>Delhi</v>
      </c>
      <c r="D659" s="124" t="str">
        <f>IFERROR(__xludf.DUMMYFUNCTION("""COMPUTED_VALUE"""),"Primary_Walkin")</f>
        <v>Primary_Walkin</v>
      </c>
      <c r="E659" s="124">
        <f>IFERROR(__xludf.DUMMYFUNCTION("""COMPUTED_VALUE"""),5.0)</f>
        <v>5</v>
      </c>
      <c r="F659" s="124" t="str">
        <f>IFERROR(__xludf.DUMMYFUNCTION("""COMPUTED_VALUE"""),"Warm")</f>
        <v>Warm</v>
      </c>
      <c r="G659" s="124" t="str">
        <f>IFERROR(__xludf.DUMMYFUNCTION("""COMPUTED_VALUE"""),"GS Foundation")</f>
        <v>GS Foundation</v>
      </c>
      <c r="K659" s="124"/>
      <c r="L659" s="124"/>
      <c r="M659" s="124"/>
      <c r="N659" s="124"/>
      <c r="O659" s="124"/>
      <c r="T659" s="129">
        <f>IFERROR(__xludf.DUMMYFUNCTION("""COMPUTED_VALUE"""),46098.0)</f>
        <v>46098</v>
      </c>
      <c r="U659" s="124" t="str">
        <f>IFERROR(__xludf.DUMMYFUNCTION("""COMPUTED_VALUE"""),"Paid Ads")</f>
        <v>Paid Ads</v>
      </c>
      <c r="V659" s="124" t="str">
        <f>IFERROR(__xludf.DUMMYFUNCTION("""COMPUTED_VALUE"""),"Facebook")</f>
        <v>Facebook</v>
      </c>
      <c r="W659" s="124" t="str">
        <f>IFERROR(__xludf.DUMMYFUNCTION("""COMPUTED_VALUE"""),"LeadAd")</f>
        <v>LeadAd</v>
      </c>
      <c r="X659" s="124" t="str">
        <f>IFERROR(__xludf.DUMMYFUNCTION("""COMPUTED_VALUE"""),"meta")</f>
        <v>meta</v>
      </c>
      <c r="Y659" s="124"/>
      <c r="Z659" s="124">
        <f>IFERROR(__xludf.DUMMYFUNCTION("""COMPUTED_VALUE"""),7.0)</f>
        <v>7</v>
      </c>
      <c r="AA659" s="124" t="str">
        <f>IFERROR(__xludf.DUMMYFUNCTION("""COMPUTED_VALUE"""),"Cold")</f>
        <v>Cold</v>
      </c>
      <c r="AB659" s="124"/>
    </row>
    <row r="660">
      <c r="A660" s="126">
        <f>IFERROR(__xludf.DUMMYFUNCTION("""COMPUTED_VALUE"""),46050.0)</f>
        <v>46050</v>
      </c>
      <c r="B660" s="124" t="str">
        <f>IFERROR(__xludf.DUMMYFUNCTION("""COMPUTED_VALUE"""),"Walkin")</f>
        <v>Walkin</v>
      </c>
      <c r="C660" s="124" t="str">
        <f>IFERROR(__xludf.DUMMYFUNCTION("""COMPUTED_VALUE"""),"Delhi")</f>
        <v>Delhi</v>
      </c>
      <c r="D660" s="124" t="str">
        <f>IFERROR(__xludf.DUMMYFUNCTION("""COMPUTED_VALUE"""),"Primary_Walkin")</f>
        <v>Primary_Walkin</v>
      </c>
      <c r="E660" s="124">
        <f>IFERROR(__xludf.DUMMYFUNCTION("""COMPUTED_VALUE"""),1.0)</f>
        <v>1</v>
      </c>
      <c r="F660" s="124" t="str">
        <f>IFERROR(__xludf.DUMMYFUNCTION("""COMPUTED_VALUE"""),"Not Interested")</f>
        <v>Not Interested</v>
      </c>
      <c r="G660" s="124" t="str">
        <f>IFERROR(__xludf.DUMMYFUNCTION("""COMPUTED_VALUE"""),"Mentorship")</f>
        <v>Mentorship</v>
      </c>
      <c r="K660" s="124"/>
      <c r="L660" s="124"/>
      <c r="M660" s="124"/>
      <c r="N660" s="124"/>
      <c r="O660" s="124"/>
      <c r="T660" s="126">
        <f>IFERROR(__xludf.DUMMYFUNCTION("""COMPUTED_VALUE"""),46087.0)</f>
        <v>46087</v>
      </c>
      <c r="U660" s="124" t="str">
        <f>IFERROR(__xludf.DUMMYFUNCTION("""COMPUTED_VALUE"""),"Walk-Ins")</f>
        <v>Walk-Ins</v>
      </c>
      <c r="V660" s="124" t="str">
        <f>IFERROR(__xludf.DUMMYFUNCTION("""COMPUTED_VALUE"""),"Walkin")</f>
        <v>Walkin</v>
      </c>
      <c r="W660" s="124" t="str">
        <f>IFERROR(__xludf.DUMMYFUNCTION("""COMPUTED_VALUE"""),"Indore")</f>
        <v>Indore</v>
      </c>
      <c r="X660" s="124" t="str">
        <f>IFERROR(__xludf.DUMMYFUNCTION("""COMPUTED_VALUE"""),"Walkin")</f>
        <v>Walkin</v>
      </c>
      <c r="Y660" s="124" t="str">
        <f>IFERROR(__xludf.DUMMYFUNCTION("""COMPUTED_VALUE"""),"Indore")</f>
        <v>Indore</v>
      </c>
      <c r="Z660" s="124">
        <f>IFERROR(__xludf.DUMMYFUNCTION("""COMPUTED_VALUE"""),2.0)</f>
        <v>2</v>
      </c>
      <c r="AA660" s="124" t="str">
        <f>IFERROR(__xludf.DUMMYFUNCTION("""COMPUTED_VALUE"""),"Enrolled")</f>
        <v>Enrolled</v>
      </c>
      <c r="AB660" s="124" t="str">
        <f>IFERROR(__xludf.DUMMYFUNCTION("""COMPUTED_VALUE"""),"GS Foundation")</f>
        <v>GS Foundation</v>
      </c>
    </row>
    <row r="661">
      <c r="A661" s="126">
        <f>IFERROR(__xludf.DUMMYFUNCTION("""COMPUTED_VALUE"""),46069.0)</f>
        <v>46069</v>
      </c>
      <c r="B661" s="124" t="str">
        <f>IFERROR(__xludf.DUMMYFUNCTION("""COMPUTED_VALUE"""),"Walkin")</f>
        <v>Walkin</v>
      </c>
      <c r="C661" s="124" t="str">
        <f>IFERROR(__xludf.DUMMYFUNCTION("""COMPUTED_VALUE"""),"Delhi")</f>
        <v>Delhi</v>
      </c>
      <c r="D661" s="124" t="str">
        <f>IFERROR(__xludf.DUMMYFUNCTION("""COMPUTED_VALUE"""),"Primary_Walkin")</f>
        <v>Primary_Walkin</v>
      </c>
      <c r="E661" s="124">
        <f>IFERROR(__xludf.DUMMYFUNCTION("""COMPUTED_VALUE"""),2.0)</f>
        <v>2</v>
      </c>
      <c r="F661" s="124" t="str">
        <f>IFERROR(__xludf.DUMMYFUNCTION("""COMPUTED_VALUE"""),"Cold")</f>
        <v>Cold</v>
      </c>
      <c r="G661" s="124" t="str">
        <f>IFERROR(__xludf.DUMMYFUNCTION("""COMPUTED_VALUE"""),"GS Foundation")</f>
        <v>GS Foundation</v>
      </c>
      <c r="K661" s="124"/>
      <c r="L661" s="124"/>
      <c r="M661" s="124"/>
      <c r="N661" s="124"/>
      <c r="O661" s="124"/>
      <c r="T661" s="126">
        <f>IFERROR(__xludf.DUMMYFUNCTION("""COMPUTED_VALUE"""),46070.0)</f>
        <v>46070</v>
      </c>
      <c r="U661" s="124" t="str">
        <f>IFERROR(__xludf.DUMMYFUNCTION("""COMPUTED_VALUE"""),"Walk-Ins")</f>
        <v>Walk-Ins</v>
      </c>
      <c r="V661" s="124" t="str">
        <f>IFERROR(__xludf.DUMMYFUNCTION("""COMPUTED_VALUE"""),"Walkin")</f>
        <v>Walkin</v>
      </c>
      <c r="W661" s="124" t="str">
        <f>IFERROR(__xludf.DUMMYFUNCTION("""COMPUTED_VALUE"""),"Patna")</f>
        <v>Patna</v>
      </c>
      <c r="X661" s="124" t="str">
        <f>IFERROR(__xludf.DUMMYFUNCTION("""COMPUTED_VALUE"""),"Walkin")</f>
        <v>Walkin</v>
      </c>
      <c r="Y661" s="124" t="str">
        <f>IFERROR(__xludf.DUMMYFUNCTION("""COMPUTED_VALUE"""),"Patna")</f>
        <v>Patna</v>
      </c>
      <c r="Z661" s="124">
        <f>IFERROR(__xludf.DUMMYFUNCTION("""COMPUTED_VALUE"""),1.0)</f>
        <v>1</v>
      </c>
      <c r="AA661" s="124" t="str">
        <f>IFERROR(__xludf.DUMMYFUNCTION("""COMPUTED_VALUE"""),"Fake Lead")</f>
        <v>Fake Lead</v>
      </c>
      <c r="AB661" s="124" t="str">
        <f>IFERROR(__xludf.DUMMYFUNCTION("""COMPUTED_VALUE"""),"State PCS")</f>
        <v>State PCS</v>
      </c>
    </row>
    <row r="662">
      <c r="A662" s="126">
        <f>IFERROR(__xludf.DUMMYFUNCTION("""COMPUTED_VALUE"""),46088.0)</f>
        <v>46088</v>
      </c>
      <c r="B662" s="124" t="str">
        <f>IFERROR(__xludf.DUMMYFUNCTION("""COMPUTED_VALUE"""),"Walkin")</f>
        <v>Walkin</v>
      </c>
      <c r="C662" s="124" t="str">
        <f>IFERROR(__xludf.DUMMYFUNCTION("""COMPUTED_VALUE"""),"Delhi")</f>
        <v>Delhi</v>
      </c>
      <c r="D662" s="124" t="str">
        <f>IFERROR(__xludf.DUMMYFUNCTION("""COMPUTED_VALUE"""),"Primary_Walkin")</f>
        <v>Primary_Walkin</v>
      </c>
      <c r="E662" s="124">
        <f>IFERROR(__xludf.DUMMYFUNCTION("""COMPUTED_VALUE"""),2.0)</f>
        <v>2</v>
      </c>
      <c r="F662" s="124" t="str">
        <f>IFERROR(__xludf.DUMMYFUNCTION("""COMPUTED_VALUE"""),"Fake Lead")</f>
        <v>Fake Lead</v>
      </c>
      <c r="G662" s="124" t="str">
        <f>IFERROR(__xludf.DUMMYFUNCTION("""COMPUTED_VALUE"""),"GS Foundation")</f>
        <v>GS Foundation</v>
      </c>
      <c r="K662" s="124"/>
      <c r="L662" s="124"/>
      <c r="M662" s="124"/>
      <c r="N662" s="124"/>
      <c r="O662" s="124"/>
      <c r="T662" s="126">
        <f>IFERROR(__xludf.DUMMYFUNCTION("""COMPUTED_VALUE"""),46058.0)</f>
        <v>46058</v>
      </c>
      <c r="U662" s="124" t="str">
        <f>IFERROR(__xludf.DUMMYFUNCTION("""COMPUTED_VALUE"""),"Walk-Ins")</f>
        <v>Walk-Ins</v>
      </c>
      <c r="V662" s="124" t="str">
        <f>IFERROR(__xludf.DUMMYFUNCTION("""COMPUTED_VALUE"""),"Walkin")</f>
        <v>Walkin</v>
      </c>
      <c r="W662" s="124" t="str">
        <f>IFERROR(__xludf.DUMMYFUNCTION("""COMPUTED_VALUE"""),"Patna")</f>
        <v>Patna</v>
      </c>
      <c r="X662" s="124" t="str">
        <f>IFERROR(__xludf.DUMMYFUNCTION("""COMPUTED_VALUE"""),"Walkin")</f>
        <v>Walkin</v>
      </c>
      <c r="Y662" s="124" t="str">
        <f>IFERROR(__xludf.DUMMYFUNCTION("""COMPUTED_VALUE"""),"Patna")</f>
        <v>Patna</v>
      </c>
      <c r="Z662" s="124">
        <f>IFERROR(__xludf.DUMMYFUNCTION("""COMPUTED_VALUE"""),1.0)</f>
        <v>1</v>
      </c>
      <c r="AA662" s="124" t="str">
        <f>IFERROR(__xludf.DUMMYFUNCTION("""COMPUTED_VALUE"""),"Not Interested")</f>
        <v>Not Interested</v>
      </c>
      <c r="AB662" s="124" t="str">
        <f>IFERROR(__xludf.DUMMYFUNCTION("""COMPUTED_VALUE"""),"State PCS")</f>
        <v>State PCS</v>
      </c>
    </row>
    <row r="663">
      <c r="A663" s="126">
        <f>IFERROR(__xludf.DUMMYFUNCTION("""COMPUTED_VALUE"""),46054.0)</f>
        <v>46054</v>
      </c>
      <c r="B663" s="124" t="str">
        <f>IFERROR(__xludf.DUMMYFUNCTION("""COMPUTED_VALUE"""),"Walkin")</f>
        <v>Walkin</v>
      </c>
      <c r="C663" s="124" t="str">
        <f>IFERROR(__xludf.DUMMYFUNCTION("""COMPUTED_VALUE"""),"Delhi")</f>
        <v>Delhi</v>
      </c>
      <c r="D663" s="124" t="str">
        <f>IFERROR(__xludf.DUMMYFUNCTION("""COMPUTED_VALUE"""),"Primary_Walkin")</f>
        <v>Primary_Walkin</v>
      </c>
      <c r="E663" s="124">
        <f>IFERROR(__xludf.DUMMYFUNCTION("""COMPUTED_VALUE"""),3.0)</f>
        <v>3</v>
      </c>
      <c r="F663" s="124" t="str">
        <f>IFERROR(__xludf.DUMMYFUNCTION("""COMPUTED_VALUE"""),"Not Interested")</f>
        <v>Not Interested</v>
      </c>
      <c r="G663" s="124" t="str">
        <f>IFERROR(__xludf.DUMMYFUNCTION("""COMPUTED_VALUE"""),"GS Foundation")</f>
        <v>GS Foundation</v>
      </c>
      <c r="K663" s="124"/>
      <c r="L663" s="124"/>
      <c r="M663" s="124"/>
      <c r="N663" s="124"/>
      <c r="O663" s="124"/>
      <c r="T663" s="126">
        <f>IFERROR(__xludf.DUMMYFUNCTION("""COMPUTED_VALUE"""),46059.0)</f>
        <v>46059</v>
      </c>
      <c r="U663" s="124" t="str">
        <f>IFERROR(__xludf.DUMMYFUNCTION("""COMPUTED_VALUE"""),"Walk-Ins")</f>
        <v>Walk-Ins</v>
      </c>
      <c r="V663" s="124" t="str">
        <f>IFERROR(__xludf.DUMMYFUNCTION("""COMPUTED_VALUE"""),"Walkin")</f>
        <v>Walkin</v>
      </c>
      <c r="W663" s="124" t="str">
        <f>IFERROR(__xludf.DUMMYFUNCTION("""COMPUTED_VALUE"""),"Patna")</f>
        <v>Patna</v>
      </c>
      <c r="X663" s="124" t="str">
        <f>IFERROR(__xludf.DUMMYFUNCTION("""COMPUTED_VALUE"""),"Walkin")</f>
        <v>Walkin</v>
      </c>
      <c r="Y663" s="124" t="str">
        <f>IFERROR(__xludf.DUMMYFUNCTION("""COMPUTED_VALUE"""),"Patna")</f>
        <v>Patna</v>
      </c>
      <c r="Z663" s="124">
        <f>IFERROR(__xludf.DUMMYFUNCTION("""COMPUTED_VALUE"""),5.0)</f>
        <v>5</v>
      </c>
      <c r="AA663" s="124" t="str">
        <f>IFERROR(__xludf.DUMMYFUNCTION("""COMPUTED_VALUE"""),"Cold")</f>
        <v>Cold</v>
      </c>
      <c r="AB663" s="124" t="str">
        <f>IFERROR(__xludf.DUMMYFUNCTION("""COMPUTED_VALUE"""),"State PCS")</f>
        <v>State PCS</v>
      </c>
    </row>
    <row r="664">
      <c r="A664" s="126">
        <f>IFERROR(__xludf.DUMMYFUNCTION("""COMPUTED_VALUE"""),46102.0)</f>
        <v>46102</v>
      </c>
      <c r="B664" s="124" t="str">
        <f>IFERROR(__xludf.DUMMYFUNCTION("""COMPUTED_VALUE"""),"Walkin")</f>
        <v>Walkin</v>
      </c>
      <c r="C664" s="124" t="str">
        <f>IFERROR(__xludf.DUMMYFUNCTION("""COMPUTED_VALUE"""),"Delhi")</f>
        <v>Delhi</v>
      </c>
      <c r="D664" s="124" t="str">
        <f>IFERROR(__xludf.DUMMYFUNCTION("""COMPUTED_VALUE"""),"Primary_Walkin")</f>
        <v>Primary_Walkin</v>
      </c>
      <c r="E664" s="124">
        <f>IFERROR(__xludf.DUMMYFUNCTION("""COMPUTED_VALUE"""),4.0)</f>
        <v>4</v>
      </c>
      <c r="F664" s="124" t="str">
        <f>IFERROR(__xludf.DUMMYFUNCTION("""COMPUTED_VALUE"""),"Warm")</f>
        <v>Warm</v>
      </c>
      <c r="G664" s="124" t="str">
        <f>IFERROR(__xludf.DUMMYFUNCTION("""COMPUTED_VALUE"""),"GS Foundation")</f>
        <v>GS Foundation</v>
      </c>
      <c r="K664" s="124"/>
      <c r="L664" s="124"/>
      <c r="M664" s="124"/>
      <c r="N664" s="124"/>
      <c r="O664" s="124"/>
      <c r="T664" s="129">
        <f>IFERROR(__xludf.DUMMYFUNCTION("""COMPUTED_VALUE"""),46098.0)</f>
        <v>46098</v>
      </c>
      <c r="U664" s="124" t="str">
        <f>IFERROR(__xludf.DUMMYFUNCTION("""COMPUTED_VALUE"""),"Walk-Ins")</f>
        <v>Walk-Ins</v>
      </c>
      <c r="V664" s="124" t="str">
        <f>IFERROR(__xludf.DUMMYFUNCTION("""COMPUTED_VALUE"""),"Walkin")</f>
        <v>Walkin</v>
      </c>
      <c r="W664" s="124" t="str">
        <f>IFERROR(__xludf.DUMMYFUNCTION("""COMPUTED_VALUE"""),"Prayagraj")</f>
        <v>Prayagraj</v>
      </c>
      <c r="X664" s="124" t="str">
        <f>IFERROR(__xludf.DUMMYFUNCTION("""COMPUTED_VALUE"""),"Walkin")</f>
        <v>Walkin</v>
      </c>
      <c r="Y664" s="124" t="str">
        <f>IFERROR(__xludf.DUMMYFUNCTION("""COMPUTED_VALUE"""),"Prayagraj")</f>
        <v>Prayagraj</v>
      </c>
      <c r="Z664" s="124">
        <f>IFERROR(__xludf.DUMMYFUNCTION("""COMPUTED_VALUE"""),2.0)</f>
        <v>2</v>
      </c>
      <c r="AA664" s="124" t="str">
        <f>IFERROR(__xludf.DUMMYFUNCTION("""COMPUTED_VALUE"""),"Interested")</f>
        <v>Interested</v>
      </c>
      <c r="AB664" s="124" t="str">
        <f>IFERROR(__xludf.DUMMYFUNCTION("""COMPUTED_VALUE"""),"GS Foundation")</f>
        <v>GS Foundation</v>
      </c>
    </row>
    <row r="665">
      <c r="A665" s="129">
        <f>IFERROR(__xludf.DUMMYFUNCTION("""COMPUTED_VALUE"""),46097.0)</f>
        <v>46097</v>
      </c>
      <c r="B665" s="124" t="str">
        <f>IFERROR(__xludf.DUMMYFUNCTION("""COMPUTED_VALUE"""),"external leads")</f>
        <v>external leads</v>
      </c>
      <c r="C665" s="124" t="str">
        <f>IFERROR(__xludf.DUMMYFUNCTION("""COMPUTED_VALUE"""),"Delhi")</f>
        <v>Delhi</v>
      </c>
      <c r="D665" s="124" t="str">
        <f>IFERROR(__xludf.DUMMYFUNCTION("""COMPUTED_VALUE"""),"Secondary_Walkin")</f>
        <v>Secondary_Walkin</v>
      </c>
      <c r="E665" s="124">
        <f>IFERROR(__xludf.DUMMYFUNCTION("""COMPUTED_VALUE"""),1.0)</f>
        <v>1</v>
      </c>
      <c r="F665" s="124" t="str">
        <f>IFERROR(__xludf.DUMMYFUNCTION("""COMPUTED_VALUE"""),"Cold")</f>
        <v>Cold</v>
      </c>
      <c r="G665" s="124" t="str">
        <f>IFERROR(__xludf.DUMMYFUNCTION("""COMPUTED_VALUE"""),"SIP Offline")</f>
        <v>SIP Offline</v>
      </c>
      <c r="K665" s="124"/>
      <c r="L665" s="124"/>
      <c r="M665" s="124"/>
      <c r="N665" s="124"/>
      <c r="O665" s="124"/>
      <c r="T665" s="126">
        <f>IFERROR(__xludf.DUMMYFUNCTION("""COMPUTED_VALUE"""),46099.0)</f>
        <v>46099</v>
      </c>
      <c r="U665" s="124" t="str">
        <f>IFERROR(__xludf.DUMMYFUNCTION("""COMPUTED_VALUE"""),"Walk-Ins")</f>
        <v>Walk-Ins</v>
      </c>
      <c r="V665" s="124" t="str">
        <f>IFERROR(__xludf.DUMMYFUNCTION("""COMPUTED_VALUE"""),"Walkin")</f>
        <v>Walkin</v>
      </c>
      <c r="W665" s="124" t="str">
        <f>IFERROR(__xludf.DUMMYFUNCTION("""COMPUTED_VALUE"""),"Patna")</f>
        <v>Patna</v>
      </c>
      <c r="X665" s="124" t="str">
        <f>IFERROR(__xludf.DUMMYFUNCTION("""COMPUTED_VALUE"""),"Walkin")</f>
        <v>Walkin</v>
      </c>
      <c r="Y665" s="124" t="str">
        <f>IFERROR(__xludf.DUMMYFUNCTION("""COMPUTED_VALUE"""),"Patna")</f>
        <v>Patna</v>
      </c>
      <c r="Z665" s="124">
        <f>IFERROR(__xludf.DUMMYFUNCTION("""COMPUTED_VALUE"""),1.0)</f>
        <v>1</v>
      </c>
      <c r="AA665" s="124" t="str">
        <f>IFERROR(__xludf.DUMMYFUNCTION("""COMPUTED_VALUE"""),"Fake Lead")</f>
        <v>Fake Lead</v>
      </c>
      <c r="AB665" s="124" t="str">
        <f>IFERROR(__xludf.DUMMYFUNCTION("""COMPUTED_VALUE"""),"GS Foundation")</f>
        <v>GS Foundation</v>
      </c>
    </row>
    <row r="666">
      <c r="A666" s="126">
        <f>IFERROR(__xludf.DUMMYFUNCTION("""COMPUTED_VALUE"""),46074.0)</f>
        <v>46074</v>
      </c>
      <c r="B666" s="124" t="str">
        <f>IFERROR(__xludf.DUMMYFUNCTION("""COMPUTED_VALUE"""),"Walkin")</f>
        <v>Walkin</v>
      </c>
      <c r="C666" s="124" t="str">
        <f>IFERROR(__xludf.DUMMYFUNCTION("""COMPUTED_VALUE"""),"Delhi")</f>
        <v>Delhi</v>
      </c>
      <c r="D666" s="124" t="str">
        <f>IFERROR(__xludf.DUMMYFUNCTION("""COMPUTED_VALUE"""),"Primary_Walkin")</f>
        <v>Primary_Walkin</v>
      </c>
      <c r="E666" s="124">
        <f>IFERROR(__xludf.DUMMYFUNCTION("""COMPUTED_VALUE"""),1.0)</f>
        <v>1</v>
      </c>
      <c r="F666" s="124" t="str">
        <f>IFERROR(__xludf.DUMMYFUNCTION("""COMPUTED_VALUE"""),"Cold")</f>
        <v>Cold</v>
      </c>
      <c r="G666" s="124" t="str">
        <f>IFERROR(__xludf.DUMMYFUNCTION("""COMPUTED_VALUE"""),"State PCS")</f>
        <v>State PCS</v>
      </c>
      <c r="K666" s="124"/>
      <c r="L666" s="124"/>
      <c r="M666" s="124"/>
      <c r="N666" s="124"/>
      <c r="O666" s="124"/>
      <c r="T666" s="129">
        <f>IFERROR(__xludf.DUMMYFUNCTION("""COMPUTED_VALUE"""),46090.0)</f>
        <v>46090</v>
      </c>
      <c r="U666" s="124" t="str">
        <f>IFERROR(__xludf.DUMMYFUNCTION("""COMPUTED_VALUE"""),"Walk-Ins")</f>
        <v>Walk-Ins</v>
      </c>
      <c r="V666" s="124" t="str">
        <f>IFERROR(__xludf.DUMMYFUNCTION("""COMPUTED_VALUE"""),"Walkin")</f>
        <v>Walkin</v>
      </c>
      <c r="W666" s="124" t="str">
        <f>IFERROR(__xludf.DUMMYFUNCTION("""COMPUTED_VALUE"""),"Patna")</f>
        <v>Patna</v>
      </c>
      <c r="X666" s="124" t="str">
        <f>IFERROR(__xludf.DUMMYFUNCTION("""COMPUTED_VALUE"""),"Walkin")</f>
        <v>Walkin</v>
      </c>
      <c r="Y666" s="124" t="str">
        <f>IFERROR(__xludf.DUMMYFUNCTION("""COMPUTED_VALUE"""),"Patna")</f>
        <v>Patna</v>
      </c>
      <c r="Z666" s="124">
        <f>IFERROR(__xludf.DUMMYFUNCTION("""COMPUTED_VALUE"""),3.0)</f>
        <v>3</v>
      </c>
      <c r="AA666" s="124" t="str">
        <f>IFERROR(__xludf.DUMMYFUNCTION("""COMPUTED_VALUE"""),"Cold")</f>
        <v>Cold</v>
      </c>
      <c r="AB666" s="124" t="str">
        <f>IFERROR(__xludf.DUMMYFUNCTION("""COMPUTED_VALUE"""),"State PCS")</f>
        <v>State PCS</v>
      </c>
    </row>
    <row r="667">
      <c r="A667" s="126">
        <f>IFERROR(__xludf.DUMMYFUNCTION("""COMPUTED_VALUE"""),46098.0)</f>
        <v>46098</v>
      </c>
      <c r="B667" s="124" t="str">
        <f>IFERROR(__xludf.DUMMYFUNCTION("""COMPUTED_VALUE"""),"Walkin")</f>
        <v>Walkin</v>
      </c>
      <c r="C667" s="124" t="str">
        <f>IFERROR(__xludf.DUMMYFUNCTION("""COMPUTED_VALUE"""),"Delhi")</f>
        <v>Delhi</v>
      </c>
      <c r="D667" s="124" t="str">
        <f>IFERROR(__xludf.DUMMYFUNCTION("""COMPUTED_VALUE"""),"Primary_Walkin")</f>
        <v>Primary_Walkin</v>
      </c>
      <c r="E667" s="124">
        <f>IFERROR(__xludf.DUMMYFUNCTION("""COMPUTED_VALUE"""),4.0)</f>
        <v>4</v>
      </c>
      <c r="F667" s="124" t="str">
        <f>IFERROR(__xludf.DUMMYFUNCTION("""COMPUTED_VALUE"""),"Warm")</f>
        <v>Warm</v>
      </c>
      <c r="G667" s="124" t="str">
        <f>IFERROR(__xludf.DUMMYFUNCTION("""COMPUTED_VALUE"""),"GS Foundation")</f>
        <v>GS Foundation</v>
      </c>
      <c r="K667" s="124"/>
      <c r="L667" s="124"/>
      <c r="M667" s="124"/>
      <c r="N667" s="124"/>
      <c r="O667" s="124"/>
      <c r="T667" s="126">
        <f>IFERROR(__xludf.DUMMYFUNCTION("""COMPUTED_VALUE"""),46050.0)</f>
        <v>46050</v>
      </c>
      <c r="U667" s="124" t="str">
        <f>IFERROR(__xludf.DUMMYFUNCTION("""COMPUTED_VALUE"""),"Walk-Ins")</f>
        <v>Walk-Ins</v>
      </c>
      <c r="V667" s="124" t="str">
        <f>IFERROR(__xludf.DUMMYFUNCTION("""COMPUTED_VALUE"""),"Walkin")</f>
        <v>Walkin</v>
      </c>
      <c r="W667" s="124" t="str">
        <f>IFERROR(__xludf.DUMMYFUNCTION("""COMPUTED_VALUE"""),"Patna")</f>
        <v>Patna</v>
      </c>
      <c r="X667" s="124" t="str">
        <f>IFERROR(__xludf.DUMMYFUNCTION("""COMPUTED_VALUE"""),"Walkin")</f>
        <v>Walkin</v>
      </c>
      <c r="Y667" s="124" t="str">
        <f>IFERROR(__xludf.DUMMYFUNCTION("""COMPUTED_VALUE"""),"Patna")</f>
        <v>Patna</v>
      </c>
      <c r="Z667" s="124">
        <f>IFERROR(__xludf.DUMMYFUNCTION("""COMPUTED_VALUE"""),6.0)</f>
        <v>6</v>
      </c>
      <c r="AA667" s="124" t="str">
        <f>IFERROR(__xludf.DUMMYFUNCTION("""COMPUTED_VALUE"""),"Cold")</f>
        <v>Cold</v>
      </c>
      <c r="AB667" s="124" t="str">
        <f>IFERROR(__xludf.DUMMYFUNCTION("""COMPUTED_VALUE"""),"State PCS")</f>
        <v>State PCS</v>
      </c>
    </row>
    <row r="668">
      <c r="A668" s="129">
        <f>IFERROR(__xludf.DUMMYFUNCTION("""COMPUTED_VALUE"""),46043.0)</f>
        <v>46043</v>
      </c>
      <c r="B668" s="124" t="str">
        <f>IFERROR(__xludf.DUMMYFUNCTION("""COMPUTED_VALUE"""),"Webinar")</f>
        <v>Webinar</v>
      </c>
      <c r="C668" s="124" t="str">
        <f>IFERROR(__xludf.DUMMYFUNCTION("""COMPUTED_VALUE"""),"Delhi")</f>
        <v>Delhi</v>
      </c>
      <c r="D668" s="124" t="str">
        <f>IFERROR(__xludf.DUMMYFUNCTION("""COMPUTED_VALUE"""),"Secondary_Walkin")</f>
        <v>Secondary_Walkin</v>
      </c>
      <c r="E668" s="124">
        <f>IFERROR(__xludf.DUMMYFUNCTION("""COMPUTED_VALUE"""),1.0)</f>
        <v>1</v>
      </c>
      <c r="F668" s="124" t="str">
        <f>IFERROR(__xludf.DUMMYFUNCTION("""COMPUTED_VALUE"""),"Cold")</f>
        <v>Cold</v>
      </c>
      <c r="G668" s="124" t="str">
        <f>IFERROR(__xludf.DUMMYFUNCTION("""COMPUTED_VALUE"""),"Other")</f>
        <v>Other</v>
      </c>
      <c r="K668" s="124"/>
      <c r="L668" s="124"/>
      <c r="M668" s="124"/>
      <c r="N668" s="124"/>
      <c r="O668" s="124"/>
      <c r="T668" s="126">
        <f>IFERROR(__xludf.DUMMYFUNCTION("""COMPUTED_VALUE"""),46067.0)</f>
        <v>46067</v>
      </c>
      <c r="U668" s="124" t="str">
        <f>IFERROR(__xludf.DUMMYFUNCTION("""COMPUTED_VALUE"""),"Walk-Ins")</f>
        <v>Walk-Ins</v>
      </c>
      <c r="V668" s="124" t="str">
        <f>IFERROR(__xludf.DUMMYFUNCTION("""COMPUTED_VALUE"""),"Walkin")</f>
        <v>Walkin</v>
      </c>
      <c r="W668" s="124" t="str">
        <f>IFERROR(__xludf.DUMMYFUNCTION("""COMPUTED_VALUE"""),"Patna")</f>
        <v>Patna</v>
      </c>
      <c r="X668" s="124" t="str">
        <f>IFERROR(__xludf.DUMMYFUNCTION("""COMPUTED_VALUE"""),"Walkin")</f>
        <v>Walkin</v>
      </c>
      <c r="Y668" s="124" t="str">
        <f>IFERROR(__xludf.DUMMYFUNCTION("""COMPUTED_VALUE"""),"Patna")</f>
        <v>Patna</v>
      </c>
      <c r="Z668" s="124">
        <f>IFERROR(__xludf.DUMMYFUNCTION("""COMPUTED_VALUE"""),4.0)</f>
        <v>4</v>
      </c>
      <c r="AA668" s="124" t="str">
        <f>IFERROR(__xludf.DUMMYFUNCTION("""COMPUTED_VALUE"""),"Not Interested")</f>
        <v>Not Interested</v>
      </c>
      <c r="AB668" s="124" t="str">
        <f>IFERROR(__xludf.DUMMYFUNCTION("""COMPUTED_VALUE"""),"State PCS")</f>
        <v>State PCS</v>
      </c>
    </row>
    <row r="669">
      <c r="A669" s="126">
        <f>IFERROR(__xludf.DUMMYFUNCTION("""COMPUTED_VALUE"""),46050.0)</f>
        <v>46050</v>
      </c>
      <c r="B669" s="124" t="str">
        <f>IFERROR(__xludf.DUMMYFUNCTION("""COMPUTED_VALUE"""),"Walk-In")</f>
        <v>Walk-In</v>
      </c>
      <c r="C669" s="124" t="str">
        <f>IFERROR(__xludf.DUMMYFUNCTION("""COMPUTED_VALUE"""),"Delhi")</f>
        <v>Delhi</v>
      </c>
      <c r="D669" s="124" t="str">
        <f>IFERROR(__xludf.DUMMYFUNCTION("""COMPUTED_VALUE"""),"Primary_Walkin")</f>
        <v>Primary_Walkin</v>
      </c>
      <c r="E669" s="124">
        <f>IFERROR(__xludf.DUMMYFUNCTION("""COMPUTED_VALUE"""),1.0)</f>
        <v>1</v>
      </c>
      <c r="F669" s="124" t="str">
        <f>IFERROR(__xludf.DUMMYFUNCTION("""COMPUTED_VALUE"""),"Enrolled")</f>
        <v>Enrolled</v>
      </c>
      <c r="G669" s="124" t="str">
        <f>IFERROR(__xludf.DUMMYFUNCTION("""COMPUTED_VALUE"""),"Optionals")</f>
        <v>Optionals</v>
      </c>
      <c r="K669" s="124"/>
      <c r="L669" s="124"/>
      <c r="M669" s="124"/>
      <c r="N669" s="124"/>
      <c r="O669" s="124"/>
      <c r="T669" s="126">
        <f>IFERROR(__xludf.DUMMYFUNCTION("""COMPUTED_VALUE"""),46043.0)</f>
        <v>46043</v>
      </c>
      <c r="U669" s="124" t="str">
        <f>IFERROR(__xludf.DUMMYFUNCTION("""COMPUTED_VALUE"""),"Walk-Ins")</f>
        <v>Walk-Ins</v>
      </c>
      <c r="V669" s="124" t="str">
        <f>IFERROR(__xludf.DUMMYFUNCTION("""COMPUTED_VALUE"""),"Walkin")</f>
        <v>Walkin</v>
      </c>
      <c r="W669" s="124" t="str">
        <f>IFERROR(__xludf.DUMMYFUNCTION("""COMPUTED_VALUE"""),"Prayagraj")</f>
        <v>Prayagraj</v>
      </c>
      <c r="X669" s="124" t="str">
        <f>IFERROR(__xludf.DUMMYFUNCTION("""COMPUTED_VALUE"""),"Walkin")</f>
        <v>Walkin</v>
      </c>
      <c r="Y669" s="124" t="str">
        <f>IFERROR(__xludf.DUMMYFUNCTION("""COMPUTED_VALUE"""),"Prayagraj")</f>
        <v>Prayagraj</v>
      </c>
      <c r="Z669" s="124">
        <f>IFERROR(__xludf.DUMMYFUNCTION("""COMPUTED_VALUE"""),4.0)</f>
        <v>4</v>
      </c>
      <c r="AA669" s="124" t="str">
        <f>IFERROR(__xludf.DUMMYFUNCTION("""COMPUTED_VALUE"""),"Not Interested")</f>
        <v>Not Interested</v>
      </c>
      <c r="AB669" s="124" t="str">
        <f>IFERROR(__xludf.DUMMYFUNCTION("""COMPUTED_VALUE"""),"GS Foundation")</f>
        <v>GS Foundation</v>
      </c>
    </row>
    <row r="670">
      <c r="A670" s="129">
        <f>IFERROR(__xludf.DUMMYFUNCTION("""COMPUTED_VALUE"""),46076.0)</f>
        <v>46076</v>
      </c>
      <c r="B670" s="124" t="str">
        <f>IFERROR(__xludf.DUMMYFUNCTION("""COMPUTED_VALUE"""),"Walk-In")</f>
        <v>Walk-In</v>
      </c>
      <c r="C670" s="124" t="str">
        <f>IFERROR(__xludf.DUMMYFUNCTION("""COMPUTED_VALUE"""),"Delhi")</f>
        <v>Delhi</v>
      </c>
      <c r="D670" s="124" t="str">
        <f>IFERROR(__xludf.DUMMYFUNCTION("""COMPUTED_VALUE"""),"Primary_Walkin")</f>
        <v>Primary_Walkin</v>
      </c>
      <c r="E670" s="124">
        <f>IFERROR(__xludf.DUMMYFUNCTION("""COMPUTED_VALUE"""),2.0)</f>
        <v>2</v>
      </c>
      <c r="F670" s="124" t="str">
        <f>IFERROR(__xludf.DUMMYFUNCTION("""COMPUTED_VALUE"""),"Cold")</f>
        <v>Cold</v>
      </c>
      <c r="G670" s="124" t="str">
        <f>IFERROR(__xludf.DUMMYFUNCTION("""COMPUTED_VALUE"""),"GS Foundation")</f>
        <v>GS Foundation</v>
      </c>
      <c r="K670" s="124"/>
      <c r="L670" s="124"/>
      <c r="M670" s="124"/>
      <c r="N670" s="124"/>
      <c r="O670" s="124"/>
      <c r="T670" s="126">
        <f>IFERROR(__xludf.DUMMYFUNCTION("""COMPUTED_VALUE"""),46051.0)</f>
        <v>46051</v>
      </c>
      <c r="U670" s="124" t="str">
        <f>IFERROR(__xludf.DUMMYFUNCTION("""COMPUTED_VALUE"""),"Walk-Ins")</f>
        <v>Walk-Ins</v>
      </c>
      <c r="V670" s="124" t="str">
        <f>IFERROR(__xludf.DUMMYFUNCTION("""COMPUTED_VALUE"""),"Walk-In")</f>
        <v>Walk-In</v>
      </c>
      <c r="W670" s="124" t="str">
        <f>IFERROR(__xludf.DUMMYFUNCTION("""COMPUTED_VALUE"""),"Patna")</f>
        <v>Patna</v>
      </c>
      <c r="X670" s="124" t="str">
        <f>IFERROR(__xludf.DUMMYFUNCTION("""COMPUTED_VALUE"""),"Others")</f>
        <v>Others</v>
      </c>
      <c r="Y670" s="124" t="str">
        <f>IFERROR(__xludf.DUMMYFUNCTION("""COMPUTED_VALUE"""),"Patna")</f>
        <v>Patna</v>
      </c>
      <c r="Z670" s="124">
        <f>IFERROR(__xludf.DUMMYFUNCTION("""COMPUTED_VALUE"""),1.0)</f>
        <v>1</v>
      </c>
      <c r="AA670" s="124" t="str">
        <f>IFERROR(__xludf.DUMMYFUNCTION("""COMPUTED_VALUE"""),"Not Interested")</f>
        <v>Not Interested</v>
      </c>
      <c r="AB670" s="124" t="str">
        <f>IFERROR(__xludf.DUMMYFUNCTION("""COMPUTED_VALUE"""),"State PCS")</f>
        <v>State PCS</v>
      </c>
    </row>
    <row r="671">
      <c r="A671" s="126">
        <f>IFERROR(__xludf.DUMMYFUNCTION("""COMPUTED_VALUE"""),46106.0)</f>
        <v>46106</v>
      </c>
      <c r="B671" s="124" t="str">
        <f>IFERROR(__xludf.DUMMYFUNCTION("""COMPUTED_VALUE"""),"Walkin")</f>
        <v>Walkin</v>
      </c>
      <c r="C671" s="124" t="str">
        <f>IFERROR(__xludf.DUMMYFUNCTION("""COMPUTED_VALUE"""),"Delhi")</f>
        <v>Delhi</v>
      </c>
      <c r="D671" s="124" t="str">
        <f>IFERROR(__xludf.DUMMYFUNCTION("""COMPUTED_VALUE"""),"Primary_Walkin")</f>
        <v>Primary_Walkin</v>
      </c>
      <c r="E671" s="124">
        <f>IFERROR(__xludf.DUMMYFUNCTION("""COMPUTED_VALUE"""),2.0)</f>
        <v>2</v>
      </c>
      <c r="F671" s="124" t="str">
        <f>IFERROR(__xludf.DUMMYFUNCTION("""COMPUTED_VALUE"""),"Cold")</f>
        <v>Cold</v>
      </c>
      <c r="G671" s="124" t="str">
        <f>IFERROR(__xludf.DUMMYFUNCTION("""COMPUTED_VALUE"""),"GS Foundation")</f>
        <v>GS Foundation</v>
      </c>
      <c r="K671" s="124"/>
      <c r="L671" s="124"/>
      <c r="M671" s="124"/>
      <c r="N671" s="124"/>
      <c r="O671" s="124"/>
      <c r="T671" s="129">
        <f>IFERROR(__xludf.DUMMYFUNCTION("""COMPUTED_VALUE"""),46070.0)</f>
        <v>46070</v>
      </c>
      <c r="U671" s="124" t="str">
        <f>IFERROR(__xludf.DUMMYFUNCTION("""COMPUTED_VALUE"""),"Walk-Ins")</f>
        <v>Walk-Ins</v>
      </c>
      <c r="V671" s="124" t="str">
        <f>IFERROR(__xludf.DUMMYFUNCTION("""COMPUTED_VALUE"""),"Walkin")</f>
        <v>Walkin</v>
      </c>
      <c r="W671" s="124" t="str">
        <f>IFERROR(__xludf.DUMMYFUNCTION("""COMPUTED_VALUE"""),"Prayagraj")</f>
        <v>Prayagraj</v>
      </c>
      <c r="X671" s="124" t="str">
        <f>IFERROR(__xludf.DUMMYFUNCTION("""COMPUTED_VALUE"""),"Walkin")</f>
        <v>Walkin</v>
      </c>
      <c r="Y671" s="124" t="str">
        <f>IFERROR(__xludf.DUMMYFUNCTION("""COMPUTED_VALUE"""),"Prayagraj")</f>
        <v>Prayagraj</v>
      </c>
      <c r="Z671" s="124">
        <f>IFERROR(__xludf.DUMMYFUNCTION("""COMPUTED_VALUE"""),4.0)</f>
        <v>4</v>
      </c>
      <c r="AA671" s="124" t="str">
        <f>IFERROR(__xludf.DUMMYFUNCTION("""COMPUTED_VALUE"""),"Cold")</f>
        <v>Cold</v>
      </c>
      <c r="AB671" s="124" t="str">
        <f>IFERROR(__xludf.DUMMYFUNCTION("""COMPUTED_VALUE"""),"GS Foundation")</f>
        <v>GS Foundation</v>
      </c>
    </row>
    <row r="672">
      <c r="A672" s="126">
        <f>IFERROR(__xludf.DUMMYFUNCTION("""COMPUTED_VALUE"""),46080.0)</f>
        <v>46080</v>
      </c>
      <c r="B672" s="124" t="str">
        <f>IFERROR(__xludf.DUMMYFUNCTION("""COMPUTED_VALUE"""),"Walkin")</f>
        <v>Walkin</v>
      </c>
      <c r="C672" s="124" t="str">
        <f>IFERROR(__xludf.DUMMYFUNCTION("""COMPUTED_VALUE"""),"Delhi")</f>
        <v>Delhi</v>
      </c>
      <c r="D672" s="124" t="str">
        <f>IFERROR(__xludf.DUMMYFUNCTION("""COMPUTED_VALUE"""),"Primary_Walkin")</f>
        <v>Primary_Walkin</v>
      </c>
      <c r="E672" s="124">
        <f>IFERROR(__xludf.DUMMYFUNCTION("""COMPUTED_VALUE"""),2.0)</f>
        <v>2</v>
      </c>
      <c r="F672" s="124" t="str">
        <f>IFERROR(__xludf.DUMMYFUNCTION("""COMPUTED_VALUE"""),"Not Interested")</f>
        <v>Not Interested</v>
      </c>
      <c r="G672" s="124" t="str">
        <f>IFERROR(__xludf.DUMMYFUNCTION("""COMPUTED_VALUE"""),"GS Foundation")</f>
        <v>GS Foundation</v>
      </c>
      <c r="K672" s="124"/>
      <c r="L672" s="124"/>
      <c r="M672" s="124"/>
      <c r="N672" s="124"/>
      <c r="O672" s="124"/>
      <c r="T672" s="126">
        <f>IFERROR(__xludf.DUMMYFUNCTION("""COMPUTED_VALUE"""),46098.0)</f>
        <v>46098</v>
      </c>
      <c r="U672" s="124" t="str">
        <f>IFERROR(__xludf.DUMMYFUNCTION("""COMPUTED_VALUE"""),"Paid Ads")</f>
        <v>Paid Ads</v>
      </c>
      <c r="V672" s="124" t="str">
        <f>IFERROR(__xludf.DUMMYFUNCTION("""COMPUTED_VALUE"""),"Facebook")</f>
        <v>Facebook</v>
      </c>
      <c r="W672" s="124" t="str">
        <f>IFERROR(__xludf.DUMMYFUNCTION("""COMPUTED_VALUE"""),"LeadAd")</f>
        <v>LeadAd</v>
      </c>
      <c r="X672" s="124" t="str">
        <f>IFERROR(__xludf.DUMMYFUNCTION("""COMPUTED_VALUE"""),"meta")</f>
        <v>meta</v>
      </c>
      <c r="Y672" s="124"/>
      <c r="Z672" s="124">
        <f>IFERROR(__xludf.DUMMYFUNCTION("""COMPUTED_VALUE"""),12.0)</f>
        <v>12</v>
      </c>
      <c r="AA672" s="124"/>
      <c r="AB672" s="124"/>
    </row>
    <row r="673">
      <c r="A673" s="129">
        <f>IFERROR(__xludf.DUMMYFUNCTION("""COMPUTED_VALUE"""),46043.0)</f>
        <v>46043</v>
      </c>
      <c r="B673" s="124" t="str">
        <f>IFERROR(__xludf.DUMMYFUNCTION("""COMPUTED_VALUE"""),"Walkin")</f>
        <v>Walkin</v>
      </c>
      <c r="C673" s="124" t="str">
        <f>IFERROR(__xludf.DUMMYFUNCTION("""COMPUTED_VALUE"""),"Delhi")</f>
        <v>Delhi</v>
      </c>
      <c r="D673" s="124" t="str">
        <f>IFERROR(__xludf.DUMMYFUNCTION("""COMPUTED_VALUE"""),"Primary_Walkin")</f>
        <v>Primary_Walkin</v>
      </c>
      <c r="E673" s="124">
        <f>IFERROR(__xludf.DUMMYFUNCTION("""COMPUTED_VALUE"""),1.0)</f>
        <v>1</v>
      </c>
      <c r="F673" s="124" t="str">
        <f>IFERROR(__xludf.DUMMYFUNCTION("""COMPUTED_VALUE"""),"Cold")</f>
        <v>Cold</v>
      </c>
      <c r="G673" s="124" t="str">
        <f>IFERROR(__xludf.DUMMYFUNCTION("""COMPUTED_VALUE"""),"State PCS")</f>
        <v>State PCS</v>
      </c>
      <c r="K673" s="124"/>
      <c r="L673" s="124"/>
      <c r="M673" s="124"/>
      <c r="N673" s="124"/>
      <c r="O673" s="124"/>
      <c r="T673" s="126">
        <f>IFERROR(__xludf.DUMMYFUNCTION("""COMPUTED_VALUE"""),46112.0)</f>
        <v>46112</v>
      </c>
      <c r="U673" s="124" t="str">
        <f>IFERROR(__xludf.DUMMYFUNCTION("""COMPUTED_VALUE"""),"Walk-Ins")</f>
        <v>Walk-Ins</v>
      </c>
      <c r="V673" s="124" t="str">
        <f>IFERROR(__xludf.DUMMYFUNCTION("""COMPUTED_VALUE"""),"Walkin")</f>
        <v>Walkin</v>
      </c>
      <c r="W673" s="124" t="str">
        <f>IFERROR(__xludf.DUMMYFUNCTION("""COMPUTED_VALUE"""),"Patna")</f>
        <v>Patna</v>
      </c>
      <c r="X673" s="124" t="str">
        <f>IFERROR(__xludf.DUMMYFUNCTION("""COMPUTED_VALUE"""),"Walkin")</f>
        <v>Walkin</v>
      </c>
      <c r="Y673" s="124" t="str">
        <f>IFERROR(__xludf.DUMMYFUNCTION("""COMPUTED_VALUE"""),"Patna")</f>
        <v>Patna</v>
      </c>
      <c r="Z673" s="124">
        <f>IFERROR(__xludf.DUMMYFUNCTION("""COMPUTED_VALUE"""),1.0)</f>
        <v>1</v>
      </c>
      <c r="AA673" s="124" t="str">
        <f>IFERROR(__xludf.DUMMYFUNCTION("""COMPUTED_VALUE"""),"Future Prospects")</f>
        <v>Future Prospects</v>
      </c>
      <c r="AB673" s="124" t="str">
        <f>IFERROR(__xludf.DUMMYFUNCTION("""COMPUTED_VALUE"""),"State PCS")</f>
        <v>State PCS</v>
      </c>
    </row>
    <row r="674">
      <c r="A674" s="129">
        <f>IFERROR(__xludf.DUMMYFUNCTION("""COMPUTED_VALUE"""),46046.0)</f>
        <v>46046</v>
      </c>
      <c r="B674" s="124" t="str">
        <f>IFERROR(__xludf.DUMMYFUNCTION("""COMPUTED_VALUE"""),"Walkin")</f>
        <v>Walkin</v>
      </c>
      <c r="C674" s="124" t="str">
        <f>IFERROR(__xludf.DUMMYFUNCTION("""COMPUTED_VALUE"""),"Delhi")</f>
        <v>Delhi</v>
      </c>
      <c r="D674" s="124" t="str">
        <f>IFERROR(__xludf.DUMMYFUNCTION("""COMPUTED_VALUE"""),"Primary_Walkin")</f>
        <v>Primary_Walkin</v>
      </c>
      <c r="E674" s="124">
        <f>IFERROR(__xludf.DUMMYFUNCTION("""COMPUTED_VALUE"""),1.0)</f>
        <v>1</v>
      </c>
      <c r="F674" s="124" t="str">
        <f>IFERROR(__xludf.DUMMYFUNCTION("""COMPUTED_VALUE"""),"Cold")</f>
        <v>Cold</v>
      </c>
      <c r="G674" s="124" t="str">
        <f>IFERROR(__xludf.DUMMYFUNCTION("""COMPUTED_VALUE"""),"Optionals")</f>
        <v>Optionals</v>
      </c>
      <c r="K674" s="124"/>
      <c r="L674" s="124"/>
      <c r="M674" s="124"/>
      <c r="N674" s="124"/>
      <c r="O674" s="124"/>
      <c r="T674" s="126">
        <f>IFERROR(__xludf.DUMMYFUNCTION("""COMPUTED_VALUE"""),46112.0)</f>
        <v>46112</v>
      </c>
      <c r="U674" s="124" t="str">
        <f>IFERROR(__xludf.DUMMYFUNCTION("""COMPUTED_VALUE"""),"Walk-Ins")</f>
        <v>Walk-Ins</v>
      </c>
      <c r="V674" s="124" t="str">
        <f>IFERROR(__xludf.DUMMYFUNCTION("""COMPUTED_VALUE"""),"Walkin")</f>
        <v>Walkin</v>
      </c>
      <c r="W674" s="124" t="str">
        <f>IFERROR(__xludf.DUMMYFUNCTION("""COMPUTED_VALUE"""),"Patna")</f>
        <v>Patna</v>
      </c>
      <c r="X674" s="124" t="str">
        <f>IFERROR(__xludf.DUMMYFUNCTION("""COMPUTED_VALUE"""),"Walkin")</f>
        <v>Walkin</v>
      </c>
      <c r="Y674" s="124" t="str">
        <f>IFERROR(__xludf.DUMMYFUNCTION("""COMPUTED_VALUE"""),"Patna")</f>
        <v>Patna</v>
      </c>
      <c r="Z674" s="124">
        <f>IFERROR(__xludf.DUMMYFUNCTION("""COMPUTED_VALUE"""),2.0)</f>
        <v>2</v>
      </c>
      <c r="AA674" s="124" t="str">
        <f>IFERROR(__xludf.DUMMYFUNCTION("""COMPUTED_VALUE"""),"Enrolled")</f>
        <v>Enrolled</v>
      </c>
      <c r="AB674" s="124" t="str">
        <f>IFERROR(__xludf.DUMMYFUNCTION("""COMPUTED_VALUE"""),"State PCS")</f>
        <v>State PCS</v>
      </c>
    </row>
    <row r="675">
      <c r="A675" s="126">
        <f>IFERROR(__xludf.DUMMYFUNCTION("""COMPUTED_VALUE"""),46066.0)</f>
        <v>46066</v>
      </c>
      <c r="B675" s="124" t="str">
        <f>IFERROR(__xludf.DUMMYFUNCTION("""COMPUTED_VALUE"""),"external leads")</f>
        <v>external leads</v>
      </c>
      <c r="C675" s="124" t="str">
        <f>IFERROR(__xludf.DUMMYFUNCTION("""COMPUTED_VALUE"""),"Delhi")</f>
        <v>Delhi</v>
      </c>
      <c r="D675" s="124" t="str">
        <f>IFERROR(__xludf.DUMMYFUNCTION("""COMPUTED_VALUE"""),"Secondary_Walkin")</f>
        <v>Secondary_Walkin</v>
      </c>
      <c r="E675" s="124">
        <f>IFERROR(__xludf.DUMMYFUNCTION("""COMPUTED_VALUE"""),2.0)</f>
        <v>2</v>
      </c>
      <c r="F675" s="124" t="str">
        <f>IFERROR(__xludf.DUMMYFUNCTION("""COMPUTED_VALUE"""),"Cold")</f>
        <v>Cold</v>
      </c>
      <c r="G675" s="124" t="str">
        <f>IFERROR(__xludf.DUMMYFUNCTION("""COMPUTED_VALUE"""),"GS Foundation")</f>
        <v>GS Foundation</v>
      </c>
      <c r="K675" s="124"/>
      <c r="L675" s="124"/>
      <c r="M675" s="124"/>
      <c r="N675" s="124"/>
      <c r="O675" s="124"/>
      <c r="T675" s="126">
        <f>IFERROR(__xludf.DUMMYFUNCTION("""COMPUTED_VALUE"""),46095.0)</f>
        <v>46095</v>
      </c>
      <c r="U675" s="124" t="str">
        <f>IFERROR(__xludf.DUMMYFUNCTION("""COMPUTED_VALUE"""),"Walk-Ins")</f>
        <v>Walk-Ins</v>
      </c>
      <c r="V675" s="124" t="str">
        <f>IFERROR(__xludf.DUMMYFUNCTION("""COMPUTED_VALUE"""),"Walkin")</f>
        <v>Walkin</v>
      </c>
      <c r="W675" s="124" t="str">
        <f>IFERROR(__xludf.DUMMYFUNCTION("""COMPUTED_VALUE"""),"Prayagraj")</f>
        <v>Prayagraj</v>
      </c>
      <c r="X675" s="124" t="str">
        <f>IFERROR(__xludf.DUMMYFUNCTION("""COMPUTED_VALUE"""),"Walkin")</f>
        <v>Walkin</v>
      </c>
      <c r="Y675" s="124" t="str">
        <f>IFERROR(__xludf.DUMMYFUNCTION("""COMPUTED_VALUE"""),"Prayagraj")</f>
        <v>Prayagraj</v>
      </c>
      <c r="Z675" s="124">
        <f>IFERROR(__xludf.DUMMYFUNCTION("""COMPUTED_VALUE"""),1.0)</f>
        <v>1</v>
      </c>
      <c r="AA675" s="124" t="str">
        <f>IFERROR(__xludf.DUMMYFUNCTION("""COMPUTED_VALUE"""),"Cold")</f>
        <v>Cold</v>
      </c>
      <c r="AB675" s="124" t="str">
        <f>IFERROR(__xludf.DUMMYFUNCTION("""COMPUTED_VALUE"""),"Optionals")</f>
        <v>Optionals</v>
      </c>
    </row>
    <row r="676">
      <c r="A676" s="129">
        <f>IFERROR(__xludf.DUMMYFUNCTION("""COMPUTED_VALUE"""),46100.0)</f>
        <v>46100</v>
      </c>
      <c r="B676" s="124" t="str">
        <f>IFERROR(__xludf.DUMMYFUNCTION("""COMPUTED_VALUE"""),"Walkin")</f>
        <v>Walkin</v>
      </c>
      <c r="C676" s="124" t="str">
        <f>IFERROR(__xludf.DUMMYFUNCTION("""COMPUTED_VALUE"""),"Delhi")</f>
        <v>Delhi</v>
      </c>
      <c r="D676" s="124" t="str">
        <f>IFERROR(__xludf.DUMMYFUNCTION("""COMPUTED_VALUE"""),"Primary_Walkin")</f>
        <v>Primary_Walkin</v>
      </c>
      <c r="E676" s="124">
        <f>IFERROR(__xludf.DUMMYFUNCTION("""COMPUTED_VALUE"""),3.0)</f>
        <v>3</v>
      </c>
      <c r="F676" s="124" t="str">
        <f>IFERROR(__xludf.DUMMYFUNCTION("""COMPUTED_VALUE"""),"Enrolled")</f>
        <v>Enrolled</v>
      </c>
      <c r="G676" s="124" t="str">
        <f>IFERROR(__xludf.DUMMYFUNCTION("""COMPUTED_VALUE"""),"GS Foundation")</f>
        <v>GS Foundation</v>
      </c>
      <c r="K676" s="124"/>
      <c r="L676" s="124"/>
      <c r="M676" s="124"/>
      <c r="N676" s="124"/>
      <c r="O676" s="124"/>
      <c r="T676" s="126">
        <f>IFERROR(__xludf.DUMMYFUNCTION("""COMPUTED_VALUE"""),46057.0)</f>
        <v>46057</v>
      </c>
      <c r="U676" s="124" t="str">
        <f>IFERROR(__xludf.DUMMYFUNCTION("""COMPUTED_VALUE"""),"Walk-Ins")</f>
        <v>Walk-Ins</v>
      </c>
      <c r="V676" s="124" t="str">
        <f>IFERROR(__xludf.DUMMYFUNCTION("""COMPUTED_VALUE"""),"Walk-In")</f>
        <v>Walk-In</v>
      </c>
      <c r="W676" s="124" t="str">
        <f>IFERROR(__xludf.DUMMYFUNCTION("""COMPUTED_VALUE"""),"Patna")</f>
        <v>Patna</v>
      </c>
      <c r="X676" s="124" t="str">
        <f>IFERROR(__xludf.DUMMYFUNCTION("""COMPUTED_VALUE"""),"Others")</f>
        <v>Others</v>
      </c>
      <c r="Y676" s="124" t="str">
        <f>IFERROR(__xludf.DUMMYFUNCTION("""COMPUTED_VALUE"""),"Patna")</f>
        <v>Patna</v>
      </c>
      <c r="Z676" s="124">
        <f>IFERROR(__xludf.DUMMYFUNCTION("""COMPUTED_VALUE"""),2.0)</f>
        <v>2</v>
      </c>
      <c r="AA676" s="124" t="str">
        <f>IFERROR(__xludf.DUMMYFUNCTION("""COMPUTED_VALUE"""),"Future Prospects")</f>
        <v>Future Prospects</v>
      </c>
      <c r="AB676" s="124" t="str">
        <f>IFERROR(__xludf.DUMMYFUNCTION("""COMPUTED_VALUE"""),"GS Foundation")</f>
        <v>GS Foundation</v>
      </c>
    </row>
    <row r="677">
      <c r="A677" s="126">
        <f>IFERROR(__xludf.DUMMYFUNCTION("""COMPUTED_VALUE"""),46079.0)</f>
        <v>46079</v>
      </c>
      <c r="B677" s="124" t="str">
        <f>IFERROR(__xludf.DUMMYFUNCTION("""COMPUTED_VALUE"""),"Walkin")</f>
        <v>Walkin</v>
      </c>
      <c r="C677" s="124" t="str">
        <f>IFERROR(__xludf.DUMMYFUNCTION("""COMPUTED_VALUE"""),"Delhi")</f>
        <v>Delhi</v>
      </c>
      <c r="D677" s="124" t="str">
        <f>IFERROR(__xludf.DUMMYFUNCTION("""COMPUTED_VALUE"""),"Primary_Walkin")</f>
        <v>Primary_Walkin</v>
      </c>
      <c r="E677" s="124">
        <f>IFERROR(__xludf.DUMMYFUNCTION("""COMPUTED_VALUE"""),1.0)</f>
        <v>1</v>
      </c>
      <c r="F677" s="124" t="str">
        <f>IFERROR(__xludf.DUMMYFUNCTION("""COMPUTED_VALUE"""),"Future Prospects")</f>
        <v>Future Prospects</v>
      </c>
      <c r="G677" s="124" t="str">
        <f>IFERROR(__xludf.DUMMYFUNCTION("""COMPUTED_VALUE"""),"GS Foundation")</f>
        <v>GS Foundation</v>
      </c>
      <c r="K677" s="124"/>
      <c r="L677" s="124"/>
      <c r="M677" s="124"/>
      <c r="N677" s="124"/>
      <c r="O677" s="124"/>
      <c r="T677" s="129">
        <f>IFERROR(__xludf.DUMMYFUNCTION("""COMPUTED_VALUE"""),46066.0)</f>
        <v>46066</v>
      </c>
      <c r="U677" s="124" t="str">
        <f>IFERROR(__xludf.DUMMYFUNCTION("""COMPUTED_VALUE"""),"Walk-Ins")</f>
        <v>Walk-Ins</v>
      </c>
      <c r="V677" s="124" t="str">
        <f>IFERROR(__xludf.DUMMYFUNCTION("""COMPUTED_VALUE"""),"Walkin")</f>
        <v>Walkin</v>
      </c>
      <c r="W677" s="124" t="str">
        <f>IFERROR(__xludf.DUMMYFUNCTION("""COMPUTED_VALUE"""),"Lucknow")</f>
        <v>Lucknow</v>
      </c>
      <c r="X677" s="124" t="str">
        <f>IFERROR(__xludf.DUMMYFUNCTION("""COMPUTED_VALUE"""),"Walkin")</f>
        <v>Walkin</v>
      </c>
      <c r="Y677" s="124" t="str">
        <f>IFERROR(__xludf.DUMMYFUNCTION("""COMPUTED_VALUE"""),"Lucknow")</f>
        <v>Lucknow</v>
      </c>
      <c r="Z677" s="124">
        <f>IFERROR(__xludf.DUMMYFUNCTION("""COMPUTED_VALUE"""),1.0)</f>
        <v>1</v>
      </c>
      <c r="AA677" s="124" t="str">
        <f>IFERROR(__xludf.DUMMYFUNCTION("""COMPUTED_VALUE"""),"Cold")</f>
        <v>Cold</v>
      </c>
      <c r="AB677" s="124" t="str">
        <f>IFERROR(__xludf.DUMMYFUNCTION("""COMPUTED_VALUE"""),"IGP UPPSC")</f>
        <v>IGP UPPSC</v>
      </c>
    </row>
    <row r="678">
      <c r="A678" s="126">
        <f>IFERROR(__xludf.DUMMYFUNCTION("""COMPUTED_VALUE"""),46056.0)</f>
        <v>46056</v>
      </c>
      <c r="B678" s="124" t="str">
        <f>IFERROR(__xludf.DUMMYFUNCTION("""COMPUTED_VALUE"""),"Walkin")</f>
        <v>Walkin</v>
      </c>
      <c r="C678" s="124" t="str">
        <f>IFERROR(__xludf.DUMMYFUNCTION("""COMPUTED_VALUE"""),"Delhi")</f>
        <v>Delhi</v>
      </c>
      <c r="D678" s="124" t="str">
        <f>IFERROR(__xludf.DUMMYFUNCTION("""COMPUTED_VALUE"""),"Primary_Walkin")</f>
        <v>Primary_Walkin</v>
      </c>
      <c r="E678" s="124">
        <f>IFERROR(__xludf.DUMMYFUNCTION("""COMPUTED_VALUE"""),1.0)</f>
        <v>1</v>
      </c>
      <c r="F678" s="124" t="str">
        <f>IFERROR(__xludf.DUMMYFUNCTION("""COMPUTED_VALUE"""),"Fake Lead")</f>
        <v>Fake Lead</v>
      </c>
      <c r="G678" s="124" t="str">
        <f>IFERROR(__xludf.DUMMYFUNCTION("""COMPUTED_VALUE"""),"Optionals")</f>
        <v>Optionals</v>
      </c>
      <c r="K678" s="124"/>
      <c r="L678" s="124"/>
      <c r="M678" s="124"/>
      <c r="N678" s="124"/>
      <c r="O678" s="124"/>
      <c r="T678" s="126">
        <f>IFERROR(__xludf.DUMMYFUNCTION("""COMPUTED_VALUE"""),46075.0)</f>
        <v>46075</v>
      </c>
      <c r="U678" s="124" t="str">
        <f>IFERROR(__xludf.DUMMYFUNCTION("""COMPUTED_VALUE"""),"Walk-Ins")</f>
        <v>Walk-Ins</v>
      </c>
      <c r="V678" s="124" t="str">
        <f>IFERROR(__xludf.DUMMYFUNCTION("""COMPUTED_VALUE"""),"Walkin")</f>
        <v>Walkin</v>
      </c>
      <c r="W678" s="124" t="str">
        <f>IFERROR(__xludf.DUMMYFUNCTION("""COMPUTED_VALUE"""),"Patna")</f>
        <v>Patna</v>
      </c>
      <c r="X678" s="124" t="str">
        <f>IFERROR(__xludf.DUMMYFUNCTION("""COMPUTED_VALUE"""),"Walkin")</f>
        <v>Walkin</v>
      </c>
      <c r="Y678" s="124" t="str">
        <f>IFERROR(__xludf.DUMMYFUNCTION("""COMPUTED_VALUE"""),"Patna")</f>
        <v>Patna</v>
      </c>
      <c r="Z678" s="124">
        <f>IFERROR(__xludf.DUMMYFUNCTION("""COMPUTED_VALUE"""),8.0)</f>
        <v>8</v>
      </c>
      <c r="AA678" s="124" t="str">
        <f>IFERROR(__xludf.DUMMYFUNCTION("""COMPUTED_VALUE"""),"Cold")</f>
        <v>Cold</v>
      </c>
      <c r="AB678" s="124" t="str">
        <f>IFERROR(__xludf.DUMMYFUNCTION("""COMPUTED_VALUE"""),"State PCS")</f>
        <v>State PCS</v>
      </c>
    </row>
    <row r="679">
      <c r="A679" s="129">
        <f>IFERROR(__xludf.DUMMYFUNCTION("""COMPUTED_VALUE"""),46054.0)</f>
        <v>46054</v>
      </c>
      <c r="B679" s="124" t="str">
        <f>IFERROR(__xludf.DUMMYFUNCTION("""COMPUTED_VALUE"""),"Walk-In")</f>
        <v>Walk-In</v>
      </c>
      <c r="C679" s="124" t="str">
        <f>IFERROR(__xludf.DUMMYFUNCTION("""COMPUTED_VALUE"""),"Delhi")</f>
        <v>Delhi</v>
      </c>
      <c r="D679" s="124" t="str">
        <f>IFERROR(__xludf.DUMMYFUNCTION("""COMPUTED_VALUE"""),"Primary_Walkin")</f>
        <v>Primary_Walkin</v>
      </c>
      <c r="E679" s="124">
        <f>IFERROR(__xludf.DUMMYFUNCTION("""COMPUTED_VALUE"""),1.0)</f>
        <v>1</v>
      </c>
      <c r="F679" s="124" t="str">
        <f>IFERROR(__xludf.DUMMYFUNCTION("""COMPUTED_VALUE"""),"Enrolled")</f>
        <v>Enrolled</v>
      </c>
      <c r="G679" s="124" t="str">
        <f>IFERROR(__xludf.DUMMYFUNCTION("""COMPUTED_VALUE"""),"GS Foundation")</f>
        <v>GS Foundation</v>
      </c>
      <c r="K679" s="124"/>
      <c r="L679" s="124"/>
      <c r="M679" s="124"/>
      <c r="N679" s="124"/>
      <c r="O679" s="124"/>
      <c r="T679" s="126">
        <f>IFERROR(__xludf.DUMMYFUNCTION("""COMPUTED_VALUE"""),46061.0)</f>
        <v>46061</v>
      </c>
      <c r="U679" s="124" t="str">
        <f>IFERROR(__xludf.DUMMYFUNCTION("""COMPUTED_VALUE"""),"Walk-Ins")</f>
        <v>Walk-Ins</v>
      </c>
      <c r="V679" s="124" t="str">
        <f>IFERROR(__xludf.DUMMYFUNCTION("""COMPUTED_VALUE"""),"Walkin")</f>
        <v>Walkin</v>
      </c>
      <c r="W679" s="124" t="str">
        <f>IFERROR(__xludf.DUMMYFUNCTION("""COMPUTED_VALUE"""),"Prayagraj")</f>
        <v>Prayagraj</v>
      </c>
      <c r="X679" s="124" t="str">
        <f>IFERROR(__xludf.DUMMYFUNCTION("""COMPUTED_VALUE"""),"Walkin")</f>
        <v>Walkin</v>
      </c>
      <c r="Y679" s="124" t="str">
        <f>IFERROR(__xludf.DUMMYFUNCTION("""COMPUTED_VALUE"""),"Prayagraj")</f>
        <v>Prayagraj</v>
      </c>
      <c r="Z679" s="124">
        <f>IFERROR(__xludf.DUMMYFUNCTION("""COMPUTED_VALUE"""),1.0)</f>
        <v>1</v>
      </c>
      <c r="AA679" s="124" t="str">
        <f>IFERROR(__xludf.DUMMYFUNCTION("""COMPUTED_VALUE"""),"Not Interested")</f>
        <v>Not Interested</v>
      </c>
      <c r="AB679" s="124" t="str">
        <f>IFERROR(__xludf.DUMMYFUNCTION("""COMPUTED_VALUE"""),"GS Foundation")</f>
        <v>GS Foundation</v>
      </c>
    </row>
    <row r="680">
      <c r="A680" s="126">
        <f>IFERROR(__xludf.DUMMYFUNCTION("""COMPUTED_VALUE"""),46053.0)</f>
        <v>46053</v>
      </c>
      <c r="B680" s="124" t="str">
        <f>IFERROR(__xludf.DUMMYFUNCTION("""COMPUTED_VALUE"""),"Walkin")</f>
        <v>Walkin</v>
      </c>
      <c r="C680" s="124" t="str">
        <f>IFERROR(__xludf.DUMMYFUNCTION("""COMPUTED_VALUE"""),"Delhi")</f>
        <v>Delhi</v>
      </c>
      <c r="D680" s="124" t="str">
        <f>IFERROR(__xludf.DUMMYFUNCTION("""COMPUTED_VALUE"""),"Primary_Walkin")</f>
        <v>Primary_Walkin</v>
      </c>
      <c r="E680" s="124">
        <f>IFERROR(__xludf.DUMMYFUNCTION("""COMPUTED_VALUE"""),3.0)</f>
        <v>3</v>
      </c>
      <c r="F680" s="124" t="str">
        <f>IFERROR(__xludf.DUMMYFUNCTION("""COMPUTED_VALUE"""),"Not Interested")</f>
        <v>Not Interested</v>
      </c>
      <c r="G680" s="124" t="str">
        <f>IFERROR(__xludf.DUMMYFUNCTION("""COMPUTED_VALUE"""),"GS Foundation")</f>
        <v>GS Foundation</v>
      </c>
      <c r="K680" s="124"/>
      <c r="L680" s="124"/>
      <c r="M680" s="124"/>
      <c r="N680" s="124"/>
      <c r="O680" s="124"/>
      <c r="T680" s="126">
        <f>IFERROR(__xludf.DUMMYFUNCTION("""COMPUTED_VALUE"""),46044.0)</f>
        <v>46044</v>
      </c>
      <c r="U680" s="124" t="str">
        <f>IFERROR(__xludf.DUMMYFUNCTION("""COMPUTED_VALUE"""),"Walk-Ins")</f>
        <v>Walk-Ins</v>
      </c>
      <c r="V680" s="124" t="str">
        <f>IFERROR(__xludf.DUMMYFUNCTION("""COMPUTED_VALUE"""),"Walkin")</f>
        <v>Walkin</v>
      </c>
      <c r="W680" s="124" t="str">
        <f>IFERROR(__xludf.DUMMYFUNCTION("""COMPUTED_VALUE"""),"Patna")</f>
        <v>Patna</v>
      </c>
      <c r="X680" s="124" t="str">
        <f>IFERROR(__xludf.DUMMYFUNCTION("""COMPUTED_VALUE"""),"Walkin")</f>
        <v>Walkin</v>
      </c>
      <c r="Y680" s="124" t="str">
        <f>IFERROR(__xludf.DUMMYFUNCTION("""COMPUTED_VALUE"""),"Patna")</f>
        <v>Patna</v>
      </c>
      <c r="Z680" s="124">
        <f>IFERROR(__xludf.DUMMYFUNCTION("""COMPUTED_VALUE"""),7.0)</f>
        <v>7</v>
      </c>
      <c r="AA680" s="124" t="str">
        <f>IFERROR(__xludf.DUMMYFUNCTION("""COMPUTED_VALUE"""),"Cold")</f>
        <v>Cold</v>
      </c>
      <c r="AB680" s="124" t="str">
        <f>IFERROR(__xludf.DUMMYFUNCTION("""COMPUTED_VALUE"""),"State PCS")</f>
        <v>State PCS</v>
      </c>
    </row>
    <row r="681">
      <c r="A681" s="129">
        <f>IFERROR(__xludf.DUMMYFUNCTION("""COMPUTED_VALUE"""),46050.0)</f>
        <v>46050</v>
      </c>
      <c r="B681" s="124" t="str">
        <f>IFERROR(__xludf.DUMMYFUNCTION("""COMPUTED_VALUE"""),"Walkin")</f>
        <v>Walkin</v>
      </c>
      <c r="C681" s="124" t="str">
        <f>IFERROR(__xludf.DUMMYFUNCTION("""COMPUTED_VALUE"""),"Delhi")</f>
        <v>Delhi</v>
      </c>
      <c r="D681" s="124" t="str">
        <f>IFERROR(__xludf.DUMMYFUNCTION("""COMPUTED_VALUE"""),"Primary_Walkin")</f>
        <v>Primary_Walkin</v>
      </c>
      <c r="E681" s="124">
        <f>IFERROR(__xludf.DUMMYFUNCTION("""COMPUTED_VALUE"""),4.0)</f>
        <v>4</v>
      </c>
      <c r="F681" s="124" t="str">
        <f>IFERROR(__xludf.DUMMYFUNCTION("""COMPUTED_VALUE"""),"Not Interested")</f>
        <v>Not Interested</v>
      </c>
      <c r="G681" s="124" t="str">
        <f>IFERROR(__xludf.DUMMYFUNCTION("""COMPUTED_VALUE"""),"GS Foundation")</f>
        <v>GS Foundation</v>
      </c>
      <c r="K681" s="124"/>
      <c r="L681" s="124"/>
      <c r="M681" s="124"/>
      <c r="N681" s="124"/>
      <c r="O681" s="124"/>
      <c r="T681" s="126">
        <f>IFERROR(__xludf.DUMMYFUNCTION("""COMPUTED_VALUE"""),46051.0)</f>
        <v>46051</v>
      </c>
      <c r="U681" s="124" t="str">
        <f>IFERROR(__xludf.DUMMYFUNCTION("""COMPUTED_VALUE"""),"Walk-Ins")</f>
        <v>Walk-Ins</v>
      </c>
      <c r="V681" s="124" t="str">
        <f>IFERROR(__xludf.DUMMYFUNCTION("""COMPUTED_VALUE"""),"Walkin")</f>
        <v>Walkin</v>
      </c>
      <c r="W681" s="124" t="str">
        <f>IFERROR(__xludf.DUMMYFUNCTION("""COMPUTED_VALUE"""),"Indore")</f>
        <v>Indore</v>
      </c>
      <c r="X681" s="124" t="str">
        <f>IFERROR(__xludf.DUMMYFUNCTION("""COMPUTED_VALUE"""),"Walkin")</f>
        <v>Walkin</v>
      </c>
      <c r="Y681" s="124" t="str">
        <f>IFERROR(__xludf.DUMMYFUNCTION("""COMPUTED_VALUE"""),"Indore")</f>
        <v>Indore</v>
      </c>
      <c r="Z681" s="124">
        <f>IFERROR(__xludf.DUMMYFUNCTION("""COMPUTED_VALUE"""),1.0)</f>
        <v>1</v>
      </c>
      <c r="AA681" s="124" t="str">
        <f>IFERROR(__xludf.DUMMYFUNCTION("""COMPUTED_VALUE"""),"Not Interested")</f>
        <v>Not Interested</v>
      </c>
      <c r="AB681" s="124" t="str">
        <f>IFERROR(__xludf.DUMMYFUNCTION("""COMPUTED_VALUE"""),"GS Foundation")</f>
        <v>GS Foundation</v>
      </c>
    </row>
    <row r="682">
      <c r="A682" s="126">
        <f>IFERROR(__xludf.DUMMYFUNCTION("""COMPUTED_VALUE"""),46070.0)</f>
        <v>46070</v>
      </c>
      <c r="B682" s="124" t="str">
        <f>IFERROR(__xludf.DUMMYFUNCTION("""COMPUTED_VALUE"""),"Walkin")</f>
        <v>Walkin</v>
      </c>
      <c r="C682" s="124" t="str">
        <f>IFERROR(__xludf.DUMMYFUNCTION("""COMPUTED_VALUE"""),"Delhi")</f>
        <v>Delhi</v>
      </c>
      <c r="D682" s="124" t="str">
        <f>IFERROR(__xludf.DUMMYFUNCTION("""COMPUTED_VALUE"""),"Primary_Walkin")</f>
        <v>Primary_Walkin</v>
      </c>
      <c r="E682" s="124">
        <f>IFERROR(__xludf.DUMMYFUNCTION("""COMPUTED_VALUE"""),2.0)</f>
        <v>2</v>
      </c>
      <c r="F682" s="124" t="str">
        <f>IFERROR(__xludf.DUMMYFUNCTION("""COMPUTED_VALUE"""),"Future Prospects")</f>
        <v>Future Prospects</v>
      </c>
      <c r="G682" s="124" t="str">
        <f>IFERROR(__xludf.DUMMYFUNCTION("""COMPUTED_VALUE"""),"GS Foundation")</f>
        <v>GS Foundation</v>
      </c>
      <c r="K682" s="124"/>
      <c r="L682" s="124"/>
      <c r="M682" s="124"/>
      <c r="N682" s="124"/>
      <c r="O682" s="124"/>
      <c r="T682" s="126">
        <f>IFERROR(__xludf.DUMMYFUNCTION("""COMPUTED_VALUE"""),46095.0)</f>
        <v>46095</v>
      </c>
      <c r="U682" s="124" t="str">
        <f>IFERROR(__xludf.DUMMYFUNCTION("""COMPUTED_VALUE"""),"Walk-Ins")</f>
        <v>Walk-Ins</v>
      </c>
      <c r="V682" s="124" t="str">
        <f>IFERROR(__xludf.DUMMYFUNCTION("""COMPUTED_VALUE"""),"Walkin")</f>
        <v>Walkin</v>
      </c>
      <c r="W682" s="124" t="str">
        <f>IFERROR(__xludf.DUMMYFUNCTION("""COMPUTED_VALUE"""),"Prayagraj")</f>
        <v>Prayagraj</v>
      </c>
      <c r="X682" s="124" t="str">
        <f>IFERROR(__xludf.DUMMYFUNCTION("""COMPUTED_VALUE"""),"Walkin")</f>
        <v>Walkin</v>
      </c>
      <c r="Y682" s="124" t="str">
        <f>IFERROR(__xludf.DUMMYFUNCTION("""COMPUTED_VALUE"""),"Prayagraj")</f>
        <v>Prayagraj</v>
      </c>
      <c r="Z682" s="124">
        <f>IFERROR(__xludf.DUMMYFUNCTION("""COMPUTED_VALUE"""),1.0)</f>
        <v>1</v>
      </c>
      <c r="AA682" s="124" t="str">
        <f>IFERROR(__xludf.DUMMYFUNCTION("""COMPUTED_VALUE"""),"Cold")</f>
        <v>Cold</v>
      </c>
      <c r="AB682" s="124" t="str">
        <f>IFERROR(__xludf.DUMMYFUNCTION("""COMPUTED_VALUE"""),"State PCS")</f>
        <v>State PCS</v>
      </c>
    </row>
    <row r="683">
      <c r="A683" s="126">
        <f>IFERROR(__xludf.DUMMYFUNCTION("""COMPUTED_VALUE"""),46091.0)</f>
        <v>46091</v>
      </c>
      <c r="B683" s="124" t="str">
        <f>IFERROR(__xludf.DUMMYFUNCTION("""COMPUTED_VALUE"""),"Walk-In")</f>
        <v>Walk-In</v>
      </c>
      <c r="C683" s="124" t="str">
        <f>IFERROR(__xludf.DUMMYFUNCTION("""COMPUTED_VALUE"""),"Delhi")</f>
        <v>Delhi</v>
      </c>
      <c r="D683" s="124" t="str">
        <f>IFERROR(__xludf.DUMMYFUNCTION("""COMPUTED_VALUE"""),"Primary_Walkin")</f>
        <v>Primary_Walkin</v>
      </c>
      <c r="E683" s="124">
        <f>IFERROR(__xludf.DUMMYFUNCTION("""COMPUTED_VALUE"""),1.0)</f>
        <v>1</v>
      </c>
      <c r="F683" s="124" t="str">
        <f>IFERROR(__xludf.DUMMYFUNCTION("""COMPUTED_VALUE"""),"Cold")</f>
        <v>Cold</v>
      </c>
      <c r="G683" s="124" t="str">
        <f>IFERROR(__xludf.DUMMYFUNCTION("""COMPUTED_VALUE"""),"GS Foundation")</f>
        <v>GS Foundation</v>
      </c>
      <c r="K683" s="124"/>
      <c r="L683" s="124"/>
      <c r="M683" s="124"/>
      <c r="N683" s="124"/>
      <c r="O683" s="124"/>
      <c r="T683" s="126">
        <f>IFERROR(__xludf.DUMMYFUNCTION("""COMPUTED_VALUE"""),46109.0)</f>
        <v>46109</v>
      </c>
      <c r="U683" s="124" t="str">
        <f>IFERROR(__xludf.DUMMYFUNCTION("""COMPUTED_VALUE"""),"Walk-Ins")</f>
        <v>Walk-Ins</v>
      </c>
      <c r="V683" s="124" t="str">
        <f>IFERROR(__xludf.DUMMYFUNCTION("""COMPUTED_VALUE"""),"Walkin")</f>
        <v>Walkin</v>
      </c>
      <c r="W683" s="124" t="str">
        <f>IFERROR(__xludf.DUMMYFUNCTION("""COMPUTED_VALUE"""),"Prayagraj")</f>
        <v>Prayagraj</v>
      </c>
      <c r="X683" s="124" t="str">
        <f>IFERROR(__xludf.DUMMYFUNCTION("""COMPUTED_VALUE"""),"Walkin")</f>
        <v>Walkin</v>
      </c>
      <c r="Y683" s="124" t="str">
        <f>IFERROR(__xludf.DUMMYFUNCTION("""COMPUTED_VALUE"""),"Prayagraj")</f>
        <v>Prayagraj</v>
      </c>
      <c r="Z683" s="124">
        <f>IFERROR(__xludf.DUMMYFUNCTION("""COMPUTED_VALUE"""),1.0)</f>
        <v>1</v>
      </c>
      <c r="AA683" s="124" t="str">
        <f>IFERROR(__xludf.DUMMYFUNCTION("""COMPUTED_VALUE"""),"Interested")</f>
        <v>Interested</v>
      </c>
      <c r="AB683" s="124" t="str">
        <f>IFERROR(__xludf.DUMMYFUNCTION("""COMPUTED_VALUE"""),"GS Foundation")</f>
        <v>GS Foundation</v>
      </c>
    </row>
    <row r="684">
      <c r="A684" s="129">
        <f>IFERROR(__xludf.DUMMYFUNCTION("""COMPUTED_VALUE"""),46068.0)</f>
        <v>46068</v>
      </c>
      <c r="B684" s="124" t="str">
        <f>IFERROR(__xludf.DUMMYFUNCTION("""COMPUTED_VALUE"""),"Walkin")</f>
        <v>Walkin</v>
      </c>
      <c r="C684" s="124" t="str">
        <f>IFERROR(__xludf.DUMMYFUNCTION("""COMPUTED_VALUE"""),"Delhi")</f>
        <v>Delhi</v>
      </c>
      <c r="D684" s="124" t="str">
        <f>IFERROR(__xludf.DUMMYFUNCTION("""COMPUTED_VALUE"""),"Primary_Walkin")</f>
        <v>Primary_Walkin</v>
      </c>
      <c r="E684" s="124">
        <f>IFERROR(__xludf.DUMMYFUNCTION("""COMPUTED_VALUE"""),2.0)</f>
        <v>2</v>
      </c>
      <c r="F684" s="124" t="str">
        <f>IFERROR(__xludf.DUMMYFUNCTION("""COMPUTED_VALUE"""),"Not Interested")</f>
        <v>Not Interested</v>
      </c>
      <c r="G684" s="124" t="str">
        <f>IFERROR(__xludf.DUMMYFUNCTION("""COMPUTED_VALUE"""),"GS Foundation")</f>
        <v>GS Foundation</v>
      </c>
      <c r="K684" s="124"/>
      <c r="L684" s="124"/>
      <c r="M684" s="124"/>
      <c r="N684" s="124"/>
      <c r="O684" s="124"/>
      <c r="T684" s="126">
        <f>IFERROR(__xludf.DUMMYFUNCTION("""COMPUTED_VALUE"""),46110.0)</f>
        <v>46110</v>
      </c>
      <c r="U684" s="124" t="str">
        <f>IFERROR(__xludf.DUMMYFUNCTION("""COMPUTED_VALUE"""),"Walk-Ins")</f>
        <v>Walk-Ins</v>
      </c>
      <c r="V684" s="124" t="str">
        <f>IFERROR(__xludf.DUMMYFUNCTION("""COMPUTED_VALUE"""),"Walkin")</f>
        <v>Walkin</v>
      </c>
      <c r="W684" s="124" t="str">
        <f>IFERROR(__xludf.DUMMYFUNCTION("""COMPUTED_VALUE"""),"Prayagraj")</f>
        <v>Prayagraj</v>
      </c>
      <c r="X684" s="124" t="str">
        <f>IFERROR(__xludf.DUMMYFUNCTION("""COMPUTED_VALUE"""),"Walkin")</f>
        <v>Walkin</v>
      </c>
      <c r="Y684" s="124" t="str">
        <f>IFERROR(__xludf.DUMMYFUNCTION("""COMPUTED_VALUE"""),"Prayagraj")</f>
        <v>Prayagraj</v>
      </c>
      <c r="Z684" s="124">
        <f>IFERROR(__xludf.DUMMYFUNCTION("""COMPUTED_VALUE"""),3.0)</f>
        <v>3</v>
      </c>
      <c r="AA684" s="124" t="str">
        <f>IFERROR(__xludf.DUMMYFUNCTION("""COMPUTED_VALUE"""),"Warm")</f>
        <v>Warm</v>
      </c>
      <c r="AB684" s="124" t="str">
        <f>IFERROR(__xludf.DUMMYFUNCTION("""COMPUTED_VALUE"""),"Mentorship")</f>
        <v>Mentorship</v>
      </c>
    </row>
    <row r="685">
      <c r="A685" s="126">
        <f>IFERROR(__xludf.DUMMYFUNCTION("""COMPUTED_VALUE"""),46088.0)</f>
        <v>46088</v>
      </c>
      <c r="B685" s="124" t="str">
        <f>IFERROR(__xludf.DUMMYFUNCTION("""COMPUTED_VALUE"""),"Inbound Call")</f>
        <v>Inbound Call</v>
      </c>
      <c r="C685" s="124" t="str">
        <f>IFERROR(__xludf.DUMMYFUNCTION("""COMPUTED_VALUE"""),"Delhi")</f>
        <v>Delhi</v>
      </c>
      <c r="D685" s="124" t="str">
        <f>IFERROR(__xludf.DUMMYFUNCTION("""COMPUTED_VALUE"""),"Secondary_Walkin")</f>
        <v>Secondary_Walkin</v>
      </c>
      <c r="E685" s="124">
        <f>IFERROR(__xludf.DUMMYFUNCTION("""COMPUTED_VALUE"""),1.0)</f>
        <v>1</v>
      </c>
      <c r="F685" s="124" t="str">
        <f>IFERROR(__xludf.DUMMYFUNCTION("""COMPUTED_VALUE"""),"Warm")</f>
        <v>Warm</v>
      </c>
      <c r="G685" s="124" t="str">
        <f>IFERROR(__xludf.DUMMYFUNCTION("""COMPUTED_VALUE"""),"GS Foundation")</f>
        <v>GS Foundation</v>
      </c>
      <c r="K685" s="124"/>
      <c r="L685" s="124"/>
      <c r="M685" s="124"/>
      <c r="N685" s="124"/>
      <c r="O685" s="124"/>
      <c r="T685" s="126">
        <f>IFERROR(__xludf.DUMMYFUNCTION("""COMPUTED_VALUE"""),46067.0)</f>
        <v>46067</v>
      </c>
      <c r="U685" s="124" t="str">
        <f>IFERROR(__xludf.DUMMYFUNCTION("""COMPUTED_VALUE"""),"Walk-Ins")</f>
        <v>Walk-Ins</v>
      </c>
      <c r="V685" s="124" t="str">
        <f>IFERROR(__xludf.DUMMYFUNCTION("""COMPUTED_VALUE"""),"Walkin")</f>
        <v>Walkin</v>
      </c>
      <c r="W685" s="124" t="str">
        <f>IFERROR(__xludf.DUMMYFUNCTION("""COMPUTED_VALUE"""),"Lucknow")</f>
        <v>Lucknow</v>
      </c>
      <c r="X685" s="124" t="str">
        <f>IFERROR(__xludf.DUMMYFUNCTION("""COMPUTED_VALUE"""),"Walkin")</f>
        <v>Walkin</v>
      </c>
      <c r="Y685" s="124" t="str">
        <f>IFERROR(__xludf.DUMMYFUNCTION("""COMPUTED_VALUE"""),"Lucknow")</f>
        <v>Lucknow</v>
      </c>
      <c r="Z685" s="124">
        <f>IFERROR(__xludf.DUMMYFUNCTION("""COMPUTED_VALUE"""),1.0)</f>
        <v>1</v>
      </c>
      <c r="AA685" s="124" t="str">
        <f>IFERROR(__xludf.DUMMYFUNCTION("""COMPUTED_VALUE"""),"Enrolled")</f>
        <v>Enrolled</v>
      </c>
      <c r="AB685" s="124" t="str">
        <f>IFERROR(__xludf.DUMMYFUNCTION("""COMPUTED_VALUE"""),"Other")</f>
        <v>Other</v>
      </c>
    </row>
    <row r="686">
      <c r="A686" s="126">
        <f>IFERROR(__xludf.DUMMYFUNCTION("""COMPUTED_VALUE"""),46070.0)</f>
        <v>46070</v>
      </c>
      <c r="B686" s="124" t="str">
        <f>IFERROR(__xludf.DUMMYFUNCTION("""COMPUTED_VALUE"""),"Walkin")</f>
        <v>Walkin</v>
      </c>
      <c r="C686" s="124" t="str">
        <f>IFERROR(__xludf.DUMMYFUNCTION("""COMPUTED_VALUE"""),"Delhi")</f>
        <v>Delhi</v>
      </c>
      <c r="D686" s="124" t="str">
        <f>IFERROR(__xludf.DUMMYFUNCTION("""COMPUTED_VALUE"""),"Primary_Walkin")</f>
        <v>Primary_Walkin</v>
      </c>
      <c r="E686" s="124">
        <f>IFERROR(__xludf.DUMMYFUNCTION("""COMPUTED_VALUE"""),1.0)</f>
        <v>1</v>
      </c>
      <c r="F686" s="124" t="str">
        <f>IFERROR(__xludf.DUMMYFUNCTION("""COMPUTED_VALUE"""),"Warm")</f>
        <v>Warm</v>
      </c>
      <c r="G686" s="124" t="str">
        <f>IFERROR(__xludf.DUMMYFUNCTION("""COMPUTED_VALUE"""),"GS Foundation")</f>
        <v>GS Foundation</v>
      </c>
      <c r="K686" s="124"/>
      <c r="L686" s="124"/>
      <c r="M686" s="124"/>
      <c r="N686" s="124"/>
      <c r="O686" s="124"/>
      <c r="T686" s="126">
        <f>IFERROR(__xludf.DUMMYFUNCTION("""COMPUTED_VALUE"""),46110.0)</f>
        <v>46110</v>
      </c>
      <c r="U686" s="124" t="str">
        <f>IFERROR(__xludf.DUMMYFUNCTION("""COMPUTED_VALUE"""),"Walk-Ins")</f>
        <v>Walk-Ins</v>
      </c>
      <c r="V686" s="124" t="str">
        <f>IFERROR(__xludf.DUMMYFUNCTION("""COMPUTED_VALUE"""),"Walkin")</f>
        <v>Walkin</v>
      </c>
      <c r="W686" s="124" t="str">
        <f>IFERROR(__xludf.DUMMYFUNCTION("""COMPUTED_VALUE"""),"Patna")</f>
        <v>Patna</v>
      </c>
      <c r="X686" s="124" t="str">
        <f>IFERROR(__xludf.DUMMYFUNCTION("""COMPUTED_VALUE"""),"Walkin")</f>
        <v>Walkin</v>
      </c>
      <c r="Y686" s="124" t="str">
        <f>IFERROR(__xludf.DUMMYFUNCTION("""COMPUTED_VALUE"""),"Patna")</f>
        <v>Patna</v>
      </c>
      <c r="Z686" s="124">
        <f>IFERROR(__xludf.DUMMYFUNCTION("""COMPUTED_VALUE"""),3.0)</f>
        <v>3</v>
      </c>
      <c r="AA686" s="124" t="str">
        <f>IFERROR(__xludf.DUMMYFUNCTION("""COMPUTED_VALUE"""),"Cold")</f>
        <v>Cold</v>
      </c>
      <c r="AB686" s="124" t="str">
        <f>IFERROR(__xludf.DUMMYFUNCTION("""COMPUTED_VALUE"""),"State PCS")</f>
        <v>State PCS</v>
      </c>
    </row>
    <row r="687">
      <c r="A687" s="129">
        <f>IFERROR(__xludf.DUMMYFUNCTION("""COMPUTED_VALUE"""),46092.0)</f>
        <v>46092</v>
      </c>
      <c r="B687" s="124" t="str">
        <f>IFERROR(__xludf.DUMMYFUNCTION("""COMPUTED_VALUE"""),"Walkin")</f>
        <v>Walkin</v>
      </c>
      <c r="C687" s="124" t="str">
        <f>IFERROR(__xludf.DUMMYFUNCTION("""COMPUTED_VALUE"""),"Delhi")</f>
        <v>Delhi</v>
      </c>
      <c r="D687" s="124" t="str">
        <f>IFERROR(__xludf.DUMMYFUNCTION("""COMPUTED_VALUE"""),"Primary_Walkin")</f>
        <v>Primary_Walkin</v>
      </c>
      <c r="E687" s="124">
        <f>IFERROR(__xludf.DUMMYFUNCTION("""COMPUTED_VALUE"""),2.0)</f>
        <v>2</v>
      </c>
      <c r="F687" s="124" t="str">
        <f>IFERROR(__xludf.DUMMYFUNCTION("""COMPUTED_VALUE"""),"Not Interested")</f>
        <v>Not Interested</v>
      </c>
      <c r="G687" s="124" t="str">
        <f>IFERROR(__xludf.DUMMYFUNCTION("""COMPUTED_VALUE"""),"GS Foundation")</f>
        <v>GS Foundation</v>
      </c>
      <c r="K687" s="124"/>
      <c r="L687" s="124"/>
      <c r="M687" s="124"/>
      <c r="N687" s="124"/>
      <c r="O687" s="124"/>
      <c r="T687" s="129">
        <f>IFERROR(__xludf.DUMMYFUNCTION("""COMPUTED_VALUE"""),46088.0)</f>
        <v>46088</v>
      </c>
      <c r="U687" s="124" t="str">
        <f>IFERROR(__xludf.DUMMYFUNCTION("""COMPUTED_VALUE"""),"Walk-Ins")</f>
        <v>Walk-Ins</v>
      </c>
      <c r="V687" s="124" t="str">
        <f>IFERROR(__xludf.DUMMYFUNCTION("""COMPUTED_VALUE"""),"Walkin")</f>
        <v>Walkin</v>
      </c>
      <c r="W687" s="124" t="str">
        <f>IFERROR(__xludf.DUMMYFUNCTION("""COMPUTED_VALUE"""),"Lucknow")</f>
        <v>Lucknow</v>
      </c>
      <c r="X687" s="124" t="str">
        <f>IFERROR(__xludf.DUMMYFUNCTION("""COMPUTED_VALUE"""),"Walkin")</f>
        <v>Walkin</v>
      </c>
      <c r="Y687" s="124" t="str">
        <f>IFERROR(__xludf.DUMMYFUNCTION("""COMPUTED_VALUE"""),"Lucknow")</f>
        <v>Lucknow</v>
      </c>
      <c r="Z687" s="124">
        <f>IFERROR(__xludf.DUMMYFUNCTION("""COMPUTED_VALUE"""),1.0)</f>
        <v>1</v>
      </c>
      <c r="AA687" s="124" t="str">
        <f>IFERROR(__xludf.DUMMYFUNCTION("""COMPUTED_VALUE"""),"Enrolled")</f>
        <v>Enrolled</v>
      </c>
      <c r="AB687" s="124" t="str">
        <f>IFERROR(__xludf.DUMMYFUNCTION("""COMPUTED_VALUE"""),"Hybrid")</f>
        <v>Hybrid</v>
      </c>
    </row>
    <row r="688">
      <c r="A688" s="126">
        <f>IFERROR(__xludf.DUMMYFUNCTION("""COMPUTED_VALUE"""),46053.0)</f>
        <v>46053</v>
      </c>
      <c r="B688" s="124" t="str">
        <f>IFERROR(__xludf.DUMMYFUNCTION("""COMPUTED_VALUE"""),"external leads")</f>
        <v>external leads</v>
      </c>
      <c r="C688" s="124" t="str">
        <f>IFERROR(__xludf.DUMMYFUNCTION("""COMPUTED_VALUE"""),"Delhi")</f>
        <v>Delhi</v>
      </c>
      <c r="D688" s="124" t="str">
        <f>IFERROR(__xludf.DUMMYFUNCTION("""COMPUTED_VALUE"""),"Secondary_Walkin")</f>
        <v>Secondary_Walkin</v>
      </c>
      <c r="E688" s="124">
        <f>IFERROR(__xludf.DUMMYFUNCTION("""COMPUTED_VALUE"""),1.0)</f>
        <v>1</v>
      </c>
      <c r="F688" s="124" t="str">
        <f>IFERROR(__xludf.DUMMYFUNCTION("""COMPUTED_VALUE"""),"Enrolled")</f>
        <v>Enrolled</v>
      </c>
      <c r="G688" s="124" t="str">
        <f>IFERROR(__xludf.DUMMYFUNCTION("""COMPUTED_VALUE"""),"GS Foundation")</f>
        <v>GS Foundation</v>
      </c>
      <c r="K688" s="124"/>
      <c r="L688" s="124"/>
      <c r="M688" s="124"/>
      <c r="N688" s="124"/>
      <c r="O688" s="124"/>
      <c r="T688" s="126">
        <f>IFERROR(__xludf.DUMMYFUNCTION("""COMPUTED_VALUE"""),46079.0)</f>
        <v>46079</v>
      </c>
      <c r="U688" s="124" t="str">
        <f>IFERROR(__xludf.DUMMYFUNCTION("""COMPUTED_VALUE"""),"Walk-Ins")</f>
        <v>Walk-Ins</v>
      </c>
      <c r="V688" s="124" t="str">
        <f>IFERROR(__xludf.DUMMYFUNCTION("""COMPUTED_VALUE"""),"Walkin")</f>
        <v>Walkin</v>
      </c>
      <c r="W688" s="124" t="str">
        <f>IFERROR(__xludf.DUMMYFUNCTION("""COMPUTED_VALUE"""),"Indore")</f>
        <v>Indore</v>
      </c>
      <c r="X688" s="124" t="str">
        <f>IFERROR(__xludf.DUMMYFUNCTION("""COMPUTED_VALUE"""),"Walkin")</f>
        <v>Walkin</v>
      </c>
      <c r="Y688" s="124" t="str">
        <f>IFERROR(__xludf.DUMMYFUNCTION("""COMPUTED_VALUE"""),"Indore")</f>
        <v>Indore</v>
      </c>
      <c r="Z688" s="124">
        <f>IFERROR(__xludf.DUMMYFUNCTION("""COMPUTED_VALUE"""),2.0)</f>
        <v>2</v>
      </c>
      <c r="AA688" s="124" t="str">
        <f>IFERROR(__xludf.DUMMYFUNCTION("""COMPUTED_VALUE"""),"Enrolled")</f>
        <v>Enrolled</v>
      </c>
      <c r="AB688" s="124" t="str">
        <f>IFERROR(__xludf.DUMMYFUNCTION("""COMPUTED_VALUE"""),"Other")</f>
        <v>Other</v>
      </c>
    </row>
    <row r="689">
      <c r="A689" s="129">
        <f>IFERROR(__xludf.DUMMYFUNCTION("""COMPUTED_VALUE"""),46079.0)</f>
        <v>46079</v>
      </c>
      <c r="B689" s="124" t="str">
        <f>IFERROR(__xludf.DUMMYFUNCTION("""COMPUTED_VALUE"""),"Walkin")</f>
        <v>Walkin</v>
      </c>
      <c r="C689" s="124" t="str">
        <f>IFERROR(__xludf.DUMMYFUNCTION("""COMPUTED_VALUE"""),"Delhi")</f>
        <v>Delhi</v>
      </c>
      <c r="D689" s="124" t="str">
        <f>IFERROR(__xludf.DUMMYFUNCTION("""COMPUTED_VALUE"""),"Primary_Walkin")</f>
        <v>Primary_Walkin</v>
      </c>
      <c r="E689" s="124">
        <f>IFERROR(__xludf.DUMMYFUNCTION("""COMPUTED_VALUE"""),7.0)</f>
        <v>7</v>
      </c>
      <c r="F689" s="124" t="str">
        <f>IFERROR(__xludf.DUMMYFUNCTION("""COMPUTED_VALUE"""),"Not Interested")</f>
        <v>Not Interested</v>
      </c>
      <c r="G689" s="124" t="str">
        <f>IFERROR(__xludf.DUMMYFUNCTION("""COMPUTED_VALUE"""),"GS Foundation")</f>
        <v>GS Foundation</v>
      </c>
      <c r="K689" s="124"/>
      <c r="L689" s="124"/>
      <c r="M689" s="124"/>
      <c r="N689" s="124"/>
      <c r="O689" s="124"/>
      <c r="T689" s="126">
        <f>IFERROR(__xludf.DUMMYFUNCTION("""COMPUTED_VALUE"""),46052.0)</f>
        <v>46052</v>
      </c>
      <c r="U689" s="124" t="str">
        <f>IFERROR(__xludf.DUMMYFUNCTION("""COMPUTED_VALUE"""),"Walk-Ins")</f>
        <v>Walk-Ins</v>
      </c>
      <c r="V689" s="124" t="str">
        <f>IFERROR(__xludf.DUMMYFUNCTION("""COMPUTED_VALUE"""),"Walkin")</f>
        <v>Walkin</v>
      </c>
      <c r="W689" s="124" t="str">
        <f>IFERROR(__xludf.DUMMYFUNCTION("""COMPUTED_VALUE"""),"Lucknow")</f>
        <v>Lucknow</v>
      </c>
      <c r="X689" s="124" t="str">
        <f>IFERROR(__xludf.DUMMYFUNCTION("""COMPUTED_VALUE"""),"Walkin")</f>
        <v>Walkin</v>
      </c>
      <c r="Y689" s="124" t="str">
        <f>IFERROR(__xludf.DUMMYFUNCTION("""COMPUTED_VALUE"""),"Lucknow")</f>
        <v>Lucknow</v>
      </c>
      <c r="Z689" s="124">
        <f>IFERROR(__xludf.DUMMYFUNCTION("""COMPUTED_VALUE"""),1.0)</f>
        <v>1</v>
      </c>
      <c r="AA689" s="124" t="str">
        <f>IFERROR(__xludf.DUMMYFUNCTION("""COMPUTED_VALUE"""),"Future Prospects")</f>
        <v>Future Prospects</v>
      </c>
      <c r="AB689" s="124" t="str">
        <f>IFERROR(__xludf.DUMMYFUNCTION("""COMPUTED_VALUE"""),"State PCS")</f>
        <v>State PCS</v>
      </c>
    </row>
    <row r="690">
      <c r="A690" s="126">
        <f>IFERROR(__xludf.DUMMYFUNCTION("""COMPUTED_VALUE"""),46077.0)</f>
        <v>46077</v>
      </c>
      <c r="B690" s="124" t="str">
        <f>IFERROR(__xludf.DUMMYFUNCTION("""COMPUTED_VALUE"""),"Walkin")</f>
        <v>Walkin</v>
      </c>
      <c r="C690" s="124" t="str">
        <f>IFERROR(__xludf.DUMMYFUNCTION("""COMPUTED_VALUE"""),"Delhi")</f>
        <v>Delhi</v>
      </c>
      <c r="D690" s="124" t="str">
        <f>IFERROR(__xludf.DUMMYFUNCTION("""COMPUTED_VALUE"""),"Primary_Walkin")</f>
        <v>Primary_Walkin</v>
      </c>
      <c r="E690" s="124">
        <f>IFERROR(__xludf.DUMMYFUNCTION("""COMPUTED_VALUE"""),1.0)</f>
        <v>1</v>
      </c>
      <c r="F690" s="124" t="str">
        <f>IFERROR(__xludf.DUMMYFUNCTION("""COMPUTED_VALUE"""),"Warm")</f>
        <v>Warm</v>
      </c>
      <c r="G690" s="124" t="str">
        <f>IFERROR(__xludf.DUMMYFUNCTION("""COMPUTED_VALUE"""),"GS Foundation")</f>
        <v>GS Foundation</v>
      </c>
      <c r="K690" s="124"/>
      <c r="L690" s="124"/>
      <c r="M690" s="124"/>
      <c r="N690" s="124"/>
      <c r="O690" s="124"/>
      <c r="T690" s="126">
        <f>IFERROR(__xludf.DUMMYFUNCTION("""COMPUTED_VALUE"""),46072.0)</f>
        <v>46072</v>
      </c>
      <c r="U690" s="124" t="str">
        <f>IFERROR(__xludf.DUMMYFUNCTION("""COMPUTED_VALUE"""),"Walk-Ins")</f>
        <v>Walk-Ins</v>
      </c>
      <c r="V690" s="124" t="str">
        <f>IFERROR(__xludf.DUMMYFUNCTION("""COMPUTED_VALUE"""),"Walkin")</f>
        <v>Walkin</v>
      </c>
      <c r="W690" s="124" t="str">
        <f>IFERROR(__xludf.DUMMYFUNCTION("""COMPUTED_VALUE"""),"Prayagraj")</f>
        <v>Prayagraj</v>
      </c>
      <c r="X690" s="124" t="str">
        <f>IFERROR(__xludf.DUMMYFUNCTION("""COMPUTED_VALUE"""),"Walkin")</f>
        <v>Walkin</v>
      </c>
      <c r="Y690" s="124" t="str">
        <f>IFERROR(__xludf.DUMMYFUNCTION("""COMPUTED_VALUE"""),"Prayagraj")</f>
        <v>Prayagraj</v>
      </c>
      <c r="Z690" s="124">
        <f>IFERROR(__xludf.DUMMYFUNCTION("""COMPUTED_VALUE"""),1.0)</f>
        <v>1</v>
      </c>
      <c r="AA690" s="124" t="str">
        <f>IFERROR(__xludf.DUMMYFUNCTION("""COMPUTED_VALUE"""),"Future Prospects")</f>
        <v>Future Prospects</v>
      </c>
      <c r="AB690" s="124" t="str">
        <f>IFERROR(__xludf.DUMMYFUNCTION("""COMPUTED_VALUE"""),"GS Foundation")</f>
        <v>GS Foundation</v>
      </c>
    </row>
    <row r="691">
      <c r="A691" s="129">
        <f>IFERROR(__xludf.DUMMYFUNCTION("""COMPUTED_VALUE"""),46109.0)</f>
        <v>46109</v>
      </c>
      <c r="B691" s="124" t="str">
        <f>IFERROR(__xludf.DUMMYFUNCTION("""COMPUTED_VALUE"""),"Walkin")</f>
        <v>Walkin</v>
      </c>
      <c r="C691" s="124" t="str">
        <f>IFERROR(__xludf.DUMMYFUNCTION("""COMPUTED_VALUE"""),"Delhi")</f>
        <v>Delhi</v>
      </c>
      <c r="D691" s="124" t="str">
        <f>IFERROR(__xludf.DUMMYFUNCTION("""COMPUTED_VALUE"""),"Primary_Walkin")</f>
        <v>Primary_Walkin</v>
      </c>
      <c r="E691" s="124">
        <f>IFERROR(__xludf.DUMMYFUNCTION("""COMPUTED_VALUE"""),2.0)</f>
        <v>2</v>
      </c>
      <c r="F691" s="124" t="str">
        <f>IFERROR(__xludf.DUMMYFUNCTION("""COMPUTED_VALUE"""),"Not Interested")</f>
        <v>Not Interested</v>
      </c>
      <c r="G691" s="124" t="str">
        <f>IFERROR(__xludf.DUMMYFUNCTION("""COMPUTED_VALUE"""),"GS Foundation")</f>
        <v>GS Foundation</v>
      </c>
      <c r="K691" s="124"/>
      <c r="L691" s="124"/>
      <c r="M691" s="124"/>
      <c r="N691" s="124"/>
      <c r="O691" s="124"/>
      <c r="T691" s="129">
        <f>IFERROR(__xludf.DUMMYFUNCTION("""COMPUTED_VALUE"""),46073.0)</f>
        <v>46073</v>
      </c>
      <c r="U691" s="124" t="str">
        <f>IFERROR(__xludf.DUMMYFUNCTION("""COMPUTED_VALUE"""),"Walk-Ins")</f>
        <v>Walk-Ins</v>
      </c>
      <c r="V691" s="124" t="str">
        <f>IFERROR(__xludf.DUMMYFUNCTION("""COMPUTED_VALUE"""),"Walkin")</f>
        <v>Walkin</v>
      </c>
      <c r="W691" s="124" t="str">
        <f>IFERROR(__xludf.DUMMYFUNCTION("""COMPUTED_VALUE"""),"Lucknow")</f>
        <v>Lucknow</v>
      </c>
      <c r="X691" s="124" t="str">
        <f>IFERROR(__xludf.DUMMYFUNCTION("""COMPUTED_VALUE"""),"Walkin")</f>
        <v>Walkin</v>
      </c>
      <c r="Y691" s="124" t="str">
        <f>IFERROR(__xludf.DUMMYFUNCTION("""COMPUTED_VALUE"""),"Lucknow")</f>
        <v>Lucknow</v>
      </c>
      <c r="Z691" s="124">
        <f>IFERROR(__xludf.DUMMYFUNCTION("""COMPUTED_VALUE"""),1.0)</f>
        <v>1</v>
      </c>
      <c r="AA691" s="124" t="str">
        <f>IFERROR(__xludf.DUMMYFUNCTION("""COMPUTED_VALUE"""),"Cold")</f>
        <v>Cold</v>
      </c>
      <c r="AB691" s="124" t="str">
        <f>IFERROR(__xludf.DUMMYFUNCTION("""COMPUTED_VALUE"""),"GS Foundation")</f>
        <v>GS Foundation</v>
      </c>
    </row>
    <row r="692">
      <c r="A692" s="129">
        <f>IFERROR(__xludf.DUMMYFUNCTION("""COMPUTED_VALUE"""),46059.0)</f>
        <v>46059</v>
      </c>
      <c r="B692" s="124" t="str">
        <f>IFERROR(__xludf.DUMMYFUNCTION("""COMPUTED_VALUE"""),"Walkin")</f>
        <v>Walkin</v>
      </c>
      <c r="C692" s="124" t="str">
        <f>IFERROR(__xludf.DUMMYFUNCTION("""COMPUTED_VALUE"""),"Delhi")</f>
        <v>Delhi</v>
      </c>
      <c r="D692" s="124" t="str">
        <f>IFERROR(__xludf.DUMMYFUNCTION("""COMPUTED_VALUE"""),"Primary_Walkin")</f>
        <v>Primary_Walkin</v>
      </c>
      <c r="E692" s="124">
        <f>IFERROR(__xludf.DUMMYFUNCTION("""COMPUTED_VALUE"""),1.0)</f>
        <v>1</v>
      </c>
      <c r="F692" s="124" t="str">
        <f>IFERROR(__xludf.DUMMYFUNCTION("""COMPUTED_VALUE"""),"Fake Lead")</f>
        <v>Fake Lead</v>
      </c>
      <c r="G692" s="124" t="str">
        <f>IFERROR(__xludf.DUMMYFUNCTION("""COMPUTED_VALUE"""),"GS Foundation")</f>
        <v>GS Foundation</v>
      </c>
      <c r="K692" s="124"/>
      <c r="L692" s="124"/>
      <c r="M692" s="124"/>
      <c r="N692" s="124"/>
      <c r="O692" s="124"/>
      <c r="T692" s="126">
        <f>IFERROR(__xludf.DUMMYFUNCTION("""COMPUTED_VALUE"""),46111.0)</f>
        <v>46111</v>
      </c>
      <c r="U692" s="124" t="str">
        <f>IFERROR(__xludf.DUMMYFUNCTION("""COMPUTED_VALUE"""),"Walk-Ins")</f>
        <v>Walk-Ins</v>
      </c>
      <c r="V692" s="124" t="str">
        <f>IFERROR(__xludf.DUMMYFUNCTION("""COMPUTED_VALUE"""),"Walkin")</f>
        <v>Walkin</v>
      </c>
      <c r="W692" s="124" t="str">
        <f>IFERROR(__xludf.DUMMYFUNCTION("""COMPUTED_VALUE"""),"Indore")</f>
        <v>Indore</v>
      </c>
      <c r="X692" s="124" t="str">
        <f>IFERROR(__xludf.DUMMYFUNCTION("""COMPUTED_VALUE"""),"Walkin")</f>
        <v>Walkin</v>
      </c>
      <c r="Y692" s="124" t="str">
        <f>IFERROR(__xludf.DUMMYFUNCTION("""COMPUTED_VALUE"""),"Indore")</f>
        <v>Indore</v>
      </c>
      <c r="Z692" s="124">
        <f>IFERROR(__xludf.DUMMYFUNCTION("""COMPUTED_VALUE"""),2.0)</f>
        <v>2</v>
      </c>
      <c r="AA692" s="124" t="str">
        <f>IFERROR(__xludf.DUMMYFUNCTION("""COMPUTED_VALUE"""),"Future Prospects")</f>
        <v>Future Prospects</v>
      </c>
      <c r="AB692" s="124" t="str">
        <f>IFERROR(__xludf.DUMMYFUNCTION("""COMPUTED_VALUE"""),"State PCS")</f>
        <v>State PCS</v>
      </c>
    </row>
    <row r="693">
      <c r="A693" s="126">
        <f>IFERROR(__xludf.DUMMYFUNCTION("""COMPUTED_VALUE"""),46056.0)</f>
        <v>46056</v>
      </c>
      <c r="B693" s="124" t="str">
        <f>IFERROR(__xludf.DUMMYFUNCTION("""COMPUTED_VALUE"""),"Walk-In")</f>
        <v>Walk-In</v>
      </c>
      <c r="C693" s="124" t="str">
        <f>IFERROR(__xludf.DUMMYFUNCTION("""COMPUTED_VALUE"""),"Delhi")</f>
        <v>Delhi</v>
      </c>
      <c r="D693" s="124" t="str">
        <f>IFERROR(__xludf.DUMMYFUNCTION("""COMPUTED_VALUE"""),"Primary_Walkin")</f>
        <v>Primary_Walkin</v>
      </c>
      <c r="E693" s="124">
        <f>IFERROR(__xludf.DUMMYFUNCTION("""COMPUTED_VALUE"""),1.0)</f>
        <v>1</v>
      </c>
      <c r="F693" s="124" t="str">
        <f>IFERROR(__xludf.DUMMYFUNCTION("""COMPUTED_VALUE"""),"Cold")</f>
        <v>Cold</v>
      </c>
      <c r="G693" s="124" t="str">
        <f>IFERROR(__xludf.DUMMYFUNCTION("""COMPUTED_VALUE"""),"GS Foundation")</f>
        <v>GS Foundation</v>
      </c>
      <c r="K693" s="124"/>
      <c r="L693" s="124"/>
      <c r="M693" s="124"/>
      <c r="N693" s="124"/>
      <c r="O693" s="124"/>
      <c r="T693" s="126">
        <f>IFERROR(__xludf.DUMMYFUNCTION("""COMPUTED_VALUE"""),46043.0)</f>
        <v>46043</v>
      </c>
      <c r="U693" s="124" t="str">
        <f>IFERROR(__xludf.DUMMYFUNCTION("""COMPUTED_VALUE"""),"Walk-Ins")</f>
        <v>Walk-Ins</v>
      </c>
      <c r="V693" s="124" t="str">
        <f>IFERROR(__xludf.DUMMYFUNCTION("""COMPUTED_VALUE"""),"Walkin")</f>
        <v>Walkin</v>
      </c>
      <c r="W693" s="124" t="str">
        <f>IFERROR(__xludf.DUMMYFUNCTION("""COMPUTED_VALUE"""),"Prayagraj")</f>
        <v>Prayagraj</v>
      </c>
      <c r="X693" s="124" t="str">
        <f>IFERROR(__xludf.DUMMYFUNCTION("""COMPUTED_VALUE"""),"Walkin")</f>
        <v>Walkin</v>
      </c>
      <c r="Y693" s="124" t="str">
        <f>IFERROR(__xludf.DUMMYFUNCTION("""COMPUTED_VALUE"""),"Prayagraj")</f>
        <v>Prayagraj</v>
      </c>
      <c r="Z693" s="124">
        <f>IFERROR(__xludf.DUMMYFUNCTION("""COMPUTED_VALUE"""),1.0)</f>
        <v>1</v>
      </c>
      <c r="AA693" s="124" t="str">
        <f>IFERROR(__xludf.DUMMYFUNCTION("""COMPUTED_VALUE"""),"Cold")</f>
        <v>Cold</v>
      </c>
      <c r="AB693" s="124" t="str">
        <f>IFERROR(__xludf.DUMMYFUNCTION("""COMPUTED_VALUE"""),"Test Series")</f>
        <v>Test Series</v>
      </c>
    </row>
    <row r="694">
      <c r="A694" s="126">
        <f>IFERROR(__xludf.DUMMYFUNCTION("""COMPUTED_VALUE"""),46091.0)</f>
        <v>46091</v>
      </c>
      <c r="B694" s="124" t="str">
        <f>IFERROR(__xludf.DUMMYFUNCTION("""COMPUTED_VALUE"""),"Walkin")</f>
        <v>Walkin</v>
      </c>
      <c r="C694" s="124" t="str">
        <f>IFERROR(__xludf.DUMMYFUNCTION("""COMPUTED_VALUE"""),"Delhi")</f>
        <v>Delhi</v>
      </c>
      <c r="D694" s="124" t="str">
        <f>IFERROR(__xludf.DUMMYFUNCTION("""COMPUTED_VALUE"""),"Primary_Walkin")</f>
        <v>Primary_Walkin</v>
      </c>
      <c r="E694" s="124">
        <f>IFERROR(__xludf.DUMMYFUNCTION("""COMPUTED_VALUE"""),4.0)</f>
        <v>4</v>
      </c>
      <c r="F694" s="124" t="str">
        <f>IFERROR(__xludf.DUMMYFUNCTION("""COMPUTED_VALUE"""),"Not Interested")</f>
        <v>Not Interested</v>
      </c>
      <c r="G694" s="124" t="str">
        <f>IFERROR(__xludf.DUMMYFUNCTION("""COMPUTED_VALUE"""),"GS Foundation")</f>
        <v>GS Foundation</v>
      </c>
      <c r="K694" s="124"/>
      <c r="L694" s="124"/>
      <c r="M694" s="124"/>
      <c r="N694" s="124"/>
      <c r="O694" s="124"/>
      <c r="T694" s="126">
        <f>IFERROR(__xludf.DUMMYFUNCTION("""COMPUTED_VALUE"""),46047.0)</f>
        <v>46047</v>
      </c>
      <c r="U694" s="124" t="str">
        <f>IFERROR(__xludf.DUMMYFUNCTION("""COMPUTED_VALUE"""),"Walk-Ins")</f>
        <v>Walk-Ins</v>
      </c>
      <c r="V694" s="124" t="str">
        <f>IFERROR(__xludf.DUMMYFUNCTION("""COMPUTED_VALUE"""),"Walkin")</f>
        <v>Walkin</v>
      </c>
      <c r="W694" s="124" t="str">
        <f>IFERROR(__xludf.DUMMYFUNCTION("""COMPUTED_VALUE"""),"Patna")</f>
        <v>Patna</v>
      </c>
      <c r="X694" s="124" t="str">
        <f>IFERROR(__xludf.DUMMYFUNCTION("""COMPUTED_VALUE"""),"Walkin")</f>
        <v>Walkin</v>
      </c>
      <c r="Y694" s="124" t="str">
        <f>IFERROR(__xludf.DUMMYFUNCTION("""COMPUTED_VALUE"""),"Patna")</f>
        <v>Patna</v>
      </c>
      <c r="Z694" s="124">
        <f>IFERROR(__xludf.DUMMYFUNCTION("""COMPUTED_VALUE"""),1.0)</f>
        <v>1</v>
      </c>
      <c r="AA694" s="124" t="str">
        <f>IFERROR(__xludf.DUMMYFUNCTION("""COMPUTED_VALUE"""),"Future Prospects")</f>
        <v>Future Prospects</v>
      </c>
      <c r="AB694" s="124" t="str">
        <f>IFERROR(__xludf.DUMMYFUNCTION("""COMPUTED_VALUE"""),"GS Foundation")</f>
        <v>GS Foundation</v>
      </c>
    </row>
    <row r="695">
      <c r="A695" s="126">
        <f>IFERROR(__xludf.DUMMYFUNCTION("""COMPUTED_VALUE"""),46108.0)</f>
        <v>46108</v>
      </c>
      <c r="B695" s="124" t="str">
        <f>IFERROR(__xludf.DUMMYFUNCTION("""COMPUTED_VALUE"""),"Walkin")</f>
        <v>Walkin</v>
      </c>
      <c r="C695" s="124" t="str">
        <f>IFERROR(__xludf.DUMMYFUNCTION("""COMPUTED_VALUE"""),"Delhi")</f>
        <v>Delhi</v>
      </c>
      <c r="D695" s="124" t="str">
        <f>IFERROR(__xludf.DUMMYFUNCTION("""COMPUTED_VALUE"""),"Primary_Walkin")</f>
        <v>Primary_Walkin</v>
      </c>
      <c r="E695" s="124">
        <f>IFERROR(__xludf.DUMMYFUNCTION("""COMPUTED_VALUE"""),1.0)</f>
        <v>1</v>
      </c>
      <c r="F695" s="124" t="str">
        <f>IFERROR(__xludf.DUMMYFUNCTION("""COMPUTED_VALUE"""),"Not Interested")</f>
        <v>Not Interested</v>
      </c>
      <c r="G695" s="124" t="str">
        <f>IFERROR(__xludf.DUMMYFUNCTION("""COMPUTED_VALUE"""),"State PCS")</f>
        <v>State PCS</v>
      </c>
      <c r="K695" s="124"/>
      <c r="L695" s="124"/>
      <c r="M695" s="124"/>
      <c r="N695" s="124"/>
      <c r="O695" s="124"/>
      <c r="T695" s="129">
        <f>IFERROR(__xludf.DUMMYFUNCTION("""COMPUTED_VALUE"""),46074.0)</f>
        <v>46074</v>
      </c>
      <c r="U695" s="124" t="str">
        <f>IFERROR(__xludf.DUMMYFUNCTION("""COMPUTED_VALUE"""),"Walk-Ins")</f>
        <v>Walk-Ins</v>
      </c>
      <c r="V695" s="124" t="str">
        <f>IFERROR(__xludf.DUMMYFUNCTION("""COMPUTED_VALUE"""),"Walkin")</f>
        <v>Walkin</v>
      </c>
      <c r="W695" s="124" t="str">
        <f>IFERROR(__xludf.DUMMYFUNCTION("""COMPUTED_VALUE"""),"Indore")</f>
        <v>Indore</v>
      </c>
      <c r="X695" s="124" t="str">
        <f>IFERROR(__xludf.DUMMYFUNCTION("""COMPUTED_VALUE"""),"Walkin")</f>
        <v>Walkin</v>
      </c>
      <c r="Y695" s="124" t="str">
        <f>IFERROR(__xludf.DUMMYFUNCTION("""COMPUTED_VALUE"""),"Indore")</f>
        <v>Indore</v>
      </c>
      <c r="Z695" s="124">
        <f>IFERROR(__xludf.DUMMYFUNCTION("""COMPUTED_VALUE"""),1.0)</f>
        <v>1</v>
      </c>
      <c r="AA695" s="124" t="str">
        <f>IFERROR(__xludf.DUMMYFUNCTION("""COMPUTED_VALUE"""),"Future Prospects")</f>
        <v>Future Prospects</v>
      </c>
      <c r="AB695" s="124" t="str">
        <f>IFERROR(__xludf.DUMMYFUNCTION("""COMPUTED_VALUE"""),"GS Foundation")</f>
        <v>GS Foundation</v>
      </c>
    </row>
    <row r="696">
      <c r="A696" s="126">
        <f>IFERROR(__xludf.DUMMYFUNCTION("""COMPUTED_VALUE"""),46102.0)</f>
        <v>46102</v>
      </c>
      <c r="B696" s="124" t="str">
        <f>IFERROR(__xludf.DUMMYFUNCTION("""COMPUTED_VALUE"""),"Walkin")</f>
        <v>Walkin</v>
      </c>
      <c r="C696" s="124" t="str">
        <f>IFERROR(__xludf.DUMMYFUNCTION("""COMPUTED_VALUE"""),"Delhi")</f>
        <v>Delhi</v>
      </c>
      <c r="D696" s="124" t="str">
        <f>IFERROR(__xludf.DUMMYFUNCTION("""COMPUTED_VALUE"""),"Primary_Walkin")</f>
        <v>Primary_Walkin</v>
      </c>
      <c r="E696" s="124">
        <f>IFERROR(__xludf.DUMMYFUNCTION("""COMPUTED_VALUE"""),2.0)</f>
        <v>2</v>
      </c>
      <c r="F696" s="124" t="str">
        <f>IFERROR(__xludf.DUMMYFUNCTION("""COMPUTED_VALUE"""),"Not Interested")</f>
        <v>Not Interested</v>
      </c>
      <c r="G696" s="124" t="str">
        <f>IFERROR(__xludf.DUMMYFUNCTION("""COMPUTED_VALUE"""),"GS Foundation")</f>
        <v>GS Foundation</v>
      </c>
      <c r="K696" s="124"/>
      <c r="L696" s="124"/>
      <c r="M696" s="124"/>
      <c r="N696" s="124"/>
      <c r="O696" s="124"/>
      <c r="T696" s="126">
        <f>IFERROR(__xludf.DUMMYFUNCTION("""COMPUTED_VALUE"""),46100.0)</f>
        <v>46100</v>
      </c>
      <c r="U696" s="124" t="str">
        <f>IFERROR(__xludf.DUMMYFUNCTION("""COMPUTED_VALUE"""),"Walk-Ins")</f>
        <v>Walk-Ins</v>
      </c>
      <c r="V696" s="124" t="str">
        <f>IFERROR(__xludf.DUMMYFUNCTION("""COMPUTED_VALUE"""),"Walkin")</f>
        <v>Walkin</v>
      </c>
      <c r="W696" s="124" t="str">
        <f>IFERROR(__xludf.DUMMYFUNCTION("""COMPUTED_VALUE"""),"Patna")</f>
        <v>Patna</v>
      </c>
      <c r="X696" s="124" t="str">
        <f>IFERROR(__xludf.DUMMYFUNCTION("""COMPUTED_VALUE"""),"Walkin")</f>
        <v>Walkin</v>
      </c>
      <c r="Y696" s="124" t="str">
        <f>IFERROR(__xludf.DUMMYFUNCTION("""COMPUTED_VALUE"""),"Patna")</f>
        <v>Patna</v>
      </c>
      <c r="Z696" s="124">
        <f>IFERROR(__xludf.DUMMYFUNCTION("""COMPUTED_VALUE"""),3.0)</f>
        <v>3</v>
      </c>
      <c r="AA696" s="124" t="str">
        <f>IFERROR(__xludf.DUMMYFUNCTION("""COMPUTED_VALUE"""),"Warm")</f>
        <v>Warm</v>
      </c>
      <c r="AB696" s="124" t="str">
        <f>IFERROR(__xludf.DUMMYFUNCTION("""COMPUTED_VALUE"""),"State PCS")</f>
        <v>State PCS</v>
      </c>
    </row>
    <row r="697">
      <c r="A697" s="129">
        <f>IFERROR(__xludf.DUMMYFUNCTION("""COMPUTED_VALUE"""),46104.0)</f>
        <v>46104</v>
      </c>
      <c r="B697" s="124" t="str">
        <f>IFERROR(__xludf.DUMMYFUNCTION("""COMPUTED_VALUE"""),"Walkin")</f>
        <v>Walkin</v>
      </c>
      <c r="C697" s="124" t="str">
        <f>IFERROR(__xludf.DUMMYFUNCTION("""COMPUTED_VALUE"""),"Delhi")</f>
        <v>Delhi</v>
      </c>
      <c r="D697" s="124" t="str">
        <f>IFERROR(__xludf.DUMMYFUNCTION("""COMPUTED_VALUE"""),"Primary_Walkin")</f>
        <v>Primary_Walkin</v>
      </c>
      <c r="E697" s="124">
        <f>IFERROR(__xludf.DUMMYFUNCTION("""COMPUTED_VALUE"""),2.0)</f>
        <v>2</v>
      </c>
      <c r="F697" s="124" t="str">
        <f>IFERROR(__xludf.DUMMYFUNCTION("""COMPUTED_VALUE"""),"Cold")</f>
        <v>Cold</v>
      </c>
      <c r="G697" s="124" t="str">
        <f>IFERROR(__xludf.DUMMYFUNCTION("""COMPUTED_VALUE"""),"GS Foundation")</f>
        <v>GS Foundation</v>
      </c>
      <c r="K697" s="124"/>
      <c r="L697" s="124"/>
      <c r="M697" s="124"/>
      <c r="N697" s="124"/>
      <c r="O697" s="124"/>
      <c r="T697" s="129">
        <f>IFERROR(__xludf.DUMMYFUNCTION("""COMPUTED_VALUE"""),46105.0)</f>
        <v>46105</v>
      </c>
      <c r="U697" s="124" t="str">
        <f>IFERROR(__xludf.DUMMYFUNCTION("""COMPUTED_VALUE"""),"Walk-Ins")</f>
        <v>Walk-Ins</v>
      </c>
      <c r="V697" s="124" t="str">
        <f>IFERROR(__xludf.DUMMYFUNCTION("""COMPUTED_VALUE"""),"Walkin")</f>
        <v>Walkin</v>
      </c>
      <c r="W697" s="124" t="str">
        <f>IFERROR(__xludf.DUMMYFUNCTION("""COMPUTED_VALUE"""),"Indore")</f>
        <v>Indore</v>
      </c>
      <c r="X697" s="124" t="str">
        <f>IFERROR(__xludf.DUMMYFUNCTION("""COMPUTED_VALUE"""),"Walkin")</f>
        <v>Walkin</v>
      </c>
      <c r="Y697" s="124" t="str">
        <f>IFERROR(__xludf.DUMMYFUNCTION("""COMPUTED_VALUE"""),"Indore")</f>
        <v>Indore</v>
      </c>
      <c r="Z697" s="124">
        <f>IFERROR(__xludf.DUMMYFUNCTION("""COMPUTED_VALUE"""),1.0)</f>
        <v>1</v>
      </c>
      <c r="AA697" s="124" t="str">
        <f>IFERROR(__xludf.DUMMYFUNCTION("""COMPUTED_VALUE"""),"Future Prospects")</f>
        <v>Future Prospects</v>
      </c>
      <c r="AB697" s="124" t="str">
        <f>IFERROR(__xludf.DUMMYFUNCTION("""COMPUTED_VALUE"""),"Other")</f>
        <v>Other</v>
      </c>
    </row>
    <row r="698">
      <c r="A698" s="126">
        <f>IFERROR(__xludf.DUMMYFUNCTION("""COMPUTED_VALUE"""),46105.0)</f>
        <v>46105</v>
      </c>
      <c r="B698" s="124" t="str">
        <f>IFERROR(__xludf.DUMMYFUNCTION("""COMPUTED_VALUE"""),"Walkin")</f>
        <v>Walkin</v>
      </c>
      <c r="C698" s="124" t="str">
        <f>IFERROR(__xludf.DUMMYFUNCTION("""COMPUTED_VALUE"""),"Delhi")</f>
        <v>Delhi</v>
      </c>
      <c r="D698" s="124" t="str">
        <f>IFERROR(__xludf.DUMMYFUNCTION("""COMPUTED_VALUE"""),"Primary_Walkin")</f>
        <v>Primary_Walkin</v>
      </c>
      <c r="E698" s="124">
        <f>IFERROR(__xludf.DUMMYFUNCTION("""COMPUTED_VALUE"""),4.0)</f>
        <v>4</v>
      </c>
      <c r="F698" s="124" t="str">
        <f>IFERROR(__xludf.DUMMYFUNCTION("""COMPUTED_VALUE"""),"Future Prospects")</f>
        <v>Future Prospects</v>
      </c>
      <c r="G698" s="124" t="str">
        <f>IFERROR(__xludf.DUMMYFUNCTION("""COMPUTED_VALUE"""),"GS Foundation")</f>
        <v>GS Foundation</v>
      </c>
      <c r="K698" s="124"/>
      <c r="L698" s="124"/>
      <c r="M698" s="124"/>
      <c r="N698" s="124"/>
      <c r="O698" s="124"/>
      <c r="T698" s="126">
        <f>IFERROR(__xludf.DUMMYFUNCTION("""COMPUTED_VALUE"""),46050.0)</f>
        <v>46050</v>
      </c>
      <c r="U698" s="124" t="str">
        <f>IFERROR(__xludf.DUMMYFUNCTION("""COMPUTED_VALUE"""),"Walk-Ins")</f>
        <v>Walk-Ins</v>
      </c>
      <c r="V698" s="124" t="str">
        <f>IFERROR(__xludf.DUMMYFUNCTION("""COMPUTED_VALUE"""),"Walkin")</f>
        <v>Walkin</v>
      </c>
      <c r="W698" s="124" t="str">
        <f>IFERROR(__xludf.DUMMYFUNCTION("""COMPUTED_VALUE"""),"Lucknow")</f>
        <v>Lucknow</v>
      </c>
      <c r="X698" s="124" t="str">
        <f>IFERROR(__xludf.DUMMYFUNCTION("""COMPUTED_VALUE"""),"Walkin")</f>
        <v>Walkin</v>
      </c>
      <c r="Y698" s="124" t="str">
        <f>IFERROR(__xludf.DUMMYFUNCTION("""COMPUTED_VALUE"""),"Lucknow")</f>
        <v>Lucknow</v>
      </c>
      <c r="Z698" s="124">
        <f>IFERROR(__xludf.DUMMYFUNCTION("""COMPUTED_VALUE"""),1.0)</f>
        <v>1</v>
      </c>
      <c r="AA698" s="124" t="str">
        <f>IFERROR(__xludf.DUMMYFUNCTION("""COMPUTED_VALUE"""),"Not Interested")</f>
        <v>Not Interested</v>
      </c>
      <c r="AB698" s="124" t="str">
        <f>IFERROR(__xludf.DUMMYFUNCTION("""COMPUTED_VALUE"""),"State PCS")</f>
        <v>State PCS</v>
      </c>
    </row>
    <row r="699">
      <c r="A699" s="126">
        <f>IFERROR(__xludf.DUMMYFUNCTION("""COMPUTED_VALUE"""),46065.0)</f>
        <v>46065</v>
      </c>
      <c r="B699" s="124" t="str">
        <f>IFERROR(__xludf.DUMMYFUNCTION("""COMPUTED_VALUE"""),"Walk-In")</f>
        <v>Walk-In</v>
      </c>
      <c r="C699" s="124" t="str">
        <f>IFERROR(__xludf.DUMMYFUNCTION("""COMPUTED_VALUE"""),"Delhi")</f>
        <v>Delhi</v>
      </c>
      <c r="D699" s="124" t="str">
        <f>IFERROR(__xludf.DUMMYFUNCTION("""COMPUTED_VALUE"""),"Primary_Walkin")</f>
        <v>Primary_Walkin</v>
      </c>
      <c r="E699" s="124">
        <f>IFERROR(__xludf.DUMMYFUNCTION("""COMPUTED_VALUE"""),1.0)</f>
        <v>1</v>
      </c>
      <c r="F699" s="124" t="str">
        <f>IFERROR(__xludf.DUMMYFUNCTION("""COMPUTED_VALUE"""),"Cold")</f>
        <v>Cold</v>
      </c>
      <c r="G699" s="124" t="str">
        <f>IFERROR(__xludf.DUMMYFUNCTION("""COMPUTED_VALUE"""),"GS Foundation")</f>
        <v>GS Foundation</v>
      </c>
      <c r="K699" s="124"/>
      <c r="L699" s="124"/>
      <c r="M699" s="124"/>
      <c r="N699" s="124"/>
      <c r="O699" s="124"/>
      <c r="T699" s="126">
        <f>IFERROR(__xludf.DUMMYFUNCTION("""COMPUTED_VALUE"""),46104.0)</f>
        <v>46104</v>
      </c>
      <c r="U699" s="124" t="str">
        <f>IFERROR(__xludf.DUMMYFUNCTION("""COMPUTED_VALUE"""),"Walk-Ins")</f>
        <v>Walk-Ins</v>
      </c>
      <c r="V699" s="124" t="str">
        <f>IFERROR(__xludf.DUMMYFUNCTION("""COMPUTED_VALUE"""),"Walkin")</f>
        <v>Walkin</v>
      </c>
      <c r="W699" s="124" t="str">
        <f>IFERROR(__xludf.DUMMYFUNCTION("""COMPUTED_VALUE"""),"Indore")</f>
        <v>Indore</v>
      </c>
      <c r="X699" s="124" t="str">
        <f>IFERROR(__xludf.DUMMYFUNCTION("""COMPUTED_VALUE"""),"Walkin")</f>
        <v>Walkin</v>
      </c>
      <c r="Y699" s="124" t="str">
        <f>IFERROR(__xludf.DUMMYFUNCTION("""COMPUTED_VALUE"""),"Indore")</f>
        <v>Indore</v>
      </c>
      <c r="Z699" s="124">
        <f>IFERROR(__xludf.DUMMYFUNCTION("""COMPUTED_VALUE"""),1.0)</f>
        <v>1</v>
      </c>
      <c r="AA699" s="124" t="str">
        <f>IFERROR(__xludf.DUMMYFUNCTION("""COMPUTED_VALUE"""),"Cold")</f>
        <v>Cold</v>
      </c>
      <c r="AB699" s="124" t="str">
        <f>IFERROR(__xludf.DUMMYFUNCTION("""COMPUTED_VALUE"""),"GS Foundation")</f>
        <v>GS Foundation</v>
      </c>
    </row>
    <row r="700">
      <c r="A700" s="126">
        <f>IFERROR(__xludf.DUMMYFUNCTION("""COMPUTED_VALUE"""),46062.0)</f>
        <v>46062</v>
      </c>
      <c r="B700" s="124" t="str">
        <f>IFERROR(__xludf.DUMMYFUNCTION("""COMPUTED_VALUE"""),"Walkin")</f>
        <v>Walkin</v>
      </c>
      <c r="C700" s="124" t="str">
        <f>IFERROR(__xludf.DUMMYFUNCTION("""COMPUTED_VALUE"""),"Delhi")</f>
        <v>Delhi</v>
      </c>
      <c r="D700" s="124" t="str">
        <f>IFERROR(__xludf.DUMMYFUNCTION("""COMPUTED_VALUE"""),"Primary_Walkin")</f>
        <v>Primary_Walkin</v>
      </c>
      <c r="E700" s="124">
        <f>IFERROR(__xludf.DUMMYFUNCTION("""COMPUTED_VALUE"""),3.0)</f>
        <v>3</v>
      </c>
      <c r="F700" s="124" t="str">
        <f>IFERROR(__xludf.DUMMYFUNCTION("""COMPUTED_VALUE"""),"Not Interested")</f>
        <v>Not Interested</v>
      </c>
      <c r="G700" s="124" t="str">
        <f>IFERROR(__xludf.DUMMYFUNCTION("""COMPUTED_VALUE"""),"GS Foundation")</f>
        <v>GS Foundation</v>
      </c>
      <c r="K700" s="124"/>
      <c r="L700" s="124"/>
      <c r="M700" s="124"/>
      <c r="N700" s="124"/>
      <c r="O700" s="124"/>
      <c r="T700" s="126">
        <f>IFERROR(__xludf.DUMMYFUNCTION("""COMPUTED_VALUE"""),46071.0)</f>
        <v>46071</v>
      </c>
      <c r="U700" s="124" t="str">
        <f>IFERROR(__xludf.DUMMYFUNCTION("""COMPUTED_VALUE"""),"Walk-Ins")</f>
        <v>Walk-Ins</v>
      </c>
      <c r="V700" s="124" t="str">
        <f>IFERROR(__xludf.DUMMYFUNCTION("""COMPUTED_VALUE"""),"Walkin")</f>
        <v>Walkin</v>
      </c>
      <c r="W700" s="124" t="str">
        <f>IFERROR(__xludf.DUMMYFUNCTION("""COMPUTED_VALUE"""),"Indore")</f>
        <v>Indore</v>
      </c>
      <c r="X700" s="124" t="str">
        <f>IFERROR(__xludf.DUMMYFUNCTION("""COMPUTED_VALUE"""),"Walkin")</f>
        <v>Walkin</v>
      </c>
      <c r="Y700" s="124" t="str">
        <f>IFERROR(__xludf.DUMMYFUNCTION("""COMPUTED_VALUE"""),"Indore")</f>
        <v>Indore</v>
      </c>
      <c r="Z700" s="124">
        <f>IFERROR(__xludf.DUMMYFUNCTION("""COMPUTED_VALUE"""),3.0)</f>
        <v>3</v>
      </c>
      <c r="AA700" s="124" t="str">
        <f>IFERROR(__xludf.DUMMYFUNCTION("""COMPUTED_VALUE"""),"Cold")</f>
        <v>Cold</v>
      </c>
      <c r="AB700" s="124" t="str">
        <f>IFERROR(__xludf.DUMMYFUNCTION("""COMPUTED_VALUE"""),"Test Series")</f>
        <v>Test Series</v>
      </c>
    </row>
    <row r="701">
      <c r="A701" s="126">
        <f>IFERROR(__xludf.DUMMYFUNCTION("""COMPUTED_VALUE"""),46096.0)</f>
        <v>46096</v>
      </c>
      <c r="B701" s="124" t="str">
        <f>IFERROR(__xludf.DUMMYFUNCTION("""COMPUTED_VALUE"""),"Walkin")</f>
        <v>Walkin</v>
      </c>
      <c r="C701" s="124" t="str">
        <f>IFERROR(__xludf.DUMMYFUNCTION("""COMPUTED_VALUE"""),"Delhi")</f>
        <v>Delhi</v>
      </c>
      <c r="D701" s="124" t="str">
        <f>IFERROR(__xludf.DUMMYFUNCTION("""COMPUTED_VALUE"""),"Primary_Walkin")</f>
        <v>Primary_Walkin</v>
      </c>
      <c r="E701" s="124">
        <f>IFERROR(__xludf.DUMMYFUNCTION("""COMPUTED_VALUE"""),1.0)</f>
        <v>1</v>
      </c>
      <c r="F701" s="124" t="str">
        <f>IFERROR(__xludf.DUMMYFUNCTION("""COMPUTED_VALUE"""),"Not Interested")</f>
        <v>Not Interested</v>
      </c>
      <c r="G701" s="124" t="str">
        <f>IFERROR(__xludf.DUMMYFUNCTION("""COMPUTED_VALUE"""),"State PCS")</f>
        <v>State PCS</v>
      </c>
      <c r="K701" s="124"/>
      <c r="L701" s="124"/>
      <c r="M701" s="124"/>
      <c r="N701" s="124"/>
      <c r="O701" s="124"/>
      <c r="T701" s="129">
        <f>IFERROR(__xludf.DUMMYFUNCTION("""COMPUTED_VALUE"""),46099.0)</f>
        <v>46099</v>
      </c>
      <c r="U701" s="124" t="str">
        <f>IFERROR(__xludf.DUMMYFUNCTION("""COMPUTED_VALUE"""),"Paid Ads")</f>
        <v>Paid Ads</v>
      </c>
      <c r="V701" s="124" t="str">
        <f>IFERROR(__xludf.DUMMYFUNCTION("""COMPUTED_VALUE"""),"Facebook")</f>
        <v>Facebook</v>
      </c>
      <c r="W701" s="124" t="str">
        <f>IFERROR(__xludf.DUMMYFUNCTION("""COMPUTED_VALUE"""),"LeadAd")</f>
        <v>LeadAd</v>
      </c>
      <c r="X701" s="124" t="str">
        <f>IFERROR(__xludf.DUMMYFUNCTION("""COMPUTED_VALUE"""),"meta")</f>
        <v>meta</v>
      </c>
      <c r="Y701" s="124"/>
      <c r="Z701" s="124">
        <f>IFERROR(__xludf.DUMMYFUNCTION("""COMPUTED_VALUE"""),17.0)</f>
        <v>17</v>
      </c>
      <c r="AA701" s="124" t="str">
        <f>IFERROR(__xludf.DUMMYFUNCTION("""COMPUTED_VALUE"""),"Cold")</f>
        <v>Cold</v>
      </c>
      <c r="AB701" s="124"/>
    </row>
    <row r="702">
      <c r="A702" s="129">
        <f>IFERROR(__xludf.DUMMYFUNCTION("""COMPUTED_VALUE"""),46054.0)</f>
        <v>46054</v>
      </c>
      <c r="B702" s="124" t="str">
        <f>IFERROR(__xludf.DUMMYFUNCTION("""COMPUTED_VALUE"""),"Walk-In")</f>
        <v>Walk-In</v>
      </c>
      <c r="C702" s="124" t="str">
        <f>IFERROR(__xludf.DUMMYFUNCTION("""COMPUTED_VALUE"""),"Delhi")</f>
        <v>Delhi</v>
      </c>
      <c r="D702" s="124" t="str">
        <f>IFERROR(__xludf.DUMMYFUNCTION("""COMPUTED_VALUE"""),"Primary_Walkin")</f>
        <v>Primary_Walkin</v>
      </c>
      <c r="E702" s="124">
        <f>IFERROR(__xludf.DUMMYFUNCTION("""COMPUTED_VALUE"""),2.0)</f>
        <v>2</v>
      </c>
      <c r="F702" s="124" t="str">
        <f>IFERROR(__xludf.DUMMYFUNCTION("""COMPUTED_VALUE"""),"Cold")</f>
        <v>Cold</v>
      </c>
      <c r="G702" s="124" t="str">
        <f>IFERROR(__xludf.DUMMYFUNCTION("""COMPUTED_VALUE"""),"GS Foundation")</f>
        <v>GS Foundation</v>
      </c>
      <c r="K702" s="124"/>
      <c r="L702" s="124"/>
      <c r="M702" s="124"/>
      <c r="N702" s="124"/>
      <c r="O702" s="124"/>
      <c r="T702" s="126">
        <f>IFERROR(__xludf.DUMMYFUNCTION("""COMPUTED_VALUE"""),46092.0)</f>
        <v>46092</v>
      </c>
      <c r="U702" s="124" t="str">
        <f>IFERROR(__xludf.DUMMYFUNCTION("""COMPUTED_VALUE"""),"Walk-Ins")</f>
        <v>Walk-Ins</v>
      </c>
      <c r="V702" s="124" t="str">
        <f>IFERROR(__xludf.DUMMYFUNCTION("""COMPUTED_VALUE"""),"Walkin")</f>
        <v>Walkin</v>
      </c>
      <c r="W702" s="124" t="str">
        <f>IFERROR(__xludf.DUMMYFUNCTION("""COMPUTED_VALUE"""),"Patna")</f>
        <v>Patna</v>
      </c>
      <c r="X702" s="124" t="str">
        <f>IFERROR(__xludf.DUMMYFUNCTION("""COMPUTED_VALUE"""),"Walkin")</f>
        <v>Walkin</v>
      </c>
      <c r="Y702" s="124" t="str">
        <f>IFERROR(__xludf.DUMMYFUNCTION("""COMPUTED_VALUE"""),"Patna")</f>
        <v>Patna</v>
      </c>
      <c r="Z702" s="124">
        <f>IFERROR(__xludf.DUMMYFUNCTION("""COMPUTED_VALUE"""),2.0)</f>
        <v>2</v>
      </c>
      <c r="AA702" s="124" t="str">
        <f>IFERROR(__xludf.DUMMYFUNCTION("""COMPUTED_VALUE"""),"Cold")</f>
        <v>Cold</v>
      </c>
      <c r="AB702" s="124" t="str">
        <f>IFERROR(__xludf.DUMMYFUNCTION("""COMPUTED_VALUE"""),"Other")</f>
        <v>Other</v>
      </c>
    </row>
    <row r="703">
      <c r="A703" s="126">
        <f>IFERROR(__xludf.DUMMYFUNCTION("""COMPUTED_VALUE"""),46043.0)</f>
        <v>46043</v>
      </c>
      <c r="B703" s="124" t="str">
        <f>IFERROR(__xludf.DUMMYFUNCTION("""COMPUTED_VALUE"""),"Walk-In")</f>
        <v>Walk-In</v>
      </c>
      <c r="C703" s="124" t="str">
        <f>IFERROR(__xludf.DUMMYFUNCTION("""COMPUTED_VALUE"""),"Delhi")</f>
        <v>Delhi</v>
      </c>
      <c r="D703" s="124" t="str">
        <f>IFERROR(__xludf.DUMMYFUNCTION("""COMPUTED_VALUE"""),"Primary_Walkin")</f>
        <v>Primary_Walkin</v>
      </c>
      <c r="E703" s="124">
        <f>IFERROR(__xludf.DUMMYFUNCTION("""COMPUTED_VALUE"""),1.0)</f>
        <v>1</v>
      </c>
      <c r="F703" s="124" t="str">
        <f>IFERROR(__xludf.DUMMYFUNCTION("""COMPUTED_VALUE"""),"Enrolled")</f>
        <v>Enrolled</v>
      </c>
      <c r="G703" s="124" t="str">
        <f>IFERROR(__xludf.DUMMYFUNCTION("""COMPUTED_VALUE"""),"Other")</f>
        <v>Other</v>
      </c>
      <c r="K703" s="124"/>
      <c r="L703" s="124"/>
      <c r="M703" s="124"/>
      <c r="N703" s="124"/>
      <c r="O703" s="124"/>
      <c r="T703" s="126">
        <f>IFERROR(__xludf.DUMMYFUNCTION("""COMPUTED_VALUE"""),46112.0)</f>
        <v>46112</v>
      </c>
      <c r="U703" s="124" t="str">
        <f>IFERROR(__xludf.DUMMYFUNCTION("""COMPUTED_VALUE"""),"Walk-Ins")</f>
        <v>Walk-Ins</v>
      </c>
      <c r="V703" s="124" t="str">
        <f>IFERROR(__xludf.DUMMYFUNCTION("""COMPUTED_VALUE"""),"Walkin")</f>
        <v>Walkin</v>
      </c>
      <c r="W703" s="124" t="str">
        <f>IFERROR(__xludf.DUMMYFUNCTION("""COMPUTED_VALUE"""),"Indore")</f>
        <v>Indore</v>
      </c>
      <c r="X703" s="124" t="str">
        <f>IFERROR(__xludf.DUMMYFUNCTION("""COMPUTED_VALUE"""),"Walkin")</f>
        <v>Walkin</v>
      </c>
      <c r="Y703" s="124" t="str">
        <f>IFERROR(__xludf.DUMMYFUNCTION("""COMPUTED_VALUE"""),"Indore")</f>
        <v>Indore</v>
      </c>
      <c r="Z703" s="124">
        <f>IFERROR(__xludf.DUMMYFUNCTION("""COMPUTED_VALUE"""),2.0)</f>
        <v>2</v>
      </c>
      <c r="AA703" s="124" t="str">
        <f>IFERROR(__xludf.DUMMYFUNCTION("""COMPUTED_VALUE"""),"Future Prospects")</f>
        <v>Future Prospects</v>
      </c>
      <c r="AB703" s="124" t="str">
        <f>IFERROR(__xludf.DUMMYFUNCTION("""COMPUTED_VALUE"""),"State PCS")</f>
        <v>State PCS</v>
      </c>
    </row>
    <row r="704">
      <c r="A704" s="129">
        <f>IFERROR(__xludf.DUMMYFUNCTION("""COMPUTED_VALUE"""),46079.0)</f>
        <v>46079</v>
      </c>
      <c r="B704" s="124" t="str">
        <f>IFERROR(__xludf.DUMMYFUNCTION("""COMPUTED_VALUE"""),"external leads")</f>
        <v>external leads</v>
      </c>
      <c r="C704" s="124" t="str">
        <f>IFERROR(__xludf.DUMMYFUNCTION("""COMPUTED_VALUE"""),"Delhi")</f>
        <v>Delhi</v>
      </c>
      <c r="D704" s="124" t="str">
        <f>IFERROR(__xludf.DUMMYFUNCTION("""COMPUTED_VALUE"""),"Secondary_Walkin")</f>
        <v>Secondary_Walkin</v>
      </c>
      <c r="E704" s="124">
        <f>IFERROR(__xludf.DUMMYFUNCTION("""COMPUTED_VALUE"""),1.0)</f>
        <v>1</v>
      </c>
      <c r="F704" s="124" t="str">
        <f>IFERROR(__xludf.DUMMYFUNCTION("""COMPUTED_VALUE"""),"Future Prospects")</f>
        <v>Future Prospects</v>
      </c>
      <c r="G704" s="124" t="str">
        <f>IFERROR(__xludf.DUMMYFUNCTION("""COMPUTED_VALUE"""),"GS Foundation")</f>
        <v>GS Foundation</v>
      </c>
      <c r="K704" s="124"/>
      <c r="L704" s="124"/>
      <c r="M704" s="124"/>
      <c r="N704" s="124"/>
      <c r="O704" s="124"/>
      <c r="T704" s="126">
        <f>IFERROR(__xludf.DUMMYFUNCTION("""COMPUTED_VALUE"""),46074.0)</f>
        <v>46074</v>
      </c>
      <c r="U704" s="124" t="str">
        <f>IFERROR(__xludf.DUMMYFUNCTION("""COMPUTED_VALUE"""),"Walk-Ins")</f>
        <v>Walk-Ins</v>
      </c>
      <c r="V704" s="124" t="str">
        <f>IFERROR(__xludf.DUMMYFUNCTION("""COMPUTED_VALUE"""),"Walkin")</f>
        <v>Walkin</v>
      </c>
      <c r="W704" s="124" t="str">
        <f>IFERROR(__xludf.DUMMYFUNCTION("""COMPUTED_VALUE"""),"Indore")</f>
        <v>Indore</v>
      </c>
      <c r="X704" s="124" t="str">
        <f>IFERROR(__xludf.DUMMYFUNCTION("""COMPUTED_VALUE"""),"Walkin")</f>
        <v>Walkin</v>
      </c>
      <c r="Y704" s="124" t="str">
        <f>IFERROR(__xludf.DUMMYFUNCTION("""COMPUTED_VALUE"""),"Indore")</f>
        <v>Indore</v>
      </c>
      <c r="Z704" s="124">
        <f>IFERROR(__xludf.DUMMYFUNCTION("""COMPUTED_VALUE"""),2.0)</f>
        <v>2</v>
      </c>
      <c r="AA704" s="124" t="str">
        <f>IFERROR(__xludf.DUMMYFUNCTION("""COMPUTED_VALUE"""),"Not Interested")</f>
        <v>Not Interested</v>
      </c>
      <c r="AB704" s="124" t="str">
        <f>IFERROR(__xludf.DUMMYFUNCTION("""COMPUTED_VALUE"""),"GS Foundation")</f>
        <v>GS Foundation</v>
      </c>
    </row>
    <row r="705">
      <c r="A705" s="126">
        <f>IFERROR(__xludf.DUMMYFUNCTION("""COMPUTED_VALUE"""),46112.0)</f>
        <v>46112</v>
      </c>
      <c r="B705" s="124" t="str">
        <f>IFERROR(__xludf.DUMMYFUNCTION("""COMPUTED_VALUE"""),"events")</f>
        <v>events</v>
      </c>
      <c r="C705" s="124" t="str">
        <f>IFERROR(__xludf.DUMMYFUNCTION("""COMPUTED_VALUE"""),"Delhi")</f>
        <v>Delhi</v>
      </c>
      <c r="D705" s="124" t="str">
        <f>IFERROR(__xludf.DUMMYFUNCTION("""COMPUTED_VALUE"""),"Secondary_Walkin")</f>
        <v>Secondary_Walkin</v>
      </c>
      <c r="E705" s="124">
        <f>IFERROR(__xludf.DUMMYFUNCTION("""COMPUTED_VALUE"""),1.0)</f>
        <v>1</v>
      </c>
      <c r="F705" s="124" t="str">
        <f>IFERROR(__xludf.DUMMYFUNCTION("""COMPUTED_VALUE"""),"Future Prospects")</f>
        <v>Future Prospects</v>
      </c>
      <c r="G705" s="124" t="str">
        <f>IFERROR(__xludf.DUMMYFUNCTION("""COMPUTED_VALUE"""),"GS Foundation")</f>
        <v>GS Foundation</v>
      </c>
      <c r="K705" s="124"/>
      <c r="L705" s="124"/>
      <c r="M705" s="124"/>
      <c r="N705" s="124"/>
      <c r="O705" s="124"/>
      <c r="T705" s="129">
        <f>IFERROR(__xludf.DUMMYFUNCTION("""COMPUTED_VALUE"""),46043.0)</f>
        <v>46043</v>
      </c>
      <c r="U705" s="124" t="str">
        <f>IFERROR(__xludf.DUMMYFUNCTION("""COMPUTED_VALUE"""),"Walk-Ins")</f>
        <v>Walk-Ins</v>
      </c>
      <c r="V705" s="124" t="str">
        <f>IFERROR(__xludf.DUMMYFUNCTION("""COMPUTED_VALUE"""),"Walkin")</f>
        <v>Walkin</v>
      </c>
      <c r="W705" s="124" t="str">
        <f>IFERROR(__xludf.DUMMYFUNCTION("""COMPUTED_VALUE"""),"Indore")</f>
        <v>Indore</v>
      </c>
      <c r="X705" s="124" t="str">
        <f>IFERROR(__xludf.DUMMYFUNCTION("""COMPUTED_VALUE"""),"Walkin")</f>
        <v>Walkin</v>
      </c>
      <c r="Y705" s="124" t="str">
        <f>IFERROR(__xludf.DUMMYFUNCTION("""COMPUTED_VALUE"""),"Indore")</f>
        <v>Indore</v>
      </c>
      <c r="Z705" s="124">
        <f>IFERROR(__xludf.DUMMYFUNCTION("""COMPUTED_VALUE"""),2.0)</f>
        <v>2</v>
      </c>
      <c r="AA705" s="124" t="str">
        <f>IFERROR(__xludf.DUMMYFUNCTION("""COMPUTED_VALUE"""),"Cold")</f>
        <v>Cold</v>
      </c>
      <c r="AB705" s="124" t="str">
        <f>IFERROR(__xludf.DUMMYFUNCTION("""COMPUTED_VALUE"""),"Test Series")</f>
        <v>Test Series</v>
      </c>
    </row>
    <row r="706">
      <c r="A706" s="126">
        <f>IFERROR(__xludf.DUMMYFUNCTION("""COMPUTED_VALUE"""),46052.0)</f>
        <v>46052</v>
      </c>
      <c r="B706" s="124" t="str">
        <f>IFERROR(__xludf.DUMMYFUNCTION("""COMPUTED_VALUE"""),"Walkin")</f>
        <v>Walkin</v>
      </c>
      <c r="C706" s="124" t="str">
        <f>IFERROR(__xludf.DUMMYFUNCTION("""COMPUTED_VALUE"""),"Delhi")</f>
        <v>Delhi</v>
      </c>
      <c r="D706" s="124" t="str">
        <f>IFERROR(__xludf.DUMMYFUNCTION("""COMPUTED_VALUE"""),"Primary_Walkin")</f>
        <v>Primary_Walkin</v>
      </c>
      <c r="E706" s="124">
        <f>IFERROR(__xludf.DUMMYFUNCTION("""COMPUTED_VALUE"""),1.0)</f>
        <v>1</v>
      </c>
      <c r="F706" s="124" t="str">
        <f>IFERROR(__xludf.DUMMYFUNCTION("""COMPUTED_VALUE"""),"Not Interested")</f>
        <v>Not Interested</v>
      </c>
      <c r="G706" s="124" t="str">
        <f>IFERROR(__xludf.DUMMYFUNCTION("""COMPUTED_VALUE"""),"State PCS")</f>
        <v>State PCS</v>
      </c>
      <c r="K706" s="124"/>
      <c r="L706" s="124"/>
      <c r="M706" s="124"/>
      <c r="N706" s="124"/>
      <c r="O706" s="124"/>
      <c r="T706" s="129">
        <f>IFERROR(__xludf.DUMMYFUNCTION("""COMPUTED_VALUE"""),46110.0)</f>
        <v>46110</v>
      </c>
      <c r="U706" s="124" t="str">
        <f>IFERROR(__xludf.DUMMYFUNCTION("""COMPUTED_VALUE"""),"Walk-Ins")</f>
        <v>Walk-Ins</v>
      </c>
      <c r="V706" s="124" t="str">
        <f>IFERROR(__xludf.DUMMYFUNCTION("""COMPUTED_VALUE"""),"Walkin")</f>
        <v>Walkin</v>
      </c>
      <c r="W706" s="124" t="str">
        <f>IFERROR(__xludf.DUMMYFUNCTION("""COMPUTED_VALUE"""),"Prayagraj")</f>
        <v>Prayagraj</v>
      </c>
      <c r="X706" s="124" t="str">
        <f>IFERROR(__xludf.DUMMYFUNCTION("""COMPUTED_VALUE"""),"Walkin")</f>
        <v>Walkin</v>
      </c>
      <c r="Y706" s="124" t="str">
        <f>IFERROR(__xludf.DUMMYFUNCTION("""COMPUTED_VALUE"""),"Prayagraj")</f>
        <v>Prayagraj</v>
      </c>
      <c r="Z706" s="124">
        <f>IFERROR(__xludf.DUMMYFUNCTION("""COMPUTED_VALUE"""),1.0)</f>
        <v>1</v>
      </c>
      <c r="AA706" s="124" t="str">
        <f>IFERROR(__xludf.DUMMYFUNCTION("""COMPUTED_VALUE"""),"Future Prospects")</f>
        <v>Future Prospects</v>
      </c>
      <c r="AB706" s="124" t="str">
        <f>IFERROR(__xludf.DUMMYFUNCTION("""COMPUTED_VALUE"""),"State PCS")</f>
        <v>State PCS</v>
      </c>
    </row>
    <row r="707">
      <c r="A707" s="126">
        <f>IFERROR(__xludf.DUMMYFUNCTION("""COMPUTED_VALUE"""),46064.0)</f>
        <v>46064</v>
      </c>
      <c r="B707" s="124" t="str">
        <f>IFERROR(__xludf.DUMMYFUNCTION("""COMPUTED_VALUE"""),"Walkin")</f>
        <v>Walkin</v>
      </c>
      <c r="C707" s="124" t="str">
        <f>IFERROR(__xludf.DUMMYFUNCTION("""COMPUTED_VALUE"""),"Delhi")</f>
        <v>Delhi</v>
      </c>
      <c r="D707" s="124" t="str">
        <f>IFERROR(__xludf.DUMMYFUNCTION("""COMPUTED_VALUE"""),"Primary_Walkin")</f>
        <v>Primary_Walkin</v>
      </c>
      <c r="E707" s="124">
        <f>IFERROR(__xludf.DUMMYFUNCTION("""COMPUTED_VALUE"""),1.0)</f>
        <v>1</v>
      </c>
      <c r="F707" s="124" t="str">
        <f>IFERROR(__xludf.DUMMYFUNCTION("""COMPUTED_VALUE"""),"Enrolled")</f>
        <v>Enrolled</v>
      </c>
      <c r="G707" s="124" t="str">
        <f>IFERROR(__xludf.DUMMYFUNCTION("""COMPUTED_VALUE"""),"GS Foundation")</f>
        <v>GS Foundation</v>
      </c>
      <c r="K707" s="124"/>
      <c r="L707" s="124"/>
      <c r="M707" s="124"/>
      <c r="N707" s="124"/>
      <c r="O707" s="124"/>
      <c r="T707" s="126">
        <f>IFERROR(__xludf.DUMMYFUNCTION("""COMPUTED_VALUE"""),46077.0)</f>
        <v>46077</v>
      </c>
      <c r="U707" s="124" t="str">
        <f>IFERROR(__xludf.DUMMYFUNCTION("""COMPUTED_VALUE"""),"Walk-Ins")</f>
        <v>Walk-Ins</v>
      </c>
      <c r="V707" s="124" t="str">
        <f>IFERROR(__xludf.DUMMYFUNCTION("""COMPUTED_VALUE"""),"Walkin")</f>
        <v>Walkin</v>
      </c>
      <c r="W707" s="124" t="str">
        <f>IFERROR(__xludf.DUMMYFUNCTION("""COMPUTED_VALUE"""),"Prayagraj")</f>
        <v>Prayagraj</v>
      </c>
      <c r="X707" s="124" t="str">
        <f>IFERROR(__xludf.DUMMYFUNCTION("""COMPUTED_VALUE"""),"Walkin")</f>
        <v>Walkin</v>
      </c>
      <c r="Y707" s="124" t="str">
        <f>IFERROR(__xludf.DUMMYFUNCTION("""COMPUTED_VALUE"""),"Prayagraj")</f>
        <v>Prayagraj</v>
      </c>
      <c r="Z707" s="124">
        <f>IFERROR(__xludf.DUMMYFUNCTION("""COMPUTED_VALUE"""),1.0)</f>
        <v>1</v>
      </c>
      <c r="AA707" s="124" t="str">
        <f>IFERROR(__xludf.DUMMYFUNCTION("""COMPUTED_VALUE"""),"Cold")</f>
        <v>Cold</v>
      </c>
      <c r="AB707" s="124" t="str">
        <f>IFERROR(__xludf.DUMMYFUNCTION("""COMPUTED_VALUE"""),"Optionals")</f>
        <v>Optionals</v>
      </c>
    </row>
    <row r="708">
      <c r="A708" s="129">
        <f>IFERROR(__xludf.DUMMYFUNCTION("""COMPUTED_VALUE"""),46046.0)</f>
        <v>46046</v>
      </c>
      <c r="B708" s="124" t="str">
        <f>IFERROR(__xludf.DUMMYFUNCTION("""COMPUTED_VALUE"""),"facebook")</f>
        <v>facebook</v>
      </c>
      <c r="C708" s="124" t="str">
        <f>IFERROR(__xludf.DUMMYFUNCTION("""COMPUTED_VALUE"""),"Delhi")</f>
        <v>Delhi</v>
      </c>
      <c r="D708" s="124" t="str">
        <f>IFERROR(__xludf.DUMMYFUNCTION("""COMPUTED_VALUE"""),"Secondary_Walkin")</f>
        <v>Secondary_Walkin</v>
      </c>
      <c r="E708" s="124">
        <f>IFERROR(__xludf.DUMMYFUNCTION("""COMPUTED_VALUE"""),1.0)</f>
        <v>1</v>
      </c>
      <c r="F708" s="124" t="str">
        <f>IFERROR(__xludf.DUMMYFUNCTION("""COMPUTED_VALUE"""),"Not Interested")</f>
        <v>Not Interested</v>
      </c>
      <c r="G708" s="124" t="str">
        <f>IFERROR(__xludf.DUMMYFUNCTION("""COMPUTED_VALUE"""),"Optionals")</f>
        <v>Optionals</v>
      </c>
      <c r="K708" s="124"/>
      <c r="L708" s="124"/>
      <c r="M708" s="124"/>
      <c r="N708" s="124"/>
      <c r="O708" s="124"/>
      <c r="T708" s="126">
        <f>IFERROR(__xludf.DUMMYFUNCTION("""COMPUTED_VALUE"""),46102.0)</f>
        <v>46102</v>
      </c>
      <c r="U708" s="124" t="str">
        <f>IFERROR(__xludf.DUMMYFUNCTION("""COMPUTED_VALUE"""),"Walk-Ins")</f>
        <v>Walk-Ins</v>
      </c>
      <c r="V708" s="124" t="str">
        <f>IFERROR(__xludf.DUMMYFUNCTION("""COMPUTED_VALUE"""),"Walkin")</f>
        <v>Walkin</v>
      </c>
      <c r="W708" s="124" t="str">
        <f>IFERROR(__xludf.DUMMYFUNCTION("""COMPUTED_VALUE"""),"Prayagraj")</f>
        <v>Prayagraj</v>
      </c>
      <c r="X708" s="124" t="str">
        <f>IFERROR(__xludf.DUMMYFUNCTION("""COMPUTED_VALUE"""),"Walkin")</f>
        <v>Walkin</v>
      </c>
      <c r="Y708" s="124" t="str">
        <f>IFERROR(__xludf.DUMMYFUNCTION("""COMPUTED_VALUE"""),"Prayagraj")</f>
        <v>Prayagraj</v>
      </c>
      <c r="Z708" s="124">
        <f>IFERROR(__xludf.DUMMYFUNCTION("""COMPUTED_VALUE"""),2.0)</f>
        <v>2</v>
      </c>
      <c r="AA708" s="124" t="str">
        <f>IFERROR(__xludf.DUMMYFUNCTION("""COMPUTED_VALUE"""),"Future Prospects")</f>
        <v>Future Prospects</v>
      </c>
      <c r="AB708" s="124" t="str">
        <f>IFERROR(__xludf.DUMMYFUNCTION("""COMPUTED_VALUE"""),"Mentorship")</f>
        <v>Mentorship</v>
      </c>
    </row>
    <row r="709">
      <c r="A709" s="126">
        <f>IFERROR(__xludf.DUMMYFUNCTION("""COMPUTED_VALUE"""),46104.0)</f>
        <v>46104</v>
      </c>
      <c r="B709" s="124" t="str">
        <f>IFERROR(__xludf.DUMMYFUNCTION("""COMPUTED_VALUE"""),"Walkin")</f>
        <v>Walkin</v>
      </c>
      <c r="C709" s="124" t="str">
        <f>IFERROR(__xludf.DUMMYFUNCTION("""COMPUTED_VALUE"""),"Delhi")</f>
        <v>Delhi</v>
      </c>
      <c r="D709" s="124" t="str">
        <f>IFERROR(__xludf.DUMMYFUNCTION("""COMPUTED_VALUE"""),"Primary_Walkin")</f>
        <v>Primary_Walkin</v>
      </c>
      <c r="E709" s="124">
        <f>IFERROR(__xludf.DUMMYFUNCTION("""COMPUTED_VALUE"""),2.0)</f>
        <v>2</v>
      </c>
      <c r="F709" s="124" t="str">
        <f>IFERROR(__xludf.DUMMYFUNCTION("""COMPUTED_VALUE"""),"Future Prospects")</f>
        <v>Future Prospects</v>
      </c>
      <c r="G709" s="124" t="str">
        <f>IFERROR(__xludf.DUMMYFUNCTION("""COMPUTED_VALUE"""),"GS Foundation")</f>
        <v>GS Foundation</v>
      </c>
      <c r="K709" s="124"/>
      <c r="L709" s="124"/>
      <c r="M709" s="124"/>
      <c r="N709" s="124"/>
      <c r="O709" s="124"/>
      <c r="T709" s="126">
        <f>IFERROR(__xludf.DUMMYFUNCTION("""COMPUTED_VALUE"""),46106.0)</f>
        <v>46106</v>
      </c>
      <c r="U709" s="124" t="str">
        <f>IFERROR(__xludf.DUMMYFUNCTION("""COMPUTED_VALUE"""),"Walk-Ins")</f>
        <v>Walk-Ins</v>
      </c>
      <c r="V709" s="124" t="str">
        <f>IFERROR(__xludf.DUMMYFUNCTION("""COMPUTED_VALUE"""),"Walkin")</f>
        <v>Walkin</v>
      </c>
      <c r="W709" s="124" t="str">
        <f>IFERROR(__xludf.DUMMYFUNCTION("""COMPUTED_VALUE"""),"Prayagraj")</f>
        <v>Prayagraj</v>
      </c>
      <c r="X709" s="124" t="str">
        <f>IFERROR(__xludf.DUMMYFUNCTION("""COMPUTED_VALUE"""),"Walkin")</f>
        <v>Walkin</v>
      </c>
      <c r="Y709" s="124" t="str">
        <f>IFERROR(__xludf.DUMMYFUNCTION("""COMPUTED_VALUE"""),"Prayagraj")</f>
        <v>Prayagraj</v>
      </c>
      <c r="Z709" s="124">
        <f>IFERROR(__xludf.DUMMYFUNCTION("""COMPUTED_VALUE"""),3.0)</f>
        <v>3</v>
      </c>
      <c r="AA709" s="124" t="str">
        <f>IFERROR(__xludf.DUMMYFUNCTION("""COMPUTED_VALUE"""),"Enrolled")</f>
        <v>Enrolled</v>
      </c>
      <c r="AB709" s="124" t="str">
        <f>IFERROR(__xludf.DUMMYFUNCTION("""COMPUTED_VALUE"""),"GS Foundation")</f>
        <v>GS Foundation</v>
      </c>
    </row>
    <row r="710">
      <c r="A710" s="126">
        <f>IFERROR(__xludf.DUMMYFUNCTION("""COMPUTED_VALUE"""),46059.0)</f>
        <v>46059</v>
      </c>
      <c r="B710" s="124" t="str">
        <f>IFERROR(__xludf.DUMMYFUNCTION("""COMPUTED_VALUE"""),"external leads")</f>
        <v>external leads</v>
      </c>
      <c r="C710" s="124" t="str">
        <f>IFERROR(__xludf.DUMMYFUNCTION("""COMPUTED_VALUE"""),"Delhi")</f>
        <v>Delhi</v>
      </c>
      <c r="D710" s="124" t="str">
        <f>IFERROR(__xludf.DUMMYFUNCTION("""COMPUTED_VALUE"""),"Secondary_Walkin")</f>
        <v>Secondary_Walkin</v>
      </c>
      <c r="E710" s="124">
        <f>IFERROR(__xludf.DUMMYFUNCTION("""COMPUTED_VALUE"""),1.0)</f>
        <v>1</v>
      </c>
      <c r="F710" s="124" t="str">
        <f>IFERROR(__xludf.DUMMYFUNCTION("""COMPUTED_VALUE"""),"Not Interested")</f>
        <v>Not Interested</v>
      </c>
      <c r="G710" s="124" t="str">
        <f>IFERROR(__xludf.DUMMYFUNCTION("""COMPUTED_VALUE"""),"GS Foundation")</f>
        <v>GS Foundation</v>
      </c>
      <c r="K710" s="124"/>
      <c r="L710" s="124"/>
      <c r="M710" s="124"/>
      <c r="N710" s="124"/>
      <c r="O710" s="124"/>
      <c r="T710" s="126">
        <f>IFERROR(__xludf.DUMMYFUNCTION("""COMPUTED_VALUE"""),46069.0)</f>
        <v>46069</v>
      </c>
      <c r="U710" s="124" t="str">
        <f>IFERROR(__xludf.DUMMYFUNCTION("""COMPUTED_VALUE"""),"Walk-Ins")</f>
        <v>Walk-Ins</v>
      </c>
      <c r="V710" s="124" t="str">
        <f>IFERROR(__xludf.DUMMYFUNCTION("""COMPUTED_VALUE"""),"Walkin")</f>
        <v>Walkin</v>
      </c>
      <c r="W710" s="124" t="str">
        <f>IFERROR(__xludf.DUMMYFUNCTION("""COMPUTED_VALUE"""),"Patna")</f>
        <v>Patna</v>
      </c>
      <c r="X710" s="124" t="str">
        <f>IFERROR(__xludf.DUMMYFUNCTION("""COMPUTED_VALUE"""),"Walkin")</f>
        <v>Walkin</v>
      </c>
      <c r="Y710" s="124" t="str">
        <f>IFERROR(__xludf.DUMMYFUNCTION("""COMPUTED_VALUE"""),"Patna")</f>
        <v>Patna</v>
      </c>
      <c r="Z710" s="124">
        <f>IFERROR(__xludf.DUMMYFUNCTION("""COMPUTED_VALUE"""),6.0)</f>
        <v>6</v>
      </c>
      <c r="AA710" s="124" t="str">
        <f>IFERROR(__xludf.DUMMYFUNCTION("""COMPUTED_VALUE"""),"Cold")</f>
        <v>Cold</v>
      </c>
      <c r="AB710" s="124" t="str">
        <f>IFERROR(__xludf.DUMMYFUNCTION("""COMPUTED_VALUE"""),"State PCS")</f>
        <v>State PCS</v>
      </c>
    </row>
    <row r="711">
      <c r="A711" s="126">
        <f>IFERROR(__xludf.DUMMYFUNCTION("""COMPUTED_VALUE"""),46095.0)</f>
        <v>46095</v>
      </c>
      <c r="B711" s="124" t="str">
        <f>IFERROR(__xludf.DUMMYFUNCTION("""COMPUTED_VALUE"""),"Walk-In")</f>
        <v>Walk-In</v>
      </c>
      <c r="C711" s="124" t="str">
        <f>IFERROR(__xludf.DUMMYFUNCTION("""COMPUTED_VALUE"""),"Delhi")</f>
        <v>Delhi</v>
      </c>
      <c r="D711" s="124" t="str">
        <f>IFERROR(__xludf.DUMMYFUNCTION("""COMPUTED_VALUE"""),"Primary_Walkin")</f>
        <v>Primary_Walkin</v>
      </c>
      <c r="E711" s="124">
        <f>IFERROR(__xludf.DUMMYFUNCTION("""COMPUTED_VALUE"""),1.0)</f>
        <v>1</v>
      </c>
      <c r="F711" s="124" t="str">
        <f>IFERROR(__xludf.DUMMYFUNCTION("""COMPUTED_VALUE"""),"Fake Lead")</f>
        <v>Fake Lead</v>
      </c>
      <c r="G711" s="124" t="str">
        <f>IFERROR(__xludf.DUMMYFUNCTION("""COMPUTED_VALUE"""),"CSAT")</f>
        <v>CSAT</v>
      </c>
      <c r="K711" s="124"/>
      <c r="L711" s="124"/>
      <c r="M711" s="124"/>
      <c r="N711" s="124"/>
      <c r="O711" s="124"/>
      <c r="T711" s="129">
        <f>IFERROR(__xludf.DUMMYFUNCTION("""COMPUTED_VALUE"""),46090.0)</f>
        <v>46090</v>
      </c>
      <c r="U711" s="124" t="str">
        <f>IFERROR(__xludf.DUMMYFUNCTION("""COMPUTED_VALUE"""),"Walk-Ins")</f>
        <v>Walk-Ins</v>
      </c>
      <c r="V711" s="124" t="str">
        <f>IFERROR(__xludf.DUMMYFUNCTION("""COMPUTED_VALUE"""),"Walkin")</f>
        <v>Walkin</v>
      </c>
      <c r="W711" s="124" t="str">
        <f>IFERROR(__xludf.DUMMYFUNCTION("""COMPUTED_VALUE"""),"Prayagraj")</f>
        <v>Prayagraj</v>
      </c>
      <c r="X711" s="124" t="str">
        <f>IFERROR(__xludf.DUMMYFUNCTION("""COMPUTED_VALUE"""),"Walkin")</f>
        <v>Walkin</v>
      </c>
      <c r="Y711" s="124" t="str">
        <f>IFERROR(__xludf.DUMMYFUNCTION("""COMPUTED_VALUE"""),"Prayagraj")</f>
        <v>Prayagraj</v>
      </c>
      <c r="Z711" s="124">
        <f>IFERROR(__xludf.DUMMYFUNCTION("""COMPUTED_VALUE"""),1.0)</f>
        <v>1</v>
      </c>
      <c r="AA711" s="124" t="str">
        <f>IFERROR(__xludf.DUMMYFUNCTION("""COMPUTED_VALUE"""),"Warm")</f>
        <v>Warm</v>
      </c>
      <c r="AB711" s="124" t="str">
        <f>IFERROR(__xludf.DUMMYFUNCTION("""COMPUTED_VALUE"""),"GS Foundation")</f>
        <v>GS Foundation</v>
      </c>
    </row>
    <row r="712">
      <c r="A712" s="126">
        <f>IFERROR(__xludf.DUMMYFUNCTION("""COMPUTED_VALUE"""),46053.0)</f>
        <v>46053</v>
      </c>
      <c r="B712" s="124" t="str">
        <f>IFERROR(__xludf.DUMMYFUNCTION("""COMPUTED_VALUE"""),"Walkin")</f>
        <v>Walkin</v>
      </c>
      <c r="C712" s="124" t="str">
        <f>IFERROR(__xludf.DUMMYFUNCTION("""COMPUTED_VALUE"""),"Delhi")</f>
        <v>Delhi</v>
      </c>
      <c r="D712" s="124" t="str">
        <f>IFERROR(__xludf.DUMMYFUNCTION("""COMPUTED_VALUE"""),"Primary_Walkin")</f>
        <v>Primary_Walkin</v>
      </c>
      <c r="E712" s="124">
        <f>IFERROR(__xludf.DUMMYFUNCTION("""COMPUTED_VALUE"""),1.0)</f>
        <v>1</v>
      </c>
      <c r="F712" s="124" t="str">
        <f>IFERROR(__xludf.DUMMYFUNCTION("""COMPUTED_VALUE"""),"Cold")</f>
        <v>Cold</v>
      </c>
      <c r="G712" s="124" t="str">
        <f>IFERROR(__xludf.DUMMYFUNCTION("""COMPUTED_VALUE"""),"Optionals")</f>
        <v>Optionals</v>
      </c>
      <c r="K712" s="124"/>
      <c r="L712" s="124"/>
      <c r="M712" s="124"/>
      <c r="N712" s="124"/>
      <c r="O712" s="124"/>
      <c r="T712" s="126">
        <f>IFERROR(__xludf.DUMMYFUNCTION("""COMPUTED_VALUE"""),46043.0)</f>
        <v>46043</v>
      </c>
      <c r="U712" s="124" t="str">
        <f>IFERROR(__xludf.DUMMYFUNCTION("""COMPUTED_VALUE"""),"Walk-Ins")</f>
        <v>Walk-Ins</v>
      </c>
      <c r="V712" s="124" t="str">
        <f>IFERROR(__xludf.DUMMYFUNCTION("""COMPUTED_VALUE"""),"Walkin")</f>
        <v>Walkin</v>
      </c>
      <c r="W712" s="124" t="str">
        <f>IFERROR(__xludf.DUMMYFUNCTION("""COMPUTED_VALUE"""),"Patna")</f>
        <v>Patna</v>
      </c>
      <c r="X712" s="124" t="str">
        <f>IFERROR(__xludf.DUMMYFUNCTION("""COMPUTED_VALUE"""),"Walkin")</f>
        <v>Walkin</v>
      </c>
      <c r="Y712" s="124" t="str">
        <f>IFERROR(__xludf.DUMMYFUNCTION("""COMPUTED_VALUE"""),"Patna")</f>
        <v>Patna</v>
      </c>
      <c r="Z712" s="124">
        <f>IFERROR(__xludf.DUMMYFUNCTION("""COMPUTED_VALUE"""),3.0)</f>
        <v>3</v>
      </c>
      <c r="AA712" s="124" t="str">
        <f>IFERROR(__xludf.DUMMYFUNCTION("""COMPUTED_VALUE"""),"Cold")</f>
        <v>Cold</v>
      </c>
      <c r="AB712" s="124" t="str">
        <f>IFERROR(__xludf.DUMMYFUNCTION("""COMPUTED_VALUE"""),"State PCS")</f>
        <v>State PCS</v>
      </c>
    </row>
    <row r="713">
      <c r="A713" s="126">
        <f>IFERROR(__xludf.DUMMYFUNCTION("""COMPUTED_VALUE"""),46059.0)</f>
        <v>46059</v>
      </c>
      <c r="B713" s="124" t="str">
        <f>IFERROR(__xludf.DUMMYFUNCTION("""COMPUTED_VALUE"""),"Walkin")</f>
        <v>Walkin</v>
      </c>
      <c r="C713" s="124" t="str">
        <f>IFERROR(__xludf.DUMMYFUNCTION("""COMPUTED_VALUE"""),"Delhi")</f>
        <v>Delhi</v>
      </c>
      <c r="D713" s="124" t="str">
        <f>IFERROR(__xludf.DUMMYFUNCTION("""COMPUTED_VALUE"""),"Primary_Walkin")</f>
        <v>Primary_Walkin</v>
      </c>
      <c r="E713" s="124">
        <f>IFERROR(__xludf.DUMMYFUNCTION("""COMPUTED_VALUE"""),1.0)</f>
        <v>1</v>
      </c>
      <c r="F713" s="124" t="str">
        <f>IFERROR(__xludf.DUMMYFUNCTION("""COMPUTED_VALUE"""),"Future Prospects")</f>
        <v>Future Prospects</v>
      </c>
      <c r="G713" s="124" t="str">
        <f>IFERROR(__xludf.DUMMYFUNCTION("""COMPUTED_VALUE"""),"GS Foundation")</f>
        <v>GS Foundation</v>
      </c>
      <c r="K713" s="124"/>
      <c r="L713" s="124"/>
      <c r="M713" s="124"/>
      <c r="N713" s="124"/>
      <c r="O713" s="124"/>
      <c r="T713" s="126">
        <f>IFERROR(__xludf.DUMMYFUNCTION("""COMPUTED_VALUE"""),46110.0)</f>
        <v>46110</v>
      </c>
      <c r="U713" s="124" t="str">
        <f>IFERROR(__xludf.DUMMYFUNCTION("""COMPUTED_VALUE"""),"Walk-Ins")</f>
        <v>Walk-Ins</v>
      </c>
      <c r="V713" s="124" t="str">
        <f>IFERROR(__xludf.DUMMYFUNCTION("""COMPUTED_VALUE"""),"Walkin")</f>
        <v>Walkin</v>
      </c>
      <c r="W713" s="124" t="str">
        <f>IFERROR(__xludf.DUMMYFUNCTION("""COMPUTED_VALUE"""),"Patna")</f>
        <v>Patna</v>
      </c>
      <c r="X713" s="124" t="str">
        <f>IFERROR(__xludf.DUMMYFUNCTION("""COMPUTED_VALUE"""),"Walkin")</f>
        <v>Walkin</v>
      </c>
      <c r="Y713" s="124" t="str">
        <f>IFERROR(__xludf.DUMMYFUNCTION("""COMPUTED_VALUE"""),"Patna")</f>
        <v>Patna</v>
      </c>
      <c r="Z713" s="124">
        <f>IFERROR(__xludf.DUMMYFUNCTION("""COMPUTED_VALUE"""),6.0)</f>
        <v>6</v>
      </c>
      <c r="AA713" s="124" t="str">
        <f>IFERROR(__xludf.DUMMYFUNCTION("""COMPUTED_VALUE"""),"Warm")</f>
        <v>Warm</v>
      </c>
      <c r="AB713" s="124" t="str">
        <f>IFERROR(__xludf.DUMMYFUNCTION("""COMPUTED_VALUE"""),"State PCS")</f>
        <v>State PCS</v>
      </c>
    </row>
    <row r="714">
      <c r="A714" s="129">
        <f>IFERROR(__xludf.DUMMYFUNCTION("""COMPUTED_VALUE"""),46092.0)</f>
        <v>46092</v>
      </c>
      <c r="B714" s="124" t="str">
        <f>IFERROR(__xludf.DUMMYFUNCTION("""COMPUTED_VALUE"""),"Walkin")</f>
        <v>Walkin</v>
      </c>
      <c r="C714" s="124" t="str">
        <f>IFERROR(__xludf.DUMMYFUNCTION("""COMPUTED_VALUE"""),"Delhi")</f>
        <v>Delhi</v>
      </c>
      <c r="D714" s="124" t="str">
        <f>IFERROR(__xludf.DUMMYFUNCTION("""COMPUTED_VALUE"""),"Primary_Walkin")</f>
        <v>Primary_Walkin</v>
      </c>
      <c r="E714" s="124">
        <f>IFERROR(__xludf.DUMMYFUNCTION("""COMPUTED_VALUE"""),2.0)</f>
        <v>2</v>
      </c>
      <c r="F714" s="124" t="str">
        <f>IFERROR(__xludf.DUMMYFUNCTION("""COMPUTED_VALUE"""),"Enrolled")</f>
        <v>Enrolled</v>
      </c>
      <c r="G714" s="124" t="str">
        <f>IFERROR(__xludf.DUMMYFUNCTION("""COMPUTED_VALUE"""),"GS Foundation")</f>
        <v>GS Foundation</v>
      </c>
      <c r="K714" s="124"/>
      <c r="L714" s="124"/>
      <c r="M714" s="124"/>
      <c r="N714" s="124"/>
      <c r="O714" s="124"/>
      <c r="T714" s="129">
        <f>IFERROR(__xludf.DUMMYFUNCTION("""COMPUTED_VALUE"""),46096.0)</f>
        <v>46096</v>
      </c>
      <c r="U714" s="124" t="str">
        <f>IFERROR(__xludf.DUMMYFUNCTION("""COMPUTED_VALUE"""),"Walk-Ins")</f>
        <v>Walk-Ins</v>
      </c>
      <c r="V714" s="124" t="str">
        <f>IFERROR(__xludf.DUMMYFUNCTION("""COMPUTED_VALUE"""),"Walkin")</f>
        <v>Walkin</v>
      </c>
      <c r="W714" s="124" t="str">
        <f>IFERROR(__xludf.DUMMYFUNCTION("""COMPUTED_VALUE"""),"Patna")</f>
        <v>Patna</v>
      </c>
      <c r="X714" s="124" t="str">
        <f>IFERROR(__xludf.DUMMYFUNCTION("""COMPUTED_VALUE"""),"Walkin")</f>
        <v>Walkin</v>
      </c>
      <c r="Y714" s="124" t="str">
        <f>IFERROR(__xludf.DUMMYFUNCTION("""COMPUTED_VALUE"""),"Patna")</f>
        <v>Patna</v>
      </c>
      <c r="Z714" s="124">
        <f>IFERROR(__xludf.DUMMYFUNCTION("""COMPUTED_VALUE"""),1.0)</f>
        <v>1</v>
      </c>
      <c r="AA714" s="124" t="str">
        <f>IFERROR(__xludf.DUMMYFUNCTION("""COMPUTED_VALUE"""),"Cold")</f>
        <v>Cold</v>
      </c>
      <c r="AB714" s="124" t="str">
        <f>IFERROR(__xludf.DUMMYFUNCTION("""COMPUTED_VALUE"""),"GS Foundation")</f>
        <v>GS Foundation</v>
      </c>
    </row>
    <row r="715">
      <c r="A715" s="129">
        <f>IFERROR(__xludf.DUMMYFUNCTION("""COMPUTED_VALUE"""),46056.0)</f>
        <v>46056</v>
      </c>
      <c r="B715" s="124" t="str">
        <f>IFERROR(__xludf.DUMMYFUNCTION("""COMPUTED_VALUE"""),"Walkin")</f>
        <v>Walkin</v>
      </c>
      <c r="C715" s="124" t="str">
        <f>IFERROR(__xludf.DUMMYFUNCTION("""COMPUTED_VALUE"""),"Delhi")</f>
        <v>Delhi</v>
      </c>
      <c r="D715" s="124" t="str">
        <f>IFERROR(__xludf.DUMMYFUNCTION("""COMPUTED_VALUE"""),"Primary_Walkin")</f>
        <v>Primary_Walkin</v>
      </c>
      <c r="E715" s="124">
        <f>IFERROR(__xludf.DUMMYFUNCTION("""COMPUTED_VALUE"""),1.0)</f>
        <v>1</v>
      </c>
      <c r="F715" s="124" t="str">
        <f>IFERROR(__xludf.DUMMYFUNCTION("""COMPUTED_VALUE"""),"Enrolled")</f>
        <v>Enrolled</v>
      </c>
      <c r="G715" s="124" t="str">
        <f>IFERROR(__xludf.DUMMYFUNCTION("""COMPUTED_VALUE"""),"Optionals")</f>
        <v>Optionals</v>
      </c>
      <c r="K715" s="124"/>
      <c r="L715" s="124"/>
      <c r="M715" s="124"/>
      <c r="N715" s="124"/>
      <c r="O715" s="124"/>
      <c r="T715" s="126">
        <f>IFERROR(__xludf.DUMMYFUNCTION("""COMPUTED_VALUE"""),46092.0)</f>
        <v>46092</v>
      </c>
      <c r="U715" s="124" t="str">
        <f>IFERROR(__xludf.DUMMYFUNCTION("""COMPUTED_VALUE"""),"Walk-Ins")</f>
        <v>Walk-Ins</v>
      </c>
      <c r="V715" s="124" t="str">
        <f>IFERROR(__xludf.DUMMYFUNCTION("""COMPUTED_VALUE"""),"Walkin")</f>
        <v>Walkin</v>
      </c>
      <c r="W715" s="124" t="str">
        <f>IFERROR(__xludf.DUMMYFUNCTION("""COMPUTED_VALUE"""),"Patna")</f>
        <v>Patna</v>
      </c>
      <c r="X715" s="124" t="str">
        <f>IFERROR(__xludf.DUMMYFUNCTION("""COMPUTED_VALUE"""),"Walkin")</f>
        <v>Walkin</v>
      </c>
      <c r="Y715" s="124" t="str">
        <f>IFERROR(__xludf.DUMMYFUNCTION("""COMPUTED_VALUE"""),"Patna")</f>
        <v>Patna</v>
      </c>
      <c r="Z715" s="124">
        <f>IFERROR(__xludf.DUMMYFUNCTION("""COMPUTED_VALUE"""),1.0)</f>
        <v>1</v>
      </c>
      <c r="AA715" s="124" t="str">
        <f>IFERROR(__xludf.DUMMYFUNCTION("""COMPUTED_VALUE"""),"Fake Lead")</f>
        <v>Fake Lead</v>
      </c>
      <c r="AB715" s="124" t="str">
        <f>IFERROR(__xludf.DUMMYFUNCTION("""COMPUTED_VALUE"""),"GS Advanced")</f>
        <v>GS Advanced</v>
      </c>
    </row>
    <row r="716">
      <c r="A716" s="129">
        <f>IFERROR(__xludf.DUMMYFUNCTION("""COMPUTED_VALUE"""),46052.0)</f>
        <v>46052</v>
      </c>
      <c r="B716" s="124" t="str">
        <f>IFERROR(__xludf.DUMMYFUNCTION("""COMPUTED_VALUE"""),"Walkin")</f>
        <v>Walkin</v>
      </c>
      <c r="C716" s="124" t="str">
        <f>IFERROR(__xludf.DUMMYFUNCTION("""COMPUTED_VALUE"""),"Delhi")</f>
        <v>Delhi</v>
      </c>
      <c r="D716" s="124" t="str">
        <f>IFERROR(__xludf.DUMMYFUNCTION("""COMPUTED_VALUE"""),"Primary_Walkin")</f>
        <v>Primary_Walkin</v>
      </c>
      <c r="E716" s="124">
        <f>IFERROR(__xludf.DUMMYFUNCTION("""COMPUTED_VALUE"""),5.0)</f>
        <v>5</v>
      </c>
      <c r="F716" s="124" t="str">
        <f>IFERROR(__xludf.DUMMYFUNCTION("""COMPUTED_VALUE"""),"Cold")</f>
        <v>Cold</v>
      </c>
      <c r="G716" s="124" t="str">
        <f>IFERROR(__xludf.DUMMYFUNCTION("""COMPUTED_VALUE"""),"GS Foundation")</f>
        <v>GS Foundation</v>
      </c>
      <c r="K716" s="124"/>
      <c r="L716" s="124"/>
      <c r="M716" s="124"/>
      <c r="N716" s="124"/>
      <c r="O716" s="124"/>
      <c r="T716" s="126">
        <f>IFERROR(__xludf.DUMMYFUNCTION("""COMPUTED_VALUE"""),46052.0)</f>
        <v>46052</v>
      </c>
      <c r="U716" s="124" t="str">
        <f>IFERROR(__xludf.DUMMYFUNCTION("""COMPUTED_VALUE"""),"Walk-Ins")</f>
        <v>Walk-Ins</v>
      </c>
      <c r="V716" s="124" t="str">
        <f>IFERROR(__xludf.DUMMYFUNCTION("""COMPUTED_VALUE"""),"Walkin")</f>
        <v>Walkin</v>
      </c>
      <c r="W716" s="124" t="str">
        <f>IFERROR(__xludf.DUMMYFUNCTION("""COMPUTED_VALUE"""),"Patna")</f>
        <v>Patna</v>
      </c>
      <c r="X716" s="124" t="str">
        <f>IFERROR(__xludf.DUMMYFUNCTION("""COMPUTED_VALUE"""),"Walkin")</f>
        <v>Walkin</v>
      </c>
      <c r="Y716" s="124" t="str">
        <f>IFERROR(__xludf.DUMMYFUNCTION("""COMPUTED_VALUE"""),"Patna")</f>
        <v>Patna</v>
      </c>
      <c r="Z716" s="124">
        <f>IFERROR(__xludf.DUMMYFUNCTION("""COMPUTED_VALUE"""),4.0)</f>
        <v>4</v>
      </c>
      <c r="AA716" s="124" t="str">
        <f>IFERROR(__xludf.DUMMYFUNCTION("""COMPUTED_VALUE"""),"Cold")</f>
        <v>Cold</v>
      </c>
      <c r="AB716" s="124" t="str">
        <f>IFERROR(__xludf.DUMMYFUNCTION("""COMPUTED_VALUE"""),"State PCS")</f>
        <v>State PCS</v>
      </c>
    </row>
    <row r="717">
      <c r="A717" s="126">
        <f>IFERROR(__xludf.DUMMYFUNCTION("""COMPUTED_VALUE"""),46082.0)</f>
        <v>46082</v>
      </c>
      <c r="B717" s="124" t="str">
        <f>IFERROR(__xludf.DUMMYFUNCTION("""COMPUTED_VALUE"""),"Walkin")</f>
        <v>Walkin</v>
      </c>
      <c r="C717" s="124" t="str">
        <f>IFERROR(__xludf.DUMMYFUNCTION("""COMPUTED_VALUE"""),"Delhi")</f>
        <v>Delhi</v>
      </c>
      <c r="D717" s="124" t="str">
        <f>IFERROR(__xludf.DUMMYFUNCTION("""COMPUTED_VALUE"""),"Primary_Walkin")</f>
        <v>Primary_Walkin</v>
      </c>
      <c r="E717" s="124">
        <f>IFERROR(__xludf.DUMMYFUNCTION("""COMPUTED_VALUE"""),1.0)</f>
        <v>1</v>
      </c>
      <c r="F717" s="124" t="str">
        <f>IFERROR(__xludf.DUMMYFUNCTION("""COMPUTED_VALUE"""),"Future Prospects")</f>
        <v>Future Prospects</v>
      </c>
      <c r="G717" s="124" t="str">
        <f>IFERROR(__xludf.DUMMYFUNCTION("""COMPUTED_VALUE"""),"GS Foundation")</f>
        <v>GS Foundation</v>
      </c>
      <c r="K717" s="124"/>
      <c r="L717" s="124"/>
      <c r="M717" s="124"/>
      <c r="N717" s="124"/>
      <c r="O717" s="124"/>
      <c r="T717" s="126">
        <f>IFERROR(__xludf.DUMMYFUNCTION("""COMPUTED_VALUE"""),46047.0)</f>
        <v>46047</v>
      </c>
      <c r="U717" s="124" t="str">
        <f>IFERROR(__xludf.DUMMYFUNCTION("""COMPUTED_VALUE"""),"Walk-Ins")</f>
        <v>Walk-Ins</v>
      </c>
      <c r="V717" s="124" t="str">
        <f>IFERROR(__xludf.DUMMYFUNCTION("""COMPUTED_VALUE"""),"Walkin")</f>
        <v>Walkin</v>
      </c>
      <c r="W717" s="124" t="str">
        <f>IFERROR(__xludf.DUMMYFUNCTION("""COMPUTED_VALUE"""),"Lucknow")</f>
        <v>Lucknow</v>
      </c>
      <c r="X717" s="124" t="str">
        <f>IFERROR(__xludf.DUMMYFUNCTION("""COMPUTED_VALUE"""),"Walkin")</f>
        <v>Walkin</v>
      </c>
      <c r="Y717" s="124" t="str">
        <f>IFERROR(__xludf.DUMMYFUNCTION("""COMPUTED_VALUE"""),"Lucknow")</f>
        <v>Lucknow</v>
      </c>
      <c r="Z717" s="124">
        <f>IFERROR(__xludf.DUMMYFUNCTION("""COMPUTED_VALUE"""),1.0)</f>
        <v>1</v>
      </c>
      <c r="AA717" s="124" t="str">
        <f>IFERROR(__xludf.DUMMYFUNCTION("""COMPUTED_VALUE"""),"Enrolled")</f>
        <v>Enrolled</v>
      </c>
      <c r="AB717" s="124" t="str">
        <f>IFERROR(__xludf.DUMMYFUNCTION("""COMPUTED_VALUE"""),"GS Foundation")</f>
        <v>GS Foundation</v>
      </c>
    </row>
    <row r="718">
      <c r="A718" s="129">
        <f>IFERROR(__xludf.DUMMYFUNCTION("""COMPUTED_VALUE"""),46075.0)</f>
        <v>46075</v>
      </c>
      <c r="B718" s="124" t="str">
        <f>IFERROR(__xludf.DUMMYFUNCTION("""COMPUTED_VALUE"""),"Walkin")</f>
        <v>Walkin</v>
      </c>
      <c r="C718" s="124" t="str">
        <f>IFERROR(__xludf.DUMMYFUNCTION("""COMPUTED_VALUE"""),"Indore")</f>
        <v>Indore</v>
      </c>
      <c r="D718" s="124" t="str">
        <f>IFERROR(__xludf.DUMMYFUNCTION("""COMPUTED_VALUE"""),"Primary_Walkin")</f>
        <v>Primary_Walkin</v>
      </c>
      <c r="E718" s="124">
        <f>IFERROR(__xludf.DUMMYFUNCTION("""COMPUTED_VALUE"""),1.0)</f>
        <v>1</v>
      </c>
      <c r="F718" s="124" t="str">
        <f>IFERROR(__xludf.DUMMYFUNCTION("""COMPUTED_VALUE"""),"Cold")</f>
        <v>Cold</v>
      </c>
      <c r="G718" s="124" t="str">
        <f>IFERROR(__xludf.DUMMYFUNCTION("""COMPUTED_VALUE"""),"Test Series")</f>
        <v>Test Series</v>
      </c>
      <c r="K718" s="124"/>
      <c r="L718" s="124"/>
      <c r="M718" s="124"/>
      <c r="N718" s="124"/>
      <c r="O718" s="124"/>
      <c r="T718" s="129">
        <f>IFERROR(__xludf.DUMMYFUNCTION("""COMPUTED_VALUE"""),46065.0)</f>
        <v>46065</v>
      </c>
      <c r="U718" s="124" t="str">
        <f>IFERROR(__xludf.DUMMYFUNCTION("""COMPUTED_VALUE"""),"Walk-Ins")</f>
        <v>Walk-Ins</v>
      </c>
      <c r="V718" s="124" t="str">
        <f>IFERROR(__xludf.DUMMYFUNCTION("""COMPUTED_VALUE"""),"Walkin")</f>
        <v>Walkin</v>
      </c>
      <c r="W718" s="124" t="str">
        <f>IFERROR(__xludf.DUMMYFUNCTION("""COMPUTED_VALUE"""),"Patna")</f>
        <v>Patna</v>
      </c>
      <c r="X718" s="124" t="str">
        <f>IFERROR(__xludf.DUMMYFUNCTION("""COMPUTED_VALUE"""),"Walkin")</f>
        <v>Walkin</v>
      </c>
      <c r="Y718" s="124" t="str">
        <f>IFERROR(__xludf.DUMMYFUNCTION("""COMPUTED_VALUE"""),"Patna")</f>
        <v>Patna</v>
      </c>
      <c r="Z718" s="124">
        <f>IFERROR(__xludf.DUMMYFUNCTION("""COMPUTED_VALUE"""),1.0)</f>
        <v>1</v>
      </c>
      <c r="AA718" s="124" t="str">
        <f>IFERROR(__xludf.DUMMYFUNCTION("""COMPUTED_VALUE"""),"Future Prospects")</f>
        <v>Future Prospects</v>
      </c>
      <c r="AB718" s="124" t="str">
        <f>IFERROR(__xludf.DUMMYFUNCTION("""COMPUTED_VALUE"""),"State PCS")</f>
        <v>State PCS</v>
      </c>
    </row>
    <row r="719">
      <c r="A719" s="129">
        <f>IFERROR(__xludf.DUMMYFUNCTION("""COMPUTED_VALUE"""),46104.0)</f>
        <v>46104</v>
      </c>
      <c r="B719" s="124" t="str">
        <f>IFERROR(__xludf.DUMMYFUNCTION("""COMPUTED_VALUE"""),"Walkin")</f>
        <v>Walkin</v>
      </c>
      <c r="C719" s="124" t="str">
        <f>IFERROR(__xludf.DUMMYFUNCTION("""COMPUTED_VALUE"""),"Indore")</f>
        <v>Indore</v>
      </c>
      <c r="D719" s="124" t="str">
        <f>IFERROR(__xludf.DUMMYFUNCTION("""COMPUTED_VALUE"""),"Primary_Walkin")</f>
        <v>Primary_Walkin</v>
      </c>
      <c r="E719" s="124">
        <f>IFERROR(__xludf.DUMMYFUNCTION("""COMPUTED_VALUE"""),1.0)</f>
        <v>1</v>
      </c>
      <c r="F719" s="124" t="str">
        <f>IFERROR(__xludf.DUMMYFUNCTION("""COMPUTED_VALUE"""),"Cold")</f>
        <v>Cold</v>
      </c>
      <c r="G719" s="124" t="str">
        <f>IFERROR(__xludf.DUMMYFUNCTION("""COMPUTED_VALUE"""),"Other")</f>
        <v>Other</v>
      </c>
      <c r="K719" s="124"/>
      <c r="L719" s="124"/>
      <c r="M719" s="124"/>
      <c r="N719" s="124"/>
      <c r="O719" s="124"/>
      <c r="T719" s="126">
        <f>IFERROR(__xludf.DUMMYFUNCTION("""COMPUTED_VALUE"""),46074.0)</f>
        <v>46074</v>
      </c>
      <c r="U719" s="124" t="str">
        <f>IFERROR(__xludf.DUMMYFUNCTION("""COMPUTED_VALUE"""),"Walk-Ins")</f>
        <v>Walk-Ins</v>
      </c>
      <c r="V719" s="124" t="str">
        <f>IFERROR(__xludf.DUMMYFUNCTION("""COMPUTED_VALUE"""),"Walkin")</f>
        <v>Walkin</v>
      </c>
      <c r="W719" s="124" t="str">
        <f>IFERROR(__xludf.DUMMYFUNCTION("""COMPUTED_VALUE"""),"Patna")</f>
        <v>Patna</v>
      </c>
      <c r="X719" s="124" t="str">
        <f>IFERROR(__xludf.DUMMYFUNCTION("""COMPUTED_VALUE"""),"Walkin")</f>
        <v>Walkin</v>
      </c>
      <c r="Y719" s="124" t="str">
        <f>IFERROR(__xludf.DUMMYFUNCTION("""COMPUTED_VALUE"""),"Patna")</f>
        <v>Patna</v>
      </c>
      <c r="Z719" s="124">
        <f>IFERROR(__xludf.DUMMYFUNCTION("""COMPUTED_VALUE"""),5.0)</f>
        <v>5</v>
      </c>
      <c r="AA719" s="124" t="str">
        <f>IFERROR(__xludf.DUMMYFUNCTION("""COMPUTED_VALUE"""),"Cold")</f>
        <v>Cold</v>
      </c>
      <c r="AB719" s="124" t="str">
        <f>IFERROR(__xludf.DUMMYFUNCTION("""COMPUTED_VALUE"""),"State PCS")</f>
        <v>State PCS</v>
      </c>
    </row>
    <row r="720">
      <c r="A720" s="126">
        <f>IFERROR(__xludf.DUMMYFUNCTION("""COMPUTED_VALUE"""),46050.0)</f>
        <v>46050</v>
      </c>
      <c r="B720" s="124" t="str">
        <f>IFERROR(__xludf.DUMMYFUNCTION("""COMPUTED_VALUE"""),"walk-in")</f>
        <v>walk-in</v>
      </c>
      <c r="C720" s="124" t="str">
        <f>IFERROR(__xludf.DUMMYFUNCTION("""COMPUTED_VALUE"""),"Indore")</f>
        <v>Indore</v>
      </c>
      <c r="D720" s="124" t="str">
        <f>IFERROR(__xludf.DUMMYFUNCTION("""COMPUTED_VALUE"""),"Primary_Walkin")</f>
        <v>Primary_Walkin</v>
      </c>
      <c r="E720" s="124">
        <f>IFERROR(__xludf.DUMMYFUNCTION("""COMPUTED_VALUE"""),1.0)</f>
        <v>1</v>
      </c>
      <c r="F720" s="124" t="str">
        <f>IFERROR(__xludf.DUMMYFUNCTION("""COMPUTED_VALUE"""),"Not Interested")</f>
        <v>Not Interested</v>
      </c>
      <c r="G720" s="124" t="str">
        <f>IFERROR(__xludf.DUMMYFUNCTION("""COMPUTED_VALUE"""),"Mentorship")</f>
        <v>Mentorship</v>
      </c>
      <c r="K720" s="124"/>
      <c r="L720" s="124"/>
      <c r="M720" s="124"/>
      <c r="N720" s="124"/>
      <c r="O720" s="124"/>
      <c r="T720" s="126">
        <f>IFERROR(__xludf.DUMMYFUNCTION("""COMPUTED_VALUE"""),46092.0)</f>
        <v>46092</v>
      </c>
      <c r="U720" s="124" t="str">
        <f>IFERROR(__xludf.DUMMYFUNCTION("""COMPUTED_VALUE"""),"Walk-Ins")</f>
        <v>Walk-Ins</v>
      </c>
      <c r="V720" s="124" t="str">
        <f>IFERROR(__xludf.DUMMYFUNCTION("""COMPUTED_VALUE"""),"Walkin")</f>
        <v>Walkin</v>
      </c>
      <c r="W720" s="124" t="str">
        <f>IFERROR(__xludf.DUMMYFUNCTION("""COMPUTED_VALUE"""),"Prayagraj")</f>
        <v>Prayagraj</v>
      </c>
      <c r="X720" s="124" t="str">
        <f>IFERROR(__xludf.DUMMYFUNCTION("""COMPUTED_VALUE"""),"Walkin")</f>
        <v>Walkin</v>
      </c>
      <c r="Y720" s="124" t="str">
        <f>IFERROR(__xludf.DUMMYFUNCTION("""COMPUTED_VALUE"""),"Prayagraj")</f>
        <v>Prayagraj</v>
      </c>
      <c r="Z720" s="124">
        <f>IFERROR(__xludf.DUMMYFUNCTION("""COMPUTED_VALUE"""),1.0)</f>
        <v>1</v>
      </c>
      <c r="AA720" s="124" t="str">
        <f>IFERROR(__xludf.DUMMYFUNCTION("""COMPUTED_VALUE"""),"Future Prospects")</f>
        <v>Future Prospects</v>
      </c>
      <c r="AB720" s="124" t="str">
        <f>IFERROR(__xludf.DUMMYFUNCTION("""COMPUTED_VALUE"""),"State PCS")</f>
        <v>State PCS</v>
      </c>
    </row>
    <row r="721">
      <c r="A721" s="126">
        <f>IFERROR(__xludf.DUMMYFUNCTION("""COMPUTED_VALUE"""),46073.0)</f>
        <v>46073</v>
      </c>
      <c r="B721" s="124" t="str">
        <f>IFERROR(__xludf.DUMMYFUNCTION("""COMPUTED_VALUE"""),"Walkin")</f>
        <v>Walkin</v>
      </c>
      <c r="C721" s="124" t="str">
        <f>IFERROR(__xludf.DUMMYFUNCTION("""COMPUTED_VALUE"""),"Indore")</f>
        <v>Indore</v>
      </c>
      <c r="D721" s="124" t="str">
        <f>IFERROR(__xludf.DUMMYFUNCTION("""COMPUTED_VALUE"""),"Primary_Walkin")</f>
        <v>Primary_Walkin</v>
      </c>
      <c r="E721" s="124">
        <f>IFERROR(__xludf.DUMMYFUNCTION("""COMPUTED_VALUE"""),1.0)</f>
        <v>1</v>
      </c>
      <c r="F721" s="124" t="str">
        <f>IFERROR(__xludf.DUMMYFUNCTION("""COMPUTED_VALUE"""),"Enrolled")</f>
        <v>Enrolled</v>
      </c>
      <c r="G721" s="124" t="str">
        <f>IFERROR(__xludf.DUMMYFUNCTION("""COMPUTED_VALUE"""),"State PCS")</f>
        <v>State PCS</v>
      </c>
      <c r="K721" s="124"/>
      <c r="L721" s="124"/>
      <c r="M721" s="124"/>
      <c r="N721" s="124"/>
      <c r="O721" s="124"/>
      <c r="T721" s="126">
        <f>IFERROR(__xludf.DUMMYFUNCTION("""COMPUTED_VALUE"""),46100.0)</f>
        <v>46100</v>
      </c>
      <c r="U721" s="124" t="str">
        <f>IFERROR(__xludf.DUMMYFUNCTION("""COMPUTED_VALUE"""),"Walk-Ins")</f>
        <v>Walk-Ins</v>
      </c>
      <c r="V721" s="124" t="str">
        <f>IFERROR(__xludf.DUMMYFUNCTION("""COMPUTED_VALUE"""),"Walkin")</f>
        <v>Walkin</v>
      </c>
      <c r="W721" s="124" t="str">
        <f>IFERROR(__xludf.DUMMYFUNCTION("""COMPUTED_VALUE"""),"Patna")</f>
        <v>Patna</v>
      </c>
      <c r="X721" s="124" t="str">
        <f>IFERROR(__xludf.DUMMYFUNCTION("""COMPUTED_VALUE"""),"Walkin")</f>
        <v>Walkin</v>
      </c>
      <c r="Y721" s="124" t="str">
        <f>IFERROR(__xludf.DUMMYFUNCTION("""COMPUTED_VALUE"""),"Patna")</f>
        <v>Patna</v>
      </c>
      <c r="Z721" s="124">
        <f>IFERROR(__xludf.DUMMYFUNCTION("""COMPUTED_VALUE"""),1.0)</f>
        <v>1</v>
      </c>
      <c r="AA721" s="124" t="str">
        <f>IFERROR(__xludf.DUMMYFUNCTION("""COMPUTED_VALUE"""),"Not Interested")</f>
        <v>Not Interested</v>
      </c>
      <c r="AB721" s="124" t="str">
        <f>IFERROR(__xludf.DUMMYFUNCTION("""COMPUTED_VALUE"""),"State PCS")</f>
        <v>State PCS</v>
      </c>
    </row>
    <row r="722">
      <c r="A722" s="126">
        <f>IFERROR(__xludf.DUMMYFUNCTION("""COMPUTED_VALUE"""),46104.0)</f>
        <v>46104</v>
      </c>
      <c r="B722" s="124" t="str">
        <f>IFERROR(__xludf.DUMMYFUNCTION("""COMPUTED_VALUE"""),"Events")</f>
        <v>Events</v>
      </c>
      <c r="C722" s="124" t="str">
        <f>IFERROR(__xludf.DUMMYFUNCTION("""COMPUTED_VALUE"""),"Indore")</f>
        <v>Indore</v>
      </c>
      <c r="D722" s="124" t="str">
        <f>IFERROR(__xludf.DUMMYFUNCTION("""COMPUTED_VALUE"""),"Secondary_Walkin")</f>
        <v>Secondary_Walkin</v>
      </c>
      <c r="E722" s="124">
        <f>IFERROR(__xludf.DUMMYFUNCTION("""COMPUTED_VALUE"""),1.0)</f>
        <v>1</v>
      </c>
      <c r="F722" s="124" t="str">
        <f>IFERROR(__xludf.DUMMYFUNCTION("""COMPUTED_VALUE"""),"Warm")</f>
        <v>Warm</v>
      </c>
      <c r="G722" s="124" t="str">
        <f>IFERROR(__xludf.DUMMYFUNCTION("""COMPUTED_VALUE"""),"GS Foundation")</f>
        <v>GS Foundation</v>
      </c>
      <c r="K722" s="124"/>
      <c r="L722" s="124"/>
      <c r="M722" s="124"/>
      <c r="N722" s="124"/>
      <c r="O722" s="124"/>
      <c r="T722" s="126">
        <f>IFERROR(__xludf.DUMMYFUNCTION("""COMPUTED_VALUE"""),46093.0)</f>
        <v>46093</v>
      </c>
      <c r="U722" s="124" t="str">
        <f>IFERROR(__xludf.DUMMYFUNCTION("""COMPUTED_VALUE"""),"Walk-Ins")</f>
        <v>Walk-Ins</v>
      </c>
      <c r="V722" s="124" t="str">
        <f>IFERROR(__xludf.DUMMYFUNCTION("""COMPUTED_VALUE"""),"Walkin")</f>
        <v>Walkin</v>
      </c>
      <c r="W722" s="124" t="str">
        <f>IFERROR(__xludf.DUMMYFUNCTION("""COMPUTED_VALUE"""),"Prayagraj")</f>
        <v>Prayagraj</v>
      </c>
      <c r="X722" s="124" t="str">
        <f>IFERROR(__xludf.DUMMYFUNCTION("""COMPUTED_VALUE"""),"Walkin")</f>
        <v>Walkin</v>
      </c>
      <c r="Y722" s="124" t="str">
        <f>IFERROR(__xludf.DUMMYFUNCTION("""COMPUTED_VALUE"""),"Prayagraj")</f>
        <v>Prayagraj</v>
      </c>
      <c r="Z722" s="124">
        <f>IFERROR(__xludf.DUMMYFUNCTION("""COMPUTED_VALUE"""),2.0)</f>
        <v>2</v>
      </c>
      <c r="AA722" s="124" t="str">
        <f>IFERROR(__xludf.DUMMYFUNCTION("""COMPUTED_VALUE"""),"Not Interested")</f>
        <v>Not Interested</v>
      </c>
      <c r="AB722" s="124" t="str">
        <f>IFERROR(__xludf.DUMMYFUNCTION("""COMPUTED_VALUE"""),"GS Foundation")</f>
        <v>GS Foundation</v>
      </c>
    </row>
    <row r="723">
      <c r="A723" s="129">
        <f>IFERROR(__xludf.DUMMYFUNCTION("""COMPUTED_VALUE"""),46044.0)</f>
        <v>46044</v>
      </c>
      <c r="B723" s="124" t="str">
        <f>IFERROR(__xludf.DUMMYFUNCTION("""COMPUTED_VALUE"""),"events")</f>
        <v>events</v>
      </c>
      <c r="C723" s="124" t="str">
        <f>IFERROR(__xludf.DUMMYFUNCTION("""COMPUTED_VALUE"""),"Indore")</f>
        <v>Indore</v>
      </c>
      <c r="D723" s="124" t="str">
        <f>IFERROR(__xludf.DUMMYFUNCTION("""COMPUTED_VALUE"""),"Secondary_Walkin")</f>
        <v>Secondary_Walkin</v>
      </c>
      <c r="E723" s="124">
        <f>IFERROR(__xludf.DUMMYFUNCTION("""COMPUTED_VALUE"""),2.0)</f>
        <v>2</v>
      </c>
      <c r="F723" s="124" t="str">
        <f>IFERROR(__xludf.DUMMYFUNCTION("""COMPUTED_VALUE"""),"Cold")</f>
        <v>Cold</v>
      </c>
      <c r="G723" s="124" t="str">
        <f>IFERROR(__xludf.DUMMYFUNCTION("""COMPUTED_VALUE"""),"Test Series")</f>
        <v>Test Series</v>
      </c>
      <c r="K723" s="124"/>
      <c r="L723" s="124"/>
      <c r="M723" s="124"/>
      <c r="N723" s="124"/>
      <c r="O723" s="124"/>
      <c r="T723" s="126">
        <f>IFERROR(__xludf.DUMMYFUNCTION("""COMPUTED_VALUE"""),46077.0)</f>
        <v>46077</v>
      </c>
      <c r="U723" s="124" t="str">
        <f>IFERROR(__xludf.DUMMYFUNCTION("""COMPUTED_VALUE"""),"Walk-Ins")</f>
        <v>Walk-Ins</v>
      </c>
      <c r="V723" s="124" t="str">
        <f>IFERROR(__xludf.DUMMYFUNCTION("""COMPUTED_VALUE"""),"Walkin")</f>
        <v>Walkin</v>
      </c>
      <c r="W723" s="124" t="str">
        <f>IFERROR(__xludf.DUMMYFUNCTION("""COMPUTED_VALUE"""),"Lucknow")</f>
        <v>Lucknow</v>
      </c>
      <c r="X723" s="124" t="str">
        <f>IFERROR(__xludf.DUMMYFUNCTION("""COMPUTED_VALUE"""),"Walkin")</f>
        <v>Walkin</v>
      </c>
      <c r="Y723" s="124" t="str">
        <f>IFERROR(__xludf.DUMMYFUNCTION("""COMPUTED_VALUE"""),"Lucknow")</f>
        <v>Lucknow</v>
      </c>
      <c r="Z723" s="124">
        <f>IFERROR(__xludf.DUMMYFUNCTION("""COMPUTED_VALUE"""),1.0)</f>
        <v>1</v>
      </c>
      <c r="AA723" s="124" t="str">
        <f>IFERROR(__xludf.DUMMYFUNCTION("""COMPUTED_VALUE"""),"Enrolled")</f>
        <v>Enrolled</v>
      </c>
      <c r="AB723" s="124" t="str">
        <f>IFERROR(__xludf.DUMMYFUNCTION("""COMPUTED_VALUE"""),"GS Foundation")</f>
        <v>GS Foundation</v>
      </c>
    </row>
    <row r="724">
      <c r="A724" s="126">
        <f>IFERROR(__xludf.DUMMYFUNCTION("""COMPUTED_VALUE"""),46089.0)</f>
        <v>46089</v>
      </c>
      <c r="B724" s="124" t="str">
        <f>IFERROR(__xludf.DUMMYFUNCTION("""COMPUTED_VALUE"""),"external leads")</f>
        <v>external leads</v>
      </c>
      <c r="C724" s="124" t="str">
        <f>IFERROR(__xludf.DUMMYFUNCTION("""COMPUTED_VALUE"""),"Lucknow")</f>
        <v>Lucknow</v>
      </c>
      <c r="D724" s="124" t="str">
        <f>IFERROR(__xludf.DUMMYFUNCTION("""COMPUTED_VALUE"""),"Secondary_Walkin")</f>
        <v>Secondary_Walkin</v>
      </c>
      <c r="E724" s="124">
        <f>IFERROR(__xludf.DUMMYFUNCTION("""COMPUTED_VALUE"""),1.0)</f>
        <v>1</v>
      </c>
      <c r="F724" s="124" t="str">
        <f>IFERROR(__xludf.DUMMYFUNCTION("""COMPUTED_VALUE"""),"Enrolled")</f>
        <v>Enrolled</v>
      </c>
      <c r="G724" s="124" t="str">
        <f>IFERROR(__xludf.DUMMYFUNCTION("""COMPUTED_VALUE"""),"GS Foundation")</f>
        <v>GS Foundation</v>
      </c>
      <c r="K724" s="124"/>
      <c r="L724" s="124"/>
      <c r="M724" s="124"/>
      <c r="N724" s="124"/>
      <c r="O724" s="124"/>
      <c r="T724" s="126">
        <f>IFERROR(__xludf.DUMMYFUNCTION("""COMPUTED_VALUE"""),46065.0)</f>
        <v>46065</v>
      </c>
      <c r="U724" s="124" t="str">
        <f>IFERROR(__xludf.DUMMYFUNCTION("""COMPUTED_VALUE"""),"Walk-Ins")</f>
        <v>Walk-Ins</v>
      </c>
      <c r="V724" s="124" t="str">
        <f>IFERROR(__xludf.DUMMYFUNCTION("""COMPUTED_VALUE"""),"Walkin")</f>
        <v>Walkin</v>
      </c>
      <c r="W724" s="124" t="str">
        <f>IFERROR(__xludf.DUMMYFUNCTION("""COMPUTED_VALUE"""),"Prayagraj")</f>
        <v>Prayagraj</v>
      </c>
      <c r="X724" s="124" t="str">
        <f>IFERROR(__xludf.DUMMYFUNCTION("""COMPUTED_VALUE"""),"Walkin")</f>
        <v>Walkin</v>
      </c>
      <c r="Y724" s="124" t="str">
        <f>IFERROR(__xludf.DUMMYFUNCTION("""COMPUTED_VALUE"""),"Prayagraj")</f>
        <v>Prayagraj</v>
      </c>
      <c r="Z724" s="124">
        <f>IFERROR(__xludf.DUMMYFUNCTION("""COMPUTED_VALUE"""),3.0)</f>
        <v>3</v>
      </c>
      <c r="AA724" s="124" t="str">
        <f>IFERROR(__xludf.DUMMYFUNCTION("""COMPUTED_VALUE"""),"Future Prospects")</f>
        <v>Future Prospects</v>
      </c>
      <c r="AB724" s="124" t="str">
        <f>IFERROR(__xludf.DUMMYFUNCTION("""COMPUTED_VALUE"""),"GS Foundation")</f>
        <v>GS Foundation</v>
      </c>
    </row>
    <row r="725">
      <c r="A725" s="129">
        <f>IFERROR(__xludf.DUMMYFUNCTION("""COMPUTED_VALUE"""),46102.0)</f>
        <v>46102</v>
      </c>
      <c r="B725" s="124" t="str">
        <f>IFERROR(__xludf.DUMMYFUNCTION("""COMPUTED_VALUE"""),"Walkin")</f>
        <v>Walkin</v>
      </c>
      <c r="C725" s="124" t="str">
        <f>IFERROR(__xludf.DUMMYFUNCTION("""COMPUTED_VALUE"""),"Indore")</f>
        <v>Indore</v>
      </c>
      <c r="D725" s="124" t="str">
        <f>IFERROR(__xludf.DUMMYFUNCTION("""COMPUTED_VALUE"""),"Primary_Walkin")</f>
        <v>Primary_Walkin</v>
      </c>
      <c r="E725" s="124">
        <f>IFERROR(__xludf.DUMMYFUNCTION("""COMPUTED_VALUE"""),1.0)</f>
        <v>1</v>
      </c>
      <c r="F725" s="124" t="str">
        <f>IFERROR(__xludf.DUMMYFUNCTION("""COMPUTED_VALUE"""),"Future Prospects")</f>
        <v>Future Prospects</v>
      </c>
      <c r="G725" s="124" t="str">
        <f>IFERROR(__xludf.DUMMYFUNCTION("""COMPUTED_VALUE"""),"GS Foundation")</f>
        <v>GS Foundation</v>
      </c>
      <c r="K725" s="124"/>
      <c r="L725" s="124"/>
      <c r="M725" s="124"/>
      <c r="N725" s="124"/>
      <c r="O725" s="124"/>
      <c r="T725" s="129">
        <f>IFERROR(__xludf.DUMMYFUNCTION("""COMPUTED_VALUE"""),46094.0)</f>
        <v>46094</v>
      </c>
      <c r="U725" s="124" t="str">
        <f>IFERROR(__xludf.DUMMYFUNCTION("""COMPUTED_VALUE"""),"Walk-Ins")</f>
        <v>Walk-Ins</v>
      </c>
      <c r="V725" s="124" t="str">
        <f>IFERROR(__xludf.DUMMYFUNCTION("""COMPUTED_VALUE"""),"Walkin")</f>
        <v>Walkin</v>
      </c>
      <c r="W725" s="124" t="str">
        <f>IFERROR(__xludf.DUMMYFUNCTION("""COMPUTED_VALUE"""),"Patna")</f>
        <v>Patna</v>
      </c>
      <c r="X725" s="124" t="str">
        <f>IFERROR(__xludf.DUMMYFUNCTION("""COMPUTED_VALUE"""),"Walkin")</f>
        <v>Walkin</v>
      </c>
      <c r="Y725" s="124" t="str">
        <f>IFERROR(__xludf.DUMMYFUNCTION("""COMPUTED_VALUE"""),"Patna")</f>
        <v>Patna</v>
      </c>
      <c r="Z725" s="124">
        <f>IFERROR(__xludf.DUMMYFUNCTION("""COMPUTED_VALUE"""),2.0)</f>
        <v>2</v>
      </c>
      <c r="AA725" s="124" t="str">
        <f>IFERROR(__xludf.DUMMYFUNCTION("""COMPUTED_VALUE"""),"Not Interested")</f>
        <v>Not Interested</v>
      </c>
      <c r="AB725" s="124" t="str">
        <f>IFERROR(__xludf.DUMMYFUNCTION("""COMPUTED_VALUE"""),"GS Foundation")</f>
        <v>GS Foundation</v>
      </c>
    </row>
    <row r="726">
      <c r="A726" s="126">
        <f>IFERROR(__xludf.DUMMYFUNCTION("""COMPUTED_VALUE"""),46096.0)</f>
        <v>46096</v>
      </c>
      <c r="B726" s="124" t="str">
        <f>IFERROR(__xludf.DUMMYFUNCTION("""COMPUTED_VALUE"""),"Outbound Call")</f>
        <v>Outbound Call</v>
      </c>
      <c r="C726" s="124" t="str">
        <f>IFERROR(__xludf.DUMMYFUNCTION("""COMPUTED_VALUE"""),"Indore")</f>
        <v>Indore</v>
      </c>
      <c r="D726" s="124" t="str">
        <f>IFERROR(__xludf.DUMMYFUNCTION("""COMPUTED_VALUE"""),"Secondary_Walkin")</f>
        <v>Secondary_Walkin</v>
      </c>
      <c r="E726" s="124">
        <f>IFERROR(__xludf.DUMMYFUNCTION("""COMPUTED_VALUE"""),1.0)</f>
        <v>1</v>
      </c>
      <c r="F726" s="124" t="str">
        <f>IFERROR(__xludf.DUMMYFUNCTION("""COMPUTED_VALUE"""),"Cold")</f>
        <v>Cold</v>
      </c>
      <c r="G726" s="124" t="str">
        <f>IFERROR(__xludf.DUMMYFUNCTION("""COMPUTED_VALUE"""),"State PCS")</f>
        <v>State PCS</v>
      </c>
      <c r="K726" s="124"/>
      <c r="L726" s="124"/>
      <c r="M726" s="124"/>
      <c r="N726" s="124"/>
      <c r="O726" s="124"/>
      <c r="T726" s="126">
        <f>IFERROR(__xludf.DUMMYFUNCTION("""COMPUTED_VALUE"""),46090.0)</f>
        <v>46090</v>
      </c>
      <c r="U726" s="124" t="str">
        <f>IFERROR(__xludf.DUMMYFUNCTION("""COMPUTED_VALUE"""),"Walk-Ins")</f>
        <v>Walk-Ins</v>
      </c>
      <c r="V726" s="124" t="str">
        <f>IFERROR(__xludf.DUMMYFUNCTION("""COMPUTED_VALUE"""),"Walkin")</f>
        <v>Walkin</v>
      </c>
      <c r="W726" s="124" t="str">
        <f>IFERROR(__xludf.DUMMYFUNCTION("""COMPUTED_VALUE"""),"Patna")</f>
        <v>Patna</v>
      </c>
      <c r="X726" s="124" t="str">
        <f>IFERROR(__xludf.DUMMYFUNCTION("""COMPUTED_VALUE"""),"Walkin")</f>
        <v>Walkin</v>
      </c>
      <c r="Y726" s="124" t="str">
        <f>IFERROR(__xludf.DUMMYFUNCTION("""COMPUTED_VALUE"""),"Patna")</f>
        <v>Patna</v>
      </c>
      <c r="Z726" s="124">
        <f>IFERROR(__xludf.DUMMYFUNCTION("""COMPUTED_VALUE"""),1.0)</f>
        <v>1</v>
      </c>
      <c r="AA726" s="124" t="str">
        <f>IFERROR(__xludf.DUMMYFUNCTION("""COMPUTED_VALUE"""),"Cold")</f>
        <v>Cold</v>
      </c>
      <c r="AB726" s="124" t="str">
        <f>IFERROR(__xludf.DUMMYFUNCTION("""COMPUTED_VALUE"""),"Test Series")</f>
        <v>Test Series</v>
      </c>
    </row>
    <row r="727">
      <c r="A727" s="126">
        <f>IFERROR(__xludf.DUMMYFUNCTION("""COMPUTED_VALUE"""),46051.0)</f>
        <v>46051</v>
      </c>
      <c r="B727" s="124" t="str">
        <f>IFERROR(__xludf.DUMMYFUNCTION("""COMPUTED_VALUE"""),"Walkin")</f>
        <v>Walkin</v>
      </c>
      <c r="C727" s="124" t="str">
        <f>IFERROR(__xludf.DUMMYFUNCTION("""COMPUTED_VALUE"""),"Indore")</f>
        <v>Indore</v>
      </c>
      <c r="D727" s="124" t="str">
        <f>IFERROR(__xludf.DUMMYFUNCTION("""COMPUTED_VALUE"""),"Primary_Walkin")</f>
        <v>Primary_Walkin</v>
      </c>
      <c r="E727" s="124">
        <f>IFERROR(__xludf.DUMMYFUNCTION("""COMPUTED_VALUE"""),2.0)</f>
        <v>2</v>
      </c>
      <c r="F727" s="124" t="str">
        <f>IFERROR(__xludf.DUMMYFUNCTION("""COMPUTED_VALUE"""),"Cold")</f>
        <v>Cold</v>
      </c>
      <c r="G727" s="124" t="str">
        <f>IFERROR(__xludf.DUMMYFUNCTION("""COMPUTED_VALUE"""),"State PCS")</f>
        <v>State PCS</v>
      </c>
      <c r="K727" s="124"/>
      <c r="L727" s="124"/>
      <c r="M727" s="124"/>
      <c r="N727" s="124"/>
      <c r="O727" s="124"/>
      <c r="T727" s="126">
        <f>IFERROR(__xludf.DUMMYFUNCTION("""COMPUTED_VALUE"""),46046.0)</f>
        <v>46046</v>
      </c>
      <c r="U727" s="124" t="str">
        <f>IFERROR(__xludf.DUMMYFUNCTION("""COMPUTED_VALUE"""),"Walk-Ins")</f>
        <v>Walk-Ins</v>
      </c>
      <c r="V727" s="124" t="str">
        <f>IFERROR(__xludf.DUMMYFUNCTION("""COMPUTED_VALUE"""),"Walkin")</f>
        <v>Walkin</v>
      </c>
      <c r="W727" s="124" t="str">
        <f>IFERROR(__xludf.DUMMYFUNCTION("""COMPUTED_VALUE"""),"Patna")</f>
        <v>Patna</v>
      </c>
      <c r="X727" s="124" t="str">
        <f>IFERROR(__xludf.DUMMYFUNCTION("""COMPUTED_VALUE"""),"Walkin")</f>
        <v>Walkin</v>
      </c>
      <c r="Y727" s="124" t="str">
        <f>IFERROR(__xludf.DUMMYFUNCTION("""COMPUTED_VALUE"""),"Patna")</f>
        <v>Patna</v>
      </c>
      <c r="Z727" s="124">
        <f>IFERROR(__xludf.DUMMYFUNCTION("""COMPUTED_VALUE"""),2.0)</f>
        <v>2</v>
      </c>
      <c r="AA727" s="124" t="str">
        <f>IFERROR(__xludf.DUMMYFUNCTION("""COMPUTED_VALUE"""),"Fake Lead")</f>
        <v>Fake Lead</v>
      </c>
      <c r="AB727" s="124" t="str">
        <f>IFERROR(__xludf.DUMMYFUNCTION("""COMPUTED_VALUE"""),"Test Series")</f>
        <v>Test Series</v>
      </c>
    </row>
    <row r="728">
      <c r="A728" s="126">
        <f>IFERROR(__xludf.DUMMYFUNCTION("""COMPUTED_VALUE"""),46112.0)</f>
        <v>46112</v>
      </c>
      <c r="B728" s="124" t="str">
        <f>IFERROR(__xludf.DUMMYFUNCTION("""COMPUTED_VALUE"""),"Walkin")</f>
        <v>Walkin</v>
      </c>
      <c r="C728" s="124" t="str">
        <f>IFERROR(__xludf.DUMMYFUNCTION("""COMPUTED_VALUE"""),"Lucknow")</f>
        <v>Lucknow</v>
      </c>
      <c r="D728" s="124" t="str">
        <f>IFERROR(__xludf.DUMMYFUNCTION("""COMPUTED_VALUE"""),"Primary_Walkin")</f>
        <v>Primary_Walkin</v>
      </c>
      <c r="E728" s="124">
        <f>IFERROR(__xludf.DUMMYFUNCTION("""COMPUTED_VALUE"""),1.0)</f>
        <v>1</v>
      </c>
      <c r="F728" s="124" t="str">
        <f>IFERROR(__xludf.DUMMYFUNCTION("""COMPUTED_VALUE"""),"Interested")</f>
        <v>Interested</v>
      </c>
      <c r="G728" s="124" t="str">
        <f>IFERROR(__xludf.DUMMYFUNCTION("""COMPUTED_VALUE"""),"GS Foundation")</f>
        <v>GS Foundation</v>
      </c>
      <c r="K728" s="124"/>
      <c r="L728" s="124"/>
      <c r="M728" s="124"/>
      <c r="N728" s="124"/>
      <c r="O728" s="124"/>
      <c r="T728" s="126">
        <f>IFERROR(__xludf.DUMMYFUNCTION("""COMPUTED_VALUE"""),46107.0)</f>
        <v>46107</v>
      </c>
      <c r="U728" s="124" t="str">
        <f>IFERROR(__xludf.DUMMYFUNCTION("""COMPUTED_VALUE"""),"Walk-Ins")</f>
        <v>Walk-Ins</v>
      </c>
      <c r="V728" s="124" t="str">
        <f>IFERROR(__xludf.DUMMYFUNCTION("""COMPUTED_VALUE"""),"Walkin")</f>
        <v>Walkin</v>
      </c>
      <c r="W728" s="124" t="str">
        <f>IFERROR(__xludf.DUMMYFUNCTION("""COMPUTED_VALUE"""),"Indore")</f>
        <v>Indore</v>
      </c>
      <c r="X728" s="124" t="str">
        <f>IFERROR(__xludf.DUMMYFUNCTION("""COMPUTED_VALUE"""),"Walkin")</f>
        <v>Walkin</v>
      </c>
      <c r="Y728" s="124" t="str">
        <f>IFERROR(__xludf.DUMMYFUNCTION("""COMPUTED_VALUE"""),"Indore")</f>
        <v>Indore</v>
      </c>
      <c r="Z728" s="124">
        <f>IFERROR(__xludf.DUMMYFUNCTION("""COMPUTED_VALUE"""),1.0)</f>
        <v>1</v>
      </c>
      <c r="AA728" s="124" t="str">
        <f>IFERROR(__xludf.DUMMYFUNCTION("""COMPUTED_VALUE"""),"Warm")</f>
        <v>Warm</v>
      </c>
      <c r="AB728" s="124" t="str">
        <f>IFERROR(__xludf.DUMMYFUNCTION("""COMPUTED_VALUE"""),"State PCS")</f>
        <v>State PCS</v>
      </c>
    </row>
    <row r="729">
      <c r="A729" s="126">
        <f>IFERROR(__xludf.DUMMYFUNCTION("""COMPUTED_VALUE"""),46097.0)</f>
        <v>46097</v>
      </c>
      <c r="B729" s="124" t="str">
        <f>IFERROR(__xludf.DUMMYFUNCTION("""COMPUTED_VALUE"""),"Walkin")</f>
        <v>Walkin</v>
      </c>
      <c r="C729" s="124" t="str">
        <f>IFERROR(__xludf.DUMMYFUNCTION("""COMPUTED_VALUE"""),"Indore")</f>
        <v>Indore</v>
      </c>
      <c r="D729" s="124" t="str">
        <f>IFERROR(__xludf.DUMMYFUNCTION("""COMPUTED_VALUE"""),"Primary_Walkin")</f>
        <v>Primary_Walkin</v>
      </c>
      <c r="E729" s="124">
        <f>IFERROR(__xludf.DUMMYFUNCTION("""COMPUTED_VALUE"""),1.0)</f>
        <v>1</v>
      </c>
      <c r="F729" s="124" t="str">
        <f>IFERROR(__xludf.DUMMYFUNCTION("""COMPUTED_VALUE"""),"Cold")</f>
        <v>Cold</v>
      </c>
      <c r="G729" s="124" t="str">
        <f>IFERROR(__xludf.DUMMYFUNCTION("""COMPUTED_VALUE"""),"State PCS")</f>
        <v>State PCS</v>
      </c>
      <c r="K729" s="124"/>
      <c r="L729" s="124"/>
      <c r="M729" s="124"/>
      <c r="N729" s="124"/>
      <c r="O729" s="124"/>
      <c r="T729" s="126">
        <f>IFERROR(__xludf.DUMMYFUNCTION("""COMPUTED_VALUE"""),46051.0)</f>
        <v>46051</v>
      </c>
      <c r="U729" s="124" t="str">
        <f>IFERROR(__xludf.DUMMYFUNCTION("""COMPUTED_VALUE"""),"Paid Ads")</f>
        <v>Paid Ads</v>
      </c>
      <c r="V729" s="124" t="str">
        <f>IFERROR(__xludf.DUMMYFUNCTION("""COMPUTED_VALUE"""),"facebook")</f>
        <v>facebook</v>
      </c>
      <c r="W729" s="124" t="str">
        <f>IFERROR(__xludf.DUMMYFUNCTION("""COMPUTED_VALUE"""),"cpc")</f>
        <v>cpc</v>
      </c>
      <c r="X729" s="124" t="str">
        <f>IFERROR(__xludf.DUMMYFUNCTION("""COMPUTED_VALUE"""),"Upsc_Offline_Delhi_Lead_Jan")</f>
        <v>Upsc_Offline_Delhi_Lead_Jan</v>
      </c>
      <c r="Y729" s="124"/>
      <c r="Z729" s="124">
        <f>IFERROR(__xludf.DUMMYFUNCTION("""COMPUTED_VALUE"""),2.0)</f>
        <v>2</v>
      </c>
      <c r="AA729" s="124" t="str">
        <f>IFERROR(__xludf.DUMMYFUNCTION("""COMPUTED_VALUE"""),"Cold")</f>
        <v>Cold</v>
      </c>
      <c r="AB729" s="124"/>
    </row>
    <row r="730">
      <c r="A730" s="126">
        <f>IFERROR(__xludf.DUMMYFUNCTION("""COMPUTED_VALUE"""),46064.0)</f>
        <v>46064</v>
      </c>
      <c r="B730" s="124" t="str">
        <f>IFERROR(__xludf.DUMMYFUNCTION("""COMPUTED_VALUE"""),"Walkin")</f>
        <v>Walkin</v>
      </c>
      <c r="C730" s="124" t="str">
        <f>IFERROR(__xludf.DUMMYFUNCTION("""COMPUTED_VALUE"""),"Indore")</f>
        <v>Indore</v>
      </c>
      <c r="D730" s="124" t="str">
        <f>IFERROR(__xludf.DUMMYFUNCTION("""COMPUTED_VALUE"""),"Primary_Walkin")</f>
        <v>Primary_Walkin</v>
      </c>
      <c r="E730" s="124">
        <f>IFERROR(__xludf.DUMMYFUNCTION("""COMPUTED_VALUE"""),1.0)</f>
        <v>1</v>
      </c>
      <c r="F730" s="124" t="str">
        <f>IFERROR(__xludf.DUMMYFUNCTION("""COMPUTED_VALUE"""),"Cold")</f>
        <v>Cold</v>
      </c>
      <c r="G730" s="124" t="str">
        <f>IFERROR(__xludf.DUMMYFUNCTION("""COMPUTED_VALUE"""),"Other")</f>
        <v>Other</v>
      </c>
      <c r="K730" s="124"/>
      <c r="L730" s="124"/>
      <c r="M730" s="124"/>
      <c r="N730" s="124"/>
      <c r="O730" s="124"/>
      <c r="T730" s="126">
        <f>IFERROR(__xludf.DUMMYFUNCTION("""COMPUTED_VALUE"""),46102.0)</f>
        <v>46102</v>
      </c>
      <c r="U730" s="124" t="str">
        <f>IFERROR(__xludf.DUMMYFUNCTION("""COMPUTED_VALUE"""),"Walk-Ins")</f>
        <v>Walk-Ins</v>
      </c>
      <c r="V730" s="124" t="str">
        <f>IFERROR(__xludf.DUMMYFUNCTION("""COMPUTED_VALUE"""),"Walkin")</f>
        <v>Walkin</v>
      </c>
      <c r="W730" s="124" t="str">
        <f>IFERROR(__xludf.DUMMYFUNCTION("""COMPUTED_VALUE"""),"Lucknow")</f>
        <v>Lucknow</v>
      </c>
      <c r="X730" s="124" t="str">
        <f>IFERROR(__xludf.DUMMYFUNCTION("""COMPUTED_VALUE"""),"Walkin")</f>
        <v>Walkin</v>
      </c>
      <c r="Y730" s="124" t="str">
        <f>IFERROR(__xludf.DUMMYFUNCTION("""COMPUTED_VALUE"""),"Lucknow")</f>
        <v>Lucknow</v>
      </c>
      <c r="Z730" s="124">
        <f>IFERROR(__xludf.DUMMYFUNCTION("""COMPUTED_VALUE"""),1.0)</f>
        <v>1</v>
      </c>
      <c r="AA730" s="124" t="str">
        <f>IFERROR(__xludf.DUMMYFUNCTION("""COMPUTED_VALUE"""),"Cold")</f>
        <v>Cold</v>
      </c>
      <c r="AB730" s="124" t="str">
        <f>IFERROR(__xludf.DUMMYFUNCTION("""COMPUTED_VALUE"""),"GS Foundation")</f>
        <v>GS Foundation</v>
      </c>
    </row>
    <row r="731">
      <c r="A731" s="126">
        <f>IFERROR(__xludf.DUMMYFUNCTION("""COMPUTED_VALUE"""),46087.0)</f>
        <v>46087</v>
      </c>
      <c r="B731" s="124" t="str">
        <f>IFERROR(__xludf.DUMMYFUNCTION("""COMPUTED_VALUE"""),"Walkin")</f>
        <v>Walkin</v>
      </c>
      <c r="C731" s="124" t="str">
        <f>IFERROR(__xludf.DUMMYFUNCTION("""COMPUTED_VALUE"""),"Indore")</f>
        <v>Indore</v>
      </c>
      <c r="D731" s="124" t="str">
        <f>IFERROR(__xludf.DUMMYFUNCTION("""COMPUTED_VALUE"""),"Primary_Walkin")</f>
        <v>Primary_Walkin</v>
      </c>
      <c r="E731" s="124">
        <f>IFERROR(__xludf.DUMMYFUNCTION("""COMPUTED_VALUE"""),2.0)</f>
        <v>2</v>
      </c>
      <c r="F731" s="124" t="str">
        <f>IFERROR(__xludf.DUMMYFUNCTION("""COMPUTED_VALUE"""),"Enrolled")</f>
        <v>Enrolled</v>
      </c>
      <c r="G731" s="124" t="str">
        <f>IFERROR(__xludf.DUMMYFUNCTION("""COMPUTED_VALUE"""),"State PCS")</f>
        <v>State PCS</v>
      </c>
      <c r="K731" s="124"/>
      <c r="L731" s="124"/>
      <c r="M731" s="124"/>
      <c r="N731" s="124"/>
      <c r="O731" s="124"/>
      <c r="T731" s="126">
        <f>IFERROR(__xludf.DUMMYFUNCTION("""COMPUTED_VALUE"""),46091.0)</f>
        <v>46091</v>
      </c>
      <c r="U731" s="124" t="str">
        <f>IFERROR(__xludf.DUMMYFUNCTION("""COMPUTED_VALUE"""),"Walk-Ins")</f>
        <v>Walk-Ins</v>
      </c>
      <c r="V731" s="124" t="str">
        <f>IFERROR(__xludf.DUMMYFUNCTION("""COMPUTED_VALUE"""),"Walkin")</f>
        <v>Walkin</v>
      </c>
      <c r="W731" s="124" t="str">
        <f>IFERROR(__xludf.DUMMYFUNCTION("""COMPUTED_VALUE"""),"Indore")</f>
        <v>Indore</v>
      </c>
      <c r="X731" s="124" t="str">
        <f>IFERROR(__xludf.DUMMYFUNCTION("""COMPUTED_VALUE"""),"Walkin")</f>
        <v>Walkin</v>
      </c>
      <c r="Y731" s="124" t="str">
        <f>IFERROR(__xludf.DUMMYFUNCTION("""COMPUTED_VALUE"""),"Indore")</f>
        <v>Indore</v>
      </c>
      <c r="Z731" s="124">
        <f>IFERROR(__xludf.DUMMYFUNCTION("""COMPUTED_VALUE"""),1.0)</f>
        <v>1</v>
      </c>
      <c r="AA731" s="124" t="str">
        <f>IFERROR(__xludf.DUMMYFUNCTION("""COMPUTED_VALUE"""),"Future Prospects")</f>
        <v>Future Prospects</v>
      </c>
      <c r="AB731" s="124" t="str">
        <f>IFERROR(__xludf.DUMMYFUNCTION("""COMPUTED_VALUE"""),"GS Foundation")</f>
        <v>GS Foundation</v>
      </c>
    </row>
    <row r="732">
      <c r="A732" s="129">
        <f>IFERROR(__xludf.DUMMYFUNCTION("""COMPUTED_VALUE"""),46072.0)</f>
        <v>46072</v>
      </c>
      <c r="B732" s="124" t="str">
        <f>IFERROR(__xludf.DUMMYFUNCTION("""COMPUTED_VALUE"""),"Walkin")</f>
        <v>Walkin</v>
      </c>
      <c r="C732" s="124" t="str">
        <f>IFERROR(__xludf.DUMMYFUNCTION("""COMPUTED_VALUE"""),"Indore")</f>
        <v>Indore</v>
      </c>
      <c r="D732" s="124" t="str">
        <f>IFERROR(__xludf.DUMMYFUNCTION("""COMPUTED_VALUE"""),"Primary_Walkin")</f>
        <v>Primary_Walkin</v>
      </c>
      <c r="E732" s="124">
        <f>IFERROR(__xludf.DUMMYFUNCTION("""COMPUTED_VALUE"""),1.0)</f>
        <v>1</v>
      </c>
      <c r="F732" s="124" t="str">
        <f>IFERROR(__xludf.DUMMYFUNCTION("""COMPUTED_VALUE"""),"Not Interested")</f>
        <v>Not Interested</v>
      </c>
      <c r="G732" s="124" t="str">
        <f>IFERROR(__xludf.DUMMYFUNCTION("""COMPUTED_VALUE"""),"Other")</f>
        <v>Other</v>
      </c>
      <c r="K732" s="124"/>
      <c r="L732" s="124"/>
      <c r="M732" s="124"/>
      <c r="N732" s="124"/>
      <c r="O732" s="124"/>
      <c r="T732" s="126">
        <f>IFERROR(__xludf.DUMMYFUNCTION("""COMPUTED_VALUE"""),46052.0)</f>
        <v>46052</v>
      </c>
      <c r="U732" s="124" t="str">
        <f>IFERROR(__xludf.DUMMYFUNCTION("""COMPUTED_VALUE"""),"Walk-Ins")</f>
        <v>Walk-Ins</v>
      </c>
      <c r="V732" s="124" t="str">
        <f>IFERROR(__xludf.DUMMYFUNCTION("""COMPUTED_VALUE"""),"Walkin")</f>
        <v>Walkin</v>
      </c>
      <c r="W732" s="124" t="str">
        <f>IFERROR(__xludf.DUMMYFUNCTION("""COMPUTED_VALUE"""),"Indore")</f>
        <v>Indore</v>
      </c>
      <c r="X732" s="124" t="str">
        <f>IFERROR(__xludf.DUMMYFUNCTION("""COMPUTED_VALUE"""),"Walkin")</f>
        <v>Walkin</v>
      </c>
      <c r="Y732" s="124" t="str">
        <f>IFERROR(__xludf.DUMMYFUNCTION("""COMPUTED_VALUE"""),"Indore")</f>
        <v>Indore</v>
      </c>
      <c r="Z732" s="124">
        <f>IFERROR(__xludf.DUMMYFUNCTION("""COMPUTED_VALUE"""),2.0)</f>
        <v>2</v>
      </c>
      <c r="AA732" s="124" t="str">
        <f>IFERROR(__xludf.DUMMYFUNCTION("""COMPUTED_VALUE"""),"Enrolled")</f>
        <v>Enrolled</v>
      </c>
      <c r="AB732" s="124" t="str">
        <f>IFERROR(__xludf.DUMMYFUNCTION("""COMPUTED_VALUE"""),"State PCS")</f>
        <v>State PCS</v>
      </c>
    </row>
    <row r="733">
      <c r="A733" s="129">
        <f>IFERROR(__xludf.DUMMYFUNCTION("""COMPUTED_VALUE"""),46098.0)</f>
        <v>46098</v>
      </c>
      <c r="B733" s="124" t="str">
        <f>IFERROR(__xludf.DUMMYFUNCTION("""COMPUTED_VALUE"""),"Inbound Call")</f>
        <v>Inbound Call</v>
      </c>
      <c r="C733" s="124" t="str">
        <f>IFERROR(__xludf.DUMMYFUNCTION("""COMPUTED_VALUE"""),"Indore")</f>
        <v>Indore</v>
      </c>
      <c r="D733" s="124" t="str">
        <f>IFERROR(__xludf.DUMMYFUNCTION("""COMPUTED_VALUE"""),"Secondary_Walkin")</f>
        <v>Secondary_Walkin</v>
      </c>
      <c r="E733" s="124">
        <f>IFERROR(__xludf.DUMMYFUNCTION("""COMPUTED_VALUE"""),2.0)</f>
        <v>2</v>
      </c>
      <c r="F733" s="124" t="str">
        <f>IFERROR(__xludf.DUMMYFUNCTION("""COMPUTED_VALUE"""),"Future Prospects")</f>
        <v>Future Prospects</v>
      </c>
      <c r="G733" s="124" t="str">
        <f>IFERROR(__xludf.DUMMYFUNCTION("""COMPUTED_VALUE"""),"State PCS")</f>
        <v>State PCS</v>
      </c>
      <c r="K733" s="124"/>
      <c r="L733" s="124"/>
      <c r="M733" s="124"/>
      <c r="N733" s="124"/>
      <c r="O733" s="124"/>
      <c r="T733" s="126">
        <f>IFERROR(__xludf.DUMMYFUNCTION("""COMPUTED_VALUE"""),46075.0)</f>
        <v>46075</v>
      </c>
      <c r="U733" s="124" t="str">
        <f>IFERROR(__xludf.DUMMYFUNCTION("""COMPUTED_VALUE"""),"Walk-Ins")</f>
        <v>Walk-Ins</v>
      </c>
      <c r="V733" s="124" t="str">
        <f>IFERROR(__xludf.DUMMYFUNCTION("""COMPUTED_VALUE"""),"Walkin")</f>
        <v>Walkin</v>
      </c>
      <c r="W733" s="124" t="str">
        <f>IFERROR(__xludf.DUMMYFUNCTION("""COMPUTED_VALUE"""),"Prayagraj")</f>
        <v>Prayagraj</v>
      </c>
      <c r="X733" s="124" t="str">
        <f>IFERROR(__xludf.DUMMYFUNCTION("""COMPUTED_VALUE"""),"Walkin")</f>
        <v>Walkin</v>
      </c>
      <c r="Y733" s="124" t="str">
        <f>IFERROR(__xludf.DUMMYFUNCTION("""COMPUTED_VALUE"""),"Prayagraj")</f>
        <v>Prayagraj</v>
      </c>
      <c r="Z733" s="124">
        <f>IFERROR(__xludf.DUMMYFUNCTION("""COMPUTED_VALUE"""),1.0)</f>
        <v>1</v>
      </c>
      <c r="AA733" s="124" t="str">
        <f>IFERROR(__xludf.DUMMYFUNCTION("""COMPUTED_VALUE"""),"Not Interested")</f>
        <v>Not Interested</v>
      </c>
      <c r="AB733" s="124" t="str">
        <f>IFERROR(__xludf.DUMMYFUNCTION("""COMPUTED_VALUE"""),"State PCS")</f>
        <v>State PCS</v>
      </c>
    </row>
    <row r="734">
      <c r="A734" s="129">
        <f>IFERROR(__xludf.DUMMYFUNCTION("""COMPUTED_VALUE"""),46050.0)</f>
        <v>46050</v>
      </c>
      <c r="B734" s="124" t="str">
        <f>IFERROR(__xludf.DUMMYFUNCTION("""COMPUTED_VALUE"""),"Walkin")</f>
        <v>Walkin</v>
      </c>
      <c r="C734" s="124" t="str">
        <f>IFERROR(__xludf.DUMMYFUNCTION("""COMPUTED_VALUE"""),"Indore")</f>
        <v>Indore</v>
      </c>
      <c r="D734" s="124" t="str">
        <f>IFERROR(__xludf.DUMMYFUNCTION("""COMPUTED_VALUE"""),"Primary_Walkin")</f>
        <v>Primary_Walkin</v>
      </c>
      <c r="E734" s="124">
        <f>IFERROR(__xludf.DUMMYFUNCTION("""COMPUTED_VALUE"""),1.0)</f>
        <v>1</v>
      </c>
      <c r="F734" s="124" t="str">
        <f>IFERROR(__xludf.DUMMYFUNCTION("""COMPUTED_VALUE"""),"Cold")</f>
        <v>Cold</v>
      </c>
      <c r="G734" s="124" t="str">
        <f>IFERROR(__xludf.DUMMYFUNCTION("""COMPUTED_VALUE"""),"GS Foundation")</f>
        <v>GS Foundation</v>
      </c>
      <c r="K734" s="124"/>
      <c r="L734" s="124"/>
      <c r="M734" s="124"/>
      <c r="N734" s="124"/>
      <c r="O734" s="124"/>
      <c r="T734" s="126">
        <f>IFERROR(__xludf.DUMMYFUNCTION("""COMPUTED_VALUE"""),46043.0)</f>
        <v>46043</v>
      </c>
      <c r="U734" s="124" t="str">
        <f>IFERROR(__xludf.DUMMYFUNCTION("""COMPUTED_VALUE"""),"Walk-Ins")</f>
        <v>Walk-Ins</v>
      </c>
      <c r="V734" s="124" t="str">
        <f>IFERROR(__xludf.DUMMYFUNCTION("""COMPUTED_VALUE"""),"Walkin")</f>
        <v>Walkin</v>
      </c>
      <c r="W734" s="124" t="str">
        <f>IFERROR(__xludf.DUMMYFUNCTION("""COMPUTED_VALUE"""),"Lucknow")</f>
        <v>Lucknow</v>
      </c>
      <c r="X734" s="124" t="str">
        <f>IFERROR(__xludf.DUMMYFUNCTION("""COMPUTED_VALUE"""),"Walkin")</f>
        <v>Walkin</v>
      </c>
      <c r="Y734" s="124" t="str">
        <f>IFERROR(__xludf.DUMMYFUNCTION("""COMPUTED_VALUE"""),"Lucknow")</f>
        <v>Lucknow</v>
      </c>
      <c r="Z734" s="124">
        <f>IFERROR(__xludf.DUMMYFUNCTION("""COMPUTED_VALUE"""),2.0)</f>
        <v>2</v>
      </c>
      <c r="AA734" s="124" t="str">
        <f>IFERROR(__xludf.DUMMYFUNCTION("""COMPUTED_VALUE"""),"Not Interested")</f>
        <v>Not Interested</v>
      </c>
      <c r="AB734" s="124" t="str">
        <f>IFERROR(__xludf.DUMMYFUNCTION("""COMPUTED_VALUE"""),"State PCS")</f>
        <v>State PCS</v>
      </c>
    </row>
    <row r="735">
      <c r="A735" s="129">
        <f>IFERROR(__xludf.DUMMYFUNCTION("""COMPUTED_VALUE"""),46097.0)</f>
        <v>46097</v>
      </c>
      <c r="B735" s="124" t="str">
        <f>IFERROR(__xludf.DUMMYFUNCTION("""COMPUTED_VALUE"""),"walk-in")</f>
        <v>walk-in</v>
      </c>
      <c r="C735" s="124" t="str">
        <f>IFERROR(__xludf.DUMMYFUNCTION("""COMPUTED_VALUE"""),"Indore")</f>
        <v>Indore</v>
      </c>
      <c r="D735" s="124" t="str">
        <f>IFERROR(__xludf.DUMMYFUNCTION("""COMPUTED_VALUE"""),"Primary_Walkin")</f>
        <v>Primary_Walkin</v>
      </c>
      <c r="E735" s="124">
        <f>IFERROR(__xludf.DUMMYFUNCTION("""COMPUTED_VALUE"""),1.0)</f>
        <v>1</v>
      </c>
      <c r="F735" s="124" t="str">
        <f>IFERROR(__xludf.DUMMYFUNCTION("""COMPUTED_VALUE"""),"Cold")</f>
        <v>Cold</v>
      </c>
      <c r="G735" s="124" t="str">
        <f>IFERROR(__xludf.DUMMYFUNCTION("""COMPUTED_VALUE"""),"State PCS")</f>
        <v>State PCS</v>
      </c>
      <c r="K735" s="124"/>
      <c r="L735" s="124"/>
      <c r="M735" s="124"/>
      <c r="N735" s="124"/>
      <c r="O735" s="124"/>
      <c r="T735" s="126">
        <f>IFERROR(__xludf.DUMMYFUNCTION("""COMPUTED_VALUE"""),46096.0)</f>
        <v>46096</v>
      </c>
      <c r="U735" s="124" t="str">
        <f>IFERROR(__xludf.DUMMYFUNCTION("""COMPUTED_VALUE"""),"Walk-Ins")</f>
        <v>Walk-Ins</v>
      </c>
      <c r="V735" s="124" t="str">
        <f>IFERROR(__xludf.DUMMYFUNCTION("""COMPUTED_VALUE"""),"Walkin")</f>
        <v>Walkin</v>
      </c>
      <c r="W735" s="124" t="str">
        <f>IFERROR(__xludf.DUMMYFUNCTION("""COMPUTED_VALUE"""),"Prayagraj")</f>
        <v>Prayagraj</v>
      </c>
      <c r="X735" s="124" t="str">
        <f>IFERROR(__xludf.DUMMYFUNCTION("""COMPUTED_VALUE"""),"Walkin")</f>
        <v>Walkin</v>
      </c>
      <c r="Y735" s="124" t="str">
        <f>IFERROR(__xludf.DUMMYFUNCTION("""COMPUTED_VALUE"""),"Prayagraj")</f>
        <v>Prayagraj</v>
      </c>
      <c r="Z735" s="124">
        <f>IFERROR(__xludf.DUMMYFUNCTION("""COMPUTED_VALUE"""),1.0)</f>
        <v>1</v>
      </c>
      <c r="AA735" s="124" t="str">
        <f>IFERROR(__xludf.DUMMYFUNCTION("""COMPUTED_VALUE"""),"Cold")</f>
        <v>Cold</v>
      </c>
      <c r="AB735" s="124" t="str">
        <f>IFERROR(__xludf.DUMMYFUNCTION("""COMPUTED_VALUE"""),"Mentorship")</f>
        <v>Mentorship</v>
      </c>
    </row>
    <row r="736">
      <c r="A736" s="126">
        <f>IFERROR(__xludf.DUMMYFUNCTION("""COMPUTED_VALUE"""),46072.0)</f>
        <v>46072</v>
      </c>
      <c r="B736" s="124" t="str">
        <f>IFERROR(__xludf.DUMMYFUNCTION("""COMPUTED_VALUE"""),"Walkin")</f>
        <v>Walkin</v>
      </c>
      <c r="C736" s="124" t="str">
        <f>IFERROR(__xludf.DUMMYFUNCTION("""COMPUTED_VALUE"""),"Indore")</f>
        <v>Indore</v>
      </c>
      <c r="D736" s="124" t="str">
        <f>IFERROR(__xludf.DUMMYFUNCTION("""COMPUTED_VALUE"""),"Primary_Walkin")</f>
        <v>Primary_Walkin</v>
      </c>
      <c r="E736" s="124">
        <f>IFERROR(__xludf.DUMMYFUNCTION("""COMPUTED_VALUE"""),2.0)</f>
        <v>2</v>
      </c>
      <c r="F736" s="124" t="str">
        <f>IFERROR(__xludf.DUMMYFUNCTION("""COMPUTED_VALUE"""),"Cold")</f>
        <v>Cold</v>
      </c>
      <c r="G736" s="124" t="str">
        <f>IFERROR(__xludf.DUMMYFUNCTION("""COMPUTED_VALUE"""),"GS Foundation")</f>
        <v>GS Foundation</v>
      </c>
      <c r="K736" s="124"/>
      <c r="L736" s="124"/>
      <c r="M736" s="124"/>
      <c r="N736" s="124"/>
      <c r="O736" s="124"/>
      <c r="T736" s="126">
        <f>IFERROR(__xludf.DUMMYFUNCTION("""COMPUTED_VALUE"""),46064.0)</f>
        <v>46064</v>
      </c>
      <c r="U736" s="124" t="str">
        <f>IFERROR(__xludf.DUMMYFUNCTION("""COMPUTED_VALUE"""),"Walk-Ins")</f>
        <v>Walk-Ins</v>
      </c>
      <c r="V736" s="124" t="str">
        <f>IFERROR(__xludf.DUMMYFUNCTION("""COMPUTED_VALUE"""),"Walkin")</f>
        <v>Walkin</v>
      </c>
      <c r="W736" s="124" t="str">
        <f>IFERROR(__xludf.DUMMYFUNCTION("""COMPUTED_VALUE"""),"Patna")</f>
        <v>Patna</v>
      </c>
      <c r="X736" s="124" t="str">
        <f>IFERROR(__xludf.DUMMYFUNCTION("""COMPUTED_VALUE"""),"Walkin")</f>
        <v>Walkin</v>
      </c>
      <c r="Y736" s="124" t="str">
        <f>IFERROR(__xludf.DUMMYFUNCTION("""COMPUTED_VALUE"""),"Patna")</f>
        <v>Patna</v>
      </c>
      <c r="Z736" s="124">
        <f>IFERROR(__xludf.DUMMYFUNCTION("""COMPUTED_VALUE"""),2.0)</f>
        <v>2</v>
      </c>
      <c r="AA736" s="124" t="str">
        <f>IFERROR(__xludf.DUMMYFUNCTION("""COMPUTED_VALUE"""),"Warm")</f>
        <v>Warm</v>
      </c>
      <c r="AB736" s="124" t="str">
        <f>IFERROR(__xludf.DUMMYFUNCTION("""COMPUTED_VALUE"""),"State PCS")</f>
        <v>State PCS</v>
      </c>
    </row>
    <row r="737">
      <c r="A737" s="126">
        <f>IFERROR(__xludf.DUMMYFUNCTION("""COMPUTED_VALUE"""),46104.0)</f>
        <v>46104</v>
      </c>
      <c r="B737" s="124" t="str">
        <f>IFERROR(__xludf.DUMMYFUNCTION("""COMPUTED_VALUE"""),"Walkin")</f>
        <v>Walkin</v>
      </c>
      <c r="C737" s="124" t="str">
        <f>IFERROR(__xludf.DUMMYFUNCTION("""COMPUTED_VALUE"""),"Indore")</f>
        <v>Indore</v>
      </c>
      <c r="D737" s="124" t="str">
        <f>IFERROR(__xludf.DUMMYFUNCTION("""COMPUTED_VALUE"""),"Primary_Walkin")</f>
        <v>Primary_Walkin</v>
      </c>
      <c r="E737" s="124">
        <f>IFERROR(__xludf.DUMMYFUNCTION("""COMPUTED_VALUE"""),1.0)</f>
        <v>1</v>
      </c>
      <c r="F737" s="124" t="str">
        <f>IFERROR(__xludf.DUMMYFUNCTION("""COMPUTED_VALUE"""),"Enrolled")</f>
        <v>Enrolled</v>
      </c>
      <c r="G737" s="124" t="str">
        <f>IFERROR(__xludf.DUMMYFUNCTION("""COMPUTED_VALUE"""),"GS Foundation")</f>
        <v>GS Foundation</v>
      </c>
      <c r="K737" s="124"/>
      <c r="L737" s="124"/>
      <c r="M737" s="124"/>
      <c r="N737" s="124"/>
      <c r="O737" s="124"/>
      <c r="T737" s="126">
        <f>IFERROR(__xludf.DUMMYFUNCTION("""COMPUTED_VALUE"""),46057.0)</f>
        <v>46057</v>
      </c>
      <c r="U737" s="124" t="str">
        <f>IFERROR(__xludf.DUMMYFUNCTION("""COMPUTED_VALUE"""),"Walk-Ins")</f>
        <v>Walk-Ins</v>
      </c>
      <c r="V737" s="124" t="str">
        <f>IFERROR(__xludf.DUMMYFUNCTION("""COMPUTED_VALUE"""),"Walkin")</f>
        <v>Walkin</v>
      </c>
      <c r="W737" s="124" t="str">
        <f>IFERROR(__xludf.DUMMYFUNCTION("""COMPUTED_VALUE"""),"Patna")</f>
        <v>Patna</v>
      </c>
      <c r="X737" s="124" t="str">
        <f>IFERROR(__xludf.DUMMYFUNCTION("""COMPUTED_VALUE"""),"Walkin")</f>
        <v>Walkin</v>
      </c>
      <c r="Y737" s="124" t="str">
        <f>IFERROR(__xludf.DUMMYFUNCTION("""COMPUTED_VALUE"""),"Patna")</f>
        <v>Patna</v>
      </c>
      <c r="Z737" s="124">
        <f>IFERROR(__xludf.DUMMYFUNCTION("""COMPUTED_VALUE"""),3.0)</f>
        <v>3</v>
      </c>
      <c r="AA737" s="124" t="str">
        <f>IFERROR(__xludf.DUMMYFUNCTION("""COMPUTED_VALUE"""),"Cold")</f>
        <v>Cold</v>
      </c>
      <c r="AB737" s="124" t="str">
        <f>IFERROR(__xludf.DUMMYFUNCTION("""COMPUTED_VALUE"""),"State PCS")</f>
        <v>State PCS</v>
      </c>
    </row>
    <row r="738">
      <c r="A738" s="126">
        <f>IFERROR(__xludf.DUMMYFUNCTION("""COMPUTED_VALUE"""),46075.0)</f>
        <v>46075</v>
      </c>
      <c r="B738" s="124" t="str">
        <f>IFERROR(__xludf.DUMMYFUNCTION("""COMPUTED_VALUE"""),"Walkin")</f>
        <v>Walkin</v>
      </c>
      <c r="C738" s="124" t="str">
        <f>IFERROR(__xludf.DUMMYFUNCTION("""COMPUTED_VALUE"""),"Indore")</f>
        <v>Indore</v>
      </c>
      <c r="D738" s="124" t="str">
        <f>IFERROR(__xludf.DUMMYFUNCTION("""COMPUTED_VALUE"""),"Primary_Walkin")</f>
        <v>Primary_Walkin</v>
      </c>
      <c r="E738" s="124">
        <f>IFERROR(__xludf.DUMMYFUNCTION("""COMPUTED_VALUE"""),1.0)</f>
        <v>1</v>
      </c>
      <c r="F738" s="124" t="str">
        <f>IFERROR(__xludf.DUMMYFUNCTION("""COMPUTED_VALUE"""),"Cold")</f>
        <v>Cold</v>
      </c>
      <c r="G738" s="124" t="str">
        <f>IFERROR(__xludf.DUMMYFUNCTION("""COMPUTED_VALUE"""),"Other")</f>
        <v>Other</v>
      </c>
      <c r="K738" s="124"/>
      <c r="L738" s="124"/>
      <c r="M738" s="124"/>
      <c r="N738" s="124"/>
      <c r="O738" s="124"/>
      <c r="T738" s="126">
        <f>IFERROR(__xludf.DUMMYFUNCTION("""COMPUTED_VALUE"""),46096.0)</f>
        <v>46096</v>
      </c>
      <c r="U738" s="124" t="str">
        <f>IFERROR(__xludf.DUMMYFUNCTION("""COMPUTED_VALUE"""),"Walk-Ins")</f>
        <v>Walk-Ins</v>
      </c>
      <c r="V738" s="124" t="str">
        <f>IFERROR(__xludf.DUMMYFUNCTION("""COMPUTED_VALUE"""),"Walkin")</f>
        <v>Walkin</v>
      </c>
      <c r="W738" s="124" t="str">
        <f>IFERROR(__xludf.DUMMYFUNCTION("""COMPUTED_VALUE"""),"Indore")</f>
        <v>Indore</v>
      </c>
      <c r="X738" s="124" t="str">
        <f>IFERROR(__xludf.DUMMYFUNCTION("""COMPUTED_VALUE"""),"Walkin")</f>
        <v>Walkin</v>
      </c>
      <c r="Y738" s="124" t="str">
        <f>IFERROR(__xludf.DUMMYFUNCTION("""COMPUTED_VALUE"""),"Indore")</f>
        <v>Indore</v>
      </c>
      <c r="Z738" s="124">
        <f>IFERROR(__xludf.DUMMYFUNCTION("""COMPUTED_VALUE"""),1.0)</f>
        <v>1</v>
      </c>
      <c r="AA738" s="124" t="str">
        <f>IFERROR(__xludf.DUMMYFUNCTION("""COMPUTED_VALUE"""),"Future Prospects")</f>
        <v>Future Prospects</v>
      </c>
      <c r="AB738" s="124" t="str">
        <f>IFERROR(__xludf.DUMMYFUNCTION("""COMPUTED_VALUE"""),"GS Foundation")</f>
        <v>GS Foundation</v>
      </c>
    </row>
    <row r="739">
      <c r="A739" s="129">
        <f>IFERROR(__xludf.DUMMYFUNCTION("""COMPUTED_VALUE"""),46064.0)</f>
        <v>46064</v>
      </c>
      <c r="B739" s="124" t="str">
        <f>IFERROR(__xludf.DUMMYFUNCTION("""COMPUTED_VALUE"""),"Walkin")</f>
        <v>Walkin</v>
      </c>
      <c r="C739" s="124" t="str">
        <f>IFERROR(__xludf.DUMMYFUNCTION("""COMPUTED_VALUE"""),"Indore")</f>
        <v>Indore</v>
      </c>
      <c r="D739" s="124" t="str">
        <f>IFERROR(__xludf.DUMMYFUNCTION("""COMPUTED_VALUE"""),"Primary_Walkin")</f>
        <v>Primary_Walkin</v>
      </c>
      <c r="E739" s="124">
        <f>IFERROR(__xludf.DUMMYFUNCTION("""COMPUTED_VALUE"""),3.0)</f>
        <v>3</v>
      </c>
      <c r="F739" s="124" t="str">
        <f>IFERROR(__xludf.DUMMYFUNCTION("""COMPUTED_VALUE"""),"Future Prospects")</f>
        <v>Future Prospects</v>
      </c>
      <c r="G739" s="124" t="str">
        <f>IFERROR(__xludf.DUMMYFUNCTION("""COMPUTED_VALUE"""),"GS Foundation")</f>
        <v>GS Foundation</v>
      </c>
      <c r="K739" s="124"/>
      <c r="L739" s="124"/>
      <c r="M739" s="124"/>
      <c r="N739" s="124"/>
      <c r="O739" s="124"/>
      <c r="T739" s="126">
        <f>IFERROR(__xludf.DUMMYFUNCTION("""COMPUTED_VALUE"""),46043.0)</f>
        <v>46043</v>
      </c>
      <c r="U739" s="124" t="str">
        <f>IFERROR(__xludf.DUMMYFUNCTION("""COMPUTED_VALUE"""),"Walk-Ins")</f>
        <v>Walk-Ins</v>
      </c>
      <c r="V739" s="124" t="str">
        <f>IFERROR(__xludf.DUMMYFUNCTION("""COMPUTED_VALUE"""),"Walkin")</f>
        <v>Walkin</v>
      </c>
      <c r="W739" s="124" t="str">
        <f>IFERROR(__xludf.DUMMYFUNCTION("""COMPUTED_VALUE"""),"Prayagraj")</f>
        <v>Prayagraj</v>
      </c>
      <c r="X739" s="124" t="str">
        <f>IFERROR(__xludf.DUMMYFUNCTION("""COMPUTED_VALUE"""),"Walkin")</f>
        <v>Walkin</v>
      </c>
      <c r="Y739" s="124" t="str">
        <f>IFERROR(__xludf.DUMMYFUNCTION("""COMPUTED_VALUE"""),"Prayagraj")</f>
        <v>Prayagraj</v>
      </c>
      <c r="Z739" s="124">
        <f>IFERROR(__xludf.DUMMYFUNCTION("""COMPUTED_VALUE"""),1.0)</f>
        <v>1</v>
      </c>
      <c r="AA739" s="124" t="str">
        <f>IFERROR(__xludf.DUMMYFUNCTION("""COMPUTED_VALUE"""),"Not Interested")</f>
        <v>Not Interested</v>
      </c>
      <c r="AB739" s="124" t="str">
        <f>IFERROR(__xludf.DUMMYFUNCTION("""COMPUTED_VALUE"""),"Mentorship")</f>
        <v>Mentorship</v>
      </c>
    </row>
    <row r="740">
      <c r="A740" s="126">
        <f>IFERROR(__xludf.DUMMYFUNCTION("""COMPUTED_VALUE"""),46044.0)</f>
        <v>46044</v>
      </c>
      <c r="B740" s="124" t="str">
        <f>IFERROR(__xludf.DUMMYFUNCTION("""COMPUTED_VALUE"""),"Walkin")</f>
        <v>Walkin</v>
      </c>
      <c r="C740" s="124" t="str">
        <f>IFERROR(__xludf.DUMMYFUNCTION("""COMPUTED_VALUE"""),"Indore")</f>
        <v>Indore</v>
      </c>
      <c r="D740" s="124" t="str">
        <f>IFERROR(__xludf.DUMMYFUNCTION("""COMPUTED_VALUE"""),"Primary_Walkin")</f>
        <v>Primary_Walkin</v>
      </c>
      <c r="E740" s="124">
        <f>IFERROR(__xludf.DUMMYFUNCTION("""COMPUTED_VALUE"""),1.0)</f>
        <v>1</v>
      </c>
      <c r="F740" s="124" t="str">
        <f>IFERROR(__xludf.DUMMYFUNCTION("""COMPUTED_VALUE"""),"Enrolled")</f>
        <v>Enrolled</v>
      </c>
      <c r="G740" s="124" t="str">
        <f>IFERROR(__xludf.DUMMYFUNCTION("""COMPUTED_VALUE"""),"GS Foundation")</f>
        <v>GS Foundation</v>
      </c>
      <c r="K740" s="124"/>
      <c r="L740" s="124"/>
      <c r="M740" s="124"/>
      <c r="N740" s="124"/>
      <c r="O740" s="124"/>
      <c r="T740" s="129">
        <f>IFERROR(__xludf.DUMMYFUNCTION("""COMPUTED_VALUE"""),46101.0)</f>
        <v>46101</v>
      </c>
      <c r="U740" s="124" t="str">
        <f>IFERROR(__xludf.DUMMYFUNCTION("""COMPUTED_VALUE"""),"Walk-Ins")</f>
        <v>Walk-Ins</v>
      </c>
      <c r="V740" s="124" t="str">
        <f>IFERROR(__xludf.DUMMYFUNCTION("""COMPUTED_VALUE"""),"Walkin")</f>
        <v>Walkin</v>
      </c>
      <c r="W740" s="124" t="str">
        <f>IFERROR(__xludf.DUMMYFUNCTION("""COMPUTED_VALUE"""),"Indore")</f>
        <v>Indore</v>
      </c>
      <c r="X740" s="124" t="str">
        <f>IFERROR(__xludf.DUMMYFUNCTION("""COMPUTED_VALUE"""),"Walkin")</f>
        <v>Walkin</v>
      </c>
      <c r="Y740" s="124" t="str">
        <f>IFERROR(__xludf.DUMMYFUNCTION("""COMPUTED_VALUE"""),"Indore")</f>
        <v>Indore</v>
      </c>
      <c r="Z740" s="124">
        <f>IFERROR(__xludf.DUMMYFUNCTION("""COMPUTED_VALUE"""),1.0)</f>
        <v>1</v>
      </c>
      <c r="AA740" s="124" t="str">
        <f>IFERROR(__xludf.DUMMYFUNCTION("""COMPUTED_VALUE"""),"Not Interested")</f>
        <v>Not Interested</v>
      </c>
      <c r="AB740" s="124" t="str">
        <f>IFERROR(__xludf.DUMMYFUNCTION("""COMPUTED_VALUE"""),"GS Foundation")</f>
        <v>GS Foundation</v>
      </c>
    </row>
    <row r="741">
      <c r="A741" s="126">
        <f>IFERROR(__xludf.DUMMYFUNCTION("""COMPUTED_VALUE"""),46057.0)</f>
        <v>46057</v>
      </c>
      <c r="B741" s="124" t="str">
        <f>IFERROR(__xludf.DUMMYFUNCTION("""COMPUTED_VALUE"""),"Walkin")</f>
        <v>Walkin</v>
      </c>
      <c r="C741" s="124" t="str">
        <f>IFERROR(__xludf.DUMMYFUNCTION("""COMPUTED_VALUE"""),"Indore")</f>
        <v>Indore</v>
      </c>
      <c r="D741" s="124" t="str">
        <f>IFERROR(__xludf.DUMMYFUNCTION("""COMPUTED_VALUE"""),"Primary_Walkin")</f>
        <v>Primary_Walkin</v>
      </c>
      <c r="E741" s="124">
        <f>IFERROR(__xludf.DUMMYFUNCTION("""COMPUTED_VALUE"""),1.0)</f>
        <v>1</v>
      </c>
      <c r="F741" s="124" t="str">
        <f>IFERROR(__xludf.DUMMYFUNCTION("""COMPUTED_VALUE"""),"Warm")</f>
        <v>Warm</v>
      </c>
      <c r="G741" s="124" t="str">
        <f>IFERROR(__xludf.DUMMYFUNCTION("""COMPUTED_VALUE"""),"Test Series")</f>
        <v>Test Series</v>
      </c>
      <c r="K741" s="124"/>
      <c r="L741" s="124"/>
      <c r="M741" s="124"/>
      <c r="N741" s="124"/>
      <c r="O741" s="124"/>
      <c r="T741" s="126">
        <f>IFERROR(__xludf.DUMMYFUNCTION("""COMPUTED_VALUE"""),46057.0)</f>
        <v>46057</v>
      </c>
      <c r="U741" s="124" t="str">
        <f>IFERROR(__xludf.DUMMYFUNCTION("""COMPUTED_VALUE"""),"Walk-Ins")</f>
        <v>Walk-Ins</v>
      </c>
      <c r="V741" s="124" t="str">
        <f>IFERROR(__xludf.DUMMYFUNCTION("""COMPUTED_VALUE"""),"Walkin")</f>
        <v>Walkin</v>
      </c>
      <c r="W741" s="124" t="str">
        <f>IFERROR(__xludf.DUMMYFUNCTION("""COMPUTED_VALUE"""),"Prayagraj")</f>
        <v>Prayagraj</v>
      </c>
      <c r="X741" s="124" t="str">
        <f>IFERROR(__xludf.DUMMYFUNCTION("""COMPUTED_VALUE"""),"Walkin")</f>
        <v>Walkin</v>
      </c>
      <c r="Y741" s="124" t="str">
        <f>IFERROR(__xludf.DUMMYFUNCTION("""COMPUTED_VALUE"""),"Prayagraj")</f>
        <v>Prayagraj</v>
      </c>
      <c r="Z741" s="124">
        <f>IFERROR(__xludf.DUMMYFUNCTION("""COMPUTED_VALUE"""),1.0)</f>
        <v>1</v>
      </c>
      <c r="AA741" s="124" t="str">
        <f>IFERROR(__xludf.DUMMYFUNCTION("""COMPUTED_VALUE"""),"Enrolled")</f>
        <v>Enrolled</v>
      </c>
      <c r="AB741" s="124" t="str">
        <f>IFERROR(__xludf.DUMMYFUNCTION("""COMPUTED_VALUE"""),"State PCS")</f>
        <v>State PCS</v>
      </c>
    </row>
    <row r="742">
      <c r="A742" s="126">
        <f>IFERROR(__xludf.DUMMYFUNCTION("""COMPUTED_VALUE"""),46094.0)</f>
        <v>46094</v>
      </c>
      <c r="B742" s="124" t="str">
        <f>IFERROR(__xludf.DUMMYFUNCTION("""COMPUTED_VALUE"""),"Walkin")</f>
        <v>Walkin</v>
      </c>
      <c r="C742" s="124" t="str">
        <f>IFERROR(__xludf.DUMMYFUNCTION("""COMPUTED_VALUE"""),"Indore")</f>
        <v>Indore</v>
      </c>
      <c r="D742" s="124" t="str">
        <f>IFERROR(__xludf.DUMMYFUNCTION("""COMPUTED_VALUE"""),"Primary_Walkin")</f>
        <v>Primary_Walkin</v>
      </c>
      <c r="E742" s="124">
        <f>IFERROR(__xludf.DUMMYFUNCTION("""COMPUTED_VALUE"""),3.0)</f>
        <v>3</v>
      </c>
      <c r="F742" s="124" t="str">
        <f>IFERROR(__xludf.DUMMYFUNCTION("""COMPUTED_VALUE"""),"Future Prospects")</f>
        <v>Future Prospects</v>
      </c>
      <c r="G742" s="124" t="str">
        <f>IFERROR(__xludf.DUMMYFUNCTION("""COMPUTED_VALUE"""),"GS Foundation")</f>
        <v>GS Foundation</v>
      </c>
      <c r="K742" s="124"/>
      <c r="L742" s="124"/>
      <c r="M742" s="124"/>
      <c r="N742" s="124"/>
      <c r="O742" s="124"/>
      <c r="T742" s="126">
        <f>IFERROR(__xludf.DUMMYFUNCTION("""COMPUTED_VALUE"""),46092.0)</f>
        <v>46092</v>
      </c>
      <c r="U742" s="124" t="str">
        <f>IFERROR(__xludf.DUMMYFUNCTION("""COMPUTED_VALUE"""),"Walk-Ins")</f>
        <v>Walk-Ins</v>
      </c>
      <c r="V742" s="124" t="str">
        <f>IFERROR(__xludf.DUMMYFUNCTION("""COMPUTED_VALUE"""),"Walkin")</f>
        <v>Walkin</v>
      </c>
      <c r="W742" s="124" t="str">
        <f>IFERROR(__xludf.DUMMYFUNCTION("""COMPUTED_VALUE"""),"Patna")</f>
        <v>Patna</v>
      </c>
      <c r="X742" s="124" t="str">
        <f>IFERROR(__xludf.DUMMYFUNCTION("""COMPUTED_VALUE"""),"Walkin")</f>
        <v>Walkin</v>
      </c>
      <c r="Y742" s="124" t="str">
        <f>IFERROR(__xludf.DUMMYFUNCTION("""COMPUTED_VALUE"""),"Patna")</f>
        <v>Patna</v>
      </c>
      <c r="Z742" s="124">
        <f>IFERROR(__xludf.DUMMYFUNCTION("""COMPUTED_VALUE"""),3.0)</f>
        <v>3</v>
      </c>
      <c r="AA742" s="124" t="str">
        <f>IFERROR(__xludf.DUMMYFUNCTION("""COMPUTED_VALUE"""),"Cold")</f>
        <v>Cold</v>
      </c>
      <c r="AB742" s="124" t="str">
        <f>IFERROR(__xludf.DUMMYFUNCTION("""COMPUTED_VALUE"""),"State PCS")</f>
        <v>State PCS</v>
      </c>
    </row>
    <row r="743">
      <c r="A743" s="126">
        <f>IFERROR(__xludf.DUMMYFUNCTION("""COMPUTED_VALUE"""),46071.0)</f>
        <v>46071</v>
      </c>
      <c r="B743" s="124" t="str">
        <f>IFERROR(__xludf.DUMMYFUNCTION("""COMPUTED_VALUE"""),"Walkin")</f>
        <v>Walkin</v>
      </c>
      <c r="C743" s="124" t="str">
        <f>IFERROR(__xludf.DUMMYFUNCTION("""COMPUTED_VALUE"""),"Indore")</f>
        <v>Indore</v>
      </c>
      <c r="D743" s="124" t="str">
        <f>IFERROR(__xludf.DUMMYFUNCTION("""COMPUTED_VALUE"""),"Primary_Walkin")</f>
        <v>Primary_Walkin</v>
      </c>
      <c r="E743" s="124">
        <f>IFERROR(__xludf.DUMMYFUNCTION("""COMPUTED_VALUE"""),2.0)</f>
        <v>2</v>
      </c>
      <c r="F743" s="124" t="str">
        <f>IFERROR(__xludf.DUMMYFUNCTION("""COMPUTED_VALUE"""),"Future Prospects")</f>
        <v>Future Prospects</v>
      </c>
      <c r="G743" s="124" t="str">
        <f>IFERROR(__xludf.DUMMYFUNCTION("""COMPUTED_VALUE"""),"Other")</f>
        <v>Other</v>
      </c>
      <c r="K743" s="124"/>
      <c r="L743" s="124"/>
      <c r="M743" s="124"/>
      <c r="N743" s="124"/>
      <c r="O743" s="124"/>
      <c r="T743" s="126">
        <f>IFERROR(__xludf.DUMMYFUNCTION("""COMPUTED_VALUE"""),46095.0)</f>
        <v>46095</v>
      </c>
      <c r="U743" s="124" t="str">
        <f>IFERROR(__xludf.DUMMYFUNCTION("""COMPUTED_VALUE"""),"Walk-Ins")</f>
        <v>Walk-Ins</v>
      </c>
      <c r="V743" s="124" t="str">
        <f>IFERROR(__xludf.DUMMYFUNCTION("""COMPUTED_VALUE"""),"Walkin")</f>
        <v>Walkin</v>
      </c>
      <c r="W743" s="124" t="str">
        <f>IFERROR(__xludf.DUMMYFUNCTION("""COMPUTED_VALUE"""),"Prayagraj")</f>
        <v>Prayagraj</v>
      </c>
      <c r="X743" s="124" t="str">
        <f>IFERROR(__xludf.DUMMYFUNCTION("""COMPUTED_VALUE"""),"Walkin")</f>
        <v>Walkin</v>
      </c>
      <c r="Y743" s="124" t="str">
        <f>IFERROR(__xludf.DUMMYFUNCTION("""COMPUTED_VALUE"""),"Prayagraj")</f>
        <v>Prayagraj</v>
      </c>
      <c r="Z743" s="124">
        <f>IFERROR(__xludf.DUMMYFUNCTION("""COMPUTED_VALUE"""),1.0)</f>
        <v>1</v>
      </c>
      <c r="AA743" s="124" t="str">
        <f>IFERROR(__xludf.DUMMYFUNCTION("""COMPUTED_VALUE"""),"Interested")</f>
        <v>Interested</v>
      </c>
      <c r="AB743" s="124" t="str">
        <f>IFERROR(__xludf.DUMMYFUNCTION("""COMPUTED_VALUE"""),"GS Foundation")</f>
        <v>GS Foundation</v>
      </c>
    </row>
    <row r="744">
      <c r="A744" s="126">
        <f>IFERROR(__xludf.DUMMYFUNCTION("""COMPUTED_VALUE"""),46050.0)</f>
        <v>46050</v>
      </c>
      <c r="B744" s="124" t="str">
        <f>IFERROR(__xludf.DUMMYFUNCTION("""COMPUTED_VALUE"""),"Walkin")</f>
        <v>Walkin</v>
      </c>
      <c r="C744" s="124" t="str">
        <f>IFERROR(__xludf.DUMMYFUNCTION("""COMPUTED_VALUE"""),"Indore")</f>
        <v>Indore</v>
      </c>
      <c r="D744" s="124" t="str">
        <f>IFERROR(__xludf.DUMMYFUNCTION("""COMPUTED_VALUE"""),"Primary_Walkin")</f>
        <v>Primary_Walkin</v>
      </c>
      <c r="E744" s="124">
        <f>IFERROR(__xludf.DUMMYFUNCTION("""COMPUTED_VALUE"""),1.0)</f>
        <v>1</v>
      </c>
      <c r="F744" s="124" t="str">
        <f>IFERROR(__xludf.DUMMYFUNCTION("""COMPUTED_VALUE"""),"Not Interested")</f>
        <v>Not Interested</v>
      </c>
      <c r="G744" s="124" t="str">
        <f>IFERROR(__xludf.DUMMYFUNCTION("""COMPUTED_VALUE"""),"Mentorship")</f>
        <v>Mentorship</v>
      </c>
      <c r="K744" s="124"/>
      <c r="L744" s="124"/>
      <c r="M744" s="124"/>
      <c r="N744" s="124"/>
      <c r="O744" s="124"/>
      <c r="T744" s="129">
        <f>IFERROR(__xludf.DUMMYFUNCTION("""COMPUTED_VALUE"""),46097.0)</f>
        <v>46097</v>
      </c>
      <c r="U744" s="124" t="str">
        <f>IFERROR(__xludf.DUMMYFUNCTION("""COMPUTED_VALUE"""),"Walk-Ins")</f>
        <v>Walk-Ins</v>
      </c>
      <c r="V744" s="124" t="str">
        <f>IFERROR(__xludf.DUMMYFUNCTION("""COMPUTED_VALUE"""),"Walkin")</f>
        <v>Walkin</v>
      </c>
      <c r="W744" s="124" t="str">
        <f>IFERROR(__xludf.DUMMYFUNCTION("""COMPUTED_VALUE"""),"Patna")</f>
        <v>Patna</v>
      </c>
      <c r="X744" s="124" t="str">
        <f>IFERROR(__xludf.DUMMYFUNCTION("""COMPUTED_VALUE"""),"Walkin")</f>
        <v>Walkin</v>
      </c>
      <c r="Y744" s="124" t="str">
        <f>IFERROR(__xludf.DUMMYFUNCTION("""COMPUTED_VALUE"""),"Patna")</f>
        <v>Patna</v>
      </c>
      <c r="Z744" s="124">
        <f>IFERROR(__xludf.DUMMYFUNCTION("""COMPUTED_VALUE"""),6.0)</f>
        <v>6</v>
      </c>
      <c r="AA744" s="124" t="str">
        <f>IFERROR(__xludf.DUMMYFUNCTION("""COMPUTED_VALUE"""),"Warm")</f>
        <v>Warm</v>
      </c>
      <c r="AB744" s="124" t="str">
        <f>IFERROR(__xludf.DUMMYFUNCTION("""COMPUTED_VALUE"""),"State PCS")</f>
        <v>State PCS</v>
      </c>
    </row>
    <row r="745">
      <c r="A745" s="129">
        <f>IFERROR(__xludf.DUMMYFUNCTION("""COMPUTED_VALUE"""),46079.0)</f>
        <v>46079</v>
      </c>
      <c r="B745" s="124" t="str">
        <f>IFERROR(__xludf.DUMMYFUNCTION("""COMPUTED_VALUE"""),"events")</f>
        <v>events</v>
      </c>
      <c r="C745" s="124" t="str">
        <f>IFERROR(__xludf.DUMMYFUNCTION("""COMPUTED_VALUE"""),"Indore")</f>
        <v>Indore</v>
      </c>
      <c r="D745" s="124" t="str">
        <f>IFERROR(__xludf.DUMMYFUNCTION("""COMPUTED_VALUE"""),"Secondary_Walkin")</f>
        <v>Secondary_Walkin</v>
      </c>
      <c r="E745" s="124">
        <f>IFERROR(__xludf.DUMMYFUNCTION("""COMPUTED_VALUE"""),1.0)</f>
        <v>1</v>
      </c>
      <c r="F745" s="124" t="str">
        <f>IFERROR(__xludf.DUMMYFUNCTION("""COMPUTED_VALUE"""),"Not Interested")</f>
        <v>Not Interested</v>
      </c>
      <c r="G745" s="124" t="str">
        <f>IFERROR(__xludf.DUMMYFUNCTION("""COMPUTED_VALUE"""),"State PCS")</f>
        <v>State PCS</v>
      </c>
      <c r="K745" s="124"/>
      <c r="L745" s="124"/>
      <c r="M745" s="124"/>
      <c r="N745" s="124"/>
      <c r="O745" s="124"/>
      <c r="T745" s="126">
        <f>IFERROR(__xludf.DUMMYFUNCTION("""COMPUTED_VALUE"""),46101.0)</f>
        <v>46101</v>
      </c>
      <c r="U745" s="124" t="str">
        <f>IFERROR(__xludf.DUMMYFUNCTION("""COMPUTED_VALUE"""),"Walk-Ins")</f>
        <v>Walk-Ins</v>
      </c>
      <c r="V745" s="124" t="str">
        <f>IFERROR(__xludf.DUMMYFUNCTION("""COMPUTED_VALUE"""),"Walkin")</f>
        <v>Walkin</v>
      </c>
      <c r="W745" s="124" t="str">
        <f>IFERROR(__xludf.DUMMYFUNCTION("""COMPUTED_VALUE"""),"Patna")</f>
        <v>Patna</v>
      </c>
      <c r="X745" s="124" t="str">
        <f>IFERROR(__xludf.DUMMYFUNCTION("""COMPUTED_VALUE"""),"Walkin")</f>
        <v>Walkin</v>
      </c>
      <c r="Y745" s="124" t="str">
        <f>IFERROR(__xludf.DUMMYFUNCTION("""COMPUTED_VALUE"""),"Patna")</f>
        <v>Patna</v>
      </c>
      <c r="Z745" s="124">
        <f>IFERROR(__xludf.DUMMYFUNCTION("""COMPUTED_VALUE"""),3.0)</f>
        <v>3</v>
      </c>
      <c r="AA745" s="124" t="str">
        <f>IFERROR(__xludf.DUMMYFUNCTION("""COMPUTED_VALUE"""),"Fake Lead")</f>
        <v>Fake Lead</v>
      </c>
      <c r="AB745" s="124" t="str">
        <f>IFERROR(__xludf.DUMMYFUNCTION("""COMPUTED_VALUE"""),"State PCS")</f>
        <v>State PCS</v>
      </c>
    </row>
    <row r="746">
      <c r="A746" s="126">
        <f>IFERROR(__xludf.DUMMYFUNCTION("""COMPUTED_VALUE"""),46096.0)</f>
        <v>46096</v>
      </c>
      <c r="B746" s="124" t="str">
        <f>IFERROR(__xludf.DUMMYFUNCTION("""COMPUTED_VALUE"""),"walk-in")</f>
        <v>walk-in</v>
      </c>
      <c r="C746" s="124" t="str">
        <f>IFERROR(__xludf.DUMMYFUNCTION("""COMPUTED_VALUE"""),"Indore")</f>
        <v>Indore</v>
      </c>
      <c r="D746" s="124" t="str">
        <f>IFERROR(__xludf.DUMMYFUNCTION("""COMPUTED_VALUE"""),"Primary_Walkin")</f>
        <v>Primary_Walkin</v>
      </c>
      <c r="E746" s="124">
        <f>IFERROR(__xludf.DUMMYFUNCTION("""COMPUTED_VALUE"""),1.0)</f>
        <v>1</v>
      </c>
      <c r="F746" s="124" t="str">
        <f>IFERROR(__xludf.DUMMYFUNCTION("""COMPUTED_VALUE"""),"Not Interested")</f>
        <v>Not Interested</v>
      </c>
      <c r="G746" s="124" t="str">
        <f>IFERROR(__xludf.DUMMYFUNCTION("""COMPUTED_VALUE"""),"Test Series")</f>
        <v>Test Series</v>
      </c>
      <c r="K746" s="124"/>
      <c r="L746" s="124"/>
      <c r="M746" s="124"/>
      <c r="N746" s="124"/>
      <c r="O746" s="124"/>
      <c r="T746" s="129">
        <f>IFERROR(__xludf.DUMMYFUNCTION("""COMPUTED_VALUE"""),46065.0)</f>
        <v>46065</v>
      </c>
      <c r="U746" s="124" t="str">
        <f>IFERROR(__xludf.DUMMYFUNCTION("""COMPUTED_VALUE"""),"Walk-Ins")</f>
        <v>Walk-Ins</v>
      </c>
      <c r="V746" s="124" t="str">
        <f>IFERROR(__xludf.DUMMYFUNCTION("""COMPUTED_VALUE"""),"Walkin")</f>
        <v>Walkin</v>
      </c>
      <c r="W746" s="124" t="str">
        <f>IFERROR(__xludf.DUMMYFUNCTION("""COMPUTED_VALUE"""),"Patna")</f>
        <v>Patna</v>
      </c>
      <c r="X746" s="124" t="str">
        <f>IFERROR(__xludf.DUMMYFUNCTION("""COMPUTED_VALUE"""),"Walkin")</f>
        <v>Walkin</v>
      </c>
      <c r="Y746" s="124" t="str">
        <f>IFERROR(__xludf.DUMMYFUNCTION("""COMPUTED_VALUE"""),"Patna")</f>
        <v>Patna</v>
      </c>
      <c r="Z746" s="124">
        <f>IFERROR(__xludf.DUMMYFUNCTION("""COMPUTED_VALUE"""),7.0)</f>
        <v>7</v>
      </c>
      <c r="AA746" s="124" t="str">
        <f>IFERROR(__xludf.DUMMYFUNCTION("""COMPUTED_VALUE"""),"Cold")</f>
        <v>Cold</v>
      </c>
      <c r="AB746" s="124" t="str">
        <f>IFERROR(__xludf.DUMMYFUNCTION("""COMPUTED_VALUE"""),"State PCS")</f>
        <v>State PCS</v>
      </c>
    </row>
    <row r="747">
      <c r="A747" s="126">
        <f>IFERROR(__xludf.DUMMYFUNCTION("""COMPUTED_VALUE"""),46045.0)</f>
        <v>46045</v>
      </c>
      <c r="B747" s="124" t="str">
        <f>IFERROR(__xludf.DUMMYFUNCTION("""COMPUTED_VALUE"""),"Walkin")</f>
        <v>Walkin</v>
      </c>
      <c r="C747" s="124" t="str">
        <f>IFERROR(__xludf.DUMMYFUNCTION("""COMPUTED_VALUE"""),"Lucknow")</f>
        <v>Lucknow</v>
      </c>
      <c r="D747" s="124" t="str">
        <f>IFERROR(__xludf.DUMMYFUNCTION("""COMPUTED_VALUE"""),"Primary_Walkin")</f>
        <v>Primary_Walkin</v>
      </c>
      <c r="E747" s="124">
        <f>IFERROR(__xludf.DUMMYFUNCTION("""COMPUTED_VALUE"""),2.0)</f>
        <v>2</v>
      </c>
      <c r="F747" s="124" t="str">
        <f>IFERROR(__xludf.DUMMYFUNCTION("""COMPUTED_VALUE"""),"Enrolled")</f>
        <v>Enrolled</v>
      </c>
      <c r="G747" s="124" t="str">
        <f>IFERROR(__xludf.DUMMYFUNCTION("""COMPUTED_VALUE"""),"GS Foundation")</f>
        <v>GS Foundation</v>
      </c>
      <c r="K747" s="124"/>
      <c r="L747" s="124"/>
      <c r="M747" s="124"/>
      <c r="N747" s="124"/>
      <c r="O747" s="124"/>
      <c r="T747" s="126">
        <f>IFERROR(__xludf.DUMMYFUNCTION("""COMPUTED_VALUE"""),46078.0)</f>
        <v>46078</v>
      </c>
      <c r="U747" s="124" t="str">
        <f>IFERROR(__xludf.DUMMYFUNCTION("""COMPUTED_VALUE"""),"Walk-Ins")</f>
        <v>Walk-Ins</v>
      </c>
      <c r="V747" s="124" t="str">
        <f>IFERROR(__xludf.DUMMYFUNCTION("""COMPUTED_VALUE"""),"Walkin")</f>
        <v>Walkin</v>
      </c>
      <c r="W747" s="124" t="str">
        <f>IFERROR(__xludf.DUMMYFUNCTION("""COMPUTED_VALUE"""),"Patna")</f>
        <v>Patna</v>
      </c>
      <c r="X747" s="124" t="str">
        <f>IFERROR(__xludf.DUMMYFUNCTION("""COMPUTED_VALUE"""),"Walkin")</f>
        <v>Walkin</v>
      </c>
      <c r="Y747" s="124" t="str">
        <f>IFERROR(__xludf.DUMMYFUNCTION("""COMPUTED_VALUE"""),"Patna")</f>
        <v>Patna</v>
      </c>
      <c r="Z747" s="124">
        <f>IFERROR(__xludf.DUMMYFUNCTION("""COMPUTED_VALUE"""),4.0)</f>
        <v>4</v>
      </c>
      <c r="AA747" s="124" t="str">
        <f>IFERROR(__xludf.DUMMYFUNCTION("""COMPUTED_VALUE"""),"Not Interested")</f>
        <v>Not Interested</v>
      </c>
      <c r="AB747" s="124" t="str">
        <f>IFERROR(__xludf.DUMMYFUNCTION("""COMPUTED_VALUE"""),"State PCS")</f>
        <v>State PCS</v>
      </c>
    </row>
    <row r="748">
      <c r="A748" s="126">
        <f>IFERROR(__xludf.DUMMYFUNCTION("""COMPUTED_VALUE"""),46061.0)</f>
        <v>46061</v>
      </c>
      <c r="B748" s="124" t="str">
        <f>IFERROR(__xludf.DUMMYFUNCTION("""COMPUTED_VALUE"""),"Walk-In")</f>
        <v>Walk-In</v>
      </c>
      <c r="C748" s="124" t="str">
        <f>IFERROR(__xludf.DUMMYFUNCTION("""COMPUTED_VALUE"""),"Indore")</f>
        <v>Indore</v>
      </c>
      <c r="D748" s="124" t="str">
        <f>IFERROR(__xludf.DUMMYFUNCTION("""COMPUTED_VALUE"""),"Primary_Walkin")</f>
        <v>Primary_Walkin</v>
      </c>
      <c r="E748" s="124">
        <f>IFERROR(__xludf.DUMMYFUNCTION("""COMPUTED_VALUE"""),1.0)</f>
        <v>1</v>
      </c>
      <c r="F748" s="124" t="str">
        <f>IFERROR(__xludf.DUMMYFUNCTION("""COMPUTED_VALUE"""),"Cold")</f>
        <v>Cold</v>
      </c>
      <c r="G748" s="124" t="str">
        <f>IFERROR(__xludf.DUMMYFUNCTION("""COMPUTED_VALUE"""),"GS Foundation")</f>
        <v>GS Foundation</v>
      </c>
      <c r="K748" s="124"/>
      <c r="L748" s="124"/>
      <c r="M748" s="124"/>
      <c r="N748" s="124"/>
      <c r="O748" s="124"/>
      <c r="T748" s="126">
        <f>IFERROR(__xludf.DUMMYFUNCTION("""COMPUTED_VALUE"""),46081.0)</f>
        <v>46081</v>
      </c>
      <c r="U748" s="124" t="str">
        <f>IFERROR(__xludf.DUMMYFUNCTION("""COMPUTED_VALUE"""),"Walk-Ins")</f>
        <v>Walk-Ins</v>
      </c>
      <c r="V748" s="124" t="str">
        <f>IFERROR(__xludf.DUMMYFUNCTION("""COMPUTED_VALUE"""),"Walkin")</f>
        <v>Walkin</v>
      </c>
      <c r="W748" s="124" t="str">
        <f>IFERROR(__xludf.DUMMYFUNCTION("""COMPUTED_VALUE"""),"Prayagraj")</f>
        <v>Prayagraj</v>
      </c>
      <c r="X748" s="124" t="str">
        <f>IFERROR(__xludf.DUMMYFUNCTION("""COMPUTED_VALUE"""),"Walkin")</f>
        <v>Walkin</v>
      </c>
      <c r="Y748" s="124" t="str">
        <f>IFERROR(__xludf.DUMMYFUNCTION("""COMPUTED_VALUE"""),"Prayagraj")</f>
        <v>Prayagraj</v>
      </c>
      <c r="Z748" s="124">
        <f>IFERROR(__xludf.DUMMYFUNCTION("""COMPUTED_VALUE"""),1.0)</f>
        <v>1</v>
      </c>
      <c r="AA748" s="124" t="str">
        <f>IFERROR(__xludf.DUMMYFUNCTION("""COMPUTED_VALUE"""),"Future Prospects")</f>
        <v>Future Prospects</v>
      </c>
      <c r="AB748" s="124" t="str">
        <f>IFERROR(__xludf.DUMMYFUNCTION("""COMPUTED_VALUE"""),"GS Foundation")</f>
        <v>GS Foundation</v>
      </c>
    </row>
    <row r="749">
      <c r="A749" s="129">
        <f>IFERROR(__xludf.DUMMYFUNCTION("""COMPUTED_VALUE"""),46044.0)</f>
        <v>46044</v>
      </c>
      <c r="B749" s="124" t="str">
        <f>IFERROR(__xludf.DUMMYFUNCTION("""COMPUTED_VALUE"""),"Walkin")</f>
        <v>Walkin</v>
      </c>
      <c r="C749" s="124" t="str">
        <f>IFERROR(__xludf.DUMMYFUNCTION("""COMPUTED_VALUE"""),"Indore")</f>
        <v>Indore</v>
      </c>
      <c r="D749" s="124" t="str">
        <f>IFERROR(__xludf.DUMMYFUNCTION("""COMPUTED_VALUE"""),"Primary_Walkin")</f>
        <v>Primary_Walkin</v>
      </c>
      <c r="E749" s="124">
        <f>IFERROR(__xludf.DUMMYFUNCTION("""COMPUTED_VALUE"""),5.0)</f>
        <v>5</v>
      </c>
      <c r="F749" s="124" t="str">
        <f>IFERROR(__xludf.DUMMYFUNCTION("""COMPUTED_VALUE"""),"Cold")</f>
        <v>Cold</v>
      </c>
      <c r="G749" s="124" t="str">
        <f>IFERROR(__xludf.DUMMYFUNCTION("""COMPUTED_VALUE"""),"Test Series")</f>
        <v>Test Series</v>
      </c>
      <c r="K749" s="124"/>
      <c r="L749" s="124"/>
      <c r="M749" s="124"/>
      <c r="N749" s="124"/>
      <c r="O749" s="124"/>
      <c r="T749" s="126">
        <f>IFERROR(__xludf.DUMMYFUNCTION("""COMPUTED_VALUE"""),46064.0)</f>
        <v>46064</v>
      </c>
      <c r="U749" s="124" t="str">
        <f>IFERROR(__xludf.DUMMYFUNCTION("""COMPUTED_VALUE"""),"Walk-Ins")</f>
        <v>Walk-Ins</v>
      </c>
      <c r="V749" s="124" t="str">
        <f>IFERROR(__xludf.DUMMYFUNCTION("""COMPUTED_VALUE"""),"Walkin")</f>
        <v>Walkin</v>
      </c>
      <c r="W749" s="124" t="str">
        <f>IFERROR(__xludf.DUMMYFUNCTION("""COMPUTED_VALUE"""),"Patna")</f>
        <v>Patna</v>
      </c>
      <c r="X749" s="124" t="str">
        <f>IFERROR(__xludf.DUMMYFUNCTION("""COMPUTED_VALUE"""),"Walkin")</f>
        <v>Walkin</v>
      </c>
      <c r="Y749" s="124" t="str">
        <f>IFERROR(__xludf.DUMMYFUNCTION("""COMPUTED_VALUE"""),"Patna")</f>
        <v>Patna</v>
      </c>
      <c r="Z749" s="124">
        <f>IFERROR(__xludf.DUMMYFUNCTION("""COMPUTED_VALUE"""),7.0)</f>
        <v>7</v>
      </c>
      <c r="AA749" s="124" t="str">
        <f>IFERROR(__xludf.DUMMYFUNCTION("""COMPUTED_VALUE"""),"Cold")</f>
        <v>Cold</v>
      </c>
      <c r="AB749" s="124" t="str">
        <f>IFERROR(__xludf.DUMMYFUNCTION("""COMPUTED_VALUE"""),"State PCS")</f>
        <v>State PCS</v>
      </c>
    </row>
    <row r="750">
      <c r="A750" s="126">
        <f>IFERROR(__xludf.DUMMYFUNCTION("""COMPUTED_VALUE"""),46074.0)</f>
        <v>46074</v>
      </c>
      <c r="B750" s="124" t="str">
        <f>IFERROR(__xludf.DUMMYFUNCTION("""COMPUTED_VALUE"""),"external leads")</f>
        <v>external leads</v>
      </c>
      <c r="C750" s="124" t="str">
        <f>IFERROR(__xludf.DUMMYFUNCTION("""COMPUTED_VALUE"""),"Lucknow")</f>
        <v>Lucknow</v>
      </c>
      <c r="D750" s="124" t="str">
        <f>IFERROR(__xludf.DUMMYFUNCTION("""COMPUTED_VALUE"""),"Secondary_Walkin")</f>
        <v>Secondary_Walkin</v>
      </c>
      <c r="E750" s="124">
        <f>IFERROR(__xludf.DUMMYFUNCTION("""COMPUTED_VALUE"""),1.0)</f>
        <v>1</v>
      </c>
      <c r="F750" s="124" t="str">
        <f>IFERROR(__xludf.DUMMYFUNCTION("""COMPUTED_VALUE"""),"Warm")</f>
        <v>Warm</v>
      </c>
      <c r="G750" s="124" t="str">
        <f>IFERROR(__xludf.DUMMYFUNCTION("""COMPUTED_VALUE"""),"GS Foundation")</f>
        <v>GS Foundation</v>
      </c>
      <c r="K750" s="124"/>
      <c r="L750" s="124"/>
      <c r="M750" s="124"/>
      <c r="N750" s="124"/>
      <c r="O750" s="124"/>
      <c r="T750" s="126">
        <f>IFERROR(__xludf.DUMMYFUNCTION("""COMPUTED_VALUE"""),46076.0)</f>
        <v>46076</v>
      </c>
      <c r="U750" s="124" t="str">
        <f>IFERROR(__xludf.DUMMYFUNCTION("""COMPUTED_VALUE"""),"Walk-Ins")</f>
        <v>Walk-Ins</v>
      </c>
      <c r="V750" s="124" t="str">
        <f>IFERROR(__xludf.DUMMYFUNCTION("""COMPUTED_VALUE"""),"Walkin")</f>
        <v>Walkin</v>
      </c>
      <c r="W750" s="124" t="str">
        <f>IFERROR(__xludf.DUMMYFUNCTION("""COMPUTED_VALUE"""),"Patna")</f>
        <v>Patna</v>
      </c>
      <c r="X750" s="124" t="str">
        <f>IFERROR(__xludf.DUMMYFUNCTION("""COMPUTED_VALUE"""),"Walkin")</f>
        <v>Walkin</v>
      </c>
      <c r="Y750" s="124" t="str">
        <f>IFERROR(__xludf.DUMMYFUNCTION("""COMPUTED_VALUE"""),"Patna")</f>
        <v>Patna</v>
      </c>
      <c r="Z750" s="124">
        <f>IFERROR(__xludf.DUMMYFUNCTION("""COMPUTED_VALUE"""),1.0)</f>
        <v>1</v>
      </c>
      <c r="AA750" s="124" t="str">
        <f>IFERROR(__xludf.DUMMYFUNCTION("""COMPUTED_VALUE"""),"Cold")</f>
        <v>Cold</v>
      </c>
      <c r="AB750" s="124" t="str">
        <f>IFERROR(__xludf.DUMMYFUNCTION("""COMPUTED_VALUE"""),"State PCS")</f>
        <v>State PCS</v>
      </c>
    </row>
    <row r="751">
      <c r="A751" s="126">
        <f>IFERROR(__xludf.DUMMYFUNCTION("""COMPUTED_VALUE"""),46062.0)</f>
        <v>46062</v>
      </c>
      <c r="B751" s="124" t="str">
        <f>IFERROR(__xludf.DUMMYFUNCTION("""COMPUTED_VALUE"""),"Walkin")</f>
        <v>Walkin</v>
      </c>
      <c r="C751" s="124" t="str">
        <f>IFERROR(__xludf.DUMMYFUNCTION("""COMPUTED_VALUE"""),"Lucknow")</f>
        <v>Lucknow</v>
      </c>
      <c r="D751" s="124" t="str">
        <f>IFERROR(__xludf.DUMMYFUNCTION("""COMPUTED_VALUE"""),"Primary_Walkin")</f>
        <v>Primary_Walkin</v>
      </c>
      <c r="E751" s="124">
        <f>IFERROR(__xludf.DUMMYFUNCTION("""COMPUTED_VALUE"""),1.0)</f>
        <v>1</v>
      </c>
      <c r="F751" s="124" t="str">
        <f>IFERROR(__xludf.DUMMYFUNCTION("""COMPUTED_VALUE"""),"Not Interested")</f>
        <v>Not Interested</v>
      </c>
      <c r="G751" s="124" t="str">
        <f>IFERROR(__xludf.DUMMYFUNCTION("""COMPUTED_VALUE"""),"GS Foundation")</f>
        <v>GS Foundation</v>
      </c>
      <c r="K751" s="124"/>
      <c r="L751" s="124"/>
      <c r="M751" s="124"/>
      <c r="N751" s="124"/>
      <c r="O751" s="124"/>
      <c r="T751" s="126">
        <f>IFERROR(__xludf.DUMMYFUNCTION("""COMPUTED_VALUE"""),46092.0)</f>
        <v>46092</v>
      </c>
      <c r="U751" s="124" t="str">
        <f>IFERROR(__xludf.DUMMYFUNCTION("""COMPUTED_VALUE"""),"Walk-Ins")</f>
        <v>Walk-Ins</v>
      </c>
      <c r="V751" s="124" t="str">
        <f>IFERROR(__xludf.DUMMYFUNCTION("""COMPUTED_VALUE"""),"Walkin")</f>
        <v>Walkin</v>
      </c>
      <c r="W751" s="124" t="str">
        <f>IFERROR(__xludf.DUMMYFUNCTION("""COMPUTED_VALUE"""),"Prayagraj")</f>
        <v>Prayagraj</v>
      </c>
      <c r="X751" s="124" t="str">
        <f>IFERROR(__xludf.DUMMYFUNCTION("""COMPUTED_VALUE"""),"Walkin")</f>
        <v>Walkin</v>
      </c>
      <c r="Y751" s="124" t="str">
        <f>IFERROR(__xludf.DUMMYFUNCTION("""COMPUTED_VALUE"""),"Prayagraj")</f>
        <v>Prayagraj</v>
      </c>
      <c r="Z751" s="124">
        <f>IFERROR(__xludf.DUMMYFUNCTION("""COMPUTED_VALUE"""),3.0)</f>
        <v>3</v>
      </c>
      <c r="AA751" s="124" t="str">
        <f>IFERROR(__xludf.DUMMYFUNCTION("""COMPUTED_VALUE"""),"Cold")</f>
        <v>Cold</v>
      </c>
      <c r="AB751" s="124" t="str">
        <f>IFERROR(__xludf.DUMMYFUNCTION("""COMPUTED_VALUE"""),"State PCS")</f>
        <v>State PCS</v>
      </c>
    </row>
    <row r="752">
      <c r="A752" s="126">
        <f>IFERROR(__xludf.DUMMYFUNCTION("""COMPUTED_VALUE"""),46054.0)</f>
        <v>46054</v>
      </c>
      <c r="B752" s="124" t="str">
        <f>IFERROR(__xludf.DUMMYFUNCTION("""COMPUTED_VALUE"""),"Walkin")</f>
        <v>Walkin</v>
      </c>
      <c r="C752" s="124" t="str">
        <f>IFERROR(__xludf.DUMMYFUNCTION("""COMPUTED_VALUE"""),"Indore")</f>
        <v>Indore</v>
      </c>
      <c r="D752" s="124" t="str">
        <f>IFERROR(__xludf.DUMMYFUNCTION("""COMPUTED_VALUE"""),"Primary_Walkin")</f>
        <v>Primary_Walkin</v>
      </c>
      <c r="E752" s="124">
        <f>IFERROR(__xludf.DUMMYFUNCTION("""COMPUTED_VALUE"""),1.0)</f>
        <v>1</v>
      </c>
      <c r="F752" s="124" t="str">
        <f>IFERROR(__xludf.DUMMYFUNCTION("""COMPUTED_VALUE"""),"Not Interested")</f>
        <v>Not Interested</v>
      </c>
      <c r="G752" s="124" t="str">
        <f>IFERROR(__xludf.DUMMYFUNCTION("""COMPUTED_VALUE"""),"GS Foundation")</f>
        <v>GS Foundation</v>
      </c>
      <c r="K752" s="124"/>
      <c r="L752" s="124"/>
      <c r="M752" s="124"/>
      <c r="N752" s="124"/>
      <c r="O752" s="124"/>
      <c r="T752" s="126">
        <f>IFERROR(__xludf.DUMMYFUNCTION("""COMPUTED_VALUE"""),46103.0)</f>
        <v>46103</v>
      </c>
      <c r="U752" s="124" t="str">
        <f>IFERROR(__xludf.DUMMYFUNCTION("""COMPUTED_VALUE"""),"Walk-Ins")</f>
        <v>Walk-Ins</v>
      </c>
      <c r="V752" s="124" t="str">
        <f>IFERROR(__xludf.DUMMYFUNCTION("""COMPUTED_VALUE"""),"Walkin")</f>
        <v>Walkin</v>
      </c>
      <c r="W752" s="124" t="str">
        <f>IFERROR(__xludf.DUMMYFUNCTION("""COMPUTED_VALUE"""),"Patna")</f>
        <v>Patna</v>
      </c>
      <c r="X752" s="124" t="str">
        <f>IFERROR(__xludf.DUMMYFUNCTION("""COMPUTED_VALUE"""),"Walkin")</f>
        <v>Walkin</v>
      </c>
      <c r="Y752" s="124" t="str">
        <f>IFERROR(__xludf.DUMMYFUNCTION("""COMPUTED_VALUE"""),"Patna")</f>
        <v>Patna</v>
      </c>
      <c r="Z752" s="124">
        <f>IFERROR(__xludf.DUMMYFUNCTION("""COMPUTED_VALUE"""),3.0)</f>
        <v>3</v>
      </c>
      <c r="AA752" s="124" t="str">
        <f>IFERROR(__xludf.DUMMYFUNCTION("""COMPUTED_VALUE"""),"Future Prospects")</f>
        <v>Future Prospects</v>
      </c>
      <c r="AB752" s="124" t="str">
        <f>IFERROR(__xludf.DUMMYFUNCTION("""COMPUTED_VALUE"""),"State PCS")</f>
        <v>State PCS</v>
      </c>
    </row>
    <row r="753">
      <c r="A753" s="129">
        <f>IFERROR(__xludf.DUMMYFUNCTION("""COMPUTED_VALUE"""),46052.0)</f>
        <v>46052</v>
      </c>
      <c r="B753" s="124" t="str">
        <f>IFERROR(__xludf.DUMMYFUNCTION("""COMPUTED_VALUE"""),"Walkin")</f>
        <v>Walkin</v>
      </c>
      <c r="C753" s="124" t="str">
        <f>IFERROR(__xludf.DUMMYFUNCTION("""COMPUTED_VALUE"""),"Indore")</f>
        <v>Indore</v>
      </c>
      <c r="D753" s="124" t="str">
        <f>IFERROR(__xludf.DUMMYFUNCTION("""COMPUTED_VALUE"""),"Primary_Walkin")</f>
        <v>Primary_Walkin</v>
      </c>
      <c r="E753" s="124">
        <f>IFERROR(__xludf.DUMMYFUNCTION("""COMPUTED_VALUE"""),2.0)</f>
        <v>2</v>
      </c>
      <c r="F753" s="124" t="str">
        <f>IFERROR(__xludf.DUMMYFUNCTION("""COMPUTED_VALUE"""),"Not Interested")</f>
        <v>Not Interested</v>
      </c>
      <c r="G753" s="124" t="str">
        <f>IFERROR(__xludf.DUMMYFUNCTION("""COMPUTED_VALUE"""),"State PCS")</f>
        <v>State PCS</v>
      </c>
      <c r="K753" s="124"/>
      <c r="L753" s="124"/>
      <c r="M753" s="124"/>
      <c r="N753" s="124"/>
      <c r="O753" s="124"/>
      <c r="T753" s="126">
        <f>IFERROR(__xludf.DUMMYFUNCTION("""COMPUTED_VALUE"""),46107.0)</f>
        <v>46107</v>
      </c>
      <c r="U753" s="124" t="str">
        <f>IFERROR(__xludf.DUMMYFUNCTION("""COMPUTED_VALUE"""),"Walk-Ins")</f>
        <v>Walk-Ins</v>
      </c>
      <c r="V753" s="124" t="str">
        <f>IFERROR(__xludf.DUMMYFUNCTION("""COMPUTED_VALUE"""),"Walkin")</f>
        <v>Walkin</v>
      </c>
      <c r="W753" s="124" t="str">
        <f>IFERROR(__xludf.DUMMYFUNCTION("""COMPUTED_VALUE"""),"Prayagraj")</f>
        <v>Prayagraj</v>
      </c>
      <c r="X753" s="124" t="str">
        <f>IFERROR(__xludf.DUMMYFUNCTION("""COMPUTED_VALUE"""),"Walkin")</f>
        <v>Walkin</v>
      </c>
      <c r="Y753" s="124" t="str">
        <f>IFERROR(__xludf.DUMMYFUNCTION("""COMPUTED_VALUE"""),"Prayagraj")</f>
        <v>Prayagraj</v>
      </c>
      <c r="Z753" s="124">
        <f>IFERROR(__xludf.DUMMYFUNCTION("""COMPUTED_VALUE"""),3.0)</f>
        <v>3</v>
      </c>
      <c r="AA753" s="124" t="str">
        <f>IFERROR(__xludf.DUMMYFUNCTION("""COMPUTED_VALUE"""),"Warm")</f>
        <v>Warm</v>
      </c>
      <c r="AB753" s="124" t="str">
        <f>IFERROR(__xludf.DUMMYFUNCTION("""COMPUTED_VALUE"""),"GS Foundation")</f>
        <v>GS Foundation</v>
      </c>
    </row>
    <row r="754">
      <c r="A754" s="126">
        <f>IFERROR(__xludf.DUMMYFUNCTION("""COMPUTED_VALUE"""),46061.0)</f>
        <v>46061</v>
      </c>
      <c r="B754" s="124" t="str">
        <f>IFERROR(__xludf.DUMMYFUNCTION("""COMPUTED_VALUE"""),"Walk-In")</f>
        <v>Walk-In</v>
      </c>
      <c r="C754" s="124" t="str">
        <f>IFERROR(__xludf.DUMMYFUNCTION("""COMPUTED_VALUE"""),"Indore")</f>
        <v>Indore</v>
      </c>
      <c r="D754" s="124" t="str">
        <f>IFERROR(__xludf.DUMMYFUNCTION("""COMPUTED_VALUE"""),"Primary_Walkin")</f>
        <v>Primary_Walkin</v>
      </c>
      <c r="E754" s="124">
        <f>IFERROR(__xludf.DUMMYFUNCTION("""COMPUTED_VALUE"""),1.0)</f>
        <v>1</v>
      </c>
      <c r="F754" s="124" t="str">
        <f>IFERROR(__xludf.DUMMYFUNCTION("""COMPUTED_VALUE"""),"Not Interested")</f>
        <v>Not Interested</v>
      </c>
      <c r="G754" s="124" t="str">
        <f>IFERROR(__xludf.DUMMYFUNCTION("""COMPUTED_VALUE"""),"State PCS")</f>
        <v>State PCS</v>
      </c>
      <c r="K754" s="124"/>
      <c r="L754" s="124"/>
      <c r="M754" s="124"/>
      <c r="N754" s="124"/>
      <c r="O754" s="124"/>
      <c r="T754" s="126">
        <f>IFERROR(__xludf.DUMMYFUNCTION("""COMPUTED_VALUE"""),46078.0)</f>
        <v>46078</v>
      </c>
      <c r="U754" s="124" t="str">
        <f>IFERROR(__xludf.DUMMYFUNCTION("""COMPUTED_VALUE"""),"Walk-Ins")</f>
        <v>Walk-Ins</v>
      </c>
      <c r="V754" s="124" t="str">
        <f>IFERROR(__xludf.DUMMYFUNCTION("""COMPUTED_VALUE"""),"Walkin")</f>
        <v>Walkin</v>
      </c>
      <c r="W754" s="124" t="str">
        <f>IFERROR(__xludf.DUMMYFUNCTION("""COMPUTED_VALUE"""),"Patna")</f>
        <v>Patna</v>
      </c>
      <c r="X754" s="124" t="str">
        <f>IFERROR(__xludf.DUMMYFUNCTION("""COMPUTED_VALUE"""),"Walkin")</f>
        <v>Walkin</v>
      </c>
      <c r="Y754" s="124" t="str">
        <f>IFERROR(__xludf.DUMMYFUNCTION("""COMPUTED_VALUE"""),"Patna")</f>
        <v>Patna</v>
      </c>
      <c r="Z754" s="124">
        <f>IFERROR(__xludf.DUMMYFUNCTION("""COMPUTED_VALUE"""),4.0)</f>
        <v>4</v>
      </c>
      <c r="AA754" s="124" t="str">
        <f>IFERROR(__xludf.DUMMYFUNCTION("""COMPUTED_VALUE"""),"Cold")</f>
        <v>Cold</v>
      </c>
      <c r="AB754" s="124" t="str">
        <f>IFERROR(__xludf.DUMMYFUNCTION("""COMPUTED_VALUE"""),"State PCS")</f>
        <v>State PCS</v>
      </c>
    </row>
    <row r="755">
      <c r="A755" s="126">
        <f>IFERROR(__xludf.DUMMYFUNCTION("""COMPUTED_VALUE"""),46047.0)</f>
        <v>46047</v>
      </c>
      <c r="B755" s="124" t="str">
        <f>IFERROR(__xludf.DUMMYFUNCTION("""COMPUTED_VALUE"""),"Walkin")</f>
        <v>Walkin</v>
      </c>
      <c r="C755" s="124" t="str">
        <f>IFERROR(__xludf.DUMMYFUNCTION("""COMPUTED_VALUE"""),"Indore")</f>
        <v>Indore</v>
      </c>
      <c r="D755" s="124" t="str">
        <f>IFERROR(__xludf.DUMMYFUNCTION("""COMPUTED_VALUE"""),"Primary_Walkin")</f>
        <v>Primary_Walkin</v>
      </c>
      <c r="E755" s="124">
        <f>IFERROR(__xludf.DUMMYFUNCTION("""COMPUTED_VALUE"""),1.0)</f>
        <v>1</v>
      </c>
      <c r="F755" s="124" t="str">
        <f>IFERROR(__xludf.DUMMYFUNCTION("""COMPUTED_VALUE"""),"Not Interested")</f>
        <v>Not Interested</v>
      </c>
      <c r="G755" s="124" t="str">
        <f>IFERROR(__xludf.DUMMYFUNCTION("""COMPUTED_VALUE"""),"Test Series")</f>
        <v>Test Series</v>
      </c>
      <c r="K755" s="124"/>
      <c r="L755" s="124"/>
      <c r="M755" s="124"/>
      <c r="N755" s="124"/>
      <c r="O755" s="124"/>
      <c r="T755" s="126">
        <f>IFERROR(__xludf.DUMMYFUNCTION("""COMPUTED_VALUE"""),46099.0)</f>
        <v>46099</v>
      </c>
      <c r="U755" s="124" t="str">
        <f>IFERROR(__xludf.DUMMYFUNCTION("""COMPUTED_VALUE"""),"Walk-Ins")</f>
        <v>Walk-Ins</v>
      </c>
      <c r="V755" s="124" t="str">
        <f>IFERROR(__xludf.DUMMYFUNCTION("""COMPUTED_VALUE"""),"Walk-In")</f>
        <v>Walk-In</v>
      </c>
      <c r="W755" s="124" t="str">
        <f>IFERROR(__xludf.DUMMYFUNCTION("""COMPUTED_VALUE"""),"Patna")</f>
        <v>Patna</v>
      </c>
      <c r="X755" s="124" t="str">
        <f>IFERROR(__xludf.DUMMYFUNCTION("""COMPUTED_VALUE"""),"Others")</f>
        <v>Others</v>
      </c>
      <c r="Y755" s="124"/>
      <c r="Z755" s="124">
        <f>IFERROR(__xludf.DUMMYFUNCTION("""COMPUTED_VALUE"""),1.0)</f>
        <v>1</v>
      </c>
      <c r="AA755" s="124" t="str">
        <f>IFERROR(__xludf.DUMMYFUNCTION("""COMPUTED_VALUE"""),"Warm")</f>
        <v>Warm</v>
      </c>
      <c r="AB755" s="124" t="str">
        <f>IFERROR(__xludf.DUMMYFUNCTION("""COMPUTED_VALUE"""),"State PCS")</f>
        <v>State PCS</v>
      </c>
    </row>
    <row r="756">
      <c r="A756" s="129">
        <f>IFERROR(__xludf.DUMMYFUNCTION("""COMPUTED_VALUE"""),46100.0)</f>
        <v>46100</v>
      </c>
      <c r="B756" s="124" t="str">
        <f>IFERROR(__xludf.DUMMYFUNCTION("""COMPUTED_VALUE"""),"external leads")</f>
        <v>external leads</v>
      </c>
      <c r="C756" s="124" t="str">
        <f>IFERROR(__xludf.DUMMYFUNCTION("""COMPUTED_VALUE"""),"Indore")</f>
        <v>Indore</v>
      </c>
      <c r="D756" s="124" t="str">
        <f>IFERROR(__xludf.DUMMYFUNCTION("""COMPUTED_VALUE"""),"Secondary_Walkin")</f>
        <v>Secondary_Walkin</v>
      </c>
      <c r="E756" s="124">
        <f>IFERROR(__xludf.DUMMYFUNCTION("""COMPUTED_VALUE"""),1.0)</f>
        <v>1</v>
      </c>
      <c r="F756" s="124" t="str">
        <f>IFERROR(__xludf.DUMMYFUNCTION("""COMPUTED_VALUE"""),"Fake Lead")</f>
        <v>Fake Lead</v>
      </c>
      <c r="G756" s="124" t="str">
        <f>IFERROR(__xludf.DUMMYFUNCTION("""COMPUTED_VALUE"""),"State PCS")</f>
        <v>State PCS</v>
      </c>
      <c r="K756" s="124"/>
      <c r="L756" s="124"/>
      <c r="M756" s="124"/>
      <c r="N756" s="124"/>
      <c r="O756" s="124"/>
      <c r="T756" s="126">
        <f>IFERROR(__xludf.DUMMYFUNCTION("""COMPUTED_VALUE"""),46079.0)</f>
        <v>46079</v>
      </c>
      <c r="U756" s="124" t="str">
        <f>IFERROR(__xludf.DUMMYFUNCTION("""COMPUTED_VALUE"""),"Walk-Ins")</f>
        <v>Walk-Ins</v>
      </c>
      <c r="V756" s="124" t="str">
        <f>IFERROR(__xludf.DUMMYFUNCTION("""COMPUTED_VALUE"""),"Walkin")</f>
        <v>Walkin</v>
      </c>
      <c r="W756" s="124" t="str">
        <f>IFERROR(__xludf.DUMMYFUNCTION("""COMPUTED_VALUE"""),"Patna")</f>
        <v>Patna</v>
      </c>
      <c r="X756" s="124" t="str">
        <f>IFERROR(__xludf.DUMMYFUNCTION("""COMPUTED_VALUE"""),"Walkin")</f>
        <v>Walkin</v>
      </c>
      <c r="Y756" s="124" t="str">
        <f>IFERROR(__xludf.DUMMYFUNCTION("""COMPUTED_VALUE"""),"Patna")</f>
        <v>Patna</v>
      </c>
      <c r="Z756" s="124">
        <f>IFERROR(__xludf.DUMMYFUNCTION("""COMPUTED_VALUE"""),5.0)</f>
        <v>5</v>
      </c>
      <c r="AA756" s="124" t="str">
        <f>IFERROR(__xludf.DUMMYFUNCTION("""COMPUTED_VALUE"""),"Cold")</f>
        <v>Cold</v>
      </c>
      <c r="AB756" s="124" t="str">
        <f>IFERROR(__xludf.DUMMYFUNCTION("""COMPUTED_VALUE"""),"State PCS")</f>
        <v>State PCS</v>
      </c>
    </row>
    <row r="757">
      <c r="A757" s="126">
        <f>IFERROR(__xludf.DUMMYFUNCTION("""COMPUTED_VALUE"""),46098.0)</f>
        <v>46098</v>
      </c>
      <c r="B757" s="124" t="str">
        <f>IFERROR(__xludf.DUMMYFUNCTION("""COMPUTED_VALUE"""),"Walkin")</f>
        <v>Walkin</v>
      </c>
      <c r="C757" s="124" t="str">
        <f>IFERROR(__xludf.DUMMYFUNCTION("""COMPUTED_VALUE"""),"Indore")</f>
        <v>Indore</v>
      </c>
      <c r="D757" s="124" t="str">
        <f>IFERROR(__xludf.DUMMYFUNCTION("""COMPUTED_VALUE"""),"Primary_Walkin")</f>
        <v>Primary_Walkin</v>
      </c>
      <c r="E757" s="124">
        <f>IFERROR(__xludf.DUMMYFUNCTION("""COMPUTED_VALUE"""),1.0)</f>
        <v>1</v>
      </c>
      <c r="F757" s="124" t="str">
        <f>IFERROR(__xludf.DUMMYFUNCTION("""COMPUTED_VALUE"""),"Future Prospects")</f>
        <v>Future Prospects</v>
      </c>
      <c r="G757" s="124" t="str">
        <f>IFERROR(__xludf.DUMMYFUNCTION("""COMPUTED_VALUE"""),"State PCS")</f>
        <v>State PCS</v>
      </c>
      <c r="K757" s="124"/>
      <c r="L757" s="124"/>
      <c r="M757" s="124"/>
      <c r="N757" s="124"/>
      <c r="O757" s="124"/>
      <c r="T757" s="126">
        <f>IFERROR(__xludf.DUMMYFUNCTION("""COMPUTED_VALUE"""),46064.0)</f>
        <v>46064</v>
      </c>
      <c r="U757" s="124" t="str">
        <f>IFERROR(__xludf.DUMMYFUNCTION("""COMPUTED_VALUE"""),"Walk-Ins")</f>
        <v>Walk-Ins</v>
      </c>
      <c r="V757" s="124" t="str">
        <f>IFERROR(__xludf.DUMMYFUNCTION("""COMPUTED_VALUE"""),"Walkin")</f>
        <v>Walkin</v>
      </c>
      <c r="W757" s="124" t="str">
        <f>IFERROR(__xludf.DUMMYFUNCTION("""COMPUTED_VALUE"""),"Prayagraj")</f>
        <v>Prayagraj</v>
      </c>
      <c r="X757" s="124" t="str">
        <f>IFERROR(__xludf.DUMMYFUNCTION("""COMPUTED_VALUE"""),"Walkin")</f>
        <v>Walkin</v>
      </c>
      <c r="Y757" s="124" t="str">
        <f>IFERROR(__xludf.DUMMYFUNCTION("""COMPUTED_VALUE"""),"Prayagraj")</f>
        <v>Prayagraj</v>
      </c>
      <c r="Z757" s="124">
        <f>IFERROR(__xludf.DUMMYFUNCTION("""COMPUTED_VALUE"""),2.0)</f>
        <v>2</v>
      </c>
      <c r="AA757" s="124" t="str">
        <f>IFERROR(__xludf.DUMMYFUNCTION("""COMPUTED_VALUE"""),"Enrolled")</f>
        <v>Enrolled</v>
      </c>
      <c r="AB757" s="124" t="str">
        <f>IFERROR(__xludf.DUMMYFUNCTION("""COMPUTED_VALUE"""),"GS Foundation")</f>
        <v>GS Foundation</v>
      </c>
    </row>
    <row r="758">
      <c r="A758" s="126">
        <f>IFERROR(__xludf.DUMMYFUNCTION("""COMPUTED_VALUE"""),46062.0)</f>
        <v>46062</v>
      </c>
      <c r="B758" s="124" t="str">
        <f>IFERROR(__xludf.DUMMYFUNCTION("""COMPUTED_VALUE"""),"external leads")</f>
        <v>external leads</v>
      </c>
      <c r="C758" s="124" t="str">
        <f>IFERROR(__xludf.DUMMYFUNCTION("""COMPUTED_VALUE"""),"Lucknow")</f>
        <v>Lucknow</v>
      </c>
      <c r="D758" s="124" t="str">
        <f>IFERROR(__xludf.DUMMYFUNCTION("""COMPUTED_VALUE"""),"Secondary_Walkin")</f>
        <v>Secondary_Walkin</v>
      </c>
      <c r="E758" s="124">
        <f>IFERROR(__xludf.DUMMYFUNCTION("""COMPUTED_VALUE"""),1.0)</f>
        <v>1</v>
      </c>
      <c r="F758" s="124" t="str">
        <f>IFERROR(__xludf.DUMMYFUNCTION("""COMPUTED_VALUE"""),"Not Interested")</f>
        <v>Not Interested</v>
      </c>
      <c r="G758" s="124" t="str">
        <f>IFERROR(__xludf.DUMMYFUNCTION("""COMPUTED_VALUE"""),"GS Foundation")</f>
        <v>GS Foundation</v>
      </c>
      <c r="K758" s="124"/>
      <c r="L758" s="124"/>
      <c r="M758" s="124"/>
      <c r="N758" s="124"/>
      <c r="O758" s="124"/>
      <c r="T758" s="126">
        <f>IFERROR(__xludf.DUMMYFUNCTION("""COMPUTED_VALUE"""),46064.0)</f>
        <v>46064</v>
      </c>
      <c r="U758" s="124" t="str">
        <f>IFERROR(__xludf.DUMMYFUNCTION("""COMPUTED_VALUE"""),"Walk-Ins")</f>
        <v>Walk-Ins</v>
      </c>
      <c r="V758" s="124" t="str">
        <f>IFERROR(__xludf.DUMMYFUNCTION("""COMPUTED_VALUE"""),"Walkin")</f>
        <v>Walkin</v>
      </c>
      <c r="W758" s="124" t="str">
        <f>IFERROR(__xludf.DUMMYFUNCTION("""COMPUTED_VALUE"""),"Patna")</f>
        <v>Patna</v>
      </c>
      <c r="X758" s="124" t="str">
        <f>IFERROR(__xludf.DUMMYFUNCTION("""COMPUTED_VALUE"""),"Walkin")</f>
        <v>Walkin</v>
      </c>
      <c r="Y758" s="124" t="str">
        <f>IFERROR(__xludf.DUMMYFUNCTION("""COMPUTED_VALUE"""),"Patna")</f>
        <v>Patna</v>
      </c>
      <c r="Z758" s="124">
        <f>IFERROR(__xludf.DUMMYFUNCTION("""COMPUTED_VALUE"""),2.0)</f>
        <v>2</v>
      </c>
      <c r="AA758" s="124" t="str">
        <f>IFERROR(__xludf.DUMMYFUNCTION("""COMPUTED_VALUE"""),"Future Prospects")</f>
        <v>Future Prospects</v>
      </c>
      <c r="AB758" s="124" t="str">
        <f>IFERROR(__xludf.DUMMYFUNCTION("""COMPUTED_VALUE"""),"GS Foundation")</f>
        <v>GS Foundation</v>
      </c>
    </row>
    <row r="759">
      <c r="A759" s="126">
        <f>IFERROR(__xludf.DUMMYFUNCTION("""COMPUTED_VALUE"""),46066.0)</f>
        <v>46066</v>
      </c>
      <c r="B759" s="124" t="str">
        <f>IFERROR(__xludf.DUMMYFUNCTION("""COMPUTED_VALUE"""),"Walk-In")</f>
        <v>Walk-In</v>
      </c>
      <c r="C759" s="124" t="str">
        <f>IFERROR(__xludf.DUMMYFUNCTION("""COMPUTED_VALUE"""),"Indore")</f>
        <v>Indore</v>
      </c>
      <c r="D759" s="124" t="str">
        <f>IFERROR(__xludf.DUMMYFUNCTION("""COMPUTED_VALUE"""),"Primary_Walkin")</f>
        <v>Primary_Walkin</v>
      </c>
      <c r="E759" s="124">
        <f>IFERROR(__xludf.DUMMYFUNCTION("""COMPUTED_VALUE"""),1.0)</f>
        <v>1</v>
      </c>
      <c r="F759" s="124" t="str">
        <f>IFERROR(__xludf.DUMMYFUNCTION("""COMPUTED_VALUE"""),"Cold")</f>
        <v>Cold</v>
      </c>
      <c r="G759" s="124" t="str">
        <f>IFERROR(__xludf.DUMMYFUNCTION("""COMPUTED_VALUE"""),"GS Foundation")</f>
        <v>GS Foundation</v>
      </c>
      <c r="K759" s="124"/>
      <c r="L759" s="124"/>
      <c r="M759" s="124"/>
      <c r="N759" s="124"/>
      <c r="O759" s="124"/>
      <c r="T759" s="129">
        <f>IFERROR(__xludf.DUMMYFUNCTION("""COMPUTED_VALUE"""),46108.0)</f>
        <v>46108</v>
      </c>
      <c r="U759" s="124" t="str">
        <f>IFERROR(__xludf.DUMMYFUNCTION("""COMPUTED_VALUE"""),"Walk-Ins")</f>
        <v>Walk-Ins</v>
      </c>
      <c r="V759" s="124" t="str">
        <f>IFERROR(__xludf.DUMMYFUNCTION("""COMPUTED_VALUE"""),"Walkin")</f>
        <v>Walkin</v>
      </c>
      <c r="W759" s="124" t="str">
        <f>IFERROR(__xludf.DUMMYFUNCTION("""COMPUTED_VALUE"""),"Indore")</f>
        <v>Indore</v>
      </c>
      <c r="X759" s="124" t="str">
        <f>IFERROR(__xludf.DUMMYFUNCTION("""COMPUTED_VALUE"""),"Walkin")</f>
        <v>Walkin</v>
      </c>
      <c r="Y759" s="124" t="str">
        <f>IFERROR(__xludf.DUMMYFUNCTION("""COMPUTED_VALUE"""),"Indore")</f>
        <v>Indore</v>
      </c>
      <c r="Z759" s="124">
        <f>IFERROR(__xludf.DUMMYFUNCTION("""COMPUTED_VALUE"""),1.0)</f>
        <v>1</v>
      </c>
      <c r="AA759" s="124" t="str">
        <f>IFERROR(__xludf.DUMMYFUNCTION("""COMPUTED_VALUE"""),"Warm")</f>
        <v>Warm</v>
      </c>
      <c r="AB759" s="124" t="str">
        <f>IFERROR(__xludf.DUMMYFUNCTION("""COMPUTED_VALUE"""),"State PCS")</f>
        <v>State PCS</v>
      </c>
    </row>
    <row r="760">
      <c r="A760" s="129">
        <f>IFERROR(__xludf.DUMMYFUNCTION("""COMPUTED_VALUE"""),46053.0)</f>
        <v>46053</v>
      </c>
      <c r="B760" s="124" t="str">
        <f>IFERROR(__xludf.DUMMYFUNCTION("""COMPUTED_VALUE"""),"Walkin")</f>
        <v>Walkin</v>
      </c>
      <c r="C760" s="124" t="str">
        <f>IFERROR(__xludf.DUMMYFUNCTION("""COMPUTED_VALUE"""),"Indore")</f>
        <v>Indore</v>
      </c>
      <c r="D760" s="124" t="str">
        <f>IFERROR(__xludf.DUMMYFUNCTION("""COMPUTED_VALUE"""),"Primary_Walkin")</f>
        <v>Primary_Walkin</v>
      </c>
      <c r="E760" s="124">
        <f>IFERROR(__xludf.DUMMYFUNCTION("""COMPUTED_VALUE"""),1.0)</f>
        <v>1</v>
      </c>
      <c r="F760" s="124" t="str">
        <f>IFERROR(__xludf.DUMMYFUNCTION("""COMPUTED_VALUE"""),"Warm")</f>
        <v>Warm</v>
      </c>
      <c r="G760" s="124" t="str">
        <f>IFERROR(__xludf.DUMMYFUNCTION("""COMPUTED_VALUE"""),"Test Series")</f>
        <v>Test Series</v>
      </c>
      <c r="K760" s="124"/>
      <c r="L760" s="124"/>
      <c r="M760" s="124"/>
      <c r="N760" s="124"/>
      <c r="O760" s="124"/>
      <c r="T760" s="126">
        <f>IFERROR(__xludf.DUMMYFUNCTION("""COMPUTED_VALUE"""),46079.0)</f>
        <v>46079</v>
      </c>
      <c r="U760" s="124" t="str">
        <f>IFERROR(__xludf.DUMMYFUNCTION("""COMPUTED_VALUE"""),"Walk-Ins")</f>
        <v>Walk-Ins</v>
      </c>
      <c r="V760" s="124" t="str">
        <f>IFERROR(__xludf.DUMMYFUNCTION("""COMPUTED_VALUE"""),"Walkin")</f>
        <v>Walkin</v>
      </c>
      <c r="W760" s="124" t="str">
        <f>IFERROR(__xludf.DUMMYFUNCTION("""COMPUTED_VALUE"""),"Prayagraj")</f>
        <v>Prayagraj</v>
      </c>
      <c r="X760" s="124" t="str">
        <f>IFERROR(__xludf.DUMMYFUNCTION("""COMPUTED_VALUE"""),"Walkin")</f>
        <v>Walkin</v>
      </c>
      <c r="Y760" s="124" t="str">
        <f>IFERROR(__xludf.DUMMYFUNCTION("""COMPUTED_VALUE"""),"Prayagraj")</f>
        <v>Prayagraj</v>
      </c>
      <c r="Z760" s="124">
        <f>IFERROR(__xludf.DUMMYFUNCTION("""COMPUTED_VALUE"""),1.0)</f>
        <v>1</v>
      </c>
      <c r="AA760" s="124" t="str">
        <f>IFERROR(__xludf.DUMMYFUNCTION("""COMPUTED_VALUE"""),"Cold")</f>
        <v>Cold</v>
      </c>
      <c r="AB760" s="124" t="str">
        <f>IFERROR(__xludf.DUMMYFUNCTION("""COMPUTED_VALUE"""),"GS Foundation")</f>
        <v>GS Foundation</v>
      </c>
    </row>
    <row r="761">
      <c r="A761" s="126">
        <f>IFERROR(__xludf.DUMMYFUNCTION("""COMPUTED_VALUE"""),46089.0)</f>
        <v>46089</v>
      </c>
      <c r="B761" s="124" t="str">
        <f>IFERROR(__xludf.DUMMYFUNCTION("""COMPUTED_VALUE"""),"Walk-In")</f>
        <v>Walk-In</v>
      </c>
      <c r="C761" s="124" t="str">
        <f>IFERROR(__xludf.DUMMYFUNCTION("""COMPUTED_VALUE"""),"Lucknow")</f>
        <v>Lucknow</v>
      </c>
      <c r="D761" s="124" t="str">
        <f>IFERROR(__xludf.DUMMYFUNCTION("""COMPUTED_VALUE"""),"Primary_Walkin")</f>
        <v>Primary_Walkin</v>
      </c>
      <c r="E761" s="124">
        <f>IFERROR(__xludf.DUMMYFUNCTION("""COMPUTED_VALUE"""),1.0)</f>
        <v>1</v>
      </c>
      <c r="F761" s="124" t="str">
        <f>IFERROR(__xludf.DUMMYFUNCTION("""COMPUTED_VALUE"""),"Cold")</f>
        <v>Cold</v>
      </c>
      <c r="G761" s="124" t="str">
        <f>IFERROR(__xludf.DUMMYFUNCTION("""COMPUTED_VALUE"""),"State PCS")</f>
        <v>State PCS</v>
      </c>
      <c r="K761" s="124"/>
      <c r="L761" s="124"/>
      <c r="M761" s="124"/>
      <c r="N761" s="124"/>
      <c r="O761" s="124"/>
      <c r="T761" s="126">
        <f>IFERROR(__xludf.DUMMYFUNCTION("""COMPUTED_VALUE"""),46079.0)</f>
        <v>46079</v>
      </c>
      <c r="U761" s="124" t="str">
        <f>IFERROR(__xludf.DUMMYFUNCTION("""COMPUTED_VALUE"""),"Walk-Ins")</f>
        <v>Walk-Ins</v>
      </c>
      <c r="V761" s="124" t="str">
        <f>IFERROR(__xludf.DUMMYFUNCTION("""COMPUTED_VALUE"""),"Walkin")</f>
        <v>Walkin</v>
      </c>
      <c r="W761" s="124" t="str">
        <f>IFERROR(__xludf.DUMMYFUNCTION("""COMPUTED_VALUE"""),"Lucknow")</f>
        <v>Lucknow</v>
      </c>
      <c r="X761" s="124" t="str">
        <f>IFERROR(__xludf.DUMMYFUNCTION("""COMPUTED_VALUE"""),"Walkin")</f>
        <v>Walkin</v>
      </c>
      <c r="Y761" s="124" t="str">
        <f>IFERROR(__xludf.DUMMYFUNCTION("""COMPUTED_VALUE"""),"Lucknow")</f>
        <v>Lucknow</v>
      </c>
      <c r="Z761" s="124">
        <f>IFERROR(__xludf.DUMMYFUNCTION("""COMPUTED_VALUE"""),2.0)</f>
        <v>2</v>
      </c>
      <c r="AA761" s="124" t="str">
        <f>IFERROR(__xludf.DUMMYFUNCTION("""COMPUTED_VALUE"""),"Cold")</f>
        <v>Cold</v>
      </c>
      <c r="AB761" s="124" t="str">
        <f>IFERROR(__xludf.DUMMYFUNCTION("""COMPUTED_VALUE"""),"GS Foundation")</f>
        <v>GS Foundation</v>
      </c>
    </row>
    <row r="762">
      <c r="A762" s="129">
        <f>IFERROR(__xludf.DUMMYFUNCTION("""COMPUTED_VALUE"""),46066.0)</f>
        <v>46066</v>
      </c>
      <c r="B762" s="124" t="str">
        <f>IFERROR(__xludf.DUMMYFUNCTION("""COMPUTED_VALUE"""),"Walkin")</f>
        <v>Walkin</v>
      </c>
      <c r="C762" s="124" t="str">
        <f>IFERROR(__xludf.DUMMYFUNCTION("""COMPUTED_VALUE"""),"Indore")</f>
        <v>Indore</v>
      </c>
      <c r="D762" s="124" t="str">
        <f>IFERROR(__xludf.DUMMYFUNCTION("""COMPUTED_VALUE"""),"Primary_Walkin")</f>
        <v>Primary_Walkin</v>
      </c>
      <c r="E762" s="124">
        <f>IFERROR(__xludf.DUMMYFUNCTION("""COMPUTED_VALUE"""),1.0)</f>
        <v>1</v>
      </c>
      <c r="F762" s="124" t="str">
        <f>IFERROR(__xludf.DUMMYFUNCTION("""COMPUTED_VALUE"""),"Not Interested")</f>
        <v>Not Interested</v>
      </c>
      <c r="G762" s="124" t="str">
        <f>IFERROR(__xludf.DUMMYFUNCTION("""COMPUTED_VALUE"""),"State PCS")</f>
        <v>State PCS</v>
      </c>
      <c r="K762" s="124"/>
      <c r="L762" s="124"/>
      <c r="M762" s="124"/>
      <c r="N762" s="124"/>
      <c r="O762" s="124"/>
      <c r="T762" s="126">
        <f>IFERROR(__xludf.DUMMYFUNCTION("""COMPUTED_VALUE"""),46090.0)</f>
        <v>46090</v>
      </c>
      <c r="U762" s="124" t="str">
        <f>IFERROR(__xludf.DUMMYFUNCTION("""COMPUTED_VALUE"""),"Paid Ads")</f>
        <v>Paid Ads</v>
      </c>
      <c r="V762" s="124" t="str">
        <f>IFERROR(__xludf.DUMMYFUNCTION("""COMPUTED_VALUE"""),"facebook")</f>
        <v>facebook</v>
      </c>
      <c r="W762" s="124" t="str">
        <f>IFERROR(__xludf.DUMMYFUNCTION("""COMPUTED_VALUE"""),"delhi")</f>
        <v>delhi</v>
      </c>
      <c r="X762" s="124" t="str">
        <f>IFERROR(__xludf.DUMMYFUNCTION("""COMPUTED_VALUE"""),"meta")</f>
        <v>meta</v>
      </c>
      <c r="Y762" s="124" t="str">
        <f>IFERROR(__xludf.DUMMYFUNCTION("""COMPUTED_VALUE"""),"Delhi")</f>
        <v>Delhi</v>
      </c>
      <c r="Z762" s="124">
        <f>IFERROR(__xludf.DUMMYFUNCTION("""COMPUTED_VALUE"""),3.0)</f>
        <v>3</v>
      </c>
      <c r="AA762" s="124" t="str">
        <f>IFERROR(__xludf.DUMMYFUNCTION("""COMPUTED_VALUE"""),"Cold")</f>
        <v>Cold</v>
      </c>
      <c r="AB762" s="124"/>
    </row>
    <row r="763">
      <c r="A763" s="129">
        <f>IFERROR(__xludf.DUMMYFUNCTION("""COMPUTED_VALUE"""),46108.0)</f>
        <v>46108</v>
      </c>
      <c r="B763" s="124" t="str">
        <f>IFERROR(__xludf.DUMMYFUNCTION("""COMPUTED_VALUE"""),"external leads")</f>
        <v>external leads</v>
      </c>
      <c r="C763" s="124" t="str">
        <f>IFERROR(__xludf.DUMMYFUNCTION("""COMPUTED_VALUE"""),"Indore")</f>
        <v>Indore</v>
      </c>
      <c r="D763" s="124" t="str">
        <f>IFERROR(__xludf.DUMMYFUNCTION("""COMPUTED_VALUE"""),"Secondary_Walkin")</f>
        <v>Secondary_Walkin</v>
      </c>
      <c r="E763" s="124">
        <f>IFERROR(__xludf.DUMMYFUNCTION("""COMPUTED_VALUE"""),1.0)</f>
        <v>1</v>
      </c>
      <c r="F763" s="124" t="str">
        <f>IFERROR(__xludf.DUMMYFUNCTION("""COMPUTED_VALUE"""),"Not Interested")</f>
        <v>Not Interested</v>
      </c>
      <c r="G763" s="124" t="str">
        <f>IFERROR(__xludf.DUMMYFUNCTION("""COMPUTED_VALUE"""),"State PCS")</f>
        <v>State PCS</v>
      </c>
      <c r="K763" s="124"/>
      <c r="L763" s="124"/>
      <c r="M763" s="124"/>
      <c r="N763" s="124"/>
      <c r="O763" s="124"/>
      <c r="T763" s="126">
        <f>IFERROR(__xludf.DUMMYFUNCTION("""COMPUTED_VALUE"""),46099.0)</f>
        <v>46099</v>
      </c>
      <c r="U763" s="124" t="str">
        <f>IFERROR(__xludf.DUMMYFUNCTION("""COMPUTED_VALUE"""),"Walk-Ins")</f>
        <v>Walk-Ins</v>
      </c>
      <c r="V763" s="124" t="str">
        <f>IFERROR(__xludf.DUMMYFUNCTION("""COMPUTED_VALUE"""),"Walkin")</f>
        <v>Walkin</v>
      </c>
      <c r="W763" s="124" t="str">
        <f>IFERROR(__xludf.DUMMYFUNCTION("""COMPUTED_VALUE"""),"Prayagraj")</f>
        <v>Prayagraj</v>
      </c>
      <c r="X763" s="124" t="str">
        <f>IFERROR(__xludf.DUMMYFUNCTION("""COMPUTED_VALUE"""),"Walkin")</f>
        <v>Walkin</v>
      </c>
      <c r="Y763" s="124" t="str">
        <f>IFERROR(__xludf.DUMMYFUNCTION("""COMPUTED_VALUE"""),"Prayagraj")</f>
        <v>Prayagraj</v>
      </c>
      <c r="Z763" s="124">
        <f>IFERROR(__xludf.DUMMYFUNCTION("""COMPUTED_VALUE"""),3.0)</f>
        <v>3</v>
      </c>
      <c r="AA763" s="124" t="str">
        <f>IFERROR(__xludf.DUMMYFUNCTION("""COMPUTED_VALUE"""),"Future Prospects")</f>
        <v>Future Prospects</v>
      </c>
      <c r="AB763" s="124" t="str">
        <f>IFERROR(__xludf.DUMMYFUNCTION("""COMPUTED_VALUE"""),"Mentorship")</f>
        <v>Mentorship</v>
      </c>
    </row>
    <row r="764">
      <c r="A764" s="129">
        <f>IFERROR(__xludf.DUMMYFUNCTION("""COMPUTED_VALUE"""),46105.0)</f>
        <v>46105</v>
      </c>
      <c r="B764" s="124" t="str">
        <f>IFERROR(__xludf.DUMMYFUNCTION("""COMPUTED_VALUE"""),"Walkin")</f>
        <v>Walkin</v>
      </c>
      <c r="C764" s="124" t="str">
        <f>IFERROR(__xludf.DUMMYFUNCTION("""COMPUTED_VALUE"""),"Indore")</f>
        <v>Indore</v>
      </c>
      <c r="D764" s="124" t="str">
        <f>IFERROR(__xludf.DUMMYFUNCTION("""COMPUTED_VALUE"""),"Primary_Walkin")</f>
        <v>Primary_Walkin</v>
      </c>
      <c r="E764" s="124">
        <f>IFERROR(__xludf.DUMMYFUNCTION("""COMPUTED_VALUE"""),1.0)</f>
        <v>1</v>
      </c>
      <c r="F764" s="124" t="str">
        <f>IFERROR(__xludf.DUMMYFUNCTION("""COMPUTED_VALUE"""),"Cold")</f>
        <v>Cold</v>
      </c>
      <c r="G764" s="124" t="str">
        <f>IFERROR(__xludf.DUMMYFUNCTION("""COMPUTED_VALUE"""),"State PCS")</f>
        <v>State PCS</v>
      </c>
      <c r="K764" s="124"/>
      <c r="L764" s="124"/>
      <c r="M764" s="124"/>
      <c r="N764" s="124"/>
      <c r="O764" s="124"/>
      <c r="T764" s="126">
        <f>IFERROR(__xludf.DUMMYFUNCTION("""COMPUTED_VALUE"""),46070.0)</f>
        <v>46070</v>
      </c>
      <c r="U764" s="124" t="str">
        <f>IFERROR(__xludf.DUMMYFUNCTION("""COMPUTED_VALUE"""),"Walk-Ins")</f>
        <v>Walk-Ins</v>
      </c>
      <c r="V764" s="124" t="str">
        <f>IFERROR(__xludf.DUMMYFUNCTION("""COMPUTED_VALUE"""),"Walkin")</f>
        <v>Walkin</v>
      </c>
      <c r="W764" s="124" t="str">
        <f>IFERROR(__xludf.DUMMYFUNCTION("""COMPUTED_VALUE"""),"Patna")</f>
        <v>Patna</v>
      </c>
      <c r="X764" s="124" t="str">
        <f>IFERROR(__xludf.DUMMYFUNCTION("""COMPUTED_VALUE"""),"Walkin")</f>
        <v>Walkin</v>
      </c>
      <c r="Y764" s="124" t="str">
        <f>IFERROR(__xludf.DUMMYFUNCTION("""COMPUTED_VALUE"""),"Patna")</f>
        <v>Patna</v>
      </c>
      <c r="Z764" s="124">
        <f>IFERROR(__xludf.DUMMYFUNCTION("""COMPUTED_VALUE"""),2.0)</f>
        <v>2</v>
      </c>
      <c r="AA764" s="124" t="str">
        <f>IFERROR(__xludf.DUMMYFUNCTION("""COMPUTED_VALUE"""),"Not Interested")</f>
        <v>Not Interested</v>
      </c>
      <c r="AB764" s="124" t="str">
        <f>IFERROR(__xludf.DUMMYFUNCTION("""COMPUTED_VALUE"""),"State PCS")</f>
        <v>State PCS</v>
      </c>
    </row>
    <row r="765">
      <c r="A765" s="126">
        <f>IFERROR(__xludf.DUMMYFUNCTION("""COMPUTED_VALUE"""),46069.0)</f>
        <v>46069</v>
      </c>
      <c r="B765" s="124" t="str">
        <f>IFERROR(__xludf.DUMMYFUNCTION("""COMPUTED_VALUE"""),"Walkin")</f>
        <v>Walkin</v>
      </c>
      <c r="C765" s="124" t="str">
        <f>IFERROR(__xludf.DUMMYFUNCTION("""COMPUTED_VALUE"""),"Lucknow")</f>
        <v>Lucknow</v>
      </c>
      <c r="D765" s="124" t="str">
        <f>IFERROR(__xludf.DUMMYFUNCTION("""COMPUTED_VALUE"""),"Primary_Walkin")</f>
        <v>Primary_Walkin</v>
      </c>
      <c r="E765" s="124">
        <f>IFERROR(__xludf.DUMMYFUNCTION("""COMPUTED_VALUE"""),1.0)</f>
        <v>1</v>
      </c>
      <c r="F765" s="124" t="str">
        <f>IFERROR(__xludf.DUMMYFUNCTION("""COMPUTED_VALUE"""),"Enrolled")</f>
        <v>Enrolled</v>
      </c>
      <c r="G765" s="124" t="str">
        <f>IFERROR(__xludf.DUMMYFUNCTION("""COMPUTED_VALUE"""),"State PCS")</f>
        <v>State PCS</v>
      </c>
      <c r="K765" s="124"/>
      <c r="L765" s="124"/>
      <c r="M765" s="124"/>
      <c r="N765" s="124"/>
      <c r="O765" s="124"/>
      <c r="T765" s="126">
        <f>IFERROR(__xludf.DUMMYFUNCTION("""COMPUTED_VALUE"""),46088.0)</f>
        <v>46088</v>
      </c>
      <c r="U765" s="124" t="str">
        <f>IFERROR(__xludf.DUMMYFUNCTION("""COMPUTED_VALUE"""),"Walk-Ins")</f>
        <v>Walk-Ins</v>
      </c>
      <c r="V765" s="124" t="str">
        <f>IFERROR(__xludf.DUMMYFUNCTION("""COMPUTED_VALUE"""),"Walkin")</f>
        <v>Walkin</v>
      </c>
      <c r="W765" s="124" t="str">
        <f>IFERROR(__xludf.DUMMYFUNCTION("""COMPUTED_VALUE"""),"Patna")</f>
        <v>Patna</v>
      </c>
      <c r="X765" s="124" t="str">
        <f>IFERROR(__xludf.DUMMYFUNCTION("""COMPUTED_VALUE"""),"Walkin")</f>
        <v>Walkin</v>
      </c>
      <c r="Y765" s="124" t="str">
        <f>IFERROR(__xludf.DUMMYFUNCTION("""COMPUTED_VALUE"""),"Patna")</f>
        <v>Patna</v>
      </c>
      <c r="Z765" s="124">
        <f>IFERROR(__xludf.DUMMYFUNCTION("""COMPUTED_VALUE"""),1.0)</f>
        <v>1</v>
      </c>
      <c r="AA765" s="124" t="str">
        <f>IFERROR(__xludf.DUMMYFUNCTION("""COMPUTED_VALUE"""),"Fake Lead")</f>
        <v>Fake Lead</v>
      </c>
      <c r="AB765" s="124" t="str">
        <f>IFERROR(__xludf.DUMMYFUNCTION("""COMPUTED_VALUE"""),"State PCS")</f>
        <v>State PCS</v>
      </c>
    </row>
    <row r="766">
      <c r="A766" s="126">
        <f>IFERROR(__xludf.DUMMYFUNCTION("""COMPUTED_VALUE"""),46064.0)</f>
        <v>46064</v>
      </c>
      <c r="B766" s="124" t="str">
        <f>IFERROR(__xludf.DUMMYFUNCTION("""COMPUTED_VALUE"""),"Walkin")</f>
        <v>Walkin</v>
      </c>
      <c r="C766" s="124" t="str">
        <f>IFERROR(__xludf.DUMMYFUNCTION("""COMPUTED_VALUE"""),"Indore")</f>
        <v>Indore</v>
      </c>
      <c r="D766" s="124" t="str">
        <f>IFERROR(__xludf.DUMMYFUNCTION("""COMPUTED_VALUE"""),"Primary_Walkin")</f>
        <v>Primary_Walkin</v>
      </c>
      <c r="E766" s="124">
        <f>IFERROR(__xludf.DUMMYFUNCTION("""COMPUTED_VALUE"""),1.0)</f>
        <v>1</v>
      </c>
      <c r="F766" s="124" t="str">
        <f>IFERROR(__xludf.DUMMYFUNCTION("""COMPUTED_VALUE"""),"Enrolled")</f>
        <v>Enrolled</v>
      </c>
      <c r="G766" s="124" t="str">
        <f>IFERROR(__xludf.DUMMYFUNCTION("""COMPUTED_VALUE"""),"State PCS")</f>
        <v>State PCS</v>
      </c>
      <c r="K766" s="124"/>
      <c r="L766" s="124"/>
      <c r="M766" s="124"/>
      <c r="N766" s="124"/>
      <c r="O766" s="124"/>
      <c r="T766" s="129">
        <f>IFERROR(__xludf.DUMMYFUNCTION("""COMPUTED_VALUE"""),46102.0)</f>
        <v>46102</v>
      </c>
      <c r="U766" s="124" t="str">
        <f>IFERROR(__xludf.DUMMYFUNCTION("""COMPUTED_VALUE"""),"Walk-Ins")</f>
        <v>Walk-Ins</v>
      </c>
      <c r="V766" s="124" t="str">
        <f>IFERROR(__xludf.DUMMYFUNCTION("""COMPUTED_VALUE"""),"Walkin")</f>
        <v>Walkin</v>
      </c>
      <c r="W766" s="124" t="str">
        <f>IFERROR(__xludf.DUMMYFUNCTION("""COMPUTED_VALUE"""),"Patna")</f>
        <v>Patna</v>
      </c>
      <c r="X766" s="124" t="str">
        <f>IFERROR(__xludf.DUMMYFUNCTION("""COMPUTED_VALUE"""),"Walkin")</f>
        <v>Walkin</v>
      </c>
      <c r="Y766" s="124" t="str">
        <f>IFERROR(__xludf.DUMMYFUNCTION("""COMPUTED_VALUE"""),"Patna")</f>
        <v>Patna</v>
      </c>
      <c r="Z766" s="124">
        <f>IFERROR(__xludf.DUMMYFUNCTION("""COMPUTED_VALUE"""),1.0)</f>
        <v>1</v>
      </c>
      <c r="AA766" s="124" t="str">
        <f>IFERROR(__xludf.DUMMYFUNCTION("""COMPUTED_VALUE"""),"Fake Lead")</f>
        <v>Fake Lead</v>
      </c>
      <c r="AB766" s="124" t="str">
        <f>IFERROR(__xludf.DUMMYFUNCTION("""COMPUTED_VALUE"""),"State PCS")</f>
        <v>State PCS</v>
      </c>
    </row>
    <row r="767">
      <c r="A767" s="126">
        <f>IFERROR(__xludf.DUMMYFUNCTION("""COMPUTED_VALUE"""),46069.0)</f>
        <v>46069</v>
      </c>
      <c r="B767" s="124" t="str">
        <f>IFERROR(__xludf.DUMMYFUNCTION("""COMPUTED_VALUE"""),"Walkin")</f>
        <v>Walkin</v>
      </c>
      <c r="C767" s="124" t="str">
        <f>IFERROR(__xludf.DUMMYFUNCTION("""COMPUTED_VALUE"""),"Lucknow")</f>
        <v>Lucknow</v>
      </c>
      <c r="D767" s="124" t="str">
        <f>IFERROR(__xludf.DUMMYFUNCTION("""COMPUTED_VALUE"""),"Primary_Walkin")</f>
        <v>Primary_Walkin</v>
      </c>
      <c r="E767" s="124">
        <f>IFERROR(__xludf.DUMMYFUNCTION("""COMPUTED_VALUE"""),1.0)</f>
        <v>1</v>
      </c>
      <c r="F767" s="124" t="str">
        <f>IFERROR(__xludf.DUMMYFUNCTION("""COMPUTED_VALUE"""),"Future Prospects")</f>
        <v>Future Prospects</v>
      </c>
      <c r="G767" s="124" t="str">
        <f>IFERROR(__xludf.DUMMYFUNCTION("""COMPUTED_VALUE"""),"GS Foundation")</f>
        <v>GS Foundation</v>
      </c>
      <c r="K767" s="124"/>
      <c r="L767" s="124"/>
      <c r="M767" s="124"/>
      <c r="N767" s="124"/>
      <c r="O767" s="124"/>
      <c r="T767" s="129">
        <f>IFERROR(__xludf.DUMMYFUNCTION("""COMPUTED_VALUE"""),46064.0)</f>
        <v>46064</v>
      </c>
      <c r="U767" s="124" t="str">
        <f>IFERROR(__xludf.DUMMYFUNCTION("""COMPUTED_VALUE"""),"Walk-Ins")</f>
        <v>Walk-Ins</v>
      </c>
      <c r="V767" s="124" t="str">
        <f>IFERROR(__xludf.DUMMYFUNCTION("""COMPUTED_VALUE"""),"Walkin")</f>
        <v>Walkin</v>
      </c>
      <c r="W767" s="124" t="str">
        <f>IFERROR(__xludf.DUMMYFUNCTION("""COMPUTED_VALUE"""),"Prayagraj")</f>
        <v>Prayagraj</v>
      </c>
      <c r="X767" s="124" t="str">
        <f>IFERROR(__xludf.DUMMYFUNCTION("""COMPUTED_VALUE"""),"Walkin")</f>
        <v>Walkin</v>
      </c>
      <c r="Y767" s="124" t="str">
        <f>IFERROR(__xludf.DUMMYFUNCTION("""COMPUTED_VALUE"""),"Prayagraj")</f>
        <v>Prayagraj</v>
      </c>
      <c r="Z767" s="124">
        <f>IFERROR(__xludf.DUMMYFUNCTION("""COMPUTED_VALUE"""),1.0)</f>
        <v>1</v>
      </c>
      <c r="AA767" s="124" t="str">
        <f>IFERROR(__xludf.DUMMYFUNCTION("""COMPUTED_VALUE"""),"Future Prospects")</f>
        <v>Future Prospects</v>
      </c>
      <c r="AB767" s="124" t="str">
        <f>IFERROR(__xludf.DUMMYFUNCTION("""COMPUTED_VALUE"""),"GS Foundation")</f>
        <v>GS Foundation</v>
      </c>
    </row>
    <row r="768">
      <c r="A768" s="126">
        <f>IFERROR(__xludf.DUMMYFUNCTION("""COMPUTED_VALUE"""),46104.0)</f>
        <v>46104</v>
      </c>
      <c r="B768" s="124" t="str">
        <f>IFERROR(__xludf.DUMMYFUNCTION("""COMPUTED_VALUE"""),"Walkin")</f>
        <v>Walkin</v>
      </c>
      <c r="C768" s="124" t="str">
        <f>IFERROR(__xludf.DUMMYFUNCTION("""COMPUTED_VALUE"""),"Lucknow")</f>
        <v>Lucknow</v>
      </c>
      <c r="D768" s="124" t="str">
        <f>IFERROR(__xludf.DUMMYFUNCTION("""COMPUTED_VALUE"""),"Primary_Walkin")</f>
        <v>Primary_Walkin</v>
      </c>
      <c r="E768" s="124">
        <f>IFERROR(__xludf.DUMMYFUNCTION("""COMPUTED_VALUE"""),1.0)</f>
        <v>1</v>
      </c>
      <c r="F768" s="124" t="str">
        <f>IFERROR(__xludf.DUMMYFUNCTION("""COMPUTED_VALUE"""),"Warm")</f>
        <v>Warm</v>
      </c>
      <c r="G768" s="124" t="str">
        <f>IFERROR(__xludf.DUMMYFUNCTION("""COMPUTED_VALUE"""),"GS Foundation")</f>
        <v>GS Foundation</v>
      </c>
      <c r="K768" s="124"/>
      <c r="L768" s="124"/>
      <c r="M768" s="124"/>
      <c r="N768" s="124"/>
      <c r="O768" s="124"/>
      <c r="T768" s="126">
        <f>IFERROR(__xludf.DUMMYFUNCTION("""COMPUTED_VALUE"""),46088.0)</f>
        <v>46088</v>
      </c>
      <c r="U768" s="124" t="str">
        <f>IFERROR(__xludf.DUMMYFUNCTION("""COMPUTED_VALUE"""),"Walk-Ins")</f>
        <v>Walk-Ins</v>
      </c>
      <c r="V768" s="124" t="str">
        <f>IFERROR(__xludf.DUMMYFUNCTION("""COMPUTED_VALUE"""),"Walkin")</f>
        <v>Walkin</v>
      </c>
      <c r="W768" s="124" t="str">
        <f>IFERROR(__xludf.DUMMYFUNCTION("""COMPUTED_VALUE"""),"Indore")</f>
        <v>Indore</v>
      </c>
      <c r="X768" s="124" t="str">
        <f>IFERROR(__xludf.DUMMYFUNCTION("""COMPUTED_VALUE"""),"Walkin")</f>
        <v>Walkin</v>
      </c>
      <c r="Y768" s="124" t="str">
        <f>IFERROR(__xludf.DUMMYFUNCTION("""COMPUTED_VALUE"""),"Indore")</f>
        <v>Indore</v>
      </c>
      <c r="Z768" s="124">
        <f>IFERROR(__xludf.DUMMYFUNCTION("""COMPUTED_VALUE"""),1.0)</f>
        <v>1</v>
      </c>
      <c r="AA768" s="124" t="str">
        <f>IFERROR(__xludf.DUMMYFUNCTION("""COMPUTED_VALUE"""),"Not Interested")</f>
        <v>Not Interested</v>
      </c>
      <c r="AB768" s="124" t="str">
        <f>IFERROR(__xludf.DUMMYFUNCTION("""COMPUTED_VALUE"""),"GS Foundation")</f>
        <v>GS Foundation</v>
      </c>
    </row>
    <row r="769">
      <c r="A769" s="126">
        <f>IFERROR(__xludf.DUMMYFUNCTION("""COMPUTED_VALUE"""),46057.0)</f>
        <v>46057</v>
      </c>
      <c r="B769" s="124" t="str">
        <f>IFERROR(__xludf.DUMMYFUNCTION("""COMPUTED_VALUE"""),"Inbound Call")</f>
        <v>Inbound Call</v>
      </c>
      <c r="C769" s="124" t="str">
        <f>IFERROR(__xludf.DUMMYFUNCTION("""COMPUTED_VALUE"""),"Lucknow")</f>
        <v>Lucknow</v>
      </c>
      <c r="D769" s="124" t="str">
        <f>IFERROR(__xludf.DUMMYFUNCTION("""COMPUTED_VALUE"""),"Secondary_Walkin")</f>
        <v>Secondary_Walkin</v>
      </c>
      <c r="E769" s="124">
        <f>IFERROR(__xludf.DUMMYFUNCTION("""COMPUTED_VALUE"""),1.0)</f>
        <v>1</v>
      </c>
      <c r="F769" s="124" t="str">
        <f>IFERROR(__xludf.DUMMYFUNCTION("""COMPUTED_VALUE"""),"Cold")</f>
        <v>Cold</v>
      </c>
      <c r="G769" s="124" t="str">
        <f>IFERROR(__xludf.DUMMYFUNCTION("""COMPUTED_VALUE"""),"State PCS")</f>
        <v>State PCS</v>
      </c>
      <c r="K769" s="124"/>
      <c r="L769" s="124"/>
      <c r="M769" s="124"/>
      <c r="N769" s="124"/>
      <c r="O769" s="124"/>
      <c r="T769" s="126">
        <f>IFERROR(__xludf.DUMMYFUNCTION("""COMPUTED_VALUE"""),46059.0)</f>
        <v>46059</v>
      </c>
      <c r="U769" s="124" t="str">
        <f>IFERROR(__xludf.DUMMYFUNCTION("""COMPUTED_VALUE"""),"Walk-Ins")</f>
        <v>Walk-Ins</v>
      </c>
      <c r="V769" s="124" t="str">
        <f>IFERROR(__xludf.DUMMYFUNCTION("""COMPUTED_VALUE"""),"Walkin")</f>
        <v>Walkin</v>
      </c>
      <c r="W769" s="124" t="str">
        <f>IFERROR(__xludf.DUMMYFUNCTION("""COMPUTED_VALUE"""),"Indore")</f>
        <v>Indore</v>
      </c>
      <c r="X769" s="124" t="str">
        <f>IFERROR(__xludf.DUMMYFUNCTION("""COMPUTED_VALUE"""),"Walkin")</f>
        <v>Walkin</v>
      </c>
      <c r="Y769" s="124" t="str">
        <f>IFERROR(__xludf.DUMMYFUNCTION("""COMPUTED_VALUE"""),"Indore")</f>
        <v>Indore</v>
      </c>
      <c r="Z769" s="124">
        <f>IFERROR(__xludf.DUMMYFUNCTION("""COMPUTED_VALUE"""),1.0)</f>
        <v>1</v>
      </c>
      <c r="AA769" s="124" t="str">
        <f>IFERROR(__xludf.DUMMYFUNCTION("""COMPUTED_VALUE"""),"Not Interested")</f>
        <v>Not Interested</v>
      </c>
      <c r="AB769" s="124" t="str">
        <f>IFERROR(__xludf.DUMMYFUNCTION("""COMPUTED_VALUE"""),"Other")</f>
        <v>Other</v>
      </c>
    </row>
    <row r="770">
      <c r="A770" s="129">
        <f>IFERROR(__xludf.DUMMYFUNCTION("""COMPUTED_VALUE"""),46097.0)</f>
        <v>46097</v>
      </c>
      <c r="B770" s="124" t="str">
        <f>IFERROR(__xludf.DUMMYFUNCTION("""COMPUTED_VALUE"""),"Walkin")</f>
        <v>Walkin</v>
      </c>
      <c r="C770" s="124" t="str">
        <f>IFERROR(__xludf.DUMMYFUNCTION("""COMPUTED_VALUE"""),"Patna")</f>
        <v>Patna</v>
      </c>
      <c r="D770" s="124" t="str">
        <f>IFERROR(__xludf.DUMMYFUNCTION("""COMPUTED_VALUE"""),"Primary_Walkin")</f>
        <v>Primary_Walkin</v>
      </c>
      <c r="E770" s="124">
        <f>IFERROR(__xludf.DUMMYFUNCTION("""COMPUTED_VALUE"""),2.0)</f>
        <v>2</v>
      </c>
      <c r="F770" s="124" t="str">
        <f>IFERROR(__xludf.DUMMYFUNCTION("""COMPUTED_VALUE"""),"Not Interested")</f>
        <v>Not Interested</v>
      </c>
      <c r="G770" s="124" t="str">
        <f>IFERROR(__xludf.DUMMYFUNCTION("""COMPUTED_VALUE"""),"State PCS")</f>
        <v>State PCS</v>
      </c>
      <c r="K770" s="124"/>
      <c r="L770" s="124"/>
      <c r="M770" s="124"/>
      <c r="N770" s="124"/>
      <c r="O770" s="124"/>
      <c r="T770" s="126">
        <f>IFERROR(__xludf.DUMMYFUNCTION("""COMPUTED_VALUE"""),46059.0)</f>
        <v>46059</v>
      </c>
      <c r="U770" s="124" t="str">
        <f>IFERROR(__xludf.DUMMYFUNCTION("""COMPUTED_VALUE"""),"Walk-Ins")</f>
        <v>Walk-Ins</v>
      </c>
      <c r="V770" s="124" t="str">
        <f>IFERROR(__xludf.DUMMYFUNCTION("""COMPUTED_VALUE"""),"Walkin")</f>
        <v>Walkin</v>
      </c>
      <c r="W770" s="124" t="str">
        <f>IFERROR(__xludf.DUMMYFUNCTION("""COMPUTED_VALUE"""),"Patna")</f>
        <v>Patna</v>
      </c>
      <c r="X770" s="124" t="str">
        <f>IFERROR(__xludf.DUMMYFUNCTION("""COMPUTED_VALUE"""),"Walkin")</f>
        <v>Walkin</v>
      </c>
      <c r="Y770" s="124" t="str">
        <f>IFERROR(__xludf.DUMMYFUNCTION("""COMPUTED_VALUE"""),"Patna")</f>
        <v>Patna</v>
      </c>
      <c r="Z770" s="124">
        <f>IFERROR(__xludf.DUMMYFUNCTION("""COMPUTED_VALUE"""),3.0)</f>
        <v>3</v>
      </c>
      <c r="AA770" s="124" t="str">
        <f>IFERROR(__xludf.DUMMYFUNCTION("""COMPUTED_VALUE"""),"Enrolled")</f>
        <v>Enrolled</v>
      </c>
      <c r="AB770" s="124" t="str">
        <f>IFERROR(__xludf.DUMMYFUNCTION("""COMPUTED_VALUE"""),"State PCS")</f>
        <v>State PCS</v>
      </c>
    </row>
    <row r="771">
      <c r="A771" s="129">
        <f>IFERROR(__xludf.DUMMYFUNCTION("""COMPUTED_VALUE"""),46091.0)</f>
        <v>46091</v>
      </c>
      <c r="B771" s="124" t="str">
        <f>IFERROR(__xludf.DUMMYFUNCTION("""COMPUTED_VALUE"""),"Walkin")</f>
        <v>Walkin</v>
      </c>
      <c r="C771" s="124" t="str">
        <f>IFERROR(__xludf.DUMMYFUNCTION("""COMPUTED_VALUE"""),"Patna")</f>
        <v>Patna</v>
      </c>
      <c r="D771" s="124" t="str">
        <f>IFERROR(__xludf.DUMMYFUNCTION("""COMPUTED_VALUE"""),"Primary_Walkin")</f>
        <v>Primary_Walkin</v>
      </c>
      <c r="E771" s="124">
        <f>IFERROR(__xludf.DUMMYFUNCTION("""COMPUTED_VALUE"""),2.0)</f>
        <v>2</v>
      </c>
      <c r="F771" s="124" t="str">
        <f>IFERROR(__xludf.DUMMYFUNCTION("""COMPUTED_VALUE"""),"Cold")</f>
        <v>Cold</v>
      </c>
      <c r="G771" s="124" t="str">
        <f>IFERROR(__xludf.DUMMYFUNCTION("""COMPUTED_VALUE"""),"GS Foundation")</f>
        <v>GS Foundation</v>
      </c>
      <c r="K771" s="124"/>
      <c r="L771" s="124"/>
      <c r="M771" s="124"/>
      <c r="N771" s="124"/>
      <c r="O771" s="124"/>
      <c r="T771" s="129">
        <f>IFERROR(__xludf.DUMMYFUNCTION("""COMPUTED_VALUE"""),46091.0)</f>
        <v>46091</v>
      </c>
      <c r="U771" s="124" t="str">
        <f>IFERROR(__xludf.DUMMYFUNCTION("""COMPUTED_VALUE"""),"Walk-Ins")</f>
        <v>Walk-Ins</v>
      </c>
      <c r="V771" s="124" t="str">
        <f>IFERROR(__xludf.DUMMYFUNCTION("""COMPUTED_VALUE"""),"Walkin")</f>
        <v>Walkin</v>
      </c>
      <c r="W771" s="124" t="str">
        <f>IFERROR(__xludf.DUMMYFUNCTION("""COMPUTED_VALUE"""),"Indore")</f>
        <v>Indore</v>
      </c>
      <c r="X771" s="124" t="str">
        <f>IFERROR(__xludf.DUMMYFUNCTION("""COMPUTED_VALUE"""),"Walkin")</f>
        <v>Walkin</v>
      </c>
      <c r="Y771" s="124" t="str">
        <f>IFERROR(__xludf.DUMMYFUNCTION("""COMPUTED_VALUE"""),"Indore")</f>
        <v>Indore</v>
      </c>
      <c r="Z771" s="124">
        <f>IFERROR(__xludf.DUMMYFUNCTION("""COMPUTED_VALUE"""),1.0)</f>
        <v>1</v>
      </c>
      <c r="AA771" s="124" t="str">
        <f>IFERROR(__xludf.DUMMYFUNCTION("""COMPUTED_VALUE"""),"Not Interested")</f>
        <v>Not Interested</v>
      </c>
      <c r="AB771" s="124" t="str">
        <f>IFERROR(__xludf.DUMMYFUNCTION("""COMPUTED_VALUE"""),"GS Foundation")</f>
        <v>GS Foundation</v>
      </c>
    </row>
    <row r="772">
      <c r="A772" s="126">
        <f>IFERROR(__xludf.DUMMYFUNCTION("""COMPUTED_VALUE"""),46097.0)</f>
        <v>46097</v>
      </c>
      <c r="B772" s="124" t="str">
        <f>IFERROR(__xludf.DUMMYFUNCTION("""COMPUTED_VALUE"""),"Walkin")</f>
        <v>Walkin</v>
      </c>
      <c r="C772" s="124" t="str">
        <f>IFERROR(__xludf.DUMMYFUNCTION("""COMPUTED_VALUE"""),"Patna")</f>
        <v>Patna</v>
      </c>
      <c r="D772" s="124" t="str">
        <f>IFERROR(__xludf.DUMMYFUNCTION("""COMPUTED_VALUE"""),"Primary_Walkin")</f>
        <v>Primary_Walkin</v>
      </c>
      <c r="E772" s="124">
        <f>IFERROR(__xludf.DUMMYFUNCTION("""COMPUTED_VALUE"""),1.0)</f>
        <v>1</v>
      </c>
      <c r="F772" s="124" t="str">
        <f>IFERROR(__xludf.DUMMYFUNCTION("""COMPUTED_VALUE"""),"Fake Lead")</f>
        <v>Fake Lead</v>
      </c>
      <c r="G772" s="124" t="str">
        <f>IFERROR(__xludf.DUMMYFUNCTION("""COMPUTED_VALUE"""),"Test Series")</f>
        <v>Test Series</v>
      </c>
      <c r="K772" s="124"/>
      <c r="L772" s="124"/>
      <c r="M772" s="124"/>
      <c r="N772" s="124"/>
      <c r="O772" s="124"/>
      <c r="T772" s="126">
        <f>IFERROR(__xludf.DUMMYFUNCTION("""COMPUTED_VALUE"""),46052.0)</f>
        <v>46052</v>
      </c>
      <c r="U772" s="124" t="str">
        <f>IFERROR(__xludf.DUMMYFUNCTION("""COMPUTED_VALUE"""),"Walk-Ins")</f>
        <v>Walk-Ins</v>
      </c>
      <c r="V772" s="124" t="str">
        <f>IFERROR(__xludf.DUMMYFUNCTION("""COMPUTED_VALUE"""),"Walkin")</f>
        <v>Walkin</v>
      </c>
      <c r="W772" s="124" t="str">
        <f>IFERROR(__xludf.DUMMYFUNCTION("""COMPUTED_VALUE"""),"Indore")</f>
        <v>Indore</v>
      </c>
      <c r="X772" s="124" t="str">
        <f>IFERROR(__xludf.DUMMYFUNCTION("""COMPUTED_VALUE"""),"Walkin")</f>
        <v>Walkin</v>
      </c>
      <c r="Y772" s="124" t="str">
        <f>IFERROR(__xludf.DUMMYFUNCTION("""COMPUTED_VALUE"""),"Indore")</f>
        <v>Indore</v>
      </c>
      <c r="Z772" s="124">
        <f>IFERROR(__xludf.DUMMYFUNCTION("""COMPUTED_VALUE"""),1.0)</f>
        <v>1</v>
      </c>
      <c r="AA772" s="124" t="str">
        <f>IFERROR(__xludf.DUMMYFUNCTION("""COMPUTED_VALUE"""),"Not Interested")</f>
        <v>Not Interested</v>
      </c>
      <c r="AB772" s="124" t="str">
        <f>IFERROR(__xludf.DUMMYFUNCTION("""COMPUTED_VALUE"""),"GS Foundation")</f>
        <v>GS Foundation</v>
      </c>
    </row>
    <row r="773">
      <c r="A773" s="126">
        <f>IFERROR(__xludf.DUMMYFUNCTION("""COMPUTED_VALUE"""),46059.0)</f>
        <v>46059</v>
      </c>
      <c r="B773" s="124" t="str">
        <f>IFERROR(__xludf.DUMMYFUNCTION("""COMPUTED_VALUE"""),"Walkin")</f>
        <v>Walkin</v>
      </c>
      <c r="C773" s="124" t="str">
        <f>IFERROR(__xludf.DUMMYFUNCTION("""COMPUTED_VALUE"""),"Patna")</f>
        <v>Patna</v>
      </c>
      <c r="D773" s="124" t="str">
        <f>IFERROR(__xludf.DUMMYFUNCTION("""COMPUTED_VALUE"""),"Primary_Walkin")</f>
        <v>Primary_Walkin</v>
      </c>
      <c r="E773" s="124">
        <f>IFERROR(__xludf.DUMMYFUNCTION("""COMPUTED_VALUE"""),3.0)</f>
        <v>3</v>
      </c>
      <c r="F773" s="124" t="str">
        <f>IFERROR(__xludf.DUMMYFUNCTION("""COMPUTED_VALUE"""),"Enrolled")</f>
        <v>Enrolled</v>
      </c>
      <c r="G773" s="124" t="str">
        <f>IFERROR(__xludf.DUMMYFUNCTION("""COMPUTED_VALUE"""),"GS Foundation")</f>
        <v>GS Foundation</v>
      </c>
      <c r="K773" s="124"/>
      <c r="L773" s="124"/>
      <c r="M773" s="124"/>
      <c r="N773" s="124"/>
      <c r="O773" s="124"/>
      <c r="T773" s="126">
        <f>IFERROR(__xludf.DUMMYFUNCTION("""COMPUTED_VALUE"""),46097.0)</f>
        <v>46097</v>
      </c>
      <c r="U773" s="124" t="str">
        <f>IFERROR(__xludf.DUMMYFUNCTION("""COMPUTED_VALUE"""),"Walk-Ins")</f>
        <v>Walk-Ins</v>
      </c>
      <c r="V773" s="124" t="str">
        <f>IFERROR(__xludf.DUMMYFUNCTION("""COMPUTED_VALUE"""),"Walkin")</f>
        <v>Walkin</v>
      </c>
      <c r="W773" s="124" t="str">
        <f>IFERROR(__xludf.DUMMYFUNCTION("""COMPUTED_VALUE"""),"Prayagraj")</f>
        <v>Prayagraj</v>
      </c>
      <c r="X773" s="124" t="str">
        <f>IFERROR(__xludf.DUMMYFUNCTION("""COMPUTED_VALUE"""),"Walkin")</f>
        <v>Walkin</v>
      </c>
      <c r="Y773" s="124" t="str">
        <f>IFERROR(__xludf.DUMMYFUNCTION("""COMPUTED_VALUE"""),"Prayagraj")</f>
        <v>Prayagraj</v>
      </c>
      <c r="Z773" s="124">
        <f>IFERROR(__xludf.DUMMYFUNCTION("""COMPUTED_VALUE"""),4.0)</f>
        <v>4</v>
      </c>
      <c r="AA773" s="124" t="str">
        <f>IFERROR(__xludf.DUMMYFUNCTION("""COMPUTED_VALUE"""),"Future Prospects")</f>
        <v>Future Prospects</v>
      </c>
      <c r="AB773" s="124" t="str">
        <f>IFERROR(__xludf.DUMMYFUNCTION("""COMPUTED_VALUE"""),"GS Foundation")</f>
        <v>GS Foundation</v>
      </c>
    </row>
    <row r="774">
      <c r="A774" s="126">
        <f>IFERROR(__xludf.DUMMYFUNCTION("""COMPUTED_VALUE"""),46075.0)</f>
        <v>46075</v>
      </c>
      <c r="B774" s="124" t="str">
        <f>IFERROR(__xludf.DUMMYFUNCTION("""COMPUTED_VALUE"""),"Walkin")</f>
        <v>Walkin</v>
      </c>
      <c r="C774" s="124" t="str">
        <f>IFERROR(__xludf.DUMMYFUNCTION("""COMPUTED_VALUE"""),"Patna")</f>
        <v>Patna</v>
      </c>
      <c r="D774" s="124" t="str">
        <f>IFERROR(__xludf.DUMMYFUNCTION("""COMPUTED_VALUE"""),"Primary_Walkin")</f>
        <v>Primary_Walkin</v>
      </c>
      <c r="E774" s="124">
        <f>IFERROR(__xludf.DUMMYFUNCTION("""COMPUTED_VALUE"""),1.0)</f>
        <v>1</v>
      </c>
      <c r="F774" s="124" t="str">
        <f>IFERROR(__xludf.DUMMYFUNCTION("""COMPUTED_VALUE"""),"Not Interested")</f>
        <v>Not Interested</v>
      </c>
      <c r="G774" s="124" t="str">
        <f>IFERROR(__xludf.DUMMYFUNCTION("""COMPUTED_VALUE"""),"Test Series")</f>
        <v>Test Series</v>
      </c>
      <c r="K774" s="124"/>
      <c r="L774" s="124"/>
      <c r="M774" s="124"/>
      <c r="N774" s="124"/>
      <c r="O774" s="124"/>
      <c r="T774" s="126">
        <f>IFERROR(__xludf.DUMMYFUNCTION("""COMPUTED_VALUE"""),46112.0)</f>
        <v>46112</v>
      </c>
      <c r="U774" s="124" t="str">
        <f>IFERROR(__xludf.DUMMYFUNCTION("""COMPUTED_VALUE"""),"Walk-Ins")</f>
        <v>Walk-Ins</v>
      </c>
      <c r="V774" s="124" t="str">
        <f>IFERROR(__xludf.DUMMYFUNCTION("""COMPUTED_VALUE"""),"Walkin")</f>
        <v>Walkin</v>
      </c>
      <c r="W774" s="124" t="str">
        <f>IFERROR(__xludf.DUMMYFUNCTION("""COMPUTED_VALUE"""),"Patna")</f>
        <v>Patna</v>
      </c>
      <c r="X774" s="124" t="str">
        <f>IFERROR(__xludf.DUMMYFUNCTION("""COMPUTED_VALUE"""),"Walkin")</f>
        <v>Walkin</v>
      </c>
      <c r="Y774" s="124" t="str">
        <f>IFERROR(__xludf.DUMMYFUNCTION("""COMPUTED_VALUE"""),"Patna")</f>
        <v>Patna</v>
      </c>
      <c r="Z774" s="124">
        <f>IFERROR(__xludf.DUMMYFUNCTION("""COMPUTED_VALUE"""),3.0)</f>
        <v>3</v>
      </c>
      <c r="AA774" s="124" t="str">
        <f>IFERROR(__xludf.DUMMYFUNCTION("""COMPUTED_VALUE"""),"Cold")</f>
        <v>Cold</v>
      </c>
      <c r="AB774" s="124" t="str">
        <f>IFERROR(__xludf.DUMMYFUNCTION("""COMPUTED_VALUE"""),"State PCS")</f>
        <v>State PCS</v>
      </c>
    </row>
    <row r="775">
      <c r="A775" s="126">
        <f>IFERROR(__xludf.DUMMYFUNCTION("""COMPUTED_VALUE"""),46066.0)</f>
        <v>46066</v>
      </c>
      <c r="B775" s="124" t="str">
        <f>IFERROR(__xludf.DUMMYFUNCTION("""COMPUTED_VALUE"""),"Walkin")</f>
        <v>Walkin</v>
      </c>
      <c r="C775" s="124" t="str">
        <f>IFERROR(__xludf.DUMMYFUNCTION("""COMPUTED_VALUE"""),"Patna")</f>
        <v>Patna</v>
      </c>
      <c r="D775" s="124" t="str">
        <f>IFERROR(__xludf.DUMMYFUNCTION("""COMPUTED_VALUE"""),"Primary_Walkin")</f>
        <v>Primary_Walkin</v>
      </c>
      <c r="E775" s="124">
        <f>IFERROR(__xludf.DUMMYFUNCTION("""COMPUTED_VALUE"""),2.0)</f>
        <v>2</v>
      </c>
      <c r="F775" s="124" t="str">
        <f>IFERROR(__xludf.DUMMYFUNCTION("""COMPUTED_VALUE"""),"Cold")</f>
        <v>Cold</v>
      </c>
      <c r="G775" s="124" t="str">
        <f>IFERROR(__xludf.DUMMYFUNCTION("""COMPUTED_VALUE"""),"State PCS")</f>
        <v>State PCS</v>
      </c>
      <c r="K775" s="124"/>
      <c r="L775" s="124"/>
      <c r="M775" s="124"/>
      <c r="N775" s="124"/>
      <c r="O775" s="124"/>
      <c r="T775" s="126">
        <f>IFERROR(__xludf.DUMMYFUNCTION("""COMPUTED_VALUE"""),46065.0)</f>
        <v>46065</v>
      </c>
      <c r="U775" s="124" t="str">
        <f>IFERROR(__xludf.DUMMYFUNCTION("""COMPUTED_VALUE"""),"Walk-Ins")</f>
        <v>Walk-Ins</v>
      </c>
      <c r="V775" s="124" t="str">
        <f>IFERROR(__xludf.DUMMYFUNCTION("""COMPUTED_VALUE"""),"Walkin")</f>
        <v>Walkin</v>
      </c>
      <c r="W775" s="124" t="str">
        <f>IFERROR(__xludf.DUMMYFUNCTION("""COMPUTED_VALUE"""),"Patna")</f>
        <v>Patna</v>
      </c>
      <c r="X775" s="124" t="str">
        <f>IFERROR(__xludf.DUMMYFUNCTION("""COMPUTED_VALUE"""),"Walkin")</f>
        <v>Walkin</v>
      </c>
      <c r="Y775" s="124" t="str">
        <f>IFERROR(__xludf.DUMMYFUNCTION("""COMPUTED_VALUE"""),"Patna")</f>
        <v>Patna</v>
      </c>
      <c r="Z775" s="124">
        <f>IFERROR(__xludf.DUMMYFUNCTION("""COMPUTED_VALUE"""),1.0)</f>
        <v>1</v>
      </c>
      <c r="AA775" s="124" t="str">
        <f>IFERROR(__xludf.DUMMYFUNCTION("""COMPUTED_VALUE"""),"Fake Lead")</f>
        <v>Fake Lead</v>
      </c>
      <c r="AB775" s="124" t="str">
        <f>IFERROR(__xludf.DUMMYFUNCTION("""COMPUTED_VALUE"""),"Other")</f>
        <v>Other</v>
      </c>
    </row>
    <row r="776">
      <c r="A776" s="129">
        <f>IFERROR(__xludf.DUMMYFUNCTION("""COMPUTED_VALUE"""),46061.0)</f>
        <v>46061</v>
      </c>
      <c r="B776" s="124" t="str">
        <f>IFERROR(__xludf.DUMMYFUNCTION("""COMPUTED_VALUE"""),"Walkin")</f>
        <v>Walkin</v>
      </c>
      <c r="C776" s="124" t="str">
        <f>IFERROR(__xludf.DUMMYFUNCTION("""COMPUTED_VALUE"""),"Patna")</f>
        <v>Patna</v>
      </c>
      <c r="D776" s="124" t="str">
        <f>IFERROR(__xludf.DUMMYFUNCTION("""COMPUTED_VALUE"""),"Primary_Walkin")</f>
        <v>Primary_Walkin</v>
      </c>
      <c r="E776" s="124">
        <f>IFERROR(__xludf.DUMMYFUNCTION("""COMPUTED_VALUE"""),3.0)</f>
        <v>3</v>
      </c>
      <c r="F776" s="124" t="str">
        <f>IFERROR(__xludf.DUMMYFUNCTION("""COMPUTED_VALUE"""),"Enrolled")</f>
        <v>Enrolled</v>
      </c>
      <c r="G776" s="124" t="str">
        <f>IFERROR(__xludf.DUMMYFUNCTION("""COMPUTED_VALUE"""),"State PCS")</f>
        <v>State PCS</v>
      </c>
      <c r="K776" s="124"/>
      <c r="L776" s="124"/>
      <c r="M776" s="124"/>
      <c r="N776" s="124"/>
      <c r="O776" s="124"/>
      <c r="T776" s="129">
        <f>IFERROR(__xludf.DUMMYFUNCTION("""COMPUTED_VALUE"""),46104.0)</f>
        <v>46104</v>
      </c>
      <c r="U776" s="124" t="str">
        <f>IFERROR(__xludf.DUMMYFUNCTION("""COMPUTED_VALUE"""),"Walk-Ins")</f>
        <v>Walk-Ins</v>
      </c>
      <c r="V776" s="124" t="str">
        <f>IFERROR(__xludf.DUMMYFUNCTION("""COMPUTED_VALUE"""),"Walkin")</f>
        <v>Walkin</v>
      </c>
      <c r="W776" s="124" t="str">
        <f>IFERROR(__xludf.DUMMYFUNCTION("""COMPUTED_VALUE"""),"Patna")</f>
        <v>Patna</v>
      </c>
      <c r="X776" s="124" t="str">
        <f>IFERROR(__xludf.DUMMYFUNCTION("""COMPUTED_VALUE"""),"Walkin")</f>
        <v>Walkin</v>
      </c>
      <c r="Y776" s="124" t="str">
        <f>IFERROR(__xludf.DUMMYFUNCTION("""COMPUTED_VALUE"""),"Patna")</f>
        <v>Patna</v>
      </c>
      <c r="Z776" s="124">
        <f>IFERROR(__xludf.DUMMYFUNCTION("""COMPUTED_VALUE"""),4.0)</f>
        <v>4</v>
      </c>
      <c r="AA776" s="124" t="str">
        <f>IFERROR(__xludf.DUMMYFUNCTION("""COMPUTED_VALUE"""),"Warm")</f>
        <v>Warm</v>
      </c>
      <c r="AB776" s="124" t="str">
        <f>IFERROR(__xludf.DUMMYFUNCTION("""COMPUTED_VALUE"""),"GS Foundation")</f>
        <v>GS Foundation</v>
      </c>
    </row>
    <row r="777">
      <c r="A777" s="126">
        <f>IFERROR(__xludf.DUMMYFUNCTION("""COMPUTED_VALUE"""),46080.0)</f>
        <v>46080</v>
      </c>
      <c r="B777" s="124" t="str">
        <f>IFERROR(__xludf.DUMMYFUNCTION("""COMPUTED_VALUE"""),"events")</f>
        <v>events</v>
      </c>
      <c r="C777" s="124" t="str">
        <f>IFERROR(__xludf.DUMMYFUNCTION("""COMPUTED_VALUE"""),"Patna")</f>
        <v>Patna</v>
      </c>
      <c r="D777" s="124" t="str">
        <f>IFERROR(__xludf.DUMMYFUNCTION("""COMPUTED_VALUE"""),"Secondary_Walkin")</f>
        <v>Secondary_Walkin</v>
      </c>
      <c r="E777" s="124">
        <f>IFERROR(__xludf.DUMMYFUNCTION("""COMPUTED_VALUE"""),1.0)</f>
        <v>1</v>
      </c>
      <c r="F777" s="124" t="str">
        <f>IFERROR(__xludf.DUMMYFUNCTION("""COMPUTED_VALUE"""),"Fake Lead")</f>
        <v>Fake Lead</v>
      </c>
      <c r="G777" s="124" t="str">
        <f>IFERROR(__xludf.DUMMYFUNCTION("""COMPUTED_VALUE"""),"State PCS")</f>
        <v>State PCS</v>
      </c>
      <c r="K777" s="124"/>
      <c r="L777" s="124"/>
      <c r="M777" s="124"/>
      <c r="N777" s="124"/>
      <c r="O777" s="124"/>
      <c r="T777" s="126">
        <f>IFERROR(__xludf.DUMMYFUNCTION("""COMPUTED_VALUE"""),46108.0)</f>
        <v>46108</v>
      </c>
      <c r="U777" s="124" t="str">
        <f>IFERROR(__xludf.DUMMYFUNCTION("""COMPUTED_VALUE"""),"Walk-Ins")</f>
        <v>Walk-Ins</v>
      </c>
      <c r="V777" s="124" t="str">
        <f>IFERROR(__xludf.DUMMYFUNCTION("""COMPUTED_VALUE"""),"Walkin")</f>
        <v>Walkin</v>
      </c>
      <c r="W777" s="124" t="str">
        <f>IFERROR(__xludf.DUMMYFUNCTION("""COMPUTED_VALUE"""),"Patna")</f>
        <v>Patna</v>
      </c>
      <c r="X777" s="124" t="str">
        <f>IFERROR(__xludf.DUMMYFUNCTION("""COMPUTED_VALUE"""),"Walkin")</f>
        <v>Walkin</v>
      </c>
      <c r="Y777" s="124" t="str">
        <f>IFERROR(__xludf.DUMMYFUNCTION("""COMPUTED_VALUE"""),"Patna")</f>
        <v>Patna</v>
      </c>
      <c r="Z777" s="124">
        <f>IFERROR(__xludf.DUMMYFUNCTION("""COMPUTED_VALUE"""),2.0)</f>
        <v>2</v>
      </c>
      <c r="AA777" s="124" t="str">
        <f>IFERROR(__xludf.DUMMYFUNCTION("""COMPUTED_VALUE"""),"Warm")</f>
        <v>Warm</v>
      </c>
      <c r="AB777" s="124" t="str">
        <f>IFERROR(__xludf.DUMMYFUNCTION("""COMPUTED_VALUE"""),"Test Series")</f>
        <v>Test Series</v>
      </c>
    </row>
    <row r="778">
      <c r="A778" s="126">
        <f>IFERROR(__xludf.DUMMYFUNCTION("""COMPUTED_VALUE"""),46051.0)</f>
        <v>46051</v>
      </c>
      <c r="B778" s="124" t="str">
        <f>IFERROR(__xludf.DUMMYFUNCTION("""COMPUTED_VALUE"""),"Walkin")</f>
        <v>Walkin</v>
      </c>
      <c r="C778" s="124" t="str">
        <f>IFERROR(__xludf.DUMMYFUNCTION("""COMPUTED_VALUE"""),"Patna")</f>
        <v>Patna</v>
      </c>
      <c r="D778" s="124" t="str">
        <f>IFERROR(__xludf.DUMMYFUNCTION("""COMPUTED_VALUE"""),"Primary_Walkin")</f>
        <v>Primary_Walkin</v>
      </c>
      <c r="E778" s="124">
        <f>IFERROR(__xludf.DUMMYFUNCTION("""COMPUTED_VALUE"""),5.0)</f>
        <v>5</v>
      </c>
      <c r="F778" s="124" t="str">
        <f>IFERROR(__xludf.DUMMYFUNCTION("""COMPUTED_VALUE"""),"Cold")</f>
        <v>Cold</v>
      </c>
      <c r="G778" s="124" t="str">
        <f>IFERROR(__xludf.DUMMYFUNCTION("""COMPUTED_VALUE"""),"State PCS")</f>
        <v>State PCS</v>
      </c>
      <c r="K778" s="124"/>
      <c r="L778" s="124"/>
      <c r="M778" s="124"/>
      <c r="N778" s="124"/>
      <c r="O778" s="124"/>
      <c r="T778" s="126">
        <f>IFERROR(__xludf.DUMMYFUNCTION("""COMPUTED_VALUE"""),46079.0)</f>
        <v>46079</v>
      </c>
      <c r="U778" s="124" t="str">
        <f>IFERROR(__xludf.DUMMYFUNCTION("""COMPUTED_VALUE"""),"Walk-Ins")</f>
        <v>Walk-Ins</v>
      </c>
      <c r="V778" s="124" t="str">
        <f>IFERROR(__xludf.DUMMYFUNCTION("""COMPUTED_VALUE"""),"Walkin")</f>
        <v>Walkin</v>
      </c>
      <c r="W778" s="124" t="str">
        <f>IFERROR(__xludf.DUMMYFUNCTION("""COMPUTED_VALUE"""),"Prayagraj")</f>
        <v>Prayagraj</v>
      </c>
      <c r="X778" s="124" t="str">
        <f>IFERROR(__xludf.DUMMYFUNCTION("""COMPUTED_VALUE"""),"Walkin")</f>
        <v>Walkin</v>
      </c>
      <c r="Y778" s="124" t="str">
        <f>IFERROR(__xludf.DUMMYFUNCTION("""COMPUTED_VALUE"""),"Prayagraj")</f>
        <v>Prayagraj</v>
      </c>
      <c r="Z778" s="124">
        <f>IFERROR(__xludf.DUMMYFUNCTION("""COMPUTED_VALUE"""),1.0)</f>
        <v>1</v>
      </c>
      <c r="AA778" s="124" t="str">
        <f>IFERROR(__xludf.DUMMYFUNCTION("""COMPUTED_VALUE"""),"Warm")</f>
        <v>Warm</v>
      </c>
      <c r="AB778" s="124" t="str">
        <f>IFERROR(__xludf.DUMMYFUNCTION("""COMPUTED_VALUE"""),"State PCS")</f>
        <v>State PCS</v>
      </c>
    </row>
    <row r="779">
      <c r="A779" s="126">
        <f>IFERROR(__xludf.DUMMYFUNCTION("""COMPUTED_VALUE"""),46093.0)</f>
        <v>46093</v>
      </c>
      <c r="B779" s="124" t="str">
        <f>IFERROR(__xludf.DUMMYFUNCTION("""COMPUTED_VALUE"""),"Walkin")</f>
        <v>Walkin</v>
      </c>
      <c r="C779" s="124" t="str">
        <f>IFERROR(__xludf.DUMMYFUNCTION("""COMPUTED_VALUE"""),"Patna")</f>
        <v>Patna</v>
      </c>
      <c r="D779" s="124" t="str">
        <f>IFERROR(__xludf.DUMMYFUNCTION("""COMPUTED_VALUE"""),"Primary_Walkin")</f>
        <v>Primary_Walkin</v>
      </c>
      <c r="E779" s="124">
        <f>IFERROR(__xludf.DUMMYFUNCTION("""COMPUTED_VALUE"""),5.0)</f>
        <v>5</v>
      </c>
      <c r="F779" s="124" t="str">
        <f>IFERROR(__xludf.DUMMYFUNCTION("""COMPUTED_VALUE"""),"Cold")</f>
        <v>Cold</v>
      </c>
      <c r="G779" s="124" t="str">
        <f>IFERROR(__xludf.DUMMYFUNCTION("""COMPUTED_VALUE"""),"State PCS")</f>
        <v>State PCS</v>
      </c>
      <c r="K779" s="124"/>
      <c r="L779" s="124"/>
      <c r="M779" s="124"/>
      <c r="N779" s="124"/>
      <c r="O779" s="124"/>
      <c r="T779" s="126">
        <f>IFERROR(__xludf.DUMMYFUNCTION("""COMPUTED_VALUE"""),46090.0)</f>
        <v>46090</v>
      </c>
      <c r="U779" s="124" t="str">
        <f>IFERROR(__xludf.DUMMYFUNCTION("""COMPUTED_VALUE"""),"Walk-Ins")</f>
        <v>Walk-Ins</v>
      </c>
      <c r="V779" s="124" t="str">
        <f>IFERROR(__xludf.DUMMYFUNCTION("""COMPUTED_VALUE"""),"Walkin")</f>
        <v>Walkin</v>
      </c>
      <c r="W779" s="124" t="str">
        <f>IFERROR(__xludf.DUMMYFUNCTION("""COMPUTED_VALUE"""),"Indore")</f>
        <v>Indore</v>
      </c>
      <c r="X779" s="124" t="str">
        <f>IFERROR(__xludf.DUMMYFUNCTION("""COMPUTED_VALUE"""),"Walkin")</f>
        <v>Walkin</v>
      </c>
      <c r="Y779" s="124" t="str">
        <f>IFERROR(__xludf.DUMMYFUNCTION("""COMPUTED_VALUE"""),"Indore")</f>
        <v>Indore</v>
      </c>
      <c r="Z779" s="124">
        <f>IFERROR(__xludf.DUMMYFUNCTION("""COMPUTED_VALUE"""),1.0)</f>
        <v>1</v>
      </c>
      <c r="AA779" s="124" t="str">
        <f>IFERROR(__xludf.DUMMYFUNCTION("""COMPUTED_VALUE"""),"Future Prospects")</f>
        <v>Future Prospects</v>
      </c>
      <c r="AB779" s="124" t="str">
        <f>IFERROR(__xludf.DUMMYFUNCTION("""COMPUTED_VALUE"""),"GS Foundation")</f>
        <v>GS Foundation</v>
      </c>
    </row>
    <row r="780">
      <c r="A780" s="126">
        <f>IFERROR(__xludf.DUMMYFUNCTION("""COMPUTED_VALUE"""),46102.0)</f>
        <v>46102</v>
      </c>
      <c r="B780" s="124" t="str">
        <f>IFERROR(__xludf.DUMMYFUNCTION("""COMPUTED_VALUE"""),"Walkin")</f>
        <v>Walkin</v>
      </c>
      <c r="C780" s="124" t="str">
        <f>IFERROR(__xludf.DUMMYFUNCTION("""COMPUTED_VALUE"""),"Patna")</f>
        <v>Patna</v>
      </c>
      <c r="D780" s="124" t="str">
        <f>IFERROR(__xludf.DUMMYFUNCTION("""COMPUTED_VALUE"""),"Primary_Walkin")</f>
        <v>Primary_Walkin</v>
      </c>
      <c r="E780" s="124">
        <f>IFERROR(__xludf.DUMMYFUNCTION("""COMPUTED_VALUE"""),2.0)</f>
        <v>2</v>
      </c>
      <c r="F780" s="124" t="str">
        <f>IFERROR(__xludf.DUMMYFUNCTION("""COMPUTED_VALUE"""),"Warm")</f>
        <v>Warm</v>
      </c>
      <c r="G780" s="124" t="str">
        <f>IFERROR(__xludf.DUMMYFUNCTION("""COMPUTED_VALUE"""),"Test Series")</f>
        <v>Test Series</v>
      </c>
      <c r="K780" s="124"/>
      <c r="L780" s="124"/>
      <c r="M780" s="124"/>
      <c r="N780" s="124"/>
      <c r="O780" s="124"/>
      <c r="T780" s="126">
        <f>IFERROR(__xludf.DUMMYFUNCTION("""COMPUTED_VALUE"""),46044.0)</f>
        <v>46044</v>
      </c>
      <c r="U780" s="124" t="str">
        <f>IFERROR(__xludf.DUMMYFUNCTION("""COMPUTED_VALUE"""),"Walk-Ins")</f>
        <v>Walk-Ins</v>
      </c>
      <c r="V780" s="124" t="str">
        <f>IFERROR(__xludf.DUMMYFUNCTION("""COMPUTED_VALUE"""),"Walkin")</f>
        <v>Walkin</v>
      </c>
      <c r="W780" s="124" t="str">
        <f>IFERROR(__xludf.DUMMYFUNCTION("""COMPUTED_VALUE"""),"Indore")</f>
        <v>Indore</v>
      </c>
      <c r="X780" s="124" t="str">
        <f>IFERROR(__xludf.DUMMYFUNCTION("""COMPUTED_VALUE"""),"Walkin")</f>
        <v>Walkin</v>
      </c>
      <c r="Y780" s="124" t="str">
        <f>IFERROR(__xludf.DUMMYFUNCTION("""COMPUTED_VALUE"""),"Indore")</f>
        <v>Indore</v>
      </c>
      <c r="Z780" s="124">
        <f>IFERROR(__xludf.DUMMYFUNCTION("""COMPUTED_VALUE"""),1.0)</f>
        <v>1</v>
      </c>
      <c r="AA780" s="124" t="str">
        <f>IFERROR(__xludf.DUMMYFUNCTION("""COMPUTED_VALUE"""),"Not Interested")</f>
        <v>Not Interested</v>
      </c>
      <c r="AB780" s="124" t="str">
        <f>IFERROR(__xludf.DUMMYFUNCTION("""COMPUTED_VALUE"""),"State PCS")</f>
        <v>State PCS</v>
      </c>
    </row>
    <row r="781">
      <c r="A781" s="129">
        <f>IFERROR(__xludf.DUMMYFUNCTION("""COMPUTED_VALUE"""),46105.0)</f>
        <v>46105</v>
      </c>
      <c r="B781" s="124" t="str">
        <f>IFERROR(__xludf.DUMMYFUNCTION("""COMPUTED_VALUE"""),"Walkin")</f>
        <v>Walkin</v>
      </c>
      <c r="C781" s="124" t="str">
        <f>IFERROR(__xludf.DUMMYFUNCTION("""COMPUTED_VALUE"""),"Patna")</f>
        <v>Patna</v>
      </c>
      <c r="D781" s="124" t="str">
        <f>IFERROR(__xludf.DUMMYFUNCTION("""COMPUTED_VALUE"""),"Primary_Walkin")</f>
        <v>Primary_Walkin</v>
      </c>
      <c r="E781" s="124">
        <f>IFERROR(__xludf.DUMMYFUNCTION("""COMPUTED_VALUE"""),1.0)</f>
        <v>1</v>
      </c>
      <c r="F781" s="124" t="str">
        <f>IFERROR(__xludf.DUMMYFUNCTION("""COMPUTED_VALUE"""),"Cold")</f>
        <v>Cold</v>
      </c>
      <c r="G781" s="124" t="str">
        <f>IFERROR(__xludf.DUMMYFUNCTION("""COMPUTED_VALUE"""),"Other")</f>
        <v>Other</v>
      </c>
      <c r="K781" s="124"/>
      <c r="L781" s="124"/>
      <c r="M781" s="124"/>
      <c r="N781" s="124"/>
      <c r="O781" s="124"/>
      <c r="T781" s="126">
        <f>IFERROR(__xludf.DUMMYFUNCTION("""COMPUTED_VALUE"""),46057.0)</f>
        <v>46057</v>
      </c>
      <c r="U781" s="124" t="str">
        <f>IFERROR(__xludf.DUMMYFUNCTION("""COMPUTED_VALUE"""),"Paid Ads")</f>
        <v>Paid Ads</v>
      </c>
      <c r="V781" s="124" t="str">
        <f>IFERROR(__xludf.DUMMYFUNCTION("""COMPUTED_VALUE"""),"facebook")</f>
        <v>facebook</v>
      </c>
      <c r="W781" s="124" t="str">
        <f>IFERROR(__xludf.DUMMYFUNCTION("""COMPUTED_VALUE"""),"lucknow")</f>
        <v>lucknow</v>
      </c>
      <c r="X781" s="124" t="str">
        <f>IFERROR(__xludf.DUMMYFUNCTION("""COMPUTED_VALUE"""),"onlinepaid")</f>
        <v>onlinepaid</v>
      </c>
      <c r="Y781" s="124" t="str">
        <f>IFERROR(__xludf.DUMMYFUNCTION("""COMPUTED_VALUE"""),"Lucknow")</f>
        <v>Lucknow</v>
      </c>
      <c r="Z781" s="124">
        <f>IFERROR(__xludf.DUMMYFUNCTION("""COMPUTED_VALUE"""),82.0)</f>
        <v>82</v>
      </c>
      <c r="AA781" s="124" t="str">
        <f>IFERROR(__xludf.DUMMYFUNCTION("""COMPUTED_VALUE"""),"Cold")</f>
        <v>Cold</v>
      </c>
      <c r="AB781" s="124"/>
    </row>
    <row r="782">
      <c r="A782" s="126">
        <f>IFERROR(__xludf.DUMMYFUNCTION("""COMPUTED_VALUE"""),46109.0)</f>
        <v>46109</v>
      </c>
      <c r="B782" s="124" t="str">
        <f>IFERROR(__xludf.DUMMYFUNCTION("""COMPUTED_VALUE"""),"Walk-In")</f>
        <v>Walk-In</v>
      </c>
      <c r="C782" s="124" t="str">
        <f>IFERROR(__xludf.DUMMYFUNCTION("""COMPUTED_VALUE"""),"Patna")</f>
        <v>Patna</v>
      </c>
      <c r="D782" s="124" t="str">
        <f>IFERROR(__xludf.DUMMYFUNCTION("""COMPUTED_VALUE"""),"Primary_Walkin")</f>
        <v>Primary_Walkin</v>
      </c>
      <c r="E782" s="124">
        <f>IFERROR(__xludf.DUMMYFUNCTION("""COMPUTED_VALUE"""),3.0)</f>
        <v>3</v>
      </c>
      <c r="F782" s="124" t="str">
        <f>IFERROR(__xludf.DUMMYFUNCTION("""COMPUTED_VALUE"""),"Warm")</f>
        <v>Warm</v>
      </c>
      <c r="G782" s="124" t="str">
        <f>IFERROR(__xludf.DUMMYFUNCTION("""COMPUTED_VALUE"""),"GS Foundation")</f>
        <v>GS Foundation</v>
      </c>
      <c r="K782" s="124"/>
      <c r="L782" s="124"/>
      <c r="M782" s="124"/>
      <c r="N782" s="124"/>
      <c r="O782" s="124"/>
      <c r="T782" s="126">
        <f>IFERROR(__xludf.DUMMYFUNCTION("""COMPUTED_VALUE"""),46080.0)</f>
        <v>46080</v>
      </c>
      <c r="U782" s="124" t="str">
        <f>IFERROR(__xludf.DUMMYFUNCTION("""COMPUTED_VALUE"""),"Event")</f>
        <v>Event</v>
      </c>
      <c r="V782" s="124" t="str">
        <f>IFERROR(__xludf.DUMMYFUNCTION("""COMPUTED_VALUE"""),"events")</f>
        <v>events</v>
      </c>
      <c r="W782" s="124" t="str">
        <f>IFERROR(__xludf.DUMMYFUNCTION("""COMPUTED_VALUE"""),"prayagraj")</f>
        <v>prayagraj</v>
      </c>
      <c r="X782" s="124" t="str">
        <f>IFERROR(__xludf.DUMMYFUNCTION("""COMPUTED_VALUE"""),"bhavanmehtapgcollege")</f>
        <v>bhavanmehtapgcollege</v>
      </c>
      <c r="Y782" s="124"/>
      <c r="Z782" s="124">
        <f>IFERROR(__xludf.DUMMYFUNCTION("""COMPUTED_VALUE"""),14.0)</f>
        <v>14</v>
      </c>
      <c r="AA782" s="124" t="str">
        <f>IFERROR(__xludf.DUMMYFUNCTION("""COMPUTED_VALUE"""),"Engaged")</f>
        <v>Engaged</v>
      </c>
      <c r="AB782" s="124"/>
    </row>
    <row r="783">
      <c r="A783" s="129">
        <f>IFERROR(__xludf.DUMMYFUNCTION("""COMPUTED_VALUE"""),46052.0)</f>
        <v>46052</v>
      </c>
      <c r="B783" s="124" t="str">
        <f>IFERROR(__xludf.DUMMYFUNCTION("""COMPUTED_VALUE"""),"Walk-In")</f>
        <v>Walk-In</v>
      </c>
      <c r="C783" s="124" t="str">
        <f>IFERROR(__xludf.DUMMYFUNCTION("""COMPUTED_VALUE"""),"Patna")</f>
        <v>Patna</v>
      </c>
      <c r="D783" s="124" t="str">
        <f>IFERROR(__xludf.DUMMYFUNCTION("""COMPUTED_VALUE"""),"Primary_Walkin")</f>
        <v>Primary_Walkin</v>
      </c>
      <c r="E783" s="124">
        <f>IFERROR(__xludf.DUMMYFUNCTION("""COMPUTED_VALUE"""),1.0)</f>
        <v>1</v>
      </c>
      <c r="F783" s="124" t="str">
        <f>IFERROR(__xludf.DUMMYFUNCTION("""COMPUTED_VALUE"""),"Not Interested")</f>
        <v>Not Interested</v>
      </c>
      <c r="G783" s="124" t="str">
        <f>IFERROR(__xludf.DUMMYFUNCTION("""COMPUTED_VALUE"""),"GS Foundation")</f>
        <v>GS Foundation</v>
      </c>
      <c r="K783" s="124"/>
      <c r="L783" s="124"/>
      <c r="M783" s="124"/>
      <c r="N783" s="124"/>
      <c r="O783" s="124"/>
      <c r="T783" s="129">
        <f>IFERROR(__xludf.DUMMYFUNCTION("""COMPUTED_VALUE"""),46080.0)</f>
        <v>46080</v>
      </c>
      <c r="U783" s="124" t="str">
        <f>IFERROR(__xludf.DUMMYFUNCTION("""COMPUTED_VALUE"""),"Event")</f>
        <v>Event</v>
      </c>
      <c r="V783" s="124" t="str">
        <f>IFERROR(__xludf.DUMMYFUNCTION("""COMPUTED_VALUE"""),"events")</f>
        <v>events</v>
      </c>
      <c r="W783" s="124" t="str">
        <f>IFERROR(__xludf.DUMMYFUNCTION("""COMPUTED_VALUE"""),"prayagraj")</f>
        <v>prayagraj</v>
      </c>
      <c r="X783" s="124" t="str">
        <f>IFERROR(__xludf.DUMMYFUNCTION("""COMPUTED_VALUE"""),"bhavanmehtapgcollege")</f>
        <v>bhavanmehtapgcollege</v>
      </c>
      <c r="Y783" s="124"/>
      <c r="Z783" s="124">
        <f>IFERROR(__xludf.DUMMYFUNCTION("""COMPUTED_VALUE"""),5.0)</f>
        <v>5</v>
      </c>
      <c r="AA783" s="124" t="str">
        <f>IFERROR(__xludf.DUMMYFUNCTION("""COMPUTED_VALUE"""),"Warm")</f>
        <v>Warm</v>
      </c>
      <c r="AB783" s="124"/>
    </row>
    <row r="784">
      <c r="A784" s="126">
        <f>IFERROR(__xludf.DUMMYFUNCTION("""COMPUTED_VALUE"""),46105.0)</f>
        <v>46105</v>
      </c>
      <c r="B784" s="124" t="str">
        <f>IFERROR(__xludf.DUMMYFUNCTION("""COMPUTED_VALUE"""),"Walkin")</f>
        <v>Walkin</v>
      </c>
      <c r="C784" s="124" t="str">
        <f>IFERROR(__xludf.DUMMYFUNCTION("""COMPUTED_VALUE"""),"Patna")</f>
        <v>Patna</v>
      </c>
      <c r="D784" s="124" t="str">
        <f>IFERROR(__xludf.DUMMYFUNCTION("""COMPUTED_VALUE"""),"Primary_Walkin")</f>
        <v>Primary_Walkin</v>
      </c>
      <c r="E784" s="124">
        <f>IFERROR(__xludf.DUMMYFUNCTION("""COMPUTED_VALUE"""),1.0)</f>
        <v>1</v>
      </c>
      <c r="F784" s="124" t="str">
        <f>IFERROR(__xludf.DUMMYFUNCTION("""COMPUTED_VALUE"""),"Cold")</f>
        <v>Cold</v>
      </c>
      <c r="G784" s="124" t="str">
        <f>IFERROR(__xludf.DUMMYFUNCTION("""COMPUTED_VALUE"""),"Test Series")</f>
        <v>Test Series</v>
      </c>
      <c r="K784" s="124"/>
      <c r="L784" s="124"/>
      <c r="M784" s="124"/>
      <c r="N784" s="124"/>
      <c r="O784" s="124"/>
      <c r="T784" s="126">
        <f>IFERROR(__xludf.DUMMYFUNCTION("""COMPUTED_VALUE"""),46080.0)</f>
        <v>46080</v>
      </c>
      <c r="U784" s="124" t="str">
        <f>IFERROR(__xludf.DUMMYFUNCTION("""COMPUTED_VALUE"""),"Event")</f>
        <v>Event</v>
      </c>
      <c r="V784" s="124" t="str">
        <f>IFERROR(__xludf.DUMMYFUNCTION("""COMPUTED_VALUE"""),"events")</f>
        <v>events</v>
      </c>
      <c r="W784" s="124" t="str">
        <f>IFERROR(__xludf.DUMMYFUNCTION("""COMPUTED_VALUE"""),"prayagraj")</f>
        <v>prayagraj</v>
      </c>
      <c r="X784" s="124" t="str">
        <f>IFERROR(__xludf.DUMMYFUNCTION("""COMPUTED_VALUE"""),"bhavanmehtapgcollege")</f>
        <v>bhavanmehtapgcollege</v>
      </c>
      <c r="Y784" s="124"/>
      <c r="Z784" s="124">
        <f>IFERROR(__xludf.DUMMYFUNCTION("""COMPUTED_VALUE"""),62.0)</f>
        <v>62</v>
      </c>
      <c r="AA784" s="124" t="str">
        <f>IFERROR(__xludf.DUMMYFUNCTION("""COMPUTED_VALUE"""),"Cold")</f>
        <v>Cold</v>
      </c>
      <c r="AB784" s="124"/>
    </row>
    <row r="785">
      <c r="A785" s="129">
        <f>IFERROR(__xludf.DUMMYFUNCTION("""COMPUTED_VALUE"""),46109.0)</f>
        <v>46109</v>
      </c>
      <c r="B785" s="124" t="str">
        <f>IFERROR(__xludf.DUMMYFUNCTION("""COMPUTED_VALUE"""),"Inbound Call")</f>
        <v>Inbound Call</v>
      </c>
      <c r="C785" s="124" t="str">
        <f>IFERROR(__xludf.DUMMYFUNCTION("""COMPUTED_VALUE"""),"Patna")</f>
        <v>Patna</v>
      </c>
      <c r="D785" s="124" t="str">
        <f>IFERROR(__xludf.DUMMYFUNCTION("""COMPUTED_VALUE"""),"Secondary_Walkin")</f>
        <v>Secondary_Walkin</v>
      </c>
      <c r="E785" s="124">
        <f>IFERROR(__xludf.DUMMYFUNCTION("""COMPUTED_VALUE"""),1.0)</f>
        <v>1</v>
      </c>
      <c r="F785" s="124" t="str">
        <f>IFERROR(__xludf.DUMMYFUNCTION("""COMPUTED_VALUE"""),"Enrolled")</f>
        <v>Enrolled</v>
      </c>
      <c r="G785" s="124" t="str">
        <f>IFERROR(__xludf.DUMMYFUNCTION("""COMPUTED_VALUE"""),"State PCS")</f>
        <v>State PCS</v>
      </c>
      <c r="K785" s="124"/>
      <c r="L785" s="124"/>
      <c r="M785" s="124"/>
      <c r="N785" s="124"/>
      <c r="O785" s="124"/>
      <c r="T785" s="129">
        <f>IFERROR(__xludf.DUMMYFUNCTION("""COMPUTED_VALUE"""),46051.0)</f>
        <v>46051</v>
      </c>
      <c r="U785" s="124" t="str">
        <f>IFERROR(__xludf.DUMMYFUNCTION("""COMPUTED_VALUE"""),"Event")</f>
        <v>Event</v>
      </c>
      <c r="V785" s="124" t="str">
        <f>IFERROR(__xludf.DUMMYFUNCTION("""COMPUTED_VALUE"""),"Events")</f>
        <v>Events</v>
      </c>
      <c r="W785" s="124" t="str">
        <f>IFERROR(__xludf.DUMMYFUNCTION("""COMPUTED_VALUE"""),"Delhi")</f>
        <v>Delhi</v>
      </c>
      <c r="X785" s="124" t="str">
        <f>IFERROR(__xludf.DUMMYFUNCTION("""COMPUTED_VALUE"""),"DRCSEMINAR(")</f>
        <v>DRCSEMINAR(</v>
      </c>
      <c r="Y785" s="124"/>
      <c r="Z785" s="124">
        <f>IFERROR(__xludf.DUMMYFUNCTION("""COMPUTED_VALUE"""),1.0)</f>
        <v>1</v>
      </c>
      <c r="AA785" s="124" t="str">
        <f>IFERROR(__xludf.DUMMYFUNCTION("""COMPUTED_VALUE"""),"Warm")</f>
        <v>Warm</v>
      </c>
      <c r="AB785" s="124"/>
    </row>
    <row r="786">
      <c r="A786" s="126">
        <f>IFERROR(__xludf.DUMMYFUNCTION("""COMPUTED_VALUE"""),46072.0)</f>
        <v>46072</v>
      </c>
      <c r="B786" s="124" t="str">
        <f>IFERROR(__xludf.DUMMYFUNCTION("""COMPUTED_VALUE"""),"Walkin")</f>
        <v>Walkin</v>
      </c>
      <c r="C786" s="124" t="str">
        <f>IFERROR(__xludf.DUMMYFUNCTION("""COMPUTED_VALUE"""),"Patna")</f>
        <v>Patna</v>
      </c>
      <c r="D786" s="124" t="str">
        <f>IFERROR(__xludf.DUMMYFUNCTION("""COMPUTED_VALUE"""),"Primary_Walkin")</f>
        <v>Primary_Walkin</v>
      </c>
      <c r="E786" s="124">
        <f>IFERROR(__xludf.DUMMYFUNCTION("""COMPUTED_VALUE"""),2.0)</f>
        <v>2</v>
      </c>
      <c r="F786" s="124" t="str">
        <f>IFERROR(__xludf.DUMMYFUNCTION("""COMPUTED_VALUE"""),"Cold")</f>
        <v>Cold</v>
      </c>
      <c r="G786" s="124" t="str">
        <f>IFERROR(__xludf.DUMMYFUNCTION("""COMPUTED_VALUE"""),"State PCS")</f>
        <v>State PCS</v>
      </c>
      <c r="K786" s="124"/>
      <c r="L786" s="124"/>
      <c r="M786" s="124"/>
      <c r="N786" s="124"/>
      <c r="O786" s="124"/>
      <c r="T786" s="126">
        <f>IFERROR(__xludf.DUMMYFUNCTION("""COMPUTED_VALUE"""),46080.0)</f>
        <v>46080</v>
      </c>
      <c r="U786" s="124" t="str">
        <f>IFERROR(__xludf.DUMMYFUNCTION("""COMPUTED_VALUE"""),"Event")</f>
        <v>Event</v>
      </c>
      <c r="V786" s="124" t="str">
        <f>IFERROR(__xludf.DUMMYFUNCTION("""COMPUTED_VALUE"""),"events")</f>
        <v>events</v>
      </c>
      <c r="W786" s="124" t="str">
        <f>IFERROR(__xludf.DUMMYFUNCTION("""COMPUTED_VALUE"""),"prayagraj")</f>
        <v>prayagraj</v>
      </c>
      <c r="X786" s="124" t="str">
        <f>IFERROR(__xludf.DUMMYFUNCTION("""COMPUTED_VALUE"""),"bhavanmehtapgcollege")</f>
        <v>bhavanmehtapgcollege</v>
      </c>
      <c r="Y786" s="124" t="str">
        <f>IFERROR(__xludf.DUMMYFUNCTION("""COMPUTED_VALUE"""),"Prayagraj")</f>
        <v>Prayagraj</v>
      </c>
      <c r="Z786" s="124">
        <f>IFERROR(__xludf.DUMMYFUNCTION("""COMPUTED_VALUE"""),4.0)</f>
        <v>4</v>
      </c>
      <c r="AA786" s="124" t="str">
        <f>IFERROR(__xludf.DUMMYFUNCTION("""COMPUTED_VALUE"""),"Engaged")</f>
        <v>Engaged</v>
      </c>
      <c r="AB786" s="124" t="str">
        <f>IFERROR(__xludf.DUMMYFUNCTION("""COMPUTED_VALUE"""),"GS Foundation")</f>
        <v>GS Foundation</v>
      </c>
    </row>
    <row r="787">
      <c r="A787" s="126">
        <f>IFERROR(__xludf.DUMMYFUNCTION("""COMPUTED_VALUE"""),46053.0)</f>
        <v>46053</v>
      </c>
      <c r="B787" s="124" t="str">
        <f>IFERROR(__xludf.DUMMYFUNCTION("""COMPUTED_VALUE"""),"Walkin")</f>
        <v>Walkin</v>
      </c>
      <c r="C787" s="124" t="str">
        <f>IFERROR(__xludf.DUMMYFUNCTION("""COMPUTED_VALUE"""),"Patna")</f>
        <v>Patna</v>
      </c>
      <c r="D787" s="124" t="str">
        <f>IFERROR(__xludf.DUMMYFUNCTION("""COMPUTED_VALUE"""),"Primary_Walkin")</f>
        <v>Primary_Walkin</v>
      </c>
      <c r="E787" s="124">
        <f>IFERROR(__xludf.DUMMYFUNCTION("""COMPUTED_VALUE"""),1.0)</f>
        <v>1</v>
      </c>
      <c r="F787" s="124" t="str">
        <f>IFERROR(__xludf.DUMMYFUNCTION("""COMPUTED_VALUE"""),"Cold")</f>
        <v>Cold</v>
      </c>
      <c r="G787" s="124" t="str">
        <f>IFERROR(__xludf.DUMMYFUNCTION("""COMPUTED_VALUE"""),"GS Advanced")</f>
        <v>GS Advanced</v>
      </c>
      <c r="K787" s="124"/>
      <c r="L787" s="124"/>
      <c r="M787" s="124"/>
      <c r="N787" s="124"/>
      <c r="O787" s="124"/>
      <c r="T787" s="126">
        <f>IFERROR(__xludf.DUMMYFUNCTION("""COMPUTED_VALUE"""),46080.0)</f>
        <v>46080</v>
      </c>
      <c r="U787" s="124" t="str">
        <f>IFERROR(__xludf.DUMMYFUNCTION("""COMPUTED_VALUE"""),"Event")</f>
        <v>Event</v>
      </c>
      <c r="V787" s="124" t="str">
        <f>IFERROR(__xludf.DUMMYFUNCTION("""COMPUTED_VALUE"""),"events")</f>
        <v>events</v>
      </c>
      <c r="W787" s="124" t="str">
        <f>IFERROR(__xludf.DUMMYFUNCTION("""COMPUTED_VALUE"""),"prayagraj")</f>
        <v>prayagraj</v>
      </c>
      <c r="X787" s="124" t="str">
        <f>IFERROR(__xludf.DUMMYFUNCTION("""COMPUTED_VALUE"""),"bhavanmehtapgcollege")</f>
        <v>bhavanmehtapgcollege</v>
      </c>
      <c r="Y787" s="124"/>
      <c r="Z787" s="124">
        <f>IFERROR(__xludf.DUMMYFUNCTION("""COMPUTED_VALUE"""),4.0)</f>
        <v>4</v>
      </c>
      <c r="AA787" s="124" t="str">
        <f>IFERROR(__xludf.DUMMYFUNCTION("""COMPUTED_VALUE"""),"Engaged")</f>
        <v>Engaged</v>
      </c>
      <c r="AB787" s="124"/>
    </row>
    <row r="788">
      <c r="A788" s="126">
        <f>IFERROR(__xludf.DUMMYFUNCTION("""COMPUTED_VALUE"""),46082.0)</f>
        <v>46082</v>
      </c>
      <c r="B788" s="124" t="str">
        <f>IFERROR(__xludf.DUMMYFUNCTION("""COMPUTED_VALUE"""),"Walkin")</f>
        <v>Walkin</v>
      </c>
      <c r="C788" s="124" t="str">
        <f>IFERROR(__xludf.DUMMYFUNCTION("""COMPUTED_VALUE"""),"Patna")</f>
        <v>Patna</v>
      </c>
      <c r="D788" s="124" t="str">
        <f>IFERROR(__xludf.DUMMYFUNCTION("""COMPUTED_VALUE"""),"Primary_Walkin")</f>
        <v>Primary_Walkin</v>
      </c>
      <c r="E788" s="124">
        <f>IFERROR(__xludf.DUMMYFUNCTION("""COMPUTED_VALUE"""),2.0)</f>
        <v>2</v>
      </c>
      <c r="F788" s="124" t="str">
        <f>IFERROR(__xludf.DUMMYFUNCTION("""COMPUTED_VALUE"""),"Cold")</f>
        <v>Cold</v>
      </c>
      <c r="G788" s="124" t="str">
        <f>IFERROR(__xludf.DUMMYFUNCTION("""COMPUTED_VALUE"""),"State PCS")</f>
        <v>State PCS</v>
      </c>
      <c r="K788" s="124"/>
      <c r="L788" s="124"/>
      <c r="M788" s="124"/>
      <c r="N788" s="124"/>
      <c r="O788" s="124"/>
      <c r="T788" s="126">
        <f>IFERROR(__xludf.DUMMYFUNCTION("""COMPUTED_VALUE"""),46080.0)</f>
        <v>46080</v>
      </c>
      <c r="U788" s="124" t="str">
        <f>IFERROR(__xludf.DUMMYFUNCTION("""COMPUTED_VALUE"""),"Event")</f>
        <v>Event</v>
      </c>
      <c r="V788" s="124" t="str">
        <f>IFERROR(__xludf.DUMMYFUNCTION("""COMPUTED_VALUE"""),"events")</f>
        <v>events</v>
      </c>
      <c r="W788" s="124" t="str">
        <f>IFERROR(__xludf.DUMMYFUNCTION("""COMPUTED_VALUE"""),"prayagraj")</f>
        <v>prayagraj</v>
      </c>
      <c r="X788" s="124" t="str">
        <f>IFERROR(__xludf.DUMMYFUNCTION("""COMPUTED_VALUE"""),"bhavanmehtapgcollege")</f>
        <v>bhavanmehtapgcollege</v>
      </c>
      <c r="Y788" s="124" t="str">
        <f>IFERROR(__xludf.DUMMYFUNCTION("""COMPUTED_VALUE"""),"Prayagraj")</f>
        <v>Prayagraj</v>
      </c>
      <c r="Z788" s="124">
        <f>IFERROR(__xludf.DUMMYFUNCTION("""COMPUTED_VALUE"""),3.0)</f>
        <v>3</v>
      </c>
      <c r="AA788" s="124" t="str">
        <f>IFERROR(__xludf.DUMMYFUNCTION("""COMPUTED_VALUE"""),"Cold")</f>
        <v>Cold</v>
      </c>
      <c r="AB788" s="124" t="str">
        <f>IFERROR(__xludf.DUMMYFUNCTION("""COMPUTED_VALUE"""),"GS Foundation")</f>
        <v>GS Foundation</v>
      </c>
    </row>
    <row r="789">
      <c r="A789" s="129">
        <f>IFERROR(__xludf.DUMMYFUNCTION("""COMPUTED_VALUE"""),46052.0)</f>
        <v>46052</v>
      </c>
      <c r="B789" s="124" t="str">
        <f>IFERROR(__xludf.DUMMYFUNCTION("""COMPUTED_VALUE"""),"Walk-In")</f>
        <v>Walk-In</v>
      </c>
      <c r="C789" s="124" t="str">
        <f>IFERROR(__xludf.DUMMYFUNCTION("""COMPUTED_VALUE"""),"Patna")</f>
        <v>Patna</v>
      </c>
      <c r="D789" s="124" t="str">
        <f>IFERROR(__xludf.DUMMYFUNCTION("""COMPUTED_VALUE"""),"Primary_Walkin")</f>
        <v>Primary_Walkin</v>
      </c>
      <c r="E789" s="124">
        <f>IFERROR(__xludf.DUMMYFUNCTION("""COMPUTED_VALUE"""),1.0)</f>
        <v>1</v>
      </c>
      <c r="F789" s="124" t="str">
        <f>IFERROR(__xludf.DUMMYFUNCTION("""COMPUTED_VALUE"""),"Warm")</f>
        <v>Warm</v>
      </c>
      <c r="G789" s="124" t="str">
        <f>IFERROR(__xludf.DUMMYFUNCTION("""COMPUTED_VALUE"""),"State PCS")</f>
        <v>State PCS</v>
      </c>
      <c r="K789" s="124"/>
      <c r="L789" s="124"/>
      <c r="M789" s="124"/>
      <c r="N789" s="124"/>
      <c r="O789" s="124"/>
      <c r="T789" s="126">
        <f>IFERROR(__xludf.DUMMYFUNCTION("""COMPUTED_VALUE"""),46057.0)</f>
        <v>46057</v>
      </c>
      <c r="U789" s="124" t="str">
        <f>IFERROR(__xludf.DUMMYFUNCTION("""COMPUTED_VALUE"""),"Paid Ads")</f>
        <v>Paid Ads</v>
      </c>
      <c r="V789" s="124" t="str">
        <f>IFERROR(__xludf.DUMMYFUNCTION("""COMPUTED_VALUE"""),"facebook")</f>
        <v>facebook</v>
      </c>
      <c r="W789" s="124" t="str">
        <f>IFERROR(__xludf.DUMMYFUNCTION("""COMPUTED_VALUE"""),"lucknow")</f>
        <v>lucknow</v>
      </c>
      <c r="X789" s="124" t="str">
        <f>IFERROR(__xludf.DUMMYFUNCTION("""COMPUTED_VALUE"""),"onlinepaid")</f>
        <v>onlinepaid</v>
      </c>
      <c r="Y789" s="124" t="str">
        <f>IFERROR(__xludf.DUMMYFUNCTION("""COMPUTED_VALUE"""),"Lucknow")</f>
        <v>Lucknow</v>
      </c>
      <c r="Z789" s="124">
        <f>IFERROR(__xludf.DUMMYFUNCTION("""COMPUTED_VALUE"""),28.0)</f>
        <v>28</v>
      </c>
      <c r="AA789" s="124" t="str">
        <f>IFERROR(__xludf.DUMMYFUNCTION("""COMPUTED_VALUE"""),"Not Interested")</f>
        <v>Not Interested</v>
      </c>
      <c r="AB789" s="124"/>
    </row>
    <row r="790">
      <c r="A790" s="126">
        <f>IFERROR(__xludf.DUMMYFUNCTION("""COMPUTED_VALUE"""),46093.0)</f>
        <v>46093</v>
      </c>
      <c r="B790" s="124" t="str">
        <f>IFERROR(__xludf.DUMMYFUNCTION("""COMPUTED_VALUE"""),"Inbound Call")</f>
        <v>Inbound Call</v>
      </c>
      <c r="C790" s="124" t="str">
        <f>IFERROR(__xludf.DUMMYFUNCTION("""COMPUTED_VALUE"""),"Patna")</f>
        <v>Patna</v>
      </c>
      <c r="D790" s="124" t="str">
        <f>IFERROR(__xludf.DUMMYFUNCTION("""COMPUTED_VALUE"""),"Secondary_Walkin")</f>
        <v>Secondary_Walkin</v>
      </c>
      <c r="E790" s="124">
        <f>IFERROR(__xludf.DUMMYFUNCTION("""COMPUTED_VALUE"""),1.0)</f>
        <v>1</v>
      </c>
      <c r="F790" s="124" t="str">
        <f>IFERROR(__xludf.DUMMYFUNCTION("""COMPUTED_VALUE"""),"Warm")</f>
        <v>Warm</v>
      </c>
      <c r="G790" s="124" t="str">
        <f>IFERROR(__xludf.DUMMYFUNCTION("""COMPUTED_VALUE"""),"State PCS")</f>
        <v>State PCS</v>
      </c>
      <c r="K790" s="124"/>
      <c r="L790" s="124"/>
      <c r="M790" s="124"/>
      <c r="N790" s="124"/>
      <c r="O790" s="124"/>
      <c r="T790" s="129">
        <f>IFERROR(__xludf.DUMMYFUNCTION("""COMPUTED_VALUE"""),46101.0)</f>
        <v>46101</v>
      </c>
      <c r="U790" s="124" t="str">
        <f>IFERROR(__xludf.DUMMYFUNCTION("""COMPUTED_VALUE"""),"Paid Ads")</f>
        <v>Paid Ads</v>
      </c>
      <c r="V790" s="124" t="str">
        <f>IFERROR(__xludf.DUMMYFUNCTION("""COMPUTED_VALUE"""),"Facebook")</f>
        <v>Facebook</v>
      </c>
      <c r="W790" s="124" t="str">
        <f>IFERROR(__xludf.DUMMYFUNCTION("""COMPUTED_VALUE"""),"LeadAd")</f>
        <v>LeadAd</v>
      </c>
      <c r="X790" s="124" t="str">
        <f>IFERROR(__xludf.DUMMYFUNCTION("""COMPUTED_VALUE"""),"Upsc_Hindi_Leads_FB_Creatives")</f>
        <v>Upsc_Hindi_Leads_FB_Creatives</v>
      </c>
      <c r="Y790" s="124"/>
      <c r="Z790" s="124">
        <f>IFERROR(__xludf.DUMMYFUNCTION("""COMPUTED_VALUE"""),1.0)</f>
        <v>1</v>
      </c>
      <c r="AA790" s="124" t="str">
        <f>IFERROR(__xludf.DUMMYFUNCTION("""COMPUTED_VALUE"""),"Warm")</f>
        <v>Warm</v>
      </c>
      <c r="AB790" s="124"/>
    </row>
    <row r="791">
      <c r="A791" s="129">
        <f>IFERROR(__xludf.DUMMYFUNCTION("""COMPUTED_VALUE"""),46090.0)</f>
        <v>46090</v>
      </c>
      <c r="B791" s="124" t="str">
        <f>IFERROR(__xludf.DUMMYFUNCTION("""COMPUTED_VALUE"""),"Walkin")</f>
        <v>Walkin</v>
      </c>
      <c r="C791" s="124" t="str">
        <f>IFERROR(__xludf.DUMMYFUNCTION("""COMPUTED_VALUE"""),"Patna")</f>
        <v>Patna</v>
      </c>
      <c r="D791" s="124" t="str">
        <f>IFERROR(__xludf.DUMMYFUNCTION("""COMPUTED_VALUE"""),"Primary_Walkin")</f>
        <v>Primary_Walkin</v>
      </c>
      <c r="E791" s="124">
        <f>IFERROR(__xludf.DUMMYFUNCTION("""COMPUTED_VALUE"""),1.0)</f>
        <v>1</v>
      </c>
      <c r="F791" s="124" t="str">
        <f>IFERROR(__xludf.DUMMYFUNCTION("""COMPUTED_VALUE"""),"Enrolled")</f>
        <v>Enrolled</v>
      </c>
      <c r="G791" s="124" t="str">
        <f>IFERROR(__xludf.DUMMYFUNCTION("""COMPUTED_VALUE"""),"State PCS")</f>
        <v>State PCS</v>
      </c>
      <c r="K791" s="124"/>
      <c r="L791" s="124"/>
      <c r="M791" s="124"/>
      <c r="N791" s="124"/>
      <c r="O791" s="124"/>
      <c r="T791" s="126">
        <f>IFERROR(__xludf.DUMMYFUNCTION("""COMPUTED_VALUE"""),46109.0)</f>
        <v>46109</v>
      </c>
      <c r="U791" s="124" t="str">
        <f>IFERROR(__xludf.DUMMYFUNCTION("""COMPUTED_VALUE"""),"Paid Ads")</f>
        <v>Paid Ads</v>
      </c>
      <c r="V791" s="124" t="str">
        <f>IFERROR(__xludf.DUMMYFUNCTION("""COMPUTED_VALUE"""),"Facebook")</f>
        <v>Facebook</v>
      </c>
      <c r="W791" s="124" t="str">
        <f>IFERROR(__xludf.DUMMYFUNCTION("""COMPUTED_VALUE"""),"LeadAd")</f>
        <v>LeadAd</v>
      </c>
      <c r="X791" s="124" t="str">
        <f>IFERROR(__xludf.DUMMYFUNCTION("""COMPUTED_VALUE"""),"Upsc_Hindi_Leads_FB_Creatives")</f>
        <v>Upsc_Hindi_Leads_FB_Creatives</v>
      </c>
      <c r="Y791" s="124"/>
      <c r="Z791" s="124">
        <f>IFERROR(__xludf.DUMMYFUNCTION("""COMPUTED_VALUE"""),15.0)</f>
        <v>15</v>
      </c>
      <c r="AA791" s="124" t="str">
        <f>IFERROR(__xludf.DUMMYFUNCTION("""COMPUTED_VALUE"""),"Cold")</f>
        <v>Cold</v>
      </c>
      <c r="AB791" s="124"/>
    </row>
    <row r="792">
      <c r="A792" s="129">
        <f>IFERROR(__xludf.DUMMYFUNCTION("""COMPUTED_VALUE"""),46104.0)</f>
        <v>46104</v>
      </c>
      <c r="B792" s="124" t="str">
        <f>IFERROR(__xludf.DUMMYFUNCTION("""COMPUTED_VALUE"""),"Walkin")</f>
        <v>Walkin</v>
      </c>
      <c r="C792" s="124" t="str">
        <f>IFERROR(__xludf.DUMMYFUNCTION("""COMPUTED_VALUE"""),"Patna")</f>
        <v>Patna</v>
      </c>
      <c r="D792" s="124" t="str">
        <f>IFERROR(__xludf.DUMMYFUNCTION("""COMPUTED_VALUE"""),"Primary_Walkin")</f>
        <v>Primary_Walkin</v>
      </c>
      <c r="E792" s="124">
        <f>IFERROR(__xludf.DUMMYFUNCTION("""COMPUTED_VALUE"""),1.0)</f>
        <v>1</v>
      </c>
      <c r="F792" s="124" t="str">
        <f>IFERROR(__xludf.DUMMYFUNCTION("""COMPUTED_VALUE"""),"Future Prospects")</f>
        <v>Future Prospects</v>
      </c>
      <c r="G792" s="124" t="str">
        <f>IFERROR(__xludf.DUMMYFUNCTION("""COMPUTED_VALUE"""),"GS Foundation")</f>
        <v>GS Foundation</v>
      </c>
      <c r="K792" s="124"/>
      <c r="L792" s="124"/>
      <c r="M792" s="124"/>
      <c r="N792" s="124"/>
      <c r="O792" s="124"/>
      <c r="T792" s="126">
        <f>IFERROR(__xludf.DUMMYFUNCTION("""COMPUTED_VALUE"""),46100.0)</f>
        <v>46100</v>
      </c>
      <c r="U792" s="124" t="str">
        <f>IFERROR(__xludf.DUMMYFUNCTION("""COMPUTED_VALUE"""),"Paid Ads")</f>
        <v>Paid Ads</v>
      </c>
      <c r="V792" s="124" t="str">
        <f>IFERROR(__xludf.DUMMYFUNCTION("""COMPUTED_VALUE"""),"Facebook")</f>
        <v>Facebook</v>
      </c>
      <c r="W792" s="124" t="str">
        <f>IFERROR(__xludf.DUMMYFUNCTION("""COMPUTED_VALUE"""),"LeadAd")</f>
        <v>LeadAd</v>
      </c>
      <c r="X792" s="124" t="str">
        <f>IFERROR(__xludf.DUMMYFUNCTION("""COMPUTED_VALUE"""),"Upsc_Hindi_Leads_FB_Creatives")</f>
        <v>Upsc_Hindi_Leads_FB_Creatives</v>
      </c>
      <c r="Y792" s="124"/>
      <c r="Z792" s="124">
        <f>IFERROR(__xludf.DUMMYFUNCTION("""COMPUTED_VALUE"""),20.0)</f>
        <v>20</v>
      </c>
      <c r="AA792" s="124" t="str">
        <f>IFERROR(__xludf.DUMMYFUNCTION("""COMPUTED_VALUE"""),"Cold")</f>
        <v>Cold</v>
      </c>
      <c r="AB792" s="124"/>
    </row>
    <row r="793">
      <c r="A793" s="126">
        <f>IFERROR(__xludf.DUMMYFUNCTION("""COMPUTED_VALUE"""),46063.0)</f>
        <v>46063</v>
      </c>
      <c r="B793" s="124" t="str">
        <f>IFERROR(__xludf.DUMMYFUNCTION("""COMPUTED_VALUE"""),"Walkin")</f>
        <v>Walkin</v>
      </c>
      <c r="C793" s="124" t="str">
        <f>IFERROR(__xludf.DUMMYFUNCTION("""COMPUTED_VALUE"""),"Patna")</f>
        <v>Patna</v>
      </c>
      <c r="D793" s="124" t="str">
        <f>IFERROR(__xludf.DUMMYFUNCTION("""COMPUTED_VALUE"""),"Primary_Walkin")</f>
        <v>Primary_Walkin</v>
      </c>
      <c r="E793" s="124">
        <f>IFERROR(__xludf.DUMMYFUNCTION("""COMPUTED_VALUE"""),1.0)</f>
        <v>1</v>
      </c>
      <c r="F793" s="124" t="str">
        <f>IFERROR(__xludf.DUMMYFUNCTION("""COMPUTED_VALUE"""),"Fake Lead")</f>
        <v>Fake Lead</v>
      </c>
      <c r="G793" s="124" t="str">
        <f>IFERROR(__xludf.DUMMYFUNCTION("""COMPUTED_VALUE"""),"State PCS")</f>
        <v>State PCS</v>
      </c>
      <c r="K793" s="124"/>
      <c r="L793" s="124"/>
      <c r="M793" s="124"/>
      <c r="N793" s="124"/>
      <c r="O793" s="124"/>
      <c r="T793" s="126">
        <f>IFERROR(__xludf.DUMMYFUNCTION("""COMPUTED_VALUE"""),46102.0)</f>
        <v>46102</v>
      </c>
      <c r="U793" s="124" t="str">
        <f>IFERROR(__xludf.DUMMYFUNCTION("""COMPUTED_VALUE"""),"Paid Ads")</f>
        <v>Paid Ads</v>
      </c>
      <c r="V793" s="124" t="str">
        <f>IFERROR(__xludf.DUMMYFUNCTION("""COMPUTED_VALUE"""),"Facebook")</f>
        <v>Facebook</v>
      </c>
      <c r="W793" s="124" t="str">
        <f>IFERROR(__xludf.DUMMYFUNCTION("""COMPUTED_VALUE"""),"LeadAd")</f>
        <v>LeadAd</v>
      </c>
      <c r="X793" s="124" t="str">
        <f>IFERROR(__xludf.DUMMYFUNCTION("""COMPUTED_VALUE"""),"Upsc_Hindi_Leads_FB_Creatives")</f>
        <v>Upsc_Hindi_Leads_FB_Creatives</v>
      </c>
      <c r="Y793" s="124"/>
      <c r="Z793" s="124">
        <f>IFERROR(__xludf.DUMMYFUNCTION("""COMPUTED_VALUE"""),26.0)</f>
        <v>26</v>
      </c>
      <c r="AA793" s="124" t="str">
        <f>IFERROR(__xludf.DUMMYFUNCTION("""COMPUTED_VALUE"""),"Cold")</f>
        <v>Cold</v>
      </c>
      <c r="AB793" s="124"/>
    </row>
    <row r="794">
      <c r="A794" s="126">
        <f>IFERROR(__xludf.DUMMYFUNCTION("""COMPUTED_VALUE"""),46077.0)</f>
        <v>46077</v>
      </c>
      <c r="B794" s="124" t="str">
        <f>IFERROR(__xludf.DUMMYFUNCTION("""COMPUTED_VALUE"""),"Walkin")</f>
        <v>Walkin</v>
      </c>
      <c r="C794" s="124" t="str">
        <f>IFERROR(__xludf.DUMMYFUNCTION("""COMPUTED_VALUE"""),"Patna")</f>
        <v>Patna</v>
      </c>
      <c r="D794" s="124" t="str">
        <f>IFERROR(__xludf.DUMMYFUNCTION("""COMPUTED_VALUE"""),"Primary_Walkin")</f>
        <v>Primary_Walkin</v>
      </c>
      <c r="E794" s="124">
        <f>IFERROR(__xludf.DUMMYFUNCTION("""COMPUTED_VALUE"""),1.0)</f>
        <v>1</v>
      </c>
      <c r="F794" s="124" t="str">
        <f>IFERROR(__xludf.DUMMYFUNCTION("""COMPUTED_VALUE"""),"Enrolled")</f>
        <v>Enrolled</v>
      </c>
      <c r="G794" s="124" t="str">
        <f>IFERROR(__xludf.DUMMYFUNCTION("""COMPUTED_VALUE"""),"Test Series")</f>
        <v>Test Series</v>
      </c>
      <c r="K794" s="124"/>
      <c r="L794" s="124"/>
      <c r="M794" s="124"/>
      <c r="N794" s="124"/>
      <c r="O794" s="124"/>
      <c r="T794" s="126">
        <f>IFERROR(__xludf.DUMMYFUNCTION("""COMPUTED_VALUE"""),46101.0)</f>
        <v>46101</v>
      </c>
      <c r="U794" s="124" t="str">
        <f>IFERROR(__xludf.DUMMYFUNCTION("""COMPUTED_VALUE"""),"Paid Ads")</f>
        <v>Paid Ads</v>
      </c>
      <c r="V794" s="124" t="str">
        <f>IFERROR(__xludf.DUMMYFUNCTION("""COMPUTED_VALUE"""),"Facebook")</f>
        <v>Facebook</v>
      </c>
      <c r="W794" s="124" t="str">
        <f>IFERROR(__xludf.DUMMYFUNCTION("""COMPUTED_VALUE"""),"LeadAd")</f>
        <v>LeadAd</v>
      </c>
      <c r="X794" s="124" t="str">
        <f>IFERROR(__xludf.DUMMYFUNCTION("""COMPUTED_VALUE"""),"Upsc_Hindi_Leads_FB_Creatives")</f>
        <v>Upsc_Hindi_Leads_FB_Creatives</v>
      </c>
      <c r="Y794" s="124"/>
      <c r="Z794" s="124">
        <f>IFERROR(__xludf.DUMMYFUNCTION("""COMPUTED_VALUE"""),20.0)</f>
        <v>20</v>
      </c>
      <c r="AA794" s="124" t="str">
        <f>IFERROR(__xludf.DUMMYFUNCTION("""COMPUTED_VALUE"""),"Cold")</f>
        <v>Cold</v>
      </c>
      <c r="AB794" s="124"/>
    </row>
    <row r="795">
      <c r="A795" s="126">
        <f>IFERROR(__xludf.DUMMYFUNCTION("""COMPUTED_VALUE"""),46099.0)</f>
        <v>46099</v>
      </c>
      <c r="B795" s="124" t="str">
        <f>IFERROR(__xludf.DUMMYFUNCTION("""COMPUTED_VALUE"""),"Walkin")</f>
        <v>Walkin</v>
      </c>
      <c r="C795" s="124" t="str">
        <f>IFERROR(__xludf.DUMMYFUNCTION("""COMPUTED_VALUE"""),"Patna")</f>
        <v>Patna</v>
      </c>
      <c r="D795" s="124" t="str">
        <f>IFERROR(__xludf.DUMMYFUNCTION("""COMPUTED_VALUE"""),"Primary_Walkin")</f>
        <v>Primary_Walkin</v>
      </c>
      <c r="E795" s="124">
        <f>IFERROR(__xludf.DUMMYFUNCTION("""COMPUTED_VALUE"""),1.0)</f>
        <v>1</v>
      </c>
      <c r="F795" s="124" t="str">
        <f>IFERROR(__xludf.DUMMYFUNCTION("""COMPUTED_VALUE"""),"Warm")</f>
        <v>Warm</v>
      </c>
      <c r="G795" s="124" t="str">
        <f>IFERROR(__xludf.DUMMYFUNCTION("""COMPUTED_VALUE"""),"Test Series")</f>
        <v>Test Series</v>
      </c>
      <c r="K795" s="124"/>
      <c r="L795" s="124"/>
      <c r="M795" s="124"/>
      <c r="N795" s="124"/>
      <c r="O795" s="124"/>
      <c r="T795" s="126">
        <f>IFERROR(__xludf.DUMMYFUNCTION("""COMPUTED_VALUE"""),46107.0)</f>
        <v>46107</v>
      </c>
      <c r="U795" s="124" t="str">
        <f>IFERROR(__xludf.DUMMYFUNCTION("""COMPUTED_VALUE"""),"Paid Ads")</f>
        <v>Paid Ads</v>
      </c>
      <c r="V795" s="124" t="str">
        <f>IFERROR(__xludf.DUMMYFUNCTION("""COMPUTED_VALUE"""),"Facebook")</f>
        <v>Facebook</v>
      </c>
      <c r="W795" s="124" t="str">
        <f>IFERROR(__xludf.DUMMYFUNCTION("""COMPUTED_VALUE"""),"LeadAd")</f>
        <v>LeadAd</v>
      </c>
      <c r="X795" s="124" t="str">
        <f>IFERROR(__xludf.DUMMYFUNCTION("""COMPUTED_VALUE"""),"Upsc_Hindi_Leads_FB_Creatives")</f>
        <v>Upsc_Hindi_Leads_FB_Creatives</v>
      </c>
      <c r="Y795" s="124"/>
      <c r="Z795" s="124">
        <f>IFERROR(__xludf.DUMMYFUNCTION("""COMPUTED_VALUE"""),12.0)</f>
        <v>12</v>
      </c>
      <c r="AA795" s="124" t="str">
        <f>IFERROR(__xludf.DUMMYFUNCTION("""COMPUTED_VALUE"""),"Cold")</f>
        <v>Cold</v>
      </c>
      <c r="AB795" s="124"/>
    </row>
    <row r="796">
      <c r="A796" s="129">
        <f>IFERROR(__xludf.DUMMYFUNCTION("""COMPUTED_VALUE"""),46101.0)</f>
        <v>46101</v>
      </c>
      <c r="B796" s="124" t="str">
        <f>IFERROR(__xludf.DUMMYFUNCTION("""COMPUTED_VALUE"""),"Walkin")</f>
        <v>Walkin</v>
      </c>
      <c r="C796" s="124" t="str">
        <f>IFERROR(__xludf.DUMMYFUNCTION("""COMPUTED_VALUE"""),"Patna")</f>
        <v>Patna</v>
      </c>
      <c r="D796" s="124" t="str">
        <f>IFERROR(__xludf.DUMMYFUNCTION("""COMPUTED_VALUE"""),"Primary_Walkin")</f>
        <v>Primary_Walkin</v>
      </c>
      <c r="E796" s="124">
        <f>IFERROR(__xludf.DUMMYFUNCTION("""COMPUTED_VALUE"""),3.0)</f>
        <v>3</v>
      </c>
      <c r="F796" s="124" t="str">
        <f>IFERROR(__xludf.DUMMYFUNCTION("""COMPUTED_VALUE"""),"Cold")</f>
        <v>Cold</v>
      </c>
      <c r="G796" s="124" t="str">
        <f>IFERROR(__xludf.DUMMYFUNCTION("""COMPUTED_VALUE"""),"State PCS")</f>
        <v>State PCS</v>
      </c>
      <c r="K796" s="124"/>
      <c r="L796" s="124"/>
      <c r="M796" s="124"/>
      <c r="N796" s="124"/>
      <c r="O796" s="124"/>
      <c r="T796" s="129">
        <f>IFERROR(__xludf.DUMMYFUNCTION("""COMPUTED_VALUE"""),46112.0)</f>
        <v>46112</v>
      </c>
      <c r="U796" s="124" t="str">
        <f>IFERROR(__xludf.DUMMYFUNCTION("""COMPUTED_VALUE"""),"Paid Ads")</f>
        <v>Paid Ads</v>
      </c>
      <c r="V796" s="124" t="str">
        <f>IFERROR(__xludf.DUMMYFUNCTION("""COMPUTED_VALUE"""),"Facebook")</f>
        <v>Facebook</v>
      </c>
      <c r="W796" s="124" t="str">
        <f>IFERROR(__xludf.DUMMYFUNCTION("""COMPUTED_VALUE"""),"LeadAd")</f>
        <v>LeadAd</v>
      </c>
      <c r="X796" s="124" t="str">
        <f>IFERROR(__xludf.DUMMYFUNCTION("""COMPUTED_VALUE"""),"Upsc_Hindi_Leads_FB_Creatives")</f>
        <v>Upsc_Hindi_Leads_FB_Creatives</v>
      </c>
      <c r="Y796" s="124"/>
      <c r="Z796" s="124">
        <f>IFERROR(__xludf.DUMMYFUNCTION("""COMPUTED_VALUE"""),10.0)</f>
        <v>10</v>
      </c>
      <c r="AA796" s="124" t="str">
        <f>IFERROR(__xludf.DUMMYFUNCTION("""COMPUTED_VALUE"""),"Cold")</f>
        <v>Cold</v>
      </c>
      <c r="AB796" s="124"/>
    </row>
    <row r="797">
      <c r="A797" s="126">
        <f>IFERROR(__xludf.DUMMYFUNCTION("""COMPUTED_VALUE"""),46053.0)</f>
        <v>46053</v>
      </c>
      <c r="B797" s="124" t="str">
        <f>IFERROR(__xludf.DUMMYFUNCTION("""COMPUTED_VALUE"""),"Walkin")</f>
        <v>Walkin</v>
      </c>
      <c r="C797" s="124" t="str">
        <f>IFERROR(__xludf.DUMMYFUNCTION("""COMPUTED_VALUE"""),"Patna")</f>
        <v>Patna</v>
      </c>
      <c r="D797" s="124" t="str">
        <f>IFERROR(__xludf.DUMMYFUNCTION("""COMPUTED_VALUE"""),"Primary_Walkin")</f>
        <v>Primary_Walkin</v>
      </c>
      <c r="E797" s="124">
        <f>IFERROR(__xludf.DUMMYFUNCTION("""COMPUTED_VALUE"""),1.0)</f>
        <v>1</v>
      </c>
      <c r="F797" s="124" t="str">
        <f>IFERROR(__xludf.DUMMYFUNCTION("""COMPUTED_VALUE"""),"Future Prospects")</f>
        <v>Future Prospects</v>
      </c>
      <c r="G797" s="124" t="str">
        <f>IFERROR(__xludf.DUMMYFUNCTION("""COMPUTED_VALUE"""),"State PCS")</f>
        <v>State PCS</v>
      </c>
      <c r="K797" s="124"/>
      <c r="L797" s="124"/>
      <c r="M797" s="124"/>
      <c r="N797" s="124"/>
      <c r="O797" s="124"/>
      <c r="T797" s="126">
        <f>IFERROR(__xludf.DUMMYFUNCTION("""COMPUTED_VALUE"""),46111.0)</f>
        <v>46111</v>
      </c>
      <c r="U797" s="124" t="str">
        <f>IFERROR(__xludf.DUMMYFUNCTION("""COMPUTED_VALUE"""),"Paid Ads")</f>
        <v>Paid Ads</v>
      </c>
      <c r="V797" s="124" t="str">
        <f>IFERROR(__xludf.DUMMYFUNCTION("""COMPUTED_VALUE"""),"Facebook")</f>
        <v>Facebook</v>
      </c>
      <c r="W797" s="124" t="str">
        <f>IFERROR(__xludf.DUMMYFUNCTION("""COMPUTED_VALUE"""),"LeadAd")</f>
        <v>LeadAd</v>
      </c>
      <c r="X797" s="124" t="str">
        <f>IFERROR(__xludf.DUMMYFUNCTION("""COMPUTED_VALUE"""),"Upsc_Hindi_Leads_FB_Creatives")</f>
        <v>Upsc_Hindi_Leads_FB_Creatives</v>
      </c>
      <c r="Y797" s="124"/>
      <c r="Z797" s="124">
        <f>IFERROR(__xludf.DUMMYFUNCTION("""COMPUTED_VALUE"""),11.0)</f>
        <v>11</v>
      </c>
      <c r="AA797" s="124" t="str">
        <f>IFERROR(__xludf.DUMMYFUNCTION("""COMPUTED_VALUE"""),"Cold")</f>
        <v>Cold</v>
      </c>
      <c r="AB797" s="124"/>
    </row>
    <row r="798">
      <c r="A798" s="129">
        <f>IFERROR(__xludf.DUMMYFUNCTION("""COMPUTED_VALUE"""),46102.0)</f>
        <v>46102</v>
      </c>
      <c r="B798" s="124" t="str">
        <f>IFERROR(__xludf.DUMMYFUNCTION("""COMPUTED_VALUE"""),"Walkin")</f>
        <v>Walkin</v>
      </c>
      <c r="C798" s="124" t="str">
        <f>IFERROR(__xludf.DUMMYFUNCTION("""COMPUTED_VALUE"""),"Patna")</f>
        <v>Patna</v>
      </c>
      <c r="D798" s="124" t="str">
        <f>IFERROR(__xludf.DUMMYFUNCTION("""COMPUTED_VALUE"""),"Primary_Walkin")</f>
        <v>Primary_Walkin</v>
      </c>
      <c r="E798" s="124">
        <f>IFERROR(__xludf.DUMMYFUNCTION("""COMPUTED_VALUE"""),3.0)</f>
        <v>3</v>
      </c>
      <c r="F798" s="124" t="str">
        <f>IFERROR(__xludf.DUMMYFUNCTION("""COMPUTED_VALUE"""),"Future Prospects")</f>
        <v>Future Prospects</v>
      </c>
      <c r="G798" s="124" t="str">
        <f>IFERROR(__xludf.DUMMYFUNCTION("""COMPUTED_VALUE"""),"State PCS")</f>
        <v>State PCS</v>
      </c>
      <c r="K798" s="124"/>
      <c r="L798" s="124"/>
      <c r="M798" s="124"/>
      <c r="N798" s="124"/>
      <c r="O798" s="124"/>
      <c r="T798" s="126">
        <f>IFERROR(__xludf.DUMMYFUNCTION("""COMPUTED_VALUE"""),46099.0)</f>
        <v>46099</v>
      </c>
      <c r="U798" s="124" t="str">
        <f>IFERROR(__xludf.DUMMYFUNCTION("""COMPUTED_VALUE"""),"Paid Ads")</f>
        <v>Paid Ads</v>
      </c>
      <c r="V798" s="124" t="str">
        <f>IFERROR(__xludf.DUMMYFUNCTION("""COMPUTED_VALUE"""),"Facebook")</f>
        <v>Facebook</v>
      </c>
      <c r="W798" s="124" t="str">
        <f>IFERROR(__xludf.DUMMYFUNCTION("""COMPUTED_VALUE"""),"LeadAd")</f>
        <v>LeadAd</v>
      </c>
      <c r="X798" s="124" t="str">
        <f>IFERROR(__xludf.DUMMYFUNCTION("""COMPUTED_VALUE"""),"Upsc_Hindi_Leads_FB_Creatives")</f>
        <v>Upsc_Hindi_Leads_FB_Creatives</v>
      </c>
      <c r="Y798" s="124"/>
      <c r="Z798" s="124">
        <f>IFERROR(__xludf.DUMMYFUNCTION("""COMPUTED_VALUE"""),7.0)</f>
        <v>7</v>
      </c>
      <c r="AA798" s="124" t="str">
        <f>IFERROR(__xludf.DUMMYFUNCTION("""COMPUTED_VALUE"""),"Cold")</f>
        <v>Cold</v>
      </c>
      <c r="AB798" s="124"/>
    </row>
    <row r="799">
      <c r="A799" s="126">
        <f>IFERROR(__xludf.DUMMYFUNCTION("""COMPUTED_VALUE"""),46112.0)</f>
        <v>46112</v>
      </c>
      <c r="B799" s="124" t="str">
        <f>IFERROR(__xludf.DUMMYFUNCTION("""COMPUTED_VALUE"""),"Walkin")</f>
        <v>Walkin</v>
      </c>
      <c r="C799" s="124" t="str">
        <f>IFERROR(__xludf.DUMMYFUNCTION("""COMPUTED_VALUE"""),"Patna")</f>
        <v>Patna</v>
      </c>
      <c r="D799" s="124" t="str">
        <f>IFERROR(__xludf.DUMMYFUNCTION("""COMPUTED_VALUE"""),"Primary_Walkin")</f>
        <v>Primary_Walkin</v>
      </c>
      <c r="E799" s="124">
        <f>IFERROR(__xludf.DUMMYFUNCTION("""COMPUTED_VALUE"""),1.0)</f>
        <v>1</v>
      </c>
      <c r="F799" s="124" t="str">
        <f>IFERROR(__xludf.DUMMYFUNCTION("""COMPUTED_VALUE"""),"Fake Lead")</f>
        <v>Fake Lead</v>
      </c>
      <c r="G799" s="124" t="str">
        <f>IFERROR(__xludf.DUMMYFUNCTION("""COMPUTED_VALUE"""),"Test Series")</f>
        <v>Test Series</v>
      </c>
      <c r="K799" s="124"/>
      <c r="L799" s="124"/>
      <c r="M799" s="124"/>
      <c r="N799" s="124"/>
      <c r="O799" s="124"/>
      <c r="T799" s="126">
        <f>IFERROR(__xludf.DUMMYFUNCTION("""COMPUTED_VALUE"""),46107.0)</f>
        <v>46107</v>
      </c>
      <c r="U799" s="124" t="str">
        <f>IFERROR(__xludf.DUMMYFUNCTION("""COMPUTED_VALUE"""),"Paid Ads")</f>
        <v>Paid Ads</v>
      </c>
      <c r="V799" s="124" t="str">
        <f>IFERROR(__xludf.DUMMYFUNCTION("""COMPUTED_VALUE"""),"Facebook")</f>
        <v>Facebook</v>
      </c>
      <c r="W799" s="124" t="str">
        <f>IFERROR(__xludf.DUMMYFUNCTION("""COMPUTED_VALUE"""),"LeadAd")</f>
        <v>LeadAd</v>
      </c>
      <c r="X799" s="124" t="str">
        <f>IFERROR(__xludf.DUMMYFUNCTION("""COMPUTED_VALUE"""),"Upsc_Hindi_Leads_FB_Creatives")</f>
        <v>Upsc_Hindi_Leads_FB_Creatives</v>
      </c>
      <c r="Y799" s="124"/>
      <c r="Z799" s="124">
        <f>IFERROR(__xludf.DUMMYFUNCTION("""COMPUTED_VALUE"""),1.0)</f>
        <v>1</v>
      </c>
      <c r="AA799" s="124" t="str">
        <f>IFERROR(__xludf.DUMMYFUNCTION("""COMPUTED_VALUE"""),"Enrolled")</f>
        <v>Enrolled</v>
      </c>
      <c r="AB799" s="124" t="str">
        <f>IFERROR(__xludf.DUMMYFUNCTION("""COMPUTED_VALUE"""),"GS Foundation")</f>
        <v>GS Foundation</v>
      </c>
    </row>
    <row r="800">
      <c r="A800" s="126">
        <f>IFERROR(__xludf.DUMMYFUNCTION("""COMPUTED_VALUE"""),46092.0)</f>
        <v>46092</v>
      </c>
      <c r="B800" s="124" t="str">
        <f>IFERROR(__xludf.DUMMYFUNCTION("""COMPUTED_VALUE"""),"Walkin")</f>
        <v>Walkin</v>
      </c>
      <c r="C800" s="124" t="str">
        <f>IFERROR(__xludf.DUMMYFUNCTION("""COMPUTED_VALUE"""),"Patna")</f>
        <v>Patna</v>
      </c>
      <c r="D800" s="124" t="str">
        <f>IFERROR(__xludf.DUMMYFUNCTION("""COMPUTED_VALUE"""),"Primary_Walkin")</f>
        <v>Primary_Walkin</v>
      </c>
      <c r="E800" s="124">
        <f>IFERROR(__xludf.DUMMYFUNCTION("""COMPUTED_VALUE"""),1.0)</f>
        <v>1</v>
      </c>
      <c r="F800" s="124" t="str">
        <f>IFERROR(__xludf.DUMMYFUNCTION("""COMPUTED_VALUE"""),"Enrolled")</f>
        <v>Enrolled</v>
      </c>
      <c r="G800" s="124" t="str">
        <f>IFERROR(__xludf.DUMMYFUNCTION("""COMPUTED_VALUE"""),"GS Advanced")</f>
        <v>GS Advanced</v>
      </c>
      <c r="K800" s="124"/>
      <c r="L800" s="124"/>
      <c r="M800" s="124"/>
      <c r="N800" s="124"/>
      <c r="O800" s="124"/>
      <c r="T800" s="126">
        <f>IFERROR(__xludf.DUMMYFUNCTION("""COMPUTED_VALUE"""),46105.0)</f>
        <v>46105</v>
      </c>
      <c r="U800" s="124" t="str">
        <f>IFERROR(__xludf.DUMMYFUNCTION("""COMPUTED_VALUE"""),"Paid Ads")</f>
        <v>Paid Ads</v>
      </c>
      <c r="V800" s="124" t="str">
        <f>IFERROR(__xludf.DUMMYFUNCTION("""COMPUTED_VALUE"""),"Facebook")</f>
        <v>Facebook</v>
      </c>
      <c r="W800" s="124" t="str">
        <f>IFERROR(__xludf.DUMMYFUNCTION("""COMPUTED_VALUE"""),"LeadAd")</f>
        <v>LeadAd</v>
      </c>
      <c r="X800" s="124" t="str">
        <f>IFERROR(__xludf.DUMMYFUNCTION("""COMPUTED_VALUE"""),"Upsc_Hindi_Leads_FB_Creatives")</f>
        <v>Upsc_Hindi_Leads_FB_Creatives</v>
      </c>
      <c r="Y800" s="124" t="str">
        <f>IFERROR(__xludf.DUMMYFUNCTION("""COMPUTED_VALUE"""),"Prayagraj")</f>
        <v>Prayagraj</v>
      </c>
      <c r="Z800" s="124">
        <f>IFERROR(__xludf.DUMMYFUNCTION("""COMPUTED_VALUE"""),1.0)</f>
        <v>1</v>
      </c>
      <c r="AA800" s="124" t="str">
        <f>IFERROR(__xludf.DUMMYFUNCTION("""COMPUTED_VALUE"""),"Warm")</f>
        <v>Warm</v>
      </c>
      <c r="AB800" s="124" t="str">
        <f>IFERROR(__xludf.DUMMYFUNCTION("""COMPUTED_VALUE"""),"GS Foundation")</f>
        <v>GS Foundation</v>
      </c>
    </row>
    <row r="801">
      <c r="A801" s="126">
        <f>IFERROR(__xludf.DUMMYFUNCTION("""COMPUTED_VALUE"""),46072.0)</f>
        <v>46072</v>
      </c>
      <c r="B801" s="124" t="str">
        <f>IFERROR(__xludf.DUMMYFUNCTION("""COMPUTED_VALUE"""),"Walk-In")</f>
        <v>Walk-In</v>
      </c>
      <c r="C801" s="124" t="str">
        <f>IFERROR(__xludf.DUMMYFUNCTION("""COMPUTED_VALUE"""),"Patna")</f>
        <v>Patna</v>
      </c>
      <c r="D801" s="124" t="str">
        <f>IFERROR(__xludf.DUMMYFUNCTION("""COMPUTED_VALUE"""),"Primary_Walkin")</f>
        <v>Primary_Walkin</v>
      </c>
      <c r="E801" s="124">
        <f>IFERROR(__xludf.DUMMYFUNCTION("""COMPUTED_VALUE"""),1.0)</f>
        <v>1</v>
      </c>
      <c r="F801" s="124" t="str">
        <f>IFERROR(__xludf.DUMMYFUNCTION("""COMPUTED_VALUE"""),"Fake Lead")</f>
        <v>Fake Lead</v>
      </c>
      <c r="G801" s="124" t="str">
        <f>IFERROR(__xludf.DUMMYFUNCTION("""COMPUTED_VALUE"""),"GS Foundation")</f>
        <v>GS Foundation</v>
      </c>
      <c r="K801" s="124"/>
      <c r="L801" s="124"/>
      <c r="M801" s="124"/>
      <c r="N801" s="124"/>
      <c r="O801" s="124"/>
      <c r="T801" s="126">
        <f>IFERROR(__xludf.DUMMYFUNCTION("""COMPUTED_VALUE"""),46100.0)</f>
        <v>46100</v>
      </c>
      <c r="U801" s="124" t="str">
        <f>IFERROR(__xludf.DUMMYFUNCTION("""COMPUTED_VALUE"""),"Paid Ads")</f>
        <v>Paid Ads</v>
      </c>
      <c r="V801" s="124" t="str">
        <f>IFERROR(__xludf.DUMMYFUNCTION("""COMPUTED_VALUE"""),"Facebook")</f>
        <v>Facebook</v>
      </c>
      <c r="W801" s="124" t="str">
        <f>IFERROR(__xludf.DUMMYFUNCTION("""COMPUTED_VALUE"""),"LeadAd")</f>
        <v>LeadAd</v>
      </c>
      <c r="X801" s="124" t="str">
        <f>IFERROR(__xludf.DUMMYFUNCTION("""COMPUTED_VALUE"""),"Upsc_Hindi_Leads_FB_Creatives")</f>
        <v>Upsc_Hindi_Leads_FB_Creatives</v>
      </c>
      <c r="Y801" s="124"/>
      <c r="Z801" s="124">
        <f>IFERROR(__xludf.DUMMYFUNCTION("""COMPUTED_VALUE"""),3.0)</f>
        <v>3</v>
      </c>
      <c r="AA801" s="124" t="str">
        <f>IFERROR(__xludf.DUMMYFUNCTION("""COMPUTED_VALUE"""),"Warm")</f>
        <v>Warm</v>
      </c>
      <c r="AB801" s="124"/>
    </row>
    <row r="802">
      <c r="A802" s="126">
        <f>IFERROR(__xludf.DUMMYFUNCTION("""COMPUTED_VALUE"""),46080.0)</f>
        <v>46080</v>
      </c>
      <c r="B802" s="124" t="str">
        <f>IFERROR(__xludf.DUMMYFUNCTION("""COMPUTED_VALUE"""),"Walkin")</f>
        <v>Walkin</v>
      </c>
      <c r="C802" s="124" t="str">
        <f>IFERROR(__xludf.DUMMYFUNCTION("""COMPUTED_VALUE"""),"Patna")</f>
        <v>Patna</v>
      </c>
      <c r="D802" s="124" t="str">
        <f>IFERROR(__xludf.DUMMYFUNCTION("""COMPUTED_VALUE"""),"Primary_Walkin")</f>
        <v>Primary_Walkin</v>
      </c>
      <c r="E802" s="124">
        <f>IFERROR(__xludf.DUMMYFUNCTION("""COMPUTED_VALUE"""),3.0)</f>
        <v>3</v>
      </c>
      <c r="F802" s="124" t="str">
        <f>IFERROR(__xludf.DUMMYFUNCTION("""COMPUTED_VALUE"""),"Cold")</f>
        <v>Cold</v>
      </c>
      <c r="G802" s="124" t="str">
        <f>IFERROR(__xludf.DUMMYFUNCTION("""COMPUTED_VALUE"""),"State PCS")</f>
        <v>State PCS</v>
      </c>
      <c r="K802" s="124"/>
      <c r="L802" s="124"/>
      <c r="M802" s="124"/>
      <c r="N802" s="124"/>
      <c r="O802" s="124"/>
      <c r="T802" s="126">
        <f>IFERROR(__xludf.DUMMYFUNCTION("""COMPUTED_VALUE"""),46108.0)</f>
        <v>46108</v>
      </c>
      <c r="U802" s="124" t="str">
        <f>IFERROR(__xludf.DUMMYFUNCTION("""COMPUTED_VALUE"""),"Paid Ads")</f>
        <v>Paid Ads</v>
      </c>
      <c r="V802" s="124" t="str">
        <f>IFERROR(__xludf.DUMMYFUNCTION("""COMPUTED_VALUE"""),"Facebook")</f>
        <v>Facebook</v>
      </c>
      <c r="W802" s="124" t="str">
        <f>IFERROR(__xludf.DUMMYFUNCTION("""COMPUTED_VALUE"""),"LeadAd")</f>
        <v>LeadAd</v>
      </c>
      <c r="X802" s="124" t="str">
        <f>IFERROR(__xludf.DUMMYFUNCTION("""COMPUTED_VALUE"""),"Upsc_Hindi_Leads_FB_Creatives")</f>
        <v>Upsc_Hindi_Leads_FB_Creatives</v>
      </c>
      <c r="Y802" s="124"/>
      <c r="Z802" s="124">
        <f>IFERROR(__xludf.DUMMYFUNCTION("""COMPUTED_VALUE"""),11.0)</f>
        <v>11</v>
      </c>
      <c r="AA802" s="124" t="str">
        <f>IFERROR(__xludf.DUMMYFUNCTION("""COMPUTED_VALUE"""),"Cold")</f>
        <v>Cold</v>
      </c>
      <c r="AB802" s="124"/>
    </row>
    <row r="803">
      <c r="A803" s="126">
        <f>IFERROR(__xludf.DUMMYFUNCTION("""COMPUTED_VALUE"""),46061.0)</f>
        <v>46061</v>
      </c>
      <c r="B803" s="124" t="str">
        <f>IFERROR(__xludf.DUMMYFUNCTION("""COMPUTED_VALUE"""),"Walk-In")</f>
        <v>Walk-In</v>
      </c>
      <c r="C803" s="124" t="str">
        <f>IFERROR(__xludf.DUMMYFUNCTION("""COMPUTED_VALUE"""),"Patna")</f>
        <v>Patna</v>
      </c>
      <c r="D803" s="124" t="str">
        <f>IFERROR(__xludf.DUMMYFUNCTION("""COMPUTED_VALUE"""),"Primary_Walkin")</f>
        <v>Primary_Walkin</v>
      </c>
      <c r="E803" s="124">
        <f>IFERROR(__xludf.DUMMYFUNCTION("""COMPUTED_VALUE"""),1.0)</f>
        <v>1</v>
      </c>
      <c r="F803" s="124" t="str">
        <f>IFERROR(__xludf.DUMMYFUNCTION("""COMPUTED_VALUE"""),"Cold")</f>
        <v>Cold</v>
      </c>
      <c r="G803" s="124" t="str">
        <f>IFERROR(__xludf.DUMMYFUNCTION("""COMPUTED_VALUE"""),"State PCS")</f>
        <v>State PCS</v>
      </c>
      <c r="K803" s="124"/>
      <c r="L803" s="124"/>
      <c r="M803" s="124"/>
      <c r="N803" s="124"/>
      <c r="O803" s="124"/>
      <c r="T803" s="126">
        <f>IFERROR(__xludf.DUMMYFUNCTION("""COMPUTED_VALUE"""),46111.0)</f>
        <v>46111</v>
      </c>
      <c r="U803" s="124" t="str">
        <f>IFERROR(__xludf.DUMMYFUNCTION("""COMPUTED_VALUE"""),"Paid Ads")</f>
        <v>Paid Ads</v>
      </c>
      <c r="V803" s="124" t="str">
        <f>IFERROR(__xludf.DUMMYFUNCTION("""COMPUTED_VALUE"""),"Facebook")</f>
        <v>Facebook</v>
      </c>
      <c r="W803" s="124" t="str">
        <f>IFERROR(__xludf.DUMMYFUNCTION("""COMPUTED_VALUE"""),"LeadAd")</f>
        <v>LeadAd</v>
      </c>
      <c r="X803" s="124" t="str">
        <f>IFERROR(__xludf.DUMMYFUNCTION("""COMPUTED_VALUE"""),"Upsc_Hindi_Leads_FB_Creatives")</f>
        <v>Upsc_Hindi_Leads_FB_Creatives</v>
      </c>
      <c r="Y803" s="124"/>
      <c r="Z803" s="124">
        <f>IFERROR(__xludf.DUMMYFUNCTION("""COMPUTED_VALUE"""),7.0)</f>
        <v>7</v>
      </c>
      <c r="AA803" s="124"/>
      <c r="AB803" s="124"/>
    </row>
    <row r="804">
      <c r="A804" s="126">
        <f>IFERROR(__xludf.DUMMYFUNCTION("""COMPUTED_VALUE"""),46056.0)</f>
        <v>46056</v>
      </c>
      <c r="B804" s="124" t="str">
        <f>IFERROR(__xludf.DUMMYFUNCTION("""COMPUTED_VALUE"""),"Walkin")</f>
        <v>Walkin</v>
      </c>
      <c r="C804" s="124" t="str">
        <f>IFERROR(__xludf.DUMMYFUNCTION("""COMPUTED_VALUE"""),"Patna")</f>
        <v>Patna</v>
      </c>
      <c r="D804" s="124" t="str">
        <f>IFERROR(__xludf.DUMMYFUNCTION("""COMPUTED_VALUE"""),"Primary_Walkin")</f>
        <v>Primary_Walkin</v>
      </c>
      <c r="E804" s="124">
        <f>IFERROR(__xludf.DUMMYFUNCTION("""COMPUTED_VALUE"""),1.0)</f>
        <v>1</v>
      </c>
      <c r="F804" s="124" t="str">
        <f>IFERROR(__xludf.DUMMYFUNCTION("""COMPUTED_VALUE"""),"Not Interested")</f>
        <v>Not Interested</v>
      </c>
      <c r="G804" s="124" t="str">
        <f>IFERROR(__xludf.DUMMYFUNCTION("""COMPUTED_VALUE"""),"State PCS")</f>
        <v>State PCS</v>
      </c>
      <c r="K804" s="124"/>
      <c r="L804" s="124"/>
      <c r="M804" s="124"/>
      <c r="N804" s="124"/>
      <c r="O804" s="124"/>
      <c r="T804" s="126">
        <f>IFERROR(__xludf.DUMMYFUNCTION("""COMPUTED_VALUE"""),46106.0)</f>
        <v>46106</v>
      </c>
      <c r="U804" s="124" t="str">
        <f>IFERROR(__xludf.DUMMYFUNCTION("""COMPUTED_VALUE"""),"Paid Ads")</f>
        <v>Paid Ads</v>
      </c>
      <c r="V804" s="124" t="str">
        <f>IFERROR(__xludf.DUMMYFUNCTION("""COMPUTED_VALUE"""),"Facebook")</f>
        <v>Facebook</v>
      </c>
      <c r="W804" s="124" t="str">
        <f>IFERROR(__xludf.DUMMYFUNCTION("""COMPUTED_VALUE"""),"LeadAd")</f>
        <v>LeadAd</v>
      </c>
      <c r="X804" s="124" t="str">
        <f>IFERROR(__xludf.DUMMYFUNCTION("""COMPUTED_VALUE"""),"Upsc_Hindi_Leads_FB_Creatives")</f>
        <v>Upsc_Hindi_Leads_FB_Creatives</v>
      </c>
      <c r="Y804" s="124"/>
      <c r="Z804" s="124">
        <f>IFERROR(__xludf.DUMMYFUNCTION("""COMPUTED_VALUE"""),9.0)</f>
        <v>9</v>
      </c>
      <c r="AA804" s="124" t="str">
        <f>IFERROR(__xludf.DUMMYFUNCTION("""COMPUTED_VALUE"""),"Cold")</f>
        <v>Cold</v>
      </c>
      <c r="AB804" s="124"/>
    </row>
    <row r="805">
      <c r="A805" s="129">
        <f>IFERROR(__xludf.DUMMYFUNCTION("""COMPUTED_VALUE"""),46056.0)</f>
        <v>46056</v>
      </c>
      <c r="B805" s="124" t="str">
        <f>IFERROR(__xludf.DUMMYFUNCTION("""COMPUTED_VALUE"""),"Walkin")</f>
        <v>Walkin</v>
      </c>
      <c r="C805" s="124" t="str">
        <f>IFERROR(__xludf.DUMMYFUNCTION("""COMPUTED_VALUE"""),"Patna")</f>
        <v>Patna</v>
      </c>
      <c r="D805" s="124" t="str">
        <f>IFERROR(__xludf.DUMMYFUNCTION("""COMPUTED_VALUE"""),"Primary_Walkin")</f>
        <v>Primary_Walkin</v>
      </c>
      <c r="E805" s="124">
        <f>IFERROR(__xludf.DUMMYFUNCTION("""COMPUTED_VALUE"""),1.0)</f>
        <v>1</v>
      </c>
      <c r="F805" s="124" t="str">
        <f>IFERROR(__xludf.DUMMYFUNCTION("""COMPUTED_VALUE"""),"Cold")</f>
        <v>Cold</v>
      </c>
      <c r="G805" s="124" t="str">
        <f>IFERROR(__xludf.DUMMYFUNCTION("""COMPUTED_VALUE"""),"GS Advanced")</f>
        <v>GS Advanced</v>
      </c>
      <c r="K805" s="124"/>
      <c r="L805" s="124"/>
      <c r="M805" s="124"/>
      <c r="N805" s="124"/>
      <c r="O805" s="124"/>
      <c r="T805" s="126">
        <f>IFERROR(__xludf.DUMMYFUNCTION("""COMPUTED_VALUE"""),46110.0)</f>
        <v>46110</v>
      </c>
      <c r="U805" s="124" t="str">
        <f>IFERROR(__xludf.DUMMYFUNCTION("""COMPUTED_VALUE"""),"Paid Ads")</f>
        <v>Paid Ads</v>
      </c>
      <c r="V805" s="124" t="str">
        <f>IFERROR(__xludf.DUMMYFUNCTION("""COMPUTED_VALUE"""),"Facebook")</f>
        <v>Facebook</v>
      </c>
      <c r="W805" s="124" t="str">
        <f>IFERROR(__xludf.DUMMYFUNCTION("""COMPUTED_VALUE"""),"LeadAd")</f>
        <v>LeadAd</v>
      </c>
      <c r="X805" s="124" t="str">
        <f>IFERROR(__xludf.DUMMYFUNCTION("""COMPUTED_VALUE"""),"Upsc_Hindi_Leads_FB_Creatives")</f>
        <v>Upsc_Hindi_Leads_FB_Creatives</v>
      </c>
      <c r="Y805" s="124"/>
      <c r="Z805" s="124">
        <f>IFERROR(__xludf.DUMMYFUNCTION("""COMPUTED_VALUE"""),1.0)</f>
        <v>1</v>
      </c>
      <c r="AA805" s="124" t="str">
        <f>IFERROR(__xludf.DUMMYFUNCTION("""COMPUTED_VALUE"""),"Future Prospects")</f>
        <v>Future Prospects</v>
      </c>
      <c r="AB805" s="124"/>
    </row>
    <row r="806">
      <c r="A806" s="126">
        <f>IFERROR(__xludf.DUMMYFUNCTION("""COMPUTED_VALUE"""),46067.0)</f>
        <v>46067</v>
      </c>
      <c r="B806" s="124" t="str">
        <f>IFERROR(__xludf.DUMMYFUNCTION("""COMPUTED_VALUE"""),"Walkin")</f>
        <v>Walkin</v>
      </c>
      <c r="C806" s="124" t="str">
        <f>IFERROR(__xludf.DUMMYFUNCTION("""COMPUTED_VALUE"""),"Patna")</f>
        <v>Patna</v>
      </c>
      <c r="D806" s="124" t="str">
        <f>IFERROR(__xludf.DUMMYFUNCTION("""COMPUTED_VALUE"""),"Primary_Walkin")</f>
        <v>Primary_Walkin</v>
      </c>
      <c r="E806" s="124">
        <f>IFERROR(__xludf.DUMMYFUNCTION("""COMPUTED_VALUE"""),1.0)</f>
        <v>1</v>
      </c>
      <c r="F806" s="124" t="str">
        <f>IFERROR(__xludf.DUMMYFUNCTION("""COMPUTED_VALUE"""),"Not Interested")</f>
        <v>Not Interested</v>
      </c>
      <c r="G806" s="124" t="str">
        <f>IFERROR(__xludf.DUMMYFUNCTION("""COMPUTED_VALUE"""),"GS Advanced")</f>
        <v>GS Advanced</v>
      </c>
      <c r="K806" s="124"/>
      <c r="L806" s="124"/>
      <c r="M806" s="124"/>
      <c r="N806" s="124"/>
      <c r="O806" s="124"/>
      <c r="T806" s="126">
        <f>IFERROR(__xludf.DUMMYFUNCTION("""COMPUTED_VALUE"""),46106.0)</f>
        <v>46106</v>
      </c>
      <c r="U806" s="124" t="str">
        <f>IFERROR(__xludf.DUMMYFUNCTION("""COMPUTED_VALUE"""),"Paid Ads")</f>
        <v>Paid Ads</v>
      </c>
      <c r="V806" s="124" t="str">
        <f>IFERROR(__xludf.DUMMYFUNCTION("""COMPUTED_VALUE"""),"Facebook")</f>
        <v>Facebook</v>
      </c>
      <c r="W806" s="124" t="str">
        <f>IFERROR(__xludf.DUMMYFUNCTION("""COMPUTED_VALUE"""),"LeadAd")</f>
        <v>LeadAd</v>
      </c>
      <c r="X806" s="124" t="str">
        <f>IFERROR(__xludf.DUMMYFUNCTION("""COMPUTED_VALUE"""),"Upsc_Hindi_Leads_FB_Creatives")</f>
        <v>Upsc_Hindi_Leads_FB_Creatives</v>
      </c>
      <c r="Y806" s="124"/>
      <c r="Z806" s="124">
        <f>IFERROR(__xludf.DUMMYFUNCTION("""COMPUTED_VALUE"""),1.0)</f>
        <v>1</v>
      </c>
      <c r="AA806" s="124" t="str">
        <f>IFERROR(__xludf.DUMMYFUNCTION("""COMPUTED_VALUE"""),"Future Prospects")</f>
        <v>Future Prospects</v>
      </c>
      <c r="AB806" s="124"/>
    </row>
    <row r="807">
      <c r="A807" s="126">
        <f>IFERROR(__xludf.DUMMYFUNCTION("""COMPUTED_VALUE"""),46067.0)</f>
        <v>46067</v>
      </c>
      <c r="B807" s="124" t="str">
        <f>IFERROR(__xludf.DUMMYFUNCTION("""COMPUTED_VALUE"""),"facebook")</f>
        <v>facebook</v>
      </c>
      <c r="C807" s="124" t="str">
        <f>IFERROR(__xludf.DUMMYFUNCTION("""COMPUTED_VALUE"""),"Patna")</f>
        <v>Patna</v>
      </c>
      <c r="D807" s="124" t="str">
        <f>IFERROR(__xludf.DUMMYFUNCTION("""COMPUTED_VALUE"""),"Secondary_Walkin")</f>
        <v>Secondary_Walkin</v>
      </c>
      <c r="E807" s="124">
        <f>IFERROR(__xludf.DUMMYFUNCTION("""COMPUTED_VALUE"""),1.0)</f>
        <v>1</v>
      </c>
      <c r="F807" s="124" t="str">
        <f>IFERROR(__xludf.DUMMYFUNCTION("""COMPUTED_VALUE"""),"Not Interested")</f>
        <v>Not Interested</v>
      </c>
      <c r="G807" s="124" t="str">
        <f>IFERROR(__xludf.DUMMYFUNCTION("""COMPUTED_VALUE"""),"State PCS")</f>
        <v>State PCS</v>
      </c>
      <c r="K807" s="124"/>
      <c r="L807" s="124"/>
      <c r="M807" s="124"/>
      <c r="N807" s="124"/>
      <c r="O807" s="124"/>
      <c r="T807" s="126">
        <f>IFERROR(__xludf.DUMMYFUNCTION("""COMPUTED_VALUE"""),46107.0)</f>
        <v>46107</v>
      </c>
      <c r="U807" s="124" t="str">
        <f>IFERROR(__xludf.DUMMYFUNCTION("""COMPUTED_VALUE"""),"Paid Ads")</f>
        <v>Paid Ads</v>
      </c>
      <c r="V807" s="124" t="str">
        <f>IFERROR(__xludf.DUMMYFUNCTION("""COMPUTED_VALUE"""),"Facebook")</f>
        <v>Facebook</v>
      </c>
      <c r="W807" s="124" t="str">
        <f>IFERROR(__xludf.DUMMYFUNCTION("""COMPUTED_VALUE"""),"LeadAd")</f>
        <v>LeadAd</v>
      </c>
      <c r="X807" s="124" t="str">
        <f>IFERROR(__xludf.DUMMYFUNCTION("""COMPUTED_VALUE"""),"Upsc_Hindi_Leads_FB_Creatives")</f>
        <v>Upsc_Hindi_Leads_FB_Creatives</v>
      </c>
      <c r="Y807" s="124"/>
      <c r="Z807" s="124">
        <f>IFERROR(__xludf.DUMMYFUNCTION("""COMPUTED_VALUE"""),2.0)</f>
        <v>2</v>
      </c>
      <c r="AA807" s="124" t="str">
        <f>IFERROR(__xludf.DUMMYFUNCTION("""COMPUTED_VALUE"""),"Fake Lead")</f>
        <v>Fake Lead</v>
      </c>
      <c r="AB807" s="124"/>
    </row>
    <row r="808">
      <c r="A808" s="129">
        <f>IFERROR(__xludf.DUMMYFUNCTION("""COMPUTED_VALUE"""),46081.0)</f>
        <v>46081</v>
      </c>
      <c r="B808" s="124" t="str">
        <f>IFERROR(__xludf.DUMMYFUNCTION("""COMPUTED_VALUE"""),"Walkin")</f>
        <v>Walkin</v>
      </c>
      <c r="C808" s="124" t="str">
        <f>IFERROR(__xludf.DUMMYFUNCTION("""COMPUTED_VALUE"""),"Patna")</f>
        <v>Patna</v>
      </c>
      <c r="D808" s="124" t="str">
        <f>IFERROR(__xludf.DUMMYFUNCTION("""COMPUTED_VALUE"""),"Primary_Walkin")</f>
        <v>Primary_Walkin</v>
      </c>
      <c r="E808" s="124">
        <f>IFERROR(__xludf.DUMMYFUNCTION("""COMPUTED_VALUE"""),1.0)</f>
        <v>1</v>
      </c>
      <c r="F808" s="124" t="str">
        <f>IFERROR(__xludf.DUMMYFUNCTION("""COMPUTED_VALUE"""),"Warm")</f>
        <v>Warm</v>
      </c>
      <c r="G808" s="124"/>
      <c r="K808" s="124"/>
      <c r="L808" s="124"/>
      <c r="M808" s="124"/>
      <c r="N808" s="124"/>
      <c r="O808" s="124"/>
      <c r="T808" s="126">
        <f>IFERROR(__xludf.DUMMYFUNCTION("""COMPUTED_VALUE"""),46110.0)</f>
        <v>46110</v>
      </c>
      <c r="U808" s="124" t="str">
        <f>IFERROR(__xludf.DUMMYFUNCTION("""COMPUTED_VALUE"""),"Paid Ads")</f>
        <v>Paid Ads</v>
      </c>
      <c r="V808" s="124" t="str">
        <f>IFERROR(__xludf.DUMMYFUNCTION("""COMPUTED_VALUE"""),"Facebook")</f>
        <v>Facebook</v>
      </c>
      <c r="W808" s="124" t="str">
        <f>IFERROR(__xludf.DUMMYFUNCTION("""COMPUTED_VALUE"""),"LeadAd")</f>
        <v>LeadAd</v>
      </c>
      <c r="X808" s="124" t="str">
        <f>IFERROR(__xludf.DUMMYFUNCTION("""COMPUTED_VALUE"""),"Upsc_Hindi_Leads_FB_Creatives")</f>
        <v>Upsc_Hindi_Leads_FB_Creatives</v>
      </c>
      <c r="Y808" s="124"/>
      <c r="Z808" s="124">
        <f>IFERROR(__xludf.DUMMYFUNCTION("""COMPUTED_VALUE"""),7.0)</f>
        <v>7</v>
      </c>
      <c r="AA808" s="124" t="str">
        <f>IFERROR(__xludf.DUMMYFUNCTION("""COMPUTED_VALUE"""),"Cold")</f>
        <v>Cold</v>
      </c>
      <c r="AB808" s="124"/>
    </row>
    <row r="809">
      <c r="A809" s="126">
        <f>IFERROR(__xludf.DUMMYFUNCTION("""COMPUTED_VALUE"""),46060.0)</f>
        <v>46060</v>
      </c>
      <c r="B809" s="124" t="str">
        <f>IFERROR(__xludf.DUMMYFUNCTION("""COMPUTED_VALUE"""),"Walkin")</f>
        <v>Walkin</v>
      </c>
      <c r="C809" s="124" t="str">
        <f>IFERROR(__xludf.DUMMYFUNCTION("""COMPUTED_VALUE"""),"Patna")</f>
        <v>Patna</v>
      </c>
      <c r="D809" s="124" t="str">
        <f>IFERROR(__xludf.DUMMYFUNCTION("""COMPUTED_VALUE"""),"Primary_Walkin")</f>
        <v>Primary_Walkin</v>
      </c>
      <c r="E809" s="124">
        <f>IFERROR(__xludf.DUMMYFUNCTION("""COMPUTED_VALUE"""),1.0)</f>
        <v>1</v>
      </c>
      <c r="F809" s="124" t="str">
        <f>IFERROR(__xludf.DUMMYFUNCTION("""COMPUTED_VALUE"""),"Future Prospects")</f>
        <v>Future Prospects</v>
      </c>
      <c r="G809" s="124" t="str">
        <f>IFERROR(__xludf.DUMMYFUNCTION("""COMPUTED_VALUE"""),"State PCS")</f>
        <v>State PCS</v>
      </c>
      <c r="K809" s="124"/>
      <c r="L809" s="124"/>
      <c r="M809" s="124"/>
      <c r="N809" s="124"/>
      <c r="O809" s="124"/>
      <c r="T809" s="126">
        <f>IFERROR(__xludf.DUMMYFUNCTION("""COMPUTED_VALUE"""),46109.0)</f>
        <v>46109</v>
      </c>
      <c r="U809" s="124" t="str">
        <f>IFERROR(__xludf.DUMMYFUNCTION("""COMPUTED_VALUE"""),"Paid Ads")</f>
        <v>Paid Ads</v>
      </c>
      <c r="V809" s="124" t="str">
        <f>IFERROR(__xludf.DUMMYFUNCTION("""COMPUTED_VALUE"""),"Facebook")</f>
        <v>Facebook</v>
      </c>
      <c r="W809" s="124" t="str">
        <f>IFERROR(__xludf.DUMMYFUNCTION("""COMPUTED_VALUE"""),"LeadAd")</f>
        <v>LeadAd</v>
      </c>
      <c r="X809" s="124" t="str">
        <f>IFERROR(__xludf.DUMMYFUNCTION("""COMPUTED_VALUE"""),"Upsc_Hindi_Leads_FB_Creatives")</f>
        <v>Upsc_Hindi_Leads_FB_Creatives</v>
      </c>
      <c r="Y809" s="124"/>
      <c r="Z809" s="124">
        <f>IFERROR(__xludf.DUMMYFUNCTION("""COMPUTED_VALUE"""),1.0)</f>
        <v>1</v>
      </c>
      <c r="AA809" s="124" t="str">
        <f>IFERROR(__xludf.DUMMYFUNCTION("""COMPUTED_VALUE"""),"Warm")</f>
        <v>Warm</v>
      </c>
      <c r="AB809" s="124"/>
    </row>
    <row r="810">
      <c r="A810" s="129">
        <f>IFERROR(__xludf.DUMMYFUNCTION("""COMPUTED_VALUE"""),46070.0)</f>
        <v>46070</v>
      </c>
      <c r="B810" s="124" t="str">
        <f>IFERROR(__xludf.DUMMYFUNCTION("""COMPUTED_VALUE"""),"Walkin")</f>
        <v>Walkin</v>
      </c>
      <c r="C810" s="124" t="str">
        <f>IFERROR(__xludf.DUMMYFUNCTION("""COMPUTED_VALUE"""),"Patna")</f>
        <v>Patna</v>
      </c>
      <c r="D810" s="124" t="str">
        <f>IFERROR(__xludf.DUMMYFUNCTION("""COMPUTED_VALUE"""),"Primary_Walkin")</f>
        <v>Primary_Walkin</v>
      </c>
      <c r="E810" s="124">
        <f>IFERROR(__xludf.DUMMYFUNCTION("""COMPUTED_VALUE"""),1.0)</f>
        <v>1</v>
      </c>
      <c r="F810" s="124" t="str">
        <f>IFERROR(__xludf.DUMMYFUNCTION("""COMPUTED_VALUE"""),"Enrolled")</f>
        <v>Enrolled</v>
      </c>
      <c r="G810" s="124" t="str">
        <f>IFERROR(__xludf.DUMMYFUNCTION("""COMPUTED_VALUE"""),"State PCS")</f>
        <v>State PCS</v>
      </c>
      <c r="K810" s="124"/>
      <c r="L810" s="124"/>
      <c r="M810" s="124"/>
      <c r="N810" s="124"/>
      <c r="O810" s="124"/>
      <c r="T810" s="126">
        <f>IFERROR(__xludf.DUMMYFUNCTION("""COMPUTED_VALUE"""),46112.0)</f>
        <v>46112</v>
      </c>
      <c r="U810" s="124" t="str">
        <f>IFERROR(__xludf.DUMMYFUNCTION("""COMPUTED_VALUE"""),"Paid Ads")</f>
        <v>Paid Ads</v>
      </c>
      <c r="V810" s="124" t="str">
        <f>IFERROR(__xludf.DUMMYFUNCTION("""COMPUTED_VALUE"""),"Facebook")</f>
        <v>Facebook</v>
      </c>
      <c r="W810" s="124" t="str">
        <f>IFERROR(__xludf.DUMMYFUNCTION("""COMPUTED_VALUE"""),"LeadAd")</f>
        <v>LeadAd</v>
      </c>
      <c r="X810" s="124" t="str">
        <f>IFERROR(__xludf.DUMMYFUNCTION("""COMPUTED_VALUE"""),"Upsc_Hindi_Leads_FB_Creatives")</f>
        <v>Upsc_Hindi_Leads_FB_Creatives</v>
      </c>
      <c r="Y810" s="124"/>
      <c r="Z810" s="124">
        <f>IFERROR(__xludf.DUMMYFUNCTION("""COMPUTED_VALUE"""),14.0)</f>
        <v>14</v>
      </c>
      <c r="AA810" s="124"/>
      <c r="AB810" s="124"/>
    </row>
    <row r="811">
      <c r="A811" s="129">
        <f>IFERROR(__xludf.DUMMYFUNCTION("""COMPUTED_VALUE"""),46104.0)</f>
        <v>46104</v>
      </c>
      <c r="B811" s="124" t="str">
        <f>IFERROR(__xludf.DUMMYFUNCTION("""COMPUTED_VALUE"""),"Walkin")</f>
        <v>Walkin</v>
      </c>
      <c r="C811" s="124" t="str">
        <f>IFERROR(__xludf.DUMMYFUNCTION("""COMPUTED_VALUE"""),"Patna")</f>
        <v>Patna</v>
      </c>
      <c r="D811" s="124" t="str">
        <f>IFERROR(__xludf.DUMMYFUNCTION("""COMPUTED_VALUE"""),"Primary_Walkin")</f>
        <v>Primary_Walkin</v>
      </c>
      <c r="E811" s="124">
        <f>IFERROR(__xludf.DUMMYFUNCTION("""COMPUTED_VALUE"""),1.0)</f>
        <v>1</v>
      </c>
      <c r="F811" s="124" t="str">
        <f>IFERROR(__xludf.DUMMYFUNCTION("""COMPUTED_VALUE"""),"Cold")</f>
        <v>Cold</v>
      </c>
      <c r="G811" s="124" t="str">
        <f>IFERROR(__xludf.DUMMYFUNCTION("""COMPUTED_VALUE"""),"State PCS")</f>
        <v>State PCS</v>
      </c>
      <c r="K811" s="124"/>
      <c r="L811" s="124"/>
      <c r="M811" s="124"/>
      <c r="N811" s="124"/>
      <c r="O811" s="124"/>
      <c r="T811" s="126">
        <f>IFERROR(__xludf.DUMMYFUNCTION("""COMPUTED_VALUE"""),46097.0)</f>
        <v>46097</v>
      </c>
      <c r="U811" s="124" t="str">
        <f>IFERROR(__xludf.DUMMYFUNCTION("""COMPUTED_VALUE"""),"External Leads")</f>
        <v>External Leads</v>
      </c>
      <c r="V811" s="124" t="str">
        <f>IFERROR(__xludf.DUMMYFUNCTION("""COMPUTED_VALUE"""),"external leads")</f>
        <v>external leads</v>
      </c>
      <c r="W811" s="124" t="str">
        <f>IFERROR(__xludf.DUMMYFUNCTION("""COMPUTED_VALUE"""),"indore")</f>
        <v>indore</v>
      </c>
      <c r="X811" s="124" t="str">
        <f>IFERROR(__xludf.DUMMYFUNCTION("""COMPUTED_VALUE"""),"btl")</f>
        <v>btl</v>
      </c>
      <c r="Y811" s="124" t="str">
        <f>IFERROR(__xludf.DUMMYFUNCTION("""COMPUTED_VALUE"""),"Indore")</f>
        <v>Indore</v>
      </c>
      <c r="Z811" s="124">
        <f>IFERROR(__xludf.DUMMYFUNCTION("""COMPUTED_VALUE"""),265.0)</f>
        <v>265</v>
      </c>
      <c r="AA811" s="124" t="str">
        <f>IFERROR(__xludf.DUMMYFUNCTION("""COMPUTED_VALUE"""),"Cold")</f>
        <v>Cold</v>
      </c>
      <c r="AB811" s="124"/>
    </row>
    <row r="812">
      <c r="A812" s="126">
        <f>IFERROR(__xludf.DUMMYFUNCTION("""COMPUTED_VALUE"""),46090.0)</f>
        <v>46090</v>
      </c>
      <c r="B812" s="124" t="str">
        <f>IFERROR(__xludf.DUMMYFUNCTION("""COMPUTED_VALUE"""),"Walkin")</f>
        <v>Walkin</v>
      </c>
      <c r="C812" s="124" t="str">
        <f>IFERROR(__xludf.DUMMYFUNCTION("""COMPUTED_VALUE"""),"Patna")</f>
        <v>Patna</v>
      </c>
      <c r="D812" s="124" t="str">
        <f>IFERROR(__xludf.DUMMYFUNCTION("""COMPUTED_VALUE"""),"Primary_Walkin")</f>
        <v>Primary_Walkin</v>
      </c>
      <c r="E812" s="124">
        <f>IFERROR(__xludf.DUMMYFUNCTION("""COMPUTED_VALUE"""),1.0)</f>
        <v>1</v>
      </c>
      <c r="F812" s="124" t="str">
        <f>IFERROR(__xludf.DUMMYFUNCTION("""COMPUTED_VALUE"""),"Cold")</f>
        <v>Cold</v>
      </c>
      <c r="G812" s="124" t="str">
        <f>IFERROR(__xludf.DUMMYFUNCTION("""COMPUTED_VALUE"""),"GS Advanced")</f>
        <v>GS Advanced</v>
      </c>
      <c r="K812" s="124"/>
      <c r="L812" s="124"/>
      <c r="M812" s="124"/>
      <c r="N812" s="124"/>
      <c r="O812" s="124"/>
      <c r="T812" s="126">
        <f>IFERROR(__xludf.DUMMYFUNCTION("""COMPUTED_VALUE"""),46097.0)</f>
        <v>46097</v>
      </c>
      <c r="U812" s="124" t="str">
        <f>IFERROR(__xludf.DUMMYFUNCTION("""COMPUTED_VALUE"""),"External Leads")</f>
        <v>External Leads</v>
      </c>
      <c r="V812" s="124" t="str">
        <f>IFERROR(__xludf.DUMMYFUNCTION("""COMPUTED_VALUE"""),"external leads")</f>
        <v>external leads</v>
      </c>
      <c r="W812" s="124" t="str">
        <f>IFERROR(__xludf.DUMMYFUNCTION("""COMPUTED_VALUE"""),"indore")</f>
        <v>indore</v>
      </c>
      <c r="X812" s="124" t="str">
        <f>IFERROR(__xludf.DUMMYFUNCTION("""COMPUTED_VALUE"""),"btl")</f>
        <v>btl</v>
      </c>
      <c r="Y812" s="124" t="str">
        <f>IFERROR(__xludf.DUMMYFUNCTION("""COMPUTED_VALUE"""),"Indore")</f>
        <v>Indore</v>
      </c>
      <c r="Z812" s="124">
        <f>IFERROR(__xludf.DUMMYFUNCTION("""COMPUTED_VALUE"""),65.0)</f>
        <v>65</v>
      </c>
      <c r="AA812" s="124" t="str">
        <f>IFERROR(__xludf.DUMMYFUNCTION("""COMPUTED_VALUE"""),"Not Interested")</f>
        <v>Not Interested</v>
      </c>
      <c r="AB812" s="124"/>
    </row>
    <row r="813">
      <c r="A813" s="129">
        <f>IFERROR(__xludf.DUMMYFUNCTION("""COMPUTED_VALUE"""),46057.0)</f>
        <v>46057</v>
      </c>
      <c r="B813" s="124" t="str">
        <f>IFERROR(__xludf.DUMMYFUNCTION("""COMPUTED_VALUE"""),"Walkin")</f>
        <v>Walkin</v>
      </c>
      <c r="C813" s="124" t="str">
        <f>IFERROR(__xludf.DUMMYFUNCTION("""COMPUTED_VALUE"""),"Patna")</f>
        <v>Patna</v>
      </c>
      <c r="D813" s="124" t="str">
        <f>IFERROR(__xludf.DUMMYFUNCTION("""COMPUTED_VALUE"""),"Primary_Walkin")</f>
        <v>Primary_Walkin</v>
      </c>
      <c r="E813" s="124">
        <f>IFERROR(__xludf.DUMMYFUNCTION("""COMPUTED_VALUE"""),1.0)</f>
        <v>1</v>
      </c>
      <c r="F813" s="124" t="str">
        <f>IFERROR(__xludf.DUMMYFUNCTION("""COMPUTED_VALUE"""),"Future Prospects")</f>
        <v>Future Prospects</v>
      </c>
      <c r="G813" s="124" t="str">
        <f>IFERROR(__xludf.DUMMYFUNCTION("""COMPUTED_VALUE"""),"GS Foundation")</f>
        <v>GS Foundation</v>
      </c>
      <c r="K813" s="124"/>
      <c r="L813" s="124"/>
      <c r="M813" s="124"/>
      <c r="N813" s="124"/>
      <c r="O813" s="124"/>
      <c r="T813" s="126">
        <f>IFERROR(__xludf.DUMMYFUNCTION("""COMPUTED_VALUE"""),46050.0)</f>
        <v>46050</v>
      </c>
      <c r="U813" s="124" t="str">
        <f>IFERROR(__xludf.DUMMYFUNCTION("""COMPUTED_VALUE"""),"External Leads")</f>
        <v>External Leads</v>
      </c>
      <c r="V813" s="124" t="str">
        <f>IFERROR(__xludf.DUMMYFUNCTION("""COMPUTED_VALUE"""),"external leads")</f>
        <v>external leads</v>
      </c>
      <c r="W813" s="124" t="str">
        <f>IFERROR(__xludf.DUMMYFUNCTION("""COMPUTED_VALUE"""),"lucknow")</f>
        <v>lucknow</v>
      </c>
      <c r="X813" s="124" t="str">
        <f>IFERROR(__xludf.DUMMYFUNCTION("""COMPUTED_VALUE"""),"btl")</f>
        <v>btl</v>
      </c>
      <c r="Y813" s="124" t="str">
        <f>IFERROR(__xludf.DUMMYFUNCTION("""COMPUTED_VALUE"""),"Lucknow")</f>
        <v>Lucknow</v>
      </c>
      <c r="Z813" s="124">
        <f>IFERROR(__xludf.DUMMYFUNCTION("""COMPUTED_VALUE"""),31.0)</f>
        <v>31</v>
      </c>
      <c r="AA813" s="124" t="str">
        <f>IFERROR(__xludf.DUMMYFUNCTION("""COMPUTED_VALUE"""),"Cold")</f>
        <v>Cold</v>
      </c>
      <c r="AB813" s="124"/>
    </row>
    <row r="814">
      <c r="A814" s="126">
        <f>IFERROR(__xludf.DUMMYFUNCTION("""COMPUTED_VALUE"""),46071.0)</f>
        <v>46071</v>
      </c>
      <c r="B814" s="124" t="str">
        <f>IFERROR(__xludf.DUMMYFUNCTION("""COMPUTED_VALUE"""),"Walkin")</f>
        <v>Walkin</v>
      </c>
      <c r="C814" s="124" t="str">
        <f>IFERROR(__xludf.DUMMYFUNCTION("""COMPUTED_VALUE"""),"Patna")</f>
        <v>Patna</v>
      </c>
      <c r="D814" s="124" t="str">
        <f>IFERROR(__xludf.DUMMYFUNCTION("""COMPUTED_VALUE"""),"Primary_Walkin")</f>
        <v>Primary_Walkin</v>
      </c>
      <c r="E814" s="124">
        <f>IFERROR(__xludf.DUMMYFUNCTION("""COMPUTED_VALUE"""),4.0)</f>
        <v>4</v>
      </c>
      <c r="F814" s="124" t="str">
        <f>IFERROR(__xludf.DUMMYFUNCTION("""COMPUTED_VALUE"""),"Cold")</f>
        <v>Cold</v>
      </c>
      <c r="G814" s="124" t="str">
        <f>IFERROR(__xludf.DUMMYFUNCTION("""COMPUTED_VALUE"""),"State PCS")</f>
        <v>State PCS</v>
      </c>
      <c r="K814" s="124"/>
      <c r="L814" s="124"/>
      <c r="M814" s="124"/>
      <c r="N814" s="124"/>
      <c r="O814" s="124"/>
      <c r="T814" s="126">
        <f>IFERROR(__xludf.DUMMYFUNCTION("""COMPUTED_VALUE"""),46050.0)</f>
        <v>46050</v>
      </c>
      <c r="U814" s="124" t="str">
        <f>IFERROR(__xludf.DUMMYFUNCTION("""COMPUTED_VALUE"""),"External Leads")</f>
        <v>External Leads</v>
      </c>
      <c r="V814" s="124" t="str">
        <f>IFERROR(__xludf.DUMMYFUNCTION("""COMPUTED_VALUE"""),"external leads")</f>
        <v>external leads</v>
      </c>
      <c r="W814" s="124" t="str">
        <f>IFERROR(__xludf.DUMMYFUNCTION("""COMPUTED_VALUE"""),"lucknow")</f>
        <v>lucknow</v>
      </c>
      <c r="X814" s="124" t="str">
        <f>IFERROR(__xludf.DUMMYFUNCTION("""COMPUTED_VALUE"""),"btl")</f>
        <v>btl</v>
      </c>
      <c r="Y814" s="124" t="str">
        <f>IFERROR(__xludf.DUMMYFUNCTION("""COMPUTED_VALUE"""),"Lucknow")</f>
        <v>Lucknow</v>
      </c>
      <c r="Z814" s="124">
        <f>IFERROR(__xludf.DUMMYFUNCTION("""COMPUTED_VALUE"""),3.0)</f>
        <v>3</v>
      </c>
      <c r="AA814" s="124" t="str">
        <f>IFERROR(__xludf.DUMMYFUNCTION("""COMPUTED_VALUE"""),"Cold")</f>
        <v>Cold</v>
      </c>
      <c r="AB814" s="124"/>
    </row>
    <row r="815">
      <c r="A815" s="126">
        <f>IFERROR(__xludf.DUMMYFUNCTION("""COMPUTED_VALUE"""),46097.0)</f>
        <v>46097</v>
      </c>
      <c r="B815" s="124" t="str">
        <f>IFERROR(__xludf.DUMMYFUNCTION("""COMPUTED_VALUE"""),"Walkin")</f>
        <v>Walkin</v>
      </c>
      <c r="C815" s="124" t="str">
        <f>IFERROR(__xludf.DUMMYFUNCTION("""COMPUTED_VALUE"""),"Patna")</f>
        <v>Patna</v>
      </c>
      <c r="D815" s="124" t="str">
        <f>IFERROR(__xludf.DUMMYFUNCTION("""COMPUTED_VALUE"""),"Primary_Walkin")</f>
        <v>Primary_Walkin</v>
      </c>
      <c r="E815" s="124">
        <f>IFERROR(__xludf.DUMMYFUNCTION("""COMPUTED_VALUE"""),1.0)</f>
        <v>1</v>
      </c>
      <c r="F815" s="124" t="str">
        <f>IFERROR(__xludf.DUMMYFUNCTION("""COMPUTED_VALUE"""),"Warm")</f>
        <v>Warm</v>
      </c>
      <c r="G815" s="124" t="str">
        <f>IFERROR(__xludf.DUMMYFUNCTION("""COMPUTED_VALUE"""),"GS Foundation")</f>
        <v>GS Foundation</v>
      </c>
      <c r="K815" s="124"/>
      <c r="L815" s="124"/>
      <c r="M815" s="124"/>
      <c r="N815" s="124"/>
      <c r="O815" s="124"/>
      <c r="T815" s="126">
        <f>IFERROR(__xludf.DUMMYFUNCTION("""COMPUTED_VALUE"""),46080.0)</f>
        <v>46080</v>
      </c>
      <c r="U815" s="124" t="str">
        <f>IFERROR(__xludf.DUMMYFUNCTION("""COMPUTED_VALUE"""),"Publisher Campaign")</f>
        <v>Publisher Campaign</v>
      </c>
      <c r="V815" s="124" t="str">
        <f>IFERROR(__xludf.DUMMYFUNCTION("""COMPUTED_VALUE"""),"Vaishnav college")</f>
        <v>Vaishnav college</v>
      </c>
      <c r="W815" s="124" t="str">
        <f>IFERROR(__xludf.DUMMYFUNCTION("""COMPUTED_VALUE"""),"Seminar Vaishnav college")</f>
        <v>Seminar Vaishnav college</v>
      </c>
      <c r="X815" s="124">
        <f>IFERROR(__xludf.DUMMYFUNCTION("""COMPUTED_VALUE"""),2.2012026E7)</f>
        <v>22012026</v>
      </c>
      <c r="Y815" s="124" t="str">
        <f>IFERROR(__xludf.DUMMYFUNCTION("""COMPUTED_VALUE"""),"Indore")</f>
        <v>Indore</v>
      </c>
      <c r="Z815" s="124">
        <f>IFERROR(__xludf.DUMMYFUNCTION("""COMPUTED_VALUE"""),14.0)</f>
        <v>14</v>
      </c>
      <c r="AA815" s="124"/>
      <c r="AB815" s="124" t="str">
        <f>IFERROR(__xludf.DUMMYFUNCTION("""COMPUTED_VALUE"""),"State PCS")</f>
        <v>State PCS</v>
      </c>
    </row>
    <row r="816">
      <c r="A816" s="129">
        <f>IFERROR(__xludf.DUMMYFUNCTION("""COMPUTED_VALUE"""),46098.0)</f>
        <v>46098</v>
      </c>
      <c r="B816" s="124" t="str">
        <f>IFERROR(__xludf.DUMMYFUNCTION("""COMPUTED_VALUE"""),"Walk-In")</f>
        <v>Walk-In</v>
      </c>
      <c r="C816" s="124" t="str">
        <f>IFERROR(__xludf.DUMMYFUNCTION("""COMPUTED_VALUE"""),"Patna")</f>
        <v>Patna</v>
      </c>
      <c r="D816" s="124" t="str">
        <f>IFERROR(__xludf.DUMMYFUNCTION("""COMPUTED_VALUE"""),"Primary_Walkin")</f>
        <v>Primary_Walkin</v>
      </c>
      <c r="E816" s="124">
        <f>IFERROR(__xludf.DUMMYFUNCTION("""COMPUTED_VALUE"""),1.0)</f>
        <v>1</v>
      </c>
      <c r="F816" s="124" t="str">
        <f>IFERROR(__xludf.DUMMYFUNCTION("""COMPUTED_VALUE"""),"Warm")</f>
        <v>Warm</v>
      </c>
      <c r="G816" s="124" t="str">
        <f>IFERROR(__xludf.DUMMYFUNCTION("""COMPUTED_VALUE"""),"GS Foundation")</f>
        <v>GS Foundation</v>
      </c>
      <c r="K816" s="124"/>
      <c r="L816" s="124"/>
      <c r="M816" s="124"/>
      <c r="N816" s="124"/>
      <c r="O816" s="124"/>
      <c r="T816" s="126">
        <f>IFERROR(__xludf.DUMMYFUNCTION("""COMPUTED_VALUE"""),46080.0)</f>
        <v>46080</v>
      </c>
      <c r="U816" s="124" t="str">
        <f>IFERROR(__xludf.DUMMYFUNCTION("""COMPUTED_VALUE"""),"Publisher Campaign")</f>
        <v>Publisher Campaign</v>
      </c>
      <c r="V816" s="124" t="str">
        <f>IFERROR(__xludf.DUMMYFUNCTION("""COMPUTED_VALUE"""),"Vaishnav college")</f>
        <v>Vaishnav college</v>
      </c>
      <c r="W816" s="124" t="str">
        <f>IFERROR(__xludf.DUMMYFUNCTION("""COMPUTED_VALUE"""),"Seminar Vaishnav college")</f>
        <v>Seminar Vaishnav college</v>
      </c>
      <c r="X816" s="124">
        <f>IFERROR(__xludf.DUMMYFUNCTION("""COMPUTED_VALUE"""),2.2012026E7)</f>
        <v>22012026</v>
      </c>
      <c r="Y816" s="124" t="str">
        <f>IFERROR(__xludf.DUMMYFUNCTION("""COMPUTED_VALUE"""),"Indore")</f>
        <v>Indore</v>
      </c>
      <c r="Z816" s="124">
        <f>IFERROR(__xludf.DUMMYFUNCTION("""COMPUTED_VALUE"""),16.0)</f>
        <v>16</v>
      </c>
      <c r="AA816" s="124"/>
      <c r="AB816" s="124" t="str">
        <f>IFERROR(__xludf.DUMMYFUNCTION("""COMPUTED_VALUE"""),"Other")</f>
        <v>Other</v>
      </c>
    </row>
    <row r="817">
      <c r="A817" s="129">
        <f>IFERROR(__xludf.DUMMYFUNCTION("""COMPUTED_VALUE"""),46058.0)</f>
        <v>46058</v>
      </c>
      <c r="B817" s="124" t="str">
        <f>IFERROR(__xludf.DUMMYFUNCTION("""COMPUTED_VALUE"""),"Walk-In")</f>
        <v>Walk-In</v>
      </c>
      <c r="C817" s="124" t="str">
        <f>IFERROR(__xludf.DUMMYFUNCTION("""COMPUTED_VALUE"""),"Patna")</f>
        <v>Patna</v>
      </c>
      <c r="D817" s="124" t="str">
        <f>IFERROR(__xludf.DUMMYFUNCTION("""COMPUTED_VALUE"""),"Primary_Walkin")</f>
        <v>Primary_Walkin</v>
      </c>
      <c r="E817" s="124">
        <f>IFERROR(__xludf.DUMMYFUNCTION("""COMPUTED_VALUE"""),2.0)</f>
        <v>2</v>
      </c>
      <c r="F817" s="124" t="str">
        <f>IFERROR(__xludf.DUMMYFUNCTION("""COMPUTED_VALUE"""),"Cold")</f>
        <v>Cold</v>
      </c>
      <c r="G817" s="124" t="str">
        <f>IFERROR(__xludf.DUMMYFUNCTION("""COMPUTED_VALUE"""),"GS Foundation")</f>
        <v>GS Foundation</v>
      </c>
      <c r="K817" s="124"/>
      <c r="L817" s="124"/>
      <c r="M817" s="124"/>
      <c r="N817" s="124"/>
      <c r="O817" s="124"/>
      <c r="T817" s="129">
        <f>IFERROR(__xludf.DUMMYFUNCTION("""COMPUTED_VALUE"""),46097.0)</f>
        <v>46097</v>
      </c>
      <c r="U817" s="124" t="str">
        <f>IFERROR(__xludf.DUMMYFUNCTION("""COMPUTED_VALUE"""),"External Leads")</f>
        <v>External Leads</v>
      </c>
      <c r="V817" s="124" t="str">
        <f>IFERROR(__xludf.DUMMYFUNCTION("""COMPUTED_VALUE"""),"external leads")</f>
        <v>external leads</v>
      </c>
      <c r="W817" s="124" t="str">
        <f>IFERROR(__xludf.DUMMYFUNCTION("""COMPUTED_VALUE"""),"indore")</f>
        <v>indore</v>
      </c>
      <c r="X817" s="124" t="str">
        <f>IFERROR(__xludf.DUMMYFUNCTION("""COMPUTED_VALUE"""),"btl")</f>
        <v>btl</v>
      </c>
      <c r="Y817" s="124" t="str">
        <f>IFERROR(__xludf.DUMMYFUNCTION("""COMPUTED_VALUE"""),"Indore")</f>
        <v>Indore</v>
      </c>
      <c r="Z817" s="124">
        <f>IFERROR(__xludf.DUMMYFUNCTION("""COMPUTED_VALUE"""),14.0)</f>
        <v>14</v>
      </c>
      <c r="AA817" s="124" t="str">
        <f>IFERROR(__xludf.DUMMYFUNCTION("""COMPUTED_VALUE"""),"Cold")</f>
        <v>Cold</v>
      </c>
      <c r="AB817" s="124"/>
    </row>
    <row r="818">
      <c r="A818" s="126">
        <f>IFERROR(__xludf.DUMMYFUNCTION("""COMPUTED_VALUE"""),46056.0)</f>
        <v>46056</v>
      </c>
      <c r="B818" s="124" t="str">
        <f>IFERROR(__xludf.DUMMYFUNCTION("""COMPUTED_VALUE"""),"Walk-In")</f>
        <v>Walk-In</v>
      </c>
      <c r="C818" s="124" t="str">
        <f>IFERROR(__xludf.DUMMYFUNCTION("""COMPUTED_VALUE"""),"Patna")</f>
        <v>Patna</v>
      </c>
      <c r="D818" s="124" t="str">
        <f>IFERROR(__xludf.DUMMYFUNCTION("""COMPUTED_VALUE"""),"Primary_Walkin")</f>
        <v>Primary_Walkin</v>
      </c>
      <c r="E818" s="124">
        <f>IFERROR(__xludf.DUMMYFUNCTION("""COMPUTED_VALUE"""),1.0)</f>
        <v>1</v>
      </c>
      <c r="F818" s="124" t="str">
        <f>IFERROR(__xludf.DUMMYFUNCTION("""COMPUTED_VALUE"""),"Cold")</f>
        <v>Cold</v>
      </c>
      <c r="G818" s="124" t="str">
        <f>IFERROR(__xludf.DUMMYFUNCTION("""COMPUTED_VALUE"""),"State PCS")</f>
        <v>State PCS</v>
      </c>
      <c r="K818" s="124"/>
      <c r="L818" s="124"/>
      <c r="M818" s="124"/>
      <c r="N818" s="124"/>
      <c r="O818" s="124"/>
      <c r="T818" s="126">
        <f>IFERROR(__xludf.DUMMYFUNCTION("""COMPUTED_VALUE"""),46097.0)</f>
        <v>46097</v>
      </c>
      <c r="U818" s="124" t="str">
        <f>IFERROR(__xludf.DUMMYFUNCTION("""COMPUTED_VALUE"""),"External Leads")</f>
        <v>External Leads</v>
      </c>
      <c r="V818" s="124" t="str">
        <f>IFERROR(__xludf.DUMMYFUNCTION("""COMPUTED_VALUE"""),"external leads")</f>
        <v>external leads</v>
      </c>
      <c r="W818" s="124" t="str">
        <f>IFERROR(__xludf.DUMMYFUNCTION("""COMPUTED_VALUE"""),"indore")</f>
        <v>indore</v>
      </c>
      <c r="X818" s="124" t="str">
        <f>IFERROR(__xludf.DUMMYFUNCTION("""COMPUTED_VALUE"""),"btl")</f>
        <v>btl</v>
      </c>
      <c r="Y818" s="124" t="str">
        <f>IFERROR(__xludf.DUMMYFUNCTION("""COMPUTED_VALUE"""),"Indore")</f>
        <v>Indore</v>
      </c>
      <c r="Z818" s="124">
        <f>IFERROR(__xludf.DUMMYFUNCTION("""COMPUTED_VALUE"""),1.0)</f>
        <v>1</v>
      </c>
      <c r="AA818" s="124" t="str">
        <f>IFERROR(__xludf.DUMMYFUNCTION("""COMPUTED_VALUE"""),"Cold")</f>
        <v>Cold</v>
      </c>
      <c r="AB818" s="124" t="str">
        <f>IFERROR(__xludf.DUMMYFUNCTION("""COMPUTED_VALUE"""),"SIP Offline")</f>
        <v>SIP Offline</v>
      </c>
    </row>
    <row r="819">
      <c r="A819" s="126">
        <f>IFERROR(__xludf.DUMMYFUNCTION("""COMPUTED_VALUE"""),46059.0)</f>
        <v>46059</v>
      </c>
      <c r="B819" s="124" t="str">
        <f>IFERROR(__xludf.DUMMYFUNCTION("""COMPUTED_VALUE"""),"Walk-In")</f>
        <v>Walk-In</v>
      </c>
      <c r="C819" s="124" t="str">
        <f>IFERROR(__xludf.DUMMYFUNCTION("""COMPUTED_VALUE"""),"Patna")</f>
        <v>Patna</v>
      </c>
      <c r="D819" s="124" t="str">
        <f>IFERROR(__xludf.DUMMYFUNCTION("""COMPUTED_VALUE"""),"Primary_Walkin")</f>
        <v>Primary_Walkin</v>
      </c>
      <c r="E819" s="124">
        <f>IFERROR(__xludf.DUMMYFUNCTION("""COMPUTED_VALUE"""),1.0)</f>
        <v>1</v>
      </c>
      <c r="F819" s="124" t="str">
        <f>IFERROR(__xludf.DUMMYFUNCTION("""COMPUTED_VALUE"""),"Enrolled")</f>
        <v>Enrolled</v>
      </c>
      <c r="G819" s="124" t="str">
        <f>IFERROR(__xludf.DUMMYFUNCTION("""COMPUTED_VALUE"""),"State PCS")</f>
        <v>State PCS</v>
      </c>
      <c r="K819" s="124"/>
      <c r="L819" s="124"/>
      <c r="M819" s="124"/>
      <c r="N819" s="124"/>
      <c r="O819" s="124"/>
      <c r="T819" s="126">
        <f>IFERROR(__xludf.DUMMYFUNCTION("""COMPUTED_VALUE"""),46063.0)</f>
        <v>46063</v>
      </c>
      <c r="U819" s="124" t="str">
        <f>IFERROR(__xludf.DUMMYFUNCTION("""COMPUTED_VALUE"""),"Walk-Ins")</f>
        <v>Walk-Ins</v>
      </c>
      <c r="V819" s="124" t="str">
        <f>IFERROR(__xludf.DUMMYFUNCTION("""COMPUTED_VALUE"""),"Walk-In")</f>
        <v>Walk-In</v>
      </c>
      <c r="W819" s="124" t="str">
        <f>IFERROR(__xludf.DUMMYFUNCTION("""COMPUTED_VALUE"""),"Prayagraj")</f>
        <v>Prayagraj</v>
      </c>
      <c r="X819" s="124" t="str">
        <f>IFERROR(__xludf.DUMMYFUNCTION("""COMPUTED_VALUE"""),"Prayagraj")</f>
        <v>Prayagraj</v>
      </c>
      <c r="Y819" s="124"/>
      <c r="Z819" s="124">
        <f>IFERROR(__xludf.DUMMYFUNCTION("""COMPUTED_VALUE"""),1.0)</f>
        <v>1</v>
      </c>
      <c r="AA819" s="124" t="str">
        <f>IFERROR(__xludf.DUMMYFUNCTION("""COMPUTED_VALUE"""),"Cold")</f>
        <v>Cold</v>
      </c>
      <c r="AB819" s="124" t="str">
        <f>IFERROR(__xludf.DUMMYFUNCTION("""COMPUTED_VALUE"""),"GS Foundation")</f>
        <v>GS Foundation</v>
      </c>
    </row>
    <row r="820">
      <c r="A820" s="126">
        <f>IFERROR(__xludf.DUMMYFUNCTION("""COMPUTED_VALUE"""),46070.0)</f>
        <v>46070</v>
      </c>
      <c r="B820" s="124" t="str">
        <f>IFERROR(__xludf.DUMMYFUNCTION("""COMPUTED_VALUE"""),"Walkin")</f>
        <v>Walkin</v>
      </c>
      <c r="C820" s="124" t="str">
        <f>IFERROR(__xludf.DUMMYFUNCTION("""COMPUTED_VALUE"""),"Patna")</f>
        <v>Patna</v>
      </c>
      <c r="D820" s="124" t="str">
        <f>IFERROR(__xludf.DUMMYFUNCTION("""COMPUTED_VALUE"""),"Primary_Walkin")</f>
        <v>Primary_Walkin</v>
      </c>
      <c r="E820" s="124">
        <f>IFERROR(__xludf.DUMMYFUNCTION("""COMPUTED_VALUE"""),3.0)</f>
        <v>3</v>
      </c>
      <c r="F820" s="124" t="str">
        <f>IFERROR(__xludf.DUMMYFUNCTION("""COMPUTED_VALUE"""),"Cold")</f>
        <v>Cold</v>
      </c>
      <c r="G820" s="124" t="str">
        <f>IFERROR(__xludf.DUMMYFUNCTION("""COMPUTED_VALUE"""),"GS Foundation")</f>
        <v>GS Foundation</v>
      </c>
      <c r="K820" s="124"/>
      <c r="L820" s="124"/>
      <c r="M820" s="124"/>
      <c r="N820" s="124"/>
      <c r="O820" s="124"/>
      <c r="T820" s="126">
        <f>IFERROR(__xludf.DUMMYFUNCTION("""COMPUTED_VALUE"""),46045.0)</f>
        <v>46045</v>
      </c>
      <c r="U820" s="124" t="str">
        <f>IFERROR(__xludf.DUMMYFUNCTION("""COMPUTED_VALUE"""),"External Leads")</f>
        <v>External Leads</v>
      </c>
      <c r="V820" s="124" t="str">
        <f>IFERROR(__xludf.DUMMYFUNCTION("""COMPUTED_VALUE"""),"external leads")</f>
        <v>external leads</v>
      </c>
      <c r="W820" s="124" t="str">
        <f>IFERROR(__xludf.DUMMYFUNCTION("""COMPUTED_VALUE"""),"lucknow")</f>
        <v>lucknow</v>
      </c>
      <c r="X820" s="124" t="str">
        <f>IFERROR(__xludf.DUMMYFUNCTION("""COMPUTED_VALUE"""),"btl")</f>
        <v>btl</v>
      </c>
      <c r="Y820" s="124" t="str">
        <f>IFERROR(__xludf.DUMMYFUNCTION("""COMPUTED_VALUE"""),"Lucknow")</f>
        <v>Lucknow</v>
      </c>
      <c r="Z820" s="124">
        <f>IFERROR(__xludf.DUMMYFUNCTION("""COMPUTED_VALUE"""),1.0)</f>
        <v>1</v>
      </c>
      <c r="AA820" s="124" t="str">
        <f>IFERROR(__xludf.DUMMYFUNCTION("""COMPUTED_VALUE"""),"Cold")</f>
        <v>Cold</v>
      </c>
      <c r="AB820" s="124"/>
    </row>
    <row r="821">
      <c r="A821" s="126">
        <f>IFERROR(__xludf.DUMMYFUNCTION("""COMPUTED_VALUE"""),46101.0)</f>
        <v>46101</v>
      </c>
      <c r="B821" s="124" t="str">
        <f>IFERROR(__xludf.DUMMYFUNCTION("""COMPUTED_VALUE"""),"Walkin")</f>
        <v>Walkin</v>
      </c>
      <c r="C821" s="124" t="str">
        <f>IFERROR(__xludf.DUMMYFUNCTION("""COMPUTED_VALUE"""),"Patna")</f>
        <v>Patna</v>
      </c>
      <c r="D821" s="124" t="str">
        <f>IFERROR(__xludf.DUMMYFUNCTION("""COMPUTED_VALUE"""),"Primary_Walkin")</f>
        <v>Primary_Walkin</v>
      </c>
      <c r="E821" s="124">
        <f>IFERROR(__xludf.DUMMYFUNCTION("""COMPUTED_VALUE"""),1.0)</f>
        <v>1</v>
      </c>
      <c r="F821" s="124" t="str">
        <f>IFERROR(__xludf.DUMMYFUNCTION("""COMPUTED_VALUE"""),"Warm")</f>
        <v>Warm</v>
      </c>
      <c r="G821" s="124" t="str">
        <f>IFERROR(__xludf.DUMMYFUNCTION("""COMPUTED_VALUE"""),"GS Foundation")</f>
        <v>GS Foundation</v>
      </c>
      <c r="K821" s="124"/>
      <c r="L821" s="124"/>
      <c r="M821" s="124"/>
      <c r="N821" s="124"/>
      <c r="O821" s="124"/>
      <c r="T821" s="126">
        <f>IFERROR(__xludf.DUMMYFUNCTION("""COMPUTED_VALUE"""),46104.0)</f>
        <v>46104</v>
      </c>
      <c r="U821" s="124" t="str">
        <f>IFERROR(__xludf.DUMMYFUNCTION("""COMPUTED_VALUE"""),"Event")</f>
        <v>Event</v>
      </c>
      <c r="V821" s="124" t="str">
        <f>IFERROR(__xludf.DUMMYFUNCTION("""COMPUTED_VALUE"""),"events")</f>
        <v>events</v>
      </c>
      <c r="W821" s="124" t="str">
        <f>IFERROR(__xludf.DUMMYFUNCTION("""COMPUTED_VALUE"""),"delhi")</f>
        <v>delhi</v>
      </c>
      <c r="X821" s="124" t="str">
        <f>IFERROR(__xludf.DUMMYFUNCTION("""COMPUTED_VALUE"""),"srcc seminar")</f>
        <v>srcc seminar</v>
      </c>
      <c r="Y821" s="124" t="str">
        <f>IFERROR(__xludf.DUMMYFUNCTION("""COMPUTED_VALUE"""),"Delhi")</f>
        <v>Delhi</v>
      </c>
      <c r="Z821" s="124">
        <f>IFERROR(__xludf.DUMMYFUNCTION("""COMPUTED_VALUE"""),1657.0)</f>
        <v>1657</v>
      </c>
      <c r="AA821" s="124"/>
      <c r="AB821" s="124"/>
    </row>
    <row r="822">
      <c r="A822" s="129">
        <f>IFERROR(__xludf.DUMMYFUNCTION("""COMPUTED_VALUE"""),46092.0)</f>
        <v>46092</v>
      </c>
      <c r="B822" s="124" t="str">
        <f>IFERROR(__xludf.DUMMYFUNCTION("""COMPUTED_VALUE"""),"Walkin")</f>
        <v>Walkin</v>
      </c>
      <c r="C822" s="124" t="str">
        <f>IFERROR(__xludf.DUMMYFUNCTION("""COMPUTED_VALUE"""),"Patna")</f>
        <v>Patna</v>
      </c>
      <c r="D822" s="124" t="str">
        <f>IFERROR(__xludf.DUMMYFUNCTION("""COMPUTED_VALUE"""),"Primary_Walkin")</f>
        <v>Primary_Walkin</v>
      </c>
      <c r="E822" s="124">
        <f>IFERROR(__xludf.DUMMYFUNCTION("""COMPUTED_VALUE"""),1.0)</f>
        <v>1</v>
      </c>
      <c r="F822" s="124" t="str">
        <f>IFERROR(__xludf.DUMMYFUNCTION("""COMPUTED_VALUE"""),"Not Interested")</f>
        <v>Not Interested</v>
      </c>
      <c r="G822" s="124" t="str">
        <f>IFERROR(__xludf.DUMMYFUNCTION("""COMPUTED_VALUE"""),"State PCS")</f>
        <v>State PCS</v>
      </c>
      <c r="K822" s="124"/>
      <c r="L822" s="124"/>
      <c r="M822" s="124"/>
      <c r="N822" s="124"/>
      <c r="O822" s="124"/>
      <c r="T822" s="126">
        <f>IFERROR(__xludf.DUMMYFUNCTION("""COMPUTED_VALUE"""),46057.0)</f>
        <v>46057</v>
      </c>
      <c r="U822" s="124" t="str">
        <f>IFERROR(__xludf.DUMMYFUNCTION("""COMPUTED_VALUE"""),"Event")</f>
        <v>Event</v>
      </c>
      <c r="V822" s="124" t="str">
        <f>IFERROR(__xludf.DUMMYFUNCTION("""COMPUTED_VALUE"""),"events")</f>
        <v>events</v>
      </c>
      <c r="W822" s="124" t="str">
        <f>IFERROR(__xludf.DUMMYFUNCTION("""COMPUTED_VALUE"""),"lucknow")</f>
        <v>lucknow</v>
      </c>
      <c r="X822" s="124" t="str">
        <f>IFERROR(__xludf.DUMMYFUNCTION("""COMPUTED_VALUE"""),"universityseminar")</f>
        <v>universityseminar</v>
      </c>
      <c r="Y822" s="124" t="str">
        <f>IFERROR(__xludf.DUMMYFUNCTION("""COMPUTED_VALUE"""),"Lucknow")</f>
        <v>Lucknow</v>
      </c>
      <c r="Z822" s="124">
        <f>IFERROR(__xludf.DUMMYFUNCTION("""COMPUTED_VALUE"""),193.0)</f>
        <v>193</v>
      </c>
      <c r="AA822" s="124" t="str">
        <f>IFERROR(__xludf.DUMMYFUNCTION("""COMPUTED_VALUE"""),"Cold")</f>
        <v>Cold</v>
      </c>
      <c r="AB822" s="124"/>
    </row>
    <row r="823">
      <c r="A823" s="129">
        <f>IFERROR(__xludf.DUMMYFUNCTION("""COMPUTED_VALUE"""),46102.0)</f>
        <v>46102</v>
      </c>
      <c r="B823" s="124" t="str">
        <f>IFERROR(__xludf.DUMMYFUNCTION("""COMPUTED_VALUE"""),"Walkin")</f>
        <v>Walkin</v>
      </c>
      <c r="C823" s="124" t="str">
        <f>IFERROR(__xludf.DUMMYFUNCTION("""COMPUTED_VALUE"""),"Patna")</f>
        <v>Patna</v>
      </c>
      <c r="D823" s="124" t="str">
        <f>IFERROR(__xludf.DUMMYFUNCTION("""COMPUTED_VALUE"""),"Primary_Walkin")</f>
        <v>Primary_Walkin</v>
      </c>
      <c r="E823" s="124">
        <f>IFERROR(__xludf.DUMMYFUNCTION("""COMPUTED_VALUE"""),2.0)</f>
        <v>2</v>
      </c>
      <c r="F823" s="124" t="str">
        <f>IFERROR(__xludf.DUMMYFUNCTION("""COMPUTED_VALUE"""),"Enrolled")</f>
        <v>Enrolled</v>
      </c>
      <c r="G823" s="124" t="str">
        <f>IFERROR(__xludf.DUMMYFUNCTION("""COMPUTED_VALUE"""),"State PCS")</f>
        <v>State PCS</v>
      </c>
      <c r="K823" s="124"/>
      <c r="L823" s="124"/>
      <c r="M823" s="124"/>
      <c r="N823" s="124"/>
      <c r="O823" s="124"/>
      <c r="T823" s="126">
        <f>IFERROR(__xludf.DUMMYFUNCTION("""COMPUTED_VALUE"""),46058.0)</f>
        <v>46058</v>
      </c>
      <c r="U823" s="124" t="str">
        <f>IFERROR(__xludf.DUMMYFUNCTION("""COMPUTED_VALUE"""),"External Leads")</f>
        <v>External Leads</v>
      </c>
      <c r="V823" s="124" t="str">
        <f>IFERROR(__xludf.DUMMYFUNCTION("""COMPUTED_VALUE"""),"external leads")</f>
        <v>external leads</v>
      </c>
      <c r="W823" s="124" t="str">
        <f>IFERROR(__xludf.DUMMYFUNCTION("""COMPUTED_VALUE"""),"indore")</f>
        <v>indore</v>
      </c>
      <c r="X823" s="124" t="str">
        <f>IFERROR(__xludf.DUMMYFUNCTION("""COMPUTED_VALUE"""),"indorereconnect")</f>
        <v>indorereconnect</v>
      </c>
      <c r="Y823" s="124" t="str">
        <f>IFERROR(__xludf.DUMMYFUNCTION("""COMPUTED_VALUE"""),"Indore")</f>
        <v>Indore</v>
      </c>
      <c r="Z823" s="124">
        <f>IFERROR(__xludf.DUMMYFUNCTION("""COMPUTED_VALUE"""),10.0)</f>
        <v>10</v>
      </c>
      <c r="AA823" s="124" t="str">
        <f>IFERROR(__xludf.DUMMYFUNCTION("""COMPUTED_VALUE"""),"Cold")</f>
        <v>Cold</v>
      </c>
      <c r="AB823" s="124"/>
    </row>
    <row r="824">
      <c r="A824" s="126">
        <f>IFERROR(__xludf.DUMMYFUNCTION("""COMPUTED_VALUE"""),46092.0)</f>
        <v>46092</v>
      </c>
      <c r="B824" s="124" t="str">
        <f>IFERROR(__xludf.DUMMYFUNCTION("""COMPUTED_VALUE"""),"Walkin")</f>
        <v>Walkin</v>
      </c>
      <c r="C824" s="124" t="str">
        <f>IFERROR(__xludf.DUMMYFUNCTION("""COMPUTED_VALUE"""),"Patna")</f>
        <v>Patna</v>
      </c>
      <c r="D824" s="124" t="str">
        <f>IFERROR(__xludf.DUMMYFUNCTION("""COMPUTED_VALUE"""),"Primary_Walkin")</f>
        <v>Primary_Walkin</v>
      </c>
      <c r="E824" s="124">
        <f>IFERROR(__xludf.DUMMYFUNCTION("""COMPUTED_VALUE"""),1.0)</f>
        <v>1</v>
      </c>
      <c r="F824" s="124" t="str">
        <f>IFERROR(__xludf.DUMMYFUNCTION("""COMPUTED_VALUE"""),"Cold")</f>
        <v>Cold</v>
      </c>
      <c r="G824" s="124" t="str">
        <f>IFERROR(__xludf.DUMMYFUNCTION("""COMPUTED_VALUE"""),"GS Foundation")</f>
        <v>GS Foundation</v>
      </c>
      <c r="K824" s="124"/>
      <c r="L824" s="124"/>
      <c r="M824" s="124"/>
      <c r="N824" s="124"/>
      <c r="O824" s="124"/>
      <c r="T824" s="126">
        <f>IFERROR(__xludf.DUMMYFUNCTION("""COMPUTED_VALUE"""),46051.0)</f>
        <v>46051</v>
      </c>
      <c r="U824" s="124" t="str">
        <f>IFERROR(__xludf.DUMMYFUNCTION("""COMPUTED_VALUE"""),"External Leads")</f>
        <v>External Leads</v>
      </c>
      <c r="V824" s="124" t="str">
        <f>IFERROR(__xludf.DUMMYFUNCTION("""COMPUTED_VALUE"""),"External Leads")</f>
        <v>External Leads</v>
      </c>
      <c r="W824" s="124" t="str">
        <f>IFERROR(__xludf.DUMMYFUNCTION("""COMPUTED_VALUE"""),"Delhi")</f>
        <v>Delhi</v>
      </c>
      <c r="X824" s="124" t="str">
        <f>IFERROR(__xludf.DUMMYFUNCTION("""COMPUTED_VALUE"""),"DRC")</f>
        <v>DRC</v>
      </c>
      <c r="Y824" s="124"/>
      <c r="Z824" s="124">
        <f>IFERROR(__xludf.DUMMYFUNCTION("""COMPUTED_VALUE"""),38.0)</f>
        <v>38</v>
      </c>
      <c r="AA824" s="124" t="str">
        <f>IFERROR(__xludf.DUMMYFUNCTION("""COMPUTED_VALUE"""),"Cold")</f>
        <v>Cold</v>
      </c>
      <c r="AB824" s="124"/>
    </row>
    <row r="825">
      <c r="A825" s="129">
        <f>IFERROR(__xludf.DUMMYFUNCTION("""COMPUTED_VALUE"""),46046.0)</f>
        <v>46046</v>
      </c>
      <c r="B825" s="124" t="str">
        <f>IFERROR(__xludf.DUMMYFUNCTION("""COMPUTED_VALUE"""),"Walk-In")</f>
        <v>Walk-In</v>
      </c>
      <c r="C825" s="124"/>
      <c r="D825" s="124" t="str">
        <f>IFERROR(__xludf.DUMMYFUNCTION("""COMPUTED_VALUE"""),"Primary_Walkin")</f>
        <v>Primary_Walkin</v>
      </c>
      <c r="E825" s="124">
        <f>IFERROR(__xludf.DUMMYFUNCTION("""COMPUTED_VALUE"""),5.0)</f>
        <v>5</v>
      </c>
      <c r="F825" s="124" t="str">
        <f>IFERROR(__xludf.DUMMYFUNCTION("""COMPUTED_VALUE"""),"Cold")</f>
        <v>Cold</v>
      </c>
      <c r="G825" s="124" t="str">
        <f>IFERROR(__xludf.DUMMYFUNCTION("""COMPUTED_VALUE"""),"GS Foundation")</f>
        <v>GS Foundation</v>
      </c>
      <c r="K825" s="124"/>
      <c r="L825" s="124"/>
      <c r="M825" s="124"/>
      <c r="N825" s="124"/>
      <c r="O825" s="124"/>
      <c r="T825" s="126">
        <f>IFERROR(__xludf.DUMMYFUNCTION("""COMPUTED_VALUE"""),46082.0)</f>
        <v>46082</v>
      </c>
      <c r="U825" s="124" t="str">
        <f>IFERROR(__xludf.DUMMYFUNCTION("""COMPUTED_VALUE"""),"External Leads")</f>
        <v>External Leads</v>
      </c>
      <c r="V825" s="124" t="str">
        <f>IFERROR(__xludf.DUMMYFUNCTION("""COMPUTED_VALUE"""),"External Leads")</f>
        <v>External Leads</v>
      </c>
      <c r="W825" s="124" t="str">
        <f>IFERROR(__xludf.DUMMYFUNCTION("""COMPUTED_VALUE"""),"Delhi")</f>
        <v>Delhi</v>
      </c>
      <c r="X825" s="124" t="str">
        <f>IFERROR(__xludf.DUMMYFUNCTION("""COMPUTED_VALUE"""),"DRC")</f>
        <v>DRC</v>
      </c>
      <c r="Y825" s="124"/>
      <c r="Z825" s="124">
        <f>IFERROR(__xludf.DUMMYFUNCTION("""COMPUTED_VALUE"""),1.0)</f>
        <v>1</v>
      </c>
      <c r="AA825" s="124" t="str">
        <f>IFERROR(__xludf.DUMMYFUNCTION("""COMPUTED_VALUE"""),"Cold")</f>
        <v>Cold</v>
      </c>
      <c r="AB825" s="124"/>
    </row>
    <row r="826">
      <c r="A826" s="126">
        <f>IFERROR(__xludf.DUMMYFUNCTION("""COMPUTED_VALUE"""),46058.0)</f>
        <v>46058</v>
      </c>
      <c r="B826" s="124" t="str">
        <f>IFERROR(__xludf.DUMMYFUNCTION("""COMPUTED_VALUE"""),"Walk-In")</f>
        <v>Walk-In</v>
      </c>
      <c r="C826" s="124"/>
      <c r="D826" s="124" t="str">
        <f>IFERROR(__xludf.DUMMYFUNCTION("""COMPUTED_VALUE"""),"Primary_Walkin")</f>
        <v>Primary_Walkin</v>
      </c>
      <c r="E826" s="124">
        <f>IFERROR(__xludf.DUMMYFUNCTION("""COMPUTED_VALUE"""),1.0)</f>
        <v>1</v>
      </c>
      <c r="F826" s="124" t="str">
        <f>IFERROR(__xludf.DUMMYFUNCTION("""COMPUTED_VALUE"""),"Not Interested")</f>
        <v>Not Interested</v>
      </c>
      <c r="G826" s="124" t="str">
        <f>IFERROR(__xludf.DUMMYFUNCTION("""COMPUTED_VALUE"""),"GS Foundation")</f>
        <v>GS Foundation</v>
      </c>
      <c r="K826" s="124"/>
      <c r="L826" s="124"/>
      <c r="M826" s="124"/>
      <c r="N826" s="124"/>
      <c r="O826" s="124"/>
      <c r="T826" s="126">
        <f>IFERROR(__xludf.DUMMYFUNCTION("""COMPUTED_VALUE"""),46057.0)</f>
        <v>46057</v>
      </c>
      <c r="U826" s="124" t="str">
        <f>IFERROR(__xludf.DUMMYFUNCTION("""COMPUTED_VALUE"""),"Event")</f>
        <v>Event</v>
      </c>
      <c r="V826" s="124" t="str">
        <f>IFERROR(__xludf.DUMMYFUNCTION("""COMPUTED_VALUE"""),"events")</f>
        <v>events</v>
      </c>
      <c r="W826" s="124" t="str">
        <f>IFERROR(__xludf.DUMMYFUNCTION("""COMPUTED_VALUE"""),"lucknow")</f>
        <v>lucknow</v>
      </c>
      <c r="X826" s="124" t="str">
        <f>IFERROR(__xludf.DUMMYFUNCTION("""COMPUTED_VALUE"""),"universityseminar")</f>
        <v>universityseminar</v>
      </c>
      <c r="Y826" s="124" t="str">
        <f>IFERROR(__xludf.DUMMYFUNCTION("""COMPUTED_VALUE"""),"Lucknow")</f>
        <v>Lucknow</v>
      </c>
      <c r="Z826" s="124">
        <f>IFERROR(__xludf.DUMMYFUNCTION("""COMPUTED_VALUE"""),1.0)</f>
        <v>1</v>
      </c>
      <c r="AA826" s="124" t="str">
        <f>IFERROR(__xludf.DUMMYFUNCTION("""COMPUTED_VALUE"""),"Future Prospects")</f>
        <v>Future Prospects</v>
      </c>
      <c r="AB826" s="124"/>
    </row>
    <row r="827">
      <c r="A827" s="126">
        <f>IFERROR(__xludf.DUMMYFUNCTION("""COMPUTED_VALUE"""),46073.0)</f>
        <v>46073</v>
      </c>
      <c r="B827" s="124" t="str">
        <f>IFERROR(__xludf.DUMMYFUNCTION("""COMPUTED_VALUE"""),"Walk-In")</f>
        <v>Walk-In</v>
      </c>
      <c r="C827" s="124"/>
      <c r="D827" s="124" t="str">
        <f>IFERROR(__xludf.DUMMYFUNCTION("""COMPUTED_VALUE"""),"Primary_Walkin")</f>
        <v>Primary_Walkin</v>
      </c>
      <c r="E827" s="124">
        <f>IFERROR(__xludf.DUMMYFUNCTION("""COMPUTED_VALUE"""),2.0)</f>
        <v>2</v>
      </c>
      <c r="F827" s="124" t="str">
        <f>IFERROR(__xludf.DUMMYFUNCTION("""COMPUTED_VALUE"""),"Cold")</f>
        <v>Cold</v>
      </c>
      <c r="G827" s="124" t="str">
        <f>IFERROR(__xludf.DUMMYFUNCTION("""COMPUTED_VALUE"""),"State PCS")</f>
        <v>State PCS</v>
      </c>
      <c r="K827" s="124"/>
      <c r="L827" s="124"/>
      <c r="M827" s="124"/>
      <c r="N827" s="124"/>
      <c r="O827" s="124"/>
      <c r="T827" s="126">
        <f>IFERROR(__xludf.DUMMYFUNCTION("""COMPUTED_VALUE"""),46054.0)</f>
        <v>46054</v>
      </c>
      <c r="U827" s="124" t="str">
        <f>IFERROR(__xludf.DUMMYFUNCTION("""COMPUTED_VALUE"""),"External Leads")</f>
        <v>External Leads</v>
      </c>
      <c r="V827" s="124" t="str">
        <f>IFERROR(__xludf.DUMMYFUNCTION("""COMPUTED_VALUE"""),"External Leads")</f>
        <v>External Leads</v>
      </c>
      <c r="W827" s="124" t="str">
        <f>IFERROR(__xludf.DUMMYFUNCTION("""COMPUTED_VALUE"""),"Delhi")</f>
        <v>Delhi</v>
      </c>
      <c r="X827" s="124" t="str">
        <f>IFERROR(__xludf.DUMMYFUNCTION("""COMPUTED_VALUE"""),"DRC")</f>
        <v>DRC</v>
      </c>
      <c r="Y827" s="124"/>
      <c r="Z827" s="124">
        <f>IFERROR(__xludf.DUMMYFUNCTION("""COMPUTED_VALUE"""),1.0)</f>
        <v>1</v>
      </c>
      <c r="AA827" s="124" t="str">
        <f>IFERROR(__xludf.DUMMYFUNCTION("""COMPUTED_VALUE"""),"Cold")</f>
        <v>Cold</v>
      </c>
      <c r="AB827" s="124"/>
    </row>
    <row r="828">
      <c r="A828" s="126">
        <f>IFERROR(__xludf.DUMMYFUNCTION("""COMPUTED_VALUE"""),46044.0)</f>
        <v>46044</v>
      </c>
      <c r="B828" s="124" t="str">
        <f>IFERROR(__xludf.DUMMYFUNCTION("""COMPUTED_VALUE"""),"Walk-In")</f>
        <v>Walk-In</v>
      </c>
      <c r="C828" s="124"/>
      <c r="D828" s="124" t="str">
        <f>IFERROR(__xludf.DUMMYFUNCTION("""COMPUTED_VALUE"""),"Primary_Walkin")</f>
        <v>Primary_Walkin</v>
      </c>
      <c r="E828" s="124">
        <f>IFERROR(__xludf.DUMMYFUNCTION("""COMPUTED_VALUE"""),1.0)</f>
        <v>1</v>
      </c>
      <c r="F828" s="124" t="str">
        <f>IFERROR(__xludf.DUMMYFUNCTION("""COMPUTED_VALUE"""),"Cold")</f>
        <v>Cold</v>
      </c>
      <c r="G828" s="124" t="str">
        <f>IFERROR(__xludf.DUMMYFUNCTION("""COMPUTED_VALUE"""),"Mentorship")</f>
        <v>Mentorship</v>
      </c>
      <c r="K828" s="124"/>
      <c r="L828" s="124"/>
      <c r="M828" s="124"/>
      <c r="N828" s="124"/>
      <c r="O828" s="124"/>
      <c r="T828" s="126">
        <f>IFERROR(__xludf.DUMMYFUNCTION("""COMPUTED_VALUE"""),46057.0)</f>
        <v>46057</v>
      </c>
      <c r="U828" s="124" t="str">
        <f>IFERROR(__xludf.DUMMYFUNCTION("""COMPUTED_VALUE"""),"Event")</f>
        <v>Event</v>
      </c>
      <c r="V828" s="124" t="str">
        <f>IFERROR(__xludf.DUMMYFUNCTION("""COMPUTED_VALUE"""),"events")</f>
        <v>events</v>
      </c>
      <c r="W828" s="124" t="str">
        <f>IFERROR(__xludf.DUMMYFUNCTION("""COMPUTED_VALUE"""),"lucknow")</f>
        <v>lucknow</v>
      </c>
      <c r="X828" s="124" t="str">
        <f>IFERROR(__xludf.DUMMYFUNCTION("""COMPUTED_VALUE"""),"universityseminar")</f>
        <v>universityseminar</v>
      </c>
      <c r="Y828" s="124" t="str">
        <f>IFERROR(__xludf.DUMMYFUNCTION("""COMPUTED_VALUE"""),"Lucknow")</f>
        <v>Lucknow</v>
      </c>
      <c r="Z828" s="124">
        <f>IFERROR(__xludf.DUMMYFUNCTION("""COMPUTED_VALUE"""),72.0)</f>
        <v>72</v>
      </c>
      <c r="AA828" s="124" t="str">
        <f>IFERROR(__xludf.DUMMYFUNCTION("""COMPUTED_VALUE"""),"Not Interested")</f>
        <v>Not Interested</v>
      </c>
      <c r="AB828" s="124"/>
    </row>
    <row r="829">
      <c r="A829" s="126">
        <f>IFERROR(__xludf.DUMMYFUNCTION("""COMPUTED_VALUE"""),46105.0)</f>
        <v>46105</v>
      </c>
      <c r="B829" s="124" t="str">
        <f>IFERROR(__xludf.DUMMYFUNCTION("""COMPUTED_VALUE"""),"Walk-In")</f>
        <v>Walk-In</v>
      </c>
      <c r="C829" s="124"/>
      <c r="D829" s="124" t="str">
        <f>IFERROR(__xludf.DUMMYFUNCTION("""COMPUTED_VALUE"""),"Primary_Walkin")</f>
        <v>Primary_Walkin</v>
      </c>
      <c r="E829" s="124">
        <f>IFERROR(__xludf.DUMMYFUNCTION("""COMPUTED_VALUE"""),1.0)</f>
        <v>1</v>
      </c>
      <c r="F829" s="124" t="str">
        <f>IFERROR(__xludf.DUMMYFUNCTION("""COMPUTED_VALUE"""),"Warm")</f>
        <v>Warm</v>
      </c>
      <c r="G829" s="124" t="str">
        <f>IFERROR(__xludf.DUMMYFUNCTION("""COMPUTED_VALUE"""),"Test Series")</f>
        <v>Test Series</v>
      </c>
      <c r="K829" s="124"/>
      <c r="L829" s="124"/>
      <c r="M829" s="124"/>
      <c r="N829" s="124"/>
      <c r="O829" s="124"/>
      <c r="T829" s="126">
        <f>IFERROR(__xludf.DUMMYFUNCTION("""COMPUTED_VALUE"""),46057.0)</f>
        <v>46057</v>
      </c>
      <c r="U829" s="124" t="str">
        <f>IFERROR(__xludf.DUMMYFUNCTION("""COMPUTED_VALUE"""),"Event")</f>
        <v>Event</v>
      </c>
      <c r="V829" s="124" t="str">
        <f>IFERROR(__xludf.DUMMYFUNCTION("""COMPUTED_VALUE"""),"events")</f>
        <v>events</v>
      </c>
      <c r="W829" s="124" t="str">
        <f>IFERROR(__xludf.DUMMYFUNCTION("""COMPUTED_VALUE"""),"lucknow")</f>
        <v>lucknow</v>
      </c>
      <c r="X829" s="124" t="str">
        <f>IFERROR(__xludf.DUMMYFUNCTION("""COMPUTED_VALUE"""),"universityseminar")</f>
        <v>universityseminar</v>
      </c>
      <c r="Y829" s="124" t="str">
        <f>IFERROR(__xludf.DUMMYFUNCTION("""COMPUTED_VALUE"""),"Lucknow")</f>
        <v>Lucknow</v>
      </c>
      <c r="Z829" s="124">
        <f>IFERROR(__xludf.DUMMYFUNCTION("""COMPUTED_VALUE"""),22.0)</f>
        <v>22</v>
      </c>
      <c r="AA829" s="124" t="str">
        <f>IFERROR(__xludf.DUMMYFUNCTION("""COMPUTED_VALUE"""),"Fake Lead")</f>
        <v>Fake Lead</v>
      </c>
      <c r="AB829" s="124"/>
    </row>
    <row r="830">
      <c r="A830" s="126">
        <f>IFERROR(__xludf.DUMMYFUNCTION("""COMPUTED_VALUE"""),46046.0)</f>
        <v>46046</v>
      </c>
      <c r="B830" s="124" t="str">
        <f>IFERROR(__xludf.DUMMYFUNCTION("""COMPUTED_VALUE"""),"Walk-In")</f>
        <v>Walk-In</v>
      </c>
      <c r="C830" s="124"/>
      <c r="D830" s="124" t="str">
        <f>IFERROR(__xludf.DUMMYFUNCTION("""COMPUTED_VALUE"""),"Primary_Walkin")</f>
        <v>Primary_Walkin</v>
      </c>
      <c r="E830" s="124">
        <f>IFERROR(__xludf.DUMMYFUNCTION("""COMPUTED_VALUE"""),1.0)</f>
        <v>1</v>
      </c>
      <c r="F830" s="124" t="str">
        <f>IFERROR(__xludf.DUMMYFUNCTION("""COMPUTED_VALUE"""),"Fake Lead")</f>
        <v>Fake Lead</v>
      </c>
      <c r="G830" s="124" t="str">
        <f>IFERROR(__xludf.DUMMYFUNCTION("""COMPUTED_VALUE"""),"GS Foundation")</f>
        <v>GS Foundation</v>
      </c>
      <c r="K830" s="124"/>
      <c r="L830" s="124"/>
      <c r="M830" s="124"/>
      <c r="N830" s="124"/>
      <c r="O830" s="124"/>
      <c r="T830" s="126">
        <f>IFERROR(__xludf.DUMMYFUNCTION("""COMPUTED_VALUE"""),46051.0)</f>
        <v>46051</v>
      </c>
      <c r="U830" s="124" t="str">
        <f>IFERROR(__xludf.DUMMYFUNCTION("""COMPUTED_VALUE"""),"External Leads")</f>
        <v>External Leads</v>
      </c>
      <c r="V830" s="124" t="str">
        <f>IFERROR(__xludf.DUMMYFUNCTION("""COMPUTED_VALUE"""),"External Leads")</f>
        <v>External Leads</v>
      </c>
      <c r="W830" s="124" t="str">
        <f>IFERROR(__xludf.DUMMYFUNCTION("""COMPUTED_VALUE"""),"Delhi")</f>
        <v>Delhi</v>
      </c>
      <c r="X830" s="124" t="str">
        <f>IFERROR(__xludf.DUMMYFUNCTION("""COMPUTED_VALUE"""),"DRC")</f>
        <v>DRC</v>
      </c>
      <c r="Y830" s="124"/>
      <c r="Z830" s="124">
        <f>IFERROR(__xludf.DUMMYFUNCTION("""COMPUTED_VALUE"""),10.0)</f>
        <v>10</v>
      </c>
      <c r="AA830" s="124" t="str">
        <f>IFERROR(__xludf.DUMMYFUNCTION("""COMPUTED_VALUE"""),"Not Interested")</f>
        <v>Not Interested</v>
      </c>
      <c r="AB830" s="124"/>
    </row>
    <row r="831">
      <c r="A831" s="126">
        <f>IFERROR(__xludf.DUMMYFUNCTION("""COMPUTED_VALUE"""),46107.0)</f>
        <v>46107</v>
      </c>
      <c r="B831" s="124" t="str">
        <f>IFERROR(__xludf.DUMMYFUNCTION("""COMPUTED_VALUE"""),"Walk-In")</f>
        <v>Walk-In</v>
      </c>
      <c r="C831" s="124" t="str">
        <f>IFERROR(__xludf.DUMMYFUNCTION("""COMPUTED_VALUE"""),"Prayagraj")</f>
        <v>Prayagraj</v>
      </c>
      <c r="D831" s="124" t="str">
        <f>IFERROR(__xludf.DUMMYFUNCTION("""COMPUTED_VALUE"""),"Primary_Walkin")</f>
        <v>Primary_Walkin</v>
      </c>
      <c r="E831" s="124">
        <f>IFERROR(__xludf.DUMMYFUNCTION("""COMPUTED_VALUE"""),1.0)</f>
        <v>1</v>
      </c>
      <c r="F831" s="124" t="str">
        <f>IFERROR(__xludf.DUMMYFUNCTION("""COMPUTED_VALUE"""),"Not Interested")</f>
        <v>Not Interested</v>
      </c>
      <c r="G831" s="124" t="str">
        <f>IFERROR(__xludf.DUMMYFUNCTION("""COMPUTED_VALUE"""),"GS Foundation")</f>
        <v>GS Foundation</v>
      </c>
      <c r="K831" s="124"/>
      <c r="L831" s="124"/>
      <c r="M831" s="124"/>
      <c r="N831" s="124"/>
      <c r="O831" s="124"/>
      <c r="T831" s="129">
        <f>IFERROR(__xludf.DUMMYFUNCTION("""COMPUTED_VALUE"""),46050.0)</f>
        <v>46050</v>
      </c>
      <c r="U831" s="124" t="str">
        <f>IFERROR(__xludf.DUMMYFUNCTION("""COMPUTED_VALUE"""),"External Leads")</f>
        <v>External Leads</v>
      </c>
      <c r="V831" s="124" t="str">
        <f>IFERROR(__xludf.DUMMYFUNCTION("""COMPUTED_VALUE"""),"External Leads")</f>
        <v>External Leads</v>
      </c>
      <c r="W831" s="124" t="str">
        <f>IFERROR(__xludf.DUMMYFUNCTION("""COMPUTED_VALUE"""),"Delhi")</f>
        <v>Delhi</v>
      </c>
      <c r="X831" s="124" t="str">
        <f>IFERROR(__xludf.DUMMYFUNCTION("""COMPUTED_VALUE"""),"DRC")</f>
        <v>DRC</v>
      </c>
      <c r="Y831" s="124"/>
      <c r="Z831" s="124">
        <f>IFERROR(__xludf.DUMMYFUNCTION("""COMPUTED_VALUE"""),1.0)</f>
        <v>1</v>
      </c>
      <c r="AA831" s="124" t="str">
        <f>IFERROR(__xludf.DUMMYFUNCTION("""COMPUTED_VALUE"""),"Cold")</f>
        <v>Cold</v>
      </c>
      <c r="AB831" s="124"/>
    </row>
    <row r="832">
      <c r="A832" s="126">
        <f>IFERROR(__xludf.DUMMYFUNCTION("""COMPUTED_VALUE"""),46088.0)</f>
        <v>46088</v>
      </c>
      <c r="B832" s="124" t="str">
        <f>IFERROR(__xludf.DUMMYFUNCTION("""COMPUTED_VALUE"""),"Walkin")</f>
        <v>Walkin</v>
      </c>
      <c r="C832" s="124" t="str">
        <f>IFERROR(__xludf.DUMMYFUNCTION("""COMPUTED_VALUE"""),"Prayagraj")</f>
        <v>Prayagraj</v>
      </c>
      <c r="D832" s="124" t="str">
        <f>IFERROR(__xludf.DUMMYFUNCTION("""COMPUTED_VALUE"""),"Primary_Walkin")</f>
        <v>Primary_Walkin</v>
      </c>
      <c r="E832" s="124">
        <f>IFERROR(__xludf.DUMMYFUNCTION("""COMPUTED_VALUE"""),1.0)</f>
        <v>1</v>
      </c>
      <c r="F832" s="124" t="str">
        <f>IFERROR(__xludf.DUMMYFUNCTION("""COMPUTED_VALUE"""),"Engaged")</f>
        <v>Engaged</v>
      </c>
      <c r="G832" s="124" t="str">
        <f>IFERROR(__xludf.DUMMYFUNCTION("""COMPUTED_VALUE"""),"Other")</f>
        <v>Other</v>
      </c>
      <c r="K832" s="124"/>
      <c r="L832" s="124"/>
      <c r="M832" s="124"/>
      <c r="N832" s="124"/>
      <c r="O832" s="124"/>
      <c r="T832" s="126">
        <f>IFERROR(__xludf.DUMMYFUNCTION("""COMPUTED_VALUE"""),46052.0)</f>
        <v>46052</v>
      </c>
      <c r="U832" s="124" t="str">
        <f>IFERROR(__xludf.DUMMYFUNCTION("""COMPUTED_VALUE"""),"External Leads")</f>
        <v>External Leads</v>
      </c>
      <c r="V832" s="124" t="str">
        <f>IFERROR(__xludf.DUMMYFUNCTION("""COMPUTED_VALUE"""),"External Leads")</f>
        <v>External Leads</v>
      </c>
      <c r="W832" s="124" t="str">
        <f>IFERROR(__xludf.DUMMYFUNCTION("""COMPUTED_VALUE"""),"Delhi")</f>
        <v>Delhi</v>
      </c>
      <c r="X832" s="124" t="str">
        <f>IFERROR(__xludf.DUMMYFUNCTION("""COMPUTED_VALUE"""),"DRC")</f>
        <v>DRC</v>
      </c>
      <c r="Y832" s="124"/>
      <c r="Z832" s="124">
        <f>IFERROR(__xludf.DUMMYFUNCTION("""COMPUTED_VALUE"""),21.0)</f>
        <v>21</v>
      </c>
      <c r="AA832" s="124" t="str">
        <f>IFERROR(__xludf.DUMMYFUNCTION("""COMPUTED_VALUE"""),"Cold")</f>
        <v>Cold</v>
      </c>
      <c r="AB832" s="124"/>
    </row>
    <row r="833">
      <c r="A833" s="129">
        <f>IFERROR(__xludf.DUMMYFUNCTION("""COMPUTED_VALUE"""),46072.0)</f>
        <v>46072</v>
      </c>
      <c r="B833" s="124" t="str">
        <f>IFERROR(__xludf.DUMMYFUNCTION("""COMPUTED_VALUE"""),"Walkin")</f>
        <v>Walkin</v>
      </c>
      <c r="C833" s="124" t="str">
        <f>IFERROR(__xludf.DUMMYFUNCTION("""COMPUTED_VALUE"""),"Prayagraj")</f>
        <v>Prayagraj</v>
      </c>
      <c r="D833" s="124" t="str">
        <f>IFERROR(__xludf.DUMMYFUNCTION("""COMPUTED_VALUE"""),"Primary_Walkin")</f>
        <v>Primary_Walkin</v>
      </c>
      <c r="E833" s="124">
        <f>IFERROR(__xludf.DUMMYFUNCTION("""COMPUTED_VALUE"""),1.0)</f>
        <v>1</v>
      </c>
      <c r="F833" s="124" t="str">
        <f>IFERROR(__xludf.DUMMYFUNCTION("""COMPUTED_VALUE"""),"Not Interested")</f>
        <v>Not Interested</v>
      </c>
      <c r="G833" s="124" t="str">
        <f>IFERROR(__xludf.DUMMYFUNCTION("""COMPUTED_VALUE"""),"GS Foundation")</f>
        <v>GS Foundation</v>
      </c>
      <c r="K833" s="124"/>
      <c r="L833" s="124"/>
      <c r="M833" s="124"/>
      <c r="N833" s="124"/>
      <c r="O833" s="124"/>
      <c r="T833" s="126">
        <f>IFERROR(__xludf.DUMMYFUNCTION("""COMPUTED_VALUE"""),46091.0)</f>
        <v>46091</v>
      </c>
      <c r="U833" s="124" t="str">
        <f>IFERROR(__xludf.DUMMYFUNCTION("""COMPUTED_VALUE"""),"Walk-Ins")</f>
        <v>Walk-Ins</v>
      </c>
      <c r="V833" s="124" t="str">
        <f>IFERROR(__xludf.DUMMYFUNCTION("""COMPUTED_VALUE"""),"Walk-In")</f>
        <v>Walk-In</v>
      </c>
      <c r="W833" s="124" t="str">
        <f>IFERROR(__xludf.DUMMYFUNCTION("""COMPUTED_VALUE"""),"Prayagraj")</f>
        <v>Prayagraj</v>
      </c>
      <c r="X833" s="124" t="str">
        <f>IFERROR(__xludf.DUMMYFUNCTION("""COMPUTED_VALUE"""),"Shivanshi")</f>
        <v>Shivanshi</v>
      </c>
      <c r="Y833" s="124" t="str">
        <f>IFERROR(__xludf.DUMMYFUNCTION("""COMPUTED_VALUE"""),"Prayagraj")</f>
        <v>Prayagraj</v>
      </c>
      <c r="Z833" s="124">
        <f>IFERROR(__xludf.DUMMYFUNCTION("""COMPUTED_VALUE"""),1.0)</f>
        <v>1</v>
      </c>
      <c r="AA833" s="124" t="str">
        <f>IFERROR(__xludf.DUMMYFUNCTION("""COMPUTED_VALUE"""),"Cold")</f>
        <v>Cold</v>
      </c>
      <c r="AB833" s="124" t="str">
        <f>IFERROR(__xludf.DUMMYFUNCTION("""COMPUTED_VALUE"""),"Other")</f>
        <v>Other</v>
      </c>
    </row>
    <row r="834">
      <c r="A834" s="126">
        <f>IFERROR(__xludf.DUMMYFUNCTION("""COMPUTED_VALUE"""),46073.0)</f>
        <v>46073</v>
      </c>
      <c r="B834" s="124" t="str">
        <f>IFERROR(__xludf.DUMMYFUNCTION("""COMPUTED_VALUE"""),"Walkin")</f>
        <v>Walkin</v>
      </c>
      <c r="C834" s="124" t="str">
        <f>IFERROR(__xludf.DUMMYFUNCTION("""COMPUTED_VALUE"""),"Prayagraj")</f>
        <v>Prayagraj</v>
      </c>
      <c r="D834" s="124" t="str">
        <f>IFERROR(__xludf.DUMMYFUNCTION("""COMPUTED_VALUE"""),"Primary_Walkin")</f>
        <v>Primary_Walkin</v>
      </c>
      <c r="E834" s="124">
        <f>IFERROR(__xludf.DUMMYFUNCTION("""COMPUTED_VALUE"""),1.0)</f>
        <v>1</v>
      </c>
      <c r="F834" s="124" t="str">
        <f>IFERROR(__xludf.DUMMYFUNCTION("""COMPUTED_VALUE"""),"Not Interested")</f>
        <v>Not Interested</v>
      </c>
      <c r="G834" s="124" t="str">
        <f>IFERROR(__xludf.DUMMYFUNCTION("""COMPUTED_VALUE"""),"State PCS")</f>
        <v>State PCS</v>
      </c>
      <c r="K834" s="124"/>
      <c r="L834" s="124"/>
      <c r="M834" s="124"/>
      <c r="N834" s="124"/>
      <c r="O834" s="124"/>
      <c r="T834" s="126">
        <f>IFERROR(__xludf.DUMMYFUNCTION("""COMPUTED_VALUE"""),46104.0)</f>
        <v>46104</v>
      </c>
      <c r="U834" s="124" t="str">
        <f>IFERROR(__xludf.DUMMYFUNCTION("""COMPUTED_VALUE"""),"Walk-Ins")</f>
        <v>Walk-Ins</v>
      </c>
      <c r="V834" s="124" t="str">
        <f>IFERROR(__xludf.DUMMYFUNCTION("""COMPUTED_VALUE"""),"Walk-In")</f>
        <v>Walk-In</v>
      </c>
      <c r="W834" s="124" t="str">
        <f>IFERROR(__xludf.DUMMYFUNCTION("""COMPUTED_VALUE"""),"Prayagraj")</f>
        <v>Prayagraj</v>
      </c>
      <c r="X834" s="124" t="str">
        <f>IFERROR(__xludf.DUMMYFUNCTION("""COMPUTED_VALUE"""),"Shivanshi")</f>
        <v>Shivanshi</v>
      </c>
      <c r="Y834" s="124" t="str">
        <f>IFERROR(__xludf.DUMMYFUNCTION("""COMPUTED_VALUE"""),"Prayagraj")</f>
        <v>Prayagraj</v>
      </c>
      <c r="Z834" s="124">
        <f>IFERROR(__xludf.DUMMYFUNCTION("""COMPUTED_VALUE"""),1.0)</f>
        <v>1</v>
      </c>
      <c r="AA834" s="124" t="str">
        <f>IFERROR(__xludf.DUMMYFUNCTION("""COMPUTED_VALUE"""),"Warm")</f>
        <v>Warm</v>
      </c>
      <c r="AB834" s="124" t="str">
        <f>IFERROR(__xludf.DUMMYFUNCTION("""COMPUTED_VALUE"""),"GS Foundation")</f>
        <v>GS Foundation</v>
      </c>
    </row>
    <row r="835">
      <c r="A835" s="126">
        <f>IFERROR(__xludf.DUMMYFUNCTION("""COMPUTED_VALUE"""),46069.0)</f>
        <v>46069</v>
      </c>
      <c r="B835" s="124" t="str">
        <f>IFERROR(__xludf.DUMMYFUNCTION("""COMPUTED_VALUE"""),"Walkin")</f>
        <v>Walkin</v>
      </c>
      <c r="C835" s="124" t="str">
        <f>IFERROR(__xludf.DUMMYFUNCTION("""COMPUTED_VALUE"""),"Prayagraj")</f>
        <v>Prayagraj</v>
      </c>
      <c r="D835" s="124" t="str">
        <f>IFERROR(__xludf.DUMMYFUNCTION("""COMPUTED_VALUE"""),"Primary_Walkin")</f>
        <v>Primary_Walkin</v>
      </c>
      <c r="E835" s="124">
        <f>IFERROR(__xludf.DUMMYFUNCTION("""COMPUTED_VALUE"""),1.0)</f>
        <v>1</v>
      </c>
      <c r="F835" s="124" t="str">
        <f>IFERROR(__xludf.DUMMYFUNCTION("""COMPUTED_VALUE"""),"Cold")</f>
        <v>Cold</v>
      </c>
      <c r="G835" s="124" t="str">
        <f>IFERROR(__xludf.DUMMYFUNCTION("""COMPUTED_VALUE"""),"Test Series")</f>
        <v>Test Series</v>
      </c>
      <c r="K835" s="124"/>
      <c r="L835" s="124"/>
      <c r="M835" s="124"/>
      <c r="N835" s="124"/>
      <c r="O835" s="124"/>
      <c r="T835" s="126">
        <f>IFERROR(__xludf.DUMMYFUNCTION("""COMPUTED_VALUE"""),46043.0)</f>
        <v>46043</v>
      </c>
      <c r="U835" s="124" t="str">
        <f>IFERROR(__xludf.DUMMYFUNCTION("""COMPUTED_VALUE"""),"Walk-Ins")</f>
        <v>Walk-Ins</v>
      </c>
      <c r="V835" s="124" t="str">
        <f>IFERROR(__xludf.DUMMYFUNCTION("""COMPUTED_VALUE"""),"Walk-In")</f>
        <v>Walk-In</v>
      </c>
      <c r="W835" s="124" t="str">
        <f>IFERROR(__xludf.DUMMYFUNCTION("""COMPUTED_VALUE"""),"Prayagraj")</f>
        <v>Prayagraj</v>
      </c>
      <c r="X835" s="124" t="str">
        <f>IFERROR(__xludf.DUMMYFUNCTION("""COMPUTED_VALUE"""),"Shivanshi")</f>
        <v>Shivanshi</v>
      </c>
      <c r="Y835" s="124" t="str">
        <f>IFERROR(__xludf.DUMMYFUNCTION("""COMPUTED_VALUE"""),"Prayagraj")</f>
        <v>Prayagraj</v>
      </c>
      <c r="Z835" s="124">
        <f>IFERROR(__xludf.DUMMYFUNCTION("""COMPUTED_VALUE"""),1.0)</f>
        <v>1</v>
      </c>
      <c r="AA835" s="124" t="str">
        <f>IFERROR(__xludf.DUMMYFUNCTION("""COMPUTED_VALUE"""),"Cold")</f>
        <v>Cold</v>
      </c>
      <c r="AB835" s="124" t="str">
        <f>IFERROR(__xludf.DUMMYFUNCTION("""COMPUTED_VALUE"""),"GS Foundation")</f>
        <v>GS Foundation</v>
      </c>
    </row>
    <row r="836">
      <c r="A836" s="126">
        <f>IFERROR(__xludf.DUMMYFUNCTION("""COMPUTED_VALUE"""),46090.0)</f>
        <v>46090</v>
      </c>
      <c r="B836" s="124" t="str">
        <f>IFERROR(__xludf.DUMMYFUNCTION("""COMPUTED_VALUE"""),"Walkin")</f>
        <v>Walkin</v>
      </c>
      <c r="C836" s="124" t="str">
        <f>IFERROR(__xludf.DUMMYFUNCTION("""COMPUTED_VALUE"""),"Prayagraj")</f>
        <v>Prayagraj</v>
      </c>
      <c r="D836" s="124" t="str">
        <f>IFERROR(__xludf.DUMMYFUNCTION("""COMPUTED_VALUE"""),"Primary_Walkin")</f>
        <v>Primary_Walkin</v>
      </c>
      <c r="E836" s="124">
        <f>IFERROR(__xludf.DUMMYFUNCTION("""COMPUTED_VALUE"""),2.0)</f>
        <v>2</v>
      </c>
      <c r="F836" s="124" t="str">
        <f>IFERROR(__xludf.DUMMYFUNCTION("""COMPUTED_VALUE"""),"Future Prospects")</f>
        <v>Future Prospects</v>
      </c>
      <c r="G836" s="124" t="str">
        <f>IFERROR(__xludf.DUMMYFUNCTION("""COMPUTED_VALUE"""),"GS Foundation")</f>
        <v>GS Foundation</v>
      </c>
      <c r="K836" s="124"/>
      <c r="L836" s="124"/>
      <c r="M836" s="124"/>
      <c r="N836" s="124"/>
      <c r="O836" s="124"/>
      <c r="T836" s="126">
        <f>IFERROR(__xludf.DUMMYFUNCTION("""COMPUTED_VALUE"""),46098.0)</f>
        <v>46098</v>
      </c>
      <c r="U836" s="124" t="str">
        <f>IFERROR(__xludf.DUMMYFUNCTION("""COMPUTED_VALUE"""),"Walk-Ins")</f>
        <v>Walk-Ins</v>
      </c>
      <c r="V836" s="124" t="str">
        <f>IFERROR(__xludf.DUMMYFUNCTION("""COMPUTED_VALUE"""),"Walk-In")</f>
        <v>Walk-In</v>
      </c>
      <c r="W836" s="124" t="str">
        <f>IFERROR(__xludf.DUMMYFUNCTION("""COMPUTED_VALUE"""),"Prayagraj")</f>
        <v>Prayagraj</v>
      </c>
      <c r="X836" s="124" t="str">
        <f>IFERROR(__xludf.DUMMYFUNCTION("""COMPUTED_VALUE"""),"Shivanshi")</f>
        <v>Shivanshi</v>
      </c>
      <c r="Y836" s="124" t="str">
        <f>IFERROR(__xludf.DUMMYFUNCTION("""COMPUTED_VALUE"""),"Prayagraj")</f>
        <v>Prayagraj</v>
      </c>
      <c r="Z836" s="124">
        <f>IFERROR(__xludf.DUMMYFUNCTION("""COMPUTED_VALUE"""),3.0)</f>
        <v>3</v>
      </c>
      <c r="AA836" s="124" t="str">
        <f>IFERROR(__xludf.DUMMYFUNCTION("""COMPUTED_VALUE"""),"Warm")</f>
        <v>Warm</v>
      </c>
      <c r="AB836" s="124" t="str">
        <f>IFERROR(__xludf.DUMMYFUNCTION("""COMPUTED_VALUE"""),"GS Foundation")</f>
        <v>GS Foundation</v>
      </c>
    </row>
    <row r="837">
      <c r="A837" s="129">
        <f>IFERROR(__xludf.DUMMYFUNCTION("""COMPUTED_VALUE"""),46111.0)</f>
        <v>46111</v>
      </c>
      <c r="B837" s="124" t="str">
        <f>IFERROR(__xludf.DUMMYFUNCTION("""COMPUTED_VALUE"""),"Walkin")</f>
        <v>Walkin</v>
      </c>
      <c r="C837" s="124" t="str">
        <f>IFERROR(__xludf.DUMMYFUNCTION("""COMPUTED_VALUE"""),"Prayagraj")</f>
        <v>Prayagraj</v>
      </c>
      <c r="D837" s="124" t="str">
        <f>IFERROR(__xludf.DUMMYFUNCTION("""COMPUTED_VALUE"""),"Primary_Walkin")</f>
        <v>Primary_Walkin</v>
      </c>
      <c r="E837" s="124">
        <f>IFERROR(__xludf.DUMMYFUNCTION("""COMPUTED_VALUE"""),5.0)</f>
        <v>5</v>
      </c>
      <c r="F837" s="124" t="str">
        <f>IFERROR(__xludf.DUMMYFUNCTION("""COMPUTED_VALUE"""),"Warm")</f>
        <v>Warm</v>
      </c>
      <c r="G837" s="124" t="str">
        <f>IFERROR(__xludf.DUMMYFUNCTION("""COMPUTED_VALUE"""),"Mentorship")</f>
        <v>Mentorship</v>
      </c>
      <c r="K837" s="124"/>
      <c r="L837" s="124"/>
      <c r="M837" s="124"/>
      <c r="N837" s="124"/>
      <c r="O837" s="124"/>
      <c r="T837" s="129">
        <f>IFERROR(__xludf.DUMMYFUNCTION("""COMPUTED_VALUE"""),46088.0)</f>
        <v>46088</v>
      </c>
      <c r="U837" s="124" t="str">
        <f>IFERROR(__xludf.DUMMYFUNCTION("""COMPUTED_VALUE"""),"Walk-Ins")</f>
        <v>Walk-Ins</v>
      </c>
      <c r="V837" s="124" t="str">
        <f>IFERROR(__xludf.DUMMYFUNCTION("""COMPUTED_VALUE"""),"Walk-In")</f>
        <v>Walk-In</v>
      </c>
      <c r="W837" s="124" t="str">
        <f>IFERROR(__xludf.DUMMYFUNCTION("""COMPUTED_VALUE"""),"Prayagraj")</f>
        <v>Prayagraj</v>
      </c>
      <c r="X837" s="124" t="str">
        <f>IFERROR(__xludf.DUMMYFUNCTION("""COMPUTED_VALUE"""),"Shivanshi")</f>
        <v>Shivanshi</v>
      </c>
      <c r="Y837" s="124" t="str">
        <f>IFERROR(__xludf.DUMMYFUNCTION("""COMPUTED_VALUE"""),"Prayagraj")</f>
        <v>Prayagraj</v>
      </c>
      <c r="Z837" s="124">
        <f>IFERROR(__xludf.DUMMYFUNCTION("""COMPUTED_VALUE"""),1.0)</f>
        <v>1</v>
      </c>
      <c r="AA837" s="124" t="str">
        <f>IFERROR(__xludf.DUMMYFUNCTION("""COMPUTED_VALUE"""),"Cold")</f>
        <v>Cold</v>
      </c>
      <c r="AB837" s="124" t="str">
        <f>IFERROR(__xludf.DUMMYFUNCTION("""COMPUTED_VALUE"""),"GS Foundation")</f>
        <v>GS Foundation</v>
      </c>
    </row>
    <row r="838">
      <c r="A838" s="126">
        <f>IFERROR(__xludf.DUMMYFUNCTION("""COMPUTED_VALUE"""),46074.0)</f>
        <v>46074</v>
      </c>
      <c r="B838" s="124" t="str">
        <f>IFERROR(__xludf.DUMMYFUNCTION("""COMPUTED_VALUE"""),"Walkin")</f>
        <v>Walkin</v>
      </c>
      <c r="C838" s="124" t="str">
        <f>IFERROR(__xludf.DUMMYFUNCTION("""COMPUTED_VALUE"""),"Prayagraj")</f>
        <v>Prayagraj</v>
      </c>
      <c r="D838" s="124" t="str">
        <f>IFERROR(__xludf.DUMMYFUNCTION("""COMPUTED_VALUE"""),"Primary_Walkin")</f>
        <v>Primary_Walkin</v>
      </c>
      <c r="E838" s="124">
        <f>IFERROR(__xludf.DUMMYFUNCTION("""COMPUTED_VALUE"""),3.0)</f>
        <v>3</v>
      </c>
      <c r="F838" s="124" t="str">
        <f>IFERROR(__xludf.DUMMYFUNCTION("""COMPUTED_VALUE"""),"Cold")</f>
        <v>Cold</v>
      </c>
      <c r="G838" s="124" t="str">
        <f>IFERROR(__xludf.DUMMYFUNCTION("""COMPUTED_VALUE"""),"GS Foundation")</f>
        <v>GS Foundation</v>
      </c>
      <c r="K838" s="124"/>
      <c r="L838" s="124"/>
      <c r="M838" s="124"/>
      <c r="N838" s="124"/>
      <c r="O838" s="124"/>
      <c r="T838" s="126">
        <f>IFERROR(__xludf.DUMMYFUNCTION("""COMPUTED_VALUE"""),46095.0)</f>
        <v>46095</v>
      </c>
      <c r="U838" s="124" t="str">
        <f>IFERROR(__xludf.DUMMYFUNCTION("""COMPUTED_VALUE"""),"Walk-Ins")</f>
        <v>Walk-Ins</v>
      </c>
      <c r="V838" s="124" t="str">
        <f>IFERROR(__xludf.DUMMYFUNCTION("""COMPUTED_VALUE"""),"Walk-In")</f>
        <v>Walk-In</v>
      </c>
      <c r="W838" s="124" t="str">
        <f>IFERROR(__xludf.DUMMYFUNCTION("""COMPUTED_VALUE"""),"Prayagraj")</f>
        <v>Prayagraj</v>
      </c>
      <c r="X838" s="124" t="str">
        <f>IFERROR(__xludf.DUMMYFUNCTION("""COMPUTED_VALUE"""),"Shivanshi")</f>
        <v>Shivanshi</v>
      </c>
      <c r="Y838" s="124" t="str">
        <f>IFERROR(__xludf.DUMMYFUNCTION("""COMPUTED_VALUE"""),"Prayagraj")</f>
        <v>Prayagraj</v>
      </c>
      <c r="Z838" s="124">
        <f>IFERROR(__xludf.DUMMYFUNCTION("""COMPUTED_VALUE"""),2.0)</f>
        <v>2</v>
      </c>
      <c r="AA838" s="124" t="str">
        <f>IFERROR(__xludf.DUMMYFUNCTION("""COMPUTED_VALUE"""),"Cold")</f>
        <v>Cold</v>
      </c>
      <c r="AB838" s="124" t="str">
        <f>IFERROR(__xludf.DUMMYFUNCTION("""COMPUTED_VALUE"""),"State PCS")</f>
        <v>State PCS</v>
      </c>
    </row>
    <row r="839">
      <c r="A839" s="129">
        <f>IFERROR(__xludf.DUMMYFUNCTION("""COMPUTED_VALUE"""),46105.0)</f>
        <v>46105</v>
      </c>
      <c r="B839" s="124" t="str">
        <f>IFERROR(__xludf.DUMMYFUNCTION("""COMPUTED_VALUE"""),"Walkin")</f>
        <v>Walkin</v>
      </c>
      <c r="C839" s="124" t="str">
        <f>IFERROR(__xludf.DUMMYFUNCTION("""COMPUTED_VALUE"""),"Prayagraj")</f>
        <v>Prayagraj</v>
      </c>
      <c r="D839" s="124" t="str">
        <f>IFERROR(__xludf.DUMMYFUNCTION("""COMPUTED_VALUE"""),"Primary_Walkin")</f>
        <v>Primary_Walkin</v>
      </c>
      <c r="E839" s="124">
        <f>IFERROR(__xludf.DUMMYFUNCTION("""COMPUTED_VALUE"""),3.0)</f>
        <v>3</v>
      </c>
      <c r="F839" s="124" t="str">
        <f>IFERROR(__xludf.DUMMYFUNCTION("""COMPUTED_VALUE"""),"Warm")</f>
        <v>Warm</v>
      </c>
      <c r="G839" s="124" t="str">
        <f>IFERROR(__xludf.DUMMYFUNCTION("""COMPUTED_VALUE"""),"State PCS")</f>
        <v>State PCS</v>
      </c>
      <c r="K839" s="124"/>
      <c r="L839" s="124"/>
      <c r="M839" s="124"/>
      <c r="N839" s="124"/>
      <c r="O839" s="124"/>
      <c r="T839" s="126">
        <f>IFERROR(__xludf.DUMMYFUNCTION("""COMPUTED_VALUE"""),46099.0)</f>
        <v>46099</v>
      </c>
      <c r="U839" s="124" t="str">
        <f>IFERROR(__xludf.DUMMYFUNCTION("""COMPUTED_VALUE"""),"Walk-Ins")</f>
        <v>Walk-Ins</v>
      </c>
      <c r="V839" s="124" t="str">
        <f>IFERROR(__xludf.DUMMYFUNCTION("""COMPUTED_VALUE"""),"Walk-In")</f>
        <v>Walk-In</v>
      </c>
      <c r="W839" s="124" t="str">
        <f>IFERROR(__xludf.DUMMYFUNCTION("""COMPUTED_VALUE"""),"Prayagraj")</f>
        <v>Prayagraj</v>
      </c>
      <c r="X839" s="124" t="str">
        <f>IFERROR(__xludf.DUMMYFUNCTION("""COMPUTED_VALUE"""),"Shivanshi")</f>
        <v>Shivanshi</v>
      </c>
      <c r="Y839" s="124" t="str">
        <f>IFERROR(__xludf.DUMMYFUNCTION("""COMPUTED_VALUE"""),"Prayagraj")</f>
        <v>Prayagraj</v>
      </c>
      <c r="Z839" s="124">
        <f>IFERROR(__xludf.DUMMYFUNCTION("""COMPUTED_VALUE"""),1.0)</f>
        <v>1</v>
      </c>
      <c r="AA839" s="124" t="str">
        <f>IFERROR(__xludf.DUMMYFUNCTION("""COMPUTED_VALUE"""),"Warm")</f>
        <v>Warm</v>
      </c>
      <c r="AB839" s="124" t="str">
        <f>IFERROR(__xludf.DUMMYFUNCTION("""COMPUTED_VALUE"""),"State PCS")</f>
        <v>State PCS</v>
      </c>
    </row>
    <row r="840">
      <c r="A840" s="126">
        <f>IFERROR(__xludf.DUMMYFUNCTION("""COMPUTED_VALUE"""),46097.0)</f>
        <v>46097</v>
      </c>
      <c r="B840" s="124" t="str">
        <f>IFERROR(__xludf.DUMMYFUNCTION("""COMPUTED_VALUE"""),"Walk-In")</f>
        <v>Walk-In</v>
      </c>
      <c r="C840" s="124" t="str">
        <f>IFERROR(__xludf.DUMMYFUNCTION("""COMPUTED_VALUE"""),"Prayagraj")</f>
        <v>Prayagraj</v>
      </c>
      <c r="D840" s="124" t="str">
        <f>IFERROR(__xludf.DUMMYFUNCTION("""COMPUTED_VALUE"""),"Primary_Walkin")</f>
        <v>Primary_Walkin</v>
      </c>
      <c r="E840" s="124">
        <f>IFERROR(__xludf.DUMMYFUNCTION("""COMPUTED_VALUE"""),2.0)</f>
        <v>2</v>
      </c>
      <c r="F840" s="124" t="str">
        <f>IFERROR(__xludf.DUMMYFUNCTION("""COMPUTED_VALUE"""),"Future Prospects")</f>
        <v>Future Prospects</v>
      </c>
      <c r="G840" s="124" t="str">
        <f>IFERROR(__xludf.DUMMYFUNCTION("""COMPUTED_VALUE"""),"GS Foundation")</f>
        <v>GS Foundation</v>
      </c>
      <c r="K840" s="124"/>
      <c r="L840" s="124"/>
      <c r="M840" s="124"/>
      <c r="N840" s="124"/>
      <c r="O840" s="124"/>
      <c r="T840" s="126">
        <f>IFERROR(__xludf.DUMMYFUNCTION("""COMPUTED_VALUE"""),46101.0)</f>
        <v>46101</v>
      </c>
      <c r="U840" s="124" t="str">
        <f>IFERROR(__xludf.DUMMYFUNCTION("""COMPUTED_VALUE"""),"Walk-Ins")</f>
        <v>Walk-Ins</v>
      </c>
      <c r="V840" s="124" t="str">
        <f>IFERROR(__xludf.DUMMYFUNCTION("""COMPUTED_VALUE"""),"Walk-In")</f>
        <v>Walk-In</v>
      </c>
      <c r="W840" s="124" t="str">
        <f>IFERROR(__xludf.DUMMYFUNCTION("""COMPUTED_VALUE"""),"Prayagraj")</f>
        <v>Prayagraj</v>
      </c>
      <c r="X840" s="124" t="str">
        <f>IFERROR(__xludf.DUMMYFUNCTION("""COMPUTED_VALUE"""),"Shivanshi")</f>
        <v>Shivanshi</v>
      </c>
      <c r="Y840" s="124" t="str">
        <f>IFERROR(__xludf.DUMMYFUNCTION("""COMPUTED_VALUE"""),"Prayagraj")</f>
        <v>Prayagraj</v>
      </c>
      <c r="Z840" s="124">
        <f>IFERROR(__xludf.DUMMYFUNCTION("""COMPUTED_VALUE"""),2.0)</f>
        <v>2</v>
      </c>
      <c r="AA840" s="124" t="str">
        <f>IFERROR(__xludf.DUMMYFUNCTION("""COMPUTED_VALUE"""),"Cold")</f>
        <v>Cold</v>
      </c>
      <c r="AB840" s="124" t="str">
        <f>IFERROR(__xludf.DUMMYFUNCTION("""COMPUTED_VALUE"""),"Test Series")</f>
        <v>Test Series</v>
      </c>
    </row>
    <row r="841">
      <c r="A841" s="126">
        <f>IFERROR(__xludf.DUMMYFUNCTION("""COMPUTED_VALUE"""),46049.0)</f>
        <v>46049</v>
      </c>
      <c r="B841" s="124" t="str">
        <f>IFERROR(__xludf.DUMMYFUNCTION("""COMPUTED_VALUE"""),"Walk-In")</f>
        <v>Walk-In</v>
      </c>
      <c r="C841" s="124" t="str">
        <f>IFERROR(__xludf.DUMMYFUNCTION("""COMPUTED_VALUE"""),"Prayagraj")</f>
        <v>Prayagraj</v>
      </c>
      <c r="D841" s="124" t="str">
        <f>IFERROR(__xludf.DUMMYFUNCTION("""COMPUTED_VALUE"""),"Primary_Walkin")</f>
        <v>Primary_Walkin</v>
      </c>
      <c r="E841" s="124">
        <f>IFERROR(__xludf.DUMMYFUNCTION("""COMPUTED_VALUE"""),1.0)</f>
        <v>1</v>
      </c>
      <c r="F841" s="124" t="str">
        <f>IFERROR(__xludf.DUMMYFUNCTION("""COMPUTED_VALUE"""),"Not Interested")</f>
        <v>Not Interested</v>
      </c>
      <c r="G841" s="124" t="str">
        <f>IFERROR(__xludf.DUMMYFUNCTION("""COMPUTED_VALUE"""),"State PCS")</f>
        <v>State PCS</v>
      </c>
      <c r="K841" s="124"/>
      <c r="L841" s="124"/>
      <c r="M841" s="124"/>
      <c r="N841" s="124"/>
      <c r="O841" s="124"/>
      <c r="T841" s="126">
        <f>IFERROR(__xludf.DUMMYFUNCTION("""COMPUTED_VALUE"""),46061.0)</f>
        <v>46061</v>
      </c>
      <c r="U841" s="124" t="str">
        <f>IFERROR(__xludf.DUMMYFUNCTION("""COMPUTED_VALUE"""),"Walk-Ins")</f>
        <v>Walk-Ins</v>
      </c>
      <c r="V841" s="124" t="str">
        <f>IFERROR(__xludf.DUMMYFUNCTION("""COMPUTED_VALUE"""),"Walk-In")</f>
        <v>Walk-In</v>
      </c>
      <c r="W841" s="124" t="str">
        <f>IFERROR(__xludf.DUMMYFUNCTION("""COMPUTED_VALUE"""),"Prayagraj")</f>
        <v>Prayagraj</v>
      </c>
      <c r="X841" s="124" t="str">
        <f>IFERROR(__xludf.DUMMYFUNCTION("""COMPUTED_VALUE"""),"Shivanshi")</f>
        <v>Shivanshi</v>
      </c>
      <c r="Y841" s="124" t="str">
        <f>IFERROR(__xludf.DUMMYFUNCTION("""COMPUTED_VALUE"""),"Prayagraj")</f>
        <v>Prayagraj</v>
      </c>
      <c r="Z841" s="124">
        <f>IFERROR(__xludf.DUMMYFUNCTION("""COMPUTED_VALUE"""),1.0)</f>
        <v>1</v>
      </c>
      <c r="AA841" s="124" t="str">
        <f>IFERROR(__xludf.DUMMYFUNCTION("""COMPUTED_VALUE"""),"Cold")</f>
        <v>Cold</v>
      </c>
      <c r="AB841" s="124" t="str">
        <f>IFERROR(__xludf.DUMMYFUNCTION("""COMPUTED_VALUE"""),"Test Series")</f>
        <v>Test Series</v>
      </c>
    </row>
    <row r="842">
      <c r="A842" s="126">
        <f>IFERROR(__xludf.DUMMYFUNCTION("""COMPUTED_VALUE"""),46089.0)</f>
        <v>46089</v>
      </c>
      <c r="B842" s="124" t="str">
        <f>IFERROR(__xludf.DUMMYFUNCTION("""COMPUTED_VALUE"""),"Walkin")</f>
        <v>Walkin</v>
      </c>
      <c r="C842" s="124" t="str">
        <f>IFERROR(__xludf.DUMMYFUNCTION("""COMPUTED_VALUE"""),"Prayagraj")</f>
        <v>Prayagraj</v>
      </c>
      <c r="D842" s="124" t="str">
        <f>IFERROR(__xludf.DUMMYFUNCTION("""COMPUTED_VALUE"""),"Primary_Walkin")</f>
        <v>Primary_Walkin</v>
      </c>
      <c r="E842" s="124">
        <f>IFERROR(__xludf.DUMMYFUNCTION("""COMPUTED_VALUE"""),1.0)</f>
        <v>1</v>
      </c>
      <c r="F842" s="124" t="str">
        <f>IFERROR(__xludf.DUMMYFUNCTION("""COMPUTED_VALUE"""),"Future Prospects")</f>
        <v>Future Prospects</v>
      </c>
      <c r="G842" s="124" t="str">
        <f>IFERROR(__xludf.DUMMYFUNCTION("""COMPUTED_VALUE"""),"Mentorship")</f>
        <v>Mentorship</v>
      </c>
      <c r="K842" s="124"/>
      <c r="L842" s="124"/>
      <c r="M842" s="124"/>
      <c r="N842" s="124"/>
      <c r="O842" s="124"/>
      <c r="T842" s="126">
        <f>IFERROR(__xludf.DUMMYFUNCTION("""COMPUTED_VALUE"""),46091.0)</f>
        <v>46091</v>
      </c>
      <c r="U842" s="124" t="str">
        <f>IFERROR(__xludf.DUMMYFUNCTION("""COMPUTED_VALUE"""),"Walk-Ins")</f>
        <v>Walk-Ins</v>
      </c>
      <c r="V842" s="124" t="str">
        <f>IFERROR(__xludf.DUMMYFUNCTION("""COMPUTED_VALUE"""),"Walk-In")</f>
        <v>Walk-In</v>
      </c>
      <c r="W842" s="124" t="str">
        <f>IFERROR(__xludf.DUMMYFUNCTION("""COMPUTED_VALUE"""),"Prayagraj")</f>
        <v>Prayagraj</v>
      </c>
      <c r="X842" s="124" t="str">
        <f>IFERROR(__xludf.DUMMYFUNCTION("""COMPUTED_VALUE"""),"Shivanshi")</f>
        <v>Shivanshi</v>
      </c>
      <c r="Y842" s="124" t="str">
        <f>IFERROR(__xludf.DUMMYFUNCTION("""COMPUTED_VALUE"""),"Prayagraj")</f>
        <v>Prayagraj</v>
      </c>
      <c r="Z842" s="124">
        <f>IFERROR(__xludf.DUMMYFUNCTION("""COMPUTED_VALUE"""),2.0)</f>
        <v>2</v>
      </c>
      <c r="AA842" s="124" t="str">
        <f>IFERROR(__xludf.DUMMYFUNCTION("""COMPUTED_VALUE"""),"Future Prospects")</f>
        <v>Future Prospects</v>
      </c>
      <c r="AB842" s="124" t="str">
        <f>IFERROR(__xludf.DUMMYFUNCTION("""COMPUTED_VALUE"""),"GS Foundation")</f>
        <v>GS Foundation</v>
      </c>
    </row>
    <row r="843">
      <c r="A843" s="129">
        <f>IFERROR(__xludf.DUMMYFUNCTION("""COMPUTED_VALUE"""),46092.0)</f>
        <v>46092</v>
      </c>
      <c r="B843" s="124" t="str">
        <f>IFERROR(__xludf.DUMMYFUNCTION("""COMPUTED_VALUE"""),"Walkin")</f>
        <v>Walkin</v>
      </c>
      <c r="C843" s="124" t="str">
        <f>IFERROR(__xludf.DUMMYFUNCTION("""COMPUTED_VALUE"""),"Prayagraj")</f>
        <v>Prayagraj</v>
      </c>
      <c r="D843" s="124" t="str">
        <f>IFERROR(__xludf.DUMMYFUNCTION("""COMPUTED_VALUE"""),"Primary_Walkin")</f>
        <v>Primary_Walkin</v>
      </c>
      <c r="E843" s="124">
        <f>IFERROR(__xludf.DUMMYFUNCTION("""COMPUTED_VALUE"""),7.0)</f>
        <v>7</v>
      </c>
      <c r="F843" s="124" t="str">
        <f>IFERROR(__xludf.DUMMYFUNCTION("""COMPUTED_VALUE"""),"Warm")</f>
        <v>Warm</v>
      </c>
      <c r="G843" s="124" t="str">
        <f>IFERROR(__xludf.DUMMYFUNCTION("""COMPUTED_VALUE"""),"GS Foundation")</f>
        <v>GS Foundation</v>
      </c>
      <c r="K843" s="124"/>
      <c r="L843" s="124"/>
      <c r="M843" s="124"/>
      <c r="N843" s="124"/>
      <c r="O843" s="124"/>
      <c r="T843" s="126">
        <f>IFERROR(__xludf.DUMMYFUNCTION("""COMPUTED_VALUE"""),46088.0)</f>
        <v>46088</v>
      </c>
      <c r="U843" s="124" t="str">
        <f>IFERROR(__xludf.DUMMYFUNCTION("""COMPUTED_VALUE"""),"Walk-Ins")</f>
        <v>Walk-Ins</v>
      </c>
      <c r="V843" s="124" t="str">
        <f>IFERROR(__xludf.DUMMYFUNCTION("""COMPUTED_VALUE"""),"Walk-In")</f>
        <v>Walk-In</v>
      </c>
      <c r="W843" s="124" t="str">
        <f>IFERROR(__xludf.DUMMYFUNCTION("""COMPUTED_VALUE"""),"Prayagraj")</f>
        <v>Prayagraj</v>
      </c>
      <c r="X843" s="124" t="str">
        <f>IFERROR(__xludf.DUMMYFUNCTION("""COMPUTED_VALUE"""),"Shivanshi")</f>
        <v>Shivanshi</v>
      </c>
      <c r="Y843" s="124"/>
      <c r="Z843" s="124">
        <f>IFERROR(__xludf.DUMMYFUNCTION("""COMPUTED_VALUE"""),1.0)</f>
        <v>1</v>
      </c>
      <c r="AA843" s="124" t="str">
        <f>IFERROR(__xludf.DUMMYFUNCTION("""COMPUTED_VALUE"""),"Warm")</f>
        <v>Warm</v>
      </c>
      <c r="AB843" s="124" t="str">
        <f>IFERROR(__xludf.DUMMYFUNCTION("""COMPUTED_VALUE"""),"GS Foundation")</f>
        <v>GS Foundation</v>
      </c>
    </row>
    <row r="844">
      <c r="A844" s="126">
        <f>IFERROR(__xludf.DUMMYFUNCTION("""COMPUTED_VALUE"""),46088.0)</f>
        <v>46088</v>
      </c>
      <c r="B844" s="124" t="str">
        <f>IFERROR(__xludf.DUMMYFUNCTION("""COMPUTED_VALUE"""),"Walkin")</f>
        <v>Walkin</v>
      </c>
      <c r="C844" s="124" t="str">
        <f>IFERROR(__xludf.DUMMYFUNCTION("""COMPUTED_VALUE"""),"Prayagraj")</f>
        <v>Prayagraj</v>
      </c>
      <c r="D844" s="124" t="str">
        <f>IFERROR(__xludf.DUMMYFUNCTION("""COMPUTED_VALUE"""),"Primary_Walkin")</f>
        <v>Primary_Walkin</v>
      </c>
      <c r="E844" s="124">
        <f>IFERROR(__xludf.DUMMYFUNCTION("""COMPUTED_VALUE"""),3.0)</f>
        <v>3</v>
      </c>
      <c r="F844" s="124" t="str">
        <f>IFERROR(__xludf.DUMMYFUNCTION("""COMPUTED_VALUE"""),"Cold")</f>
        <v>Cold</v>
      </c>
      <c r="G844" s="124" t="str">
        <f>IFERROR(__xludf.DUMMYFUNCTION("""COMPUTED_VALUE"""),"GS Foundation")</f>
        <v>GS Foundation</v>
      </c>
      <c r="K844" s="124"/>
      <c r="L844" s="124"/>
      <c r="M844" s="124"/>
      <c r="N844" s="124"/>
      <c r="O844" s="124"/>
      <c r="T844" s="126">
        <f>IFERROR(__xludf.DUMMYFUNCTION("""COMPUTED_VALUE"""),46057.0)</f>
        <v>46057</v>
      </c>
      <c r="U844" s="124" t="str">
        <f>IFERROR(__xludf.DUMMYFUNCTION("""COMPUTED_VALUE"""),"Walk-Ins")</f>
        <v>Walk-Ins</v>
      </c>
      <c r="V844" s="124" t="str">
        <f>IFERROR(__xludf.DUMMYFUNCTION("""COMPUTED_VALUE"""),"Walk-In")</f>
        <v>Walk-In</v>
      </c>
      <c r="W844" s="124" t="str">
        <f>IFERROR(__xludf.DUMMYFUNCTION("""COMPUTED_VALUE"""),"Prayagraj")</f>
        <v>Prayagraj</v>
      </c>
      <c r="X844" s="124" t="str">
        <f>IFERROR(__xludf.DUMMYFUNCTION("""COMPUTED_VALUE"""),"Shivanshi")</f>
        <v>Shivanshi</v>
      </c>
      <c r="Y844" s="124" t="str">
        <f>IFERROR(__xludf.DUMMYFUNCTION("""COMPUTED_VALUE"""),"Prayagraj")</f>
        <v>Prayagraj</v>
      </c>
      <c r="Z844" s="124">
        <f>IFERROR(__xludf.DUMMYFUNCTION("""COMPUTED_VALUE"""),1.0)</f>
        <v>1</v>
      </c>
      <c r="AA844" s="124" t="str">
        <f>IFERROR(__xludf.DUMMYFUNCTION("""COMPUTED_VALUE"""),"Cold")</f>
        <v>Cold</v>
      </c>
      <c r="AB844" s="124" t="str">
        <f>IFERROR(__xludf.DUMMYFUNCTION("""COMPUTED_VALUE"""),"Test Series")</f>
        <v>Test Series</v>
      </c>
    </row>
    <row r="845">
      <c r="A845" s="126">
        <f>IFERROR(__xludf.DUMMYFUNCTION("""COMPUTED_VALUE"""),46065.0)</f>
        <v>46065</v>
      </c>
      <c r="B845" s="124" t="str">
        <f>IFERROR(__xludf.DUMMYFUNCTION("""COMPUTED_VALUE"""),"Walkin")</f>
        <v>Walkin</v>
      </c>
      <c r="C845" s="124" t="str">
        <f>IFERROR(__xludf.DUMMYFUNCTION("""COMPUTED_VALUE"""),"Prayagraj")</f>
        <v>Prayagraj</v>
      </c>
      <c r="D845" s="124" t="str">
        <f>IFERROR(__xludf.DUMMYFUNCTION("""COMPUTED_VALUE"""),"Primary_Walkin")</f>
        <v>Primary_Walkin</v>
      </c>
      <c r="E845" s="124">
        <f>IFERROR(__xludf.DUMMYFUNCTION("""COMPUTED_VALUE"""),3.0)</f>
        <v>3</v>
      </c>
      <c r="F845" s="124" t="str">
        <f>IFERROR(__xludf.DUMMYFUNCTION("""COMPUTED_VALUE"""),"Cold")</f>
        <v>Cold</v>
      </c>
      <c r="G845" s="124" t="str">
        <f>IFERROR(__xludf.DUMMYFUNCTION("""COMPUTED_VALUE"""),"GS Foundation")</f>
        <v>GS Foundation</v>
      </c>
      <c r="K845" s="124"/>
      <c r="L845" s="124"/>
      <c r="M845" s="124"/>
      <c r="N845" s="124"/>
      <c r="O845" s="124"/>
      <c r="T845" s="126">
        <f>IFERROR(__xludf.DUMMYFUNCTION("""COMPUTED_VALUE"""),46099.0)</f>
        <v>46099</v>
      </c>
      <c r="U845" s="124" t="str">
        <f>IFERROR(__xludf.DUMMYFUNCTION("""COMPUTED_VALUE"""),"Walk-Ins")</f>
        <v>Walk-Ins</v>
      </c>
      <c r="V845" s="124" t="str">
        <f>IFERROR(__xludf.DUMMYFUNCTION("""COMPUTED_VALUE"""),"Walk-In")</f>
        <v>Walk-In</v>
      </c>
      <c r="W845" s="124" t="str">
        <f>IFERROR(__xludf.DUMMYFUNCTION("""COMPUTED_VALUE"""),"Prayagraj")</f>
        <v>Prayagraj</v>
      </c>
      <c r="X845" s="124" t="str">
        <f>IFERROR(__xludf.DUMMYFUNCTION("""COMPUTED_VALUE"""),"Shivanshi")</f>
        <v>Shivanshi</v>
      </c>
      <c r="Y845" s="124" t="str">
        <f>IFERROR(__xludf.DUMMYFUNCTION("""COMPUTED_VALUE"""),"Prayagraj")</f>
        <v>Prayagraj</v>
      </c>
      <c r="Z845" s="124">
        <f>IFERROR(__xludf.DUMMYFUNCTION("""COMPUTED_VALUE"""),1.0)</f>
        <v>1</v>
      </c>
      <c r="AA845" s="124" t="str">
        <f>IFERROR(__xludf.DUMMYFUNCTION("""COMPUTED_VALUE"""),"Warm")</f>
        <v>Warm</v>
      </c>
      <c r="AB845" s="124" t="str">
        <f>IFERROR(__xludf.DUMMYFUNCTION("""COMPUTED_VALUE"""),"GS Foundation")</f>
        <v>GS Foundation</v>
      </c>
    </row>
    <row r="846">
      <c r="A846" s="126">
        <f>IFERROR(__xludf.DUMMYFUNCTION("""COMPUTED_VALUE"""),46090.0)</f>
        <v>46090</v>
      </c>
      <c r="B846" s="124" t="str">
        <f>IFERROR(__xludf.DUMMYFUNCTION("""COMPUTED_VALUE"""),"Walk-In")</f>
        <v>Walk-In</v>
      </c>
      <c r="C846" s="124" t="str">
        <f>IFERROR(__xludf.DUMMYFUNCTION("""COMPUTED_VALUE"""),"Prayagraj")</f>
        <v>Prayagraj</v>
      </c>
      <c r="D846" s="124" t="str">
        <f>IFERROR(__xludf.DUMMYFUNCTION("""COMPUTED_VALUE"""),"Primary_Walkin")</f>
        <v>Primary_Walkin</v>
      </c>
      <c r="E846" s="124">
        <f>IFERROR(__xludf.DUMMYFUNCTION("""COMPUTED_VALUE"""),1.0)</f>
        <v>1</v>
      </c>
      <c r="F846" s="124" t="str">
        <f>IFERROR(__xludf.DUMMYFUNCTION("""COMPUTED_VALUE"""),"Cold")</f>
        <v>Cold</v>
      </c>
      <c r="G846" s="124" t="str">
        <f>IFERROR(__xludf.DUMMYFUNCTION("""COMPUTED_VALUE"""),"Other")</f>
        <v>Other</v>
      </c>
      <c r="K846" s="124"/>
      <c r="L846" s="124"/>
      <c r="M846" s="124"/>
      <c r="N846" s="124"/>
      <c r="O846" s="124"/>
      <c r="T846" s="126">
        <f>IFERROR(__xludf.DUMMYFUNCTION("""COMPUTED_VALUE"""),46093.0)</f>
        <v>46093</v>
      </c>
      <c r="U846" s="124" t="str">
        <f>IFERROR(__xludf.DUMMYFUNCTION("""COMPUTED_VALUE"""),"Walk-Ins")</f>
        <v>Walk-Ins</v>
      </c>
      <c r="V846" s="124" t="str">
        <f>IFERROR(__xludf.DUMMYFUNCTION("""COMPUTED_VALUE"""),"Walk-In")</f>
        <v>Walk-In</v>
      </c>
      <c r="W846" s="124" t="str">
        <f>IFERROR(__xludf.DUMMYFUNCTION("""COMPUTED_VALUE"""),"Prayagraj")</f>
        <v>Prayagraj</v>
      </c>
      <c r="X846" s="124" t="str">
        <f>IFERROR(__xludf.DUMMYFUNCTION("""COMPUTED_VALUE"""),"Shivanshi")</f>
        <v>Shivanshi</v>
      </c>
      <c r="Y846" s="124" t="str">
        <f>IFERROR(__xludf.DUMMYFUNCTION("""COMPUTED_VALUE"""),"Prayagraj")</f>
        <v>Prayagraj</v>
      </c>
      <c r="Z846" s="124">
        <f>IFERROR(__xludf.DUMMYFUNCTION("""COMPUTED_VALUE"""),4.0)</f>
        <v>4</v>
      </c>
      <c r="AA846" s="124" t="str">
        <f>IFERROR(__xludf.DUMMYFUNCTION("""COMPUTED_VALUE"""),"Warm")</f>
        <v>Warm</v>
      </c>
      <c r="AB846" s="124" t="str">
        <f>IFERROR(__xludf.DUMMYFUNCTION("""COMPUTED_VALUE"""),"GS Foundation")</f>
        <v>GS Foundation</v>
      </c>
    </row>
    <row r="847">
      <c r="A847" s="126">
        <f>IFERROR(__xludf.DUMMYFUNCTION("""COMPUTED_VALUE"""),46057.0)</f>
        <v>46057</v>
      </c>
      <c r="B847" s="124" t="str">
        <f>IFERROR(__xludf.DUMMYFUNCTION("""COMPUTED_VALUE"""),"Walkin")</f>
        <v>Walkin</v>
      </c>
      <c r="C847" s="124" t="str">
        <f>IFERROR(__xludf.DUMMYFUNCTION("""COMPUTED_VALUE"""),"Prayagraj")</f>
        <v>Prayagraj</v>
      </c>
      <c r="D847" s="124" t="str">
        <f>IFERROR(__xludf.DUMMYFUNCTION("""COMPUTED_VALUE"""),"Primary_Walkin")</f>
        <v>Primary_Walkin</v>
      </c>
      <c r="E847" s="124">
        <f>IFERROR(__xludf.DUMMYFUNCTION("""COMPUTED_VALUE"""),3.0)</f>
        <v>3</v>
      </c>
      <c r="F847" s="124" t="str">
        <f>IFERROR(__xludf.DUMMYFUNCTION("""COMPUTED_VALUE"""),"Cold")</f>
        <v>Cold</v>
      </c>
      <c r="G847" s="124" t="str">
        <f>IFERROR(__xludf.DUMMYFUNCTION("""COMPUTED_VALUE"""),"GS Foundation")</f>
        <v>GS Foundation</v>
      </c>
      <c r="K847" s="124"/>
      <c r="L847" s="124"/>
      <c r="M847" s="124"/>
      <c r="N847" s="124"/>
      <c r="O847" s="124"/>
      <c r="T847" s="126">
        <f>IFERROR(__xludf.DUMMYFUNCTION("""COMPUTED_VALUE"""),46059.0)</f>
        <v>46059</v>
      </c>
      <c r="U847" s="124" t="str">
        <f>IFERROR(__xludf.DUMMYFUNCTION("""COMPUTED_VALUE"""),"Walk-Ins")</f>
        <v>Walk-Ins</v>
      </c>
      <c r="V847" s="124" t="str">
        <f>IFERROR(__xludf.DUMMYFUNCTION("""COMPUTED_VALUE"""),"Walk-In")</f>
        <v>Walk-In</v>
      </c>
      <c r="W847" s="124" t="str">
        <f>IFERROR(__xludf.DUMMYFUNCTION("""COMPUTED_VALUE"""),"Prayagraj")</f>
        <v>Prayagraj</v>
      </c>
      <c r="X847" s="124" t="str">
        <f>IFERROR(__xludf.DUMMYFUNCTION("""COMPUTED_VALUE"""),"Shivanshi")</f>
        <v>Shivanshi</v>
      </c>
      <c r="Y847" s="124" t="str">
        <f>IFERROR(__xludf.DUMMYFUNCTION("""COMPUTED_VALUE"""),"Prayagraj")</f>
        <v>Prayagraj</v>
      </c>
      <c r="Z847" s="124">
        <f>IFERROR(__xludf.DUMMYFUNCTION("""COMPUTED_VALUE"""),2.0)</f>
        <v>2</v>
      </c>
      <c r="AA847" s="124" t="str">
        <f>IFERROR(__xludf.DUMMYFUNCTION("""COMPUTED_VALUE"""),"Cold")</f>
        <v>Cold</v>
      </c>
      <c r="AB847" s="124" t="str">
        <f>IFERROR(__xludf.DUMMYFUNCTION("""COMPUTED_VALUE"""),"Other")</f>
        <v>Other</v>
      </c>
    </row>
    <row r="848">
      <c r="A848" s="126">
        <f>IFERROR(__xludf.DUMMYFUNCTION("""COMPUTED_VALUE"""),46093.0)</f>
        <v>46093</v>
      </c>
      <c r="B848" s="124" t="str">
        <f>IFERROR(__xludf.DUMMYFUNCTION("""COMPUTED_VALUE"""),"Walkin")</f>
        <v>Walkin</v>
      </c>
      <c r="C848" s="124" t="str">
        <f>IFERROR(__xludf.DUMMYFUNCTION("""COMPUTED_VALUE"""),"Prayagraj")</f>
        <v>Prayagraj</v>
      </c>
      <c r="D848" s="124" t="str">
        <f>IFERROR(__xludf.DUMMYFUNCTION("""COMPUTED_VALUE"""),"Primary_Walkin")</f>
        <v>Primary_Walkin</v>
      </c>
      <c r="E848" s="124">
        <f>IFERROR(__xludf.DUMMYFUNCTION("""COMPUTED_VALUE"""),1.0)</f>
        <v>1</v>
      </c>
      <c r="F848" s="124" t="str">
        <f>IFERROR(__xludf.DUMMYFUNCTION("""COMPUTED_VALUE"""),"Interested")</f>
        <v>Interested</v>
      </c>
      <c r="G848" s="124" t="str">
        <f>IFERROR(__xludf.DUMMYFUNCTION("""COMPUTED_VALUE"""),"State PCS")</f>
        <v>State PCS</v>
      </c>
      <c r="K848" s="124"/>
      <c r="L848" s="124"/>
      <c r="M848" s="124"/>
      <c r="N848" s="124"/>
      <c r="O848" s="124"/>
      <c r="T848" s="126">
        <f>IFERROR(__xludf.DUMMYFUNCTION("""COMPUTED_VALUE"""),46056.0)</f>
        <v>46056</v>
      </c>
      <c r="U848" s="124" t="str">
        <f>IFERROR(__xludf.DUMMYFUNCTION("""COMPUTED_VALUE"""),"Walk-Ins")</f>
        <v>Walk-Ins</v>
      </c>
      <c r="V848" s="124" t="str">
        <f>IFERROR(__xludf.DUMMYFUNCTION("""COMPUTED_VALUE"""),"Walk-In")</f>
        <v>Walk-In</v>
      </c>
      <c r="W848" s="124" t="str">
        <f>IFERROR(__xludf.DUMMYFUNCTION("""COMPUTED_VALUE"""),"Prayagraj")</f>
        <v>Prayagraj</v>
      </c>
      <c r="X848" s="124" t="str">
        <f>IFERROR(__xludf.DUMMYFUNCTION("""COMPUTED_VALUE"""),"Shivanshi")</f>
        <v>Shivanshi</v>
      </c>
      <c r="Y848" s="124" t="str">
        <f>IFERROR(__xludf.DUMMYFUNCTION("""COMPUTED_VALUE"""),"Prayagraj")</f>
        <v>Prayagraj</v>
      </c>
      <c r="Z848" s="124">
        <f>IFERROR(__xludf.DUMMYFUNCTION("""COMPUTED_VALUE"""),1.0)</f>
        <v>1</v>
      </c>
      <c r="AA848" s="124" t="str">
        <f>IFERROR(__xludf.DUMMYFUNCTION("""COMPUTED_VALUE"""),"Future Prospects")</f>
        <v>Future Prospects</v>
      </c>
      <c r="AB848" s="124" t="str">
        <f>IFERROR(__xludf.DUMMYFUNCTION("""COMPUTED_VALUE"""),"Other")</f>
        <v>Other</v>
      </c>
    </row>
    <row r="849">
      <c r="A849" s="126">
        <f>IFERROR(__xludf.DUMMYFUNCTION("""COMPUTED_VALUE"""),46090.0)</f>
        <v>46090</v>
      </c>
      <c r="B849" s="124" t="str">
        <f>IFERROR(__xludf.DUMMYFUNCTION("""COMPUTED_VALUE"""),"Walkin")</f>
        <v>Walkin</v>
      </c>
      <c r="C849" s="124" t="str">
        <f>IFERROR(__xludf.DUMMYFUNCTION("""COMPUTED_VALUE"""),"Prayagraj")</f>
        <v>Prayagraj</v>
      </c>
      <c r="D849" s="124" t="str">
        <f>IFERROR(__xludf.DUMMYFUNCTION("""COMPUTED_VALUE"""),"Primary_Walkin")</f>
        <v>Primary_Walkin</v>
      </c>
      <c r="E849" s="124">
        <f>IFERROR(__xludf.DUMMYFUNCTION("""COMPUTED_VALUE"""),3.0)</f>
        <v>3</v>
      </c>
      <c r="F849" s="124" t="str">
        <f>IFERROR(__xludf.DUMMYFUNCTION("""COMPUTED_VALUE"""),"Enrolled")</f>
        <v>Enrolled</v>
      </c>
      <c r="G849" s="124" t="str">
        <f>IFERROR(__xludf.DUMMYFUNCTION("""COMPUTED_VALUE"""),"GS Foundation")</f>
        <v>GS Foundation</v>
      </c>
      <c r="K849" s="124"/>
      <c r="L849" s="124"/>
      <c r="M849" s="124"/>
      <c r="N849" s="124"/>
      <c r="O849" s="124"/>
      <c r="T849" s="126">
        <f>IFERROR(__xludf.DUMMYFUNCTION("""COMPUTED_VALUE"""),46050.0)</f>
        <v>46050</v>
      </c>
      <c r="U849" s="124" t="str">
        <f>IFERROR(__xludf.DUMMYFUNCTION("""COMPUTED_VALUE"""),"Telephony")</f>
        <v>Telephony</v>
      </c>
      <c r="V849" s="124" t="str">
        <f>IFERROR(__xludf.DUMMYFUNCTION("""COMPUTED_VALUE"""),"Inbound Call")</f>
        <v>Inbound Call</v>
      </c>
      <c r="W849" s="124">
        <f>IFERROR(__xludf.DUMMYFUNCTION("""COMPUTED_VALUE"""),9.18047861635E11)</f>
        <v>918047861635</v>
      </c>
      <c r="X849" s="124" t="str">
        <f>IFERROR(__xludf.DUMMYFUNCTION("""COMPUTED_VALUE"""),"Inbound Call")</f>
        <v>Inbound Call</v>
      </c>
      <c r="Y849" s="124"/>
      <c r="Z849" s="124">
        <f>IFERROR(__xludf.DUMMYFUNCTION("""COMPUTED_VALUE"""),1.0)</f>
        <v>1</v>
      </c>
      <c r="AA849" s="124" t="str">
        <f>IFERROR(__xludf.DUMMYFUNCTION("""COMPUTED_VALUE"""),"Not Interested")</f>
        <v>Not Interested</v>
      </c>
      <c r="AB849" s="124"/>
    </row>
    <row r="850">
      <c r="A850" s="126">
        <f>IFERROR(__xludf.DUMMYFUNCTION("""COMPUTED_VALUE"""),46056.0)</f>
        <v>46056</v>
      </c>
      <c r="B850" s="124" t="str">
        <f>IFERROR(__xludf.DUMMYFUNCTION("""COMPUTED_VALUE"""),"Walkin")</f>
        <v>Walkin</v>
      </c>
      <c r="C850" s="124" t="str">
        <f>IFERROR(__xludf.DUMMYFUNCTION("""COMPUTED_VALUE"""),"Prayagraj")</f>
        <v>Prayagraj</v>
      </c>
      <c r="D850" s="124" t="str">
        <f>IFERROR(__xludf.DUMMYFUNCTION("""COMPUTED_VALUE"""),"Primary_Walkin")</f>
        <v>Primary_Walkin</v>
      </c>
      <c r="E850" s="124">
        <f>IFERROR(__xludf.DUMMYFUNCTION("""COMPUTED_VALUE"""),1.0)</f>
        <v>1</v>
      </c>
      <c r="F850" s="124" t="str">
        <f>IFERROR(__xludf.DUMMYFUNCTION("""COMPUTED_VALUE"""),"Enrolled")</f>
        <v>Enrolled</v>
      </c>
      <c r="G850" s="124" t="str">
        <f>IFERROR(__xludf.DUMMYFUNCTION("""COMPUTED_VALUE"""),"State PCS")</f>
        <v>State PCS</v>
      </c>
      <c r="K850" s="124"/>
      <c r="L850" s="124"/>
      <c r="M850" s="124"/>
      <c r="N850" s="124"/>
      <c r="O850" s="124"/>
      <c r="T850" s="129">
        <f>IFERROR(__xludf.DUMMYFUNCTION("""COMPUTED_VALUE"""),46101.0)</f>
        <v>46101</v>
      </c>
      <c r="U850" s="124" t="str">
        <f>IFERROR(__xludf.DUMMYFUNCTION("""COMPUTED_VALUE"""),"Telephony")</f>
        <v>Telephony</v>
      </c>
      <c r="V850" s="124" t="str">
        <f>IFERROR(__xludf.DUMMYFUNCTION("""COMPUTED_VALUE"""),"Inbound Call")</f>
        <v>Inbound Call</v>
      </c>
      <c r="W850" s="124">
        <f>IFERROR(__xludf.DUMMYFUNCTION("""COMPUTED_VALUE"""),9.18047861634E11)</f>
        <v>918047861634</v>
      </c>
      <c r="X850" s="124" t="str">
        <f>IFERROR(__xludf.DUMMYFUNCTION("""COMPUTED_VALUE"""),"Inbound Call")</f>
        <v>Inbound Call</v>
      </c>
      <c r="Y850" s="124"/>
      <c r="Z850" s="124">
        <f>IFERROR(__xludf.DUMMYFUNCTION("""COMPUTED_VALUE"""),1.0)</f>
        <v>1</v>
      </c>
      <c r="AA850" s="124" t="str">
        <f>IFERROR(__xludf.DUMMYFUNCTION("""COMPUTED_VALUE"""),"Cold")</f>
        <v>Cold</v>
      </c>
      <c r="AB850" s="124"/>
    </row>
    <row r="851">
      <c r="A851" s="126">
        <f>IFERROR(__xludf.DUMMYFUNCTION("""COMPUTED_VALUE"""),46071.0)</f>
        <v>46071</v>
      </c>
      <c r="B851" s="124" t="str">
        <f>IFERROR(__xludf.DUMMYFUNCTION("""COMPUTED_VALUE"""),"external leads")</f>
        <v>external leads</v>
      </c>
      <c r="C851" s="124" t="str">
        <f>IFERROR(__xludf.DUMMYFUNCTION("""COMPUTED_VALUE"""),"Prayagraj")</f>
        <v>Prayagraj</v>
      </c>
      <c r="D851" s="124" t="str">
        <f>IFERROR(__xludf.DUMMYFUNCTION("""COMPUTED_VALUE"""),"Secondary_Walkin")</f>
        <v>Secondary_Walkin</v>
      </c>
      <c r="E851" s="124">
        <f>IFERROR(__xludf.DUMMYFUNCTION("""COMPUTED_VALUE"""),1.0)</f>
        <v>1</v>
      </c>
      <c r="F851" s="124" t="str">
        <f>IFERROR(__xludf.DUMMYFUNCTION("""COMPUTED_VALUE"""),"Cold")</f>
        <v>Cold</v>
      </c>
      <c r="G851" s="124" t="str">
        <f>IFERROR(__xludf.DUMMYFUNCTION("""COMPUTED_VALUE"""),"GS Foundation")</f>
        <v>GS Foundation</v>
      </c>
      <c r="K851" s="124"/>
      <c r="L851" s="124"/>
      <c r="M851" s="124"/>
      <c r="N851" s="124"/>
      <c r="O851" s="124"/>
      <c r="T851" s="126">
        <f>IFERROR(__xludf.DUMMYFUNCTION("""COMPUTED_VALUE"""),46089.0)</f>
        <v>46089</v>
      </c>
      <c r="U851" s="124" t="str">
        <f>IFERROR(__xludf.DUMMYFUNCTION("""COMPUTED_VALUE"""),"Telephony")</f>
        <v>Telephony</v>
      </c>
      <c r="V851" s="124" t="str">
        <f>IFERROR(__xludf.DUMMYFUNCTION("""COMPUTED_VALUE"""),"Inbound Call")</f>
        <v>Inbound Call</v>
      </c>
      <c r="W851" s="124" t="str">
        <f>IFERROR(__xludf.DUMMYFUNCTION("""COMPUTED_VALUE"""),"Inbound Call")</f>
        <v>Inbound Call</v>
      </c>
      <c r="X851" s="124" t="str">
        <f>IFERROR(__xludf.DUMMYFUNCTION("""COMPUTED_VALUE"""),"Inbound Call")</f>
        <v>Inbound Call</v>
      </c>
      <c r="Y851" s="124" t="str">
        <f>IFERROR(__xludf.DUMMYFUNCTION("""COMPUTED_VALUE"""),"Delhi")</f>
        <v>Delhi</v>
      </c>
      <c r="Z851" s="124">
        <f>IFERROR(__xludf.DUMMYFUNCTION("""COMPUTED_VALUE"""),2.0)</f>
        <v>2</v>
      </c>
      <c r="AA851" s="124" t="str">
        <f>IFERROR(__xludf.DUMMYFUNCTION("""COMPUTED_VALUE"""),"Fake Lead")</f>
        <v>Fake Lead</v>
      </c>
      <c r="AB851" s="124"/>
    </row>
    <row r="852">
      <c r="A852" s="126">
        <f>IFERROR(__xludf.DUMMYFUNCTION("""COMPUTED_VALUE"""),46046.0)</f>
        <v>46046</v>
      </c>
      <c r="B852" s="124" t="str">
        <f>IFERROR(__xludf.DUMMYFUNCTION("""COMPUTED_VALUE"""),"Walkin")</f>
        <v>Walkin</v>
      </c>
      <c r="C852" s="124" t="str">
        <f>IFERROR(__xludf.DUMMYFUNCTION("""COMPUTED_VALUE"""),"Prayagraj")</f>
        <v>Prayagraj</v>
      </c>
      <c r="D852" s="124" t="str">
        <f>IFERROR(__xludf.DUMMYFUNCTION("""COMPUTED_VALUE"""),"Primary_Walkin")</f>
        <v>Primary_Walkin</v>
      </c>
      <c r="E852" s="124">
        <f>IFERROR(__xludf.DUMMYFUNCTION("""COMPUTED_VALUE"""),1.0)</f>
        <v>1</v>
      </c>
      <c r="F852" s="124" t="str">
        <f>IFERROR(__xludf.DUMMYFUNCTION("""COMPUTED_VALUE"""),"Cold")</f>
        <v>Cold</v>
      </c>
      <c r="G852" s="124" t="str">
        <f>IFERROR(__xludf.DUMMYFUNCTION("""COMPUTED_VALUE"""),"Other")</f>
        <v>Other</v>
      </c>
      <c r="K852" s="124"/>
      <c r="L852" s="124"/>
      <c r="M852" s="124"/>
      <c r="N852" s="124"/>
      <c r="O852" s="124"/>
      <c r="T852" s="126">
        <f>IFERROR(__xludf.DUMMYFUNCTION("""COMPUTED_VALUE"""),46098.0)</f>
        <v>46098</v>
      </c>
      <c r="U852" s="124" t="str">
        <f>IFERROR(__xludf.DUMMYFUNCTION("""COMPUTED_VALUE"""),"Telephony")</f>
        <v>Telephony</v>
      </c>
      <c r="V852" s="124" t="str">
        <f>IFERROR(__xludf.DUMMYFUNCTION("""COMPUTED_VALUE"""),"Inbound Call")</f>
        <v>Inbound Call</v>
      </c>
      <c r="W852" s="124">
        <f>IFERROR(__xludf.DUMMYFUNCTION("""COMPUTED_VALUE"""),9.18047861635E11)</f>
        <v>918047861635</v>
      </c>
      <c r="X852" s="124" t="str">
        <f>IFERROR(__xludf.DUMMYFUNCTION("""COMPUTED_VALUE"""),"Inbound Call")</f>
        <v>Inbound Call</v>
      </c>
      <c r="Y852" s="124" t="str">
        <f>IFERROR(__xludf.DUMMYFUNCTION("""COMPUTED_VALUE"""),"Indore")</f>
        <v>Indore</v>
      </c>
      <c r="Z852" s="124">
        <f>IFERROR(__xludf.DUMMYFUNCTION("""COMPUTED_VALUE"""),2.0)</f>
        <v>2</v>
      </c>
      <c r="AA852" s="124" t="str">
        <f>IFERROR(__xludf.DUMMYFUNCTION("""COMPUTED_VALUE"""),"Not Interested")</f>
        <v>Not Interested</v>
      </c>
      <c r="AB852" s="124"/>
    </row>
    <row r="853">
      <c r="A853" s="126">
        <f>IFERROR(__xludf.DUMMYFUNCTION("""COMPUTED_VALUE"""),46051.0)</f>
        <v>46051</v>
      </c>
      <c r="B853" s="124" t="str">
        <f>IFERROR(__xludf.DUMMYFUNCTION("""COMPUTED_VALUE"""),"Walk-In")</f>
        <v>Walk-In</v>
      </c>
      <c r="C853" s="124" t="str">
        <f>IFERROR(__xludf.DUMMYFUNCTION("""COMPUTED_VALUE"""),"Prayagraj")</f>
        <v>Prayagraj</v>
      </c>
      <c r="D853" s="124" t="str">
        <f>IFERROR(__xludf.DUMMYFUNCTION("""COMPUTED_VALUE"""),"Primary_Walkin")</f>
        <v>Primary_Walkin</v>
      </c>
      <c r="E853" s="124">
        <f>IFERROR(__xludf.DUMMYFUNCTION("""COMPUTED_VALUE"""),1.0)</f>
        <v>1</v>
      </c>
      <c r="F853" s="124" t="str">
        <f>IFERROR(__xludf.DUMMYFUNCTION("""COMPUTED_VALUE"""),"Not Interested")</f>
        <v>Not Interested</v>
      </c>
      <c r="G853" s="124" t="str">
        <f>IFERROR(__xludf.DUMMYFUNCTION("""COMPUTED_VALUE"""),"GS Foundation")</f>
        <v>GS Foundation</v>
      </c>
      <c r="K853" s="124"/>
      <c r="L853" s="124"/>
      <c r="M853" s="124"/>
      <c r="N853" s="124"/>
      <c r="O853" s="124"/>
      <c r="T853" s="126">
        <f>IFERROR(__xludf.DUMMYFUNCTION("""COMPUTED_VALUE"""),46079.0)</f>
        <v>46079</v>
      </c>
      <c r="U853" s="124" t="str">
        <f>IFERROR(__xludf.DUMMYFUNCTION("""COMPUTED_VALUE"""),"Telephony")</f>
        <v>Telephony</v>
      </c>
      <c r="V853" s="124" t="str">
        <f>IFERROR(__xludf.DUMMYFUNCTION("""COMPUTED_VALUE"""),"Inbound Call")</f>
        <v>Inbound Call</v>
      </c>
      <c r="W853" s="124" t="str">
        <f>IFERROR(__xludf.DUMMYFUNCTION("""COMPUTED_VALUE"""),"Inbound Call")</f>
        <v>Inbound Call</v>
      </c>
      <c r="X853" s="124" t="str">
        <f>IFERROR(__xludf.DUMMYFUNCTION("""COMPUTED_VALUE"""),"Inbound Call")</f>
        <v>Inbound Call</v>
      </c>
      <c r="Y853" s="124"/>
      <c r="Z853" s="124">
        <f>IFERROR(__xludf.DUMMYFUNCTION("""COMPUTED_VALUE"""),1.0)</f>
        <v>1</v>
      </c>
      <c r="AA853" s="124" t="str">
        <f>IFERROR(__xludf.DUMMYFUNCTION("""COMPUTED_VALUE"""),"Cold")</f>
        <v>Cold</v>
      </c>
      <c r="AB853" s="124"/>
    </row>
    <row r="854">
      <c r="A854" s="129">
        <f>IFERROR(__xludf.DUMMYFUNCTION("""COMPUTED_VALUE"""),46077.0)</f>
        <v>46077</v>
      </c>
      <c r="B854" s="124" t="str">
        <f>IFERROR(__xludf.DUMMYFUNCTION("""COMPUTED_VALUE"""),"Walkin")</f>
        <v>Walkin</v>
      </c>
      <c r="C854" s="124" t="str">
        <f>IFERROR(__xludf.DUMMYFUNCTION("""COMPUTED_VALUE"""),"Prayagraj")</f>
        <v>Prayagraj</v>
      </c>
      <c r="D854" s="124" t="str">
        <f>IFERROR(__xludf.DUMMYFUNCTION("""COMPUTED_VALUE"""),"Primary_Walkin")</f>
        <v>Primary_Walkin</v>
      </c>
      <c r="E854" s="124">
        <f>IFERROR(__xludf.DUMMYFUNCTION("""COMPUTED_VALUE"""),2.0)</f>
        <v>2</v>
      </c>
      <c r="F854" s="124" t="str">
        <f>IFERROR(__xludf.DUMMYFUNCTION("""COMPUTED_VALUE"""),"Enrolled")</f>
        <v>Enrolled</v>
      </c>
      <c r="G854" s="124" t="str">
        <f>IFERROR(__xludf.DUMMYFUNCTION("""COMPUTED_VALUE"""),"GS Foundation")</f>
        <v>GS Foundation</v>
      </c>
      <c r="K854" s="124"/>
      <c r="L854" s="124"/>
      <c r="M854" s="124"/>
      <c r="N854" s="124"/>
      <c r="O854" s="124"/>
      <c r="T854" s="126">
        <f>IFERROR(__xludf.DUMMYFUNCTION("""COMPUTED_VALUE"""),46055.0)</f>
        <v>46055</v>
      </c>
      <c r="U854" s="124" t="str">
        <f>IFERROR(__xludf.DUMMYFUNCTION("""COMPUTED_VALUE"""),"Telephony")</f>
        <v>Telephony</v>
      </c>
      <c r="V854" s="124" t="str">
        <f>IFERROR(__xludf.DUMMYFUNCTION("""COMPUTED_VALUE"""),"Inbound Call")</f>
        <v>Inbound Call</v>
      </c>
      <c r="W854" s="124">
        <f>IFERROR(__xludf.DUMMYFUNCTION("""COMPUTED_VALUE"""),9.18047861635E11)</f>
        <v>918047861635</v>
      </c>
      <c r="X854" s="124" t="str">
        <f>IFERROR(__xludf.DUMMYFUNCTION("""COMPUTED_VALUE"""),"Inbound Call")</f>
        <v>Inbound Call</v>
      </c>
      <c r="Y854" s="124" t="str">
        <f>IFERROR(__xludf.DUMMYFUNCTION("""COMPUTED_VALUE"""),"Indore")</f>
        <v>Indore</v>
      </c>
      <c r="Z854" s="124">
        <f>IFERROR(__xludf.DUMMYFUNCTION("""COMPUTED_VALUE"""),2.0)</f>
        <v>2</v>
      </c>
      <c r="AA854" s="124" t="str">
        <f>IFERROR(__xludf.DUMMYFUNCTION("""COMPUTED_VALUE"""),"Not Interested")</f>
        <v>Not Interested</v>
      </c>
      <c r="AB854" s="124"/>
    </row>
    <row r="855">
      <c r="A855" s="129">
        <f>IFERROR(__xludf.DUMMYFUNCTION("""COMPUTED_VALUE"""),46091.0)</f>
        <v>46091</v>
      </c>
      <c r="B855" s="124" t="str">
        <f>IFERROR(__xludf.DUMMYFUNCTION("""COMPUTED_VALUE"""),"Walkin")</f>
        <v>Walkin</v>
      </c>
      <c r="C855" s="124" t="str">
        <f>IFERROR(__xludf.DUMMYFUNCTION("""COMPUTED_VALUE"""),"Prayagraj")</f>
        <v>Prayagraj</v>
      </c>
      <c r="D855" s="124" t="str">
        <f>IFERROR(__xludf.DUMMYFUNCTION("""COMPUTED_VALUE"""),"Primary_Walkin")</f>
        <v>Primary_Walkin</v>
      </c>
      <c r="E855" s="124">
        <f>IFERROR(__xludf.DUMMYFUNCTION("""COMPUTED_VALUE"""),1.0)</f>
        <v>1</v>
      </c>
      <c r="F855" s="124" t="str">
        <f>IFERROR(__xludf.DUMMYFUNCTION("""COMPUTED_VALUE"""),"Enrolled")</f>
        <v>Enrolled</v>
      </c>
      <c r="G855" s="124" t="str">
        <f>IFERROR(__xludf.DUMMYFUNCTION("""COMPUTED_VALUE"""),"GS Foundation")</f>
        <v>GS Foundation</v>
      </c>
      <c r="K855" s="124"/>
      <c r="L855" s="124"/>
      <c r="M855" s="124"/>
      <c r="N855" s="124"/>
      <c r="O855" s="124"/>
      <c r="T855" s="126">
        <f>IFERROR(__xludf.DUMMYFUNCTION("""COMPUTED_VALUE"""),46056.0)</f>
        <v>46056</v>
      </c>
      <c r="U855" s="124" t="str">
        <f>IFERROR(__xludf.DUMMYFUNCTION("""COMPUTED_VALUE"""),"Telephony")</f>
        <v>Telephony</v>
      </c>
      <c r="V855" s="124" t="str">
        <f>IFERROR(__xludf.DUMMYFUNCTION("""COMPUTED_VALUE"""),"Inbound Call")</f>
        <v>Inbound Call</v>
      </c>
      <c r="W855" s="124">
        <f>IFERROR(__xludf.DUMMYFUNCTION("""COMPUTED_VALUE"""),9.18047861663E11)</f>
        <v>918047861663</v>
      </c>
      <c r="X855" s="124" t="str">
        <f>IFERROR(__xludf.DUMMYFUNCTION("""COMPUTED_VALUE"""),"Inbound Call")</f>
        <v>Inbound Call</v>
      </c>
      <c r="Y855" s="124"/>
      <c r="Z855" s="124">
        <f>IFERROR(__xludf.DUMMYFUNCTION("""COMPUTED_VALUE"""),7.0)</f>
        <v>7</v>
      </c>
      <c r="AA855" s="124" t="str">
        <f>IFERROR(__xludf.DUMMYFUNCTION("""COMPUTED_VALUE"""),"Cold")</f>
        <v>Cold</v>
      </c>
      <c r="AB855" s="124"/>
    </row>
    <row r="856">
      <c r="A856" s="126">
        <f>IFERROR(__xludf.DUMMYFUNCTION("""COMPUTED_VALUE"""),46092.0)</f>
        <v>46092</v>
      </c>
      <c r="B856" s="124" t="str">
        <f>IFERROR(__xludf.DUMMYFUNCTION("""COMPUTED_VALUE"""),"Walkin")</f>
        <v>Walkin</v>
      </c>
      <c r="C856" s="124" t="str">
        <f>IFERROR(__xludf.DUMMYFUNCTION("""COMPUTED_VALUE"""),"Prayagraj")</f>
        <v>Prayagraj</v>
      </c>
      <c r="D856" s="124" t="str">
        <f>IFERROR(__xludf.DUMMYFUNCTION("""COMPUTED_VALUE"""),"Primary_Walkin")</f>
        <v>Primary_Walkin</v>
      </c>
      <c r="E856" s="124">
        <f>IFERROR(__xludf.DUMMYFUNCTION("""COMPUTED_VALUE"""),1.0)</f>
        <v>1</v>
      </c>
      <c r="F856" s="124" t="str">
        <f>IFERROR(__xludf.DUMMYFUNCTION("""COMPUTED_VALUE"""),"Not Interested")</f>
        <v>Not Interested</v>
      </c>
      <c r="G856" s="124" t="str">
        <f>IFERROR(__xludf.DUMMYFUNCTION("""COMPUTED_VALUE"""),"State PCS")</f>
        <v>State PCS</v>
      </c>
      <c r="K856" s="124"/>
      <c r="L856" s="124"/>
      <c r="M856" s="124"/>
      <c r="N856" s="124"/>
      <c r="O856" s="124"/>
      <c r="T856" s="126">
        <f>IFERROR(__xludf.DUMMYFUNCTION("""COMPUTED_VALUE"""),46109.0)</f>
        <v>46109</v>
      </c>
      <c r="U856" s="124" t="str">
        <f>IFERROR(__xludf.DUMMYFUNCTION("""COMPUTED_VALUE"""),"Paid Ads")</f>
        <v>Paid Ads</v>
      </c>
      <c r="V856" s="124" t="str">
        <f>IFERROR(__xludf.DUMMYFUNCTION("""COMPUTED_VALUE"""),"Facebook")</f>
        <v>Facebook</v>
      </c>
      <c r="W856" s="124" t="str">
        <f>IFERROR(__xludf.DUMMYFUNCTION("""COMPUTED_VALUE"""),"LeadAd")</f>
        <v>LeadAd</v>
      </c>
      <c r="X856" s="124" t="str">
        <f>IFERROR(__xludf.DUMMYFUNCTION("""COMPUTED_VALUE"""),"Upsc_offline_925_Video_lead_FB_Deeksha")</f>
        <v>Upsc_offline_925_Video_lead_FB_Deeksha</v>
      </c>
      <c r="Y856" s="124" t="str">
        <f>IFERROR(__xludf.DUMMYFUNCTION("""COMPUTED_VALUE"""),"Delhi")</f>
        <v>Delhi</v>
      </c>
      <c r="Z856" s="124">
        <f>IFERROR(__xludf.DUMMYFUNCTION("""COMPUTED_VALUE"""),8.0)</f>
        <v>8</v>
      </c>
      <c r="AA856" s="124"/>
      <c r="AB856" s="124"/>
    </row>
    <row r="857">
      <c r="A857" s="129">
        <f>IFERROR(__xludf.DUMMYFUNCTION("""COMPUTED_VALUE"""),46068.0)</f>
        <v>46068</v>
      </c>
      <c r="B857" s="124" t="str">
        <f>IFERROR(__xludf.DUMMYFUNCTION("""COMPUTED_VALUE"""),"Walk-In")</f>
        <v>Walk-In</v>
      </c>
      <c r="C857" s="124" t="str">
        <f>IFERROR(__xludf.DUMMYFUNCTION("""COMPUTED_VALUE"""),"Prayagraj")</f>
        <v>Prayagraj</v>
      </c>
      <c r="D857" s="124" t="str">
        <f>IFERROR(__xludf.DUMMYFUNCTION("""COMPUTED_VALUE"""),"Primary_Walkin")</f>
        <v>Primary_Walkin</v>
      </c>
      <c r="E857" s="124">
        <f>IFERROR(__xludf.DUMMYFUNCTION("""COMPUTED_VALUE"""),1.0)</f>
        <v>1</v>
      </c>
      <c r="F857" s="124" t="str">
        <f>IFERROR(__xludf.DUMMYFUNCTION("""COMPUTED_VALUE"""),"Future Prospects")</f>
        <v>Future Prospects</v>
      </c>
      <c r="G857" s="124" t="str">
        <f>IFERROR(__xludf.DUMMYFUNCTION("""COMPUTED_VALUE"""),"GS Foundation")</f>
        <v>GS Foundation</v>
      </c>
      <c r="K857" s="124"/>
      <c r="L857" s="124"/>
      <c r="M857" s="124"/>
      <c r="N857" s="124"/>
      <c r="O857" s="124"/>
      <c r="T857" s="129">
        <f>IFERROR(__xludf.DUMMYFUNCTION("""COMPUTED_VALUE"""),46078.0)</f>
        <v>46078</v>
      </c>
      <c r="U857" s="124" t="str">
        <f>IFERROR(__xludf.DUMMYFUNCTION("""COMPUTED_VALUE"""),"Telephony")</f>
        <v>Telephony</v>
      </c>
      <c r="V857" s="124" t="str">
        <f>IFERROR(__xludf.DUMMYFUNCTION("""COMPUTED_VALUE"""),"Inbound Call")</f>
        <v>Inbound Call</v>
      </c>
      <c r="W857" s="124">
        <f>IFERROR(__xludf.DUMMYFUNCTION("""COMPUTED_VALUE"""),9.18047861634E11)</f>
        <v>918047861634</v>
      </c>
      <c r="X857" s="124" t="str">
        <f>IFERROR(__xludf.DUMMYFUNCTION("""COMPUTED_VALUE"""),"Inbound Call")</f>
        <v>Inbound Call</v>
      </c>
      <c r="Y857" s="124"/>
      <c r="Z857" s="124">
        <f>IFERROR(__xludf.DUMMYFUNCTION("""COMPUTED_VALUE"""),2.0)</f>
        <v>2</v>
      </c>
      <c r="AA857" s="124" t="str">
        <f>IFERROR(__xludf.DUMMYFUNCTION("""COMPUTED_VALUE"""),"Cold")</f>
        <v>Cold</v>
      </c>
      <c r="AB857" s="124"/>
    </row>
    <row r="858">
      <c r="A858" s="129">
        <f>IFERROR(__xludf.DUMMYFUNCTION("""COMPUTED_VALUE"""),46063.0)</f>
        <v>46063</v>
      </c>
      <c r="B858" s="124" t="str">
        <f>IFERROR(__xludf.DUMMYFUNCTION("""COMPUTED_VALUE"""),"Walkin")</f>
        <v>Walkin</v>
      </c>
      <c r="C858" s="124" t="str">
        <f>IFERROR(__xludf.DUMMYFUNCTION("""COMPUTED_VALUE"""),"Prayagraj")</f>
        <v>Prayagraj</v>
      </c>
      <c r="D858" s="124" t="str">
        <f>IFERROR(__xludf.DUMMYFUNCTION("""COMPUTED_VALUE"""),"Primary_Walkin")</f>
        <v>Primary_Walkin</v>
      </c>
      <c r="E858" s="124">
        <f>IFERROR(__xludf.DUMMYFUNCTION("""COMPUTED_VALUE"""),1.0)</f>
        <v>1</v>
      </c>
      <c r="F858" s="124" t="str">
        <f>IFERROR(__xludf.DUMMYFUNCTION("""COMPUTED_VALUE"""),"Cold")</f>
        <v>Cold</v>
      </c>
      <c r="G858" s="124" t="str">
        <f>IFERROR(__xludf.DUMMYFUNCTION("""COMPUTED_VALUE"""),"Test Series")</f>
        <v>Test Series</v>
      </c>
      <c r="K858" s="124"/>
      <c r="L858" s="124"/>
      <c r="M858" s="124"/>
      <c r="N858" s="124"/>
      <c r="O858" s="124"/>
      <c r="T858" s="126">
        <f>IFERROR(__xludf.DUMMYFUNCTION("""COMPUTED_VALUE"""),46084.0)</f>
        <v>46084</v>
      </c>
      <c r="U858" s="124" t="str">
        <f>IFERROR(__xludf.DUMMYFUNCTION("""COMPUTED_VALUE"""),"Telephony")</f>
        <v>Telephony</v>
      </c>
      <c r="V858" s="124" t="str">
        <f>IFERROR(__xludf.DUMMYFUNCTION("""COMPUTED_VALUE"""),"Inbound Call")</f>
        <v>Inbound Call</v>
      </c>
      <c r="W858" s="124">
        <f>IFERROR(__xludf.DUMMYFUNCTION("""COMPUTED_VALUE"""),9.18047861663E11)</f>
        <v>918047861663</v>
      </c>
      <c r="X858" s="124" t="str">
        <f>IFERROR(__xludf.DUMMYFUNCTION("""COMPUTED_VALUE"""),"Inbound Call")</f>
        <v>Inbound Call</v>
      </c>
      <c r="Y858" s="124" t="str">
        <f>IFERROR(__xludf.DUMMYFUNCTION("""COMPUTED_VALUE"""),"Delhi")</f>
        <v>Delhi</v>
      </c>
      <c r="Z858" s="124">
        <f>IFERROR(__xludf.DUMMYFUNCTION("""COMPUTED_VALUE"""),3.0)</f>
        <v>3</v>
      </c>
      <c r="AA858" s="124" t="str">
        <f>IFERROR(__xludf.DUMMYFUNCTION("""COMPUTED_VALUE"""),"Cold")</f>
        <v>Cold</v>
      </c>
      <c r="AB858" s="124"/>
    </row>
    <row r="859">
      <c r="A859" s="126">
        <f>IFERROR(__xludf.DUMMYFUNCTION("""COMPUTED_VALUE"""),46090.0)</f>
        <v>46090</v>
      </c>
      <c r="B859" s="124" t="str">
        <f>IFERROR(__xludf.DUMMYFUNCTION("""COMPUTED_VALUE"""),"Walkin")</f>
        <v>Walkin</v>
      </c>
      <c r="C859" s="124" t="str">
        <f>IFERROR(__xludf.DUMMYFUNCTION("""COMPUTED_VALUE"""),"Prayagraj")</f>
        <v>Prayagraj</v>
      </c>
      <c r="D859" s="124" t="str">
        <f>IFERROR(__xludf.DUMMYFUNCTION("""COMPUTED_VALUE"""),"Primary_Walkin")</f>
        <v>Primary_Walkin</v>
      </c>
      <c r="E859" s="124">
        <f>IFERROR(__xludf.DUMMYFUNCTION("""COMPUTED_VALUE"""),2.0)</f>
        <v>2</v>
      </c>
      <c r="F859" s="124" t="str">
        <f>IFERROR(__xludf.DUMMYFUNCTION("""COMPUTED_VALUE"""),"Not Interested")</f>
        <v>Not Interested</v>
      </c>
      <c r="G859" s="124" t="str">
        <f>IFERROR(__xludf.DUMMYFUNCTION("""COMPUTED_VALUE"""),"GS Foundation")</f>
        <v>GS Foundation</v>
      </c>
      <c r="K859" s="124"/>
      <c r="L859" s="124"/>
      <c r="M859" s="124"/>
      <c r="N859" s="124"/>
      <c r="O859" s="124"/>
      <c r="T859" s="126">
        <f>IFERROR(__xludf.DUMMYFUNCTION("""COMPUTED_VALUE"""),46080.0)</f>
        <v>46080</v>
      </c>
      <c r="U859" s="124" t="str">
        <f>IFERROR(__xludf.DUMMYFUNCTION("""COMPUTED_VALUE"""),"Telephony")</f>
        <v>Telephony</v>
      </c>
      <c r="V859" s="124" t="str">
        <f>IFERROR(__xludf.DUMMYFUNCTION("""COMPUTED_VALUE"""),"Inbound Call")</f>
        <v>Inbound Call</v>
      </c>
      <c r="W859" s="124">
        <f>IFERROR(__xludf.DUMMYFUNCTION("""COMPUTED_VALUE"""),9.18047861663E11)</f>
        <v>918047861663</v>
      </c>
      <c r="X859" s="124" t="str">
        <f>IFERROR(__xludf.DUMMYFUNCTION("""COMPUTED_VALUE"""),"Inbound Call")</f>
        <v>Inbound Call</v>
      </c>
      <c r="Y859" s="124" t="str">
        <f>IFERROR(__xludf.DUMMYFUNCTION("""COMPUTED_VALUE"""),"Delhi")</f>
        <v>Delhi</v>
      </c>
      <c r="Z859" s="124">
        <f>IFERROR(__xludf.DUMMYFUNCTION("""COMPUTED_VALUE"""),1.0)</f>
        <v>1</v>
      </c>
      <c r="AA859" s="124" t="str">
        <f>IFERROR(__xludf.DUMMYFUNCTION("""COMPUTED_VALUE"""),"Warm")</f>
        <v>Warm</v>
      </c>
      <c r="AB859" s="124" t="str">
        <f>IFERROR(__xludf.DUMMYFUNCTION("""COMPUTED_VALUE"""),"GS Foundation")</f>
        <v>GS Foundation</v>
      </c>
    </row>
    <row r="860">
      <c r="A860" s="129">
        <f>IFERROR(__xludf.DUMMYFUNCTION("""COMPUTED_VALUE"""),46062.0)</f>
        <v>46062</v>
      </c>
      <c r="B860" s="124" t="str">
        <f>IFERROR(__xludf.DUMMYFUNCTION("""COMPUTED_VALUE"""),"Walkin")</f>
        <v>Walkin</v>
      </c>
      <c r="C860" s="124" t="str">
        <f>IFERROR(__xludf.DUMMYFUNCTION("""COMPUTED_VALUE"""),"Prayagraj")</f>
        <v>Prayagraj</v>
      </c>
      <c r="D860" s="124" t="str">
        <f>IFERROR(__xludf.DUMMYFUNCTION("""COMPUTED_VALUE"""),"Primary_Walkin")</f>
        <v>Primary_Walkin</v>
      </c>
      <c r="E860" s="124">
        <f>IFERROR(__xludf.DUMMYFUNCTION("""COMPUTED_VALUE"""),1.0)</f>
        <v>1</v>
      </c>
      <c r="F860" s="124" t="str">
        <f>IFERROR(__xludf.DUMMYFUNCTION("""COMPUTED_VALUE"""),"Cold")</f>
        <v>Cold</v>
      </c>
      <c r="G860" s="124" t="str">
        <f>IFERROR(__xludf.DUMMYFUNCTION("""COMPUTED_VALUE"""),"State PCS")</f>
        <v>State PCS</v>
      </c>
      <c r="K860" s="124"/>
      <c r="L860" s="124"/>
      <c r="M860" s="124"/>
      <c r="N860" s="124"/>
      <c r="O860" s="124"/>
      <c r="T860" s="126">
        <f>IFERROR(__xludf.DUMMYFUNCTION("""COMPUTED_VALUE"""),46094.0)</f>
        <v>46094</v>
      </c>
      <c r="U860" s="124" t="str">
        <f>IFERROR(__xludf.DUMMYFUNCTION("""COMPUTED_VALUE"""),"Telephony")</f>
        <v>Telephony</v>
      </c>
      <c r="V860" s="124" t="str">
        <f>IFERROR(__xludf.DUMMYFUNCTION("""COMPUTED_VALUE"""),"Inbound Call")</f>
        <v>Inbound Call</v>
      </c>
      <c r="W860" s="124" t="str">
        <f>IFERROR(__xludf.DUMMYFUNCTION("""COMPUTED_VALUE"""),"Inbound Call")</f>
        <v>Inbound Call</v>
      </c>
      <c r="X860" s="124" t="str">
        <f>IFERROR(__xludf.DUMMYFUNCTION("""COMPUTED_VALUE"""),"Inbound Call")</f>
        <v>Inbound Call</v>
      </c>
      <c r="Y860" s="124"/>
      <c r="Z860" s="124">
        <f>IFERROR(__xludf.DUMMYFUNCTION("""COMPUTED_VALUE"""),2.0)</f>
        <v>2</v>
      </c>
      <c r="AA860" s="124" t="str">
        <f>IFERROR(__xludf.DUMMYFUNCTION("""COMPUTED_VALUE"""),"Fake Lead")</f>
        <v>Fake Lead</v>
      </c>
      <c r="AB860" s="124"/>
    </row>
    <row r="861">
      <c r="A861" s="126">
        <f>IFERROR(__xludf.DUMMYFUNCTION("""COMPUTED_VALUE"""),46055.0)</f>
        <v>46055</v>
      </c>
      <c r="B861" s="124" t="str">
        <f>IFERROR(__xludf.DUMMYFUNCTION("""COMPUTED_VALUE"""),"Walkin")</f>
        <v>Walkin</v>
      </c>
      <c r="C861" s="124" t="str">
        <f>IFERROR(__xludf.DUMMYFUNCTION("""COMPUTED_VALUE"""),"Prayagraj")</f>
        <v>Prayagraj</v>
      </c>
      <c r="D861" s="124" t="str">
        <f>IFERROR(__xludf.DUMMYFUNCTION("""COMPUTED_VALUE"""),"Primary_Walkin")</f>
        <v>Primary_Walkin</v>
      </c>
      <c r="E861" s="124">
        <f>IFERROR(__xludf.DUMMYFUNCTION("""COMPUTED_VALUE"""),1.0)</f>
        <v>1</v>
      </c>
      <c r="F861" s="124" t="str">
        <f>IFERROR(__xludf.DUMMYFUNCTION("""COMPUTED_VALUE"""),"Warm")</f>
        <v>Warm</v>
      </c>
      <c r="G861" s="124" t="str">
        <f>IFERROR(__xludf.DUMMYFUNCTION("""COMPUTED_VALUE"""),"GS Foundation")</f>
        <v>GS Foundation</v>
      </c>
      <c r="K861" s="124"/>
      <c r="L861" s="124"/>
      <c r="M861" s="124"/>
      <c r="N861" s="124"/>
      <c r="O861" s="124"/>
      <c r="T861" s="126">
        <f>IFERROR(__xludf.DUMMYFUNCTION("""COMPUTED_VALUE"""),46052.0)</f>
        <v>46052</v>
      </c>
      <c r="U861" s="124" t="str">
        <f>IFERROR(__xludf.DUMMYFUNCTION("""COMPUTED_VALUE"""),"Telephony")</f>
        <v>Telephony</v>
      </c>
      <c r="V861" s="124" t="str">
        <f>IFERROR(__xludf.DUMMYFUNCTION("""COMPUTED_VALUE"""),"Inbound Call")</f>
        <v>Inbound Call</v>
      </c>
      <c r="W861" s="124">
        <f>IFERROR(__xludf.DUMMYFUNCTION("""COMPUTED_VALUE"""),9.18047861633E11)</f>
        <v>918047861633</v>
      </c>
      <c r="X861" s="124" t="str">
        <f>IFERROR(__xludf.DUMMYFUNCTION("""COMPUTED_VALUE"""),"Inbound Call")</f>
        <v>Inbound Call</v>
      </c>
      <c r="Y861" s="124"/>
      <c r="Z861" s="124">
        <f>IFERROR(__xludf.DUMMYFUNCTION("""COMPUTED_VALUE"""),7.0)</f>
        <v>7</v>
      </c>
      <c r="AA861" s="124" t="str">
        <f>IFERROR(__xludf.DUMMYFUNCTION("""COMPUTED_VALUE"""),"Cold")</f>
        <v>Cold</v>
      </c>
      <c r="AB861" s="124"/>
    </row>
    <row r="862">
      <c r="A862" s="126">
        <f>IFERROR(__xludf.DUMMYFUNCTION("""COMPUTED_VALUE"""),46105.0)</f>
        <v>46105</v>
      </c>
      <c r="B862" s="124" t="str">
        <f>IFERROR(__xludf.DUMMYFUNCTION("""COMPUTED_VALUE"""),"Walkin")</f>
        <v>Walkin</v>
      </c>
      <c r="C862" s="124" t="str">
        <f>IFERROR(__xludf.DUMMYFUNCTION("""COMPUTED_VALUE"""),"Prayagraj")</f>
        <v>Prayagraj</v>
      </c>
      <c r="D862" s="124" t="str">
        <f>IFERROR(__xludf.DUMMYFUNCTION("""COMPUTED_VALUE"""),"Primary_Walkin")</f>
        <v>Primary_Walkin</v>
      </c>
      <c r="E862" s="124">
        <f>IFERROR(__xludf.DUMMYFUNCTION("""COMPUTED_VALUE"""),1.0)</f>
        <v>1</v>
      </c>
      <c r="F862" s="124" t="str">
        <f>IFERROR(__xludf.DUMMYFUNCTION("""COMPUTED_VALUE"""),"Interested")</f>
        <v>Interested</v>
      </c>
      <c r="G862" s="124" t="str">
        <f>IFERROR(__xludf.DUMMYFUNCTION("""COMPUTED_VALUE"""),"GS Foundation")</f>
        <v>GS Foundation</v>
      </c>
      <c r="K862" s="124"/>
      <c r="L862" s="124"/>
      <c r="M862" s="124"/>
      <c r="N862" s="124"/>
      <c r="O862" s="124"/>
      <c r="T862" s="126">
        <f>IFERROR(__xludf.DUMMYFUNCTION("""COMPUTED_VALUE"""),46055.0)</f>
        <v>46055</v>
      </c>
      <c r="U862" s="124" t="str">
        <f>IFERROR(__xludf.DUMMYFUNCTION("""COMPUTED_VALUE"""),"Telephony")</f>
        <v>Telephony</v>
      </c>
      <c r="V862" s="124" t="str">
        <f>IFERROR(__xludf.DUMMYFUNCTION("""COMPUTED_VALUE"""),"Inbound Call")</f>
        <v>Inbound Call</v>
      </c>
      <c r="W862" s="124" t="str">
        <f>IFERROR(__xludf.DUMMYFUNCTION("""COMPUTED_VALUE"""),"Inbound Call")</f>
        <v>Inbound Call</v>
      </c>
      <c r="X862" s="124" t="str">
        <f>IFERROR(__xludf.DUMMYFUNCTION("""COMPUTED_VALUE"""),"Inbound Call")</f>
        <v>Inbound Call</v>
      </c>
      <c r="Y862" s="124" t="str">
        <f>IFERROR(__xludf.DUMMYFUNCTION("""COMPUTED_VALUE"""),"Indore")</f>
        <v>Indore</v>
      </c>
      <c r="Z862" s="124">
        <f>IFERROR(__xludf.DUMMYFUNCTION("""COMPUTED_VALUE"""),2.0)</f>
        <v>2</v>
      </c>
      <c r="AA862" s="124" t="str">
        <f>IFERROR(__xludf.DUMMYFUNCTION("""COMPUTED_VALUE"""),"Cold")</f>
        <v>Cold</v>
      </c>
      <c r="AB862" s="124"/>
    </row>
    <row r="863">
      <c r="A863" s="126">
        <f>IFERROR(__xludf.DUMMYFUNCTION("""COMPUTED_VALUE"""),46103.0)</f>
        <v>46103</v>
      </c>
      <c r="B863" s="124" t="str">
        <f>IFERROR(__xludf.DUMMYFUNCTION("""COMPUTED_VALUE"""),"Walk-In")</f>
        <v>Walk-In</v>
      </c>
      <c r="C863" s="124" t="str">
        <f>IFERROR(__xludf.DUMMYFUNCTION("""COMPUTED_VALUE"""),"Prayagraj")</f>
        <v>Prayagraj</v>
      </c>
      <c r="D863" s="124" t="str">
        <f>IFERROR(__xludf.DUMMYFUNCTION("""COMPUTED_VALUE"""),"Primary_Walkin")</f>
        <v>Primary_Walkin</v>
      </c>
      <c r="E863" s="124">
        <f>IFERROR(__xludf.DUMMYFUNCTION("""COMPUTED_VALUE"""),1.0)</f>
        <v>1</v>
      </c>
      <c r="F863" s="124" t="str">
        <f>IFERROR(__xludf.DUMMYFUNCTION("""COMPUTED_VALUE"""),"Cold")</f>
        <v>Cold</v>
      </c>
      <c r="G863" s="124" t="str">
        <f>IFERROR(__xludf.DUMMYFUNCTION("""COMPUTED_VALUE"""),"Test Series")</f>
        <v>Test Series</v>
      </c>
      <c r="K863" s="124"/>
      <c r="L863" s="124"/>
      <c r="M863" s="124"/>
      <c r="N863" s="124"/>
      <c r="O863" s="124"/>
      <c r="T863" s="126">
        <f>IFERROR(__xludf.DUMMYFUNCTION("""COMPUTED_VALUE"""),46064.0)</f>
        <v>46064</v>
      </c>
      <c r="U863" s="124" t="str">
        <f>IFERROR(__xludf.DUMMYFUNCTION("""COMPUTED_VALUE"""),"Telephony")</f>
        <v>Telephony</v>
      </c>
      <c r="V863" s="124" t="str">
        <f>IFERROR(__xludf.DUMMYFUNCTION("""COMPUTED_VALUE"""),"Inbound Call")</f>
        <v>Inbound Call</v>
      </c>
      <c r="W863" s="124" t="str">
        <f>IFERROR(__xludf.DUMMYFUNCTION("""COMPUTED_VALUE"""),"Inbound Call")</f>
        <v>Inbound Call</v>
      </c>
      <c r="X863" s="124" t="str">
        <f>IFERROR(__xludf.DUMMYFUNCTION("""COMPUTED_VALUE"""),"Inbound Call")</f>
        <v>Inbound Call</v>
      </c>
      <c r="Y863" s="124" t="str">
        <f>IFERROR(__xludf.DUMMYFUNCTION("""COMPUTED_VALUE"""),"Prayagraj")</f>
        <v>Prayagraj</v>
      </c>
      <c r="Z863" s="124">
        <f>IFERROR(__xludf.DUMMYFUNCTION("""COMPUTED_VALUE"""),1.0)</f>
        <v>1</v>
      </c>
      <c r="AA863" s="124" t="str">
        <f>IFERROR(__xludf.DUMMYFUNCTION("""COMPUTED_VALUE"""),"Cold")</f>
        <v>Cold</v>
      </c>
      <c r="AB863" s="124" t="str">
        <f>IFERROR(__xludf.DUMMYFUNCTION("""COMPUTED_VALUE"""),"State PCS")</f>
        <v>State PCS</v>
      </c>
    </row>
    <row r="864">
      <c r="A864" s="126">
        <f>IFERROR(__xludf.DUMMYFUNCTION("""COMPUTED_VALUE"""),46056.0)</f>
        <v>46056</v>
      </c>
      <c r="B864" s="124" t="str">
        <f>IFERROR(__xludf.DUMMYFUNCTION("""COMPUTED_VALUE"""),"Walk-In")</f>
        <v>Walk-In</v>
      </c>
      <c r="C864" s="124" t="str">
        <f>IFERROR(__xludf.DUMMYFUNCTION("""COMPUTED_VALUE"""),"Prayagraj")</f>
        <v>Prayagraj</v>
      </c>
      <c r="D864" s="124" t="str">
        <f>IFERROR(__xludf.DUMMYFUNCTION("""COMPUTED_VALUE"""),"Primary_Walkin")</f>
        <v>Primary_Walkin</v>
      </c>
      <c r="E864" s="124">
        <f>IFERROR(__xludf.DUMMYFUNCTION("""COMPUTED_VALUE"""),2.0)</f>
        <v>2</v>
      </c>
      <c r="F864" s="124" t="str">
        <f>IFERROR(__xludf.DUMMYFUNCTION("""COMPUTED_VALUE"""),"Future Prospects")</f>
        <v>Future Prospects</v>
      </c>
      <c r="G864" s="124" t="str">
        <f>IFERROR(__xludf.DUMMYFUNCTION("""COMPUTED_VALUE"""),"GS Foundation")</f>
        <v>GS Foundation</v>
      </c>
      <c r="K864" s="124"/>
      <c r="L864" s="124"/>
      <c r="M864" s="124"/>
      <c r="N864" s="124"/>
      <c r="O864" s="124"/>
      <c r="T864" s="126">
        <f>IFERROR(__xludf.DUMMYFUNCTION("""COMPUTED_VALUE"""),46111.0)</f>
        <v>46111</v>
      </c>
      <c r="U864" s="124" t="str">
        <f>IFERROR(__xludf.DUMMYFUNCTION("""COMPUTED_VALUE"""),"Telephony")</f>
        <v>Telephony</v>
      </c>
      <c r="V864" s="124" t="str">
        <f>IFERROR(__xludf.DUMMYFUNCTION("""COMPUTED_VALUE"""),"Inbound Call")</f>
        <v>Inbound Call</v>
      </c>
      <c r="W864" s="124">
        <f>IFERROR(__xludf.DUMMYFUNCTION("""COMPUTED_VALUE"""),9.18047861663E11)</f>
        <v>918047861663</v>
      </c>
      <c r="X864" s="124" t="str">
        <f>IFERROR(__xludf.DUMMYFUNCTION("""COMPUTED_VALUE"""),"Inbound Call")</f>
        <v>Inbound Call</v>
      </c>
      <c r="Y864" s="124" t="str">
        <f>IFERROR(__xludf.DUMMYFUNCTION("""COMPUTED_VALUE"""),"Delhi")</f>
        <v>Delhi</v>
      </c>
      <c r="Z864" s="124">
        <f>IFERROR(__xludf.DUMMYFUNCTION("""COMPUTED_VALUE"""),5.0)</f>
        <v>5</v>
      </c>
      <c r="AA864" s="124" t="str">
        <f>IFERROR(__xludf.DUMMYFUNCTION("""COMPUTED_VALUE"""),"Cold")</f>
        <v>Cold</v>
      </c>
      <c r="AB864" s="124"/>
    </row>
    <row r="865">
      <c r="A865" s="126">
        <f>IFERROR(__xludf.DUMMYFUNCTION("""COMPUTED_VALUE"""),46090.0)</f>
        <v>46090</v>
      </c>
      <c r="B865" s="124" t="str">
        <f>IFERROR(__xludf.DUMMYFUNCTION("""COMPUTED_VALUE"""),"Walkin")</f>
        <v>Walkin</v>
      </c>
      <c r="C865" s="124" t="str">
        <f>IFERROR(__xludf.DUMMYFUNCTION("""COMPUTED_VALUE"""),"Prayagraj")</f>
        <v>Prayagraj</v>
      </c>
      <c r="D865" s="124" t="str">
        <f>IFERROR(__xludf.DUMMYFUNCTION("""COMPUTED_VALUE"""),"Primary_Walkin")</f>
        <v>Primary_Walkin</v>
      </c>
      <c r="E865" s="124">
        <f>IFERROR(__xludf.DUMMYFUNCTION("""COMPUTED_VALUE"""),1.0)</f>
        <v>1</v>
      </c>
      <c r="F865" s="124" t="str">
        <f>IFERROR(__xludf.DUMMYFUNCTION("""COMPUTED_VALUE"""),"Future Prospects")</f>
        <v>Future Prospects</v>
      </c>
      <c r="G865" s="124" t="str">
        <f>IFERROR(__xludf.DUMMYFUNCTION("""COMPUTED_VALUE"""),"State PCS")</f>
        <v>State PCS</v>
      </c>
      <c r="K865" s="124"/>
      <c r="L865" s="124"/>
      <c r="M865" s="124"/>
      <c r="N865" s="124"/>
      <c r="O865" s="124"/>
      <c r="T865" s="129">
        <f>IFERROR(__xludf.DUMMYFUNCTION("""COMPUTED_VALUE"""),46055.0)</f>
        <v>46055</v>
      </c>
      <c r="U865" s="124" t="str">
        <f>IFERROR(__xludf.DUMMYFUNCTION("""COMPUTED_VALUE"""),"Telephony")</f>
        <v>Telephony</v>
      </c>
      <c r="V865" s="124" t="str">
        <f>IFERROR(__xludf.DUMMYFUNCTION("""COMPUTED_VALUE"""),"Inbound Call")</f>
        <v>Inbound Call</v>
      </c>
      <c r="W865" s="124">
        <f>IFERROR(__xludf.DUMMYFUNCTION("""COMPUTED_VALUE"""),9.18047861663E11)</f>
        <v>918047861663</v>
      </c>
      <c r="X865" s="124" t="str">
        <f>IFERROR(__xludf.DUMMYFUNCTION("""COMPUTED_VALUE"""),"Inbound Call")</f>
        <v>Inbound Call</v>
      </c>
      <c r="Y865" s="124" t="str">
        <f>IFERROR(__xludf.DUMMYFUNCTION("""COMPUTED_VALUE"""),"Delhi")</f>
        <v>Delhi</v>
      </c>
      <c r="Z865" s="124">
        <f>IFERROR(__xludf.DUMMYFUNCTION("""COMPUTED_VALUE"""),1.0)</f>
        <v>1</v>
      </c>
      <c r="AA865" s="124" t="str">
        <f>IFERROR(__xludf.DUMMYFUNCTION("""COMPUTED_VALUE"""),"Cold")</f>
        <v>Cold</v>
      </c>
      <c r="AB865" s="124"/>
    </row>
    <row r="866">
      <c r="A866" s="126">
        <f>IFERROR(__xludf.DUMMYFUNCTION("""COMPUTED_VALUE"""),46087.0)</f>
        <v>46087</v>
      </c>
      <c r="B866" s="124" t="str">
        <f>IFERROR(__xludf.DUMMYFUNCTION("""COMPUTED_VALUE"""),"Walkin")</f>
        <v>Walkin</v>
      </c>
      <c r="C866" s="124" t="str">
        <f>IFERROR(__xludf.DUMMYFUNCTION("""COMPUTED_VALUE"""),"Prayagraj")</f>
        <v>Prayagraj</v>
      </c>
      <c r="D866" s="124" t="str">
        <f>IFERROR(__xludf.DUMMYFUNCTION("""COMPUTED_VALUE"""),"Primary_Walkin")</f>
        <v>Primary_Walkin</v>
      </c>
      <c r="E866" s="124">
        <f>IFERROR(__xludf.DUMMYFUNCTION("""COMPUTED_VALUE"""),2.0)</f>
        <v>2</v>
      </c>
      <c r="F866" s="124" t="str">
        <f>IFERROR(__xludf.DUMMYFUNCTION("""COMPUTED_VALUE"""),"Interested")</f>
        <v>Interested</v>
      </c>
      <c r="G866" s="124" t="str">
        <f>IFERROR(__xludf.DUMMYFUNCTION("""COMPUTED_VALUE"""),"GS Foundation")</f>
        <v>GS Foundation</v>
      </c>
      <c r="K866" s="124"/>
      <c r="L866" s="124"/>
      <c r="M866" s="124"/>
      <c r="N866" s="124"/>
      <c r="O866" s="124"/>
      <c r="T866" s="126">
        <f>IFERROR(__xludf.DUMMYFUNCTION("""COMPUTED_VALUE"""),46060.0)</f>
        <v>46060</v>
      </c>
      <c r="U866" s="124" t="str">
        <f>IFERROR(__xludf.DUMMYFUNCTION("""COMPUTED_VALUE"""),"Telephony")</f>
        <v>Telephony</v>
      </c>
      <c r="V866" s="124" t="str">
        <f>IFERROR(__xludf.DUMMYFUNCTION("""COMPUTED_VALUE"""),"Inbound Call")</f>
        <v>Inbound Call</v>
      </c>
      <c r="W866" s="124">
        <f>IFERROR(__xludf.DUMMYFUNCTION("""COMPUTED_VALUE"""),9.18047861631E11)</f>
        <v>918047861631</v>
      </c>
      <c r="X866" s="124" t="str">
        <f>IFERROR(__xludf.DUMMYFUNCTION("""COMPUTED_VALUE"""),"Inbound Call")</f>
        <v>Inbound Call</v>
      </c>
      <c r="Y866" s="124"/>
      <c r="Z866" s="124">
        <f>IFERROR(__xludf.DUMMYFUNCTION("""COMPUTED_VALUE"""),1.0)</f>
        <v>1</v>
      </c>
      <c r="AA866" s="124" t="str">
        <f>IFERROR(__xludf.DUMMYFUNCTION("""COMPUTED_VALUE"""),"Fake Lead")</f>
        <v>Fake Lead</v>
      </c>
      <c r="AB866" s="124"/>
    </row>
    <row r="867">
      <c r="A867" s="129">
        <f>IFERROR(__xludf.DUMMYFUNCTION("""COMPUTED_VALUE"""),46102.0)</f>
        <v>46102</v>
      </c>
      <c r="B867" s="124" t="str">
        <f>IFERROR(__xludf.DUMMYFUNCTION("""COMPUTED_VALUE"""),"Walkin")</f>
        <v>Walkin</v>
      </c>
      <c r="C867" s="124" t="str">
        <f>IFERROR(__xludf.DUMMYFUNCTION("""COMPUTED_VALUE"""),"Prayagraj")</f>
        <v>Prayagraj</v>
      </c>
      <c r="D867" s="124" t="str">
        <f>IFERROR(__xludf.DUMMYFUNCTION("""COMPUTED_VALUE"""),"Primary_Walkin")</f>
        <v>Primary_Walkin</v>
      </c>
      <c r="E867" s="124">
        <f>IFERROR(__xludf.DUMMYFUNCTION("""COMPUTED_VALUE"""),1.0)</f>
        <v>1</v>
      </c>
      <c r="F867" s="124" t="str">
        <f>IFERROR(__xludf.DUMMYFUNCTION("""COMPUTED_VALUE"""),"Not Interested")</f>
        <v>Not Interested</v>
      </c>
      <c r="G867" s="124" t="str">
        <f>IFERROR(__xludf.DUMMYFUNCTION("""COMPUTED_VALUE"""),"GS Foundation")</f>
        <v>GS Foundation</v>
      </c>
      <c r="K867" s="124"/>
      <c r="L867" s="124"/>
      <c r="M867" s="124"/>
      <c r="N867" s="124"/>
      <c r="O867" s="124"/>
      <c r="T867" s="126">
        <f>IFERROR(__xludf.DUMMYFUNCTION("""COMPUTED_VALUE"""),46071.0)</f>
        <v>46071</v>
      </c>
      <c r="U867" s="124" t="str">
        <f>IFERROR(__xludf.DUMMYFUNCTION("""COMPUTED_VALUE"""),"Telephony")</f>
        <v>Telephony</v>
      </c>
      <c r="V867" s="124" t="str">
        <f>IFERROR(__xludf.DUMMYFUNCTION("""COMPUTED_VALUE"""),"Inbound Call")</f>
        <v>Inbound Call</v>
      </c>
      <c r="W867" s="124" t="str">
        <f>IFERROR(__xludf.DUMMYFUNCTION("""COMPUTED_VALUE"""),"Inbound Call")</f>
        <v>Inbound Call</v>
      </c>
      <c r="X867" s="124" t="str">
        <f>IFERROR(__xludf.DUMMYFUNCTION("""COMPUTED_VALUE"""),"Inbound Call")</f>
        <v>Inbound Call</v>
      </c>
      <c r="Y867" s="124"/>
      <c r="Z867" s="124">
        <f>IFERROR(__xludf.DUMMYFUNCTION("""COMPUTED_VALUE"""),1.0)</f>
        <v>1</v>
      </c>
      <c r="AA867" s="124" t="str">
        <f>IFERROR(__xludf.DUMMYFUNCTION("""COMPUTED_VALUE"""),"Cold")</f>
        <v>Cold</v>
      </c>
      <c r="AB867" s="124"/>
    </row>
    <row r="868">
      <c r="A868" s="126">
        <f>IFERROR(__xludf.DUMMYFUNCTION("""COMPUTED_VALUE"""),46103.0)</f>
        <v>46103</v>
      </c>
      <c r="B868" s="124" t="str">
        <f>IFERROR(__xludf.DUMMYFUNCTION("""COMPUTED_VALUE"""),"Walkin")</f>
        <v>Walkin</v>
      </c>
      <c r="C868" s="124" t="str">
        <f>IFERROR(__xludf.DUMMYFUNCTION("""COMPUTED_VALUE"""),"Prayagraj")</f>
        <v>Prayagraj</v>
      </c>
      <c r="D868" s="124" t="str">
        <f>IFERROR(__xludf.DUMMYFUNCTION("""COMPUTED_VALUE"""),"Primary_Walkin")</f>
        <v>Primary_Walkin</v>
      </c>
      <c r="E868" s="124">
        <f>IFERROR(__xludf.DUMMYFUNCTION("""COMPUTED_VALUE"""),1.0)</f>
        <v>1</v>
      </c>
      <c r="F868" s="124" t="str">
        <f>IFERROR(__xludf.DUMMYFUNCTION("""COMPUTED_VALUE"""),"Cold")</f>
        <v>Cold</v>
      </c>
      <c r="G868" s="124" t="str">
        <f>IFERROR(__xludf.DUMMYFUNCTION("""COMPUTED_VALUE"""),"CSAT")</f>
        <v>CSAT</v>
      </c>
      <c r="K868" s="124"/>
      <c r="L868" s="124"/>
      <c r="M868" s="124"/>
      <c r="N868" s="124"/>
      <c r="O868" s="124"/>
      <c r="T868" s="126">
        <f>IFERROR(__xludf.DUMMYFUNCTION("""COMPUTED_VALUE"""),46081.0)</f>
        <v>46081</v>
      </c>
      <c r="U868" s="124" t="str">
        <f>IFERROR(__xludf.DUMMYFUNCTION("""COMPUTED_VALUE"""),"Telephony")</f>
        <v>Telephony</v>
      </c>
      <c r="V868" s="124" t="str">
        <f>IFERROR(__xludf.DUMMYFUNCTION("""COMPUTED_VALUE"""),"Inbound Call")</f>
        <v>Inbound Call</v>
      </c>
      <c r="W868" s="124">
        <f>IFERROR(__xludf.DUMMYFUNCTION("""COMPUTED_VALUE"""),9.18047861663E11)</f>
        <v>918047861663</v>
      </c>
      <c r="X868" s="124" t="str">
        <f>IFERROR(__xludf.DUMMYFUNCTION("""COMPUTED_VALUE"""),"Inbound Call")</f>
        <v>Inbound Call</v>
      </c>
      <c r="Y868" s="124" t="str">
        <f>IFERROR(__xludf.DUMMYFUNCTION("""COMPUTED_VALUE"""),"Delhi")</f>
        <v>Delhi</v>
      </c>
      <c r="Z868" s="124">
        <f>IFERROR(__xludf.DUMMYFUNCTION("""COMPUTED_VALUE"""),7.0)</f>
        <v>7</v>
      </c>
      <c r="AA868" s="124" t="str">
        <f>IFERROR(__xludf.DUMMYFUNCTION("""COMPUTED_VALUE"""),"Cold")</f>
        <v>Cold</v>
      </c>
      <c r="AB868" s="124"/>
    </row>
    <row r="869">
      <c r="A869" s="126">
        <f>IFERROR(__xludf.DUMMYFUNCTION("""COMPUTED_VALUE"""),46109.0)</f>
        <v>46109</v>
      </c>
      <c r="B869" s="124" t="str">
        <f>IFERROR(__xludf.DUMMYFUNCTION("""COMPUTED_VALUE"""),"Walk-In")</f>
        <v>Walk-In</v>
      </c>
      <c r="C869" s="124" t="str">
        <f>IFERROR(__xludf.DUMMYFUNCTION("""COMPUTED_VALUE"""),"Prayagraj")</f>
        <v>Prayagraj</v>
      </c>
      <c r="D869" s="124" t="str">
        <f>IFERROR(__xludf.DUMMYFUNCTION("""COMPUTED_VALUE"""),"Primary_Walkin")</f>
        <v>Primary_Walkin</v>
      </c>
      <c r="E869" s="124">
        <f>IFERROR(__xludf.DUMMYFUNCTION("""COMPUTED_VALUE"""),1.0)</f>
        <v>1</v>
      </c>
      <c r="F869" s="124" t="str">
        <f>IFERROR(__xludf.DUMMYFUNCTION("""COMPUTED_VALUE"""),"Cold")</f>
        <v>Cold</v>
      </c>
      <c r="G869" s="124" t="str">
        <f>IFERROR(__xludf.DUMMYFUNCTION("""COMPUTED_VALUE"""),"Optionals")</f>
        <v>Optionals</v>
      </c>
      <c r="K869" s="124"/>
      <c r="L869" s="124"/>
      <c r="M869" s="124"/>
      <c r="N869" s="124"/>
      <c r="O869" s="124"/>
      <c r="T869" s="129">
        <f>IFERROR(__xludf.DUMMYFUNCTION("""COMPUTED_VALUE"""),46055.0)</f>
        <v>46055</v>
      </c>
      <c r="U869" s="124" t="str">
        <f>IFERROR(__xludf.DUMMYFUNCTION("""COMPUTED_VALUE"""),"Telephony")</f>
        <v>Telephony</v>
      </c>
      <c r="V869" s="124" t="str">
        <f>IFERROR(__xludf.DUMMYFUNCTION("""COMPUTED_VALUE"""),"Inbound Call")</f>
        <v>Inbound Call</v>
      </c>
      <c r="W869" s="124">
        <f>IFERROR(__xludf.DUMMYFUNCTION("""COMPUTED_VALUE"""),9.18047861633E11)</f>
        <v>918047861633</v>
      </c>
      <c r="X869" s="124" t="str">
        <f>IFERROR(__xludf.DUMMYFUNCTION("""COMPUTED_VALUE"""),"Inbound Call")</f>
        <v>Inbound Call</v>
      </c>
      <c r="Y869" s="124"/>
      <c r="Z869" s="124">
        <f>IFERROR(__xludf.DUMMYFUNCTION("""COMPUTED_VALUE"""),4.0)</f>
        <v>4</v>
      </c>
      <c r="AA869" s="124" t="str">
        <f>IFERROR(__xludf.DUMMYFUNCTION("""COMPUTED_VALUE"""),"Cold")</f>
        <v>Cold</v>
      </c>
      <c r="AB869" s="124"/>
    </row>
    <row r="870">
      <c r="A870" s="126">
        <f>IFERROR(__xludf.DUMMYFUNCTION("""COMPUTED_VALUE"""),46097.0)</f>
        <v>46097</v>
      </c>
      <c r="B870" s="124" t="str">
        <f>IFERROR(__xludf.DUMMYFUNCTION("""COMPUTED_VALUE"""),"events")</f>
        <v>events</v>
      </c>
      <c r="C870" s="124" t="str">
        <f>IFERROR(__xludf.DUMMYFUNCTION("""COMPUTED_VALUE"""),"Prayagraj")</f>
        <v>Prayagraj</v>
      </c>
      <c r="D870" s="124" t="str">
        <f>IFERROR(__xludf.DUMMYFUNCTION("""COMPUTED_VALUE"""),"Secondary_Walkin")</f>
        <v>Secondary_Walkin</v>
      </c>
      <c r="E870" s="124">
        <f>IFERROR(__xludf.DUMMYFUNCTION("""COMPUTED_VALUE"""),1.0)</f>
        <v>1</v>
      </c>
      <c r="F870" s="124" t="str">
        <f>IFERROR(__xludf.DUMMYFUNCTION("""COMPUTED_VALUE"""),"Not Interested")</f>
        <v>Not Interested</v>
      </c>
      <c r="G870" s="124" t="str">
        <f>IFERROR(__xludf.DUMMYFUNCTION("""COMPUTED_VALUE"""),"State PCS")</f>
        <v>State PCS</v>
      </c>
      <c r="K870" s="124"/>
      <c r="L870" s="124"/>
      <c r="M870" s="124"/>
      <c r="N870" s="124"/>
      <c r="O870" s="124"/>
      <c r="T870" s="126">
        <f>IFERROR(__xludf.DUMMYFUNCTION("""COMPUTED_VALUE"""),46100.0)</f>
        <v>46100</v>
      </c>
      <c r="U870" s="124" t="str">
        <f>IFERROR(__xludf.DUMMYFUNCTION("""COMPUTED_VALUE"""),"Telephony")</f>
        <v>Telephony</v>
      </c>
      <c r="V870" s="124" t="str">
        <f>IFERROR(__xludf.DUMMYFUNCTION("""COMPUTED_VALUE"""),"Inbound Call")</f>
        <v>Inbound Call</v>
      </c>
      <c r="W870" s="124">
        <f>IFERROR(__xludf.DUMMYFUNCTION("""COMPUTED_VALUE"""),9.18047861635E11)</f>
        <v>918047861635</v>
      </c>
      <c r="X870" s="124" t="str">
        <f>IFERROR(__xludf.DUMMYFUNCTION("""COMPUTED_VALUE"""),"Inbound Call")</f>
        <v>Inbound Call</v>
      </c>
      <c r="Y870" s="124" t="str">
        <f>IFERROR(__xludf.DUMMYFUNCTION("""COMPUTED_VALUE"""),"Indore")</f>
        <v>Indore</v>
      </c>
      <c r="Z870" s="124">
        <f>IFERROR(__xludf.DUMMYFUNCTION("""COMPUTED_VALUE"""),2.0)</f>
        <v>2</v>
      </c>
      <c r="AA870" s="124" t="str">
        <f>IFERROR(__xludf.DUMMYFUNCTION("""COMPUTED_VALUE"""),"Not Interested")</f>
        <v>Not Interested</v>
      </c>
      <c r="AB870" s="124"/>
    </row>
    <row r="871">
      <c r="A871" s="129">
        <f>IFERROR(__xludf.DUMMYFUNCTION("""COMPUTED_VALUE"""),46046.0)</f>
        <v>46046</v>
      </c>
      <c r="B871" s="124" t="str">
        <f>IFERROR(__xludf.DUMMYFUNCTION("""COMPUTED_VALUE"""),"Walkin")</f>
        <v>Walkin</v>
      </c>
      <c r="C871" s="124" t="str">
        <f>IFERROR(__xludf.DUMMYFUNCTION("""COMPUTED_VALUE"""),"Prayagraj")</f>
        <v>Prayagraj</v>
      </c>
      <c r="D871" s="124" t="str">
        <f>IFERROR(__xludf.DUMMYFUNCTION("""COMPUTED_VALUE"""),"Primary_Walkin")</f>
        <v>Primary_Walkin</v>
      </c>
      <c r="E871" s="124">
        <f>IFERROR(__xludf.DUMMYFUNCTION("""COMPUTED_VALUE"""),4.0)</f>
        <v>4</v>
      </c>
      <c r="F871" s="124" t="str">
        <f>IFERROR(__xludf.DUMMYFUNCTION("""COMPUTED_VALUE"""),"Cold")</f>
        <v>Cold</v>
      </c>
      <c r="G871" s="124" t="str">
        <f>IFERROR(__xludf.DUMMYFUNCTION("""COMPUTED_VALUE"""),"GS Foundation")</f>
        <v>GS Foundation</v>
      </c>
      <c r="K871" s="124"/>
      <c r="L871" s="124"/>
      <c r="M871" s="124"/>
      <c r="N871" s="124"/>
      <c r="O871" s="124"/>
      <c r="T871" s="126">
        <f>IFERROR(__xludf.DUMMYFUNCTION("""COMPUTED_VALUE"""),46059.0)</f>
        <v>46059</v>
      </c>
      <c r="U871" s="124" t="str">
        <f>IFERROR(__xludf.DUMMYFUNCTION("""COMPUTED_VALUE"""),"Telephony")</f>
        <v>Telephony</v>
      </c>
      <c r="V871" s="124" t="str">
        <f>IFERROR(__xludf.DUMMYFUNCTION("""COMPUTED_VALUE"""),"Inbound Call")</f>
        <v>Inbound Call</v>
      </c>
      <c r="W871" s="124" t="str">
        <f>IFERROR(__xludf.DUMMYFUNCTION("""COMPUTED_VALUE"""),"Inbound Call")</f>
        <v>Inbound Call</v>
      </c>
      <c r="X871" s="124" t="str">
        <f>IFERROR(__xludf.DUMMYFUNCTION("""COMPUTED_VALUE"""),"Inbound Call")</f>
        <v>Inbound Call</v>
      </c>
      <c r="Y871" s="124" t="str">
        <f>IFERROR(__xludf.DUMMYFUNCTION("""COMPUTED_VALUE"""),"Indore")</f>
        <v>Indore</v>
      </c>
      <c r="Z871" s="124">
        <f>IFERROR(__xludf.DUMMYFUNCTION("""COMPUTED_VALUE"""),2.0)</f>
        <v>2</v>
      </c>
      <c r="AA871" s="124" t="str">
        <f>IFERROR(__xludf.DUMMYFUNCTION("""COMPUTED_VALUE"""),"Cold")</f>
        <v>Cold</v>
      </c>
      <c r="AB871" s="124"/>
    </row>
    <row r="872">
      <c r="A872" s="126">
        <f>IFERROR(__xludf.DUMMYFUNCTION("""COMPUTED_VALUE"""),46091.0)</f>
        <v>46091</v>
      </c>
      <c r="B872" s="124" t="str">
        <f>IFERROR(__xludf.DUMMYFUNCTION("""COMPUTED_VALUE"""),"Walkin")</f>
        <v>Walkin</v>
      </c>
      <c r="C872" s="124" t="str">
        <f>IFERROR(__xludf.DUMMYFUNCTION("""COMPUTED_VALUE"""),"Prayagraj")</f>
        <v>Prayagraj</v>
      </c>
      <c r="D872" s="124" t="str">
        <f>IFERROR(__xludf.DUMMYFUNCTION("""COMPUTED_VALUE"""),"Primary_Walkin")</f>
        <v>Primary_Walkin</v>
      </c>
      <c r="E872" s="124">
        <f>IFERROR(__xludf.DUMMYFUNCTION("""COMPUTED_VALUE"""),2.0)</f>
        <v>2</v>
      </c>
      <c r="F872" s="124" t="str">
        <f>IFERROR(__xludf.DUMMYFUNCTION("""COMPUTED_VALUE"""),"Future Prospects")</f>
        <v>Future Prospects</v>
      </c>
      <c r="G872" s="124" t="str">
        <f>IFERROR(__xludf.DUMMYFUNCTION("""COMPUTED_VALUE"""),"GS Foundation")</f>
        <v>GS Foundation</v>
      </c>
      <c r="K872" s="124"/>
      <c r="L872" s="124"/>
      <c r="M872" s="124"/>
      <c r="N872" s="124"/>
      <c r="O872" s="124"/>
      <c r="T872" s="129">
        <f>IFERROR(__xludf.DUMMYFUNCTION("""COMPUTED_VALUE"""),46044.0)</f>
        <v>46044</v>
      </c>
      <c r="U872" s="124" t="str">
        <f>IFERROR(__xludf.DUMMYFUNCTION("""COMPUTED_VALUE"""),"Telephony")</f>
        <v>Telephony</v>
      </c>
      <c r="V872" s="124" t="str">
        <f>IFERROR(__xludf.DUMMYFUNCTION("""COMPUTED_VALUE"""),"Inbound Call")</f>
        <v>Inbound Call</v>
      </c>
      <c r="W872" s="124">
        <f>IFERROR(__xludf.DUMMYFUNCTION("""COMPUTED_VALUE"""),9.18047861633E11)</f>
        <v>918047861633</v>
      </c>
      <c r="X872" s="124" t="str">
        <f>IFERROR(__xludf.DUMMYFUNCTION("""COMPUTED_VALUE"""),"Inbound Call")</f>
        <v>Inbound Call</v>
      </c>
      <c r="Y872" s="124"/>
      <c r="Z872" s="124">
        <f>IFERROR(__xludf.DUMMYFUNCTION("""COMPUTED_VALUE"""),15.0)</f>
        <v>15</v>
      </c>
      <c r="AA872" s="124" t="str">
        <f>IFERROR(__xludf.DUMMYFUNCTION("""COMPUTED_VALUE"""),"Cold")</f>
        <v>Cold</v>
      </c>
      <c r="AB872" s="124"/>
    </row>
    <row r="873">
      <c r="A873" s="126">
        <f>IFERROR(__xludf.DUMMYFUNCTION("""COMPUTED_VALUE"""),46092.0)</f>
        <v>46092</v>
      </c>
      <c r="B873" s="124" t="str">
        <f>IFERROR(__xludf.DUMMYFUNCTION("""COMPUTED_VALUE"""),"Walkin")</f>
        <v>Walkin</v>
      </c>
      <c r="C873" s="124" t="str">
        <f>IFERROR(__xludf.DUMMYFUNCTION("""COMPUTED_VALUE"""),"Prayagraj")</f>
        <v>Prayagraj</v>
      </c>
      <c r="D873" s="124" t="str">
        <f>IFERROR(__xludf.DUMMYFUNCTION("""COMPUTED_VALUE"""),"Primary_Walkin")</f>
        <v>Primary_Walkin</v>
      </c>
      <c r="E873" s="124">
        <f>IFERROR(__xludf.DUMMYFUNCTION("""COMPUTED_VALUE"""),1.0)</f>
        <v>1</v>
      </c>
      <c r="F873" s="124" t="str">
        <f>IFERROR(__xludf.DUMMYFUNCTION("""COMPUTED_VALUE"""),"Cold")</f>
        <v>Cold</v>
      </c>
      <c r="G873" s="124" t="str">
        <f>IFERROR(__xludf.DUMMYFUNCTION("""COMPUTED_VALUE"""),"Mentorship")</f>
        <v>Mentorship</v>
      </c>
      <c r="K873" s="124"/>
      <c r="L873" s="124"/>
      <c r="M873" s="124"/>
      <c r="N873" s="124"/>
      <c r="O873" s="124"/>
      <c r="T873" s="126">
        <f>IFERROR(__xludf.DUMMYFUNCTION("""COMPUTED_VALUE"""),46109.0)</f>
        <v>46109</v>
      </c>
      <c r="U873" s="124" t="str">
        <f>IFERROR(__xludf.DUMMYFUNCTION("""COMPUTED_VALUE"""),"Telephony")</f>
        <v>Telephony</v>
      </c>
      <c r="V873" s="124" t="str">
        <f>IFERROR(__xludf.DUMMYFUNCTION("""COMPUTED_VALUE"""),"Inbound Call")</f>
        <v>Inbound Call</v>
      </c>
      <c r="W873" s="124">
        <f>IFERROR(__xludf.DUMMYFUNCTION("""COMPUTED_VALUE"""),9.18047861663E11)</f>
        <v>918047861663</v>
      </c>
      <c r="X873" s="124" t="str">
        <f>IFERROR(__xludf.DUMMYFUNCTION("""COMPUTED_VALUE"""),"Inbound Call")</f>
        <v>Inbound Call</v>
      </c>
      <c r="Y873" s="124" t="str">
        <f>IFERROR(__xludf.DUMMYFUNCTION("""COMPUTED_VALUE"""),"Delhi")</f>
        <v>Delhi</v>
      </c>
      <c r="Z873" s="124">
        <f>IFERROR(__xludf.DUMMYFUNCTION("""COMPUTED_VALUE"""),2.0)</f>
        <v>2</v>
      </c>
      <c r="AA873" s="124" t="str">
        <f>IFERROR(__xludf.DUMMYFUNCTION("""COMPUTED_VALUE"""),"Warm")</f>
        <v>Warm</v>
      </c>
      <c r="AB873" s="124" t="str">
        <f>IFERROR(__xludf.DUMMYFUNCTION("""COMPUTED_VALUE"""),"GS Foundation")</f>
        <v>GS Foundation</v>
      </c>
    </row>
    <row r="874">
      <c r="A874" s="126">
        <f>IFERROR(__xludf.DUMMYFUNCTION("""COMPUTED_VALUE"""),46072.0)</f>
        <v>46072</v>
      </c>
      <c r="B874" s="124" t="str">
        <f>IFERROR(__xludf.DUMMYFUNCTION("""COMPUTED_VALUE"""),"Walkin")</f>
        <v>Walkin</v>
      </c>
      <c r="C874" s="124" t="str">
        <f>IFERROR(__xludf.DUMMYFUNCTION("""COMPUTED_VALUE"""),"Prayagraj")</f>
        <v>Prayagraj</v>
      </c>
      <c r="D874" s="124" t="str">
        <f>IFERROR(__xludf.DUMMYFUNCTION("""COMPUTED_VALUE"""),"Primary_Walkin")</f>
        <v>Primary_Walkin</v>
      </c>
      <c r="E874" s="124">
        <f>IFERROR(__xludf.DUMMYFUNCTION("""COMPUTED_VALUE"""),1.0)</f>
        <v>1</v>
      </c>
      <c r="F874" s="124" t="str">
        <f>IFERROR(__xludf.DUMMYFUNCTION("""COMPUTED_VALUE"""),"Cold")</f>
        <v>Cold</v>
      </c>
      <c r="G874" s="124" t="str">
        <f>IFERROR(__xludf.DUMMYFUNCTION("""COMPUTED_VALUE"""),"Other")</f>
        <v>Other</v>
      </c>
      <c r="K874" s="124"/>
      <c r="L874" s="124"/>
      <c r="M874" s="124"/>
      <c r="N874" s="124"/>
      <c r="O874" s="124"/>
      <c r="T874" s="126">
        <f>IFERROR(__xludf.DUMMYFUNCTION("""COMPUTED_VALUE"""),46082.0)</f>
        <v>46082</v>
      </c>
      <c r="U874" s="124" t="str">
        <f>IFERROR(__xludf.DUMMYFUNCTION("""COMPUTED_VALUE"""),"Telephony")</f>
        <v>Telephony</v>
      </c>
      <c r="V874" s="124" t="str">
        <f>IFERROR(__xludf.DUMMYFUNCTION("""COMPUTED_VALUE"""),"Inbound Call")</f>
        <v>Inbound Call</v>
      </c>
      <c r="W874" s="124">
        <f>IFERROR(__xludf.DUMMYFUNCTION("""COMPUTED_VALUE"""),9.18047861635E11)</f>
        <v>918047861635</v>
      </c>
      <c r="X874" s="124" t="str">
        <f>IFERROR(__xludf.DUMMYFUNCTION("""COMPUTED_VALUE"""),"Inbound Call")</f>
        <v>Inbound Call</v>
      </c>
      <c r="Y874" s="124" t="str">
        <f>IFERROR(__xludf.DUMMYFUNCTION("""COMPUTED_VALUE"""),"Indore")</f>
        <v>Indore</v>
      </c>
      <c r="Z874" s="124">
        <f>IFERROR(__xludf.DUMMYFUNCTION("""COMPUTED_VALUE"""),1.0)</f>
        <v>1</v>
      </c>
      <c r="AA874" s="124" t="str">
        <f>IFERROR(__xludf.DUMMYFUNCTION("""COMPUTED_VALUE"""),"Not Interested")</f>
        <v>Not Interested</v>
      </c>
      <c r="AB874" s="124" t="str">
        <f>IFERROR(__xludf.DUMMYFUNCTION("""COMPUTED_VALUE"""),"Other")</f>
        <v>Other</v>
      </c>
    </row>
    <row r="875">
      <c r="A875" s="129">
        <f>IFERROR(__xludf.DUMMYFUNCTION("""COMPUTED_VALUE"""),46067.0)</f>
        <v>46067</v>
      </c>
      <c r="B875" s="124" t="str">
        <f>IFERROR(__xludf.DUMMYFUNCTION("""COMPUTED_VALUE"""),"external leads")</f>
        <v>external leads</v>
      </c>
      <c r="C875" s="124" t="str">
        <f>IFERROR(__xludf.DUMMYFUNCTION("""COMPUTED_VALUE"""),"Prayagraj")</f>
        <v>Prayagraj</v>
      </c>
      <c r="D875" s="124" t="str">
        <f>IFERROR(__xludf.DUMMYFUNCTION("""COMPUTED_VALUE"""),"Secondary_Walkin")</f>
        <v>Secondary_Walkin</v>
      </c>
      <c r="E875" s="124">
        <f>IFERROR(__xludf.DUMMYFUNCTION("""COMPUTED_VALUE"""),1.0)</f>
        <v>1</v>
      </c>
      <c r="F875" s="124" t="str">
        <f>IFERROR(__xludf.DUMMYFUNCTION("""COMPUTED_VALUE"""),"Interested")</f>
        <v>Interested</v>
      </c>
      <c r="G875" s="124" t="str">
        <f>IFERROR(__xludf.DUMMYFUNCTION("""COMPUTED_VALUE"""),"GS Foundation")</f>
        <v>GS Foundation</v>
      </c>
      <c r="K875" s="124"/>
      <c r="L875" s="124"/>
      <c r="M875" s="124"/>
      <c r="N875" s="124"/>
      <c r="O875" s="124"/>
      <c r="T875" s="126">
        <f>IFERROR(__xludf.DUMMYFUNCTION("""COMPUTED_VALUE"""),46099.0)</f>
        <v>46099</v>
      </c>
      <c r="U875" s="124" t="str">
        <f>IFERROR(__xludf.DUMMYFUNCTION("""COMPUTED_VALUE"""),"Telephony")</f>
        <v>Telephony</v>
      </c>
      <c r="V875" s="124" t="str">
        <f>IFERROR(__xludf.DUMMYFUNCTION("""COMPUTED_VALUE"""),"Inbound Call")</f>
        <v>Inbound Call</v>
      </c>
      <c r="W875" s="124">
        <f>IFERROR(__xludf.DUMMYFUNCTION("""COMPUTED_VALUE"""),9.18047861635E11)</f>
        <v>918047861635</v>
      </c>
      <c r="X875" s="124" t="str">
        <f>IFERROR(__xludf.DUMMYFUNCTION("""COMPUTED_VALUE"""),"Inbound Call")</f>
        <v>Inbound Call</v>
      </c>
      <c r="Y875" s="124"/>
      <c r="Z875" s="124">
        <f>IFERROR(__xludf.DUMMYFUNCTION("""COMPUTED_VALUE"""),7.0)</f>
        <v>7</v>
      </c>
      <c r="AA875" s="124" t="str">
        <f>IFERROR(__xludf.DUMMYFUNCTION("""COMPUTED_VALUE"""),"Cold")</f>
        <v>Cold</v>
      </c>
      <c r="AB875" s="124"/>
    </row>
    <row r="876">
      <c r="A876" s="126">
        <f>IFERROR(__xludf.DUMMYFUNCTION("""COMPUTED_VALUE"""),46097.0)</f>
        <v>46097</v>
      </c>
      <c r="B876" s="124" t="str">
        <f>IFERROR(__xludf.DUMMYFUNCTION("""COMPUTED_VALUE"""),"Walkin")</f>
        <v>Walkin</v>
      </c>
      <c r="C876" s="124" t="str">
        <f>IFERROR(__xludf.DUMMYFUNCTION("""COMPUTED_VALUE"""),"Prayagraj")</f>
        <v>Prayagraj</v>
      </c>
      <c r="D876" s="124" t="str">
        <f>IFERROR(__xludf.DUMMYFUNCTION("""COMPUTED_VALUE"""),"Primary_Walkin")</f>
        <v>Primary_Walkin</v>
      </c>
      <c r="E876" s="124">
        <f>IFERROR(__xludf.DUMMYFUNCTION("""COMPUTED_VALUE"""),1.0)</f>
        <v>1</v>
      </c>
      <c r="F876" s="124" t="str">
        <f>IFERROR(__xludf.DUMMYFUNCTION("""COMPUTED_VALUE"""),"Cold")</f>
        <v>Cold</v>
      </c>
      <c r="G876" s="124" t="str">
        <f>IFERROR(__xludf.DUMMYFUNCTION("""COMPUTED_VALUE"""),"State PCS")</f>
        <v>State PCS</v>
      </c>
      <c r="K876" s="124"/>
      <c r="L876" s="124"/>
      <c r="M876" s="124"/>
      <c r="N876" s="124"/>
      <c r="O876" s="124"/>
      <c r="T876" s="126">
        <f>IFERROR(__xludf.DUMMYFUNCTION("""COMPUTED_VALUE"""),46090.0)</f>
        <v>46090</v>
      </c>
      <c r="U876" s="124" t="str">
        <f>IFERROR(__xludf.DUMMYFUNCTION("""COMPUTED_VALUE"""),"Telephony")</f>
        <v>Telephony</v>
      </c>
      <c r="V876" s="124" t="str">
        <f>IFERROR(__xludf.DUMMYFUNCTION("""COMPUTED_VALUE"""),"Inbound Call")</f>
        <v>Inbound Call</v>
      </c>
      <c r="W876" s="124" t="str">
        <f>IFERROR(__xludf.DUMMYFUNCTION("""COMPUTED_VALUE"""),"Inbound Call")</f>
        <v>Inbound Call</v>
      </c>
      <c r="X876" s="124" t="str">
        <f>IFERROR(__xludf.DUMMYFUNCTION("""COMPUTED_VALUE"""),"Inbound Call")</f>
        <v>Inbound Call</v>
      </c>
      <c r="Y876" s="124" t="str">
        <f>IFERROR(__xludf.DUMMYFUNCTION("""COMPUTED_VALUE"""),"Delhi")</f>
        <v>Delhi</v>
      </c>
      <c r="Z876" s="124">
        <f>IFERROR(__xludf.DUMMYFUNCTION("""COMPUTED_VALUE"""),1.0)</f>
        <v>1</v>
      </c>
      <c r="AA876" s="124" t="str">
        <f>IFERROR(__xludf.DUMMYFUNCTION("""COMPUTED_VALUE"""),"Cold")</f>
        <v>Cold</v>
      </c>
      <c r="AB876" s="124" t="str">
        <f>IFERROR(__xludf.DUMMYFUNCTION("""COMPUTED_VALUE"""),"Other")</f>
        <v>Other</v>
      </c>
    </row>
    <row r="877">
      <c r="A877" s="129">
        <f>IFERROR(__xludf.DUMMYFUNCTION("""COMPUTED_VALUE"""),46080.0)</f>
        <v>46080</v>
      </c>
      <c r="B877" s="124" t="str">
        <f>IFERROR(__xludf.DUMMYFUNCTION("""COMPUTED_VALUE"""),"Walkin")</f>
        <v>Walkin</v>
      </c>
      <c r="C877" s="124" t="str">
        <f>IFERROR(__xludf.DUMMYFUNCTION("""COMPUTED_VALUE"""),"Prayagraj")</f>
        <v>Prayagraj</v>
      </c>
      <c r="D877" s="124" t="str">
        <f>IFERROR(__xludf.DUMMYFUNCTION("""COMPUTED_VALUE"""),"Primary_Walkin")</f>
        <v>Primary_Walkin</v>
      </c>
      <c r="E877" s="124">
        <f>IFERROR(__xludf.DUMMYFUNCTION("""COMPUTED_VALUE"""),1.0)</f>
        <v>1</v>
      </c>
      <c r="F877" s="124" t="str">
        <f>IFERROR(__xludf.DUMMYFUNCTION("""COMPUTED_VALUE"""),"Enrolled")</f>
        <v>Enrolled</v>
      </c>
      <c r="G877" s="124" t="str">
        <f>IFERROR(__xludf.DUMMYFUNCTION("""COMPUTED_VALUE"""),"State PCS")</f>
        <v>State PCS</v>
      </c>
      <c r="K877" s="124"/>
      <c r="L877" s="124"/>
      <c r="M877" s="124"/>
      <c r="N877" s="124"/>
      <c r="O877" s="124"/>
      <c r="T877" s="126">
        <f>IFERROR(__xludf.DUMMYFUNCTION("""COMPUTED_VALUE"""),46050.0)</f>
        <v>46050</v>
      </c>
      <c r="U877" s="124" t="str">
        <f>IFERROR(__xludf.DUMMYFUNCTION("""COMPUTED_VALUE"""),"Telephony")</f>
        <v>Telephony</v>
      </c>
      <c r="V877" s="124" t="str">
        <f>IFERROR(__xludf.DUMMYFUNCTION("""COMPUTED_VALUE"""),"Inbound Call")</f>
        <v>Inbound Call</v>
      </c>
      <c r="W877" s="124">
        <f>IFERROR(__xludf.DUMMYFUNCTION("""COMPUTED_VALUE"""),9.18047861635E11)</f>
        <v>918047861635</v>
      </c>
      <c r="X877" s="124" t="str">
        <f>IFERROR(__xludf.DUMMYFUNCTION("""COMPUTED_VALUE"""),"Inbound Call")</f>
        <v>Inbound Call</v>
      </c>
      <c r="Y877" s="124"/>
      <c r="Z877" s="124">
        <f>IFERROR(__xludf.DUMMYFUNCTION("""COMPUTED_VALUE"""),1.0)</f>
        <v>1</v>
      </c>
      <c r="AA877" s="124" t="str">
        <f>IFERROR(__xludf.DUMMYFUNCTION("""COMPUTED_VALUE"""),"Cold")</f>
        <v>Cold</v>
      </c>
      <c r="AB877" s="124"/>
    </row>
    <row r="878">
      <c r="A878" s="126">
        <f>IFERROR(__xludf.DUMMYFUNCTION("""COMPUTED_VALUE"""),46098.0)</f>
        <v>46098</v>
      </c>
      <c r="B878" s="124" t="str">
        <f>IFERROR(__xludf.DUMMYFUNCTION("""COMPUTED_VALUE"""),"Walk-In")</f>
        <v>Walk-In</v>
      </c>
      <c r="C878" s="124" t="str">
        <f>IFERROR(__xludf.DUMMYFUNCTION("""COMPUTED_VALUE"""),"Prayagraj")</f>
        <v>Prayagraj</v>
      </c>
      <c r="D878" s="124" t="str">
        <f>IFERROR(__xludf.DUMMYFUNCTION("""COMPUTED_VALUE"""),"Primary_Walkin")</f>
        <v>Primary_Walkin</v>
      </c>
      <c r="E878" s="124">
        <f>IFERROR(__xludf.DUMMYFUNCTION("""COMPUTED_VALUE"""),1.0)</f>
        <v>1</v>
      </c>
      <c r="F878" s="124" t="str">
        <f>IFERROR(__xludf.DUMMYFUNCTION("""COMPUTED_VALUE"""),"Warm")</f>
        <v>Warm</v>
      </c>
      <c r="G878" s="124" t="str">
        <f>IFERROR(__xludf.DUMMYFUNCTION("""COMPUTED_VALUE"""),"State PCS")</f>
        <v>State PCS</v>
      </c>
      <c r="K878" s="124"/>
      <c r="L878" s="124"/>
      <c r="M878" s="124"/>
      <c r="N878" s="124"/>
      <c r="O878" s="124"/>
      <c r="T878" s="126">
        <f>IFERROR(__xludf.DUMMYFUNCTION("""COMPUTED_VALUE"""),46097.0)</f>
        <v>46097</v>
      </c>
      <c r="U878" s="124" t="str">
        <f>IFERROR(__xludf.DUMMYFUNCTION("""COMPUTED_VALUE"""),"Telephony")</f>
        <v>Telephony</v>
      </c>
      <c r="V878" s="124" t="str">
        <f>IFERROR(__xludf.DUMMYFUNCTION("""COMPUTED_VALUE"""),"Inbound Call")</f>
        <v>Inbound Call</v>
      </c>
      <c r="W878" s="124">
        <f>IFERROR(__xludf.DUMMYFUNCTION("""COMPUTED_VALUE"""),9.18047861633E11)</f>
        <v>918047861633</v>
      </c>
      <c r="X878" s="124" t="str">
        <f>IFERROR(__xludf.DUMMYFUNCTION("""COMPUTED_VALUE"""),"Inbound Call")</f>
        <v>Inbound Call</v>
      </c>
      <c r="Y878" s="124"/>
      <c r="Z878" s="124">
        <f>IFERROR(__xludf.DUMMYFUNCTION("""COMPUTED_VALUE"""),1.0)</f>
        <v>1</v>
      </c>
      <c r="AA878" s="124" t="str">
        <f>IFERROR(__xludf.DUMMYFUNCTION("""COMPUTED_VALUE"""),"Fake Lead")</f>
        <v>Fake Lead</v>
      </c>
      <c r="AB878" s="124"/>
    </row>
    <row r="879">
      <c r="A879" s="129">
        <f>IFERROR(__xludf.DUMMYFUNCTION("""COMPUTED_VALUE"""),46092.0)</f>
        <v>46092</v>
      </c>
      <c r="B879" s="124" t="str">
        <f>IFERROR(__xludf.DUMMYFUNCTION("""COMPUTED_VALUE"""),"BTL Activities")</f>
        <v>BTL Activities</v>
      </c>
      <c r="C879" s="124" t="str">
        <f>IFERROR(__xludf.DUMMYFUNCTION("""COMPUTED_VALUE"""),"Prayagraj")</f>
        <v>Prayagraj</v>
      </c>
      <c r="D879" s="124" t="str">
        <f>IFERROR(__xludf.DUMMYFUNCTION("""COMPUTED_VALUE"""),"Secondary_Walkin")</f>
        <v>Secondary_Walkin</v>
      </c>
      <c r="E879" s="124">
        <f>IFERROR(__xludf.DUMMYFUNCTION("""COMPUTED_VALUE"""),1.0)</f>
        <v>1</v>
      </c>
      <c r="F879" s="124" t="str">
        <f>IFERROR(__xludf.DUMMYFUNCTION("""COMPUTED_VALUE"""),"Enrolled")</f>
        <v>Enrolled</v>
      </c>
      <c r="G879" s="124" t="str">
        <f>IFERROR(__xludf.DUMMYFUNCTION("""COMPUTED_VALUE"""),"Mentorship")</f>
        <v>Mentorship</v>
      </c>
      <c r="K879" s="124"/>
      <c r="L879" s="124"/>
      <c r="M879" s="124"/>
      <c r="N879" s="124"/>
      <c r="O879" s="124"/>
      <c r="T879" s="129">
        <f>IFERROR(__xludf.DUMMYFUNCTION("""COMPUTED_VALUE"""),46102.0)</f>
        <v>46102</v>
      </c>
      <c r="U879" s="124" t="str">
        <f>IFERROR(__xludf.DUMMYFUNCTION("""COMPUTED_VALUE"""),"Telephony")</f>
        <v>Telephony</v>
      </c>
      <c r="V879" s="124" t="str">
        <f>IFERROR(__xludf.DUMMYFUNCTION("""COMPUTED_VALUE"""),"Inbound Call")</f>
        <v>Inbound Call</v>
      </c>
      <c r="W879" s="124">
        <f>IFERROR(__xludf.DUMMYFUNCTION("""COMPUTED_VALUE"""),9.18047861635E11)</f>
        <v>918047861635</v>
      </c>
      <c r="X879" s="124" t="str">
        <f>IFERROR(__xludf.DUMMYFUNCTION("""COMPUTED_VALUE"""),"Inbound Call")</f>
        <v>Inbound Call</v>
      </c>
      <c r="Y879" s="124"/>
      <c r="Z879" s="124">
        <f>IFERROR(__xludf.DUMMYFUNCTION("""COMPUTED_VALUE"""),2.0)</f>
        <v>2</v>
      </c>
      <c r="AA879" s="124" t="str">
        <f>IFERROR(__xludf.DUMMYFUNCTION("""COMPUTED_VALUE"""),"Cold")</f>
        <v>Cold</v>
      </c>
      <c r="AB879" s="124"/>
    </row>
    <row r="880">
      <c r="A880" s="126">
        <f>IFERROR(__xludf.DUMMYFUNCTION("""COMPUTED_VALUE"""),46078.0)</f>
        <v>46078</v>
      </c>
      <c r="B880" s="124" t="str">
        <f>IFERROR(__xludf.DUMMYFUNCTION("""COMPUTED_VALUE"""),"Walkin")</f>
        <v>Walkin</v>
      </c>
      <c r="C880" s="124" t="str">
        <f>IFERROR(__xludf.DUMMYFUNCTION("""COMPUTED_VALUE"""),"Prayagraj")</f>
        <v>Prayagraj</v>
      </c>
      <c r="D880" s="124" t="str">
        <f>IFERROR(__xludf.DUMMYFUNCTION("""COMPUTED_VALUE"""),"Primary_Walkin")</f>
        <v>Primary_Walkin</v>
      </c>
      <c r="E880" s="124">
        <f>IFERROR(__xludf.DUMMYFUNCTION("""COMPUTED_VALUE"""),1.0)</f>
        <v>1</v>
      </c>
      <c r="F880" s="124" t="str">
        <f>IFERROR(__xludf.DUMMYFUNCTION("""COMPUTED_VALUE"""),"Cold")</f>
        <v>Cold</v>
      </c>
      <c r="G880" s="124" t="str">
        <f>IFERROR(__xludf.DUMMYFUNCTION("""COMPUTED_VALUE"""),"GS Foundation")</f>
        <v>GS Foundation</v>
      </c>
      <c r="K880" s="124"/>
      <c r="L880" s="124"/>
      <c r="M880" s="124"/>
      <c r="N880" s="124"/>
      <c r="O880" s="124"/>
      <c r="T880" s="126">
        <f>IFERROR(__xludf.DUMMYFUNCTION("""COMPUTED_VALUE"""),46073.0)</f>
        <v>46073</v>
      </c>
      <c r="U880" s="124" t="str">
        <f>IFERROR(__xludf.DUMMYFUNCTION("""COMPUTED_VALUE"""),"Telephony")</f>
        <v>Telephony</v>
      </c>
      <c r="V880" s="124" t="str">
        <f>IFERROR(__xludf.DUMMYFUNCTION("""COMPUTED_VALUE"""),"Inbound Call")</f>
        <v>Inbound Call</v>
      </c>
      <c r="W880" s="124" t="str">
        <f>IFERROR(__xludf.DUMMYFUNCTION("""COMPUTED_VALUE"""),"Inbound Call")</f>
        <v>Inbound Call</v>
      </c>
      <c r="X880" s="124" t="str">
        <f>IFERROR(__xludf.DUMMYFUNCTION("""COMPUTED_VALUE"""),"Inbound Call")</f>
        <v>Inbound Call</v>
      </c>
      <c r="Y880" s="124" t="str">
        <f>IFERROR(__xludf.DUMMYFUNCTION("""COMPUTED_VALUE"""),"Indore")</f>
        <v>Indore</v>
      </c>
      <c r="Z880" s="124">
        <f>IFERROR(__xludf.DUMMYFUNCTION("""COMPUTED_VALUE"""),1.0)</f>
        <v>1</v>
      </c>
      <c r="AA880" s="124" t="str">
        <f>IFERROR(__xludf.DUMMYFUNCTION("""COMPUTED_VALUE"""),"Not Interested")</f>
        <v>Not Interested</v>
      </c>
      <c r="AB880" s="124"/>
    </row>
    <row r="881">
      <c r="A881" s="126">
        <f>IFERROR(__xludf.DUMMYFUNCTION("""COMPUTED_VALUE"""),46061.0)</f>
        <v>46061</v>
      </c>
      <c r="B881" s="124" t="str">
        <f>IFERROR(__xludf.DUMMYFUNCTION("""COMPUTED_VALUE"""),"Walkin")</f>
        <v>Walkin</v>
      </c>
      <c r="C881" s="124" t="str">
        <f>IFERROR(__xludf.DUMMYFUNCTION("""COMPUTED_VALUE"""),"Prayagraj")</f>
        <v>Prayagraj</v>
      </c>
      <c r="D881" s="124" t="str">
        <f>IFERROR(__xludf.DUMMYFUNCTION("""COMPUTED_VALUE"""),"Primary_Walkin")</f>
        <v>Primary_Walkin</v>
      </c>
      <c r="E881" s="124">
        <f>IFERROR(__xludf.DUMMYFUNCTION("""COMPUTED_VALUE"""),3.0)</f>
        <v>3</v>
      </c>
      <c r="F881" s="124" t="str">
        <f>IFERROR(__xludf.DUMMYFUNCTION("""COMPUTED_VALUE"""),"Cold")</f>
        <v>Cold</v>
      </c>
      <c r="G881" s="124" t="str">
        <f>IFERROR(__xludf.DUMMYFUNCTION("""COMPUTED_VALUE"""),"GS Foundation")</f>
        <v>GS Foundation</v>
      </c>
      <c r="K881" s="124"/>
      <c r="L881" s="124"/>
      <c r="M881" s="124"/>
      <c r="N881" s="124"/>
      <c r="O881" s="124"/>
      <c r="T881" s="129">
        <f>IFERROR(__xludf.DUMMYFUNCTION("""COMPUTED_VALUE"""),46084.0)</f>
        <v>46084</v>
      </c>
      <c r="U881" s="124" t="str">
        <f>IFERROR(__xludf.DUMMYFUNCTION("""COMPUTED_VALUE"""),"Telephony")</f>
        <v>Telephony</v>
      </c>
      <c r="V881" s="124" t="str">
        <f>IFERROR(__xludf.DUMMYFUNCTION("""COMPUTED_VALUE"""),"Inbound Call")</f>
        <v>Inbound Call</v>
      </c>
      <c r="W881" s="124">
        <f>IFERROR(__xludf.DUMMYFUNCTION("""COMPUTED_VALUE"""),9.18047861632E11)</f>
        <v>918047861632</v>
      </c>
      <c r="X881" s="124" t="str">
        <f>IFERROR(__xludf.DUMMYFUNCTION("""COMPUTED_VALUE"""),"Inbound Call")</f>
        <v>Inbound Call</v>
      </c>
      <c r="Y881" s="124" t="str">
        <f>IFERROR(__xludf.DUMMYFUNCTION("""COMPUTED_VALUE"""),"Prayagraj")</f>
        <v>Prayagraj</v>
      </c>
      <c r="Z881" s="124">
        <f>IFERROR(__xludf.DUMMYFUNCTION("""COMPUTED_VALUE"""),1.0)</f>
        <v>1</v>
      </c>
      <c r="AA881" s="124" t="str">
        <f>IFERROR(__xludf.DUMMYFUNCTION("""COMPUTED_VALUE"""),"Future Prospects")</f>
        <v>Future Prospects</v>
      </c>
      <c r="AB881" s="124" t="str">
        <f>IFERROR(__xludf.DUMMYFUNCTION("""COMPUTED_VALUE"""),"GS Foundation")</f>
        <v>GS Foundation</v>
      </c>
    </row>
    <row r="882">
      <c r="A882" s="126">
        <f>IFERROR(__xludf.DUMMYFUNCTION("""COMPUTED_VALUE"""),46091.0)</f>
        <v>46091</v>
      </c>
      <c r="B882" s="124" t="str">
        <f>IFERROR(__xludf.DUMMYFUNCTION("""COMPUTED_VALUE"""),"Walkin")</f>
        <v>Walkin</v>
      </c>
      <c r="C882" s="124" t="str">
        <f>IFERROR(__xludf.DUMMYFUNCTION("""COMPUTED_VALUE"""),"Prayagraj")</f>
        <v>Prayagraj</v>
      </c>
      <c r="D882" s="124" t="str">
        <f>IFERROR(__xludf.DUMMYFUNCTION("""COMPUTED_VALUE"""),"Primary_Walkin")</f>
        <v>Primary_Walkin</v>
      </c>
      <c r="E882" s="124">
        <f>IFERROR(__xludf.DUMMYFUNCTION("""COMPUTED_VALUE"""),1.0)</f>
        <v>1</v>
      </c>
      <c r="F882" s="124" t="str">
        <f>IFERROR(__xludf.DUMMYFUNCTION("""COMPUTED_VALUE"""),"Future Prospects")</f>
        <v>Future Prospects</v>
      </c>
      <c r="G882" s="124" t="str">
        <f>IFERROR(__xludf.DUMMYFUNCTION("""COMPUTED_VALUE"""),"State PCS")</f>
        <v>State PCS</v>
      </c>
      <c r="K882" s="124"/>
      <c r="L882" s="124"/>
      <c r="M882" s="124"/>
      <c r="N882" s="124"/>
      <c r="O882" s="124"/>
      <c r="T882" s="126">
        <f>IFERROR(__xludf.DUMMYFUNCTION("""COMPUTED_VALUE"""),46112.0)</f>
        <v>46112</v>
      </c>
      <c r="U882" s="124" t="str">
        <f>IFERROR(__xludf.DUMMYFUNCTION("""COMPUTED_VALUE"""),"Telephony")</f>
        <v>Telephony</v>
      </c>
      <c r="V882" s="124" t="str">
        <f>IFERROR(__xludf.DUMMYFUNCTION("""COMPUTED_VALUE"""),"Inbound Call")</f>
        <v>Inbound Call</v>
      </c>
      <c r="W882" s="124">
        <f>IFERROR(__xludf.DUMMYFUNCTION("""COMPUTED_VALUE"""),9.18047861663E11)</f>
        <v>918047861663</v>
      </c>
      <c r="X882" s="124" t="str">
        <f>IFERROR(__xludf.DUMMYFUNCTION("""COMPUTED_VALUE"""),"Inbound Call")</f>
        <v>Inbound Call</v>
      </c>
      <c r="Y882" s="124"/>
      <c r="Z882" s="124">
        <f>IFERROR(__xludf.DUMMYFUNCTION("""COMPUTED_VALUE"""),4.0)</f>
        <v>4</v>
      </c>
      <c r="AA882" s="124" t="str">
        <f>IFERROR(__xludf.DUMMYFUNCTION("""COMPUTED_VALUE"""),"Cold")</f>
        <v>Cold</v>
      </c>
      <c r="AB882" s="124"/>
    </row>
    <row r="883">
      <c r="A883" s="126">
        <f>IFERROR(__xludf.DUMMYFUNCTION("""COMPUTED_VALUE"""),46043.0)</f>
        <v>46043</v>
      </c>
      <c r="B883" s="124" t="str">
        <f>IFERROR(__xludf.DUMMYFUNCTION("""COMPUTED_VALUE"""),"Outbound Call")</f>
        <v>Outbound Call</v>
      </c>
      <c r="C883" s="124" t="str">
        <f>IFERROR(__xludf.DUMMYFUNCTION("""COMPUTED_VALUE"""),"Prayagraj")</f>
        <v>Prayagraj</v>
      </c>
      <c r="D883" s="124" t="str">
        <f>IFERROR(__xludf.DUMMYFUNCTION("""COMPUTED_VALUE"""),"Secondary_Walkin")</f>
        <v>Secondary_Walkin</v>
      </c>
      <c r="E883" s="124">
        <f>IFERROR(__xludf.DUMMYFUNCTION("""COMPUTED_VALUE"""),1.0)</f>
        <v>1</v>
      </c>
      <c r="F883" s="124" t="str">
        <f>IFERROR(__xludf.DUMMYFUNCTION("""COMPUTED_VALUE"""),"Cold")</f>
        <v>Cold</v>
      </c>
      <c r="G883" s="124" t="str">
        <f>IFERROR(__xludf.DUMMYFUNCTION("""COMPUTED_VALUE"""),"GS Foundation")</f>
        <v>GS Foundation</v>
      </c>
      <c r="K883" s="124"/>
      <c r="L883" s="124"/>
      <c r="M883" s="124"/>
      <c r="N883" s="124"/>
      <c r="O883" s="124"/>
      <c r="T883" s="126">
        <f>IFERROR(__xludf.DUMMYFUNCTION("""COMPUTED_VALUE"""),46045.0)</f>
        <v>46045</v>
      </c>
      <c r="U883" s="124" t="str">
        <f>IFERROR(__xludf.DUMMYFUNCTION("""COMPUTED_VALUE"""),"Telephony")</f>
        <v>Telephony</v>
      </c>
      <c r="V883" s="124" t="str">
        <f>IFERROR(__xludf.DUMMYFUNCTION("""COMPUTED_VALUE"""),"Inbound Call")</f>
        <v>Inbound Call</v>
      </c>
      <c r="W883" s="124">
        <f>IFERROR(__xludf.DUMMYFUNCTION("""COMPUTED_VALUE"""),9.18047861663E11)</f>
        <v>918047861663</v>
      </c>
      <c r="X883" s="124" t="str">
        <f>IFERROR(__xludf.DUMMYFUNCTION("""COMPUTED_VALUE"""),"Inbound Call")</f>
        <v>Inbound Call</v>
      </c>
      <c r="Y883" s="124"/>
      <c r="Z883" s="124">
        <f>IFERROR(__xludf.DUMMYFUNCTION("""COMPUTED_VALUE"""),5.0)</f>
        <v>5</v>
      </c>
      <c r="AA883" s="124" t="str">
        <f>IFERROR(__xludf.DUMMYFUNCTION("""COMPUTED_VALUE"""),"Fake Lead")</f>
        <v>Fake Lead</v>
      </c>
      <c r="AB883" s="124"/>
    </row>
    <row r="884">
      <c r="A884" s="126">
        <f>IFERROR(__xludf.DUMMYFUNCTION("""COMPUTED_VALUE"""),46045.0)</f>
        <v>46045</v>
      </c>
      <c r="B884" s="124" t="str">
        <f>IFERROR(__xludf.DUMMYFUNCTION("""COMPUTED_VALUE"""),"Walk-In")</f>
        <v>Walk-In</v>
      </c>
      <c r="C884" s="124" t="str">
        <f>IFERROR(__xludf.DUMMYFUNCTION("""COMPUTED_VALUE"""),"Prayagraj")</f>
        <v>Prayagraj</v>
      </c>
      <c r="D884" s="124" t="str">
        <f>IFERROR(__xludf.DUMMYFUNCTION("""COMPUTED_VALUE"""),"Primary_Walkin")</f>
        <v>Primary_Walkin</v>
      </c>
      <c r="E884" s="124">
        <f>IFERROR(__xludf.DUMMYFUNCTION("""COMPUTED_VALUE"""),1.0)</f>
        <v>1</v>
      </c>
      <c r="F884" s="124" t="str">
        <f>IFERROR(__xludf.DUMMYFUNCTION("""COMPUTED_VALUE"""),"Cold")</f>
        <v>Cold</v>
      </c>
      <c r="G884" s="124" t="str">
        <f>IFERROR(__xludf.DUMMYFUNCTION("""COMPUTED_VALUE"""),"Test Series")</f>
        <v>Test Series</v>
      </c>
      <c r="K884" s="124"/>
      <c r="L884" s="124"/>
      <c r="M884" s="124"/>
      <c r="N884" s="124"/>
      <c r="O884" s="124"/>
      <c r="T884" s="126">
        <f>IFERROR(__xludf.DUMMYFUNCTION("""COMPUTED_VALUE"""),46088.0)</f>
        <v>46088</v>
      </c>
      <c r="U884" s="124" t="str">
        <f>IFERROR(__xludf.DUMMYFUNCTION("""COMPUTED_VALUE"""),"Telephony")</f>
        <v>Telephony</v>
      </c>
      <c r="V884" s="124" t="str">
        <f>IFERROR(__xludf.DUMMYFUNCTION("""COMPUTED_VALUE"""),"Inbound Call")</f>
        <v>Inbound Call</v>
      </c>
      <c r="W884" s="124">
        <f>IFERROR(__xludf.DUMMYFUNCTION("""COMPUTED_VALUE"""),9.18047861663E11)</f>
        <v>918047861663</v>
      </c>
      <c r="X884" s="124" t="str">
        <f>IFERROR(__xludf.DUMMYFUNCTION("""COMPUTED_VALUE"""),"Inbound Call")</f>
        <v>Inbound Call</v>
      </c>
      <c r="Y884" s="124" t="str">
        <f>IFERROR(__xludf.DUMMYFUNCTION("""COMPUTED_VALUE"""),"Delhi")</f>
        <v>Delhi</v>
      </c>
      <c r="Z884" s="124">
        <f>IFERROR(__xludf.DUMMYFUNCTION("""COMPUTED_VALUE"""),14.0)</f>
        <v>14</v>
      </c>
      <c r="AA884" s="124" t="str">
        <f>IFERROR(__xludf.DUMMYFUNCTION("""COMPUTED_VALUE"""),"Cold")</f>
        <v>Cold</v>
      </c>
      <c r="AB884" s="124"/>
    </row>
    <row r="885">
      <c r="A885" s="129">
        <f>IFERROR(__xludf.DUMMYFUNCTION("""COMPUTED_VALUE"""),46072.0)</f>
        <v>46072</v>
      </c>
      <c r="B885" s="124" t="str">
        <f>IFERROR(__xludf.DUMMYFUNCTION("""COMPUTED_VALUE"""),"Walkin")</f>
        <v>Walkin</v>
      </c>
      <c r="C885" s="124" t="str">
        <f>IFERROR(__xludf.DUMMYFUNCTION("""COMPUTED_VALUE"""),"Prayagraj")</f>
        <v>Prayagraj</v>
      </c>
      <c r="D885" s="124" t="str">
        <f>IFERROR(__xludf.DUMMYFUNCTION("""COMPUTED_VALUE"""),"Primary_Walkin")</f>
        <v>Primary_Walkin</v>
      </c>
      <c r="E885" s="124">
        <f>IFERROR(__xludf.DUMMYFUNCTION("""COMPUTED_VALUE"""),2.0)</f>
        <v>2</v>
      </c>
      <c r="F885" s="124" t="str">
        <f>IFERROR(__xludf.DUMMYFUNCTION("""COMPUTED_VALUE"""),"Cold")</f>
        <v>Cold</v>
      </c>
      <c r="G885" s="124" t="str">
        <f>IFERROR(__xludf.DUMMYFUNCTION("""COMPUTED_VALUE"""),"State PCS")</f>
        <v>State PCS</v>
      </c>
      <c r="K885" s="124"/>
      <c r="L885" s="124"/>
      <c r="M885" s="124"/>
      <c r="N885" s="124"/>
      <c r="O885" s="124"/>
      <c r="T885" s="126">
        <f>IFERROR(__xludf.DUMMYFUNCTION("""COMPUTED_VALUE"""),46107.0)</f>
        <v>46107</v>
      </c>
      <c r="U885" s="124" t="str">
        <f>IFERROR(__xludf.DUMMYFUNCTION("""COMPUTED_VALUE"""),"Telephony")</f>
        <v>Telephony</v>
      </c>
      <c r="V885" s="124" t="str">
        <f>IFERROR(__xludf.DUMMYFUNCTION("""COMPUTED_VALUE"""),"Inbound Call")</f>
        <v>Inbound Call</v>
      </c>
      <c r="W885" s="124">
        <f>IFERROR(__xludf.DUMMYFUNCTION("""COMPUTED_VALUE"""),9.18047861663E11)</f>
        <v>918047861663</v>
      </c>
      <c r="X885" s="124" t="str">
        <f>IFERROR(__xludf.DUMMYFUNCTION("""COMPUTED_VALUE"""),"Inbound Call")</f>
        <v>Inbound Call</v>
      </c>
      <c r="Y885" s="124" t="str">
        <f>IFERROR(__xludf.DUMMYFUNCTION("""COMPUTED_VALUE"""),"Delhi")</f>
        <v>Delhi</v>
      </c>
      <c r="Z885" s="124">
        <f>IFERROR(__xludf.DUMMYFUNCTION("""COMPUTED_VALUE"""),3.0)</f>
        <v>3</v>
      </c>
      <c r="AA885" s="124" t="str">
        <f>IFERROR(__xludf.DUMMYFUNCTION("""COMPUTED_VALUE"""),"Cold")</f>
        <v>Cold</v>
      </c>
      <c r="AB885" s="124"/>
    </row>
    <row r="886">
      <c r="A886" s="129">
        <f>IFERROR(__xludf.DUMMYFUNCTION("""COMPUTED_VALUE"""),46106.0)</f>
        <v>46106</v>
      </c>
      <c r="B886" s="124" t="str">
        <f>IFERROR(__xludf.DUMMYFUNCTION("""COMPUTED_VALUE"""),"Walkin")</f>
        <v>Walkin</v>
      </c>
      <c r="C886" s="124" t="str">
        <f>IFERROR(__xludf.DUMMYFUNCTION("""COMPUTED_VALUE"""),"Prayagraj")</f>
        <v>Prayagraj</v>
      </c>
      <c r="D886" s="124" t="str">
        <f>IFERROR(__xludf.DUMMYFUNCTION("""COMPUTED_VALUE"""),"Primary_Walkin")</f>
        <v>Primary_Walkin</v>
      </c>
      <c r="E886" s="124">
        <f>IFERROR(__xludf.DUMMYFUNCTION("""COMPUTED_VALUE"""),2.0)</f>
        <v>2</v>
      </c>
      <c r="F886" s="124" t="str">
        <f>IFERROR(__xludf.DUMMYFUNCTION("""COMPUTED_VALUE"""),"Enrolled")</f>
        <v>Enrolled</v>
      </c>
      <c r="G886" s="124" t="str">
        <f>IFERROR(__xludf.DUMMYFUNCTION("""COMPUTED_VALUE"""),"Mentorship")</f>
        <v>Mentorship</v>
      </c>
      <c r="K886" s="124"/>
      <c r="L886" s="124"/>
      <c r="M886" s="124"/>
      <c r="N886" s="124"/>
      <c r="O886" s="124"/>
      <c r="T886" s="126">
        <f>IFERROR(__xludf.DUMMYFUNCTION("""COMPUTED_VALUE"""),46056.0)</f>
        <v>46056</v>
      </c>
      <c r="U886" s="124" t="str">
        <f>IFERROR(__xludf.DUMMYFUNCTION("""COMPUTED_VALUE"""),"Telephony")</f>
        <v>Telephony</v>
      </c>
      <c r="V886" s="124" t="str">
        <f>IFERROR(__xludf.DUMMYFUNCTION("""COMPUTED_VALUE"""),"Inbound Call")</f>
        <v>Inbound Call</v>
      </c>
      <c r="W886" s="124" t="str">
        <f>IFERROR(__xludf.DUMMYFUNCTION("""COMPUTED_VALUE"""),"Inbound Call")</f>
        <v>Inbound Call</v>
      </c>
      <c r="X886" s="124" t="str">
        <f>IFERROR(__xludf.DUMMYFUNCTION("""COMPUTED_VALUE"""),"Inbound Call")</f>
        <v>Inbound Call</v>
      </c>
      <c r="Y886" s="124" t="str">
        <f>IFERROR(__xludf.DUMMYFUNCTION("""COMPUTED_VALUE"""),"Indore")</f>
        <v>Indore</v>
      </c>
      <c r="Z886" s="124">
        <f>IFERROR(__xludf.DUMMYFUNCTION("""COMPUTED_VALUE"""),1.0)</f>
        <v>1</v>
      </c>
      <c r="AA886" s="124" t="str">
        <f>IFERROR(__xludf.DUMMYFUNCTION("""COMPUTED_VALUE"""),"Cold")</f>
        <v>Cold</v>
      </c>
      <c r="AB886" s="124" t="str">
        <f>IFERROR(__xludf.DUMMYFUNCTION("""COMPUTED_VALUE"""),"Other")</f>
        <v>Other</v>
      </c>
    </row>
    <row r="887">
      <c r="A887" s="129">
        <f>IFERROR(__xludf.DUMMYFUNCTION("""COMPUTED_VALUE"""),46059.0)</f>
        <v>46059</v>
      </c>
      <c r="B887" s="124" t="str">
        <f>IFERROR(__xludf.DUMMYFUNCTION("""COMPUTED_VALUE"""),"Walkin")</f>
        <v>Walkin</v>
      </c>
      <c r="C887" s="124" t="str">
        <f>IFERROR(__xludf.DUMMYFUNCTION("""COMPUTED_VALUE"""),"Prayagraj")</f>
        <v>Prayagraj</v>
      </c>
      <c r="D887" s="124" t="str">
        <f>IFERROR(__xludf.DUMMYFUNCTION("""COMPUTED_VALUE"""),"Primary_Walkin")</f>
        <v>Primary_Walkin</v>
      </c>
      <c r="E887" s="124">
        <f>IFERROR(__xludf.DUMMYFUNCTION("""COMPUTED_VALUE"""),3.0)</f>
        <v>3</v>
      </c>
      <c r="F887" s="124" t="str">
        <f>IFERROR(__xludf.DUMMYFUNCTION("""COMPUTED_VALUE"""),"Cold")</f>
        <v>Cold</v>
      </c>
      <c r="G887" s="124" t="str">
        <f>IFERROR(__xludf.DUMMYFUNCTION("""COMPUTED_VALUE"""),"State PCS")</f>
        <v>State PCS</v>
      </c>
      <c r="K887" s="124"/>
      <c r="L887" s="124"/>
      <c r="M887" s="124"/>
      <c r="N887" s="124"/>
      <c r="O887" s="124"/>
      <c r="T887" s="126">
        <f>IFERROR(__xludf.DUMMYFUNCTION("""COMPUTED_VALUE"""),46050.0)</f>
        <v>46050</v>
      </c>
      <c r="U887" s="124" t="str">
        <f>IFERROR(__xludf.DUMMYFUNCTION("""COMPUTED_VALUE"""),"Telephony")</f>
        <v>Telephony</v>
      </c>
      <c r="V887" s="124" t="str">
        <f>IFERROR(__xludf.DUMMYFUNCTION("""COMPUTED_VALUE"""),"Inbound Call")</f>
        <v>Inbound Call</v>
      </c>
      <c r="W887" s="124">
        <f>IFERROR(__xludf.DUMMYFUNCTION("""COMPUTED_VALUE"""),9.18047861663E11)</f>
        <v>918047861663</v>
      </c>
      <c r="X887" s="124" t="str">
        <f>IFERROR(__xludf.DUMMYFUNCTION("""COMPUTED_VALUE"""),"Inbound Call")</f>
        <v>Inbound Call</v>
      </c>
      <c r="Y887" s="124"/>
      <c r="Z887" s="124">
        <f>IFERROR(__xludf.DUMMYFUNCTION("""COMPUTED_VALUE"""),4.0)</f>
        <v>4</v>
      </c>
      <c r="AA887" s="124" t="str">
        <f>IFERROR(__xludf.DUMMYFUNCTION("""COMPUTED_VALUE"""),"Not Interested")</f>
        <v>Not Interested</v>
      </c>
      <c r="AB887" s="124"/>
    </row>
    <row r="888">
      <c r="A888" s="126">
        <f>IFERROR(__xludf.DUMMYFUNCTION("""COMPUTED_VALUE"""),46099.0)</f>
        <v>46099</v>
      </c>
      <c r="B888" s="124" t="str">
        <f>IFERROR(__xludf.DUMMYFUNCTION("""COMPUTED_VALUE"""),"Events")</f>
        <v>Events</v>
      </c>
      <c r="C888" s="124" t="str">
        <f>IFERROR(__xludf.DUMMYFUNCTION("""COMPUTED_VALUE"""),"Prayagraj")</f>
        <v>Prayagraj</v>
      </c>
      <c r="D888" s="124" t="str">
        <f>IFERROR(__xludf.DUMMYFUNCTION("""COMPUTED_VALUE"""),"Secondary_Walkin")</f>
        <v>Secondary_Walkin</v>
      </c>
      <c r="E888" s="124">
        <f>IFERROR(__xludf.DUMMYFUNCTION("""COMPUTED_VALUE"""),1.0)</f>
        <v>1</v>
      </c>
      <c r="F888" s="124" t="str">
        <f>IFERROR(__xludf.DUMMYFUNCTION("""COMPUTED_VALUE"""),"Cold")</f>
        <v>Cold</v>
      </c>
      <c r="G888" s="124" t="str">
        <f>IFERROR(__xludf.DUMMYFUNCTION("""COMPUTED_VALUE"""),"Test Series")</f>
        <v>Test Series</v>
      </c>
      <c r="K888" s="124"/>
      <c r="L888" s="124"/>
      <c r="M888" s="124"/>
      <c r="N888" s="124"/>
      <c r="O888" s="124"/>
      <c r="T888" s="126">
        <f>IFERROR(__xludf.DUMMYFUNCTION("""COMPUTED_VALUE"""),46069.0)</f>
        <v>46069</v>
      </c>
      <c r="U888" s="124" t="str">
        <f>IFERROR(__xludf.DUMMYFUNCTION("""COMPUTED_VALUE"""),"Telephony")</f>
        <v>Telephony</v>
      </c>
      <c r="V888" s="124" t="str">
        <f>IFERROR(__xludf.DUMMYFUNCTION("""COMPUTED_VALUE"""),"Inbound Call")</f>
        <v>Inbound Call</v>
      </c>
      <c r="W888" s="124">
        <f>IFERROR(__xludf.DUMMYFUNCTION("""COMPUTED_VALUE"""),9.18047861633E11)</f>
        <v>918047861633</v>
      </c>
      <c r="X888" s="124" t="str">
        <f>IFERROR(__xludf.DUMMYFUNCTION("""COMPUTED_VALUE"""),"Inbound Call")</f>
        <v>Inbound Call</v>
      </c>
      <c r="Y888" s="124"/>
      <c r="Z888" s="124">
        <f>IFERROR(__xludf.DUMMYFUNCTION("""COMPUTED_VALUE"""),1.0)</f>
        <v>1</v>
      </c>
      <c r="AA888" s="124" t="str">
        <f>IFERROR(__xludf.DUMMYFUNCTION("""COMPUTED_VALUE"""),"Fake Lead")</f>
        <v>Fake Lead</v>
      </c>
      <c r="AB888" s="124"/>
    </row>
    <row r="889">
      <c r="A889" s="126">
        <f>IFERROR(__xludf.DUMMYFUNCTION("""COMPUTED_VALUE"""),46104.0)</f>
        <v>46104</v>
      </c>
      <c r="B889" s="124" t="str">
        <f>IFERROR(__xludf.DUMMYFUNCTION("""COMPUTED_VALUE"""),"Walk-In")</f>
        <v>Walk-In</v>
      </c>
      <c r="C889" s="124" t="str">
        <f>IFERROR(__xludf.DUMMYFUNCTION("""COMPUTED_VALUE"""),"Prayagraj")</f>
        <v>Prayagraj</v>
      </c>
      <c r="D889" s="124" t="str">
        <f>IFERROR(__xludf.DUMMYFUNCTION("""COMPUTED_VALUE"""),"Primary_Walkin")</f>
        <v>Primary_Walkin</v>
      </c>
      <c r="E889" s="124">
        <f>IFERROR(__xludf.DUMMYFUNCTION("""COMPUTED_VALUE"""),1.0)</f>
        <v>1</v>
      </c>
      <c r="F889" s="124" t="str">
        <f>IFERROR(__xludf.DUMMYFUNCTION("""COMPUTED_VALUE"""),"Cold")</f>
        <v>Cold</v>
      </c>
      <c r="G889" s="124" t="str">
        <f>IFERROR(__xludf.DUMMYFUNCTION("""COMPUTED_VALUE"""),"State PCS")</f>
        <v>State PCS</v>
      </c>
      <c r="K889" s="124"/>
      <c r="L889" s="124"/>
      <c r="M889" s="124"/>
      <c r="N889" s="124"/>
      <c r="O889" s="124"/>
      <c r="T889" s="126">
        <f>IFERROR(__xludf.DUMMYFUNCTION("""COMPUTED_VALUE"""),46050.0)</f>
        <v>46050</v>
      </c>
      <c r="U889" s="124" t="str">
        <f>IFERROR(__xludf.DUMMYFUNCTION("""COMPUTED_VALUE"""),"Telephony")</f>
        <v>Telephony</v>
      </c>
      <c r="V889" s="124" t="str">
        <f>IFERROR(__xludf.DUMMYFUNCTION("""COMPUTED_VALUE"""),"Inbound Call")</f>
        <v>Inbound Call</v>
      </c>
      <c r="W889" s="124">
        <f>IFERROR(__xludf.DUMMYFUNCTION("""COMPUTED_VALUE"""),9.18047861663E11)</f>
        <v>918047861663</v>
      </c>
      <c r="X889" s="124" t="str">
        <f>IFERROR(__xludf.DUMMYFUNCTION("""COMPUTED_VALUE"""),"Inbound Call")</f>
        <v>Inbound Call</v>
      </c>
      <c r="Y889" s="124" t="str">
        <f>IFERROR(__xludf.DUMMYFUNCTION("""COMPUTED_VALUE"""),"Delhi")</f>
        <v>Delhi</v>
      </c>
      <c r="Z889" s="124">
        <f>IFERROR(__xludf.DUMMYFUNCTION("""COMPUTED_VALUE"""),1.0)</f>
        <v>1</v>
      </c>
      <c r="AA889" s="124" t="str">
        <f>IFERROR(__xludf.DUMMYFUNCTION("""COMPUTED_VALUE"""),"Cold")</f>
        <v>Cold</v>
      </c>
      <c r="AB889" s="124"/>
    </row>
    <row r="890">
      <c r="A890" s="129">
        <f>IFERROR(__xludf.DUMMYFUNCTION("""COMPUTED_VALUE"""),46093.0)</f>
        <v>46093</v>
      </c>
      <c r="B890" s="124" t="str">
        <f>IFERROR(__xludf.DUMMYFUNCTION("""COMPUTED_VALUE"""),"Walk-In")</f>
        <v>Walk-In</v>
      </c>
      <c r="C890" s="124" t="str">
        <f>IFERROR(__xludf.DUMMYFUNCTION("""COMPUTED_VALUE"""),"Prayagraj")</f>
        <v>Prayagraj</v>
      </c>
      <c r="D890" s="124" t="str">
        <f>IFERROR(__xludf.DUMMYFUNCTION("""COMPUTED_VALUE"""),"Primary_Walkin")</f>
        <v>Primary_Walkin</v>
      </c>
      <c r="E890" s="124">
        <f>IFERROR(__xludf.DUMMYFUNCTION("""COMPUTED_VALUE"""),1.0)</f>
        <v>1</v>
      </c>
      <c r="F890" s="124" t="str">
        <f>IFERROR(__xludf.DUMMYFUNCTION("""COMPUTED_VALUE"""),"Not Interested")</f>
        <v>Not Interested</v>
      </c>
      <c r="G890" s="124" t="str">
        <f>IFERROR(__xludf.DUMMYFUNCTION("""COMPUTED_VALUE"""),"GS Foundation")</f>
        <v>GS Foundation</v>
      </c>
      <c r="K890" s="124"/>
      <c r="L890" s="124"/>
      <c r="M890" s="124"/>
      <c r="N890" s="124"/>
      <c r="O890" s="124"/>
      <c r="T890" s="126">
        <f>IFERROR(__xludf.DUMMYFUNCTION("""COMPUTED_VALUE"""),46111.0)</f>
        <v>46111</v>
      </c>
      <c r="U890" s="124" t="str">
        <f>IFERROR(__xludf.DUMMYFUNCTION("""COMPUTED_VALUE"""),"Telephony")</f>
        <v>Telephony</v>
      </c>
      <c r="V890" s="124" t="str">
        <f>IFERROR(__xludf.DUMMYFUNCTION("""COMPUTED_VALUE"""),"Inbound Call")</f>
        <v>Inbound Call</v>
      </c>
      <c r="W890" s="124">
        <f>IFERROR(__xludf.DUMMYFUNCTION("""COMPUTED_VALUE"""),9.18047861663E11)</f>
        <v>918047861663</v>
      </c>
      <c r="X890" s="124" t="str">
        <f>IFERROR(__xludf.DUMMYFUNCTION("""COMPUTED_VALUE"""),"Inbound Call")</f>
        <v>Inbound Call</v>
      </c>
      <c r="Y890" s="124" t="str">
        <f>IFERROR(__xludf.DUMMYFUNCTION("""COMPUTED_VALUE"""),"Delhi")</f>
        <v>Delhi</v>
      </c>
      <c r="Z890" s="124">
        <f>IFERROR(__xludf.DUMMYFUNCTION("""COMPUTED_VALUE"""),4.0)</f>
        <v>4</v>
      </c>
      <c r="AA890" s="124" t="str">
        <f>IFERROR(__xludf.DUMMYFUNCTION("""COMPUTED_VALUE"""),"Fake Lead")</f>
        <v>Fake Lead</v>
      </c>
      <c r="AB890" s="124"/>
    </row>
    <row r="891">
      <c r="A891" s="126">
        <f>IFERROR(__xludf.DUMMYFUNCTION("""COMPUTED_VALUE"""),46054.0)</f>
        <v>46054</v>
      </c>
      <c r="B891" s="124" t="str">
        <f>IFERROR(__xludf.DUMMYFUNCTION("""COMPUTED_VALUE"""),"Walk-In")</f>
        <v>Walk-In</v>
      </c>
      <c r="C891" s="124" t="str">
        <f>IFERROR(__xludf.DUMMYFUNCTION("""COMPUTED_VALUE"""),"Prayagraj")</f>
        <v>Prayagraj</v>
      </c>
      <c r="D891" s="124" t="str">
        <f>IFERROR(__xludf.DUMMYFUNCTION("""COMPUTED_VALUE"""),"Primary_Walkin")</f>
        <v>Primary_Walkin</v>
      </c>
      <c r="E891" s="124">
        <f>IFERROR(__xludf.DUMMYFUNCTION("""COMPUTED_VALUE"""),1.0)</f>
        <v>1</v>
      </c>
      <c r="F891" s="124" t="str">
        <f>IFERROR(__xludf.DUMMYFUNCTION("""COMPUTED_VALUE"""),"Fake Lead")</f>
        <v>Fake Lead</v>
      </c>
      <c r="G891" s="124" t="str">
        <f>IFERROR(__xludf.DUMMYFUNCTION("""COMPUTED_VALUE"""),"GS Foundation")</f>
        <v>GS Foundation</v>
      </c>
      <c r="K891" s="124"/>
      <c r="L891" s="124"/>
      <c r="M891" s="124"/>
      <c r="N891" s="124"/>
      <c r="O891" s="124"/>
      <c r="T891" s="129">
        <f>IFERROR(__xludf.DUMMYFUNCTION("""COMPUTED_VALUE"""),46054.0)</f>
        <v>46054</v>
      </c>
      <c r="U891" s="124" t="str">
        <f>IFERROR(__xludf.DUMMYFUNCTION("""COMPUTED_VALUE"""),"Telephony")</f>
        <v>Telephony</v>
      </c>
      <c r="V891" s="124" t="str">
        <f>IFERROR(__xludf.DUMMYFUNCTION("""COMPUTED_VALUE"""),"Inbound Call")</f>
        <v>Inbound Call</v>
      </c>
      <c r="W891" s="124">
        <f>IFERROR(__xludf.DUMMYFUNCTION("""COMPUTED_VALUE"""),9.18047861633E11)</f>
        <v>918047861633</v>
      </c>
      <c r="X891" s="124" t="str">
        <f>IFERROR(__xludf.DUMMYFUNCTION("""COMPUTED_VALUE"""),"Inbound Call")</f>
        <v>Inbound Call</v>
      </c>
      <c r="Y891" s="124"/>
      <c r="Z891" s="124">
        <f>IFERROR(__xludf.DUMMYFUNCTION("""COMPUTED_VALUE"""),1.0)</f>
        <v>1</v>
      </c>
      <c r="AA891" s="124" t="str">
        <f>IFERROR(__xludf.DUMMYFUNCTION("""COMPUTED_VALUE"""),"Cold")</f>
        <v>Cold</v>
      </c>
      <c r="AB891" s="124"/>
    </row>
    <row r="892">
      <c r="A892" s="126">
        <f>IFERROR(__xludf.DUMMYFUNCTION("""COMPUTED_VALUE"""),46058.0)</f>
        <v>46058</v>
      </c>
      <c r="B892" s="124" t="str">
        <f>IFERROR(__xludf.DUMMYFUNCTION("""COMPUTED_VALUE"""),"Walkin")</f>
        <v>Walkin</v>
      </c>
      <c r="C892" s="124" t="str">
        <f>IFERROR(__xludf.DUMMYFUNCTION("""COMPUTED_VALUE"""),"Prayagraj")</f>
        <v>Prayagraj</v>
      </c>
      <c r="D892" s="124" t="str">
        <f>IFERROR(__xludf.DUMMYFUNCTION("""COMPUTED_VALUE"""),"Primary_Walkin")</f>
        <v>Primary_Walkin</v>
      </c>
      <c r="E892" s="124">
        <f>IFERROR(__xludf.DUMMYFUNCTION("""COMPUTED_VALUE"""),1.0)</f>
        <v>1</v>
      </c>
      <c r="F892" s="124" t="str">
        <f>IFERROR(__xludf.DUMMYFUNCTION("""COMPUTED_VALUE"""),"Not Interested")</f>
        <v>Not Interested</v>
      </c>
      <c r="G892" s="124" t="str">
        <f>IFERROR(__xludf.DUMMYFUNCTION("""COMPUTED_VALUE"""),"GS Foundation")</f>
        <v>GS Foundation</v>
      </c>
      <c r="K892" s="124"/>
      <c r="L892" s="124"/>
      <c r="M892" s="124"/>
      <c r="N892" s="124"/>
      <c r="O892" s="124"/>
      <c r="T892" s="126">
        <f>IFERROR(__xludf.DUMMYFUNCTION("""COMPUTED_VALUE"""),46090.0)</f>
        <v>46090</v>
      </c>
      <c r="U892" s="124" t="str">
        <f>IFERROR(__xludf.DUMMYFUNCTION("""COMPUTED_VALUE"""),"Telephony")</f>
        <v>Telephony</v>
      </c>
      <c r="V892" s="124" t="str">
        <f>IFERROR(__xludf.DUMMYFUNCTION("""COMPUTED_VALUE"""),"Inbound Call")</f>
        <v>Inbound Call</v>
      </c>
      <c r="W892" s="124">
        <f>IFERROR(__xludf.DUMMYFUNCTION("""COMPUTED_VALUE"""),9.18047861663E11)</f>
        <v>918047861663</v>
      </c>
      <c r="X892" s="124" t="str">
        <f>IFERROR(__xludf.DUMMYFUNCTION("""COMPUTED_VALUE"""),"Inbound Call")</f>
        <v>Inbound Call</v>
      </c>
      <c r="Y892" s="124" t="str">
        <f>IFERROR(__xludf.DUMMYFUNCTION("""COMPUTED_VALUE"""),"Patna")</f>
        <v>Patna</v>
      </c>
      <c r="Z892" s="124">
        <f>IFERROR(__xludf.DUMMYFUNCTION("""COMPUTED_VALUE"""),1.0)</f>
        <v>1</v>
      </c>
      <c r="AA892" s="124" t="str">
        <f>IFERROR(__xludf.DUMMYFUNCTION("""COMPUTED_VALUE"""),"Cold")</f>
        <v>Cold</v>
      </c>
      <c r="AB892" s="124" t="str">
        <f>IFERROR(__xludf.DUMMYFUNCTION("""COMPUTED_VALUE"""),"State PCS")</f>
        <v>State PCS</v>
      </c>
    </row>
    <row r="893">
      <c r="A893" s="126">
        <f>IFERROR(__xludf.DUMMYFUNCTION("""COMPUTED_VALUE"""),46053.0)</f>
        <v>46053</v>
      </c>
      <c r="B893" s="124" t="str">
        <f>IFERROR(__xludf.DUMMYFUNCTION("""COMPUTED_VALUE"""),"Walkin")</f>
        <v>Walkin</v>
      </c>
      <c r="C893" s="124" t="str">
        <f>IFERROR(__xludf.DUMMYFUNCTION("""COMPUTED_VALUE"""),"Prayagraj")</f>
        <v>Prayagraj</v>
      </c>
      <c r="D893" s="124" t="str">
        <f>IFERROR(__xludf.DUMMYFUNCTION("""COMPUTED_VALUE"""),"Primary_Walkin")</f>
        <v>Primary_Walkin</v>
      </c>
      <c r="E893" s="124">
        <f>IFERROR(__xludf.DUMMYFUNCTION("""COMPUTED_VALUE"""),2.0)</f>
        <v>2</v>
      </c>
      <c r="F893" s="124" t="str">
        <f>IFERROR(__xludf.DUMMYFUNCTION("""COMPUTED_VALUE"""),"Cold")</f>
        <v>Cold</v>
      </c>
      <c r="G893" s="124" t="str">
        <f>IFERROR(__xludf.DUMMYFUNCTION("""COMPUTED_VALUE"""),"GS Foundation")</f>
        <v>GS Foundation</v>
      </c>
      <c r="K893" s="124"/>
      <c r="L893" s="124"/>
      <c r="M893" s="124"/>
      <c r="N893" s="124"/>
      <c r="O893" s="124"/>
      <c r="T893" s="126">
        <f>IFERROR(__xludf.DUMMYFUNCTION("""COMPUTED_VALUE"""),46071.0)</f>
        <v>46071</v>
      </c>
      <c r="U893" s="124" t="str">
        <f>IFERROR(__xludf.DUMMYFUNCTION("""COMPUTED_VALUE"""),"Telephony")</f>
        <v>Telephony</v>
      </c>
      <c r="V893" s="124" t="str">
        <f>IFERROR(__xludf.DUMMYFUNCTION("""COMPUTED_VALUE"""),"Inbound Call")</f>
        <v>Inbound Call</v>
      </c>
      <c r="W893" s="124">
        <f>IFERROR(__xludf.DUMMYFUNCTION("""COMPUTED_VALUE"""),9.18047861634E11)</f>
        <v>918047861634</v>
      </c>
      <c r="X893" s="124" t="str">
        <f>IFERROR(__xludf.DUMMYFUNCTION("""COMPUTED_VALUE"""),"Inbound Call")</f>
        <v>Inbound Call</v>
      </c>
      <c r="Y893" s="124" t="str">
        <f>IFERROR(__xludf.DUMMYFUNCTION("""COMPUTED_VALUE"""),"Lucknow")</f>
        <v>Lucknow</v>
      </c>
      <c r="Z893" s="124">
        <f>IFERROR(__xludf.DUMMYFUNCTION("""COMPUTED_VALUE"""),1.0)</f>
        <v>1</v>
      </c>
      <c r="AA893" s="124" t="str">
        <f>IFERROR(__xludf.DUMMYFUNCTION("""COMPUTED_VALUE"""),"Enrolled")</f>
        <v>Enrolled</v>
      </c>
      <c r="AB893" s="124" t="str">
        <f>IFERROR(__xludf.DUMMYFUNCTION("""COMPUTED_VALUE"""),"GS Foundation")</f>
        <v>GS Foundation</v>
      </c>
    </row>
    <row r="894">
      <c r="A894" s="126">
        <f>IFERROR(__xludf.DUMMYFUNCTION("""COMPUTED_VALUE"""),46097.0)</f>
        <v>46097</v>
      </c>
      <c r="B894" s="124" t="str">
        <f>IFERROR(__xludf.DUMMYFUNCTION("""COMPUTED_VALUE"""),"Walk-In")</f>
        <v>Walk-In</v>
      </c>
      <c r="C894" s="124" t="str">
        <f>IFERROR(__xludf.DUMMYFUNCTION("""COMPUTED_VALUE"""),"Prayagraj")</f>
        <v>Prayagraj</v>
      </c>
      <c r="D894" s="124" t="str">
        <f>IFERROR(__xludf.DUMMYFUNCTION("""COMPUTED_VALUE"""),"Primary_Walkin")</f>
        <v>Primary_Walkin</v>
      </c>
      <c r="E894" s="124">
        <f>IFERROR(__xludf.DUMMYFUNCTION("""COMPUTED_VALUE"""),1.0)</f>
        <v>1</v>
      </c>
      <c r="F894" s="124" t="str">
        <f>IFERROR(__xludf.DUMMYFUNCTION("""COMPUTED_VALUE"""),"Enrolled")</f>
        <v>Enrolled</v>
      </c>
      <c r="G894" s="124" t="str">
        <f>IFERROR(__xludf.DUMMYFUNCTION("""COMPUTED_VALUE"""),"GS Foundation")</f>
        <v>GS Foundation</v>
      </c>
      <c r="K894" s="124"/>
      <c r="L894" s="124"/>
      <c r="M894" s="124"/>
      <c r="N894" s="124"/>
      <c r="O894" s="124"/>
      <c r="T894" s="129">
        <f>IFERROR(__xludf.DUMMYFUNCTION("""COMPUTED_VALUE"""),46080.0)</f>
        <v>46080</v>
      </c>
      <c r="U894" s="124" t="str">
        <f>IFERROR(__xludf.DUMMYFUNCTION("""COMPUTED_VALUE"""),"Telephony")</f>
        <v>Telephony</v>
      </c>
      <c r="V894" s="124" t="str">
        <f>IFERROR(__xludf.DUMMYFUNCTION("""COMPUTED_VALUE"""),"Inbound Call")</f>
        <v>Inbound Call</v>
      </c>
      <c r="W894" s="124">
        <f>IFERROR(__xludf.DUMMYFUNCTION("""COMPUTED_VALUE"""),9.18047861635E11)</f>
        <v>918047861635</v>
      </c>
      <c r="X894" s="124" t="str">
        <f>IFERROR(__xludf.DUMMYFUNCTION("""COMPUTED_VALUE"""),"Inbound Call")</f>
        <v>Inbound Call</v>
      </c>
      <c r="Y894" s="124"/>
      <c r="Z894" s="124">
        <f>IFERROR(__xludf.DUMMYFUNCTION("""COMPUTED_VALUE"""),1.0)</f>
        <v>1</v>
      </c>
      <c r="AA894" s="124" t="str">
        <f>IFERROR(__xludf.DUMMYFUNCTION("""COMPUTED_VALUE"""),"Cold")</f>
        <v>Cold</v>
      </c>
      <c r="AB894" s="124"/>
    </row>
    <row r="895">
      <c r="A895" s="129">
        <f>IFERROR(__xludf.DUMMYFUNCTION("""COMPUTED_VALUE"""),46090.0)</f>
        <v>46090</v>
      </c>
      <c r="B895" s="124" t="str">
        <f>IFERROR(__xludf.DUMMYFUNCTION("""COMPUTED_VALUE"""),"Walkin")</f>
        <v>Walkin</v>
      </c>
      <c r="C895" s="124" t="str">
        <f>IFERROR(__xludf.DUMMYFUNCTION("""COMPUTED_VALUE"""),"Prayagraj")</f>
        <v>Prayagraj</v>
      </c>
      <c r="D895" s="124" t="str">
        <f>IFERROR(__xludf.DUMMYFUNCTION("""COMPUTED_VALUE"""),"Primary_Walkin")</f>
        <v>Primary_Walkin</v>
      </c>
      <c r="E895" s="124">
        <f>IFERROR(__xludf.DUMMYFUNCTION("""COMPUTED_VALUE"""),1.0)</f>
        <v>1</v>
      </c>
      <c r="F895" s="124" t="str">
        <f>IFERROR(__xludf.DUMMYFUNCTION("""COMPUTED_VALUE"""),"Warm")</f>
        <v>Warm</v>
      </c>
      <c r="G895" s="124" t="str">
        <f>IFERROR(__xludf.DUMMYFUNCTION("""COMPUTED_VALUE"""),"State PCS")</f>
        <v>State PCS</v>
      </c>
      <c r="K895" s="124"/>
      <c r="L895" s="124"/>
      <c r="M895" s="124"/>
      <c r="N895" s="124"/>
      <c r="O895" s="124"/>
      <c r="T895" s="129">
        <f>IFERROR(__xludf.DUMMYFUNCTION("""COMPUTED_VALUE"""),46109.0)</f>
        <v>46109</v>
      </c>
      <c r="U895" s="124" t="str">
        <f>IFERROR(__xludf.DUMMYFUNCTION("""COMPUTED_VALUE"""),"Telephony")</f>
        <v>Telephony</v>
      </c>
      <c r="V895" s="124" t="str">
        <f>IFERROR(__xludf.DUMMYFUNCTION("""COMPUTED_VALUE"""),"Inbound Call")</f>
        <v>Inbound Call</v>
      </c>
      <c r="W895" s="124">
        <f>IFERROR(__xludf.DUMMYFUNCTION("""COMPUTED_VALUE"""),9.18047861663E11)</f>
        <v>918047861663</v>
      </c>
      <c r="X895" s="124" t="str">
        <f>IFERROR(__xludf.DUMMYFUNCTION("""COMPUTED_VALUE"""),"Inbound Call")</f>
        <v>Inbound Call</v>
      </c>
      <c r="Y895" s="124" t="str">
        <f>IFERROR(__xludf.DUMMYFUNCTION("""COMPUTED_VALUE"""),"Delhi")</f>
        <v>Delhi</v>
      </c>
      <c r="Z895" s="124">
        <f>IFERROR(__xludf.DUMMYFUNCTION("""COMPUTED_VALUE"""),3.0)</f>
        <v>3</v>
      </c>
      <c r="AA895" s="124" t="str">
        <f>IFERROR(__xludf.DUMMYFUNCTION("""COMPUTED_VALUE"""),"Cold")</f>
        <v>Cold</v>
      </c>
      <c r="AB895" s="124"/>
    </row>
    <row r="896">
      <c r="A896" s="129">
        <f>IFERROR(__xludf.DUMMYFUNCTION("""COMPUTED_VALUE"""),46076.0)</f>
        <v>46076</v>
      </c>
      <c r="B896" s="124" t="str">
        <f>IFERROR(__xludf.DUMMYFUNCTION("""COMPUTED_VALUE"""),"Walkin")</f>
        <v>Walkin</v>
      </c>
      <c r="C896" s="124" t="str">
        <f>IFERROR(__xludf.DUMMYFUNCTION("""COMPUTED_VALUE"""),"Prayagraj")</f>
        <v>Prayagraj</v>
      </c>
      <c r="D896" s="124" t="str">
        <f>IFERROR(__xludf.DUMMYFUNCTION("""COMPUTED_VALUE"""),"Primary_Walkin")</f>
        <v>Primary_Walkin</v>
      </c>
      <c r="E896" s="124">
        <f>IFERROR(__xludf.DUMMYFUNCTION("""COMPUTED_VALUE"""),1.0)</f>
        <v>1</v>
      </c>
      <c r="F896" s="124" t="str">
        <f>IFERROR(__xludf.DUMMYFUNCTION("""COMPUTED_VALUE"""),"Enrolled")</f>
        <v>Enrolled</v>
      </c>
      <c r="G896" s="124" t="str">
        <f>IFERROR(__xludf.DUMMYFUNCTION("""COMPUTED_VALUE"""),"Mentorship")</f>
        <v>Mentorship</v>
      </c>
      <c r="K896" s="124"/>
      <c r="L896" s="124"/>
      <c r="M896" s="124"/>
      <c r="N896" s="124"/>
      <c r="O896" s="124"/>
      <c r="T896" s="126">
        <f>IFERROR(__xludf.DUMMYFUNCTION("""COMPUTED_VALUE"""),46046.0)</f>
        <v>46046</v>
      </c>
      <c r="U896" s="124" t="str">
        <f>IFERROR(__xludf.DUMMYFUNCTION("""COMPUTED_VALUE"""),"Telephony")</f>
        <v>Telephony</v>
      </c>
      <c r="V896" s="124" t="str">
        <f>IFERROR(__xludf.DUMMYFUNCTION("""COMPUTED_VALUE"""),"Inbound Call")</f>
        <v>Inbound Call</v>
      </c>
      <c r="W896" s="124">
        <f>IFERROR(__xludf.DUMMYFUNCTION("""COMPUTED_VALUE"""),9.18047861633E11)</f>
        <v>918047861633</v>
      </c>
      <c r="X896" s="124" t="str">
        <f>IFERROR(__xludf.DUMMYFUNCTION("""COMPUTED_VALUE"""),"Inbound Call")</f>
        <v>Inbound Call</v>
      </c>
      <c r="Y896" s="124"/>
      <c r="Z896" s="124">
        <f>IFERROR(__xludf.DUMMYFUNCTION("""COMPUTED_VALUE"""),8.0)</f>
        <v>8</v>
      </c>
      <c r="AA896" s="124" t="str">
        <f>IFERROR(__xludf.DUMMYFUNCTION("""COMPUTED_VALUE"""),"Cold")</f>
        <v>Cold</v>
      </c>
      <c r="AB896" s="124"/>
    </row>
    <row r="897">
      <c r="A897" s="126">
        <f>IFERROR(__xludf.DUMMYFUNCTION("""COMPUTED_VALUE"""),46100.0)</f>
        <v>46100</v>
      </c>
      <c r="B897" s="124" t="str">
        <f>IFERROR(__xludf.DUMMYFUNCTION("""COMPUTED_VALUE"""),"Walkin")</f>
        <v>Walkin</v>
      </c>
      <c r="C897" s="124" t="str">
        <f>IFERROR(__xludf.DUMMYFUNCTION("""COMPUTED_VALUE"""),"Prayagraj")</f>
        <v>Prayagraj</v>
      </c>
      <c r="D897" s="124" t="str">
        <f>IFERROR(__xludf.DUMMYFUNCTION("""COMPUTED_VALUE"""),"Primary_Walkin")</f>
        <v>Primary_Walkin</v>
      </c>
      <c r="E897" s="124">
        <f>IFERROR(__xludf.DUMMYFUNCTION("""COMPUTED_VALUE"""),1.0)</f>
        <v>1</v>
      </c>
      <c r="F897" s="124" t="str">
        <f>IFERROR(__xludf.DUMMYFUNCTION("""COMPUTED_VALUE"""),"Cold")</f>
        <v>Cold</v>
      </c>
      <c r="G897" s="124" t="str">
        <f>IFERROR(__xludf.DUMMYFUNCTION("""COMPUTED_VALUE"""),"State PCS")</f>
        <v>State PCS</v>
      </c>
      <c r="K897" s="124"/>
      <c r="L897" s="124"/>
      <c r="M897" s="124"/>
      <c r="N897" s="124"/>
      <c r="O897" s="124"/>
      <c r="T897" s="129">
        <f>IFERROR(__xludf.DUMMYFUNCTION("""COMPUTED_VALUE"""),46080.0)</f>
        <v>46080</v>
      </c>
      <c r="U897" s="124" t="str">
        <f>IFERROR(__xludf.DUMMYFUNCTION("""COMPUTED_VALUE"""),"Telephony")</f>
        <v>Telephony</v>
      </c>
      <c r="V897" s="124" t="str">
        <f>IFERROR(__xludf.DUMMYFUNCTION("""COMPUTED_VALUE"""),"Inbound Call")</f>
        <v>Inbound Call</v>
      </c>
      <c r="W897" s="124">
        <f>IFERROR(__xludf.DUMMYFUNCTION("""COMPUTED_VALUE"""),9.18047861635E11)</f>
        <v>918047861635</v>
      </c>
      <c r="X897" s="124" t="str">
        <f>IFERROR(__xludf.DUMMYFUNCTION("""COMPUTED_VALUE"""),"Inbound Call")</f>
        <v>Inbound Call</v>
      </c>
      <c r="Y897" s="124" t="str">
        <f>IFERROR(__xludf.DUMMYFUNCTION("""COMPUTED_VALUE"""),"Indore")</f>
        <v>Indore</v>
      </c>
      <c r="Z897" s="124">
        <f>IFERROR(__xludf.DUMMYFUNCTION("""COMPUTED_VALUE"""),1.0)</f>
        <v>1</v>
      </c>
      <c r="AA897" s="124" t="str">
        <f>IFERROR(__xludf.DUMMYFUNCTION("""COMPUTED_VALUE"""),"Cold")</f>
        <v>Cold</v>
      </c>
      <c r="AB897" s="124"/>
    </row>
    <row r="898">
      <c r="A898" s="129">
        <f>IFERROR(__xludf.DUMMYFUNCTION("""COMPUTED_VALUE"""),46104.0)</f>
        <v>46104</v>
      </c>
      <c r="B898" s="124" t="str">
        <f>IFERROR(__xludf.DUMMYFUNCTION("""COMPUTED_VALUE"""),"Walkin")</f>
        <v>Walkin</v>
      </c>
      <c r="C898" s="124" t="str">
        <f>IFERROR(__xludf.DUMMYFUNCTION("""COMPUTED_VALUE"""),"Prayagraj")</f>
        <v>Prayagraj</v>
      </c>
      <c r="D898" s="124" t="str">
        <f>IFERROR(__xludf.DUMMYFUNCTION("""COMPUTED_VALUE"""),"Primary_Walkin")</f>
        <v>Primary_Walkin</v>
      </c>
      <c r="E898" s="124">
        <f>IFERROR(__xludf.DUMMYFUNCTION("""COMPUTED_VALUE"""),3.0)</f>
        <v>3</v>
      </c>
      <c r="F898" s="124" t="str">
        <f>IFERROR(__xludf.DUMMYFUNCTION("""COMPUTED_VALUE"""),"Enrolled")</f>
        <v>Enrolled</v>
      </c>
      <c r="G898" s="124" t="str">
        <f>IFERROR(__xludf.DUMMYFUNCTION("""COMPUTED_VALUE"""),"Mentorship")</f>
        <v>Mentorship</v>
      </c>
      <c r="K898" s="124"/>
      <c r="L898" s="124"/>
      <c r="M898" s="124"/>
      <c r="N898" s="124"/>
      <c r="O898" s="124"/>
      <c r="T898" s="126">
        <f>IFERROR(__xludf.DUMMYFUNCTION("""COMPUTED_VALUE"""),46063.0)</f>
        <v>46063</v>
      </c>
      <c r="U898" s="124" t="str">
        <f>IFERROR(__xludf.DUMMYFUNCTION("""COMPUTED_VALUE"""),"Telephony")</f>
        <v>Telephony</v>
      </c>
      <c r="V898" s="124" t="str">
        <f>IFERROR(__xludf.DUMMYFUNCTION("""COMPUTED_VALUE"""),"Inbound Call")</f>
        <v>Inbound Call</v>
      </c>
      <c r="W898" s="124" t="str">
        <f>IFERROR(__xludf.DUMMYFUNCTION("""COMPUTED_VALUE"""),"Inbound Call")</f>
        <v>Inbound Call</v>
      </c>
      <c r="X898" s="124" t="str">
        <f>IFERROR(__xludf.DUMMYFUNCTION("""COMPUTED_VALUE"""),"Inbound Call")</f>
        <v>Inbound Call</v>
      </c>
      <c r="Y898" s="124" t="str">
        <f>IFERROR(__xludf.DUMMYFUNCTION("""COMPUTED_VALUE"""),"Prayagraj")</f>
        <v>Prayagraj</v>
      </c>
      <c r="Z898" s="124">
        <f>IFERROR(__xludf.DUMMYFUNCTION("""COMPUTED_VALUE"""),1.0)</f>
        <v>1</v>
      </c>
      <c r="AA898" s="124" t="str">
        <f>IFERROR(__xludf.DUMMYFUNCTION("""COMPUTED_VALUE"""),"Cold")</f>
        <v>Cold</v>
      </c>
      <c r="AB898" s="124" t="str">
        <f>IFERROR(__xludf.DUMMYFUNCTION("""COMPUTED_VALUE"""),"State PCS")</f>
        <v>State PCS</v>
      </c>
    </row>
    <row r="899">
      <c r="A899" s="129">
        <f>IFERROR(__xludf.DUMMYFUNCTION("""COMPUTED_VALUE"""),46062.0)</f>
        <v>46062</v>
      </c>
      <c r="B899" s="124" t="str">
        <f>IFERROR(__xludf.DUMMYFUNCTION("""COMPUTED_VALUE"""),"Walkin")</f>
        <v>Walkin</v>
      </c>
      <c r="C899" s="124" t="str">
        <f>IFERROR(__xludf.DUMMYFUNCTION("""COMPUTED_VALUE"""),"Prayagraj")</f>
        <v>Prayagraj</v>
      </c>
      <c r="D899" s="124" t="str">
        <f>IFERROR(__xludf.DUMMYFUNCTION("""COMPUTED_VALUE"""),"Primary_Walkin")</f>
        <v>Primary_Walkin</v>
      </c>
      <c r="E899" s="124">
        <f>IFERROR(__xludf.DUMMYFUNCTION("""COMPUTED_VALUE"""),4.0)</f>
        <v>4</v>
      </c>
      <c r="F899" s="124" t="str">
        <f>IFERROR(__xludf.DUMMYFUNCTION("""COMPUTED_VALUE"""),"Not Interested")</f>
        <v>Not Interested</v>
      </c>
      <c r="G899" s="124" t="str">
        <f>IFERROR(__xludf.DUMMYFUNCTION("""COMPUTED_VALUE"""),"GS Foundation")</f>
        <v>GS Foundation</v>
      </c>
      <c r="K899" s="124"/>
      <c r="L899" s="124"/>
      <c r="M899" s="124"/>
      <c r="N899" s="124"/>
      <c r="O899" s="124"/>
      <c r="T899" s="126">
        <f>IFERROR(__xludf.DUMMYFUNCTION("""COMPUTED_VALUE"""),46097.0)</f>
        <v>46097</v>
      </c>
      <c r="U899" s="124" t="str">
        <f>IFERROR(__xludf.DUMMYFUNCTION("""COMPUTED_VALUE"""),"Telephony")</f>
        <v>Telephony</v>
      </c>
      <c r="V899" s="124" t="str">
        <f>IFERROR(__xludf.DUMMYFUNCTION("""COMPUTED_VALUE"""),"Inbound Call")</f>
        <v>Inbound Call</v>
      </c>
      <c r="W899" s="124">
        <f>IFERROR(__xludf.DUMMYFUNCTION("""COMPUTED_VALUE"""),9.18047861635E11)</f>
        <v>918047861635</v>
      </c>
      <c r="X899" s="124" t="str">
        <f>IFERROR(__xludf.DUMMYFUNCTION("""COMPUTED_VALUE"""),"Inbound Call")</f>
        <v>Inbound Call</v>
      </c>
      <c r="Y899" s="124" t="str">
        <f>IFERROR(__xludf.DUMMYFUNCTION("""COMPUTED_VALUE"""),"Indore")</f>
        <v>Indore</v>
      </c>
      <c r="Z899" s="124">
        <f>IFERROR(__xludf.DUMMYFUNCTION("""COMPUTED_VALUE"""),2.0)</f>
        <v>2</v>
      </c>
      <c r="AA899" s="124" t="str">
        <f>IFERROR(__xludf.DUMMYFUNCTION("""COMPUTED_VALUE"""),"Cold")</f>
        <v>Cold</v>
      </c>
      <c r="AB899" s="124"/>
    </row>
    <row r="900">
      <c r="A900" s="126">
        <f>IFERROR(__xludf.DUMMYFUNCTION("""COMPUTED_VALUE"""),46047.0)</f>
        <v>46047</v>
      </c>
      <c r="B900" s="124" t="str">
        <f>IFERROR(__xludf.DUMMYFUNCTION("""COMPUTED_VALUE"""),"Walkin")</f>
        <v>Walkin</v>
      </c>
      <c r="C900" s="124" t="str">
        <f>IFERROR(__xludf.DUMMYFUNCTION("""COMPUTED_VALUE"""),"Prayagraj")</f>
        <v>Prayagraj</v>
      </c>
      <c r="D900" s="124" t="str">
        <f>IFERROR(__xludf.DUMMYFUNCTION("""COMPUTED_VALUE"""),"Primary_Walkin")</f>
        <v>Primary_Walkin</v>
      </c>
      <c r="E900" s="124">
        <f>IFERROR(__xludf.DUMMYFUNCTION("""COMPUTED_VALUE"""),1.0)</f>
        <v>1</v>
      </c>
      <c r="F900" s="124" t="str">
        <f>IFERROR(__xludf.DUMMYFUNCTION("""COMPUTED_VALUE"""),"Not Interested")</f>
        <v>Not Interested</v>
      </c>
      <c r="G900" s="124" t="str">
        <f>IFERROR(__xludf.DUMMYFUNCTION("""COMPUTED_VALUE"""),"Mentorship")</f>
        <v>Mentorship</v>
      </c>
      <c r="K900" s="124"/>
      <c r="L900" s="124"/>
      <c r="M900" s="124"/>
      <c r="N900" s="124"/>
      <c r="O900" s="124"/>
      <c r="T900" s="129">
        <f>IFERROR(__xludf.DUMMYFUNCTION("""COMPUTED_VALUE"""),46066.0)</f>
        <v>46066</v>
      </c>
      <c r="U900" s="124" t="str">
        <f>IFERROR(__xludf.DUMMYFUNCTION("""COMPUTED_VALUE"""),"Telephony")</f>
        <v>Telephony</v>
      </c>
      <c r="V900" s="124" t="str">
        <f>IFERROR(__xludf.DUMMYFUNCTION("""COMPUTED_VALUE"""),"Inbound Call")</f>
        <v>Inbound Call</v>
      </c>
      <c r="W900" s="124">
        <f>IFERROR(__xludf.DUMMYFUNCTION("""COMPUTED_VALUE"""),9.18047861633E11)</f>
        <v>918047861633</v>
      </c>
      <c r="X900" s="124" t="str">
        <f>IFERROR(__xludf.DUMMYFUNCTION("""COMPUTED_VALUE"""),"Inbound Call")</f>
        <v>Inbound Call</v>
      </c>
      <c r="Y900" s="124"/>
      <c r="Z900" s="124">
        <f>IFERROR(__xludf.DUMMYFUNCTION("""COMPUTED_VALUE"""),1.0)</f>
        <v>1</v>
      </c>
      <c r="AA900" s="124" t="str">
        <f>IFERROR(__xludf.DUMMYFUNCTION("""COMPUTED_VALUE"""),"Cold")</f>
        <v>Cold</v>
      </c>
      <c r="AB900" s="124"/>
    </row>
    <row r="901">
      <c r="A901" s="126">
        <f>IFERROR(__xludf.DUMMYFUNCTION("""COMPUTED_VALUE"""),46064.0)</f>
        <v>46064</v>
      </c>
      <c r="B901" s="124" t="str">
        <f>IFERROR(__xludf.DUMMYFUNCTION("""COMPUTED_VALUE"""),"Walk-In")</f>
        <v>Walk-In</v>
      </c>
      <c r="C901" s="124" t="str">
        <f>IFERROR(__xludf.DUMMYFUNCTION("""COMPUTED_VALUE"""),"Prayagraj")</f>
        <v>Prayagraj</v>
      </c>
      <c r="D901" s="124" t="str">
        <f>IFERROR(__xludf.DUMMYFUNCTION("""COMPUTED_VALUE"""),"Primary_Walkin")</f>
        <v>Primary_Walkin</v>
      </c>
      <c r="E901" s="124">
        <f>IFERROR(__xludf.DUMMYFUNCTION("""COMPUTED_VALUE"""),1.0)</f>
        <v>1</v>
      </c>
      <c r="F901" s="124" t="str">
        <f>IFERROR(__xludf.DUMMYFUNCTION("""COMPUTED_VALUE"""),"Enrolled")</f>
        <v>Enrolled</v>
      </c>
      <c r="G901" s="124" t="str">
        <f>IFERROR(__xludf.DUMMYFUNCTION("""COMPUTED_VALUE"""),"GS Foundation")</f>
        <v>GS Foundation</v>
      </c>
      <c r="K901" s="124"/>
      <c r="L901" s="124"/>
      <c r="M901" s="124"/>
      <c r="N901" s="124"/>
      <c r="O901" s="124"/>
      <c r="T901" s="126">
        <f>IFERROR(__xludf.DUMMYFUNCTION("""COMPUTED_VALUE"""),46086.0)</f>
        <v>46086</v>
      </c>
      <c r="U901" s="124" t="str">
        <f>IFERROR(__xludf.DUMMYFUNCTION("""COMPUTED_VALUE"""),"Telephony")</f>
        <v>Telephony</v>
      </c>
      <c r="V901" s="124" t="str">
        <f>IFERROR(__xludf.DUMMYFUNCTION("""COMPUTED_VALUE"""),"Inbound Call")</f>
        <v>Inbound Call</v>
      </c>
      <c r="W901" s="124">
        <f>IFERROR(__xludf.DUMMYFUNCTION("""COMPUTED_VALUE"""),9.18047861663E11)</f>
        <v>918047861663</v>
      </c>
      <c r="X901" s="124" t="str">
        <f>IFERROR(__xludf.DUMMYFUNCTION("""COMPUTED_VALUE"""),"Inbound Call")</f>
        <v>Inbound Call</v>
      </c>
      <c r="Y901" s="124" t="str">
        <f>IFERROR(__xludf.DUMMYFUNCTION("""COMPUTED_VALUE"""),"Delhi")</f>
        <v>Delhi</v>
      </c>
      <c r="Z901" s="124">
        <f>IFERROR(__xludf.DUMMYFUNCTION("""COMPUTED_VALUE"""),7.0)</f>
        <v>7</v>
      </c>
      <c r="AA901" s="124" t="str">
        <f>IFERROR(__xludf.DUMMYFUNCTION("""COMPUTED_VALUE"""),"Cold")</f>
        <v>Cold</v>
      </c>
      <c r="AB901" s="124"/>
    </row>
    <row r="902">
      <c r="A902" s="126">
        <f>IFERROR(__xludf.DUMMYFUNCTION("""COMPUTED_VALUE"""),46043.0)</f>
        <v>46043</v>
      </c>
      <c r="B902" s="124" t="str">
        <f>IFERROR(__xludf.DUMMYFUNCTION("""COMPUTED_VALUE"""),"Walk-In")</f>
        <v>Walk-In</v>
      </c>
      <c r="C902" s="124" t="str">
        <f>IFERROR(__xludf.DUMMYFUNCTION("""COMPUTED_VALUE"""),"Prayagraj")</f>
        <v>Prayagraj</v>
      </c>
      <c r="D902" s="124" t="str">
        <f>IFERROR(__xludf.DUMMYFUNCTION("""COMPUTED_VALUE"""),"Primary_Walkin")</f>
        <v>Primary_Walkin</v>
      </c>
      <c r="E902" s="124">
        <f>IFERROR(__xludf.DUMMYFUNCTION("""COMPUTED_VALUE"""),1.0)</f>
        <v>1</v>
      </c>
      <c r="F902" s="124" t="str">
        <f>IFERROR(__xludf.DUMMYFUNCTION("""COMPUTED_VALUE"""),"Cold")</f>
        <v>Cold</v>
      </c>
      <c r="G902" s="124" t="str">
        <f>IFERROR(__xludf.DUMMYFUNCTION("""COMPUTED_VALUE"""),"Mentorship")</f>
        <v>Mentorship</v>
      </c>
      <c r="K902" s="124"/>
      <c r="L902" s="124"/>
      <c r="M902" s="124"/>
      <c r="N902" s="124"/>
      <c r="O902" s="124"/>
      <c r="T902" s="126">
        <f>IFERROR(__xludf.DUMMYFUNCTION("""COMPUTED_VALUE"""),46045.0)</f>
        <v>46045</v>
      </c>
      <c r="U902" s="124" t="str">
        <f>IFERROR(__xludf.DUMMYFUNCTION("""COMPUTED_VALUE"""),"Telephony")</f>
        <v>Telephony</v>
      </c>
      <c r="V902" s="124" t="str">
        <f>IFERROR(__xludf.DUMMYFUNCTION("""COMPUTED_VALUE"""),"Inbound Call")</f>
        <v>Inbound Call</v>
      </c>
      <c r="W902" s="124" t="str">
        <f>IFERROR(__xludf.DUMMYFUNCTION("""COMPUTED_VALUE"""),"Inbound Call")</f>
        <v>Inbound Call</v>
      </c>
      <c r="X902" s="124" t="str">
        <f>IFERROR(__xludf.DUMMYFUNCTION("""COMPUTED_VALUE"""),"Inbound Call")</f>
        <v>Inbound Call</v>
      </c>
      <c r="Y902" s="124"/>
      <c r="Z902" s="124">
        <f>IFERROR(__xludf.DUMMYFUNCTION("""COMPUTED_VALUE"""),1.0)</f>
        <v>1</v>
      </c>
      <c r="AA902" s="124" t="str">
        <f>IFERROR(__xludf.DUMMYFUNCTION("""COMPUTED_VALUE"""),"Cold")</f>
        <v>Cold</v>
      </c>
      <c r="AB902" s="124"/>
    </row>
    <row r="903">
      <c r="A903" s="126">
        <f>IFERROR(__xludf.DUMMYFUNCTION("""COMPUTED_VALUE"""),46072.0)</f>
        <v>46072</v>
      </c>
      <c r="B903" s="124" t="str">
        <f>IFERROR(__xludf.DUMMYFUNCTION("""COMPUTED_VALUE"""),"Walk-In")</f>
        <v>Walk-In</v>
      </c>
      <c r="C903" s="124" t="str">
        <f>IFERROR(__xludf.DUMMYFUNCTION("""COMPUTED_VALUE"""),"Delhi")</f>
        <v>Delhi</v>
      </c>
      <c r="D903" s="124" t="str">
        <f>IFERROR(__xludf.DUMMYFUNCTION("""COMPUTED_VALUE"""),"Primary_Walkin")</f>
        <v>Primary_Walkin</v>
      </c>
      <c r="E903" s="124">
        <f>IFERROR(__xludf.DUMMYFUNCTION("""COMPUTED_VALUE"""),1.0)</f>
        <v>1</v>
      </c>
      <c r="F903" s="124" t="str">
        <f>IFERROR(__xludf.DUMMYFUNCTION("""COMPUTED_VALUE"""),"Not Interested")</f>
        <v>Not Interested</v>
      </c>
      <c r="G903" s="124" t="str">
        <f>IFERROR(__xludf.DUMMYFUNCTION("""COMPUTED_VALUE"""),"GS Foundation")</f>
        <v>GS Foundation</v>
      </c>
      <c r="K903" s="124"/>
      <c r="L903" s="124"/>
      <c r="M903" s="124"/>
      <c r="N903" s="124"/>
      <c r="O903" s="124"/>
      <c r="T903" s="129">
        <f>IFERROR(__xludf.DUMMYFUNCTION("""COMPUTED_VALUE"""),46110.0)</f>
        <v>46110</v>
      </c>
      <c r="U903" s="124" t="str">
        <f>IFERROR(__xludf.DUMMYFUNCTION("""COMPUTED_VALUE"""),"Telephony")</f>
        <v>Telephony</v>
      </c>
      <c r="V903" s="124" t="str">
        <f>IFERROR(__xludf.DUMMYFUNCTION("""COMPUTED_VALUE"""),"Inbound Call")</f>
        <v>Inbound Call</v>
      </c>
      <c r="W903" s="124">
        <f>IFERROR(__xludf.DUMMYFUNCTION("""COMPUTED_VALUE"""),9.18047861663E11)</f>
        <v>918047861663</v>
      </c>
      <c r="X903" s="124" t="str">
        <f>IFERROR(__xludf.DUMMYFUNCTION("""COMPUTED_VALUE"""),"Inbound Call")</f>
        <v>Inbound Call</v>
      </c>
      <c r="Y903" s="124" t="str">
        <f>IFERROR(__xludf.DUMMYFUNCTION("""COMPUTED_VALUE"""),"Delhi")</f>
        <v>Delhi</v>
      </c>
      <c r="Z903" s="124">
        <f>IFERROR(__xludf.DUMMYFUNCTION("""COMPUTED_VALUE"""),7.0)</f>
        <v>7</v>
      </c>
      <c r="AA903" s="124" t="str">
        <f>IFERROR(__xludf.DUMMYFUNCTION("""COMPUTED_VALUE"""),"Cold")</f>
        <v>Cold</v>
      </c>
      <c r="AB903" s="124"/>
    </row>
    <row r="904">
      <c r="A904" s="126">
        <f>IFERROR(__xludf.DUMMYFUNCTION("""COMPUTED_VALUE"""),46051.0)</f>
        <v>46051</v>
      </c>
      <c r="B904" s="124" t="str">
        <f>IFERROR(__xludf.DUMMYFUNCTION("""COMPUTED_VALUE"""),"Walkin")</f>
        <v>Walkin</v>
      </c>
      <c r="C904" s="124" t="str">
        <f>IFERROR(__xludf.DUMMYFUNCTION("""COMPUTED_VALUE"""),"Delhi")</f>
        <v>Delhi</v>
      </c>
      <c r="D904" s="124" t="str">
        <f>IFERROR(__xludf.DUMMYFUNCTION("""COMPUTED_VALUE"""),"Primary_Walkin")</f>
        <v>Primary_Walkin</v>
      </c>
      <c r="E904" s="124">
        <f>IFERROR(__xludf.DUMMYFUNCTION("""COMPUTED_VALUE"""),4.0)</f>
        <v>4</v>
      </c>
      <c r="F904" s="124" t="str">
        <f>IFERROR(__xludf.DUMMYFUNCTION("""COMPUTED_VALUE"""),"Cold")</f>
        <v>Cold</v>
      </c>
      <c r="G904" s="124" t="str">
        <f>IFERROR(__xludf.DUMMYFUNCTION("""COMPUTED_VALUE"""),"GS Foundation")</f>
        <v>GS Foundation</v>
      </c>
      <c r="K904" s="124"/>
      <c r="L904" s="124"/>
      <c r="M904" s="124"/>
      <c r="N904" s="124"/>
      <c r="O904" s="124"/>
      <c r="T904" s="126">
        <f>IFERROR(__xludf.DUMMYFUNCTION("""COMPUTED_VALUE"""),46055.0)</f>
        <v>46055</v>
      </c>
      <c r="U904" s="124" t="str">
        <f>IFERROR(__xludf.DUMMYFUNCTION("""COMPUTED_VALUE"""),"Telephony")</f>
        <v>Telephony</v>
      </c>
      <c r="V904" s="124" t="str">
        <f>IFERROR(__xludf.DUMMYFUNCTION("""COMPUTED_VALUE"""),"Inbound Call")</f>
        <v>Inbound Call</v>
      </c>
      <c r="W904" s="124">
        <f>IFERROR(__xludf.DUMMYFUNCTION("""COMPUTED_VALUE"""),9.18047861632E11)</f>
        <v>918047861632</v>
      </c>
      <c r="X904" s="124" t="str">
        <f>IFERROR(__xludf.DUMMYFUNCTION("""COMPUTED_VALUE"""),"Inbound Call")</f>
        <v>Inbound Call</v>
      </c>
      <c r="Y904" s="124" t="str">
        <f>IFERROR(__xludf.DUMMYFUNCTION("""COMPUTED_VALUE"""),"Prayagraj")</f>
        <v>Prayagraj</v>
      </c>
      <c r="Z904" s="124">
        <f>IFERROR(__xludf.DUMMYFUNCTION("""COMPUTED_VALUE"""),1.0)</f>
        <v>1</v>
      </c>
      <c r="AA904" s="124" t="str">
        <f>IFERROR(__xludf.DUMMYFUNCTION("""COMPUTED_VALUE"""),"Enrolled")</f>
        <v>Enrolled</v>
      </c>
      <c r="AB904" s="124" t="str">
        <f>IFERROR(__xludf.DUMMYFUNCTION("""COMPUTED_VALUE"""),"GS Foundation")</f>
        <v>GS Foundation</v>
      </c>
    </row>
    <row r="905">
      <c r="A905" s="126">
        <f>IFERROR(__xludf.DUMMYFUNCTION("""COMPUTED_VALUE"""),46088.0)</f>
        <v>46088</v>
      </c>
      <c r="B905" s="124" t="str">
        <f>IFERROR(__xludf.DUMMYFUNCTION("""COMPUTED_VALUE"""),"Walk-In")</f>
        <v>Walk-In</v>
      </c>
      <c r="C905" s="124" t="str">
        <f>IFERROR(__xludf.DUMMYFUNCTION("""COMPUTED_VALUE"""),"Delhi")</f>
        <v>Delhi</v>
      </c>
      <c r="D905" s="124" t="str">
        <f>IFERROR(__xludf.DUMMYFUNCTION("""COMPUTED_VALUE"""),"Primary_Walkin")</f>
        <v>Primary_Walkin</v>
      </c>
      <c r="E905" s="124">
        <f>IFERROR(__xludf.DUMMYFUNCTION("""COMPUTED_VALUE"""),1.0)</f>
        <v>1</v>
      </c>
      <c r="F905" s="124" t="str">
        <f>IFERROR(__xludf.DUMMYFUNCTION("""COMPUTED_VALUE"""),"Enrolled")</f>
        <v>Enrolled</v>
      </c>
      <c r="G905" s="124" t="str">
        <f>IFERROR(__xludf.DUMMYFUNCTION("""COMPUTED_VALUE"""),"Optionals")</f>
        <v>Optionals</v>
      </c>
      <c r="K905" s="124"/>
      <c r="L905" s="124"/>
      <c r="M905" s="124"/>
      <c r="N905" s="124"/>
      <c r="O905" s="124"/>
      <c r="T905" s="126">
        <f>IFERROR(__xludf.DUMMYFUNCTION("""COMPUTED_VALUE"""),46059.0)</f>
        <v>46059</v>
      </c>
      <c r="U905" s="124" t="str">
        <f>IFERROR(__xludf.DUMMYFUNCTION("""COMPUTED_VALUE"""),"Telephony")</f>
        <v>Telephony</v>
      </c>
      <c r="V905" s="124" t="str">
        <f>IFERROR(__xludf.DUMMYFUNCTION("""COMPUTED_VALUE"""),"Inbound Call")</f>
        <v>Inbound Call</v>
      </c>
      <c r="W905" s="124" t="str">
        <f>IFERROR(__xludf.DUMMYFUNCTION("""COMPUTED_VALUE"""),"Inbound Call")</f>
        <v>Inbound Call</v>
      </c>
      <c r="X905" s="124" t="str">
        <f>IFERROR(__xludf.DUMMYFUNCTION("""COMPUTED_VALUE"""),"Inbound Call")</f>
        <v>Inbound Call</v>
      </c>
      <c r="Y905" s="124" t="str">
        <f>IFERROR(__xludf.DUMMYFUNCTION("""COMPUTED_VALUE"""),"Indore")</f>
        <v>Indore</v>
      </c>
      <c r="Z905" s="124">
        <f>IFERROR(__xludf.DUMMYFUNCTION("""COMPUTED_VALUE"""),2.0)</f>
        <v>2</v>
      </c>
      <c r="AA905" s="124" t="str">
        <f>IFERROR(__xludf.DUMMYFUNCTION("""COMPUTED_VALUE"""),"Fake Lead")</f>
        <v>Fake Lead</v>
      </c>
      <c r="AB905" s="124"/>
    </row>
    <row r="906">
      <c r="A906" s="126">
        <f>IFERROR(__xludf.DUMMYFUNCTION("""COMPUTED_VALUE"""),46080.0)</f>
        <v>46080</v>
      </c>
      <c r="B906" s="124" t="str">
        <f>IFERROR(__xludf.DUMMYFUNCTION("""COMPUTED_VALUE"""),"Walk-In")</f>
        <v>Walk-In</v>
      </c>
      <c r="C906" s="124" t="str">
        <f>IFERROR(__xludf.DUMMYFUNCTION("""COMPUTED_VALUE"""),"Delhi")</f>
        <v>Delhi</v>
      </c>
      <c r="D906" s="124" t="str">
        <f>IFERROR(__xludf.DUMMYFUNCTION("""COMPUTED_VALUE"""),"Primary_Walkin")</f>
        <v>Primary_Walkin</v>
      </c>
      <c r="E906" s="124">
        <f>IFERROR(__xludf.DUMMYFUNCTION("""COMPUTED_VALUE"""),1.0)</f>
        <v>1</v>
      </c>
      <c r="F906" s="124" t="str">
        <f>IFERROR(__xludf.DUMMYFUNCTION("""COMPUTED_VALUE"""),"Not Interested")</f>
        <v>Not Interested</v>
      </c>
      <c r="G906" s="124" t="str">
        <f>IFERROR(__xludf.DUMMYFUNCTION("""COMPUTED_VALUE"""),"GS Foundation")</f>
        <v>GS Foundation</v>
      </c>
      <c r="K906" s="124"/>
      <c r="L906" s="124"/>
      <c r="M906" s="124"/>
      <c r="N906" s="124"/>
      <c r="O906" s="124"/>
      <c r="T906" s="126">
        <f>IFERROR(__xludf.DUMMYFUNCTION("""COMPUTED_VALUE"""),46077.0)</f>
        <v>46077</v>
      </c>
      <c r="U906" s="124" t="str">
        <f>IFERROR(__xludf.DUMMYFUNCTION("""COMPUTED_VALUE"""),"Telephony")</f>
        <v>Telephony</v>
      </c>
      <c r="V906" s="124" t="str">
        <f>IFERROR(__xludf.DUMMYFUNCTION("""COMPUTED_VALUE"""),"Inbound Call")</f>
        <v>Inbound Call</v>
      </c>
      <c r="W906" s="124">
        <f>IFERROR(__xludf.DUMMYFUNCTION("""COMPUTED_VALUE"""),9.18047861663E11)</f>
        <v>918047861663</v>
      </c>
      <c r="X906" s="124" t="str">
        <f>IFERROR(__xludf.DUMMYFUNCTION("""COMPUTED_VALUE"""),"Inbound Call")</f>
        <v>Inbound Call</v>
      </c>
      <c r="Y906" s="124"/>
      <c r="Z906" s="124">
        <f>IFERROR(__xludf.DUMMYFUNCTION("""COMPUTED_VALUE"""),2.0)</f>
        <v>2</v>
      </c>
      <c r="AA906" s="124" t="str">
        <f>IFERROR(__xludf.DUMMYFUNCTION("""COMPUTED_VALUE"""),"Not Interested")</f>
        <v>Not Interested</v>
      </c>
      <c r="AB906" s="124"/>
    </row>
    <row r="907">
      <c r="A907" s="129">
        <f>IFERROR(__xludf.DUMMYFUNCTION("""COMPUTED_VALUE"""),46086.0)</f>
        <v>46086</v>
      </c>
      <c r="B907" s="124" t="str">
        <f>IFERROR(__xludf.DUMMYFUNCTION("""COMPUTED_VALUE"""),"Walkin")</f>
        <v>Walkin</v>
      </c>
      <c r="C907" s="124" t="str">
        <f>IFERROR(__xludf.DUMMYFUNCTION("""COMPUTED_VALUE"""),"Delhi")</f>
        <v>Delhi</v>
      </c>
      <c r="D907" s="124" t="str">
        <f>IFERROR(__xludf.DUMMYFUNCTION("""COMPUTED_VALUE"""),"Primary_Walkin")</f>
        <v>Primary_Walkin</v>
      </c>
      <c r="E907" s="124">
        <f>IFERROR(__xludf.DUMMYFUNCTION("""COMPUTED_VALUE"""),1.0)</f>
        <v>1</v>
      </c>
      <c r="F907" s="124" t="str">
        <f>IFERROR(__xludf.DUMMYFUNCTION("""COMPUTED_VALUE"""),"Warm")</f>
        <v>Warm</v>
      </c>
      <c r="G907" s="124" t="str">
        <f>IFERROR(__xludf.DUMMYFUNCTION("""COMPUTED_VALUE"""),"GS Foundation")</f>
        <v>GS Foundation</v>
      </c>
      <c r="K907" s="124"/>
      <c r="L907" s="124"/>
      <c r="M907" s="124"/>
      <c r="N907" s="124"/>
      <c r="O907" s="124"/>
      <c r="T907" s="126">
        <f>IFERROR(__xludf.DUMMYFUNCTION("""COMPUTED_VALUE"""),46056.0)</f>
        <v>46056</v>
      </c>
      <c r="U907" s="124" t="str">
        <f>IFERROR(__xludf.DUMMYFUNCTION("""COMPUTED_VALUE"""),"Telephony")</f>
        <v>Telephony</v>
      </c>
      <c r="V907" s="124" t="str">
        <f>IFERROR(__xludf.DUMMYFUNCTION("""COMPUTED_VALUE"""),"Inbound Call")</f>
        <v>Inbound Call</v>
      </c>
      <c r="W907" s="124">
        <f>IFERROR(__xludf.DUMMYFUNCTION("""COMPUTED_VALUE"""),9.18047861663E11)</f>
        <v>918047861663</v>
      </c>
      <c r="X907" s="124" t="str">
        <f>IFERROR(__xludf.DUMMYFUNCTION("""COMPUTED_VALUE"""),"Inbound Call")</f>
        <v>Inbound Call</v>
      </c>
      <c r="Y907" s="124"/>
      <c r="Z907" s="124">
        <f>IFERROR(__xludf.DUMMYFUNCTION("""COMPUTED_VALUE"""),1.0)</f>
        <v>1</v>
      </c>
      <c r="AA907" s="124" t="str">
        <f>IFERROR(__xludf.DUMMYFUNCTION("""COMPUTED_VALUE"""),"Not Interested")</f>
        <v>Not Interested</v>
      </c>
      <c r="AB907" s="124"/>
    </row>
    <row r="908">
      <c r="A908" s="129">
        <f>IFERROR(__xludf.DUMMYFUNCTION("""COMPUTED_VALUE"""),46078.0)</f>
        <v>46078</v>
      </c>
      <c r="B908" s="124" t="str">
        <f>IFERROR(__xludf.DUMMYFUNCTION("""COMPUTED_VALUE"""),"Walkin")</f>
        <v>Walkin</v>
      </c>
      <c r="C908" s="124" t="str">
        <f>IFERROR(__xludf.DUMMYFUNCTION("""COMPUTED_VALUE"""),"Delhi")</f>
        <v>Delhi</v>
      </c>
      <c r="D908" s="124" t="str">
        <f>IFERROR(__xludf.DUMMYFUNCTION("""COMPUTED_VALUE"""),"Primary_Walkin")</f>
        <v>Primary_Walkin</v>
      </c>
      <c r="E908" s="124">
        <f>IFERROR(__xludf.DUMMYFUNCTION("""COMPUTED_VALUE"""),5.0)</f>
        <v>5</v>
      </c>
      <c r="F908" s="124" t="str">
        <f>IFERROR(__xludf.DUMMYFUNCTION("""COMPUTED_VALUE"""),"Cold")</f>
        <v>Cold</v>
      </c>
      <c r="G908" s="124" t="str">
        <f>IFERROR(__xludf.DUMMYFUNCTION("""COMPUTED_VALUE"""),"GS Foundation")</f>
        <v>GS Foundation</v>
      </c>
      <c r="K908" s="124"/>
      <c r="L908" s="124"/>
      <c r="M908" s="124"/>
      <c r="N908" s="124"/>
      <c r="O908" s="124"/>
      <c r="T908" s="126">
        <f>IFERROR(__xludf.DUMMYFUNCTION("""COMPUTED_VALUE"""),46082.0)</f>
        <v>46082</v>
      </c>
      <c r="U908" s="124" t="str">
        <f>IFERROR(__xludf.DUMMYFUNCTION("""COMPUTED_VALUE"""),"Telephony")</f>
        <v>Telephony</v>
      </c>
      <c r="V908" s="124" t="str">
        <f>IFERROR(__xludf.DUMMYFUNCTION("""COMPUTED_VALUE"""),"Inbound Call")</f>
        <v>Inbound Call</v>
      </c>
      <c r="W908" s="124">
        <f>IFERROR(__xludf.DUMMYFUNCTION("""COMPUTED_VALUE"""),9.18047861635E11)</f>
        <v>918047861635</v>
      </c>
      <c r="X908" s="124" t="str">
        <f>IFERROR(__xludf.DUMMYFUNCTION("""COMPUTED_VALUE"""),"Inbound Call")</f>
        <v>Inbound Call</v>
      </c>
      <c r="Y908" s="124" t="str">
        <f>IFERROR(__xludf.DUMMYFUNCTION("""COMPUTED_VALUE"""),"Indore")</f>
        <v>Indore</v>
      </c>
      <c r="Z908" s="124">
        <f>IFERROR(__xludf.DUMMYFUNCTION("""COMPUTED_VALUE"""),1.0)</f>
        <v>1</v>
      </c>
      <c r="AA908" s="124" t="str">
        <f>IFERROR(__xludf.DUMMYFUNCTION("""COMPUTED_VALUE"""),"Not Interested")</f>
        <v>Not Interested</v>
      </c>
      <c r="AB908" s="124"/>
    </row>
    <row r="909">
      <c r="A909" s="129">
        <f>IFERROR(__xludf.DUMMYFUNCTION("""COMPUTED_VALUE"""),46073.0)</f>
        <v>46073</v>
      </c>
      <c r="B909" s="124" t="str">
        <f>IFERROR(__xludf.DUMMYFUNCTION("""COMPUTED_VALUE"""),"external leads")</f>
        <v>external leads</v>
      </c>
      <c r="C909" s="124" t="str">
        <f>IFERROR(__xludf.DUMMYFUNCTION("""COMPUTED_VALUE"""),"Delhi")</f>
        <v>Delhi</v>
      </c>
      <c r="D909" s="124" t="str">
        <f>IFERROR(__xludf.DUMMYFUNCTION("""COMPUTED_VALUE"""),"Secondary_Walkin")</f>
        <v>Secondary_Walkin</v>
      </c>
      <c r="E909" s="124">
        <f>IFERROR(__xludf.DUMMYFUNCTION("""COMPUTED_VALUE"""),1.0)</f>
        <v>1</v>
      </c>
      <c r="F909" s="124" t="str">
        <f>IFERROR(__xludf.DUMMYFUNCTION("""COMPUTED_VALUE"""),"Enrolled")</f>
        <v>Enrolled</v>
      </c>
      <c r="G909" s="124" t="str">
        <f>IFERROR(__xludf.DUMMYFUNCTION("""COMPUTED_VALUE"""),"GS Foundation")</f>
        <v>GS Foundation</v>
      </c>
      <c r="K909" s="124"/>
      <c r="L909" s="124"/>
      <c r="M909" s="124"/>
      <c r="N909" s="124"/>
      <c r="O909" s="124"/>
      <c r="T909" s="126">
        <f>IFERROR(__xludf.DUMMYFUNCTION("""COMPUTED_VALUE"""),46059.0)</f>
        <v>46059</v>
      </c>
      <c r="U909" s="124" t="str">
        <f>IFERROR(__xludf.DUMMYFUNCTION("""COMPUTED_VALUE"""),"Telephony")</f>
        <v>Telephony</v>
      </c>
      <c r="V909" s="124" t="str">
        <f>IFERROR(__xludf.DUMMYFUNCTION("""COMPUTED_VALUE"""),"Inbound Call")</f>
        <v>Inbound Call</v>
      </c>
      <c r="W909" s="124">
        <f>IFERROR(__xludf.DUMMYFUNCTION("""COMPUTED_VALUE"""),9.18047861631E11)</f>
        <v>918047861631</v>
      </c>
      <c r="X909" s="124" t="str">
        <f>IFERROR(__xludf.DUMMYFUNCTION("""COMPUTED_VALUE"""),"Inbound Call")</f>
        <v>Inbound Call</v>
      </c>
      <c r="Y909" s="124"/>
      <c r="Z909" s="124">
        <f>IFERROR(__xludf.DUMMYFUNCTION("""COMPUTED_VALUE"""),3.0)</f>
        <v>3</v>
      </c>
      <c r="AA909" s="124" t="str">
        <f>IFERROR(__xludf.DUMMYFUNCTION("""COMPUTED_VALUE"""),"Fake Lead")</f>
        <v>Fake Lead</v>
      </c>
      <c r="AB909" s="124"/>
    </row>
    <row r="910">
      <c r="A910" s="126">
        <f>IFERROR(__xludf.DUMMYFUNCTION("""COMPUTED_VALUE"""),46080.0)</f>
        <v>46080</v>
      </c>
      <c r="B910" s="124" t="str">
        <f>IFERROR(__xludf.DUMMYFUNCTION("""COMPUTED_VALUE"""),"Walkin")</f>
        <v>Walkin</v>
      </c>
      <c r="C910" s="124" t="str">
        <f>IFERROR(__xludf.DUMMYFUNCTION("""COMPUTED_VALUE"""),"Delhi")</f>
        <v>Delhi</v>
      </c>
      <c r="D910" s="124" t="str">
        <f>IFERROR(__xludf.DUMMYFUNCTION("""COMPUTED_VALUE"""),"Primary_Walkin")</f>
        <v>Primary_Walkin</v>
      </c>
      <c r="E910" s="124">
        <f>IFERROR(__xludf.DUMMYFUNCTION("""COMPUTED_VALUE"""),1.0)</f>
        <v>1</v>
      </c>
      <c r="F910" s="124" t="str">
        <f>IFERROR(__xludf.DUMMYFUNCTION("""COMPUTED_VALUE"""),"Warm")</f>
        <v>Warm</v>
      </c>
      <c r="G910" s="124" t="str">
        <f>IFERROR(__xludf.DUMMYFUNCTION("""COMPUTED_VALUE"""),"GS Foundation")</f>
        <v>GS Foundation</v>
      </c>
      <c r="K910" s="124"/>
      <c r="L910" s="124"/>
      <c r="M910" s="124"/>
      <c r="N910" s="124"/>
      <c r="O910" s="124"/>
      <c r="T910" s="126">
        <f>IFERROR(__xludf.DUMMYFUNCTION("""COMPUTED_VALUE"""),46052.0)</f>
        <v>46052</v>
      </c>
      <c r="U910" s="124" t="str">
        <f>IFERROR(__xludf.DUMMYFUNCTION("""COMPUTED_VALUE"""),"Telephony")</f>
        <v>Telephony</v>
      </c>
      <c r="V910" s="124" t="str">
        <f>IFERROR(__xludf.DUMMYFUNCTION("""COMPUTED_VALUE"""),"Inbound Call")</f>
        <v>Inbound Call</v>
      </c>
      <c r="W910" s="124">
        <f>IFERROR(__xludf.DUMMYFUNCTION("""COMPUTED_VALUE"""),9.18047861635E11)</f>
        <v>918047861635</v>
      </c>
      <c r="X910" s="124" t="str">
        <f>IFERROR(__xludf.DUMMYFUNCTION("""COMPUTED_VALUE"""),"Inbound Call")</f>
        <v>Inbound Call</v>
      </c>
      <c r="Y910" s="124" t="str">
        <f>IFERROR(__xludf.DUMMYFUNCTION("""COMPUTED_VALUE"""),"Indore")</f>
        <v>Indore</v>
      </c>
      <c r="Z910" s="124">
        <f>IFERROR(__xludf.DUMMYFUNCTION("""COMPUTED_VALUE"""),1.0)</f>
        <v>1</v>
      </c>
      <c r="AA910" s="124" t="str">
        <f>IFERROR(__xludf.DUMMYFUNCTION("""COMPUTED_VALUE"""),"Future Prospects")</f>
        <v>Future Prospects</v>
      </c>
      <c r="AB910" s="124" t="str">
        <f>IFERROR(__xludf.DUMMYFUNCTION("""COMPUTED_VALUE"""),"GS Foundation")</f>
        <v>GS Foundation</v>
      </c>
    </row>
    <row r="911">
      <c r="A911" s="129">
        <f>IFERROR(__xludf.DUMMYFUNCTION("""COMPUTED_VALUE"""),46100.0)</f>
        <v>46100</v>
      </c>
      <c r="B911" s="124" t="str">
        <f>IFERROR(__xludf.DUMMYFUNCTION("""COMPUTED_VALUE"""),"Walkin")</f>
        <v>Walkin</v>
      </c>
      <c r="C911" s="124" t="str">
        <f>IFERROR(__xludf.DUMMYFUNCTION("""COMPUTED_VALUE"""),"Delhi")</f>
        <v>Delhi</v>
      </c>
      <c r="D911" s="124" t="str">
        <f>IFERROR(__xludf.DUMMYFUNCTION("""COMPUTED_VALUE"""),"Primary_Walkin")</f>
        <v>Primary_Walkin</v>
      </c>
      <c r="E911" s="124">
        <f>IFERROR(__xludf.DUMMYFUNCTION("""COMPUTED_VALUE"""),2.0)</f>
        <v>2</v>
      </c>
      <c r="F911" s="124" t="str">
        <f>IFERROR(__xludf.DUMMYFUNCTION("""COMPUTED_VALUE"""),"Cold")</f>
        <v>Cold</v>
      </c>
      <c r="G911" s="124" t="str">
        <f>IFERROR(__xludf.DUMMYFUNCTION("""COMPUTED_VALUE"""),"GS Foundation")</f>
        <v>GS Foundation</v>
      </c>
      <c r="K911" s="124"/>
      <c r="L911" s="124"/>
      <c r="M911" s="124"/>
      <c r="N911" s="124"/>
      <c r="O911" s="124"/>
      <c r="T911" s="126">
        <f>IFERROR(__xludf.DUMMYFUNCTION("""COMPUTED_VALUE"""),46102.0)</f>
        <v>46102</v>
      </c>
      <c r="U911" s="124" t="str">
        <f>IFERROR(__xludf.DUMMYFUNCTION("""COMPUTED_VALUE"""),"Telephony")</f>
        <v>Telephony</v>
      </c>
      <c r="V911" s="124" t="str">
        <f>IFERROR(__xludf.DUMMYFUNCTION("""COMPUTED_VALUE"""),"Inbound Call")</f>
        <v>Inbound Call</v>
      </c>
      <c r="W911" s="124">
        <f>IFERROR(__xludf.DUMMYFUNCTION("""COMPUTED_VALUE"""),9.18047861635E11)</f>
        <v>918047861635</v>
      </c>
      <c r="X911" s="124" t="str">
        <f>IFERROR(__xludf.DUMMYFUNCTION("""COMPUTED_VALUE"""),"Inbound Call")</f>
        <v>Inbound Call</v>
      </c>
      <c r="Y911" s="124" t="str">
        <f>IFERROR(__xludf.DUMMYFUNCTION("""COMPUTED_VALUE"""),"Indore")</f>
        <v>Indore</v>
      </c>
      <c r="Z911" s="124">
        <f>IFERROR(__xludf.DUMMYFUNCTION("""COMPUTED_VALUE"""),1.0)</f>
        <v>1</v>
      </c>
      <c r="AA911" s="124" t="str">
        <f>IFERROR(__xludf.DUMMYFUNCTION("""COMPUTED_VALUE"""),"Not Interested")</f>
        <v>Not Interested</v>
      </c>
      <c r="AB911" s="124" t="str">
        <f>IFERROR(__xludf.DUMMYFUNCTION("""COMPUTED_VALUE"""),"Other")</f>
        <v>Other</v>
      </c>
    </row>
    <row r="912">
      <c r="A912" s="126">
        <f>IFERROR(__xludf.DUMMYFUNCTION("""COMPUTED_VALUE"""),46096.0)</f>
        <v>46096</v>
      </c>
      <c r="B912" s="124" t="str">
        <f>IFERROR(__xludf.DUMMYFUNCTION("""COMPUTED_VALUE"""),"Walkin")</f>
        <v>Walkin</v>
      </c>
      <c r="C912" s="124" t="str">
        <f>IFERROR(__xludf.DUMMYFUNCTION("""COMPUTED_VALUE"""),"Delhi")</f>
        <v>Delhi</v>
      </c>
      <c r="D912" s="124" t="str">
        <f>IFERROR(__xludf.DUMMYFUNCTION("""COMPUTED_VALUE"""),"Primary_Walkin")</f>
        <v>Primary_Walkin</v>
      </c>
      <c r="E912" s="124">
        <f>IFERROR(__xludf.DUMMYFUNCTION("""COMPUTED_VALUE"""),3.0)</f>
        <v>3</v>
      </c>
      <c r="F912" s="124" t="str">
        <f>IFERROR(__xludf.DUMMYFUNCTION("""COMPUTED_VALUE"""),"Warm")</f>
        <v>Warm</v>
      </c>
      <c r="G912" s="124" t="str">
        <f>IFERROR(__xludf.DUMMYFUNCTION("""COMPUTED_VALUE"""),"GS Foundation")</f>
        <v>GS Foundation</v>
      </c>
      <c r="K912" s="124"/>
      <c r="L912" s="124"/>
      <c r="M912" s="124"/>
      <c r="N912" s="124"/>
      <c r="O912" s="124"/>
      <c r="T912" s="126">
        <f>IFERROR(__xludf.DUMMYFUNCTION("""COMPUTED_VALUE"""),46078.0)</f>
        <v>46078</v>
      </c>
      <c r="U912" s="124" t="str">
        <f>IFERROR(__xludf.DUMMYFUNCTION("""COMPUTED_VALUE"""),"Telephony")</f>
        <v>Telephony</v>
      </c>
      <c r="V912" s="124" t="str">
        <f>IFERROR(__xludf.DUMMYFUNCTION("""COMPUTED_VALUE"""),"Inbound Call")</f>
        <v>Inbound Call</v>
      </c>
      <c r="W912" s="124">
        <f>IFERROR(__xludf.DUMMYFUNCTION("""COMPUTED_VALUE"""),9.18047861663E11)</f>
        <v>918047861663</v>
      </c>
      <c r="X912" s="124" t="str">
        <f>IFERROR(__xludf.DUMMYFUNCTION("""COMPUTED_VALUE"""),"Inbound Call")</f>
        <v>Inbound Call</v>
      </c>
      <c r="Y912" s="124" t="str">
        <f>IFERROR(__xludf.DUMMYFUNCTION("""COMPUTED_VALUE"""),"Delhi")</f>
        <v>Delhi</v>
      </c>
      <c r="Z912" s="124">
        <f>IFERROR(__xludf.DUMMYFUNCTION("""COMPUTED_VALUE"""),1.0)</f>
        <v>1</v>
      </c>
      <c r="AA912" s="124" t="str">
        <f>IFERROR(__xludf.DUMMYFUNCTION("""COMPUTED_VALUE"""),"Cold")</f>
        <v>Cold</v>
      </c>
      <c r="AB912" s="124" t="str">
        <f>IFERROR(__xludf.DUMMYFUNCTION("""COMPUTED_VALUE"""),"GS Foundation")</f>
        <v>GS Foundation</v>
      </c>
    </row>
    <row r="913">
      <c r="A913" s="126">
        <f>IFERROR(__xludf.DUMMYFUNCTION("""COMPUTED_VALUE"""),46058.0)</f>
        <v>46058</v>
      </c>
      <c r="B913" s="124" t="str">
        <f>IFERROR(__xludf.DUMMYFUNCTION("""COMPUTED_VALUE"""),"Walkin")</f>
        <v>Walkin</v>
      </c>
      <c r="C913" s="124" t="str">
        <f>IFERROR(__xludf.DUMMYFUNCTION("""COMPUTED_VALUE"""),"Delhi")</f>
        <v>Delhi</v>
      </c>
      <c r="D913" s="124" t="str">
        <f>IFERROR(__xludf.DUMMYFUNCTION("""COMPUTED_VALUE"""),"Primary_Walkin")</f>
        <v>Primary_Walkin</v>
      </c>
      <c r="E913" s="124">
        <f>IFERROR(__xludf.DUMMYFUNCTION("""COMPUTED_VALUE"""),6.0)</f>
        <v>6</v>
      </c>
      <c r="F913" s="124" t="str">
        <f>IFERROR(__xludf.DUMMYFUNCTION("""COMPUTED_VALUE"""),"Cold")</f>
        <v>Cold</v>
      </c>
      <c r="G913" s="124" t="str">
        <f>IFERROR(__xludf.DUMMYFUNCTION("""COMPUTED_VALUE"""),"GS Foundation")</f>
        <v>GS Foundation</v>
      </c>
      <c r="K913" s="124"/>
      <c r="L913" s="124"/>
      <c r="M913" s="124"/>
      <c r="N913" s="124"/>
      <c r="O913" s="124"/>
      <c r="T913" s="126">
        <f>IFERROR(__xludf.DUMMYFUNCTION("""COMPUTED_VALUE"""),46075.0)</f>
        <v>46075</v>
      </c>
      <c r="U913" s="124" t="str">
        <f>IFERROR(__xludf.DUMMYFUNCTION("""COMPUTED_VALUE"""),"Telephony")</f>
        <v>Telephony</v>
      </c>
      <c r="V913" s="124" t="str">
        <f>IFERROR(__xludf.DUMMYFUNCTION("""COMPUTED_VALUE"""),"Inbound Call")</f>
        <v>Inbound Call</v>
      </c>
      <c r="W913" s="124">
        <f>IFERROR(__xludf.DUMMYFUNCTION("""COMPUTED_VALUE"""),9.18047861635E11)</f>
        <v>918047861635</v>
      </c>
      <c r="X913" s="124" t="str">
        <f>IFERROR(__xludf.DUMMYFUNCTION("""COMPUTED_VALUE"""),"Inbound Call")</f>
        <v>Inbound Call</v>
      </c>
      <c r="Y913" s="124" t="str">
        <f>IFERROR(__xludf.DUMMYFUNCTION("""COMPUTED_VALUE"""),"Indore")</f>
        <v>Indore</v>
      </c>
      <c r="Z913" s="124">
        <f>IFERROR(__xludf.DUMMYFUNCTION("""COMPUTED_VALUE"""),1.0)</f>
        <v>1</v>
      </c>
      <c r="AA913" s="124" t="str">
        <f>IFERROR(__xludf.DUMMYFUNCTION("""COMPUTED_VALUE"""),"Cold")</f>
        <v>Cold</v>
      </c>
      <c r="AB913" s="124" t="str">
        <f>IFERROR(__xludf.DUMMYFUNCTION("""COMPUTED_VALUE"""),"Other")</f>
        <v>Other</v>
      </c>
    </row>
    <row r="914">
      <c r="A914" s="129">
        <f>IFERROR(__xludf.DUMMYFUNCTION("""COMPUTED_VALUE"""),46074.0)</f>
        <v>46074</v>
      </c>
      <c r="B914" s="124" t="str">
        <f>IFERROR(__xludf.DUMMYFUNCTION("""COMPUTED_VALUE"""),"Walk-In")</f>
        <v>Walk-In</v>
      </c>
      <c r="C914" s="124" t="str">
        <f>IFERROR(__xludf.DUMMYFUNCTION("""COMPUTED_VALUE"""),"Delhi")</f>
        <v>Delhi</v>
      </c>
      <c r="D914" s="124" t="str">
        <f>IFERROR(__xludf.DUMMYFUNCTION("""COMPUTED_VALUE"""),"Primary_Walkin")</f>
        <v>Primary_Walkin</v>
      </c>
      <c r="E914" s="124">
        <f>IFERROR(__xludf.DUMMYFUNCTION("""COMPUTED_VALUE"""),2.0)</f>
        <v>2</v>
      </c>
      <c r="F914" s="124" t="str">
        <f>IFERROR(__xludf.DUMMYFUNCTION("""COMPUTED_VALUE"""),"Cold")</f>
        <v>Cold</v>
      </c>
      <c r="G914" s="124" t="str">
        <f>IFERROR(__xludf.DUMMYFUNCTION("""COMPUTED_VALUE"""),"GS Foundation")</f>
        <v>GS Foundation</v>
      </c>
      <c r="K914" s="124"/>
      <c r="L914" s="124"/>
      <c r="M914" s="124"/>
      <c r="N914" s="124"/>
      <c r="O914" s="124"/>
      <c r="T914" s="126">
        <f>IFERROR(__xludf.DUMMYFUNCTION("""COMPUTED_VALUE"""),46066.0)</f>
        <v>46066</v>
      </c>
      <c r="U914" s="124" t="str">
        <f>IFERROR(__xludf.DUMMYFUNCTION("""COMPUTED_VALUE"""),"Telephony")</f>
        <v>Telephony</v>
      </c>
      <c r="V914" s="124" t="str">
        <f>IFERROR(__xludf.DUMMYFUNCTION("""COMPUTED_VALUE"""),"Inbound Call")</f>
        <v>Inbound Call</v>
      </c>
      <c r="W914" s="124" t="str">
        <f>IFERROR(__xludf.DUMMYFUNCTION("""COMPUTED_VALUE"""),"Inbound Call")</f>
        <v>Inbound Call</v>
      </c>
      <c r="X914" s="124" t="str">
        <f>IFERROR(__xludf.DUMMYFUNCTION("""COMPUTED_VALUE"""),"Inbound Call")</f>
        <v>Inbound Call</v>
      </c>
      <c r="Y914" s="124"/>
      <c r="Z914" s="124">
        <f>IFERROR(__xludf.DUMMYFUNCTION("""COMPUTED_VALUE"""),1.0)</f>
        <v>1</v>
      </c>
      <c r="AA914" s="124" t="str">
        <f>IFERROR(__xludf.DUMMYFUNCTION("""COMPUTED_VALUE"""),"Fake Lead")</f>
        <v>Fake Lead</v>
      </c>
      <c r="AB914" s="124"/>
    </row>
    <row r="915">
      <c r="A915" s="129">
        <f>IFERROR(__xludf.DUMMYFUNCTION("""COMPUTED_VALUE"""),46065.0)</f>
        <v>46065</v>
      </c>
      <c r="B915" s="124" t="str">
        <f>IFERROR(__xludf.DUMMYFUNCTION("""COMPUTED_VALUE"""),"Walkin")</f>
        <v>Walkin</v>
      </c>
      <c r="C915" s="124" t="str">
        <f>IFERROR(__xludf.DUMMYFUNCTION("""COMPUTED_VALUE"""),"Delhi")</f>
        <v>Delhi</v>
      </c>
      <c r="D915" s="124" t="str">
        <f>IFERROR(__xludf.DUMMYFUNCTION("""COMPUTED_VALUE"""),"Primary_Walkin")</f>
        <v>Primary_Walkin</v>
      </c>
      <c r="E915" s="124">
        <f>IFERROR(__xludf.DUMMYFUNCTION("""COMPUTED_VALUE"""),2.0)</f>
        <v>2</v>
      </c>
      <c r="F915" s="124" t="str">
        <f>IFERROR(__xludf.DUMMYFUNCTION("""COMPUTED_VALUE"""),"Enrolled")</f>
        <v>Enrolled</v>
      </c>
      <c r="G915" s="124" t="str">
        <f>IFERROR(__xludf.DUMMYFUNCTION("""COMPUTED_VALUE"""),"Optionals")</f>
        <v>Optionals</v>
      </c>
      <c r="K915" s="124"/>
      <c r="L915" s="124"/>
      <c r="M915" s="124"/>
      <c r="N915" s="124"/>
      <c r="O915" s="124"/>
      <c r="T915" s="126">
        <f>IFERROR(__xludf.DUMMYFUNCTION("""COMPUTED_VALUE"""),46110.0)</f>
        <v>46110</v>
      </c>
      <c r="U915" s="124" t="str">
        <f>IFERROR(__xludf.DUMMYFUNCTION("""COMPUTED_VALUE"""),"Telephony")</f>
        <v>Telephony</v>
      </c>
      <c r="V915" s="124" t="str">
        <f>IFERROR(__xludf.DUMMYFUNCTION("""COMPUTED_VALUE"""),"Inbound Call")</f>
        <v>Inbound Call</v>
      </c>
      <c r="W915" s="124">
        <f>IFERROR(__xludf.DUMMYFUNCTION("""COMPUTED_VALUE"""),9.18047861633E11)</f>
        <v>918047861633</v>
      </c>
      <c r="X915" s="124" t="str">
        <f>IFERROR(__xludf.DUMMYFUNCTION("""COMPUTED_VALUE"""),"Inbound Call")</f>
        <v>Inbound Call</v>
      </c>
      <c r="Y915" s="124"/>
      <c r="Z915" s="124">
        <f>IFERROR(__xludf.DUMMYFUNCTION("""COMPUTED_VALUE"""),1.0)</f>
        <v>1</v>
      </c>
      <c r="AA915" s="124" t="str">
        <f>IFERROR(__xludf.DUMMYFUNCTION("""COMPUTED_VALUE"""),"Warm")</f>
        <v>Warm</v>
      </c>
      <c r="AB915" s="124" t="str">
        <f>IFERROR(__xludf.DUMMYFUNCTION("""COMPUTED_VALUE"""),"State PCS")</f>
        <v>State PCS</v>
      </c>
    </row>
    <row r="916">
      <c r="A916" s="126">
        <f>IFERROR(__xludf.DUMMYFUNCTION("""COMPUTED_VALUE"""),46086.0)</f>
        <v>46086</v>
      </c>
      <c r="B916" s="124" t="str">
        <f>IFERROR(__xludf.DUMMYFUNCTION("""COMPUTED_VALUE"""),"Walkin")</f>
        <v>Walkin</v>
      </c>
      <c r="C916" s="124" t="str">
        <f>IFERROR(__xludf.DUMMYFUNCTION("""COMPUTED_VALUE"""),"Delhi")</f>
        <v>Delhi</v>
      </c>
      <c r="D916" s="124" t="str">
        <f>IFERROR(__xludf.DUMMYFUNCTION("""COMPUTED_VALUE"""),"Primary_Walkin")</f>
        <v>Primary_Walkin</v>
      </c>
      <c r="E916" s="124">
        <f>IFERROR(__xludf.DUMMYFUNCTION("""COMPUTED_VALUE"""),5.0)</f>
        <v>5</v>
      </c>
      <c r="F916" s="124" t="str">
        <f>IFERROR(__xludf.DUMMYFUNCTION("""COMPUTED_VALUE"""),"Cold")</f>
        <v>Cold</v>
      </c>
      <c r="G916" s="124" t="str">
        <f>IFERROR(__xludf.DUMMYFUNCTION("""COMPUTED_VALUE"""),"GS Foundation")</f>
        <v>GS Foundation</v>
      </c>
      <c r="K916" s="124"/>
      <c r="L916" s="124"/>
      <c r="M916" s="124"/>
      <c r="N916" s="124"/>
      <c r="O916" s="124"/>
      <c r="T916" s="126">
        <f>IFERROR(__xludf.DUMMYFUNCTION("""COMPUTED_VALUE"""),46050.0)</f>
        <v>46050</v>
      </c>
      <c r="U916" s="124" t="str">
        <f>IFERROR(__xludf.DUMMYFUNCTION("""COMPUTED_VALUE"""),"Telephony")</f>
        <v>Telephony</v>
      </c>
      <c r="V916" s="124" t="str">
        <f>IFERROR(__xludf.DUMMYFUNCTION("""COMPUTED_VALUE"""),"Inbound Call")</f>
        <v>Inbound Call</v>
      </c>
      <c r="W916" s="124" t="str">
        <f>IFERROR(__xludf.DUMMYFUNCTION("""COMPUTED_VALUE"""),"Inbound Call")</f>
        <v>Inbound Call</v>
      </c>
      <c r="X916" s="124" t="str">
        <f>IFERROR(__xludf.DUMMYFUNCTION("""COMPUTED_VALUE"""),"Inbound Call")</f>
        <v>Inbound Call</v>
      </c>
      <c r="Y916" s="124"/>
      <c r="Z916" s="124">
        <f>IFERROR(__xludf.DUMMYFUNCTION("""COMPUTED_VALUE"""),3.0)</f>
        <v>3</v>
      </c>
      <c r="AA916" s="124" t="str">
        <f>IFERROR(__xludf.DUMMYFUNCTION("""COMPUTED_VALUE"""),"Cold")</f>
        <v>Cold</v>
      </c>
      <c r="AB916" s="124"/>
    </row>
    <row r="917">
      <c r="A917" s="126">
        <f>IFERROR(__xludf.DUMMYFUNCTION("""COMPUTED_VALUE"""),46046.0)</f>
        <v>46046</v>
      </c>
      <c r="B917" s="124" t="str">
        <f>IFERROR(__xludf.DUMMYFUNCTION("""COMPUTED_VALUE"""),"Walkin")</f>
        <v>Walkin</v>
      </c>
      <c r="C917" s="124" t="str">
        <f>IFERROR(__xludf.DUMMYFUNCTION("""COMPUTED_VALUE"""),"Delhi")</f>
        <v>Delhi</v>
      </c>
      <c r="D917" s="124" t="str">
        <f>IFERROR(__xludf.DUMMYFUNCTION("""COMPUTED_VALUE"""),"Primary_Walkin")</f>
        <v>Primary_Walkin</v>
      </c>
      <c r="E917" s="124">
        <f>IFERROR(__xludf.DUMMYFUNCTION("""COMPUTED_VALUE"""),2.0)</f>
        <v>2</v>
      </c>
      <c r="F917" s="124" t="str">
        <f>IFERROR(__xludf.DUMMYFUNCTION("""COMPUTED_VALUE"""),"Fake Lead")</f>
        <v>Fake Lead</v>
      </c>
      <c r="G917" s="124" t="str">
        <f>IFERROR(__xludf.DUMMYFUNCTION("""COMPUTED_VALUE"""),"GS Foundation")</f>
        <v>GS Foundation</v>
      </c>
      <c r="K917" s="124"/>
      <c r="L917" s="124"/>
      <c r="M917" s="124"/>
      <c r="N917" s="124"/>
      <c r="O917" s="124"/>
      <c r="T917" s="129">
        <f>IFERROR(__xludf.DUMMYFUNCTION("""COMPUTED_VALUE"""),46079.0)</f>
        <v>46079</v>
      </c>
      <c r="U917" s="124" t="str">
        <f>IFERROR(__xludf.DUMMYFUNCTION("""COMPUTED_VALUE"""),"Telephony")</f>
        <v>Telephony</v>
      </c>
      <c r="V917" s="124" t="str">
        <f>IFERROR(__xludf.DUMMYFUNCTION("""COMPUTED_VALUE"""),"Inbound Call")</f>
        <v>Inbound Call</v>
      </c>
      <c r="W917" s="124">
        <f>IFERROR(__xludf.DUMMYFUNCTION("""COMPUTED_VALUE"""),9.18047861663E11)</f>
        <v>918047861663</v>
      </c>
      <c r="X917" s="124" t="str">
        <f>IFERROR(__xludf.DUMMYFUNCTION("""COMPUTED_VALUE"""),"Inbound Call")</f>
        <v>Inbound Call</v>
      </c>
      <c r="Y917" s="124" t="str">
        <f>IFERROR(__xludf.DUMMYFUNCTION("""COMPUTED_VALUE"""),"Delhi")</f>
        <v>Delhi</v>
      </c>
      <c r="Z917" s="124">
        <f>IFERROR(__xludf.DUMMYFUNCTION("""COMPUTED_VALUE"""),8.0)</f>
        <v>8</v>
      </c>
      <c r="AA917" s="124" t="str">
        <f>IFERROR(__xludf.DUMMYFUNCTION("""COMPUTED_VALUE"""),"Cold")</f>
        <v>Cold</v>
      </c>
      <c r="AB917" s="124"/>
    </row>
    <row r="918">
      <c r="A918" s="129">
        <f>IFERROR(__xludf.DUMMYFUNCTION("""COMPUTED_VALUE"""),46107.0)</f>
        <v>46107</v>
      </c>
      <c r="B918" s="124" t="str">
        <f>IFERROR(__xludf.DUMMYFUNCTION("""COMPUTED_VALUE"""),"Walkin")</f>
        <v>Walkin</v>
      </c>
      <c r="C918" s="124" t="str">
        <f>IFERROR(__xludf.DUMMYFUNCTION("""COMPUTED_VALUE"""),"Delhi")</f>
        <v>Delhi</v>
      </c>
      <c r="D918" s="124" t="str">
        <f>IFERROR(__xludf.DUMMYFUNCTION("""COMPUTED_VALUE"""),"Primary_Walkin")</f>
        <v>Primary_Walkin</v>
      </c>
      <c r="E918" s="124">
        <f>IFERROR(__xludf.DUMMYFUNCTION("""COMPUTED_VALUE"""),2.0)</f>
        <v>2</v>
      </c>
      <c r="F918" s="124" t="str">
        <f>IFERROR(__xludf.DUMMYFUNCTION("""COMPUTED_VALUE"""),"Warm")</f>
        <v>Warm</v>
      </c>
      <c r="G918" s="124" t="str">
        <f>IFERROR(__xludf.DUMMYFUNCTION("""COMPUTED_VALUE"""),"GS Foundation")</f>
        <v>GS Foundation</v>
      </c>
      <c r="K918" s="124"/>
      <c r="L918" s="124"/>
      <c r="M918" s="124"/>
      <c r="N918" s="124"/>
      <c r="O918" s="124"/>
      <c r="T918" s="129">
        <f>IFERROR(__xludf.DUMMYFUNCTION("""COMPUTED_VALUE"""),46109.0)</f>
        <v>46109</v>
      </c>
      <c r="U918" s="124" t="str">
        <f>IFERROR(__xludf.DUMMYFUNCTION("""COMPUTED_VALUE"""),"Telephony")</f>
        <v>Telephony</v>
      </c>
      <c r="V918" s="124" t="str">
        <f>IFERROR(__xludf.DUMMYFUNCTION("""COMPUTED_VALUE"""),"Inbound Call")</f>
        <v>Inbound Call</v>
      </c>
      <c r="W918" s="124">
        <f>IFERROR(__xludf.DUMMYFUNCTION("""COMPUTED_VALUE"""),9.18047861663E11)</f>
        <v>918047861663</v>
      </c>
      <c r="X918" s="124" t="str">
        <f>IFERROR(__xludf.DUMMYFUNCTION("""COMPUTED_VALUE"""),"Inbound Call")</f>
        <v>Inbound Call</v>
      </c>
      <c r="Y918" s="124"/>
      <c r="Z918" s="124">
        <f>IFERROR(__xludf.DUMMYFUNCTION("""COMPUTED_VALUE"""),2.0)</f>
        <v>2</v>
      </c>
      <c r="AA918" s="124" t="str">
        <f>IFERROR(__xludf.DUMMYFUNCTION("""COMPUTED_VALUE"""),"Fake Lead")</f>
        <v>Fake Lead</v>
      </c>
      <c r="AB918" s="124"/>
    </row>
    <row r="919">
      <c r="A919" s="126">
        <f>IFERROR(__xludf.DUMMYFUNCTION("""COMPUTED_VALUE"""),46100.0)</f>
        <v>46100</v>
      </c>
      <c r="B919" s="124" t="str">
        <f>IFERROR(__xludf.DUMMYFUNCTION("""COMPUTED_VALUE"""),"Walk-In")</f>
        <v>Walk-In</v>
      </c>
      <c r="C919" s="124" t="str">
        <f>IFERROR(__xludf.DUMMYFUNCTION("""COMPUTED_VALUE"""),"Delhi")</f>
        <v>Delhi</v>
      </c>
      <c r="D919" s="124" t="str">
        <f>IFERROR(__xludf.DUMMYFUNCTION("""COMPUTED_VALUE"""),"Primary_Walkin")</f>
        <v>Primary_Walkin</v>
      </c>
      <c r="E919" s="124">
        <f>IFERROR(__xludf.DUMMYFUNCTION("""COMPUTED_VALUE"""),1.0)</f>
        <v>1</v>
      </c>
      <c r="F919" s="124" t="str">
        <f>IFERROR(__xludf.DUMMYFUNCTION("""COMPUTED_VALUE"""),"Warm")</f>
        <v>Warm</v>
      </c>
      <c r="G919" s="124" t="str">
        <f>IFERROR(__xludf.DUMMYFUNCTION("""COMPUTED_VALUE"""),"GS Foundation")</f>
        <v>GS Foundation</v>
      </c>
      <c r="K919" s="124"/>
      <c r="L919" s="124"/>
      <c r="M919" s="124"/>
      <c r="N919" s="124"/>
      <c r="O919" s="124"/>
      <c r="T919" s="126">
        <f>IFERROR(__xludf.DUMMYFUNCTION("""COMPUTED_VALUE"""),46057.0)</f>
        <v>46057</v>
      </c>
      <c r="U919" s="124" t="str">
        <f>IFERROR(__xludf.DUMMYFUNCTION("""COMPUTED_VALUE"""),"Telephony")</f>
        <v>Telephony</v>
      </c>
      <c r="V919" s="124" t="str">
        <f>IFERROR(__xludf.DUMMYFUNCTION("""COMPUTED_VALUE"""),"Inbound Call")</f>
        <v>Inbound Call</v>
      </c>
      <c r="W919" s="124">
        <f>IFERROR(__xludf.DUMMYFUNCTION("""COMPUTED_VALUE"""),9.18047861663E11)</f>
        <v>918047861663</v>
      </c>
      <c r="X919" s="124" t="str">
        <f>IFERROR(__xludf.DUMMYFUNCTION("""COMPUTED_VALUE"""),"Inbound Call")</f>
        <v>Inbound Call</v>
      </c>
      <c r="Y919" s="124"/>
      <c r="Z919" s="124">
        <f>IFERROR(__xludf.DUMMYFUNCTION("""COMPUTED_VALUE"""),1.0)</f>
        <v>1</v>
      </c>
      <c r="AA919" s="124" t="str">
        <f>IFERROR(__xludf.DUMMYFUNCTION("""COMPUTED_VALUE"""),"Not Interested")</f>
        <v>Not Interested</v>
      </c>
      <c r="AB919" s="124"/>
    </row>
    <row r="920">
      <c r="A920" s="126">
        <f>IFERROR(__xludf.DUMMYFUNCTION("""COMPUTED_VALUE"""),46088.0)</f>
        <v>46088</v>
      </c>
      <c r="B920" s="124" t="str">
        <f>IFERROR(__xludf.DUMMYFUNCTION("""COMPUTED_VALUE"""),"Walkin")</f>
        <v>Walkin</v>
      </c>
      <c r="C920" s="124" t="str">
        <f>IFERROR(__xludf.DUMMYFUNCTION("""COMPUTED_VALUE"""),"Delhi")</f>
        <v>Delhi</v>
      </c>
      <c r="D920" s="124" t="str">
        <f>IFERROR(__xludf.DUMMYFUNCTION("""COMPUTED_VALUE"""),"Primary_Walkin")</f>
        <v>Primary_Walkin</v>
      </c>
      <c r="E920" s="124">
        <f>IFERROR(__xludf.DUMMYFUNCTION("""COMPUTED_VALUE"""),1.0)</f>
        <v>1</v>
      </c>
      <c r="F920" s="124" t="str">
        <f>IFERROR(__xludf.DUMMYFUNCTION("""COMPUTED_VALUE"""),"Warm")</f>
        <v>Warm</v>
      </c>
      <c r="G920" s="124" t="str">
        <f>IFERROR(__xludf.DUMMYFUNCTION("""COMPUTED_VALUE"""),"GS Foundation")</f>
        <v>GS Foundation</v>
      </c>
      <c r="K920" s="124"/>
      <c r="L920" s="124"/>
      <c r="M920" s="124"/>
      <c r="N920" s="124"/>
      <c r="O920" s="124"/>
      <c r="T920" s="126">
        <f>IFERROR(__xludf.DUMMYFUNCTION("""COMPUTED_VALUE"""),46059.0)</f>
        <v>46059</v>
      </c>
      <c r="U920" s="124" t="str">
        <f>IFERROR(__xludf.DUMMYFUNCTION("""COMPUTED_VALUE"""),"Telephony")</f>
        <v>Telephony</v>
      </c>
      <c r="V920" s="124" t="str">
        <f>IFERROR(__xludf.DUMMYFUNCTION("""COMPUTED_VALUE"""),"Inbound Call")</f>
        <v>Inbound Call</v>
      </c>
      <c r="W920" s="124">
        <f>IFERROR(__xludf.DUMMYFUNCTION("""COMPUTED_VALUE"""),9.18047861634E11)</f>
        <v>918047861634</v>
      </c>
      <c r="X920" s="124" t="str">
        <f>IFERROR(__xludf.DUMMYFUNCTION("""COMPUTED_VALUE"""),"Inbound Call")</f>
        <v>Inbound Call</v>
      </c>
      <c r="Y920" s="124"/>
      <c r="Z920" s="124">
        <f>IFERROR(__xludf.DUMMYFUNCTION("""COMPUTED_VALUE"""),1.0)</f>
        <v>1</v>
      </c>
      <c r="AA920" s="124" t="str">
        <f>IFERROR(__xludf.DUMMYFUNCTION("""COMPUTED_VALUE"""),"Cold")</f>
        <v>Cold</v>
      </c>
      <c r="AB920" s="124" t="str">
        <f>IFERROR(__xludf.DUMMYFUNCTION("""COMPUTED_VALUE"""),"IGP UPPSC")</f>
        <v>IGP UPPSC</v>
      </c>
    </row>
    <row r="921">
      <c r="A921" s="129">
        <f>IFERROR(__xludf.DUMMYFUNCTION("""COMPUTED_VALUE"""),46047.0)</f>
        <v>46047</v>
      </c>
      <c r="B921" s="124" t="str">
        <f>IFERROR(__xludf.DUMMYFUNCTION("""COMPUTED_VALUE"""),"Walk-In")</f>
        <v>Walk-In</v>
      </c>
      <c r="C921" s="124" t="str">
        <f>IFERROR(__xludf.DUMMYFUNCTION("""COMPUTED_VALUE"""),"Delhi")</f>
        <v>Delhi</v>
      </c>
      <c r="D921" s="124" t="str">
        <f>IFERROR(__xludf.DUMMYFUNCTION("""COMPUTED_VALUE"""),"Primary_Walkin")</f>
        <v>Primary_Walkin</v>
      </c>
      <c r="E921" s="124">
        <f>IFERROR(__xludf.DUMMYFUNCTION("""COMPUTED_VALUE"""),1.0)</f>
        <v>1</v>
      </c>
      <c r="F921" s="124" t="str">
        <f>IFERROR(__xludf.DUMMYFUNCTION("""COMPUTED_VALUE"""),"Cold")</f>
        <v>Cold</v>
      </c>
      <c r="G921" s="124" t="str">
        <f>IFERROR(__xludf.DUMMYFUNCTION("""COMPUTED_VALUE"""),"GS Foundation")</f>
        <v>GS Foundation</v>
      </c>
      <c r="K921" s="124"/>
      <c r="L921" s="124"/>
      <c r="M921" s="124"/>
      <c r="N921" s="124"/>
      <c r="O921" s="124"/>
      <c r="T921" s="129">
        <f>IFERROR(__xludf.DUMMYFUNCTION("""COMPUTED_VALUE"""),46055.0)</f>
        <v>46055</v>
      </c>
      <c r="U921" s="124" t="str">
        <f>IFERROR(__xludf.DUMMYFUNCTION("""COMPUTED_VALUE"""),"Telephony")</f>
        <v>Telephony</v>
      </c>
      <c r="V921" s="124" t="str">
        <f>IFERROR(__xludf.DUMMYFUNCTION("""COMPUTED_VALUE"""),"Inbound Call")</f>
        <v>Inbound Call</v>
      </c>
      <c r="W921" s="124">
        <f>IFERROR(__xludf.DUMMYFUNCTION("""COMPUTED_VALUE"""),9.18047861663E11)</f>
        <v>918047861663</v>
      </c>
      <c r="X921" s="124" t="str">
        <f>IFERROR(__xludf.DUMMYFUNCTION("""COMPUTED_VALUE"""),"Inbound Call")</f>
        <v>Inbound Call</v>
      </c>
      <c r="Y921" s="124"/>
      <c r="Z921" s="124">
        <f>IFERROR(__xludf.DUMMYFUNCTION("""COMPUTED_VALUE"""),3.0)</f>
        <v>3</v>
      </c>
      <c r="AA921" s="124" t="str">
        <f>IFERROR(__xludf.DUMMYFUNCTION("""COMPUTED_VALUE"""),"Fake Lead")</f>
        <v>Fake Lead</v>
      </c>
      <c r="AB921" s="124"/>
    </row>
    <row r="922">
      <c r="A922" s="129">
        <f>IFERROR(__xludf.DUMMYFUNCTION("""COMPUTED_VALUE"""),46045.0)</f>
        <v>46045</v>
      </c>
      <c r="B922" s="124" t="str">
        <f>IFERROR(__xludf.DUMMYFUNCTION("""COMPUTED_VALUE"""),"Walkin")</f>
        <v>Walkin</v>
      </c>
      <c r="C922" s="124" t="str">
        <f>IFERROR(__xludf.DUMMYFUNCTION("""COMPUTED_VALUE"""),"Delhi")</f>
        <v>Delhi</v>
      </c>
      <c r="D922" s="124" t="str">
        <f>IFERROR(__xludf.DUMMYFUNCTION("""COMPUTED_VALUE"""),"Primary_Walkin")</f>
        <v>Primary_Walkin</v>
      </c>
      <c r="E922" s="124">
        <f>IFERROR(__xludf.DUMMYFUNCTION("""COMPUTED_VALUE"""),2.0)</f>
        <v>2</v>
      </c>
      <c r="F922" s="124" t="str">
        <f>IFERROR(__xludf.DUMMYFUNCTION("""COMPUTED_VALUE"""),"Future Prospects")</f>
        <v>Future Prospects</v>
      </c>
      <c r="G922" s="124" t="str">
        <f>IFERROR(__xludf.DUMMYFUNCTION("""COMPUTED_VALUE"""),"GS Foundation")</f>
        <v>GS Foundation</v>
      </c>
      <c r="K922" s="124"/>
      <c r="L922" s="124"/>
      <c r="M922" s="124"/>
      <c r="N922" s="124"/>
      <c r="O922" s="124"/>
      <c r="T922" s="126">
        <f>IFERROR(__xludf.DUMMYFUNCTION("""COMPUTED_VALUE"""),46064.0)</f>
        <v>46064</v>
      </c>
      <c r="U922" s="124" t="str">
        <f>IFERROR(__xludf.DUMMYFUNCTION("""COMPUTED_VALUE"""),"Telephony")</f>
        <v>Telephony</v>
      </c>
      <c r="V922" s="124" t="str">
        <f>IFERROR(__xludf.DUMMYFUNCTION("""COMPUTED_VALUE"""),"Inbound Call")</f>
        <v>Inbound Call</v>
      </c>
      <c r="W922" s="124">
        <f>IFERROR(__xludf.DUMMYFUNCTION("""COMPUTED_VALUE"""),9.18047861635E11)</f>
        <v>918047861635</v>
      </c>
      <c r="X922" s="124" t="str">
        <f>IFERROR(__xludf.DUMMYFUNCTION("""COMPUTED_VALUE"""),"Inbound Call")</f>
        <v>Inbound Call</v>
      </c>
      <c r="Y922" s="124" t="str">
        <f>IFERROR(__xludf.DUMMYFUNCTION("""COMPUTED_VALUE"""),"Indore")</f>
        <v>Indore</v>
      </c>
      <c r="Z922" s="124">
        <f>IFERROR(__xludf.DUMMYFUNCTION("""COMPUTED_VALUE"""),2.0)</f>
        <v>2</v>
      </c>
      <c r="AA922" s="124" t="str">
        <f>IFERROR(__xludf.DUMMYFUNCTION("""COMPUTED_VALUE"""),"Fake Lead")</f>
        <v>Fake Lead</v>
      </c>
      <c r="AB922" s="124"/>
    </row>
    <row r="923">
      <c r="A923" s="126">
        <f>IFERROR(__xludf.DUMMYFUNCTION("""COMPUTED_VALUE"""),46087.0)</f>
        <v>46087</v>
      </c>
      <c r="B923" s="124" t="str">
        <f>IFERROR(__xludf.DUMMYFUNCTION("""COMPUTED_VALUE"""),"Walkin")</f>
        <v>Walkin</v>
      </c>
      <c r="C923" s="124" t="str">
        <f>IFERROR(__xludf.DUMMYFUNCTION("""COMPUTED_VALUE"""),"Delhi")</f>
        <v>Delhi</v>
      </c>
      <c r="D923" s="124" t="str">
        <f>IFERROR(__xludf.DUMMYFUNCTION("""COMPUTED_VALUE"""),"Primary_Walkin")</f>
        <v>Primary_Walkin</v>
      </c>
      <c r="E923" s="124">
        <f>IFERROR(__xludf.DUMMYFUNCTION("""COMPUTED_VALUE"""),4.0)</f>
        <v>4</v>
      </c>
      <c r="F923" s="124" t="str">
        <f>IFERROR(__xludf.DUMMYFUNCTION("""COMPUTED_VALUE"""),"Future Prospects")</f>
        <v>Future Prospects</v>
      </c>
      <c r="G923" s="124" t="str">
        <f>IFERROR(__xludf.DUMMYFUNCTION("""COMPUTED_VALUE"""),"GS Foundation")</f>
        <v>GS Foundation</v>
      </c>
      <c r="K923" s="124"/>
      <c r="L923" s="124"/>
      <c r="M923" s="124"/>
      <c r="N923" s="124"/>
      <c r="O923" s="124"/>
      <c r="T923" s="129">
        <f>IFERROR(__xludf.DUMMYFUNCTION("""COMPUTED_VALUE"""),46082.0)</f>
        <v>46082</v>
      </c>
      <c r="U923" s="124" t="str">
        <f>IFERROR(__xludf.DUMMYFUNCTION("""COMPUTED_VALUE"""),"Telephony")</f>
        <v>Telephony</v>
      </c>
      <c r="V923" s="124" t="str">
        <f>IFERROR(__xludf.DUMMYFUNCTION("""COMPUTED_VALUE"""),"Inbound Call")</f>
        <v>Inbound Call</v>
      </c>
      <c r="W923" s="124">
        <f>IFERROR(__xludf.DUMMYFUNCTION("""COMPUTED_VALUE"""),9.18047861631E11)</f>
        <v>918047861631</v>
      </c>
      <c r="X923" s="124" t="str">
        <f>IFERROR(__xludf.DUMMYFUNCTION("""COMPUTED_VALUE"""),"Inbound Call")</f>
        <v>Inbound Call</v>
      </c>
      <c r="Y923" s="124"/>
      <c r="Z923" s="124">
        <f>IFERROR(__xludf.DUMMYFUNCTION("""COMPUTED_VALUE"""),1.0)</f>
        <v>1</v>
      </c>
      <c r="AA923" s="124" t="str">
        <f>IFERROR(__xludf.DUMMYFUNCTION("""COMPUTED_VALUE"""),"Fake Lead")</f>
        <v>Fake Lead</v>
      </c>
      <c r="AB923" s="124"/>
    </row>
    <row r="924">
      <c r="A924" s="129">
        <f>IFERROR(__xludf.DUMMYFUNCTION("""COMPUTED_VALUE"""),46063.0)</f>
        <v>46063</v>
      </c>
      <c r="B924" s="124" t="str">
        <f>IFERROR(__xludf.DUMMYFUNCTION("""COMPUTED_VALUE"""),"Walk-In")</f>
        <v>Walk-In</v>
      </c>
      <c r="C924" s="124" t="str">
        <f>IFERROR(__xludf.DUMMYFUNCTION("""COMPUTED_VALUE"""),"Delhi")</f>
        <v>Delhi</v>
      </c>
      <c r="D924" s="124" t="str">
        <f>IFERROR(__xludf.DUMMYFUNCTION("""COMPUTED_VALUE"""),"Primary_Walkin")</f>
        <v>Primary_Walkin</v>
      </c>
      <c r="E924" s="124">
        <f>IFERROR(__xludf.DUMMYFUNCTION("""COMPUTED_VALUE"""),1.0)</f>
        <v>1</v>
      </c>
      <c r="F924" s="124" t="str">
        <f>IFERROR(__xludf.DUMMYFUNCTION("""COMPUTED_VALUE"""),"Cold")</f>
        <v>Cold</v>
      </c>
      <c r="G924" s="124" t="str">
        <f>IFERROR(__xludf.DUMMYFUNCTION("""COMPUTED_VALUE"""),"GS Foundation")</f>
        <v>GS Foundation</v>
      </c>
      <c r="K924" s="124"/>
      <c r="L924" s="124"/>
      <c r="M924" s="124"/>
      <c r="N924" s="124"/>
      <c r="O924" s="124"/>
      <c r="T924" s="126">
        <f>IFERROR(__xludf.DUMMYFUNCTION("""COMPUTED_VALUE"""),46059.0)</f>
        <v>46059</v>
      </c>
      <c r="U924" s="124" t="str">
        <f>IFERROR(__xludf.DUMMYFUNCTION("""COMPUTED_VALUE"""),"Telephony")</f>
        <v>Telephony</v>
      </c>
      <c r="V924" s="124" t="str">
        <f>IFERROR(__xludf.DUMMYFUNCTION("""COMPUTED_VALUE"""),"Inbound Call")</f>
        <v>Inbound Call</v>
      </c>
      <c r="W924" s="124" t="str">
        <f>IFERROR(__xludf.DUMMYFUNCTION("""COMPUTED_VALUE"""),"Inbound Call")</f>
        <v>Inbound Call</v>
      </c>
      <c r="X924" s="124" t="str">
        <f>IFERROR(__xludf.DUMMYFUNCTION("""COMPUTED_VALUE"""),"Inbound Call")</f>
        <v>Inbound Call</v>
      </c>
      <c r="Y924" s="124"/>
      <c r="Z924" s="124">
        <f>IFERROR(__xludf.DUMMYFUNCTION("""COMPUTED_VALUE"""),4.0)</f>
        <v>4</v>
      </c>
      <c r="AA924" s="124" t="str">
        <f>IFERROR(__xludf.DUMMYFUNCTION("""COMPUTED_VALUE"""),"Cold")</f>
        <v>Cold</v>
      </c>
      <c r="AB924" s="124"/>
    </row>
    <row r="925">
      <c r="A925" s="129">
        <f>IFERROR(__xludf.DUMMYFUNCTION("""COMPUTED_VALUE"""),46070.0)</f>
        <v>46070</v>
      </c>
      <c r="B925" s="124" t="str">
        <f>IFERROR(__xludf.DUMMYFUNCTION("""COMPUTED_VALUE"""),"Walkin")</f>
        <v>Walkin</v>
      </c>
      <c r="C925" s="124" t="str">
        <f>IFERROR(__xludf.DUMMYFUNCTION("""COMPUTED_VALUE"""),"Delhi")</f>
        <v>Delhi</v>
      </c>
      <c r="D925" s="124" t="str">
        <f>IFERROR(__xludf.DUMMYFUNCTION("""COMPUTED_VALUE"""),"Primary_Walkin")</f>
        <v>Primary_Walkin</v>
      </c>
      <c r="E925" s="124">
        <f>IFERROR(__xludf.DUMMYFUNCTION("""COMPUTED_VALUE"""),3.0)</f>
        <v>3</v>
      </c>
      <c r="F925" s="124" t="str">
        <f>IFERROR(__xludf.DUMMYFUNCTION("""COMPUTED_VALUE"""),"Enrolled")</f>
        <v>Enrolled</v>
      </c>
      <c r="G925" s="124" t="str">
        <f>IFERROR(__xludf.DUMMYFUNCTION("""COMPUTED_VALUE"""),"GS Foundation")</f>
        <v>GS Foundation</v>
      </c>
      <c r="K925" s="124"/>
      <c r="L925" s="124"/>
      <c r="M925" s="124"/>
      <c r="N925" s="124"/>
      <c r="O925" s="124"/>
      <c r="T925" s="126">
        <f>IFERROR(__xludf.DUMMYFUNCTION("""COMPUTED_VALUE"""),46087.0)</f>
        <v>46087</v>
      </c>
      <c r="U925" s="124" t="str">
        <f>IFERROR(__xludf.DUMMYFUNCTION("""COMPUTED_VALUE"""),"Telephony")</f>
        <v>Telephony</v>
      </c>
      <c r="V925" s="124" t="str">
        <f>IFERROR(__xludf.DUMMYFUNCTION("""COMPUTED_VALUE"""),"Inbound Call")</f>
        <v>Inbound Call</v>
      </c>
      <c r="W925" s="124">
        <f>IFERROR(__xludf.DUMMYFUNCTION("""COMPUTED_VALUE"""),9.18047861663E11)</f>
        <v>918047861663</v>
      </c>
      <c r="X925" s="124" t="str">
        <f>IFERROR(__xludf.DUMMYFUNCTION("""COMPUTED_VALUE"""),"Inbound Call")</f>
        <v>Inbound Call</v>
      </c>
      <c r="Y925" s="124" t="str">
        <f>IFERROR(__xludf.DUMMYFUNCTION("""COMPUTED_VALUE"""),"Delhi")</f>
        <v>Delhi</v>
      </c>
      <c r="Z925" s="124">
        <f>IFERROR(__xludf.DUMMYFUNCTION("""COMPUTED_VALUE"""),10.0)</f>
        <v>10</v>
      </c>
      <c r="AA925" s="124" t="str">
        <f>IFERROR(__xludf.DUMMYFUNCTION("""COMPUTED_VALUE"""),"Cold")</f>
        <v>Cold</v>
      </c>
      <c r="AB925" s="124"/>
    </row>
    <row r="926">
      <c r="A926" s="129">
        <f>IFERROR(__xludf.DUMMYFUNCTION("""COMPUTED_VALUE"""),46068.0)</f>
        <v>46068</v>
      </c>
      <c r="B926" s="124" t="str">
        <f>IFERROR(__xludf.DUMMYFUNCTION("""COMPUTED_VALUE"""),"events")</f>
        <v>events</v>
      </c>
      <c r="C926" s="124" t="str">
        <f>IFERROR(__xludf.DUMMYFUNCTION("""COMPUTED_VALUE"""),"Delhi")</f>
        <v>Delhi</v>
      </c>
      <c r="D926" s="124" t="str">
        <f>IFERROR(__xludf.DUMMYFUNCTION("""COMPUTED_VALUE"""),"Secondary_Walkin")</f>
        <v>Secondary_Walkin</v>
      </c>
      <c r="E926" s="124">
        <f>IFERROR(__xludf.DUMMYFUNCTION("""COMPUTED_VALUE"""),1.0)</f>
        <v>1</v>
      </c>
      <c r="F926" s="124" t="str">
        <f>IFERROR(__xludf.DUMMYFUNCTION("""COMPUTED_VALUE"""),"Cold")</f>
        <v>Cold</v>
      </c>
      <c r="G926" s="124" t="str">
        <f>IFERROR(__xludf.DUMMYFUNCTION("""COMPUTED_VALUE"""),"Mentorship")</f>
        <v>Mentorship</v>
      </c>
      <c r="K926" s="124"/>
      <c r="L926" s="124"/>
      <c r="M926" s="124"/>
      <c r="N926" s="124"/>
      <c r="O926" s="124"/>
      <c r="T926" s="126">
        <f>IFERROR(__xludf.DUMMYFUNCTION("""COMPUTED_VALUE"""),46047.0)</f>
        <v>46047</v>
      </c>
      <c r="U926" s="124" t="str">
        <f>IFERROR(__xludf.DUMMYFUNCTION("""COMPUTED_VALUE"""),"Telephony")</f>
        <v>Telephony</v>
      </c>
      <c r="V926" s="124" t="str">
        <f>IFERROR(__xludf.DUMMYFUNCTION("""COMPUTED_VALUE"""),"Inbound Call")</f>
        <v>Inbound Call</v>
      </c>
      <c r="W926" s="124">
        <f>IFERROR(__xludf.DUMMYFUNCTION("""COMPUTED_VALUE"""),9.18047861631E11)</f>
        <v>918047861631</v>
      </c>
      <c r="X926" s="124" t="str">
        <f>IFERROR(__xludf.DUMMYFUNCTION("""COMPUTED_VALUE"""),"Inbound Call")</f>
        <v>Inbound Call</v>
      </c>
      <c r="Y926" s="124"/>
      <c r="Z926" s="124">
        <f>IFERROR(__xludf.DUMMYFUNCTION("""COMPUTED_VALUE"""),2.0)</f>
        <v>2</v>
      </c>
      <c r="AA926" s="124" t="str">
        <f>IFERROR(__xludf.DUMMYFUNCTION("""COMPUTED_VALUE"""),"Not Interested")</f>
        <v>Not Interested</v>
      </c>
      <c r="AB926" s="124"/>
    </row>
    <row r="927">
      <c r="A927" s="129">
        <f>IFERROR(__xludf.DUMMYFUNCTION("""COMPUTED_VALUE"""),46061.0)</f>
        <v>46061</v>
      </c>
      <c r="B927" s="124" t="str">
        <f>IFERROR(__xludf.DUMMYFUNCTION("""COMPUTED_VALUE"""),"external leads")</f>
        <v>external leads</v>
      </c>
      <c r="C927" s="124" t="str">
        <f>IFERROR(__xludf.DUMMYFUNCTION("""COMPUTED_VALUE"""),"Delhi")</f>
        <v>Delhi</v>
      </c>
      <c r="D927" s="124" t="str">
        <f>IFERROR(__xludf.DUMMYFUNCTION("""COMPUTED_VALUE"""),"Secondary_Walkin")</f>
        <v>Secondary_Walkin</v>
      </c>
      <c r="E927" s="124">
        <f>IFERROR(__xludf.DUMMYFUNCTION("""COMPUTED_VALUE"""),1.0)</f>
        <v>1</v>
      </c>
      <c r="F927" s="124" t="str">
        <f>IFERROR(__xludf.DUMMYFUNCTION("""COMPUTED_VALUE"""),"Future Prospects")</f>
        <v>Future Prospects</v>
      </c>
      <c r="G927" s="124" t="str">
        <f>IFERROR(__xludf.DUMMYFUNCTION("""COMPUTED_VALUE"""),"GS Foundation")</f>
        <v>GS Foundation</v>
      </c>
      <c r="K927" s="124"/>
      <c r="L927" s="124"/>
      <c r="M927" s="124"/>
      <c r="N927" s="124"/>
      <c r="O927" s="124"/>
      <c r="T927" s="126">
        <f>IFERROR(__xludf.DUMMYFUNCTION("""COMPUTED_VALUE"""),46097.0)</f>
        <v>46097</v>
      </c>
      <c r="U927" s="124" t="str">
        <f>IFERROR(__xludf.DUMMYFUNCTION("""COMPUTED_VALUE"""),"Telephony")</f>
        <v>Telephony</v>
      </c>
      <c r="V927" s="124" t="str">
        <f>IFERROR(__xludf.DUMMYFUNCTION("""COMPUTED_VALUE"""),"Inbound Call")</f>
        <v>Inbound Call</v>
      </c>
      <c r="W927" s="124">
        <f>IFERROR(__xludf.DUMMYFUNCTION("""COMPUTED_VALUE"""),9.18047861631E11)</f>
        <v>918047861631</v>
      </c>
      <c r="X927" s="124" t="str">
        <f>IFERROR(__xludf.DUMMYFUNCTION("""COMPUTED_VALUE"""),"Inbound Call")</f>
        <v>Inbound Call</v>
      </c>
      <c r="Y927" s="124" t="str">
        <f>IFERROR(__xludf.DUMMYFUNCTION("""COMPUTED_VALUE"""),"Delhi")</f>
        <v>Delhi</v>
      </c>
      <c r="Z927" s="124">
        <f>IFERROR(__xludf.DUMMYFUNCTION("""COMPUTED_VALUE"""),1.0)</f>
        <v>1</v>
      </c>
      <c r="AA927" s="124" t="str">
        <f>IFERROR(__xludf.DUMMYFUNCTION("""COMPUTED_VALUE"""),"Fake Lead")</f>
        <v>Fake Lead</v>
      </c>
      <c r="AB927" s="124"/>
    </row>
    <row r="928">
      <c r="A928" s="126">
        <f>IFERROR(__xludf.DUMMYFUNCTION("""COMPUTED_VALUE"""),46076.0)</f>
        <v>46076</v>
      </c>
      <c r="B928" s="124" t="str">
        <f>IFERROR(__xludf.DUMMYFUNCTION("""COMPUTED_VALUE"""),"Walk-In")</f>
        <v>Walk-In</v>
      </c>
      <c r="C928" s="124" t="str">
        <f>IFERROR(__xludf.DUMMYFUNCTION("""COMPUTED_VALUE"""),"Delhi")</f>
        <v>Delhi</v>
      </c>
      <c r="D928" s="124" t="str">
        <f>IFERROR(__xludf.DUMMYFUNCTION("""COMPUTED_VALUE"""),"Primary_Walkin")</f>
        <v>Primary_Walkin</v>
      </c>
      <c r="E928" s="124">
        <f>IFERROR(__xludf.DUMMYFUNCTION("""COMPUTED_VALUE"""),1.0)</f>
        <v>1</v>
      </c>
      <c r="F928" s="124" t="str">
        <f>IFERROR(__xludf.DUMMYFUNCTION("""COMPUTED_VALUE"""),"Not Interested")</f>
        <v>Not Interested</v>
      </c>
      <c r="G928" s="124" t="str">
        <f>IFERROR(__xludf.DUMMYFUNCTION("""COMPUTED_VALUE"""),"Other")</f>
        <v>Other</v>
      </c>
      <c r="K928" s="124"/>
      <c r="L928" s="124"/>
      <c r="M928" s="124"/>
      <c r="N928" s="124"/>
      <c r="O928" s="124"/>
      <c r="T928" s="126">
        <f>IFERROR(__xludf.DUMMYFUNCTION("""COMPUTED_VALUE"""),46087.0)</f>
        <v>46087</v>
      </c>
      <c r="U928" s="124" t="str">
        <f>IFERROR(__xludf.DUMMYFUNCTION("""COMPUTED_VALUE"""),"Telephony")</f>
        <v>Telephony</v>
      </c>
      <c r="V928" s="124" t="str">
        <f>IFERROR(__xludf.DUMMYFUNCTION("""COMPUTED_VALUE"""),"Inbound Call")</f>
        <v>Inbound Call</v>
      </c>
      <c r="W928" s="124" t="str">
        <f>IFERROR(__xludf.DUMMYFUNCTION("""COMPUTED_VALUE"""),"Inbound Call")</f>
        <v>Inbound Call</v>
      </c>
      <c r="X928" s="124" t="str">
        <f>IFERROR(__xludf.DUMMYFUNCTION("""COMPUTED_VALUE"""),"Inbound Call")</f>
        <v>Inbound Call</v>
      </c>
      <c r="Y928" s="124" t="str">
        <f>IFERROR(__xludf.DUMMYFUNCTION("""COMPUTED_VALUE"""),"Indore")</f>
        <v>Indore</v>
      </c>
      <c r="Z928" s="124">
        <f>IFERROR(__xludf.DUMMYFUNCTION("""COMPUTED_VALUE"""),1.0)</f>
        <v>1</v>
      </c>
      <c r="AA928" s="124" t="str">
        <f>IFERROR(__xludf.DUMMYFUNCTION("""COMPUTED_VALUE"""),"Not Interested")</f>
        <v>Not Interested</v>
      </c>
      <c r="AB928" s="124" t="str">
        <f>IFERROR(__xludf.DUMMYFUNCTION("""COMPUTED_VALUE"""),"Other")</f>
        <v>Other</v>
      </c>
    </row>
    <row r="929">
      <c r="A929" s="129">
        <f>IFERROR(__xludf.DUMMYFUNCTION("""COMPUTED_VALUE"""),46105.0)</f>
        <v>46105</v>
      </c>
      <c r="B929" s="124" t="str">
        <f>IFERROR(__xludf.DUMMYFUNCTION("""COMPUTED_VALUE"""),"external leads")</f>
        <v>external leads</v>
      </c>
      <c r="C929" s="124" t="str">
        <f>IFERROR(__xludf.DUMMYFUNCTION("""COMPUTED_VALUE"""),"Delhi")</f>
        <v>Delhi</v>
      </c>
      <c r="D929" s="124" t="str">
        <f>IFERROR(__xludf.DUMMYFUNCTION("""COMPUTED_VALUE"""),"Secondary_Walkin")</f>
        <v>Secondary_Walkin</v>
      </c>
      <c r="E929" s="124">
        <f>IFERROR(__xludf.DUMMYFUNCTION("""COMPUTED_VALUE"""),1.0)</f>
        <v>1</v>
      </c>
      <c r="F929" s="124" t="str">
        <f>IFERROR(__xludf.DUMMYFUNCTION("""COMPUTED_VALUE"""),"Enrolled")</f>
        <v>Enrolled</v>
      </c>
      <c r="G929" s="124" t="str">
        <f>IFERROR(__xludf.DUMMYFUNCTION("""COMPUTED_VALUE"""),"GS Foundation")</f>
        <v>GS Foundation</v>
      </c>
      <c r="K929" s="124"/>
      <c r="L929" s="124"/>
      <c r="M929" s="124"/>
      <c r="N929" s="124"/>
      <c r="O929" s="124"/>
      <c r="T929" s="126">
        <f>IFERROR(__xludf.DUMMYFUNCTION("""COMPUTED_VALUE"""),46112.0)</f>
        <v>46112</v>
      </c>
      <c r="U929" s="124" t="str">
        <f>IFERROR(__xludf.DUMMYFUNCTION("""COMPUTED_VALUE"""),"Telephony")</f>
        <v>Telephony</v>
      </c>
      <c r="V929" s="124" t="str">
        <f>IFERROR(__xludf.DUMMYFUNCTION("""COMPUTED_VALUE"""),"Inbound Call")</f>
        <v>Inbound Call</v>
      </c>
      <c r="W929" s="124">
        <f>IFERROR(__xludf.DUMMYFUNCTION("""COMPUTED_VALUE"""),9.18047861663E11)</f>
        <v>918047861663</v>
      </c>
      <c r="X929" s="124" t="str">
        <f>IFERROR(__xludf.DUMMYFUNCTION("""COMPUTED_VALUE"""),"Inbound Call")</f>
        <v>Inbound Call</v>
      </c>
      <c r="Y929" s="124" t="str">
        <f>IFERROR(__xludf.DUMMYFUNCTION("""COMPUTED_VALUE"""),"Delhi")</f>
        <v>Delhi</v>
      </c>
      <c r="Z929" s="124">
        <f>IFERROR(__xludf.DUMMYFUNCTION("""COMPUTED_VALUE"""),1.0)</f>
        <v>1</v>
      </c>
      <c r="AA929" s="124" t="str">
        <f>IFERROR(__xludf.DUMMYFUNCTION("""COMPUTED_VALUE"""),"Warm")</f>
        <v>Warm</v>
      </c>
      <c r="AB929" s="124" t="str">
        <f>IFERROR(__xludf.DUMMYFUNCTION("""COMPUTED_VALUE"""),"State PCS")</f>
        <v>State PCS</v>
      </c>
    </row>
    <row r="930">
      <c r="A930" s="126">
        <f>IFERROR(__xludf.DUMMYFUNCTION("""COMPUTED_VALUE"""),46081.0)</f>
        <v>46081</v>
      </c>
      <c r="B930" s="124" t="str">
        <f>IFERROR(__xludf.DUMMYFUNCTION("""COMPUTED_VALUE"""),"Walkin")</f>
        <v>Walkin</v>
      </c>
      <c r="C930" s="124" t="str">
        <f>IFERROR(__xludf.DUMMYFUNCTION("""COMPUTED_VALUE"""),"Delhi")</f>
        <v>Delhi</v>
      </c>
      <c r="D930" s="124" t="str">
        <f>IFERROR(__xludf.DUMMYFUNCTION("""COMPUTED_VALUE"""),"Primary_Walkin")</f>
        <v>Primary_Walkin</v>
      </c>
      <c r="E930" s="124">
        <f>IFERROR(__xludf.DUMMYFUNCTION("""COMPUTED_VALUE"""),1.0)</f>
        <v>1</v>
      </c>
      <c r="F930" s="124" t="str">
        <f>IFERROR(__xludf.DUMMYFUNCTION("""COMPUTED_VALUE"""),"Not Interested")</f>
        <v>Not Interested</v>
      </c>
      <c r="G930" s="124" t="str">
        <f>IFERROR(__xludf.DUMMYFUNCTION("""COMPUTED_VALUE"""),"SIP Offline")</f>
        <v>SIP Offline</v>
      </c>
      <c r="K930" s="124"/>
      <c r="L930" s="124"/>
      <c r="M930" s="124"/>
      <c r="N930" s="124"/>
      <c r="O930" s="124"/>
      <c r="T930" s="129">
        <f>IFERROR(__xludf.DUMMYFUNCTION("""COMPUTED_VALUE"""),46081.0)</f>
        <v>46081</v>
      </c>
      <c r="U930" s="124" t="str">
        <f>IFERROR(__xludf.DUMMYFUNCTION("""COMPUTED_VALUE"""),"Telephony")</f>
        <v>Telephony</v>
      </c>
      <c r="V930" s="124" t="str">
        <f>IFERROR(__xludf.DUMMYFUNCTION("""COMPUTED_VALUE"""),"Inbound Call")</f>
        <v>Inbound Call</v>
      </c>
      <c r="W930" s="124">
        <f>IFERROR(__xludf.DUMMYFUNCTION("""COMPUTED_VALUE"""),9.18047861631E11)</f>
        <v>918047861631</v>
      </c>
      <c r="X930" s="124" t="str">
        <f>IFERROR(__xludf.DUMMYFUNCTION("""COMPUTED_VALUE"""),"Inbound Call")</f>
        <v>Inbound Call</v>
      </c>
      <c r="Y930" s="124" t="str">
        <f>IFERROR(__xludf.DUMMYFUNCTION("""COMPUTED_VALUE"""),"Delhi")</f>
        <v>Delhi</v>
      </c>
      <c r="Z930" s="124">
        <f>IFERROR(__xludf.DUMMYFUNCTION("""COMPUTED_VALUE"""),2.0)</f>
        <v>2</v>
      </c>
      <c r="AA930" s="124" t="str">
        <f>IFERROR(__xludf.DUMMYFUNCTION("""COMPUTED_VALUE"""),"Fake Lead")</f>
        <v>Fake Lead</v>
      </c>
      <c r="AB930" s="124"/>
    </row>
    <row r="931">
      <c r="A931" s="126">
        <f>IFERROR(__xludf.DUMMYFUNCTION("""COMPUTED_VALUE"""),46101.0)</f>
        <v>46101</v>
      </c>
      <c r="B931" s="124" t="str">
        <f>IFERROR(__xludf.DUMMYFUNCTION("""COMPUTED_VALUE"""),"Walkin")</f>
        <v>Walkin</v>
      </c>
      <c r="C931" s="124" t="str">
        <f>IFERROR(__xludf.DUMMYFUNCTION("""COMPUTED_VALUE"""),"Delhi")</f>
        <v>Delhi</v>
      </c>
      <c r="D931" s="124" t="str">
        <f>IFERROR(__xludf.DUMMYFUNCTION("""COMPUTED_VALUE"""),"Primary_Walkin")</f>
        <v>Primary_Walkin</v>
      </c>
      <c r="E931" s="124">
        <f>IFERROR(__xludf.DUMMYFUNCTION("""COMPUTED_VALUE"""),2.0)</f>
        <v>2</v>
      </c>
      <c r="F931" s="124" t="str">
        <f>IFERROR(__xludf.DUMMYFUNCTION("""COMPUTED_VALUE"""),"Warm")</f>
        <v>Warm</v>
      </c>
      <c r="G931" s="124" t="str">
        <f>IFERROR(__xludf.DUMMYFUNCTION("""COMPUTED_VALUE"""),"GS Foundation")</f>
        <v>GS Foundation</v>
      </c>
      <c r="K931" s="124"/>
      <c r="L931" s="124"/>
      <c r="M931" s="124"/>
      <c r="N931" s="124"/>
      <c r="O931" s="124"/>
      <c r="T931" s="126">
        <f>IFERROR(__xludf.DUMMYFUNCTION("""COMPUTED_VALUE"""),46054.0)</f>
        <v>46054</v>
      </c>
      <c r="U931" s="124" t="str">
        <f>IFERROR(__xludf.DUMMYFUNCTION("""COMPUTED_VALUE"""),"Telephony")</f>
        <v>Telephony</v>
      </c>
      <c r="V931" s="124" t="str">
        <f>IFERROR(__xludf.DUMMYFUNCTION("""COMPUTED_VALUE"""),"Inbound Call")</f>
        <v>Inbound Call</v>
      </c>
      <c r="W931" s="124">
        <f>IFERROR(__xludf.DUMMYFUNCTION("""COMPUTED_VALUE"""),9.18047861635E11)</f>
        <v>918047861635</v>
      </c>
      <c r="X931" s="124" t="str">
        <f>IFERROR(__xludf.DUMMYFUNCTION("""COMPUTED_VALUE"""),"Inbound Call")</f>
        <v>Inbound Call</v>
      </c>
      <c r="Y931" s="124" t="str">
        <f>IFERROR(__xludf.DUMMYFUNCTION("""COMPUTED_VALUE"""),"Indore")</f>
        <v>Indore</v>
      </c>
      <c r="Z931" s="124">
        <f>IFERROR(__xludf.DUMMYFUNCTION("""COMPUTED_VALUE"""),1.0)</f>
        <v>1</v>
      </c>
      <c r="AA931" s="124" t="str">
        <f>IFERROR(__xludf.DUMMYFUNCTION("""COMPUTED_VALUE"""),"Cold")</f>
        <v>Cold</v>
      </c>
      <c r="AB931" s="124"/>
    </row>
    <row r="932">
      <c r="A932" s="126">
        <f>IFERROR(__xludf.DUMMYFUNCTION("""COMPUTED_VALUE"""),46079.0)</f>
        <v>46079</v>
      </c>
      <c r="B932" s="124" t="str">
        <f>IFERROR(__xludf.DUMMYFUNCTION("""COMPUTED_VALUE"""),"Walkin")</f>
        <v>Walkin</v>
      </c>
      <c r="C932" s="124" t="str">
        <f>IFERROR(__xludf.DUMMYFUNCTION("""COMPUTED_VALUE"""),"Delhi")</f>
        <v>Delhi</v>
      </c>
      <c r="D932" s="124" t="str">
        <f>IFERROR(__xludf.DUMMYFUNCTION("""COMPUTED_VALUE"""),"Primary_Walkin")</f>
        <v>Primary_Walkin</v>
      </c>
      <c r="E932" s="124">
        <f>IFERROR(__xludf.DUMMYFUNCTION("""COMPUTED_VALUE"""),1.0)</f>
        <v>1</v>
      </c>
      <c r="F932" s="124" t="str">
        <f>IFERROR(__xludf.DUMMYFUNCTION("""COMPUTED_VALUE"""),"Fake Lead")</f>
        <v>Fake Lead</v>
      </c>
      <c r="G932" s="124" t="str">
        <f>IFERROR(__xludf.DUMMYFUNCTION("""COMPUTED_VALUE"""),"Optionals")</f>
        <v>Optionals</v>
      </c>
      <c r="K932" s="124"/>
      <c r="L932" s="124"/>
      <c r="M932" s="124"/>
      <c r="N932" s="124"/>
      <c r="O932" s="124"/>
      <c r="T932" s="126">
        <f>IFERROR(__xludf.DUMMYFUNCTION("""COMPUTED_VALUE"""),46070.0)</f>
        <v>46070</v>
      </c>
      <c r="U932" s="124" t="str">
        <f>IFERROR(__xludf.DUMMYFUNCTION("""COMPUTED_VALUE"""),"Telephony")</f>
        <v>Telephony</v>
      </c>
      <c r="V932" s="124" t="str">
        <f>IFERROR(__xludf.DUMMYFUNCTION("""COMPUTED_VALUE"""),"Inbound Call")</f>
        <v>Inbound Call</v>
      </c>
      <c r="W932" s="124">
        <f>IFERROR(__xludf.DUMMYFUNCTION("""COMPUTED_VALUE"""),9.18047861635E11)</f>
        <v>918047861635</v>
      </c>
      <c r="X932" s="124" t="str">
        <f>IFERROR(__xludf.DUMMYFUNCTION("""COMPUTED_VALUE"""),"Inbound Call")</f>
        <v>Inbound Call</v>
      </c>
      <c r="Y932" s="124" t="str">
        <f>IFERROR(__xludf.DUMMYFUNCTION("""COMPUTED_VALUE"""),"Indore")</f>
        <v>Indore</v>
      </c>
      <c r="Z932" s="124">
        <f>IFERROR(__xludf.DUMMYFUNCTION("""COMPUTED_VALUE"""),1.0)</f>
        <v>1</v>
      </c>
      <c r="AA932" s="124" t="str">
        <f>IFERROR(__xludf.DUMMYFUNCTION("""COMPUTED_VALUE"""),"Cold")</f>
        <v>Cold</v>
      </c>
      <c r="AB932" s="124" t="str">
        <f>IFERROR(__xludf.DUMMYFUNCTION("""COMPUTED_VALUE"""),"GS Foundation")</f>
        <v>GS Foundation</v>
      </c>
    </row>
    <row r="933">
      <c r="A933" s="126">
        <f>IFERROR(__xludf.DUMMYFUNCTION("""COMPUTED_VALUE"""),46095.0)</f>
        <v>46095</v>
      </c>
      <c r="B933" s="124" t="str">
        <f>IFERROR(__xludf.DUMMYFUNCTION("""COMPUTED_VALUE"""),"Walk-In")</f>
        <v>Walk-In</v>
      </c>
      <c r="C933" s="124" t="str">
        <f>IFERROR(__xludf.DUMMYFUNCTION("""COMPUTED_VALUE"""),"Delhi")</f>
        <v>Delhi</v>
      </c>
      <c r="D933" s="124" t="str">
        <f>IFERROR(__xludf.DUMMYFUNCTION("""COMPUTED_VALUE"""),"Primary_Walkin")</f>
        <v>Primary_Walkin</v>
      </c>
      <c r="E933" s="124">
        <f>IFERROR(__xludf.DUMMYFUNCTION("""COMPUTED_VALUE"""),1.0)</f>
        <v>1</v>
      </c>
      <c r="F933" s="124" t="str">
        <f>IFERROR(__xludf.DUMMYFUNCTION("""COMPUTED_VALUE"""),"Fake Lead")</f>
        <v>Fake Lead</v>
      </c>
      <c r="G933" s="124" t="str">
        <f>IFERROR(__xludf.DUMMYFUNCTION("""COMPUTED_VALUE"""),"GS Foundation")</f>
        <v>GS Foundation</v>
      </c>
      <c r="K933" s="124"/>
      <c r="L933" s="124"/>
      <c r="M933" s="124"/>
      <c r="N933" s="124"/>
      <c r="O933" s="124"/>
      <c r="T933" s="126">
        <f>IFERROR(__xludf.DUMMYFUNCTION("""COMPUTED_VALUE"""),46091.0)</f>
        <v>46091</v>
      </c>
      <c r="U933" s="124" t="str">
        <f>IFERROR(__xludf.DUMMYFUNCTION("""COMPUTED_VALUE"""),"Telephony")</f>
        <v>Telephony</v>
      </c>
      <c r="V933" s="124" t="str">
        <f>IFERROR(__xludf.DUMMYFUNCTION("""COMPUTED_VALUE"""),"Inbound Call")</f>
        <v>Inbound Call</v>
      </c>
      <c r="W933" s="124" t="str">
        <f>IFERROR(__xludf.DUMMYFUNCTION("""COMPUTED_VALUE"""),"Inbound Call")</f>
        <v>Inbound Call</v>
      </c>
      <c r="X933" s="124" t="str">
        <f>IFERROR(__xludf.DUMMYFUNCTION("""COMPUTED_VALUE"""),"Inbound Call")</f>
        <v>Inbound Call</v>
      </c>
      <c r="Y933" s="124"/>
      <c r="Z933" s="124">
        <f>IFERROR(__xludf.DUMMYFUNCTION("""COMPUTED_VALUE"""),1.0)</f>
        <v>1</v>
      </c>
      <c r="AA933" s="124" t="str">
        <f>IFERROR(__xludf.DUMMYFUNCTION("""COMPUTED_VALUE"""),"Cold")</f>
        <v>Cold</v>
      </c>
      <c r="AB933" s="124"/>
    </row>
    <row r="934">
      <c r="A934" s="129">
        <f>IFERROR(__xludf.DUMMYFUNCTION("""COMPUTED_VALUE"""),46075.0)</f>
        <v>46075</v>
      </c>
      <c r="B934" s="124" t="str">
        <f>IFERROR(__xludf.DUMMYFUNCTION("""COMPUTED_VALUE"""),"Walkin")</f>
        <v>Walkin</v>
      </c>
      <c r="C934" s="124" t="str">
        <f>IFERROR(__xludf.DUMMYFUNCTION("""COMPUTED_VALUE"""),"Delhi")</f>
        <v>Delhi</v>
      </c>
      <c r="D934" s="124" t="str">
        <f>IFERROR(__xludf.DUMMYFUNCTION("""COMPUTED_VALUE"""),"Primary_Walkin")</f>
        <v>Primary_Walkin</v>
      </c>
      <c r="E934" s="124">
        <f>IFERROR(__xludf.DUMMYFUNCTION("""COMPUTED_VALUE"""),1.0)</f>
        <v>1</v>
      </c>
      <c r="F934" s="124" t="str">
        <f>IFERROR(__xludf.DUMMYFUNCTION("""COMPUTED_VALUE"""),"Cold")</f>
        <v>Cold</v>
      </c>
      <c r="G934" s="124" t="str">
        <f>IFERROR(__xludf.DUMMYFUNCTION("""COMPUTED_VALUE"""),"Optionals")</f>
        <v>Optionals</v>
      </c>
      <c r="K934" s="124"/>
      <c r="L934" s="124"/>
      <c r="M934" s="124"/>
      <c r="N934" s="124"/>
      <c r="O934" s="124"/>
      <c r="T934" s="126">
        <f>IFERROR(__xludf.DUMMYFUNCTION("""COMPUTED_VALUE"""),46102.0)</f>
        <v>46102</v>
      </c>
      <c r="U934" s="124" t="str">
        <f>IFERROR(__xludf.DUMMYFUNCTION("""COMPUTED_VALUE"""),"Telephony")</f>
        <v>Telephony</v>
      </c>
      <c r="V934" s="124" t="str">
        <f>IFERROR(__xludf.DUMMYFUNCTION("""COMPUTED_VALUE"""),"Inbound Call")</f>
        <v>Inbound Call</v>
      </c>
      <c r="W934" s="124">
        <f>IFERROR(__xludf.DUMMYFUNCTION("""COMPUTED_VALUE"""),9.18047861635E11)</f>
        <v>918047861635</v>
      </c>
      <c r="X934" s="124" t="str">
        <f>IFERROR(__xludf.DUMMYFUNCTION("""COMPUTED_VALUE"""),"Inbound Call")</f>
        <v>Inbound Call</v>
      </c>
      <c r="Y934" s="124" t="str">
        <f>IFERROR(__xludf.DUMMYFUNCTION("""COMPUTED_VALUE"""),"Indore")</f>
        <v>Indore</v>
      </c>
      <c r="Z934" s="124">
        <f>IFERROR(__xludf.DUMMYFUNCTION("""COMPUTED_VALUE"""),1.0)</f>
        <v>1</v>
      </c>
      <c r="AA934" s="124" t="str">
        <f>IFERROR(__xludf.DUMMYFUNCTION("""COMPUTED_VALUE"""),"Future Prospects")</f>
        <v>Future Prospects</v>
      </c>
      <c r="AB934" s="124"/>
    </row>
    <row r="935">
      <c r="A935" s="129">
        <f>IFERROR(__xludf.DUMMYFUNCTION("""COMPUTED_VALUE"""),46044.0)</f>
        <v>46044</v>
      </c>
      <c r="B935" s="124" t="str">
        <f>IFERROR(__xludf.DUMMYFUNCTION("""COMPUTED_VALUE"""),"Walkin")</f>
        <v>Walkin</v>
      </c>
      <c r="C935" s="124" t="str">
        <f>IFERROR(__xludf.DUMMYFUNCTION("""COMPUTED_VALUE"""),"Delhi")</f>
        <v>Delhi</v>
      </c>
      <c r="D935" s="124" t="str">
        <f>IFERROR(__xludf.DUMMYFUNCTION("""COMPUTED_VALUE"""),"Primary_Walkin")</f>
        <v>Primary_Walkin</v>
      </c>
      <c r="E935" s="124">
        <f>IFERROR(__xludf.DUMMYFUNCTION("""COMPUTED_VALUE"""),2.0)</f>
        <v>2</v>
      </c>
      <c r="F935" s="124" t="str">
        <f>IFERROR(__xludf.DUMMYFUNCTION("""COMPUTED_VALUE"""),"Cold")</f>
        <v>Cold</v>
      </c>
      <c r="G935" s="124" t="str">
        <f>IFERROR(__xludf.DUMMYFUNCTION("""COMPUTED_VALUE"""),"GS Foundation")</f>
        <v>GS Foundation</v>
      </c>
      <c r="K935" s="124"/>
      <c r="L935" s="124"/>
      <c r="M935" s="124"/>
      <c r="N935" s="124"/>
      <c r="O935" s="124"/>
      <c r="T935" s="126">
        <f>IFERROR(__xludf.DUMMYFUNCTION("""COMPUTED_VALUE"""),46101.0)</f>
        <v>46101</v>
      </c>
      <c r="U935" s="124" t="str">
        <f>IFERROR(__xludf.DUMMYFUNCTION("""COMPUTED_VALUE"""),"Walk-Ins")</f>
        <v>Walk-Ins</v>
      </c>
      <c r="V935" s="124" t="str">
        <f>IFERROR(__xludf.DUMMYFUNCTION("""COMPUTED_VALUE"""),"Walk-In")</f>
        <v>Walk-In</v>
      </c>
      <c r="W935" s="124" t="str">
        <f>IFERROR(__xludf.DUMMYFUNCTION("""COMPUTED_VALUE"""),"Delhi")</f>
        <v>Delhi</v>
      </c>
      <c r="X935" s="124" t="str">
        <f>IFERROR(__xludf.DUMMYFUNCTION("""COMPUTED_VALUE"""),"Ayush")</f>
        <v>Ayush</v>
      </c>
      <c r="Y935" s="124" t="str">
        <f>IFERROR(__xludf.DUMMYFUNCTION("""COMPUTED_VALUE"""),"Delhi")</f>
        <v>Delhi</v>
      </c>
      <c r="Z935" s="124">
        <f>IFERROR(__xludf.DUMMYFUNCTION("""COMPUTED_VALUE"""),1.0)</f>
        <v>1</v>
      </c>
      <c r="AA935" s="124" t="str">
        <f>IFERROR(__xludf.DUMMYFUNCTION("""COMPUTED_VALUE"""),"Fake Lead")</f>
        <v>Fake Lead</v>
      </c>
      <c r="AB935" s="124" t="str">
        <f>IFERROR(__xludf.DUMMYFUNCTION("""COMPUTED_VALUE"""),"GS Foundation")</f>
        <v>GS Foundation</v>
      </c>
    </row>
    <row r="936">
      <c r="A936" s="126">
        <f>IFERROR(__xludf.DUMMYFUNCTION("""COMPUTED_VALUE"""),46098.0)</f>
        <v>46098</v>
      </c>
      <c r="B936" s="124" t="str">
        <f>IFERROR(__xludf.DUMMYFUNCTION("""COMPUTED_VALUE"""),"Walkin")</f>
        <v>Walkin</v>
      </c>
      <c r="C936" s="124" t="str">
        <f>IFERROR(__xludf.DUMMYFUNCTION("""COMPUTED_VALUE"""),"Delhi")</f>
        <v>Delhi</v>
      </c>
      <c r="D936" s="124" t="str">
        <f>IFERROR(__xludf.DUMMYFUNCTION("""COMPUTED_VALUE"""),"Primary_Walkin")</f>
        <v>Primary_Walkin</v>
      </c>
      <c r="E936" s="124">
        <f>IFERROR(__xludf.DUMMYFUNCTION("""COMPUTED_VALUE"""),1.0)</f>
        <v>1</v>
      </c>
      <c r="F936" s="124" t="str">
        <f>IFERROR(__xludf.DUMMYFUNCTION("""COMPUTED_VALUE"""),"Future Prospects")</f>
        <v>Future Prospects</v>
      </c>
      <c r="G936" s="124" t="str">
        <f>IFERROR(__xludf.DUMMYFUNCTION("""COMPUTED_VALUE"""),"Mentorship")</f>
        <v>Mentorship</v>
      </c>
      <c r="K936" s="124"/>
      <c r="L936" s="124"/>
      <c r="M936" s="124"/>
      <c r="N936" s="124"/>
      <c r="O936" s="124"/>
      <c r="T936" s="126">
        <f>IFERROR(__xludf.DUMMYFUNCTION("""COMPUTED_VALUE"""),46112.0)</f>
        <v>46112</v>
      </c>
      <c r="U936" s="124" t="str">
        <f>IFERROR(__xludf.DUMMYFUNCTION("""COMPUTED_VALUE"""),"Paid Ads")</f>
        <v>Paid Ads</v>
      </c>
      <c r="V936" s="124" t="str">
        <f>IFERROR(__xludf.DUMMYFUNCTION("""COMPUTED_VALUE"""),"Facebook")</f>
        <v>Facebook</v>
      </c>
      <c r="W936" s="124" t="str">
        <f>IFERROR(__xludf.DUMMYFUNCTION("""COMPUTED_VALUE"""),"LeadAd")</f>
        <v>LeadAd</v>
      </c>
      <c r="X936" s="124" t="str">
        <f>IFERROR(__xludf.DUMMYFUNCTION("""COMPUTED_VALUE"""),"Upsc_Offline_925_Video_Lead_FB")</f>
        <v>Upsc_Offline_925_Video_Lead_FB</v>
      </c>
      <c r="Y936" s="124" t="str">
        <f>IFERROR(__xludf.DUMMYFUNCTION("""COMPUTED_VALUE"""),"Delhi")</f>
        <v>Delhi</v>
      </c>
      <c r="Z936" s="124">
        <f>IFERROR(__xludf.DUMMYFUNCTION("""COMPUTED_VALUE"""),4.0)</f>
        <v>4</v>
      </c>
      <c r="AA936" s="124"/>
      <c r="AB936" s="124"/>
    </row>
    <row r="937">
      <c r="A937" s="129">
        <f>IFERROR(__xludf.DUMMYFUNCTION("""COMPUTED_VALUE"""),46060.0)</f>
        <v>46060</v>
      </c>
      <c r="B937" s="124" t="str">
        <f>IFERROR(__xludf.DUMMYFUNCTION("""COMPUTED_VALUE"""),"external leads")</f>
        <v>external leads</v>
      </c>
      <c r="C937" s="124" t="str">
        <f>IFERROR(__xludf.DUMMYFUNCTION("""COMPUTED_VALUE"""),"Delhi")</f>
        <v>Delhi</v>
      </c>
      <c r="D937" s="124" t="str">
        <f>IFERROR(__xludf.DUMMYFUNCTION("""COMPUTED_VALUE"""),"Secondary_Walkin")</f>
        <v>Secondary_Walkin</v>
      </c>
      <c r="E937" s="124">
        <f>IFERROR(__xludf.DUMMYFUNCTION("""COMPUTED_VALUE"""),1.0)</f>
        <v>1</v>
      </c>
      <c r="F937" s="124" t="str">
        <f>IFERROR(__xludf.DUMMYFUNCTION("""COMPUTED_VALUE"""),"Engaged")</f>
        <v>Engaged</v>
      </c>
      <c r="G937" s="124" t="str">
        <f>IFERROR(__xludf.DUMMYFUNCTION("""COMPUTED_VALUE"""),"GS Foundation")</f>
        <v>GS Foundation</v>
      </c>
      <c r="K937" s="124"/>
      <c r="L937" s="124"/>
      <c r="M937" s="124"/>
      <c r="N937" s="124"/>
      <c r="O937" s="124"/>
      <c r="T937" s="126">
        <f>IFERROR(__xludf.DUMMYFUNCTION("""COMPUTED_VALUE"""),46100.0)</f>
        <v>46100</v>
      </c>
      <c r="U937" s="124" t="str">
        <f>IFERROR(__xludf.DUMMYFUNCTION("""COMPUTED_VALUE"""),"Telephony")</f>
        <v>Telephony</v>
      </c>
      <c r="V937" s="124" t="str">
        <f>IFERROR(__xludf.DUMMYFUNCTION("""COMPUTED_VALUE"""),"Inbound")</f>
        <v>Inbound</v>
      </c>
      <c r="W937" s="124" t="str">
        <f>IFERROR(__xludf.DUMMYFUNCTION("""COMPUTED_VALUE"""),"Inbound")</f>
        <v>Inbound</v>
      </c>
      <c r="X937" s="124" t="str">
        <f>IFERROR(__xludf.DUMMYFUNCTION("""COMPUTED_VALUE"""),"Inbound")</f>
        <v>Inbound</v>
      </c>
      <c r="Y937" s="124"/>
      <c r="Z937" s="124">
        <f>IFERROR(__xludf.DUMMYFUNCTION("""COMPUTED_VALUE"""),1.0)</f>
        <v>1</v>
      </c>
      <c r="AA937" s="124" t="str">
        <f>IFERROR(__xludf.DUMMYFUNCTION("""COMPUTED_VALUE"""),"Warm")</f>
        <v>Warm</v>
      </c>
      <c r="AB937" s="124" t="str">
        <f>IFERROR(__xludf.DUMMYFUNCTION("""COMPUTED_VALUE"""),"State PCS")</f>
        <v>State PCS</v>
      </c>
    </row>
    <row r="938">
      <c r="A938" s="129">
        <f>IFERROR(__xludf.DUMMYFUNCTION("""COMPUTED_VALUE"""),46050.0)</f>
        <v>46050</v>
      </c>
      <c r="B938" s="124" t="str">
        <f>IFERROR(__xludf.DUMMYFUNCTION("""COMPUTED_VALUE"""),"Walkin")</f>
        <v>Walkin</v>
      </c>
      <c r="C938" s="124" t="str">
        <f>IFERROR(__xludf.DUMMYFUNCTION("""COMPUTED_VALUE"""),"Delhi")</f>
        <v>Delhi</v>
      </c>
      <c r="D938" s="124" t="str">
        <f>IFERROR(__xludf.DUMMYFUNCTION("""COMPUTED_VALUE"""),"Primary_Walkin")</f>
        <v>Primary_Walkin</v>
      </c>
      <c r="E938" s="124">
        <f>IFERROR(__xludf.DUMMYFUNCTION("""COMPUTED_VALUE"""),6.0)</f>
        <v>6</v>
      </c>
      <c r="F938" s="124" t="str">
        <f>IFERROR(__xludf.DUMMYFUNCTION("""COMPUTED_VALUE"""),"Enrolled")</f>
        <v>Enrolled</v>
      </c>
      <c r="G938" s="124" t="str">
        <f>IFERROR(__xludf.DUMMYFUNCTION("""COMPUTED_VALUE"""),"GS Foundation")</f>
        <v>GS Foundation</v>
      </c>
      <c r="K938" s="124"/>
      <c r="L938" s="124"/>
      <c r="M938" s="124"/>
      <c r="N938" s="124"/>
      <c r="O938" s="124"/>
      <c r="T938" s="126">
        <f>IFERROR(__xludf.DUMMYFUNCTION("""COMPUTED_VALUE"""),46102.0)</f>
        <v>46102</v>
      </c>
      <c r="U938" s="124" t="str">
        <f>IFERROR(__xludf.DUMMYFUNCTION("""COMPUTED_VALUE"""),"Paid Ads")</f>
        <v>Paid Ads</v>
      </c>
      <c r="V938" s="124" t="str">
        <f>IFERROR(__xludf.DUMMYFUNCTION("""COMPUTED_VALUE"""),"Facebook")</f>
        <v>Facebook</v>
      </c>
      <c r="W938" s="124" t="str">
        <f>IFERROR(__xludf.DUMMYFUNCTION("""COMPUTED_VALUE"""),"LeadAd")</f>
        <v>LeadAd</v>
      </c>
      <c r="X938" s="124" t="str">
        <f>IFERROR(__xludf.DUMMYFUNCTION("""COMPUTED_VALUE"""),"Upsc_Offline_925_Video_Lead_FB")</f>
        <v>Upsc_Offline_925_Video_Lead_FB</v>
      </c>
      <c r="Y938" s="124" t="str">
        <f>IFERROR(__xludf.DUMMYFUNCTION("""COMPUTED_VALUE"""),"Delhi")</f>
        <v>Delhi</v>
      </c>
      <c r="Z938" s="124">
        <f>IFERROR(__xludf.DUMMYFUNCTION("""COMPUTED_VALUE"""),4.0)</f>
        <v>4</v>
      </c>
      <c r="AA938" s="124"/>
      <c r="AB938" s="124"/>
    </row>
    <row r="939">
      <c r="A939" s="129">
        <f>IFERROR(__xludf.DUMMYFUNCTION("""COMPUTED_VALUE"""),46105.0)</f>
        <v>46105</v>
      </c>
      <c r="B939" s="124" t="str">
        <f>IFERROR(__xludf.DUMMYFUNCTION("""COMPUTED_VALUE"""),"Walkin")</f>
        <v>Walkin</v>
      </c>
      <c r="C939" s="124" t="str">
        <f>IFERROR(__xludf.DUMMYFUNCTION("""COMPUTED_VALUE"""),"Delhi")</f>
        <v>Delhi</v>
      </c>
      <c r="D939" s="124" t="str">
        <f>IFERROR(__xludf.DUMMYFUNCTION("""COMPUTED_VALUE"""),"Primary_Walkin")</f>
        <v>Primary_Walkin</v>
      </c>
      <c r="E939" s="124">
        <f>IFERROR(__xludf.DUMMYFUNCTION("""COMPUTED_VALUE"""),2.0)</f>
        <v>2</v>
      </c>
      <c r="F939" s="124" t="str">
        <f>IFERROR(__xludf.DUMMYFUNCTION("""COMPUTED_VALUE"""),"Enrolled")</f>
        <v>Enrolled</v>
      </c>
      <c r="G939" s="124" t="str">
        <f>IFERROR(__xludf.DUMMYFUNCTION("""COMPUTED_VALUE"""),"GS Foundation")</f>
        <v>GS Foundation</v>
      </c>
      <c r="K939" s="124"/>
      <c r="L939" s="124"/>
      <c r="M939" s="124"/>
      <c r="N939" s="124"/>
      <c r="O939" s="124"/>
      <c r="T939" s="126">
        <f>IFERROR(__xludf.DUMMYFUNCTION("""COMPUTED_VALUE"""),46087.0)</f>
        <v>46087</v>
      </c>
      <c r="U939" s="124" t="str">
        <f>IFERROR(__xludf.DUMMYFUNCTION("""COMPUTED_VALUE"""),"External Leads")</f>
        <v>External Leads</v>
      </c>
      <c r="V939" s="124" t="str">
        <f>IFERROR(__xludf.DUMMYFUNCTION("""COMPUTED_VALUE"""),"external leads")</f>
        <v>external leads</v>
      </c>
      <c r="W939" s="124" t="str">
        <f>IFERROR(__xludf.DUMMYFUNCTION("""COMPUTED_VALUE"""),"indore")</f>
        <v>indore</v>
      </c>
      <c r="X939" s="124" t="str">
        <f>IFERROR(__xludf.DUMMYFUNCTION("""COMPUTED_VALUE"""),"vaishnavcollege")</f>
        <v>vaishnavcollege</v>
      </c>
      <c r="Y939" s="124" t="str">
        <f>IFERROR(__xludf.DUMMYFUNCTION("""COMPUTED_VALUE"""),"Indore")</f>
        <v>Indore</v>
      </c>
      <c r="Z939" s="124">
        <f>IFERROR(__xludf.DUMMYFUNCTION("""COMPUTED_VALUE"""),5.0)</f>
        <v>5</v>
      </c>
      <c r="AA939" s="124" t="str">
        <f>IFERROR(__xludf.DUMMYFUNCTION("""COMPUTED_VALUE"""),"Cold")</f>
        <v>Cold</v>
      </c>
      <c r="AB939" s="124"/>
    </row>
    <row r="940">
      <c r="A940" s="126">
        <f>IFERROR(__xludf.DUMMYFUNCTION("""COMPUTED_VALUE"""),46063.0)</f>
        <v>46063</v>
      </c>
      <c r="B940" s="124" t="str">
        <f>IFERROR(__xludf.DUMMYFUNCTION("""COMPUTED_VALUE"""),"Walkin")</f>
        <v>Walkin</v>
      </c>
      <c r="C940" s="124" t="str">
        <f>IFERROR(__xludf.DUMMYFUNCTION("""COMPUTED_VALUE"""),"Delhi")</f>
        <v>Delhi</v>
      </c>
      <c r="D940" s="124" t="str">
        <f>IFERROR(__xludf.DUMMYFUNCTION("""COMPUTED_VALUE"""),"Primary_Walkin")</f>
        <v>Primary_Walkin</v>
      </c>
      <c r="E940" s="124">
        <f>IFERROR(__xludf.DUMMYFUNCTION("""COMPUTED_VALUE"""),3.0)</f>
        <v>3</v>
      </c>
      <c r="F940" s="124" t="str">
        <f>IFERROR(__xludf.DUMMYFUNCTION("""COMPUTED_VALUE"""),"Warm")</f>
        <v>Warm</v>
      </c>
      <c r="G940" s="124" t="str">
        <f>IFERROR(__xludf.DUMMYFUNCTION("""COMPUTED_VALUE"""),"GS Foundation")</f>
        <v>GS Foundation</v>
      </c>
      <c r="K940" s="124"/>
      <c r="L940" s="124"/>
      <c r="M940" s="124"/>
      <c r="N940" s="124"/>
      <c r="O940" s="124"/>
      <c r="T940" s="126">
        <f>IFERROR(__xludf.DUMMYFUNCTION("""COMPUTED_VALUE"""),46110.0)</f>
        <v>46110</v>
      </c>
      <c r="U940" s="124" t="str">
        <f>IFERROR(__xludf.DUMMYFUNCTION("""COMPUTED_VALUE"""),"Paid Ads")</f>
        <v>Paid Ads</v>
      </c>
      <c r="V940" s="124" t="str">
        <f>IFERROR(__xludf.DUMMYFUNCTION("""COMPUTED_VALUE"""),"Facebook")</f>
        <v>Facebook</v>
      </c>
      <c r="W940" s="124" t="str">
        <f>IFERROR(__xludf.DUMMYFUNCTION("""COMPUTED_VALUE"""),"LeadAd")</f>
        <v>LeadAd</v>
      </c>
      <c r="X940" s="124" t="str">
        <f>IFERROR(__xludf.DUMMYFUNCTION("""COMPUTED_VALUE"""),"Upsc_Offline_925_Video_Lead_FB")</f>
        <v>Upsc_Offline_925_Video_Lead_FB</v>
      </c>
      <c r="Y940" s="124" t="str">
        <f>IFERROR(__xludf.DUMMYFUNCTION("""COMPUTED_VALUE"""),"Delhi")</f>
        <v>Delhi</v>
      </c>
      <c r="Z940" s="124">
        <f>IFERROR(__xludf.DUMMYFUNCTION("""COMPUTED_VALUE"""),4.0)</f>
        <v>4</v>
      </c>
      <c r="AA940" s="124" t="str">
        <f>IFERROR(__xludf.DUMMYFUNCTION("""COMPUTED_VALUE"""),"Fake Lead")</f>
        <v>Fake Lead</v>
      </c>
      <c r="AB940" s="124"/>
    </row>
    <row r="941">
      <c r="A941" s="129">
        <f>IFERROR(__xludf.DUMMYFUNCTION("""COMPUTED_VALUE"""),46097.0)</f>
        <v>46097</v>
      </c>
      <c r="B941" s="124" t="str">
        <f>IFERROR(__xludf.DUMMYFUNCTION("""COMPUTED_VALUE"""),"Walkin")</f>
        <v>Walkin</v>
      </c>
      <c r="C941" s="124" t="str">
        <f>IFERROR(__xludf.DUMMYFUNCTION("""COMPUTED_VALUE"""),"Delhi")</f>
        <v>Delhi</v>
      </c>
      <c r="D941" s="124" t="str">
        <f>IFERROR(__xludf.DUMMYFUNCTION("""COMPUTED_VALUE"""),"Primary_Walkin")</f>
        <v>Primary_Walkin</v>
      </c>
      <c r="E941" s="124">
        <f>IFERROR(__xludf.DUMMYFUNCTION("""COMPUTED_VALUE"""),1.0)</f>
        <v>1</v>
      </c>
      <c r="F941" s="124" t="str">
        <f>IFERROR(__xludf.DUMMYFUNCTION("""COMPUTED_VALUE"""),"Warm")</f>
        <v>Warm</v>
      </c>
      <c r="G941" s="124" t="str">
        <f>IFERROR(__xludf.DUMMYFUNCTION("""COMPUTED_VALUE"""),"GS Foundation")</f>
        <v>GS Foundation</v>
      </c>
      <c r="K941" s="124"/>
      <c r="L941" s="124"/>
      <c r="M941" s="124"/>
      <c r="N941" s="124"/>
      <c r="O941" s="124"/>
      <c r="T941" s="126">
        <f>IFERROR(__xludf.DUMMYFUNCTION("""COMPUTED_VALUE"""),46099.0)</f>
        <v>46099</v>
      </c>
      <c r="U941" s="124" t="str">
        <f>IFERROR(__xludf.DUMMYFUNCTION("""COMPUTED_VALUE"""),"Event")</f>
        <v>Event</v>
      </c>
      <c r="V941" s="124" t="str">
        <f>IFERROR(__xludf.DUMMYFUNCTION("""COMPUTED_VALUE"""),"events")</f>
        <v>events</v>
      </c>
      <c r="W941" s="124" t="str">
        <f>IFERROR(__xludf.DUMMYFUNCTION("""COMPUTED_VALUE"""),"delhi")</f>
        <v>delhi</v>
      </c>
      <c r="X941" s="124" t="str">
        <f>IFERROR(__xludf.DUMMYFUNCTION("""COMPUTED_VALUE"""),"zakirhusainseminar")</f>
        <v>zakirhusainseminar</v>
      </c>
      <c r="Y941" s="124" t="str">
        <f>IFERROR(__xludf.DUMMYFUNCTION("""COMPUTED_VALUE"""),"Delhi")</f>
        <v>Delhi</v>
      </c>
      <c r="Z941" s="124">
        <f>IFERROR(__xludf.DUMMYFUNCTION("""COMPUTED_VALUE"""),1.0)</f>
        <v>1</v>
      </c>
      <c r="AA941" s="124" t="str">
        <f>IFERROR(__xludf.DUMMYFUNCTION("""COMPUTED_VALUE"""),"Not Interested")</f>
        <v>Not Interested</v>
      </c>
      <c r="AB941" s="124"/>
    </row>
    <row r="942">
      <c r="A942" s="126">
        <f>IFERROR(__xludf.DUMMYFUNCTION("""COMPUTED_VALUE"""),46077.0)</f>
        <v>46077</v>
      </c>
      <c r="B942" s="124" t="str">
        <f>IFERROR(__xludf.DUMMYFUNCTION("""COMPUTED_VALUE"""),"walkin")</f>
        <v>walkin</v>
      </c>
      <c r="C942" s="124" t="str">
        <f>IFERROR(__xludf.DUMMYFUNCTION("""COMPUTED_VALUE"""),"Delhi")</f>
        <v>Delhi</v>
      </c>
      <c r="D942" s="124" t="str">
        <f>IFERROR(__xludf.DUMMYFUNCTION("""COMPUTED_VALUE"""),"Primary_Walkin")</f>
        <v>Primary_Walkin</v>
      </c>
      <c r="E942" s="124">
        <f>IFERROR(__xludf.DUMMYFUNCTION("""COMPUTED_VALUE"""),1.0)</f>
        <v>1</v>
      </c>
      <c r="F942" s="124" t="str">
        <f>IFERROR(__xludf.DUMMYFUNCTION("""COMPUTED_VALUE"""),"Not Interested")</f>
        <v>Not Interested</v>
      </c>
      <c r="G942" s="124" t="str">
        <f>IFERROR(__xludf.DUMMYFUNCTION("""COMPUTED_VALUE"""),"GS Foundation")</f>
        <v>GS Foundation</v>
      </c>
      <c r="K942" s="124"/>
      <c r="L942" s="124"/>
      <c r="M942" s="124"/>
      <c r="N942" s="124"/>
      <c r="O942" s="124"/>
      <c r="T942" s="126">
        <f>IFERROR(__xludf.DUMMYFUNCTION("""COMPUTED_VALUE"""),46067.0)</f>
        <v>46067</v>
      </c>
      <c r="U942" s="124" t="str">
        <f>IFERROR(__xludf.DUMMYFUNCTION("""COMPUTED_VALUE"""),"Publisher Campaign")</f>
        <v>Publisher Campaign</v>
      </c>
      <c r="V942" s="124" t="str">
        <f>IFERROR(__xludf.DUMMYFUNCTION("""COMPUTED_VALUE"""),"Webinar")</f>
        <v>Webinar</v>
      </c>
      <c r="W942" s="124"/>
      <c r="X942" s="124"/>
      <c r="Y942" s="124" t="str">
        <f>IFERROR(__xludf.DUMMYFUNCTION("""COMPUTED_VALUE"""),"Delhi")</f>
        <v>Delhi</v>
      </c>
      <c r="Z942" s="124">
        <f>IFERROR(__xludf.DUMMYFUNCTION("""COMPUTED_VALUE"""),11.0)</f>
        <v>11</v>
      </c>
      <c r="AA942" s="124" t="str">
        <f>IFERROR(__xludf.DUMMYFUNCTION("""COMPUTED_VALUE"""),"Cold")</f>
        <v>Cold</v>
      </c>
      <c r="AB942" s="124" t="str">
        <f>IFERROR(__xludf.DUMMYFUNCTION("""COMPUTED_VALUE"""),"GS Foundation")</f>
        <v>GS Foundation</v>
      </c>
    </row>
    <row r="943">
      <c r="A943" s="129">
        <f>IFERROR(__xludf.DUMMYFUNCTION("""COMPUTED_VALUE"""),46080.0)</f>
        <v>46080</v>
      </c>
      <c r="B943" s="124" t="str">
        <f>IFERROR(__xludf.DUMMYFUNCTION("""COMPUTED_VALUE"""),"walk-in")</f>
        <v>walk-in</v>
      </c>
      <c r="C943" s="124" t="str">
        <f>IFERROR(__xludf.DUMMYFUNCTION("""COMPUTED_VALUE"""),"Delhi")</f>
        <v>Delhi</v>
      </c>
      <c r="D943" s="124" t="str">
        <f>IFERROR(__xludf.DUMMYFUNCTION("""COMPUTED_VALUE"""),"Primary_Walkin")</f>
        <v>Primary_Walkin</v>
      </c>
      <c r="E943" s="124">
        <f>IFERROR(__xludf.DUMMYFUNCTION("""COMPUTED_VALUE"""),1.0)</f>
        <v>1</v>
      </c>
      <c r="F943" s="124" t="str">
        <f>IFERROR(__xludf.DUMMYFUNCTION("""COMPUTED_VALUE"""),"Enrolled")</f>
        <v>Enrolled</v>
      </c>
      <c r="G943" s="124" t="str">
        <f>IFERROR(__xludf.DUMMYFUNCTION("""COMPUTED_VALUE"""),"GS Foundation")</f>
        <v>GS Foundation</v>
      </c>
      <c r="K943" s="124"/>
      <c r="L943" s="124"/>
      <c r="M943" s="124"/>
      <c r="N943" s="124"/>
      <c r="O943" s="124"/>
      <c r="T943" s="126">
        <f>IFERROR(__xludf.DUMMYFUNCTION("""COMPUTED_VALUE"""),46110.0)</f>
        <v>46110</v>
      </c>
      <c r="U943" s="124" t="str">
        <f>IFERROR(__xludf.DUMMYFUNCTION("""COMPUTED_VALUE"""),"Publisher Campaign")</f>
        <v>Publisher Campaign</v>
      </c>
      <c r="V943" s="124" t="str">
        <f>IFERROR(__xludf.DUMMYFUNCTION("""COMPUTED_VALUE"""),"BTL Activities")</f>
        <v>BTL Activities</v>
      </c>
      <c r="W943" s="124"/>
      <c r="X943" s="124"/>
      <c r="Y943" s="124" t="str">
        <f>IFERROR(__xludf.DUMMYFUNCTION("""COMPUTED_VALUE"""),"Prayagraj")</f>
        <v>Prayagraj</v>
      </c>
      <c r="Z943" s="124">
        <f>IFERROR(__xludf.DUMMYFUNCTION("""COMPUTED_VALUE"""),3.0)</f>
        <v>3</v>
      </c>
      <c r="AA943" s="124" t="str">
        <f>IFERROR(__xludf.DUMMYFUNCTION("""COMPUTED_VALUE"""),"Warm")</f>
        <v>Warm</v>
      </c>
      <c r="AB943" s="124" t="str">
        <f>IFERROR(__xludf.DUMMYFUNCTION("""COMPUTED_VALUE"""),"Mentorship")</f>
        <v>Mentorship</v>
      </c>
    </row>
    <row r="944">
      <c r="A944" s="126">
        <f>IFERROR(__xludf.DUMMYFUNCTION("""COMPUTED_VALUE"""),46065.0)</f>
        <v>46065</v>
      </c>
      <c r="B944" s="124" t="str">
        <f>IFERROR(__xludf.DUMMYFUNCTION("""COMPUTED_VALUE"""),"Walk-In")</f>
        <v>Walk-In</v>
      </c>
      <c r="C944" s="124" t="str">
        <f>IFERROR(__xludf.DUMMYFUNCTION("""COMPUTED_VALUE"""),"Delhi")</f>
        <v>Delhi</v>
      </c>
      <c r="D944" s="124" t="str">
        <f>IFERROR(__xludf.DUMMYFUNCTION("""COMPUTED_VALUE"""),"Primary_Walkin")</f>
        <v>Primary_Walkin</v>
      </c>
      <c r="E944" s="124">
        <f>IFERROR(__xludf.DUMMYFUNCTION("""COMPUTED_VALUE"""),2.0)</f>
        <v>2</v>
      </c>
      <c r="F944" s="124" t="str">
        <f>IFERROR(__xludf.DUMMYFUNCTION("""COMPUTED_VALUE"""),"Cold")</f>
        <v>Cold</v>
      </c>
      <c r="G944" s="124" t="str">
        <f>IFERROR(__xludf.DUMMYFUNCTION("""COMPUTED_VALUE"""),"IGP UPPSC")</f>
        <v>IGP UPPSC</v>
      </c>
      <c r="K944" s="124"/>
      <c r="L944" s="124"/>
      <c r="M944" s="124"/>
      <c r="N944" s="124"/>
      <c r="O944" s="124"/>
      <c r="T944" s="129">
        <f>IFERROR(__xludf.DUMMYFUNCTION("""COMPUTED_VALUE"""),46046.0)</f>
        <v>46046</v>
      </c>
      <c r="U944" s="124" t="str">
        <f>IFERROR(__xludf.DUMMYFUNCTION("""COMPUTED_VALUE"""),"External Leads")</f>
        <v>External Leads</v>
      </c>
      <c r="V944" s="124" t="str">
        <f>IFERROR(__xludf.DUMMYFUNCTION("""COMPUTED_VALUE"""),"external leads")</f>
        <v>external leads</v>
      </c>
      <c r="W944" s="124"/>
      <c r="X944" s="124"/>
      <c r="Y944" s="124" t="str">
        <f>IFERROR(__xludf.DUMMYFUNCTION("""COMPUTED_VALUE"""),"Delhi")</f>
        <v>Delhi</v>
      </c>
      <c r="Z944" s="124">
        <f>IFERROR(__xludf.DUMMYFUNCTION("""COMPUTED_VALUE"""),3.0)</f>
        <v>3</v>
      </c>
      <c r="AA944" s="124" t="str">
        <f>IFERROR(__xludf.DUMMYFUNCTION("""COMPUTED_VALUE"""),"Future Prospects")</f>
        <v>Future Prospects</v>
      </c>
      <c r="AB944" s="124"/>
    </row>
    <row r="945">
      <c r="A945" s="129">
        <f>IFERROR(__xludf.DUMMYFUNCTION("""COMPUTED_VALUE"""),46074.0)</f>
        <v>46074</v>
      </c>
      <c r="B945" s="124" t="str">
        <f>IFERROR(__xludf.DUMMYFUNCTION("""COMPUTED_VALUE"""),"Walkin")</f>
        <v>Walkin</v>
      </c>
      <c r="C945" s="124" t="str">
        <f>IFERROR(__xludf.DUMMYFUNCTION("""COMPUTED_VALUE"""),"Delhi")</f>
        <v>Delhi</v>
      </c>
      <c r="D945" s="124" t="str">
        <f>IFERROR(__xludf.DUMMYFUNCTION("""COMPUTED_VALUE"""),"Primary_Walkin")</f>
        <v>Primary_Walkin</v>
      </c>
      <c r="E945" s="124">
        <f>IFERROR(__xludf.DUMMYFUNCTION("""COMPUTED_VALUE"""),1.0)</f>
        <v>1</v>
      </c>
      <c r="F945" s="124" t="str">
        <f>IFERROR(__xludf.DUMMYFUNCTION("""COMPUTED_VALUE"""),"Not Interested")</f>
        <v>Not Interested</v>
      </c>
      <c r="G945" s="124" t="str">
        <f>IFERROR(__xludf.DUMMYFUNCTION("""COMPUTED_VALUE"""),"SIP Offline")</f>
        <v>SIP Offline</v>
      </c>
      <c r="K945" s="124"/>
      <c r="L945" s="124"/>
      <c r="M945" s="124"/>
      <c r="N945" s="124"/>
      <c r="O945" s="124"/>
      <c r="T945" s="126">
        <f>IFERROR(__xludf.DUMMYFUNCTION("""COMPUTED_VALUE"""),46090.0)</f>
        <v>46090</v>
      </c>
      <c r="U945" s="124" t="str">
        <f>IFERROR(__xludf.DUMMYFUNCTION("""COMPUTED_VALUE"""),"Publisher Campaign")</f>
        <v>Publisher Campaign</v>
      </c>
      <c r="V945" s="124" t="str">
        <f>IFERROR(__xludf.DUMMYFUNCTION("""COMPUTED_VALUE"""),"BTL Activities")</f>
        <v>BTL Activities</v>
      </c>
      <c r="W945" s="124"/>
      <c r="X945" s="124"/>
      <c r="Y945" s="124" t="str">
        <f>IFERROR(__xludf.DUMMYFUNCTION("""COMPUTED_VALUE"""),"Indore")</f>
        <v>Indore</v>
      </c>
      <c r="Z945" s="124">
        <f>IFERROR(__xludf.DUMMYFUNCTION("""COMPUTED_VALUE"""),5.0)</f>
        <v>5</v>
      </c>
      <c r="AA945" s="124"/>
      <c r="AB945" s="124" t="str">
        <f>IFERROR(__xludf.DUMMYFUNCTION("""COMPUTED_VALUE"""),"State PCS")</f>
        <v>State PCS</v>
      </c>
    </row>
    <row r="946">
      <c r="A946" s="126">
        <f>IFERROR(__xludf.DUMMYFUNCTION("""COMPUTED_VALUE"""),46094.0)</f>
        <v>46094</v>
      </c>
      <c r="B946" s="124" t="str">
        <f>IFERROR(__xludf.DUMMYFUNCTION("""COMPUTED_VALUE"""),"Walkin")</f>
        <v>Walkin</v>
      </c>
      <c r="C946" s="124" t="str">
        <f>IFERROR(__xludf.DUMMYFUNCTION("""COMPUTED_VALUE"""),"Delhi")</f>
        <v>Delhi</v>
      </c>
      <c r="D946" s="124" t="str">
        <f>IFERROR(__xludf.DUMMYFUNCTION("""COMPUTED_VALUE"""),"Primary_Walkin")</f>
        <v>Primary_Walkin</v>
      </c>
      <c r="E946" s="124">
        <f>IFERROR(__xludf.DUMMYFUNCTION("""COMPUTED_VALUE"""),1.0)</f>
        <v>1</v>
      </c>
      <c r="F946" s="124" t="str">
        <f>IFERROR(__xludf.DUMMYFUNCTION("""COMPUTED_VALUE"""),"Warm")</f>
        <v>Warm</v>
      </c>
      <c r="G946" s="124" t="str">
        <f>IFERROR(__xludf.DUMMYFUNCTION("""COMPUTED_VALUE"""),"GS Foundation")</f>
        <v>GS Foundation</v>
      </c>
      <c r="K946" s="124"/>
      <c r="L946" s="124"/>
      <c r="M946" s="124"/>
      <c r="N946" s="124"/>
      <c r="O946" s="124"/>
      <c r="T946" s="126">
        <f>IFERROR(__xludf.DUMMYFUNCTION("""COMPUTED_VALUE"""),46067.0)</f>
        <v>46067</v>
      </c>
      <c r="U946" s="124" t="str">
        <f>IFERROR(__xludf.DUMMYFUNCTION("""COMPUTED_VALUE"""),"Publisher Campaign")</f>
        <v>Publisher Campaign</v>
      </c>
      <c r="V946" s="124" t="str">
        <f>IFERROR(__xludf.DUMMYFUNCTION("""COMPUTED_VALUE"""),"Webinar")</f>
        <v>Webinar</v>
      </c>
      <c r="W946" s="124"/>
      <c r="X946" s="124"/>
      <c r="Y946" s="124" t="str">
        <f>IFERROR(__xludf.DUMMYFUNCTION("""COMPUTED_VALUE"""),"Delhi")</f>
        <v>Delhi</v>
      </c>
      <c r="Z946" s="124">
        <f>IFERROR(__xludf.DUMMYFUNCTION("""COMPUTED_VALUE"""),1.0)</f>
        <v>1</v>
      </c>
      <c r="AA946" s="124" t="str">
        <f>IFERROR(__xludf.DUMMYFUNCTION("""COMPUTED_VALUE"""),"Cold")</f>
        <v>Cold</v>
      </c>
      <c r="AB946" s="124" t="str">
        <f>IFERROR(__xludf.DUMMYFUNCTION("""COMPUTED_VALUE"""),"GS Advanced")</f>
        <v>GS Advanced</v>
      </c>
    </row>
    <row r="947">
      <c r="A947" s="126">
        <f>IFERROR(__xludf.DUMMYFUNCTION("""COMPUTED_VALUE"""),46068.0)</f>
        <v>46068</v>
      </c>
      <c r="B947" s="124" t="str">
        <f>IFERROR(__xludf.DUMMYFUNCTION("""COMPUTED_VALUE"""),"Walk-In")</f>
        <v>Walk-In</v>
      </c>
      <c r="C947" s="124" t="str">
        <f>IFERROR(__xludf.DUMMYFUNCTION("""COMPUTED_VALUE"""),"Delhi")</f>
        <v>Delhi</v>
      </c>
      <c r="D947" s="124" t="str">
        <f>IFERROR(__xludf.DUMMYFUNCTION("""COMPUTED_VALUE"""),"Primary_Walkin")</f>
        <v>Primary_Walkin</v>
      </c>
      <c r="E947" s="124">
        <f>IFERROR(__xludf.DUMMYFUNCTION("""COMPUTED_VALUE"""),1.0)</f>
        <v>1</v>
      </c>
      <c r="F947" s="124" t="str">
        <f>IFERROR(__xludf.DUMMYFUNCTION("""COMPUTED_VALUE"""),"Cold")</f>
        <v>Cold</v>
      </c>
      <c r="G947" s="124" t="str">
        <f>IFERROR(__xludf.DUMMYFUNCTION("""COMPUTED_VALUE"""),"Other")</f>
        <v>Other</v>
      </c>
      <c r="K947" s="124"/>
      <c r="L947" s="124"/>
      <c r="M947" s="124"/>
      <c r="N947" s="124"/>
      <c r="O947" s="124"/>
      <c r="T947" s="126">
        <f>IFERROR(__xludf.DUMMYFUNCTION("""COMPUTED_VALUE"""),46078.0)</f>
        <v>46078</v>
      </c>
      <c r="U947" s="124" t="str">
        <f>IFERROR(__xludf.DUMMYFUNCTION("""COMPUTED_VALUE"""),"Publisher Campaign")</f>
        <v>Publisher Campaign</v>
      </c>
      <c r="V947" s="124" t="str">
        <f>IFERROR(__xludf.DUMMYFUNCTION("""COMPUTED_VALUE"""),"Webinar")</f>
        <v>Webinar</v>
      </c>
      <c r="W947" s="124"/>
      <c r="X947" s="124"/>
      <c r="Y947" s="124" t="str">
        <f>IFERROR(__xludf.DUMMYFUNCTION("""COMPUTED_VALUE"""),"Delhi")</f>
        <v>Delhi</v>
      </c>
      <c r="Z947" s="124">
        <f>IFERROR(__xludf.DUMMYFUNCTION("""COMPUTED_VALUE"""),1.0)</f>
        <v>1</v>
      </c>
      <c r="AA947" s="124" t="str">
        <f>IFERROR(__xludf.DUMMYFUNCTION("""COMPUTED_VALUE"""),"Warm")</f>
        <v>Warm</v>
      </c>
      <c r="AB947" s="124" t="str">
        <f>IFERROR(__xludf.DUMMYFUNCTION("""COMPUTED_VALUE"""),"Test Series")</f>
        <v>Test Series</v>
      </c>
    </row>
    <row r="948">
      <c r="A948" s="129">
        <f>IFERROR(__xludf.DUMMYFUNCTION("""COMPUTED_VALUE"""),46071.0)</f>
        <v>46071</v>
      </c>
      <c r="B948" s="124" t="str">
        <f>IFERROR(__xludf.DUMMYFUNCTION("""COMPUTED_VALUE"""),"Walk-In")</f>
        <v>Walk-In</v>
      </c>
      <c r="C948" s="124" t="str">
        <f>IFERROR(__xludf.DUMMYFUNCTION("""COMPUTED_VALUE"""),"Delhi")</f>
        <v>Delhi</v>
      </c>
      <c r="D948" s="124" t="str">
        <f>IFERROR(__xludf.DUMMYFUNCTION("""COMPUTED_VALUE"""),"Primary_Walkin")</f>
        <v>Primary_Walkin</v>
      </c>
      <c r="E948" s="124">
        <f>IFERROR(__xludf.DUMMYFUNCTION("""COMPUTED_VALUE"""),1.0)</f>
        <v>1</v>
      </c>
      <c r="F948" s="124" t="str">
        <f>IFERROR(__xludf.DUMMYFUNCTION("""COMPUTED_VALUE"""),"Not Interested")</f>
        <v>Not Interested</v>
      </c>
      <c r="G948" s="124" t="str">
        <f>IFERROR(__xludf.DUMMYFUNCTION("""COMPUTED_VALUE"""),"SIP Offline")</f>
        <v>SIP Offline</v>
      </c>
      <c r="K948" s="124"/>
      <c r="L948" s="124"/>
      <c r="M948" s="124"/>
      <c r="N948" s="124"/>
      <c r="O948" s="124"/>
      <c r="T948" s="129">
        <f>IFERROR(__xludf.DUMMYFUNCTION("""COMPUTED_VALUE"""),46098.0)</f>
        <v>46098</v>
      </c>
      <c r="U948" s="124" t="str">
        <f>IFERROR(__xludf.DUMMYFUNCTION("""COMPUTED_VALUE"""),"Libraries")</f>
        <v>Libraries</v>
      </c>
      <c r="V948" s="124" t="str">
        <f>IFERROR(__xludf.DUMMYFUNCTION("""COMPUTED_VALUE"""),"Libraries")</f>
        <v>Libraries</v>
      </c>
      <c r="W948" s="124"/>
      <c r="X948" s="124"/>
      <c r="Y948" s="124" t="str">
        <f>IFERROR(__xludf.DUMMYFUNCTION("""COMPUTED_VALUE"""),"Prayagraj")</f>
        <v>Prayagraj</v>
      </c>
      <c r="Z948" s="124">
        <f>IFERROR(__xludf.DUMMYFUNCTION("""COMPUTED_VALUE"""),6.0)</f>
        <v>6</v>
      </c>
      <c r="AA948" s="124" t="str">
        <f>IFERROR(__xludf.DUMMYFUNCTION("""COMPUTED_VALUE"""),"Engaged")</f>
        <v>Engaged</v>
      </c>
      <c r="AB948" s="124" t="str">
        <f>IFERROR(__xludf.DUMMYFUNCTION("""COMPUTED_VALUE"""),"State PCS")</f>
        <v>State PCS</v>
      </c>
    </row>
    <row r="949">
      <c r="A949" s="129">
        <f>IFERROR(__xludf.DUMMYFUNCTION("""COMPUTED_VALUE"""),46071.0)</f>
        <v>46071</v>
      </c>
      <c r="B949" s="124" t="str">
        <f>IFERROR(__xludf.DUMMYFUNCTION("""COMPUTED_VALUE"""),"Walkin")</f>
        <v>Walkin</v>
      </c>
      <c r="C949" s="124" t="str">
        <f>IFERROR(__xludf.DUMMYFUNCTION("""COMPUTED_VALUE"""),"Delhi")</f>
        <v>Delhi</v>
      </c>
      <c r="D949" s="124" t="str">
        <f>IFERROR(__xludf.DUMMYFUNCTION("""COMPUTED_VALUE"""),"Primary_Walkin")</f>
        <v>Primary_Walkin</v>
      </c>
      <c r="E949" s="124">
        <f>IFERROR(__xludf.DUMMYFUNCTION("""COMPUTED_VALUE"""),3.0)</f>
        <v>3</v>
      </c>
      <c r="F949" s="124" t="str">
        <f>IFERROR(__xludf.DUMMYFUNCTION("""COMPUTED_VALUE"""),"Not Interested")</f>
        <v>Not Interested</v>
      </c>
      <c r="G949" s="124" t="str">
        <f>IFERROR(__xludf.DUMMYFUNCTION("""COMPUTED_VALUE"""),"GS Foundation")</f>
        <v>GS Foundation</v>
      </c>
      <c r="K949" s="124"/>
      <c r="L949" s="124"/>
      <c r="M949" s="124"/>
      <c r="N949" s="124"/>
      <c r="O949" s="124"/>
      <c r="T949" s="126">
        <f>IFERROR(__xludf.DUMMYFUNCTION("""COMPUTED_VALUE"""),46100.0)</f>
        <v>46100</v>
      </c>
      <c r="U949" s="124" t="str">
        <f>IFERROR(__xludf.DUMMYFUNCTION("""COMPUTED_VALUE"""),"Libraries")</f>
        <v>Libraries</v>
      </c>
      <c r="V949" s="124" t="str">
        <f>IFERROR(__xludf.DUMMYFUNCTION("""COMPUTED_VALUE"""),"Libraries")</f>
        <v>Libraries</v>
      </c>
      <c r="W949" s="124"/>
      <c r="X949" s="124"/>
      <c r="Y949" s="124" t="str">
        <f>IFERROR(__xludf.DUMMYFUNCTION("""COMPUTED_VALUE"""),"Prayagraj")</f>
        <v>Prayagraj</v>
      </c>
      <c r="Z949" s="124">
        <f>IFERROR(__xludf.DUMMYFUNCTION("""COMPUTED_VALUE"""),1.0)</f>
        <v>1</v>
      </c>
      <c r="AA949" s="124" t="str">
        <f>IFERROR(__xludf.DUMMYFUNCTION("""COMPUTED_VALUE"""),"Cold")</f>
        <v>Cold</v>
      </c>
      <c r="AB949" s="124" t="str">
        <f>IFERROR(__xludf.DUMMYFUNCTION("""COMPUTED_VALUE"""),"GS Foundation")</f>
        <v>GS Foundation</v>
      </c>
    </row>
    <row r="950">
      <c r="A950" s="126">
        <f>IFERROR(__xludf.DUMMYFUNCTION("""COMPUTED_VALUE"""),46043.0)</f>
        <v>46043</v>
      </c>
      <c r="B950" s="124" t="str">
        <f>IFERROR(__xludf.DUMMYFUNCTION("""COMPUTED_VALUE"""),"Walkin")</f>
        <v>Walkin</v>
      </c>
      <c r="C950" s="124" t="str">
        <f>IFERROR(__xludf.DUMMYFUNCTION("""COMPUTED_VALUE"""),"Delhi")</f>
        <v>Delhi</v>
      </c>
      <c r="D950" s="124" t="str">
        <f>IFERROR(__xludf.DUMMYFUNCTION("""COMPUTED_VALUE"""),"Primary_Walkin")</f>
        <v>Primary_Walkin</v>
      </c>
      <c r="E950" s="124">
        <f>IFERROR(__xludf.DUMMYFUNCTION("""COMPUTED_VALUE"""),6.0)</f>
        <v>6</v>
      </c>
      <c r="F950" s="124" t="str">
        <f>IFERROR(__xludf.DUMMYFUNCTION("""COMPUTED_VALUE"""),"Cold")</f>
        <v>Cold</v>
      </c>
      <c r="G950" s="124" t="str">
        <f>IFERROR(__xludf.DUMMYFUNCTION("""COMPUTED_VALUE"""),"GS Foundation")</f>
        <v>GS Foundation</v>
      </c>
      <c r="K950" s="124"/>
      <c r="L950" s="124"/>
      <c r="M950" s="124"/>
      <c r="N950" s="124"/>
      <c r="O950" s="124"/>
      <c r="T950" s="126">
        <f>IFERROR(__xludf.DUMMYFUNCTION("""COMPUTED_VALUE"""),46077.0)</f>
        <v>46077</v>
      </c>
      <c r="U950" s="124" t="str">
        <f>IFERROR(__xludf.DUMMYFUNCTION("""COMPUTED_VALUE"""),"Publisher Campaign")</f>
        <v>Publisher Campaign</v>
      </c>
      <c r="V950" s="124" t="str">
        <f>IFERROR(__xludf.DUMMYFUNCTION("""COMPUTED_VALUE"""),"Webinar")</f>
        <v>Webinar</v>
      </c>
      <c r="W950" s="124"/>
      <c r="X950" s="124"/>
      <c r="Y950" s="124" t="str">
        <f>IFERROR(__xludf.DUMMYFUNCTION("""COMPUTED_VALUE"""),"Delhi")</f>
        <v>Delhi</v>
      </c>
      <c r="Z950" s="124">
        <f>IFERROR(__xludf.DUMMYFUNCTION("""COMPUTED_VALUE"""),1.0)</f>
        <v>1</v>
      </c>
      <c r="AA950" s="124" t="str">
        <f>IFERROR(__xludf.DUMMYFUNCTION("""COMPUTED_VALUE"""),"Warm")</f>
        <v>Warm</v>
      </c>
      <c r="AB950" s="124" t="str">
        <f>IFERROR(__xludf.DUMMYFUNCTION("""COMPUTED_VALUE"""),"Optionals")</f>
        <v>Optionals</v>
      </c>
    </row>
    <row r="951">
      <c r="A951" s="126">
        <f>IFERROR(__xludf.DUMMYFUNCTION("""COMPUTED_VALUE"""),46099.0)</f>
        <v>46099</v>
      </c>
      <c r="B951" s="124" t="str">
        <f>IFERROR(__xludf.DUMMYFUNCTION("""COMPUTED_VALUE"""),"Walkin")</f>
        <v>Walkin</v>
      </c>
      <c r="C951" s="124" t="str">
        <f>IFERROR(__xludf.DUMMYFUNCTION("""COMPUTED_VALUE"""),"Delhi")</f>
        <v>Delhi</v>
      </c>
      <c r="D951" s="124" t="str">
        <f>IFERROR(__xludf.DUMMYFUNCTION("""COMPUTED_VALUE"""),"Primary_Walkin")</f>
        <v>Primary_Walkin</v>
      </c>
      <c r="E951" s="124">
        <f>IFERROR(__xludf.DUMMYFUNCTION("""COMPUTED_VALUE"""),2.0)</f>
        <v>2</v>
      </c>
      <c r="F951" s="124" t="str">
        <f>IFERROR(__xludf.DUMMYFUNCTION("""COMPUTED_VALUE"""),"Future Prospects")</f>
        <v>Future Prospects</v>
      </c>
      <c r="G951" s="124" t="str">
        <f>IFERROR(__xludf.DUMMYFUNCTION("""COMPUTED_VALUE"""),"GS Foundation")</f>
        <v>GS Foundation</v>
      </c>
      <c r="K951" s="124"/>
      <c r="L951" s="124"/>
      <c r="M951" s="124"/>
      <c r="N951" s="124"/>
      <c r="O951" s="124"/>
      <c r="T951" s="126">
        <f>IFERROR(__xludf.DUMMYFUNCTION("""COMPUTED_VALUE"""),46097.0)</f>
        <v>46097</v>
      </c>
      <c r="U951" s="124" t="str">
        <f>IFERROR(__xludf.DUMMYFUNCTION("""COMPUTED_VALUE"""),"Publisher Campaign")</f>
        <v>Publisher Campaign</v>
      </c>
      <c r="V951" s="124" t="str">
        <f>IFERROR(__xludf.DUMMYFUNCTION("""COMPUTED_VALUE"""),"BTL Activities")</f>
        <v>BTL Activities</v>
      </c>
      <c r="W951" s="124"/>
      <c r="X951" s="124"/>
      <c r="Y951" s="124" t="str">
        <f>IFERROR(__xludf.DUMMYFUNCTION("""COMPUTED_VALUE"""),"Indore")</f>
        <v>Indore</v>
      </c>
      <c r="Z951" s="124">
        <f>IFERROR(__xludf.DUMMYFUNCTION("""COMPUTED_VALUE"""),3.0)</f>
        <v>3</v>
      </c>
      <c r="AA951" s="124"/>
      <c r="AB951" s="124" t="str">
        <f>IFERROR(__xludf.DUMMYFUNCTION("""COMPUTED_VALUE"""),"GS Foundation")</f>
        <v>GS Foundation</v>
      </c>
    </row>
    <row r="952">
      <c r="A952" s="126">
        <f>IFERROR(__xludf.DUMMYFUNCTION("""COMPUTED_VALUE"""),46100.0)</f>
        <v>46100</v>
      </c>
      <c r="B952" s="124" t="str">
        <f>IFERROR(__xludf.DUMMYFUNCTION("""COMPUTED_VALUE"""),"external leads")</f>
        <v>external leads</v>
      </c>
      <c r="C952" s="124" t="str">
        <f>IFERROR(__xludf.DUMMYFUNCTION("""COMPUTED_VALUE"""),"Delhi")</f>
        <v>Delhi</v>
      </c>
      <c r="D952" s="124" t="str">
        <f>IFERROR(__xludf.DUMMYFUNCTION("""COMPUTED_VALUE"""),"Secondary_Walkin")</f>
        <v>Secondary_Walkin</v>
      </c>
      <c r="E952" s="124">
        <f>IFERROR(__xludf.DUMMYFUNCTION("""COMPUTED_VALUE"""),1.0)</f>
        <v>1</v>
      </c>
      <c r="F952" s="124" t="str">
        <f>IFERROR(__xludf.DUMMYFUNCTION("""COMPUTED_VALUE"""),"Enrolled")</f>
        <v>Enrolled</v>
      </c>
      <c r="G952" s="124" t="str">
        <f>IFERROR(__xludf.DUMMYFUNCTION("""COMPUTED_VALUE"""),"GS Foundation")</f>
        <v>GS Foundation</v>
      </c>
      <c r="K952" s="124"/>
      <c r="L952" s="124"/>
      <c r="M952" s="124"/>
      <c r="N952" s="124"/>
      <c r="O952" s="124"/>
      <c r="T952" s="129">
        <f>IFERROR(__xludf.DUMMYFUNCTION("""COMPUTED_VALUE"""),46076.0)</f>
        <v>46076</v>
      </c>
      <c r="U952" s="124" t="str">
        <f>IFERROR(__xludf.DUMMYFUNCTION("""COMPUTED_VALUE"""),"Publisher Campaign")</f>
        <v>Publisher Campaign</v>
      </c>
      <c r="V952" s="124" t="str">
        <f>IFERROR(__xludf.DUMMYFUNCTION("""COMPUTED_VALUE"""),"Webinar")</f>
        <v>Webinar</v>
      </c>
      <c r="W952" s="124"/>
      <c r="X952" s="124"/>
      <c r="Y952" s="124" t="str">
        <f>IFERROR(__xludf.DUMMYFUNCTION("""COMPUTED_VALUE"""),"Delhi")</f>
        <v>Delhi</v>
      </c>
      <c r="Z952" s="124">
        <f>IFERROR(__xludf.DUMMYFUNCTION("""COMPUTED_VALUE"""),1.0)</f>
        <v>1</v>
      </c>
      <c r="AA952" s="124" t="str">
        <f>IFERROR(__xludf.DUMMYFUNCTION("""COMPUTED_VALUE"""),"Future Prospects")</f>
        <v>Future Prospects</v>
      </c>
      <c r="AB952" s="124" t="str">
        <f>IFERROR(__xludf.DUMMYFUNCTION("""COMPUTED_VALUE"""),"Mentorship")</f>
        <v>Mentorship</v>
      </c>
    </row>
    <row r="953">
      <c r="A953" s="126">
        <f>IFERROR(__xludf.DUMMYFUNCTION("""COMPUTED_VALUE"""),46088.0)</f>
        <v>46088</v>
      </c>
      <c r="B953" s="124" t="str">
        <f>IFERROR(__xludf.DUMMYFUNCTION("""COMPUTED_VALUE"""),"Walkin")</f>
        <v>Walkin</v>
      </c>
      <c r="C953" s="124" t="str">
        <f>IFERROR(__xludf.DUMMYFUNCTION("""COMPUTED_VALUE"""),"Delhi")</f>
        <v>Delhi</v>
      </c>
      <c r="D953" s="124" t="str">
        <f>IFERROR(__xludf.DUMMYFUNCTION("""COMPUTED_VALUE"""),"Primary_Walkin")</f>
        <v>Primary_Walkin</v>
      </c>
      <c r="E953" s="124">
        <f>IFERROR(__xludf.DUMMYFUNCTION("""COMPUTED_VALUE"""),1.0)</f>
        <v>1</v>
      </c>
      <c r="F953" s="124" t="str">
        <f>IFERROR(__xludf.DUMMYFUNCTION("""COMPUTED_VALUE"""),"Enrolled")</f>
        <v>Enrolled</v>
      </c>
      <c r="G953" s="124" t="str">
        <f>IFERROR(__xludf.DUMMYFUNCTION("""COMPUTED_VALUE"""),"GS Foundation")</f>
        <v>GS Foundation</v>
      </c>
      <c r="K953" s="124"/>
      <c r="L953" s="124"/>
      <c r="M953" s="124"/>
      <c r="N953" s="124"/>
      <c r="O953" s="124"/>
      <c r="T953" s="126">
        <f>IFERROR(__xludf.DUMMYFUNCTION("""COMPUTED_VALUE"""),46087.0)</f>
        <v>46087</v>
      </c>
      <c r="U953" s="124" t="str">
        <f>IFERROR(__xludf.DUMMYFUNCTION("""COMPUTED_VALUE"""),"Publisher Campaign")</f>
        <v>Publisher Campaign</v>
      </c>
      <c r="V953" s="124" t="str">
        <f>IFERROR(__xludf.DUMMYFUNCTION("""COMPUTED_VALUE"""),"Webinar")</f>
        <v>Webinar</v>
      </c>
      <c r="W953" s="124"/>
      <c r="X953" s="124"/>
      <c r="Y953" s="124" t="str">
        <f>IFERROR(__xludf.DUMMYFUNCTION("""COMPUTED_VALUE"""),"Delhi")</f>
        <v>Delhi</v>
      </c>
      <c r="Z953" s="124">
        <f>IFERROR(__xludf.DUMMYFUNCTION("""COMPUTED_VALUE"""),2.0)</f>
        <v>2</v>
      </c>
      <c r="AA953" s="124" t="str">
        <f>IFERROR(__xludf.DUMMYFUNCTION("""COMPUTED_VALUE"""),"Cold")</f>
        <v>Cold</v>
      </c>
      <c r="AB953" s="124" t="str">
        <f>IFERROR(__xludf.DUMMYFUNCTION("""COMPUTED_VALUE"""),"Test Series")</f>
        <v>Test Series</v>
      </c>
    </row>
    <row r="954">
      <c r="A954" s="126">
        <f>IFERROR(__xludf.DUMMYFUNCTION("""COMPUTED_VALUE"""),46103.0)</f>
        <v>46103</v>
      </c>
      <c r="B954" s="124" t="str">
        <f>IFERROR(__xludf.DUMMYFUNCTION("""COMPUTED_VALUE"""),"Walkin")</f>
        <v>Walkin</v>
      </c>
      <c r="C954" s="124" t="str">
        <f>IFERROR(__xludf.DUMMYFUNCTION("""COMPUTED_VALUE"""),"Delhi")</f>
        <v>Delhi</v>
      </c>
      <c r="D954" s="124" t="str">
        <f>IFERROR(__xludf.DUMMYFUNCTION("""COMPUTED_VALUE"""),"Primary_Walkin")</f>
        <v>Primary_Walkin</v>
      </c>
      <c r="E954" s="124">
        <f>IFERROR(__xludf.DUMMYFUNCTION("""COMPUTED_VALUE"""),1.0)</f>
        <v>1</v>
      </c>
      <c r="F954" s="124" t="str">
        <f>IFERROR(__xludf.DUMMYFUNCTION("""COMPUTED_VALUE"""),"Future Prospects")</f>
        <v>Future Prospects</v>
      </c>
      <c r="G954" s="124" t="str">
        <f>IFERROR(__xludf.DUMMYFUNCTION("""COMPUTED_VALUE"""),"Mentorship")</f>
        <v>Mentorship</v>
      </c>
      <c r="K954" s="124"/>
      <c r="L954" s="124"/>
      <c r="M954" s="124"/>
      <c r="N954" s="124"/>
      <c r="O954" s="124"/>
      <c r="T954" s="126">
        <f>IFERROR(__xludf.DUMMYFUNCTION("""COMPUTED_VALUE"""),46061.0)</f>
        <v>46061</v>
      </c>
      <c r="U954" s="124" t="str">
        <f>IFERROR(__xludf.DUMMYFUNCTION("""COMPUTED_VALUE"""),"Publisher Campaign")</f>
        <v>Publisher Campaign</v>
      </c>
      <c r="V954" s="124" t="str">
        <f>IFERROR(__xludf.DUMMYFUNCTION("""COMPUTED_VALUE"""),"Webinar")</f>
        <v>Webinar</v>
      </c>
      <c r="W954" s="124"/>
      <c r="X954" s="124"/>
      <c r="Y954" s="124" t="str">
        <f>IFERROR(__xludf.DUMMYFUNCTION("""COMPUTED_VALUE"""),"Delhi")</f>
        <v>Delhi</v>
      </c>
      <c r="Z954" s="124">
        <f>IFERROR(__xludf.DUMMYFUNCTION("""COMPUTED_VALUE"""),3.0)</f>
        <v>3</v>
      </c>
      <c r="AA954" s="124" t="str">
        <f>IFERROR(__xludf.DUMMYFUNCTION("""COMPUTED_VALUE"""),"Cold")</f>
        <v>Cold</v>
      </c>
      <c r="AB954" s="124" t="str">
        <f>IFERROR(__xludf.DUMMYFUNCTION("""COMPUTED_VALUE"""),"GS Advanced")</f>
        <v>GS Advanced</v>
      </c>
    </row>
    <row r="955">
      <c r="A955" s="129">
        <f>IFERROR(__xludf.DUMMYFUNCTION("""COMPUTED_VALUE"""),46043.0)</f>
        <v>46043</v>
      </c>
      <c r="B955" s="124" t="str">
        <f>IFERROR(__xludf.DUMMYFUNCTION("""COMPUTED_VALUE"""),"Walkin")</f>
        <v>Walkin</v>
      </c>
      <c r="C955" s="124" t="str">
        <f>IFERROR(__xludf.DUMMYFUNCTION("""COMPUTED_VALUE"""),"Delhi")</f>
        <v>Delhi</v>
      </c>
      <c r="D955" s="124" t="str">
        <f>IFERROR(__xludf.DUMMYFUNCTION("""COMPUTED_VALUE"""),"Primary_Walkin")</f>
        <v>Primary_Walkin</v>
      </c>
      <c r="E955" s="124">
        <f>IFERROR(__xludf.DUMMYFUNCTION("""COMPUTED_VALUE"""),1.0)</f>
        <v>1</v>
      </c>
      <c r="F955" s="124" t="str">
        <f>IFERROR(__xludf.DUMMYFUNCTION("""COMPUTED_VALUE"""),"Not Interested")</f>
        <v>Not Interested</v>
      </c>
      <c r="G955" s="124" t="str">
        <f>IFERROR(__xludf.DUMMYFUNCTION("""COMPUTED_VALUE"""),"Prelims Crash Course - SIP")</f>
        <v>Prelims Crash Course - SIP</v>
      </c>
      <c r="K955" s="124"/>
      <c r="L955" s="124"/>
      <c r="M955" s="124"/>
      <c r="N955" s="124"/>
      <c r="O955" s="124"/>
      <c r="T955" s="126">
        <f>IFERROR(__xludf.DUMMYFUNCTION("""COMPUTED_VALUE"""),46060.0)</f>
        <v>46060</v>
      </c>
      <c r="U955" s="124" t="str">
        <f>IFERROR(__xludf.DUMMYFUNCTION("""COMPUTED_VALUE"""),"Other Marketing Channels")</f>
        <v>Other Marketing Channels</v>
      </c>
      <c r="V955" s="124" t="str">
        <f>IFERROR(__xludf.DUMMYFUNCTION("""COMPUTED_VALUE"""),"Referrals")</f>
        <v>Referrals</v>
      </c>
      <c r="W955" s="124" t="str">
        <f>IFERROR(__xludf.DUMMYFUNCTION("""COMPUTED_VALUE"""),"Lucknow")</f>
        <v>Lucknow</v>
      </c>
      <c r="X955" s="124" t="str">
        <f>IFERROR(__xludf.DUMMYFUNCTION("""COMPUTED_VALUE"""),"Lucknow")</f>
        <v>Lucknow</v>
      </c>
      <c r="Y955" s="124" t="str">
        <f>IFERROR(__xludf.DUMMYFUNCTION("""COMPUTED_VALUE"""),"Lucknow")</f>
        <v>Lucknow</v>
      </c>
      <c r="Z955" s="124">
        <f>IFERROR(__xludf.DUMMYFUNCTION("""COMPUTED_VALUE"""),1.0)</f>
        <v>1</v>
      </c>
      <c r="AA955" s="124" t="str">
        <f>IFERROR(__xludf.DUMMYFUNCTION("""COMPUTED_VALUE"""),"Enrolled")</f>
        <v>Enrolled</v>
      </c>
      <c r="AB955" s="124" t="str">
        <f>IFERROR(__xludf.DUMMYFUNCTION("""COMPUTED_VALUE"""),"Mentorship")</f>
        <v>Mentorship</v>
      </c>
    </row>
    <row r="956">
      <c r="A956" s="129">
        <f>IFERROR(__xludf.DUMMYFUNCTION("""COMPUTED_VALUE"""),46107.0)</f>
        <v>46107</v>
      </c>
      <c r="B956" s="124" t="str">
        <f>IFERROR(__xludf.DUMMYFUNCTION("""COMPUTED_VALUE"""),"Events")</f>
        <v>Events</v>
      </c>
      <c r="C956" s="124" t="str">
        <f>IFERROR(__xludf.DUMMYFUNCTION("""COMPUTED_VALUE"""),"Delhi")</f>
        <v>Delhi</v>
      </c>
      <c r="D956" s="124" t="str">
        <f>IFERROR(__xludf.DUMMYFUNCTION("""COMPUTED_VALUE"""),"Secondary_Walkin")</f>
        <v>Secondary_Walkin</v>
      </c>
      <c r="E956" s="124">
        <f>IFERROR(__xludf.DUMMYFUNCTION("""COMPUTED_VALUE"""),1.0)</f>
        <v>1</v>
      </c>
      <c r="F956" s="124" t="str">
        <f>IFERROR(__xludf.DUMMYFUNCTION("""COMPUTED_VALUE"""),"Warm")</f>
        <v>Warm</v>
      </c>
      <c r="G956" s="124" t="str">
        <f>IFERROR(__xludf.DUMMYFUNCTION("""COMPUTED_VALUE"""),"GS Foundation")</f>
        <v>GS Foundation</v>
      </c>
      <c r="K956" s="124"/>
      <c r="L956" s="124"/>
      <c r="M956" s="124"/>
      <c r="N956" s="124"/>
      <c r="O956" s="124"/>
      <c r="T956" s="126">
        <f>IFERROR(__xludf.DUMMYFUNCTION("""COMPUTED_VALUE"""),46088.0)</f>
        <v>46088</v>
      </c>
      <c r="U956" s="124" t="str">
        <f>IFERROR(__xludf.DUMMYFUNCTION("""COMPUTED_VALUE"""),"Publisher Campaign")</f>
        <v>Publisher Campaign</v>
      </c>
      <c r="V956" s="124" t="str">
        <f>IFERROR(__xludf.DUMMYFUNCTION("""COMPUTED_VALUE"""),"Webinar")</f>
        <v>Webinar</v>
      </c>
      <c r="W956" s="124"/>
      <c r="X956" s="124"/>
      <c r="Y956" s="124" t="str">
        <f>IFERROR(__xludf.DUMMYFUNCTION("""COMPUTED_VALUE"""),"Delhi")</f>
        <v>Delhi</v>
      </c>
      <c r="Z956" s="124">
        <f>IFERROR(__xludf.DUMMYFUNCTION("""COMPUTED_VALUE"""),1.0)</f>
        <v>1</v>
      </c>
      <c r="AA956" s="124" t="str">
        <f>IFERROR(__xludf.DUMMYFUNCTION("""COMPUTED_VALUE"""),"Engaged")</f>
        <v>Engaged</v>
      </c>
      <c r="AB956" s="124" t="str">
        <f>IFERROR(__xludf.DUMMYFUNCTION("""COMPUTED_VALUE"""),"Mentorship")</f>
        <v>Mentorship</v>
      </c>
    </row>
    <row r="957">
      <c r="A957" s="126">
        <f>IFERROR(__xludf.DUMMYFUNCTION("""COMPUTED_VALUE"""),46098.0)</f>
        <v>46098</v>
      </c>
      <c r="B957" s="124" t="str">
        <f>IFERROR(__xludf.DUMMYFUNCTION("""COMPUTED_VALUE"""),"direct")</f>
        <v>direct</v>
      </c>
      <c r="C957" s="124" t="str">
        <f>IFERROR(__xludf.DUMMYFUNCTION("""COMPUTED_VALUE"""),"Delhi")</f>
        <v>Delhi</v>
      </c>
      <c r="D957" s="124" t="str">
        <f>IFERROR(__xludf.DUMMYFUNCTION("""COMPUTED_VALUE"""),"Secondary_Walkin")</f>
        <v>Secondary_Walkin</v>
      </c>
      <c r="E957" s="124">
        <f>IFERROR(__xludf.DUMMYFUNCTION("""COMPUTED_VALUE"""),1.0)</f>
        <v>1</v>
      </c>
      <c r="F957" s="124" t="str">
        <f>IFERROR(__xludf.DUMMYFUNCTION("""COMPUTED_VALUE"""),"Not Interested")</f>
        <v>Not Interested</v>
      </c>
      <c r="G957" s="124" t="str">
        <f>IFERROR(__xludf.DUMMYFUNCTION("""COMPUTED_VALUE"""),"GS Foundation")</f>
        <v>GS Foundation</v>
      </c>
      <c r="K957" s="124"/>
      <c r="L957" s="124"/>
      <c r="M957" s="124"/>
      <c r="N957" s="124"/>
      <c r="O957" s="124"/>
      <c r="T957" s="129">
        <f>IFERROR(__xludf.DUMMYFUNCTION("""COMPUTED_VALUE"""),46057.0)</f>
        <v>46057</v>
      </c>
      <c r="U957" s="124" t="str">
        <f>IFERROR(__xludf.DUMMYFUNCTION("""COMPUTED_VALUE"""),"Publisher Campaign")</f>
        <v>Publisher Campaign</v>
      </c>
      <c r="V957" s="124" t="str">
        <f>IFERROR(__xludf.DUMMYFUNCTION("""COMPUTED_VALUE"""),"Feeder Cities")</f>
        <v>Feeder Cities</v>
      </c>
      <c r="W957" s="124"/>
      <c r="X957" s="124"/>
      <c r="Y957" s="124" t="str">
        <f>IFERROR(__xludf.DUMMYFUNCTION("""COMPUTED_VALUE"""),"Indore")</f>
        <v>Indore</v>
      </c>
      <c r="Z957" s="124">
        <f>IFERROR(__xludf.DUMMYFUNCTION("""COMPUTED_VALUE"""),1.0)</f>
        <v>1</v>
      </c>
      <c r="AA957" s="124" t="str">
        <f>IFERROR(__xludf.DUMMYFUNCTION("""COMPUTED_VALUE"""),"Fake Lead")</f>
        <v>Fake Lead</v>
      </c>
      <c r="AB957" s="124" t="str">
        <f>IFERROR(__xludf.DUMMYFUNCTION("""COMPUTED_VALUE"""),"State PCS")</f>
        <v>State PCS</v>
      </c>
    </row>
    <row r="958">
      <c r="A958" s="126">
        <f>IFERROR(__xludf.DUMMYFUNCTION("""COMPUTED_VALUE"""),46091.0)</f>
        <v>46091</v>
      </c>
      <c r="B958" s="124" t="str">
        <f>IFERROR(__xludf.DUMMYFUNCTION("""COMPUTED_VALUE"""),"Walkin")</f>
        <v>Walkin</v>
      </c>
      <c r="C958" s="124" t="str">
        <f>IFERROR(__xludf.DUMMYFUNCTION("""COMPUTED_VALUE"""),"Delhi")</f>
        <v>Delhi</v>
      </c>
      <c r="D958" s="124" t="str">
        <f>IFERROR(__xludf.DUMMYFUNCTION("""COMPUTED_VALUE"""),"Primary_Walkin")</f>
        <v>Primary_Walkin</v>
      </c>
      <c r="E958" s="124">
        <f>IFERROR(__xludf.DUMMYFUNCTION("""COMPUTED_VALUE"""),2.0)</f>
        <v>2</v>
      </c>
      <c r="F958" s="124" t="str">
        <f>IFERROR(__xludf.DUMMYFUNCTION("""COMPUTED_VALUE"""),"Enrolled")</f>
        <v>Enrolled</v>
      </c>
      <c r="G958" s="124" t="str">
        <f>IFERROR(__xludf.DUMMYFUNCTION("""COMPUTED_VALUE"""),"GS Foundation")</f>
        <v>GS Foundation</v>
      </c>
      <c r="K958" s="124"/>
      <c r="L958" s="124"/>
      <c r="M958" s="124"/>
      <c r="N958" s="124"/>
      <c r="O958" s="124"/>
      <c r="T958" s="126">
        <f>IFERROR(__xludf.DUMMYFUNCTION("""COMPUTED_VALUE"""),46055.0)</f>
        <v>46055</v>
      </c>
      <c r="U958" s="124" t="str">
        <f>IFERROR(__xludf.DUMMYFUNCTION("""COMPUTED_VALUE"""),"Event")</f>
        <v>Event</v>
      </c>
      <c r="V958" s="124" t="str">
        <f>IFERROR(__xludf.DUMMYFUNCTION("""COMPUTED_VALUE"""),"Events")</f>
        <v>Events</v>
      </c>
      <c r="W958" s="124" t="str">
        <f>IFERROR(__xludf.DUMMYFUNCTION("""COMPUTED_VALUE"""),"Delhi")</f>
        <v>Delhi</v>
      </c>
      <c r="X958" s="124"/>
      <c r="Y958" s="124"/>
      <c r="Z958" s="124">
        <f>IFERROR(__xludf.DUMMYFUNCTION("""COMPUTED_VALUE"""),2.0)</f>
        <v>2</v>
      </c>
      <c r="AA958" s="124" t="str">
        <f>IFERROR(__xludf.DUMMYFUNCTION("""COMPUTED_VALUE"""),"Cold")</f>
        <v>Cold</v>
      </c>
      <c r="AB958" s="124"/>
    </row>
    <row r="959">
      <c r="A959" s="129">
        <f>IFERROR(__xludf.DUMMYFUNCTION("""COMPUTED_VALUE"""),46100.0)</f>
        <v>46100</v>
      </c>
      <c r="B959" s="124" t="str">
        <f>IFERROR(__xludf.DUMMYFUNCTION("""COMPUTED_VALUE"""),"Walk-In")</f>
        <v>Walk-In</v>
      </c>
      <c r="C959" s="124" t="str">
        <f>IFERROR(__xludf.DUMMYFUNCTION("""COMPUTED_VALUE"""),"Delhi")</f>
        <v>Delhi</v>
      </c>
      <c r="D959" s="124" t="str">
        <f>IFERROR(__xludf.DUMMYFUNCTION("""COMPUTED_VALUE"""),"Primary_Walkin")</f>
        <v>Primary_Walkin</v>
      </c>
      <c r="E959" s="124">
        <f>IFERROR(__xludf.DUMMYFUNCTION("""COMPUTED_VALUE"""),2.0)</f>
        <v>2</v>
      </c>
      <c r="F959" s="124" t="str">
        <f>IFERROR(__xludf.DUMMYFUNCTION("""COMPUTED_VALUE"""),"Cold")</f>
        <v>Cold</v>
      </c>
      <c r="G959" s="124" t="str">
        <f>IFERROR(__xludf.DUMMYFUNCTION("""COMPUTED_VALUE"""),"GS Advanced")</f>
        <v>GS Advanced</v>
      </c>
      <c r="K959" s="124"/>
      <c r="L959" s="124"/>
      <c r="M959" s="124"/>
      <c r="N959" s="124"/>
      <c r="O959" s="124"/>
      <c r="T959" s="129">
        <f>IFERROR(__xludf.DUMMYFUNCTION("""COMPUTED_VALUE"""),46104.0)</f>
        <v>46104</v>
      </c>
      <c r="U959" s="124" t="str">
        <f>IFERROR(__xludf.DUMMYFUNCTION("""COMPUTED_VALUE"""),"Publisher Campaign")</f>
        <v>Publisher Campaign</v>
      </c>
      <c r="V959" s="124" t="str">
        <f>IFERROR(__xludf.DUMMYFUNCTION("""COMPUTED_VALUE"""),"Webinar")</f>
        <v>Webinar</v>
      </c>
      <c r="W959" s="124"/>
      <c r="X959" s="124"/>
      <c r="Y959" s="124" t="str">
        <f>IFERROR(__xludf.DUMMYFUNCTION("""COMPUTED_VALUE"""),"Delhi")</f>
        <v>Delhi</v>
      </c>
      <c r="Z959" s="124">
        <f>IFERROR(__xludf.DUMMYFUNCTION("""COMPUTED_VALUE"""),16.0)</f>
        <v>16</v>
      </c>
      <c r="AA959" s="124"/>
      <c r="AB959" s="124" t="str">
        <f>IFERROR(__xludf.DUMMYFUNCTION("""COMPUTED_VALUE"""),"GS Foundation")</f>
        <v>GS Foundation</v>
      </c>
    </row>
    <row r="960">
      <c r="A960" s="126">
        <f>IFERROR(__xludf.DUMMYFUNCTION("""COMPUTED_VALUE"""),46072.0)</f>
        <v>46072</v>
      </c>
      <c r="B960" s="124" t="str">
        <f>IFERROR(__xludf.DUMMYFUNCTION("""COMPUTED_VALUE"""),"Walk-In")</f>
        <v>Walk-In</v>
      </c>
      <c r="C960" s="124" t="str">
        <f>IFERROR(__xludf.DUMMYFUNCTION("""COMPUTED_VALUE"""),"Lucknow")</f>
        <v>Lucknow</v>
      </c>
      <c r="D960" s="124" t="str">
        <f>IFERROR(__xludf.DUMMYFUNCTION("""COMPUTED_VALUE"""),"Primary_Walkin")</f>
        <v>Primary_Walkin</v>
      </c>
      <c r="E960" s="124">
        <f>IFERROR(__xludf.DUMMYFUNCTION("""COMPUTED_VALUE"""),1.0)</f>
        <v>1</v>
      </c>
      <c r="F960" s="124" t="str">
        <f>IFERROR(__xludf.DUMMYFUNCTION("""COMPUTED_VALUE"""),"Cold")</f>
        <v>Cold</v>
      </c>
      <c r="G960" s="124" t="str">
        <f>IFERROR(__xludf.DUMMYFUNCTION("""COMPUTED_VALUE"""),"State PCS")</f>
        <v>State PCS</v>
      </c>
      <c r="K960" s="124"/>
      <c r="L960" s="124"/>
      <c r="M960" s="124"/>
      <c r="N960" s="124"/>
      <c r="O960" s="124"/>
      <c r="T960" s="126">
        <f>IFERROR(__xludf.DUMMYFUNCTION("""COMPUTED_VALUE"""),46082.0)</f>
        <v>46082</v>
      </c>
      <c r="U960" s="124" t="str">
        <f>IFERROR(__xludf.DUMMYFUNCTION("""COMPUTED_VALUE"""),"Paid Ads")</f>
        <v>Paid Ads</v>
      </c>
      <c r="V960" s="124" t="str">
        <f>IFERROR(__xludf.DUMMYFUNCTION("""COMPUTED_VALUE"""),"google")</f>
        <v>google</v>
      </c>
      <c r="W960" s="124" t="str">
        <f>IFERROR(__xludf.DUMMYFUNCTION("""COMPUTED_VALUE"""),"cpc")</f>
        <v>cpc</v>
      </c>
      <c r="X960" s="124">
        <f>IFERROR(__xludf.DUMMYFUNCTION("""COMPUTED_VALUE"""),2.288825581E10)</f>
        <v>22888255810</v>
      </c>
      <c r="Y960" s="124" t="str">
        <f>IFERROR(__xludf.DUMMYFUNCTION("""COMPUTED_VALUE"""),"Indore")</f>
        <v>Indore</v>
      </c>
      <c r="Z960" s="124">
        <f>IFERROR(__xludf.DUMMYFUNCTION("""COMPUTED_VALUE"""),1.0)</f>
        <v>1</v>
      </c>
      <c r="AA960" s="124" t="str">
        <f>IFERROR(__xludf.DUMMYFUNCTION("""COMPUTED_VALUE"""),"Fake Lead")</f>
        <v>Fake Lead</v>
      </c>
      <c r="AB960" s="124" t="str">
        <f>IFERROR(__xludf.DUMMYFUNCTION("""COMPUTED_VALUE"""),"GS Foundation")</f>
        <v>GS Foundation</v>
      </c>
    </row>
    <row r="961">
      <c r="A961" s="126">
        <f>IFERROR(__xludf.DUMMYFUNCTION("""COMPUTED_VALUE"""),46104.0)</f>
        <v>46104</v>
      </c>
      <c r="B961" s="124" t="str">
        <f>IFERROR(__xludf.DUMMYFUNCTION("""COMPUTED_VALUE"""),"Walkin")</f>
        <v>Walkin</v>
      </c>
      <c r="C961" s="124" t="str">
        <f>IFERROR(__xludf.DUMMYFUNCTION("""COMPUTED_VALUE"""),"Indore")</f>
        <v>Indore</v>
      </c>
      <c r="D961" s="124" t="str">
        <f>IFERROR(__xludf.DUMMYFUNCTION("""COMPUTED_VALUE"""),"Primary_Walkin")</f>
        <v>Primary_Walkin</v>
      </c>
      <c r="E961" s="124">
        <f>IFERROR(__xludf.DUMMYFUNCTION("""COMPUTED_VALUE"""),1.0)</f>
        <v>1</v>
      </c>
      <c r="F961" s="124" t="str">
        <f>IFERROR(__xludf.DUMMYFUNCTION("""COMPUTED_VALUE"""),"Enrolled")</f>
        <v>Enrolled</v>
      </c>
      <c r="G961" s="124" t="str">
        <f>IFERROR(__xludf.DUMMYFUNCTION("""COMPUTED_VALUE"""),"State PCS")</f>
        <v>State PCS</v>
      </c>
      <c r="K961" s="124"/>
      <c r="L961" s="124"/>
      <c r="M961" s="124"/>
      <c r="N961" s="124"/>
      <c r="O961" s="124"/>
      <c r="T961" s="126">
        <f>IFERROR(__xludf.DUMMYFUNCTION("""COMPUTED_VALUE"""),46098.0)</f>
        <v>46098</v>
      </c>
      <c r="U961" s="124" t="str">
        <f>IFERROR(__xludf.DUMMYFUNCTION("""COMPUTED_VALUE"""),"Publisher Campaign")</f>
        <v>Publisher Campaign</v>
      </c>
      <c r="V961" s="124" t="str">
        <f>IFERROR(__xludf.DUMMYFUNCTION("""COMPUTED_VALUE"""),"BTL Activities")</f>
        <v>BTL Activities</v>
      </c>
      <c r="W961" s="124"/>
      <c r="X961" s="124"/>
      <c r="Y961" s="124" t="str">
        <f>IFERROR(__xludf.DUMMYFUNCTION("""COMPUTED_VALUE"""),"Indore")</f>
        <v>Indore</v>
      </c>
      <c r="Z961" s="124">
        <f>IFERROR(__xludf.DUMMYFUNCTION("""COMPUTED_VALUE"""),1.0)</f>
        <v>1</v>
      </c>
      <c r="AA961" s="124" t="str">
        <f>IFERROR(__xludf.DUMMYFUNCTION("""COMPUTED_VALUE"""),"Warm")</f>
        <v>Warm</v>
      </c>
      <c r="AB961" s="124" t="str">
        <f>IFERROR(__xludf.DUMMYFUNCTION("""COMPUTED_VALUE"""),"GS Advanced")</f>
        <v>GS Advanced</v>
      </c>
    </row>
    <row r="962">
      <c r="A962" s="126">
        <f>IFERROR(__xludf.DUMMYFUNCTION("""COMPUTED_VALUE"""),46067.0)</f>
        <v>46067</v>
      </c>
      <c r="B962" s="124" t="str">
        <f>IFERROR(__xludf.DUMMYFUNCTION("""COMPUTED_VALUE"""),"Walkin")</f>
        <v>Walkin</v>
      </c>
      <c r="C962" s="124" t="str">
        <f>IFERROR(__xludf.DUMMYFUNCTION("""COMPUTED_VALUE"""),"Indore")</f>
        <v>Indore</v>
      </c>
      <c r="D962" s="124" t="str">
        <f>IFERROR(__xludf.DUMMYFUNCTION("""COMPUTED_VALUE"""),"Primary_Walkin")</f>
        <v>Primary_Walkin</v>
      </c>
      <c r="E962" s="124">
        <f>IFERROR(__xludf.DUMMYFUNCTION("""COMPUTED_VALUE"""),1.0)</f>
        <v>1</v>
      </c>
      <c r="F962" s="124" t="str">
        <f>IFERROR(__xludf.DUMMYFUNCTION("""COMPUTED_VALUE"""),"Enrolled")</f>
        <v>Enrolled</v>
      </c>
      <c r="G962" s="124" t="str">
        <f>IFERROR(__xludf.DUMMYFUNCTION("""COMPUTED_VALUE"""),"Other")</f>
        <v>Other</v>
      </c>
      <c r="K962" s="124"/>
      <c r="L962" s="124"/>
      <c r="M962" s="124"/>
      <c r="N962" s="124"/>
      <c r="O962" s="124"/>
      <c r="T962" s="126">
        <f>IFERROR(__xludf.DUMMYFUNCTION("""COMPUTED_VALUE"""),46046.0)</f>
        <v>46046</v>
      </c>
      <c r="U962" s="124" t="str">
        <f>IFERROR(__xludf.DUMMYFUNCTION("""COMPUTED_VALUE"""),"External Leads")</f>
        <v>External Leads</v>
      </c>
      <c r="V962" s="124" t="str">
        <f>IFERROR(__xludf.DUMMYFUNCTION("""COMPUTED_VALUE"""),"external leads")</f>
        <v>external leads</v>
      </c>
      <c r="W962" s="124"/>
      <c r="X962" s="124"/>
      <c r="Y962" s="124" t="str">
        <f>IFERROR(__xludf.DUMMYFUNCTION("""COMPUTED_VALUE"""),"Delhi")</f>
        <v>Delhi</v>
      </c>
      <c r="Z962" s="124">
        <f>IFERROR(__xludf.DUMMYFUNCTION("""COMPUTED_VALUE"""),1.0)</f>
        <v>1</v>
      </c>
      <c r="AA962" s="124" t="str">
        <f>IFERROR(__xludf.DUMMYFUNCTION("""COMPUTED_VALUE"""),"Warm")</f>
        <v>Warm</v>
      </c>
      <c r="AB962" s="124"/>
    </row>
    <row r="963">
      <c r="A963" s="126">
        <f>IFERROR(__xludf.DUMMYFUNCTION("""COMPUTED_VALUE"""),46079.0)</f>
        <v>46079</v>
      </c>
      <c r="B963" s="124" t="str">
        <f>IFERROR(__xludf.DUMMYFUNCTION("""COMPUTED_VALUE"""),"Walkin")</f>
        <v>Walkin</v>
      </c>
      <c r="C963" s="124" t="str">
        <f>IFERROR(__xludf.DUMMYFUNCTION("""COMPUTED_VALUE"""),"Lucknow")</f>
        <v>Lucknow</v>
      </c>
      <c r="D963" s="124" t="str">
        <f>IFERROR(__xludf.DUMMYFUNCTION("""COMPUTED_VALUE"""),"Primary_Walkin")</f>
        <v>Primary_Walkin</v>
      </c>
      <c r="E963" s="124">
        <f>IFERROR(__xludf.DUMMYFUNCTION("""COMPUTED_VALUE"""),1.0)</f>
        <v>1</v>
      </c>
      <c r="F963" s="124" t="str">
        <f>IFERROR(__xludf.DUMMYFUNCTION("""COMPUTED_VALUE"""),"Not Interested")</f>
        <v>Not Interested</v>
      </c>
      <c r="G963" s="124" t="str">
        <f>IFERROR(__xludf.DUMMYFUNCTION("""COMPUTED_VALUE"""),"GS Foundation")</f>
        <v>GS Foundation</v>
      </c>
      <c r="K963" s="124"/>
      <c r="L963" s="124"/>
      <c r="M963" s="124"/>
      <c r="N963" s="124"/>
      <c r="O963" s="124"/>
      <c r="T963" s="126">
        <f>IFERROR(__xludf.DUMMYFUNCTION("""COMPUTED_VALUE"""),46079.0)</f>
        <v>46079</v>
      </c>
      <c r="U963" s="124" t="str">
        <f>IFERROR(__xludf.DUMMYFUNCTION("""COMPUTED_VALUE"""),"Publisher Campaign")</f>
        <v>Publisher Campaign</v>
      </c>
      <c r="V963" s="124" t="str">
        <f>IFERROR(__xludf.DUMMYFUNCTION("""COMPUTED_VALUE"""),"Webinar")</f>
        <v>Webinar</v>
      </c>
      <c r="W963" s="124"/>
      <c r="X963" s="124"/>
      <c r="Y963" s="124" t="str">
        <f>IFERROR(__xludf.DUMMYFUNCTION("""COMPUTED_VALUE"""),"Patna")</f>
        <v>Patna</v>
      </c>
      <c r="Z963" s="124">
        <f>IFERROR(__xludf.DUMMYFUNCTION("""COMPUTED_VALUE"""),1.0)</f>
        <v>1</v>
      </c>
      <c r="AA963" s="124" t="str">
        <f>IFERROR(__xludf.DUMMYFUNCTION("""COMPUTED_VALUE"""),"Cold")</f>
        <v>Cold</v>
      </c>
      <c r="AB963" s="124" t="str">
        <f>IFERROR(__xludf.DUMMYFUNCTION("""COMPUTED_VALUE"""),"Other")</f>
        <v>Other</v>
      </c>
    </row>
    <row r="964">
      <c r="A964" s="126">
        <f>IFERROR(__xludf.DUMMYFUNCTION("""COMPUTED_VALUE"""),46067.0)</f>
        <v>46067</v>
      </c>
      <c r="B964" s="124" t="str">
        <f>IFERROR(__xludf.DUMMYFUNCTION("""COMPUTED_VALUE"""),"Walkin")</f>
        <v>Walkin</v>
      </c>
      <c r="C964" s="124" t="str">
        <f>IFERROR(__xludf.DUMMYFUNCTION("""COMPUTED_VALUE"""),"Indore")</f>
        <v>Indore</v>
      </c>
      <c r="D964" s="124" t="str">
        <f>IFERROR(__xludf.DUMMYFUNCTION("""COMPUTED_VALUE"""),"Primary_Walkin")</f>
        <v>Primary_Walkin</v>
      </c>
      <c r="E964" s="124">
        <f>IFERROR(__xludf.DUMMYFUNCTION("""COMPUTED_VALUE"""),1.0)</f>
        <v>1</v>
      </c>
      <c r="F964" s="124" t="str">
        <f>IFERROR(__xludf.DUMMYFUNCTION("""COMPUTED_VALUE"""),"Not Interested")</f>
        <v>Not Interested</v>
      </c>
      <c r="G964" s="124" t="str">
        <f>IFERROR(__xludf.DUMMYFUNCTION("""COMPUTED_VALUE"""),"GS Foundation")</f>
        <v>GS Foundation</v>
      </c>
      <c r="K964" s="124"/>
      <c r="L964" s="124"/>
      <c r="M964" s="124"/>
      <c r="N964" s="124"/>
      <c r="O964" s="124"/>
      <c r="T964" s="126">
        <f>IFERROR(__xludf.DUMMYFUNCTION("""COMPUTED_VALUE"""),46076.0)</f>
        <v>46076</v>
      </c>
      <c r="U964" s="124" t="str">
        <f>IFERROR(__xludf.DUMMYFUNCTION("""COMPUTED_VALUE"""),"Publisher Campaign")</f>
        <v>Publisher Campaign</v>
      </c>
      <c r="V964" s="124" t="str">
        <f>IFERROR(__xludf.DUMMYFUNCTION("""COMPUTED_VALUE"""),"Webinar")</f>
        <v>Webinar</v>
      </c>
      <c r="W964" s="124"/>
      <c r="X964" s="124"/>
      <c r="Y964" s="124" t="str">
        <f>IFERROR(__xludf.DUMMYFUNCTION("""COMPUTED_VALUE"""),"Delhi")</f>
        <v>Delhi</v>
      </c>
      <c r="Z964" s="124">
        <f>IFERROR(__xludf.DUMMYFUNCTION("""COMPUTED_VALUE"""),18.0)</f>
        <v>18</v>
      </c>
      <c r="AA964" s="124" t="str">
        <f>IFERROR(__xludf.DUMMYFUNCTION("""COMPUTED_VALUE"""),"Cold")</f>
        <v>Cold</v>
      </c>
      <c r="AB964" s="124" t="str">
        <f>IFERROR(__xludf.DUMMYFUNCTION("""COMPUTED_VALUE"""),"GS Foundation")</f>
        <v>GS Foundation</v>
      </c>
    </row>
    <row r="965">
      <c r="A965" s="126">
        <f>IFERROR(__xludf.DUMMYFUNCTION("""COMPUTED_VALUE"""),46093.0)</f>
        <v>46093</v>
      </c>
      <c r="B965" s="124" t="str">
        <f>IFERROR(__xludf.DUMMYFUNCTION("""COMPUTED_VALUE"""),"Walkin")</f>
        <v>Walkin</v>
      </c>
      <c r="C965" s="124" t="str">
        <f>IFERROR(__xludf.DUMMYFUNCTION("""COMPUTED_VALUE"""),"Indore")</f>
        <v>Indore</v>
      </c>
      <c r="D965" s="124" t="str">
        <f>IFERROR(__xludf.DUMMYFUNCTION("""COMPUTED_VALUE"""),"Primary_Walkin")</f>
        <v>Primary_Walkin</v>
      </c>
      <c r="E965" s="124">
        <f>IFERROR(__xludf.DUMMYFUNCTION("""COMPUTED_VALUE"""),1.0)</f>
        <v>1</v>
      </c>
      <c r="F965" s="124" t="str">
        <f>IFERROR(__xludf.DUMMYFUNCTION("""COMPUTED_VALUE"""),"Not Interested")</f>
        <v>Not Interested</v>
      </c>
      <c r="G965" s="124" t="str">
        <f>IFERROR(__xludf.DUMMYFUNCTION("""COMPUTED_VALUE"""),"GS Foundation")</f>
        <v>GS Foundation</v>
      </c>
      <c r="K965" s="124"/>
      <c r="L965" s="124"/>
      <c r="M965" s="124"/>
      <c r="N965" s="124"/>
      <c r="O965" s="124"/>
      <c r="T965" s="126">
        <f>IFERROR(__xludf.DUMMYFUNCTION("""COMPUTED_VALUE"""),46098.0)</f>
        <v>46098</v>
      </c>
      <c r="U965" s="124" t="str">
        <f>IFERROR(__xludf.DUMMYFUNCTION("""COMPUTED_VALUE"""),"Publisher Campaign")</f>
        <v>Publisher Campaign</v>
      </c>
      <c r="V965" s="124" t="str">
        <f>IFERROR(__xludf.DUMMYFUNCTION("""COMPUTED_VALUE"""),"BTL Activities")</f>
        <v>BTL Activities</v>
      </c>
      <c r="W965" s="124"/>
      <c r="X965" s="124"/>
      <c r="Y965" s="124" t="str">
        <f>IFERROR(__xludf.DUMMYFUNCTION("""COMPUTED_VALUE"""),"Indore")</f>
        <v>Indore</v>
      </c>
      <c r="Z965" s="124">
        <f>IFERROR(__xludf.DUMMYFUNCTION("""COMPUTED_VALUE"""),2.0)</f>
        <v>2</v>
      </c>
      <c r="AA965" s="124" t="str">
        <f>IFERROR(__xludf.DUMMYFUNCTION("""COMPUTED_VALUE"""),"Cold")</f>
        <v>Cold</v>
      </c>
      <c r="AB965" s="124" t="str">
        <f>IFERROR(__xludf.DUMMYFUNCTION("""COMPUTED_VALUE"""),"GS Advanced")</f>
        <v>GS Advanced</v>
      </c>
    </row>
    <row r="966">
      <c r="A966" s="129">
        <f>IFERROR(__xludf.DUMMYFUNCTION("""COMPUTED_VALUE"""),46044.0)</f>
        <v>46044</v>
      </c>
      <c r="B966" s="124" t="str">
        <f>IFERROR(__xludf.DUMMYFUNCTION("""COMPUTED_VALUE"""),"Walk-In")</f>
        <v>Walk-In</v>
      </c>
      <c r="C966" s="124" t="str">
        <f>IFERROR(__xludf.DUMMYFUNCTION("""COMPUTED_VALUE"""),"Lucknow")</f>
        <v>Lucknow</v>
      </c>
      <c r="D966" s="124" t="str">
        <f>IFERROR(__xludf.DUMMYFUNCTION("""COMPUTED_VALUE"""),"Primary_Walkin")</f>
        <v>Primary_Walkin</v>
      </c>
      <c r="E966" s="124">
        <f>IFERROR(__xludf.DUMMYFUNCTION("""COMPUTED_VALUE"""),1.0)</f>
        <v>1</v>
      </c>
      <c r="F966" s="124" t="str">
        <f>IFERROR(__xludf.DUMMYFUNCTION("""COMPUTED_VALUE"""),"Not Interested")</f>
        <v>Not Interested</v>
      </c>
      <c r="G966" s="124" t="str">
        <f>IFERROR(__xludf.DUMMYFUNCTION("""COMPUTED_VALUE"""),"GS Foundation")</f>
        <v>GS Foundation</v>
      </c>
      <c r="K966" s="124"/>
      <c r="L966" s="124"/>
      <c r="M966" s="124"/>
      <c r="N966" s="124"/>
      <c r="O966" s="124"/>
      <c r="T966" s="126">
        <f>IFERROR(__xludf.DUMMYFUNCTION("""COMPUTED_VALUE"""),46084.0)</f>
        <v>46084</v>
      </c>
      <c r="U966" s="124" t="str">
        <f>IFERROR(__xludf.DUMMYFUNCTION("""COMPUTED_VALUE"""),"Paid Ads")</f>
        <v>Paid Ads</v>
      </c>
      <c r="V966" s="124" t="str">
        <f>IFERROR(__xludf.DUMMYFUNCTION("""COMPUTED_VALUE"""),"YouTube")</f>
        <v>YouTube</v>
      </c>
      <c r="W966" s="124"/>
      <c r="X966" s="124"/>
      <c r="Y966" s="124" t="str">
        <f>IFERROR(__xludf.DUMMYFUNCTION("""COMPUTED_VALUE"""),"Delhi")</f>
        <v>Delhi</v>
      </c>
      <c r="Z966" s="124">
        <f>IFERROR(__xludf.DUMMYFUNCTION("""COMPUTED_VALUE"""),1.0)</f>
        <v>1</v>
      </c>
      <c r="AA966" s="124" t="str">
        <f>IFERROR(__xludf.DUMMYFUNCTION("""COMPUTED_VALUE"""),"Not Interested")</f>
        <v>Not Interested</v>
      </c>
      <c r="AB966" s="124" t="str">
        <f>IFERROR(__xludf.DUMMYFUNCTION("""COMPUTED_VALUE"""),"Other")</f>
        <v>Other</v>
      </c>
    </row>
    <row r="967">
      <c r="A967" s="126">
        <f>IFERROR(__xludf.DUMMYFUNCTION("""COMPUTED_VALUE"""),46077.0)</f>
        <v>46077</v>
      </c>
      <c r="B967" s="124" t="str">
        <f>IFERROR(__xludf.DUMMYFUNCTION("""COMPUTED_VALUE"""),"Walkin")</f>
        <v>Walkin</v>
      </c>
      <c r="C967" s="124" t="str">
        <f>IFERROR(__xludf.DUMMYFUNCTION("""COMPUTED_VALUE"""),"Indore")</f>
        <v>Indore</v>
      </c>
      <c r="D967" s="124" t="str">
        <f>IFERROR(__xludf.DUMMYFUNCTION("""COMPUTED_VALUE"""),"Primary_Walkin")</f>
        <v>Primary_Walkin</v>
      </c>
      <c r="E967" s="124">
        <f>IFERROR(__xludf.DUMMYFUNCTION("""COMPUTED_VALUE"""),1.0)</f>
        <v>1</v>
      </c>
      <c r="F967" s="124" t="str">
        <f>IFERROR(__xludf.DUMMYFUNCTION("""COMPUTED_VALUE"""),"Future Prospects")</f>
        <v>Future Prospects</v>
      </c>
      <c r="G967" s="124" t="str">
        <f>IFERROR(__xludf.DUMMYFUNCTION("""COMPUTED_VALUE"""),"State PCS")</f>
        <v>State PCS</v>
      </c>
      <c r="K967" s="124"/>
      <c r="L967" s="124"/>
      <c r="M967" s="124"/>
      <c r="N967" s="124"/>
      <c r="O967" s="124"/>
      <c r="T967" s="126">
        <f>IFERROR(__xludf.DUMMYFUNCTION("""COMPUTED_VALUE"""),46091.0)</f>
        <v>46091</v>
      </c>
      <c r="U967" s="124" t="str">
        <f>IFERROR(__xludf.DUMMYFUNCTION("""COMPUTED_VALUE"""),"Publisher Campaign")</f>
        <v>Publisher Campaign</v>
      </c>
      <c r="V967" s="124" t="str">
        <f>IFERROR(__xludf.DUMMYFUNCTION("""COMPUTED_VALUE"""),"Webinar")</f>
        <v>Webinar</v>
      </c>
      <c r="W967" s="124"/>
      <c r="X967" s="124"/>
      <c r="Y967" s="124" t="str">
        <f>IFERROR(__xludf.DUMMYFUNCTION("""COMPUTED_VALUE"""),"Delhi")</f>
        <v>Delhi</v>
      </c>
      <c r="Z967" s="124">
        <f>IFERROR(__xludf.DUMMYFUNCTION("""COMPUTED_VALUE"""),1.0)</f>
        <v>1</v>
      </c>
      <c r="AA967" s="124" t="str">
        <f>IFERROR(__xludf.DUMMYFUNCTION("""COMPUTED_VALUE"""),"Fake Lead")</f>
        <v>Fake Lead</v>
      </c>
      <c r="AB967" s="124" t="str">
        <f>IFERROR(__xludf.DUMMYFUNCTION("""COMPUTED_VALUE"""),"SIM")</f>
        <v>SIM</v>
      </c>
    </row>
    <row r="968">
      <c r="A968" s="126">
        <f>IFERROR(__xludf.DUMMYFUNCTION("""COMPUTED_VALUE"""),46090.0)</f>
        <v>46090</v>
      </c>
      <c r="B968" s="124" t="str">
        <f>IFERROR(__xludf.DUMMYFUNCTION("""COMPUTED_VALUE"""),"Walkin")</f>
        <v>Walkin</v>
      </c>
      <c r="C968" s="124" t="str">
        <f>IFERROR(__xludf.DUMMYFUNCTION("""COMPUTED_VALUE"""),"Indore")</f>
        <v>Indore</v>
      </c>
      <c r="D968" s="124" t="str">
        <f>IFERROR(__xludf.DUMMYFUNCTION("""COMPUTED_VALUE"""),"Primary_Walkin")</f>
        <v>Primary_Walkin</v>
      </c>
      <c r="E968" s="124">
        <f>IFERROR(__xludf.DUMMYFUNCTION("""COMPUTED_VALUE"""),2.0)</f>
        <v>2</v>
      </c>
      <c r="F968" s="124" t="str">
        <f>IFERROR(__xludf.DUMMYFUNCTION("""COMPUTED_VALUE"""),"Cold")</f>
        <v>Cold</v>
      </c>
      <c r="G968" s="124" t="str">
        <f>IFERROR(__xludf.DUMMYFUNCTION("""COMPUTED_VALUE"""),"State PCS")</f>
        <v>State PCS</v>
      </c>
      <c r="K968" s="124"/>
      <c r="L968" s="124"/>
      <c r="M968" s="124"/>
      <c r="N968" s="124"/>
      <c r="O968" s="124"/>
      <c r="T968" s="126">
        <f>IFERROR(__xludf.DUMMYFUNCTION("""COMPUTED_VALUE"""),46061.0)</f>
        <v>46061</v>
      </c>
      <c r="U968" s="124" t="str">
        <f>IFERROR(__xludf.DUMMYFUNCTION("""COMPUTED_VALUE"""),"Publisher Campaign")</f>
        <v>Publisher Campaign</v>
      </c>
      <c r="V968" s="124" t="str">
        <f>IFERROR(__xludf.DUMMYFUNCTION("""COMPUTED_VALUE"""),"Feeder Cities")</f>
        <v>Feeder Cities</v>
      </c>
      <c r="W968" s="124"/>
      <c r="X968" s="124"/>
      <c r="Y968" s="124" t="str">
        <f>IFERROR(__xludf.DUMMYFUNCTION("""COMPUTED_VALUE"""),"Indore")</f>
        <v>Indore</v>
      </c>
      <c r="Z968" s="124">
        <f>IFERROR(__xludf.DUMMYFUNCTION("""COMPUTED_VALUE"""),2.0)</f>
        <v>2</v>
      </c>
      <c r="AA968" s="124" t="str">
        <f>IFERROR(__xludf.DUMMYFUNCTION("""COMPUTED_VALUE"""),"Not Interested")</f>
        <v>Not Interested</v>
      </c>
      <c r="AB968" s="124" t="str">
        <f>IFERROR(__xludf.DUMMYFUNCTION("""COMPUTED_VALUE"""),"State PCS")</f>
        <v>State PCS</v>
      </c>
    </row>
    <row r="969">
      <c r="A969" s="129">
        <f>IFERROR(__xludf.DUMMYFUNCTION("""COMPUTED_VALUE"""),46059.0)</f>
        <v>46059</v>
      </c>
      <c r="B969" s="124" t="str">
        <f>IFERROR(__xludf.DUMMYFUNCTION("""COMPUTED_VALUE"""),"Walkin")</f>
        <v>Walkin</v>
      </c>
      <c r="C969" s="124" t="str">
        <f>IFERROR(__xludf.DUMMYFUNCTION("""COMPUTED_VALUE"""),"Indore")</f>
        <v>Indore</v>
      </c>
      <c r="D969" s="124" t="str">
        <f>IFERROR(__xludf.DUMMYFUNCTION("""COMPUTED_VALUE"""),"Primary_Walkin")</f>
        <v>Primary_Walkin</v>
      </c>
      <c r="E969" s="124">
        <f>IFERROR(__xludf.DUMMYFUNCTION("""COMPUTED_VALUE"""),1.0)</f>
        <v>1</v>
      </c>
      <c r="F969" s="124" t="str">
        <f>IFERROR(__xludf.DUMMYFUNCTION("""COMPUTED_VALUE"""),"Cold")</f>
        <v>Cold</v>
      </c>
      <c r="G969" s="124" t="str">
        <f>IFERROR(__xludf.DUMMYFUNCTION("""COMPUTED_VALUE"""),"Test Series")</f>
        <v>Test Series</v>
      </c>
      <c r="K969" s="124"/>
      <c r="L969" s="124"/>
      <c r="M969" s="124"/>
      <c r="N969" s="124"/>
      <c r="O969" s="124"/>
      <c r="T969" s="126">
        <f>IFERROR(__xludf.DUMMYFUNCTION("""COMPUTED_VALUE"""),46088.0)</f>
        <v>46088</v>
      </c>
      <c r="U969" s="124" t="str">
        <f>IFERROR(__xludf.DUMMYFUNCTION("""COMPUTED_VALUE"""),"Publisher Campaign")</f>
        <v>Publisher Campaign</v>
      </c>
      <c r="V969" s="124" t="str">
        <f>IFERROR(__xludf.DUMMYFUNCTION("""COMPUTED_VALUE"""),"Webinar")</f>
        <v>Webinar</v>
      </c>
      <c r="W969" s="124"/>
      <c r="X969" s="124"/>
      <c r="Y969" s="124" t="str">
        <f>IFERROR(__xludf.DUMMYFUNCTION("""COMPUTED_VALUE"""),"Delhi")</f>
        <v>Delhi</v>
      </c>
      <c r="Z969" s="124">
        <f>IFERROR(__xludf.DUMMYFUNCTION("""COMPUTED_VALUE"""),3.0)</f>
        <v>3</v>
      </c>
      <c r="AA969" s="124" t="str">
        <f>IFERROR(__xludf.DUMMYFUNCTION("""COMPUTED_VALUE"""),"Cold")</f>
        <v>Cold</v>
      </c>
      <c r="AB969" s="124" t="str">
        <f>IFERROR(__xludf.DUMMYFUNCTION("""COMPUTED_VALUE"""),"Test Series")</f>
        <v>Test Series</v>
      </c>
    </row>
    <row r="970">
      <c r="A970" s="129">
        <f>IFERROR(__xludf.DUMMYFUNCTION("""COMPUTED_VALUE"""),46074.0)</f>
        <v>46074</v>
      </c>
      <c r="B970" s="124" t="str">
        <f>IFERROR(__xludf.DUMMYFUNCTION("""COMPUTED_VALUE"""),"Walkin")</f>
        <v>Walkin</v>
      </c>
      <c r="C970" s="124" t="str">
        <f>IFERROR(__xludf.DUMMYFUNCTION("""COMPUTED_VALUE"""),"Lucknow")</f>
        <v>Lucknow</v>
      </c>
      <c r="D970" s="124" t="str">
        <f>IFERROR(__xludf.DUMMYFUNCTION("""COMPUTED_VALUE"""),"Primary_Walkin")</f>
        <v>Primary_Walkin</v>
      </c>
      <c r="E970" s="124">
        <f>IFERROR(__xludf.DUMMYFUNCTION("""COMPUTED_VALUE"""),1.0)</f>
        <v>1</v>
      </c>
      <c r="F970" s="124" t="str">
        <f>IFERROR(__xludf.DUMMYFUNCTION("""COMPUTED_VALUE"""),"Cold")</f>
        <v>Cold</v>
      </c>
      <c r="G970" s="124" t="str">
        <f>IFERROR(__xludf.DUMMYFUNCTION("""COMPUTED_VALUE"""),"GS Foundation")</f>
        <v>GS Foundation</v>
      </c>
      <c r="K970" s="124"/>
      <c r="L970" s="124"/>
      <c r="M970" s="124"/>
      <c r="N970" s="124"/>
      <c r="O970" s="124"/>
      <c r="T970" s="126">
        <f>IFERROR(__xludf.DUMMYFUNCTION("""COMPUTED_VALUE"""),46093.0)</f>
        <v>46093</v>
      </c>
      <c r="U970" s="124" t="str">
        <f>IFERROR(__xludf.DUMMYFUNCTION("""COMPUTED_VALUE"""),"Publisher Campaign")</f>
        <v>Publisher Campaign</v>
      </c>
      <c r="V970" s="124" t="str">
        <f>IFERROR(__xludf.DUMMYFUNCTION("""COMPUTED_VALUE"""),"BTL Activities")</f>
        <v>BTL Activities</v>
      </c>
      <c r="W970" s="124"/>
      <c r="X970" s="124"/>
      <c r="Y970" s="124" t="str">
        <f>IFERROR(__xludf.DUMMYFUNCTION("""COMPUTED_VALUE"""),"Indore")</f>
        <v>Indore</v>
      </c>
      <c r="Z970" s="124">
        <f>IFERROR(__xludf.DUMMYFUNCTION("""COMPUTED_VALUE"""),7.0)</f>
        <v>7</v>
      </c>
      <c r="AA970" s="124" t="str">
        <f>IFERROR(__xludf.DUMMYFUNCTION("""COMPUTED_VALUE"""),"Not Interested")</f>
        <v>Not Interested</v>
      </c>
      <c r="AB970" s="124" t="str">
        <f>IFERROR(__xludf.DUMMYFUNCTION("""COMPUTED_VALUE"""),"GS Foundation")</f>
        <v>GS Foundation</v>
      </c>
    </row>
    <row r="971">
      <c r="A971" s="126">
        <f>IFERROR(__xludf.DUMMYFUNCTION("""COMPUTED_VALUE"""),46075.0)</f>
        <v>46075</v>
      </c>
      <c r="B971" s="124" t="str">
        <f>IFERROR(__xludf.DUMMYFUNCTION("""COMPUTED_VALUE"""),"Walkin")</f>
        <v>Walkin</v>
      </c>
      <c r="C971" s="124" t="str">
        <f>IFERROR(__xludf.DUMMYFUNCTION("""COMPUTED_VALUE"""),"Indore")</f>
        <v>Indore</v>
      </c>
      <c r="D971" s="124" t="str">
        <f>IFERROR(__xludf.DUMMYFUNCTION("""COMPUTED_VALUE"""),"Primary_Walkin")</f>
        <v>Primary_Walkin</v>
      </c>
      <c r="E971" s="124">
        <f>IFERROR(__xludf.DUMMYFUNCTION("""COMPUTED_VALUE"""),1.0)</f>
        <v>1</v>
      </c>
      <c r="F971" s="124" t="str">
        <f>IFERROR(__xludf.DUMMYFUNCTION("""COMPUTED_VALUE"""),"Not Interested")</f>
        <v>Not Interested</v>
      </c>
      <c r="G971" s="124" t="str">
        <f>IFERROR(__xludf.DUMMYFUNCTION("""COMPUTED_VALUE"""),"State PCS")</f>
        <v>State PCS</v>
      </c>
      <c r="K971" s="124"/>
      <c r="L971" s="124"/>
      <c r="M971" s="124"/>
      <c r="N971" s="124"/>
      <c r="O971" s="124"/>
      <c r="T971" s="126">
        <f>IFERROR(__xludf.DUMMYFUNCTION("""COMPUTED_VALUE"""),46074.0)</f>
        <v>46074</v>
      </c>
      <c r="U971" s="124" t="str">
        <f>IFERROR(__xludf.DUMMYFUNCTION("""COMPUTED_VALUE"""),"Libraries")</f>
        <v>Libraries</v>
      </c>
      <c r="V971" s="124" t="str">
        <f>IFERROR(__xludf.DUMMYFUNCTION("""COMPUTED_VALUE"""),"Libraries")</f>
        <v>Libraries</v>
      </c>
      <c r="W971" s="124"/>
      <c r="X971" s="124"/>
      <c r="Y971" s="124" t="str">
        <f>IFERROR(__xludf.DUMMYFUNCTION("""COMPUTED_VALUE"""),"Prayagraj")</f>
        <v>Prayagraj</v>
      </c>
      <c r="Z971" s="124">
        <f>IFERROR(__xludf.DUMMYFUNCTION("""COMPUTED_VALUE"""),1.0)</f>
        <v>1</v>
      </c>
      <c r="AA971" s="124" t="str">
        <f>IFERROR(__xludf.DUMMYFUNCTION("""COMPUTED_VALUE"""),"Cold")</f>
        <v>Cold</v>
      </c>
      <c r="AB971" s="124" t="str">
        <f>IFERROR(__xludf.DUMMYFUNCTION("""COMPUTED_VALUE"""),"GS Foundation")</f>
        <v>GS Foundation</v>
      </c>
    </row>
    <row r="972">
      <c r="A972" s="126">
        <f>IFERROR(__xludf.DUMMYFUNCTION("""COMPUTED_VALUE"""),46049.0)</f>
        <v>46049</v>
      </c>
      <c r="B972" s="124" t="str">
        <f>IFERROR(__xludf.DUMMYFUNCTION("""COMPUTED_VALUE"""),"external leads")</f>
        <v>external leads</v>
      </c>
      <c r="C972" s="124" t="str">
        <f>IFERROR(__xludf.DUMMYFUNCTION("""COMPUTED_VALUE"""),"Indore")</f>
        <v>Indore</v>
      </c>
      <c r="D972" s="124" t="str">
        <f>IFERROR(__xludf.DUMMYFUNCTION("""COMPUTED_VALUE"""),"Secondary_Walkin")</f>
        <v>Secondary_Walkin</v>
      </c>
      <c r="E972" s="124">
        <f>IFERROR(__xludf.DUMMYFUNCTION("""COMPUTED_VALUE"""),1.0)</f>
        <v>1</v>
      </c>
      <c r="F972" s="124" t="str">
        <f>IFERROR(__xludf.DUMMYFUNCTION("""COMPUTED_VALUE"""),"Not Interested")</f>
        <v>Not Interested</v>
      </c>
      <c r="G972" s="124" t="str">
        <f>IFERROR(__xludf.DUMMYFUNCTION("""COMPUTED_VALUE"""),"State PCS")</f>
        <v>State PCS</v>
      </c>
      <c r="K972" s="124"/>
      <c r="L972" s="124"/>
      <c r="M972" s="124"/>
      <c r="N972" s="124"/>
      <c r="O972" s="124"/>
      <c r="T972" s="126">
        <f>IFERROR(__xludf.DUMMYFUNCTION("""COMPUTED_VALUE"""),46061.0)</f>
        <v>46061</v>
      </c>
      <c r="U972" s="124" t="str">
        <f>IFERROR(__xludf.DUMMYFUNCTION("""COMPUTED_VALUE"""),"Publisher Campaign")</f>
        <v>Publisher Campaign</v>
      </c>
      <c r="V972" s="124" t="str">
        <f>IFERROR(__xludf.DUMMYFUNCTION("""COMPUTED_VALUE"""),"Feeder Cities")</f>
        <v>Feeder Cities</v>
      </c>
      <c r="W972" s="124"/>
      <c r="X972" s="124"/>
      <c r="Y972" s="124" t="str">
        <f>IFERROR(__xludf.DUMMYFUNCTION("""COMPUTED_VALUE"""),"Indore")</f>
        <v>Indore</v>
      </c>
      <c r="Z972" s="124">
        <f>IFERROR(__xludf.DUMMYFUNCTION("""COMPUTED_VALUE"""),2.0)</f>
        <v>2</v>
      </c>
      <c r="AA972" s="124" t="str">
        <f>IFERROR(__xludf.DUMMYFUNCTION("""COMPUTED_VALUE"""),"Not Interested")</f>
        <v>Not Interested</v>
      </c>
      <c r="AB972" s="124" t="str">
        <f>IFERROR(__xludf.DUMMYFUNCTION("""COMPUTED_VALUE"""),"Other")</f>
        <v>Other</v>
      </c>
    </row>
    <row r="973">
      <c r="A973" s="126">
        <f>IFERROR(__xludf.DUMMYFUNCTION("""COMPUTED_VALUE"""),46063.0)</f>
        <v>46063</v>
      </c>
      <c r="B973" s="124" t="str">
        <f>IFERROR(__xludf.DUMMYFUNCTION("""COMPUTED_VALUE"""),"Walkin")</f>
        <v>Walkin</v>
      </c>
      <c r="C973" s="124" t="str">
        <f>IFERROR(__xludf.DUMMYFUNCTION("""COMPUTED_VALUE"""),"Indore")</f>
        <v>Indore</v>
      </c>
      <c r="D973" s="124" t="str">
        <f>IFERROR(__xludf.DUMMYFUNCTION("""COMPUTED_VALUE"""),"Primary_Walkin")</f>
        <v>Primary_Walkin</v>
      </c>
      <c r="E973" s="124">
        <f>IFERROR(__xludf.DUMMYFUNCTION("""COMPUTED_VALUE"""),1.0)</f>
        <v>1</v>
      </c>
      <c r="F973" s="124" t="str">
        <f>IFERROR(__xludf.DUMMYFUNCTION("""COMPUTED_VALUE"""),"Cold")</f>
        <v>Cold</v>
      </c>
      <c r="G973" s="124" t="str">
        <f>IFERROR(__xludf.DUMMYFUNCTION("""COMPUTED_VALUE"""),"GS Foundation")</f>
        <v>GS Foundation</v>
      </c>
      <c r="K973" s="124"/>
      <c r="L973" s="124"/>
      <c r="M973" s="124"/>
      <c r="N973" s="124"/>
      <c r="O973" s="124"/>
      <c r="T973" s="126">
        <f>IFERROR(__xludf.DUMMYFUNCTION("""COMPUTED_VALUE"""),46102.0)</f>
        <v>46102</v>
      </c>
      <c r="U973" s="124" t="str">
        <f>IFERROR(__xludf.DUMMYFUNCTION("""COMPUTED_VALUE"""),"Publisher Campaign")</f>
        <v>Publisher Campaign</v>
      </c>
      <c r="V973" s="124" t="str">
        <f>IFERROR(__xludf.DUMMYFUNCTION("""COMPUTED_VALUE"""),"Webinar")</f>
        <v>Webinar</v>
      </c>
      <c r="W973" s="124"/>
      <c r="X973" s="124"/>
      <c r="Y973" s="124" t="str">
        <f>IFERROR(__xludf.DUMMYFUNCTION("""COMPUTED_VALUE"""),"Delhi")</f>
        <v>Delhi</v>
      </c>
      <c r="Z973" s="124">
        <f>IFERROR(__xludf.DUMMYFUNCTION("""COMPUTED_VALUE"""),17.0)</f>
        <v>17</v>
      </c>
      <c r="AA973" s="124" t="str">
        <f>IFERROR(__xludf.DUMMYFUNCTION("""COMPUTED_VALUE"""),"Not Interested")</f>
        <v>Not Interested</v>
      </c>
      <c r="AB973" s="124" t="str">
        <f>IFERROR(__xludf.DUMMYFUNCTION("""COMPUTED_VALUE"""),"GS Foundation")</f>
        <v>GS Foundation</v>
      </c>
    </row>
    <row r="974">
      <c r="A974" s="129">
        <f>IFERROR(__xludf.DUMMYFUNCTION("""COMPUTED_VALUE"""),46076.0)</f>
        <v>46076</v>
      </c>
      <c r="B974" s="124" t="str">
        <f>IFERROR(__xludf.DUMMYFUNCTION("""COMPUTED_VALUE"""),"Walkin")</f>
        <v>Walkin</v>
      </c>
      <c r="C974" s="124" t="str">
        <f>IFERROR(__xludf.DUMMYFUNCTION("""COMPUTED_VALUE"""),"Lucknow")</f>
        <v>Lucknow</v>
      </c>
      <c r="D974" s="124" t="str">
        <f>IFERROR(__xludf.DUMMYFUNCTION("""COMPUTED_VALUE"""),"Primary_Walkin")</f>
        <v>Primary_Walkin</v>
      </c>
      <c r="E974" s="124">
        <f>IFERROR(__xludf.DUMMYFUNCTION("""COMPUTED_VALUE"""),1.0)</f>
        <v>1</v>
      </c>
      <c r="F974" s="124" t="str">
        <f>IFERROR(__xludf.DUMMYFUNCTION("""COMPUTED_VALUE"""),"Cold")</f>
        <v>Cold</v>
      </c>
      <c r="G974" s="124" t="str">
        <f>IFERROR(__xludf.DUMMYFUNCTION("""COMPUTED_VALUE"""),"State PCS")</f>
        <v>State PCS</v>
      </c>
      <c r="K974" s="124"/>
      <c r="L974" s="124"/>
      <c r="M974" s="124"/>
      <c r="N974" s="124"/>
      <c r="O974" s="124"/>
      <c r="T974" s="126">
        <f>IFERROR(__xludf.DUMMYFUNCTION("""COMPUTED_VALUE"""),46068.0)</f>
        <v>46068</v>
      </c>
      <c r="U974" s="124" t="str">
        <f>IFERROR(__xludf.DUMMYFUNCTION("""COMPUTED_VALUE"""),"Publisher Campaign")</f>
        <v>Publisher Campaign</v>
      </c>
      <c r="V974" s="124" t="str">
        <f>IFERROR(__xludf.DUMMYFUNCTION("""COMPUTED_VALUE"""),"Webinar")</f>
        <v>Webinar</v>
      </c>
      <c r="W974" s="124"/>
      <c r="X974" s="124"/>
      <c r="Y974" s="124" t="str">
        <f>IFERROR(__xludf.DUMMYFUNCTION("""COMPUTED_VALUE"""),"Delhi")</f>
        <v>Delhi</v>
      </c>
      <c r="Z974" s="124">
        <f>IFERROR(__xludf.DUMMYFUNCTION("""COMPUTED_VALUE"""),3.0)</f>
        <v>3</v>
      </c>
      <c r="AA974" s="124" t="str">
        <f>IFERROR(__xludf.DUMMYFUNCTION("""COMPUTED_VALUE"""),"Not Interested")</f>
        <v>Not Interested</v>
      </c>
      <c r="AB974" s="124" t="str">
        <f>IFERROR(__xludf.DUMMYFUNCTION("""COMPUTED_VALUE"""),"Test Series")</f>
        <v>Test Series</v>
      </c>
    </row>
    <row r="975">
      <c r="A975" s="126">
        <f>IFERROR(__xludf.DUMMYFUNCTION("""COMPUTED_VALUE"""),46098.0)</f>
        <v>46098</v>
      </c>
      <c r="B975" s="124" t="str">
        <f>IFERROR(__xludf.DUMMYFUNCTION("""COMPUTED_VALUE"""),"Walkin")</f>
        <v>Walkin</v>
      </c>
      <c r="C975" s="124" t="str">
        <f>IFERROR(__xludf.DUMMYFUNCTION("""COMPUTED_VALUE"""),"Lucknow")</f>
        <v>Lucknow</v>
      </c>
      <c r="D975" s="124" t="str">
        <f>IFERROR(__xludf.DUMMYFUNCTION("""COMPUTED_VALUE"""),"Primary_Walkin")</f>
        <v>Primary_Walkin</v>
      </c>
      <c r="E975" s="124">
        <f>IFERROR(__xludf.DUMMYFUNCTION("""COMPUTED_VALUE"""),1.0)</f>
        <v>1</v>
      </c>
      <c r="F975" s="124" t="str">
        <f>IFERROR(__xludf.DUMMYFUNCTION("""COMPUTED_VALUE"""),"Cold")</f>
        <v>Cold</v>
      </c>
      <c r="G975" s="124" t="str">
        <f>IFERROR(__xludf.DUMMYFUNCTION("""COMPUTED_VALUE"""),"State PCS")</f>
        <v>State PCS</v>
      </c>
      <c r="K975" s="124"/>
      <c r="L975" s="124"/>
      <c r="M975" s="124"/>
      <c r="N975" s="124"/>
      <c r="O975" s="124"/>
      <c r="T975" s="126">
        <f>IFERROR(__xludf.DUMMYFUNCTION("""COMPUTED_VALUE"""),46087.0)</f>
        <v>46087</v>
      </c>
      <c r="U975" s="124" t="str">
        <f>IFERROR(__xludf.DUMMYFUNCTION("""COMPUTED_VALUE"""),"Publisher Campaign")</f>
        <v>Publisher Campaign</v>
      </c>
      <c r="V975" s="124" t="str">
        <f>IFERROR(__xludf.DUMMYFUNCTION("""COMPUTED_VALUE"""),"Webinar")</f>
        <v>Webinar</v>
      </c>
      <c r="W975" s="124"/>
      <c r="X975" s="124"/>
      <c r="Y975" s="124" t="str">
        <f>IFERROR(__xludf.DUMMYFUNCTION("""COMPUTED_VALUE"""),"Delhi")</f>
        <v>Delhi</v>
      </c>
      <c r="Z975" s="124">
        <f>IFERROR(__xludf.DUMMYFUNCTION("""COMPUTED_VALUE"""),10.0)</f>
        <v>10</v>
      </c>
      <c r="AA975" s="124" t="str">
        <f>IFERROR(__xludf.DUMMYFUNCTION("""COMPUTED_VALUE"""),"Cold")</f>
        <v>Cold</v>
      </c>
      <c r="AB975" s="124" t="str">
        <f>IFERROR(__xludf.DUMMYFUNCTION("""COMPUTED_VALUE"""),"Mentorship")</f>
        <v>Mentorship</v>
      </c>
    </row>
    <row r="976">
      <c r="A976" s="126">
        <f>IFERROR(__xludf.DUMMYFUNCTION("""COMPUTED_VALUE"""),46079.0)</f>
        <v>46079</v>
      </c>
      <c r="B976" s="124" t="str">
        <f>IFERROR(__xludf.DUMMYFUNCTION("""COMPUTED_VALUE"""),"Inbound Call")</f>
        <v>Inbound Call</v>
      </c>
      <c r="C976" s="124" t="str">
        <f>IFERROR(__xludf.DUMMYFUNCTION("""COMPUTED_VALUE"""),"Indore")</f>
        <v>Indore</v>
      </c>
      <c r="D976" s="124" t="str">
        <f>IFERROR(__xludf.DUMMYFUNCTION("""COMPUTED_VALUE"""),"Secondary_Walkin")</f>
        <v>Secondary_Walkin</v>
      </c>
      <c r="E976" s="124">
        <f>IFERROR(__xludf.DUMMYFUNCTION("""COMPUTED_VALUE"""),1.0)</f>
        <v>1</v>
      </c>
      <c r="F976" s="124" t="str">
        <f>IFERROR(__xludf.DUMMYFUNCTION("""COMPUTED_VALUE"""),"Future Prospects")</f>
        <v>Future Prospects</v>
      </c>
      <c r="G976" s="124" t="str">
        <f>IFERROR(__xludf.DUMMYFUNCTION("""COMPUTED_VALUE"""),"Mentorship")</f>
        <v>Mentorship</v>
      </c>
      <c r="K976" s="124"/>
      <c r="L976" s="124"/>
      <c r="M976" s="124"/>
      <c r="N976" s="124"/>
      <c r="O976" s="124"/>
      <c r="T976" s="126">
        <f>IFERROR(__xludf.DUMMYFUNCTION("""COMPUTED_VALUE"""),46067.0)</f>
        <v>46067</v>
      </c>
      <c r="U976" s="124" t="str">
        <f>IFERROR(__xludf.DUMMYFUNCTION("""COMPUTED_VALUE"""),"Publisher Campaign")</f>
        <v>Publisher Campaign</v>
      </c>
      <c r="V976" s="124" t="str">
        <f>IFERROR(__xludf.DUMMYFUNCTION("""COMPUTED_VALUE"""),"Webinar")</f>
        <v>Webinar</v>
      </c>
      <c r="W976" s="124"/>
      <c r="X976" s="124"/>
      <c r="Y976" s="124" t="str">
        <f>IFERROR(__xludf.DUMMYFUNCTION("""COMPUTED_VALUE"""),"Delhi")</f>
        <v>Delhi</v>
      </c>
      <c r="Z976" s="124">
        <f>IFERROR(__xludf.DUMMYFUNCTION("""COMPUTED_VALUE"""),3.0)</f>
        <v>3</v>
      </c>
      <c r="AA976" s="124" t="str">
        <f>IFERROR(__xludf.DUMMYFUNCTION("""COMPUTED_VALUE"""),"Cold")</f>
        <v>Cold</v>
      </c>
      <c r="AB976" s="124" t="str">
        <f>IFERROR(__xludf.DUMMYFUNCTION("""COMPUTED_VALUE"""),"CSAT")</f>
        <v>CSAT</v>
      </c>
    </row>
    <row r="977">
      <c r="A977" s="126">
        <f>IFERROR(__xludf.DUMMYFUNCTION("""COMPUTED_VALUE"""),46076.0)</f>
        <v>46076</v>
      </c>
      <c r="B977" s="124" t="str">
        <f>IFERROR(__xludf.DUMMYFUNCTION("""COMPUTED_VALUE"""),"Walkin")</f>
        <v>Walkin</v>
      </c>
      <c r="C977" s="124" t="str">
        <f>IFERROR(__xludf.DUMMYFUNCTION("""COMPUTED_VALUE"""),"Lucknow")</f>
        <v>Lucknow</v>
      </c>
      <c r="D977" s="124" t="str">
        <f>IFERROR(__xludf.DUMMYFUNCTION("""COMPUTED_VALUE"""),"Primary_Walkin")</f>
        <v>Primary_Walkin</v>
      </c>
      <c r="E977" s="124">
        <f>IFERROR(__xludf.DUMMYFUNCTION("""COMPUTED_VALUE"""),2.0)</f>
        <v>2</v>
      </c>
      <c r="F977" s="124" t="str">
        <f>IFERROR(__xludf.DUMMYFUNCTION("""COMPUTED_VALUE"""),"Future Prospects")</f>
        <v>Future Prospects</v>
      </c>
      <c r="G977" s="124" t="str">
        <f>IFERROR(__xludf.DUMMYFUNCTION("""COMPUTED_VALUE"""),"GS Foundation")</f>
        <v>GS Foundation</v>
      </c>
      <c r="K977" s="124"/>
      <c r="L977" s="124"/>
      <c r="M977" s="124"/>
      <c r="N977" s="124"/>
      <c r="O977" s="124"/>
      <c r="T977" s="126">
        <f>IFERROR(__xludf.DUMMYFUNCTION("""COMPUTED_VALUE"""),46076.0)</f>
        <v>46076</v>
      </c>
      <c r="U977" s="124" t="str">
        <f>IFERROR(__xludf.DUMMYFUNCTION("""COMPUTED_VALUE"""),"Publisher Campaign")</f>
        <v>Publisher Campaign</v>
      </c>
      <c r="V977" s="124" t="str">
        <f>IFERROR(__xludf.DUMMYFUNCTION("""COMPUTED_VALUE"""),"Webinar")</f>
        <v>Webinar</v>
      </c>
      <c r="W977" s="124"/>
      <c r="X977" s="124"/>
      <c r="Y977" s="124" t="str">
        <f>IFERROR(__xludf.DUMMYFUNCTION("""COMPUTED_VALUE"""),"Patna")</f>
        <v>Patna</v>
      </c>
      <c r="Z977" s="124">
        <f>IFERROR(__xludf.DUMMYFUNCTION("""COMPUTED_VALUE"""),1.0)</f>
        <v>1</v>
      </c>
      <c r="AA977" s="124" t="str">
        <f>IFERROR(__xludf.DUMMYFUNCTION("""COMPUTED_VALUE"""),"Cold")</f>
        <v>Cold</v>
      </c>
      <c r="AB977" s="124" t="str">
        <f>IFERROR(__xludf.DUMMYFUNCTION("""COMPUTED_VALUE"""),"Mentorship")</f>
        <v>Mentorship</v>
      </c>
    </row>
    <row r="978">
      <c r="A978" s="126">
        <f>IFERROR(__xludf.DUMMYFUNCTION("""COMPUTED_VALUE"""),46073.0)</f>
        <v>46073</v>
      </c>
      <c r="B978" s="124" t="str">
        <f>IFERROR(__xludf.DUMMYFUNCTION("""COMPUTED_VALUE"""),"Walkin")</f>
        <v>Walkin</v>
      </c>
      <c r="C978" s="124" t="str">
        <f>IFERROR(__xludf.DUMMYFUNCTION("""COMPUTED_VALUE"""),"Indore")</f>
        <v>Indore</v>
      </c>
      <c r="D978" s="124" t="str">
        <f>IFERROR(__xludf.DUMMYFUNCTION("""COMPUTED_VALUE"""),"Primary_Walkin")</f>
        <v>Primary_Walkin</v>
      </c>
      <c r="E978" s="124">
        <f>IFERROR(__xludf.DUMMYFUNCTION("""COMPUTED_VALUE"""),1.0)</f>
        <v>1</v>
      </c>
      <c r="F978" s="124" t="str">
        <f>IFERROR(__xludf.DUMMYFUNCTION("""COMPUTED_VALUE"""),"Not Interested")</f>
        <v>Not Interested</v>
      </c>
      <c r="G978" s="124" t="str">
        <f>IFERROR(__xludf.DUMMYFUNCTION("""COMPUTED_VALUE"""),"GS Foundation")</f>
        <v>GS Foundation</v>
      </c>
      <c r="K978" s="124"/>
      <c r="L978" s="124"/>
      <c r="M978" s="124"/>
      <c r="N978" s="124"/>
      <c r="O978" s="124"/>
      <c r="T978" s="126">
        <f>IFERROR(__xludf.DUMMYFUNCTION("""COMPUTED_VALUE"""),46044.0)</f>
        <v>46044</v>
      </c>
      <c r="U978" s="124" t="str">
        <f>IFERROR(__xludf.DUMMYFUNCTION("""COMPUTED_VALUE"""),"External Leads")</f>
        <v>External Leads</v>
      </c>
      <c r="V978" s="124" t="str">
        <f>IFERROR(__xludf.DUMMYFUNCTION("""COMPUTED_VALUE"""),"external leads")</f>
        <v>external leads</v>
      </c>
      <c r="W978" s="124"/>
      <c r="X978" s="124"/>
      <c r="Y978" s="124" t="str">
        <f>IFERROR(__xludf.DUMMYFUNCTION("""COMPUTED_VALUE"""),"Delhi")</f>
        <v>Delhi</v>
      </c>
      <c r="Z978" s="124">
        <f>IFERROR(__xludf.DUMMYFUNCTION("""COMPUTED_VALUE"""),2.0)</f>
        <v>2</v>
      </c>
      <c r="AA978" s="124" t="str">
        <f>IFERROR(__xludf.DUMMYFUNCTION("""COMPUTED_VALUE"""),"Engaged")</f>
        <v>Engaged</v>
      </c>
      <c r="AB978" s="124"/>
    </row>
    <row r="979">
      <c r="A979" s="126">
        <f>IFERROR(__xludf.DUMMYFUNCTION("""COMPUTED_VALUE"""),46105.0)</f>
        <v>46105</v>
      </c>
      <c r="B979" s="124" t="str">
        <f>IFERROR(__xludf.DUMMYFUNCTION("""COMPUTED_VALUE"""),"Walkin")</f>
        <v>Walkin</v>
      </c>
      <c r="C979" s="124" t="str">
        <f>IFERROR(__xludf.DUMMYFUNCTION("""COMPUTED_VALUE"""),"Lucknow")</f>
        <v>Lucknow</v>
      </c>
      <c r="D979" s="124" t="str">
        <f>IFERROR(__xludf.DUMMYFUNCTION("""COMPUTED_VALUE"""),"Primary_Walkin")</f>
        <v>Primary_Walkin</v>
      </c>
      <c r="E979" s="124">
        <f>IFERROR(__xludf.DUMMYFUNCTION("""COMPUTED_VALUE"""),1.0)</f>
        <v>1</v>
      </c>
      <c r="F979" s="124" t="str">
        <f>IFERROR(__xludf.DUMMYFUNCTION("""COMPUTED_VALUE"""),"Not Interested")</f>
        <v>Not Interested</v>
      </c>
      <c r="G979" s="124" t="str">
        <f>IFERROR(__xludf.DUMMYFUNCTION("""COMPUTED_VALUE"""),"GS Foundation")</f>
        <v>GS Foundation</v>
      </c>
      <c r="K979" s="124"/>
      <c r="L979" s="124"/>
      <c r="M979" s="124"/>
      <c r="N979" s="124"/>
      <c r="O979" s="124"/>
      <c r="T979" s="126">
        <f>IFERROR(__xludf.DUMMYFUNCTION("""COMPUTED_VALUE"""),46080.0)</f>
        <v>46080</v>
      </c>
      <c r="U979" s="124" t="str">
        <f>IFERROR(__xludf.DUMMYFUNCTION("""COMPUTED_VALUE"""),"Publisher Campaign")</f>
        <v>Publisher Campaign</v>
      </c>
      <c r="V979" s="124" t="str">
        <f>IFERROR(__xludf.DUMMYFUNCTION("""COMPUTED_VALUE"""),"Webinar")</f>
        <v>Webinar</v>
      </c>
      <c r="W979" s="124"/>
      <c r="X979" s="124"/>
      <c r="Y979" s="124" t="str">
        <f>IFERROR(__xludf.DUMMYFUNCTION("""COMPUTED_VALUE"""),"Delhi")</f>
        <v>Delhi</v>
      </c>
      <c r="Z979" s="124">
        <f>IFERROR(__xludf.DUMMYFUNCTION("""COMPUTED_VALUE"""),4.0)</f>
        <v>4</v>
      </c>
      <c r="AA979" s="124" t="str">
        <f>IFERROR(__xludf.DUMMYFUNCTION("""COMPUTED_VALUE"""),"Warm")</f>
        <v>Warm</v>
      </c>
      <c r="AB979" s="124" t="str">
        <f>IFERROR(__xludf.DUMMYFUNCTION("""COMPUTED_VALUE"""),"Prelims Crash Course - SIP")</f>
        <v>Prelims Crash Course - SIP</v>
      </c>
    </row>
    <row r="980">
      <c r="A980" s="129">
        <f>IFERROR(__xludf.DUMMYFUNCTION("""COMPUTED_VALUE"""),46111.0)</f>
        <v>46111</v>
      </c>
      <c r="B980" s="124" t="str">
        <f>IFERROR(__xludf.DUMMYFUNCTION("""COMPUTED_VALUE"""),"Walkin")</f>
        <v>Walkin</v>
      </c>
      <c r="C980" s="124" t="str">
        <f>IFERROR(__xludf.DUMMYFUNCTION("""COMPUTED_VALUE"""),"Indore")</f>
        <v>Indore</v>
      </c>
      <c r="D980" s="124" t="str">
        <f>IFERROR(__xludf.DUMMYFUNCTION("""COMPUTED_VALUE"""),"Primary_Walkin")</f>
        <v>Primary_Walkin</v>
      </c>
      <c r="E980" s="124">
        <f>IFERROR(__xludf.DUMMYFUNCTION("""COMPUTED_VALUE"""),1.0)</f>
        <v>1</v>
      </c>
      <c r="F980" s="124" t="str">
        <f>IFERROR(__xludf.DUMMYFUNCTION("""COMPUTED_VALUE"""),"Interested")</f>
        <v>Interested</v>
      </c>
      <c r="G980" s="124" t="str">
        <f>IFERROR(__xludf.DUMMYFUNCTION("""COMPUTED_VALUE"""),"GS Foundation")</f>
        <v>GS Foundation</v>
      </c>
      <c r="K980" s="124"/>
      <c r="L980" s="124"/>
      <c r="M980" s="124"/>
      <c r="N980" s="124"/>
      <c r="O980" s="124"/>
      <c r="T980" s="126">
        <f>IFERROR(__xludf.DUMMYFUNCTION("""COMPUTED_VALUE"""),46080.0)</f>
        <v>46080</v>
      </c>
      <c r="U980" s="124" t="str">
        <f>IFERROR(__xludf.DUMMYFUNCTION("""COMPUTED_VALUE"""),"Publisher Campaign")</f>
        <v>Publisher Campaign</v>
      </c>
      <c r="V980" s="124" t="str">
        <f>IFERROR(__xludf.DUMMYFUNCTION("""COMPUTED_VALUE"""),"Webinar")</f>
        <v>Webinar</v>
      </c>
      <c r="W980" s="124"/>
      <c r="X980" s="124"/>
      <c r="Y980" s="124" t="str">
        <f>IFERROR(__xludf.DUMMYFUNCTION("""COMPUTED_VALUE"""),"Delhi")</f>
        <v>Delhi</v>
      </c>
      <c r="Z980" s="124">
        <f>IFERROR(__xludf.DUMMYFUNCTION("""COMPUTED_VALUE"""),3.0)</f>
        <v>3</v>
      </c>
      <c r="AA980" s="124" t="str">
        <f>IFERROR(__xludf.DUMMYFUNCTION("""COMPUTED_VALUE"""),"Warm")</f>
        <v>Warm</v>
      </c>
      <c r="AB980" s="124" t="str">
        <f>IFERROR(__xludf.DUMMYFUNCTION("""COMPUTED_VALUE"""),"Mentorship")</f>
        <v>Mentorship</v>
      </c>
    </row>
    <row r="981">
      <c r="A981" s="126">
        <f>IFERROR(__xludf.DUMMYFUNCTION("""COMPUTED_VALUE"""),46060.0)</f>
        <v>46060</v>
      </c>
      <c r="B981" s="124" t="str">
        <f>IFERROR(__xludf.DUMMYFUNCTION("""COMPUTED_VALUE"""),"Walkin")</f>
        <v>Walkin</v>
      </c>
      <c r="C981" s="124" t="str">
        <f>IFERROR(__xludf.DUMMYFUNCTION("""COMPUTED_VALUE"""),"Indore")</f>
        <v>Indore</v>
      </c>
      <c r="D981" s="124" t="str">
        <f>IFERROR(__xludf.DUMMYFUNCTION("""COMPUTED_VALUE"""),"Primary_Walkin")</f>
        <v>Primary_Walkin</v>
      </c>
      <c r="E981" s="124">
        <f>IFERROR(__xludf.DUMMYFUNCTION("""COMPUTED_VALUE"""),1.0)</f>
        <v>1</v>
      </c>
      <c r="F981" s="124" t="str">
        <f>IFERROR(__xludf.DUMMYFUNCTION("""COMPUTED_VALUE"""),"Not Interested")</f>
        <v>Not Interested</v>
      </c>
      <c r="G981" s="124" t="str">
        <f>IFERROR(__xludf.DUMMYFUNCTION("""COMPUTED_VALUE"""),"GS Foundation")</f>
        <v>GS Foundation</v>
      </c>
      <c r="K981" s="124"/>
      <c r="L981" s="124"/>
      <c r="M981" s="124"/>
      <c r="N981" s="124"/>
      <c r="O981" s="124"/>
      <c r="T981" s="126">
        <f>IFERROR(__xludf.DUMMYFUNCTION("""COMPUTED_VALUE"""),46069.0)</f>
        <v>46069</v>
      </c>
      <c r="U981" s="124" t="str">
        <f>IFERROR(__xludf.DUMMYFUNCTION("""COMPUTED_VALUE"""),"Publisher Campaign")</f>
        <v>Publisher Campaign</v>
      </c>
      <c r="V981" s="124" t="str">
        <f>IFERROR(__xludf.DUMMYFUNCTION("""COMPUTED_VALUE"""),"BTL Activities")</f>
        <v>BTL Activities</v>
      </c>
      <c r="W981" s="124"/>
      <c r="X981" s="124"/>
      <c r="Y981" s="124" t="str">
        <f>IFERROR(__xludf.DUMMYFUNCTION("""COMPUTED_VALUE"""),"Indore")</f>
        <v>Indore</v>
      </c>
      <c r="Z981" s="124">
        <f>IFERROR(__xludf.DUMMYFUNCTION("""COMPUTED_VALUE"""),5.0)</f>
        <v>5</v>
      </c>
      <c r="AA981" s="124" t="str">
        <f>IFERROR(__xludf.DUMMYFUNCTION("""COMPUTED_VALUE"""),"Cold")</f>
        <v>Cold</v>
      </c>
      <c r="AB981" s="124" t="str">
        <f>IFERROR(__xludf.DUMMYFUNCTION("""COMPUTED_VALUE"""),"GS Foundation")</f>
        <v>GS Foundation</v>
      </c>
    </row>
    <row r="982">
      <c r="A982" s="129">
        <f>IFERROR(__xludf.DUMMYFUNCTION("""COMPUTED_VALUE"""),46050.0)</f>
        <v>46050</v>
      </c>
      <c r="B982" s="124" t="str">
        <f>IFERROR(__xludf.DUMMYFUNCTION("""COMPUTED_VALUE"""),"Inbound Call")</f>
        <v>Inbound Call</v>
      </c>
      <c r="C982" s="124" t="str">
        <f>IFERROR(__xludf.DUMMYFUNCTION("""COMPUTED_VALUE"""),"Indore")</f>
        <v>Indore</v>
      </c>
      <c r="D982" s="124" t="str">
        <f>IFERROR(__xludf.DUMMYFUNCTION("""COMPUTED_VALUE"""),"Secondary_Walkin")</f>
        <v>Secondary_Walkin</v>
      </c>
      <c r="E982" s="124">
        <f>IFERROR(__xludf.DUMMYFUNCTION("""COMPUTED_VALUE"""),1.0)</f>
        <v>1</v>
      </c>
      <c r="F982" s="124" t="str">
        <f>IFERROR(__xludf.DUMMYFUNCTION("""COMPUTED_VALUE"""),"Cold")</f>
        <v>Cold</v>
      </c>
      <c r="G982" s="124" t="str">
        <f>IFERROR(__xludf.DUMMYFUNCTION("""COMPUTED_VALUE"""),"CSAT")</f>
        <v>CSAT</v>
      </c>
      <c r="K982" s="124"/>
      <c r="L982" s="124"/>
      <c r="M982" s="124"/>
      <c r="N982" s="124"/>
      <c r="O982" s="124"/>
      <c r="T982" s="126">
        <f>IFERROR(__xludf.DUMMYFUNCTION("""COMPUTED_VALUE"""),46073.0)</f>
        <v>46073</v>
      </c>
      <c r="U982" s="124" t="str">
        <f>IFERROR(__xludf.DUMMYFUNCTION("""COMPUTED_VALUE"""),"Publisher Campaign")</f>
        <v>Publisher Campaign</v>
      </c>
      <c r="V982" s="124" t="str">
        <f>IFERROR(__xludf.DUMMYFUNCTION("""COMPUTED_VALUE"""),"Feeder Cities")</f>
        <v>Feeder Cities</v>
      </c>
      <c r="W982" s="124"/>
      <c r="X982" s="124"/>
      <c r="Y982" s="124" t="str">
        <f>IFERROR(__xludf.DUMMYFUNCTION("""COMPUTED_VALUE"""),"Indore")</f>
        <v>Indore</v>
      </c>
      <c r="Z982" s="124">
        <f>IFERROR(__xludf.DUMMYFUNCTION("""COMPUTED_VALUE"""),4.0)</f>
        <v>4</v>
      </c>
      <c r="AA982" s="124" t="str">
        <f>IFERROR(__xludf.DUMMYFUNCTION("""COMPUTED_VALUE"""),"Cold")</f>
        <v>Cold</v>
      </c>
      <c r="AB982" s="124" t="str">
        <f>IFERROR(__xludf.DUMMYFUNCTION("""COMPUTED_VALUE"""),"State PCS")</f>
        <v>State PCS</v>
      </c>
    </row>
    <row r="983">
      <c r="A983" s="129">
        <f>IFERROR(__xludf.DUMMYFUNCTION("""COMPUTED_VALUE"""),46091.0)</f>
        <v>46091</v>
      </c>
      <c r="B983" s="124" t="str">
        <f>IFERROR(__xludf.DUMMYFUNCTION("""COMPUTED_VALUE"""),"Walkin")</f>
        <v>Walkin</v>
      </c>
      <c r="C983" s="124" t="str">
        <f>IFERROR(__xludf.DUMMYFUNCTION("""COMPUTED_VALUE"""),"Indore")</f>
        <v>Indore</v>
      </c>
      <c r="D983" s="124" t="str">
        <f>IFERROR(__xludf.DUMMYFUNCTION("""COMPUTED_VALUE"""),"Primary_Walkin")</f>
        <v>Primary_Walkin</v>
      </c>
      <c r="E983" s="124">
        <f>IFERROR(__xludf.DUMMYFUNCTION("""COMPUTED_VALUE"""),3.0)</f>
        <v>3</v>
      </c>
      <c r="F983" s="124" t="str">
        <f>IFERROR(__xludf.DUMMYFUNCTION("""COMPUTED_VALUE"""),"Cold")</f>
        <v>Cold</v>
      </c>
      <c r="G983" s="124" t="str">
        <f>IFERROR(__xludf.DUMMYFUNCTION("""COMPUTED_VALUE"""),"Test Series")</f>
        <v>Test Series</v>
      </c>
      <c r="K983" s="124"/>
      <c r="L983" s="124"/>
      <c r="M983" s="124"/>
      <c r="N983" s="124"/>
      <c r="O983" s="124"/>
      <c r="T983" s="129">
        <f>IFERROR(__xludf.DUMMYFUNCTION("""COMPUTED_VALUE"""),46061.0)</f>
        <v>46061</v>
      </c>
      <c r="U983" s="124" t="str">
        <f>IFERROR(__xludf.DUMMYFUNCTION("""COMPUTED_VALUE"""),"Publisher Campaign")</f>
        <v>Publisher Campaign</v>
      </c>
      <c r="V983" s="124" t="str">
        <f>IFERROR(__xludf.DUMMYFUNCTION("""COMPUTED_VALUE"""),"Webinar")</f>
        <v>Webinar</v>
      </c>
      <c r="W983" s="124"/>
      <c r="X983" s="124"/>
      <c r="Y983" s="124" t="str">
        <f>IFERROR(__xludf.DUMMYFUNCTION("""COMPUTED_VALUE"""),"Prayagraj")</f>
        <v>Prayagraj</v>
      </c>
      <c r="Z983" s="124">
        <f>IFERROR(__xludf.DUMMYFUNCTION("""COMPUTED_VALUE"""),1.0)</f>
        <v>1</v>
      </c>
      <c r="AA983" s="124" t="str">
        <f>IFERROR(__xludf.DUMMYFUNCTION("""COMPUTED_VALUE"""),"Cold")</f>
        <v>Cold</v>
      </c>
      <c r="AB983" s="124" t="str">
        <f>IFERROR(__xludf.DUMMYFUNCTION("""COMPUTED_VALUE"""),"GS Foundation")</f>
        <v>GS Foundation</v>
      </c>
    </row>
    <row r="984">
      <c r="A984" s="126">
        <f>IFERROR(__xludf.DUMMYFUNCTION("""COMPUTED_VALUE"""),46044.0)</f>
        <v>46044</v>
      </c>
      <c r="B984" s="124" t="str">
        <f>IFERROR(__xludf.DUMMYFUNCTION("""COMPUTED_VALUE"""),"Walkin")</f>
        <v>Walkin</v>
      </c>
      <c r="C984" s="124" t="str">
        <f>IFERROR(__xludf.DUMMYFUNCTION("""COMPUTED_VALUE"""),"Indore")</f>
        <v>Indore</v>
      </c>
      <c r="D984" s="124" t="str">
        <f>IFERROR(__xludf.DUMMYFUNCTION("""COMPUTED_VALUE"""),"Primary_Walkin")</f>
        <v>Primary_Walkin</v>
      </c>
      <c r="E984" s="124">
        <f>IFERROR(__xludf.DUMMYFUNCTION("""COMPUTED_VALUE"""),1.0)</f>
        <v>1</v>
      </c>
      <c r="F984" s="124" t="str">
        <f>IFERROR(__xludf.DUMMYFUNCTION("""COMPUTED_VALUE"""),"Cold")</f>
        <v>Cold</v>
      </c>
      <c r="G984" s="124" t="str">
        <f>IFERROR(__xludf.DUMMYFUNCTION("""COMPUTED_VALUE"""),"State PCS")</f>
        <v>State PCS</v>
      </c>
      <c r="K984" s="124"/>
      <c r="L984" s="124"/>
      <c r="M984" s="124"/>
      <c r="N984" s="124"/>
      <c r="O984" s="124"/>
      <c r="T984" s="126">
        <f>IFERROR(__xludf.DUMMYFUNCTION("""COMPUTED_VALUE"""),46051.0)</f>
        <v>46051</v>
      </c>
      <c r="U984" s="124" t="str">
        <f>IFERROR(__xludf.DUMMYFUNCTION("""COMPUTED_VALUE"""),"External Leads")</f>
        <v>External Leads</v>
      </c>
      <c r="V984" s="124" t="str">
        <f>IFERROR(__xludf.DUMMYFUNCTION("""COMPUTED_VALUE"""),"external leads")</f>
        <v>external leads</v>
      </c>
      <c r="W984" s="124"/>
      <c r="X984" s="124"/>
      <c r="Y984" s="124"/>
      <c r="Z984" s="124">
        <f>IFERROR(__xludf.DUMMYFUNCTION("""COMPUTED_VALUE"""),6.0)</f>
        <v>6</v>
      </c>
      <c r="AA984" s="124" t="str">
        <f>IFERROR(__xludf.DUMMYFUNCTION("""COMPUTED_VALUE"""),"Fake Lead")</f>
        <v>Fake Lead</v>
      </c>
      <c r="AB984" s="124"/>
    </row>
    <row r="985">
      <c r="A985" s="126">
        <f>IFERROR(__xludf.DUMMYFUNCTION("""COMPUTED_VALUE"""),46108.0)</f>
        <v>46108</v>
      </c>
      <c r="B985" s="124" t="str">
        <f>IFERROR(__xludf.DUMMYFUNCTION("""COMPUTED_VALUE"""),"Walkin")</f>
        <v>Walkin</v>
      </c>
      <c r="C985" s="124" t="str">
        <f>IFERROR(__xludf.DUMMYFUNCTION("""COMPUTED_VALUE"""),"Indore")</f>
        <v>Indore</v>
      </c>
      <c r="D985" s="124" t="str">
        <f>IFERROR(__xludf.DUMMYFUNCTION("""COMPUTED_VALUE"""),"Primary_Walkin")</f>
        <v>Primary_Walkin</v>
      </c>
      <c r="E985" s="124">
        <f>IFERROR(__xludf.DUMMYFUNCTION("""COMPUTED_VALUE"""),2.0)</f>
        <v>2</v>
      </c>
      <c r="F985" s="124" t="str">
        <f>IFERROR(__xludf.DUMMYFUNCTION("""COMPUTED_VALUE"""),"Not Interested")</f>
        <v>Not Interested</v>
      </c>
      <c r="G985" s="124" t="str">
        <f>IFERROR(__xludf.DUMMYFUNCTION("""COMPUTED_VALUE"""),"State PCS")</f>
        <v>State PCS</v>
      </c>
      <c r="K985" s="124"/>
      <c r="L985" s="124"/>
      <c r="M985" s="124"/>
      <c r="N985" s="124"/>
      <c r="O985" s="124"/>
      <c r="T985" s="126">
        <f>IFERROR(__xludf.DUMMYFUNCTION("""COMPUTED_VALUE"""),46070.0)</f>
        <v>46070</v>
      </c>
      <c r="U985" s="124" t="str">
        <f>IFERROR(__xludf.DUMMYFUNCTION("""COMPUTED_VALUE"""),"Publisher Campaign")</f>
        <v>Publisher Campaign</v>
      </c>
      <c r="V985" s="124" t="str">
        <f>IFERROR(__xludf.DUMMYFUNCTION("""COMPUTED_VALUE"""),"Feeder Cities")</f>
        <v>Feeder Cities</v>
      </c>
      <c r="W985" s="124"/>
      <c r="X985" s="124"/>
      <c r="Y985" s="124" t="str">
        <f>IFERROR(__xludf.DUMMYFUNCTION("""COMPUTED_VALUE"""),"Indore")</f>
        <v>Indore</v>
      </c>
      <c r="Z985" s="124">
        <f>IFERROR(__xludf.DUMMYFUNCTION("""COMPUTED_VALUE"""),9.0)</f>
        <v>9</v>
      </c>
      <c r="AA985" s="124" t="str">
        <f>IFERROR(__xludf.DUMMYFUNCTION("""COMPUTED_VALUE"""),"Not Interested")</f>
        <v>Not Interested</v>
      </c>
      <c r="AB985" s="124" t="str">
        <f>IFERROR(__xludf.DUMMYFUNCTION("""COMPUTED_VALUE"""),"GS Foundation")</f>
        <v>GS Foundation</v>
      </c>
    </row>
    <row r="986">
      <c r="A986" s="126">
        <f>IFERROR(__xludf.DUMMYFUNCTION("""COMPUTED_VALUE"""),46064.0)</f>
        <v>46064</v>
      </c>
      <c r="B986" s="124" t="str">
        <f>IFERROR(__xludf.DUMMYFUNCTION("""COMPUTED_VALUE"""),"Walkin")</f>
        <v>Walkin</v>
      </c>
      <c r="C986" s="124" t="str">
        <f>IFERROR(__xludf.DUMMYFUNCTION("""COMPUTED_VALUE"""),"Indore")</f>
        <v>Indore</v>
      </c>
      <c r="D986" s="124" t="str">
        <f>IFERROR(__xludf.DUMMYFUNCTION("""COMPUTED_VALUE"""),"Primary_Walkin")</f>
        <v>Primary_Walkin</v>
      </c>
      <c r="E986" s="124">
        <f>IFERROR(__xludf.DUMMYFUNCTION("""COMPUTED_VALUE"""),2.0)</f>
        <v>2</v>
      </c>
      <c r="F986" s="124" t="str">
        <f>IFERROR(__xludf.DUMMYFUNCTION("""COMPUTED_VALUE"""),"Warm")</f>
        <v>Warm</v>
      </c>
      <c r="G986" s="124" t="str">
        <f>IFERROR(__xludf.DUMMYFUNCTION("""COMPUTED_VALUE"""),"Other")</f>
        <v>Other</v>
      </c>
      <c r="K986" s="124"/>
      <c r="L986" s="124"/>
      <c r="M986" s="124"/>
      <c r="N986" s="124"/>
      <c r="O986" s="124"/>
      <c r="T986" s="126">
        <f>IFERROR(__xludf.DUMMYFUNCTION("""COMPUTED_VALUE"""),46079.0)</f>
        <v>46079</v>
      </c>
      <c r="U986" s="124" t="str">
        <f>IFERROR(__xludf.DUMMYFUNCTION("""COMPUTED_VALUE"""),"Publisher Campaign")</f>
        <v>Publisher Campaign</v>
      </c>
      <c r="V986" s="124" t="str">
        <f>IFERROR(__xludf.DUMMYFUNCTION("""COMPUTED_VALUE"""),"Webinar")</f>
        <v>Webinar</v>
      </c>
      <c r="W986" s="124"/>
      <c r="X986" s="124"/>
      <c r="Y986" s="124" t="str">
        <f>IFERROR(__xludf.DUMMYFUNCTION("""COMPUTED_VALUE"""),"Patna")</f>
        <v>Patna</v>
      </c>
      <c r="Z986" s="124">
        <f>IFERROR(__xludf.DUMMYFUNCTION("""COMPUTED_VALUE"""),1.0)</f>
        <v>1</v>
      </c>
      <c r="AA986" s="124" t="str">
        <f>IFERROR(__xludf.DUMMYFUNCTION("""COMPUTED_VALUE"""),"Warm")</f>
        <v>Warm</v>
      </c>
      <c r="AB986" s="124" t="str">
        <f>IFERROR(__xludf.DUMMYFUNCTION("""COMPUTED_VALUE"""),"Other")</f>
        <v>Other</v>
      </c>
    </row>
    <row r="987">
      <c r="A987" s="129">
        <f>IFERROR(__xludf.DUMMYFUNCTION("""COMPUTED_VALUE"""),46105.0)</f>
        <v>46105</v>
      </c>
      <c r="B987" s="124" t="str">
        <f>IFERROR(__xludf.DUMMYFUNCTION("""COMPUTED_VALUE"""),"Walkin")</f>
        <v>Walkin</v>
      </c>
      <c r="C987" s="124" t="str">
        <f>IFERROR(__xludf.DUMMYFUNCTION("""COMPUTED_VALUE"""),"Indore")</f>
        <v>Indore</v>
      </c>
      <c r="D987" s="124" t="str">
        <f>IFERROR(__xludf.DUMMYFUNCTION("""COMPUTED_VALUE"""),"Primary_Walkin")</f>
        <v>Primary_Walkin</v>
      </c>
      <c r="E987" s="124">
        <f>IFERROR(__xludf.DUMMYFUNCTION("""COMPUTED_VALUE"""),3.0)</f>
        <v>3</v>
      </c>
      <c r="F987" s="124" t="str">
        <f>IFERROR(__xludf.DUMMYFUNCTION("""COMPUTED_VALUE"""),"Not Interested")</f>
        <v>Not Interested</v>
      </c>
      <c r="G987" s="124" t="str">
        <f>IFERROR(__xludf.DUMMYFUNCTION("""COMPUTED_VALUE"""),"State PCS")</f>
        <v>State PCS</v>
      </c>
      <c r="K987" s="124"/>
      <c r="L987" s="124"/>
      <c r="M987" s="124"/>
      <c r="N987" s="124"/>
      <c r="O987" s="124"/>
      <c r="T987" s="126">
        <f>IFERROR(__xludf.DUMMYFUNCTION("""COMPUTED_VALUE"""),46060.0)</f>
        <v>46060</v>
      </c>
      <c r="U987" s="124" t="str">
        <f>IFERROR(__xludf.DUMMYFUNCTION("""COMPUTED_VALUE"""),"Publisher Campaign")</f>
        <v>Publisher Campaign</v>
      </c>
      <c r="V987" s="124" t="str">
        <f>IFERROR(__xludf.DUMMYFUNCTION("""COMPUTED_VALUE"""),"Webinar")</f>
        <v>Webinar</v>
      </c>
      <c r="W987" s="124"/>
      <c r="X987" s="124"/>
      <c r="Y987" s="124" t="str">
        <f>IFERROR(__xludf.DUMMYFUNCTION("""COMPUTED_VALUE"""),"Delhi")</f>
        <v>Delhi</v>
      </c>
      <c r="Z987" s="124">
        <f>IFERROR(__xludf.DUMMYFUNCTION("""COMPUTED_VALUE"""),11.0)</f>
        <v>11</v>
      </c>
      <c r="AA987" s="124" t="str">
        <f>IFERROR(__xludf.DUMMYFUNCTION("""COMPUTED_VALUE"""),"Cold")</f>
        <v>Cold</v>
      </c>
      <c r="AB987" s="124" t="str">
        <f>IFERROR(__xludf.DUMMYFUNCTION("""COMPUTED_VALUE"""),"Prelims Crash Course - SIP")</f>
        <v>Prelims Crash Course - SIP</v>
      </c>
    </row>
    <row r="988">
      <c r="A988" s="126">
        <f>IFERROR(__xludf.DUMMYFUNCTION("""COMPUTED_VALUE"""),46098.0)</f>
        <v>46098</v>
      </c>
      <c r="B988" s="124" t="str">
        <f>IFERROR(__xludf.DUMMYFUNCTION("""COMPUTED_VALUE"""),"Walkin")</f>
        <v>Walkin</v>
      </c>
      <c r="C988" s="124" t="str">
        <f>IFERROR(__xludf.DUMMYFUNCTION("""COMPUTED_VALUE"""),"Indore")</f>
        <v>Indore</v>
      </c>
      <c r="D988" s="124" t="str">
        <f>IFERROR(__xludf.DUMMYFUNCTION("""COMPUTED_VALUE"""),"Primary_Walkin")</f>
        <v>Primary_Walkin</v>
      </c>
      <c r="E988" s="124">
        <f>IFERROR(__xludf.DUMMYFUNCTION("""COMPUTED_VALUE"""),3.0)</f>
        <v>3</v>
      </c>
      <c r="F988" s="124" t="str">
        <f>IFERROR(__xludf.DUMMYFUNCTION("""COMPUTED_VALUE"""),"Cold")</f>
        <v>Cold</v>
      </c>
      <c r="G988" s="124" t="str">
        <f>IFERROR(__xludf.DUMMYFUNCTION("""COMPUTED_VALUE"""),"State PCS")</f>
        <v>State PCS</v>
      </c>
      <c r="K988" s="124"/>
      <c r="L988" s="124"/>
      <c r="M988" s="124"/>
      <c r="N988" s="124"/>
      <c r="O988" s="124"/>
      <c r="T988" s="126">
        <f>IFERROR(__xludf.DUMMYFUNCTION("""COMPUTED_VALUE"""),46047.0)</f>
        <v>46047</v>
      </c>
      <c r="U988" s="124" t="str">
        <f>IFERROR(__xludf.DUMMYFUNCTION("""COMPUTED_VALUE"""),"External Leads")</f>
        <v>External Leads</v>
      </c>
      <c r="V988" s="124" t="str">
        <f>IFERROR(__xludf.DUMMYFUNCTION("""COMPUTED_VALUE"""),"external leads")</f>
        <v>external leads</v>
      </c>
      <c r="W988" s="124" t="str">
        <f>IFERROR(__xludf.DUMMYFUNCTION("""COMPUTED_VALUE"""),"indore")</f>
        <v>indore</v>
      </c>
      <c r="X988" s="124" t="str">
        <f>IFERROR(__xludf.DUMMYFUNCTION("""COMPUTED_VALUE"""),"unacademy")</f>
        <v>unacademy</v>
      </c>
      <c r="Y988" s="124" t="str">
        <f>IFERROR(__xludf.DUMMYFUNCTION("""COMPUTED_VALUE"""),"Indore")</f>
        <v>Indore</v>
      </c>
      <c r="Z988" s="124">
        <f>IFERROR(__xludf.DUMMYFUNCTION("""COMPUTED_VALUE"""),8.0)</f>
        <v>8</v>
      </c>
      <c r="AA988" s="124" t="str">
        <f>IFERROR(__xludf.DUMMYFUNCTION("""COMPUTED_VALUE"""),"Not Interested")</f>
        <v>Not Interested</v>
      </c>
      <c r="AB988" s="124"/>
    </row>
    <row r="989">
      <c r="A989" s="126">
        <f>IFERROR(__xludf.DUMMYFUNCTION("""COMPUTED_VALUE"""),46088.0)</f>
        <v>46088</v>
      </c>
      <c r="B989" s="124" t="str">
        <f>IFERROR(__xludf.DUMMYFUNCTION("""COMPUTED_VALUE"""),"Walkin")</f>
        <v>Walkin</v>
      </c>
      <c r="C989" s="124" t="str">
        <f>IFERROR(__xludf.DUMMYFUNCTION("""COMPUTED_VALUE"""),"Indore")</f>
        <v>Indore</v>
      </c>
      <c r="D989" s="124" t="str">
        <f>IFERROR(__xludf.DUMMYFUNCTION("""COMPUTED_VALUE"""),"Primary_Walkin")</f>
        <v>Primary_Walkin</v>
      </c>
      <c r="E989" s="124">
        <f>IFERROR(__xludf.DUMMYFUNCTION("""COMPUTED_VALUE"""),1.0)</f>
        <v>1</v>
      </c>
      <c r="F989" s="124" t="str">
        <f>IFERROR(__xludf.DUMMYFUNCTION("""COMPUTED_VALUE"""),"Interested")</f>
        <v>Interested</v>
      </c>
      <c r="G989" s="124" t="str">
        <f>IFERROR(__xludf.DUMMYFUNCTION("""COMPUTED_VALUE"""),"GS Foundation")</f>
        <v>GS Foundation</v>
      </c>
      <c r="K989" s="124"/>
      <c r="L989" s="124"/>
      <c r="M989" s="124"/>
      <c r="N989" s="124"/>
      <c r="O989" s="124"/>
      <c r="T989" s="126">
        <f>IFERROR(__xludf.DUMMYFUNCTION("""COMPUTED_VALUE"""),46069.0)</f>
        <v>46069</v>
      </c>
      <c r="U989" s="124" t="str">
        <f>IFERROR(__xludf.DUMMYFUNCTION("""COMPUTED_VALUE"""),"Publisher Campaign")</f>
        <v>Publisher Campaign</v>
      </c>
      <c r="V989" s="124" t="str">
        <f>IFERROR(__xludf.DUMMYFUNCTION("""COMPUTED_VALUE"""),"Webinar")</f>
        <v>Webinar</v>
      </c>
      <c r="W989" s="124"/>
      <c r="X989" s="124"/>
      <c r="Y989" s="124" t="str">
        <f>IFERROR(__xludf.DUMMYFUNCTION("""COMPUTED_VALUE"""),"Delhi")</f>
        <v>Delhi</v>
      </c>
      <c r="Z989" s="124">
        <f>IFERROR(__xludf.DUMMYFUNCTION("""COMPUTED_VALUE"""),1.0)</f>
        <v>1</v>
      </c>
      <c r="AA989" s="124" t="str">
        <f>IFERROR(__xludf.DUMMYFUNCTION("""COMPUTED_VALUE"""),"Cold")</f>
        <v>Cold</v>
      </c>
      <c r="AB989" s="124" t="str">
        <f>IFERROR(__xludf.DUMMYFUNCTION("""COMPUTED_VALUE"""),"CSAT")</f>
        <v>CSAT</v>
      </c>
    </row>
    <row r="990">
      <c r="A990" s="129">
        <f>IFERROR(__xludf.DUMMYFUNCTION("""COMPUTED_VALUE"""),46083.0)</f>
        <v>46083</v>
      </c>
      <c r="B990" s="124" t="str">
        <f>IFERROR(__xludf.DUMMYFUNCTION("""COMPUTED_VALUE"""),"Walkin")</f>
        <v>Walkin</v>
      </c>
      <c r="C990" s="124" t="str">
        <f>IFERROR(__xludf.DUMMYFUNCTION("""COMPUTED_VALUE"""),"Indore")</f>
        <v>Indore</v>
      </c>
      <c r="D990" s="124" t="str">
        <f>IFERROR(__xludf.DUMMYFUNCTION("""COMPUTED_VALUE"""),"Primary_Walkin")</f>
        <v>Primary_Walkin</v>
      </c>
      <c r="E990" s="124">
        <f>IFERROR(__xludf.DUMMYFUNCTION("""COMPUTED_VALUE"""),1.0)</f>
        <v>1</v>
      </c>
      <c r="F990" s="124" t="str">
        <f>IFERROR(__xludf.DUMMYFUNCTION("""COMPUTED_VALUE"""),"Warm")</f>
        <v>Warm</v>
      </c>
      <c r="G990" s="124" t="str">
        <f>IFERROR(__xludf.DUMMYFUNCTION("""COMPUTED_VALUE"""),"Test Series")</f>
        <v>Test Series</v>
      </c>
      <c r="K990" s="124"/>
      <c r="L990" s="124"/>
      <c r="M990" s="124"/>
      <c r="N990" s="124"/>
      <c r="O990" s="124"/>
      <c r="T990" s="126">
        <f>IFERROR(__xludf.DUMMYFUNCTION("""COMPUTED_VALUE"""),46077.0)</f>
        <v>46077</v>
      </c>
      <c r="U990" s="124" t="str">
        <f>IFERROR(__xludf.DUMMYFUNCTION("""COMPUTED_VALUE"""),"Publisher Campaign")</f>
        <v>Publisher Campaign</v>
      </c>
      <c r="V990" s="124" t="str">
        <f>IFERROR(__xludf.DUMMYFUNCTION("""COMPUTED_VALUE"""),"Webinar")</f>
        <v>Webinar</v>
      </c>
      <c r="W990" s="124"/>
      <c r="X990" s="124"/>
      <c r="Y990" s="124" t="str">
        <f>IFERROR(__xludf.DUMMYFUNCTION("""COMPUTED_VALUE"""),"Delhi")</f>
        <v>Delhi</v>
      </c>
      <c r="Z990" s="124">
        <f>IFERROR(__xludf.DUMMYFUNCTION("""COMPUTED_VALUE"""),1.0)</f>
        <v>1</v>
      </c>
      <c r="AA990" s="124" t="str">
        <f>IFERROR(__xludf.DUMMYFUNCTION("""COMPUTED_VALUE"""),"Future Prospects")</f>
        <v>Future Prospects</v>
      </c>
      <c r="AB990" s="124" t="str">
        <f>IFERROR(__xludf.DUMMYFUNCTION("""COMPUTED_VALUE"""),"GS Foundation")</f>
        <v>GS Foundation</v>
      </c>
    </row>
    <row r="991">
      <c r="A991" s="126">
        <f>IFERROR(__xludf.DUMMYFUNCTION("""COMPUTED_VALUE"""),46070.0)</f>
        <v>46070</v>
      </c>
      <c r="B991" s="124" t="str">
        <f>IFERROR(__xludf.DUMMYFUNCTION("""COMPUTED_VALUE"""),"Walkin")</f>
        <v>Walkin</v>
      </c>
      <c r="C991" s="124" t="str">
        <f>IFERROR(__xludf.DUMMYFUNCTION("""COMPUTED_VALUE"""),"Indore")</f>
        <v>Indore</v>
      </c>
      <c r="D991" s="124" t="str">
        <f>IFERROR(__xludf.DUMMYFUNCTION("""COMPUTED_VALUE"""),"Primary_Walkin")</f>
        <v>Primary_Walkin</v>
      </c>
      <c r="E991" s="124">
        <f>IFERROR(__xludf.DUMMYFUNCTION("""COMPUTED_VALUE"""),1.0)</f>
        <v>1</v>
      </c>
      <c r="F991" s="124" t="str">
        <f>IFERROR(__xludf.DUMMYFUNCTION("""COMPUTED_VALUE"""),"Not Interested")</f>
        <v>Not Interested</v>
      </c>
      <c r="G991" s="124" t="str">
        <f>IFERROR(__xludf.DUMMYFUNCTION("""COMPUTED_VALUE"""),"Mentorship")</f>
        <v>Mentorship</v>
      </c>
      <c r="K991" s="124"/>
      <c r="L991" s="124"/>
      <c r="M991" s="124"/>
      <c r="N991" s="124"/>
      <c r="O991" s="124"/>
      <c r="T991" s="126">
        <f>IFERROR(__xludf.DUMMYFUNCTION("""COMPUTED_VALUE"""),46075.0)</f>
        <v>46075</v>
      </c>
      <c r="U991" s="124" t="str">
        <f>IFERROR(__xludf.DUMMYFUNCTION("""COMPUTED_VALUE"""),"Publisher Campaign")</f>
        <v>Publisher Campaign</v>
      </c>
      <c r="V991" s="124" t="str">
        <f>IFERROR(__xludf.DUMMYFUNCTION("""COMPUTED_VALUE"""),"Webinar")</f>
        <v>Webinar</v>
      </c>
      <c r="W991" s="124"/>
      <c r="X991" s="124"/>
      <c r="Y991" s="124" t="str">
        <f>IFERROR(__xludf.DUMMYFUNCTION("""COMPUTED_VALUE"""),"Delhi")</f>
        <v>Delhi</v>
      </c>
      <c r="Z991" s="124">
        <f>IFERROR(__xludf.DUMMYFUNCTION("""COMPUTED_VALUE"""),1.0)</f>
        <v>1</v>
      </c>
      <c r="AA991" s="124" t="str">
        <f>IFERROR(__xludf.DUMMYFUNCTION("""COMPUTED_VALUE"""),"Not Interested")</f>
        <v>Not Interested</v>
      </c>
      <c r="AB991" s="124" t="str">
        <f>IFERROR(__xludf.DUMMYFUNCTION("""COMPUTED_VALUE"""),"Other")</f>
        <v>Other</v>
      </c>
    </row>
    <row r="992">
      <c r="A992" s="129">
        <f>IFERROR(__xludf.DUMMYFUNCTION("""COMPUTED_VALUE"""),46052.0)</f>
        <v>46052</v>
      </c>
      <c r="B992" s="124" t="str">
        <f>IFERROR(__xludf.DUMMYFUNCTION("""COMPUTED_VALUE"""),"Walkin")</f>
        <v>Walkin</v>
      </c>
      <c r="C992" s="124" t="str">
        <f>IFERROR(__xludf.DUMMYFUNCTION("""COMPUTED_VALUE"""),"Indore")</f>
        <v>Indore</v>
      </c>
      <c r="D992" s="124" t="str">
        <f>IFERROR(__xludf.DUMMYFUNCTION("""COMPUTED_VALUE"""),"Primary_Walkin")</f>
        <v>Primary_Walkin</v>
      </c>
      <c r="E992" s="124">
        <f>IFERROR(__xludf.DUMMYFUNCTION("""COMPUTED_VALUE"""),1.0)</f>
        <v>1</v>
      </c>
      <c r="F992" s="124" t="str">
        <f>IFERROR(__xludf.DUMMYFUNCTION("""COMPUTED_VALUE"""),"Future Prospects")</f>
        <v>Future Prospects</v>
      </c>
      <c r="G992" s="124" t="str">
        <f>IFERROR(__xludf.DUMMYFUNCTION("""COMPUTED_VALUE"""),"GS Foundation")</f>
        <v>GS Foundation</v>
      </c>
      <c r="K992" s="124"/>
      <c r="L992" s="124"/>
      <c r="M992" s="124"/>
      <c r="N992" s="124"/>
      <c r="O992" s="124"/>
      <c r="T992" s="126">
        <f>IFERROR(__xludf.DUMMYFUNCTION("""COMPUTED_VALUE"""),46071.0)</f>
        <v>46071</v>
      </c>
      <c r="U992" s="124" t="str">
        <f>IFERROR(__xludf.DUMMYFUNCTION("""COMPUTED_VALUE"""),"Publisher Campaign")</f>
        <v>Publisher Campaign</v>
      </c>
      <c r="V992" s="124" t="str">
        <f>IFERROR(__xludf.DUMMYFUNCTION("""COMPUTED_VALUE"""),"Feeder Cities")</f>
        <v>Feeder Cities</v>
      </c>
      <c r="W992" s="124"/>
      <c r="X992" s="124"/>
      <c r="Y992" s="124" t="str">
        <f>IFERROR(__xludf.DUMMYFUNCTION("""COMPUTED_VALUE"""),"Delhi")</f>
        <v>Delhi</v>
      </c>
      <c r="Z992" s="124">
        <f>IFERROR(__xludf.DUMMYFUNCTION("""COMPUTED_VALUE"""),1.0)</f>
        <v>1</v>
      </c>
      <c r="AA992" s="124" t="str">
        <f>IFERROR(__xludf.DUMMYFUNCTION("""COMPUTED_VALUE"""),"Cold")</f>
        <v>Cold</v>
      </c>
      <c r="AB992" s="124" t="str">
        <f>IFERROR(__xludf.DUMMYFUNCTION("""COMPUTED_VALUE"""),"GS Foundation")</f>
        <v>GS Foundation</v>
      </c>
    </row>
    <row r="993">
      <c r="A993" s="126">
        <f>IFERROR(__xludf.DUMMYFUNCTION("""COMPUTED_VALUE"""),46094.0)</f>
        <v>46094</v>
      </c>
      <c r="B993" s="124" t="str">
        <f>IFERROR(__xludf.DUMMYFUNCTION("""COMPUTED_VALUE"""),"Walkin")</f>
        <v>Walkin</v>
      </c>
      <c r="C993" s="124" t="str">
        <f>IFERROR(__xludf.DUMMYFUNCTION("""COMPUTED_VALUE"""),"Lucknow")</f>
        <v>Lucknow</v>
      </c>
      <c r="D993" s="124" t="str">
        <f>IFERROR(__xludf.DUMMYFUNCTION("""COMPUTED_VALUE"""),"Primary_Walkin")</f>
        <v>Primary_Walkin</v>
      </c>
      <c r="E993" s="124">
        <f>IFERROR(__xludf.DUMMYFUNCTION("""COMPUTED_VALUE"""),1.0)</f>
        <v>1</v>
      </c>
      <c r="F993" s="124" t="str">
        <f>IFERROR(__xludf.DUMMYFUNCTION("""COMPUTED_VALUE"""),"Cold")</f>
        <v>Cold</v>
      </c>
      <c r="G993" s="124" t="str">
        <f>IFERROR(__xludf.DUMMYFUNCTION("""COMPUTED_VALUE"""),"GS Foundation")</f>
        <v>GS Foundation</v>
      </c>
      <c r="K993" s="124"/>
      <c r="L993" s="124"/>
      <c r="M993" s="124"/>
      <c r="N993" s="124"/>
      <c r="O993" s="124"/>
      <c r="T993" s="129">
        <f>IFERROR(__xludf.DUMMYFUNCTION("""COMPUTED_VALUE"""),46096.0)</f>
        <v>46096</v>
      </c>
      <c r="U993" s="124" t="str">
        <f>IFERROR(__xludf.DUMMYFUNCTION("""COMPUTED_VALUE"""),"Publisher Campaign")</f>
        <v>Publisher Campaign</v>
      </c>
      <c r="V993" s="124" t="str">
        <f>IFERROR(__xludf.DUMMYFUNCTION("""COMPUTED_VALUE"""),"BTL Activities")</f>
        <v>BTL Activities</v>
      </c>
      <c r="W993" s="124"/>
      <c r="X993" s="124"/>
      <c r="Y993" s="124" t="str">
        <f>IFERROR(__xludf.DUMMYFUNCTION("""COMPUTED_VALUE"""),"Delhi")</f>
        <v>Delhi</v>
      </c>
      <c r="Z993" s="124">
        <f>IFERROR(__xludf.DUMMYFUNCTION("""COMPUTED_VALUE"""),1.0)</f>
        <v>1</v>
      </c>
      <c r="AA993" s="124"/>
      <c r="AB993" s="124" t="str">
        <f>IFERROR(__xludf.DUMMYFUNCTION("""COMPUTED_VALUE"""),"GS Foundation")</f>
        <v>GS Foundation</v>
      </c>
    </row>
    <row r="994">
      <c r="A994" s="126">
        <f>IFERROR(__xludf.DUMMYFUNCTION("""COMPUTED_VALUE"""),46054.0)</f>
        <v>46054</v>
      </c>
      <c r="B994" s="124" t="str">
        <f>IFERROR(__xludf.DUMMYFUNCTION("""COMPUTED_VALUE"""),"Walkin")</f>
        <v>Walkin</v>
      </c>
      <c r="C994" s="124" t="str">
        <f>IFERROR(__xludf.DUMMYFUNCTION("""COMPUTED_VALUE"""),"Indore")</f>
        <v>Indore</v>
      </c>
      <c r="D994" s="124" t="str">
        <f>IFERROR(__xludf.DUMMYFUNCTION("""COMPUTED_VALUE"""),"Primary_Walkin")</f>
        <v>Primary_Walkin</v>
      </c>
      <c r="E994" s="124">
        <f>IFERROR(__xludf.DUMMYFUNCTION("""COMPUTED_VALUE"""),1.0)</f>
        <v>1</v>
      </c>
      <c r="F994" s="124" t="str">
        <f>IFERROR(__xludf.DUMMYFUNCTION("""COMPUTED_VALUE"""),"Warm")</f>
        <v>Warm</v>
      </c>
      <c r="G994" s="124" t="str">
        <f>IFERROR(__xludf.DUMMYFUNCTION("""COMPUTED_VALUE"""),"Test Series")</f>
        <v>Test Series</v>
      </c>
      <c r="K994" s="124"/>
      <c r="L994" s="124"/>
      <c r="M994" s="124"/>
      <c r="N994" s="124"/>
      <c r="O994" s="124"/>
      <c r="T994" s="126">
        <f>IFERROR(__xludf.DUMMYFUNCTION("""COMPUTED_VALUE"""),46067.0)</f>
        <v>46067</v>
      </c>
      <c r="U994" s="124" t="str">
        <f>IFERROR(__xludf.DUMMYFUNCTION("""COMPUTED_VALUE"""),"Publisher Campaign")</f>
        <v>Publisher Campaign</v>
      </c>
      <c r="V994" s="124" t="str">
        <f>IFERROR(__xludf.DUMMYFUNCTION("""COMPUTED_VALUE"""),"Webinar")</f>
        <v>Webinar</v>
      </c>
      <c r="W994" s="124"/>
      <c r="X994" s="124"/>
      <c r="Y994" s="124" t="str">
        <f>IFERROR(__xludf.DUMMYFUNCTION("""COMPUTED_VALUE"""),"Delhi")</f>
        <v>Delhi</v>
      </c>
      <c r="Z994" s="124">
        <f>IFERROR(__xludf.DUMMYFUNCTION("""COMPUTED_VALUE"""),4.0)</f>
        <v>4</v>
      </c>
      <c r="AA994" s="124" t="str">
        <f>IFERROR(__xludf.DUMMYFUNCTION("""COMPUTED_VALUE"""),"Not Interested")</f>
        <v>Not Interested</v>
      </c>
      <c r="AB994" s="124" t="str">
        <f>IFERROR(__xludf.DUMMYFUNCTION("""COMPUTED_VALUE"""),"GS Foundation")</f>
        <v>GS Foundation</v>
      </c>
    </row>
    <row r="995">
      <c r="A995" s="129">
        <f>IFERROR(__xludf.DUMMYFUNCTION("""COMPUTED_VALUE"""),46059.0)</f>
        <v>46059</v>
      </c>
      <c r="B995" s="124" t="str">
        <f>IFERROR(__xludf.DUMMYFUNCTION("""COMPUTED_VALUE"""),"Walkin")</f>
        <v>Walkin</v>
      </c>
      <c r="C995" s="124" t="str">
        <f>IFERROR(__xludf.DUMMYFUNCTION("""COMPUTED_VALUE"""),"Indore")</f>
        <v>Indore</v>
      </c>
      <c r="D995" s="124" t="str">
        <f>IFERROR(__xludf.DUMMYFUNCTION("""COMPUTED_VALUE"""),"Primary_Walkin")</f>
        <v>Primary_Walkin</v>
      </c>
      <c r="E995" s="124">
        <f>IFERROR(__xludf.DUMMYFUNCTION("""COMPUTED_VALUE"""),1.0)</f>
        <v>1</v>
      </c>
      <c r="F995" s="124" t="str">
        <f>IFERROR(__xludf.DUMMYFUNCTION("""COMPUTED_VALUE"""),"Fake Lead")</f>
        <v>Fake Lead</v>
      </c>
      <c r="G995" s="124" t="str">
        <f>IFERROR(__xludf.DUMMYFUNCTION("""COMPUTED_VALUE"""),"GS Foundation")</f>
        <v>GS Foundation</v>
      </c>
      <c r="K995" s="124"/>
      <c r="L995" s="124"/>
      <c r="M995" s="124"/>
      <c r="N995" s="124"/>
      <c r="O995" s="124"/>
      <c r="T995" s="126">
        <f>IFERROR(__xludf.DUMMYFUNCTION("""COMPUTED_VALUE"""),46086.0)</f>
        <v>46086</v>
      </c>
      <c r="U995" s="124" t="str">
        <f>IFERROR(__xludf.DUMMYFUNCTION("""COMPUTED_VALUE"""),"Paid Ads")</f>
        <v>Paid Ads</v>
      </c>
      <c r="V995" s="124" t="str">
        <f>IFERROR(__xludf.DUMMYFUNCTION("""COMPUTED_VALUE"""),"YouTube")</f>
        <v>YouTube</v>
      </c>
      <c r="W995" s="124"/>
      <c r="X995" s="124"/>
      <c r="Y995" s="124" t="str">
        <f>IFERROR(__xludf.DUMMYFUNCTION("""COMPUTED_VALUE"""),"Lucknow")</f>
        <v>Lucknow</v>
      </c>
      <c r="Z995" s="124">
        <f>IFERROR(__xludf.DUMMYFUNCTION("""COMPUTED_VALUE"""),2.0)</f>
        <v>2</v>
      </c>
      <c r="AA995" s="124" t="str">
        <f>IFERROR(__xludf.DUMMYFUNCTION("""COMPUTED_VALUE"""),"Cold")</f>
        <v>Cold</v>
      </c>
      <c r="AB995" s="124" t="str">
        <f>IFERROR(__xludf.DUMMYFUNCTION("""COMPUTED_VALUE"""),"State PCS")</f>
        <v>State PCS</v>
      </c>
    </row>
    <row r="996">
      <c r="A996" s="126">
        <f>IFERROR(__xludf.DUMMYFUNCTION("""COMPUTED_VALUE"""),46106.0)</f>
        <v>46106</v>
      </c>
      <c r="B996" s="124" t="str">
        <f>IFERROR(__xludf.DUMMYFUNCTION("""COMPUTED_VALUE"""),"Feeder Cities")</f>
        <v>Feeder Cities</v>
      </c>
      <c r="C996" s="124" t="str">
        <f>IFERROR(__xludf.DUMMYFUNCTION("""COMPUTED_VALUE"""),"Indore")</f>
        <v>Indore</v>
      </c>
      <c r="D996" s="124" t="str">
        <f>IFERROR(__xludf.DUMMYFUNCTION("""COMPUTED_VALUE"""),"Secondary_Walkin")</f>
        <v>Secondary_Walkin</v>
      </c>
      <c r="E996" s="124">
        <f>IFERROR(__xludf.DUMMYFUNCTION("""COMPUTED_VALUE"""),1.0)</f>
        <v>1</v>
      </c>
      <c r="F996" s="124" t="str">
        <f>IFERROR(__xludf.DUMMYFUNCTION("""COMPUTED_VALUE"""),"Interested")</f>
        <v>Interested</v>
      </c>
      <c r="G996" s="124" t="str">
        <f>IFERROR(__xludf.DUMMYFUNCTION("""COMPUTED_VALUE"""),"GS Foundation")</f>
        <v>GS Foundation</v>
      </c>
      <c r="K996" s="124"/>
      <c r="L996" s="124"/>
      <c r="M996" s="124"/>
      <c r="N996" s="124"/>
      <c r="O996" s="124"/>
      <c r="T996" s="126">
        <f>IFERROR(__xludf.DUMMYFUNCTION("""COMPUTED_VALUE"""),46068.0)</f>
        <v>46068</v>
      </c>
      <c r="U996" s="124" t="str">
        <f>IFERROR(__xludf.DUMMYFUNCTION("""COMPUTED_VALUE"""),"Publisher Campaign")</f>
        <v>Publisher Campaign</v>
      </c>
      <c r="V996" s="124" t="str">
        <f>IFERROR(__xludf.DUMMYFUNCTION("""COMPUTED_VALUE"""),"Webinar")</f>
        <v>Webinar</v>
      </c>
      <c r="W996" s="124"/>
      <c r="X996" s="124"/>
      <c r="Y996" s="124" t="str">
        <f>IFERROR(__xludf.DUMMYFUNCTION("""COMPUTED_VALUE"""),"Delhi")</f>
        <v>Delhi</v>
      </c>
      <c r="Z996" s="124">
        <f>IFERROR(__xludf.DUMMYFUNCTION("""COMPUTED_VALUE"""),4.0)</f>
        <v>4</v>
      </c>
      <c r="AA996" s="124" t="str">
        <f>IFERROR(__xludf.DUMMYFUNCTION("""COMPUTED_VALUE"""),"Not Interested")</f>
        <v>Not Interested</v>
      </c>
      <c r="AB996" s="124" t="str">
        <f>IFERROR(__xludf.DUMMYFUNCTION("""COMPUTED_VALUE"""),"GS Foundation")</f>
        <v>GS Foundation</v>
      </c>
    </row>
    <row r="997">
      <c r="A997" s="126">
        <f>IFERROR(__xludf.DUMMYFUNCTION("""COMPUTED_VALUE"""),46060.0)</f>
        <v>46060</v>
      </c>
      <c r="B997" s="124" t="str">
        <f>IFERROR(__xludf.DUMMYFUNCTION("""COMPUTED_VALUE"""),"Walkin")</f>
        <v>Walkin</v>
      </c>
      <c r="C997" s="124" t="str">
        <f>IFERROR(__xludf.DUMMYFUNCTION("""COMPUTED_VALUE"""),"Indore")</f>
        <v>Indore</v>
      </c>
      <c r="D997" s="124" t="str">
        <f>IFERROR(__xludf.DUMMYFUNCTION("""COMPUTED_VALUE"""),"Primary_Walkin")</f>
        <v>Primary_Walkin</v>
      </c>
      <c r="E997" s="124">
        <f>IFERROR(__xludf.DUMMYFUNCTION("""COMPUTED_VALUE"""),2.0)</f>
        <v>2</v>
      </c>
      <c r="F997" s="124" t="str">
        <f>IFERROR(__xludf.DUMMYFUNCTION("""COMPUTED_VALUE"""),"Not Interested")</f>
        <v>Not Interested</v>
      </c>
      <c r="G997" s="124" t="str">
        <f>IFERROR(__xludf.DUMMYFUNCTION("""COMPUTED_VALUE"""),"Test Series")</f>
        <v>Test Series</v>
      </c>
      <c r="K997" s="124"/>
      <c r="L997" s="124"/>
      <c r="M997" s="124"/>
      <c r="N997" s="124"/>
      <c r="O997" s="124"/>
      <c r="T997" s="126">
        <f>IFERROR(__xludf.DUMMYFUNCTION("""COMPUTED_VALUE"""),46094.0)</f>
        <v>46094</v>
      </c>
      <c r="U997" s="124" t="str">
        <f>IFERROR(__xludf.DUMMYFUNCTION("""COMPUTED_VALUE"""),"Publisher Campaign")</f>
        <v>Publisher Campaign</v>
      </c>
      <c r="V997" s="124" t="str">
        <f>IFERROR(__xludf.DUMMYFUNCTION("""COMPUTED_VALUE"""),"BTL Activities")</f>
        <v>BTL Activities</v>
      </c>
      <c r="W997" s="124"/>
      <c r="X997" s="124"/>
      <c r="Y997" s="124" t="str">
        <f>IFERROR(__xludf.DUMMYFUNCTION("""COMPUTED_VALUE"""),"Prayagraj")</f>
        <v>Prayagraj</v>
      </c>
      <c r="Z997" s="124">
        <f>IFERROR(__xludf.DUMMYFUNCTION("""COMPUTED_VALUE"""),2.0)</f>
        <v>2</v>
      </c>
      <c r="AA997" s="124" t="str">
        <f>IFERROR(__xludf.DUMMYFUNCTION("""COMPUTED_VALUE"""),"Enrolled")</f>
        <v>Enrolled</v>
      </c>
      <c r="AB997" s="124" t="str">
        <f>IFERROR(__xludf.DUMMYFUNCTION("""COMPUTED_VALUE"""),"GS Foundation")</f>
        <v>GS Foundation</v>
      </c>
    </row>
    <row r="998">
      <c r="A998" s="129">
        <f>IFERROR(__xludf.DUMMYFUNCTION("""COMPUTED_VALUE"""),46067.0)</f>
        <v>46067</v>
      </c>
      <c r="B998" s="124" t="str">
        <f>IFERROR(__xludf.DUMMYFUNCTION("""COMPUTED_VALUE"""),"Walkin")</f>
        <v>Walkin</v>
      </c>
      <c r="C998" s="124" t="str">
        <f>IFERROR(__xludf.DUMMYFUNCTION("""COMPUTED_VALUE"""),"Lucknow")</f>
        <v>Lucknow</v>
      </c>
      <c r="D998" s="124" t="str">
        <f>IFERROR(__xludf.DUMMYFUNCTION("""COMPUTED_VALUE"""),"Primary_Walkin")</f>
        <v>Primary_Walkin</v>
      </c>
      <c r="E998" s="124">
        <f>IFERROR(__xludf.DUMMYFUNCTION("""COMPUTED_VALUE"""),2.0)</f>
        <v>2</v>
      </c>
      <c r="F998" s="124" t="str">
        <f>IFERROR(__xludf.DUMMYFUNCTION("""COMPUTED_VALUE"""),"Cold")</f>
        <v>Cold</v>
      </c>
      <c r="G998" s="124" t="str">
        <f>IFERROR(__xludf.DUMMYFUNCTION("""COMPUTED_VALUE"""),"GS Foundation")</f>
        <v>GS Foundation</v>
      </c>
      <c r="K998" s="124"/>
      <c r="L998" s="124"/>
      <c r="M998" s="124"/>
      <c r="N998" s="124"/>
      <c r="O998" s="124"/>
      <c r="T998" s="126">
        <f>IFERROR(__xludf.DUMMYFUNCTION("""COMPUTED_VALUE"""),46047.0)</f>
        <v>46047</v>
      </c>
      <c r="U998" s="124" t="str">
        <f>IFERROR(__xludf.DUMMYFUNCTION("""COMPUTED_VALUE"""),"External Leads")</f>
        <v>External Leads</v>
      </c>
      <c r="V998" s="124" t="str">
        <f>IFERROR(__xludf.DUMMYFUNCTION("""COMPUTED_VALUE"""),"external leads")</f>
        <v>external leads</v>
      </c>
      <c r="W998" s="124" t="str">
        <f>IFERROR(__xludf.DUMMYFUNCTION("""COMPUTED_VALUE"""),"indore")</f>
        <v>indore</v>
      </c>
      <c r="X998" s="124" t="str">
        <f>IFERROR(__xludf.DUMMYFUNCTION("""COMPUTED_VALUE"""),"unacademy")</f>
        <v>unacademy</v>
      </c>
      <c r="Y998" s="124" t="str">
        <f>IFERROR(__xludf.DUMMYFUNCTION("""COMPUTED_VALUE"""),"Indore")</f>
        <v>Indore</v>
      </c>
      <c r="Z998" s="124">
        <f>IFERROR(__xludf.DUMMYFUNCTION("""COMPUTED_VALUE"""),11.0)</f>
        <v>11</v>
      </c>
      <c r="AA998" s="124" t="str">
        <f>IFERROR(__xludf.DUMMYFUNCTION("""COMPUTED_VALUE"""),"Cold")</f>
        <v>Cold</v>
      </c>
      <c r="AB998" s="124"/>
    </row>
    <row r="999">
      <c r="A999" s="126">
        <f>IFERROR(__xludf.DUMMYFUNCTION("""COMPUTED_VALUE"""),46097.0)</f>
        <v>46097</v>
      </c>
      <c r="B999" s="124" t="str">
        <f>IFERROR(__xludf.DUMMYFUNCTION("""COMPUTED_VALUE"""),"events")</f>
        <v>events</v>
      </c>
      <c r="C999" s="124" t="str">
        <f>IFERROR(__xludf.DUMMYFUNCTION("""COMPUTED_VALUE"""),"Indore")</f>
        <v>Indore</v>
      </c>
      <c r="D999" s="124" t="str">
        <f>IFERROR(__xludf.DUMMYFUNCTION("""COMPUTED_VALUE"""),"Secondary_Walkin")</f>
        <v>Secondary_Walkin</v>
      </c>
      <c r="E999" s="124">
        <f>IFERROR(__xludf.DUMMYFUNCTION("""COMPUTED_VALUE"""),1.0)</f>
        <v>1</v>
      </c>
      <c r="F999" s="124" t="str">
        <f>IFERROR(__xludf.DUMMYFUNCTION("""COMPUTED_VALUE"""),"Enrolled")</f>
        <v>Enrolled</v>
      </c>
      <c r="G999" s="124" t="str">
        <f>IFERROR(__xludf.DUMMYFUNCTION("""COMPUTED_VALUE"""),"State PCS")</f>
        <v>State PCS</v>
      </c>
      <c r="K999" s="124"/>
      <c r="L999" s="124"/>
      <c r="M999" s="124"/>
      <c r="N999" s="124"/>
      <c r="O999" s="124"/>
      <c r="T999" s="126">
        <f>IFERROR(__xludf.DUMMYFUNCTION("""COMPUTED_VALUE"""),46044.0)</f>
        <v>46044</v>
      </c>
      <c r="U999" s="124" t="str">
        <f>IFERROR(__xludf.DUMMYFUNCTION("""COMPUTED_VALUE"""),"External Leads")</f>
        <v>External Leads</v>
      </c>
      <c r="V999" s="124" t="str">
        <f>IFERROR(__xludf.DUMMYFUNCTION("""COMPUTED_VALUE"""),"external leads")</f>
        <v>external leads</v>
      </c>
      <c r="W999" s="124"/>
      <c r="X999" s="124"/>
      <c r="Y999" s="124"/>
      <c r="Z999" s="124">
        <f>IFERROR(__xludf.DUMMYFUNCTION("""COMPUTED_VALUE"""),5.0)</f>
        <v>5</v>
      </c>
      <c r="AA999" s="124" t="str">
        <f>IFERROR(__xludf.DUMMYFUNCTION("""COMPUTED_VALUE"""),"Engaged")</f>
        <v>Engaged</v>
      </c>
      <c r="AB999" s="124"/>
    </row>
    <row r="1000">
      <c r="A1000" s="126">
        <f>IFERROR(__xludf.DUMMYFUNCTION("""COMPUTED_VALUE"""),46111.0)</f>
        <v>46111</v>
      </c>
      <c r="B1000" s="124" t="str">
        <f>IFERROR(__xludf.DUMMYFUNCTION("""COMPUTED_VALUE"""),"Walkin")</f>
        <v>Walkin</v>
      </c>
      <c r="C1000" s="124" t="str">
        <f>IFERROR(__xludf.DUMMYFUNCTION("""COMPUTED_VALUE"""),"Indore")</f>
        <v>Indore</v>
      </c>
      <c r="D1000" s="124" t="str">
        <f>IFERROR(__xludf.DUMMYFUNCTION("""COMPUTED_VALUE"""),"Primary_Walkin")</f>
        <v>Primary_Walkin</v>
      </c>
      <c r="E1000" s="124">
        <f>IFERROR(__xludf.DUMMYFUNCTION("""COMPUTED_VALUE"""),2.0)</f>
        <v>2</v>
      </c>
      <c r="F1000" s="124" t="str">
        <f>IFERROR(__xludf.DUMMYFUNCTION("""COMPUTED_VALUE"""),"Warm")</f>
        <v>Warm</v>
      </c>
      <c r="G1000" s="124" t="str">
        <f>IFERROR(__xludf.DUMMYFUNCTION("""COMPUTED_VALUE"""),"State PCS")</f>
        <v>State PCS</v>
      </c>
      <c r="K1000" s="124"/>
      <c r="L1000" s="124"/>
      <c r="M1000" s="124"/>
      <c r="N1000" s="124"/>
      <c r="O1000" s="124"/>
      <c r="T1000" s="129">
        <f>IFERROR(__xludf.DUMMYFUNCTION("""COMPUTED_VALUE"""),46080.0)</f>
        <v>46080</v>
      </c>
      <c r="U1000" s="124" t="str">
        <f>IFERROR(__xludf.DUMMYFUNCTION("""COMPUTED_VALUE"""),"Publisher Campaign")</f>
        <v>Publisher Campaign</v>
      </c>
      <c r="V1000" s="124" t="str">
        <f>IFERROR(__xludf.DUMMYFUNCTION("""COMPUTED_VALUE"""),"Webinar")</f>
        <v>Webinar</v>
      </c>
      <c r="W1000" s="124"/>
      <c r="X1000" s="124"/>
      <c r="Y1000" s="124" t="str">
        <f>IFERROR(__xludf.DUMMYFUNCTION("""COMPUTED_VALUE"""),"Delhi")</f>
        <v>Delhi</v>
      </c>
      <c r="Z1000" s="124">
        <f>IFERROR(__xludf.DUMMYFUNCTION("""COMPUTED_VALUE"""),2.0)</f>
        <v>2</v>
      </c>
      <c r="AA1000" s="124" t="str">
        <f>IFERROR(__xludf.DUMMYFUNCTION("""COMPUTED_VALUE"""),"Warm")</f>
        <v>Warm</v>
      </c>
      <c r="AB1000" s="124" t="str">
        <f>IFERROR(__xludf.DUMMYFUNCTION("""COMPUTED_VALUE"""),"Optionals")</f>
        <v>Optionals</v>
      </c>
    </row>
    <row r="1001">
      <c r="A1001" s="129">
        <f>IFERROR(__xludf.DUMMYFUNCTION("""COMPUTED_VALUE"""),46077.0)</f>
        <v>46077</v>
      </c>
      <c r="B1001" s="124" t="str">
        <f>IFERROR(__xludf.DUMMYFUNCTION("""COMPUTED_VALUE"""),"Walkin")</f>
        <v>Walkin</v>
      </c>
      <c r="C1001" s="124" t="str">
        <f>IFERROR(__xludf.DUMMYFUNCTION("""COMPUTED_VALUE"""),"Indore")</f>
        <v>Indore</v>
      </c>
      <c r="D1001" s="124" t="str">
        <f>IFERROR(__xludf.DUMMYFUNCTION("""COMPUTED_VALUE"""),"Primary_Walkin")</f>
        <v>Primary_Walkin</v>
      </c>
      <c r="E1001" s="124">
        <f>IFERROR(__xludf.DUMMYFUNCTION("""COMPUTED_VALUE"""),1.0)</f>
        <v>1</v>
      </c>
      <c r="F1001" s="124" t="str">
        <f>IFERROR(__xludf.DUMMYFUNCTION("""COMPUTED_VALUE"""),"Not Interested")</f>
        <v>Not Interested</v>
      </c>
      <c r="G1001" s="124" t="str">
        <f>IFERROR(__xludf.DUMMYFUNCTION("""COMPUTED_VALUE"""),"GS Foundation")</f>
        <v>GS Foundation</v>
      </c>
      <c r="K1001" s="124"/>
      <c r="L1001" s="124"/>
      <c r="M1001" s="124"/>
      <c r="N1001" s="124"/>
      <c r="O1001" s="124"/>
      <c r="T1001" s="126">
        <f>IFERROR(__xludf.DUMMYFUNCTION("""COMPUTED_VALUE"""),46071.0)</f>
        <v>46071</v>
      </c>
      <c r="U1001" s="124" t="str">
        <f>IFERROR(__xludf.DUMMYFUNCTION("""COMPUTED_VALUE"""),"Publisher Campaign")</f>
        <v>Publisher Campaign</v>
      </c>
      <c r="V1001" s="124" t="str">
        <f>IFERROR(__xludf.DUMMYFUNCTION("""COMPUTED_VALUE"""),"Feeder Cities")</f>
        <v>Feeder Cities</v>
      </c>
      <c r="W1001" s="124"/>
      <c r="X1001" s="124"/>
      <c r="Y1001" s="124" t="str">
        <f>IFERROR(__xludf.DUMMYFUNCTION("""COMPUTED_VALUE"""),"Indore")</f>
        <v>Indore</v>
      </c>
      <c r="Z1001" s="124">
        <f>IFERROR(__xludf.DUMMYFUNCTION("""COMPUTED_VALUE"""),2.0)</f>
        <v>2</v>
      </c>
      <c r="AA1001" s="124" t="str">
        <f>IFERROR(__xludf.DUMMYFUNCTION("""COMPUTED_VALUE"""),"Not Interested")</f>
        <v>Not Interested</v>
      </c>
      <c r="AB1001" s="124" t="str">
        <f>IFERROR(__xludf.DUMMYFUNCTION("""COMPUTED_VALUE"""),"Test Series")</f>
        <v>Test Series</v>
      </c>
    </row>
    <row r="1002">
      <c r="A1002" s="129">
        <f>IFERROR(__xludf.DUMMYFUNCTION("""COMPUTED_VALUE"""),46061.0)</f>
        <v>46061</v>
      </c>
      <c r="B1002" s="124" t="str">
        <f>IFERROR(__xludf.DUMMYFUNCTION("""COMPUTED_VALUE"""),"Walkin")</f>
        <v>Walkin</v>
      </c>
      <c r="C1002" s="124" t="str">
        <f>IFERROR(__xludf.DUMMYFUNCTION("""COMPUTED_VALUE"""),"Indore")</f>
        <v>Indore</v>
      </c>
      <c r="D1002" s="124" t="str">
        <f>IFERROR(__xludf.DUMMYFUNCTION("""COMPUTED_VALUE"""),"Primary_Walkin")</f>
        <v>Primary_Walkin</v>
      </c>
      <c r="E1002" s="124">
        <f>IFERROR(__xludf.DUMMYFUNCTION("""COMPUTED_VALUE"""),1.0)</f>
        <v>1</v>
      </c>
      <c r="F1002" s="124" t="str">
        <f>IFERROR(__xludf.DUMMYFUNCTION("""COMPUTED_VALUE"""),"Future Prospects")</f>
        <v>Future Prospects</v>
      </c>
      <c r="G1002" s="124" t="str">
        <f>IFERROR(__xludf.DUMMYFUNCTION("""COMPUTED_VALUE"""),"State PCS")</f>
        <v>State PCS</v>
      </c>
      <c r="K1002" s="124"/>
      <c r="L1002" s="124"/>
      <c r="M1002" s="124"/>
      <c r="N1002" s="124"/>
      <c r="O1002" s="124"/>
      <c r="T1002" s="126">
        <f>IFERROR(__xludf.DUMMYFUNCTION("""COMPUTED_VALUE"""),46106.0)</f>
        <v>46106</v>
      </c>
      <c r="U1002" s="124" t="str">
        <f>IFERROR(__xludf.DUMMYFUNCTION("""COMPUTED_VALUE"""),"Publisher Campaign")</f>
        <v>Publisher Campaign</v>
      </c>
      <c r="V1002" s="124" t="str">
        <f>IFERROR(__xludf.DUMMYFUNCTION("""COMPUTED_VALUE"""),"BTL Activities")</f>
        <v>BTL Activities</v>
      </c>
      <c r="W1002" s="124"/>
      <c r="X1002" s="124"/>
      <c r="Y1002" s="124" t="str">
        <f>IFERROR(__xludf.DUMMYFUNCTION("""COMPUTED_VALUE"""),"Indore")</f>
        <v>Indore</v>
      </c>
      <c r="Z1002" s="124">
        <f>IFERROR(__xludf.DUMMYFUNCTION("""COMPUTED_VALUE"""),1.0)</f>
        <v>1</v>
      </c>
      <c r="AA1002" s="124" t="str">
        <f>IFERROR(__xludf.DUMMYFUNCTION("""COMPUTED_VALUE"""),"Cold")</f>
        <v>Cold</v>
      </c>
      <c r="AB1002" s="124" t="str">
        <f>IFERROR(__xludf.DUMMYFUNCTION("""COMPUTED_VALUE"""),"GS Foundation")</f>
        <v>GS Foundation</v>
      </c>
    </row>
    <row r="1003">
      <c r="A1003" s="126">
        <f>IFERROR(__xludf.DUMMYFUNCTION("""COMPUTED_VALUE"""),46046.0)</f>
        <v>46046</v>
      </c>
      <c r="B1003" s="124" t="str">
        <f>IFERROR(__xludf.DUMMYFUNCTION("""COMPUTED_VALUE"""),"Walkin")</f>
        <v>Walkin</v>
      </c>
      <c r="C1003" s="124" t="str">
        <f>IFERROR(__xludf.DUMMYFUNCTION("""COMPUTED_VALUE"""),"Indore")</f>
        <v>Indore</v>
      </c>
      <c r="D1003" s="124" t="str">
        <f>IFERROR(__xludf.DUMMYFUNCTION("""COMPUTED_VALUE"""),"Primary_Walkin")</f>
        <v>Primary_Walkin</v>
      </c>
      <c r="E1003" s="124">
        <f>IFERROR(__xludf.DUMMYFUNCTION("""COMPUTED_VALUE"""),1.0)</f>
        <v>1</v>
      </c>
      <c r="F1003" s="124" t="str">
        <f>IFERROR(__xludf.DUMMYFUNCTION("""COMPUTED_VALUE"""),"Cold")</f>
        <v>Cold</v>
      </c>
      <c r="G1003" s="124" t="str">
        <f>IFERROR(__xludf.DUMMYFUNCTION("""COMPUTED_VALUE"""),"Prelims Crash Course - SIP")</f>
        <v>Prelims Crash Course - SIP</v>
      </c>
      <c r="K1003" s="124"/>
      <c r="L1003" s="124"/>
      <c r="M1003" s="124"/>
      <c r="N1003" s="124"/>
      <c r="O1003" s="124"/>
      <c r="T1003" s="126">
        <f>IFERROR(__xludf.DUMMYFUNCTION("""COMPUTED_VALUE"""),46060.0)</f>
        <v>46060</v>
      </c>
      <c r="U1003" s="124" t="str">
        <f>IFERROR(__xludf.DUMMYFUNCTION("""COMPUTED_VALUE"""),"Publisher Campaign")</f>
        <v>Publisher Campaign</v>
      </c>
      <c r="V1003" s="124" t="str">
        <f>IFERROR(__xludf.DUMMYFUNCTION("""COMPUTED_VALUE"""),"Webinar")</f>
        <v>Webinar</v>
      </c>
      <c r="W1003" s="124"/>
      <c r="X1003" s="124"/>
      <c r="Y1003" s="124" t="str">
        <f>IFERROR(__xludf.DUMMYFUNCTION("""COMPUTED_VALUE"""),"Delhi")</f>
        <v>Delhi</v>
      </c>
      <c r="Z1003" s="124">
        <f>IFERROR(__xludf.DUMMYFUNCTION("""COMPUTED_VALUE"""),2.0)</f>
        <v>2</v>
      </c>
      <c r="AA1003" s="124" t="str">
        <f>IFERROR(__xludf.DUMMYFUNCTION("""COMPUTED_VALUE"""),"Cold")</f>
        <v>Cold</v>
      </c>
      <c r="AB1003" s="124" t="str">
        <f>IFERROR(__xludf.DUMMYFUNCTION("""COMPUTED_VALUE"""),"GS Advanced")</f>
        <v>GS Advanced</v>
      </c>
    </row>
    <row r="1004">
      <c r="A1004" s="126">
        <f>IFERROR(__xludf.DUMMYFUNCTION("""COMPUTED_VALUE"""),46052.0)</f>
        <v>46052</v>
      </c>
      <c r="B1004" s="124" t="str">
        <f>IFERROR(__xludf.DUMMYFUNCTION("""COMPUTED_VALUE"""),"Walkin")</f>
        <v>Walkin</v>
      </c>
      <c r="C1004" s="124" t="str">
        <f>IFERROR(__xludf.DUMMYFUNCTION("""COMPUTED_VALUE"""),"Indore")</f>
        <v>Indore</v>
      </c>
      <c r="D1004" s="124" t="str">
        <f>IFERROR(__xludf.DUMMYFUNCTION("""COMPUTED_VALUE"""),"Primary_Walkin")</f>
        <v>Primary_Walkin</v>
      </c>
      <c r="E1004" s="124">
        <f>IFERROR(__xludf.DUMMYFUNCTION("""COMPUTED_VALUE"""),2.0)</f>
        <v>2</v>
      </c>
      <c r="F1004" s="124" t="str">
        <f>IFERROR(__xludf.DUMMYFUNCTION("""COMPUTED_VALUE"""),"Cold")</f>
        <v>Cold</v>
      </c>
      <c r="G1004" s="124" t="str">
        <f>IFERROR(__xludf.DUMMYFUNCTION("""COMPUTED_VALUE"""),"GS Foundation")</f>
        <v>GS Foundation</v>
      </c>
      <c r="K1004" s="124"/>
      <c r="L1004" s="124"/>
      <c r="M1004" s="124"/>
      <c r="N1004" s="124"/>
      <c r="O1004" s="124"/>
      <c r="T1004" s="126">
        <f>IFERROR(__xludf.DUMMYFUNCTION("""COMPUTED_VALUE"""),46078.0)</f>
        <v>46078</v>
      </c>
      <c r="U1004" s="124" t="str">
        <f>IFERROR(__xludf.DUMMYFUNCTION("""COMPUTED_VALUE"""),"Publisher Campaign")</f>
        <v>Publisher Campaign</v>
      </c>
      <c r="V1004" s="124" t="str">
        <f>IFERROR(__xludf.DUMMYFUNCTION("""COMPUTED_VALUE"""),"Webinar")</f>
        <v>Webinar</v>
      </c>
      <c r="W1004" s="124"/>
      <c r="X1004" s="124"/>
      <c r="Y1004" s="124" t="str">
        <f>IFERROR(__xludf.DUMMYFUNCTION("""COMPUTED_VALUE"""),"Delhi")</f>
        <v>Delhi</v>
      </c>
      <c r="Z1004" s="124">
        <f>IFERROR(__xludf.DUMMYFUNCTION("""COMPUTED_VALUE"""),1.0)</f>
        <v>1</v>
      </c>
      <c r="AA1004" s="124" t="str">
        <f>IFERROR(__xludf.DUMMYFUNCTION("""COMPUTED_VALUE"""),"Warm")</f>
        <v>Warm</v>
      </c>
      <c r="AB1004" s="124" t="str">
        <f>IFERROR(__xludf.DUMMYFUNCTION("""COMPUTED_VALUE"""),"Hybrid")</f>
        <v>Hybrid</v>
      </c>
    </row>
    <row r="1005">
      <c r="A1005" s="126">
        <f>IFERROR(__xludf.DUMMYFUNCTION("""COMPUTED_VALUE"""),46046.0)</f>
        <v>46046</v>
      </c>
      <c r="B1005" s="124" t="str">
        <f>IFERROR(__xludf.DUMMYFUNCTION("""COMPUTED_VALUE"""),"Walkin")</f>
        <v>Walkin</v>
      </c>
      <c r="C1005" s="124" t="str">
        <f>IFERROR(__xludf.DUMMYFUNCTION("""COMPUTED_VALUE"""),"Indore")</f>
        <v>Indore</v>
      </c>
      <c r="D1005" s="124" t="str">
        <f>IFERROR(__xludf.DUMMYFUNCTION("""COMPUTED_VALUE"""),"Primary_Walkin")</f>
        <v>Primary_Walkin</v>
      </c>
      <c r="E1005" s="124">
        <f>IFERROR(__xludf.DUMMYFUNCTION("""COMPUTED_VALUE"""),4.0)</f>
        <v>4</v>
      </c>
      <c r="F1005" s="124" t="str">
        <f>IFERROR(__xludf.DUMMYFUNCTION("""COMPUTED_VALUE"""),"Enrolled")</f>
        <v>Enrolled</v>
      </c>
      <c r="G1005" s="124" t="str">
        <f>IFERROR(__xludf.DUMMYFUNCTION("""COMPUTED_VALUE"""),"GS Foundation")</f>
        <v>GS Foundation</v>
      </c>
      <c r="K1005" s="124"/>
      <c r="L1005" s="124"/>
      <c r="M1005" s="124"/>
      <c r="N1005" s="124"/>
      <c r="O1005" s="124"/>
      <c r="T1005" s="126">
        <f>IFERROR(__xludf.DUMMYFUNCTION("""COMPUTED_VALUE"""),46061.0)</f>
        <v>46061</v>
      </c>
      <c r="U1005" s="124" t="str">
        <f>IFERROR(__xludf.DUMMYFUNCTION("""COMPUTED_VALUE"""),"Publisher Campaign")</f>
        <v>Publisher Campaign</v>
      </c>
      <c r="V1005" s="124" t="str">
        <f>IFERROR(__xludf.DUMMYFUNCTION("""COMPUTED_VALUE"""),"Webinar")</f>
        <v>Webinar</v>
      </c>
      <c r="W1005" s="124"/>
      <c r="X1005" s="124"/>
      <c r="Y1005" s="124" t="str">
        <f>IFERROR(__xludf.DUMMYFUNCTION("""COMPUTED_VALUE"""),"Delhi")</f>
        <v>Delhi</v>
      </c>
      <c r="Z1005" s="124">
        <f>IFERROR(__xludf.DUMMYFUNCTION("""COMPUTED_VALUE"""),4.0)</f>
        <v>4</v>
      </c>
      <c r="AA1005" s="124" t="str">
        <f>IFERROR(__xludf.DUMMYFUNCTION("""COMPUTED_VALUE"""),"Cold")</f>
        <v>Cold</v>
      </c>
      <c r="AB1005" s="124" t="str">
        <f>IFERROR(__xludf.DUMMYFUNCTION("""COMPUTED_VALUE"""),"Hybrid")</f>
        <v>Hybrid</v>
      </c>
    </row>
    <row r="1006">
      <c r="A1006" s="126">
        <f>IFERROR(__xludf.DUMMYFUNCTION("""COMPUTED_VALUE"""),46053.0)</f>
        <v>46053</v>
      </c>
      <c r="B1006" s="124" t="str">
        <f>IFERROR(__xludf.DUMMYFUNCTION("""COMPUTED_VALUE"""),"Walkin")</f>
        <v>Walkin</v>
      </c>
      <c r="C1006" s="124" t="str">
        <f>IFERROR(__xludf.DUMMYFUNCTION("""COMPUTED_VALUE"""),"Lucknow")</f>
        <v>Lucknow</v>
      </c>
      <c r="D1006" s="124" t="str">
        <f>IFERROR(__xludf.DUMMYFUNCTION("""COMPUTED_VALUE"""),"Primary_Walkin")</f>
        <v>Primary_Walkin</v>
      </c>
      <c r="E1006" s="124">
        <f>IFERROR(__xludf.DUMMYFUNCTION("""COMPUTED_VALUE"""),1.0)</f>
        <v>1</v>
      </c>
      <c r="F1006" s="124" t="str">
        <f>IFERROR(__xludf.DUMMYFUNCTION("""COMPUTED_VALUE"""),"Cold")</f>
        <v>Cold</v>
      </c>
      <c r="G1006" s="124" t="str">
        <f>IFERROR(__xludf.DUMMYFUNCTION("""COMPUTED_VALUE"""),"State PCS")</f>
        <v>State PCS</v>
      </c>
      <c r="K1006" s="124"/>
      <c r="L1006" s="124"/>
      <c r="M1006" s="124"/>
      <c r="N1006" s="124"/>
      <c r="O1006" s="124"/>
      <c r="T1006" s="126">
        <f>IFERROR(__xludf.DUMMYFUNCTION("""COMPUTED_VALUE"""),46108.0)</f>
        <v>46108</v>
      </c>
      <c r="U1006" s="124" t="str">
        <f>IFERROR(__xludf.DUMMYFUNCTION("""COMPUTED_VALUE"""),"Publisher Campaign")</f>
        <v>Publisher Campaign</v>
      </c>
      <c r="V1006" s="124" t="str">
        <f>IFERROR(__xludf.DUMMYFUNCTION("""COMPUTED_VALUE"""),"Webinar")</f>
        <v>Webinar</v>
      </c>
      <c r="W1006" s="124"/>
      <c r="X1006" s="124"/>
      <c r="Y1006" s="124" t="str">
        <f>IFERROR(__xludf.DUMMYFUNCTION("""COMPUTED_VALUE"""),"Delhi")</f>
        <v>Delhi</v>
      </c>
      <c r="Z1006" s="124">
        <f>IFERROR(__xludf.DUMMYFUNCTION("""COMPUTED_VALUE"""),1.0)</f>
        <v>1</v>
      </c>
      <c r="AA1006" s="124"/>
      <c r="AB1006" s="124" t="str">
        <f>IFERROR(__xludf.DUMMYFUNCTION("""COMPUTED_VALUE"""),"GS Foundation")</f>
        <v>GS Foundation</v>
      </c>
    </row>
    <row r="1007">
      <c r="A1007" s="126">
        <f>IFERROR(__xludf.DUMMYFUNCTION("""COMPUTED_VALUE"""),46069.0)</f>
        <v>46069</v>
      </c>
      <c r="B1007" s="124" t="str">
        <f>IFERROR(__xludf.DUMMYFUNCTION("""COMPUTED_VALUE"""),"Walkin")</f>
        <v>Walkin</v>
      </c>
      <c r="C1007" s="124" t="str">
        <f>IFERROR(__xludf.DUMMYFUNCTION("""COMPUTED_VALUE"""),"Indore")</f>
        <v>Indore</v>
      </c>
      <c r="D1007" s="124" t="str">
        <f>IFERROR(__xludf.DUMMYFUNCTION("""COMPUTED_VALUE"""),"Primary_Walkin")</f>
        <v>Primary_Walkin</v>
      </c>
      <c r="E1007" s="124">
        <f>IFERROR(__xludf.DUMMYFUNCTION("""COMPUTED_VALUE"""),1.0)</f>
        <v>1</v>
      </c>
      <c r="F1007" s="124" t="str">
        <f>IFERROR(__xludf.DUMMYFUNCTION("""COMPUTED_VALUE"""),"Enrolled")</f>
        <v>Enrolled</v>
      </c>
      <c r="G1007" s="124" t="str">
        <f>IFERROR(__xludf.DUMMYFUNCTION("""COMPUTED_VALUE"""),"GS Foundation")</f>
        <v>GS Foundation</v>
      </c>
      <c r="K1007" s="124"/>
      <c r="L1007" s="124"/>
      <c r="M1007" s="124"/>
      <c r="N1007" s="124"/>
      <c r="O1007" s="124"/>
      <c r="T1007" s="126">
        <f>IFERROR(__xludf.DUMMYFUNCTION("""COMPUTED_VALUE"""),46061.0)</f>
        <v>46061</v>
      </c>
      <c r="U1007" s="124" t="str">
        <f>IFERROR(__xludf.DUMMYFUNCTION("""COMPUTED_VALUE"""),"Publisher Campaign")</f>
        <v>Publisher Campaign</v>
      </c>
      <c r="V1007" s="124" t="str">
        <f>IFERROR(__xludf.DUMMYFUNCTION("""COMPUTED_VALUE"""),"Webinar")</f>
        <v>Webinar</v>
      </c>
      <c r="W1007" s="124"/>
      <c r="X1007" s="124"/>
      <c r="Y1007" s="124" t="str">
        <f>IFERROR(__xludf.DUMMYFUNCTION("""COMPUTED_VALUE"""),"Delhi")</f>
        <v>Delhi</v>
      </c>
      <c r="Z1007" s="124">
        <f>IFERROR(__xludf.DUMMYFUNCTION("""COMPUTED_VALUE"""),2.0)</f>
        <v>2</v>
      </c>
      <c r="AA1007" s="124" t="str">
        <f>IFERROR(__xludf.DUMMYFUNCTION("""COMPUTED_VALUE"""),"Not Interested")</f>
        <v>Not Interested</v>
      </c>
      <c r="AB1007" s="124" t="str">
        <f>IFERROR(__xludf.DUMMYFUNCTION("""COMPUTED_VALUE"""),"State PCS")</f>
        <v>State PCS</v>
      </c>
    </row>
    <row r="1008">
      <c r="A1008" s="129">
        <f>IFERROR(__xludf.DUMMYFUNCTION("""COMPUTED_VALUE"""),46045.0)</f>
        <v>46045</v>
      </c>
      <c r="B1008" s="124" t="str">
        <f>IFERROR(__xludf.DUMMYFUNCTION("""COMPUTED_VALUE"""),"Walkin")</f>
        <v>Walkin</v>
      </c>
      <c r="C1008" s="124" t="str">
        <f>IFERROR(__xludf.DUMMYFUNCTION("""COMPUTED_VALUE"""),"Indore")</f>
        <v>Indore</v>
      </c>
      <c r="D1008" s="124" t="str">
        <f>IFERROR(__xludf.DUMMYFUNCTION("""COMPUTED_VALUE"""),"Primary_Walkin")</f>
        <v>Primary_Walkin</v>
      </c>
      <c r="E1008" s="124">
        <f>IFERROR(__xludf.DUMMYFUNCTION("""COMPUTED_VALUE"""),1.0)</f>
        <v>1</v>
      </c>
      <c r="F1008" s="124" t="str">
        <f>IFERROR(__xludf.DUMMYFUNCTION("""COMPUTED_VALUE"""),"Enrolled")</f>
        <v>Enrolled</v>
      </c>
      <c r="G1008" s="124" t="str">
        <f>IFERROR(__xludf.DUMMYFUNCTION("""COMPUTED_VALUE"""),"State PCS")</f>
        <v>State PCS</v>
      </c>
      <c r="K1008" s="124"/>
      <c r="L1008" s="124"/>
      <c r="M1008" s="124"/>
      <c r="N1008" s="124"/>
      <c r="O1008" s="124"/>
      <c r="T1008" s="126">
        <f>IFERROR(__xludf.DUMMYFUNCTION("""COMPUTED_VALUE"""),46112.0)</f>
        <v>46112</v>
      </c>
      <c r="U1008" s="124" t="str">
        <f>IFERROR(__xludf.DUMMYFUNCTION("""COMPUTED_VALUE"""),"Libraries")</f>
        <v>Libraries</v>
      </c>
      <c r="V1008" s="124" t="str">
        <f>IFERROR(__xludf.DUMMYFUNCTION("""COMPUTED_VALUE"""),"Libraries")</f>
        <v>Libraries</v>
      </c>
      <c r="W1008" s="124"/>
      <c r="X1008" s="124"/>
      <c r="Y1008" s="124" t="str">
        <f>IFERROR(__xludf.DUMMYFUNCTION("""COMPUTED_VALUE"""),"Prayagraj")</f>
        <v>Prayagraj</v>
      </c>
      <c r="Z1008" s="124">
        <f>IFERROR(__xludf.DUMMYFUNCTION("""COMPUTED_VALUE"""),1.0)</f>
        <v>1</v>
      </c>
      <c r="AA1008" s="124"/>
      <c r="AB1008" s="124" t="str">
        <f>IFERROR(__xludf.DUMMYFUNCTION("""COMPUTED_VALUE"""),"State PCS")</f>
        <v>State PCS</v>
      </c>
    </row>
    <row r="1009">
      <c r="A1009" s="129">
        <f>IFERROR(__xludf.DUMMYFUNCTION("""COMPUTED_VALUE"""),46109.0)</f>
        <v>46109</v>
      </c>
      <c r="B1009" s="124" t="str">
        <f>IFERROR(__xludf.DUMMYFUNCTION("""COMPUTED_VALUE"""),"external leads")</f>
        <v>external leads</v>
      </c>
      <c r="C1009" s="124" t="str">
        <f>IFERROR(__xludf.DUMMYFUNCTION("""COMPUTED_VALUE"""),"Indore")</f>
        <v>Indore</v>
      </c>
      <c r="D1009" s="124" t="str">
        <f>IFERROR(__xludf.DUMMYFUNCTION("""COMPUTED_VALUE"""),"Secondary_Walkin")</f>
        <v>Secondary_Walkin</v>
      </c>
      <c r="E1009" s="124">
        <f>IFERROR(__xludf.DUMMYFUNCTION("""COMPUTED_VALUE"""),1.0)</f>
        <v>1</v>
      </c>
      <c r="F1009" s="124" t="str">
        <f>IFERROR(__xludf.DUMMYFUNCTION("""COMPUTED_VALUE"""),"Not Interested")</f>
        <v>Not Interested</v>
      </c>
      <c r="G1009" s="124" t="str">
        <f>IFERROR(__xludf.DUMMYFUNCTION("""COMPUTED_VALUE"""),"Other")</f>
        <v>Other</v>
      </c>
      <c r="K1009" s="124"/>
      <c r="L1009" s="124"/>
      <c r="M1009" s="124"/>
      <c r="N1009" s="124"/>
      <c r="O1009" s="124"/>
      <c r="T1009" s="126">
        <f>IFERROR(__xludf.DUMMYFUNCTION("""COMPUTED_VALUE"""),46058.0)</f>
        <v>46058</v>
      </c>
      <c r="U1009" s="124" t="str">
        <f>IFERROR(__xludf.DUMMYFUNCTION("""COMPUTED_VALUE"""),"Publisher Campaign")</f>
        <v>Publisher Campaign</v>
      </c>
      <c r="V1009" s="124" t="str">
        <f>IFERROR(__xludf.DUMMYFUNCTION("""COMPUTED_VALUE"""),"Feeder Cities")</f>
        <v>Feeder Cities</v>
      </c>
      <c r="W1009" s="124"/>
      <c r="X1009" s="124"/>
      <c r="Y1009" s="124" t="str">
        <f>IFERROR(__xludf.DUMMYFUNCTION("""COMPUTED_VALUE"""),"Indore")</f>
        <v>Indore</v>
      </c>
      <c r="Z1009" s="124">
        <f>IFERROR(__xludf.DUMMYFUNCTION("""COMPUTED_VALUE"""),7.0)</f>
        <v>7</v>
      </c>
      <c r="AA1009" s="124" t="str">
        <f>IFERROR(__xludf.DUMMYFUNCTION("""COMPUTED_VALUE"""),"Cold")</f>
        <v>Cold</v>
      </c>
      <c r="AB1009" s="124" t="str">
        <f>IFERROR(__xludf.DUMMYFUNCTION("""COMPUTED_VALUE"""),"GS Foundation")</f>
        <v>GS Foundation</v>
      </c>
    </row>
    <row r="1010">
      <c r="A1010" s="126">
        <f>IFERROR(__xludf.DUMMYFUNCTION("""COMPUTED_VALUE"""),46111.0)</f>
        <v>46111</v>
      </c>
      <c r="B1010" s="124" t="str">
        <f>IFERROR(__xludf.DUMMYFUNCTION("""COMPUTED_VALUE"""),"Walkin")</f>
        <v>Walkin</v>
      </c>
      <c r="C1010" s="124" t="str">
        <f>IFERROR(__xludf.DUMMYFUNCTION("""COMPUTED_VALUE"""),"Lucknow")</f>
        <v>Lucknow</v>
      </c>
      <c r="D1010" s="124" t="str">
        <f>IFERROR(__xludf.DUMMYFUNCTION("""COMPUTED_VALUE"""),"Primary_Walkin")</f>
        <v>Primary_Walkin</v>
      </c>
      <c r="E1010" s="124">
        <f>IFERROR(__xludf.DUMMYFUNCTION("""COMPUTED_VALUE"""),1.0)</f>
        <v>1</v>
      </c>
      <c r="F1010" s="124" t="str">
        <f>IFERROR(__xludf.DUMMYFUNCTION("""COMPUTED_VALUE"""),"Cold")</f>
        <v>Cold</v>
      </c>
      <c r="G1010" s="124" t="str">
        <f>IFERROR(__xludf.DUMMYFUNCTION("""COMPUTED_VALUE"""),"State PCS")</f>
        <v>State PCS</v>
      </c>
      <c r="K1010" s="124"/>
      <c r="L1010" s="124"/>
      <c r="M1010" s="124"/>
      <c r="N1010" s="124"/>
      <c r="O1010" s="124"/>
      <c r="T1010" s="126">
        <f>IFERROR(__xludf.DUMMYFUNCTION("""COMPUTED_VALUE"""),46100.0)</f>
        <v>46100</v>
      </c>
      <c r="U1010" s="124" t="str">
        <f>IFERROR(__xludf.DUMMYFUNCTION("""COMPUTED_VALUE"""),"Publisher Campaign")</f>
        <v>Publisher Campaign</v>
      </c>
      <c r="V1010" s="124" t="str">
        <f>IFERROR(__xludf.DUMMYFUNCTION("""COMPUTED_VALUE"""),"Institutions")</f>
        <v>Institutions</v>
      </c>
      <c r="W1010" s="124"/>
      <c r="X1010" s="124"/>
      <c r="Y1010" s="124" t="str">
        <f>IFERROR(__xludf.DUMMYFUNCTION("""COMPUTED_VALUE"""),"Indore")</f>
        <v>Indore</v>
      </c>
      <c r="Z1010" s="124">
        <f>IFERROR(__xludf.DUMMYFUNCTION("""COMPUTED_VALUE"""),1.0)</f>
        <v>1</v>
      </c>
      <c r="AA1010" s="124" t="str">
        <f>IFERROR(__xludf.DUMMYFUNCTION("""COMPUTED_VALUE"""),"Warm")</f>
        <v>Warm</v>
      </c>
      <c r="AB1010" s="124" t="str">
        <f>IFERROR(__xludf.DUMMYFUNCTION("""COMPUTED_VALUE"""),"Other")</f>
        <v>Other</v>
      </c>
    </row>
    <row r="1011">
      <c r="A1011" s="126">
        <f>IFERROR(__xludf.DUMMYFUNCTION("""COMPUTED_VALUE"""),46044.0)</f>
        <v>46044</v>
      </c>
      <c r="B1011" s="124" t="str">
        <f>IFERROR(__xludf.DUMMYFUNCTION("""COMPUTED_VALUE"""),"Walkin")</f>
        <v>Walkin</v>
      </c>
      <c r="C1011" s="124" t="str">
        <f>IFERROR(__xludf.DUMMYFUNCTION("""COMPUTED_VALUE"""),"Lucknow")</f>
        <v>Lucknow</v>
      </c>
      <c r="D1011" s="124" t="str">
        <f>IFERROR(__xludf.DUMMYFUNCTION("""COMPUTED_VALUE"""),"Primary_Walkin")</f>
        <v>Primary_Walkin</v>
      </c>
      <c r="E1011" s="124">
        <f>IFERROR(__xludf.DUMMYFUNCTION("""COMPUTED_VALUE"""),1.0)</f>
        <v>1</v>
      </c>
      <c r="F1011" s="124" t="str">
        <f>IFERROR(__xludf.DUMMYFUNCTION("""COMPUTED_VALUE"""),"Not Interested")</f>
        <v>Not Interested</v>
      </c>
      <c r="G1011" s="124" t="str">
        <f>IFERROR(__xludf.DUMMYFUNCTION("""COMPUTED_VALUE"""),"GS Foundation")</f>
        <v>GS Foundation</v>
      </c>
      <c r="K1011" s="124"/>
      <c r="L1011" s="124"/>
      <c r="M1011" s="124"/>
      <c r="N1011" s="124"/>
      <c r="O1011" s="124"/>
      <c r="T1011" s="126">
        <f>IFERROR(__xludf.DUMMYFUNCTION("""COMPUTED_VALUE"""),46057.0)</f>
        <v>46057</v>
      </c>
      <c r="U1011" s="124" t="str">
        <f>IFERROR(__xludf.DUMMYFUNCTION("""COMPUTED_VALUE"""),"Publisher Campaign")</f>
        <v>Publisher Campaign</v>
      </c>
      <c r="V1011" s="124" t="str">
        <f>IFERROR(__xludf.DUMMYFUNCTION("""COMPUTED_VALUE"""),"Feeder Cities")</f>
        <v>Feeder Cities</v>
      </c>
      <c r="W1011" s="124"/>
      <c r="X1011" s="124"/>
      <c r="Y1011" s="124" t="str">
        <f>IFERROR(__xludf.DUMMYFUNCTION("""COMPUTED_VALUE"""),"Indore")</f>
        <v>Indore</v>
      </c>
      <c r="Z1011" s="124">
        <f>IFERROR(__xludf.DUMMYFUNCTION("""COMPUTED_VALUE"""),9.0)</f>
        <v>9</v>
      </c>
      <c r="AA1011" s="124" t="str">
        <f>IFERROR(__xludf.DUMMYFUNCTION("""COMPUTED_VALUE"""),"Cold")</f>
        <v>Cold</v>
      </c>
      <c r="AB1011" s="124" t="str">
        <f>IFERROR(__xludf.DUMMYFUNCTION("""COMPUTED_VALUE"""),"State PCS")</f>
        <v>State PCS</v>
      </c>
    </row>
    <row r="1012">
      <c r="A1012" s="126">
        <f>IFERROR(__xludf.DUMMYFUNCTION("""COMPUTED_VALUE"""),46098.0)</f>
        <v>46098</v>
      </c>
      <c r="B1012" s="124" t="str">
        <f>IFERROR(__xludf.DUMMYFUNCTION("""COMPUTED_VALUE"""),"Walkin")</f>
        <v>Walkin</v>
      </c>
      <c r="C1012" s="124" t="str">
        <f>IFERROR(__xludf.DUMMYFUNCTION("""COMPUTED_VALUE"""),"Indore")</f>
        <v>Indore</v>
      </c>
      <c r="D1012" s="124" t="str">
        <f>IFERROR(__xludf.DUMMYFUNCTION("""COMPUTED_VALUE"""),"Primary_Walkin")</f>
        <v>Primary_Walkin</v>
      </c>
      <c r="E1012" s="124">
        <f>IFERROR(__xludf.DUMMYFUNCTION("""COMPUTED_VALUE"""),2.0)</f>
        <v>2</v>
      </c>
      <c r="F1012" s="124" t="str">
        <f>IFERROR(__xludf.DUMMYFUNCTION("""COMPUTED_VALUE"""),"Not Interested")</f>
        <v>Not Interested</v>
      </c>
      <c r="G1012" s="124" t="str">
        <f>IFERROR(__xludf.DUMMYFUNCTION("""COMPUTED_VALUE"""),"State PCS")</f>
        <v>State PCS</v>
      </c>
      <c r="K1012" s="124"/>
      <c r="L1012" s="124"/>
      <c r="M1012" s="124"/>
      <c r="N1012" s="124"/>
      <c r="O1012" s="124"/>
      <c r="T1012" s="129">
        <f>IFERROR(__xludf.DUMMYFUNCTION("""COMPUTED_VALUE"""),46080.0)</f>
        <v>46080</v>
      </c>
      <c r="U1012" s="124" t="str">
        <f>IFERROR(__xludf.DUMMYFUNCTION("""COMPUTED_VALUE"""),"Publisher Campaign")</f>
        <v>Publisher Campaign</v>
      </c>
      <c r="V1012" s="124" t="str">
        <f>IFERROR(__xludf.DUMMYFUNCTION("""COMPUTED_VALUE"""),"Webinar")</f>
        <v>Webinar</v>
      </c>
      <c r="W1012" s="124"/>
      <c r="X1012" s="124"/>
      <c r="Y1012" s="124" t="str">
        <f>IFERROR(__xludf.DUMMYFUNCTION("""COMPUTED_VALUE"""),"Lucknow")</f>
        <v>Lucknow</v>
      </c>
      <c r="Z1012" s="124">
        <f>IFERROR(__xludf.DUMMYFUNCTION("""COMPUTED_VALUE"""),1.0)</f>
        <v>1</v>
      </c>
      <c r="AA1012" s="124" t="str">
        <f>IFERROR(__xludf.DUMMYFUNCTION("""COMPUTED_VALUE"""),"Cold")</f>
        <v>Cold</v>
      </c>
      <c r="AB1012" s="124" t="str">
        <f>IFERROR(__xludf.DUMMYFUNCTION("""COMPUTED_VALUE"""),"SIM")</f>
        <v>SIM</v>
      </c>
    </row>
    <row r="1013">
      <c r="A1013" s="126">
        <f>IFERROR(__xludf.DUMMYFUNCTION("""COMPUTED_VALUE"""),46108.0)</f>
        <v>46108</v>
      </c>
      <c r="B1013" s="124" t="str">
        <f>IFERROR(__xludf.DUMMYFUNCTION("""COMPUTED_VALUE"""),"Walkin")</f>
        <v>Walkin</v>
      </c>
      <c r="C1013" s="124" t="str">
        <f>IFERROR(__xludf.DUMMYFUNCTION("""COMPUTED_VALUE"""),"Patna")</f>
        <v>Patna</v>
      </c>
      <c r="D1013" s="124" t="str">
        <f>IFERROR(__xludf.DUMMYFUNCTION("""COMPUTED_VALUE"""),"Primary_Walkin")</f>
        <v>Primary_Walkin</v>
      </c>
      <c r="E1013" s="124">
        <f>IFERROR(__xludf.DUMMYFUNCTION("""COMPUTED_VALUE"""),2.0)</f>
        <v>2</v>
      </c>
      <c r="F1013" s="124" t="str">
        <f>IFERROR(__xludf.DUMMYFUNCTION("""COMPUTED_VALUE"""),"Future Prospects")</f>
        <v>Future Prospects</v>
      </c>
      <c r="G1013" s="124" t="str">
        <f>IFERROR(__xludf.DUMMYFUNCTION("""COMPUTED_VALUE"""),"State PCS")</f>
        <v>State PCS</v>
      </c>
      <c r="K1013" s="124"/>
      <c r="L1013" s="124"/>
      <c r="M1013" s="124"/>
      <c r="N1013" s="124"/>
      <c r="O1013" s="124"/>
      <c r="T1013" s="126">
        <f>IFERROR(__xludf.DUMMYFUNCTION("""COMPUTED_VALUE"""),46090.0)</f>
        <v>46090</v>
      </c>
      <c r="U1013" s="124" t="str">
        <f>IFERROR(__xludf.DUMMYFUNCTION("""COMPUTED_VALUE"""),"Walk-Ins")</f>
        <v>Walk-Ins</v>
      </c>
      <c r="V1013" s="124" t="str">
        <f>IFERROR(__xludf.DUMMYFUNCTION("""COMPUTED_VALUE"""),"Walkin")</f>
        <v>Walkin</v>
      </c>
      <c r="W1013" s="124"/>
      <c r="X1013" s="124"/>
      <c r="Y1013" s="124" t="str">
        <f>IFERROR(__xludf.DUMMYFUNCTION("""COMPUTED_VALUE"""),"Delhi")</f>
        <v>Delhi</v>
      </c>
      <c r="Z1013" s="124">
        <f>IFERROR(__xludf.DUMMYFUNCTION("""COMPUTED_VALUE"""),1.0)</f>
        <v>1</v>
      </c>
      <c r="AA1013" s="124" t="str">
        <f>IFERROR(__xludf.DUMMYFUNCTION("""COMPUTED_VALUE"""),"Warm")</f>
        <v>Warm</v>
      </c>
      <c r="AB1013" s="124" t="str">
        <f>IFERROR(__xludf.DUMMYFUNCTION("""COMPUTED_VALUE"""),"GS Foundation")</f>
        <v>GS Foundation</v>
      </c>
    </row>
    <row r="1014">
      <c r="A1014" s="129">
        <f>IFERROR(__xludf.DUMMYFUNCTION("""COMPUTED_VALUE"""),46080.0)</f>
        <v>46080</v>
      </c>
      <c r="B1014" s="124" t="str">
        <f>IFERROR(__xludf.DUMMYFUNCTION("""COMPUTED_VALUE"""),"Walk-In")</f>
        <v>Walk-In</v>
      </c>
      <c r="C1014" s="124" t="str">
        <f>IFERROR(__xludf.DUMMYFUNCTION("""COMPUTED_VALUE"""),"Patna")</f>
        <v>Patna</v>
      </c>
      <c r="D1014" s="124" t="str">
        <f>IFERROR(__xludf.DUMMYFUNCTION("""COMPUTED_VALUE"""),"Primary_Walkin")</f>
        <v>Primary_Walkin</v>
      </c>
      <c r="E1014" s="124">
        <f>IFERROR(__xludf.DUMMYFUNCTION("""COMPUTED_VALUE"""),2.0)</f>
        <v>2</v>
      </c>
      <c r="F1014" s="124" t="str">
        <f>IFERROR(__xludf.DUMMYFUNCTION("""COMPUTED_VALUE"""),"Not Interested")</f>
        <v>Not Interested</v>
      </c>
      <c r="G1014" s="124" t="str">
        <f>IFERROR(__xludf.DUMMYFUNCTION("""COMPUTED_VALUE"""),"State PCS")</f>
        <v>State PCS</v>
      </c>
      <c r="K1014" s="124"/>
      <c r="L1014" s="124"/>
      <c r="M1014" s="124"/>
      <c r="N1014" s="124"/>
      <c r="O1014" s="124"/>
      <c r="T1014" s="126">
        <f>IFERROR(__xludf.DUMMYFUNCTION("""COMPUTED_VALUE"""),46058.0)</f>
        <v>46058</v>
      </c>
      <c r="U1014" s="124" t="str">
        <f>IFERROR(__xludf.DUMMYFUNCTION("""COMPUTED_VALUE"""),"Publisher Campaign")</f>
        <v>Publisher Campaign</v>
      </c>
      <c r="V1014" s="124" t="str">
        <f>IFERROR(__xludf.DUMMYFUNCTION("""COMPUTED_VALUE"""),"Feeder Cities")</f>
        <v>Feeder Cities</v>
      </c>
      <c r="W1014" s="124"/>
      <c r="X1014" s="124"/>
      <c r="Y1014" s="124" t="str">
        <f>IFERROR(__xludf.DUMMYFUNCTION("""COMPUTED_VALUE"""),"Indore")</f>
        <v>Indore</v>
      </c>
      <c r="Z1014" s="124">
        <f>IFERROR(__xludf.DUMMYFUNCTION("""COMPUTED_VALUE"""),1.0)</f>
        <v>1</v>
      </c>
      <c r="AA1014" s="124" t="str">
        <f>IFERROR(__xludf.DUMMYFUNCTION("""COMPUTED_VALUE"""),"Cold")</f>
        <v>Cold</v>
      </c>
      <c r="AB1014" s="124" t="str">
        <f>IFERROR(__xludf.DUMMYFUNCTION("""COMPUTED_VALUE"""),"Prelims Crash Course - SIP")</f>
        <v>Prelims Crash Course - SIP</v>
      </c>
    </row>
    <row r="1015">
      <c r="A1015" s="126">
        <f>IFERROR(__xludf.DUMMYFUNCTION("""COMPUTED_VALUE"""),46073.0)</f>
        <v>46073</v>
      </c>
      <c r="B1015" s="124" t="str">
        <f>IFERROR(__xludf.DUMMYFUNCTION("""COMPUTED_VALUE"""),"Walkin")</f>
        <v>Walkin</v>
      </c>
      <c r="C1015" s="124" t="str">
        <f>IFERROR(__xludf.DUMMYFUNCTION("""COMPUTED_VALUE"""),"Patna")</f>
        <v>Patna</v>
      </c>
      <c r="D1015" s="124" t="str">
        <f>IFERROR(__xludf.DUMMYFUNCTION("""COMPUTED_VALUE"""),"Primary_Walkin")</f>
        <v>Primary_Walkin</v>
      </c>
      <c r="E1015" s="124">
        <f>IFERROR(__xludf.DUMMYFUNCTION("""COMPUTED_VALUE"""),3.0)</f>
        <v>3</v>
      </c>
      <c r="F1015" s="124" t="str">
        <f>IFERROR(__xludf.DUMMYFUNCTION("""COMPUTED_VALUE"""),"Warm")</f>
        <v>Warm</v>
      </c>
      <c r="G1015" s="124" t="str">
        <f>IFERROR(__xludf.DUMMYFUNCTION("""COMPUTED_VALUE"""),"GS Foundation")</f>
        <v>GS Foundation</v>
      </c>
      <c r="K1015" s="124"/>
      <c r="L1015" s="124"/>
      <c r="M1015" s="124"/>
      <c r="N1015" s="124"/>
      <c r="O1015" s="124"/>
      <c r="T1015" s="126">
        <f>IFERROR(__xludf.DUMMYFUNCTION("""COMPUTED_VALUE"""),46084.0)</f>
        <v>46084</v>
      </c>
      <c r="U1015" s="124" t="str">
        <f>IFERROR(__xludf.DUMMYFUNCTION("""COMPUTED_VALUE"""),"Paid Ads")</f>
        <v>Paid Ads</v>
      </c>
      <c r="V1015" s="124" t="str">
        <f>IFERROR(__xludf.DUMMYFUNCTION("""COMPUTED_VALUE"""),"YouTube")</f>
        <v>YouTube</v>
      </c>
      <c r="W1015" s="124"/>
      <c r="X1015" s="124"/>
      <c r="Y1015" s="124" t="str">
        <f>IFERROR(__xludf.DUMMYFUNCTION("""COMPUTED_VALUE"""),"Prayagraj")</f>
        <v>Prayagraj</v>
      </c>
      <c r="Z1015" s="124">
        <f>IFERROR(__xludf.DUMMYFUNCTION("""COMPUTED_VALUE"""),3.0)</f>
        <v>3</v>
      </c>
      <c r="AA1015" s="124" t="str">
        <f>IFERROR(__xludf.DUMMYFUNCTION("""COMPUTED_VALUE"""),"Cold")</f>
        <v>Cold</v>
      </c>
      <c r="AB1015" s="124" t="str">
        <f>IFERROR(__xludf.DUMMYFUNCTION("""COMPUTED_VALUE"""),"State PCS")</f>
        <v>State PCS</v>
      </c>
    </row>
    <row r="1016">
      <c r="A1016" s="126">
        <f>IFERROR(__xludf.DUMMYFUNCTION("""COMPUTED_VALUE"""),46043.0)</f>
        <v>46043</v>
      </c>
      <c r="B1016" s="124" t="str">
        <f>IFERROR(__xludf.DUMMYFUNCTION("""COMPUTED_VALUE"""),"Walkin")</f>
        <v>Walkin</v>
      </c>
      <c r="C1016" s="124" t="str">
        <f>IFERROR(__xludf.DUMMYFUNCTION("""COMPUTED_VALUE"""),"Patna")</f>
        <v>Patna</v>
      </c>
      <c r="D1016" s="124" t="str">
        <f>IFERROR(__xludf.DUMMYFUNCTION("""COMPUTED_VALUE"""),"Primary_Walkin")</f>
        <v>Primary_Walkin</v>
      </c>
      <c r="E1016" s="124">
        <f>IFERROR(__xludf.DUMMYFUNCTION("""COMPUTED_VALUE"""),4.0)</f>
        <v>4</v>
      </c>
      <c r="F1016" s="124" t="str">
        <f>IFERROR(__xludf.DUMMYFUNCTION("""COMPUTED_VALUE"""),"Cold")</f>
        <v>Cold</v>
      </c>
      <c r="G1016" s="124" t="str">
        <f>IFERROR(__xludf.DUMMYFUNCTION("""COMPUTED_VALUE"""),"GS Foundation")</f>
        <v>GS Foundation</v>
      </c>
      <c r="K1016" s="124"/>
      <c r="L1016" s="124"/>
      <c r="M1016" s="124"/>
      <c r="N1016" s="124"/>
      <c r="O1016" s="124"/>
      <c r="T1016" s="126">
        <f>IFERROR(__xludf.DUMMYFUNCTION("""COMPUTED_VALUE"""),46062.0)</f>
        <v>46062</v>
      </c>
      <c r="U1016" s="124" t="str">
        <f>IFERROR(__xludf.DUMMYFUNCTION("""COMPUTED_VALUE"""),"Publisher Campaign")</f>
        <v>Publisher Campaign</v>
      </c>
      <c r="V1016" s="124" t="str">
        <f>IFERROR(__xludf.DUMMYFUNCTION("""COMPUTED_VALUE"""),"Webinar")</f>
        <v>Webinar</v>
      </c>
      <c r="W1016" s="124"/>
      <c r="X1016" s="124"/>
      <c r="Y1016" s="124" t="str">
        <f>IFERROR(__xludf.DUMMYFUNCTION("""COMPUTED_VALUE"""),"Delhi")</f>
        <v>Delhi</v>
      </c>
      <c r="Z1016" s="124">
        <f>IFERROR(__xludf.DUMMYFUNCTION("""COMPUTED_VALUE"""),2.0)</f>
        <v>2</v>
      </c>
      <c r="AA1016" s="124" t="str">
        <f>IFERROR(__xludf.DUMMYFUNCTION("""COMPUTED_VALUE"""),"Cold")</f>
        <v>Cold</v>
      </c>
      <c r="AB1016" s="124" t="str">
        <f>IFERROR(__xludf.DUMMYFUNCTION("""COMPUTED_VALUE"""),"Mentorship")</f>
        <v>Mentorship</v>
      </c>
    </row>
    <row r="1017">
      <c r="A1017" s="129">
        <f>IFERROR(__xludf.DUMMYFUNCTION("""COMPUTED_VALUE"""),46105.0)</f>
        <v>46105</v>
      </c>
      <c r="B1017" s="124" t="str">
        <f>IFERROR(__xludf.DUMMYFUNCTION("""COMPUTED_VALUE"""),"Walkin")</f>
        <v>Walkin</v>
      </c>
      <c r="C1017" s="124" t="str">
        <f>IFERROR(__xludf.DUMMYFUNCTION("""COMPUTED_VALUE"""),"Patna")</f>
        <v>Patna</v>
      </c>
      <c r="D1017" s="124" t="str">
        <f>IFERROR(__xludf.DUMMYFUNCTION("""COMPUTED_VALUE"""),"Primary_Walkin")</f>
        <v>Primary_Walkin</v>
      </c>
      <c r="E1017" s="124">
        <f>IFERROR(__xludf.DUMMYFUNCTION("""COMPUTED_VALUE"""),1.0)</f>
        <v>1</v>
      </c>
      <c r="F1017" s="124" t="str">
        <f>IFERROR(__xludf.DUMMYFUNCTION("""COMPUTED_VALUE"""),"Future Prospects")</f>
        <v>Future Prospects</v>
      </c>
      <c r="G1017" s="124" t="str">
        <f>IFERROR(__xludf.DUMMYFUNCTION("""COMPUTED_VALUE"""),"State PCS")</f>
        <v>State PCS</v>
      </c>
      <c r="K1017" s="124"/>
      <c r="L1017" s="124"/>
      <c r="M1017" s="124"/>
      <c r="N1017" s="124"/>
      <c r="O1017" s="124"/>
      <c r="T1017" s="126">
        <f>IFERROR(__xludf.DUMMYFUNCTION("""COMPUTED_VALUE"""),46079.0)</f>
        <v>46079</v>
      </c>
      <c r="U1017" s="124" t="str">
        <f>IFERROR(__xludf.DUMMYFUNCTION("""COMPUTED_VALUE"""),"Publisher Campaign")</f>
        <v>Publisher Campaign</v>
      </c>
      <c r="V1017" s="124" t="str">
        <f>IFERROR(__xludf.DUMMYFUNCTION("""COMPUTED_VALUE"""),"Webinar")</f>
        <v>Webinar</v>
      </c>
      <c r="W1017" s="124"/>
      <c r="X1017" s="124"/>
      <c r="Y1017" s="124" t="str">
        <f>IFERROR(__xludf.DUMMYFUNCTION("""COMPUTED_VALUE"""),"Guwahati")</f>
        <v>Guwahati</v>
      </c>
      <c r="Z1017" s="124">
        <f>IFERROR(__xludf.DUMMYFUNCTION("""COMPUTED_VALUE"""),1.0)</f>
        <v>1</v>
      </c>
      <c r="AA1017" s="124"/>
      <c r="AB1017" s="124" t="str">
        <f>IFERROR(__xludf.DUMMYFUNCTION("""COMPUTED_VALUE"""),"Other")</f>
        <v>Other</v>
      </c>
    </row>
    <row r="1018">
      <c r="A1018" s="129">
        <f>IFERROR(__xludf.DUMMYFUNCTION("""COMPUTED_VALUE"""),46073.0)</f>
        <v>46073</v>
      </c>
      <c r="B1018" s="124" t="str">
        <f>IFERROR(__xludf.DUMMYFUNCTION("""COMPUTED_VALUE"""),"Walkin")</f>
        <v>Walkin</v>
      </c>
      <c r="C1018" s="124" t="str">
        <f>IFERROR(__xludf.DUMMYFUNCTION("""COMPUTED_VALUE"""),"Patna")</f>
        <v>Patna</v>
      </c>
      <c r="D1018" s="124" t="str">
        <f>IFERROR(__xludf.DUMMYFUNCTION("""COMPUTED_VALUE"""),"Primary_Walkin")</f>
        <v>Primary_Walkin</v>
      </c>
      <c r="E1018" s="124">
        <f>IFERROR(__xludf.DUMMYFUNCTION("""COMPUTED_VALUE"""),1.0)</f>
        <v>1</v>
      </c>
      <c r="F1018" s="124" t="str">
        <f>IFERROR(__xludf.DUMMYFUNCTION("""COMPUTED_VALUE"""),"Cold")</f>
        <v>Cold</v>
      </c>
      <c r="G1018" s="124" t="str">
        <f>IFERROR(__xludf.DUMMYFUNCTION("""COMPUTED_VALUE"""),"Test Series")</f>
        <v>Test Series</v>
      </c>
      <c r="K1018" s="124"/>
      <c r="L1018" s="124"/>
      <c r="M1018" s="124"/>
      <c r="N1018" s="124"/>
      <c r="O1018" s="124"/>
      <c r="T1018" s="126">
        <f>IFERROR(__xludf.DUMMYFUNCTION("""COMPUTED_VALUE"""),46100.0)</f>
        <v>46100</v>
      </c>
      <c r="U1018" s="124" t="str">
        <f>IFERROR(__xludf.DUMMYFUNCTION("""COMPUTED_VALUE"""),"Publisher Campaign")</f>
        <v>Publisher Campaign</v>
      </c>
      <c r="V1018" s="124" t="str">
        <f>IFERROR(__xludf.DUMMYFUNCTION("""COMPUTED_VALUE"""),"BTL Activities")</f>
        <v>BTL Activities</v>
      </c>
      <c r="W1018" s="124"/>
      <c r="X1018" s="124"/>
      <c r="Y1018" s="124" t="str">
        <f>IFERROR(__xludf.DUMMYFUNCTION("""COMPUTED_VALUE"""),"Indore")</f>
        <v>Indore</v>
      </c>
      <c r="Z1018" s="124">
        <f>IFERROR(__xludf.DUMMYFUNCTION("""COMPUTED_VALUE"""),1.0)</f>
        <v>1</v>
      </c>
      <c r="AA1018" s="124" t="str">
        <f>IFERROR(__xludf.DUMMYFUNCTION("""COMPUTED_VALUE"""),"Cold")</f>
        <v>Cold</v>
      </c>
      <c r="AB1018" s="124" t="str">
        <f>IFERROR(__xludf.DUMMYFUNCTION("""COMPUTED_VALUE"""),"GS Foundation")</f>
        <v>GS Foundation</v>
      </c>
    </row>
    <row r="1019">
      <c r="A1019" s="126">
        <f>IFERROR(__xludf.DUMMYFUNCTION("""COMPUTED_VALUE"""),46104.0)</f>
        <v>46104</v>
      </c>
      <c r="B1019" s="124" t="str">
        <f>IFERROR(__xludf.DUMMYFUNCTION("""COMPUTED_VALUE"""),"Walkin")</f>
        <v>Walkin</v>
      </c>
      <c r="C1019" s="124" t="str">
        <f>IFERROR(__xludf.DUMMYFUNCTION("""COMPUTED_VALUE"""),"Patna")</f>
        <v>Patna</v>
      </c>
      <c r="D1019" s="124" t="str">
        <f>IFERROR(__xludf.DUMMYFUNCTION("""COMPUTED_VALUE"""),"Primary_Walkin")</f>
        <v>Primary_Walkin</v>
      </c>
      <c r="E1019" s="124">
        <f>IFERROR(__xludf.DUMMYFUNCTION("""COMPUTED_VALUE"""),1.0)</f>
        <v>1</v>
      </c>
      <c r="F1019" s="124" t="str">
        <f>IFERROR(__xludf.DUMMYFUNCTION("""COMPUTED_VALUE"""),"Cold")</f>
        <v>Cold</v>
      </c>
      <c r="G1019" s="124" t="str">
        <f>IFERROR(__xludf.DUMMYFUNCTION("""COMPUTED_VALUE"""),"Test Series")</f>
        <v>Test Series</v>
      </c>
      <c r="K1019" s="124"/>
      <c r="L1019" s="124"/>
      <c r="M1019" s="124"/>
      <c r="N1019" s="124"/>
      <c r="O1019" s="124"/>
      <c r="T1019" s="126">
        <f>IFERROR(__xludf.DUMMYFUNCTION("""COMPUTED_VALUE"""),46095.0)</f>
        <v>46095</v>
      </c>
      <c r="U1019" s="124" t="str">
        <f>IFERROR(__xludf.DUMMYFUNCTION("""COMPUTED_VALUE"""),"Publisher Campaign")</f>
        <v>Publisher Campaign</v>
      </c>
      <c r="V1019" s="124" t="str">
        <f>IFERROR(__xludf.DUMMYFUNCTION("""COMPUTED_VALUE"""),"Webinar")</f>
        <v>Webinar</v>
      </c>
      <c r="W1019" s="124"/>
      <c r="X1019" s="124"/>
      <c r="Y1019" s="124" t="str">
        <f>IFERROR(__xludf.DUMMYFUNCTION("""COMPUTED_VALUE"""),"Delhi")</f>
        <v>Delhi</v>
      </c>
      <c r="Z1019" s="124">
        <f>IFERROR(__xludf.DUMMYFUNCTION("""COMPUTED_VALUE"""),7.0)</f>
        <v>7</v>
      </c>
      <c r="AA1019" s="124" t="str">
        <f>IFERROR(__xludf.DUMMYFUNCTION("""COMPUTED_VALUE"""),"Not Interested")</f>
        <v>Not Interested</v>
      </c>
      <c r="AB1019" s="124" t="str">
        <f>IFERROR(__xludf.DUMMYFUNCTION("""COMPUTED_VALUE"""),"GS Foundation")</f>
        <v>GS Foundation</v>
      </c>
    </row>
    <row r="1020">
      <c r="A1020" s="129">
        <f>IFERROR(__xludf.DUMMYFUNCTION("""COMPUTED_VALUE"""),46101.0)</f>
        <v>46101</v>
      </c>
      <c r="B1020" s="124" t="str">
        <f>IFERROR(__xludf.DUMMYFUNCTION("""COMPUTED_VALUE"""),"Walkin")</f>
        <v>Walkin</v>
      </c>
      <c r="C1020" s="124" t="str">
        <f>IFERROR(__xludf.DUMMYFUNCTION("""COMPUTED_VALUE"""),"Patna")</f>
        <v>Patna</v>
      </c>
      <c r="D1020" s="124" t="str">
        <f>IFERROR(__xludf.DUMMYFUNCTION("""COMPUTED_VALUE"""),"Primary_Walkin")</f>
        <v>Primary_Walkin</v>
      </c>
      <c r="E1020" s="124">
        <f>IFERROR(__xludf.DUMMYFUNCTION("""COMPUTED_VALUE"""),3.0)</f>
        <v>3</v>
      </c>
      <c r="F1020" s="124" t="str">
        <f>IFERROR(__xludf.DUMMYFUNCTION("""COMPUTED_VALUE"""),"Future Prospects")</f>
        <v>Future Prospects</v>
      </c>
      <c r="G1020" s="124" t="str">
        <f>IFERROR(__xludf.DUMMYFUNCTION("""COMPUTED_VALUE"""),"State PCS")</f>
        <v>State PCS</v>
      </c>
      <c r="K1020" s="124"/>
      <c r="L1020" s="124"/>
      <c r="M1020" s="124"/>
      <c r="N1020" s="124"/>
      <c r="O1020" s="124"/>
      <c r="T1020" s="126">
        <f>IFERROR(__xludf.DUMMYFUNCTION("""COMPUTED_VALUE"""),46080.0)</f>
        <v>46080</v>
      </c>
      <c r="U1020" s="124" t="str">
        <f>IFERROR(__xludf.DUMMYFUNCTION("""COMPUTED_VALUE"""),"Publisher Campaign")</f>
        <v>Publisher Campaign</v>
      </c>
      <c r="V1020" s="124" t="str">
        <f>IFERROR(__xludf.DUMMYFUNCTION("""COMPUTED_VALUE"""),"Webinar")</f>
        <v>Webinar</v>
      </c>
      <c r="W1020" s="124"/>
      <c r="X1020" s="124"/>
      <c r="Y1020" s="124" t="str">
        <f>IFERROR(__xludf.DUMMYFUNCTION("""COMPUTED_VALUE"""),"Prayagraj")</f>
        <v>Prayagraj</v>
      </c>
      <c r="Z1020" s="124">
        <f>IFERROR(__xludf.DUMMYFUNCTION("""COMPUTED_VALUE"""),1.0)</f>
        <v>1</v>
      </c>
      <c r="AA1020" s="124" t="str">
        <f>IFERROR(__xludf.DUMMYFUNCTION("""COMPUTED_VALUE"""),"Cold")</f>
        <v>Cold</v>
      </c>
      <c r="AB1020" s="124" t="str">
        <f>IFERROR(__xludf.DUMMYFUNCTION("""COMPUTED_VALUE"""),"Hybrid")</f>
        <v>Hybrid</v>
      </c>
    </row>
    <row r="1021">
      <c r="A1021" s="126">
        <f>IFERROR(__xludf.DUMMYFUNCTION("""COMPUTED_VALUE"""),46044.0)</f>
        <v>46044</v>
      </c>
      <c r="B1021" s="124" t="str">
        <f>IFERROR(__xludf.DUMMYFUNCTION("""COMPUTED_VALUE"""),"Walkin")</f>
        <v>Walkin</v>
      </c>
      <c r="C1021" s="124" t="str">
        <f>IFERROR(__xludf.DUMMYFUNCTION("""COMPUTED_VALUE"""),"Patna")</f>
        <v>Patna</v>
      </c>
      <c r="D1021" s="124" t="str">
        <f>IFERROR(__xludf.DUMMYFUNCTION("""COMPUTED_VALUE"""),"Primary_Walkin")</f>
        <v>Primary_Walkin</v>
      </c>
      <c r="E1021" s="124">
        <f>IFERROR(__xludf.DUMMYFUNCTION("""COMPUTED_VALUE"""),2.0)</f>
        <v>2</v>
      </c>
      <c r="F1021" s="124" t="str">
        <f>IFERROR(__xludf.DUMMYFUNCTION("""COMPUTED_VALUE"""),"Enrolled")</f>
        <v>Enrolled</v>
      </c>
      <c r="G1021" s="124" t="str">
        <f>IFERROR(__xludf.DUMMYFUNCTION("""COMPUTED_VALUE"""),"State PCS")</f>
        <v>State PCS</v>
      </c>
      <c r="K1021" s="124"/>
      <c r="L1021" s="124"/>
      <c r="M1021" s="124"/>
      <c r="N1021" s="124"/>
      <c r="O1021" s="124"/>
      <c r="T1021" s="126">
        <f>IFERROR(__xludf.DUMMYFUNCTION("""COMPUTED_VALUE"""),46090.0)</f>
        <v>46090</v>
      </c>
      <c r="U1021" s="124" t="str">
        <f>IFERROR(__xludf.DUMMYFUNCTION("""COMPUTED_VALUE"""),"Publisher Campaign")</f>
        <v>Publisher Campaign</v>
      </c>
      <c r="V1021" s="124" t="str">
        <f>IFERROR(__xludf.DUMMYFUNCTION("""COMPUTED_VALUE"""),"BTL Activities")</f>
        <v>BTL Activities</v>
      </c>
      <c r="W1021" s="124"/>
      <c r="X1021" s="124"/>
      <c r="Y1021" s="124" t="str">
        <f>IFERROR(__xludf.DUMMYFUNCTION("""COMPUTED_VALUE"""),"Indore")</f>
        <v>Indore</v>
      </c>
      <c r="Z1021" s="124">
        <f>IFERROR(__xludf.DUMMYFUNCTION("""COMPUTED_VALUE"""),4.0)</f>
        <v>4</v>
      </c>
      <c r="AA1021" s="124" t="str">
        <f>IFERROR(__xludf.DUMMYFUNCTION("""COMPUTED_VALUE"""),"Cold")</f>
        <v>Cold</v>
      </c>
      <c r="AB1021" s="124" t="str">
        <f>IFERROR(__xludf.DUMMYFUNCTION("""COMPUTED_VALUE"""),"Other")</f>
        <v>Other</v>
      </c>
    </row>
    <row r="1022">
      <c r="A1022" s="126">
        <f>IFERROR(__xludf.DUMMYFUNCTION("""COMPUTED_VALUE"""),46059.0)</f>
        <v>46059</v>
      </c>
      <c r="B1022" s="124" t="str">
        <f>IFERROR(__xludf.DUMMYFUNCTION("""COMPUTED_VALUE"""),"Walk-In")</f>
        <v>Walk-In</v>
      </c>
      <c r="C1022" s="124" t="str">
        <f>IFERROR(__xludf.DUMMYFUNCTION("""COMPUTED_VALUE"""),"Patna")</f>
        <v>Patna</v>
      </c>
      <c r="D1022" s="124" t="str">
        <f>IFERROR(__xludf.DUMMYFUNCTION("""COMPUTED_VALUE"""),"Primary_Walkin")</f>
        <v>Primary_Walkin</v>
      </c>
      <c r="E1022" s="124">
        <f>IFERROR(__xludf.DUMMYFUNCTION("""COMPUTED_VALUE"""),1.0)</f>
        <v>1</v>
      </c>
      <c r="F1022" s="124" t="str">
        <f>IFERROR(__xludf.DUMMYFUNCTION("""COMPUTED_VALUE"""),"Future Prospects")</f>
        <v>Future Prospects</v>
      </c>
      <c r="G1022" s="124" t="str">
        <f>IFERROR(__xludf.DUMMYFUNCTION("""COMPUTED_VALUE"""),"State PCS")</f>
        <v>State PCS</v>
      </c>
      <c r="K1022" s="124"/>
      <c r="L1022" s="124"/>
      <c r="M1022" s="124"/>
      <c r="N1022" s="124"/>
      <c r="O1022" s="124"/>
      <c r="T1022" s="126">
        <f>IFERROR(__xludf.DUMMYFUNCTION("""COMPUTED_VALUE"""),46071.0)</f>
        <v>46071</v>
      </c>
      <c r="U1022" s="124" t="str">
        <f>IFERROR(__xludf.DUMMYFUNCTION("""COMPUTED_VALUE"""),"Publisher Campaign")</f>
        <v>Publisher Campaign</v>
      </c>
      <c r="V1022" s="124" t="str">
        <f>IFERROR(__xludf.DUMMYFUNCTION("""COMPUTED_VALUE"""),"Feeder Cities")</f>
        <v>Feeder Cities</v>
      </c>
      <c r="W1022" s="124"/>
      <c r="X1022" s="124"/>
      <c r="Y1022" s="124" t="str">
        <f>IFERROR(__xludf.DUMMYFUNCTION("""COMPUTED_VALUE"""),"Indore")</f>
        <v>Indore</v>
      </c>
      <c r="Z1022" s="124">
        <f>IFERROR(__xludf.DUMMYFUNCTION("""COMPUTED_VALUE"""),2.0)</f>
        <v>2</v>
      </c>
      <c r="AA1022" s="124" t="str">
        <f>IFERROR(__xludf.DUMMYFUNCTION("""COMPUTED_VALUE"""),"Not Interested")</f>
        <v>Not Interested</v>
      </c>
      <c r="AB1022" s="124" t="str">
        <f>IFERROR(__xludf.DUMMYFUNCTION("""COMPUTED_VALUE"""),"Other")</f>
        <v>Other</v>
      </c>
    </row>
    <row r="1023">
      <c r="A1023" s="126">
        <f>IFERROR(__xludf.DUMMYFUNCTION("""COMPUTED_VALUE"""),46055.0)</f>
        <v>46055</v>
      </c>
      <c r="B1023" s="124" t="str">
        <f>IFERROR(__xludf.DUMMYFUNCTION("""COMPUTED_VALUE"""),"Walk-In")</f>
        <v>Walk-In</v>
      </c>
      <c r="C1023" s="124" t="str">
        <f>IFERROR(__xludf.DUMMYFUNCTION("""COMPUTED_VALUE"""),"Patna")</f>
        <v>Patna</v>
      </c>
      <c r="D1023" s="124" t="str">
        <f>IFERROR(__xludf.DUMMYFUNCTION("""COMPUTED_VALUE"""),"Primary_Walkin")</f>
        <v>Primary_Walkin</v>
      </c>
      <c r="E1023" s="124">
        <f>IFERROR(__xludf.DUMMYFUNCTION("""COMPUTED_VALUE"""),1.0)</f>
        <v>1</v>
      </c>
      <c r="F1023" s="124" t="str">
        <f>IFERROR(__xludf.DUMMYFUNCTION("""COMPUTED_VALUE"""),"Not Interested")</f>
        <v>Not Interested</v>
      </c>
      <c r="G1023" s="124" t="str">
        <f>IFERROR(__xludf.DUMMYFUNCTION("""COMPUTED_VALUE"""),"GS Foundation")</f>
        <v>GS Foundation</v>
      </c>
      <c r="K1023" s="124"/>
      <c r="L1023" s="124"/>
      <c r="M1023" s="124"/>
      <c r="N1023" s="124"/>
      <c r="O1023" s="124"/>
      <c r="T1023" s="126">
        <f>IFERROR(__xludf.DUMMYFUNCTION("""COMPUTED_VALUE"""),46044.0)</f>
        <v>46044</v>
      </c>
      <c r="U1023" s="124" t="str">
        <f>IFERROR(__xludf.DUMMYFUNCTION("""COMPUTED_VALUE"""),"Walk-Ins")</f>
        <v>Walk-Ins</v>
      </c>
      <c r="V1023" s="124" t="str">
        <f>IFERROR(__xludf.DUMMYFUNCTION("""COMPUTED_VALUE"""),"Walkin")</f>
        <v>Walkin</v>
      </c>
      <c r="W1023" s="124"/>
      <c r="X1023" s="124"/>
      <c r="Y1023" s="124" t="str">
        <f>IFERROR(__xludf.DUMMYFUNCTION("""COMPUTED_VALUE"""),"Delhi")</f>
        <v>Delhi</v>
      </c>
      <c r="Z1023" s="124">
        <f>IFERROR(__xludf.DUMMYFUNCTION("""COMPUTED_VALUE"""),2.0)</f>
        <v>2</v>
      </c>
      <c r="AA1023" s="124" t="str">
        <f>IFERROR(__xludf.DUMMYFUNCTION("""COMPUTED_VALUE"""),"Not Interested")</f>
        <v>Not Interested</v>
      </c>
      <c r="AB1023" s="124" t="str">
        <f>IFERROR(__xludf.DUMMYFUNCTION("""COMPUTED_VALUE"""),"GS Foundation")</f>
        <v>GS Foundation</v>
      </c>
    </row>
    <row r="1024">
      <c r="A1024" s="126">
        <f>IFERROR(__xludf.DUMMYFUNCTION("""COMPUTED_VALUE"""),46069.0)</f>
        <v>46069</v>
      </c>
      <c r="B1024" s="124" t="str">
        <f>IFERROR(__xludf.DUMMYFUNCTION("""COMPUTED_VALUE"""),"Walkin")</f>
        <v>Walkin</v>
      </c>
      <c r="C1024" s="124" t="str">
        <f>IFERROR(__xludf.DUMMYFUNCTION("""COMPUTED_VALUE"""),"Patna")</f>
        <v>Patna</v>
      </c>
      <c r="D1024" s="124" t="str">
        <f>IFERROR(__xludf.DUMMYFUNCTION("""COMPUTED_VALUE"""),"Primary_Walkin")</f>
        <v>Primary_Walkin</v>
      </c>
      <c r="E1024" s="124">
        <f>IFERROR(__xludf.DUMMYFUNCTION("""COMPUTED_VALUE"""),3.0)</f>
        <v>3</v>
      </c>
      <c r="F1024" s="124" t="str">
        <f>IFERROR(__xludf.DUMMYFUNCTION("""COMPUTED_VALUE"""),"Future Prospects")</f>
        <v>Future Prospects</v>
      </c>
      <c r="G1024" s="124" t="str">
        <f>IFERROR(__xludf.DUMMYFUNCTION("""COMPUTED_VALUE"""),"GS Foundation")</f>
        <v>GS Foundation</v>
      </c>
      <c r="K1024" s="124"/>
      <c r="L1024" s="124"/>
      <c r="M1024" s="124"/>
      <c r="N1024" s="124"/>
      <c r="O1024" s="124"/>
      <c r="T1024" s="126">
        <f>IFERROR(__xludf.DUMMYFUNCTION("""COMPUTED_VALUE"""),46055.0)</f>
        <v>46055</v>
      </c>
      <c r="U1024" s="124" t="str">
        <f>IFERROR(__xludf.DUMMYFUNCTION("""COMPUTED_VALUE"""),"Walk-Ins")</f>
        <v>Walk-Ins</v>
      </c>
      <c r="V1024" s="124" t="str">
        <f>IFERROR(__xludf.DUMMYFUNCTION("""COMPUTED_VALUE"""),"Walkin")</f>
        <v>Walkin</v>
      </c>
      <c r="W1024" s="124" t="str">
        <f>IFERROR(__xludf.DUMMYFUNCTION("""COMPUTED_VALUE"""),"Delhi")</f>
        <v>Delhi</v>
      </c>
      <c r="X1024" s="124" t="str">
        <f>IFERROR(__xludf.DUMMYFUNCTION("""COMPUTED_VALUE"""),"walkin")</f>
        <v>walkin</v>
      </c>
      <c r="Y1024" s="124" t="str">
        <f>IFERROR(__xludf.DUMMYFUNCTION("""COMPUTED_VALUE"""),"Delhi")</f>
        <v>Delhi</v>
      </c>
      <c r="Z1024" s="124">
        <f>IFERROR(__xludf.DUMMYFUNCTION("""COMPUTED_VALUE"""),1.0)</f>
        <v>1</v>
      </c>
      <c r="AA1024" s="124" t="str">
        <f>IFERROR(__xludf.DUMMYFUNCTION("""COMPUTED_VALUE"""),"Not Interested")</f>
        <v>Not Interested</v>
      </c>
      <c r="AB1024" s="124" t="str">
        <f>IFERROR(__xludf.DUMMYFUNCTION("""COMPUTED_VALUE"""),"State PCS")</f>
        <v>State PCS</v>
      </c>
    </row>
    <row r="1025">
      <c r="A1025" s="126">
        <f>IFERROR(__xludf.DUMMYFUNCTION("""COMPUTED_VALUE"""),46065.0)</f>
        <v>46065</v>
      </c>
      <c r="B1025" s="124" t="str">
        <f>IFERROR(__xludf.DUMMYFUNCTION("""COMPUTED_VALUE"""),"Walkin")</f>
        <v>Walkin</v>
      </c>
      <c r="C1025" s="124" t="str">
        <f>IFERROR(__xludf.DUMMYFUNCTION("""COMPUTED_VALUE"""),"Patna")</f>
        <v>Patna</v>
      </c>
      <c r="D1025" s="124" t="str">
        <f>IFERROR(__xludf.DUMMYFUNCTION("""COMPUTED_VALUE"""),"Primary_Walkin")</f>
        <v>Primary_Walkin</v>
      </c>
      <c r="E1025" s="124">
        <f>IFERROR(__xludf.DUMMYFUNCTION("""COMPUTED_VALUE"""),1.0)</f>
        <v>1</v>
      </c>
      <c r="F1025" s="124" t="str">
        <f>IFERROR(__xludf.DUMMYFUNCTION("""COMPUTED_VALUE"""),"Cold")</f>
        <v>Cold</v>
      </c>
      <c r="G1025" s="124" t="str">
        <f>IFERROR(__xludf.DUMMYFUNCTION("""COMPUTED_VALUE"""),"Optionals")</f>
        <v>Optionals</v>
      </c>
      <c r="K1025" s="124"/>
      <c r="L1025" s="124"/>
      <c r="M1025" s="124"/>
      <c r="N1025" s="124"/>
      <c r="O1025" s="124"/>
      <c r="T1025" s="126">
        <f>IFERROR(__xludf.DUMMYFUNCTION("""COMPUTED_VALUE"""),46049.0)</f>
        <v>46049</v>
      </c>
      <c r="U1025" s="124" t="str">
        <f>IFERROR(__xludf.DUMMYFUNCTION("""COMPUTED_VALUE"""),"External Leads")</f>
        <v>External Leads</v>
      </c>
      <c r="V1025" s="124" t="str">
        <f>IFERROR(__xludf.DUMMYFUNCTION("""COMPUTED_VALUE"""),"external leads")</f>
        <v>external leads</v>
      </c>
      <c r="W1025" s="124" t="str">
        <f>IFERROR(__xludf.DUMMYFUNCTION("""COMPUTED_VALUE"""),"prayagraj")</f>
        <v>prayagraj</v>
      </c>
      <c r="X1025" s="124" t="str">
        <f>IFERROR(__xludf.DUMMYFUNCTION("""COMPUTED_VALUE"""),"piyushunacademy")</f>
        <v>piyushunacademy</v>
      </c>
      <c r="Y1025" s="124" t="str">
        <f>IFERROR(__xludf.DUMMYFUNCTION("""COMPUTED_VALUE"""),"Prayagraj")</f>
        <v>Prayagraj</v>
      </c>
      <c r="Z1025" s="124">
        <f>IFERROR(__xludf.DUMMYFUNCTION("""COMPUTED_VALUE"""),1.0)</f>
        <v>1</v>
      </c>
      <c r="AA1025" s="124" t="str">
        <f>IFERROR(__xludf.DUMMYFUNCTION("""COMPUTED_VALUE"""),"Enrolled")</f>
        <v>Enrolled</v>
      </c>
      <c r="AB1025" s="124"/>
    </row>
    <row r="1026">
      <c r="A1026" s="126">
        <f>IFERROR(__xludf.DUMMYFUNCTION("""COMPUTED_VALUE"""),46102.0)</f>
        <v>46102</v>
      </c>
      <c r="B1026" s="124" t="str">
        <f>IFERROR(__xludf.DUMMYFUNCTION("""COMPUTED_VALUE"""),"external leads")</f>
        <v>external leads</v>
      </c>
      <c r="C1026" s="124" t="str">
        <f>IFERROR(__xludf.DUMMYFUNCTION("""COMPUTED_VALUE"""),"Patna")</f>
        <v>Patna</v>
      </c>
      <c r="D1026" s="124" t="str">
        <f>IFERROR(__xludf.DUMMYFUNCTION("""COMPUTED_VALUE"""),"Secondary_Walkin")</f>
        <v>Secondary_Walkin</v>
      </c>
      <c r="E1026" s="124">
        <f>IFERROR(__xludf.DUMMYFUNCTION("""COMPUTED_VALUE"""),1.0)</f>
        <v>1</v>
      </c>
      <c r="F1026" s="124" t="str">
        <f>IFERROR(__xludf.DUMMYFUNCTION("""COMPUTED_VALUE"""),"Enrolled")</f>
        <v>Enrolled</v>
      </c>
      <c r="G1026" s="124" t="str">
        <f>IFERROR(__xludf.DUMMYFUNCTION("""COMPUTED_VALUE"""),"GS Foundation")</f>
        <v>GS Foundation</v>
      </c>
      <c r="K1026" s="124"/>
      <c r="L1026" s="124"/>
      <c r="M1026" s="124"/>
      <c r="N1026" s="124"/>
      <c r="O1026" s="124"/>
      <c r="T1026" s="126">
        <f>IFERROR(__xludf.DUMMYFUNCTION("""COMPUTED_VALUE"""),46048.0)</f>
        <v>46048</v>
      </c>
      <c r="U1026" s="124" t="str">
        <f>IFERROR(__xludf.DUMMYFUNCTION("""COMPUTED_VALUE"""),"Paid Ads")</f>
        <v>Paid Ads</v>
      </c>
      <c r="V1026" s="124" t="str">
        <f>IFERROR(__xludf.DUMMYFUNCTION("""COMPUTED_VALUE"""),"Facebook")</f>
        <v>Facebook</v>
      </c>
      <c r="W1026" s="124" t="str">
        <f>IFERROR(__xludf.DUMMYFUNCTION("""COMPUTED_VALUE"""),"LeadAd")</f>
        <v>LeadAd</v>
      </c>
      <c r="X1026" s="124" t="str">
        <f>IFERROR(__xludf.DUMMYFUNCTION("""COMPUTED_VALUE"""),"Upsc_Offline_Lead_26_Patna_FB_Creatives")</f>
        <v>Upsc_Offline_Lead_26_Patna_FB_Creatives</v>
      </c>
      <c r="Y1026" s="124" t="str">
        <f>IFERROR(__xludf.DUMMYFUNCTION("""COMPUTED_VALUE"""),"Patna")</f>
        <v>Patna</v>
      </c>
      <c r="Z1026" s="124">
        <f>IFERROR(__xludf.DUMMYFUNCTION("""COMPUTED_VALUE"""),3.0)</f>
        <v>3</v>
      </c>
      <c r="AA1026" s="124"/>
      <c r="AB1026" s="124"/>
    </row>
    <row r="1027">
      <c r="A1027" s="126">
        <f>IFERROR(__xludf.DUMMYFUNCTION("""COMPUTED_VALUE"""),46093.0)</f>
        <v>46093</v>
      </c>
      <c r="B1027" s="124" t="str">
        <f>IFERROR(__xludf.DUMMYFUNCTION("""COMPUTED_VALUE"""),"Walkin")</f>
        <v>Walkin</v>
      </c>
      <c r="C1027" s="124" t="str">
        <f>IFERROR(__xludf.DUMMYFUNCTION("""COMPUTED_VALUE"""),"Patna")</f>
        <v>Patna</v>
      </c>
      <c r="D1027" s="124" t="str">
        <f>IFERROR(__xludf.DUMMYFUNCTION("""COMPUTED_VALUE"""),"Primary_Walkin")</f>
        <v>Primary_Walkin</v>
      </c>
      <c r="E1027" s="124">
        <f>IFERROR(__xludf.DUMMYFUNCTION("""COMPUTED_VALUE"""),2.0)</f>
        <v>2</v>
      </c>
      <c r="F1027" s="124" t="str">
        <f>IFERROR(__xludf.DUMMYFUNCTION("""COMPUTED_VALUE"""),"Future Prospects")</f>
        <v>Future Prospects</v>
      </c>
      <c r="G1027" s="124" t="str">
        <f>IFERROR(__xludf.DUMMYFUNCTION("""COMPUTED_VALUE"""),"GS Foundation")</f>
        <v>GS Foundation</v>
      </c>
      <c r="K1027" s="124"/>
      <c r="L1027" s="124"/>
      <c r="M1027" s="124"/>
      <c r="N1027" s="124"/>
      <c r="O1027" s="124"/>
      <c r="T1027" s="126">
        <f>IFERROR(__xludf.DUMMYFUNCTION("""COMPUTED_VALUE"""),46046.0)</f>
        <v>46046</v>
      </c>
      <c r="U1027" s="124" t="str">
        <f>IFERROR(__xludf.DUMMYFUNCTION("""COMPUTED_VALUE"""),"Walk-Ins")</f>
        <v>Walk-Ins</v>
      </c>
      <c r="V1027" s="124" t="str">
        <f>IFERROR(__xludf.DUMMYFUNCTION("""COMPUTED_VALUE"""),"Walkin")</f>
        <v>Walkin</v>
      </c>
      <c r="W1027" s="124" t="str">
        <f>IFERROR(__xludf.DUMMYFUNCTION("""COMPUTED_VALUE"""),"Delhi")</f>
        <v>Delhi</v>
      </c>
      <c r="X1027" s="124" t="str">
        <f>IFERROR(__xludf.DUMMYFUNCTION("""COMPUTED_VALUE"""),"walkin")</f>
        <v>walkin</v>
      </c>
      <c r="Y1027" s="124" t="str">
        <f>IFERROR(__xludf.DUMMYFUNCTION("""COMPUTED_VALUE"""),"Delhi")</f>
        <v>Delhi</v>
      </c>
      <c r="Z1027" s="124">
        <f>IFERROR(__xludf.DUMMYFUNCTION("""COMPUTED_VALUE"""),1.0)</f>
        <v>1</v>
      </c>
      <c r="AA1027" s="124" t="str">
        <f>IFERROR(__xludf.DUMMYFUNCTION("""COMPUTED_VALUE"""),"Enrolled")</f>
        <v>Enrolled</v>
      </c>
      <c r="AB1027" s="124" t="str">
        <f>IFERROR(__xludf.DUMMYFUNCTION("""COMPUTED_VALUE"""),"Test Series")</f>
        <v>Test Series</v>
      </c>
    </row>
    <row r="1028">
      <c r="A1028" s="126">
        <f>IFERROR(__xludf.DUMMYFUNCTION("""COMPUTED_VALUE"""),46076.0)</f>
        <v>46076</v>
      </c>
      <c r="B1028" s="124" t="str">
        <f>IFERROR(__xludf.DUMMYFUNCTION("""COMPUTED_VALUE"""),"Walkin")</f>
        <v>Walkin</v>
      </c>
      <c r="C1028" s="124" t="str">
        <f>IFERROR(__xludf.DUMMYFUNCTION("""COMPUTED_VALUE"""),"Patna")</f>
        <v>Patna</v>
      </c>
      <c r="D1028" s="124" t="str">
        <f>IFERROR(__xludf.DUMMYFUNCTION("""COMPUTED_VALUE"""),"Primary_Walkin")</f>
        <v>Primary_Walkin</v>
      </c>
      <c r="E1028" s="124">
        <f>IFERROR(__xludf.DUMMYFUNCTION("""COMPUTED_VALUE"""),3.0)</f>
        <v>3</v>
      </c>
      <c r="F1028" s="124" t="str">
        <f>IFERROR(__xludf.DUMMYFUNCTION("""COMPUTED_VALUE"""),"Fake Lead")</f>
        <v>Fake Lead</v>
      </c>
      <c r="G1028" s="124" t="str">
        <f>IFERROR(__xludf.DUMMYFUNCTION("""COMPUTED_VALUE"""),"State PCS")</f>
        <v>State PCS</v>
      </c>
      <c r="K1028" s="124"/>
      <c r="L1028" s="124"/>
      <c r="M1028" s="124"/>
      <c r="N1028" s="124"/>
      <c r="O1028" s="124"/>
      <c r="T1028" s="129">
        <f>IFERROR(__xludf.DUMMYFUNCTION("""COMPUTED_VALUE"""),46046.0)</f>
        <v>46046</v>
      </c>
      <c r="U1028" s="124" t="str">
        <f>IFERROR(__xludf.DUMMYFUNCTION("""COMPUTED_VALUE"""),"Walk-Ins")</f>
        <v>Walk-Ins</v>
      </c>
      <c r="V1028" s="124" t="str">
        <f>IFERROR(__xludf.DUMMYFUNCTION("""COMPUTED_VALUE"""),"walk-in")</f>
        <v>walk-in</v>
      </c>
      <c r="W1028" s="124" t="str">
        <f>IFERROR(__xludf.DUMMYFUNCTION("""COMPUTED_VALUE"""),"indore")</f>
        <v>indore</v>
      </c>
      <c r="X1028" s="124" t="str">
        <f>IFERROR(__xludf.DUMMYFUNCTION("""COMPUTED_VALUE"""),"suraj sharma")</f>
        <v>suraj sharma</v>
      </c>
      <c r="Y1028" s="124"/>
      <c r="Z1028" s="124">
        <f>IFERROR(__xludf.DUMMYFUNCTION("""COMPUTED_VALUE"""),1.0)</f>
        <v>1</v>
      </c>
      <c r="AA1028" s="124" t="str">
        <f>IFERROR(__xludf.DUMMYFUNCTION("""COMPUTED_VALUE"""),"Not Interested")</f>
        <v>Not Interested</v>
      </c>
      <c r="AB1028" s="124" t="str">
        <f>IFERROR(__xludf.DUMMYFUNCTION("""COMPUTED_VALUE"""),"Prelims Crash Course - SIP")</f>
        <v>Prelims Crash Course - SIP</v>
      </c>
    </row>
    <row r="1029">
      <c r="A1029" s="129">
        <f>IFERROR(__xludf.DUMMYFUNCTION("""COMPUTED_VALUE"""),46052.0)</f>
        <v>46052</v>
      </c>
      <c r="B1029" s="124" t="str">
        <f>IFERROR(__xludf.DUMMYFUNCTION("""COMPUTED_VALUE"""),"Walkin")</f>
        <v>Walkin</v>
      </c>
      <c r="C1029" s="124" t="str">
        <f>IFERROR(__xludf.DUMMYFUNCTION("""COMPUTED_VALUE"""),"Patna")</f>
        <v>Patna</v>
      </c>
      <c r="D1029" s="124" t="str">
        <f>IFERROR(__xludf.DUMMYFUNCTION("""COMPUTED_VALUE"""),"Primary_Walkin")</f>
        <v>Primary_Walkin</v>
      </c>
      <c r="E1029" s="124">
        <f>IFERROR(__xludf.DUMMYFUNCTION("""COMPUTED_VALUE"""),2.0)</f>
        <v>2</v>
      </c>
      <c r="F1029" s="124" t="str">
        <f>IFERROR(__xludf.DUMMYFUNCTION("""COMPUTED_VALUE"""),"Fake Lead")</f>
        <v>Fake Lead</v>
      </c>
      <c r="G1029" s="124" t="str">
        <f>IFERROR(__xludf.DUMMYFUNCTION("""COMPUTED_VALUE"""),"State PCS")</f>
        <v>State PCS</v>
      </c>
      <c r="K1029" s="124"/>
      <c r="L1029" s="124"/>
      <c r="M1029" s="124"/>
      <c r="N1029" s="124"/>
      <c r="O1029" s="124"/>
      <c r="T1029" s="126">
        <f>IFERROR(__xludf.DUMMYFUNCTION("""COMPUTED_VALUE"""),46087.0)</f>
        <v>46087</v>
      </c>
      <c r="U1029" s="124" t="str">
        <f>IFERROR(__xludf.DUMMYFUNCTION("""COMPUTED_VALUE"""),"Walk-Ins")</f>
        <v>Walk-Ins</v>
      </c>
      <c r="V1029" s="124" t="str">
        <f>IFERROR(__xludf.DUMMYFUNCTION("""COMPUTED_VALUE"""),"Walkin")</f>
        <v>Walkin</v>
      </c>
      <c r="W1029" s="124" t="str">
        <f>IFERROR(__xludf.DUMMYFUNCTION("""COMPUTED_VALUE"""),"Delhi")</f>
        <v>Delhi</v>
      </c>
      <c r="X1029" s="124" t="str">
        <f>IFERROR(__xludf.DUMMYFUNCTION("""COMPUTED_VALUE"""),"walkin")</f>
        <v>walkin</v>
      </c>
      <c r="Y1029" s="124" t="str">
        <f>IFERROR(__xludf.DUMMYFUNCTION("""COMPUTED_VALUE"""),"Delhi")</f>
        <v>Delhi</v>
      </c>
      <c r="Z1029" s="124">
        <f>IFERROR(__xludf.DUMMYFUNCTION("""COMPUTED_VALUE"""),2.0)</f>
        <v>2</v>
      </c>
      <c r="AA1029" s="124" t="str">
        <f>IFERROR(__xludf.DUMMYFUNCTION("""COMPUTED_VALUE"""),"Enrolled")</f>
        <v>Enrolled</v>
      </c>
      <c r="AB1029" s="124" t="str">
        <f>IFERROR(__xludf.DUMMYFUNCTION("""COMPUTED_VALUE"""),"GS Foundation")</f>
        <v>GS Foundation</v>
      </c>
    </row>
    <row r="1030">
      <c r="A1030" s="126">
        <f>IFERROR(__xludf.DUMMYFUNCTION("""COMPUTED_VALUE"""),46097.0)</f>
        <v>46097</v>
      </c>
      <c r="B1030" s="124" t="str">
        <f>IFERROR(__xludf.DUMMYFUNCTION("""COMPUTED_VALUE"""),"Walkin")</f>
        <v>Walkin</v>
      </c>
      <c r="C1030" s="124" t="str">
        <f>IFERROR(__xludf.DUMMYFUNCTION("""COMPUTED_VALUE"""),"Patna")</f>
        <v>Patna</v>
      </c>
      <c r="D1030" s="124" t="str">
        <f>IFERROR(__xludf.DUMMYFUNCTION("""COMPUTED_VALUE"""),"Primary_Walkin")</f>
        <v>Primary_Walkin</v>
      </c>
      <c r="E1030" s="124">
        <f>IFERROR(__xludf.DUMMYFUNCTION("""COMPUTED_VALUE"""),1.0)</f>
        <v>1</v>
      </c>
      <c r="F1030" s="124" t="str">
        <f>IFERROR(__xludf.DUMMYFUNCTION("""COMPUTED_VALUE"""),"Enrolled")</f>
        <v>Enrolled</v>
      </c>
      <c r="G1030" s="124" t="str">
        <f>IFERROR(__xludf.DUMMYFUNCTION("""COMPUTED_VALUE"""),"State PCS")</f>
        <v>State PCS</v>
      </c>
      <c r="K1030" s="124"/>
      <c r="L1030" s="124"/>
      <c r="M1030" s="124"/>
      <c r="N1030" s="124"/>
      <c r="O1030" s="124"/>
      <c r="T1030" s="126">
        <f>IFERROR(__xludf.DUMMYFUNCTION("""COMPUTED_VALUE"""),46067.0)</f>
        <v>46067</v>
      </c>
      <c r="U1030" s="124" t="str">
        <f>IFERROR(__xludf.DUMMYFUNCTION("""COMPUTED_VALUE"""),"Walk-Ins")</f>
        <v>Walk-Ins</v>
      </c>
      <c r="V1030" s="124" t="str">
        <f>IFERROR(__xludf.DUMMYFUNCTION("""COMPUTED_VALUE"""),"Walkin")</f>
        <v>Walkin</v>
      </c>
      <c r="W1030" s="124" t="str">
        <f>IFERROR(__xludf.DUMMYFUNCTION("""COMPUTED_VALUE"""),"Delhi")</f>
        <v>Delhi</v>
      </c>
      <c r="X1030" s="124" t="str">
        <f>IFERROR(__xludf.DUMMYFUNCTION("""COMPUTED_VALUE"""),"walkin")</f>
        <v>walkin</v>
      </c>
      <c r="Y1030" s="124" t="str">
        <f>IFERROR(__xludf.DUMMYFUNCTION("""COMPUTED_VALUE"""),"Delhi")</f>
        <v>Delhi</v>
      </c>
      <c r="Z1030" s="124">
        <f>IFERROR(__xludf.DUMMYFUNCTION("""COMPUTED_VALUE"""),3.0)</f>
        <v>3</v>
      </c>
      <c r="AA1030" s="124" t="str">
        <f>IFERROR(__xludf.DUMMYFUNCTION("""COMPUTED_VALUE"""),"Enrolled")</f>
        <v>Enrolled</v>
      </c>
      <c r="AB1030" s="124" t="str">
        <f>IFERROR(__xludf.DUMMYFUNCTION("""COMPUTED_VALUE"""),"GS Foundation")</f>
        <v>GS Foundation</v>
      </c>
    </row>
    <row r="1031">
      <c r="A1031" s="129">
        <f>IFERROR(__xludf.DUMMYFUNCTION("""COMPUTED_VALUE"""),46060.0)</f>
        <v>46060</v>
      </c>
      <c r="B1031" s="124" t="str">
        <f>IFERROR(__xludf.DUMMYFUNCTION("""COMPUTED_VALUE"""),"Walkin")</f>
        <v>Walkin</v>
      </c>
      <c r="C1031" s="124" t="str">
        <f>IFERROR(__xludf.DUMMYFUNCTION("""COMPUTED_VALUE"""),"Patna")</f>
        <v>Patna</v>
      </c>
      <c r="D1031" s="124" t="str">
        <f>IFERROR(__xludf.DUMMYFUNCTION("""COMPUTED_VALUE"""),"Primary_Walkin")</f>
        <v>Primary_Walkin</v>
      </c>
      <c r="E1031" s="124">
        <f>IFERROR(__xludf.DUMMYFUNCTION("""COMPUTED_VALUE"""),1.0)</f>
        <v>1</v>
      </c>
      <c r="F1031" s="124" t="str">
        <f>IFERROR(__xludf.DUMMYFUNCTION("""COMPUTED_VALUE"""),"Not Interested")</f>
        <v>Not Interested</v>
      </c>
      <c r="G1031" s="124" t="str">
        <f>IFERROR(__xludf.DUMMYFUNCTION("""COMPUTED_VALUE"""),"Test Series")</f>
        <v>Test Series</v>
      </c>
      <c r="K1031" s="124"/>
      <c r="L1031" s="124"/>
      <c r="M1031" s="124"/>
      <c r="N1031" s="124"/>
      <c r="O1031" s="124"/>
      <c r="T1031" s="126">
        <f>IFERROR(__xludf.DUMMYFUNCTION("""COMPUTED_VALUE"""),46096.0)</f>
        <v>46096</v>
      </c>
      <c r="U1031" s="124" t="str">
        <f>IFERROR(__xludf.DUMMYFUNCTION("""COMPUTED_VALUE"""),"Walk-Ins")</f>
        <v>Walk-Ins</v>
      </c>
      <c r="V1031" s="124" t="str">
        <f>IFERROR(__xludf.DUMMYFUNCTION("""COMPUTED_VALUE"""),"Walkin")</f>
        <v>Walkin</v>
      </c>
      <c r="W1031" s="124" t="str">
        <f>IFERROR(__xludf.DUMMYFUNCTION("""COMPUTED_VALUE"""),"Delhi")</f>
        <v>Delhi</v>
      </c>
      <c r="X1031" s="124" t="str">
        <f>IFERROR(__xludf.DUMMYFUNCTION("""COMPUTED_VALUE"""),"walkin")</f>
        <v>walkin</v>
      </c>
      <c r="Y1031" s="124" t="str">
        <f>IFERROR(__xludf.DUMMYFUNCTION("""COMPUTED_VALUE"""),"Delhi")</f>
        <v>Delhi</v>
      </c>
      <c r="Z1031" s="124">
        <f>IFERROR(__xludf.DUMMYFUNCTION("""COMPUTED_VALUE"""),3.0)</f>
        <v>3</v>
      </c>
      <c r="AA1031" s="124" t="str">
        <f>IFERROR(__xludf.DUMMYFUNCTION("""COMPUTED_VALUE"""),"Future Prospects")</f>
        <v>Future Prospects</v>
      </c>
      <c r="AB1031" s="124" t="str">
        <f>IFERROR(__xludf.DUMMYFUNCTION("""COMPUTED_VALUE"""),"GS Foundation")</f>
        <v>GS Foundation</v>
      </c>
    </row>
    <row r="1032">
      <c r="A1032" s="126">
        <f>IFERROR(__xludf.DUMMYFUNCTION("""COMPUTED_VALUE"""),46045.0)</f>
        <v>46045</v>
      </c>
      <c r="B1032" s="124" t="str">
        <f>IFERROR(__xludf.DUMMYFUNCTION("""COMPUTED_VALUE"""),"Walkin")</f>
        <v>Walkin</v>
      </c>
      <c r="C1032" s="124" t="str">
        <f>IFERROR(__xludf.DUMMYFUNCTION("""COMPUTED_VALUE"""),"Patna")</f>
        <v>Patna</v>
      </c>
      <c r="D1032" s="124" t="str">
        <f>IFERROR(__xludf.DUMMYFUNCTION("""COMPUTED_VALUE"""),"Primary_Walkin")</f>
        <v>Primary_Walkin</v>
      </c>
      <c r="E1032" s="124">
        <f>IFERROR(__xludf.DUMMYFUNCTION("""COMPUTED_VALUE"""),1.0)</f>
        <v>1</v>
      </c>
      <c r="F1032" s="124" t="str">
        <f>IFERROR(__xludf.DUMMYFUNCTION("""COMPUTED_VALUE"""),"Enrolled")</f>
        <v>Enrolled</v>
      </c>
      <c r="G1032" s="124" t="str">
        <f>IFERROR(__xludf.DUMMYFUNCTION("""COMPUTED_VALUE"""),"Optionals")</f>
        <v>Optionals</v>
      </c>
      <c r="K1032" s="124"/>
      <c r="L1032" s="124"/>
      <c r="M1032" s="124"/>
      <c r="N1032" s="124"/>
      <c r="O1032" s="124"/>
      <c r="T1032" s="129">
        <f>IFERROR(__xludf.DUMMYFUNCTION("""COMPUTED_VALUE"""),46079.0)</f>
        <v>46079</v>
      </c>
      <c r="U1032" s="124" t="str">
        <f>IFERROR(__xludf.DUMMYFUNCTION("""COMPUTED_VALUE"""),"Walk-Ins")</f>
        <v>Walk-Ins</v>
      </c>
      <c r="V1032" s="124" t="str">
        <f>IFERROR(__xludf.DUMMYFUNCTION("""COMPUTED_VALUE"""),"Walkin")</f>
        <v>Walkin</v>
      </c>
      <c r="W1032" s="124" t="str">
        <f>IFERROR(__xludf.DUMMYFUNCTION("""COMPUTED_VALUE"""),"Delhi")</f>
        <v>Delhi</v>
      </c>
      <c r="X1032" s="124" t="str">
        <f>IFERROR(__xludf.DUMMYFUNCTION("""COMPUTED_VALUE"""),"walkin")</f>
        <v>walkin</v>
      </c>
      <c r="Y1032" s="124" t="str">
        <f>IFERROR(__xludf.DUMMYFUNCTION("""COMPUTED_VALUE"""),"Delhi")</f>
        <v>Delhi</v>
      </c>
      <c r="Z1032" s="124">
        <f>IFERROR(__xludf.DUMMYFUNCTION("""COMPUTED_VALUE"""),1.0)</f>
        <v>1</v>
      </c>
      <c r="AA1032" s="124" t="str">
        <f>IFERROR(__xludf.DUMMYFUNCTION("""COMPUTED_VALUE"""),"Fake Lead")</f>
        <v>Fake Lead</v>
      </c>
      <c r="AB1032" s="124" t="str">
        <f>IFERROR(__xludf.DUMMYFUNCTION("""COMPUTED_VALUE"""),"GS Foundation")</f>
        <v>GS Foundation</v>
      </c>
    </row>
    <row r="1033">
      <c r="A1033" s="126">
        <f>IFERROR(__xludf.DUMMYFUNCTION("""COMPUTED_VALUE"""),46090.0)</f>
        <v>46090</v>
      </c>
      <c r="B1033" s="124" t="str">
        <f>IFERROR(__xludf.DUMMYFUNCTION("""COMPUTED_VALUE"""),"Walkin")</f>
        <v>Walkin</v>
      </c>
      <c r="C1033" s="124" t="str">
        <f>IFERROR(__xludf.DUMMYFUNCTION("""COMPUTED_VALUE"""),"Patna")</f>
        <v>Patna</v>
      </c>
      <c r="D1033" s="124" t="str">
        <f>IFERROR(__xludf.DUMMYFUNCTION("""COMPUTED_VALUE"""),"Primary_Walkin")</f>
        <v>Primary_Walkin</v>
      </c>
      <c r="E1033" s="124">
        <f>IFERROR(__xludf.DUMMYFUNCTION("""COMPUTED_VALUE"""),1.0)</f>
        <v>1</v>
      </c>
      <c r="F1033" s="124" t="str">
        <f>IFERROR(__xludf.DUMMYFUNCTION("""COMPUTED_VALUE"""),"Enrolled")</f>
        <v>Enrolled</v>
      </c>
      <c r="G1033" s="124" t="str">
        <f>IFERROR(__xludf.DUMMYFUNCTION("""COMPUTED_VALUE"""),"Test Series")</f>
        <v>Test Series</v>
      </c>
      <c r="K1033" s="124"/>
      <c r="L1033" s="124"/>
      <c r="M1033" s="124"/>
      <c r="N1033" s="124"/>
      <c r="O1033" s="124"/>
      <c r="T1033" s="126">
        <f>IFERROR(__xludf.DUMMYFUNCTION("""COMPUTED_VALUE"""),46049.0)</f>
        <v>46049</v>
      </c>
      <c r="U1033" s="124" t="str">
        <f>IFERROR(__xludf.DUMMYFUNCTION("""COMPUTED_VALUE"""),"External Leads")</f>
        <v>External Leads</v>
      </c>
      <c r="V1033" s="124" t="str">
        <f>IFERROR(__xludf.DUMMYFUNCTION("""COMPUTED_VALUE"""),"external leads")</f>
        <v>external leads</v>
      </c>
      <c r="W1033" s="124" t="str">
        <f>IFERROR(__xludf.DUMMYFUNCTION("""COMPUTED_VALUE"""),"delhi")</f>
        <v>delhi</v>
      </c>
      <c r="X1033" s="124" t="str">
        <f>IFERROR(__xludf.DUMMYFUNCTION("""COMPUTED_VALUE"""),"piyushunacademy")</f>
        <v>piyushunacademy</v>
      </c>
      <c r="Y1033" s="124" t="str">
        <f>IFERROR(__xludf.DUMMYFUNCTION("""COMPUTED_VALUE"""),"Prayagraj")</f>
        <v>Prayagraj</v>
      </c>
      <c r="Z1033" s="124">
        <f>IFERROR(__xludf.DUMMYFUNCTION("""COMPUTED_VALUE"""),1.0)</f>
        <v>1</v>
      </c>
      <c r="AA1033" s="124" t="str">
        <f>IFERROR(__xludf.DUMMYFUNCTION("""COMPUTED_VALUE"""),"Cold")</f>
        <v>Cold</v>
      </c>
      <c r="AB1033" s="124" t="str">
        <f>IFERROR(__xludf.DUMMYFUNCTION("""COMPUTED_VALUE"""),"GS Foundation")</f>
        <v>GS Foundation</v>
      </c>
    </row>
    <row r="1034">
      <c r="A1034" s="126">
        <f>IFERROR(__xludf.DUMMYFUNCTION("""COMPUTED_VALUE"""),46091.0)</f>
        <v>46091</v>
      </c>
      <c r="B1034" s="124" t="str">
        <f>IFERROR(__xludf.DUMMYFUNCTION("""COMPUTED_VALUE"""),"Walkin")</f>
        <v>Walkin</v>
      </c>
      <c r="C1034" s="124" t="str">
        <f>IFERROR(__xludf.DUMMYFUNCTION("""COMPUTED_VALUE"""),"Patna")</f>
        <v>Patna</v>
      </c>
      <c r="D1034" s="124" t="str">
        <f>IFERROR(__xludf.DUMMYFUNCTION("""COMPUTED_VALUE"""),"Primary_Walkin")</f>
        <v>Primary_Walkin</v>
      </c>
      <c r="E1034" s="124">
        <f>IFERROR(__xludf.DUMMYFUNCTION("""COMPUTED_VALUE"""),4.0)</f>
        <v>4</v>
      </c>
      <c r="F1034" s="124" t="str">
        <f>IFERROR(__xludf.DUMMYFUNCTION("""COMPUTED_VALUE"""),"Fake Lead")</f>
        <v>Fake Lead</v>
      </c>
      <c r="G1034" s="124" t="str">
        <f>IFERROR(__xludf.DUMMYFUNCTION("""COMPUTED_VALUE"""),"State PCS")</f>
        <v>State PCS</v>
      </c>
      <c r="K1034" s="124"/>
      <c r="L1034" s="124"/>
      <c r="M1034" s="124"/>
      <c r="N1034" s="124"/>
      <c r="O1034" s="124"/>
      <c r="T1034" s="126">
        <f>IFERROR(__xludf.DUMMYFUNCTION("""COMPUTED_VALUE"""),46092.0)</f>
        <v>46092</v>
      </c>
      <c r="U1034" s="124" t="str">
        <f>IFERROR(__xludf.DUMMYFUNCTION("""COMPUTED_VALUE"""),"Walk-Ins")</f>
        <v>Walk-Ins</v>
      </c>
      <c r="V1034" s="124" t="str">
        <f>IFERROR(__xludf.DUMMYFUNCTION("""COMPUTED_VALUE"""),"Walkin")</f>
        <v>Walkin</v>
      </c>
      <c r="W1034" s="124" t="str">
        <f>IFERROR(__xludf.DUMMYFUNCTION("""COMPUTED_VALUE"""),"Delhi")</f>
        <v>Delhi</v>
      </c>
      <c r="X1034" s="124" t="str">
        <f>IFERROR(__xludf.DUMMYFUNCTION("""COMPUTED_VALUE"""),"walkin")</f>
        <v>walkin</v>
      </c>
      <c r="Y1034" s="124" t="str">
        <f>IFERROR(__xludf.DUMMYFUNCTION("""COMPUTED_VALUE"""),"Delhi")</f>
        <v>Delhi</v>
      </c>
      <c r="Z1034" s="124">
        <f>IFERROR(__xludf.DUMMYFUNCTION("""COMPUTED_VALUE"""),1.0)</f>
        <v>1</v>
      </c>
      <c r="AA1034" s="124" t="str">
        <f>IFERROR(__xludf.DUMMYFUNCTION("""COMPUTED_VALUE"""),"Warm")</f>
        <v>Warm</v>
      </c>
      <c r="AB1034" s="124" t="str">
        <f>IFERROR(__xludf.DUMMYFUNCTION("""COMPUTED_VALUE"""),"GS Foundation")</f>
        <v>GS Foundation</v>
      </c>
    </row>
    <row r="1035">
      <c r="A1035" s="126">
        <f>IFERROR(__xludf.DUMMYFUNCTION("""COMPUTED_VALUE"""),46089.0)</f>
        <v>46089</v>
      </c>
      <c r="B1035" s="124" t="str">
        <f>IFERROR(__xludf.DUMMYFUNCTION("""COMPUTED_VALUE"""),"Walk-In")</f>
        <v>Walk-In</v>
      </c>
      <c r="C1035" s="124" t="str">
        <f>IFERROR(__xludf.DUMMYFUNCTION("""COMPUTED_VALUE"""),"Patna")</f>
        <v>Patna</v>
      </c>
      <c r="D1035" s="124" t="str">
        <f>IFERROR(__xludf.DUMMYFUNCTION("""COMPUTED_VALUE"""),"Primary_Walkin")</f>
        <v>Primary_Walkin</v>
      </c>
      <c r="E1035" s="124">
        <f>IFERROR(__xludf.DUMMYFUNCTION("""COMPUTED_VALUE"""),1.0)</f>
        <v>1</v>
      </c>
      <c r="F1035" s="124" t="str">
        <f>IFERROR(__xludf.DUMMYFUNCTION("""COMPUTED_VALUE"""),"Fake Lead")</f>
        <v>Fake Lead</v>
      </c>
      <c r="G1035" s="124" t="str">
        <f>IFERROR(__xludf.DUMMYFUNCTION("""COMPUTED_VALUE"""),"GS Advanced")</f>
        <v>GS Advanced</v>
      </c>
      <c r="K1035" s="124"/>
      <c r="L1035" s="124"/>
      <c r="M1035" s="124"/>
      <c r="N1035" s="124"/>
      <c r="O1035" s="124"/>
      <c r="T1035" s="126">
        <f>IFERROR(__xludf.DUMMYFUNCTION("""COMPUTED_VALUE"""),46049.0)</f>
        <v>46049</v>
      </c>
      <c r="U1035" s="124" t="str">
        <f>IFERROR(__xludf.DUMMYFUNCTION("""COMPUTED_VALUE"""),"External Leads")</f>
        <v>External Leads</v>
      </c>
      <c r="V1035" s="124" t="str">
        <f>IFERROR(__xludf.DUMMYFUNCTION("""COMPUTED_VALUE"""),"external leads")</f>
        <v>external leads</v>
      </c>
      <c r="W1035" s="124" t="str">
        <f>IFERROR(__xludf.DUMMYFUNCTION("""COMPUTED_VALUE"""),"delhi")</f>
        <v>delhi</v>
      </c>
      <c r="X1035" s="124" t="str">
        <f>IFERROR(__xludf.DUMMYFUNCTION("""COMPUTED_VALUE"""),"piyushunacademy")</f>
        <v>piyushunacademy</v>
      </c>
      <c r="Y1035" s="124" t="str">
        <f>IFERROR(__xludf.DUMMYFUNCTION("""COMPUTED_VALUE"""),"Delhi")</f>
        <v>Delhi</v>
      </c>
      <c r="Z1035" s="124">
        <f>IFERROR(__xludf.DUMMYFUNCTION("""COMPUTED_VALUE"""),2.0)</f>
        <v>2</v>
      </c>
      <c r="AA1035" s="124" t="str">
        <f>IFERROR(__xludf.DUMMYFUNCTION("""COMPUTED_VALUE"""),"Not Interested")</f>
        <v>Not Interested</v>
      </c>
      <c r="AB1035" s="124"/>
    </row>
    <row r="1036">
      <c r="A1036" s="126">
        <f>IFERROR(__xludf.DUMMYFUNCTION("""COMPUTED_VALUE"""),46106.0)</f>
        <v>46106</v>
      </c>
      <c r="B1036" s="124" t="str">
        <f>IFERROR(__xludf.DUMMYFUNCTION("""COMPUTED_VALUE"""),"Walkin")</f>
        <v>Walkin</v>
      </c>
      <c r="C1036" s="124" t="str">
        <f>IFERROR(__xludf.DUMMYFUNCTION("""COMPUTED_VALUE"""),"Patna")</f>
        <v>Patna</v>
      </c>
      <c r="D1036" s="124" t="str">
        <f>IFERROR(__xludf.DUMMYFUNCTION("""COMPUTED_VALUE"""),"Primary_Walkin")</f>
        <v>Primary_Walkin</v>
      </c>
      <c r="E1036" s="124">
        <f>IFERROR(__xludf.DUMMYFUNCTION("""COMPUTED_VALUE"""),3.0)</f>
        <v>3</v>
      </c>
      <c r="F1036" s="124" t="str">
        <f>IFERROR(__xludf.DUMMYFUNCTION("""COMPUTED_VALUE"""),"Warm")</f>
        <v>Warm</v>
      </c>
      <c r="G1036" s="124" t="str">
        <f>IFERROR(__xludf.DUMMYFUNCTION("""COMPUTED_VALUE"""),"State PCS")</f>
        <v>State PCS</v>
      </c>
      <c r="K1036" s="124"/>
      <c r="L1036" s="124"/>
      <c r="M1036" s="124"/>
      <c r="N1036" s="124"/>
      <c r="O1036" s="124"/>
      <c r="T1036" s="126">
        <f>IFERROR(__xludf.DUMMYFUNCTION("""COMPUTED_VALUE"""),46047.0)</f>
        <v>46047</v>
      </c>
      <c r="U1036" s="124" t="str">
        <f>IFERROR(__xludf.DUMMYFUNCTION("""COMPUTED_VALUE"""),"Walk-Ins")</f>
        <v>Walk-Ins</v>
      </c>
      <c r="V1036" s="124" t="str">
        <f>IFERROR(__xludf.DUMMYFUNCTION("""COMPUTED_VALUE"""),"Walkin")</f>
        <v>Walkin</v>
      </c>
      <c r="W1036" s="124" t="str">
        <f>IFERROR(__xludf.DUMMYFUNCTION("""COMPUTED_VALUE"""),"Delhi")</f>
        <v>Delhi</v>
      </c>
      <c r="X1036" s="124" t="str">
        <f>IFERROR(__xludf.DUMMYFUNCTION("""COMPUTED_VALUE"""),"walkin")</f>
        <v>walkin</v>
      </c>
      <c r="Y1036" s="124" t="str">
        <f>IFERROR(__xludf.DUMMYFUNCTION("""COMPUTED_VALUE"""),"Delhi")</f>
        <v>Delhi</v>
      </c>
      <c r="Z1036" s="124">
        <f>IFERROR(__xludf.DUMMYFUNCTION("""COMPUTED_VALUE"""),7.0)</f>
        <v>7</v>
      </c>
      <c r="AA1036" s="124" t="str">
        <f>IFERROR(__xludf.DUMMYFUNCTION("""COMPUTED_VALUE"""),"Not Interested")</f>
        <v>Not Interested</v>
      </c>
      <c r="AB1036" s="124" t="str">
        <f>IFERROR(__xludf.DUMMYFUNCTION("""COMPUTED_VALUE"""),"GS Foundation")</f>
        <v>GS Foundation</v>
      </c>
    </row>
    <row r="1037">
      <c r="A1037" s="129">
        <f>IFERROR(__xludf.DUMMYFUNCTION("""COMPUTED_VALUE"""),46063.0)</f>
        <v>46063</v>
      </c>
      <c r="B1037" s="124" t="str">
        <f>IFERROR(__xludf.DUMMYFUNCTION("""COMPUTED_VALUE"""),"Walkin")</f>
        <v>Walkin</v>
      </c>
      <c r="C1037" s="124" t="str">
        <f>IFERROR(__xludf.DUMMYFUNCTION("""COMPUTED_VALUE"""),"Patna")</f>
        <v>Patna</v>
      </c>
      <c r="D1037" s="124" t="str">
        <f>IFERROR(__xludf.DUMMYFUNCTION("""COMPUTED_VALUE"""),"Primary_Walkin")</f>
        <v>Primary_Walkin</v>
      </c>
      <c r="E1037" s="124">
        <f>IFERROR(__xludf.DUMMYFUNCTION("""COMPUTED_VALUE"""),3.0)</f>
        <v>3</v>
      </c>
      <c r="F1037" s="124" t="str">
        <f>IFERROR(__xludf.DUMMYFUNCTION("""COMPUTED_VALUE"""),"Cold")</f>
        <v>Cold</v>
      </c>
      <c r="G1037" s="124" t="str">
        <f>IFERROR(__xludf.DUMMYFUNCTION("""COMPUTED_VALUE"""),"State PCS")</f>
        <v>State PCS</v>
      </c>
      <c r="K1037" s="124"/>
      <c r="L1037" s="124"/>
      <c r="M1037" s="124"/>
      <c r="N1037" s="124"/>
      <c r="O1037" s="124"/>
      <c r="T1037" s="126">
        <f>IFERROR(__xludf.DUMMYFUNCTION("""COMPUTED_VALUE"""),46065.0)</f>
        <v>46065</v>
      </c>
      <c r="U1037" s="124" t="str">
        <f>IFERROR(__xludf.DUMMYFUNCTION("""COMPUTED_VALUE"""),"Walk-Ins")</f>
        <v>Walk-Ins</v>
      </c>
      <c r="V1037" s="124" t="str">
        <f>IFERROR(__xludf.DUMMYFUNCTION("""COMPUTED_VALUE"""),"Walkin")</f>
        <v>Walkin</v>
      </c>
      <c r="W1037" s="124" t="str">
        <f>IFERROR(__xludf.DUMMYFUNCTION("""COMPUTED_VALUE"""),"Delhi")</f>
        <v>Delhi</v>
      </c>
      <c r="X1037" s="124" t="str">
        <f>IFERROR(__xludf.DUMMYFUNCTION("""COMPUTED_VALUE"""),"walkin")</f>
        <v>walkin</v>
      </c>
      <c r="Y1037" s="124" t="str">
        <f>IFERROR(__xludf.DUMMYFUNCTION("""COMPUTED_VALUE"""),"Delhi")</f>
        <v>Delhi</v>
      </c>
      <c r="Z1037" s="124">
        <f>IFERROR(__xludf.DUMMYFUNCTION("""COMPUTED_VALUE"""),4.0)</f>
        <v>4</v>
      </c>
      <c r="AA1037" s="124" t="str">
        <f>IFERROR(__xludf.DUMMYFUNCTION("""COMPUTED_VALUE"""),"Not Interested")</f>
        <v>Not Interested</v>
      </c>
      <c r="AB1037" s="124" t="str">
        <f>IFERROR(__xludf.DUMMYFUNCTION("""COMPUTED_VALUE"""),"GS Foundation")</f>
        <v>GS Foundation</v>
      </c>
    </row>
    <row r="1038">
      <c r="A1038" s="129">
        <f>IFERROR(__xludf.DUMMYFUNCTION("""COMPUTED_VALUE"""),46094.0)</f>
        <v>46094</v>
      </c>
      <c r="B1038" s="124" t="str">
        <f>IFERROR(__xludf.DUMMYFUNCTION("""COMPUTED_VALUE"""),"Walkin")</f>
        <v>Walkin</v>
      </c>
      <c r="C1038" s="124" t="str">
        <f>IFERROR(__xludf.DUMMYFUNCTION("""COMPUTED_VALUE"""),"Patna")</f>
        <v>Patna</v>
      </c>
      <c r="D1038" s="124" t="str">
        <f>IFERROR(__xludf.DUMMYFUNCTION("""COMPUTED_VALUE"""),"Primary_Walkin")</f>
        <v>Primary_Walkin</v>
      </c>
      <c r="E1038" s="124">
        <f>IFERROR(__xludf.DUMMYFUNCTION("""COMPUTED_VALUE"""),3.0)</f>
        <v>3</v>
      </c>
      <c r="F1038" s="124" t="str">
        <f>IFERROR(__xludf.DUMMYFUNCTION("""COMPUTED_VALUE"""),"Cold")</f>
        <v>Cold</v>
      </c>
      <c r="G1038" s="124" t="str">
        <f>IFERROR(__xludf.DUMMYFUNCTION("""COMPUTED_VALUE"""),"State PCS")</f>
        <v>State PCS</v>
      </c>
      <c r="K1038" s="124"/>
      <c r="L1038" s="124"/>
      <c r="M1038" s="124"/>
      <c r="N1038" s="124"/>
      <c r="O1038" s="124"/>
      <c r="T1038" s="126">
        <f>IFERROR(__xludf.DUMMYFUNCTION("""COMPUTED_VALUE"""),46050.0)</f>
        <v>46050</v>
      </c>
      <c r="U1038" s="124" t="str">
        <f>IFERROR(__xludf.DUMMYFUNCTION("""COMPUTED_VALUE"""),"Walk-Ins")</f>
        <v>Walk-Ins</v>
      </c>
      <c r="V1038" s="124" t="str">
        <f>IFERROR(__xludf.DUMMYFUNCTION("""COMPUTED_VALUE"""),"walk-in")</f>
        <v>walk-in</v>
      </c>
      <c r="W1038" s="124" t="str">
        <f>IFERROR(__xludf.DUMMYFUNCTION("""COMPUTED_VALUE"""),"indore")</f>
        <v>indore</v>
      </c>
      <c r="X1038" s="124" t="str">
        <f>IFERROR(__xludf.DUMMYFUNCTION("""COMPUTED_VALUE"""),"suraj sharma")</f>
        <v>suraj sharma</v>
      </c>
      <c r="Y1038" s="124"/>
      <c r="Z1038" s="124">
        <f>IFERROR(__xludf.DUMMYFUNCTION("""COMPUTED_VALUE"""),3.0)</f>
        <v>3</v>
      </c>
      <c r="AA1038" s="124" t="str">
        <f>IFERROR(__xludf.DUMMYFUNCTION("""COMPUTED_VALUE"""),"Cold")</f>
        <v>Cold</v>
      </c>
      <c r="AB1038" s="124" t="str">
        <f>IFERROR(__xludf.DUMMYFUNCTION("""COMPUTED_VALUE"""),"GS Foundation")</f>
        <v>GS Foundation</v>
      </c>
    </row>
    <row r="1039">
      <c r="A1039" s="129">
        <f>IFERROR(__xludf.DUMMYFUNCTION("""COMPUTED_VALUE"""),46097.0)</f>
        <v>46097</v>
      </c>
      <c r="B1039" s="124" t="str">
        <f>IFERROR(__xludf.DUMMYFUNCTION("""COMPUTED_VALUE"""),"Walk-In")</f>
        <v>Walk-In</v>
      </c>
      <c r="C1039" s="124" t="str">
        <f>IFERROR(__xludf.DUMMYFUNCTION("""COMPUTED_VALUE"""),"Patna")</f>
        <v>Patna</v>
      </c>
      <c r="D1039" s="124" t="str">
        <f>IFERROR(__xludf.DUMMYFUNCTION("""COMPUTED_VALUE"""),"Primary_Walkin")</f>
        <v>Primary_Walkin</v>
      </c>
      <c r="E1039" s="124">
        <f>IFERROR(__xludf.DUMMYFUNCTION("""COMPUTED_VALUE"""),1.0)</f>
        <v>1</v>
      </c>
      <c r="F1039" s="124" t="str">
        <f>IFERROR(__xludf.DUMMYFUNCTION("""COMPUTED_VALUE"""),"Interested")</f>
        <v>Interested</v>
      </c>
      <c r="G1039" s="124" t="str">
        <f>IFERROR(__xludf.DUMMYFUNCTION("""COMPUTED_VALUE"""),"Mentorship")</f>
        <v>Mentorship</v>
      </c>
      <c r="K1039" s="124"/>
      <c r="L1039" s="124"/>
      <c r="M1039" s="124"/>
      <c r="N1039" s="124"/>
      <c r="O1039" s="124"/>
      <c r="T1039" s="126">
        <f>IFERROR(__xludf.DUMMYFUNCTION("""COMPUTED_VALUE"""),46053.0)</f>
        <v>46053</v>
      </c>
      <c r="U1039" s="124" t="str">
        <f>IFERROR(__xludf.DUMMYFUNCTION("""COMPUTED_VALUE"""),"Walk-Ins")</f>
        <v>Walk-Ins</v>
      </c>
      <c r="V1039" s="124" t="str">
        <f>IFERROR(__xludf.DUMMYFUNCTION("""COMPUTED_VALUE"""),"Walkin")</f>
        <v>Walkin</v>
      </c>
      <c r="W1039" s="124" t="str">
        <f>IFERROR(__xludf.DUMMYFUNCTION("""COMPUTED_VALUE"""),"Delhi")</f>
        <v>Delhi</v>
      </c>
      <c r="X1039" s="124" t="str">
        <f>IFERROR(__xludf.DUMMYFUNCTION("""COMPUTED_VALUE"""),"walkin")</f>
        <v>walkin</v>
      </c>
      <c r="Y1039" s="124" t="str">
        <f>IFERROR(__xludf.DUMMYFUNCTION("""COMPUTED_VALUE"""),"Delhi")</f>
        <v>Delhi</v>
      </c>
      <c r="Z1039" s="124">
        <f>IFERROR(__xludf.DUMMYFUNCTION("""COMPUTED_VALUE"""),2.0)</f>
        <v>2</v>
      </c>
      <c r="AA1039" s="124" t="str">
        <f>IFERROR(__xludf.DUMMYFUNCTION("""COMPUTED_VALUE"""),"Future Prospects")</f>
        <v>Future Prospects</v>
      </c>
      <c r="AB1039" s="124" t="str">
        <f>IFERROR(__xludf.DUMMYFUNCTION("""COMPUTED_VALUE"""),"GS Foundation")</f>
        <v>GS Foundation</v>
      </c>
    </row>
    <row r="1040">
      <c r="A1040" s="126">
        <f>IFERROR(__xludf.DUMMYFUNCTION("""COMPUTED_VALUE"""),46074.0)</f>
        <v>46074</v>
      </c>
      <c r="B1040" s="124" t="str">
        <f>IFERROR(__xludf.DUMMYFUNCTION("""COMPUTED_VALUE"""),"Walkin")</f>
        <v>Walkin</v>
      </c>
      <c r="C1040" s="124" t="str">
        <f>IFERROR(__xludf.DUMMYFUNCTION("""COMPUTED_VALUE"""),"Patna")</f>
        <v>Patna</v>
      </c>
      <c r="D1040" s="124" t="str">
        <f>IFERROR(__xludf.DUMMYFUNCTION("""COMPUTED_VALUE"""),"Primary_Walkin")</f>
        <v>Primary_Walkin</v>
      </c>
      <c r="E1040" s="124">
        <f>IFERROR(__xludf.DUMMYFUNCTION("""COMPUTED_VALUE"""),1.0)</f>
        <v>1</v>
      </c>
      <c r="F1040" s="124" t="str">
        <f>IFERROR(__xludf.DUMMYFUNCTION("""COMPUTED_VALUE"""),"Fake Lead")</f>
        <v>Fake Lead</v>
      </c>
      <c r="G1040" s="124" t="str">
        <f>IFERROR(__xludf.DUMMYFUNCTION("""COMPUTED_VALUE"""),"State PCS")</f>
        <v>State PCS</v>
      </c>
      <c r="K1040" s="124"/>
      <c r="L1040" s="124"/>
      <c r="M1040" s="124"/>
      <c r="N1040" s="124"/>
      <c r="O1040" s="124"/>
      <c r="T1040" s="129">
        <f>IFERROR(__xludf.DUMMYFUNCTION("""COMPUTED_VALUE"""),46102.0)</f>
        <v>46102</v>
      </c>
      <c r="U1040" s="124" t="str">
        <f>IFERROR(__xludf.DUMMYFUNCTION("""COMPUTED_VALUE"""),"Walk-Ins")</f>
        <v>Walk-Ins</v>
      </c>
      <c r="V1040" s="124" t="str">
        <f>IFERROR(__xludf.DUMMYFUNCTION("""COMPUTED_VALUE"""),"Walkin")</f>
        <v>Walkin</v>
      </c>
      <c r="W1040" s="124" t="str">
        <f>IFERROR(__xludf.DUMMYFUNCTION("""COMPUTED_VALUE"""),"Delhi")</f>
        <v>Delhi</v>
      </c>
      <c r="X1040" s="124" t="str">
        <f>IFERROR(__xludf.DUMMYFUNCTION("""COMPUTED_VALUE"""),"walkin")</f>
        <v>walkin</v>
      </c>
      <c r="Y1040" s="124" t="str">
        <f>IFERROR(__xludf.DUMMYFUNCTION("""COMPUTED_VALUE"""),"Delhi")</f>
        <v>Delhi</v>
      </c>
      <c r="Z1040" s="124">
        <f>IFERROR(__xludf.DUMMYFUNCTION("""COMPUTED_VALUE"""),6.0)</f>
        <v>6</v>
      </c>
      <c r="AA1040" s="124" t="str">
        <f>IFERROR(__xludf.DUMMYFUNCTION("""COMPUTED_VALUE"""),"Future Prospects")</f>
        <v>Future Prospects</v>
      </c>
      <c r="AB1040" s="124" t="str">
        <f>IFERROR(__xludf.DUMMYFUNCTION("""COMPUTED_VALUE"""),"GS Foundation")</f>
        <v>GS Foundation</v>
      </c>
    </row>
    <row r="1041">
      <c r="A1041" s="126">
        <f>IFERROR(__xludf.DUMMYFUNCTION("""COMPUTED_VALUE"""),46101.0)</f>
        <v>46101</v>
      </c>
      <c r="B1041" s="124" t="str">
        <f>IFERROR(__xludf.DUMMYFUNCTION("""COMPUTED_VALUE"""),"Walkin")</f>
        <v>Walkin</v>
      </c>
      <c r="C1041" s="124" t="str">
        <f>IFERROR(__xludf.DUMMYFUNCTION("""COMPUTED_VALUE"""),"Patna")</f>
        <v>Patna</v>
      </c>
      <c r="D1041" s="124" t="str">
        <f>IFERROR(__xludf.DUMMYFUNCTION("""COMPUTED_VALUE"""),"Primary_Walkin")</f>
        <v>Primary_Walkin</v>
      </c>
      <c r="E1041" s="124">
        <f>IFERROR(__xludf.DUMMYFUNCTION("""COMPUTED_VALUE"""),4.0)</f>
        <v>4</v>
      </c>
      <c r="F1041" s="124" t="str">
        <f>IFERROR(__xludf.DUMMYFUNCTION("""COMPUTED_VALUE"""),"Warm")</f>
        <v>Warm</v>
      </c>
      <c r="G1041" s="124" t="str">
        <f>IFERROR(__xludf.DUMMYFUNCTION("""COMPUTED_VALUE"""),"State PCS")</f>
        <v>State PCS</v>
      </c>
      <c r="K1041" s="124"/>
      <c r="L1041" s="124"/>
      <c r="M1041" s="124"/>
      <c r="N1041" s="124"/>
      <c r="O1041" s="124"/>
      <c r="T1041" s="126">
        <f>IFERROR(__xludf.DUMMYFUNCTION("""COMPUTED_VALUE"""),46075.0)</f>
        <v>46075</v>
      </c>
      <c r="U1041" s="124" t="str">
        <f>IFERROR(__xludf.DUMMYFUNCTION("""COMPUTED_VALUE"""),"Walk-Ins")</f>
        <v>Walk-Ins</v>
      </c>
      <c r="V1041" s="124" t="str">
        <f>IFERROR(__xludf.DUMMYFUNCTION("""COMPUTED_VALUE"""),"Walkin")</f>
        <v>Walkin</v>
      </c>
      <c r="W1041" s="124" t="str">
        <f>IFERROR(__xludf.DUMMYFUNCTION("""COMPUTED_VALUE"""),"Delhi")</f>
        <v>Delhi</v>
      </c>
      <c r="X1041" s="124" t="str">
        <f>IFERROR(__xludf.DUMMYFUNCTION("""COMPUTED_VALUE"""),"walkin")</f>
        <v>walkin</v>
      </c>
      <c r="Y1041" s="124" t="str">
        <f>IFERROR(__xludf.DUMMYFUNCTION("""COMPUTED_VALUE"""),"Delhi")</f>
        <v>Delhi</v>
      </c>
      <c r="Z1041" s="124">
        <f>IFERROR(__xludf.DUMMYFUNCTION("""COMPUTED_VALUE"""),4.0)</f>
        <v>4</v>
      </c>
      <c r="AA1041" s="124" t="str">
        <f>IFERROR(__xludf.DUMMYFUNCTION("""COMPUTED_VALUE"""),"Cold")</f>
        <v>Cold</v>
      </c>
      <c r="AB1041" s="124" t="str">
        <f>IFERROR(__xludf.DUMMYFUNCTION("""COMPUTED_VALUE"""),"GS Foundation")</f>
        <v>GS Foundation</v>
      </c>
    </row>
    <row r="1042">
      <c r="A1042" s="126">
        <f>IFERROR(__xludf.DUMMYFUNCTION("""COMPUTED_VALUE"""),46051.0)</f>
        <v>46051</v>
      </c>
      <c r="B1042" s="124" t="str">
        <f>IFERROR(__xludf.DUMMYFUNCTION("""COMPUTED_VALUE"""),"Walkin")</f>
        <v>Walkin</v>
      </c>
      <c r="C1042" s="124" t="str">
        <f>IFERROR(__xludf.DUMMYFUNCTION("""COMPUTED_VALUE"""),"Patna")</f>
        <v>Patna</v>
      </c>
      <c r="D1042" s="124" t="str">
        <f>IFERROR(__xludf.DUMMYFUNCTION("""COMPUTED_VALUE"""),"Primary_Walkin")</f>
        <v>Primary_Walkin</v>
      </c>
      <c r="E1042" s="124">
        <f>IFERROR(__xludf.DUMMYFUNCTION("""COMPUTED_VALUE"""),2.0)</f>
        <v>2</v>
      </c>
      <c r="F1042" s="124" t="str">
        <f>IFERROR(__xludf.DUMMYFUNCTION("""COMPUTED_VALUE"""),"Not Interested")</f>
        <v>Not Interested</v>
      </c>
      <c r="G1042" s="124" t="str">
        <f>IFERROR(__xludf.DUMMYFUNCTION("""COMPUTED_VALUE"""),"State PCS")</f>
        <v>State PCS</v>
      </c>
      <c r="K1042" s="124"/>
      <c r="L1042" s="124"/>
      <c r="M1042" s="124"/>
      <c r="N1042" s="124"/>
      <c r="O1042" s="124"/>
      <c r="T1042" s="126">
        <f>IFERROR(__xludf.DUMMYFUNCTION("""COMPUTED_VALUE"""),46046.0)</f>
        <v>46046</v>
      </c>
      <c r="U1042" s="124" t="str">
        <f>IFERROR(__xludf.DUMMYFUNCTION("""COMPUTED_VALUE"""),"Walk-Ins")</f>
        <v>Walk-Ins</v>
      </c>
      <c r="V1042" s="124" t="str">
        <f>IFERROR(__xludf.DUMMYFUNCTION("""COMPUTED_VALUE"""),"Walkin")</f>
        <v>Walkin</v>
      </c>
      <c r="W1042" s="124" t="str">
        <f>IFERROR(__xludf.DUMMYFUNCTION("""COMPUTED_VALUE"""),"Delhi")</f>
        <v>Delhi</v>
      </c>
      <c r="X1042" s="124" t="str">
        <f>IFERROR(__xludf.DUMMYFUNCTION("""COMPUTED_VALUE"""),"walkin")</f>
        <v>walkin</v>
      </c>
      <c r="Y1042" s="124" t="str">
        <f>IFERROR(__xludf.DUMMYFUNCTION("""COMPUTED_VALUE"""),"Delhi")</f>
        <v>Delhi</v>
      </c>
      <c r="Z1042" s="124">
        <f>IFERROR(__xludf.DUMMYFUNCTION("""COMPUTED_VALUE"""),1.0)</f>
        <v>1</v>
      </c>
      <c r="AA1042" s="124" t="str">
        <f>IFERROR(__xludf.DUMMYFUNCTION("""COMPUTED_VALUE"""),"Enrolled")</f>
        <v>Enrolled</v>
      </c>
      <c r="AB1042" s="124" t="str">
        <f>IFERROR(__xludf.DUMMYFUNCTION("""COMPUTED_VALUE"""),"SIP Offline")</f>
        <v>SIP Offline</v>
      </c>
    </row>
    <row r="1043">
      <c r="A1043" s="129">
        <f>IFERROR(__xludf.DUMMYFUNCTION("""COMPUTED_VALUE"""),46107.0)</f>
        <v>46107</v>
      </c>
      <c r="B1043" s="124" t="str">
        <f>IFERROR(__xludf.DUMMYFUNCTION("""COMPUTED_VALUE"""),"Walkin")</f>
        <v>Walkin</v>
      </c>
      <c r="C1043" s="124" t="str">
        <f>IFERROR(__xludf.DUMMYFUNCTION("""COMPUTED_VALUE"""),"Patna")</f>
        <v>Patna</v>
      </c>
      <c r="D1043" s="124" t="str">
        <f>IFERROR(__xludf.DUMMYFUNCTION("""COMPUTED_VALUE"""),"Primary_Walkin")</f>
        <v>Primary_Walkin</v>
      </c>
      <c r="E1043" s="124">
        <f>IFERROR(__xludf.DUMMYFUNCTION("""COMPUTED_VALUE"""),4.0)</f>
        <v>4</v>
      </c>
      <c r="F1043" s="124" t="str">
        <f>IFERROR(__xludf.DUMMYFUNCTION("""COMPUTED_VALUE"""),"Cold")</f>
        <v>Cold</v>
      </c>
      <c r="G1043" s="124" t="str">
        <f>IFERROR(__xludf.DUMMYFUNCTION("""COMPUTED_VALUE"""),"State PCS")</f>
        <v>State PCS</v>
      </c>
      <c r="K1043" s="124"/>
      <c r="L1043" s="124"/>
      <c r="M1043" s="124"/>
      <c r="N1043" s="124"/>
      <c r="O1043" s="124"/>
      <c r="T1043" s="126">
        <f>IFERROR(__xludf.DUMMYFUNCTION("""COMPUTED_VALUE"""),46047.0)</f>
        <v>46047</v>
      </c>
      <c r="U1043" s="124" t="str">
        <f>IFERROR(__xludf.DUMMYFUNCTION("""COMPUTED_VALUE"""),"Walk-Ins")</f>
        <v>Walk-Ins</v>
      </c>
      <c r="V1043" s="124" t="str">
        <f>IFERROR(__xludf.DUMMYFUNCTION("""COMPUTED_VALUE"""),"Walkin")</f>
        <v>Walkin</v>
      </c>
      <c r="W1043" s="124" t="str">
        <f>IFERROR(__xludf.DUMMYFUNCTION("""COMPUTED_VALUE"""),"Delhi")</f>
        <v>Delhi</v>
      </c>
      <c r="X1043" s="124" t="str">
        <f>IFERROR(__xludf.DUMMYFUNCTION("""COMPUTED_VALUE"""),"walkin")</f>
        <v>walkin</v>
      </c>
      <c r="Y1043" s="124" t="str">
        <f>IFERROR(__xludf.DUMMYFUNCTION("""COMPUTED_VALUE"""),"Delhi")</f>
        <v>Delhi</v>
      </c>
      <c r="Z1043" s="124">
        <f>IFERROR(__xludf.DUMMYFUNCTION("""COMPUTED_VALUE"""),1.0)</f>
        <v>1</v>
      </c>
      <c r="AA1043" s="124" t="str">
        <f>IFERROR(__xludf.DUMMYFUNCTION("""COMPUTED_VALUE"""),"Warm")</f>
        <v>Warm</v>
      </c>
      <c r="AB1043" s="124" t="str">
        <f>IFERROR(__xludf.DUMMYFUNCTION("""COMPUTED_VALUE"""),"GS Foundation")</f>
        <v>GS Foundation</v>
      </c>
    </row>
    <row r="1044">
      <c r="A1044" s="129">
        <f>IFERROR(__xludf.DUMMYFUNCTION("""COMPUTED_VALUE"""),46078.0)</f>
        <v>46078</v>
      </c>
      <c r="B1044" s="124" t="str">
        <f>IFERROR(__xludf.DUMMYFUNCTION("""COMPUTED_VALUE"""),"Walkin")</f>
        <v>Walkin</v>
      </c>
      <c r="C1044" s="124" t="str">
        <f>IFERROR(__xludf.DUMMYFUNCTION("""COMPUTED_VALUE"""),"Patna")</f>
        <v>Patna</v>
      </c>
      <c r="D1044" s="124" t="str">
        <f>IFERROR(__xludf.DUMMYFUNCTION("""COMPUTED_VALUE"""),"Primary_Walkin")</f>
        <v>Primary_Walkin</v>
      </c>
      <c r="E1044" s="124">
        <f>IFERROR(__xludf.DUMMYFUNCTION("""COMPUTED_VALUE"""),3.0)</f>
        <v>3</v>
      </c>
      <c r="F1044" s="124" t="str">
        <f>IFERROR(__xludf.DUMMYFUNCTION("""COMPUTED_VALUE"""),"Not Interested")</f>
        <v>Not Interested</v>
      </c>
      <c r="G1044" s="124" t="str">
        <f>IFERROR(__xludf.DUMMYFUNCTION("""COMPUTED_VALUE"""),"State PCS")</f>
        <v>State PCS</v>
      </c>
      <c r="K1044" s="124"/>
      <c r="L1044" s="124"/>
      <c r="M1044" s="124"/>
      <c r="N1044" s="124"/>
      <c r="O1044" s="124"/>
      <c r="T1044" s="129">
        <f>IFERROR(__xludf.DUMMYFUNCTION("""COMPUTED_VALUE"""),46058.0)</f>
        <v>46058</v>
      </c>
      <c r="U1044" s="124" t="str">
        <f>IFERROR(__xludf.DUMMYFUNCTION("""COMPUTED_VALUE"""),"Walk-Ins")</f>
        <v>Walk-Ins</v>
      </c>
      <c r="V1044" s="124" t="str">
        <f>IFERROR(__xludf.DUMMYFUNCTION("""COMPUTED_VALUE"""),"Walk-In")</f>
        <v>Walk-In</v>
      </c>
      <c r="W1044" s="124" t="str">
        <f>IFERROR(__xludf.DUMMYFUNCTION("""COMPUTED_VALUE"""),"Delhi")</f>
        <v>Delhi</v>
      </c>
      <c r="X1044" s="124" t="str">
        <f>IFERROR(__xludf.DUMMYFUNCTION("""COMPUTED_VALUE"""),"walkin")</f>
        <v>walkin</v>
      </c>
      <c r="Y1044" s="124" t="str">
        <f>IFERROR(__xludf.DUMMYFUNCTION("""COMPUTED_VALUE"""),"Delhi")</f>
        <v>Delhi</v>
      </c>
      <c r="Z1044" s="124">
        <f>IFERROR(__xludf.DUMMYFUNCTION("""COMPUTED_VALUE"""),1.0)</f>
        <v>1</v>
      </c>
      <c r="AA1044" s="124" t="str">
        <f>IFERROR(__xludf.DUMMYFUNCTION("""COMPUTED_VALUE"""),"Enrolled")</f>
        <v>Enrolled</v>
      </c>
      <c r="AB1044" s="124" t="str">
        <f>IFERROR(__xludf.DUMMYFUNCTION("""COMPUTED_VALUE"""),"SIP Offline")</f>
        <v>SIP Offline</v>
      </c>
    </row>
    <row r="1045">
      <c r="A1045" s="126">
        <f>IFERROR(__xludf.DUMMYFUNCTION("""COMPUTED_VALUE"""),46050.0)</f>
        <v>46050</v>
      </c>
      <c r="B1045" s="124" t="str">
        <f>IFERROR(__xludf.DUMMYFUNCTION("""COMPUTED_VALUE"""),"Walk-In")</f>
        <v>Walk-In</v>
      </c>
      <c r="C1045" s="124" t="str">
        <f>IFERROR(__xludf.DUMMYFUNCTION("""COMPUTED_VALUE"""),"Patna")</f>
        <v>Patna</v>
      </c>
      <c r="D1045" s="124" t="str">
        <f>IFERROR(__xludf.DUMMYFUNCTION("""COMPUTED_VALUE"""),"Primary_Walkin")</f>
        <v>Primary_Walkin</v>
      </c>
      <c r="E1045" s="124">
        <f>IFERROR(__xludf.DUMMYFUNCTION("""COMPUTED_VALUE"""),1.0)</f>
        <v>1</v>
      </c>
      <c r="F1045" s="124" t="str">
        <f>IFERROR(__xludf.DUMMYFUNCTION("""COMPUTED_VALUE"""),"Cold")</f>
        <v>Cold</v>
      </c>
      <c r="G1045" s="124" t="str">
        <f>IFERROR(__xludf.DUMMYFUNCTION("""COMPUTED_VALUE"""),"Test Series")</f>
        <v>Test Series</v>
      </c>
      <c r="K1045" s="124"/>
      <c r="L1045" s="124"/>
      <c r="M1045" s="124"/>
      <c r="N1045" s="124"/>
      <c r="O1045" s="124"/>
      <c r="T1045" s="126">
        <f>IFERROR(__xludf.DUMMYFUNCTION("""COMPUTED_VALUE"""),46076.0)</f>
        <v>46076</v>
      </c>
      <c r="U1045" s="124" t="str">
        <f>IFERROR(__xludf.DUMMYFUNCTION("""COMPUTED_VALUE"""),"Walk-Ins")</f>
        <v>Walk-Ins</v>
      </c>
      <c r="V1045" s="124" t="str">
        <f>IFERROR(__xludf.DUMMYFUNCTION("""COMPUTED_VALUE"""),"Walkin")</f>
        <v>Walkin</v>
      </c>
      <c r="W1045" s="124" t="str">
        <f>IFERROR(__xludf.DUMMYFUNCTION("""COMPUTED_VALUE"""),"Delhi")</f>
        <v>Delhi</v>
      </c>
      <c r="X1045" s="124" t="str">
        <f>IFERROR(__xludf.DUMMYFUNCTION("""COMPUTED_VALUE"""),"walkin")</f>
        <v>walkin</v>
      </c>
      <c r="Y1045" s="124" t="str">
        <f>IFERROR(__xludf.DUMMYFUNCTION("""COMPUTED_VALUE"""),"Delhi")</f>
        <v>Delhi</v>
      </c>
      <c r="Z1045" s="124">
        <f>IFERROR(__xludf.DUMMYFUNCTION("""COMPUTED_VALUE"""),3.0)</f>
        <v>3</v>
      </c>
      <c r="AA1045" s="124" t="str">
        <f>IFERROR(__xludf.DUMMYFUNCTION("""COMPUTED_VALUE"""),"Enrolled")</f>
        <v>Enrolled</v>
      </c>
      <c r="AB1045" s="124" t="str">
        <f>IFERROR(__xludf.DUMMYFUNCTION("""COMPUTED_VALUE"""),"GS Foundation")</f>
        <v>GS Foundation</v>
      </c>
    </row>
    <row r="1046">
      <c r="A1046" s="129">
        <f>IFERROR(__xludf.DUMMYFUNCTION("""COMPUTED_VALUE"""),46082.0)</f>
        <v>46082</v>
      </c>
      <c r="B1046" s="124" t="str">
        <f>IFERROR(__xludf.DUMMYFUNCTION("""COMPUTED_VALUE"""),"Walkin")</f>
        <v>Walkin</v>
      </c>
      <c r="C1046" s="124" t="str">
        <f>IFERROR(__xludf.DUMMYFUNCTION("""COMPUTED_VALUE"""),"Patna")</f>
        <v>Patna</v>
      </c>
      <c r="D1046" s="124" t="str">
        <f>IFERROR(__xludf.DUMMYFUNCTION("""COMPUTED_VALUE"""),"Primary_Walkin")</f>
        <v>Primary_Walkin</v>
      </c>
      <c r="E1046" s="124">
        <f>IFERROR(__xludf.DUMMYFUNCTION("""COMPUTED_VALUE"""),1.0)</f>
        <v>1</v>
      </c>
      <c r="F1046" s="124" t="str">
        <f>IFERROR(__xludf.DUMMYFUNCTION("""COMPUTED_VALUE"""),"Warm")</f>
        <v>Warm</v>
      </c>
      <c r="G1046" s="124" t="str">
        <f>IFERROR(__xludf.DUMMYFUNCTION("""COMPUTED_VALUE"""),"GS Foundation")</f>
        <v>GS Foundation</v>
      </c>
      <c r="K1046" s="124"/>
      <c r="L1046" s="124"/>
      <c r="M1046" s="124"/>
      <c r="N1046" s="124"/>
      <c r="O1046" s="124"/>
      <c r="T1046" s="126">
        <f>IFERROR(__xludf.DUMMYFUNCTION("""COMPUTED_VALUE"""),46095.0)</f>
        <v>46095</v>
      </c>
      <c r="U1046" s="124" t="str">
        <f>IFERROR(__xludf.DUMMYFUNCTION("""COMPUTED_VALUE"""),"Walk-Ins")</f>
        <v>Walk-Ins</v>
      </c>
      <c r="V1046" s="124" t="str">
        <f>IFERROR(__xludf.DUMMYFUNCTION("""COMPUTED_VALUE"""),"Walkin")</f>
        <v>Walkin</v>
      </c>
      <c r="W1046" s="124" t="str">
        <f>IFERROR(__xludf.DUMMYFUNCTION("""COMPUTED_VALUE"""),"Delhi")</f>
        <v>Delhi</v>
      </c>
      <c r="X1046" s="124" t="str">
        <f>IFERROR(__xludf.DUMMYFUNCTION("""COMPUTED_VALUE"""),"walkin")</f>
        <v>walkin</v>
      </c>
      <c r="Y1046" s="124" t="str">
        <f>IFERROR(__xludf.DUMMYFUNCTION("""COMPUTED_VALUE"""),"Delhi")</f>
        <v>Delhi</v>
      </c>
      <c r="Z1046" s="124">
        <f>IFERROR(__xludf.DUMMYFUNCTION("""COMPUTED_VALUE"""),5.0)</f>
        <v>5</v>
      </c>
      <c r="AA1046" s="124" t="str">
        <f>IFERROR(__xludf.DUMMYFUNCTION("""COMPUTED_VALUE"""),"Not Interested")</f>
        <v>Not Interested</v>
      </c>
      <c r="AB1046" s="124" t="str">
        <f>IFERROR(__xludf.DUMMYFUNCTION("""COMPUTED_VALUE"""),"GS Foundation")</f>
        <v>GS Foundation</v>
      </c>
    </row>
    <row r="1047">
      <c r="A1047" s="126">
        <f>IFERROR(__xludf.DUMMYFUNCTION("""COMPUTED_VALUE"""),46050.0)</f>
        <v>46050</v>
      </c>
      <c r="B1047" s="124" t="str">
        <f>IFERROR(__xludf.DUMMYFUNCTION("""COMPUTED_VALUE"""),"Walk-In")</f>
        <v>Walk-In</v>
      </c>
      <c r="C1047" s="124" t="str">
        <f>IFERROR(__xludf.DUMMYFUNCTION("""COMPUTED_VALUE"""),"Patna")</f>
        <v>Patna</v>
      </c>
      <c r="D1047" s="124" t="str">
        <f>IFERROR(__xludf.DUMMYFUNCTION("""COMPUTED_VALUE"""),"Primary_Walkin")</f>
        <v>Primary_Walkin</v>
      </c>
      <c r="E1047" s="124">
        <f>IFERROR(__xludf.DUMMYFUNCTION("""COMPUTED_VALUE"""),1.0)</f>
        <v>1</v>
      </c>
      <c r="F1047" s="124" t="str">
        <f>IFERROR(__xludf.DUMMYFUNCTION("""COMPUTED_VALUE"""),"Enrolled")</f>
        <v>Enrolled</v>
      </c>
      <c r="G1047" s="124" t="str">
        <f>IFERROR(__xludf.DUMMYFUNCTION("""COMPUTED_VALUE"""),"GS Foundation")</f>
        <v>GS Foundation</v>
      </c>
      <c r="K1047" s="124"/>
      <c r="L1047" s="124"/>
      <c r="M1047" s="124"/>
      <c r="N1047" s="124"/>
      <c r="O1047" s="124"/>
      <c r="T1047" s="126">
        <f>IFERROR(__xludf.DUMMYFUNCTION("""COMPUTED_VALUE"""),46099.0)</f>
        <v>46099</v>
      </c>
      <c r="U1047" s="124" t="str">
        <f>IFERROR(__xludf.DUMMYFUNCTION("""COMPUTED_VALUE"""),"Walk-Ins")</f>
        <v>Walk-Ins</v>
      </c>
      <c r="V1047" s="124" t="str">
        <f>IFERROR(__xludf.DUMMYFUNCTION("""COMPUTED_VALUE"""),"walk-in")</f>
        <v>walk-in</v>
      </c>
      <c r="W1047" s="124" t="str">
        <f>IFERROR(__xludf.DUMMYFUNCTION("""COMPUTED_VALUE"""),"indore")</f>
        <v>indore</v>
      </c>
      <c r="X1047" s="124" t="str">
        <f>IFERROR(__xludf.DUMMYFUNCTION("""COMPUTED_VALUE"""),"suraj sharma")</f>
        <v>suraj sharma</v>
      </c>
      <c r="Y1047" s="124" t="str">
        <f>IFERROR(__xludf.DUMMYFUNCTION("""COMPUTED_VALUE"""),"Indore")</f>
        <v>Indore</v>
      </c>
      <c r="Z1047" s="124">
        <f>IFERROR(__xludf.DUMMYFUNCTION("""COMPUTED_VALUE"""),1.0)</f>
        <v>1</v>
      </c>
      <c r="AA1047" s="124" t="str">
        <f>IFERROR(__xludf.DUMMYFUNCTION("""COMPUTED_VALUE"""),"Cold")</f>
        <v>Cold</v>
      </c>
      <c r="AB1047" s="124" t="str">
        <f>IFERROR(__xludf.DUMMYFUNCTION("""COMPUTED_VALUE"""),"State PCS")</f>
        <v>State PCS</v>
      </c>
    </row>
    <row r="1048">
      <c r="A1048" s="126">
        <f>IFERROR(__xludf.DUMMYFUNCTION("""COMPUTED_VALUE"""),46061.0)</f>
        <v>46061</v>
      </c>
      <c r="B1048" s="124" t="str">
        <f>IFERROR(__xludf.DUMMYFUNCTION("""COMPUTED_VALUE"""),"Walkin")</f>
        <v>Walkin</v>
      </c>
      <c r="C1048" s="124" t="str">
        <f>IFERROR(__xludf.DUMMYFUNCTION("""COMPUTED_VALUE"""),"Patna")</f>
        <v>Patna</v>
      </c>
      <c r="D1048" s="124" t="str">
        <f>IFERROR(__xludf.DUMMYFUNCTION("""COMPUTED_VALUE"""),"Primary_Walkin")</f>
        <v>Primary_Walkin</v>
      </c>
      <c r="E1048" s="124">
        <f>IFERROR(__xludf.DUMMYFUNCTION("""COMPUTED_VALUE"""),2.0)</f>
        <v>2</v>
      </c>
      <c r="F1048" s="124" t="str">
        <f>IFERROR(__xludf.DUMMYFUNCTION("""COMPUTED_VALUE"""),"Cold")</f>
        <v>Cold</v>
      </c>
      <c r="G1048" s="124" t="str">
        <f>IFERROR(__xludf.DUMMYFUNCTION("""COMPUTED_VALUE"""),"State PCS")</f>
        <v>State PCS</v>
      </c>
      <c r="K1048" s="124"/>
      <c r="L1048" s="124"/>
      <c r="M1048" s="124"/>
      <c r="N1048" s="124"/>
      <c r="O1048" s="124"/>
      <c r="T1048" s="126">
        <f>IFERROR(__xludf.DUMMYFUNCTION("""COMPUTED_VALUE"""),46111.0)</f>
        <v>46111</v>
      </c>
      <c r="U1048" s="124" t="str">
        <f>IFERROR(__xludf.DUMMYFUNCTION("""COMPUTED_VALUE"""),"Walk-Ins")</f>
        <v>Walk-Ins</v>
      </c>
      <c r="V1048" s="124" t="str">
        <f>IFERROR(__xludf.DUMMYFUNCTION("""COMPUTED_VALUE"""),"Walkin")</f>
        <v>Walkin</v>
      </c>
      <c r="W1048" s="124" t="str">
        <f>IFERROR(__xludf.DUMMYFUNCTION("""COMPUTED_VALUE"""),"Delhi")</f>
        <v>Delhi</v>
      </c>
      <c r="X1048" s="124" t="str">
        <f>IFERROR(__xludf.DUMMYFUNCTION("""COMPUTED_VALUE"""),"walkin")</f>
        <v>walkin</v>
      </c>
      <c r="Y1048" s="124" t="str">
        <f>IFERROR(__xludf.DUMMYFUNCTION("""COMPUTED_VALUE"""),"Delhi")</f>
        <v>Delhi</v>
      </c>
      <c r="Z1048" s="124">
        <f>IFERROR(__xludf.DUMMYFUNCTION("""COMPUTED_VALUE"""),2.0)</f>
        <v>2</v>
      </c>
      <c r="AA1048" s="124" t="str">
        <f>IFERROR(__xludf.DUMMYFUNCTION("""COMPUTED_VALUE"""),"Fake Lead")</f>
        <v>Fake Lead</v>
      </c>
      <c r="AB1048" s="124" t="str">
        <f>IFERROR(__xludf.DUMMYFUNCTION("""COMPUTED_VALUE"""),"GS Foundation")</f>
        <v>GS Foundation</v>
      </c>
    </row>
    <row r="1049">
      <c r="A1049" s="126">
        <f>IFERROR(__xludf.DUMMYFUNCTION("""COMPUTED_VALUE"""),46069.0)</f>
        <v>46069</v>
      </c>
      <c r="B1049" s="124" t="str">
        <f>IFERROR(__xludf.DUMMYFUNCTION("""COMPUTED_VALUE"""),"Walkin")</f>
        <v>Walkin</v>
      </c>
      <c r="C1049" s="124" t="str">
        <f>IFERROR(__xludf.DUMMYFUNCTION("""COMPUTED_VALUE"""),"Patna")</f>
        <v>Patna</v>
      </c>
      <c r="D1049" s="124" t="str">
        <f>IFERROR(__xludf.DUMMYFUNCTION("""COMPUTED_VALUE"""),"Primary_Walkin")</f>
        <v>Primary_Walkin</v>
      </c>
      <c r="E1049" s="124">
        <f>IFERROR(__xludf.DUMMYFUNCTION("""COMPUTED_VALUE"""),2.0)</f>
        <v>2</v>
      </c>
      <c r="F1049" s="124" t="str">
        <f>IFERROR(__xludf.DUMMYFUNCTION("""COMPUTED_VALUE"""),"Future Prospects")</f>
        <v>Future Prospects</v>
      </c>
      <c r="G1049" s="124" t="str">
        <f>IFERROR(__xludf.DUMMYFUNCTION("""COMPUTED_VALUE"""),"State PCS")</f>
        <v>State PCS</v>
      </c>
      <c r="K1049" s="124"/>
      <c r="L1049" s="124"/>
      <c r="M1049" s="124"/>
      <c r="N1049" s="124"/>
      <c r="O1049" s="124"/>
      <c r="T1049" s="129">
        <f>IFERROR(__xludf.DUMMYFUNCTION("""COMPUTED_VALUE"""),46088.0)</f>
        <v>46088</v>
      </c>
      <c r="U1049" s="124" t="str">
        <f>IFERROR(__xludf.DUMMYFUNCTION("""COMPUTED_VALUE"""),"Walk-Ins")</f>
        <v>Walk-Ins</v>
      </c>
      <c r="V1049" s="124" t="str">
        <f>IFERROR(__xludf.DUMMYFUNCTION("""COMPUTED_VALUE"""),"Walkin")</f>
        <v>Walkin</v>
      </c>
      <c r="W1049" s="124" t="str">
        <f>IFERROR(__xludf.DUMMYFUNCTION("""COMPUTED_VALUE"""),"Delhi")</f>
        <v>Delhi</v>
      </c>
      <c r="X1049" s="124" t="str">
        <f>IFERROR(__xludf.DUMMYFUNCTION("""COMPUTED_VALUE"""),"walkin")</f>
        <v>walkin</v>
      </c>
      <c r="Y1049" s="124" t="str">
        <f>IFERROR(__xludf.DUMMYFUNCTION("""COMPUTED_VALUE"""),"Delhi")</f>
        <v>Delhi</v>
      </c>
      <c r="Z1049" s="124">
        <f>IFERROR(__xludf.DUMMYFUNCTION("""COMPUTED_VALUE"""),2.0)</f>
        <v>2</v>
      </c>
      <c r="AA1049" s="124" t="str">
        <f>IFERROR(__xludf.DUMMYFUNCTION("""COMPUTED_VALUE"""),"Not Interested")</f>
        <v>Not Interested</v>
      </c>
      <c r="AB1049" s="124" t="str">
        <f>IFERROR(__xludf.DUMMYFUNCTION("""COMPUTED_VALUE"""),"GS Foundation")</f>
        <v>GS Foundation</v>
      </c>
    </row>
    <row r="1050">
      <c r="A1050" s="129">
        <f>IFERROR(__xludf.DUMMYFUNCTION("""COMPUTED_VALUE"""),46095.0)</f>
        <v>46095</v>
      </c>
      <c r="B1050" s="124" t="str">
        <f>IFERROR(__xludf.DUMMYFUNCTION("""COMPUTED_VALUE"""),"Walkin")</f>
        <v>Walkin</v>
      </c>
      <c r="C1050" s="124" t="str">
        <f>IFERROR(__xludf.DUMMYFUNCTION("""COMPUTED_VALUE"""),"Patna")</f>
        <v>Patna</v>
      </c>
      <c r="D1050" s="124" t="str">
        <f>IFERROR(__xludf.DUMMYFUNCTION("""COMPUTED_VALUE"""),"Primary_Walkin")</f>
        <v>Primary_Walkin</v>
      </c>
      <c r="E1050" s="124">
        <f>IFERROR(__xludf.DUMMYFUNCTION("""COMPUTED_VALUE"""),1.0)</f>
        <v>1</v>
      </c>
      <c r="F1050" s="124" t="str">
        <f>IFERROR(__xludf.DUMMYFUNCTION("""COMPUTED_VALUE"""),"Cold")</f>
        <v>Cold</v>
      </c>
      <c r="G1050" s="124" t="str">
        <f>IFERROR(__xludf.DUMMYFUNCTION("""COMPUTED_VALUE"""),"Hybrid")</f>
        <v>Hybrid</v>
      </c>
      <c r="K1050" s="124"/>
      <c r="L1050" s="124"/>
      <c r="M1050" s="124"/>
      <c r="N1050" s="124"/>
      <c r="O1050" s="124"/>
      <c r="T1050" s="126">
        <f>IFERROR(__xludf.DUMMYFUNCTION("""COMPUTED_VALUE"""),46098.0)</f>
        <v>46098</v>
      </c>
      <c r="U1050" s="124" t="str">
        <f>IFERROR(__xludf.DUMMYFUNCTION("""COMPUTED_VALUE"""),"Walk-Ins")</f>
        <v>Walk-Ins</v>
      </c>
      <c r="V1050" s="124" t="str">
        <f>IFERROR(__xludf.DUMMYFUNCTION("""COMPUTED_VALUE"""),"Walkin")</f>
        <v>Walkin</v>
      </c>
      <c r="W1050" s="124" t="str">
        <f>IFERROR(__xludf.DUMMYFUNCTION("""COMPUTED_VALUE"""),"Delhi")</f>
        <v>Delhi</v>
      </c>
      <c r="X1050" s="124" t="str">
        <f>IFERROR(__xludf.DUMMYFUNCTION("""COMPUTED_VALUE"""),"walkin")</f>
        <v>walkin</v>
      </c>
      <c r="Y1050" s="124" t="str">
        <f>IFERROR(__xludf.DUMMYFUNCTION("""COMPUTED_VALUE"""),"Delhi")</f>
        <v>Delhi</v>
      </c>
      <c r="Z1050" s="124">
        <f>IFERROR(__xludf.DUMMYFUNCTION("""COMPUTED_VALUE"""),7.0)</f>
        <v>7</v>
      </c>
      <c r="AA1050" s="124" t="str">
        <f>IFERROR(__xludf.DUMMYFUNCTION("""COMPUTED_VALUE"""),"Future Prospects")</f>
        <v>Future Prospects</v>
      </c>
      <c r="AB1050" s="124" t="str">
        <f>IFERROR(__xludf.DUMMYFUNCTION("""COMPUTED_VALUE"""),"GS Foundation")</f>
        <v>GS Foundation</v>
      </c>
    </row>
    <row r="1051">
      <c r="A1051" s="129">
        <f>IFERROR(__xludf.DUMMYFUNCTION("""COMPUTED_VALUE"""),46107.0)</f>
        <v>46107</v>
      </c>
      <c r="B1051" s="124" t="str">
        <f>IFERROR(__xludf.DUMMYFUNCTION("""COMPUTED_VALUE"""),"Walkin")</f>
        <v>Walkin</v>
      </c>
      <c r="C1051" s="124" t="str">
        <f>IFERROR(__xludf.DUMMYFUNCTION("""COMPUTED_VALUE"""),"Patna")</f>
        <v>Patna</v>
      </c>
      <c r="D1051" s="124" t="str">
        <f>IFERROR(__xludf.DUMMYFUNCTION("""COMPUTED_VALUE"""),"Primary_Walkin")</f>
        <v>Primary_Walkin</v>
      </c>
      <c r="E1051" s="124">
        <f>IFERROR(__xludf.DUMMYFUNCTION("""COMPUTED_VALUE"""),1.0)</f>
        <v>1</v>
      </c>
      <c r="F1051" s="124" t="str">
        <f>IFERROR(__xludf.DUMMYFUNCTION("""COMPUTED_VALUE"""),"Future Prospects")</f>
        <v>Future Prospects</v>
      </c>
      <c r="G1051" s="124" t="str">
        <f>IFERROR(__xludf.DUMMYFUNCTION("""COMPUTED_VALUE"""),"Test Series")</f>
        <v>Test Series</v>
      </c>
      <c r="K1051" s="124"/>
      <c r="L1051" s="124"/>
      <c r="M1051" s="124"/>
      <c r="N1051" s="124"/>
      <c r="O1051" s="124"/>
      <c r="T1051" s="126">
        <f>IFERROR(__xludf.DUMMYFUNCTION("""COMPUTED_VALUE"""),46049.0)</f>
        <v>46049</v>
      </c>
      <c r="U1051" s="124" t="str">
        <f>IFERROR(__xludf.DUMMYFUNCTION("""COMPUTED_VALUE"""),"External Leads")</f>
        <v>External Leads</v>
      </c>
      <c r="V1051" s="124" t="str">
        <f>IFERROR(__xludf.DUMMYFUNCTION("""COMPUTED_VALUE"""),"external leads")</f>
        <v>external leads</v>
      </c>
      <c r="W1051" s="124" t="str">
        <f>IFERROR(__xludf.DUMMYFUNCTION("""COMPUTED_VALUE"""),"delhi")</f>
        <v>delhi</v>
      </c>
      <c r="X1051" s="124" t="str">
        <f>IFERROR(__xludf.DUMMYFUNCTION("""COMPUTED_VALUE"""),"piyushunacademy")</f>
        <v>piyushunacademy</v>
      </c>
      <c r="Y1051" s="124" t="str">
        <f>IFERROR(__xludf.DUMMYFUNCTION("""COMPUTED_VALUE"""),"Delhi")</f>
        <v>Delhi</v>
      </c>
      <c r="Z1051" s="124">
        <f>IFERROR(__xludf.DUMMYFUNCTION("""COMPUTED_VALUE"""),3.0)</f>
        <v>3</v>
      </c>
      <c r="AA1051" s="124" t="str">
        <f>IFERROR(__xludf.DUMMYFUNCTION("""COMPUTED_VALUE"""),"Warm")</f>
        <v>Warm</v>
      </c>
      <c r="AB1051" s="124" t="str">
        <f>IFERROR(__xludf.DUMMYFUNCTION("""COMPUTED_VALUE"""),"GS Foundation")</f>
        <v>GS Foundation</v>
      </c>
    </row>
    <row r="1052">
      <c r="A1052" s="126">
        <f>IFERROR(__xludf.DUMMYFUNCTION("""COMPUTED_VALUE"""),46059.0)</f>
        <v>46059</v>
      </c>
      <c r="B1052" s="124" t="str">
        <f>IFERROR(__xludf.DUMMYFUNCTION("""COMPUTED_VALUE"""),"Walkin")</f>
        <v>Walkin</v>
      </c>
      <c r="C1052" s="124" t="str">
        <f>IFERROR(__xludf.DUMMYFUNCTION("""COMPUTED_VALUE"""),"Patna")</f>
        <v>Patna</v>
      </c>
      <c r="D1052" s="124" t="str">
        <f>IFERROR(__xludf.DUMMYFUNCTION("""COMPUTED_VALUE"""),"Primary_Walkin")</f>
        <v>Primary_Walkin</v>
      </c>
      <c r="E1052" s="124">
        <f>IFERROR(__xludf.DUMMYFUNCTION("""COMPUTED_VALUE"""),2.0)</f>
        <v>2</v>
      </c>
      <c r="F1052" s="124" t="str">
        <f>IFERROR(__xludf.DUMMYFUNCTION("""COMPUTED_VALUE"""),"Not Interested")</f>
        <v>Not Interested</v>
      </c>
      <c r="G1052" s="124" t="str">
        <f>IFERROR(__xludf.DUMMYFUNCTION("""COMPUTED_VALUE"""),"State PCS")</f>
        <v>State PCS</v>
      </c>
      <c r="K1052" s="124"/>
      <c r="L1052" s="124"/>
      <c r="M1052" s="124"/>
      <c r="N1052" s="124"/>
      <c r="O1052" s="124"/>
      <c r="T1052" s="126">
        <f>IFERROR(__xludf.DUMMYFUNCTION("""COMPUTED_VALUE"""),46093.0)</f>
        <v>46093</v>
      </c>
      <c r="U1052" s="124" t="str">
        <f>IFERROR(__xludf.DUMMYFUNCTION("""COMPUTED_VALUE"""),"Walk-Ins")</f>
        <v>Walk-Ins</v>
      </c>
      <c r="V1052" s="124" t="str">
        <f>IFERROR(__xludf.DUMMYFUNCTION("""COMPUTED_VALUE"""),"Walkin")</f>
        <v>Walkin</v>
      </c>
      <c r="W1052" s="124" t="str">
        <f>IFERROR(__xludf.DUMMYFUNCTION("""COMPUTED_VALUE"""),"Delhi")</f>
        <v>Delhi</v>
      </c>
      <c r="X1052" s="124" t="str">
        <f>IFERROR(__xludf.DUMMYFUNCTION("""COMPUTED_VALUE"""),"walkin")</f>
        <v>walkin</v>
      </c>
      <c r="Y1052" s="124" t="str">
        <f>IFERROR(__xludf.DUMMYFUNCTION("""COMPUTED_VALUE"""),"Delhi")</f>
        <v>Delhi</v>
      </c>
      <c r="Z1052" s="124">
        <f>IFERROR(__xludf.DUMMYFUNCTION("""COMPUTED_VALUE"""),1.0)</f>
        <v>1</v>
      </c>
      <c r="AA1052" s="124" t="str">
        <f>IFERROR(__xludf.DUMMYFUNCTION("""COMPUTED_VALUE"""),"Cold")</f>
        <v>Cold</v>
      </c>
      <c r="AB1052" s="124" t="str">
        <f>IFERROR(__xludf.DUMMYFUNCTION("""COMPUTED_VALUE"""),"GS Foundation")</f>
        <v>GS Foundation</v>
      </c>
    </row>
    <row r="1053">
      <c r="A1053" s="126">
        <f>IFERROR(__xludf.DUMMYFUNCTION("""COMPUTED_VALUE"""),46056.0)</f>
        <v>46056</v>
      </c>
      <c r="B1053" s="124" t="str">
        <f>IFERROR(__xludf.DUMMYFUNCTION("""COMPUTED_VALUE"""),"Walkin")</f>
        <v>Walkin</v>
      </c>
      <c r="C1053" s="124" t="str">
        <f>IFERROR(__xludf.DUMMYFUNCTION("""COMPUTED_VALUE"""),"Patna")</f>
        <v>Patna</v>
      </c>
      <c r="D1053" s="124" t="str">
        <f>IFERROR(__xludf.DUMMYFUNCTION("""COMPUTED_VALUE"""),"Primary_Walkin")</f>
        <v>Primary_Walkin</v>
      </c>
      <c r="E1053" s="124">
        <f>IFERROR(__xludf.DUMMYFUNCTION("""COMPUTED_VALUE"""),1.0)</f>
        <v>1</v>
      </c>
      <c r="F1053" s="124" t="str">
        <f>IFERROR(__xludf.DUMMYFUNCTION("""COMPUTED_VALUE"""),"Not Interested")</f>
        <v>Not Interested</v>
      </c>
      <c r="G1053" s="124" t="str">
        <f>IFERROR(__xludf.DUMMYFUNCTION("""COMPUTED_VALUE"""),"GS Foundation")</f>
        <v>GS Foundation</v>
      </c>
      <c r="K1053" s="124"/>
      <c r="L1053" s="124"/>
      <c r="M1053" s="124"/>
      <c r="N1053" s="124"/>
      <c r="O1053" s="124"/>
      <c r="T1053" s="129">
        <f>IFERROR(__xludf.DUMMYFUNCTION("""COMPUTED_VALUE"""),46050.0)</f>
        <v>46050</v>
      </c>
      <c r="U1053" s="124" t="str">
        <f>IFERROR(__xludf.DUMMYFUNCTION("""COMPUTED_VALUE"""),"External Leads")</f>
        <v>External Leads</v>
      </c>
      <c r="V1053" s="124" t="str">
        <f>IFERROR(__xludf.DUMMYFUNCTION("""COMPUTED_VALUE"""),"external leads")</f>
        <v>external leads</v>
      </c>
      <c r="W1053" s="124" t="str">
        <f>IFERROR(__xludf.DUMMYFUNCTION("""COMPUTED_VALUE"""),"delhi")</f>
        <v>delhi</v>
      </c>
      <c r="X1053" s="124" t="str">
        <f>IFERROR(__xludf.DUMMYFUNCTION("""COMPUTED_VALUE"""),"piyushunacademy")</f>
        <v>piyushunacademy</v>
      </c>
      <c r="Y1053" s="124" t="str">
        <f>IFERROR(__xludf.DUMMYFUNCTION("""COMPUTED_VALUE"""),"Indore")</f>
        <v>Indore</v>
      </c>
      <c r="Z1053" s="124">
        <f>IFERROR(__xludf.DUMMYFUNCTION("""COMPUTED_VALUE"""),1.0)</f>
        <v>1</v>
      </c>
      <c r="AA1053" s="124"/>
      <c r="AB1053" s="124" t="str">
        <f>IFERROR(__xludf.DUMMYFUNCTION("""COMPUTED_VALUE"""),"Test Series")</f>
        <v>Test Series</v>
      </c>
    </row>
    <row r="1054">
      <c r="A1054" s="129">
        <f>IFERROR(__xludf.DUMMYFUNCTION("""COMPUTED_VALUE"""),46081.0)</f>
        <v>46081</v>
      </c>
      <c r="B1054" s="124" t="str">
        <f>IFERROR(__xludf.DUMMYFUNCTION("""COMPUTED_VALUE"""),"Walkin")</f>
        <v>Walkin</v>
      </c>
      <c r="C1054" s="124" t="str">
        <f>IFERROR(__xludf.DUMMYFUNCTION("""COMPUTED_VALUE"""),"Patna")</f>
        <v>Patna</v>
      </c>
      <c r="D1054" s="124" t="str">
        <f>IFERROR(__xludf.DUMMYFUNCTION("""COMPUTED_VALUE"""),"Primary_Walkin")</f>
        <v>Primary_Walkin</v>
      </c>
      <c r="E1054" s="124">
        <f>IFERROR(__xludf.DUMMYFUNCTION("""COMPUTED_VALUE"""),1.0)</f>
        <v>1</v>
      </c>
      <c r="F1054" s="124" t="str">
        <f>IFERROR(__xludf.DUMMYFUNCTION("""COMPUTED_VALUE"""),"Enrolled")</f>
        <v>Enrolled</v>
      </c>
      <c r="G1054" s="124" t="str">
        <f>IFERROR(__xludf.DUMMYFUNCTION("""COMPUTED_VALUE"""),"GS Foundation")</f>
        <v>GS Foundation</v>
      </c>
      <c r="K1054" s="124"/>
      <c r="L1054" s="124"/>
      <c r="M1054" s="124"/>
      <c r="N1054" s="124"/>
      <c r="O1054" s="124"/>
      <c r="T1054" s="126">
        <f>IFERROR(__xludf.DUMMYFUNCTION("""COMPUTED_VALUE"""),46046.0)</f>
        <v>46046</v>
      </c>
      <c r="U1054" s="124" t="str">
        <f>IFERROR(__xludf.DUMMYFUNCTION("""COMPUTED_VALUE"""),"Walk-Ins")</f>
        <v>Walk-Ins</v>
      </c>
      <c r="V1054" s="124" t="str">
        <f>IFERROR(__xludf.DUMMYFUNCTION("""COMPUTED_VALUE"""),"Walk-In")</f>
        <v>Walk-In</v>
      </c>
      <c r="W1054" s="124" t="str">
        <f>IFERROR(__xludf.DUMMYFUNCTION("""COMPUTED_VALUE"""),"Delhi")</f>
        <v>Delhi</v>
      </c>
      <c r="X1054" s="124" t="str">
        <f>IFERROR(__xludf.DUMMYFUNCTION("""COMPUTED_VALUE"""),"walkin")</f>
        <v>walkin</v>
      </c>
      <c r="Y1054" s="124" t="str">
        <f>IFERROR(__xludf.DUMMYFUNCTION("""COMPUTED_VALUE"""),"Delhi")</f>
        <v>Delhi</v>
      </c>
      <c r="Z1054" s="124">
        <f>IFERROR(__xludf.DUMMYFUNCTION("""COMPUTED_VALUE"""),1.0)</f>
        <v>1</v>
      </c>
      <c r="AA1054" s="124" t="str">
        <f>IFERROR(__xludf.DUMMYFUNCTION("""COMPUTED_VALUE"""),"Future Prospects")</f>
        <v>Future Prospects</v>
      </c>
      <c r="AB1054" s="124" t="str">
        <f>IFERROR(__xludf.DUMMYFUNCTION("""COMPUTED_VALUE"""),"Optionals")</f>
        <v>Optionals</v>
      </c>
    </row>
    <row r="1055">
      <c r="A1055" s="126">
        <f>IFERROR(__xludf.DUMMYFUNCTION("""COMPUTED_VALUE"""),46062.0)</f>
        <v>46062</v>
      </c>
      <c r="B1055" s="124" t="str">
        <f>IFERROR(__xludf.DUMMYFUNCTION("""COMPUTED_VALUE"""),"Walkin")</f>
        <v>Walkin</v>
      </c>
      <c r="C1055" s="124" t="str">
        <f>IFERROR(__xludf.DUMMYFUNCTION("""COMPUTED_VALUE"""),"Patna")</f>
        <v>Patna</v>
      </c>
      <c r="D1055" s="124" t="str">
        <f>IFERROR(__xludf.DUMMYFUNCTION("""COMPUTED_VALUE"""),"Primary_Walkin")</f>
        <v>Primary_Walkin</v>
      </c>
      <c r="E1055" s="124">
        <f>IFERROR(__xludf.DUMMYFUNCTION("""COMPUTED_VALUE"""),3.0)</f>
        <v>3</v>
      </c>
      <c r="F1055" s="124" t="str">
        <f>IFERROR(__xludf.DUMMYFUNCTION("""COMPUTED_VALUE"""),"Cold")</f>
        <v>Cold</v>
      </c>
      <c r="G1055" s="124" t="str">
        <f>IFERROR(__xludf.DUMMYFUNCTION("""COMPUTED_VALUE"""),"GS Foundation")</f>
        <v>GS Foundation</v>
      </c>
      <c r="K1055" s="124"/>
      <c r="L1055" s="124"/>
      <c r="M1055" s="124"/>
      <c r="N1055" s="124"/>
      <c r="O1055" s="124"/>
      <c r="T1055" s="129">
        <f>IFERROR(__xludf.DUMMYFUNCTION("""COMPUTED_VALUE"""),46097.0)</f>
        <v>46097</v>
      </c>
      <c r="U1055" s="124" t="str">
        <f>IFERROR(__xludf.DUMMYFUNCTION("""COMPUTED_VALUE"""),"Walk-Ins")</f>
        <v>Walk-Ins</v>
      </c>
      <c r="V1055" s="124" t="str">
        <f>IFERROR(__xludf.DUMMYFUNCTION("""COMPUTED_VALUE"""),"Walkin")</f>
        <v>Walkin</v>
      </c>
      <c r="W1055" s="124" t="str">
        <f>IFERROR(__xludf.DUMMYFUNCTION("""COMPUTED_VALUE"""),"Delhi")</f>
        <v>Delhi</v>
      </c>
      <c r="X1055" s="124" t="str">
        <f>IFERROR(__xludf.DUMMYFUNCTION("""COMPUTED_VALUE"""),"walkin")</f>
        <v>walkin</v>
      </c>
      <c r="Y1055" s="124" t="str">
        <f>IFERROR(__xludf.DUMMYFUNCTION("""COMPUTED_VALUE"""),"Delhi")</f>
        <v>Delhi</v>
      </c>
      <c r="Z1055" s="124">
        <f>IFERROR(__xludf.DUMMYFUNCTION("""COMPUTED_VALUE"""),6.0)</f>
        <v>6</v>
      </c>
      <c r="AA1055" s="124" t="str">
        <f>IFERROR(__xludf.DUMMYFUNCTION("""COMPUTED_VALUE"""),"Cold")</f>
        <v>Cold</v>
      </c>
      <c r="AB1055" s="124" t="str">
        <f>IFERROR(__xludf.DUMMYFUNCTION("""COMPUTED_VALUE"""),"GS Foundation")</f>
        <v>GS Foundation</v>
      </c>
    </row>
    <row r="1056">
      <c r="A1056" s="126">
        <f>IFERROR(__xludf.DUMMYFUNCTION("""COMPUTED_VALUE"""),46057.0)</f>
        <v>46057</v>
      </c>
      <c r="B1056" s="124" t="str">
        <f>IFERROR(__xludf.DUMMYFUNCTION("""COMPUTED_VALUE"""),"Walk-In")</f>
        <v>Walk-In</v>
      </c>
      <c r="C1056" s="124"/>
      <c r="D1056" s="124" t="str">
        <f>IFERROR(__xludf.DUMMYFUNCTION("""COMPUTED_VALUE"""),"Primary_Walkin")</f>
        <v>Primary_Walkin</v>
      </c>
      <c r="E1056" s="124">
        <f>IFERROR(__xludf.DUMMYFUNCTION("""COMPUTED_VALUE"""),1.0)</f>
        <v>1</v>
      </c>
      <c r="F1056" s="124" t="str">
        <f>IFERROR(__xludf.DUMMYFUNCTION("""COMPUTED_VALUE"""),"Not Interested")</f>
        <v>Not Interested</v>
      </c>
      <c r="G1056" s="124" t="str">
        <f>IFERROR(__xludf.DUMMYFUNCTION("""COMPUTED_VALUE"""),"GS Foundation")</f>
        <v>GS Foundation</v>
      </c>
      <c r="K1056" s="124"/>
      <c r="L1056" s="124"/>
      <c r="M1056" s="124"/>
      <c r="N1056" s="124"/>
      <c r="O1056" s="124"/>
      <c r="T1056" s="129">
        <f>IFERROR(__xludf.DUMMYFUNCTION("""COMPUTED_VALUE"""),46052.0)</f>
        <v>46052</v>
      </c>
      <c r="U1056" s="124" t="str">
        <f>IFERROR(__xludf.DUMMYFUNCTION("""COMPUTED_VALUE"""),"Walk-Ins")</f>
        <v>Walk-Ins</v>
      </c>
      <c r="V1056" s="124" t="str">
        <f>IFERROR(__xludf.DUMMYFUNCTION("""COMPUTED_VALUE"""),"Walkin")</f>
        <v>Walkin</v>
      </c>
      <c r="W1056" s="124" t="str">
        <f>IFERROR(__xludf.DUMMYFUNCTION("""COMPUTED_VALUE"""),"Delhi")</f>
        <v>Delhi</v>
      </c>
      <c r="X1056" s="124" t="str">
        <f>IFERROR(__xludf.DUMMYFUNCTION("""COMPUTED_VALUE"""),"walkin")</f>
        <v>walkin</v>
      </c>
      <c r="Y1056" s="124" t="str">
        <f>IFERROR(__xludf.DUMMYFUNCTION("""COMPUTED_VALUE"""),"Delhi")</f>
        <v>Delhi</v>
      </c>
      <c r="Z1056" s="124">
        <f>IFERROR(__xludf.DUMMYFUNCTION("""COMPUTED_VALUE"""),3.0)</f>
        <v>3</v>
      </c>
      <c r="AA1056" s="124" t="str">
        <f>IFERROR(__xludf.DUMMYFUNCTION("""COMPUTED_VALUE"""),"Enrolled")</f>
        <v>Enrolled</v>
      </c>
      <c r="AB1056" s="124" t="str">
        <f>IFERROR(__xludf.DUMMYFUNCTION("""COMPUTED_VALUE"""),"GS Foundation")</f>
        <v>GS Foundation</v>
      </c>
    </row>
    <row r="1057">
      <c r="A1057" s="126">
        <f>IFERROR(__xludf.DUMMYFUNCTION("""COMPUTED_VALUE"""),46101.0)</f>
        <v>46101</v>
      </c>
      <c r="B1057" s="124" t="str">
        <f>IFERROR(__xludf.DUMMYFUNCTION("""COMPUTED_VALUE"""),"Walk-In")</f>
        <v>Walk-In</v>
      </c>
      <c r="C1057" s="124"/>
      <c r="D1057" s="124" t="str">
        <f>IFERROR(__xludf.DUMMYFUNCTION("""COMPUTED_VALUE"""),"Primary_Walkin")</f>
        <v>Primary_Walkin</v>
      </c>
      <c r="E1057" s="124">
        <f>IFERROR(__xludf.DUMMYFUNCTION("""COMPUTED_VALUE"""),1.0)</f>
        <v>1</v>
      </c>
      <c r="F1057" s="124" t="str">
        <f>IFERROR(__xludf.DUMMYFUNCTION("""COMPUTED_VALUE"""),"Enrolled")</f>
        <v>Enrolled</v>
      </c>
      <c r="G1057" s="124" t="str">
        <f>IFERROR(__xludf.DUMMYFUNCTION("""COMPUTED_VALUE"""),"State PCS")</f>
        <v>State PCS</v>
      </c>
      <c r="K1057" s="124"/>
      <c r="L1057" s="124"/>
      <c r="M1057" s="124"/>
      <c r="N1057" s="124"/>
      <c r="O1057" s="124"/>
      <c r="T1057" s="126">
        <f>IFERROR(__xludf.DUMMYFUNCTION("""COMPUTED_VALUE"""),46088.0)</f>
        <v>46088</v>
      </c>
      <c r="U1057" s="124" t="str">
        <f>IFERROR(__xludf.DUMMYFUNCTION("""COMPUTED_VALUE"""),"External Leads")</f>
        <v>External Leads</v>
      </c>
      <c r="V1057" s="124" t="str">
        <f>IFERROR(__xludf.DUMMYFUNCTION("""COMPUTED_VALUE"""),"external leads")</f>
        <v>external leads</v>
      </c>
      <c r="W1057" s="124" t="str">
        <f>IFERROR(__xludf.DUMMYFUNCTION("""COMPUTED_VALUE"""),"delhi")</f>
        <v>delhi</v>
      </c>
      <c r="X1057" s="124" t="str">
        <f>IFERROR(__xludf.DUMMYFUNCTION("""COMPUTED_VALUE"""),"igp2025")</f>
        <v>igp2025</v>
      </c>
      <c r="Y1057" s="124" t="str">
        <f>IFERROR(__xludf.DUMMYFUNCTION("""COMPUTED_VALUE"""),"Delhi")</f>
        <v>Delhi</v>
      </c>
      <c r="Z1057" s="124">
        <f>IFERROR(__xludf.DUMMYFUNCTION("""COMPUTED_VALUE"""),20.0)</f>
        <v>20</v>
      </c>
      <c r="AA1057" s="124" t="str">
        <f>IFERROR(__xludf.DUMMYFUNCTION("""COMPUTED_VALUE"""),"Selected 2025")</f>
        <v>Selected 2025</v>
      </c>
      <c r="AB1057" s="124"/>
    </row>
    <row r="1058">
      <c r="A1058" s="126">
        <f>IFERROR(__xludf.DUMMYFUNCTION("""COMPUTED_VALUE"""),46057.0)</f>
        <v>46057</v>
      </c>
      <c r="B1058" s="124" t="str">
        <f>IFERROR(__xludf.DUMMYFUNCTION("""COMPUTED_VALUE"""),"Walk-In")</f>
        <v>Walk-In</v>
      </c>
      <c r="C1058" s="124"/>
      <c r="D1058" s="124" t="str">
        <f>IFERROR(__xludf.DUMMYFUNCTION("""COMPUTED_VALUE"""),"Primary_Walkin")</f>
        <v>Primary_Walkin</v>
      </c>
      <c r="E1058" s="124">
        <f>IFERROR(__xludf.DUMMYFUNCTION("""COMPUTED_VALUE"""),1.0)</f>
        <v>1</v>
      </c>
      <c r="F1058" s="124" t="str">
        <f>IFERROR(__xludf.DUMMYFUNCTION("""COMPUTED_VALUE"""),"Cold")</f>
        <v>Cold</v>
      </c>
      <c r="G1058" s="124" t="str">
        <f>IFERROR(__xludf.DUMMYFUNCTION("""COMPUTED_VALUE"""),"GS Foundation")</f>
        <v>GS Foundation</v>
      </c>
      <c r="K1058" s="124"/>
      <c r="L1058" s="124"/>
      <c r="M1058" s="124"/>
      <c r="N1058" s="124"/>
      <c r="O1058" s="124"/>
      <c r="T1058" s="126">
        <f>IFERROR(__xludf.DUMMYFUNCTION("""COMPUTED_VALUE"""),46066.0)</f>
        <v>46066</v>
      </c>
      <c r="U1058" s="124" t="str">
        <f>IFERROR(__xludf.DUMMYFUNCTION("""COMPUTED_VALUE"""),"Walk-Ins")</f>
        <v>Walk-Ins</v>
      </c>
      <c r="V1058" s="124" t="str">
        <f>IFERROR(__xludf.DUMMYFUNCTION("""COMPUTED_VALUE"""),"Walkin")</f>
        <v>Walkin</v>
      </c>
      <c r="W1058" s="124" t="str">
        <f>IFERROR(__xludf.DUMMYFUNCTION("""COMPUTED_VALUE"""),"Delhi")</f>
        <v>Delhi</v>
      </c>
      <c r="X1058" s="124" t="str">
        <f>IFERROR(__xludf.DUMMYFUNCTION("""COMPUTED_VALUE"""),"walkin")</f>
        <v>walkin</v>
      </c>
      <c r="Y1058" s="124" t="str">
        <f>IFERROR(__xludf.DUMMYFUNCTION("""COMPUTED_VALUE"""),"Delhi")</f>
        <v>Delhi</v>
      </c>
      <c r="Z1058" s="124">
        <f>IFERROR(__xludf.DUMMYFUNCTION("""COMPUTED_VALUE"""),5.0)</f>
        <v>5</v>
      </c>
      <c r="AA1058" s="124" t="str">
        <f>IFERROR(__xludf.DUMMYFUNCTION("""COMPUTED_VALUE"""),"Not Interested")</f>
        <v>Not Interested</v>
      </c>
      <c r="AB1058" s="124" t="str">
        <f>IFERROR(__xludf.DUMMYFUNCTION("""COMPUTED_VALUE"""),"GS Foundation")</f>
        <v>GS Foundation</v>
      </c>
    </row>
    <row r="1059">
      <c r="A1059" s="126">
        <f>IFERROR(__xludf.DUMMYFUNCTION("""COMPUTED_VALUE"""),46051.0)</f>
        <v>46051</v>
      </c>
      <c r="B1059" s="124" t="str">
        <f>IFERROR(__xludf.DUMMYFUNCTION("""COMPUTED_VALUE"""),"Walk-In")</f>
        <v>Walk-In</v>
      </c>
      <c r="C1059" s="124"/>
      <c r="D1059" s="124" t="str">
        <f>IFERROR(__xludf.DUMMYFUNCTION("""COMPUTED_VALUE"""),"Primary_Walkin")</f>
        <v>Primary_Walkin</v>
      </c>
      <c r="E1059" s="124">
        <f>IFERROR(__xludf.DUMMYFUNCTION("""COMPUTED_VALUE"""),1.0)</f>
        <v>1</v>
      </c>
      <c r="F1059" s="124" t="str">
        <f>IFERROR(__xludf.DUMMYFUNCTION("""COMPUTED_VALUE"""),"Cold")</f>
        <v>Cold</v>
      </c>
      <c r="G1059" s="124" t="str">
        <f>IFERROR(__xludf.DUMMYFUNCTION("""COMPUTED_VALUE"""),"Optionals")</f>
        <v>Optionals</v>
      </c>
      <c r="K1059" s="124"/>
      <c r="L1059" s="124"/>
      <c r="M1059" s="124"/>
      <c r="N1059" s="124"/>
      <c r="O1059" s="124"/>
      <c r="T1059" s="129">
        <f>IFERROR(__xludf.DUMMYFUNCTION("""COMPUTED_VALUE"""),46065.0)</f>
        <v>46065</v>
      </c>
      <c r="U1059" s="124" t="str">
        <f>IFERROR(__xludf.DUMMYFUNCTION("""COMPUTED_VALUE"""),"Walk-Ins")</f>
        <v>Walk-Ins</v>
      </c>
      <c r="V1059" s="124" t="str">
        <f>IFERROR(__xludf.DUMMYFUNCTION("""COMPUTED_VALUE"""),"Walkin")</f>
        <v>Walkin</v>
      </c>
      <c r="W1059" s="124" t="str">
        <f>IFERROR(__xludf.DUMMYFUNCTION("""COMPUTED_VALUE"""),"Delhi")</f>
        <v>Delhi</v>
      </c>
      <c r="X1059" s="124" t="str">
        <f>IFERROR(__xludf.DUMMYFUNCTION("""COMPUTED_VALUE"""),"walkin")</f>
        <v>walkin</v>
      </c>
      <c r="Y1059" s="124" t="str">
        <f>IFERROR(__xludf.DUMMYFUNCTION("""COMPUTED_VALUE"""),"Delhi")</f>
        <v>Delhi</v>
      </c>
      <c r="Z1059" s="124">
        <f>IFERROR(__xludf.DUMMYFUNCTION("""COMPUTED_VALUE"""),2.0)</f>
        <v>2</v>
      </c>
      <c r="AA1059" s="124" t="str">
        <f>IFERROR(__xludf.DUMMYFUNCTION("""COMPUTED_VALUE"""),"Fake Lead")</f>
        <v>Fake Lead</v>
      </c>
      <c r="AB1059" s="124" t="str">
        <f>IFERROR(__xludf.DUMMYFUNCTION("""COMPUTED_VALUE"""),"GS Foundation")</f>
        <v>GS Foundation</v>
      </c>
    </row>
    <row r="1060">
      <c r="A1060" s="126">
        <f>IFERROR(__xludf.DUMMYFUNCTION("""COMPUTED_VALUE"""),46107.0)</f>
        <v>46107</v>
      </c>
      <c r="B1060" s="124" t="str">
        <f>IFERROR(__xludf.DUMMYFUNCTION("""COMPUTED_VALUE"""),"Walk-In")</f>
        <v>Walk-In</v>
      </c>
      <c r="C1060" s="124"/>
      <c r="D1060" s="124" t="str">
        <f>IFERROR(__xludf.DUMMYFUNCTION("""COMPUTED_VALUE"""),"Primary_Walkin")</f>
        <v>Primary_Walkin</v>
      </c>
      <c r="E1060" s="124">
        <f>IFERROR(__xludf.DUMMYFUNCTION("""COMPUTED_VALUE"""),2.0)</f>
        <v>2</v>
      </c>
      <c r="F1060" s="124" t="str">
        <f>IFERROR(__xludf.DUMMYFUNCTION("""COMPUTED_VALUE"""),"Fake Lead")</f>
        <v>Fake Lead</v>
      </c>
      <c r="G1060" s="124" t="str">
        <f>IFERROR(__xludf.DUMMYFUNCTION("""COMPUTED_VALUE"""),"State PCS")</f>
        <v>State PCS</v>
      </c>
      <c r="K1060" s="124"/>
      <c r="L1060" s="124"/>
      <c r="M1060" s="124"/>
      <c r="N1060" s="124"/>
      <c r="O1060" s="124"/>
      <c r="T1060" s="126">
        <f>IFERROR(__xludf.DUMMYFUNCTION("""COMPUTED_VALUE"""),46063.0)</f>
        <v>46063</v>
      </c>
      <c r="U1060" s="124" t="str">
        <f>IFERROR(__xludf.DUMMYFUNCTION("""COMPUTED_VALUE"""),"Walk-Ins")</f>
        <v>Walk-Ins</v>
      </c>
      <c r="V1060" s="124" t="str">
        <f>IFERROR(__xludf.DUMMYFUNCTION("""COMPUTED_VALUE"""),"Walkin")</f>
        <v>Walkin</v>
      </c>
      <c r="W1060" s="124" t="str">
        <f>IFERROR(__xludf.DUMMYFUNCTION("""COMPUTED_VALUE"""),"Delhi")</f>
        <v>Delhi</v>
      </c>
      <c r="X1060" s="124" t="str">
        <f>IFERROR(__xludf.DUMMYFUNCTION("""COMPUTED_VALUE"""),"walkin")</f>
        <v>walkin</v>
      </c>
      <c r="Y1060" s="124" t="str">
        <f>IFERROR(__xludf.DUMMYFUNCTION("""COMPUTED_VALUE"""),"Delhi")</f>
        <v>Delhi</v>
      </c>
      <c r="Z1060" s="124">
        <f>IFERROR(__xludf.DUMMYFUNCTION("""COMPUTED_VALUE"""),4.0)</f>
        <v>4</v>
      </c>
      <c r="AA1060" s="124" t="str">
        <f>IFERROR(__xludf.DUMMYFUNCTION("""COMPUTED_VALUE"""),"Not Interested")</f>
        <v>Not Interested</v>
      </c>
      <c r="AB1060" s="124" t="str">
        <f>IFERROR(__xludf.DUMMYFUNCTION("""COMPUTED_VALUE"""),"GS Foundation")</f>
        <v>GS Foundation</v>
      </c>
    </row>
    <row r="1061">
      <c r="A1061" s="126">
        <f>IFERROR(__xludf.DUMMYFUNCTION("""COMPUTED_VALUE"""),46049.0)</f>
        <v>46049</v>
      </c>
      <c r="B1061" s="124" t="str">
        <f>IFERROR(__xludf.DUMMYFUNCTION("""COMPUTED_VALUE"""),"Walk-In")</f>
        <v>Walk-In</v>
      </c>
      <c r="C1061" s="124"/>
      <c r="D1061" s="124" t="str">
        <f>IFERROR(__xludf.DUMMYFUNCTION("""COMPUTED_VALUE"""),"Primary_Walkin")</f>
        <v>Primary_Walkin</v>
      </c>
      <c r="E1061" s="124">
        <f>IFERROR(__xludf.DUMMYFUNCTION("""COMPUTED_VALUE"""),3.0)</f>
        <v>3</v>
      </c>
      <c r="F1061" s="124" t="str">
        <f>IFERROR(__xludf.DUMMYFUNCTION("""COMPUTED_VALUE"""),"Cold")</f>
        <v>Cold</v>
      </c>
      <c r="G1061" s="124" t="str">
        <f>IFERROR(__xludf.DUMMYFUNCTION("""COMPUTED_VALUE"""),"GS Foundation")</f>
        <v>GS Foundation</v>
      </c>
      <c r="K1061" s="124"/>
      <c r="L1061" s="124"/>
      <c r="M1061" s="124"/>
      <c r="N1061" s="124"/>
      <c r="O1061" s="124"/>
      <c r="T1061" s="129">
        <f>IFERROR(__xludf.DUMMYFUNCTION("""COMPUTED_VALUE"""),46050.0)</f>
        <v>46050</v>
      </c>
      <c r="U1061" s="124" t="str">
        <f>IFERROR(__xludf.DUMMYFUNCTION("""COMPUTED_VALUE"""),"External Leads")</f>
        <v>External Leads</v>
      </c>
      <c r="V1061" s="124" t="str">
        <f>IFERROR(__xludf.DUMMYFUNCTION("""COMPUTED_VALUE"""),"external leads")</f>
        <v>external leads</v>
      </c>
      <c r="W1061" s="124" t="str">
        <f>IFERROR(__xludf.DUMMYFUNCTION("""COMPUTED_VALUE"""),"patna")</f>
        <v>patna</v>
      </c>
      <c r="X1061" s="124" t="str">
        <f>IFERROR(__xludf.DUMMYFUNCTION("""COMPUTED_VALUE"""),"piyushunacademy")</f>
        <v>piyushunacademy</v>
      </c>
      <c r="Y1061" s="124" t="str">
        <f>IFERROR(__xludf.DUMMYFUNCTION("""COMPUTED_VALUE"""),"Patna")</f>
        <v>Patna</v>
      </c>
      <c r="Z1061" s="124">
        <f>IFERROR(__xludf.DUMMYFUNCTION("""COMPUTED_VALUE"""),15.0)</f>
        <v>15</v>
      </c>
      <c r="AA1061" s="124" t="str">
        <f>IFERROR(__xludf.DUMMYFUNCTION("""COMPUTED_VALUE"""),"Cold")</f>
        <v>Cold</v>
      </c>
      <c r="AB1061" s="124"/>
    </row>
    <row r="1062">
      <c r="A1062" s="126">
        <f>IFERROR(__xludf.DUMMYFUNCTION("""COMPUTED_VALUE"""),46047.0)</f>
        <v>46047</v>
      </c>
      <c r="B1062" s="124" t="str">
        <f>IFERROR(__xludf.DUMMYFUNCTION("""COMPUTED_VALUE"""),"Walk-In")</f>
        <v>Walk-In</v>
      </c>
      <c r="C1062" s="124"/>
      <c r="D1062" s="124" t="str">
        <f>IFERROR(__xludf.DUMMYFUNCTION("""COMPUTED_VALUE"""),"Primary_Walkin")</f>
        <v>Primary_Walkin</v>
      </c>
      <c r="E1062" s="124">
        <f>IFERROR(__xludf.DUMMYFUNCTION("""COMPUTED_VALUE"""),1.0)</f>
        <v>1</v>
      </c>
      <c r="F1062" s="124" t="str">
        <f>IFERROR(__xludf.DUMMYFUNCTION("""COMPUTED_VALUE"""),"Cold")</f>
        <v>Cold</v>
      </c>
      <c r="G1062" s="124" t="str">
        <f>IFERROR(__xludf.DUMMYFUNCTION("""COMPUTED_VALUE"""),"GS Foundation")</f>
        <v>GS Foundation</v>
      </c>
      <c r="K1062" s="124"/>
      <c r="L1062" s="124"/>
      <c r="M1062" s="124"/>
      <c r="N1062" s="124"/>
      <c r="O1062" s="124"/>
      <c r="T1062" s="129">
        <f>IFERROR(__xludf.DUMMYFUNCTION("""COMPUTED_VALUE"""),46107.0)</f>
        <v>46107</v>
      </c>
      <c r="U1062" s="124" t="str">
        <f>IFERROR(__xludf.DUMMYFUNCTION("""COMPUTED_VALUE"""),"Walk-Ins")</f>
        <v>Walk-Ins</v>
      </c>
      <c r="V1062" s="124" t="str">
        <f>IFERROR(__xludf.DUMMYFUNCTION("""COMPUTED_VALUE"""),"Walk-In")</f>
        <v>Walk-In</v>
      </c>
      <c r="W1062" s="124" t="str">
        <f>IFERROR(__xludf.DUMMYFUNCTION("""COMPUTED_VALUE"""),"Prayagraj")</f>
        <v>Prayagraj</v>
      </c>
      <c r="X1062" s="124" t="str">
        <f>IFERROR(__xludf.DUMMYFUNCTION("""COMPUTED_VALUE"""),"Aditi")</f>
        <v>Aditi</v>
      </c>
      <c r="Y1062" s="124"/>
      <c r="Z1062" s="124">
        <f>IFERROR(__xludf.DUMMYFUNCTION("""COMPUTED_VALUE"""),1.0)</f>
        <v>1</v>
      </c>
      <c r="AA1062" s="124" t="str">
        <f>IFERROR(__xludf.DUMMYFUNCTION("""COMPUTED_VALUE"""),"Warm")</f>
        <v>Warm</v>
      </c>
      <c r="AB1062" s="124" t="str">
        <f>IFERROR(__xludf.DUMMYFUNCTION("""COMPUTED_VALUE"""),"Mentorship")</f>
        <v>Mentorship</v>
      </c>
    </row>
    <row r="1063">
      <c r="A1063" s="126">
        <f>IFERROR(__xludf.DUMMYFUNCTION("""COMPUTED_VALUE"""),46047.0)</f>
        <v>46047</v>
      </c>
      <c r="B1063" s="124" t="str">
        <f>IFERROR(__xludf.DUMMYFUNCTION("""COMPUTED_VALUE"""),"Walkin")</f>
        <v>Walkin</v>
      </c>
      <c r="C1063" s="124" t="str">
        <f>IFERROR(__xludf.DUMMYFUNCTION("""COMPUTED_VALUE"""),"Prayagraj")</f>
        <v>Prayagraj</v>
      </c>
      <c r="D1063" s="124" t="str">
        <f>IFERROR(__xludf.DUMMYFUNCTION("""COMPUTED_VALUE"""),"Primary_Walkin")</f>
        <v>Primary_Walkin</v>
      </c>
      <c r="E1063" s="124">
        <f>IFERROR(__xludf.DUMMYFUNCTION("""COMPUTED_VALUE"""),3.0)</f>
        <v>3</v>
      </c>
      <c r="F1063" s="124" t="str">
        <f>IFERROR(__xludf.DUMMYFUNCTION("""COMPUTED_VALUE"""),"Cold")</f>
        <v>Cold</v>
      </c>
      <c r="G1063" s="124" t="str">
        <f>IFERROR(__xludf.DUMMYFUNCTION("""COMPUTED_VALUE"""),"Mentorship")</f>
        <v>Mentorship</v>
      </c>
      <c r="K1063" s="124"/>
      <c r="L1063" s="124"/>
      <c r="M1063" s="124"/>
      <c r="N1063" s="124"/>
      <c r="O1063" s="124"/>
      <c r="T1063" s="126">
        <f>IFERROR(__xludf.DUMMYFUNCTION("""COMPUTED_VALUE"""),46055.0)</f>
        <v>46055</v>
      </c>
      <c r="U1063" s="124" t="str">
        <f>IFERROR(__xludf.DUMMYFUNCTION("""COMPUTED_VALUE"""),"Walk-Ins")</f>
        <v>Walk-Ins</v>
      </c>
      <c r="V1063" s="124" t="str">
        <f>IFERROR(__xludf.DUMMYFUNCTION("""COMPUTED_VALUE"""),"Walkin")</f>
        <v>Walkin</v>
      </c>
      <c r="W1063" s="124" t="str">
        <f>IFERROR(__xludf.DUMMYFUNCTION("""COMPUTED_VALUE"""),"Delhi")</f>
        <v>Delhi</v>
      </c>
      <c r="X1063" s="124" t="str">
        <f>IFERROR(__xludf.DUMMYFUNCTION("""COMPUTED_VALUE"""),"walkin")</f>
        <v>walkin</v>
      </c>
      <c r="Y1063" s="124" t="str">
        <f>IFERROR(__xludf.DUMMYFUNCTION("""COMPUTED_VALUE"""),"Delhi")</f>
        <v>Delhi</v>
      </c>
      <c r="Z1063" s="124">
        <f>IFERROR(__xludf.DUMMYFUNCTION("""COMPUTED_VALUE"""),7.0)</f>
        <v>7</v>
      </c>
      <c r="AA1063" s="124" t="str">
        <f>IFERROR(__xludf.DUMMYFUNCTION("""COMPUTED_VALUE"""),"Not Interested")</f>
        <v>Not Interested</v>
      </c>
      <c r="AB1063" s="124" t="str">
        <f>IFERROR(__xludf.DUMMYFUNCTION("""COMPUTED_VALUE"""),"GS Foundation")</f>
        <v>GS Foundation</v>
      </c>
    </row>
    <row r="1064">
      <c r="A1064" s="129">
        <f>IFERROR(__xludf.DUMMYFUNCTION("""COMPUTED_VALUE"""),46111.0)</f>
        <v>46111</v>
      </c>
      <c r="B1064" s="124" t="str">
        <f>IFERROR(__xludf.DUMMYFUNCTION("""COMPUTED_VALUE"""),"Walkin")</f>
        <v>Walkin</v>
      </c>
      <c r="C1064" s="124" t="str">
        <f>IFERROR(__xludf.DUMMYFUNCTION("""COMPUTED_VALUE"""),"Prayagraj")</f>
        <v>Prayagraj</v>
      </c>
      <c r="D1064" s="124" t="str">
        <f>IFERROR(__xludf.DUMMYFUNCTION("""COMPUTED_VALUE"""),"Primary_Walkin")</f>
        <v>Primary_Walkin</v>
      </c>
      <c r="E1064" s="124">
        <f>IFERROR(__xludf.DUMMYFUNCTION("""COMPUTED_VALUE"""),2.0)</f>
        <v>2</v>
      </c>
      <c r="F1064" s="124" t="str">
        <f>IFERROR(__xludf.DUMMYFUNCTION("""COMPUTED_VALUE"""),"Enrolled")</f>
        <v>Enrolled</v>
      </c>
      <c r="G1064" s="124" t="str">
        <f>IFERROR(__xludf.DUMMYFUNCTION("""COMPUTED_VALUE"""),"State PCS")</f>
        <v>State PCS</v>
      </c>
      <c r="K1064" s="124"/>
      <c r="L1064" s="124"/>
      <c r="M1064" s="124"/>
      <c r="N1064" s="124"/>
      <c r="O1064" s="124"/>
      <c r="T1064" s="129">
        <f>IFERROR(__xludf.DUMMYFUNCTION("""COMPUTED_VALUE"""),46049.0)</f>
        <v>46049</v>
      </c>
      <c r="U1064" s="124" t="str">
        <f>IFERROR(__xludf.DUMMYFUNCTION("""COMPUTED_VALUE"""),"External Leads")</f>
        <v>External Leads</v>
      </c>
      <c r="V1064" s="124" t="str">
        <f>IFERROR(__xludf.DUMMYFUNCTION("""COMPUTED_VALUE"""),"external leads")</f>
        <v>external leads</v>
      </c>
      <c r="W1064" s="124" t="str">
        <f>IFERROR(__xludf.DUMMYFUNCTION("""COMPUTED_VALUE"""),"patna")</f>
        <v>patna</v>
      </c>
      <c r="X1064" s="124" t="str">
        <f>IFERROR(__xludf.DUMMYFUNCTION("""COMPUTED_VALUE"""),"piyushunacademy")</f>
        <v>piyushunacademy</v>
      </c>
      <c r="Y1064" s="124" t="str">
        <f>IFERROR(__xludf.DUMMYFUNCTION("""COMPUTED_VALUE"""),"Patna")</f>
        <v>Patna</v>
      </c>
      <c r="Z1064" s="124">
        <f>IFERROR(__xludf.DUMMYFUNCTION("""COMPUTED_VALUE"""),2.0)</f>
        <v>2</v>
      </c>
      <c r="AA1064" s="124" t="str">
        <f>IFERROR(__xludf.DUMMYFUNCTION("""COMPUTED_VALUE"""),"Cold")</f>
        <v>Cold</v>
      </c>
      <c r="AB1064" s="124" t="str">
        <f>IFERROR(__xludf.DUMMYFUNCTION("""COMPUTED_VALUE"""),"GS Foundation")</f>
        <v>GS Foundation</v>
      </c>
    </row>
    <row r="1065">
      <c r="A1065" s="129">
        <f>IFERROR(__xludf.DUMMYFUNCTION("""COMPUTED_VALUE"""),46071.0)</f>
        <v>46071</v>
      </c>
      <c r="B1065" s="124" t="str">
        <f>IFERROR(__xludf.DUMMYFUNCTION("""COMPUTED_VALUE"""),"Walkin")</f>
        <v>Walkin</v>
      </c>
      <c r="C1065" s="124" t="str">
        <f>IFERROR(__xludf.DUMMYFUNCTION("""COMPUTED_VALUE"""),"Prayagraj")</f>
        <v>Prayagraj</v>
      </c>
      <c r="D1065" s="124" t="str">
        <f>IFERROR(__xludf.DUMMYFUNCTION("""COMPUTED_VALUE"""),"Primary_Walkin")</f>
        <v>Primary_Walkin</v>
      </c>
      <c r="E1065" s="124">
        <f>IFERROR(__xludf.DUMMYFUNCTION("""COMPUTED_VALUE"""),1.0)</f>
        <v>1</v>
      </c>
      <c r="F1065" s="124" t="str">
        <f>IFERROR(__xludf.DUMMYFUNCTION("""COMPUTED_VALUE"""),"Interested")</f>
        <v>Interested</v>
      </c>
      <c r="G1065" s="124" t="str">
        <f>IFERROR(__xludf.DUMMYFUNCTION("""COMPUTED_VALUE"""),"GS Foundation")</f>
        <v>GS Foundation</v>
      </c>
      <c r="K1065" s="124"/>
      <c r="L1065" s="124"/>
      <c r="M1065" s="124"/>
      <c r="N1065" s="124"/>
      <c r="O1065" s="124"/>
      <c r="T1065" s="129">
        <f>IFERROR(__xludf.DUMMYFUNCTION("""COMPUTED_VALUE"""),46083.0)</f>
        <v>46083</v>
      </c>
      <c r="U1065" s="124" t="str">
        <f>IFERROR(__xludf.DUMMYFUNCTION("""COMPUTED_VALUE"""),"External Leads")</f>
        <v>External Leads</v>
      </c>
      <c r="V1065" s="124" t="str">
        <f>IFERROR(__xludf.DUMMYFUNCTION("""COMPUTED_VALUE"""),"external leads")</f>
        <v>external leads</v>
      </c>
      <c r="W1065" s="124" t="str">
        <f>IFERROR(__xludf.DUMMYFUNCTION("""COMPUTED_VALUE"""),"delhi")</f>
        <v>delhi</v>
      </c>
      <c r="X1065" s="124" t="str">
        <f>IFERROR(__xludf.DUMMYFUNCTION("""COMPUTED_VALUE"""),"unacademyretargeting")</f>
        <v>unacademyretargeting</v>
      </c>
      <c r="Y1065" s="124" t="str">
        <f>IFERROR(__xludf.DUMMYFUNCTION("""COMPUTED_VALUE"""),"Delhi")</f>
        <v>Delhi</v>
      </c>
      <c r="Z1065" s="124">
        <f>IFERROR(__xludf.DUMMYFUNCTION("""COMPUTED_VALUE"""),13.0)</f>
        <v>13</v>
      </c>
      <c r="AA1065" s="124" t="str">
        <f>IFERROR(__xludf.DUMMYFUNCTION("""COMPUTED_VALUE"""),"Cold")</f>
        <v>Cold</v>
      </c>
      <c r="AB1065" s="124"/>
    </row>
    <row r="1066">
      <c r="A1066" s="126">
        <f>IFERROR(__xludf.DUMMYFUNCTION("""COMPUTED_VALUE"""),46112.0)</f>
        <v>46112</v>
      </c>
      <c r="B1066" s="124" t="str">
        <f>IFERROR(__xludf.DUMMYFUNCTION("""COMPUTED_VALUE"""),"Walkin")</f>
        <v>Walkin</v>
      </c>
      <c r="C1066" s="124" t="str">
        <f>IFERROR(__xludf.DUMMYFUNCTION("""COMPUTED_VALUE"""),"Prayagraj")</f>
        <v>Prayagraj</v>
      </c>
      <c r="D1066" s="124" t="str">
        <f>IFERROR(__xludf.DUMMYFUNCTION("""COMPUTED_VALUE"""),"Primary_Walkin")</f>
        <v>Primary_Walkin</v>
      </c>
      <c r="E1066" s="124">
        <f>IFERROR(__xludf.DUMMYFUNCTION("""COMPUTED_VALUE"""),2.0)</f>
        <v>2</v>
      </c>
      <c r="F1066" s="124" t="str">
        <f>IFERROR(__xludf.DUMMYFUNCTION("""COMPUTED_VALUE"""),"Interested")</f>
        <v>Interested</v>
      </c>
      <c r="G1066" s="124" t="str">
        <f>IFERROR(__xludf.DUMMYFUNCTION("""COMPUTED_VALUE"""),"GS Foundation")</f>
        <v>GS Foundation</v>
      </c>
      <c r="K1066" s="124"/>
      <c r="L1066" s="124"/>
      <c r="M1066" s="124"/>
      <c r="N1066" s="124"/>
      <c r="O1066" s="124"/>
      <c r="T1066" s="126">
        <f>IFERROR(__xludf.DUMMYFUNCTION("""COMPUTED_VALUE"""),46092.0)</f>
        <v>46092</v>
      </c>
      <c r="U1066" s="124" t="str">
        <f>IFERROR(__xludf.DUMMYFUNCTION("""COMPUTED_VALUE"""),"Walk-Ins")</f>
        <v>Walk-Ins</v>
      </c>
      <c r="V1066" s="124" t="str">
        <f>IFERROR(__xludf.DUMMYFUNCTION("""COMPUTED_VALUE"""),"Walkin")</f>
        <v>Walkin</v>
      </c>
      <c r="W1066" s="124" t="str">
        <f>IFERROR(__xludf.DUMMYFUNCTION("""COMPUTED_VALUE"""),"Delhi")</f>
        <v>Delhi</v>
      </c>
      <c r="X1066" s="124" t="str">
        <f>IFERROR(__xludf.DUMMYFUNCTION("""COMPUTED_VALUE"""),"walkin")</f>
        <v>walkin</v>
      </c>
      <c r="Y1066" s="124" t="str">
        <f>IFERROR(__xludf.DUMMYFUNCTION("""COMPUTED_VALUE"""),"Delhi")</f>
        <v>Delhi</v>
      </c>
      <c r="Z1066" s="124">
        <f>IFERROR(__xludf.DUMMYFUNCTION("""COMPUTED_VALUE"""),3.0)</f>
        <v>3</v>
      </c>
      <c r="AA1066" s="124" t="str">
        <f>IFERROR(__xludf.DUMMYFUNCTION("""COMPUTED_VALUE"""),"Future Prospects")</f>
        <v>Future Prospects</v>
      </c>
      <c r="AB1066" s="124" t="str">
        <f>IFERROR(__xludf.DUMMYFUNCTION("""COMPUTED_VALUE"""),"GS Foundation")</f>
        <v>GS Foundation</v>
      </c>
    </row>
    <row r="1067">
      <c r="A1067" s="129">
        <f>IFERROR(__xludf.DUMMYFUNCTION("""COMPUTED_VALUE"""),46043.0)</f>
        <v>46043</v>
      </c>
      <c r="B1067" s="124" t="str">
        <f>IFERROR(__xludf.DUMMYFUNCTION("""COMPUTED_VALUE"""),"Walk-In")</f>
        <v>Walk-In</v>
      </c>
      <c r="C1067" s="124" t="str">
        <f>IFERROR(__xludf.DUMMYFUNCTION("""COMPUTED_VALUE"""),"Prayagraj")</f>
        <v>Prayagraj</v>
      </c>
      <c r="D1067" s="124" t="str">
        <f>IFERROR(__xludf.DUMMYFUNCTION("""COMPUTED_VALUE"""),"Primary_Walkin")</f>
        <v>Primary_Walkin</v>
      </c>
      <c r="E1067" s="124">
        <f>IFERROR(__xludf.DUMMYFUNCTION("""COMPUTED_VALUE"""),1.0)</f>
        <v>1</v>
      </c>
      <c r="F1067" s="124" t="str">
        <f>IFERROR(__xludf.DUMMYFUNCTION("""COMPUTED_VALUE"""),"Not Interested")</f>
        <v>Not Interested</v>
      </c>
      <c r="G1067" s="124" t="str">
        <f>IFERROR(__xludf.DUMMYFUNCTION("""COMPUTED_VALUE"""),"State PCS")</f>
        <v>State PCS</v>
      </c>
      <c r="K1067" s="124"/>
      <c r="L1067" s="124"/>
      <c r="M1067" s="124"/>
      <c r="N1067" s="124"/>
      <c r="O1067" s="124"/>
      <c r="T1067" s="126">
        <f>IFERROR(__xludf.DUMMYFUNCTION("""COMPUTED_VALUE"""),46112.0)</f>
        <v>46112</v>
      </c>
      <c r="U1067" s="124" t="str">
        <f>IFERROR(__xludf.DUMMYFUNCTION("""COMPUTED_VALUE"""),"Walk-Ins")</f>
        <v>Walk-Ins</v>
      </c>
      <c r="V1067" s="124" t="str">
        <f>IFERROR(__xludf.DUMMYFUNCTION("""COMPUTED_VALUE"""),"Walk-In")</f>
        <v>Walk-In</v>
      </c>
      <c r="W1067" s="124" t="str">
        <f>IFERROR(__xludf.DUMMYFUNCTION("""COMPUTED_VALUE"""),"Delhi")</f>
        <v>Delhi</v>
      </c>
      <c r="X1067" s="124" t="str">
        <f>IFERROR(__xludf.DUMMYFUNCTION("""COMPUTED_VALUE"""),"walkin")</f>
        <v>walkin</v>
      </c>
      <c r="Y1067" s="124" t="str">
        <f>IFERROR(__xludf.DUMMYFUNCTION("""COMPUTED_VALUE"""),"Delhi")</f>
        <v>Delhi</v>
      </c>
      <c r="Z1067" s="124">
        <f>IFERROR(__xludf.DUMMYFUNCTION("""COMPUTED_VALUE"""),1.0)</f>
        <v>1</v>
      </c>
      <c r="AA1067" s="124" t="str">
        <f>IFERROR(__xludf.DUMMYFUNCTION("""COMPUTED_VALUE"""),"Cold")</f>
        <v>Cold</v>
      </c>
      <c r="AB1067" s="124" t="str">
        <f>IFERROR(__xludf.DUMMYFUNCTION("""COMPUTED_VALUE"""),"Prelims Crash Course - SIP")</f>
        <v>Prelims Crash Course - SIP</v>
      </c>
    </row>
    <row r="1068">
      <c r="A1068" s="129">
        <f>IFERROR(__xludf.DUMMYFUNCTION("""COMPUTED_VALUE"""),46088.0)</f>
        <v>46088</v>
      </c>
      <c r="B1068" s="124" t="str">
        <f>IFERROR(__xludf.DUMMYFUNCTION("""COMPUTED_VALUE"""),"Walkin")</f>
        <v>Walkin</v>
      </c>
      <c r="C1068" s="124" t="str">
        <f>IFERROR(__xludf.DUMMYFUNCTION("""COMPUTED_VALUE"""),"Prayagraj")</f>
        <v>Prayagraj</v>
      </c>
      <c r="D1068" s="124" t="str">
        <f>IFERROR(__xludf.DUMMYFUNCTION("""COMPUTED_VALUE"""),"Primary_Walkin")</f>
        <v>Primary_Walkin</v>
      </c>
      <c r="E1068" s="124">
        <f>IFERROR(__xludf.DUMMYFUNCTION("""COMPUTED_VALUE"""),3.0)</f>
        <v>3</v>
      </c>
      <c r="F1068" s="124" t="str">
        <f>IFERROR(__xludf.DUMMYFUNCTION("""COMPUTED_VALUE"""),"Future Prospects")</f>
        <v>Future Prospects</v>
      </c>
      <c r="G1068" s="124" t="str">
        <f>IFERROR(__xludf.DUMMYFUNCTION("""COMPUTED_VALUE"""),"GS Foundation")</f>
        <v>GS Foundation</v>
      </c>
      <c r="K1068" s="124"/>
      <c r="L1068" s="124"/>
      <c r="M1068" s="124"/>
      <c r="N1068" s="124"/>
      <c r="O1068" s="124"/>
      <c r="T1068" s="126">
        <f>IFERROR(__xludf.DUMMYFUNCTION("""COMPUTED_VALUE"""),46049.0)</f>
        <v>46049</v>
      </c>
      <c r="U1068" s="124" t="str">
        <f>IFERROR(__xludf.DUMMYFUNCTION("""COMPUTED_VALUE"""),"External Leads")</f>
        <v>External Leads</v>
      </c>
      <c r="V1068" s="124" t="str">
        <f>IFERROR(__xludf.DUMMYFUNCTION("""COMPUTED_VALUE"""),"external leads")</f>
        <v>external leads</v>
      </c>
      <c r="W1068" s="124" t="str">
        <f>IFERROR(__xludf.DUMMYFUNCTION("""COMPUTED_VALUE"""),"delhi")</f>
        <v>delhi</v>
      </c>
      <c r="X1068" s="124" t="str">
        <f>IFERROR(__xludf.DUMMYFUNCTION("""COMPUTED_VALUE"""),"piyushunacademy")</f>
        <v>piyushunacademy</v>
      </c>
      <c r="Y1068" s="124" t="str">
        <f>IFERROR(__xludf.DUMMYFUNCTION("""COMPUTED_VALUE"""),"Delhi")</f>
        <v>Delhi</v>
      </c>
      <c r="Z1068" s="124">
        <f>IFERROR(__xludf.DUMMYFUNCTION("""COMPUTED_VALUE"""),1.0)</f>
        <v>1</v>
      </c>
      <c r="AA1068" s="124" t="str">
        <f>IFERROR(__xludf.DUMMYFUNCTION("""COMPUTED_VALUE"""),"Not Interested")</f>
        <v>Not Interested</v>
      </c>
      <c r="AB1068" s="124" t="str">
        <f>IFERROR(__xludf.DUMMYFUNCTION("""COMPUTED_VALUE"""),"CSAT")</f>
        <v>CSAT</v>
      </c>
    </row>
    <row r="1069">
      <c r="A1069" s="126">
        <f>IFERROR(__xludf.DUMMYFUNCTION("""COMPUTED_VALUE"""),46092.0)</f>
        <v>46092</v>
      </c>
      <c r="B1069" s="124" t="str">
        <f>IFERROR(__xludf.DUMMYFUNCTION("""COMPUTED_VALUE"""),"DM - Meta")</f>
        <v>DM - Meta</v>
      </c>
      <c r="C1069" s="124" t="str">
        <f>IFERROR(__xludf.DUMMYFUNCTION("""COMPUTED_VALUE"""),"Prayagraj")</f>
        <v>Prayagraj</v>
      </c>
      <c r="D1069" s="124" t="str">
        <f>IFERROR(__xludf.DUMMYFUNCTION("""COMPUTED_VALUE"""),"Secondary_Walkin")</f>
        <v>Secondary_Walkin</v>
      </c>
      <c r="E1069" s="124">
        <f>IFERROR(__xludf.DUMMYFUNCTION("""COMPUTED_VALUE"""),1.0)</f>
        <v>1</v>
      </c>
      <c r="F1069" s="124" t="str">
        <f>IFERROR(__xludf.DUMMYFUNCTION("""COMPUTED_VALUE"""),"Future Prospects")</f>
        <v>Future Prospects</v>
      </c>
      <c r="G1069" s="124" t="str">
        <f>IFERROR(__xludf.DUMMYFUNCTION("""COMPUTED_VALUE"""),"GS Foundation")</f>
        <v>GS Foundation</v>
      </c>
      <c r="K1069" s="124"/>
      <c r="L1069" s="124"/>
      <c r="M1069" s="124"/>
      <c r="N1069" s="124"/>
      <c r="O1069" s="124"/>
      <c r="T1069" s="126">
        <f>IFERROR(__xludf.DUMMYFUNCTION("""COMPUTED_VALUE"""),46050.0)</f>
        <v>46050</v>
      </c>
      <c r="U1069" s="124" t="str">
        <f>IFERROR(__xludf.DUMMYFUNCTION("""COMPUTED_VALUE"""),"External Leads")</f>
        <v>External Leads</v>
      </c>
      <c r="V1069" s="124" t="str">
        <f>IFERROR(__xludf.DUMMYFUNCTION("""COMPUTED_VALUE"""),"external leads")</f>
        <v>external leads</v>
      </c>
      <c r="W1069" s="124" t="str">
        <f>IFERROR(__xludf.DUMMYFUNCTION("""COMPUTED_VALUE"""),"patna")</f>
        <v>patna</v>
      </c>
      <c r="X1069" s="124" t="str">
        <f>IFERROR(__xludf.DUMMYFUNCTION("""COMPUTED_VALUE"""),"piyushunacademy")</f>
        <v>piyushunacademy</v>
      </c>
      <c r="Y1069" s="124" t="str">
        <f>IFERROR(__xludf.DUMMYFUNCTION("""COMPUTED_VALUE"""),"Patna")</f>
        <v>Patna</v>
      </c>
      <c r="Z1069" s="124">
        <f>IFERROR(__xludf.DUMMYFUNCTION("""COMPUTED_VALUE"""),1.0)</f>
        <v>1</v>
      </c>
      <c r="AA1069" s="124" t="str">
        <f>IFERROR(__xludf.DUMMYFUNCTION("""COMPUTED_VALUE"""),"Cold")</f>
        <v>Cold</v>
      </c>
      <c r="AB1069" s="124" t="str">
        <f>IFERROR(__xludf.DUMMYFUNCTION("""COMPUTED_VALUE"""),"Test Series")</f>
        <v>Test Series</v>
      </c>
    </row>
    <row r="1070">
      <c r="A1070" s="129">
        <f>IFERROR(__xludf.DUMMYFUNCTION("""COMPUTED_VALUE"""),46088.0)</f>
        <v>46088</v>
      </c>
      <c r="B1070" s="124" t="str">
        <f>IFERROR(__xludf.DUMMYFUNCTION("""COMPUTED_VALUE"""),"Facebook")</f>
        <v>Facebook</v>
      </c>
      <c r="C1070" s="124" t="str">
        <f>IFERROR(__xludf.DUMMYFUNCTION("""COMPUTED_VALUE"""),"Prayagraj")</f>
        <v>Prayagraj</v>
      </c>
      <c r="D1070" s="124" t="str">
        <f>IFERROR(__xludf.DUMMYFUNCTION("""COMPUTED_VALUE"""),"Secondary_Walkin")</f>
        <v>Secondary_Walkin</v>
      </c>
      <c r="E1070" s="124">
        <f>IFERROR(__xludf.DUMMYFUNCTION("""COMPUTED_VALUE"""),1.0)</f>
        <v>1</v>
      </c>
      <c r="F1070" s="124" t="str">
        <f>IFERROR(__xludf.DUMMYFUNCTION("""COMPUTED_VALUE"""),"Fake Lead")</f>
        <v>Fake Lead</v>
      </c>
      <c r="G1070" s="124" t="str">
        <f>IFERROR(__xludf.DUMMYFUNCTION("""COMPUTED_VALUE"""),"GS Foundation")</f>
        <v>GS Foundation</v>
      </c>
      <c r="K1070" s="124"/>
      <c r="L1070" s="124"/>
      <c r="M1070" s="124"/>
      <c r="N1070" s="124"/>
      <c r="O1070" s="124"/>
      <c r="T1070" s="126">
        <f>IFERROR(__xludf.DUMMYFUNCTION("""COMPUTED_VALUE"""),46074.0)</f>
        <v>46074</v>
      </c>
      <c r="U1070" s="124" t="str">
        <f>IFERROR(__xludf.DUMMYFUNCTION("""COMPUTED_VALUE"""),"Walk-Ins")</f>
        <v>Walk-Ins</v>
      </c>
      <c r="V1070" s="124" t="str">
        <f>IFERROR(__xludf.DUMMYFUNCTION("""COMPUTED_VALUE"""),"Walkin")</f>
        <v>Walkin</v>
      </c>
      <c r="W1070" s="124" t="str">
        <f>IFERROR(__xludf.DUMMYFUNCTION("""COMPUTED_VALUE"""),"Delhi")</f>
        <v>Delhi</v>
      </c>
      <c r="X1070" s="124" t="str">
        <f>IFERROR(__xludf.DUMMYFUNCTION("""COMPUTED_VALUE"""),"walkin")</f>
        <v>walkin</v>
      </c>
      <c r="Y1070" s="124" t="str">
        <f>IFERROR(__xludf.DUMMYFUNCTION("""COMPUTED_VALUE"""),"Delhi")</f>
        <v>Delhi</v>
      </c>
      <c r="Z1070" s="124">
        <f>IFERROR(__xludf.DUMMYFUNCTION("""COMPUTED_VALUE"""),5.0)</f>
        <v>5</v>
      </c>
      <c r="AA1070" s="124" t="str">
        <f>IFERROR(__xludf.DUMMYFUNCTION("""COMPUTED_VALUE"""),"Enrolled")</f>
        <v>Enrolled</v>
      </c>
      <c r="AB1070" s="124" t="str">
        <f>IFERROR(__xludf.DUMMYFUNCTION("""COMPUTED_VALUE"""),"GS Foundation")</f>
        <v>GS Foundation</v>
      </c>
    </row>
    <row r="1071">
      <c r="A1071" s="126">
        <f>IFERROR(__xludf.DUMMYFUNCTION("""COMPUTED_VALUE"""),46088.0)</f>
        <v>46088</v>
      </c>
      <c r="B1071" s="124" t="str">
        <f>IFERROR(__xludf.DUMMYFUNCTION("""COMPUTED_VALUE"""),"Walk-In")</f>
        <v>Walk-In</v>
      </c>
      <c r="C1071" s="124" t="str">
        <f>IFERROR(__xludf.DUMMYFUNCTION("""COMPUTED_VALUE"""),"Prayagraj")</f>
        <v>Prayagraj</v>
      </c>
      <c r="D1071" s="124" t="str">
        <f>IFERROR(__xludf.DUMMYFUNCTION("""COMPUTED_VALUE"""),"Primary_Walkin")</f>
        <v>Primary_Walkin</v>
      </c>
      <c r="E1071" s="124">
        <f>IFERROR(__xludf.DUMMYFUNCTION("""COMPUTED_VALUE"""),1.0)</f>
        <v>1</v>
      </c>
      <c r="F1071" s="124" t="str">
        <f>IFERROR(__xludf.DUMMYFUNCTION("""COMPUTED_VALUE"""),"Warm")</f>
        <v>Warm</v>
      </c>
      <c r="G1071" s="124" t="str">
        <f>IFERROR(__xludf.DUMMYFUNCTION("""COMPUTED_VALUE"""),"CSAT")</f>
        <v>CSAT</v>
      </c>
      <c r="K1071" s="124"/>
      <c r="L1071" s="124"/>
      <c r="M1071" s="124"/>
      <c r="N1071" s="124"/>
      <c r="O1071" s="124"/>
      <c r="T1071" s="129">
        <f>IFERROR(__xludf.DUMMYFUNCTION("""COMPUTED_VALUE"""),46043.0)</f>
        <v>46043</v>
      </c>
      <c r="U1071" s="124" t="str">
        <f>IFERROR(__xludf.DUMMYFUNCTION("""COMPUTED_VALUE"""),"External Leads")</f>
        <v>External Leads</v>
      </c>
      <c r="V1071" s="124" t="str">
        <f>IFERROR(__xludf.DUMMYFUNCTION("""COMPUTED_VALUE"""),"external leads")</f>
        <v>external leads</v>
      </c>
      <c r="W1071" s="124" t="str">
        <f>IFERROR(__xludf.DUMMYFUNCTION("""COMPUTED_VALUE"""),"lucknow")</f>
        <v>lucknow</v>
      </c>
      <c r="X1071" s="124" t="str">
        <f>IFERROR(__xludf.DUMMYFUNCTION("""COMPUTED_VALUE"""),"university")</f>
        <v>university</v>
      </c>
      <c r="Y1071" s="124" t="str">
        <f>IFERROR(__xludf.DUMMYFUNCTION("""COMPUTED_VALUE"""),"Lucknow")</f>
        <v>Lucknow</v>
      </c>
      <c r="Z1071" s="124">
        <f>IFERROR(__xludf.DUMMYFUNCTION("""COMPUTED_VALUE"""),18.0)</f>
        <v>18</v>
      </c>
      <c r="AA1071" s="124" t="str">
        <f>IFERROR(__xludf.DUMMYFUNCTION("""COMPUTED_VALUE"""),"Cold")</f>
        <v>Cold</v>
      </c>
      <c r="AB1071" s="124"/>
    </row>
    <row r="1072">
      <c r="A1072" s="126">
        <f>IFERROR(__xludf.DUMMYFUNCTION("""COMPUTED_VALUE"""),46094.0)</f>
        <v>46094</v>
      </c>
      <c r="B1072" s="124" t="str">
        <f>IFERROR(__xludf.DUMMYFUNCTION("""COMPUTED_VALUE"""),"Inbound Call")</f>
        <v>Inbound Call</v>
      </c>
      <c r="C1072" s="124" t="str">
        <f>IFERROR(__xludf.DUMMYFUNCTION("""COMPUTED_VALUE"""),"Prayagraj")</f>
        <v>Prayagraj</v>
      </c>
      <c r="D1072" s="124" t="str">
        <f>IFERROR(__xludf.DUMMYFUNCTION("""COMPUTED_VALUE"""),"Secondary_Walkin")</f>
        <v>Secondary_Walkin</v>
      </c>
      <c r="E1072" s="124">
        <f>IFERROR(__xludf.DUMMYFUNCTION("""COMPUTED_VALUE"""),1.0)</f>
        <v>1</v>
      </c>
      <c r="F1072" s="124" t="str">
        <f>IFERROR(__xludf.DUMMYFUNCTION("""COMPUTED_VALUE"""),"Not Interested")</f>
        <v>Not Interested</v>
      </c>
      <c r="G1072" s="124" t="str">
        <f>IFERROR(__xludf.DUMMYFUNCTION("""COMPUTED_VALUE"""),"GS Foundation")</f>
        <v>GS Foundation</v>
      </c>
      <c r="K1072" s="124"/>
      <c r="L1072" s="124"/>
      <c r="M1072" s="124"/>
      <c r="N1072" s="124"/>
      <c r="O1072" s="124"/>
      <c r="T1072" s="126">
        <f>IFERROR(__xludf.DUMMYFUNCTION("""COMPUTED_VALUE"""),46044.0)</f>
        <v>46044</v>
      </c>
      <c r="U1072" s="124" t="str">
        <f>IFERROR(__xludf.DUMMYFUNCTION("""COMPUTED_VALUE"""),"Walk-Ins")</f>
        <v>Walk-Ins</v>
      </c>
      <c r="V1072" s="124" t="str">
        <f>IFERROR(__xludf.DUMMYFUNCTION("""COMPUTED_VALUE"""),"Walkin")</f>
        <v>Walkin</v>
      </c>
      <c r="W1072" s="124" t="str">
        <f>IFERROR(__xludf.DUMMYFUNCTION("""COMPUTED_VALUE"""),"Delhi")</f>
        <v>Delhi</v>
      </c>
      <c r="X1072" s="124" t="str">
        <f>IFERROR(__xludf.DUMMYFUNCTION("""COMPUTED_VALUE"""),"walkin")</f>
        <v>walkin</v>
      </c>
      <c r="Y1072" s="124" t="str">
        <f>IFERROR(__xludf.DUMMYFUNCTION("""COMPUTED_VALUE"""),"Delhi")</f>
        <v>Delhi</v>
      </c>
      <c r="Z1072" s="124">
        <f>IFERROR(__xludf.DUMMYFUNCTION("""COMPUTED_VALUE"""),1.0)</f>
        <v>1</v>
      </c>
      <c r="AA1072" s="124" t="str">
        <f>IFERROR(__xludf.DUMMYFUNCTION("""COMPUTED_VALUE"""),"Not Interested")</f>
        <v>Not Interested</v>
      </c>
      <c r="AB1072" s="124" t="str">
        <f>IFERROR(__xludf.DUMMYFUNCTION("""COMPUTED_VALUE"""),"State PCS")</f>
        <v>State PCS</v>
      </c>
    </row>
    <row r="1073">
      <c r="A1073" s="129">
        <f>IFERROR(__xludf.DUMMYFUNCTION("""COMPUTED_VALUE"""),46096.0)</f>
        <v>46096</v>
      </c>
      <c r="B1073" s="124" t="str">
        <f>IFERROR(__xludf.DUMMYFUNCTION("""COMPUTED_VALUE"""),"Walkin")</f>
        <v>Walkin</v>
      </c>
      <c r="C1073" s="124" t="str">
        <f>IFERROR(__xludf.DUMMYFUNCTION("""COMPUTED_VALUE"""),"Prayagraj")</f>
        <v>Prayagraj</v>
      </c>
      <c r="D1073" s="124" t="str">
        <f>IFERROR(__xludf.DUMMYFUNCTION("""COMPUTED_VALUE"""),"Primary_Walkin")</f>
        <v>Primary_Walkin</v>
      </c>
      <c r="E1073" s="124">
        <f>IFERROR(__xludf.DUMMYFUNCTION("""COMPUTED_VALUE"""),1.0)</f>
        <v>1</v>
      </c>
      <c r="F1073" s="124" t="str">
        <f>IFERROR(__xludf.DUMMYFUNCTION("""COMPUTED_VALUE"""),"Interested")</f>
        <v>Interested</v>
      </c>
      <c r="G1073" s="124" t="str">
        <f>IFERROR(__xludf.DUMMYFUNCTION("""COMPUTED_VALUE"""),"State PCS")</f>
        <v>State PCS</v>
      </c>
      <c r="K1073" s="124"/>
      <c r="L1073" s="124"/>
      <c r="M1073" s="124"/>
      <c r="N1073" s="124"/>
      <c r="O1073" s="124"/>
      <c r="T1073" s="126">
        <f>IFERROR(__xludf.DUMMYFUNCTION("""COMPUTED_VALUE"""),46050.0)</f>
        <v>46050</v>
      </c>
      <c r="U1073" s="124" t="str">
        <f>IFERROR(__xludf.DUMMYFUNCTION("""COMPUTED_VALUE"""),"External Leads")</f>
        <v>External Leads</v>
      </c>
      <c r="V1073" s="124" t="str">
        <f>IFERROR(__xludf.DUMMYFUNCTION("""COMPUTED_VALUE"""),"external leads")</f>
        <v>external leads</v>
      </c>
      <c r="W1073" s="124" t="str">
        <f>IFERROR(__xludf.DUMMYFUNCTION("""COMPUTED_VALUE"""),"patna")</f>
        <v>patna</v>
      </c>
      <c r="X1073" s="124" t="str">
        <f>IFERROR(__xludf.DUMMYFUNCTION("""COMPUTED_VALUE"""),"piyushunacademy")</f>
        <v>piyushunacademy</v>
      </c>
      <c r="Y1073" s="124" t="str">
        <f>IFERROR(__xludf.DUMMYFUNCTION("""COMPUTED_VALUE"""),"Patna")</f>
        <v>Patna</v>
      </c>
      <c r="Z1073" s="124">
        <f>IFERROR(__xludf.DUMMYFUNCTION("""COMPUTED_VALUE"""),8.0)</f>
        <v>8</v>
      </c>
      <c r="AA1073" s="124" t="str">
        <f>IFERROR(__xludf.DUMMYFUNCTION("""COMPUTED_VALUE"""),"Not Interested")</f>
        <v>Not Interested</v>
      </c>
      <c r="AB1073" s="124"/>
    </row>
    <row r="1074">
      <c r="A1074" s="126">
        <f>IFERROR(__xludf.DUMMYFUNCTION("""COMPUTED_VALUE"""),46058.0)</f>
        <v>46058</v>
      </c>
      <c r="B1074" s="124" t="str">
        <f>IFERROR(__xludf.DUMMYFUNCTION("""COMPUTED_VALUE"""),"Walkin")</f>
        <v>Walkin</v>
      </c>
      <c r="C1074" s="124" t="str">
        <f>IFERROR(__xludf.DUMMYFUNCTION("""COMPUTED_VALUE"""),"Prayagraj")</f>
        <v>Prayagraj</v>
      </c>
      <c r="D1074" s="124" t="str">
        <f>IFERROR(__xludf.DUMMYFUNCTION("""COMPUTED_VALUE"""),"Primary_Walkin")</f>
        <v>Primary_Walkin</v>
      </c>
      <c r="E1074" s="124">
        <f>IFERROR(__xludf.DUMMYFUNCTION("""COMPUTED_VALUE"""),1.0)</f>
        <v>1</v>
      </c>
      <c r="F1074" s="124" t="str">
        <f>IFERROR(__xludf.DUMMYFUNCTION("""COMPUTED_VALUE"""),"Future Prospects")</f>
        <v>Future Prospects</v>
      </c>
      <c r="G1074" s="124" t="str">
        <f>IFERROR(__xludf.DUMMYFUNCTION("""COMPUTED_VALUE"""),"GS Foundation")</f>
        <v>GS Foundation</v>
      </c>
      <c r="K1074" s="124"/>
      <c r="L1074" s="124"/>
      <c r="M1074" s="124"/>
      <c r="N1074" s="124"/>
      <c r="O1074" s="124"/>
      <c r="T1074" s="129">
        <f>IFERROR(__xludf.DUMMYFUNCTION("""COMPUTED_VALUE"""),46098.0)</f>
        <v>46098</v>
      </c>
      <c r="U1074" s="124" t="str">
        <f>IFERROR(__xludf.DUMMYFUNCTION("""COMPUTED_VALUE"""),"Walk-Ins")</f>
        <v>Walk-Ins</v>
      </c>
      <c r="V1074" s="124" t="str">
        <f>IFERROR(__xludf.DUMMYFUNCTION("""COMPUTED_VALUE"""),"walk-in")</f>
        <v>walk-in</v>
      </c>
      <c r="W1074" s="124" t="str">
        <f>IFERROR(__xludf.DUMMYFUNCTION("""COMPUTED_VALUE"""),"indore")</f>
        <v>indore</v>
      </c>
      <c r="X1074" s="124" t="str">
        <f>IFERROR(__xludf.DUMMYFUNCTION("""COMPUTED_VALUE"""),"suraj sharma")</f>
        <v>suraj sharma</v>
      </c>
      <c r="Y1074" s="124" t="str">
        <f>IFERROR(__xludf.DUMMYFUNCTION("""COMPUTED_VALUE"""),"Indore")</f>
        <v>Indore</v>
      </c>
      <c r="Z1074" s="124">
        <f>IFERROR(__xludf.DUMMYFUNCTION("""COMPUTED_VALUE"""),1.0)</f>
        <v>1</v>
      </c>
      <c r="AA1074" s="124" t="str">
        <f>IFERROR(__xludf.DUMMYFUNCTION("""COMPUTED_VALUE"""),"Warm")</f>
        <v>Warm</v>
      </c>
      <c r="AB1074" s="124" t="str">
        <f>IFERROR(__xludf.DUMMYFUNCTION("""COMPUTED_VALUE"""),"State PCS")</f>
        <v>State PCS</v>
      </c>
    </row>
    <row r="1075">
      <c r="A1075" s="126">
        <f>IFERROR(__xludf.DUMMYFUNCTION("""COMPUTED_VALUE"""),46080.0)</f>
        <v>46080</v>
      </c>
      <c r="B1075" s="124" t="str">
        <f>IFERROR(__xludf.DUMMYFUNCTION("""COMPUTED_VALUE"""),"Walkin")</f>
        <v>Walkin</v>
      </c>
      <c r="C1075" s="124" t="str">
        <f>IFERROR(__xludf.DUMMYFUNCTION("""COMPUTED_VALUE"""),"Prayagraj")</f>
        <v>Prayagraj</v>
      </c>
      <c r="D1075" s="124" t="str">
        <f>IFERROR(__xludf.DUMMYFUNCTION("""COMPUTED_VALUE"""),"Primary_Walkin")</f>
        <v>Primary_Walkin</v>
      </c>
      <c r="E1075" s="124">
        <f>IFERROR(__xludf.DUMMYFUNCTION("""COMPUTED_VALUE"""),2.0)</f>
        <v>2</v>
      </c>
      <c r="F1075" s="124" t="str">
        <f>IFERROR(__xludf.DUMMYFUNCTION("""COMPUTED_VALUE"""),"Cold")</f>
        <v>Cold</v>
      </c>
      <c r="G1075" s="124" t="str">
        <f>IFERROR(__xludf.DUMMYFUNCTION("""COMPUTED_VALUE"""),"GS Foundation")</f>
        <v>GS Foundation</v>
      </c>
      <c r="K1075" s="124"/>
      <c r="L1075" s="124"/>
      <c r="M1075" s="124"/>
      <c r="N1075" s="124"/>
      <c r="O1075" s="124"/>
      <c r="T1075" s="126">
        <f>IFERROR(__xludf.DUMMYFUNCTION("""COMPUTED_VALUE"""),46049.0)</f>
        <v>46049</v>
      </c>
      <c r="U1075" s="124" t="str">
        <f>IFERROR(__xludf.DUMMYFUNCTION("""COMPUTED_VALUE"""),"External Leads")</f>
        <v>External Leads</v>
      </c>
      <c r="V1075" s="124" t="str">
        <f>IFERROR(__xludf.DUMMYFUNCTION("""COMPUTED_VALUE"""),"external leads")</f>
        <v>external leads</v>
      </c>
      <c r="W1075" s="124" t="str">
        <f>IFERROR(__xludf.DUMMYFUNCTION("""COMPUTED_VALUE"""),"patna")</f>
        <v>patna</v>
      </c>
      <c r="X1075" s="124" t="str">
        <f>IFERROR(__xludf.DUMMYFUNCTION("""COMPUTED_VALUE"""),"piyushunacademy")</f>
        <v>piyushunacademy</v>
      </c>
      <c r="Y1075" s="124" t="str">
        <f>IFERROR(__xludf.DUMMYFUNCTION("""COMPUTED_VALUE"""),"Patna")</f>
        <v>Patna</v>
      </c>
      <c r="Z1075" s="124">
        <f>IFERROR(__xludf.DUMMYFUNCTION("""COMPUTED_VALUE"""),4.0)</f>
        <v>4</v>
      </c>
      <c r="AA1075" s="124" t="str">
        <f>IFERROR(__xludf.DUMMYFUNCTION("""COMPUTED_VALUE"""),"Cold")</f>
        <v>Cold</v>
      </c>
      <c r="AB1075" s="124" t="str">
        <f>IFERROR(__xludf.DUMMYFUNCTION("""COMPUTED_VALUE"""),"State PCS")</f>
        <v>State PCS</v>
      </c>
    </row>
    <row r="1076">
      <c r="A1076" s="126">
        <f>IFERROR(__xludf.DUMMYFUNCTION("""COMPUTED_VALUE"""),46051.0)</f>
        <v>46051</v>
      </c>
      <c r="B1076" s="124" t="str">
        <f>IFERROR(__xludf.DUMMYFUNCTION("""COMPUTED_VALUE"""),"Walkin")</f>
        <v>Walkin</v>
      </c>
      <c r="C1076" s="124" t="str">
        <f>IFERROR(__xludf.DUMMYFUNCTION("""COMPUTED_VALUE"""),"Prayagraj")</f>
        <v>Prayagraj</v>
      </c>
      <c r="D1076" s="124" t="str">
        <f>IFERROR(__xludf.DUMMYFUNCTION("""COMPUTED_VALUE"""),"Primary_Walkin")</f>
        <v>Primary_Walkin</v>
      </c>
      <c r="E1076" s="124">
        <f>IFERROR(__xludf.DUMMYFUNCTION("""COMPUTED_VALUE"""),2.0)</f>
        <v>2</v>
      </c>
      <c r="F1076" s="124" t="str">
        <f>IFERROR(__xludf.DUMMYFUNCTION("""COMPUTED_VALUE"""),"Not Interested")</f>
        <v>Not Interested</v>
      </c>
      <c r="G1076" s="124" t="str">
        <f>IFERROR(__xludf.DUMMYFUNCTION("""COMPUTED_VALUE"""),"GS Foundation")</f>
        <v>GS Foundation</v>
      </c>
      <c r="K1076" s="124"/>
      <c r="L1076" s="124"/>
      <c r="M1076" s="124"/>
      <c r="N1076" s="124"/>
      <c r="O1076" s="124"/>
      <c r="T1076" s="126">
        <f>IFERROR(__xludf.DUMMYFUNCTION("""COMPUTED_VALUE"""),46044.0)</f>
        <v>46044</v>
      </c>
      <c r="U1076" s="124" t="str">
        <f>IFERROR(__xludf.DUMMYFUNCTION("""COMPUTED_VALUE"""),"External Leads")</f>
        <v>External Leads</v>
      </c>
      <c r="V1076" s="124" t="str">
        <f>IFERROR(__xludf.DUMMYFUNCTION("""COMPUTED_VALUE"""),"external leads")</f>
        <v>external leads</v>
      </c>
      <c r="W1076" s="124" t="str">
        <f>IFERROR(__xludf.DUMMYFUNCTION("""COMPUTED_VALUE"""),"lucknow")</f>
        <v>lucknow</v>
      </c>
      <c r="X1076" s="124" t="str">
        <f>IFERROR(__xludf.DUMMYFUNCTION("""COMPUTED_VALUE"""),"university")</f>
        <v>university</v>
      </c>
      <c r="Y1076" s="124" t="str">
        <f>IFERROR(__xludf.DUMMYFUNCTION("""COMPUTED_VALUE"""),"Lucknow")</f>
        <v>Lucknow</v>
      </c>
      <c r="Z1076" s="124">
        <f>IFERROR(__xludf.DUMMYFUNCTION("""COMPUTED_VALUE"""),4.0)</f>
        <v>4</v>
      </c>
      <c r="AA1076" s="124" t="str">
        <f>IFERROR(__xludf.DUMMYFUNCTION("""COMPUTED_VALUE"""),"Cold")</f>
        <v>Cold</v>
      </c>
      <c r="AB1076" s="124"/>
    </row>
    <row r="1077">
      <c r="A1077" s="126">
        <f>IFERROR(__xludf.DUMMYFUNCTION("""COMPUTED_VALUE"""),46112.0)</f>
        <v>46112</v>
      </c>
      <c r="B1077" s="124" t="str">
        <f>IFERROR(__xludf.DUMMYFUNCTION("""COMPUTED_VALUE"""),"Walk-In")</f>
        <v>Walk-In</v>
      </c>
      <c r="C1077" s="124" t="str">
        <f>IFERROR(__xludf.DUMMYFUNCTION("""COMPUTED_VALUE"""),"Prayagraj")</f>
        <v>Prayagraj</v>
      </c>
      <c r="D1077" s="124" t="str">
        <f>IFERROR(__xludf.DUMMYFUNCTION("""COMPUTED_VALUE"""),"Primary_Walkin")</f>
        <v>Primary_Walkin</v>
      </c>
      <c r="E1077" s="124">
        <f>IFERROR(__xludf.DUMMYFUNCTION("""COMPUTED_VALUE"""),1.0)</f>
        <v>1</v>
      </c>
      <c r="F1077" s="124" t="str">
        <f>IFERROR(__xludf.DUMMYFUNCTION("""COMPUTED_VALUE"""),"Warm")</f>
        <v>Warm</v>
      </c>
      <c r="G1077" s="124" t="str">
        <f>IFERROR(__xludf.DUMMYFUNCTION("""COMPUTED_VALUE"""),"Hybrid")</f>
        <v>Hybrid</v>
      </c>
      <c r="K1077" s="124"/>
      <c r="L1077" s="124"/>
      <c r="M1077" s="124"/>
      <c r="N1077" s="124"/>
      <c r="O1077" s="124"/>
      <c r="T1077" s="129">
        <f>IFERROR(__xludf.DUMMYFUNCTION("""COMPUTED_VALUE"""),46112.0)</f>
        <v>46112</v>
      </c>
      <c r="U1077" s="124" t="str">
        <f>IFERROR(__xludf.DUMMYFUNCTION("""COMPUTED_VALUE"""),"Walk-Ins")</f>
        <v>Walk-Ins</v>
      </c>
      <c r="V1077" s="124" t="str">
        <f>IFERROR(__xludf.DUMMYFUNCTION("""COMPUTED_VALUE"""),"Walkin")</f>
        <v>Walkin</v>
      </c>
      <c r="W1077" s="124" t="str">
        <f>IFERROR(__xludf.DUMMYFUNCTION("""COMPUTED_VALUE"""),"Delhi")</f>
        <v>Delhi</v>
      </c>
      <c r="X1077" s="124" t="str">
        <f>IFERROR(__xludf.DUMMYFUNCTION("""COMPUTED_VALUE"""),"walkin")</f>
        <v>walkin</v>
      </c>
      <c r="Y1077" s="124" t="str">
        <f>IFERROR(__xludf.DUMMYFUNCTION("""COMPUTED_VALUE"""),"Delhi")</f>
        <v>Delhi</v>
      </c>
      <c r="Z1077" s="124">
        <f>IFERROR(__xludf.DUMMYFUNCTION("""COMPUTED_VALUE"""),3.0)</f>
        <v>3</v>
      </c>
      <c r="AA1077" s="124" t="str">
        <f>IFERROR(__xludf.DUMMYFUNCTION("""COMPUTED_VALUE"""),"Future Prospects")</f>
        <v>Future Prospects</v>
      </c>
      <c r="AB1077" s="124" t="str">
        <f>IFERROR(__xludf.DUMMYFUNCTION("""COMPUTED_VALUE"""),"GS Foundation")</f>
        <v>GS Foundation</v>
      </c>
    </row>
    <row r="1078">
      <c r="A1078" s="129">
        <f>IFERROR(__xludf.DUMMYFUNCTION("""COMPUTED_VALUE"""),46110.0)</f>
        <v>46110</v>
      </c>
      <c r="B1078" s="124" t="str">
        <f>IFERROR(__xludf.DUMMYFUNCTION("""COMPUTED_VALUE"""),"Walkin")</f>
        <v>Walkin</v>
      </c>
      <c r="C1078" s="124" t="str">
        <f>IFERROR(__xludf.DUMMYFUNCTION("""COMPUTED_VALUE"""),"Prayagraj")</f>
        <v>Prayagraj</v>
      </c>
      <c r="D1078" s="124" t="str">
        <f>IFERROR(__xludf.DUMMYFUNCTION("""COMPUTED_VALUE"""),"Primary_Walkin")</f>
        <v>Primary_Walkin</v>
      </c>
      <c r="E1078" s="124">
        <f>IFERROR(__xludf.DUMMYFUNCTION("""COMPUTED_VALUE"""),2.0)</f>
        <v>2</v>
      </c>
      <c r="F1078" s="124" t="str">
        <f>IFERROR(__xludf.DUMMYFUNCTION("""COMPUTED_VALUE"""),"Warm")</f>
        <v>Warm</v>
      </c>
      <c r="G1078" s="124" t="str">
        <f>IFERROR(__xludf.DUMMYFUNCTION("""COMPUTED_VALUE"""),"GS Foundation")</f>
        <v>GS Foundation</v>
      </c>
      <c r="K1078" s="124"/>
      <c r="L1078" s="124"/>
      <c r="M1078" s="124"/>
      <c r="N1078" s="124"/>
      <c r="O1078" s="124"/>
      <c r="T1078" s="126">
        <f>IFERROR(__xludf.DUMMYFUNCTION("""COMPUTED_VALUE"""),46099.0)</f>
        <v>46099</v>
      </c>
      <c r="U1078" s="124" t="str">
        <f>IFERROR(__xludf.DUMMYFUNCTION("""COMPUTED_VALUE"""),"Walk-Ins")</f>
        <v>Walk-Ins</v>
      </c>
      <c r="V1078" s="124" t="str">
        <f>IFERROR(__xludf.DUMMYFUNCTION("""COMPUTED_VALUE"""),"Walkin")</f>
        <v>Walkin</v>
      </c>
      <c r="W1078" s="124" t="str">
        <f>IFERROR(__xludf.DUMMYFUNCTION("""COMPUTED_VALUE"""),"Delhi")</f>
        <v>Delhi</v>
      </c>
      <c r="X1078" s="124" t="str">
        <f>IFERROR(__xludf.DUMMYFUNCTION("""COMPUTED_VALUE"""),"walkin")</f>
        <v>walkin</v>
      </c>
      <c r="Y1078" s="124" t="str">
        <f>IFERROR(__xludf.DUMMYFUNCTION("""COMPUTED_VALUE"""),"Delhi")</f>
        <v>Delhi</v>
      </c>
      <c r="Z1078" s="124">
        <f>IFERROR(__xludf.DUMMYFUNCTION("""COMPUTED_VALUE"""),2.0)</f>
        <v>2</v>
      </c>
      <c r="AA1078" s="124" t="str">
        <f>IFERROR(__xludf.DUMMYFUNCTION("""COMPUTED_VALUE"""),"Not Interested")</f>
        <v>Not Interested</v>
      </c>
      <c r="AB1078" s="124" t="str">
        <f>IFERROR(__xludf.DUMMYFUNCTION("""COMPUTED_VALUE"""),"GS Foundation")</f>
        <v>GS Foundation</v>
      </c>
    </row>
    <row r="1079">
      <c r="A1079" s="129">
        <f>IFERROR(__xludf.DUMMYFUNCTION("""COMPUTED_VALUE"""),46054.0)</f>
        <v>46054</v>
      </c>
      <c r="B1079" s="124" t="str">
        <f>IFERROR(__xludf.DUMMYFUNCTION("""COMPUTED_VALUE"""),"Walkin")</f>
        <v>Walkin</v>
      </c>
      <c r="C1079" s="124" t="str">
        <f>IFERROR(__xludf.DUMMYFUNCTION("""COMPUTED_VALUE"""),"Prayagraj")</f>
        <v>Prayagraj</v>
      </c>
      <c r="D1079" s="124" t="str">
        <f>IFERROR(__xludf.DUMMYFUNCTION("""COMPUTED_VALUE"""),"Primary_Walkin")</f>
        <v>Primary_Walkin</v>
      </c>
      <c r="E1079" s="124">
        <f>IFERROR(__xludf.DUMMYFUNCTION("""COMPUTED_VALUE"""),3.0)</f>
        <v>3</v>
      </c>
      <c r="F1079" s="124" t="str">
        <f>IFERROR(__xludf.DUMMYFUNCTION("""COMPUTED_VALUE"""),"Cold")</f>
        <v>Cold</v>
      </c>
      <c r="G1079" s="124" t="str">
        <f>IFERROR(__xludf.DUMMYFUNCTION("""COMPUTED_VALUE"""),"GS Foundation")</f>
        <v>GS Foundation</v>
      </c>
      <c r="K1079" s="124"/>
      <c r="L1079" s="124"/>
      <c r="M1079" s="124"/>
      <c r="N1079" s="124"/>
      <c r="O1079" s="124"/>
      <c r="T1079" s="126">
        <f>IFERROR(__xludf.DUMMYFUNCTION("""COMPUTED_VALUE"""),46047.0)</f>
        <v>46047</v>
      </c>
      <c r="U1079" s="124" t="str">
        <f>IFERROR(__xludf.DUMMYFUNCTION("""COMPUTED_VALUE"""),"Paid Ads")</f>
        <v>Paid Ads</v>
      </c>
      <c r="V1079" s="124" t="str">
        <f>IFERROR(__xludf.DUMMYFUNCTION("""COMPUTED_VALUE"""),"Facebook")</f>
        <v>Facebook</v>
      </c>
      <c r="W1079" s="124" t="str">
        <f>IFERROR(__xludf.DUMMYFUNCTION("""COMPUTED_VALUE"""),"LeadAd")</f>
        <v>LeadAd</v>
      </c>
      <c r="X1079" s="124" t="str">
        <f>IFERROR(__xludf.DUMMYFUNCTION("""COMPUTED_VALUE"""),"Upsc_Offline_Lead_26_Patna_FB_Creatives")</f>
        <v>Upsc_Offline_Lead_26_Patna_FB_Creatives</v>
      </c>
      <c r="Y1079" s="124" t="str">
        <f>IFERROR(__xludf.DUMMYFUNCTION("""COMPUTED_VALUE"""),"Patna")</f>
        <v>Patna</v>
      </c>
      <c r="Z1079" s="124">
        <f>IFERROR(__xludf.DUMMYFUNCTION("""COMPUTED_VALUE"""),2.0)</f>
        <v>2</v>
      </c>
      <c r="AA1079" s="124" t="str">
        <f>IFERROR(__xludf.DUMMYFUNCTION("""COMPUTED_VALUE"""),"Not Interested")</f>
        <v>Not Interested</v>
      </c>
      <c r="AB1079" s="124"/>
    </row>
    <row r="1080">
      <c r="A1080" s="126">
        <f>IFERROR(__xludf.DUMMYFUNCTION("""COMPUTED_VALUE"""),46046.0)</f>
        <v>46046</v>
      </c>
      <c r="B1080" s="124" t="str">
        <f>IFERROR(__xludf.DUMMYFUNCTION("""COMPUTED_VALUE"""),"external leads")</f>
        <v>external leads</v>
      </c>
      <c r="C1080" s="124" t="str">
        <f>IFERROR(__xludf.DUMMYFUNCTION("""COMPUTED_VALUE"""),"Prayagraj")</f>
        <v>Prayagraj</v>
      </c>
      <c r="D1080" s="124" t="str">
        <f>IFERROR(__xludf.DUMMYFUNCTION("""COMPUTED_VALUE"""),"Secondary_Walkin")</f>
        <v>Secondary_Walkin</v>
      </c>
      <c r="E1080" s="124">
        <f>IFERROR(__xludf.DUMMYFUNCTION("""COMPUTED_VALUE"""),1.0)</f>
        <v>1</v>
      </c>
      <c r="F1080" s="124" t="str">
        <f>IFERROR(__xludf.DUMMYFUNCTION("""COMPUTED_VALUE"""),"Cold")</f>
        <v>Cold</v>
      </c>
      <c r="G1080" s="124" t="str">
        <f>IFERROR(__xludf.DUMMYFUNCTION("""COMPUTED_VALUE"""),"GS Foundation")</f>
        <v>GS Foundation</v>
      </c>
      <c r="K1080" s="124"/>
      <c r="L1080" s="124"/>
      <c r="M1080" s="124"/>
      <c r="N1080" s="124"/>
      <c r="O1080" s="124"/>
      <c r="T1080" s="126">
        <f>IFERROR(__xludf.DUMMYFUNCTION("""COMPUTED_VALUE"""),46104.0)</f>
        <v>46104</v>
      </c>
      <c r="U1080" s="124" t="str">
        <f>IFERROR(__xludf.DUMMYFUNCTION("""COMPUTED_VALUE"""),"Walk-Ins")</f>
        <v>Walk-Ins</v>
      </c>
      <c r="V1080" s="124" t="str">
        <f>IFERROR(__xludf.DUMMYFUNCTION("""COMPUTED_VALUE"""),"Walkin")</f>
        <v>Walkin</v>
      </c>
      <c r="W1080" s="124" t="str">
        <f>IFERROR(__xludf.DUMMYFUNCTION("""COMPUTED_VALUE"""),"Delhi")</f>
        <v>Delhi</v>
      </c>
      <c r="X1080" s="124" t="str">
        <f>IFERROR(__xludf.DUMMYFUNCTION("""COMPUTED_VALUE"""),"walkin")</f>
        <v>walkin</v>
      </c>
      <c r="Y1080" s="124" t="str">
        <f>IFERROR(__xludf.DUMMYFUNCTION("""COMPUTED_VALUE"""),"Delhi")</f>
        <v>Delhi</v>
      </c>
      <c r="Z1080" s="124">
        <f>IFERROR(__xludf.DUMMYFUNCTION("""COMPUTED_VALUE"""),2.0)</f>
        <v>2</v>
      </c>
      <c r="AA1080" s="124" t="str">
        <f>IFERROR(__xludf.DUMMYFUNCTION("""COMPUTED_VALUE"""),"Warm")</f>
        <v>Warm</v>
      </c>
      <c r="AB1080" s="124" t="str">
        <f>IFERROR(__xludf.DUMMYFUNCTION("""COMPUTED_VALUE"""),"GS Advanced")</f>
        <v>GS Advanced</v>
      </c>
    </row>
    <row r="1081">
      <c r="A1081" s="126">
        <f>IFERROR(__xludf.DUMMYFUNCTION("""COMPUTED_VALUE"""),46071.0)</f>
        <v>46071</v>
      </c>
      <c r="B1081" s="124" t="str">
        <f>IFERROR(__xludf.DUMMYFUNCTION("""COMPUTED_VALUE"""),"Walkin")</f>
        <v>Walkin</v>
      </c>
      <c r="C1081" s="124" t="str">
        <f>IFERROR(__xludf.DUMMYFUNCTION("""COMPUTED_VALUE"""),"Prayagraj")</f>
        <v>Prayagraj</v>
      </c>
      <c r="D1081" s="124" t="str">
        <f>IFERROR(__xludf.DUMMYFUNCTION("""COMPUTED_VALUE"""),"Primary_Walkin")</f>
        <v>Primary_Walkin</v>
      </c>
      <c r="E1081" s="124">
        <f>IFERROR(__xludf.DUMMYFUNCTION("""COMPUTED_VALUE"""),2.0)</f>
        <v>2</v>
      </c>
      <c r="F1081" s="124" t="str">
        <f>IFERROR(__xludf.DUMMYFUNCTION("""COMPUTED_VALUE"""),"Future Prospects")</f>
        <v>Future Prospects</v>
      </c>
      <c r="G1081" s="124" t="str">
        <f>IFERROR(__xludf.DUMMYFUNCTION("""COMPUTED_VALUE"""),"State PCS")</f>
        <v>State PCS</v>
      </c>
      <c r="K1081" s="124"/>
      <c r="L1081" s="124"/>
      <c r="M1081" s="124"/>
      <c r="N1081" s="124"/>
      <c r="O1081" s="124"/>
      <c r="T1081" s="126">
        <f>IFERROR(__xludf.DUMMYFUNCTION("""COMPUTED_VALUE"""),46108.0)</f>
        <v>46108</v>
      </c>
      <c r="U1081" s="124" t="str">
        <f>IFERROR(__xludf.DUMMYFUNCTION("""COMPUTED_VALUE"""),"Walk-Ins")</f>
        <v>Walk-Ins</v>
      </c>
      <c r="V1081" s="124" t="str">
        <f>IFERROR(__xludf.DUMMYFUNCTION("""COMPUTED_VALUE"""),"Walkin")</f>
        <v>Walkin</v>
      </c>
      <c r="W1081" s="124" t="str">
        <f>IFERROR(__xludf.DUMMYFUNCTION("""COMPUTED_VALUE"""),"Delhi")</f>
        <v>Delhi</v>
      </c>
      <c r="X1081" s="124" t="str">
        <f>IFERROR(__xludf.DUMMYFUNCTION("""COMPUTED_VALUE"""),"walkin")</f>
        <v>walkin</v>
      </c>
      <c r="Y1081" s="124" t="str">
        <f>IFERROR(__xludf.DUMMYFUNCTION("""COMPUTED_VALUE"""),"Delhi")</f>
        <v>Delhi</v>
      </c>
      <c r="Z1081" s="124">
        <f>IFERROR(__xludf.DUMMYFUNCTION("""COMPUTED_VALUE"""),2.0)</f>
        <v>2</v>
      </c>
      <c r="AA1081" s="124" t="str">
        <f>IFERROR(__xludf.DUMMYFUNCTION("""COMPUTED_VALUE"""),"Future Prospects")</f>
        <v>Future Prospects</v>
      </c>
      <c r="AB1081" s="124" t="str">
        <f>IFERROR(__xludf.DUMMYFUNCTION("""COMPUTED_VALUE"""),"GS Foundation")</f>
        <v>GS Foundation</v>
      </c>
    </row>
    <row r="1082">
      <c r="A1082" s="126">
        <f>IFERROR(__xludf.DUMMYFUNCTION("""COMPUTED_VALUE"""),46112.0)</f>
        <v>46112</v>
      </c>
      <c r="B1082" s="124" t="str">
        <f>IFERROR(__xludf.DUMMYFUNCTION("""COMPUTED_VALUE"""),"Walk-In")</f>
        <v>Walk-In</v>
      </c>
      <c r="C1082" s="124" t="str">
        <f>IFERROR(__xludf.DUMMYFUNCTION("""COMPUTED_VALUE"""),"Prayagraj")</f>
        <v>Prayagraj</v>
      </c>
      <c r="D1082" s="124" t="str">
        <f>IFERROR(__xludf.DUMMYFUNCTION("""COMPUTED_VALUE"""),"Primary_Walkin")</f>
        <v>Primary_Walkin</v>
      </c>
      <c r="E1082" s="124">
        <f>IFERROR(__xludf.DUMMYFUNCTION("""COMPUTED_VALUE"""),1.0)</f>
        <v>1</v>
      </c>
      <c r="F1082" s="124" t="str">
        <f>IFERROR(__xludf.DUMMYFUNCTION("""COMPUTED_VALUE"""),"Not Interested")</f>
        <v>Not Interested</v>
      </c>
      <c r="G1082" s="124" t="str">
        <f>IFERROR(__xludf.DUMMYFUNCTION("""COMPUTED_VALUE"""),"State PCS")</f>
        <v>State PCS</v>
      </c>
      <c r="K1082" s="124"/>
      <c r="L1082" s="124"/>
      <c r="M1082" s="124"/>
      <c r="N1082" s="124"/>
      <c r="O1082" s="124"/>
      <c r="T1082" s="129">
        <f>IFERROR(__xludf.DUMMYFUNCTION("""COMPUTED_VALUE"""),46111.0)</f>
        <v>46111</v>
      </c>
      <c r="U1082" s="124" t="str">
        <f>IFERROR(__xludf.DUMMYFUNCTION("""COMPUTED_VALUE"""),"Walk-Ins")</f>
        <v>Walk-Ins</v>
      </c>
      <c r="V1082" s="124" t="str">
        <f>IFERROR(__xludf.DUMMYFUNCTION("""COMPUTED_VALUE"""),"Walkin")</f>
        <v>Walkin</v>
      </c>
      <c r="W1082" s="124" t="str">
        <f>IFERROR(__xludf.DUMMYFUNCTION("""COMPUTED_VALUE"""),"Delhi")</f>
        <v>Delhi</v>
      </c>
      <c r="X1082" s="124" t="str">
        <f>IFERROR(__xludf.DUMMYFUNCTION("""COMPUTED_VALUE"""),"walkin")</f>
        <v>walkin</v>
      </c>
      <c r="Y1082" s="124" t="str">
        <f>IFERROR(__xludf.DUMMYFUNCTION("""COMPUTED_VALUE"""),"Delhi")</f>
        <v>Delhi</v>
      </c>
      <c r="Z1082" s="124">
        <f>IFERROR(__xludf.DUMMYFUNCTION("""COMPUTED_VALUE"""),6.0)</f>
        <v>6</v>
      </c>
      <c r="AA1082" s="124" t="str">
        <f>IFERROR(__xludf.DUMMYFUNCTION("""COMPUTED_VALUE"""),"Warm")</f>
        <v>Warm</v>
      </c>
      <c r="AB1082" s="124" t="str">
        <f>IFERROR(__xludf.DUMMYFUNCTION("""COMPUTED_VALUE"""),"GS Foundation")</f>
        <v>GS Foundation</v>
      </c>
    </row>
    <row r="1083">
      <c r="A1083" s="126">
        <f>IFERROR(__xludf.DUMMYFUNCTION("""COMPUTED_VALUE"""),46105.0)</f>
        <v>46105</v>
      </c>
      <c r="B1083" s="124" t="str">
        <f>IFERROR(__xludf.DUMMYFUNCTION("""COMPUTED_VALUE"""),"Walkin")</f>
        <v>Walkin</v>
      </c>
      <c r="C1083" s="124" t="str">
        <f>IFERROR(__xludf.DUMMYFUNCTION("""COMPUTED_VALUE"""),"Prayagraj")</f>
        <v>Prayagraj</v>
      </c>
      <c r="D1083" s="124" t="str">
        <f>IFERROR(__xludf.DUMMYFUNCTION("""COMPUTED_VALUE"""),"Primary_Walkin")</f>
        <v>Primary_Walkin</v>
      </c>
      <c r="E1083" s="124">
        <f>IFERROR(__xludf.DUMMYFUNCTION("""COMPUTED_VALUE"""),2.0)</f>
        <v>2</v>
      </c>
      <c r="F1083" s="124" t="str">
        <f>IFERROR(__xludf.DUMMYFUNCTION("""COMPUTED_VALUE"""),"Cold")</f>
        <v>Cold</v>
      </c>
      <c r="G1083" s="124" t="str">
        <f>IFERROR(__xludf.DUMMYFUNCTION("""COMPUTED_VALUE"""),"State PCS")</f>
        <v>State PCS</v>
      </c>
      <c r="K1083" s="124"/>
      <c r="L1083" s="124"/>
      <c r="M1083" s="124"/>
      <c r="N1083" s="124"/>
      <c r="O1083" s="124"/>
      <c r="T1083" s="126">
        <f>IFERROR(__xludf.DUMMYFUNCTION("""COMPUTED_VALUE"""),46103.0)</f>
        <v>46103</v>
      </c>
      <c r="U1083" s="124" t="str">
        <f>IFERROR(__xludf.DUMMYFUNCTION("""COMPUTED_VALUE"""),"Walk-Ins")</f>
        <v>Walk-Ins</v>
      </c>
      <c r="V1083" s="124" t="str">
        <f>IFERROR(__xludf.DUMMYFUNCTION("""COMPUTED_VALUE"""),"Walkin")</f>
        <v>Walkin</v>
      </c>
      <c r="W1083" s="124" t="str">
        <f>IFERROR(__xludf.DUMMYFUNCTION("""COMPUTED_VALUE"""),"Delhi")</f>
        <v>Delhi</v>
      </c>
      <c r="X1083" s="124" t="str">
        <f>IFERROR(__xludf.DUMMYFUNCTION("""COMPUTED_VALUE"""),"walkin")</f>
        <v>walkin</v>
      </c>
      <c r="Y1083" s="124" t="str">
        <f>IFERROR(__xludf.DUMMYFUNCTION("""COMPUTED_VALUE"""),"Delhi")</f>
        <v>Delhi</v>
      </c>
      <c r="Z1083" s="124">
        <f>IFERROR(__xludf.DUMMYFUNCTION("""COMPUTED_VALUE"""),4.0)</f>
        <v>4</v>
      </c>
      <c r="AA1083" s="124" t="str">
        <f>IFERROR(__xludf.DUMMYFUNCTION("""COMPUTED_VALUE"""),"Cold")</f>
        <v>Cold</v>
      </c>
      <c r="AB1083" s="124" t="str">
        <f>IFERROR(__xludf.DUMMYFUNCTION("""COMPUTED_VALUE"""),"GS Foundation")</f>
        <v>GS Foundation</v>
      </c>
    </row>
    <row r="1084">
      <c r="A1084" s="126">
        <f>IFERROR(__xludf.DUMMYFUNCTION("""COMPUTED_VALUE"""),46080.0)</f>
        <v>46080</v>
      </c>
      <c r="B1084" s="124" t="str">
        <f>IFERROR(__xludf.DUMMYFUNCTION("""COMPUTED_VALUE"""),"Walkin")</f>
        <v>Walkin</v>
      </c>
      <c r="C1084" s="124" t="str">
        <f>IFERROR(__xludf.DUMMYFUNCTION("""COMPUTED_VALUE"""),"Prayagraj")</f>
        <v>Prayagraj</v>
      </c>
      <c r="D1084" s="124" t="str">
        <f>IFERROR(__xludf.DUMMYFUNCTION("""COMPUTED_VALUE"""),"Primary_Walkin")</f>
        <v>Primary_Walkin</v>
      </c>
      <c r="E1084" s="124">
        <f>IFERROR(__xludf.DUMMYFUNCTION("""COMPUTED_VALUE"""),1.0)</f>
        <v>1</v>
      </c>
      <c r="F1084" s="124" t="str">
        <f>IFERROR(__xludf.DUMMYFUNCTION("""COMPUTED_VALUE"""),"Future Prospects")</f>
        <v>Future Prospects</v>
      </c>
      <c r="G1084" s="124" t="str">
        <f>IFERROR(__xludf.DUMMYFUNCTION("""COMPUTED_VALUE"""),"GS Foundation")</f>
        <v>GS Foundation</v>
      </c>
      <c r="K1084" s="124"/>
      <c r="L1084" s="124"/>
      <c r="M1084" s="124"/>
      <c r="N1084" s="124"/>
      <c r="O1084" s="124"/>
      <c r="T1084" s="126">
        <f>IFERROR(__xludf.DUMMYFUNCTION("""COMPUTED_VALUE"""),46078.0)</f>
        <v>46078</v>
      </c>
      <c r="U1084" s="124" t="str">
        <f>IFERROR(__xludf.DUMMYFUNCTION("""COMPUTED_VALUE"""),"Walk-Ins")</f>
        <v>Walk-Ins</v>
      </c>
      <c r="V1084" s="124" t="str">
        <f>IFERROR(__xludf.DUMMYFUNCTION("""COMPUTED_VALUE"""),"Walkin")</f>
        <v>Walkin</v>
      </c>
      <c r="W1084" s="124" t="str">
        <f>IFERROR(__xludf.DUMMYFUNCTION("""COMPUTED_VALUE"""),"Delhi")</f>
        <v>Delhi</v>
      </c>
      <c r="X1084" s="124" t="str">
        <f>IFERROR(__xludf.DUMMYFUNCTION("""COMPUTED_VALUE"""),"walkin")</f>
        <v>walkin</v>
      </c>
      <c r="Y1084" s="124" t="str">
        <f>IFERROR(__xludf.DUMMYFUNCTION("""COMPUTED_VALUE"""),"Delhi")</f>
        <v>Delhi</v>
      </c>
      <c r="Z1084" s="124">
        <f>IFERROR(__xludf.DUMMYFUNCTION("""COMPUTED_VALUE"""),1.0)</f>
        <v>1</v>
      </c>
      <c r="AA1084" s="124" t="str">
        <f>IFERROR(__xludf.DUMMYFUNCTION("""COMPUTED_VALUE"""),"Warm")</f>
        <v>Warm</v>
      </c>
      <c r="AB1084" s="124" t="str">
        <f>IFERROR(__xludf.DUMMYFUNCTION("""COMPUTED_VALUE"""),"GS Foundation")</f>
        <v>GS Foundation</v>
      </c>
    </row>
    <row r="1085">
      <c r="A1085" s="129">
        <f>IFERROR(__xludf.DUMMYFUNCTION("""COMPUTED_VALUE"""),46051.0)</f>
        <v>46051</v>
      </c>
      <c r="B1085" s="124" t="str">
        <f>IFERROR(__xludf.DUMMYFUNCTION("""COMPUTED_VALUE"""),"Walkin")</f>
        <v>Walkin</v>
      </c>
      <c r="C1085" s="124" t="str">
        <f>IFERROR(__xludf.DUMMYFUNCTION("""COMPUTED_VALUE"""),"Prayagraj")</f>
        <v>Prayagraj</v>
      </c>
      <c r="D1085" s="124" t="str">
        <f>IFERROR(__xludf.DUMMYFUNCTION("""COMPUTED_VALUE"""),"Primary_Walkin")</f>
        <v>Primary_Walkin</v>
      </c>
      <c r="E1085" s="124">
        <f>IFERROR(__xludf.DUMMYFUNCTION("""COMPUTED_VALUE"""),1.0)</f>
        <v>1</v>
      </c>
      <c r="F1085" s="124" t="str">
        <f>IFERROR(__xludf.DUMMYFUNCTION("""COMPUTED_VALUE"""),"Not Interested")</f>
        <v>Not Interested</v>
      </c>
      <c r="G1085" s="124" t="str">
        <f>IFERROR(__xludf.DUMMYFUNCTION("""COMPUTED_VALUE"""),"Mentorship")</f>
        <v>Mentorship</v>
      </c>
      <c r="K1085" s="124"/>
      <c r="L1085" s="124"/>
      <c r="M1085" s="124"/>
      <c r="N1085" s="124"/>
      <c r="O1085" s="124"/>
      <c r="T1085" s="129">
        <f>IFERROR(__xludf.DUMMYFUNCTION("""COMPUTED_VALUE"""),46089.0)</f>
        <v>46089</v>
      </c>
      <c r="U1085" s="124" t="str">
        <f>IFERROR(__xludf.DUMMYFUNCTION("""COMPUTED_VALUE"""),"Walk-Ins")</f>
        <v>Walk-Ins</v>
      </c>
      <c r="V1085" s="124" t="str">
        <f>IFERROR(__xludf.DUMMYFUNCTION("""COMPUTED_VALUE"""),"Walkin")</f>
        <v>Walkin</v>
      </c>
      <c r="W1085" s="124" t="str">
        <f>IFERROR(__xludf.DUMMYFUNCTION("""COMPUTED_VALUE"""),"Delhi")</f>
        <v>Delhi</v>
      </c>
      <c r="X1085" s="124" t="str">
        <f>IFERROR(__xludf.DUMMYFUNCTION("""COMPUTED_VALUE"""),"walkin")</f>
        <v>walkin</v>
      </c>
      <c r="Y1085" s="124" t="str">
        <f>IFERROR(__xludf.DUMMYFUNCTION("""COMPUTED_VALUE"""),"Delhi")</f>
        <v>Delhi</v>
      </c>
      <c r="Z1085" s="124">
        <f>IFERROR(__xludf.DUMMYFUNCTION("""COMPUTED_VALUE"""),1.0)</f>
        <v>1</v>
      </c>
      <c r="AA1085" s="124" t="str">
        <f>IFERROR(__xludf.DUMMYFUNCTION("""COMPUTED_VALUE"""),"Cold")</f>
        <v>Cold</v>
      </c>
      <c r="AB1085" s="124" t="str">
        <f>IFERROR(__xludf.DUMMYFUNCTION("""COMPUTED_VALUE"""),"Optionals")</f>
        <v>Optionals</v>
      </c>
    </row>
    <row r="1086">
      <c r="A1086" s="126">
        <f>IFERROR(__xludf.DUMMYFUNCTION("""COMPUTED_VALUE"""),46108.0)</f>
        <v>46108</v>
      </c>
      <c r="B1086" s="124" t="str">
        <f>IFERROR(__xludf.DUMMYFUNCTION("""COMPUTED_VALUE"""),"Walkin")</f>
        <v>Walkin</v>
      </c>
      <c r="C1086" s="124" t="str">
        <f>IFERROR(__xludf.DUMMYFUNCTION("""COMPUTED_VALUE"""),"Prayagraj")</f>
        <v>Prayagraj</v>
      </c>
      <c r="D1086" s="124" t="str">
        <f>IFERROR(__xludf.DUMMYFUNCTION("""COMPUTED_VALUE"""),"Primary_Walkin")</f>
        <v>Primary_Walkin</v>
      </c>
      <c r="E1086" s="124">
        <f>IFERROR(__xludf.DUMMYFUNCTION("""COMPUTED_VALUE"""),2.0)</f>
        <v>2</v>
      </c>
      <c r="F1086" s="124" t="str">
        <f>IFERROR(__xludf.DUMMYFUNCTION("""COMPUTED_VALUE"""),"Enrolled")</f>
        <v>Enrolled</v>
      </c>
      <c r="G1086" s="124" t="str">
        <f>IFERROR(__xludf.DUMMYFUNCTION("""COMPUTED_VALUE"""),"GS Foundation")</f>
        <v>GS Foundation</v>
      </c>
      <c r="K1086" s="124"/>
      <c r="L1086" s="124"/>
      <c r="M1086" s="124"/>
      <c r="N1086" s="124"/>
      <c r="O1086" s="124"/>
      <c r="T1086" s="126">
        <f>IFERROR(__xludf.DUMMYFUNCTION("""COMPUTED_VALUE"""),46097.0)</f>
        <v>46097</v>
      </c>
      <c r="U1086" s="124" t="str">
        <f>IFERROR(__xludf.DUMMYFUNCTION("""COMPUTED_VALUE"""),"Walk-Ins")</f>
        <v>Walk-Ins</v>
      </c>
      <c r="V1086" s="124" t="str">
        <f>IFERROR(__xludf.DUMMYFUNCTION("""COMPUTED_VALUE"""),"Walk-In")</f>
        <v>Walk-In</v>
      </c>
      <c r="W1086" s="124" t="str">
        <f>IFERROR(__xludf.DUMMYFUNCTION("""COMPUTED_VALUE"""),"Prayagraj")</f>
        <v>Prayagraj</v>
      </c>
      <c r="X1086" s="124" t="str">
        <f>IFERROR(__xludf.DUMMYFUNCTION("""COMPUTED_VALUE"""),"Aditi")</f>
        <v>Aditi</v>
      </c>
      <c r="Y1086" s="124" t="str">
        <f>IFERROR(__xludf.DUMMYFUNCTION("""COMPUTED_VALUE"""),"Prayagraj")</f>
        <v>Prayagraj</v>
      </c>
      <c r="Z1086" s="124">
        <f>IFERROR(__xludf.DUMMYFUNCTION("""COMPUTED_VALUE"""),1.0)</f>
        <v>1</v>
      </c>
      <c r="AA1086" s="124" t="str">
        <f>IFERROR(__xludf.DUMMYFUNCTION("""COMPUTED_VALUE"""),"Warm")</f>
        <v>Warm</v>
      </c>
      <c r="AB1086" s="124" t="str">
        <f>IFERROR(__xludf.DUMMYFUNCTION("""COMPUTED_VALUE"""),"GS Foundation")</f>
        <v>GS Foundation</v>
      </c>
    </row>
    <row r="1087">
      <c r="A1087" s="126">
        <f>IFERROR(__xludf.DUMMYFUNCTION("""COMPUTED_VALUE"""),46111.0)</f>
        <v>46111</v>
      </c>
      <c r="B1087" s="124" t="str">
        <f>IFERROR(__xludf.DUMMYFUNCTION("""COMPUTED_VALUE"""),"Walkin")</f>
        <v>Walkin</v>
      </c>
      <c r="C1087" s="124" t="str">
        <f>IFERROR(__xludf.DUMMYFUNCTION("""COMPUTED_VALUE"""),"Prayagraj")</f>
        <v>Prayagraj</v>
      </c>
      <c r="D1087" s="124" t="str">
        <f>IFERROR(__xludf.DUMMYFUNCTION("""COMPUTED_VALUE"""),"Primary_Walkin")</f>
        <v>Primary_Walkin</v>
      </c>
      <c r="E1087" s="124">
        <f>IFERROR(__xludf.DUMMYFUNCTION("""COMPUTED_VALUE"""),1.0)</f>
        <v>1</v>
      </c>
      <c r="F1087" s="124" t="str">
        <f>IFERROR(__xludf.DUMMYFUNCTION("""COMPUTED_VALUE"""),"Interested")</f>
        <v>Interested</v>
      </c>
      <c r="G1087" s="124" t="str">
        <f>IFERROR(__xludf.DUMMYFUNCTION("""COMPUTED_VALUE"""),"GS Foundation")</f>
        <v>GS Foundation</v>
      </c>
      <c r="K1087" s="124"/>
      <c r="L1087" s="124"/>
      <c r="M1087" s="124"/>
      <c r="N1087" s="124"/>
      <c r="O1087" s="124"/>
      <c r="T1087" s="126">
        <f>IFERROR(__xludf.DUMMYFUNCTION("""COMPUTED_VALUE"""),46105.0)</f>
        <v>46105</v>
      </c>
      <c r="U1087" s="124" t="str">
        <f>IFERROR(__xludf.DUMMYFUNCTION("""COMPUTED_VALUE"""),"Walk-Ins")</f>
        <v>Walk-Ins</v>
      </c>
      <c r="V1087" s="124" t="str">
        <f>IFERROR(__xludf.DUMMYFUNCTION("""COMPUTED_VALUE"""),"Walkin")</f>
        <v>Walkin</v>
      </c>
      <c r="W1087" s="124" t="str">
        <f>IFERROR(__xludf.DUMMYFUNCTION("""COMPUTED_VALUE"""),"Delhi")</f>
        <v>Delhi</v>
      </c>
      <c r="X1087" s="124" t="str">
        <f>IFERROR(__xludf.DUMMYFUNCTION("""COMPUTED_VALUE"""),"walkin")</f>
        <v>walkin</v>
      </c>
      <c r="Y1087" s="124" t="str">
        <f>IFERROR(__xludf.DUMMYFUNCTION("""COMPUTED_VALUE"""),"Delhi")</f>
        <v>Delhi</v>
      </c>
      <c r="Z1087" s="124">
        <f>IFERROR(__xludf.DUMMYFUNCTION("""COMPUTED_VALUE"""),5.0)</f>
        <v>5</v>
      </c>
      <c r="AA1087" s="124" t="str">
        <f>IFERROR(__xludf.DUMMYFUNCTION("""COMPUTED_VALUE"""),"Not Interested")</f>
        <v>Not Interested</v>
      </c>
      <c r="AB1087" s="124" t="str">
        <f>IFERROR(__xludf.DUMMYFUNCTION("""COMPUTED_VALUE"""),"GS Foundation")</f>
        <v>GS Foundation</v>
      </c>
    </row>
    <row r="1088">
      <c r="A1088" s="129">
        <f>IFERROR(__xludf.DUMMYFUNCTION("""COMPUTED_VALUE"""),46046.0)</f>
        <v>46046</v>
      </c>
      <c r="B1088" s="124" t="str">
        <f>IFERROR(__xludf.DUMMYFUNCTION("""COMPUTED_VALUE"""),"Walk-In")</f>
        <v>Walk-In</v>
      </c>
      <c r="C1088" s="124" t="str">
        <f>IFERROR(__xludf.DUMMYFUNCTION("""COMPUTED_VALUE"""),"Prayagraj")</f>
        <v>Prayagraj</v>
      </c>
      <c r="D1088" s="124" t="str">
        <f>IFERROR(__xludf.DUMMYFUNCTION("""COMPUTED_VALUE"""),"Primary_Walkin")</f>
        <v>Primary_Walkin</v>
      </c>
      <c r="E1088" s="124">
        <f>IFERROR(__xludf.DUMMYFUNCTION("""COMPUTED_VALUE"""),1.0)</f>
        <v>1</v>
      </c>
      <c r="F1088" s="124" t="str">
        <f>IFERROR(__xludf.DUMMYFUNCTION("""COMPUTED_VALUE"""),"Enrolled")</f>
        <v>Enrolled</v>
      </c>
      <c r="G1088" s="124" t="str">
        <f>IFERROR(__xludf.DUMMYFUNCTION("""COMPUTED_VALUE"""),"GS Foundation")</f>
        <v>GS Foundation</v>
      </c>
      <c r="K1088" s="124"/>
      <c r="L1088" s="124"/>
      <c r="M1088" s="124"/>
      <c r="N1088" s="124"/>
      <c r="O1088" s="124"/>
      <c r="T1088" s="126">
        <f>IFERROR(__xludf.DUMMYFUNCTION("""COMPUTED_VALUE"""),46062.0)</f>
        <v>46062</v>
      </c>
      <c r="U1088" s="124" t="str">
        <f>IFERROR(__xludf.DUMMYFUNCTION("""COMPUTED_VALUE"""),"Walk-Ins")</f>
        <v>Walk-Ins</v>
      </c>
      <c r="V1088" s="124" t="str">
        <f>IFERROR(__xludf.DUMMYFUNCTION("""COMPUTED_VALUE"""),"Walkin")</f>
        <v>Walkin</v>
      </c>
      <c r="W1088" s="124" t="str">
        <f>IFERROR(__xludf.DUMMYFUNCTION("""COMPUTED_VALUE"""),"Delhi")</f>
        <v>Delhi</v>
      </c>
      <c r="X1088" s="124" t="str">
        <f>IFERROR(__xludf.DUMMYFUNCTION("""COMPUTED_VALUE"""),"walkin")</f>
        <v>walkin</v>
      </c>
      <c r="Y1088" s="124" t="str">
        <f>IFERROR(__xludf.DUMMYFUNCTION("""COMPUTED_VALUE"""),"Delhi")</f>
        <v>Delhi</v>
      </c>
      <c r="Z1088" s="124">
        <f>IFERROR(__xludf.DUMMYFUNCTION("""COMPUTED_VALUE"""),2.0)</f>
        <v>2</v>
      </c>
      <c r="AA1088" s="124" t="str">
        <f>IFERROR(__xludf.DUMMYFUNCTION("""COMPUTED_VALUE"""),"Future Prospects")</f>
        <v>Future Prospects</v>
      </c>
      <c r="AB1088" s="124" t="str">
        <f>IFERROR(__xludf.DUMMYFUNCTION("""COMPUTED_VALUE"""),"GS Foundation")</f>
        <v>GS Foundation</v>
      </c>
    </row>
    <row r="1089">
      <c r="A1089" s="126">
        <f>IFERROR(__xludf.DUMMYFUNCTION("""COMPUTED_VALUE"""),46099.0)</f>
        <v>46099</v>
      </c>
      <c r="B1089" s="124" t="str">
        <f>IFERROR(__xludf.DUMMYFUNCTION("""COMPUTED_VALUE"""),"Walkin")</f>
        <v>Walkin</v>
      </c>
      <c r="C1089" s="124" t="str">
        <f>IFERROR(__xludf.DUMMYFUNCTION("""COMPUTED_VALUE"""),"Prayagraj")</f>
        <v>Prayagraj</v>
      </c>
      <c r="D1089" s="124" t="str">
        <f>IFERROR(__xludf.DUMMYFUNCTION("""COMPUTED_VALUE"""),"Primary_Walkin")</f>
        <v>Primary_Walkin</v>
      </c>
      <c r="E1089" s="124">
        <f>IFERROR(__xludf.DUMMYFUNCTION("""COMPUTED_VALUE"""),1.0)</f>
        <v>1</v>
      </c>
      <c r="F1089" s="124" t="str">
        <f>IFERROR(__xludf.DUMMYFUNCTION("""COMPUTED_VALUE"""),"Cold")</f>
        <v>Cold</v>
      </c>
      <c r="G1089" s="124" t="str">
        <f>IFERROR(__xludf.DUMMYFUNCTION("""COMPUTED_VALUE"""),"State PCS")</f>
        <v>State PCS</v>
      </c>
      <c r="K1089" s="124"/>
      <c r="L1089" s="124"/>
      <c r="M1089" s="124"/>
      <c r="N1089" s="124"/>
      <c r="O1089" s="124"/>
      <c r="T1089" s="126">
        <f>IFERROR(__xludf.DUMMYFUNCTION("""COMPUTED_VALUE"""),46083.0)</f>
        <v>46083</v>
      </c>
      <c r="U1089" s="124" t="str">
        <f>IFERROR(__xludf.DUMMYFUNCTION("""COMPUTED_VALUE"""),"Walk-Ins")</f>
        <v>Walk-Ins</v>
      </c>
      <c r="V1089" s="124" t="str">
        <f>IFERROR(__xludf.DUMMYFUNCTION("""COMPUTED_VALUE"""),"Walkin")</f>
        <v>Walkin</v>
      </c>
      <c r="W1089" s="124" t="str">
        <f>IFERROR(__xludf.DUMMYFUNCTION("""COMPUTED_VALUE"""),"Delhi")</f>
        <v>Delhi</v>
      </c>
      <c r="X1089" s="124" t="str">
        <f>IFERROR(__xludf.DUMMYFUNCTION("""COMPUTED_VALUE"""),"walkin")</f>
        <v>walkin</v>
      </c>
      <c r="Y1089" s="124" t="str">
        <f>IFERROR(__xludf.DUMMYFUNCTION("""COMPUTED_VALUE"""),"Delhi")</f>
        <v>Delhi</v>
      </c>
      <c r="Z1089" s="124">
        <f>IFERROR(__xludf.DUMMYFUNCTION("""COMPUTED_VALUE"""),2.0)</f>
        <v>2</v>
      </c>
      <c r="AA1089" s="124" t="str">
        <f>IFERROR(__xludf.DUMMYFUNCTION("""COMPUTED_VALUE"""),"Future Prospects")</f>
        <v>Future Prospects</v>
      </c>
      <c r="AB1089" s="124" t="str">
        <f>IFERROR(__xludf.DUMMYFUNCTION("""COMPUTED_VALUE"""),"GS Foundation")</f>
        <v>GS Foundation</v>
      </c>
    </row>
    <row r="1090">
      <c r="A1090" s="126">
        <f>IFERROR(__xludf.DUMMYFUNCTION("""COMPUTED_VALUE"""),46088.0)</f>
        <v>46088</v>
      </c>
      <c r="B1090" s="124" t="str">
        <f>IFERROR(__xludf.DUMMYFUNCTION("""COMPUTED_VALUE"""),"Walkin")</f>
        <v>Walkin</v>
      </c>
      <c r="C1090" s="124" t="str">
        <f>IFERROR(__xludf.DUMMYFUNCTION("""COMPUTED_VALUE"""),"Prayagraj")</f>
        <v>Prayagraj</v>
      </c>
      <c r="D1090" s="124" t="str">
        <f>IFERROR(__xludf.DUMMYFUNCTION("""COMPUTED_VALUE"""),"Primary_Walkin")</f>
        <v>Primary_Walkin</v>
      </c>
      <c r="E1090" s="124">
        <f>IFERROR(__xludf.DUMMYFUNCTION("""COMPUTED_VALUE"""),1.0)</f>
        <v>1</v>
      </c>
      <c r="F1090" s="124" t="str">
        <f>IFERROR(__xludf.DUMMYFUNCTION("""COMPUTED_VALUE"""),"Future Prospects")</f>
        <v>Future Prospects</v>
      </c>
      <c r="G1090" s="124" t="str">
        <f>IFERROR(__xludf.DUMMYFUNCTION("""COMPUTED_VALUE"""),"State PCS")</f>
        <v>State PCS</v>
      </c>
      <c r="K1090" s="124"/>
      <c r="L1090" s="124"/>
      <c r="M1090" s="124"/>
      <c r="N1090" s="124"/>
      <c r="O1090" s="124"/>
      <c r="T1090" s="126">
        <f>IFERROR(__xludf.DUMMYFUNCTION("""COMPUTED_VALUE"""),46108.0)</f>
        <v>46108</v>
      </c>
      <c r="U1090" s="124" t="str">
        <f>IFERROR(__xludf.DUMMYFUNCTION("""COMPUTED_VALUE"""),"Walk-Ins")</f>
        <v>Walk-Ins</v>
      </c>
      <c r="V1090" s="124" t="str">
        <f>IFERROR(__xludf.DUMMYFUNCTION("""COMPUTED_VALUE"""),"Walkin")</f>
        <v>Walkin</v>
      </c>
      <c r="W1090" s="124" t="str">
        <f>IFERROR(__xludf.DUMMYFUNCTION("""COMPUTED_VALUE"""),"Delhi")</f>
        <v>Delhi</v>
      </c>
      <c r="X1090" s="124" t="str">
        <f>IFERROR(__xludf.DUMMYFUNCTION("""COMPUTED_VALUE"""),"walkin")</f>
        <v>walkin</v>
      </c>
      <c r="Y1090" s="124" t="str">
        <f>IFERROR(__xludf.DUMMYFUNCTION("""COMPUTED_VALUE"""),"Delhi")</f>
        <v>Delhi</v>
      </c>
      <c r="Z1090" s="124">
        <f>IFERROR(__xludf.DUMMYFUNCTION("""COMPUTED_VALUE"""),1.0)</f>
        <v>1</v>
      </c>
      <c r="AA1090" s="124" t="str">
        <f>IFERROR(__xludf.DUMMYFUNCTION("""COMPUTED_VALUE"""),"Not Interested")</f>
        <v>Not Interested</v>
      </c>
      <c r="AB1090" s="124" t="str">
        <f>IFERROR(__xludf.DUMMYFUNCTION("""COMPUTED_VALUE"""),"GS Foundation")</f>
        <v>GS Foundation</v>
      </c>
    </row>
    <row r="1091">
      <c r="A1091" s="126">
        <f>IFERROR(__xludf.DUMMYFUNCTION("""COMPUTED_VALUE"""),46096.0)</f>
        <v>46096</v>
      </c>
      <c r="B1091" s="124" t="str">
        <f>IFERROR(__xludf.DUMMYFUNCTION("""COMPUTED_VALUE"""),"external leads")</f>
        <v>external leads</v>
      </c>
      <c r="C1091" s="124" t="str">
        <f>IFERROR(__xludf.DUMMYFUNCTION("""COMPUTED_VALUE"""),"Prayagraj")</f>
        <v>Prayagraj</v>
      </c>
      <c r="D1091" s="124" t="str">
        <f>IFERROR(__xludf.DUMMYFUNCTION("""COMPUTED_VALUE"""),"Secondary_Walkin")</f>
        <v>Secondary_Walkin</v>
      </c>
      <c r="E1091" s="124">
        <f>IFERROR(__xludf.DUMMYFUNCTION("""COMPUTED_VALUE"""),1.0)</f>
        <v>1</v>
      </c>
      <c r="F1091" s="124" t="str">
        <f>IFERROR(__xludf.DUMMYFUNCTION("""COMPUTED_VALUE"""),"Enrolled")</f>
        <v>Enrolled</v>
      </c>
      <c r="G1091" s="124" t="str">
        <f>IFERROR(__xludf.DUMMYFUNCTION("""COMPUTED_VALUE"""),"GS Foundation")</f>
        <v>GS Foundation</v>
      </c>
      <c r="K1091" s="124"/>
      <c r="L1091" s="124"/>
      <c r="M1091" s="124"/>
      <c r="N1091" s="124"/>
      <c r="O1091" s="124"/>
      <c r="T1091" s="126">
        <f>IFERROR(__xludf.DUMMYFUNCTION("""COMPUTED_VALUE"""),46105.0)</f>
        <v>46105</v>
      </c>
      <c r="U1091" s="124" t="str">
        <f>IFERROR(__xludf.DUMMYFUNCTION("""COMPUTED_VALUE"""),"Walk-Ins")</f>
        <v>Walk-Ins</v>
      </c>
      <c r="V1091" s="124" t="str">
        <f>IFERROR(__xludf.DUMMYFUNCTION("""COMPUTED_VALUE"""),"Walkin")</f>
        <v>Walkin</v>
      </c>
      <c r="W1091" s="124" t="str">
        <f>IFERROR(__xludf.DUMMYFUNCTION("""COMPUTED_VALUE"""),"Delhi")</f>
        <v>Delhi</v>
      </c>
      <c r="X1091" s="124" t="str">
        <f>IFERROR(__xludf.DUMMYFUNCTION("""COMPUTED_VALUE"""),"walkin")</f>
        <v>walkin</v>
      </c>
      <c r="Y1091" s="124" t="str">
        <f>IFERROR(__xludf.DUMMYFUNCTION("""COMPUTED_VALUE"""),"Delhi")</f>
        <v>Delhi</v>
      </c>
      <c r="Z1091" s="124">
        <f>IFERROR(__xludf.DUMMYFUNCTION("""COMPUTED_VALUE"""),3.0)</f>
        <v>3</v>
      </c>
      <c r="AA1091" s="124" t="str">
        <f>IFERROR(__xludf.DUMMYFUNCTION("""COMPUTED_VALUE"""),"Cold")</f>
        <v>Cold</v>
      </c>
      <c r="AB1091" s="124" t="str">
        <f>IFERROR(__xludf.DUMMYFUNCTION("""COMPUTED_VALUE"""),"GS Foundation")</f>
        <v>GS Foundation</v>
      </c>
    </row>
    <row r="1092">
      <c r="A1092" s="126">
        <f>IFERROR(__xludf.DUMMYFUNCTION("""COMPUTED_VALUE"""),46072.0)</f>
        <v>46072</v>
      </c>
      <c r="B1092" s="124" t="str">
        <f>IFERROR(__xludf.DUMMYFUNCTION("""COMPUTED_VALUE"""),"Walkin")</f>
        <v>Walkin</v>
      </c>
      <c r="C1092" s="124" t="str">
        <f>IFERROR(__xludf.DUMMYFUNCTION("""COMPUTED_VALUE"""),"Prayagraj")</f>
        <v>Prayagraj</v>
      </c>
      <c r="D1092" s="124" t="str">
        <f>IFERROR(__xludf.DUMMYFUNCTION("""COMPUTED_VALUE"""),"Primary_Walkin")</f>
        <v>Primary_Walkin</v>
      </c>
      <c r="E1092" s="124">
        <f>IFERROR(__xludf.DUMMYFUNCTION("""COMPUTED_VALUE"""),1.0)</f>
        <v>1</v>
      </c>
      <c r="F1092" s="124" t="str">
        <f>IFERROR(__xludf.DUMMYFUNCTION("""COMPUTED_VALUE"""),"Not Interested")</f>
        <v>Not Interested</v>
      </c>
      <c r="G1092" s="124" t="str">
        <f>IFERROR(__xludf.DUMMYFUNCTION("""COMPUTED_VALUE"""),"State PCS")</f>
        <v>State PCS</v>
      </c>
      <c r="K1092" s="124"/>
      <c r="L1092" s="124"/>
      <c r="M1092" s="124"/>
      <c r="N1092" s="124"/>
      <c r="O1092" s="124"/>
      <c r="T1092" s="126">
        <f>IFERROR(__xludf.DUMMYFUNCTION("""COMPUTED_VALUE"""),46050.0)</f>
        <v>46050</v>
      </c>
      <c r="U1092" s="124" t="str">
        <f>IFERROR(__xludf.DUMMYFUNCTION("""COMPUTED_VALUE"""),"Walk-Ins")</f>
        <v>Walk-Ins</v>
      </c>
      <c r="V1092" s="124" t="str">
        <f>IFERROR(__xludf.DUMMYFUNCTION("""COMPUTED_VALUE"""),"Walkin")</f>
        <v>Walkin</v>
      </c>
      <c r="W1092" s="124" t="str">
        <f>IFERROR(__xludf.DUMMYFUNCTION("""COMPUTED_VALUE"""),"Delhi")</f>
        <v>Delhi</v>
      </c>
      <c r="X1092" s="124" t="str">
        <f>IFERROR(__xludf.DUMMYFUNCTION("""COMPUTED_VALUE"""),"walkin")</f>
        <v>walkin</v>
      </c>
      <c r="Y1092" s="124" t="str">
        <f>IFERROR(__xludf.DUMMYFUNCTION("""COMPUTED_VALUE"""),"Delhi")</f>
        <v>Delhi</v>
      </c>
      <c r="Z1092" s="124">
        <f>IFERROR(__xludf.DUMMYFUNCTION("""COMPUTED_VALUE"""),4.0)</f>
        <v>4</v>
      </c>
      <c r="AA1092" s="124" t="str">
        <f>IFERROR(__xludf.DUMMYFUNCTION("""COMPUTED_VALUE"""),"Cold")</f>
        <v>Cold</v>
      </c>
      <c r="AB1092" s="124" t="str">
        <f>IFERROR(__xludf.DUMMYFUNCTION("""COMPUTED_VALUE"""),"GS Foundation")</f>
        <v>GS Foundation</v>
      </c>
    </row>
    <row r="1093">
      <c r="A1093" s="126">
        <f>IFERROR(__xludf.DUMMYFUNCTION("""COMPUTED_VALUE"""),46072.0)</f>
        <v>46072</v>
      </c>
      <c r="B1093" s="124" t="str">
        <f>IFERROR(__xludf.DUMMYFUNCTION("""COMPUTED_VALUE"""),"Walkin")</f>
        <v>Walkin</v>
      </c>
      <c r="C1093" s="124" t="str">
        <f>IFERROR(__xludf.DUMMYFUNCTION("""COMPUTED_VALUE"""),"Prayagraj")</f>
        <v>Prayagraj</v>
      </c>
      <c r="D1093" s="124" t="str">
        <f>IFERROR(__xludf.DUMMYFUNCTION("""COMPUTED_VALUE"""),"Primary_Walkin")</f>
        <v>Primary_Walkin</v>
      </c>
      <c r="E1093" s="124">
        <f>IFERROR(__xludf.DUMMYFUNCTION("""COMPUTED_VALUE"""),1.0)</f>
        <v>1</v>
      </c>
      <c r="F1093" s="124" t="str">
        <f>IFERROR(__xludf.DUMMYFUNCTION("""COMPUTED_VALUE"""),"Cold")</f>
        <v>Cold</v>
      </c>
      <c r="G1093" s="124" t="str">
        <f>IFERROR(__xludf.DUMMYFUNCTION("""COMPUTED_VALUE"""),"CSAT")</f>
        <v>CSAT</v>
      </c>
      <c r="K1093" s="124"/>
      <c r="L1093" s="124"/>
      <c r="M1093" s="124"/>
      <c r="N1093" s="124"/>
      <c r="O1093" s="124"/>
      <c r="T1093" s="126">
        <f>IFERROR(__xludf.DUMMYFUNCTION("""COMPUTED_VALUE"""),46062.0)</f>
        <v>46062</v>
      </c>
      <c r="U1093" s="124" t="str">
        <f>IFERROR(__xludf.DUMMYFUNCTION("""COMPUTED_VALUE"""),"Walk-Ins")</f>
        <v>Walk-Ins</v>
      </c>
      <c r="V1093" s="124" t="str">
        <f>IFERROR(__xludf.DUMMYFUNCTION("""COMPUTED_VALUE"""),"Walkin")</f>
        <v>Walkin</v>
      </c>
      <c r="W1093" s="124" t="str">
        <f>IFERROR(__xludf.DUMMYFUNCTION("""COMPUTED_VALUE"""),"Delhi")</f>
        <v>Delhi</v>
      </c>
      <c r="X1093" s="124" t="str">
        <f>IFERROR(__xludf.DUMMYFUNCTION("""COMPUTED_VALUE"""),"walkin")</f>
        <v>walkin</v>
      </c>
      <c r="Y1093" s="124" t="str">
        <f>IFERROR(__xludf.DUMMYFUNCTION("""COMPUTED_VALUE"""),"Delhi")</f>
        <v>Delhi</v>
      </c>
      <c r="Z1093" s="124">
        <f>IFERROR(__xludf.DUMMYFUNCTION("""COMPUTED_VALUE"""),2.0)</f>
        <v>2</v>
      </c>
      <c r="AA1093" s="124" t="str">
        <f>IFERROR(__xludf.DUMMYFUNCTION("""COMPUTED_VALUE"""),"Fake Lead")</f>
        <v>Fake Lead</v>
      </c>
      <c r="AB1093" s="124" t="str">
        <f>IFERROR(__xludf.DUMMYFUNCTION("""COMPUTED_VALUE"""),"GS Foundation")</f>
        <v>GS Foundation</v>
      </c>
    </row>
    <row r="1094">
      <c r="A1094" s="129">
        <f>IFERROR(__xludf.DUMMYFUNCTION("""COMPUTED_VALUE"""),46108.0)</f>
        <v>46108</v>
      </c>
      <c r="B1094" s="124" t="str">
        <f>IFERROR(__xludf.DUMMYFUNCTION("""COMPUTED_VALUE"""),"Walkin")</f>
        <v>Walkin</v>
      </c>
      <c r="C1094" s="124" t="str">
        <f>IFERROR(__xludf.DUMMYFUNCTION("""COMPUTED_VALUE"""),"Prayagraj")</f>
        <v>Prayagraj</v>
      </c>
      <c r="D1094" s="124" t="str">
        <f>IFERROR(__xludf.DUMMYFUNCTION("""COMPUTED_VALUE"""),"Primary_Walkin")</f>
        <v>Primary_Walkin</v>
      </c>
      <c r="E1094" s="124">
        <f>IFERROR(__xludf.DUMMYFUNCTION("""COMPUTED_VALUE"""),1.0)</f>
        <v>1</v>
      </c>
      <c r="F1094" s="124" t="str">
        <f>IFERROR(__xludf.DUMMYFUNCTION("""COMPUTED_VALUE"""),"Interested")</f>
        <v>Interested</v>
      </c>
      <c r="G1094" s="124" t="str">
        <f>IFERROR(__xludf.DUMMYFUNCTION("""COMPUTED_VALUE"""),"GS Foundation")</f>
        <v>GS Foundation</v>
      </c>
      <c r="K1094" s="124"/>
      <c r="L1094" s="124"/>
      <c r="M1094" s="124"/>
      <c r="N1094" s="124"/>
      <c r="O1094" s="124"/>
      <c r="T1094" s="126">
        <f>IFERROR(__xludf.DUMMYFUNCTION("""COMPUTED_VALUE"""),46076.0)</f>
        <v>46076</v>
      </c>
      <c r="U1094" s="124" t="str">
        <f>IFERROR(__xludf.DUMMYFUNCTION("""COMPUTED_VALUE"""),"Walk-Ins")</f>
        <v>Walk-Ins</v>
      </c>
      <c r="V1094" s="124" t="str">
        <f>IFERROR(__xludf.DUMMYFUNCTION("""COMPUTED_VALUE"""),"Walkin")</f>
        <v>Walkin</v>
      </c>
      <c r="W1094" s="124" t="str">
        <f>IFERROR(__xludf.DUMMYFUNCTION("""COMPUTED_VALUE"""),"Delhi")</f>
        <v>Delhi</v>
      </c>
      <c r="X1094" s="124" t="str">
        <f>IFERROR(__xludf.DUMMYFUNCTION("""COMPUTED_VALUE"""),"walkin")</f>
        <v>walkin</v>
      </c>
      <c r="Y1094" s="124" t="str">
        <f>IFERROR(__xludf.DUMMYFUNCTION("""COMPUTED_VALUE"""),"Delhi")</f>
        <v>Delhi</v>
      </c>
      <c r="Z1094" s="124">
        <f>IFERROR(__xludf.DUMMYFUNCTION("""COMPUTED_VALUE"""),3.0)</f>
        <v>3</v>
      </c>
      <c r="AA1094" s="124" t="str">
        <f>IFERROR(__xludf.DUMMYFUNCTION("""COMPUTED_VALUE"""),"Not Interested")</f>
        <v>Not Interested</v>
      </c>
      <c r="AB1094" s="124" t="str">
        <f>IFERROR(__xludf.DUMMYFUNCTION("""COMPUTED_VALUE"""),"GS Foundation")</f>
        <v>GS Foundation</v>
      </c>
    </row>
    <row r="1095">
      <c r="A1095" s="126">
        <f>IFERROR(__xludf.DUMMYFUNCTION("""COMPUTED_VALUE"""),46099.0)</f>
        <v>46099</v>
      </c>
      <c r="B1095" s="124" t="str">
        <f>IFERROR(__xludf.DUMMYFUNCTION("""COMPUTED_VALUE"""),"Walkin")</f>
        <v>Walkin</v>
      </c>
      <c r="C1095" s="124" t="str">
        <f>IFERROR(__xludf.DUMMYFUNCTION("""COMPUTED_VALUE"""),"Prayagraj")</f>
        <v>Prayagraj</v>
      </c>
      <c r="D1095" s="124" t="str">
        <f>IFERROR(__xludf.DUMMYFUNCTION("""COMPUTED_VALUE"""),"Primary_Walkin")</f>
        <v>Primary_Walkin</v>
      </c>
      <c r="E1095" s="124">
        <f>IFERROR(__xludf.DUMMYFUNCTION("""COMPUTED_VALUE"""),1.0)</f>
        <v>1</v>
      </c>
      <c r="F1095" s="124" t="str">
        <f>IFERROR(__xludf.DUMMYFUNCTION("""COMPUTED_VALUE"""),"Warm")</f>
        <v>Warm</v>
      </c>
      <c r="G1095" s="124" t="str">
        <f>IFERROR(__xludf.DUMMYFUNCTION("""COMPUTED_VALUE"""),"GS Foundation")</f>
        <v>GS Foundation</v>
      </c>
      <c r="K1095" s="124"/>
      <c r="L1095" s="124"/>
      <c r="M1095" s="124"/>
      <c r="N1095" s="124"/>
      <c r="O1095" s="124"/>
      <c r="T1095" s="126">
        <f>IFERROR(__xludf.DUMMYFUNCTION("""COMPUTED_VALUE"""),46112.0)</f>
        <v>46112</v>
      </c>
      <c r="U1095" s="124" t="str">
        <f>IFERROR(__xludf.DUMMYFUNCTION("""COMPUTED_VALUE"""),"Event")</f>
        <v>Event</v>
      </c>
      <c r="V1095" s="124" t="str">
        <f>IFERROR(__xludf.DUMMYFUNCTION("""COMPUTED_VALUE"""),"whatsapp")</f>
        <v>whatsapp</v>
      </c>
      <c r="W1095" s="124" t="str">
        <f>IFERROR(__xludf.DUMMYFUNCTION("""COMPUTED_VALUE"""),"api")</f>
        <v>api</v>
      </c>
      <c r="X1095" s="124" t="str">
        <f>IFERROR(__xludf.DUMMYFUNCTION("""COMPUTED_VALUE"""),"reply")</f>
        <v>reply</v>
      </c>
      <c r="Y1095" s="124"/>
      <c r="Z1095" s="124">
        <f>IFERROR(__xludf.DUMMYFUNCTION("""COMPUTED_VALUE"""),2.0)</f>
        <v>2</v>
      </c>
      <c r="AA1095" s="124"/>
      <c r="AB1095" s="124"/>
    </row>
    <row r="1096">
      <c r="A1096" s="126">
        <f>IFERROR(__xludf.DUMMYFUNCTION("""COMPUTED_VALUE"""),46051.0)</f>
        <v>46051</v>
      </c>
      <c r="B1096" s="124" t="str">
        <f>IFERROR(__xludf.DUMMYFUNCTION("""COMPUTED_VALUE"""),"Walkin")</f>
        <v>Walkin</v>
      </c>
      <c r="C1096" s="124" t="str">
        <f>IFERROR(__xludf.DUMMYFUNCTION("""COMPUTED_VALUE"""),"Prayagraj")</f>
        <v>Prayagraj</v>
      </c>
      <c r="D1096" s="124" t="str">
        <f>IFERROR(__xludf.DUMMYFUNCTION("""COMPUTED_VALUE"""),"Primary_Walkin")</f>
        <v>Primary_Walkin</v>
      </c>
      <c r="E1096" s="124">
        <f>IFERROR(__xludf.DUMMYFUNCTION("""COMPUTED_VALUE"""),1.0)</f>
        <v>1</v>
      </c>
      <c r="F1096" s="124" t="str">
        <f>IFERROR(__xludf.DUMMYFUNCTION("""COMPUTED_VALUE"""),"Enrolled")</f>
        <v>Enrolled</v>
      </c>
      <c r="G1096" s="124" t="str">
        <f>IFERROR(__xludf.DUMMYFUNCTION("""COMPUTED_VALUE"""),"Other")</f>
        <v>Other</v>
      </c>
      <c r="K1096" s="124"/>
      <c r="L1096" s="124"/>
      <c r="M1096" s="124"/>
      <c r="N1096" s="124"/>
      <c r="O1096" s="124"/>
      <c r="T1096" s="126">
        <f>IFERROR(__xludf.DUMMYFUNCTION("""COMPUTED_VALUE"""),46046.0)</f>
        <v>46046</v>
      </c>
      <c r="U1096" s="124" t="str">
        <f>IFERROR(__xludf.DUMMYFUNCTION("""COMPUTED_VALUE"""),"External Leads")</f>
        <v>External Leads</v>
      </c>
      <c r="V1096" s="124" t="str">
        <f>IFERROR(__xludf.DUMMYFUNCTION("""COMPUTED_VALUE"""),"Outbound Call")</f>
        <v>Outbound Call</v>
      </c>
      <c r="W1096" s="124" t="str">
        <f>IFERROR(__xludf.DUMMYFUNCTION("""COMPUTED_VALUE"""),"Outbound Call")</f>
        <v>Outbound Call</v>
      </c>
      <c r="X1096" s="124" t="str">
        <f>IFERROR(__xludf.DUMMYFUNCTION("""COMPUTED_VALUE"""),"Outbound Call")</f>
        <v>Outbound Call</v>
      </c>
      <c r="Y1096" s="124"/>
      <c r="Z1096" s="124">
        <f>IFERROR(__xludf.DUMMYFUNCTION("""COMPUTED_VALUE"""),1.0)</f>
        <v>1</v>
      </c>
      <c r="AA1096" s="124" t="str">
        <f>IFERROR(__xludf.DUMMYFUNCTION("""COMPUTED_VALUE"""),"Cold")</f>
        <v>Cold</v>
      </c>
      <c r="AB1096" s="124"/>
    </row>
    <row r="1097">
      <c r="A1097" s="126">
        <f>IFERROR(__xludf.DUMMYFUNCTION("""COMPUTED_VALUE"""),46075.0)</f>
        <v>46075</v>
      </c>
      <c r="B1097" s="124" t="str">
        <f>IFERROR(__xludf.DUMMYFUNCTION("""COMPUTED_VALUE"""),"Walkin")</f>
        <v>Walkin</v>
      </c>
      <c r="C1097" s="124" t="str">
        <f>IFERROR(__xludf.DUMMYFUNCTION("""COMPUTED_VALUE"""),"Prayagraj")</f>
        <v>Prayagraj</v>
      </c>
      <c r="D1097" s="124" t="str">
        <f>IFERROR(__xludf.DUMMYFUNCTION("""COMPUTED_VALUE"""),"Primary_Walkin")</f>
        <v>Primary_Walkin</v>
      </c>
      <c r="E1097" s="124">
        <f>IFERROR(__xludf.DUMMYFUNCTION("""COMPUTED_VALUE"""),1.0)</f>
        <v>1</v>
      </c>
      <c r="F1097" s="124" t="str">
        <f>IFERROR(__xludf.DUMMYFUNCTION("""COMPUTED_VALUE"""),"Enrolled")</f>
        <v>Enrolled</v>
      </c>
      <c r="G1097" s="124" t="str">
        <f>IFERROR(__xludf.DUMMYFUNCTION("""COMPUTED_VALUE"""),"GS Foundation")</f>
        <v>GS Foundation</v>
      </c>
      <c r="K1097" s="124"/>
      <c r="L1097" s="124"/>
      <c r="M1097" s="124"/>
      <c r="N1097" s="124"/>
      <c r="O1097" s="124"/>
      <c r="T1097" s="126">
        <f>IFERROR(__xludf.DUMMYFUNCTION("""COMPUTED_VALUE"""),46108.0)</f>
        <v>46108</v>
      </c>
      <c r="U1097" s="124" t="str">
        <f>IFERROR(__xludf.DUMMYFUNCTION("""COMPUTED_VALUE"""),"External Leads")</f>
        <v>External Leads</v>
      </c>
      <c r="V1097" s="124" t="str">
        <f>IFERROR(__xludf.DUMMYFUNCTION("""COMPUTED_VALUE"""),"Outbound Call")</f>
        <v>Outbound Call</v>
      </c>
      <c r="W1097" s="124" t="str">
        <f>IFERROR(__xludf.DUMMYFUNCTION("""COMPUTED_VALUE"""),"Outbound Call")</f>
        <v>Outbound Call</v>
      </c>
      <c r="X1097" s="124" t="str">
        <f>IFERROR(__xludf.DUMMYFUNCTION("""COMPUTED_VALUE"""),"Outbound Call")</f>
        <v>Outbound Call</v>
      </c>
      <c r="Y1097" s="124"/>
      <c r="Z1097" s="124">
        <f>IFERROR(__xludf.DUMMYFUNCTION("""COMPUTED_VALUE"""),1.0)</f>
        <v>1</v>
      </c>
      <c r="AA1097" s="124"/>
      <c r="AB1097" s="124"/>
    </row>
    <row r="1098">
      <c r="A1098" s="126">
        <f>IFERROR(__xludf.DUMMYFUNCTION("""COMPUTED_VALUE"""),46077.0)</f>
        <v>46077</v>
      </c>
      <c r="B1098" s="124" t="str">
        <f>IFERROR(__xludf.DUMMYFUNCTION("""COMPUTED_VALUE"""),"Walkin")</f>
        <v>Walkin</v>
      </c>
      <c r="C1098" s="124" t="str">
        <f>IFERROR(__xludf.DUMMYFUNCTION("""COMPUTED_VALUE"""),"Prayagraj")</f>
        <v>Prayagraj</v>
      </c>
      <c r="D1098" s="124" t="str">
        <f>IFERROR(__xludf.DUMMYFUNCTION("""COMPUTED_VALUE"""),"Primary_Walkin")</f>
        <v>Primary_Walkin</v>
      </c>
      <c r="E1098" s="124">
        <f>IFERROR(__xludf.DUMMYFUNCTION("""COMPUTED_VALUE"""),1.0)</f>
        <v>1</v>
      </c>
      <c r="F1098" s="124" t="str">
        <f>IFERROR(__xludf.DUMMYFUNCTION("""COMPUTED_VALUE"""),"Interested")</f>
        <v>Interested</v>
      </c>
      <c r="G1098" s="124" t="str">
        <f>IFERROR(__xludf.DUMMYFUNCTION("""COMPUTED_VALUE"""),"GS Foundation")</f>
        <v>GS Foundation</v>
      </c>
      <c r="K1098" s="124"/>
      <c r="L1098" s="124"/>
      <c r="M1098" s="124"/>
      <c r="N1098" s="124"/>
      <c r="O1098" s="124"/>
      <c r="T1098" s="126">
        <f>IFERROR(__xludf.DUMMYFUNCTION("""COMPUTED_VALUE"""),46092.0)</f>
        <v>46092</v>
      </c>
      <c r="U1098" s="124" t="str">
        <f>IFERROR(__xludf.DUMMYFUNCTION("""COMPUTED_VALUE"""),"Event")</f>
        <v>Event</v>
      </c>
      <c r="V1098" s="124" t="str">
        <f>IFERROR(__xludf.DUMMYFUNCTION("""COMPUTED_VALUE"""),"whatsapp")</f>
        <v>whatsapp</v>
      </c>
      <c r="W1098" s="124" t="str">
        <f>IFERROR(__xludf.DUMMYFUNCTION("""COMPUTED_VALUE"""),"api")</f>
        <v>api</v>
      </c>
      <c r="X1098" s="124" t="str">
        <f>IFERROR(__xludf.DUMMYFUNCTION("""COMPUTED_VALUE"""),"reply")</f>
        <v>reply</v>
      </c>
      <c r="Y1098" s="124"/>
      <c r="Z1098" s="124">
        <f>IFERROR(__xludf.DUMMYFUNCTION("""COMPUTED_VALUE"""),2.0)</f>
        <v>2</v>
      </c>
      <c r="AA1098" s="124" t="str">
        <f>IFERROR(__xludf.DUMMYFUNCTION("""COMPUTED_VALUE"""),"Cold")</f>
        <v>Cold</v>
      </c>
      <c r="AB1098" s="124"/>
    </row>
    <row r="1099">
      <c r="A1099" s="126">
        <f>IFERROR(__xludf.DUMMYFUNCTION("""COMPUTED_VALUE"""),46108.0)</f>
        <v>46108</v>
      </c>
      <c r="B1099" s="124" t="str">
        <f>IFERROR(__xludf.DUMMYFUNCTION("""COMPUTED_VALUE"""),"Walkin")</f>
        <v>Walkin</v>
      </c>
      <c r="C1099" s="124" t="str">
        <f>IFERROR(__xludf.DUMMYFUNCTION("""COMPUTED_VALUE"""),"Prayagraj")</f>
        <v>Prayagraj</v>
      </c>
      <c r="D1099" s="124" t="str">
        <f>IFERROR(__xludf.DUMMYFUNCTION("""COMPUTED_VALUE"""),"Primary_Walkin")</f>
        <v>Primary_Walkin</v>
      </c>
      <c r="E1099" s="124">
        <f>IFERROR(__xludf.DUMMYFUNCTION("""COMPUTED_VALUE"""),1.0)</f>
        <v>1</v>
      </c>
      <c r="F1099" s="124" t="str">
        <f>IFERROR(__xludf.DUMMYFUNCTION("""COMPUTED_VALUE"""),"Warm")</f>
        <v>Warm</v>
      </c>
      <c r="G1099" s="124" t="str">
        <f>IFERROR(__xludf.DUMMYFUNCTION("""COMPUTED_VALUE"""),"State PCS")</f>
        <v>State PCS</v>
      </c>
      <c r="K1099" s="124"/>
      <c r="L1099" s="124"/>
      <c r="M1099" s="124"/>
      <c r="N1099" s="124"/>
      <c r="O1099" s="124"/>
      <c r="T1099" s="126">
        <f>IFERROR(__xludf.DUMMYFUNCTION("""COMPUTED_VALUE"""),46058.0)</f>
        <v>46058</v>
      </c>
      <c r="U1099" s="124" t="str">
        <f>IFERROR(__xludf.DUMMYFUNCTION("""COMPUTED_VALUE"""),"External Leads")</f>
        <v>External Leads</v>
      </c>
      <c r="V1099" s="124" t="str">
        <f>IFERROR(__xludf.DUMMYFUNCTION("""COMPUTED_VALUE"""),"Outbound Call")</f>
        <v>Outbound Call</v>
      </c>
      <c r="W1099" s="124" t="str">
        <f>IFERROR(__xludf.DUMMYFUNCTION("""COMPUTED_VALUE"""),"Outbound Call")</f>
        <v>Outbound Call</v>
      </c>
      <c r="X1099" s="124" t="str">
        <f>IFERROR(__xludf.DUMMYFUNCTION("""COMPUTED_VALUE"""),"Outbound Call")</f>
        <v>Outbound Call</v>
      </c>
      <c r="Y1099" s="124"/>
      <c r="Z1099" s="124">
        <f>IFERROR(__xludf.DUMMYFUNCTION("""COMPUTED_VALUE"""),10.0)</f>
        <v>10</v>
      </c>
      <c r="AA1099" s="124"/>
      <c r="AB1099" s="124"/>
    </row>
    <row r="1100">
      <c r="A1100" s="126">
        <f>IFERROR(__xludf.DUMMYFUNCTION("""COMPUTED_VALUE"""),46067.0)</f>
        <v>46067</v>
      </c>
      <c r="B1100" s="124" t="str">
        <f>IFERROR(__xludf.DUMMYFUNCTION("""COMPUTED_VALUE"""),"Walkin")</f>
        <v>Walkin</v>
      </c>
      <c r="C1100" s="124" t="str">
        <f>IFERROR(__xludf.DUMMYFUNCTION("""COMPUTED_VALUE"""),"Prayagraj")</f>
        <v>Prayagraj</v>
      </c>
      <c r="D1100" s="124" t="str">
        <f>IFERROR(__xludf.DUMMYFUNCTION("""COMPUTED_VALUE"""),"Primary_Walkin")</f>
        <v>Primary_Walkin</v>
      </c>
      <c r="E1100" s="124">
        <f>IFERROR(__xludf.DUMMYFUNCTION("""COMPUTED_VALUE"""),1.0)</f>
        <v>1</v>
      </c>
      <c r="F1100" s="124" t="str">
        <f>IFERROR(__xludf.DUMMYFUNCTION("""COMPUTED_VALUE"""),"Enrolled")</f>
        <v>Enrolled</v>
      </c>
      <c r="G1100" s="124" t="str">
        <f>IFERROR(__xludf.DUMMYFUNCTION("""COMPUTED_VALUE"""),"Mentorship")</f>
        <v>Mentorship</v>
      </c>
      <c r="K1100" s="124"/>
      <c r="L1100" s="124"/>
      <c r="M1100" s="124"/>
      <c r="N1100" s="124"/>
      <c r="O1100" s="124"/>
      <c r="T1100" s="126">
        <f>IFERROR(__xludf.DUMMYFUNCTION("""COMPUTED_VALUE"""),46050.0)</f>
        <v>46050</v>
      </c>
      <c r="U1100" s="124" t="str">
        <f>IFERROR(__xludf.DUMMYFUNCTION("""COMPUTED_VALUE"""),"External Leads")</f>
        <v>External Leads</v>
      </c>
      <c r="V1100" s="124" t="str">
        <f>IFERROR(__xludf.DUMMYFUNCTION("""COMPUTED_VALUE"""),"Outbound Call")</f>
        <v>Outbound Call</v>
      </c>
      <c r="W1100" s="124" t="str">
        <f>IFERROR(__xludf.DUMMYFUNCTION("""COMPUTED_VALUE"""),"Outbound Call")</f>
        <v>Outbound Call</v>
      </c>
      <c r="X1100" s="124" t="str">
        <f>IFERROR(__xludf.DUMMYFUNCTION("""COMPUTED_VALUE"""),"Outbound Call")</f>
        <v>Outbound Call</v>
      </c>
      <c r="Y1100" s="124"/>
      <c r="Z1100" s="124">
        <f>IFERROR(__xludf.DUMMYFUNCTION("""COMPUTED_VALUE"""),3.0)</f>
        <v>3</v>
      </c>
      <c r="AA1100" s="124"/>
      <c r="AB1100" s="124"/>
    </row>
    <row r="1101">
      <c r="A1101" s="129">
        <f>IFERROR(__xludf.DUMMYFUNCTION("""COMPUTED_VALUE"""),46089.0)</f>
        <v>46089</v>
      </c>
      <c r="B1101" s="124" t="str">
        <f>IFERROR(__xludf.DUMMYFUNCTION("""COMPUTED_VALUE"""),"Walkin")</f>
        <v>Walkin</v>
      </c>
      <c r="C1101" s="124" t="str">
        <f>IFERROR(__xludf.DUMMYFUNCTION("""COMPUTED_VALUE"""),"Prayagraj")</f>
        <v>Prayagraj</v>
      </c>
      <c r="D1101" s="124" t="str">
        <f>IFERROR(__xludf.DUMMYFUNCTION("""COMPUTED_VALUE"""),"Primary_Walkin")</f>
        <v>Primary_Walkin</v>
      </c>
      <c r="E1101" s="124">
        <f>IFERROR(__xludf.DUMMYFUNCTION("""COMPUTED_VALUE"""),1.0)</f>
        <v>1</v>
      </c>
      <c r="F1101" s="124" t="str">
        <f>IFERROR(__xludf.DUMMYFUNCTION("""COMPUTED_VALUE"""),"Warm")</f>
        <v>Warm</v>
      </c>
      <c r="G1101" s="124" t="str">
        <f>IFERROR(__xludf.DUMMYFUNCTION("""COMPUTED_VALUE"""),"Mentorship")</f>
        <v>Mentorship</v>
      </c>
      <c r="K1101" s="124"/>
      <c r="L1101" s="124"/>
      <c r="M1101" s="124"/>
      <c r="N1101" s="124"/>
      <c r="O1101" s="124"/>
      <c r="T1101" s="126">
        <f>IFERROR(__xludf.DUMMYFUNCTION("""COMPUTED_VALUE"""),46052.0)</f>
        <v>46052</v>
      </c>
      <c r="U1101" s="124" t="str">
        <f>IFERROR(__xludf.DUMMYFUNCTION("""COMPUTED_VALUE"""),"Event")</f>
        <v>Event</v>
      </c>
      <c r="V1101" s="124" t="str">
        <f>IFERROR(__xludf.DUMMYFUNCTION("""COMPUTED_VALUE"""),"whatsapp")</f>
        <v>whatsapp</v>
      </c>
      <c r="W1101" s="124" t="str">
        <f>IFERROR(__xludf.DUMMYFUNCTION("""COMPUTED_VALUE"""),"api")</f>
        <v>api</v>
      </c>
      <c r="X1101" s="124" t="str">
        <f>IFERROR(__xludf.DUMMYFUNCTION("""COMPUTED_VALUE"""),"reply")</f>
        <v>reply</v>
      </c>
      <c r="Y1101" s="124"/>
      <c r="Z1101" s="124">
        <f>IFERROR(__xludf.DUMMYFUNCTION("""COMPUTED_VALUE"""),1.0)</f>
        <v>1</v>
      </c>
      <c r="AA1101" s="124" t="str">
        <f>IFERROR(__xludf.DUMMYFUNCTION("""COMPUTED_VALUE"""),"Cold")</f>
        <v>Cold</v>
      </c>
      <c r="AB1101" s="124"/>
    </row>
    <row r="1102">
      <c r="A1102" s="126">
        <f>IFERROR(__xludf.DUMMYFUNCTION("""COMPUTED_VALUE"""),46087.0)</f>
        <v>46087</v>
      </c>
      <c r="B1102" s="124" t="str">
        <f>IFERROR(__xludf.DUMMYFUNCTION("""COMPUTED_VALUE"""),"Walkin")</f>
        <v>Walkin</v>
      </c>
      <c r="C1102" s="124" t="str">
        <f>IFERROR(__xludf.DUMMYFUNCTION("""COMPUTED_VALUE"""),"Prayagraj")</f>
        <v>Prayagraj</v>
      </c>
      <c r="D1102" s="124" t="str">
        <f>IFERROR(__xludf.DUMMYFUNCTION("""COMPUTED_VALUE"""),"Primary_Walkin")</f>
        <v>Primary_Walkin</v>
      </c>
      <c r="E1102" s="124">
        <f>IFERROR(__xludf.DUMMYFUNCTION("""COMPUTED_VALUE"""),1.0)</f>
        <v>1</v>
      </c>
      <c r="F1102" s="124" t="str">
        <f>IFERROR(__xludf.DUMMYFUNCTION("""COMPUTED_VALUE"""),"Enrolled")</f>
        <v>Enrolled</v>
      </c>
      <c r="G1102" s="124" t="str">
        <f>IFERROR(__xludf.DUMMYFUNCTION("""COMPUTED_VALUE"""),"Mentorship")</f>
        <v>Mentorship</v>
      </c>
      <c r="K1102" s="124"/>
      <c r="L1102" s="124"/>
      <c r="M1102" s="124"/>
      <c r="N1102" s="124"/>
      <c r="O1102" s="124"/>
      <c r="T1102" s="126">
        <f>IFERROR(__xludf.DUMMYFUNCTION("""COMPUTED_VALUE"""),46052.0)</f>
        <v>46052</v>
      </c>
      <c r="U1102" s="124" t="str">
        <f>IFERROR(__xludf.DUMMYFUNCTION("""COMPUTED_VALUE"""),"External Leads")</f>
        <v>External Leads</v>
      </c>
      <c r="V1102" s="124" t="str">
        <f>IFERROR(__xludf.DUMMYFUNCTION("""COMPUTED_VALUE"""),"Outbound Call")</f>
        <v>Outbound Call</v>
      </c>
      <c r="W1102" s="124" t="str">
        <f>IFERROR(__xludf.DUMMYFUNCTION("""COMPUTED_VALUE"""),"Outbound Call")</f>
        <v>Outbound Call</v>
      </c>
      <c r="X1102" s="124" t="str">
        <f>IFERROR(__xludf.DUMMYFUNCTION("""COMPUTED_VALUE"""),"Outbound Call")</f>
        <v>Outbound Call</v>
      </c>
      <c r="Y1102" s="124"/>
      <c r="Z1102" s="124">
        <f>IFERROR(__xludf.DUMMYFUNCTION("""COMPUTED_VALUE"""),4.0)</f>
        <v>4</v>
      </c>
      <c r="AA1102" s="124"/>
      <c r="AB1102" s="124"/>
    </row>
    <row r="1103">
      <c r="A1103" s="126">
        <f>IFERROR(__xludf.DUMMYFUNCTION("""COMPUTED_VALUE"""),46111.0)</f>
        <v>46111</v>
      </c>
      <c r="B1103" s="124" t="str">
        <f>IFERROR(__xludf.DUMMYFUNCTION("""COMPUTED_VALUE"""),"Walkin")</f>
        <v>Walkin</v>
      </c>
      <c r="C1103" s="124" t="str">
        <f>IFERROR(__xludf.DUMMYFUNCTION("""COMPUTED_VALUE"""),"Prayagraj")</f>
        <v>Prayagraj</v>
      </c>
      <c r="D1103" s="124" t="str">
        <f>IFERROR(__xludf.DUMMYFUNCTION("""COMPUTED_VALUE"""),"Primary_Walkin")</f>
        <v>Primary_Walkin</v>
      </c>
      <c r="E1103" s="124">
        <f>IFERROR(__xludf.DUMMYFUNCTION("""COMPUTED_VALUE"""),2.0)</f>
        <v>2</v>
      </c>
      <c r="F1103" s="124" t="str">
        <f>IFERROR(__xludf.DUMMYFUNCTION("""COMPUTED_VALUE"""),"Enrolled")</f>
        <v>Enrolled</v>
      </c>
      <c r="G1103" s="124" t="str">
        <f>IFERROR(__xludf.DUMMYFUNCTION("""COMPUTED_VALUE"""),"GS Foundation")</f>
        <v>GS Foundation</v>
      </c>
      <c r="K1103" s="124"/>
      <c r="L1103" s="124"/>
      <c r="M1103" s="124"/>
      <c r="N1103" s="124"/>
      <c r="O1103" s="124"/>
      <c r="T1103" s="126">
        <f>IFERROR(__xludf.DUMMYFUNCTION("""COMPUTED_VALUE"""),46099.0)</f>
        <v>46099</v>
      </c>
      <c r="U1103" s="124" t="str">
        <f>IFERROR(__xludf.DUMMYFUNCTION("""COMPUTED_VALUE"""),"Paid Ads")</f>
        <v>Paid Ads</v>
      </c>
      <c r="V1103" s="124" t="str">
        <f>IFERROR(__xludf.DUMMYFUNCTION("""COMPUTED_VALUE"""),"Facebook")</f>
        <v>Facebook</v>
      </c>
      <c r="W1103" s="124" t="str">
        <f>IFERROR(__xludf.DUMMYFUNCTION("""COMPUTED_VALUE"""),"LeadAd")</f>
        <v>LeadAd</v>
      </c>
      <c r="X1103" s="124" t="str">
        <f>IFERROR(__xludf.DUMMYFUNCTION("""COMPUTED_VALUE"""),"Upsc_Lead_English_South_FB_Video")</f>
        <v>Upsc_Lead_English_South_FB_Video</v>
      </c>
      <c r="Y1103" s="124"/>
      <c r="Z1103" s="124">
        <f>IFERROR(__xludf.DUMMYFUNCTION("""COMPUTED_VALUE"""),3.0)</f>
        <v>3</v>
      </c>
      <c r="AA1103" s="124"/>
      <c r="AB1103" s="124"/>
    </row>
    <row r="1104">
      <c r="A1104" s="126">
        <f>IFERROR(__xludf.DUMMYFUNCTION("""COMPUTED_VALUE"""),46101.0)</f>
        <v>46101</v>
      </c>
      <c r="B1104" s="124" t="str">
        <f>IFERROR(__xludf.DUMMYFUNCTION("""COMPUTED_VALUE"""),"events")</f>
        <v>events</v>
      </c>
      <c r="C1104" s="124" t="str">
        <f>IFERROR(__xludf.DUMMYFUNCTION("""COMPUTED_VALUE"""),"Prayagraj")</f>
        <v>Prayagraj</v>
      </c>
      <c r="D1104" s="124" t="str">
        <f>IFERROR(__xludf.DUMMYFUNCTION("""COMPUTED_VALUE"""),"Secondary_Walkin")</f>
        <v>Secondary_Walkin</v>
      </c>
      <c r="E1104" s="124">
        <f>IFERROR(__xludf.DUMMYFUNCTION("""COMPUTED_VALUE"""),1.0)</f>
        <v>1</v>
      </c>
      <c r="F1104" s="124" t="str">
        <f>IFERROR(__xludf.DUMMYFUNCTION("""COMPUTED_VALUE"""),"Warm")</f>
        <v>Warm</v>
      </c>
      <c r="G1104" s="124" t="str">
        <f>IFERROR(__xludf.DUMMYFUNCTION("""COMPUTED_VALUE"""),"GS Foundation")</f>
        <v>GS Foundation</v>
      </c>
      <c r="K1104" s="124"/>
      <c r="L1104" s="124"/>
      <c r="M1104" s="124"/>
      <c r="N1104" s="124"/>
      <c r="O1104" s="124"/>
      <c r="T1104" s="126">
        <f>IFERROR(__xludf.DUMMYFUNCTION("""COMPUTED_VALUE"""),46064.0)</f>
        <v>46064</v>
      </c>
      <c r="U1104" s="124" t="str">
        <f>IFERROR(__xludf.DUMMYFUNCTION("""COMPUTED_VALUE"""),"Event")</f>
        <v>Event</v>
      </c>
      <c r="V1104" s="124" t="str">
        <f>IFERROR(__xludf.DUMMYFUNCTION("""COMPUTED_VALUE"""),"whatsapp")</f>
        <v>whatsapp</v>
      </c>
      <c r="W1104" s="124" t="str">
        <f>IFERROR(__xludf.DUMMYFUNCTION("""COMPUTED_VALUE"""),"api")</f>
        <v>api</v>
      </c>
      <c r="X1104" s="124" t="str">
        <f>IFERROR(__xludf.DUMMYFUNCTION("""COMPUTED_VALUE"""),"reply")</f>
        <v>reply</v>
      </c>
      <c r="Y1104" s="124"/>
      <c r="Z1104" s="124">
        <f>IFERROR(__xludf.DUMMYFUNCTION("""COMPUTED_VALUE"""),1.0)</f>
        <v>1</v>
      </c>
      <c r="AA1104" s="124" t="str">
        <f>IFERROR(__xludf.DUMMYFUNCTION("""COMPUTED_VALUE"""),"Cold")</f>
        <v>Cold</v>
      </c>
      <c r="AB1104" s="124"/>
    </row>
    <row r="1105">
      <c r="A1105" s="126">
        <f>IFERROR(__xludf.DUMMYFUNCTION("""COMPUTED_VALUE"""),46073.0)</f>
        <v>46073</v>
      </c>
      <c r="B1105" s="124" t="str">
        <f>IFERROR(__xludf.DUMMYFUNCTION("""COMPUTED_VALUE"""),"Walkin")</f>
        <v>Walkin</v>
      </c>
      <c r="C1105" s="124" t="str">
        <f>IFERROR(__xludf.DUMMYFUNCTION("""COMPUTED_VALUE"""),"Prayagraj")</f>
        <v>Prayagraj</v>
      </c>
      <c r="D1105" s="124" t="str">
        <f>IFERROR(__xludf.DUMMYFUNCTION("""COMPUTED_VALUE"""),"Primary_Walkin")</f>
        <v>Primary_Walkin</v>
      </c>
      <c r="E1105" s="124">
        <f>IFERROR(__xludf.DUMMYFUNCTION("""COMPUTED_VALUE"""),6.0)</f>
        <v>6</v>
      </c>
      <c r="F1105" s="124" t="str">
        <f>IFERROR(__xludf.DUMMYFUNCTION("""COMPUTED_VALUE"""),"Cold")</f>
        <v>Cold</v>
      </c>
      <c r="G1105" s="124" t="str">
        <f>IFERROR(__xludf.DUMMYFUNCTION("""COMPUTED_VALUE"""),"GS Foundation")</f>
        <v>GS Foundation</v>
      </c>
      <c r="K1105" s="124"/>
      <c r="L1105" s="124"/>
      <c r="M1105" s="124"/>
      <c r="N1105" s="124"/>
      <c r="O1105" s="124"/>
      <c r="T1105" s="126">
        <f>IFERROR(__xludf.DUMMYFUNCTION("""COMPUTED_VALUE"""),46108.0)</f>
        <v>46108</v>
      </c>
      <c r="U1105" s="124" t="str">
        <f>IFERROR(__xludf.DUMMYFUNCTION("""COMPUTED_VALUE"""),"Paid Ads")</f>
        <v>Paid Ads</v>
      </c>
      <c r="V1105" s="124" t="str">
        <f>IFERROR(__xludf.DUMMYFUNCTION("""COMPUTED_VALUE"""),"Facebook")</f>
        <v>Facebook</v>
      </c>
      <c r="W1105" s="124" t="str">
        <f>IFERROR(__xludf.DUMMYFUNCTION("""COMPUTED_VALUE"""),"LeadAd")</f>
        <v>LeadAd</v>
      </c>
      <c r="X1105" s="124" t="str">
        <f>IFERROR(__xludf.DUMMYFUNCTION("""COMPUTED_VALUE"""),"Upsc_Lead_English_South_FB_Video")</f>
        <v>Upsc_Lead_English_South_FB_Video</v>
      </c>
      <c r="Y1105" s="124"/>
      <c r="Z1105" s="124">
        <f>IFERROR(__xludf.DUMMYFUNCTION("""COMPUTED_VALUE"""),10.0)</f>
        <v>10</v>
      </c>
      <c r="AA1105" s="124"/>
      <c r="AB1105" s="124"/>
    </row>
    <row r="1106">
      <c r="A1106" s="129">
        <f>IFERROR(__xludf.DUMMYFUNCTION("""COMPUTED_VALUE"""),46081.0)</f>
        <v>46081</v>
      </c>
      <c r="B1106" s="124" t="str">
        <f>IFERROR(__xludf.DUMMYFUNCTION("""COMPUTED_VALUE"""),"Walkin")</f>
        <v>Walkin</v>
      </c>
      <c r="C1106" s="124" t="str">
        <f>IFERROR(__xludf.DUMMYFUNCTION("""COMPUTED_VALUE"""),"Prayagraj")</f>
        <v>Prayagraj</v>
      </c>
      <c r="D1106" s="124" t="str">
        <f>IFERROR(__xludf.DUMMYFUNCTION("""COMPUTED_VALUE"""),"Primary_Walkin")</f>
        <v>Primary_Walkin</v>
      </c>
      <c r="E1106" s="124">
        <f>IFERROR(__xludf.DUMMYFUNCTION("""COMPUTED_VALUE"""),2.0)</f>
        <v>2</v>
      </c>
      <c r="F1106" s="124" t="str">
        <f>IFERROR(__xludf.DUMMYFUNCTION("""COMPUTED_VALUE"""),"Warm")</f>
        <v>Warm</v>
      </c>
      <c r="G1106" s="124" t="str">
        <f>IFERROR(__xludf.DUMMYFUNCTION("""COMPUTED_VALUE"""),"GS Foundation")</f>
        <v>GS Foundation</v>
      </c>
      <c r="K1106" s="124"/>
      <c r="L1106" s="124"/>
      <c r="M1106" s="124"/>
      <c r="N1106" s="124"/>
      <c r="O1106" s="124"/>
      <c r="T1106" s="126">
        <f>IFERROR(__xludf.DUMMYFUNCTION("""COMPUTED_VALUE"""),46068.0)</f>
        <v>46068</v>
      </c>
      <c r="U1106" s="124" t="str">
        <f>IFERROR(__xludf.DUMMYFUNCTION("""COMPUTED_VALUE"""),"Event")</f>
        <v>Event</v>
      </c>
      <c r="V1106" s="124" t="str">
        <f>IFERROR(__xludf.DUMMYFUNCTION("""COMPUTED_VALUE"""),"whatsapp")</f>
        <v>whatsapp</v>
      </c>
      <c r="W1106" s="124" t="str">
        <f>IFERROR(__xludf.DUMMYFUNCTION("""COMPUTED_VALUE"""),"api")</f>
        <v>api</v>
      </c>
      <c r="X1106" s="124" t="str">
        <f>IFERROR(__xludf.DUMMYFUNCTION("""COMPUTED_VALUE"""),"reply")</f>
        <v>reply</v>
      </c>
      <c r="Y1106" s="124"/>
      <c r="Z1106" s="124">
        <f>IFERROR(__xludf.DUMMYFUNCTION("""COMPUTED_VALUE"""),1.0)</f>
        <v>1</v>
      </c>
      <c r="AA1106" s="124" t="str">
        <f>IFERROR(__xludf.DUMMYFUNCTION("""COMPUTED_VALUE"""),"Cold")</f>
        <v>Cold</v>
      </c>
      <c r="AB1106" s="124"/>
    </row>
    <row r="1107">
      <c r="A1107" s="126">
        <f>IFERROR(__xludf.DUMMYFUNCTION("""COMPUTED_VALUE"""),46095.0)</f>
        <v>46095</v>
      </c>
      <c r="B1107" s="124" t="str">
        <f>IFERROR(__xludf.DUMMYFUNCTION("""COMPUTED_VALUE"""),"Outbound Call")</f>
        <v>Outbound Call</v>
      </c>
      <c r="C1107" s="124" t="str">
        <f>IFERROR(__xludf.DUMMYFUNCTION("""COMPUTED_VALUE"""),"Prayagraj")</f>
        <v>Prayagraj</v>
      </c>
      <c r="D1107" s="124" t="str">
        <f>IFERROR(__xludf.DUMMYFUNCTION("""COMPUTED_VALUE"""),"Secondary_Walkin")</f>
        <v>Secondary_Walkin</v>
      </c>
      <c r="E1107" s="124">
        <f>IFERROR(__xludf.DUMMYFUNCTION("""COMPUTED_VALUE"""),1.0)</f>
        <v>1</v>
      </c>
      <c r="F1107" s="124" t="str">
        <f>IFERROR(__xludf.DUMMYFUNCTION("""COMPUTED_VALUE"""),"Enrolled")</f>
        <v>Enrolled</v>
      </c>
      <c r="G1107" s="124" t="str">
        <f>IFERROR(__xludf.DUMMYFUNCTION("""COMPUTED_VALUE"""),"GS Foundation")</f>
        <v>GS Foundation</v>
      </c>
      <c r="K1107" s="124"/>
      <c r="L1107" s="124"/>
      <c r="M1107" s="124"/>
      <c r="N1107" s="124"/>
      <c r="O1107" s="124"/>
      <c r="T1107" s="126">
        <f>IFERROR(__xludf.DUMMYFUNCTION("""COMPUTED_VALUE"""),46111.0)</f>
        <v>46111</v>
      </c>
      <c r="U1107" s="124" t="str">
        <f>IFERROR(__xludf.DUMMYFUNCTION("""COMPUTED_VALUE"""),"Paid Ads")</f>
        <v>Paid Ads</v>
      </c>
      <c r="V1107" s="124" t="str">
        <f>IFERROR(__xludf.DUMMYFUNCTION("""COMPUTED_VALUE"""),"Facebook")</f>
        <v>Facebook</v>
      </c>
      <c r="W1107" s="124" t="str">
        <f>IFERROR(__xludf.DUMMYFUNCTION("""COMPUTED_VALUE"""),"LeadAd")</f>
        <v>LeadAd</v>
      </c>
      <c r="X1107" s="124" t="str">
        <f>IFERROR(__xludf.DUMMYFUNCTION("""COMPUTED_VALUE"""),"Upsc_Lead_English_South_FB_Video")</f>
        <v>Upsc_Lead_English_South_FB_Video</v>
      </c>
      <c r="Y1107" s="124"/>
      <c r="Z1107" s="124">
        <f>IFERROR(__xludf.DUMMYFUNCTION("""COMPUTED_VALUE"""),5.0)</f>
        <v>5</v>
      </c>
      <c r="AA1107" s="124"/>
      <c r="AB1107" s="124"/>
    </row>
    <row r="1108">
      <c r="A1108" s="126">
        <f>IFERROR(__xludf.DUMMYFUNCTION("""COMPUTED_VALUE"""),46049.0)</f>
        <v>46049</v>
      </c>
      <c r="B1108" s="124" t="str">
        <f>IFERROR(__xludf.DUMMYFUNCTION("""COMPUTED_VALUE"""),"Walk-In")</f>
        <v>Walk-In</v>
      </c>
      <c r="C1108" s="124" t="str">
        <f>IFERROR(__xludf.DUMMYFUNCTION("""COMPUTED_VALUE"""),"Prayagraj")</f>
        <v>Prayagraj</v>
      </c>
      <c r="D1108" s="124" t="str">
        <f>IFERROR(__xludf.DUMMYFUNCTION("""COMPUTED_VALUE"""),"Primary_Walkin")</f>
        <v>Primary_Walkin</v>
      </c>
      <c r="E1108" s="124">
        <f>IFERROR(__xludf.DUMMYFUNCTION("""COMPUTED_VALUE"""),1.0)</f>
        <v>1</v>
      </c>
      <c r="F1108" s="124" t="str">
        <f>IFERROR(__xludf.DUMMYFUNCTION("""COMPUTED_VALUE"""),"Fake Lead")</f>
        <v>Fake Lead</v>
      </c>
      <c r="G1108" s="124" t="str">
        <f>IFERROR(__xludf.DUMMYFUNCTION("""COMPUTED_VALUE"""),"Other")</f>
        <v>Other</v>
      </c>
      <c r="K1108" s="124"/>
      <c r="L1108" s="124"/>
      <c r="M1108" s="124"/>
      <c r="N1108" s="124"/>
      <c r="O1108" s="124"/>
      <c r="T1108" s="126">
        <f>IFERROR(__xludf.DUMMYFUNCTION("""COMPUTED_VALUE"""),46068.0)</f>
        <v>46068</v>
      </c>
      <c r="U1108" s="124" t="str">
        <f>IFERROR(__xludf.DUMMYFUNCTION("""COMPUTED_VALUE"""),"Event")</f>
        <v>Event</v>
      </c>
      <c r="V1108" s="124" t="str">
        <f>IFERROR(__xludf.DUMMYFUNCTION("""COMPUTED_VALUE"""),"whatsapp")</f>
        <v>whatsapp</v>
      </c>
      <c r="W1108" s="124" t="str">
        <f>IFERROR(__xludf.DUMMYFUNCTION("""COMPUTED_VALUE"""),"api")</f>
        <v>api</v>
      </c>
      <c r="X1108" s="124" t="str">
        <f>IFERROR(__xludf.DUMMYFUNCTION("""COMPUTED_VALUE"""),"reply")</f>
        <v>reply</v>
      </c>
      <c r="Y1108" s="124"/>
      <c r="Z1108" s="124">
        <f>IFERROR(__xludf.DUMMYFUNCTION("""COMPUTED_VALUE"""),1.0)</f>
        <v>1</v>
      </c>
      <c r="AA1108" s="124" t="str">
        <f>IFERROR(__xludf.DUMMYFUNCTION("""COMPUTED_VALUE"""),"Not Interested")</f>
        <v>Not Interested</v>
      </c>
      <c r="AB1108" s="124"/>
    </row>
    <row r="1109">
      <c r="A1109" s="126">
        <f>IFERROR(__xludf.DUMMYFUNCTION("""COMPUTED_VALUE"""),46087.0)</f>
        <v>46087</v>
      </c>
      <c r="B1109" s="124" t="str">
        <f>IFERROR(__xludf.DUMMYFUNCTION("""COMPUTED_VALUE"""),"Walkin")</f>
        <v>Walkin</v>
      </c>
      <c r="C1109" s="124" t="str">
        <f>IFERROR(__xludf.DUMMYFUNCTION("""COMPUTED_VALUE"""),"Prayagraj")</f>
        <v>Prayagraj</v>
      </c>
      <c r="D1109" s="124" t="str">
        <f>IFERROR(__xludf.DUMMYFUNCTION("""COMPUTED_VALUE"""),"Primary_Walkin")</f>
        <v>Primary_Walkin</v>
      </c>
      <c r="E1109" s="124">
        <f>IFERROR(__xludf.DUMMYFUNCTION("""COMPUTED_VALUE"""),1.0)</f>
        <v>1</v>
      </c>
      <c r="F1109" s="124" t="str">
        <f>IFERROR(__xludf.DUMMYFUNCTION("""COMPUTED_VALUE"""),"Cold")</f>
        <v>Cold</v>
      </c>
      <c r="G1109" s="124" t="str">
        <f>IFERROR(__xludf.DUMMYFUNCTION("""COMPUTED_VALUE"""),"Test Series")</f>
        <v>Test Series</v>
      </c>
      <c r="K1109" s="124"/>
      <c r="L1109" s="124"/>
      <c r="M1109" s="124"/>
      <c r="N1109" s="124"/>
      <c r="O1109" s="124"/>
      <c r="T1109" s="126">
        <f>IFERROR(__xludf.DUMMYFUNCTION("""COMPUTED_VALUE"""),46107.0)</f>
        <v>46107</v>
      </c>
      <c r="U1109" s="124" t="str">
        <f>IFERROR(__xludf.DUMMYFUNCTION("""COMPUTED_VALUE"""),"External Leads")</f>
        <v>External Leads</v>
      </c>
      <c r="V1109" s="124" t="str">
        <f>IFERROR(__xludf.DUMMYFUNCTION("""COMPUTED_VALUE"""),"Outbound Call")</f>
        <v>Outbound Call</v>
      </c>
      <c r="W1109" s="124" t="str">
        <f>IFERROR(__xludf.DUMMYFUNCTION("""COMPUTED_VALUE"""),"Outbound Call")</f>
        <v>Outbound Call</v>
      </c>
      <c r="X1109" s="124" t="str">
        <f>IFERROR(__xludf.DUMMYFUNCTION("""COMPUTED_VALUE"""),"Outbound Call")</f>
        <v>Outbound Call</v>
      </c>
      <c r="Y1109" s="124"/>
      <c r="Z1109" s="124">
        <f>IFERROR(__xludf.DUMMYFUNCTION("""COMPUTED_VALUE"""),4.0)</f>
        <v>4</v>
      </c>
      <c r="AA1109" s="124"/>
      <c r="AB1109" s="124"/>
    </row>
    <row r="1110">
      <c r="A1110" s="126">
        <f>IFERROR(__xludf.DUMMYFUNCTION("""COMPUTED_VALUE"""),46105.0)</f>
        <v>46105</v>
      </c>
      <c r="B1110" s="124" t="str">
        <f>IFERROR(__xludf.DUMMYFUNCTION("""COMPUTED_VALUE"""),"Walkin")</f>
        <v>Walkin</v>
      </c>
      <c r="C1110" s="124" t="str">
        <f>IFERROR(__xludf.DUMMYFUNCTION("""COMPUTED_VALUE"""),"Prayagraj")</f>
        <v>Prayagraj</v>
      </c>
      <c r="D1110" s="124" t="str">
        <f>IFERROR(__xludf.DUMMYFUNCTION("""COMPUTED_VALUE"""),"Primary_Walkin")</f>
        <v>Primary_Walkin</v>
      </c>
      <c r="E1110" s="124">
        <f>IFERROR(__xludf.DUMMYFUNCTION("""COMPUTED_VALUE"""),3.0)</f>
        <v>3</v>
      </c>
      <c r="F1110" s="124" t="str">
        <f>IFERROR(__xludf.DUMMYFUNCTION("""COMPUTED_VALUE"""),"Future Prospects")</f>
        <v>Future Prospects</v>
      </c>
      <c r="G1110" s="124" t="str">
        <f>IFERROR(__xludf.DUMMYFUNCTION("""COMPUTED_VALUE"""),"Mentorship")</f>
        <v>Mentorship</v>
      </c>
      <c r="K1110" s="124"/>
      <c r="L1110" s="124"/>
      <c r="M1110" s="124"/>
      <c r="N1110" s="124"/>
      <c r="O1110" s="124"/>
      <c r="T1110" s="126">
        <f>IFERROR(__xludf.DUMMYFUNCTION("""COMPUTED_VALUE"""),46054.0)</f>
        <v>46054</v>
      </c>
      <c r="U1110" s="124" t="str">
        <f>IFERROR(__xludf.DUMMYFUNCTION("""COMPUTED_VALUE"""),"External Leads")</f>
        <v>External Leads</v>
      </c>
      <c r="V1110" s="124" t="str">
        <f>IFERROR(__xludf.DUMMYFUNCTION("""COMPUTED_VALUE"""),"Outbound Call")</f>
        <v>Outbound Call</v>
      </c>
      <c r="W1110" s="124" t="str">
        <f>IFERROR(__xludf.DUMMYFUNCTION("""COMPUTED_VALUE"""),"Outbound Call")</f>
        <v>Outbound Call</v>
      </c>
      <c r="X1110" s="124" t="str">
        <f>IFERROR(__xludf.DUMMYFUNCTION("""COMPUTED_VALUE"""),"Outbound Call")</f>
        <v>Outbound Call</v>
      </c>
      <c r="Y1110" s="124"/>
      <c r="Z1110" s="124">
        <f>IFERROR(__xludf.DUMMYFUNCTION("""COMPUTED_VALUE"""),10.0)</f>
        <v>10</v>
      </c>
      <c r="AA1110" s="124"/>
      <c r="AB1110" s="124"/>
    </row>
    <row r="1111">
      <c r="A1111" s="129">
        <f>IFERROR(__xludf.DUMMYFUNCTION("""COMPUTED_VALUE"""),46049.0)</f>
        <v>46049</v>
      </c>
      <c r="B1111" s="124" t="str">
        <f>IFERROR(__xludf.DUMMYFUNCTION("""COMPUTED_VALUE"""),"Walkin")</f>
        <v>Walkin</v>
      </c>
      <c r="C1111" s="124" t="str">
        <f>IFERROR(__xludf.DUMMYFUNCTION("""COMPUTED_VALUE"""),"Prayagraj")</f>
        <v>Prayagraj</v>
      </c>
      <c r="D1111" s="124" t="str">
        <f>IFERROR(__xludf.DUMMYFUNCTION("""COMPUTED_VALUE"""),"Primary_Walkin")</f>
        <v>Primary_Walkin</v>
      </c>
      <c r="E1111" s="124">
        <f>IFERROR(__xludf.DUMMYFUNCTION("""COMPUTED_VALUE"""),1.0)</f>
        <v>1</v>
      </c>
      <c r="F1111" s="124" t="str">
        <f>IFERROR(__xludf.DUMMYFUNCTION("""COMPUTED_VALUE"""),"Cold")</f>
        <v>Cold</v>
      </c>
      <c r="G1111" s="124" t="str">
        <f>IFERROR(__xludf.DUMMYFUNCTION("""COMPUTED_VALUE"""),"State PCS")</f>
        <v>State PCS</v>
      </c>
      <c r="K1111" s="124"/>
      <c r="L1111" s="124"/>
      <c r="M1111" s="124"/>
      <c r="N1111" s="124"/>
      <c r="O1111" s="124"/>
      <c r="T1111" s="126">
        <f>IFERROR(__xludf.DUMMYFUNCTION("""COMPUTED_VALUE"""),46051.0)</f>
        <v>46051</v>
      </c>
      <c r="U1111" s="124" t="str">
        <f>IFERROR(__xludf.DUMMYFUNCTION("""COMPUTED_VALUE"""),"External Leads")</f>
        <v>External Leads</v>
      </c>
      <c r="V1111" s="124" t="str">
        <f>IFERROR(__xludf.DUMMYFUNCTION("""COMPUTED_VALUE"""),"Outbound Call")</f>
        <v>Outbound Call</v>
      </c>
      <c r="W1111" s="124" t="str">
        <f>IFERROR(__xludf.DUMMYFUNCTION("""COMPUTED_VALUE"""),"Outbound Call")</f>
        <v>Outbound Call</v>
      </c>
      <c r="X1111" s="124" t="str">
        <f>IFERROR(__xludf.DUMMYFUNCTION("""COMPUTED_VALUE"""),"Outbound Call")</f>
        <v>Outbound Call</v>
      </c>
      <c r="Y1111" s="124"/>
      <c r="Z1111" s="124">
        <f>IFERROR(__xludf.DUMMYFUNCTION("""COMPUTED_VALUE"""),20.0)</f>
        <v>20</v>
      </c>
      <c r="AA1111" s="124"/>
      <c r="AB1111" s="124"/>
    </row>
    <row r="1112">
      <c r="A1112" s="126">
        <f>IFERROR(__xludf.DUMMYFUNCTION("""COMPUTED_VALUE"""),46105.0)</f>
        <v>46105</v>
      </c>
      <c r="B1112" s="124" t="str">
        <f>IFERROR(__xludf.DUMMYFUNCTION("""COMPUTED_VALUE"""),"Walkin")</f>
        <v>Walkin</v>
      </c>
      <c r="C1112" s="124" t="str">
        <f>IFERROR(__xludf.DUMMYFUNCTION("""COMPUTED_VALUE"""),"Prayagraj")</f>
        <v>Prayagraj</v>
      </c>
      <c r="D1112" s="124" t="str">
        <f>IFERROR(__xludf.DUMMYFUNCTION("""COMPUTED_VALUE"""),"Primary_Walkin")</f>
        <v>Primary_Walkin</v>
      </c>
      <c r="E1112" s="124">
        <f>IFERROR(__xludf.DUMMYFUNCTION("""COMPUTED_VALUE"""),1.0)</f>
        <v>1</v>
      </c>
      <c r="F1112" s="124" t="str">
        <f>IFERROR(__xludf.DUMMYFUNCTION("""COMPUTED_VALUE"""),"Enrolled")</f>
        <v>Enrolled</v>
      </c>
      <c r="G1112" s="124" t="str">
        <f>IFERROR(__xludf.DUMMYFUNCTION("""COMPUTED_VALUE"""),"GS Foundation")</f>
        <v>GS Foundation</v>
      </c>
      <c r="K1112" s="124"/>
      <c r="L1112" s="124"/>
      <c r="M1112" s="124"/>
      <c r="N1112" s="124"/>
      <c r="O1112" s="124"/>
      <c r="T1112" s="126">
        <f>IFERROR(__xludf.DUMMYFUNCTION("""COMPUTED_VALUE"""),46102.0)</f>
        <v>46102</v>
      </c>
      <c r="U1112" s="124" t="str">
        <f>IFERROR(__xludf.DUMMYFUNCTION("""COMPUTED_VALUE"""),"Paid Ads")</f>
        <v>Paid Ads</v>
      </c>
      <c r="V1112" s="124" t="str">
        <f>IFERROR(__xludf.DUMMYFUNCTION("""COMPUTED_VALUE"""),"Facebook")</f>
        <v>Facebook</v>
      </c>
      <c r="W1112" s="124" t="str">
        <f>IFERROR(__xludf.DUMMYFUNCTION("""COMPUTED_VALUE"""),"LeadAd")</f>
        <v>LeadAd</v>
      </c>
      <c r="X1112" s="124" t="str">
        <f>IFERROR(__xludf.DUMMYFUNCTION("""COMPUTED_VALUE"""),"Upsc_Lead_English_South_FB_Video")</f>
        <v>Upsc_Lead_English_South_FB_Video</v>
      </c>
      <c r="Y1112" s="124"/>
      <c r="Z1112" s="124">
        <f>IFERROR(__xludf.DUMMYFUNCTION("""COMPUTED_VALUE"""),2.0)</f>
        <v>2</v>
      </c>
      <c r="AA1112" s="124" t="str">
        <f>IFERROR(__xludf.DUMMYFUNCTION("""COMPUTED_VALUE"""),"Not Interested")</f>
        <v>Not Interested</v>
      </c>
      <c r="AB1112" s="124"/>
    </row>
    <row r="1113">
      <c r="A1113" s="129">
        <f>IFERROR(__xludf.DUMMYFUNCTION("""COMPUTED_VALUE"""),46051.0)</f>
        <v>46051</v>
      </c>
      <c r="B1113" s="124" t="str">
        <f>IFERROR(__xludf.DUMMYFUNCTION("""COMPUTED_VALUE"""),"Walkin")</f>
        <v>Walkin</v>
      </c>
      <c r="C1113" s="124" t="str">
        <f>IFERROR(__xludf.DUMMYFUNCTION("""COMPUTED_VALUE"""),"Prayagraj")</f>
        <v>Prayagraj</v>
      </c>
      <c r="D1113" s="124" t="str">
        <f>IFERROR(__xludf.DUMMYFUNCTION("""COMPUTED_VALUE"""),"Primary_Walkin")</f>
        <v>Primary_Walkin</v>
      </c>
      <c r="E1113" s="124">
        <f>IFERROR(__xludf.DUMMYFUNCTION("""COMPUTED_VALUE"""),3.0)</f>
        <v>3</v>
      </c>
      <c r="F1113" s="124" t="str">
        <f>IFERROR(__xludf.DUMMYFUNCTION("""COMPUTED_VALUE"""),"Future Prospects")</f>
        <v>Future Prospects</v>
      </c>
      <c r="G1113" s="124" t="str">
        <f>IFERROR(__xludf.DUMMYFUNCTION("""COMPUTED_VALUE"""),"GS Foundation")</f>
        <v>GS Foundation</v>
      </c>
      <c r="K1113" s="124"/>
      <c r="L1113" s="124"/>
      <c r="M1113" s="124"/>
      <c r="N1113" s="124"/>
      <c r="O1113" s="124"/>
      <c r="T1113" s="129">
        <f>IFERROR(__xludf.DUMMYFUNCTION("""COMPUTED_VALUE"""),46050.0)</f>
        <v>46050</v>
      </c>
      <c r="U1113" s="124" t="str">
        <f>IFERROR(__xludf.DUMMYFUNCTION("""COMPUTED_VALUE"""),"Event")</f>
        <v>Event</v>
      </c>
      <c r="V1113" s="124" t="str">
        <f>IFERROR(__xludf.DUMMYFUNCTION("""COMPUTED_VALUE"""),"Events")</f>
        <v>Events</v>
      </c>
      <c r="W1113" s="124" t="str">
        <f>IFERROR(__xludf.DUMMYFUNCTION("""COMPUTED_VALUE"""),"Delhi")</f>
        <v>Delhi</v>
      </c>
      <c r="X1113" s="124" t="str">
        <f>IFERROR(__xludf.DUMMYFUNCTION("""COMPUTED_VALUE"""),"DRCSEMINAR(CTC)")</f>
        <v>DRCSEMINAR(CTC)</v>
      </c>
      <c r="Y1113" s="124" t="str">
        <f>IFERROR(__xludf.DUMMYFUNCTION("""COMPUTED_VALUE"""),"Delhi")</f>
        <v>Delhi</v>
      </c>
      <c r="Z1113" s="124">
        <f>IFERROR(__xludf.DUMMYFUNCTION("""COMPUTED_VALUE"""),11.0)</f>
        <v>11</v>
      </c>
      <c r="AA1113" s="124" t="str">
        <f>IFERROR(__xludf.DUMMYFUNCTION("""COMPUTED_VALUE"""),"Not Interested")</f>
        <v>Not Interested</v>
      </c>
      <c r="AB1113" s="124"/>
    </row>
    <row r="1114">
      <c r="A1114" s="126">
        <f>IFERROR(__xludf.DUMMYFUNCTION("""COMPUTED_VALUE"""),46071.0)</f>
        <v>46071</v>
      </c>
      <c r="B1114" s="124" t="str">
        <f>IFERROR(__xludf.DUMMYFUNCTION("""COMPUTED_VALUE"""),"Walkin")</f>
        <v>Walkin</v>
      </c>
      <c r="C1114" s="124" t="str">
        <f>IFERROR(__xludf.DUMMYFUNCTION("""COMPUTED_VALUE"""),"Prayagraj")</f>
        <v>Prayagraj</v>
      </c>
      <c r="D1114" s="124" t="str">
        <f>IFERROR(__xludf.DUMMYFUNCTION("""COMPUTED_VALUE"""),"Primary_Walkin")</f>
        <v>Primary_Walkin</v>
      </c>
      <c r="E1114" s="124">
        <f>IFERROR(__xludf.DUMMYFUNCTION("""COMPUTED_VALUE"""),2.0)</f>
        <v>2</v>
      </c>
      <c r="F1114" s="124" t="str">
        <f>IFERROR(__xludf.DUMMYFUNCTION("""COMPUTED_VALUE"""),"Cold")</f>
        <v>Cold</v>
      </c>
      <c r="G1114" s="124" t="str">
        <f>IFERROR(__xludf.DUMMYFUNCTION("""COMPUTED_VALUE"""),"State PCS")</f>
        <v>State PCS</v>
      </c>
      <c r="K1114" s="124"/>
      <c r="L1114" s="124"/>
      <c r="M1114" s="124"/>
      <c r="N1114" s="124"/>
      <c r="O1114" s="124"/>
      <c r="T1114" s="126">
        <f>IFERROR(__xludf.DUMMYFUNCTION("""COMPUTED_VALUE"""),46078.0)</f>
        <v>46078</v>
      </c>
      <c r="U1114" s="124" t="str">
        <f>IFERROR(__xludf.DUMMYFUNCTION("""COMPUTED_VALUE"""),"Event")</f>
        <v>Event</v>
      </c>
      <c r="V1114" s="124" t="str">
        <f>IFERROR(__xludf.DUMMYFUNCTION("""COMPUTED_VALUE"""),"Events")</f>
        <v>Events</v>
      </c>
      <c r="W1114" s="124" t="str">
        <f>IFERROR(__xludf.DUMMYFUNCTION("""COMPUTED_VALUE"""),"All Centre")</f>
        <v>All Centre</v>
      </c>
      <c r="X1114" s="124" t="str">
        <f>IFERROR(__xludf.DUMMYFUNCTION("""COMPUTED_VALUE"""),"Generic")</f>
        <v>Generic</v>
      </c>
      <c r="Y1114" s="124" t="str">
        <f>IFERROR(__xludf.DUMMYFUNCTION("""COMPUTED_VALUE"""),"Delhi")</f>
        <v>Delhi</v>
      </c>
      <c r="Z1114" s="124">
        <f>IFERROR(__xludf.DUMMYFUNCTION("""COMPUTED_VALUE"""),6.0)</f>
        <v>6</v>
      </c>
      <c r="AA1114" s="124" t="str">
        <f>IFERROR(__xludf.DUMMYFUNCTION("""COMPUTED_VALUE"""),"Cold")</f>
        <v>Cold</v>
      </c>
      <c r="AB1114" s="124" t="str">
        <f>IFERROR(__xludf.DUMMYFUNCTION("""COMPUTED_VALUE"""),"Mentorship")</f>
        <v>Mentorship</v>
      </c>
    </row>
    <row r="1115">
      <c r="A1115" s="126">
        <f>IFERROR(__xludf.DUMMYFUNCTION("""COMPUTED_VALUE"""),46098.0)</f>
        <v>46098</v>
      </c>
      <c r="B1115" s="124" t="str">
        <f>IFERROR(__xludf.DUMMYFUNCTION("""COMPUTED_VALUE"""),"Walkin")</f>
        <v>Walkin</v>
      </c>
      <c r="C1115" s="124" t="str">
        <f>IFERROR(__xludf.DUMMYFUNCTION("""COMPUTED_VALUE"""),"Prayagraj")</f>
        <v>Prayagraj</v>
      </c>
      <c r="D1115" s="124" t="str">
        <f>IFERROR(__xludf.DUMMYFUNCTION("""COMPUTED_VALUE"""),"Primary_Walkin")</f>
        <v>Primary_Walkin</v>
      </c>
      <c r="E1115" s="124">
        <f>IFERROR(__xludf.DUMMYFUNCTION("""COMPUTED_VALUE"""),3.0)</f>
        <v>3</v>
      </c>
      <c r="F1115" s="124" t="str">
        <f>IFERROR(__xludf.DUMMYFUNCTION("""COMPUTED_VALUE"""),"Future Prospects")</f>
        <v>Future Prospects</v>
      </c>
      <c r="G1115" s="124" t="str">
        <f>IFERROR(__xludf.DUMMYFUNCTION("""COMPUTED_VALUE"""),"GS Foundation")</f>
        <v>GS Foundation</v>
      </c>
      <c r="K1115" s="124"/>
      <c r="L1115" s="124"/>
      <c r="M1115" s="124"/>
      <c r="N1115" s="124"/>
      <c r="O1115" s="124"/>
      <c r="T1115" s="126">
        <f>IFERROR(__xludf.DUMMYFUNCTION("""COMPUTED_VALUE"""),46065.0)</f>
        <v>46065</v>
      </c>
      <c r="U1115" s="124" t="str">
        <f>IFERROR(__xludf.DUMMYFUNCTION("""COMPUTED_VALUE"""),"Event")</f>
        <v>Event</v>
      </c>
      <c r="V1115" s="124" t="str">
        <f>IFERROR(__xludf.DUMMYFUNCTION("""COMPUTED_VALUE"""),"Events")</f>
        <v>Events</v>
      </c>
      <c r="W1115" s="124" t="str">
        <f>IFERROR(__xludf.DUMMYFUNCTION("""COMPUTED_VALUE"""),"All Centre")</f>
        <v>All Centre</v>
      </c>
      <c r="X1115" s="124" t="str">
        <f>IFERROR(__xludf.DUMMYFUNCTION("""COMPUTED_VALUE"""),"Generic")</f>
        <v>Generic</v>
      </c>
      <c r="Y1115" s="124" t="str">
        <f>IFERROR(__xludf.DUMMYFUNCTION("""COMPUTED_VALUE"""),"Delhi")</f>
        <v>Delhi</v>
      </c>
      <c r="Z1115" s="124">
        <f>IFERROR(__xludf.DUMMYFUNCTION("""COMPUTED_VALUE"""),1.0)</f>
        <v>1</v>
      </c>
      <c r="AA1115" s="124" t="str">
        <f>IFERROR(__xludf.DUMMYFUNCTION("""COMPUTED_VALUE"""),"Engaged")</f>
        <v>Engaged</v>
      </c>
      <c r="AB1115" s="124" t="str">
        <f>IFERROR(__xludf.DUMMYFUNCTION("""COMPUTED_VALUE"""),"Other")</f>
        <v>Other</v>
      </c>
    </row>
    <row r="1116">
      <c r="A1116" s="126">
        <f>IFERROR(__xludf.DUMMYFUNCTION("""COMPUTED_VALUE"""),46095.0)</f>
        <v>46095</v>
      </c>
      <c r="B1116" s="124" t="str">
        <f>IFERROR(__xludf.DUMMYFUNCTION("""COMPUTED_VALUE"""),"Walkin")</f>
        <v>Walkin</v>
      </c>
      <c r="C1116" s="124" t="str">
        <f>IFERROR(__xludf.DUMMYFUNCTION("""COMPUTED_VALUE"""),"Prayagraj")</f>
        <v>Prayagraj</v>
      </c>
      <c r="D1116" s="124" t="str">
        <f>IFERROR(__xludf.DUMMYFUNCTION("""COMPUTED_VALUE"""),"Primary_Walkin")</f>
        <v>Primary_Walkin</v>
      </c>
      <c r="E1116" s="124">
        <f>IFERROR(__xludf.DUMMYFUNCTION("""COMPUTED_VALUE"""),1.0)</f>
        <v>1</v>
      </c>
      <c r="F1116" s="124" t="str">
        <f>IFERROR(__xludf.DUMMYFUNCTION("""COMPUTED_VALUE"""),"Warm")</f>
        <v>Warm</v>
      </c>
      <c r="G1116" s="124" t="str">
        <f>IFERROR(__xludf.DUMMYFUNCTION("""COMPUTED_VALUE"""),"GS Foundation")</f>
        <v>GS Foundation</v>
      </c>
      <c r="K1116" s="124"/>
      <c r="L1116" s="124"/>
      <c r="M1116" s="124"/>
      <c r="N1116" s="124"/>
      <c r="O1116" s="124"/>
      <c r="T1116" s="126">
        <f>IFERROR(__xludf.DUMMYFUNCTION("""COMPUTED_VALUE"""),46078.0)</f>
        <v>46078</v>
      </c>
      <c r="U1116" s="124" t="str">
        <f>IFERROR(__xludf.DUMMYFUNCTION("""COMPUTED_VALUE"""),"Event")</f>
        <v>Event</v>
      </c>
      <c r="V1116" s="124" t="str">
        <f>IFERROR(__xludf.DUMMYFUNCTION("""COMPUTED_VALUE"""),"Events")</f>
        <v>Events</v>
      </c>
      <c r="W1116" s="124" t="str">
        <f>IFERROR(__xludf.DUMMYFUNCTION("""COMPUTED_VALUE"""),"All Centre")</f>
        <v>All Centre</v>
      </c>
      <c r="X1116" s="124" t="str">
        <f>IFERROR(__xludf.DUMMYFUNCTION("""COMPUTED_VALUE"""),"Generic")</f>
        <v>Generic</v>
      </c>
      <c r="Y1116" s="124" t="str">
        <f>IFERROR(__xludf.DUMMYFUNCTION("""COMPUTED_VALUE"""),"Delhi")</f>
        <v>Delhi</v>
      </c>
      <c r="Z1116" s="124">
        <f>IFERROR(__xludf.DUMMYFUNCTION("""COMPUTED_VALUE"""),1.0)</f>
        <v>1</v>
      </c>
      <c r="AA1116" s="124" t="str">
        <f>IFERROR(__xludf.DUMMYFUNCTION("""COMPUTED_VALUE"""),"Not Interested")</f>
        <v>Not Interested</v>
      </c>
      <c r="AB1116" s="124" t="str">
        <f>IFERROR(__xludf.DUMMYFUNCTION("""COMPUTED_VALUE"""),"IGP UPPSC")</f>
        <v>IGP UPPSC</v>
      </c>
    </row>
    <row r="1117">
      <c r="A1117" s="129">
        <f>IFERROR(__xludf.DUMMYFUNCTION("""COMPUTED_VALUE"""),46047.0)</f>
        <v>46047</v>
      </c>
      <c r="B1117" s="124" t="str">
        <f>IFERROR(__xludf.DUMMYFUNCTION("""COMPUTED_VALUE"""),"Walkin")</f>
        <v>Walkin</v>
      </c>
      <c r="C1117" s="124" t="str">
        <f>IFERROR(__xludf.DUMMYFUNCTION("""COMPUTED_VALUE"""),"Prayagraj")</f>
        <v>Prayagraj</v>
      </c>
      <c r="D1117" s="124" t="str">
        <f>IFERROR(__xludf.DUMMYFUNCTION("""COMPUTED_VALUE"""),"Primary_Walkin")</f>
        <v>Primary_Walkin</v>
      </c>
      <c r="E1117" s="124">
        <f>IFERROR(__xludf.DUMMYFUNCTION("""COMPUTED_VALUE"""),1.0)</f>
        <v>1</v>
      </c>
      <c r="F1117" s="124" t="str">
        <f>IFERROR(__xludf.DUMMYFUNCTION("""COMPUTED_VALUE"""),"Cold")</f>
        <v>Cold</v>
      </c>
      <c r="G1117" s="124" t="str">
        <f>IFERROR(__xludf.DUMMYFUNCTION("""COMPUTED_VALUE"""),"State PCS")</f>
        <v>State PCS</v>
      </c>
      <c r="K1117" s="124"/>
      <c r="L1117" s="124"/>
      <c r="M1117" s="124"/>
      <c r="N1117" s="124"/>
      <c r="O1117" s="124"/>
      <c r="T1117" s="126">
        <f>IFERROR(__xludf.DUMMYFUNCTION("""COMPUTED_VALUE"""),46045.0)</f>
        <v>46045</v>
      </c>
      <c r="U1117" s="124" t="str">
        <f>IFERROR(__xludf.DUMMYFUNCTION("""COMPUTED_VALUE"""),"Event")</f>
        <v>Event</v>
      </c>
      <c r="V1117" s="124" t="str">
        <f>IFERROR(__xludf.DUMMYFUNCTION("""COMPUTED_VALUE"""),"Events")</f>
        <v>Events</v>
      </c>
      <c r="W1117" s="124" t="str">
        <f>IFERROR(__xludf.DUMMYFUNCTION("""COMPUTED_VALUE"""),"Delhi")</f>
        <v>Delhi</v>
      </c>
      <c r="X1117" s="124" t="str">
        <f>IFERROR(__xludf.DUMMYFUNCTION("""COMPUTED_VALUE"""),"DRCSEMINAR(CTC)")</f>
        <v>DRCSEMINAR(CTC)</v>
      </c>
      <c r="Y1117" s="124" t="str">
        <f>IFERROR(__xludf.DUMMYFUNCTION("""COMPUTED_VALUE"""),"Delhi")</f>
        <v>Delhi</v>
      </c>
      <c r="Z1117" s="124">
        <f>IFERROR(__xludf.DUMMYFUNCTION("""COMPUTED_VALUE"""),1.0)</f>
        <v>1</v>
      </c>
      <c r="AA1117" s="124" t="str">
        <f>IFERROR(__xludf.DUMMYFUNCTION("""COMPUTED_VALUE"""),"Cold")</f>
        <v>Cold</v>
      </c>
      <c r="AB1117" s="124" t="str">
        <f>IFERROR(__xludf.DUMMYFUNCTION("""COMPUTED_VALUE"""),"Mentorship")</f>
        <v>Mentorship</v>
      </c>
    </row>
    <row r="1118">
      <c r="A1118" s="126">
        <f>IFERROR(__xludf.DUMMYFUNCTION("""COMPUTED_VALUE"""),46105.0)</f>
        <v>46105</v>
      </c>
      <c r="B1118" s="124" t="str">
        <f>IFERROR(__xludf.DUMMYFUNCTION("""COMPUTED_VALUE"""),"Walkin")</f>
        <v>Walkin</v>
      </c>
      <c r="C1118" s="124" t="str">
        <f>IFERROR(__xludf.DUMMYFUNCTION("""COMPUTED_VALUE"""),"Delhi")</f>
        <v>Delhi</v>
      </c>
      <c r="D1118" s="124" t="str">
        <f>IFERROR(__xludf.DUMMYFUNCTION("""COMPUTED_VALUE"""),"Primary_Walkin")</f>
        <v>Primary_Walkin</v>
      </c>
      <c r="E1118" s="124">
        <f>IFERROR(__xludf.DUMMYFUNCTION("""COMPUTED_VALUE"""),3.0)</f>
        <v>3</v>
      </c>
      <c r="F1118" s="124" t="str">
        <f>IFERROR(__xludf.DUMMYFUNCTION("""COMPUTED_VALUE"""),"Warm")</f>
        <v>Warm</v>
      </c>
      <c r="G1118" s="124" t="str">
        <f>IFERROR(__xludf.DUMMYFUNCTION("""COMPUTED_VALUE"""),"GS Foundation")</f>
        <v>GS Foundation</v>
      </c>
      <c r="K1118" s="124"/>
      <c r="L1118" s="124"/>
      <c r="M1118" s="124"/>
      <c r="N1118" s="124"/>
      <c r="O1118" s="124"/>
      <c r="T1118" s="126">
        <f>IFERROR(__xludf.DUMMYFUNCTION("""COMPUTED_VALUE"""),46077.0)</f>
        <v>46077</v>
      </c>
      <c r="U1118" s="124" t="str">
        <f>IFERROR(__xludf.DUMMYFUNCTION("""COMPUTED_VALUE"""),"Event")</f>
        <v>Event</v>
      </c>
      <c r="V1118" s="124" t="str">
        <f>IFERROR(__xludf.DUMMYFUNCTION("""COMPUTED_VALUE"""),"Events")</f>
        <v>Events</v>
      </c>
      <c r="W1118" s="124" t="str">
        <f>IFERROR(__xludf.DUMMYFUNCTION("""COMPUTED_VALUE"""),"All Centre")</f>
        <v>All Centre</v>
      </c>
      <c r="X1118" s="124" t="str">
        <f>IFERROR(__xludf.DUMMYFUNCTION("""COMPUTED_VALUE"""),"Generic")</f>
        <v>Generic</v>
      </c>
      <c r="Y1118" s="124" t="str">
        <f>IFERROR(__xludf.DUMMYFUNCTION("""COMPUTED_VALUE"""),"Delhi")</f>
        <v>Delhi</v>
      </c>
      <c r="Z1118" s="124">
        <f>IFERROR(__xludf.DUMMYFUNCTION("""COMPUTED_VALUE"""),1.0)</f>
        <v>1</v>
      </c>
      <c r="AA1118" s="124" t="str">
        <f>IFERROR(__xludf.DUMMYFUNCTION("""COMPUTED_VALUE"""),"Not Interested")</f>
        <v>Not Interested</v>
      </c>
      <c r="AB1118" s="124" t="str">
        <f>IFERROR(__xludf.DUMMYFUNCTION("""COMPUTED_VALUE"""),"State PCS")</f>
        <v>State PCS</v>
      </c>
    </row>
    <row r="1119">
      <c r="A1119" s="126">
        <f>IFERROR(__xludf.DUMMYFUNCTION("""COMPUTED_VALUE"""),46108.0)</f>
        <v>46108</v>
      </c>
      <c r="B1119" s="124" t="str">
        <f>IFERROR(__xludf.DUMMYFUNCTION("""COMPUTED_VALUE"""),"Walk-In")</f>
        <v>Walk-In</v>
      </c>
      <c r="C1119" s="124" t="str">
        <f>IFERROR(__xludf.DUMMYFUNCTION("""COMPUTED_VALUE"""),"Delhi")</f>
        <v>Delhi</v>
      </c>
      <c r="D1119" s="124" t="str">
        <f>IFERROR(__xludf.DUMMYFUNCTION("""COMPUTED_VALUE"""),"Primary_Walkin")</f>
        <v>Primary_Walkin</v>
      </c>
      <c r="E1119" s="124">
        <f>IFERROR(__xludf.DUMMYFUNCTION("""COMPUTED_VALUE"""),3.0)</f>
        <v>3</v>
      </c>
      <c r="F1119" s="124" t="str">
        <f>IFERROR(__xludf.DUMMYFUNCTION("""COMPUTED_VALUE"""),"Future Prospects")</f>
        <v>Future Prospects</v>
      </c>
      <c r="G1119" s="124" t="str">
        <f>IFERROR(__xludf.DUMMYFUNCTION("""COMPUTED_VALUE"""),"GS Foundation")</f>
        <v>GS Foundation</v>
      </c>
      <c r="K1119" s="124"/>
      <c r="L1119" s="124"/>
      <c r="M1119" s="124"/>
      <c r="N1119" s="124"/>
      <c r="O1119" s="124"/>
      <c r="T1119" s="126">
        <f>IFERROR(__xludf.DUMMYFUNCTION("""COMPUTED_VALUE"""),46059.0)</f>
        <v>46059</v>
      </c>
      <c r="U1119" s="124" t="str">
        <f>IFERROR(__xludf.DUMMYFUNCTION("""COMPUTED_VALUE"""),"External Leads")</f>
        <v>External Leads</v>
      </c>
      <c r="V1119" s="124" t="str">
        <f>IFERROR(__xludf.DUMMYFUNCTION("""COMPUTED_VALUE"""),"external leads")</f>
        <v>external leads</v>
      </c>
      <c r="W1119" s="124" t="str">
        <f>IFERROR(__xludf.DUMMYFUNCTION("""COMPUTED_VALUE"""),"lucknow")</f>
        <v>lucknow</v>
      </c>
      <c r="X1119" s="124" t="str">
        <f>IFERROR(__xludf.DUMMYFUNCTION("""COMPUTED_VALUE"""),"library")</f>
        <v>library</v>
      </c>
      <c r="Y1119" s="124" t="str">
        <f>IFERROR(__xludf.DUMMYFUNCTION("""COMPUTED_VALUE"""),"Lucknow")</f>
        <v>Lucknow</v>
      </c>
      <c r="Z1119" s="124">
        <f>IFERROR(__xludf.DUMMYFUNCTION("""COMPUTED_VALUE"""),1.0)</f>
        <v>1</v>
      </c>
      <c r="AA1119" s="124" t="str">
        <f>IFERROR(__xludf.DUMMYFUNCTION("""COMPUTED_VALUE"""),"Not Interested")</f>
        <v>Not Interested</v>
      </c>
      <c r="AB1119" s="124"/>
    </row>
    <row r="1120">
      <c r="A1120" s="129">
        <f>IFERROR(__xludf.DUMMYFUNCTION("""COMPUTED_VALUE"""),46096.0)</f>
        <v>46096</v>
      </c>
      <c r="B1120" s="124" t="str">
        <f>IFERROR(__xludf.DUMMYFUNCTION("""COMPUTED_VALUE"""),"Walk-In")</f>
        <v>Walk-In</v>
      </c>
      <c r="C1120" s="124" t="str">
        <f>IFERROR(__xludf.DUMMYFUNCTION("""COMPUTED_VALUE"""),"Delhi")</f>
        <v>Delhi</v>
      </c>
      <c r="D1120" s="124" t="str">
        <f>IFERROR(__xludf.DUMMYFUNCTION("""COMPUTED_VALUE"""),"Primary_Walkin")</f>
        <v>Primary_Walkin</v>
      </c>
      <c r="E1120" s="124">
        <f>IFERROR(__xludf.DUMMYFUNCTION("""COMPUTED_VALUE"""),1.0)</f>
        <v>1</v>
      </c>
      <c r="F1120" s="124" t="str">
        <f>IFERROR(__xludf.DUMMYFUNCTION("""COMPUTED_VALUE"""),"Cold")</f>
        <v>Cold</v>
      </c>
      <c r="G1120" s="124" t="str">
        <f>IFERROR(__xludf.DUMMYFUNCTION("""COMPUTED_VALUE"""),"Optionals")</f>
        <v>Optionals</v>
      </c>
      <c r="K1120" s="124"/>
      <c r="L1120" s="124"/>
      <c r="M1120" s="124"/>
      <c r="N1120" s="124"/>
      <c r="O1120" s="124"/>
      <c r="T1120" s="126">
        <f>IFERROR(__xludf.DUMMYFUNCTION("""COMPUTED_VALUE"""),46058.0)</f>
        <v>46058</v>
      </c>
      <c r="U1120" s="124" t="str">
        <f>IFERROR(__xludf.DUMMYFUNCTION("""COMPUTED_VALUE"""),"Event")</f>
        <v>Event</v>
      </c>
      <c r="V1120" s="124" t="str">
        <f>IFERROR(__xludf.DUMMYFUNCTION("""COMPUTED_VALUE"""),"Events")</f>
        <v>Events</v>
      </c>
      <c r="W1120" s="124" t="str">
        <f>IFERROR(__xludf.DUMMYFUNCTION("""COMPUTED_VALUE"""),"All Centre")</f>
        <v>All Centre</v>
      </c>
      <c r="X1120" s="124" t="str">
        <f>IFERROR(__xludf.DUMMYFUNCTION("""COMPUTED_VALUE"""),"Generic")</f>
        <v>Generic</v>
      </c>
      <c r="Y1120" s="124" t="str">
        <f>IFERROR(__xludf.DUMMYFUNCTION("""COMPUTED_VALUE"""),"Delhi")</f>
        <v>Delhi</v>
      </c>
      <c r="Z1120" s="124">
        <f>IFERROR(__xludf.DUMMYFUNCTION("""COMPUTED_VALUE"""),3.0)</f>
        <v>3</v>
      </c>
      <c r="AA1120" s="124" t="str">
        <f>IFERROR(__xludf.DUMMYFUNCTION("""COMPUTED_VALUE"""),"Cold")</f>
        <v>Cold</v>
      </c>
      <c r="AB1120" s="124" t="str">
        <f>IFERROR(__xludf.DUMMYFUNCTION("""COMPUTED_VALUE"""),"CSAT")</f>
        <v>CSAT</v>
      </c>
    </row>
    <row r="1121">
      <c r="A1121" s="126">
        <f>IFERROR(__xludf.DUMMYFUNCTION("""COMPUTED_VALUE"""),46058.0)</f>
        <v>46058</v>
      </c>
      <c r="B1121" s="124" t="str">
        <f>IFERROR(__xludf.DUMMYFUNCTION("""COMPUTED_VALUE"""),"Walkin")</f>
        <v>Walkin</v>
      </c>
      <c r="C1121" s="124" t="str">
        <f>IFERROR(__xludf.DUMMYFUNCTION("""COMPUTED_VALUE"""),"Delhi")</f>
        <v>Delhi</v>
      </c>
      <c r="D1121" s="124" t="str">
        <f>IFERROR(__xludf.DUMMYFUNCTION("""COMPUTED_VALUE"""),"Primary_Walkin")</f>
        <v>Primary_Walkin</v>
      </c>
      <c r="E1121" s="124">
        <f>IFERROR(__xludf.DUMMYFUNCTION("""COMPUTED_VALUE"""),2.0)</f>
        <v>2</v>
      </c>
      <c r="F1121" s="124" t="str">
        <f>IFERROR(__xludf.DUMMYFUNCTION("""COMPUTED_VALUE"""),"Enrolled")</f>
        <v>Enrolled</v>
      </c>
      <c r="G1121" s="124" t="str">
        <f>IFERROR(__xludf.DUMMYFUNCTION("""COMPUTED_VALUE"""),"GS Foundation")</f>
        <v>GS Foundation</v>
      </c>
      <c r="K1121" s="124"/>
      <c r="L1121" s="124"/>
      <c r="M1121" s="124"/>
      <c r="N1121" s="124"/>
      <c r="O1121" s="124"/>
      <c r="T1121" s="126">
        <f>IFERROR(__xludf.DUMMYFUNCTION("""COMPUTED_VALUE"""),46057.0)</f>
        <v>46057</v>
      </c>
      <c r="U1121" s="124" t="str">
        <f>IFERROR(__xludf.DUMMYFUNCTION("""COMPUTED_VALUE"""),"Event")</f>
        <v>Event</v>
      </c>
      <c r="V1121" s="124" t="str">
        <f>IFERROR(__xludf.DUMMYFUNCTION("""COMPUTED_VALUE"""),"Events")</f>
        <v>Events</v>
      </c>
      <c r="W1121" s="124" t="str">
        <f>IFERROR(__xludf.DUMMYFUNCTION("""COMPUTED_VALUE"""),"All Centre")</f>
        <v>All Centre</v>
      </c>
      <c r="X1121" s="124" t="str">
        <f>IFERROR(__xludf.DUMMYFUNCTION("""COMPUTED_VALUE"""),"Generic")</f>
        <v>Generic</v>
      </c>
      <c r="Y1121" s="124" t="str">
        <f>IFERROR(__xludf.DUMMYFUNCTION("""COMPUTED_VALUE"""),"Delhi")</f>
        <v>Delhi</v>
      </c>
      <c r="Z1121" s="124">
        <f>IFERROR(__xludf.DUMMYFUNCTION("""COMPUTED_VALUE"""),1.0)</f>
        <v>1</v>
      </c>
      <c r="AA1121" s="124" t="str">
        <f>IFERROR(__xludf.DUMMYFUNCTION("""COMPUTED_VALUE"""),"Cold")</f>
        <v>Cold</v>
      </c>
      <c r="AB1121" s="124" t="str">
        <f>IFERROR(__xludf.DUMMYFUNCTION("""COMPUTED_VALUE"""),"Mentorship")</f>
        <v>Mentorship</v>
      </c>
    </row>
    <row r="1122">
      <c r="A1122" s="126">
        <f>IFERROR(__xludf.DUMMYFUNCTION("""COMPUTED_VALUE"""),46051.0)</f>
        <v>46051</v>
      </c>
      <c r="B1122" s="124" t="str">
        <f>IFERROR(__xludf.DUMMYFUNCTION("""COMPUTED_VALUE"""),"Walk-In")</f>
        <v>Walk-In</v>
      </c>
      <c r="C1122" s="124" t="str">
        <f>IFERROR(__xludf.DUMMYFUNCTION("""COMPUTED_VALUE"""),"Delhi")</f>
        <v>Delhi</v>
      </c>
      <c r="D1122" s="124" t="str">
        <f>IFERROR(__xludf.DUMMYFUNCTION("""COMPUTED_VALUE"""),"Primary_Walkin")</f>
        <v>Primary_Walkin</v>
      </c>
      <c r="E1122" s="124">
        <f>IFERROR(__xludf.DUMMYFUNCTION("""COMPUTED_VALUE"""),1.0)</f>
        <v>1</v>
      </c>
      <c r="F1122" s="124" t="str">
        <f>IFERROR(__xludf.DUMMYFUNCTION("""COMPUTED_VALUE"""),"Future Prospects")</f>
        <v>Future Prospects</v>
      </c>
      <c r="G1122" s="124" t="str">
        <f>IFERROR(__xludf.DUMMYFUNCTION("""COMPUTED_VALUE"""),"GS Foundation")</f>
        <v>GS Foundation</v>
      </c>
      <c r="K1122" s="124"/>
      <c r="L1122" s="124"/>
      <c r="M1122" s="124"/>
      <c r="N1122" s="124"/>
      <c r="O1122" s="124"/>
      <c r="T1122" s="126">
        <f>IFERROR(__xludf.DUMMYFUNCTION("""COMPUTED_VALUE"""),46065.0)</f>
        <v>46065</v>
      </c>
      <c r="U1122" s="124" t="str">
        <f>IFERROR(__xludf.DUMMYFUNCTION("""COMPUTED_VALUE"""),"Event")</f>
        <v>Event</v>
      </c>
      <c r="V1122" s="124" t="str">
        <f>IFERROR(__xludf.DUMMYFUNCTION("""COMPUTED_VALUE"""),"Events")</f>
        <v>Events</v>
      </c>
      <c r="W1122" s="124" t="str">
        <f>IFERROR(__xludf.DUMMYFUNCTION("""COMPUTED_VALUE"""),"All Centre")</f>
        <v>All Centre</v>
      </c>
      <c r="X1122" s="124" t="str">
        <f>IFERROR(__xludf.DUMMYFUNCTION("""COMPUTED_VALUE"""),"Generic")</f>
        <v>Generic</v>
      </c>
      <c r="Y1122" s="124" t="str">
        <f>IFERROR(__xludf.DUMMYFUNCTION("""COMPUTED_VALUE"""),"Delhi")</f>
        <v>Delhi</v>
      </c>
      <c r="Z1122" s="124">
        <f>IFERROR(__xludf.DUMMYFUNCTION("""COMPUTED_VALUE"""),5.0)</f>
        <v>5</v>
      </c>
      <c r="AA1122" s="124" t="str">
        <f>IFERROR(__xludf.DUMMYFUNCTION("""COMPUTED_VALUE"""),"Not Interested")</f>
        <v>Not Interested</v>
      </c>
      <c r="AB1122" s="124" t="str">
        <f>IFERROR(__xludf.DUMMYFUNCTION("""COMPUTED_VALUE"""),"GS Foundation")</f>
        <v>GS Foundation</v>
      </c>
    </row>
    <row r="1123">
      <c r="A1123" s="126">
        <f>IFERROR(__xludf.DUMMYFUNCTION("""COMPUTED_VALUE"""),46102.0)</f>
        <v>46102</v>
      </c>
      <c r="B1123" s="124" t="str">
        <f>IFERROR(__xludf.DUMMYFUNCTION("""COMPUTED_VALUE"""),"Walkin")</f>
        <v>Walkin</v>
      </c>
      <c r="C1123" s="124" t="str">
        <f>IFERROR(__xludf.DUMMYFUNCTION("""COMPUTED_VALUE"""),"Delhi")</f>
        <v>Delhi</v>
      </c>
      <c r="D1123" s="124" t="str">
        <f>IFERROR(__xludf.DUMMYFUNCTION("""COMPUTED_VALUE"""),"Primary_Walkin")</f>
        <v>Primary_Walkin</v>
      </c>
      <c r="E1123" s="124">
        <f>IFERROR(__xludf.DUMMYFUNCTION("""COMPUTED_VALUE"""),1.0)</f>
        <v>1</v>
      </c>
      <c r="F1123" s="124" t="str">
        <f>IFERROR(__xludf.DUMMYFUNCTION("""COMPUTED_VALUE"""),"Enrolled")</f>
        <v>Enrolled</v>
      </c>
      <c r="G1123" s="124" t="str">
        <f>IFERROR(__xludf.DUMMYFUNCTION("""COMPUTED_VALUE"""),"GS Foundation")</f>
        <v>GS Foundation</v>
      </c>
      <c r="K1123" s="124"/>
      <c r="L1123" s="124"/>
      <c r="M1123" s="124"/>
      <c r="N1123" s="124"/>
      <c r="O1123" s="124"/>
      <c r="T1123" s="126">
        <f>IFERROR(__xludf.DUMMYFUNCTION("""COMPUTED_VALUE"""),46087.0)</f>
        <v>46087</v>
      </c>
      <c r="U1123" s="124" t="str">
        <f>IFERROR(__xludf.DUMMYFUNCTION("""COMPUTED_VALUE"""),"External Leads")</f>
        <v>External Leads</v>
      </c>
      <c r="V1123" s="124" t="str">
        <f>IFERROR(__xludf.DUMMYFUNCTION("""COMPUTED_VALUE"""),"external leads")</f>
        <v>external leads</v>
      </c>
      <c r="W1123" s="124" t="str">
        <f>IFERROR(__xludf.DUMMYFUNCTION("""COMPUTED_VALUE"""),"delhi")</f>
        <v>delhi</v>
      </c>
      <c r="X1123" s="124" t="str">
        <f>IFERROR(__xludf.DUMMYFUNCTION("""COMPUTED_VALUE"""),"ducollegeevents")</f>
        <v>ducollegeevents</v>
      </c>
      <c r="Y1123" s="124"/>
      <c r="Z1123" s="124">
        <f>IFERROR(__xludf.DUMMYFUNCTION("""COMPUTED_VALUE"""),1.0)</f>
        <v>1</v>
      </c>
      <c r="AA1123" s="124" t="str">
        <f>IFERROR(__xludf.DUMMYFUNCTION("""COMPUTED_VALUE"""),"Engaged")</f>
        <v>Engaged</v>
      </c>
      <c r="AB1123" s="124" t="str">
        <f>IFERROR(__xludf.DUMMYFUNCTION("""COMPUTED_VALUE"""),"GS Foundation")</f>
        <v>GS Foundation</v>
      </c>
    </row>
    <row r="1124">
      <c r="A1124" s="129">
        <f>IFERROR(__xludf.DUMMYFUNCTION("""COMPUTED_VALUE"""),46110.0)</f>
        <v>46110</v>
      </c>
      <c r="B1124" s="124" t="str">
        <f>IFERROR(__xludf.DUMMYFUNCTION("""COMPUTED_VALUE"""),"Events")</f>
        <v>Events</v>
      </c>
      <c r="C1124" s="124" t="str">
        <f>IFERROR(__xludf.DUMMYFUNCTION("""COMPUTED_VALUE"""),"Delhi")</f>
        <v>Delhi</v>
      </c>
      <c r="D1124" s="124" t="str">
        <f>IFERROR(__xludf.DUMMYFUNCTION("""COMPUTED_VALUE"""),"Secondary_Walkin")</f>
        <v>Secondary_Walkin</v>
      </c>
      <c r="E1124" s="124">
        <f>IFERROR(__xludf.DUMMYFUNCTION("""COMPUTED_VALUE"""),1.0)</f>
        <v>1</v>
      </c>
      <c r="F1124" s="124" t="str">
        <f>IFERROR(__xludf.DUMMYFUNCTION("""COMPUTED_VALUE"""),"Engaged")</f>
        <v>Engaged</v>
      </c>
      <c r="G1124" s="124" t="str">
        <f>IFERROR(__xludf.DUMMYFUNCTION("""COMPUTED_VALUE"""),"GS Foundation")</f>
        <v>GS Foundation</v>
      </c>
      <c r="K1124" s="124"/>
      <c r="L1124" s="124"/>
      <c r="M1124" s="124"/>
      <c r="N1124" s="124"/>
      <c r="O1124" s="124"/>
      <c r="T1124" s="126">
        <f>IFERROR(__xludf.DUMMYFUNCTION("""COMPUTED_VALUE"""),46058.0)</f>
        <v>46058</v>
      </c>
      <c r="U1124" s="124" t="str">
        <f>IFERROR(__xludf.DUMMYFUNCTION("""COMPUTED_VALUE"""),"Event")</f>
        <v>Event</v>
      </c>
      <c r="V1124" s="124" t="str">
        <f>IFERROR(__xludf.DUMMYFUNCTION("""COMPUTED_VALUE"""),"Events")</f>
        <v>Events</v>
      </c>
      <c r="W1124" s="124" t="str">
        <f>IFERROR(__xludf.DUMMYFUNCTION("""COMPUTED_VALUE"""),"All Centre")</f>
        <v>All Centre</v>
      </c>
      <c r="X1124" s="124" t="str">
        <f>IFERROR(__xludf.DUMMYFUNCTION("""COMPUTED_VALUE"""),"Generic")</f>
        <v>Generic</v>
      </c>
      <c r="Y1124" s="124" t="str">
        <f>IFERROR(__xludf.DUMMYFUNCTION("""COMPUTED_VALUE"""),"Delhi")</f>
        <v>Delhi</v>
      </c>
      <c r="Z1124" s="124">
        <f>IFERROR(__xludf.DUMMYFUNCTION("""COMPUTED_VALUE"""),10.0)</f>
        <v>10</v>
      </c>
      <c r="AA1124" s="124" t="str">
        <f>IFERROR(__xludf.DUMMYFUNCTION("""COMPUTED_VALUE"""),"Cold")</f>
        <v>Cold</v>
      </c>
      <c r="AB1124" s="124" t="str">
        <f>IFERROR(__xludf.DUMMYFUNCTION("""COMPUTED_VALUE"""),"GS Foundation")</f>
        <v>GS Foundation</v>
      </c>
    </row>
    <row r="1125">
      <c r="A1125" s="129">
        <f>IFERROR(__xludf.DUMMYFUNCTION("""COMPUTED_VALUE"""),46099.0)</f>
        <v>46099</v>
      </c>
      <c r="B1125" s="124" t="str">
        <f>IFERROR(__xludf.DUMMYFUNCTION("""COMPUTED_VALUE"""),"external leads")</f>
        <v>external leads</v>
      </c>
      <c r="C1125" s="124" t="str">
        <f>IFERROR(__xludf.DUMMYFUNCTION("""COMPUTED_VALUE"""),"Delhi")</f>
        <v>Delhi</v>
      </c>
      <c r="D1125" s="124" t="str">
        <f>IFERROR(__xludf.DUMMYFUNCTION("""COMPUTED_VALUE"""),"Secondary_Walkin")</f>
        <v>Secondary_Walkin</v>
      </c>
      <c r="E1125" s="124">
        <f>IFERROR(__xludf.DUMMYFUNCTION("""COMPUTED_VALUE"""),1.0)</f>
        <v>1</v>
      </c>
      <c r="F1125" s="124" t="str">
        <f>IFERROR(__xludf.DUMMYFUNCTION("""COMPUTED_VALUE"""),"Engaged")</f>
        <v>Engaged</v>
      </c>
      <c r="G1125" s="124" t="str">
        <f>IFERROR(__xludf.DUMMYFUNCTION("""COMPUTED_VALUE"""),"GS Foundation")</f>
        <v>GS Foundation</v>
      </c>
      <c r="K1125" s="124"/>
      <c r="L1125" s="124"/>
      <c r="M1125" s="124"/>
      <c r="N1125" s="124"/>
      <c r="O1125" s="124"/>
      <c r="T1125" s="129">
        <f>IFERROR(__xludf.DUMMYFUNCTION("""COMPUTED_VALUE"""),46063.0)</f>
        <v>46063</v>
      </c>
      <c r="U1125" s="124" t="str">
        <f>IFERROR(__xludf.DUMMYFUNCTION("""COMPUTED_VALUE"""),"Event")</f>
        <v>Event</v>
      </c>
      <c r="V1125" s="124" t="str">
        <f>IFERROR(__xludf.DUMMYFUNCTION("""COMPUTED_VALUE"""),"Events")</f>
        <v>Events</v>
      </c>
      <c r="W1125" s="124" t="str">
        <f>IFERROR(__xludf.DUMMYFUNCTION("""COMPUTED_VALUE"""),"All Centre")</f>
        <v>All Centre</v>
      </c>
      <c r="X1125" s="124" t="str">
        <f>IFERROR(__xludf.DUMMYFUNCTION("""COMPUTED_VALUE"""),"Generic")</f>
        <v>Generic</v>
      </c>
      <c r="Y1125" s="124" t="str">
        <f>IFERROR(__xludf.DUMMYFUNCTION("""COMPUTED_VALUE"""),"Delhi")</f>
        <v>Delhi</v>
      </c>
      <c r="Z1125" s="124">
        <f>IFERROR(__xludf.DUMMYFUNCTION("""COMPUTED_VALUE"""),4.0)</f>
        <v>4</v>
      </c>
      <c r="AA1125" s="124" t="str">
        <f>IFERROR(__xludf.DUMMYFUNCTION("""COMPUTED_VALUE"""),"Cold")</f>
        <v>Cold</v>
      </c>
      <c r="AB1125" s="124" t="str">
        <f>IFERROR(__xludf.DUMMYFUNCTION("""COMPUTED_VALUE"""),"Optionals")</f>
        <v>Optionals</v>
      </c>
    </row>
    <row r="1126">
      <c r="A1126" s="129">
        <f>IFERROR(__xludf.DUMMYFUNCTION("""COMPUTED_VALUE"""),46055.0)</f>
        <v>46055</v>
      </c>
      <c r="B1126" s="124" t="str">
        <f>IFERROR(__xludf.DUMMYFUNCTION("""COMPUTED_VALUE"""),"Walkin")</f>
        <v>Walkin</v>
      </c>
      <c r="C1126" s="124" t="str">
        <f>IFERROR(__xludf.DUMMYFUNCTION("""COMPUTED_VALUE"""),"Delhi")</f>
        <v>Delhi</v>
      </c>
      <c r="D1126" s="124" t="str">
        <f>IFERROR(__xludf.DUMMYFUNCTION("""COMPUTED_VALUE"""),"Primary_Walkin")</f>
        <v>Primary_Walkin</v>
      </c>
      <c r="E1126" s="124">
        <f>IFERROR(__xludf.DUMMYFUNCTION("""COMPUTED_VALUE"""),1.0)</f>
        <v>1</v>
      </c>
      <c r="F1126" s="124" t="str">
        <f>IFERROR(__xludf.DUMMYFUNCTION("""COMPUTED_VALUE"""),"Fake Lead")</f>
        <v>Fake Lead</v>
      </c>
      <c r="G1126" s="124" t="str">
        <f>IFERROR(__xludf.DUMMYFUNCTION("""COMPUTED_VALUE"""),"GS Foundation")</f>
        <v>GS Foundation</v>
      </c>
      <c r="K1126" s="124"/>
      <c r="L1126" s="124"/>
      <c r="M1126" s="124"/>
      <c r="N1126" s="124"/>
      <c r="O1126" s="124"/>
      <c r="T1126" s="126">
        <f>IFERROR(__xludf.DUMMYFUNCTION("""COMPUTED_VALUE"""),46065.0)</f>
        <v>46065</v>
      </c>
      <c r="U1126" s="124" t="str">
        <f>IFERROR(__xludf.DUMMYFUNCTION("""COMPUTED_VALUE"""),"Event")</f>
        <v>Event</v>
      </c>
      <c r="V1126" s="124" t="str">
        <f>IFERROR(__xludf.DUMMYFUNCTION("""COMPUTED_VALUE"""),"Events")</f>
        <v>Events</v>
      </c>
      <c r="W1126" s="124" t="str">
        <f>IFERROR(__xludf.DUMMYFUNCTION("""COMPUTED_VALUE"""),"All Centre")</f>
        <v>All Centre</v>
      </c>
      <c r="X1126" s="124" t="str">
        <f>IFERROR(__xludf.DUMMYFUNCTION("""COMPUTED_VALUE"""),"Generic")</f>
        <v>Generic</v>
      </c>
      <c r="Y1126" s="124" t="str">
        <f>IFERROR(__xludf.DUMMYFUNCTION("""COMPUTED_VALUE"""),"Guwahati")</f>
        <v>Guwahati</v>
      </c>
      <c r="Z1126" s="124">
        <f>IFERROR(__xludf.DUMMYFUNCTION("""COMPUTED_VALUE"""),1.0)</f>
        <v>1</v>
      </c>
      <c r="AA1126" s="124" t="str">
        <f>IFERROR(__xludf.DUMMYFUNCTION("""COMPUTED_VALUE"""),"Cold")</f>
        <v>Cold</v>
      </c>
      <c r="AB1126" s="124" t="str">
        <f>IFERROR(__xludf.DUMMYFUNCTION("""COMPUTED_VALUE"""),"Test Series")</f>
        <v>Test Series</v>
      </c>
    </row>
    <row r="1127">
      <c r="A1127" s="129">
        <f>IFERROR(__xludf.DUMMYFUNCTION("""COMPUTED_VALUE"""),46107.0)</f>
        <v>46107</v>
      </c>
      <c r="B1127" s="124" t="str">
        <f>IFERROR(__xludf.DUMMYFUNCTION("""COMPUTED_VALUE"""),"Walkin")</f>
        <v>Walkin</v>
      </c>
      <c r="C1127" s="124" t="str">
        <f>IFERROR(__xludf.DUMMYFUNCTION("""COMPUTED_VALUE"""),"Delhi")</f>
        <v>Delhi</v>
      </c>
      <c r="D1127" s="124" t="str">
        <f>IFERROR(__xludf.DUMMYFUNCTION("""COMPUTED_VALUE"""),"Primary_Walkin")</f>
        <v>Primary_Walkin</v>
      </c>
      <c r="E1127" s="124">
        <f>IFERROR(__xludf.DUMMYFUNCTION("""COMPUTED_VALUE"""),1.0)</f>
        <v>1</v>
      </c>
      <c r="F1127" s="124" t="str">
        <f>IFERROR(__xludf.DUMMYFUNCTION("""COMPUTED_VALUE"""),"Not Interested")</f>
        <v>Not Interested</v>
      </c>
      <c r="G1127" s="124" t="str">
        <f>IFERROR(__xludf.DUMMYFUNCTION("""COMPUTED_VALUE"""),"GS Foundation")</f>
        <v>GS Foundation</v>
      </c>
      <c r="K1127" s="124"/>
      <c r="L1127" s="124"/>
      <c r="M1127" s="124"/>
      <c r="N1127" s="124"/>
      <c r="O1127" s="124"/>
      <c r="T1127" s="129">
        <f>IFERROR(__xludf.DUMMYFUNCTION("""COMPUTED_VALUE"""),46077.0)</f>
        <v>46077</v>
      </c>
      <c r="U1127" s="124" t="str">
        <f>IFERROR(__xludf.DUMMYFUNCTION("""COMPUTED_VALUE"""),"Event")</f>
        <v>Event</v>
      </c>
      <c r="V1127" s="124" t="str">
        <f>IFERROR(__xludf.DUMMYFUNCTION("""COMPUTED_VALUE"""),"Events")</f>
        <v>Events</v>
      </c>
      <c r="W1127" s="124" t="str">
        <f>IFERROR(__xludf.DUMMYFUNCTION("""COMPUTED_VALUE"""),"All Centre")</f>
        <v>All Centre</v>
      </c>
      <c r="X1127" s="124" t="str">
        <f>IFERROR(__xludf.DUMMYFUNCTION("""COMPUTED_VALUE"""),"Generic")</f>
        <v>Generic</v>
      </c>
      <c r="Y1127" s="124" t="str">
        <f>IFERROR(__xludf.DUMMYFUNCTION("""COMPUTED_VALUE"""),"Delhi")</f>
        <v>Delhi</v>
      </c>
      <c r="Z1127" s="124">
        <f>IFERROR(__xludf.DUMMYFUNCTION("""COMPUTED_VALUE"""),1.0)</f>
        <v>1</v>
      </c>
      <c r="AA1127" s="124" t="str">
        <f>IFERROR(__xludf.DUMMYFUNCTION("""COMPUTED_VALUE"""),"Not Interested")</f>
        <v>Not Interested</v>
      </c>
      <c r="AB1127" s="124" t="str">
        <f>IFERROR(__xludf.DUMMYFUNCTION("""COMPUTED_VALUE"""),"Test Series")</f>
        <v>Test Series</v>
      </c>
    </row>
    <row r="1128">
      <c r="A1128" s="126">
        <f>IFERROR(__xludf.DUMMYFUNCTION("""COMPUTED_VALUE"""),46049.0)</f>
        <v>46049</v>
      </c>
      <c r="B1128" s="124" t="str">
        <f>IFERROR(__xludf.DUMMYFUNCTION("""COMPUTED_VALUE"""),"Walkin")</f>
        <v>Walkin</v>
      </c>
      <c r="C1128" s="124" t="str">
        <f>IFERROR(__xludf.DUMMYFUNCTION("""COMPUTED_VALUE"""),"Delhi")</f>
        <v>Delhi</v>
      </c>
      <c r="D1128" s="124" t="str">
        <f>IFERROR(__xludf.DUMMYFUNCTION("""COMPUTED_VALUE"""),"Primary_Walkin")</f>
        <v>Primary_Walkin</v>
      </c>
      <c r="E1128" s="124">
        <f>IFERROR(__xludf.DUMMYFUNCTION("""COMPUTED_VALUE"""),4.0)</f>
        <v>4</v>
      </c>
      <c r="F1128" s="124" t="str">
        <f>IFERROR(__xludf.DUMMYFUNCTION("""COMPUTED_VALUE"""),"Not Interested")</f>
        <v>Not Interested</v>
      </c>
      <c r="G1128" s="124" t="str">
        <f>IFERROR(__xludf.DUMMYFUNCTION("""COMPUTED_VALUE"""),"GS Foundation")</f>
        <v>GS Foundation</v>
      </c>
      <c r="K1128" s="124"/>
      <c r="L1128" s="124"/>
      <c r="M1128" s="124"/>
      <c r="N1128" s="124"/>
      <c r="O1128" s="124"/>
      <c r="T1128" s="126">
        <f>IFERROR(__xludf.DUMMYFUNCTION("""COMPUTED_VALUE"""),46064.0)</f>
        <v>46064</v>
      </c>
      <c r="U1128" s="124" t="str">
        <f>IFERROR(__xludf.DUMMYFUNCTION("""COMPUTED_VALUE"""),"Event")</f>
        <v>Event</v>
      </c>
      <c r="V1128" s="124" t="str">
        <f>IFERROR(__xludf.DUMMYFUNCTION("""COMPUTED_VALUE"""),"Events")</f>
        <v>Events</v>
      </c>
      <c r="W1128" s="124" t="str">
        <f>IFERROR(__xludf.DUMMYFUNCTION("""COMPUTED_VALUE"""),"All Centre")</f>
        <v>All Centre</v>
      </c>
      <c r="X1128" s="124" t="str">
        <f>IFERROR(__xludf.DUMMYFUNCTION("""COMPUTED_VALUE"""),"Generic")</f>
        <v>Generic</v>
      </c>
      <c r="Y1128" s="124" t="str">
        <f>IFERROR(__xludf.DUMMYFUNCTION("""COMPUTED_VALUE"""),"Delhi")</f>
        <v>Delhi</v>
      </c>
      <c r="Z1128" s="124">
        <f>IFERROR(__xludf.DUMMYFUNCTION("""COMPUTED_VALUE"""),3.0)</f>
        <v>3</v>
      </c>
      <c r="AA1128" s="124" t="str">
        <f>IFERROR(__xludf.DUMMYFUNCTION("""COMPUTED_VALUE"""),"Cold")</f>
        <v>Cold</v>
      </c>
      <c r="AB1128" s="124" t="str">
        <f>IFERROR(__xludf.DUMMYFUNCTION("""COMPUTED_VALUE"""),"Test Series")</f>
        <v>Test Series</v>
      </c>
    </row>
    <row r="1129">
      <c r="A1129" s="126">
        <f>IFERROR(__xludf.DUMMYFUNCTION("""COMPUTED_VALUE"""),46063.0)</f>
        <v>46063</v>
      </c>
      <c r="B1129" s="124" t="str">
        <f>IFERROR(__xludf.DUMMYFUNCTION("""COMPUTED_VALUE"""),"Walkin")</f>
        <v>Walkin</v>
      </c>
      <c r="C1129" s="124" t="str">
        <f>IFERROR(__xludf.DUMMYFUNCTION("""COMPUTED_VALUE"""),"Delhi")</f>
        <v>Delhi</v>
      </c>
      <c r="D1129" s="124" t="str">
        <f>IFERROR(__xludf.DUMMYFUNCTION("""COMPUTED_VALUE"""),"Primary_Walkin")</f>
        <v>Primary_Walkin</v>
      </c>
      <c r="E1129" s="124">
        <f>IFERROR(__xludf.DUMMYFUNCTION("""COMPUTED_VALUE"""),1.0)</f>
        <v>1</v>
      </c>
      <c r="F1129" s="124" t="str">
        <f>IFERROR(__xludf.DUMMYFUNCTION("""COMPUTED_VALUE"""),"Not Interested")</f>
        <v>Not Interested</v>
      </c>
      <c r="G1129" s="124" t="str">
        <f>IFERROR(__xludf.DUMMYFUNCTION("""COMPUTED_VALUE"""),"Optionals")</f>
        <v>Optionals</v>
      </c>
      <c r="K1129" s="124"/>
      <c r="L1129" s="124"/>
      <c r="M1129" s="124"/>
      <c r="N1129" s="124"/>
      <c r="O1129" s="124"/>
      <c r="T1129" s="126">
        <f>IFERROR(__xludf.DUMMYFUNCTION("""COMPUTED_VALUE"""),46059.0)</f>
        <v>46059</v>
      </c>
      <c r="U1129" s="124" t="str">
        <f>IFERROR(__xludf.DUMMYFUNCTION("""COMPUTED_VALUE"""),"External Leads")</f>
        <v>External Leads</v>
      </c>
      <c r="V1129" s="124" t="str">
        <f>IFERROR(__xludf.DUMMYFUNCTION("""COMPUTED_VALUE"""),"external leads")</f>
        <v>external leads</v>
      </c>
      <c r="W1129" s="124" t="str">
        <f>IFERROR(__xludf.DUMMYFUNCTION("""COMPUTED_VALUE"""),"lucknow")</f>
        <v>lucknow</v>
      </c>
      <c r="X1129" s="124" t="str">
        <f>IFERROR(__xludf.DUMMYFUNCTION("""COMPUTED_VALUE"""),"library")</f>
        <v>library</v>
      </c>
      <c r="Y1129" s="124" t="str">
        <f>IFERROR(__xludf.DUMMYFUNCTION("""COMPUTED_VALUE"""),"Lucknow")</f>
        <v>Lucknow</v>
      </c>
      <c r="Z1129" s="124">
        <f>IFERROR(__xludf.DUMMYFUNCTION("""COMPUTED_VALUE"""),8.0)</f>
        <v>8</v>
      </c>
      <c r="AA1129" s="124" t="str">
        <f>IFERROR(__xludf.DUMMYFUNCTION("""COMPUTED_VALUE"""),"Cold")</f>
        <v>Cold</v>
      </c>
      <c r="AB1129" s="124"/>
    </row>
    <row r="1130">
      <c r="A1130" s="129">
        <f>IFERROR(__xludf.DUMMYFUNCTION("""COMPUTED_VALUE"""),46058.0)</f>
        <v>46058</v>
      </c>
      <c r="B1130" s="124" t="str">
        <f>IFERROR(__xludf.DUMMYFUNCTION("""COMPUTED_VALUE"""),"Walkin")</f>
        <v>Walkin</v>
      </c>
      <c r="C1130" s="124" t="str">
        <f>IFERROR(__xludf.DUMMYFUNCTION("""COMPUTED_VALUE"""),"Delhi")</f>
        <v>Delhi</v>
      </c>
      <c r="D1130" s="124" t="str">
        <f>IFERROR(__xludf.DUMMYFUNCTION("""COMPUTED_VALUE"""),"Primary_Walkin")</f>
        <v>Primary_Walkin</v>
      </c>
      <c r="E1130" s="124">
        <f>IFERROR(__xludf.DUMMYFUNCTION("""COMPUTED_VALUE"""),1.0)</f>
        <v>1</v>
      </c>
      <c r="F1130" s="124" t="str">
        <f>IFERROR(__xludf.DUMMYFUNCTION("""COMPUTED_VALUE"""),"Future Prospects")</f>
        <v>Future Prospects</v>
      </c>
      <c r="G1130" s="124" t="str">
        <f>IFERROR(__xludf.DUMMYFUNCTION("""COMPUTED_VALUE"""),"GS Foundation")</f>
        <v>GS Foundation</v>
      </c>
      <c r="K1130" s="124"/>
      <c r="L1130" s="124"/>
      <c r="M1130" s="124"/>
      <c r="N1130" s="124"/>
      <c r="O1130" s="124"/>
      <c r="T1130" s="126">
        <f>IFERROR(__xludf.DUMMYFUNCTION("""COMPUTED_VALUE"""),46049.0)</f>
        <v>46049</v>
      </c>
      <c r="U1130" s="124" t="str">
        <f>IFERROR(__xludf.DUMMYFUNCTION("""COMPUTED_VALUE"""),"Event")</f>
        <v>Event</v>
      </c>
      <c r="V1130" s="124" t="str">
        <f>IFERROR(__xludf.DUMMYFUNCTION("""COMPUTED_VALUE"""),"Events")</f>
        <v>Events</v>
      </c>
      <c r="W1130" s="124" t="str">
        <f>IFERROR(__xludf.DUMMYFUNCTION("""COMPUTED_VALUE"""),"Delhi")</f>
        <v>Delhi</v>
      </c>
      <c r="X1130" s="124" t="str">
        <f>IFERROR(__xludf.DUMMYFUNCTION("""COMPUTED_VALUE"""),"DRCSEMINAR(CTC)")</f>
        <v>DRCSEMINAR(CTC)</v>
      </c>
      <c r="Y1130" s="124" t="str">
        <f>IFERROR(__xludf.DUMMYFUNCTION("""COMPUTED_VALUE"""),"Delhi")</f>
        <v>Delhi</v>
      </c>
      <c r="Z1130" s="124">
        <f>IFERROR(__xludf.DUMMYFUNCTION("""COMPUTED_VALUE"""),4.0)</f>
        <v>4</v>
      </c>
      <c r="AA1130" s="124" t="str">
        <f>IFERROR(__xludf.DUMMYFUNCTION("""COMPUTED_VALUE"""),"Not Interested")</f>
        <v>Not Interested</v>
      </c>
      <c r="AB1130" s="124"/>
    </row>
    <row r="1131">
      <c r="A1131" s="129">
        <f>IFERROR(__xludf.DUMMYFUNCTION("""COMPUTED_VALUE"""),46109.0)</f>
        <v>46109</v>
      </c>
      <c r="B1131" s="124" t="str">
        <f>IFERROR(__xludf.DUMMYFUNCTION("""COMPUTED_VALUE"""),"Walk-In")</f>
        <v>Walk-In</v>
      </c>
      <c r="C1131" s="124" t="str">
        <f>IFERROR(__xludf.DUMMYFUNCTION("""COMPUTED_VALUE"""),"Delhi")</f>
        <v>Delhi</v>
      </c>
      <c r="D1131" s="124" t="str">
        <f>IFERROR(__xludf.DUMMYFUNCTION("""COMPUTED_VALUE"""),"Primary_Walkin")</f>
        <v>Primary_Walkin</v>
      </c>
      <c r="E1131" s="124">
        <f>IFERROR(__xludf.DUMMYFUNCTION("""COMPUTED_VALUE"""),1.0)</f>
        <v>1</v>
      </c>
      <c r="F1131" s="124" t="str">
        <f>IFERROR(__xludf.DUMMYFUNCTION("""COMPUTED_VALUE"""),"Warm")</f>
        <v>Warm</v>
      </c>
      <c r="G1131" s="124" t="str">
        <f>IFERROR(__xludf.DUMMYFUNCTION("""COMPUTED_VALUE"""),"GS Foundation")</f>
        <v>GS Foundation</v>
      </c>
      <c r="K1131" s="124"/>
      <c r="L1131" s="124"/>
      <c r="M1131" s="124"/>
      <c r="N1131" s="124"/>
      <c r="O1131" s="124"/>
      <c r="T1131" s="126">
        <f>IFERROR(__xludf.DUMMYFUNCTION("""COMPUTED_VALUE"""),46064.0)</f>
        <v>46064</v>
      </c>
      <c r="U1131" s="124" t="str">
        <f>IFERROR(__xludf.DUMMYFUNCTION("""COMPUTED_VALUE"""),"Event")</f>
        <v>Event</v>
      </c>
      <c r="V1131" s="124" t="str">
        <f>IFERROR(__xludf.DUMMYFUNCTION("""COMPUTED_VALUE"""),"Events")</f>
        <v>Events</v>
      </c>
      <c r="W1131" s="124" t="str">
        <f>IFERROR(__xludf.DUMMYFUNCTION("""COMPUTED_VALUE"""),"All Centre")</f>
        <v>All Centre</v>
      </c>
      <c r="X1131" s="124" t="str">
        <f>IFERROR(__xludf.DUMMYFUNCTION("""COMPUTED_VALUE"""),"Generic")</f>
        <v>Generic</v>
      </c>
      <c r="Y1131" s="124" t="str">
        <f>IFERROR(__xludf.DUMMYFUNCTION("""COMPUTED_VALUE"""),"Delhi")</f>
        <v>Delhi</v>
      </c>
      <c r="Z1131" s="124">
        <f>IFERROR(__xludf.DUMMYFUNCTION("""COMPUTED_VALUE"""),1.0)</f>
        <v>1</v>
      </c>
      <c r="AA1131" s="124" t="str">
        <f>IFERROR(__xludf.DUMMYFUNCTION("""COMPUTED_VALUE"""),"Cold")</f>
        <v>Cold</v>
      </c>
      <c r="AB1131" s="124" t="str">
        <f>IFERROR(__xludf.DUMMYFUNCTION("""COMPUTED_VALUE"""),"GS Advanced")</f>
        <v>GS Advanced</v>
      </c>
    </row>
    <row r="1132">
      <c r="A1132" s="126">
        <f>IFERROR(__xludf.DUMMYFUNCTION("""COMPUTED_VALUE"""),46087.0)</f>
        <v>46087</v>
      </c>
      <c r="B1132" s="124" t="str">
        <f>IFERROR(__xludf.DUMMYFUNCTION("""COMPUTED_VALUE"""),"Walk-In")</f>
        <v>Walk-In</v>
      </c>
      <c r="C1132" s="124" t="str">
        <f>IFERROR(__xludf.DUMMYFUNCTION("""COMPUTED_VALUE"""),"Delhi")</f>
        <v>Delhi</v>
      </c>
      <c r="D1132" s="124" t="str">
        <f>IFERROR(__xludf.DUMMYFUNCTION("""COMPUTED_VALUE"""),"Primary_Walkin")</f>
        <v>Primary_Walkin</v>
      </c>
      <c r="E1132" s="124">
        <f>IFERROR(__xludf.DUMMYFUNCTION("""COMPUTED_VALUE"""),1.0)</f>
        <v>1</v>
      </c>
      <c r="F1132" s="124" t="str">
        <f>IFERROR(__xludf.DUMMYFUNCTION("""COMPUTED_VALUE"""),"Not Interested")</f>
        <v>Not Interested</v>
      </c>
      <c r="G1132" s="124" t="str">
        <f>IFERROR(__xludf.DUMMYFUNCTION("""COMPUTED_VALUE"""),"GS Foundation")</f>
        <v>GS Foundation</v>
      </c>
      <c r="K1132" s="124"/>
      <c r="L1132" s="124"/>
      <c r="M1132" s="124"/>
      <c r="N1132" s="124"/>
      <c r="O1132" s="124"/>
      <c r="T1132" s="126">
        <f>IFERROR(__xludf.DUMMYFUNCTION("""COMPUTED_VALUE"""),46056.0)</f>
        <v>46056</v>
      </c>
      <c r="U1132" s="124" t="str">
        <f>IFERROR(__xludf.DUMMYFUNCTION("""COMPUTED_VALUE"""),"Event")</f>
        <v>Event</v>
      </c>
      <c r="V1132" s="124" t="str">
        <f>IFERROR(__xludf.DUMMYFUNCTION("""COMPUTED_VALUE"""),"Events")</f>
        <v>Events</v>
      </c>
      <c r="W1132" s="124" t="str">
        <f>IFERROR(__xludf.DUMMYFUNCTION("""COMPUTED_VALUE"""),"All Centre")</f>
        <v>All Centre</v>
      </c>
      <c r="X1132" s="124" t="str">
        <f>IFERROR(__xludf.DUMMYFUNCTION("""COMPUTED_VALUE"""),"Generic")</f>
        <v>Generic</v>
      </c>
      <c r="Y1132" s="124" t="str">
        <f>IFERROR(__xludf.DUMMYFUNCTION("""COMPUTED_VALUE"""),"Delhi")</f>
        <v>Delhi</v>
      </c>
      <c r="Z1132" s="124">
        <f>IFERROR(__xludf.DUMMYFUNCTION("""COMPUTED_VALUE"""),1.0)</f>
        <v>1</v>
      </c>
      <c r="AA1132" s="124" t="str">
        <f>IFERROR(__xludf.DUMMYFUNCTION("""COMPUTED_VALUE"""),"Cold")</f>
        <v>Cold</v>
      </c>
      <c r="AB1132" s="124" t="str">
        <f>IFERROR(__xludf.DUMMYFUNCTION("""COMPUTED_VALUE"""),"Test Series")</f>
        <v>Test Series</v>
      </c>
    </row>
    <row r="1133">
      <c r="A1133" s="126">
        <f>IFERROR(__xludf.DUMMYFUNCTION("""COMPUTED_VALUE"""),46107.0)</f>
        <v>46107</v>
      </c>
      <c r="B1133" s="124" t="str">
        <f>IFERROR(__xludf.DUMMYFUNCTION("""COMPUTED_VALUE"""),"external leads")</f>
        <v>external leads</v>
      </c>
      <c r="C1133" s="124" t="str">
        <f>IFERROR(__xludf.DUMMYFUNCTION("""COMPUTED_VALUE"""),"Delhi")</f>
        <v>Delhi</v>
      </c>
      <c r="D1133" s="124" t="str">
        <f>IFERROR(__xludf.DUMMYFUNCTION("""COMPUTED_VALUE"""),"Secondary_Walkin")</f>
        <v>Secondary_Walkin</v>
      </c>
      <c r="E1133" s="124">
        <f>IFERROR(__xludf.DUMMYFUNCTION("""COMPUTED_VALUE"""),1.0)</f>
        <v>1</v>
      </c>
      <c r="F1133" s="124" t="str">
        <f>IFERROR(__xludf.DUMMYFUNCTION("""COMPUTED_VALUE"""),"Warm")</f>
        <v>Warm</v>
      </c>
      <c r="G1133" s="124" t="str">
        <f>IFERROR(__xludf.DUMMYFUNCTION("""COMPUTED_VALUE"""),"GS Foundation")</f>
        <v>GS Foundation</v>
      </c>
      <c r="K1133" s="124"/>
      <c r="L1133" s="124"/>
      <c r="M1133" s="124"/>
      <c r="N1133" s="124"/>
      <c r="O1133" s="124"/>
      <c r="T1133" s="126">
        <f>IFERROR(__xludf.DUMMYFUNCTION("""COMPUTED_VALUE"""),46056.0)</f>
        <v>46056</v>
      </c>
      <c r="U1133" s="124" t="str">
        <f>IFERROR(__xludf.DUMMYFUNCTION("""COMPUTED_VALUE"""),"Event")</f>
        <v>Event</v>
      </c>
      <c r="V1133" s="124" t="str">
        <f>IFERROR(__xludf.DUMMYFUNCTION("""COMPUTED_VALUE"""),"Events")</f>
        <v>Events</v>
      </c>
      <c r="W1133" s="124" t="str">
        <f>IFERROR(__xludf.DUMMYFUNCTION("""COMPUTED_VALUE"""),"All Centre")</f>
        <v>All Centre</v>
      </c>
      <c r="X1133" s="124" t="str">
        <f>IFERROR(__xludf.DUMMYFUNCTION("""COMPUTED_VALUE"""),"Generic")</f>
        <v>Generic</v>
      </c>
      <c r="Y1133" s="124" t="str">
        <f>IFERROR(__xludf.DUMMYFUNCTION("""COMPUTED_VALUE"""),"Delhi")</f>
        <v>Delhi</v>
      </c>
      <c r="Z1133" s="124">
        <f>IFERROR(__xludf.DUMMYFUNCTION("""COMPUTED_VALUE"""),1.0)</f>
        <v>1</v>
      </c>
      <c r="AA1133" s="124" t="str">
        <f>IFERROR(__xludf.DUMMYFUNCTION("""COMPUTED_VALUE"""),"Cold")</f>
        <v>Cold</v>
      </c>
      <c r="AB1133" s="124" t="str">
        <f>IFERROR(__xludf.DUMMYFUNCTION("""COMPUTED_VALUE"""),"Prelims Crash Course - SIP")</f>
        <v>Prelims Crash Course - SIP</v>
      </c>
    </row>
    <row r="1134">
      <c r="A1134" s="126">
        <f>IFERROR(__xludf.DUMMYFUNCTION("""COMPUTED_VALUE"""),46090.0)</f>
        <v>46090</v>
      </c>
      <c r="B1134" s="124" t="str">
        <f>IFERROR(__xludf.DUMMYFUNCTION("""COMPUTED_VALUE"""),"Walkin")</f>
        <v>Walkin</v>
      </c>
      <c r="C1134" s="124" t="str">
        <f>IFERROR(__xludf.DUMMYFUNCTION("""COMPUTED_VALUE"""),"Delhi")</f>
        <v>Delhi</v>
      </c>
      <c r="D1134" s="124" t="str">
        <f>IFERROR(__xludf.DUMMYFUNCTION("""COMPUTED_VALUE"""),"Primary_Walkin")</f>
        <v>Primary_Walkin</v>
      </c>
      <c r="E1134" s="124">
        <f>IFERROR(__xludf.DUMMYFUNCTION("""COMPUTED_VALUE"""),5.0)</f>
        <v>5</v>
      </c>
      <c r="F1134" s="124" t="str">
        <f>IFERROR(__xludf.DUMMYFUNCTION("""COMPUTED_VALUE"""),"Not Interested")</f>
        <v>Not Interested</v>
      </c>
      <c r="G1134" s="124" t="str">
        <f>IFERROR(__xludf.DUMMYFUNCTION("""COMPUTED_VALUE"""),"GS Foundation")</f>
        <v>GS Foundation</v>
      </c>
      <c r="K1134" s="124"/>
      <c r="L1134" s="124"/>
      <c r="M1134" s="124"/>
      <c r="N1134" s="124"/>
      <c r="O1134" s="124"/>
      <c r="T1134" s="129">
        <f>IFERROR(__xludf.DUMMYFUNCTION("""COMPUTED_VALUE"""),46057.0)</f>
        <v>46057</v>
      </c>
      <c r="U1134" s="124" t="str">
        <f>IFERROR(__xludf.DUMMYFUNCTION("""COMPUTED_VALUE"""),"Event")</f>
        <v>Event</v>
      </c>
      <c r="V1134" s="124" t="str">
        <f>IFERROR(__xludf.DUMMYFUNCTION("""COMPUTED_VALUE"""),"Events")</f>
        <v>Events</v>
      </c>
      <c r="W1134" s="124" t="str">
        <f>IFERROR(__xludf.DUMMYFUNCTION("""COMPUTED_VALUE"""),"All Centre")</f>
        <v>All Centre</v>
      </c>
      <c r="X1134" s="124" t="str">
        <f>IFERROR(__xludf.DUMMYFUNCTION("""COMPUTED_VALUE"""),"Generic")</f>
        <v>Generic</v>
      </c>
      <c r="Y1134" s="124" t="str">
        <f>IFERROR(__xludf.DUMMYFUNCTION("""COMPUTED_VALUE"""),"Delhi")</f>
        <v>Delhi</v>
      </c>
      <c r="Z1134" s="124">
        <f>IFERROR(__xludf.DUMMYFUNCTION("""COMPUTED_VALUE"""),1.0)</f>
        <v>1</v>
      </c>
      <c r="AA1134" s="124" t="str">
        <f>IFERROR(__xludf.DUMMYFUNCTION("""COMPUTED_VALUE"""),"Cold")</f>
        <v>Cold</v>
      </c>
      <c r="AB1134" s="124" t="str">
        <f>IFERROR(__xludf.DUMMYFUNCTION("""COMPUTED_VALUE"""),"GS Advanced")</f>
        <v>GS Advanced</v>
      </c>
    </row>
    <row r="1135">
      <c r="A1135" s="126">
        <f>IFERROR(__xludf.DUMMYFUNCTION("""COMPUTED_VALUE"""),46053.0)</f>
        <v>46053</v>
      </c>
      <c r="B1135" s="124" t="str">
        <f>IFERROR(__xludf.DUMMYFUNCTION("""COMPUTED_VALUE"""),"Walk-In")</f>
        <v>Walk-In</v>
      </c>
      <c r="C1135" s="124" t="str">
        <f>IFERROR(__xludf.DUMMYFUNCTION("""COMPUTED_VALUE"""),"Delhi")</f>
        <v>Delhi</v>
      </c>
      <c r="D1135" s="124" t="str">
        <f>IFERROR(__xludf.DUMMYFUNCTION("""COMPUTED_VALUE"""),"Primary_Walkin")</f>
        <v>Primary_Walkin</v>
      </c>
      <c r="E1135" s="124">
        <f>IFERROR(__xludf.DUMMYFUNCTION("""COMPUTED_VALUE"""),2.0)</f>
        <v>2</v>
      </c>
      <c r="F1135" s="124" t="str">
        <f>IFERROR(__xludf.DUMMYFUNCTION("""COMPUTED_VALUE"""),"Not Interested")</f>
        <v>Not Interested</v>
      </c>
      <c r="G1135" s="124" t="str">
        <f>IFERROR(__xludf.DUMMYFUNCTION("""COMPUTED_VALUE"""),"GS Foundation")</f>
        <v>GS Foundation</v>
      </c>
      <c r="K1135" s="124"/>
      <c r="L1135" s="124"/>
      <c r="M1135" s="124"/>
      <c r="N1135" s="124"/>
      <c r="O1135" s="124"/>
      <c r="T1135" s="129">
        <f>IFERROR(__xludf.DUMMYFUNCTION("""COMPUTED_VALUE"""),46057.0)</f>
        <v>46057</v>
      </c>
      <c r="U1135" s="124" t="str">
        <f>IFERROR(__xludf.DUMMYFUNCTION("""COMPUTED_VALUE"""),"Event")</f>
        <v>Event</v>
      </c>
      <c r="V1135" s="124" t="str">
        <f>IFERROR(__xludf.DUMMYFUNCTION("""COMPUTED_VALUE"""),"Events")</f>
        <v>Events</v>
      </c>
      <c r="W1135" s="124" t="str">
        <f>IFERROR(__xludf.DUMMYFUNCTION("""COMPUTED_VALUE"""),"All Centre")</f>
        <v>All Centre</v>
      </c>
      <c r="X1135" s="124" t="str">
        <f>IFERROR(__xludf.DUMMYFUNCTION("""COMPUTED_VALUE"""),"Generic")</f>
        <v>Generic</v>
      </c>
      <c r="Y1135" s="124" t="str">
        <f>IFERROR(__xludf.DUMMYFUNCTION("""COMPUTED_VALUE"""),"Delhi")</f>
        <v>Delhi</v>
      </c>
      <c r="Z1135" s="124">
        <f>IFERROR(__xludf.DUMMYFUNCTION("""COMPUTED_VALUE"""),2.0)</f>
        <v>2</v>
      </c>
      <c r="AA1135" s="124" t="str">
        <f>IFERROR(__xludf.DUMMYFUNCTION("""COMPUTED_VALUE"""),"Fake Lead")</f>
        <v>Fake Lead</v>
      </c>
      <c r="AB1135" s="124" t="str">
        <f>IFERROR(__xludf.DUMMYFUNCTION("""COMPUTED_VALUE"""),"Mentorship")</f>
        <v>Mentorship</v>
      </c>
    </row>
    <row r="1136">
      <c r="A1136" s="129">
        <f>IFERROR(__xludf.DUMMYFUNCTION("""COMPUTED_VALUE"""),46063.0)</f>
        <v>46063</v>
      </c>
      <c r="B1136" s="124" t="str">
        <f>IFERROR(__xludf.DUMMYFUNCTION("""COMPUTED_VALUE"""),"Walkin")</f>
        <v>Walkin</v>
      </c>
      <c r="C1136" s="124" t="str">
        <f>IFERROR(__xludf.DUMMYFUNCTION("""COMPUTED_VALUE"""),"Delhi")</f>
        <v>Delhi</v>
      </c>
      <c r="D1136" s="124" t="str">
        <f>IFERROR(__xludf.DUMMYFUNCTION("""COMPUTED_VALUE"""),"Primary_Walkin")</f>
        <v>Primary_Walkin</v>
      </c>
      <c r="E1136" s="124">
        <f>IFERROR(__xludf.DUMMYFUNCTION("""COMPUTED_VALUE"""),1.0)</f>
        <v>1</v>
      </c>
      <c r="F1136" s="124" t="str">
        <f>IFERROR(__xludf.DUMMYFUNCTION("""COMPUTED_VALUE"""),"Fake Lead")</f>
        <v>Fake Lead</v>
      </c>
      <c r="G1136" s="124" t="str">
        <f>IFERROR(__xludf.DUMMYFUNCTION("""COMPUTED_VALUE"""),"Other")</f>
        <v>Other</v>
      </c>
      <c r="K1136" s="124"/>
      <c r="L1136" s="124"/>
      <c r="M1136" s="124"/>
      <c r="N1136" s="124"/>
      <c r="O1136" s="124"/>
      <c r="T1136" s="129">
        <f>IFERROR(__xludf.DUMMYFUNCTION("""COMPUTED_VALUE"""),46051.0)</f>
        <v>46051</v>
      </c>
      <c r="U1136" s="124" t="str">
        <f>IFERROR(__xludf.DUMMYFUNCTION("""COMPUTED_VALUE"""),"Event")</f>
        <v>Event</v>
      </c>
      <c r="V1136" s="124" t="str">
        <f>IFERROR(__xludf.DUMMYFUNCTION("""COMPUTED_VALUE"""),"Events")</f>
        <v>Events</v>
      </c>
      <c r="W1136" s="124" t="str">
        <f>IFERROR(__xludf.DUMMYFUNCTION("""COMPUTED_VALUE"""),"Delhi")</f>
        <v>Delhi</v>
      </c>
      <c r="X1136" s="124" t="str">
        <f>IFERROR(__xludf.DUMMYFUNCTION("""COMPUTED_VALUE"""),"DRCSEMINAR(CTC)")</f>
        <v>DRCSEMINAR(CTC)</v>
      </c>
      <c r="Y1136" s="124" t="str">
        <f>IFERROR(__xludf.DUMMYFUNCTION("""COMPUTED_VALUE"""),"Delhi")</f>
        <v>Delhi</v>
      </c>
      <c r="Z1136" s="124">
        <f>IFERROR(__xludf.DUMMYFUNCTION("""COMPUTED_VALUE"""),1.0)</f>
        <v>1</v>
      </c>
      <c r="AA1136" s="124" t="str">
        <f>IFERROR(__xludf.DUMMYFUNCTION("""COMPUTED_VALUE"""),"Fake Lead")</f>
        <v>Fake Lead</v>
      </c>
      <c r="AB1136" s="124"/>
    </row>
    <row r="1137">
      <c r="A1137" s="129">
        <f>IFERROR(__xludf.DUMMYFUNCTION("""COMPUTED_VALUE"""),46070.0)</f>
        <v>46070</v>
      </c>
      <c r="B1137" s="124" t="str">
        <f>IFERROR(__xludf.DUMMYFUNCTION("""COMPUTED_VALUE"""),"Other")</f>
        <v>Other</v>
      </c>
      <c r="C1137" s="124" t="str">
        <f>IFERROR(__xludf.DUMMYFUNCTION("""COMPUTED_VALUE"""),"Delhi")</f>
        <v>Delhi</v>
      </c>
      <c r="D1137" s="124" t="str">
        <f>IFERROR(__xludf.DUMMYFUNCTION("""COMPUTED_VALUE"""),"Secondary_Walkin")</f>
        <v>Secondary_Walkin</v>
      </c>
      <c r="E1137" s="124">
        <f>IFERROR(__xludf.DUMMYFUNCTION("""COMPUTED_VALUE"""),1.0)</f>
        <v>1</v>
      </c>
      <c r="F1137" s="124" t="str">
        <f>IFERROR(__xludf.DUMMYFUNCTION("""COMPUTED_VALUE"""),"Enrolled")</f>
        <v>Enrolled</v>
      </c>
      <c r="G1137" s="124" t="str">
        <f>IFERROR(__xludf.DUMMYFUNCTION("""COMPUTED_VALUE"""),"GS Foundation")</f>
        <v>GS Foundation</v>
      </c>
      <c r="K1137" s="124"/>
      <c r="L1137" s="124"/>
      <c r="M1137" s="124"/>
      <c r="N1137" s="124"/>
      <c r="O1137" s="124"/>
      <c r="T1137" s="129">
        <f>IFERROR(__xludf.DUMMYFUNCTION("""COMPUTED_VALUE"""),46050.0)</f>
        <v>46050</v>
      </c>
      <c r="U1137" s="124" t="str">
        <f>IFERROR(__xludf.DUMMYFUNCTION("""COMPUTED_VALUE"""),"Event")</f>
        <v>Event</v>
      </c>
      <c r="V1137" s="124" t="str">
        <f>IFERROR(__xludf.DUMMYFUNCTION("""COMPUTED_VALUE"""),"Events")</f>
        <v>Events</v>
      </c>
      <c r="W1137" s="124" t="str">
        <f>IFERROR(__xludf.DUMMYFUNCTION("""COMPUTED_VALUE"""),"Delhi")</f>
        <v>Delhi</v>
      </c>
      <c r="X1137" s="124" t="str">
        <f>IFERROR(__xludf.DUMMYFUNCTION("""COMPUTED_VALUE"""),"DRCSEMINAR(CTC)")</f>
        <v>DRCSEMINAR(CTC)</v>
      </c>
      <c r="Y1137" s="124" t="str">
        <f>IFERROR(__xludf.DUMMYFUNCTION("""COMPUTED_VALUE"""),"Delhi")</f>
        <v>Delhi</v>
      </c>
      <c r="Z1137" s="124">
        <f>IFERROR(__xludf.DUMMYFUNCTION("""COMPUTED_VALUE"""),3.0)</f>
        <v>3</v>
      </c>
      <c r="AA1137" s="124" t="str">
        <f>IFERROR(__xludf.DUMMYFUNCTION("""COMPUTED_VALUE"""),"Warm")</f>
        <v>Warm</v>
      </c>
      <c r="AB1137" s="124"/>
    </row>
    <row r="1138">
      <c r="A1138" s="129">
        <f>IFERROR(__xludf.DUMMYFUNCTION("""COMPUTED_VALUE"""),46099.0)</f>
        <v>46099</v>
      </c>
      <c r="B1138" s="124" t="str">
        <f>IFERROR(__xludf.DUMMYFUNCTION("""COMPUTED_VALUE"""),"Walk-In")</f>
        <v>Walk-In</v>
      </c>
      <c r="C1138" s="124" t="str">
        <f>IFERROR(__xludf.DUMMYFUNCTION("""COMPUTED_VALUE"""),"Delhi")</f>
        <v>Delhi</v>
      </c>
      <c r="D1138" s="124" t="str">
        <f>IFERROR(__xludf.DUMMYFUNCTION("""COMPUTED_VALUE"""),"Primary_Walkin")</f>
        <v>Primary_Walkin</v>
      </c>
      <c r="E1138" s="124">
        <f>IFERROR(__xludf.DUMMYFUNCTION("""COMPUTED_VALUE"""),1.0)</f>
        <v>1</v>
      </c>
      <c r="F1138" s="124" t="str">
        <f>IFERROR(__xludf.DUMMYFUNCTION("""COMPUTED_VALUE"""),"Fake Lead")</f>
        <v>Fake Lead</v>
      </c>
      <c r="G1138" s="124" t="str">
        <f>IFERROR(__xludf.DUMMYFUNCTION("""COMPUTED_VALUE"""),"GS Foundation")</f>
        <v>GS Foundation</v>
      </c>
      <c r="K1138" s="124"/>
      <c r="L1138" s="124"/>
      <c r="M1138" s="124"/>
      <c r="N1138" s="124"/>
      <c r="O1138" s="124"/>
      <c r="T1138" s="126">
        <f>IFERROR(__xludf.DUMMYFUNCTION("""COMPUTED_VALUE"""),46064.0)</f>
        <v>46064</v>
      </c>
      <c r="U1138" s="124" t="str">
        <f>IFERROR(__xludf.DUMMYFUNCTION("""COMPUTED_VALUE"""),"Event")</f>
        <v>Event</v>
      </c>
      <c r="V1138" s="124" t="str">
        <f>IFERROR(__xludf.DUMMYFUNCTION("""COMPUTED_VALUE"""),"Events")</f>
        <v>Events</v>
      </c>
      <c r="W1138" s="124" t="str">
        <f>IFERROR(__xludf.DUMMYFUNCTION("""COMPUTED_VALUE"""),"All Centre")</f>
        <v>All Centre</v>
      </c>
      <c r="X1138" s="124" t="str">
        <f>IFERROR(__xludf.DUMMYFUNCTION("""COMPUTED_VALUE"""),"Generic")</f>
        <v>Generic</v>
      </c>
      <c r="Y1138" s="124" t="str">
        <f>IFERROR(__xludf.DUMMYFUNCTION("""COMPUTED_VALUE"""),"Delhi")</f>
        <v>Delhi</v>
      </c>
      <c r="Z1138" s="124">
        <f>IFERROR(__xludf.DUMMYFUNCTION("""COMPUTED_VALUE"""),2.0)</f>
        <v>2</v>
      </c>
      <c r="AA1138" s="124" t="str">
        <f>IFERROR(__xludf.DUMMYFUNCTION("""COMPUTED_VALUE"""),"Cold")</f>
        <v>Cold</v>
      </c>
      <c r="AB1138" s="124" t="str">
        <f>IFERROR(__xludf.DUMMYFUNCTION("""COMPUTED_VALUE"""),"CSAT")</f>
        <v>CSAT</v>
      </c>
    </row>
    <row r="1139">
      <c r="A1139" s="126">
        <f>IFERROR(__xludf.DUMMYFUNCTION("""COMPUTED_VALUE"""),46098.0)</f>
        <v>46098</v>
      </c>
      <c r="B1139" s="124" t="str">
        <f>IFERROR(__xludf.DUMMYFUNCTION("""COMPUTED_VALUE"""),"external leads")</f>
        <v>external leads</v>
      </c>
      <c r="C1139" s="124" t="str">
        <f>IFERROR(__xludf.DUMMYFUNCTION("""COMPUTED_VALUE"""),"Delhi")</f>
        <v>Delhi</v>
      </c>
      <c r="D1139" s="124" t="str">
        <f>IFERROR(__xludf.DUMMYFUNCTION("""COMPUTED_VALUE"""),"Secondary_Walkin")</f>
        <v>Secondary_Walkin</v>
      </c>
      <c r="E1139" s="124">
        <f>IFERROR(__xludf.DUMMYFUNCTION("""COMPUTED_VALUE"""),1.0)</f>
        <v>1</v>
      </c>
      <c r="F1139" s="124" t="str">
        <f>IFERROR(__xludf.DUMMYFUNCTION("""COMPUTED_VALUE"""),"Future Prospects")</f>
        <v>Future Prospects</v>
      </c>
      <c r="G1139" s="124"/>
      <c r="K1139" s="124"/>
      <c r="L1139" s="124"/>
      <c r="M1139" s="124"/>
      <c r="N1139" s="124"/>
      <c r="O1139" s="124"/>
      <c r="T1139" s="126">
        <f>IFERROR(__xludf.DUMMYFUNCTION("""COMPUTED_VALUE"""),46065.0)</f>
        <v>46065</v>
      </c>
      <c r="U1139" s="124" t="str">
        <f>IFERROR(__xludf.DUMMYFUNCTION("""COMPUTED_VALUE"""),"Event")</f>
        <v>Event</v>
      </c>
      <c r="V1139" s="124" t="str">
        <f>IFERROR(__xludf.DUMMYFUNCTION("""COMPUTED_VALUE"""),"Events")</f>
        <v>Events</v>
      </c>
      <c r="W1139" s="124" t="str">
        <f>IFERROR(__xludf.DUMMYFUNCTION("""COMPUTED_VALUE"""),"All Centre")</f>
        <v>All Centre</v>
      </c>
      <c r="X1139" s="124" t="str">
        <f>IFERROR(__xludf.DUMMYFUNCTION("""COMPUTED_VALUE"""),"Generic")</f>
        <v>Generic</v>
      </c>
      <c r="Y1139" s="124" t="str">
        <f>IFERROR(__xludf.DUMMYFUNCTION("""COMPUTED_VALUE"""),"Delhi")</f>
        <v>Delhi</v>
      </c>
      <c r="Z1139" s="124">
        <f>IFERROR(__xludf.DUMMYFUNCTION("""COMPUTED_VALUE"""),1.0)</f>
        <v>1</v>
      </c>
      <c r="AA1139" s="124" t="str">
        <f>IFERROR(__xludf.DUMMYFUNCTION("""COMPUTED_VALUE"""),"Fake Lead")</f>
        <v>Fake Lead</v>
      </c>
      <c r="AB1139" s="124" t="str">
        <f>IFERROR(__xludf.DUMMYFUNCTION("""COMPUTED_VALUE"""),"SIM")</f>
        <v>SIM</v>
      </c>
    </row>
    <row r="1140">
      <c r="A1140" s="129">
        <f>IFERROR(__xludf.DUMMYFUNCTION("""COMPUTED_VALUE"""),46076.0)</f>
        <v>46076</v>
      </c>
      <c r="B1140" s="124" t="str">
        <f>IFERROR(__xludf.DUMMYFUNCTION("""COMPUTED_VALUE"""),"Walkin")</f>
        <v>Walkin</v>
      </c>
      <c r="C1140" s="124" t="str">
        <f>IFERROR(__xludf.DUMMYFUNCTION("""COMPUTED_VALUE"""),"Delhi")</f>
        <v>Delhi</v>
      </c>
      <c r="D1140" s="124" t="str">
        <f>IFERROR(__xludf.DUMMYFUNCTION("""COMPUTED_VALUE"""),"Primary_Walkin")</f>
        <v>Primary_Walkin</v>
      </c>
      <c r="E1140" s="124">
        <f>IFERROR(__xludf.DUMMYFUNCTION("""COMPUTED_VALUE"""),2.0)</f>
        <v>2</v>
      </c>
      <c r="F1140" s="124" t="str">
        <f>IFERROR(__xludf.DUMMYFUNCTION("""COMPUTED_VALUE"""),"Cold")</f>
        <v>Cold</v>
      </c>
      <c r="G1140" s="124" t="str">
        <f>IFERROR(__xludf.DUMMYFUNCTION("""COMPUTED_VALUE"""),"GS Foundation")</f>
        <v>GS Foundation</v>
      </c>
      <c r="K1140" s="124"/>
      <c r="L1140" s="124"/>
      <c r="M1140" s="124"/>
      <c r="N1140" s="124"/>
      <c r="O1140" s="124"/>
      <c r="T1140" s="126">
        <f>IFERROR(__xludf.DUMMYFUNCTION("""COMPUTED_VALUE"""),46056.0)</f>
        <v>46056</v>
      </c>
      <c r="U1140" s="124" t="str">
        <f>IFERROR(__xludf.DUMMYFUNCTION("""COMPUTED_VALUE"""),"Event")</f>
        <v>Event</v>
      </c>
      <c r="V1140" s="124" t="str">
        <f>IFERROR(__xludf.DUMMYFUNCTION("""COMPUTED_VALUE"""),"Events")</f>
        <v>Events</v>
      </c>
      <c r="W1140" s="124" t="str">
        <f>IFERROR(__xludf.DUMMYFUNCTION("""COMPUTED_VALUE"""),"All Centre")</f>
        <v>All Centre</v>
      </c>
      <c r="X1140" s="124" t="str">
        <f>IFERROR(__xludf.DUMMYFUNCTION("""COMPUTED_VALUE"""),"Generic")</f>
        <v>Generic</v>
      </c>
      <c r="Y1140" s="124" t="str">
        <f>IFERROR(__xludf.DUMMYFUNCTION("""COMPUTED_VALUE"""),"Delhi")</f>
        <v>Delhi</v>
      </c>
      <c r="Z1140" s="124">
        <f>IFERROR(__xludf.DUMMYFUNCTION("""COMPUTED_VALUE"""),2.0)</f>
        <v>2</v>
      </c>
      <c r="AA1140" s="124" t="str">
        <f>IFERROR(__xludf.DUMMYFUNCTION("""COMPUTED_VALUE"""),"Cold")</f>
        <v>Cold</v>
      </c>
      <c r="AB1140" s="124" t="str">
        <f>IFERROR(__xludf.DUMMYFUNCTION("""COMPUTED_VALUE"""),"CSAT")</f>
        <v>CSAT</v>
      </c>
    </row>
    <row r="1141">
      <c r="A1141" s="129">
        <f>IFERROR(__xludf.DUMMYFUNCTION("""COMPUTED_VALUE"""),46105.0)</f>
        <v>46105</v>
      </c>
      <c r="B1141" s="124" t="str">
        <f>IFERROR(__xludf.DUMMYFUNCTION("""COMPUTED_VALUE"""),"events")</f>
        <v>events</v>
      </c>
      <c r="C1141" s="124" t="str">
        <f>IFERROR(__xludf.DUMMYFUNCTION("""COMPUTED_VALUE"""),"Delhi")</f>
        <v>Delhi</v>
      </c>
      <c r="D1141" s="124" t="str">
        <f>IFERROR(__xludf.DUMMYFUNCTION("""COMPUTED_VALUE"""),"Secondary_Walkin")</f>
        <v>Secondary_Walkin</v>
      </c>
      <c r="E1141" s="124">
        <f>IFERROR(__xludf.DUMMYFUNCTION("""COMPUTED_VALUE"""),1.0)</f>
        <v>1</v>
      </c>
      <c r="F1141" s="124" t="str">
        <f>IFERROR(__xludf.DUMMYFUNCTION("""COMPUTED_VALUE"""),"Future Prospects")</f>
        <v>Future Prospects</v>
      </c>
      <c r="G1141" s="124" t="str">
        <f>IFERROR(__xludf.DUMMYFUNCTION("""COMPUTED_VALUE"""),"GS Foundation")</f>
        <v>GS Foundation</v>
      </c>
      <c r="K1141" s="124"/>
      <c r="L1141" s="124"/>
      <c r="M1141" s="124"/>
      <c r="N1141" s="124"/>
      <c r="O1141" s="124"/>
      <c r="T1141" s="126">
        <f>IFERROR(__xludf.DUMMYFUNCTION("""COMPUTED_VALUE"""),46058.0)</f>
        <v>46058</v>
      </c>
      <c r="U1141" s="124" t="str">
        <f>IFERROR(__xludf.DUMMYFUNCTION("""COMPUTED_VALUE"""),"Event")</f>
        <v>Event</v>
      </c>
      <c r="V1141" s="124" t="str">
        <f>IFERROR(__xludf.DUMMYFUNCTION("""COMPUTED_VALUE"""),"Events")</f>
        <v>Events</v>
      </c>
      <c r="W1141" s="124" t="str">
        <f>IFERROR(__xludf.DUMMYFUNCTION("""COMPUTED_VALUE"""),"All Centre")</f>
        <v>All Centre</v>
      </c>
      <c r="X1141" s="124" t="str">
        <f>IFERROR(__xludf.DUMMYFUNCTION("""COMPUTED_VALUE"""),"Generic")</f>
        <v>Generic</v>
      </c>
      <c r="Y1141" s="124" t="str">
        <f>IFERROR(__xludf.DUMMYFUNCTION("""COMPUTED_VALUE"""),"Delhi")</f>
        <v>Delhi</v>
      </c>
      <c r="Z1141" s="124">
        <f>IFERROR(__xludf.DUMMYFUNCTION("""COMPUTED_VALUE"""),2.0)</f>
        <v>2</v>
      </c>
      <c r="AA1141" s="124" t="str">
        <f>IFERROR(__xludf.DUMMYFUNCTION("""COMPUTED_VALUE"""),"Fake Lead")</f>
        <v>Fake Lead</v>
      </c>
      <c r="AB1141" s="124" t="str">
        <f>IFERROR(__xludf.DUMMYFUNCTION("""COMPUTED_VALUE"""),"GS Foundation")</f>
        <v>GS Foundation</v>
      </c>
    </row>
    <row r="1142">
      <c r="A1142" s="129">
        <f>IFERROR(__xludf.DUMMYFUNCTION("""COMPUTED_VALUE"""),46095.0)</f>
        <v>46095</v>
      </c>
      <c r="B1142" s="124" t="str">
        <f>IFERROR(__xludf.DUMMYFUNCTION("""COMPUTED_VALUE"""),"Inbound Call")</f>
        <v>Inbound Call</v>
      </c>
      <c r="C1142" s="124" t="str">
        <f>IFERROR(__xludf.DUMMYFUNCTION("""COMPUTED_VALUE"""),"Delhi")</f>
        <v>Delhi</v>
      </c>
      <c r="D1142" s="124" t="str">
        <f>IFERROR(__xludf.DUMMYFUNCTION("""COMPUTED_VALUE"""),"Secondary_Walkin")</f>
        <v>Secondary_Walkin</v>
      </c>
      <c r="E1142" s="124">
        <f>IFERROR(__xludf.DUMMYFUNCTION("""COMPUTED_VALUE"""),1.0)</f>
        <v>1</v>
      </c>
      <c r="F1142" s="124" t="str">
        <f>IFERROR(__xludf.DUMMYFUNCTION("""COMPUTED_VALUE"""),"Future Prospects")</f>
        <v>Future Prospects</v>
      </c>
      <c r="G1142" s="124" t="str">
        <f>IFERROR(__xludf.DUMMYFUNCTION("""COMPUTED_VALUE"""),"SIP Offline")</f>
        <v>SIP Offline</v>
      </c>
      <c r="K1142" s="124"/>
      <c r="L1142" s="124"/>
      <c r="M1142" s="124"/>
      <c r="N1142" s="124"/>
      <c r="O1142" s="124"/>
      <c r="T1142" s="126">
        <f>IFERROR(__xludf.DUMMYFUNCTION("""COMPUTED_VALUE"""),46077.0)</f>
        <v>46077</v>
      </c>
      <c r="U1142" s="124" t="str">
        <f>IFERROR(__xludf.DUMMYFUNCTION("""COMPUTED_VALUE"""),"Event")</f>
        <v>Event</v>
      </c>
      <c r="V1142" s="124" t="str">
        <f>IFERROR(__xludf.DUMMYFUNCTION("""COMPUTED_VALUE"""),"Events")</f>
        <v>Events</v>
      </c>
      <c r="W1142" s="124" t="str">
        <f>IFERROR(__xludf.DUMMYFUNCTION("""COMPUTED_VALUE"""),"All Centre")</f>
        <v>All Centre</v>
      </c>
      <c r="X1142" s="124" t="str">
        <f>IFERROR(__xludf.DUMMYFUNCTION("""COMPUTED_VALUE"""),"Generic")</f>
        <v>Generic</v>
      </c>
      <c r="Y1142" s="124" t="str">
        <f>IFERROR(__xludf.DUMMYFUNCTION("""COMPUTED_VALUE"""),"Delhi")</f>
        <v>Delhi</v>
      </c>
      <c r="Z1142" s="124">
        <f>IFERROR(__xludf.DUMMYFUNCTION("""COMPUTED_VALUE"""),8.0)</f>
        <v>8</v>
      </c>
      <c r="AA1142" s="124" t="str">
        <f>IFERROR(__xludf.DUMMYFUNCTION("""COMPUTED_VALUE"""),"Engaged")</f>
        <v>Engaged</v>
      </c>
      <c r="AB1142" s="124" t="str">
        <f>IFERROR(__xludf.DUMMYFUNCTION("""COMPUTED_VALUE"""),"GS Foundation")</f>
        <v>GS Foundation</v>
      </c>
    </row>
    <row r="1143">
      <c r="A1143" s="126">
        <f>IFERROR(__xludf.DUMMYFUNCTION("""COMPUTED_VALUE"""),46053.0)</f>
        <v>46053</v>
      </c>
      <c r="B1143" s="124" t="str">
        <f>IFERROR(__xludf.DUMMYFUNCTION("""COMPUTED_VALUE"""),"Walkin")</f>
        <v>Walkin</v>
      </c>
      <c r="C1143" s="124" t="str">
        <f>IFERROR(__xludf.DUMMYFUNCTION("""COMPUTED_VALUE"""),"Delhi")</f>
        <v>Delhi</v>
      </c>
      <c r="D1143" s="124" t="str">
        <f>IFERROR(__xludf.DUMMYFUNCTION("""COMPUTED_VALUE"""),"Primary_Walkin")</f>
        <v>Primary_Walkin</v>
      </c>
      <c r="E1143" s="124">
        <f>IFERROR(__xludf.DUMMYFUNCTION("""COMPUTED_VALUE"""),1.0)</f>
        <v>1</v>
      </c>
      <c r="F1143" s="124" t="str">
        <f>IFERROR(__xludf.DUMMYFUNCTION("""COMPUTED_VALUE"""),"Enrolled")</f>
        <v>Enrolled</v>
      </c>
      <c r="G1143" s="124" t="str">
        <f>IFERROR(__xludf.DUMMYFUNCTION("""COMPUTED_VALUE"""),"GS Foundation")</f>
        <v>GS Foundation</v>
      </c>
      <c r="K1143" s="124"/>
      <c r="L1143" s="124"/>
      <c r="M1143" s="124"/>
      <c r="N1143" s="124"/>
      <c r="O1143" s="124"/>
      <c r="T1143" s="126">
        <f>IFERROR(__xludf.DUMMYFUNCTION("""COMPUTED_VALUE"""),46056.0)</f>
        <v>46056</v>
      </c>
      <c r="U1143" s="124" t="str">
        <f>IFERROR(__xludf.DUMMYFUNCTION("""COMPUTED_VALUE"""),"Event")</f>
        <v>Event</v>
      </c>
      <c r="V1143" s="124" t="str">
        <f>IFERROR(__xludf.DUMMYFUNCTION("""COMPUTED_VALUE"""),"Events")</f>
        <v>Events</v>
      </c>
      <c r="W1143" s="124" t="str">
        <f>IFERROR(__xludf.DUMMYFUNCTION("""COMPUTED_VALUE"""),"All Centre")</f>
        <v>All Centre</v>
      </c>
      <c r="X1143" s="124" t="str">
        <f>IFERROR(__xludf.DUMMYFUNCTION("""COMPUTED_VALUE"""),"Generic")</f>
        <v>Generic</v>
      </c>
      <c r="Y1143" s="124" t="str">
        <f>IFERROR(__xludf.DUMMYFUNCTION("""COMPUTED_VALUE"""),"Delhi")</f>
        <v>Delhi</v>
      </c>
      <c r="Z1143" s="124">
        <f>IFERROR(__xludf.DUMMYFUNCTION("""COMPUTED_VALUE"""),3.0)</f>
        <v>3</v>
      </c>
      <c r="AA1143" s="124" t="str">
        <f>IFERROR(__xludf.DUMMYFUNCTION("""COMPUTED_VALUE"""),"Engaged")</f>
        <v>Engaged</v>
      </c>
      <c r="AB1143" s="124" t="str">
        <f>IFERROR(__xludf.DUMMYFUNCTION("""COMPUTED_VALUE"""),"GS Foundation")</f>
        <v>GS Foundation</v>
      </c>
    </row>
    <row r="1144">
      <c r="A1144" s="126">
        <f>IFERROR(__xludf.DUMMYFUNCTION("""COMPUTED_VALUE"""),46069.0)</f>
        <v>46069</v>
      </c>
      <c r="B1144" s="124" t="str">
        <f>IFERROR(__xludf.DUMMYFUNCTION("""COMPUTED_VALUE"""),"Walkin")</f>
        <v>Walkin</v>
      </c>
      <c r="C1144" s="124" t="str">
        <f>IFERROR(__xludf.DUMMYFUNCTION("""COMPUTED_VALUE"""),"Delhi")</f>
        <v>Delhi</v>
      </c>
      <c r="D1144" s="124" t="str">
        <f>IFERROR(__xludf.DUMMYFUNCTION("""COMPUTED_VALUE"""),"Primary_Walkin")</f>
        <v>Primary_Walkin</v>
      </c>
      <c r="E1144" s="124">
        <f>IFERROR(__xludf.DUMMYFUNCTION("""COMPUTED_VALUE"""),1.0)</f>
        <v>1</v>
      </c>
      <c r="F1144" s="124" t="str">
        <f>IFERROR(__xludf.DUMMYFUNCTION("""COMPUTED_VALUE"""),"Fake Lead")</f>
        <v>Fake Lead</v>
      </c>
      <c r="G1144" s="124" t="str">
        <f>IFERROR(__xludf.DUMMYFUNCTION("""COMPUTED_VALUE"""),"GS Foundation")</f>
        <v>GS Foundation</v>
      </c>
      <c r="K1144" s="124"/>
      <c r="L1144" s="124"/>
      <c r="M1144" s="124"/>
      <c r="N1144" s="124"/>
      <c r="O1144" s="124"/>
      <c r="T1144" s="126">
        <f>IFERROR(__xludf.DUMMYFUNCTION("""COMPUTED_VALUE"""),46058.0)</f>
        <v>46058</v>
      </c>
      <c r="U1144" s="124" t="str">
        <f>IFERROR(__xludf.DUMMYFUNCTION("""COMPUTED_VALUE"""),"Event")</f>
        <v>Event</v>
      </c>
      <c r="V1144" s="124" t="str">
        <f>IFERROR(__xludf.DUMMYFUNCTION("""COMPUTED_VALUE"""),"Events")</f>
        <v>Events</v>
      </c>
      <c r="W1144" s="124" t="str">
        <f>IFERROR(__xludf.DUMMYFUNCTION("""COMPUTED_VALUE"""),"All Centre")</f>
        <v>All Centre</v>
      </c>
      <c r="X1144" s="124" t="str">
        <f>IFERROR(__xludf.DUMMYFUNCTION("""COMPUTED_VALUE"""),"Generic")</f>
        <v>Generic</v>
      </c>
      <c r="Y1144" s="124" t="str">
        <f>IFERROR(__xludf.DUMMYFUNCTION("""COMPUTED_VALUE"""),"Delhi")</f>
        <v>Delhi</v>
      </c>
      <c r="Z1144" s="124">
        <f>IFERROR(__xludf.DUMMYFUNCTION("""COMPUTED_VALUE"""),3.0)</f>
        <v>3</v>
      </c>
      <c r="AA1144" s="124" t="str">
        <f>IFERROR(__xludf.DUMMYFUNCTION("""COMPUTED_VALUE"""),"Cold")</f>
        <v>Cold</v>
      </c>
      <c r="AB1144" s="124" t="str">
        <f>IFERROR(__xludf.DUMMYFUNCTION("""COMPUTED_VALUE"""),"Prelims Crash Course - SIP")</f>
        <v>Prelims Crash Course - SIP</v>
      </c>
    </row>
    <row r="1145">
      <c r="A1145" s="126">
        <f>IFERROR(__xludf.DUMMYFUNCTION("""COMPUTED_VALUE"""),46082.0)</f>
        <v>46082</v>
      </c>
      <c r="B1145" s="124" t="str">
        <f>IFERROR(__xludf.DUMMYFUNCTION("""COMPUTED_VALUE"""),"Walkin")</f>
        <v>Walkin</v>
      </c>
      <c r="C1145" s="124" t="str">
        <f>IFERROR(__xludf.DUMMYFUNCTION("""COMPUTED_VALUE"""),"Delhi")</f>
        <v>Delhi</v>
      </c>
      <c r="D1145" s="124" t="str">
        <f>IFERROR(__xludf.DUMMYFUNCTION("""COMPUTED_VALUE"""),"Primary_Walkin")</f>
        <v>Primary_Walkin</v>
      </c>
      <c r="E1145" s="124">
        <f>IFERROR(__xludf.DUMMYFUNCTION("""COMPUTED_VALUE"""),2.0)</f>
        <v>2</v>
      </c>
      <c r="F1145" s="124" t="str">
        <f>IFERROR(__xludf.DUMMYFUNCTION("""COMPUTED_VALUE"""),"Cold")</f>
        <v>Cold</v>
      </c>
      <c r="G1145" s="124" t="str">
        <f>IFERROR(__xludf.DUMMYFUNCTION("""COMPUTED_VALUE"""),"GS Foundation")</f>
        <v>GS Foundation</v>
      </c>
      <c r="K1145" s="124"/>
      <c r="L1145" s="124"/>
      <c r="M1145" s="124"/>
      <c r="N1145" s="124"/>
      <c r="O1145" s="124"/>
      <c r="T1145" s="126">
        <f>IFERROR(__xludf.DUMMYFUNCTION("""COMPUTED_VALUE"""),46078.0)</f>
        <v>46078</v>
      </c>
      <c r="U1145" s="124" t="str">
        <f>IFERROR(__xludf.DUMMYFUNCTION("""COMPUTED_VALUE"""),"Event")</f>
        <v>Event</v>
      </c>
      <c r="V1145" s="124" t="str">
        <f>IFERROR(__xludf.DUMMYFUNCTION("""COMPUTED_VALUE"""),"Events")</f>
        <v>Events</v>
      </c>
      <c r="W1145" s="124" t="str">
        <f>IFERROR(__xludf.DUMMYFUNCTION("""COMPUTED_VALUE"""),"All Centre")</f>
        <v>All Centre</v>
      </c>
      <c r="X1145" s="124" t="str">
        <f>IFERROR(__xludf.DUMMYFUNCTION("""COMPUTED_VALUE"""),"Generic")</f>
        <v>Generic</v>
      </c>
      <c r="Y1145" s="124" t="str">
        <f>IFERROR(__xludf.DUMMYFUNCTION("""COMPUTED_VALUE"""),"Delhi")</f>
        <v>Delhi</v>
      </c>
      <c r="Z1145" s="124">
        <f>IFERROR(__xludf.DUMMYFUNCTION("""COMPUTED_VALUE"""),6.0)</f>
        <v>6</v>
      </c>
      <c r="AA1145" s="124" t="str">
        <f>IFERROR(__xludf.DUMMYFUNCTION("""COMPUTED_VALUE"""),"Warm")</f>
        <v>Warm</v>
      </c>
      <c r="AB1145" s="124" t="str">
        <f>IFERROR(__xludf.DUMMYFUNCTION("""COMPUTED_VALUE"""),"CSAT")</f>
        <v>CSAT</v>
      </c>
    </row>
    <row r="1146">
      <c r="A1146" s="126">
        <f>IFERROR(__xludf.DUMMYFUNCTION("""COMPUTED_VALUE"""),46058.0)</f>
        <v>46058</v>
      </c>
      <c r="B1146" s="124" t="str">
        <f>IFERROR(__xludf.DUMMYFUNCTION("""COMPUTED_VALUE"""),"Walk-In")</f>
        <v>Walk-In</v>
      </c>
      <c r="C1146" s="124" t="str">
        <f>IFERROR(__xludf.DUMMYFUNCTION("""COMPUTED_VALUE"""),"Delhi")</f>
        <v>Delhi</v>
      </c>
      <c r="D1146" s="124" t="str">
        <f>IFERROR(__xludf.DUMMYFUNCTION("""COMPUTED_VALUE"""),"Primary_Walkin")</f>
        <v>Primary_Walkin</v>
      </c>
      <c r="E1146" s="124">
        <f>IFERROR(__xludf.DUMMYFUNCTION("""COMPUTED_VALUE"""),3.0)</f>
        <v>3</v>
      </c>
      <c r="F1146" s="124" t="str">
        <f>IFERROR(__xludf.DUMMYFUNCTION("""COMPUTED_VALUE"""),"Not Interested")</f>
        <v>Not Interested</v>
      </c>
      <c r="G1146" s="124" t="str">
        <f>IFERROR(__xludf.DUMMYFUNCTION("""COMPUTED_VALUE"""),"GS Foundation")</f>
        <v>GS Foundation</v>
      </c>
      <c r="K1146" s="124"/>
      <c r="L1146" s="124"/>
      <c r="M1146" s="124"/>
      <c r="N1146" s="124"/>
      <c r="O1146" s="124"/>
      <c r="T1146" s="126">
        <f>IFERROR(__xludf.DUMMYFUNCTION("""COMPUTED_VALUE"""),46065.0)</f>
        <v>46065</v>
      </c>
      <c r="U1146" s="124" t="str">
        <f>IFERROR(__xludf.DUMMYFUNCTION("""COMPUTED_VALUE"""),"Event")</f>
        <v>Event</v>
      </c>
      <c r="V1146" s="124" t="str">
        <f>IFERROR(__xludf.DUMMYFUNCTION("""COMPUTED_VALUE"""),"Events")</f>
        <v>Events</v>
      </c>
      <c r="W1146" s="124" t="str">
        <f>IFERROR(__xludf.DUMMYFUNCTION("""COMPUTED_VALUE"""),"All Centre")</f>
        <v>All Centre</v>
      </c>
      <c r="X1146" s="124" t="str">
        <f>IFERROR(__xludf.DUMMYFUNCTION("""COMPUTED_VALUE"""),"Generic")</f>
        <v>Generic</v>
      </c>
      <c r="Y1146" s="124" t="str">
        <f>IFERROR(__xludf.DUMMYFUNCTION("""COMPUTED_VALUE"""),"Guwahati")</f>
        <v>Guwahati</v>
      </c>
      <c r="Z1146" s="124">
        <f>IFERROR(__xludf.DUMMYFUNCTION("""COMPUTED_VALUE"""),1.0)</f>
        <v>1</v>
      </c>
      <c r="AA1146" s="124" t="str">
        <f>IFERROR(__xludf.DUMMYFUNCTION("""COMPUTED_VALUE"""),"Cold")</f>
        <v>Cold</v>
      </c>
      <c r="AB1146" s="124" t="str">
        <f>IFERROR(__xludf.DUMMYFUNCTION("""COMPUTED_VALUE"""),"GS Advanced")</f>
        <v>GS Advanced</v>
      </c>
    </row>
    <row r="1147">
      <c r="A1147" s="126">
        <f>IFERROR(__xludf.DUMMYFUNCTION("""COMPUTED_VALUE"""),46043.0)</f>
        <v>46043</v>
      </c>
      <c r="B1147" s="124" t="str">
        <f>IFERROR(__xludf.DUMMYFUNCTION("""COMPUTED_VALUE"""),"Walk-In")</f>
        <v>Walk-In</v>
      </c>
      <c r="C1147" s="124" t="str">
        <f>IFERROR(__xludf.DUMMYFUNCTION("""COMPUTED_VALUE"""),"Delhi")</f>
        <v>Delhi</v>
      </c>
      <c r="D1147" s="124" t="str">
        <f>IFERROR(__xludf.DUMMYFUNCTION("""COMPUTED_VALUE"""),"Primary_Walkin")</f>
        <v>Primary_Walkin</v>
      </c>
      <c r="E1147" s="124">
        <f>IFERROR(__xludf.DUMMYFUNCTION("""COMPUTED_VALUE"""),1.0)</f>
        <v>1</v>
      </c>
      <c r="F1147" s="124" t="str">
        <f>IFERROR(__xludf.DUMMYFUNCTION("""COMPUTED_VALUE"""),"Warm")</f>
        <v>Warm</v>
      </c>
      <c r="G1147" s="124" t="str">
        <f>IFERROR(__xludf.DUMMYFUNCTION("""COMPUTED_VALUE"""),"GS Foundation")</f>
        <v>GS Foundation</v>
      </c>
      <c r="K1147" s="124"/>
      <c r="L1147" s="124"/>
      <c r="M1147" s="124"/>
      <c r="N1147" s="124"/>
      <c r="O1147" s="124"/>
      <c r="T1147" s="126">
        <f>IFERROR(__xludf.DUMMYFUNCTION("""COMPUTED_VALUE"""),46078.0)</f>
        <v>46078</v>
      </c>
      <c r="U1147" s="124" t="str">
        <f>IFERROR(__xludf.DUMMYFUNCTION("""COMPUTED_VALUE"""),"Event")</f>
        <v>Event</v>
      </c>
      <c r="V1147" s="124" t="str">
        <f>IFERROR(__xludf.DUMMYFUNCTION("""COMPUTED_VALUE"""),"Events")</f>
        <v>Events</v>
      </c>
      <c r="W1147" s="124" t="str">
        <f>IFERROR(__xludf.DUMMYFUNCTION("""COMPUTED_VALUE"""),"All Centre")</f>
        <v>All Centre</v>
      </c>
      <c r="X1147" s="124" t="str">
        <f>IFERROR(__xludf.DUMMYFUNCTION("""COMPUTED_VALUE"""),"Generic")</f>
        <v>Generic</v>
      </c>
      <c r="Y1147" s="124" t="str">
        <f>IFERROR(__xludf.DUMMYFUNCTION("""COMPUTED_VALUE"""),"Delhi")</f>
        <v>Delhi</v>
      </c>
      <c r="Z1147" s="124">
        <f>IFERROR(__xludf.DUMMYFUNCTION("""COMPUTED_VALUE"""),6.0)</f>
        <v>6</v>
      </c>
      <c r="AA1147" s="124" t="str">
        <f>IFERROR(__xludf.DUMMYFUNCTION("""COMPUTED_VALUE"""),"Engaged")</f>
        <v>Engaged</v>
      </c>
      <c r="AB1147" s="124" t="str">
        <f>IFERROR(__xludf.DUMMYFUNCTION("""COMPUTED_VALUE"""),"GS Foundation")</f>
        <v>GS Foundation</v>
      </c>
    </row>
    <row r="1148">
      <c r="A1148" s="129">
        <f>IFERROR(__xludf.DUMMYFUNCTION("""COMPUTED_VALUE"""),46099.0)</f>
        <v>46099</v>
      </c>
      <c r="B1148" s="124" t="str">
        <f>IFERROR(__xludf.DUMMYFUNCTION("""COMPUTED_VALUE"""),"external leads")</f>
        <v>external leads</v>
      </c>
      <c r="C1148" s="124" t="str">
        <f>IFERROR(__xludf.DUMMYFUNCTION("""COMPUTED_VALUE"""),"Delhi")</f>
        <v>Delhi</v>
      </c>
      <c r="D1148" s="124" t="str">
        <f>IFERROR(__xludf.DUMMYFUNCTION("""COMPUTED_VALUE"""),"Secondary_Walkin")</f>
        <v>Secondary_Walkin</v>
      </c>
      <c r="E1148" s="124">
        <f>IFERROR(__xludf.DUMMYFUNCTION("""COMPUTED_VALUE"""),1.0)</f>
        <v>1</v>
      </c>
      <c r="F1148" s="124" t="str">
        <f>IFERROR(__xludf.DUMMYFUNCTION("""COMPUTED_VALUE"""),"Not Interested")</f>
        <v>Not Interested</v>
      </c>
      <c r="G1148" s="124" t="str">
        <f>IFERROR(__xludf.DUMMYFUNCTION("""COMPUTED_VALUE"""),"GS Foundation")</f>
        <v>GS Foundation</v>
      </c>
      <c r="K1148" s="124"/>
      <c r="L1148" s="124"/>
      <c r="M1148" s="124"/>
      <c r="N1148" s="124"/>
      <c r="O1148" s="124"/>
      <c r="T1148" s="126">
        <f>IFERROR(__xludf.DUMMYFUNCTION("""COMPUTED_VALUE"""),46065.0)</f>
        <v>46065</v>
      </c>
      <c r="U1148" s="124" t="str">
        <f>IFERROR(__xludf.DUMMYFUNCTION("""COMPUTED_VALUE"""),"Event")</f>
        <v>Event</v>
      </c>
      <c r="V1148" s="124" t="str">
        <f>IFERROR(__xludf.DUMMYFUNCTION("""COMPUTED_VALUE"""),"Events")</f>
        <v>Events</v>
      </c>
      <c r="W1148" s="124" t="str">
        <f>IFERROR(__xludf.DUMMYFUNCTION("""COMPUTED_VALUE"""),"All Centre")</f>
        <v>All Centre</v>
      </c>
      <c r="X1148" s="124" t="str">
        <f>IFERROR(__xludf.DUMMYFUNCTION("""COMPUTED_VALUE"""),"Generic")</f>
        <v>Generic</v>
      </c>
      <c r="Y1148" s="124" t="str">
        <f>IFERROR(__xludf.DUMMYFUNCTION("""COMPUTED_VALUE"""),"Delhi")</f>
        <v>Delhi</v>
      </c>
      <c r="Z1148" s="124">
        <f>IFERROR(__xludf.DUMMYFUNCTION("""COMPUTED_VALUE"""),2.0)</f>
        <v>2</v>
      </c>
      <c r="AA1148" s="124" t="str">
        <f>IFERROR(__xludf.DUMMYFUNCTION("""COMPUTED_VALUE"""),"Not Interested")</f>
        <v>Not Interested</v>
      </c>
      <c r="AB1148" s="124" t="str">
        <f>IFERROR(__xludf.DUMMYFUNCTION("""COMPUTED_VALUE"""),"Mentorship")</f>
        <v>Mentorship</v>
      </c>
    </row>
    <row r="1149">
      <c r="A1149" s="126">
        <f>IFERROR(__xludf.DUMMYFUNCTION("""COMPUTED_VALUE"""),46045.0)</f>
        <v>46045</v>
      </c>
      <c r="B1149" s="124" t="str">
        <f>IFERROR(__xludf.DUMMYFUNCTION("""COMPUTED_VALUE"""),"Walkin")</f>
        <v>Walkin</v>
      </c>
      <c r="C1149" s="124" t="str">
        <f>IFERROR(__xludf.DUMMYFUNCTION("""COMPUTED_VALUE"""),"Delhi")</f>
        <v>Delhi</v>
      </c>
      <c r="D1149" s="124" t="str">
        <f>IFERROR(__xludf.DUMMYFUNCTION("""COMPUTED_VALUE"""),"Primary_Walkin")</f>
        <v>Primary_Walkin</v>
      </c>
      <c r="E1149" s="124">
        <f>IFERROR(__xludf.DUMMYFUNCTION("""COMPUTED_VALUE"""),1.0)</f>
        <v>1</v>
      </c>
      <c r="F1149" s="124" t="str">
        <f>IFERROR(__xludf.DUMMYFUNCTION("""COMPUTED_VALUE"""),"Cold")</f>
        <v>Cold</v>
      </c>
      <c r="G1149" s="124" t="str">
        <f>IFERROR(__xludf.DUMMYFUNCTION("""COMPUTED_VALUE"""),"GS Foundation")</f>
        <v>GS Foundation</v>
      </c>
      <c r="K1149" s="124"/>
      <c r="L1149" s="124"/>
      <c r="M1149" s="124"/>
      <c r="N1149" s="124"/>
      <c r="O1149" s="124"/>
      <c r="T1149" s="126">
        <f>IFERROR(__xludf.DUMMYFUNCTION("""COMPUTED_VALUE"""),46077.0)</f>
        <v>46077</v>
      </c>
      <c r="U1149" s="124" t="str">
        <f>IFERROR(__xludf.DUMMYFUNCTION("""COMPUTED_VALUE"""),"Event")</f>
        <v>Event</v>
      </c>
      <c r="V1149" s="124" t="str">
        <f>IFERROR(__xludf.DUMMYFUNCTION("""COMPUTED_VALUE"""),"Events")</f>
        <v>Events</v>
      </c>
      <c r="W1149" s="124" t="str">
        <f>IFERROR(__xludf.DUMMYFUNCTION("""COMPUTED_VALUE"""),"All Centre")</f>
        <v>All Centre</v>
      </c>
      <c r="X1149" s="124" t="str">
        <f>IFERROR(__xludf.DUMMYFUNCTION("""COMPUTED_VALUE"""),"Generic")</f>
        <v>Generic</v>
      </c>
      <c r="Y1149" s="124" t="str">
        <f>IFERROR(__xludf.DUMMYFUNCTION("""COMPUTED_VALUE"""),"Hyderabad")</f>
        <v>Hyderabad</v>
      </c>
      <c r="Z1149" s="124">
        <f>IFERROR(__xludf.DUMMYFUNCTION("""COMPUTED_VALUE"""),1.0)</f>
        <v>1</v>
      </c>
      <c r="AA1149" s="124"/>
      <c r="AB1149" s="124" t="str">
        <f>IFERROR(__xludf.DUMMYFUNCTION("""COMPUTED_VALUE"""),"Prelims Crash Course - SIP")</f>
        <v>Prelims Crash Course - SIP</v>
      </c>
    </row>
    <row r="1150">
      <c r="A1150" s="126">
        <f>IFERROR(__xludf.DUMMYFUNCTION("""COMPUTED_VALUE"""),46091.0)</f>
        <v>46091</v>
      </c>
      <c r="B1150" s="124" t="str">
        <f>IFERROR(__xludf.DUMMYFUNCTION("""COMPUTED_VALUE"""),"Walkin")</f>
        <v>Walkin</v>
      </c>
      <c r="C1150" s="124" t="str">
        <f>IFERROR(__xludf.DUMMYFUNCTION("""COMPUTED_VALUE"""),"Delhi")</f>
        <v>Delhi</v>
      </c>
      <c r="D1150" s="124" t="str">
        <f>IFERROR(__xludf.DUMMYFUNCTION("""COMPUTED_VALUE"""),"Primary_Walkin")</f>
        <v>Primary_Walkin</v>
      </c>
      <c r="E1150" s="124">
        <f>IFERROR(__xludf.DUMMYFUNCTION("""COMPUTED_VALUE"""),1.0)</f>
        <v>1</v>
      </c>
      <c r="F1150" s="124" t="str">
        <f>IFERROR(__xludf.DUMMYFUNCTION("""COMPUTED_VALUE"""),"Not Interested")</f>
        <v>Not Interested</v>
      </c>
      <c r="G1150" s="124" t="str">
        <f>IFERROR(__xludf.DUMMYFUNCTION("""COMPUTED_VALUE"""),"Other")</f>
        <v>Other</v>
      </c>
      <c r="K1150" s="124"/>
      <c r="L1150" s="124"/>
      <c r="M1150" s="124"/>
      <c r="N1150" s="124"/>
      <c r="O1150" s="124"/>
      <c r="T1150" s="126">
        <f>IFERROR(__xludf.DUMMYFUNCTION("""COMPUTED_VALUE"""),46062.0)</f>
        <v>46062</v>
      </c>
      <c r="U1150" s="124" t="str">
        <f>IFERROR(__xludf.DUMMYFUNCTION("""COMPUTED_VALUE"""),"Event")</f>
        <v>Event</v>
      </c>
      <c r="V1150" s="124" t="str">
        <f>IFERROR(__xludf.DUMMYFUNCTION("""COMPUTED_VALUE"""),"Events")</f>
        <v>Events</v>
      </c>
      <c r="W1150" s="124" t="str">
        <f>IFERROR(__xludf.DUMMYFUNCTION("""COMPUTED_VALUE"""),"All Centre")</f>
        <v>All Centre</v>
      </c>
      <c r="X1150" s="124" t="str">
        <f>IFERROR(__xludf.DUMMYFUNCTION("""COMPUTED_VALUE"""),"Generic")</f>
        <v>Generic</v>
      </c>
      <c r="Y1150" s="124" t="str">
        <f>IFERROR(__xludf.DUMMYFUNCTION("""COMPUTED_VALUE"""),"Delhi")</f>
        <v>Delhi</v>
      </c>
      <c r="Z1150" s="124">
        <f>IFERROR(__xludf.DUMMYFUNCTION("""COMPUTED_VALUE"""),3.0)</f>
        <v>3</v>
      </c>
      <c r="AA1150" s="124" t="str">
        <f>IFERROR(__xludf.DUMMYFUNCTION("""COMPUTED_VALUE"""),"Not Interested")</f>
        <v>Not Interested</v>
      </c>
      <c r="AB1150" s="124" t="str">
        <f>IFERROR(__xludf.DUMMYFUNCTION("""COMPUTED_VALUE"""),"GS Foundation")</f>
        <v>GS Foundation</v>
      </c>
    </row>
    <row r="1151">
      <c r="A1151" s="126">
        <f>IFERROR(__xludf.DUMMYFUNCTION("""COMPUTED_VALUE"""),46111.0)</f>
        <v>46111</v>
      </c>
      <c r="B1151" s="124" t="str">
        <f>IFERROR(__xludf.DUMMYFUNCTION("""COMPUTED_VALUE"""),"Walkin")</f>
        <v>Walkin</v>
      </c>
      <c r="C1151" s="124" t="str">
        <f>IFERROR(__xludf.DUMMYFUNCTION("""COMPUTED_VALUE"""),"Delhi")</f>
        <v>Delhi</v>
      </c>
      <c r="D1151" s="124" t="str">
        <f>IFERROR(__xludf.DUMMYFUNCTION("""COMPUTED_VALUE"""),"Primary_Walkin")</f>
        <v>Primary_Walkin</v>
      </c>
      <c r="E1151" s="124">
        <f>IFERROR(__xludf.DUMMYFUNCTION("""COMPUTED_VALUE"""),1.0)</f>
        <v>1</v>
      </c>
      <c r="F1151" s="124" t="str">
        <f>IFERROR(__xludf.DUMMYFUNCTION("""COMPUTED_VALUE"""),"Not Interested")</f>
        <v>Not Interested</v>
      </c>
      <c r="G1151" s="124" t="str">
        <f>IFERROR(__xludf.DUMMYFUNCTION("""COMPUTED_VALUE"""),"GS Foundation")</f>
        <v>GS Foundation</v>
      </c>
      <c r="K1151" s="124"/>
      <c r="L1151" s="124"/>
      <c r="M1151" s="124"/>
      <c r="N1151" s="124"/>
      <c r="O1151" s="124"/>
      <c r="T1151" s="129">
        <f>IFERROR(__xludf.DUMMYFUNCTION("""COMPUTED_VALUE"""),46078.0)</f>
        <v>46078</v>
      </c>
      <c r="U1151" s="124" t="str">
        <f>IFERROR(__xludf.DUMMYFUNCTION("""COMPUTED_VALUE"""),"Event")</f>
        <v>Event</v>
      </c>
      <c r="V1151" s="124" t="str">
        <f>IFERROR(__xludf.DUMMYFUNCTION("""COMPUTED_VALUE"""),"Events")</f>
        <v>Events</v>
      </c>
      <c r="W1151" s="124" t="str">
        <f>IFERROR(__xludf.DUMMYFUNCTION("""COMPUTED_VALUE"""),"All Centre")</f>
        <v>All Centre</v>
      </c>
      <c r="X1151" s="124" t="str">
        <f>IFERROR(__xludf.DUMMYFUNCTION("""COMPUTED_VALUE"""),"Generic")</f>
        <v>Generic</v>
      </c>
      <c r="Y1151" s="124" t="str">
        <f>IFERROR(__xludf.DUMMYFUNCTION("""COMPUTED_VALUE"""),"Delhi")</f>
        <v>Delhi</v>
      </c>
      <c r="Z1151" s="124">
        <f>IFERROR(__xludf.DUMMYFUNCTION("""COMPUTED_VALUE"""),3.0)</f>
        <v>3</v>
      </c>
      <c r="AA1151" s="124" t="str">
        <f>IFERROR(__xludf.DUMMYFUNCTION("""COMPUTED_VALUE"""),"Warm")</f>
        <v>Warm</v>
      </c>
      <c r="AB1151" s="124" t="str">
        <f>IFERROR(__xludf.DUMMYFUNCTION("""COMPUTED_VALUE"""),"Optionals")</f>
        <v>Optionals</v>
      </c>
    </row>
    <row r="1152">
      <c r="A1152" s="129">
        <f>IFERROR(__xludf.DUMMYFUNCTION("""COMPUTED_VALUE"""),46106.0)</f>
        <v>46106</v>
      </c>
      <c r="B1152" s="124" t="str">
        <f>IFERROR(__xludf.DUMMYFUNCTION("""COMPUTED_VALUE"""),"Walkin")</f>
        <v>Walkin</v>
      </c>
      <c r="C1152" s="124" t="str">
        <f>IFERROR(__xludf.DUMMYFUNCTION("""COMPUTED_VALUE"""),"Delhi")</f>
        <v>Delhi</v>
      </c>
      <c r="D1152" s="124" t="str">
        <f>IFERROR(__xludf.DUMMYFUNCTION("""COMPUTED_VALUE"""),"Primary_Walkin")</f>
        <v>Primary_Walkin</v>
      </c>
      <c r="E1152" s="124">
        <f>IFERROR(__xludf.DUMMYFUNCTION("""COMPUTED_VALUE"""),1.0)</f>
        <v>1</v>
      </c>
      <c r="F1152" s="124" t="str">
        <f>IFERROR(__xludf.DUMMYFUNCTION("""COMPUTED_VALUE"""),"Enrolled")</f>
        <v>Enrolled</v>
      </c>
      <c r="G1152" s="124" t="str">
        <f>IFERROR(__xludf.DUMMYFUNCTION("""COMPUTED_VALUE"""),"SIP Offline")</f>
        <v>SIP Offline</v>
      </c>
      <c r="K1152" s="124"/>
      <c r="L1152" s="124"/>
      <c r="M1152" s="124"/>
      <c r="N1152" s="124"/>
      <c r="O1152" s="124"/>
      <c r="T1152" s="126">
        <f>IFERROR(__xludf.DUMMYFUNCTION("""COMPUTED_VALUE"""),46064.0)</f>
        <v>46064</v>
      </c>
      <c r="U1152" s="124" t="str">
        <f>IFERROR(__xludf.DUMMYFUNCTION("""COMPUTED_VALUE"""),"Event")</f>
        <v>Event</v>
      </c>
      <c r="V1152" s="124" t="str">
        <f>IFERROR(__xludf.DUMMYFUNCTION("""COMPUTED_VALUE"""),"Events")</f>
        <v>Events</v>
      </c>
      <c r="W1152" s="124" t="str">
        <f>IFERROR(__xludf.DUMMYFUNCTION("""COMPUTED_VALUE"""),"All Centre")</f>
        <v>All Centre</v>
      </c>
      <c r="X1152" s="124" t="str">
        <f>IFERROR(__xludf.DUMMYFUNCTION("""COMPUTED_VALUE"""),"Generic")</f>
        <v>Generic</v>
      </c>
      <c r="Y1152" s="124" t="str">
        <f>IFERROR(__xludf.DUMMYFUNCTION("""COMPUTED_VALUE"""),"Delhi")</f>
        <v>Delhi</v>
      </c>
      <c r="Z1152" s="124">
        <f>IFERROR(__xludf.DUMMYFUNCTION("""COMPUTED_VALUE"""),1.0)</f>
        <v>1</v>
      </c>
      <c r="AA1152" s="124" t="str">
        <f>IFERROR(__xludf.DUMMYFUNCTION("""COMPUTED_VALUE"""),"Cold")</f>
        <v>Cold</v>
      </c>
      <c r="AB1152" s="124" t="str">
        <f>IFERROR(__xludf.DUMMYFUNCTION("""COMPUTED_VALUE"""),"Other")</f>
        <v>Other</v>
      </c>
    </row>
    <row r="1153">
      <c r="A1153" s="129">
        <f>IFERROR(__xludf.DUMMYFUNCTION("""COMPUTED_VALUE"""),46082.0)</f>
        <v>46082</v>
      </c>
      <c r="B1153" s="124" t="str">
        <f>IFERROR(__xludf.DUMMYFUNCTION("""COMPUTED_VALUE"""),"Walkin")</f>
        <v>Walkin</v>
      </c>
      <c r="C1153" s="124" t="str">
        <f>IFERROR(__xludf.DUMMYFUNCTION("""COMPUTED_VALUE"""),"Delhi")</f>
        <v>Delhi</v>
      </c>
      <c r="D1153" s="124" t="str">
        <f>IFERROR(__xludf.DUMMYFUNCTION("""COMPUTED_VALUE"""),"Primary_Walkin")</f>
        <v>Primary_Walkin</v>
      </c>
      <c r="E1153" s="124">
        <f>IFERROR(__xludf.DUMMYFUNCTION("""COMPUTED_VALUE"""),1.0)</f>
        <v>1</v>
      </c>
      <c r="F1153" s="124" t="str">
        <f>IFERROR(__xludf.DUMMYFUNCTION("""COMPUTED_VALUE"""),"Cold")</f>
        <v>Cold</v>
      </c>
      <c r="G1153" s="124" t="str">
        <f>IFERROR(__xludf.DUMMYFUNCTION("""COMPUTED_VALUE"""),"Test Series")</f>
        <v>Test Series</v>
      </c>
      <c r="K1153" s="124"/>
      <c r="L1153" s="124"/>
      <c r="M1153" s="124"/>
      <c r="N1153" s="124"/>
      <c r="O1153" s="124"/>
      <c r="T1153" s="126">
        <f>IFERROR(__xludf.DUMMYFUNCTION("""COMPUTED_VALUE"""),46044.0)</f>
        <v>46044</v>
      </c>
      <c r="U1153" s="124" t="str">
        <f>IFERROR(__xludf.DUMMYFUNCTION("""COMPUTED_VALUE"""),"Event")</f>
        <v>Event</v>
      </c>
      <c r="V1153" s="124" t="str">
        <f>IFERROR(__xludf.DUMMYFUNCTION("""COMPUTED_VALUE"""),"Events")</f>
        <v>Events</v>
      </c>
      <c r="W1153" s="124" t="str">
        <f>IFERROR(__xludf.DUMMYFUNCTION("""COMPUTED_VALUE"""),"Delhi")</f>
        <v>Delhi</v>
      </c>
      <c r="X1153" s="124" t="str">
        <f>IFERROR(__xludf.DUMMYFUNCTION("""COMPUTED_VALUE"""),"DRCSEMINAR(CTC)")</f>
        <v>DRCSEMINAR(CTC)</v>
      </c>
      <c r="Y1153" s="124"/>
      <c r="Z1153" s="124">
        <f>IFERROR(__xludf.DUMMYFUNCTION("""COMPUTED_VALUE"""),1.0)</f>
        <v>1</v>
      </c>
      <c r="AA1153" s="124" t="str">
        <f>IFERROR(__xludf.DUMMYFUNCTION("""COMPUTED_VALUE"""),"Cold")</f>
        <v>Cold</v>
      </c>
      <c r="AB1153" s="124"/>
    </row>
    <row r="1154">
      <c r="A1154" s="129">
        <f>IFERROR(__xludf.DUMMYFUNCTION("""COMPUTED_VALUE"""),46106.0)</f>
        <v>46106</v>
      </c>
      <c r="B1154" s="124" t="str">
        <f>IFERROR(__xludf.DUMMYFUNCTION("""COMPUTED_VALUE"""),"Walkin")</f>
        <v>Walkin</v>
      </c>
      <c r="C1154" s="124" t="str">
        <f>IFERROR(__xludf.DUMMYFUNCTION("""COMPUTED_VALUE"""),"Delhi")</f>
        <v>Delhi</v>
      </c>
      <c r="D1154" s="124" t="str">
        <f>IFERROR(__xludf.DUMMYFUNCTION("""COMPUTED_VALUE"""),"Primary_Walkin")</f>
        <v>Primary_Walkin</v>
      </c>
      <c r="E1154" s="124">
        <f>IFERROR(__xludf.DUMMYFUNCTION("""COMPUTED_VALUE"""),3.0)</f>
        <v>3</v>
      </c>
      <c r="F1154" s="124" t="str">
        <f>IFERROR(__xludf.DUMMYFUNCTION("""COMPUTED_VALUE"""),"Future Prospects")</f>
        <v>Future Prospects</v>
      </c>
      <c r="G1154" s="124" t="str">
        <f>IFERROR(__xludf.DUMMYFUNCTION("""COMPUTED_VALUE"""),"GS Foundation")</f>
        <v>GS Foundation</v>
      </c>
      <c r="K1154" s="124"/>
      <c r="L1154" s="124"/>
      <c r="M1154" s="124"/>
      <c r="N1154" s="124"/>
      <c r="O1154" s="124"/>
      <c r="T1154" s="126">
        <f>IFERROR(__xludf.DUMMYFUNCTION("""COMPUTED_VALUE"""),46065.0)</f>
        <v>46065</v>
      </c>
      <c r="U1154" s="124" t="str">
        <f>IFERROR(__xludf.DUMMYFUNCTION("""COMPUTED_VALUE"""),"Event")</f>
        <v>Event</v>
      </c>
      <c r="V1154" s="124" t="str">
        <f>IFERROR(__xludf.DUMMYFUNCTION("""COMPUTED_VALUE"""),"Events")</f>
        <v>Events</v>
      </c>
      <c r="W1154" s="124" t="str">
        <f>IFERROR(__xludf.DUMMYFUNCTION("""COMPUTED_VALUE"""),"All Centre")</f>
        <v>All Centre</v>
      </c>
      <c r="X1154" s="124" t="str">
        <f>IFERROR(__xludf.DUMMYFUNCTION("""COMPUTED_VALUE"""),"Generic")</f>
        <v>Generic</v>
      </c>
      <c r="Y1154" s="124" t="str">
        <f>IFERROR(__xludf.DUMMYFUNCTION("""COMPUTED_VALUE"""),"Delhi")</f>
        <v>Delhi</v>
      </c>
      <c r="Z1154" s="124">
        <f>IFERROR(__xludf.DUMMYFUNCTION("""COMPUTED_VALUE"""),2.0)</f>
        <v>2</v>
      </c>
      <c r="AA1154" s="124" t="str">
        <f>IFERROR(__xludf.DUMMYFUNCTION("""COMPUTED_VALUE"""),"Not Interested")</f>
        <v>Not Interested</v>
      </c>
      <c r="AB1154" s="124" t="str">
        <f>IFERROR(__xludf.DUMMYFUNCTION("""COMPUTED_VALUE"""),"Prelims Crash Course - SIP")</f>
        <v>Prelims Crash Course - SIP</v>
      </c>
    </row>
    <row r="1155">
      <c r="A1155" s="126">
        <f>IFERROR(__xludf.DUMMYFUNCTION("""COMPUTED_VALUE"""),46053.0)</f>
        <v>46053</v>
      </c>
      <c r="B1155" s="124" t="str">
        <f>IFERROR(__xludf.DUMMYFUNCTION("""COMPUTED_VALUE"""),"Walkin")</f>
        <v>Walkin</v>
      </c>
      <c r="C1155" s="124" t="str">
        <f>IFERROR(__xludf.DUMMYFUNCTION("""COMPUTED_VALUE"""),"Delhi")</f>
        <v>Delhi</v>
      </c>
      <c r="D1155" s="124" t="str">
        <f>IFERROR(__xludf.DUMMYFUNCTION("""COMPUTED_VALUE"""),"Primary_Walkin")</f>
        <v>Primary_Walkin</v>
      </c>
      <c r="E1155" s="124">
        <f>IFERROR(__xludf.DUMMYFUNCTION("""COMPUTED_VALUE"""),1.0)</f>
        <v>1</v>
      </c>
      <c r="F1155" s="124" t="str">
        <f>IFERROR(__xludf.DUMMYFUNCTION("""COMPUTED_VALUE"""),"Cold")</f>
        <v>Cold</v>
      </c>
      <c r="G1155" s="124" t="str">
        <f>IFERROR(__xludf.DUMMYFUNCTION("""COMPUTED_VALUE"""),"Mentorship")</f>
        <v>Mentorship</v>
      </c>
      <c r="K1155" s="124"/>
      <c r="L1155" s="124"/>
      <c r="M1155" s="124"/>
      <c r="N1155" s="124"/>
      <c r="O1155" s="124"/>
      <c r="T1155" s="126">
        <f>IFERROR(__xludf.DUMMYFUNCTION("""COMPUTED_VALUE"""),46065.0)</f>
        <v>46065</v>
      </c>
      <c r="U1155" s="124" t="str">
        <f>IFERROR(__xludf.DUMMYFUNCTION("""COMPUTED_VALUE"""),"Event")</f>
        <v>Event</v>
      </c>
      <c r="V1155" s="124" t="str">
        <f>IFERROR(__xludf.DUMMYFUNCTION("""COMPUTED_VALUE"""),"Events")</f>
        <v>Events</v>
      </c>
      <c r="W1155" s="124" t="str">
        <f>IFERROR(__xludf.DUMMYFUNCTION("""COMPUTED_VALUE"""),"All Centre")</f>
        <v>All Centre</v>
      </c>
      <c r="X1155" s="124" t="str">
        <f>IFERROR(__xludf.DUMMYFUNCTION("""COMPUTED_VALUE"""),"Generic")</f>
        <v>Generic</v>
      </c>
      <c r="Y1155" s="124" t="str">
        <f>IFERROR(__xludf.DUMMYFUNCTION("""COMPUTED_VALUE"""),"Delhi")</f>
        <v>Delhi</v>
      </c>
      <c r="Z1155" s="124">
        <f>IFERROR(__xludf.DUMMYFUNCTION("""COMPUTED_VALUE"""),2.0)</f>
        <v>2</v>
      </c>
      <c r="AA1155" s="124" t="str">
        <f>IFERROR(__xludf.DUMMYFUNCTION("""COMPUTED_VALUE"""),"Cold")</f>
        <v>Cold</v>
      </c>
      <c r="AB1155" s="124" t="str">
        <f>IFERROR(__xludf.DUMMYFUNCTION("""COMPUTED_VALUE"""),"IGP UPPSC")</f>
        <v>IGP UPPSC</v>
      </c>
    </row>
    <row r="1156">
      <c r="A1156" s="126">
        <f>IFERROR(__xludf.DUMMYFUNCTION("""COMPUTED_VALUE"""),46091.0)</f>
        <v>46091</v>
      </c>
      <c r="B1156" s="124" t="str">
        <f>IFERROR(__xludf.DUMMYFUNCTION("""COMPUTED_VALUE"""),"Walkin")</f>
        <v>Walkin</v>
      </c>
      <c r="C1156" s="124" t="str">
        <f>IFERROR(__xludf.DUMMYFUNCTION("""COMPUTED_VALUE"""),"Delhi")</f>
        <v>Delhi</v>
      </c>
      <c r="D1156" s="124" t="str">
        <f>IFERROR(__xludf.DUMMYFUNCTION("""COMPUTED_VALUE"""),"Primary_Walkin")</f>
        <v>Primary_Walkin</v>
      </c>
      <c r="E1156" s="124">
        <f>IFERROR(__xludf.DUMMYFUNCTION("""COMPUTED_VALUE"""),3.0)</f>
        <v>3</v>
      </c>
      <c r="F1156" s="124" t="str">
        <f>IFERROR(__xludf.DUMMYFUNCTION("""COMPUTED_VALUE"""),"Fake Lead")</f>
        <v>Fake Lead</v>
      </c>
      <c r="G1156" s="124" t="str">
        <f>IFERROR(__xludf.DUMMYFUNCTION("""COMPUTED_VALUE"""),"GS Foundation")</f>
        <v>GS Foundation</v>
      </c>
      <c r="K1156" s="124"/>
      <c r="L1156" s="124"/>
      <c r="M1156" s="124"/>
      <c r="N1156" s="124"/>
      <c r="O1156" s="124"/>
      <c r="T1156" s="126">
        <f>IFERROR(__xludf.DUMMYFUNCTION("""COMPUTED_VALUE"""),46077.0)</f>
        <v>46077</v>
      </c>
      <c r="U1156" s="124" t="str">
        <f>IFERROR(__xludf.DUMMYFUNCTION("""COMPUTED_VALUE"""),"Event")</f>
        <v>Event</v>
      </c>
      <c r="V1156" s="124" t="str">
        <f>IFERROR(__xludf.DUMMYFUNCTION("""COMPUTED_VALUE"""),"Events")</f>
        <v>Events</v>
      </c>
      <c r="W1156" s="124" t="str">
        <f>IFERROR(__xludf.DUMMYFUNCTION("""COMPUTED_VALUE"""),"All Centre")</f>
        <v>All Centre</v>
      </c>
      <c r="X1156" s="124" t="str">
        <f>IFERROR(__xludf.DUMMYFUNCTION("""COMPUTED_VALUE"""),"Generic")</f>
        <v>Generic</v>
      </c>
      <c r="Y1156" s="124" t="str">
        <f>IFERROR(__xludf.DUMMYFUNCTION("""COMPUTED_VALUE"""),"Delhi")</f>
        <v>Delhi</v>
      </c>
      <c r="Z1156" s="124">
        <f>IFERROR(__xludf.DUMMYFUNCTION("""COMPUTED_VALUE"""),3.0)</f>
        <v>3</v>
      </c>
      <c r="AA1156" s="124" t="str">
        <f>IFERROR(__xludf.DUMMYFUNCTION("""COMPUTED_VALUE"""),"Not Interested")</f>
        <v>Not Interested</v>
      </c>
      <c r="AB1156" s="124" t="str">
        <f>IFERROR(__xludf.DUMMYFUNCTION("""COMPUTED_VALUE"""),"GS Foundation")</f>
        <v>GS Foundation</v>
      </c>
    </row>
    <row r="1157">
      <c r="A1157" s="129">
        <f>IFERROR(__xludf.DUMMYFUNCTION("""COMPUTED_VALUE"""),46098.0)</f>
        <v>46098</v>
      </c>
      <c r="B1157" s="124" t="str">
        <f>IFERROR(__xludf.DUMMYFUNCTION("""COMPUTED_VALUE"""),"events")</f>
        <v>events</v>
      </c>
      <c r="C1157" s="124" t="str">
        <f>IFERROR(__xludf.DUMMYFUNCTION("""COMPUTED_VALUE"""),"Delhi")</f>
        <v>Delhi</v>
      </c>
      <c r="D1157" s="124" t="str">
        <f>IFERROR(__xludf.DUMMYFUNCTION("""COMPUTED_VALUE"""),"Secondary_Walkin")</f>
        <v>Secondary_Walkin</v>
      </c>
      <c r="E1157" s="124">
        <f>IFERROR(__xludf.DUMMYFUNCTION("""COMPUTED_VALUE"""),1.0)</f>
        <v>1</v>
      </c>
      <c r="F1157" s="124" t="str">
        <f>IFERROR(__xludf.DUMMYFUNCTION("""COMPUTED_VALUE"""),"Warm")</f>
        <v>Warm</v>
      </c>
      <c r="G1157" s="124" t="str">
        <f>IFERROR(__xludf.DUMMYFUNCTION("""COMPUTED_VALUE"""),"GS Foundation")</f>
        <v>GS Foundation</v>
      </c>
      <c r="K1157" s="124"/>
      <c r="L1157" s="124"/>
      <c r="M1157" s="124"/>
      <c r="N1157" s="124"/>
      <c r="O1157" s="124"/>
      <c r="T1157" s="126">
        <f>IFERROR(__xludf.DUMMYFUNCTION("""COMPUTED_VALUE"""),46078.0)</f>
        <v>46078</v>
      </c>
      <c r="U1157" s="124" t="str">
        <f>IFERROR(__xludf.DUMMYFUNCTION("""COMPUTED_VALUE"""),"Event")</f>
        <v>Event</v>
      </c>
      <c r="V1157" s="124" t="str">
        <f>IFERROR(__xludf.DUMMYFUNCTION("""COMPUTED_VALUE"""),"Events")</f>
        <v>Events</v>
      </c>
      <c r="W1157" s="124" t="str">
        <f>IFERROR(__xludf.DUMMYFUNCTION("""COMPUTED_VALUE"""),"All Centre")</f>
        <v>All Centre</v>
      </c>
      <c r="X1157" s="124" t="str">
        <f>IFERROR(__xludf.DUMMYFUNCTION("""COMPUTED_VALUE"""),"Generic")</f>
        <v>Generic</v>
      </c>
      <c r="Y1157" s="124" t="str">
        <f>IFERROR(__xludf.DUMMYFUNCTION("""COMPUTED_VALUE"""),"Delhi")</f>
        <v>Delhi</v>
      </c>
      <c r="Z1157" s="124">
        <f>IFERROR(__xludf.DUMMYFUNCTION("""COMPUTED_VALUE"""),2.0)</f>
        <v>2</v>
      </c>
      <c r="AA1157" s="124" t="str">
        <f>IFERROR(__xludf.DUMMYFUNCTION("""COMPUTED_VALUE"""),"Fake Lead")</f>
        <v>Fake Lead</v>
      </c>
      <c r="AB1157" s="124" t="str">
        <f>IFERROR(__xludf.DUMMYFUNCTION("""COMPUTED_VALUE"""),"GS Foundation")</f>
        <v>GS Foundation</v>
      </c>
    </row>
    <row r="1158">
      <c r="A1158" s="126">
        <f>IFERROR(__xludf.DUMMYFUNCTION("""COMPUTED_VALUE"""),46065.0)</f>
        <v>46065</v>
      </c>
      <c r="B1158" s="124" t="str">
        <f>IFERROR(__xludf.DUMMYFUNCTION("""COMPUTED_VALUE"""),"whatsapp")</f>
        <v>whatsapp</v>
      </c>
      <c r="C1158" s="124" t="str">
        <f>IFERROR(__xludf.DUMMYFUNCTION("""COMPUTED_VALUE"""),"Delhi")</f>
        <v>Delhi</v>
      </c>
      <c r="D1158" s="124" t="str">
        <f>IFERROR(__xludf.DUMMYFUNCTION("""COMPUTED_VALUE"""),"Secondary_Walkin")</f>
        <v>Secondary_Walkin</v>
      </c>
      <c r="E1158" s="124">
        <f>IFERROR(__xludf.DUMMYFUNCTION("""COMPUTED_VALUE"""),1.0)</f>
        <v>1</v>
      </c>
      <c r="F1158" s="124" t="str">
        <f>IFERROR(__xludf.DUMMYFUNCTION("""COMPUTED_VALUE"""),"Not Interested")</f>
        <v>Not Interested</v>
      </c>
      <c r="G1158" s="124" t="str">
        <f>IFERROR(__xludf.DUMMYFUNCTION("""COMPUTED_VALUE"""),"IGP UPPSC")</f>
        <v>IGP UPPSC</v>
      </c>
      <c r="K1158" s="124"/>
      <c r="L1158" s="124"/>
      <c r="M1158" s="124"/>
      <c r="N1158" s="124"/>
      <c r="O1158" s="124"/>
      <c r="T1158" s="126">
        <f>IFERROR(__xludf.DUMMYFUNCTION("""COMPUTED_VALUE"""),46049.0)</f>
        <v>46049</v>
      </c>
      <c r="U1158" s="124" t="str">
        <f>IFERROR(__xludf.DUMMYFUNCTION("""COMPUTED_VALUE"""),"Event")</f>
        <v>Event</v>
      </c>
      <c r="V1158" s="124" t="str">
        <f>IFERROR(__xludf.DUMMYFUNCTION("""COMPUTED_VALUE"""),"Events")</f>
        <v>Events</v>
      </c>
      <c r="W1158" s="124" t="str">
        <f>IFERROR(__xludf.DUMMYFUNCTION("""COMPUTED_VALUE"""),"Delhi")</f>
        <v>Delhi</v>
      </c>
      <c r="X1158" s="124" t="str">
        <f>IFERROR(__xludf.DUMMYFUNCTION("""COMPUTED_VALUE"""),"DRCSEMINAR(CTC)")</f>
        <v>DRCSEMINAR(CTC)</v>
      </c>
      <c r="Y1158" s="124" t="str">
        <f>IFERROR(__xludf.DUMMYFUNCTION("""COMPUTED_VALUE"""),"Delhi")</f>
        <v>Delhi</v>
      </c>
      <c r="Z1158" s="124">
        <f>IFERROR(__xludf.DUMMYFUNCTION("""COMPUTED_VALUE"""),1.0)</f>
        <v>1</v>
      </c>
      <c r="AA1158" s="124" t="str">
        <f>IFERROR(__xludf.DUMMYFUNCTION("""COMPUTED_VALUE"""),"Cold")</f>
        <v>Cold</v>
      </c>
      <c r="AB1158" s="124" t="str">
        <f>IFERROR(__xludf.DUMMYFUNCTION("""COMPUTED_VALUE"""),"GS Foundation")</f>
        <v>GS Foundation</v>
      </c>
    </row>
    <row r="1159">
      <c r="A1159" s="126">
        <f>IFERROR(__xludf.DUMMYFUNCTION("""COMPUTED_VALUE"""),46067.0)</f>
        <v>46067</v>
      </c>
      <c r="B1159" s="124" t="str">
        <f>IFERROR(__xludf.DUMMYFUNCTION("""COMPUTED_VALUE"""),"Walkin")</f>
        <v>Walkin</v>
      </c>
      <c r="C1159" s="124" t="str">
        <f>IFERROR(__xludf.DUMMYFUNCTION("""COMPUTED_VALUE"""),"Delhi")</f>
        <v>Delhi</v>
      </c>
      <c r="D1159" s="124" t="str">
        <f>IFERROR(__xludf.DUMMYFUNCTION("""COMPUTED_VALUE"""),"Primary_Walkin")</f>
        <v>Primary_Walkin</v>
      </c>
      <c r="E1159" s="124">
        <f>IFERROR(__xludf.DUMMYFUNCTION("""COMPUTED_VALUE"""),1.0)</f>
        <v>1</v>
      </c>
      <c r="F1159" s="124" t="str">
        <f>IFERROR(__xludf.DUMMYFUNCTION("""COMPUTED_VALUE"""),"Not Interested")</f>
        <v>Not Interested</v>
      </c>
      <c r="G1159" s="124" t="str">
        <f>IFERROR(__xludf.DUMMYFUNCTION("""COMPUTED_VALUE"""),"SIP Offline")</f>
        <v>SIP Offline</v>
      </c>
      <c r="K1159" s="124"/>
      <c r="L1159" s="124"/>
      <c r="M1159" s="124"/>
      <c r="N1159" s="124"/>
      <c r="O1159" s="124"/>
      <c r="T1159" s="126">
        <f>IFERROR(__xludf.DUMMYFUNCTION("""COMPUTED_VALUE"""),46077.0)</f>
        <v>46077</v>
      </c>
      <c r="U1159" s="124" t="str">
        <f>IFERROR(__xludf.DUMMYFUNCTION("""COMPUTED_VALUE"""),"Event")</f>
        <v>Event</v>
      </c>
      <c r="V1159" s="124" t="str">
        <f>IFERROR(__xludf.DUMMYFUNCTION("""COMPUTED_VALUE"""),"Events")</f>
        <v>Events</v>
      </c>
      <c r="W1159" s="124" t="str">
        <f>IFERROR(__xludf.DUMMYFUNCTION("""COMPUTED_VALUE"""),"All Centre")</f>
        <v>All Centre</v>
      </c>
      <c r="X1159" s="124" t="str">
        <f>IFERROR(__xludf.DUMMYFUNCTION("""COMPUTED_VALUE"""),"Generic")</f>
        <v>Generic</v>
      </c>
      <c r="Y1159" s="124" t="str">
        <f>IFERROR(__xludf.DUMMYFUNCTION("""COMPUTED_VALUE"""),"Delhi")</f>
        <v>Delhi</v>
      </c>
      <c r="Z1159" s="124">
        <f>IFERROR(__xludf.DUMMYFUNCTION("""COMPUTED_VALUE"""),2.0)</f>
        <v>2</v>
      </c>
      <c r="AA1159" s="124" t="str">
        <f>IFERROR(__xludf.DUMMYFUNCTION("""COMPUTED_VALUE"""),"Cold")</f>
        <v>Cold</v>
      </c>
      <c r="AB1159" s="124" t="str">
        <f>IFERROR(__xludf.DUMMYFUNCTION("""COMPUTED_VALUE"""),"GS Advanced")</f>
        <v>GS Advanced</v>
      </c>
    </row>
    <row r="1160">
      <c r="A1160" s="126">
        <f>IFERROR(__xludf.DUMMYFUNCTION("""COMPUTED_VALUE"""),46060.0)</f>
        <v>46060</v>
      </c>
      <c r="B1160" s="124" t="str">
        <f>IFERROR(__xludf.DUMMYFUNCTION("""COMPUTED_VALUE"""),"Walkin")</f>
        <v>Walkin</v>
      </c>
      <c r="C1160" s="124" t="str">
        <f>IFERROR(__xludf.DUMMYFUNCTION("""COMPUTED_VALUE"""),"Delhi")</f>
        <v>Delhi</v>
      </c>
      <c r="D1160" s="124" t="str">
        <f>IFERROR(__xludf.DUMMYFUNCTION("""COMPUTED_VALUE"""),"Primary_Walkin")</f>
        <v>Primary_Walkin</v>
      </c>
      <c r="E1160" s="124">
        <f>IFERROR(__xludf.DUMMYFUNCTION("""COMPUTED_VALUE"""),4.0)</f>
        <v>4</v>
      </c>
      <c r="F1160" s="124" t="str">
        <f>IFERROR(__xludf.DUMMYFUNCTION("""COMPUTED_VALUE"""),"Fake Lead")</f>
        <v>Fake Lead</v>
      </c>
      <c r="G1160" s="124" t="str">
        <f>IFERROR(__xludf.DUMMYFUNCTION("""COMPUTED_VALUE"""),"GS Foundation")</f>
        <v>GS Foundation</v>
      </c>
      <c r="K1160" s="124"/>
      <c r="L1160" s="124"/>
      <c r="M1160" s="124"/>
      <c r="N1160" s="124"/>
      <c r="O1160" s="124"/>
      <c r="T1160" s="126">
        <f>IFERROR(__xludf.DUMMYFUNCTION("""COMPUTED_VALUE"""),46057.0)</f>
        <v>46057</v>
      </c>
      <c r="U1160" s="124" t="str">
        <f>IFERROR(__xludf.DUMMYFUNCTION("""COMPUTED_VALUE"""),"Event")</f>
        <v>Event</v>
      </c>
      <c r="V1160" s="124" t="str">
        <f>IFERROR(__xludf.DUMMYFUNCTION("""COMPUTED_VALUE"""),"Events")</f>
        <v>Events</v>
      </c>
      <c r="W1160" s="124" t="str">
        <f>IFERROR(__xludf.DUMMYFUNCTION("""COMPUTED_VALUE"""),"Delhi")</f>
        <v>Delhi</v>
      </c>
      <c r="X1160" s="124" t="str">
        <f>IFERROR(__xludf.DUMMYFUNCTION("""COMPUTED_VALUE"""),"DRCSEMINAR(CTC)")</f>
        <v>DRCSEMINAR(CTC)</v>
      </c>
      <c r="Y1160" s="124" t="str">
        <f>IFERROR(__xludf.DUMMYFUNCTION("""COMPUTED_VALUE"""),"Delhi")</f>
        <v>Delhi</v>
      </c>
      <c r="Z1160" s="124">
        <f>IFERROR(__xludf.DUMMYFUNCTION("""COMPUTED_VALUE"""),1.0)</f>
        <v>1</v>
      </c>
      <c r="AA1160" s="124" t="str">
        <f>IFERROR(__xludf.DUMMYFUNCTION("""COMPUTED_VALUE"""),"Future Prospects")</f>
        <v>Future Prospects</v>
      </c>
      <c r="AB1160" s="124"/>
    </row>
    <row r="1161">
      <c r="A1161" s="129">
        <f>IFERROR(__xludf.DUMMYFUNCTION("""COMPUTED_VALUE"""),46043.0)</f>
        <v>46043</v>
      </c>
      <c r="B1161" s="124" t="str">
        <f>IFERROR(__xludf.DUMMYFUNCTION("""COMPUTED_VALUE"""),"Walkin")</f>
        <v>Walkin</v>
      </c>
      <c r="C1161" s="124" t="str">
        <f>IFERROR(__xludf.DUMMYFUNCTION("""COMPUTED_VALUE"""),"Delhi")</f>
        <v>Delhi</v>
      </c>
      <c r="D1161" s="124" t="str">
        <f>IFERROR(__xludf.DUMMYFUNCTION("""COMPUTED_VALUE"""),"Primary_Walkin")</f>
        <v>Primary_Walkin</v>
      </c>
      <c r="E1161" s="124">
        <f>IFERROR(__xludf.DUMMYFUNCTION("""COMPUTED_VALUE"""),2.0)</f>
        <v>2</v>
      </c>
      <c r="F1161" s="124" t="str">
        <f>IFERROR(__xludf.DUMMYFUNCTION("""COMPUTED_VALUE"""),"Enrolled")</f>
        <v>Enrolled</v>
      </c>
      <c r="G1161" s="124" t="str">
        <f>IFERROR(__xludf.DUMMYFUNCTION("""COMPUTED_VALUE"""),"GS Foundation")</f>
        <v>GS Foundation</v>
      </c>
      <c r="K1161" s="124"/>
      <c r="L1161" s="124"/>
      <c r="M1161" s="124"/>
      <c r="N1161" s="124"/>
      <c r="O1161" s="124"/>
      <c r="T1161" s="126">
        <f>IFERROR(__xludf.DUMMYFUNCTION("""COMPUTED_VALUE"""),46047.0)</f>
        <v>46047</v>
      </c>
      <c r="U1161" s="124" t="str">
        <f>IFERROR(__xludf.DUMMYFUNCTION("""COMPUTED_VALUE"""),"Event")</f>
        <v>Event</v>
      </c>
      <c r="V1161" s="124" t="str">
        <f>IFERROR(__xludf.DUMMYFUNCTION("""COMPUTED_VALUE"""),"Events")</f>
        <v>Events</v>
      </c>
      <c r="W1161" s="124" t="str">
        <f>IFERROR(__xludf.DUMMYFUNCTION("""COMPUTED_VALUE"""),"Delhi")</f>
        <v>Delhi</v>
      </c>
      <c r="X1161" s="124" t="str">
        <f>IFERROR(__xludf.DUMMYFUNCTION("""COMPUTED_VALUE"""),"DRCSEMINAR(CTC)")</f>
        <v>DRCSEMINAR(CTC)</v>
      </c>
      <c r="Y1161" s="124"/>
      <c r="Z1161" s="124">
        <f>IFERROR(__xludf.DUMMYFUNCTION("""COMPUTED_VALUE"""),7.0)</f>
        <v>7</v>
      </c>
      <c r="AA1161" s="124" t="str">
        <f>IFERROR(__xludf.DUMMYFUNCTION("""COMPUTED_VALUE"""),"Not Interested")</f>
        <v>Not Interested</v>
      </c>
      <c r="AB1161" s="124"/>
    </row>
    <row r="1162">
      <c r="A1162" s="126">
        <f>IFERROR(__xludf.DUMMYFUNCTION("""COMPUTED_VALUE"""),46056.0)</f>
        <v>46056</v>
      </c>
      <c r="B1162" s="124" t="str">
        <f>IFERROR(__xludf.DUMMYFUNCTION("""COMPUTED_VALUE"""),"Walkin")</f>
        <v>Walkin</v>
      </c>
      <c r="C1162" s="124" t="str">
        <f>IFERROR(__xludf.DUMMYFUNCTION("""COMPUTED_VALUE"""),"Delhi")</f>
        <v>Delhi</v>
      </c>
      <c r="D1162" s="124" t="str">
        <f>IFERROR(__xludf.DUMMYFUNCTION("""COMPUTED_VALUE"""),"Primary_Walkin")</f>
        <v>Primary_Walkin</v>
      </c>
      <c r="E1162" s="124">
        <f>IFERROR(__xludf.DUMMYFUNCTION("""COMPUTED_VALUE"""),4.0)</f>
        <v>4</v>
      </c>
      <c r="F1162" s="124" t="str">
        <f>IFERROR(__xludf.DUMMYFUNCTION("""COMPUTED_VALUE"""),"Not Interested")</f>
        <v>Not Interested</v>
      </c>
      <c r="G1162" s="124" t="str">
        <f>IFERROR(__xludf.DUMMYFUNCTION("""COMPUTED_VALUE"""),"GS Foundation")</f>
        <v>GS Foundation</v>
      </c>
      <c r="K1162" s="124"/>
      <c r="L1162" s="124"/>
      <c r="M1162" s="124"/>
      <c r="N1162" s="124"/>
      <c r="O1162" s="124"/>
      <c r="T1162" s="126">
        <f>IFERROR(__xludf.DUMMYFUNCTION("""COMPUTED_VALUE"""),46059.0)</f>
        <v>46059</v>
      </c>
      <c r="U1162" s="124" t="str">
        <f>IFERROR(__xludf.DUMMYFUNCTION("""COMPUTED_VALUE"""),"External Leads")</f>
        <v>External Leads</v>
      </c>
      <c r="V1162" s="124" t="str">
        <f>IFERROR(__xludf.DUMMYFUNCTION("""COMPUTED_VALUE"""),"external leads")</f>
        <v>external leads</v>
      </c>
      <c r="W1162" s="124" t="str">
        <f>IFERROR(__xludf.DUMMYFUNCTION("""COMPUTED_VALUE"""),"lucknow")</f>
        <v>lucknow</v>
      </c>
      <c r="X1162" s="124" t="str">
        <f>IFERROR(__xludf.DUMMYFUNCTION("""COMPUTED_VALUE"""),"library")</f>
        <v>library</v>
      </c>
      <c r="Y1162" s="124" t="str">
        <f>IFERROR(__xludf.DUMMYFUNCTION("""COMPUTED_VALUE"""),"Lucknow")</f>
        <v>Lucknow</v>
      </c>
      <c r="Z1162" s="124">
        <f>IFERROR(__xludf.DUMMYFUNCTION("""COMPUTED_VALUE"""),5.0)</f>
        <v>5</v>
      </c>
      <c r="AA1162" s="124" t="str">
        <f>IFERROR(__xludf.DUMMYFUNCTION("""COMPUTED_VALUE"""),"Cold")</f>
        <v>Cold</v>
      </c>
      <c r="AB1162" s="124" t="str">
        <f>IFERROR(__xludf.DUMMYFUNCTION("""COMPUTED_VALUE"""),"GS Foundation")</f>
        <v>GS Foundation</v>
      </c>
    </row>
    <row r="1163">
      <c r="A1163" s="129">
        <f>IFERROR(__xludf.DUMMYFUNCTION("""COMPUTED_VALUE"""),46092.0)</f>
        <v>46092</v>
      </c>
      <c r="B1163" s="124" t="str">
        <f>IFERROR(__xludf.DUMMYFUNCTION("""COMPUTED_VALUE"""),"Walk-In")</f>
        <v>Walk-In</v>
      </c>
      <c r="C1163" s="124" t="str">
        <f>IFERROR(__xludf.DUMMYFUNCTION("""COMPUTED_VALUE"""),"Delhi")</f>
        <v>Delhi</v>
      </c>
      <c r="D1163" s="124" t="str">
        <f>IFERROR(__xludf.DUMMYFUNCTION("""COMPUTED_VALUE"""),"Primary_Walkin")</f>
        <v>Primary_Walkin</v>
      </c>
      <c r="E1163" s="124">
        <f>IFERROR(__xludf.DUMMYFUNCTION("""COMPUTED_VALUE"""),2.0)</f>
        <v>2</v>
      </c>
      <c r="F1163" s="124" t="str">
        <f>IFERROR(__xludf.DUMMYFUNCTION("""COMPUTED_VALUE"""),"Not Interested")</f>
        <v>Not Interested</v>
      </c>
      <c r="G1163" s="124" t="str">
        <f>IFERROR(__xludf.DUMMYFUNCTION("""COMPUTED_VALUE"""),"GS Foundation")</f>
        <v>GS Foundation</v>
      </c>
      <c r="K1163" s="124"/>
      <c r="L1163" s="124"/>
      <c r="M1163" s="124"/>
      <c r="N1163" s="124"/>
      <c r="O1163" s="124"/>
      <c r="T1163" s="126">
        <f>IFERROR(__xludf.DUMMYFUNCTION("""COMPUTED_VALUE"""),46098.0)</f>
        <v>46098</v>
      </c>
      <c r="U1163" s="124" t="str">
        <f>IFERROR(__xludf.DUMMYFUNCTION("""COMPUTED_VALUE"""),"Event")</f>
        <v>Event</v>
      </c>
      <c r="V1163" s="124" t="str">
        <f>IFERROR(__xludf.DUMMYFUNCTION("""COMPUTED_VALUE"""),"Events")</f>
        <v>Events</v>
      </c>
      <c r="W1163" s="124" t="str">
        <f>IFERROR(__xludf.DUMMYFUNCTION("""COMPUTED_VALUE"""),"All Centre")</f>
        <v>All Centre</v>
      </c>
      <c r="X1163" s="124" t="str">
        <f>IFERROR(__xludf.DUMMYFUNCTION("""COMPUTED_VALUE"""),"Generic")</f>
        <v>Generic</v>
      </c>
      <c r="Y1163" s="124" t="str">
        <f>IFERROR(__xludf.DUMMYFUNCTION("""COMPUTED_VALUE"""),"Delhi")</f>
        <v>Delhi</v>
      </c>
      <c r="Z1163" s="124">
        <f>IFERROR(__xludf.DUMMYFUNCTION("""COMPUTED_VALUE"""),1.0)</f>
        <v>1</v>
      </c>
      <c r="AA1163" s="124" t="str">
        <f>IFERROR(__xludf.DUMMYFUNCTION("""COMPUTED_VALUE"""),"Warm")</f>
        <v>Warm</v>
      </c>
      <c r="AB1163" s="124" t="str">
        <f>IFERROR(__xludf.DUMMYFUNCTION("""COMPUTED_VALUE"""),"GS Foundation")</f>
        <v>GS Foundation</v>
      </c>
    </row>
    <row r="1164">
      <c r="A1164" s="129">
        <f>IFERROR(__xludf.DUMMYFUNCTION("""COMPUTED_VALUE"""),46075.0)</f>
        <v>46075</v>
      </c>
      <c r="B1164" s="124" t="str">
        <f>IFERROR(__xludf.DUMMYFUNCTION("""COMPUTED_VALUE"""),"Walkin")</f>
        <v>Walkin</v>
      </c>
      <c r="C1164" s="124" t="str">
        <f>IFERROR(__xludf.DUMMYFUNCTION("""COMPUTED_VALUE"""),"Delhi")</f>
        <v>Delhi</v>
      </c>
      <c r="D1164" s="124" t="str">
        <f>IFERROR(__xludf.DUMMYFUNCTION("""COMPUTED_VALUE"""),"Primary_Walkin")</f>
        <v>Primary_Walkin</v>
      </c>
      <c r="E1164" s="124">
        <f>IFERROR(__xludf.DUMMYFUNCTION("""COMPUTED_VALUE"""),1.0)</f>
        <v>1</v>
      </c>
      <c r="F1164" s="124" t="str">
        <f>IFERROR(__xludf.DUMMYFUNCTION("""COMPUTED_VALUE"""),"Fake Lead")</f>
        <v>Fake Lead</v>
      </c>
      <c r="G1164" s="124" t="str">
        <f>IFERROR(__xludf.DUMMYFUNCTION("""COMPUTED_VALUE"""),"GS Foundation")</f>
        <v>GS Foundation</v>
      </c>
      <c r="K1164" s="124"/>
      <c r="L1164" s="124"/>
      <c r="M1164" s="124"/>
      <c r="N1164" s="124"/>
      <c r="O1164" s="124"/>
      <c r="T1164" s="126">
        <f>IFERROR(__xludf.DUMMYFUNCTION("""COMPUTED_VALUE"""),46065.0)</f>
        <v>46065</v>
      </c>
      <c r="U1164" s="124" t="str">
        <f>IFERROR(__xludf.DUMMYFUNCTION("""COMPUTED_VALUE"""),"Event")</f>
        <v>Event</v>
      </c>
      <c r="V1164" s="124" t="str">
        <f>IFERROR(__xludf.DUMMYFUNCTION("""COMPUTED_VALUE"""),"Events")</f>
        <v>Events</v>
      </c>
      <c r="W1164" s="124" t="str">
        <f>IFERROR(__xludf.DUMMYFUNCTION("""COMPUTED_VALUE"""),"All Centre")</f>
        <v>All Centre</v>
      </c>
      <c r="X1164" s="124" t="str">
        <f>IFERROR(__xludf.DUMMYFUNCTION("""COMPUTED_VALUE"""),"Generic")</f>
        <v>Generic</v>
      </c>
      <c r="Y1164" s="124" t="str">
        <f>IFERROR(__xludf.DUMMYFUNCTION("""COMPUTED_VALUE"""),"Delhi")</f>
        <v>Delhi</v>
      </c>
      <c r="Z1164" s="124">
        <f>IFERROR(__xludf.DUMMYFUNCTION("""COMPUTED_VALUE"""),9.0)</f>
        <v>9</v>
      </c>
      <c r="AA1164" s="124" t="str">
        <f>IFERROR(__xludf.DUMMYFUNCTION("""COMPUTED_VALUE"""),"Not Interested")</f>
        <v>Not Interested</v>
      </c>
      <c r="AB1164" s="124" t="str">
        <f>IFERROR(__xludf.DUMMYFUNCTION("""COMPUTED_VALUE"""),"GS Advanced")</f>
        <v>GS Advanced</v>
      </c>
    </row>
    <row r="1165">
      <c r="A1165" s="126">
        <f>IFERROR(__xludf.DUMMYFUNCTION("""COMPUTED_VALUE"""),46111.0)</f>
        <v>46111</v>
      </c>
      <c r="B1165" s="124" t="str">
        <f>IFERROR(__xludf.DUMMYFUNCTION("""COMPUTED_VALUE"""),"Walkin")</f>
        <v>Walkin</v>
      </c>
      <c r="C1165" s="124" t="str">
        <f>IFERROR(__xludf.DUMMYFUNCTION("""COMPUTED_VALUE"""),"Delhi")</f>
        <v>Delhi</v>
      </c>
      <c r="D1165" s="124" t="str">
        <f>IFERROR(__xludf.DUMMYFUNCTION("""COMPUTED_VALUE"""),"Primary_Walkin")</f>
        <v>Primary_Walkin</v>
      </c>
      <c r="E1165" s="124">
        <f>IFERROR(__xludf.DUMMYFUNCTION("""COMPUTED_VALUE"""),1.0)</f>
        <v>1</v>
      </c>
      <c r="F1165" s="124" t="str">
        <f>IFERROR(__xludf.DUMMYFUNCTION("""COMPUTED_VALUE"""),"Not Interested")</f>
        <v>Not Interested</v>
      </c>
      <c r="G1165" s="124" t="str">
        <f>IFERROR(__xludf.DUMMYFUNCTION("""COMPUTED_VALUE"""),"State PCS")</f>
        <v>State PCS</v>
      </c>
      <c r="K1165" s="124"/>
      <c r="L1165" s="124"/>
      <c r="M1165" s="124"/>
      <c r="N1165" s="124"/>
      <c r="O1165" s="124"/>
      <c r="T1165" s="126">
        <f>IFERROR(__xludf.DUMMYFUNCTION("""COMPUTED_VALUE"""),46050.0)</f>
        <v>46050</v>
      </c>
      <c r="U1165" s="124" t="str">
        <f>IFERROR(__xludf.DUMMYFUNCTION("""COMPUTED_VALUE"""),"Paid Ads")</f>
        <v>Paid Ads</v>
      </c>
      <c r="V1165" s="124" t="str">
        <f>IFERROR(__xludf.DUMMYFUNCTION("""COMPUTED_VALUE"""),"Facebook")</f>
        <v>Facebook</v>
      </c>
      <c r="W1165" s="124" t="str">
        <f>IFERROR(__xludf.DUMMYFUNCTION("""COMPUTED_VALUE"""),"LeadAd")</f>
        <v>LeadAd</v>
      </c>
      <c r="X1165" s="124" t="str">
        <f>IFERROR(__xludf.DUMMYFUNCTION("""COMPUTED_VALUE"""),"Upsc_Offline_26_Prygrj_FB_Creatives")</f>
        <v>Upsc_Offline_26_Prygrj_FB_Creatives</v>
      </c>
      <c r="Y1165" s="124" t="str">
        <f>IFERROR(__xludf.DUMMYFUNCTION("""COMPUTED_VALUE"""),"Prayagraj")</f>
        <v>Prayagraj</v>
      </c>
      <c r="Z1165" s="124">
        <f>IFERROR(__xludf.DUMMYFUNCTION("""COMPUTED_VALUE"""),4.0)</f>
        <v>4</v>
      </c>
      <c r="AA1165" s="124" t="str">
        <f>IFERROR(__xludf.DUMMYFUNCTION("""COMPUTED_VALUE"""),"Fake Lead")</f>
        <v>Fake Lead</v>
      </c>
      <c r="AB1165" s="124"/>
    </row>
    <row r="1166">
      <c r="A1166" s="126">
        <f>IFERROR(__xludf.DUMMYFUNCTION("""COMPUTED_VALUE"""),46066.0)</f>
        <v>46066</v>
      </c>
      <c r="B1166" s="124" t="str">
        <f>IFERROR(__xludf.DUMMYFUNCTION("""COMPUTED_VALUE"""),"Walkin")</f>
        <v>Walkin</v>
      </c>
      <c r="C1166" s="124" t="str">
        <f>IFERROR(__xludf.DUMMYFUNCTION("""COMPUTED_VALUE"""),"Delhi")</f>
        <v>Delhi</v>
      </c>
      <c r="D1166" s="124" t="str">
        <f>IFERROR(__xludf.DUMMYFUNCTION("""COMPUTED_VALUE"""),"Primary_Walkin")</f>
        <v>Primary_Walkin</v>
      </c>
      <c r="E1166" s="124">
        <f>IFERROR(__xludf.DUMMYFUNCTION("""COMPUTED_VALUE"""),2.0)</f>
        <v>2</v>
      </c>
      <c r="F1166" s="124" t="str">
        <f>IFERROR(__xludf.DUMMYFUNCTION("""COMPUTED_VALUE"""),"Future Prospects")</f>
        <v>Future Prospects</v>
      </c>
      <c r="G1166" s="124" t="str">
        <f>IFERROR(__xludf.DUMMYFUNCTION("""COMPUTED_VALUE"""),"GS Foundation")</f>
        <v>GS Foundation</v>
      </c>
      <c r="K1166" s="124"/>
      <c r="L1166" s="124"/>
      <c r="M1166" s="124"/>
      <c r="N1166" s="124"/>
      <c r="O1166" s="124"/>
      <c r="T1166" s="126">
        <f>IFERROR(__xludf.DUMMYFUNCTION("""COMPUTED_VALUE"""),46045.0)</f>
        <v>46045</v>
      </c>
      <c r="U1166" s="124" t="str">
        <f>IFERROR(__xludf.DUMMYFUNCTION("""COMPUTED_VALUE"""),"Paid Ads")</f>
        <v>Paid Ads</v>
      </c>
      <c r="V1166" s="124" t="str">
        <f>IFERROR(__xludf.DUMMYFUNCTION("""COMPUTED_VALUE"""),"Facebook")</f>
        <v>Facebook</v>
      </c>
      <c r="W1166" s="124" t="str">
        <f>IFERROR(__xludf.DUMMYFUNCTION("""COMPUTED_VALUE"""),"LeadAd")</f>
        <v>LeadAd</v>
      </c>
      <c r="X1166" s="124" t="str">
        <f>IFERROR(__xludf.DUMMYFUNCTION("""COMPUTED_VALUE"""),"Upsc_offline_26_delhi_FB_Creatives")</f>
        <v>Upsc_offline_26_delhi_FB_Creatives</v>
      </c>
      <c r="Y1166" s="124" t="str">
        <f>IFERROR(__xludf.DUMMYFUNCTION("""COMPUTED_VALUE"""),"Delhi")</f>
        <v>Delhi</v>
      </c>
      <c r="Z1166" s="124">
        <f>IFERROR(__xludf.DUMMYFUNCTION("""COMPUTED_VALUE"""),6.0)</f>
        <v>6</v>
      </c>
      <c r="AA1166" s="124" t="str">
        <f>IFERROR(__xludf.DUMMYFUNCTION("""COMPUTED_VALUE"""),"Cold")</f>
        <v>Cold</v>
      </c>
      <c r="AB1166" s="124"/>
    </row>
    <row r="1167">
      <c r="A1167" s="129">
        <f>IFERROR(__xludf.DUMMYFUNCTION("""COMPUTED_VALUE"""),46093.0)</f>
        <v>46093</v>
      </c>
      <c r="B1167" s="124" t="str">
        <f>IFERROR(__xludf.DUMMYFUNCTION("""COMPUTED_VALUE"""),"Walkin")</f>
        <v>Walkin</v>
      </c>
      <c r="C1167" s="124" t="str">
        <f>IFERROR(__xludf.DUMMYFUNCTION("""COMPUTED_VALUE"""),"Indore")</f>
        <v>Indore</v>
      </c>
      <c r="D1167" s="124" t="str">
        <f>IFERROR(__xludf.DUMMYFUNCTION("""COMPUTED_VALUE"""),"Primary_Walkin")</f>
        <v>Primary_Walkin</v>
      </c>
      <c r="E1167" s="124">
        <f>IFERROR(__xludf.DUMMYFUNCTION("""COMPUTED_VALUE"""),2.0)</f>
        <v>2</v>
      </c>
      <c r="F1167" s="124" t="str">
        <f>IFERROR(__xludf.DUMMYFUNCTION("""COMPUTED_VALUE"""),"Cold")</f>
        <v>Cold</v>
      </c>
      <c r="G1167" s="124" t="str">
        <f>IFERROR(__xludf.DUMMYFUNCTION("""COMPUTED_VALUE"""),"State PCS")</f>
        <v>State PCS</v>
      </c>
      <c r="K1167" s="124"/>
      <c r="L1167" s="124"/>
      <c r="M1167" s="124"/>
      <c r="N1167" s="124"/>
      <c r="O1167" s="124"/>
      <c r="T1167" s="126">
        <f>IFERROR(__xludf.DUMMYFUNCTION("""COMPUTED_VALUE"""),46088.0)</f>
        <v>46088</v>
      </c>
      <c r="U1167" s="124" t="str">
        <f>IFERROR(__xludf.DUMMYFUNCTION("""COMPUTED_VALUE"""),"Walk-Ins")</f>
        <v>Walk-Ins</v>
      </c>
      <c r="V1167" s="124" t="str">
        <f>IFERROR(__xludf.DUMMYFUNCTION("""COMPUTED_VALUE"""),"Walk-In")</f>
        <v>Walk-In</v>
      </c>
      <c r="W1167" s="124" t="str">
        <f>IFERROR(__xludf.DUMMYFUNCTION("""COMPUTED_VALUE"""),"Patna")</f>
        <v>Patna</v>
      </c>
      <c r="X1167" s="124" t="str">
        <f>IFERROR(__xludf.DUMMYFUNCTION("""COMPUTED_VALUE"""),"Tejaswi")</f>
        <v>Tejaswi</v>
      </c>
      <c r="Y1167" s="124" t="str">
        <f>IFERROR(__xludf.DUMMYFUNCTION("""COMPUTED_VALUE"""),"Patna")</f>
        <v>Patna</v>
      </c>
      <c r="Z1167" s="124">
        <f>IFERROR(__xludf.DUMMYFUNCTION("""COMPUTED_VALUE"""),1.0)</f>
        <v>1</v>
      </c>
      <c r="AA1167" s="124" t="str">
        <f>IFERROR(__xludf.DUMMYFUNCTION("""COMPUTED_VALUE"""),"Warm")</f>
        <v>Warm</v>
      </c>
      <c r="AB1167" s="124" t="str">
        <f>IFERROR(__xludf.DUMMYFUNCTION("""COMPUTED_VALUE"""),"State PCS")</f>
        <v>State PCS</v>
      </c>
    </row>
    <row r="1168">
      <c r="A1168" s="126">
        <f>IFERROR(__xludf.DUMMYFUNCTION("""COMPUTED_VALUE"""),46049.0)</f>
        <v>46049</v>
      </c>
      <c r="B1168" s="124" t="str">
        <f>IFERROR(__xludf.DUMMYFUNCTION("""COMPUTED_VALUE"""),"Walkin")</f>
        <v>Walkin</v>
      </c>
      <c r="C1168" s="124" t="str">
        <f>IFERROR(__xludf.DUMMYFUNCTION("""COMPUTED_VALUE"""),"Indore")</f>
        <v>Indore</v>
      </c>
      <c r="D1168" s="124" t="str">
        <f>IFERROR(__xludf.DUMMYFUNCTION("""COMPUTED_VALUE"""),"Primary_Walkin")</f>
        <v>Primary_Walkin</v>
      </c>
      <c r="E1168" s="124">
        <f>IFERROR(__xludf.DUMMYFUNCTION("""COMPUTED_VALUE"""),3.0)</f>
        <v>3</v>
      </c>
      <c r="F1168" s="124" t="str">
        <f>IFERROR(__xludf.DUMMYFUNCTION("""COMPUTED_VALUE"""),"Not Interested")</f>
        <v>Not Interested</v>
      </c>
      <c r="G1168" s="124" t="str">
        <f>IFERROR(__xludf.DUMMYFUNCTION("""COMPUTED_VALUE"""),"State PCS")</f>
        <v>State PCS</v>
      </c>
      <c r="K1168" s="124"/>
      <c r="L1168" s="124"/>
      <c r="M1168" s="124"/>
      <c r="N1168" s="124"/>
      <c r="O1168" s="124"/>
      <c r="T1168" s="126">
        <f>IFERROR(__xludf.DUMMYFUNCTION("""COMPUTED_VALUE"""),46051.0)</f>
        <v>46051</v>
      </c>
      <c r="U1168" s="124" t="str">
        <f>IFERROR(__xludf.DUMMYFUNCTION("""COMPUTED_VALUE"""),"Paid Ads")</f>
        <v>Paid Ads</v>
      </c>
      <c r="V1168" s="124" t="str">
        <f>IFERROR(__xludf.DUMMYFUNCTION("""COMPUTED_VALUE"""),"Facebook")</f>
        <v>Facebook</v>
      </c>
      <c r="W1168" s="124" t="str">
        <f>IFERROR(__xludf.DUMMYFUNCTION("""COMPUTED_VALUE"""),"LeadAd")</f>
        <v>LeadAd</v>
      </c>
      <c r="X1168" s="124" t="str">
        <f>IFERROR(__xludf.DUMMYFUNCTION("""COMPUTED_VALUE"""),"Upsc_offline_26_delhi_FB_Creatives")</f>
        <v>Upsc_offline_26_delhi_FB_Creatives</v>
      </c>
      <c r="Y1168" s="124" t="str">
        <f>IFERROR(__xludf.DUMMYFUNCTION("""COMPUTED_VALUE"""),"Delhi")</f>
        <v>Delhi</v>
      </c>
      <c r="Z1168" s="124">
        <f>IFERROR(__xludf.DUMMYFUNCTION("""COMPUTED_VALUE"""),1.0)</f>
        <v>1</v>
      </c>
      <c r="AA1168" s="124" t="str">
        <f>IFERROR(__xludf.DUMMYFUNCTION("""COMPUTED_VALUE"""),"Cold")</f>
        <v>Cold</v>
      </c>
      <c r="AB1168" s="124"/>
    </row>
    <row r="1169">
      <c r="A1169" s="126">
        <f>IFERROR(__xludf.DUMMYFUNCTION("""COMPUTED_VALUE"""),46071.0)</f>
        <v>46071</v>
      </c>
      <c r="B1169" s="124" t="str">
        <f>IFERROR(__xludf.DUMMYFUNCTION("""COMPUTED_VALUE"""),"Walkin")</f>
        <v>Walkin</v>
      </c>
      <c r="C1169" s="124" t="str">
        <f>IFERROR(__xludf.DUMMYFUNCTION("""COMPUTED_VALUE"""),"Lucknow")</f>
        <v>Lucknow</v>
      </c>
      <c r="D1169" s="124" t="str">
        <f>IFERROR(__xludf.DUMMYFUNCTION("""COMPUTED_VALUE"""),"Primary_Walkin")</f>
        <v>Primary_Walkin</v>
      </c>
      <c r="E1169" s="124">
        <f>IFERROR(__xludf.DUMMYFUNCTION("""COMPUTED_VALUE"""),1.0)</f>
        <v>1</v>
      </c>
      <c r="F1169" s="124" t="str">
        <f>IFERROR(__xludf.DUMMYFUNCTION("""COMPUTED_VALUE"""),"Not Interested")</f>
        <v>Not Interested</v>
      </c>
      <c r="G1169" s="124" t="str">
        <f>IFERROR(__xludf.DUMMYFUNCTION("""COMPUTED_VALUE"""),"GS Foundation")</f>
        <v>GS Foundation</v>
      </c>
      <c r="K1169" s="124"/>
      <c r="L1169" s="124"/>
      <c r="M1169" s="124"/>
      <c r="N1169" s="124"/>
      <c r="O1169" s="124"/>
      <c r="T1169" s="126">
        <f>IFERROR(__xludf.DUMMYFUNCTION("""COMPUTED_VALUE"""),46046.0)</f>
        <v>46046</v>
      </c>
      <c r="U1169" s="124" t="str">
        <f>IFERROR(__xludf.DUMMYFUNCTION("""COMPUTED_VALUE"""),"Paid Ads")</f>
        <v>Paid Ads</v>
      </c>
      <c r="V1169" s="124" t="str">
        <f>IFERROR(__xludf.DUMMYFUNCTION("""COMPUTED_VALUE"""),"Facebook")</f>
        <v>Facebook</v>
      </c>
      <c r="W1169" s="124" t="str">
        <f>IFERROR(__xludf.DUMMYFUNCTION("""COMPUTED_VALUE"""),"LeadAd")</f>
        <v>LeadAd</v>
      </c>
      <c r="X1169" s="124" t="str">
        <f>IFERROR(__xludf.DUMMYFUNCTION("""COMPUTED_VALUE"""),"Upsc_offline_26_delhi_FB_Creatives")</f>
        <v>Upsc_offline_26_delhi_FB_Creatives</v>
      </c>
      <c r="Y1169" s="124" t="str">
        <f>IFERROR(__xludf.DUMMYFUNCTION("""COMPUTED_VALUE"""),"Delhi")</f>
        <v>Delhi</v>
      </c>
      <c r="Z1169" s="124">
        <f>IFERROR(__xludf.DUMMYFUNCTION("""COMPUTED_VALUE"""),7.0)</f>
        <v>7</v>
      </c>
      <c r="AA1169" s="124" t="str">
        <f>IFERROR(__xludf.DUMMYFUNCTION("""COMPUTED_VALUE"""),"Fake Lead")</f>
        <v>Fake Lead</v>
      </c>
      <c r="AB1169" s="124"/>
    </row>
    <row r="1170">
      <c r="A1170" s="126">
        <f>IFERROR(__xludf.DUMMYFUNCTION("""COMPUTED_VALUE"""),46069.0)</f>
        <v>46069</v>
      </c>
      <c r="B1170" s="124" t="str">
        <f>IFERROR(__xludf.DUMMYFUNCTION("""COMPUTED_VALUE"""),"external leads")</f>
        <v>external leads</v>
      </c>
      <c r="C1170" s="124" t="str">
        <f>IFERROR(__xludf.DUMMYFUNCTION("""COMPUTED_VALUE"""),"Indore")</f>
        <v>Indore</v>
      </c>
      <c r="D1170" s="124" t="str">
        <f>IFERROR(__xludf.DUMMYFUNCTION("""COMPUTED_VALUE"""),"Secondary_Walkin")</f>
        <v>Secondary_Walkin</v>
      </c>
      <c r="E1170" s="124">
        <f>IFERROR(__xludf.DUMMYFUNCTION("""COMPUTED_VALUE"""),1.0)</f>
        <v>1</v>
      </c>
      <c r="F1170" s="124" t="str">
        <f>IFERROR(__xludf.DUMMYFUNCTION("""COMPUTED_VALUE"""),"Cold")</f>
        <v>Cold</v>
      </c>
      <c r="G1170" s="124" t="str">
        <f>IFERROR(__xludf.DUMMYFUNCTION("""COMPUTED_VALUE"""),"Other")</f>
        <v>Other</v>
      </c>
      <c r="K1170" s="124"/>
      <c r="L1170" s="124"/>
      <c r="M1170" s="124"/>
      <c r="N1170" s="124"/>
      <c r="O1170" s="124"/>
      <c r="T1170" s="126">
        <f>IFERROR(__xludf.DUMMYFUNCTION("""COMPUTED_VALUE"""),46045.0)</f>
        <v>46045</v>
      </c>
      <c r="U1170" s="124" t="str">
        <f>IFERROR(__xludf.DUMMYFUNCTION("""COMPUTED_VALUE"""),"Paid Ads")</f>
        <v>Paid Ads</v>
      </c>
      <c r="V1170" s="124" t="str">
        <f>IFERROR(__xludf.DUMMYFUNCTION("""COMPUTED_VALUE"""),"Facebook")</f>
        <v>Facebook</v>
      </c>
      <c r="W1170" s="124" t="str">
        <f>IFERROR(__xludf.DUMMYFUNCTION("""COMPUTED_VALUE"""),"LeadAd")</f>
        <v>LeadAd</v>
      </c>
      <c r="X1170" s="124" t="str">
        <f>IFERROR(__xludf.DUMMYFUNCTION("""COMPUTED_VALUE"""),"Upsc_offline_26_delhi_FB_Creatives")</f>
        <v>Upsc_offline_26_delhi_FB_Creatives</v>
      </c>
      <c r="Y1170" s="124" t="str">
        <f>IFERROR(__xludf.DUMMYFUNCTION("""COMPUTED_VALUE"""),"Delhi")</f>
        <v>Delhi</v>
      </c>
      <c r="Z1170" s="124">
        <f>IFERROR(__xludf.DUMMYFUNCTION("""COMPUTED_VALUE"""),8.0)</f>
        <v>8</v>
      </c>
      <c r="AA1170" s="124" t="str">
        <f>IFERROR(__xludf.DUMMYFUNCTION("""COMPUTED_VALUE"""),"Fake Lead")</f>
        <v>Fake Lead</v>
      </c>
      <c r="AB1170" s="124"/>
    </row>
    <row r="1171">
      <c r="A1171" s="129">
        <f>IFERROR(__xludf.DUMMYFUNCTION("""COMPUTED_VALUE"""),46092.0)</f>
        <v>46092</v>
      </c>
      <c r="B1171" s="124" t="str">
        <f>IFERROR(__xludf.DUMMYFUNCTION("""COMPUTED_VALUE"""),"events")</f>
        <v>events</v>
      </c>
      <c r="C1171" s="124" t="str">
        <f>IFERROR(__xludf.DUMMYFUNCTION("""COMPUTED_VALUE"""),"Indore")</f>
        <v>Indore</v>
      </c>
      <c r="D1171" s="124" t="str">
        <f>IFERROR(__xludf.DUMMYFUNCTION("""COMPUTED_VALUE"""),"Secondary_Walkin")</f>
        <v>Secondary_Walkin</v>
      </c>
      <c r="E1171" s="124">
        <f>IFERROR(__xludf.DUMMYFUNCTION("""COMPUTED_VALUE"""),1.0)</f>
        <v>1</v>
      </c>
      <c r="F1171" s="124" t="str">
        <f>IFERROR(__xludf.DUMMYFUNCTION("""COMPUTED_VALUE"""),"Cold")</f>
        <v>Cold</v>
      </c>
      <c r="G1171" s="124" t="str">
        <f>IFERROR(__xludf.DUMMYFUNCTION("""COMPUTED_VALUE"""),"Test Series")</f>
        <v>Test Series</v>
      </c>
      <c r="K1171" s="124"/>
      <c r="L1171" s="124"/>
      <c r="M1171" s="124"/>
      <c r="N1171" s="124"/>
      <c r="O1171" s="124"/>
      <c r="T1171" s="129">
        <f>IFERROR(__xludf.DUMMYFUNCTION("""COMPUTED_VALUE"""),46110.0)</f>
        <v>46110</v>
      </c>
      <c r="U1171" s="124" t="str">
        <f>IFERROR(__xludf.DUMMYFUNCTION("""COMPUTED_VALUE"""),"Walk-Ins")</f>
        <v>Walk-Ins</v>
      </c>
      <c r="V1171" s="124" t="str">
        <f>IFERROR(__xludf.DUMMYFUNCTION("""COMPUTED_VALUE"""),"Walk-In")</f>
        <v>Walk-In</v>
      </c>
      <c r="W1171" s="124" t="str">
        <f>IFERROR(__xludf.DUMMYFUNCTION("""COMPUTED_VALUE"""),"Patna")</f>
        <v>Patna</v>
      </c>
      <c r="X1171" s="124" t="str">
        <f>IFERROR(__xludf.DUMMYFUNCTION("""COMPUTED_VALUE"""),"Tejaswi")</f>
        <v>Tejaswi</v>
      </c>
      <c r="Y1171" s="124"/>
      <c r="Z1171" s="124">
        <f>IFERROR(__xludf.DUMMYFUNCTION("""COMPUTED_VALUE"""),1.0)</f>
        <v>1</v>
      </c>
      <c r="AA1171" s="124" t="str">
        <f>IFERROR(__xludf.DUMMYFUNCTION("""COMPUTED_VALUE"""),"Warm")</f>
        <v>Warm</v>
      </c>
      <c r="AB1171" s="124" t="str">
        <f>IFERROR(__xludf.DUMMYFUNCTION("""COMPUTED_VALUE"""),"State PCS")</f>
        <v>State PCS</v>
      </c>
    </row>
    <row r="1172">
      <c r="A1172" s="126">
        <f>IFERROR(__xludf.DUMMYFUNCTION("""COMPUTED_VALUE"""),46043.0)</f>
        <v>46043</v>
      </c>
      <c r="B1172" s="124" t="str">
        <f>IFERROR(__xludf.DUMMYFUNCTION("""COMPUTED_VALUE"""),"Walkin")</f>
        <v>Walkin</v>
      </c>
      <c r="C1172" s="124" t="str">
        <f>IFERROR(__xludf.DUMMYFUNCTION("""COMPUTED_VALUE"""),"Indore")</f>
        <v>Indore</v>
      </c>
      <c r="D1172" s="124" t="str">
        <f>IFERROR(__xludf.DUMMYFUNCTION("""COMPUTED_VALUE"""),"Primary_Walkin")</f>
        <v>Primary_Walkin</v>
      </c>
      <c r="E1172" s="124">
        <f>IFERROR(__xludf.DUMMYFUNCTION("""COMPUTED_VALUE"""),2.0)</f>
        <v>2</v>
      </c>
      <c r="F1172" s="124" t="str">
        <f>IFERROR(__xludf.DUMMYFUNCTION("""COMPUTED_VALUE"""),"Cold")</f>
        <v>Cold</v>
      </c>
      <c r="G1172" s="124" t="str">
        <f>IFERROR(__xludf.DUMMYFUNCTION("""COMPUTED_VALUE"""),"GS Foundation")</f>
        <v>GS Foundation</v>
      </c>
      <c r="K1172" s="124"/>
      <c r="L1172" s="124"/>
      <c r="M1172" s="124"/>
      <c r="N1172" s="124"/>
      <c r="O1172" s="124"/>
      <c r="T1172" s="126">
        <f>IFERROR(__xludf.DUMMYFUNCTION("""COMPUTED_VALUE"""),46047.0)</f>
        <v>46047</v>
      </c>
      <c r="U1172" s="124" t="str">
        <f>IFERROR(__xludf.DUMMYFUNCTION("""COMPUTED_VALUE"""),"Paid Ads")</f>
        <v>Paid Ads</v>
      </c>
      <c r="V1172" s="124" t="str">
        <f>IFERROR(__xludf.DUMMYFUNCTION("""COMPUTED_VALUE"""),"Facebook")</f>
        <v>Facebook</v>
      </c>
      <c r="W1172" s="124" t="str">
        <f>IFERROR(__xludf.DUMMYFUNCTION("""COMPUTED_VALUE"""),"LeadAd")</f>
        <v>LeadAd</v>
      </c>
      <c r="X1172" s="124" t="str">
        <f>IFERROR(__xludf.DUMMYFUNCTION("""COMPUTED_VALUE"""),"Upsc_offline_26_delhi_FB_Creatives")</f>
        <v>Upsc_offline_26_delhi_FB_Creatives</v>
      </c>
      <c r="Y1172" s="124" t="str">
        <f>IFERROR(__xludf.DUMMYFUNCTION("""COMPUTED_VALUE"""),"Delhi")</f>
        <v>Delhi</v>
      </c>
      <c r="Z1172" s="124">
        <f>IFERROR(__xludf.DUMMYFUNCTION("""COMPUTED_VALUE"""),4.0)</f>
        <v>4</v>
      </c>
      <c r="AA1172" s="124" t="str">
        <f>IFERROR(__xludf.DUMMYFUNCTION("""COMPUTED_VALUE"""),"Cold")</f>
        <v>Cold</v>
      </c>
      <c r="AB1172" s="124"/>
    </row>
    <row r="1173">
      <c r="A1173" s="129">
        <f>IFERROR(__xludf.DUMMYFUNCTION("""COMPUTED_VALUE"""),46059.0)</f>
        <v>46059</v>
      </c>
      <c r="B1173" s="124" t="str">
        <f>IFERROR(__xludf.DUMMYFUNCTION("""COMPUTED_VALUE"""),"Walkin")</f>
        <v>Walkin</v>
      </c>
      <c r="C1173" s="124" t="str">
        <f>IFERROR(__xludf.DUMMYFUNCTION("""COMPUTED_VALUE"""),"Indore")</f>
        <v>Indore</v>
      </c>
      <c r="D1173" s="124" t="str">
        <f>IFERROR(__xludf.DUMMYFUNCTION("""COMPUTED_VALUE"""),"Primary_Walkin")</f>
        <v>Primary_Walkin</v>
      </c>
      <c r="E1173" s="124">
        <f>IFERROR(__xludf.DUMMYFUNCTION("""COMPUTED_VALUE"""),1.0)</f>
        <v>1</v>
      </c>
      <c r="F1173" s="124" t="str">
        <f>IFERROR(__xludf.DUMMYFUNCTION("""COMPUTED_VALUE"""),"Warm")</f>
        <v>Warm</v>
      </c>
      <c r="G1173" s="124" t="str">
        <f>IFERROR(__xludf.DUMMYFUNCTION("""COMPUTED_VALUE"""),"Other")</f>
        <v>Other</v>
      </c>
      <c r="K1173" s="124"/>
      <c r="L1173" s="124"/>
      <c r="M1173" s="124"/>
      <c r="N1173" s="124"/>
      <c r="O1173" s="124"/>
      <c r="T1173" s="126">
        <f>IFERROR(__xludf.DUMMYFUNCTION("""COMPUTED_VALUE"""),46050.0)</f>
        <v>46050</v>
      </c>
      <c r="U1173" s="124" t="str">
        <f>IFERROR(__xludf.DUMMYFUNCTION("""COMPUTED_VALUE"""),"Paid Ads")</f>
        <v>Paid Ads</v>
      </c>
      <c r="V1173" s="124" t="str">
        <f>IFERROR(__xludf.DUMMYFUNCTION("""COMPUTED_VALUE"""),"Facebook")</f>
        <v>Facebook</v>
      </c>
      <c r="W1173" s="124" t="str">
        <f>IFERROR(__xludf.DUMMYFUNCTION("""COMPUTED_VALUE"""),"LeadAd")</f>
        <v>LeadAd</v>
      </c>
      <c r="X1173" s="124" t="str">
        <f>IFERROR(__xludf.DUMMYFUNCTION("""COMPUTED_VALUE"""),"Upsc_offline_26_delhi_FB_Creatives")</f>
        <v>Upsc_offline_26_delhi_FB_Creatives</v>
      </c>
      <c r="Y1173" s="124" t="str">
        <f>IFERROR(__xludf.DUMMYFUNCTION("""COMPUTED_VALUE"""),"Delhi")</f>
        <v>Delhi</v>
      </c>
      <c r="Z1173" s="124">
        <f>IFERROR(__xludf.DUMMYFUNCTION("""COMPUTED_VALUE"""),4.0)</f>
        <v>4</v>
      </c>
      <c r="AA1173" s="124" t="str">
        <f>IFERROR(__xludf.DUMMYFUNCTION("""COMPUTED_VALUE"""),"Cold")</f>
        <v>Cold</v>
      </c>
      <c r="AB1173" s="124"/>
    </row>
    <row r="1174">
      <c r="A1174" s="129">
        <f>IFERROR(__xludf.DUMMYFUNCTION("""COMPUTED_VALUE"""),46073.0)</f>
        <v>46073</v>
      </c>
      <c r="B1174" s="124" t="str">
        <f>IFERROR(__xludf.DUMMYFUNCTION("""COMPUTED_VALUE"""),"Inbound Call")</f>
        <v>Inbound Call</v>
      </c>
      <c r="C1174" s="124" t="str">
        <f>IFERROR(__xludf.DUMMYFUNCTION("""COMPUTED_VALUE"""),"Indore")</f>
        <v>Indore</v>
      </c>
      <c r="D1174" s="124" t="str">
        <f>IFERROR(__xludf.DUMMYFUNCTION("""COMPUTED_VALUE"""),"Secondary_Walkin")</f>
        <v>Secondary_Walkin</v>
      </c>
      <c r="E1174" s="124">
        <f>IFERROR(__xludf.DUMMYFUNCTION("""COMPUTED_VALUE"""),1.0)</f>
        <v>1</v>
      </c>
      <c r="F1174" s="124" t="str">
        <f>IFERROR(__xludf.DUMMYFUNCTION("""COMPUTED_VALUE"""),"Warm")</f>
        <v>Warm</v>
      </c>
      <c r="G1174" s="124" t="str">
        <f>IFERROR(__xludf.DUMMYFUNCTION("""COMPUTED_VALUE"""),"Test Series")</f>
        <v>Test Series</v>
      </c>
      <c r="K1174" s="124"/>
      <c r="L1174" s="124"/>
      <c r="M1174" s="124"/>
      <c r="N1174" s="124"/>
      <c r="O1174" s="124"/>
      <c r="T1174" s="126">
        <f>IFERROR(__xludf.DUMMYFUNCTION("""COMPUTED_VALUE"""),46049.0)</f>
        <v>46049</v>
      </c>
      <c r="U1174" s="124" t="str">
        <f>IFERROR(__xludf.DUMMYFUNCTION("""COMPUTED_VALUE"""),"Paid Ads")</f>
        <v>Paid Ads</v>
      </c>
      <c r="V1174" s="124" t="str">
        <f>IFERROR(__xludf.DUMMYFUNCTION("""COMPUTED_VALUE"""),"Facebook")</f>
        <v>Facebook</v>
      </c>
      <c r="W1174" s="124" t="str">
        <f>IFERROR(__xludf.DUMMYFUNCTION("""COMPUTED_VALUE"""),"LeadAd")</f>
        <v>LeadAd</v>
      </c>
      <c r="X1174" s="124" t="str">
        <f>IFERROR(__xludf.DUMMYFUNCTION("""COMPUTED_VALUE"""),"Upsc_offline_26_delhi_FB_Creatives")</f>
        <v>Upsc_offline_26_delhi_FB_Creatives</v>
      </c>
      <c r="Y1174" s="124" t="str">
        <f>IFERROR(__xludf.DUMMYFUNCTION("""COMPUTED_VALUE"""),"Delhi")</f>
        <v>Delhi</v>
      </c>
      <c r="Z1174" s="124">
        <f>IFERROR(__xludf.DUMMYFUNCTION("""COMPUTED_VALUE"""),5.0)</f>
        <v>5</v>
      </c>
      <c r="AA1174" s="124" t="str">
        <f>IFERROR(__xludf.DUMMYFUNCTION("""COMPUTED_VALUE"""),"Cold")</f>
        <v>Cold</v>
      </c>
      <c r="AB1174" s="124"/>
    </row>
    <row r="1175">
      <c r="A1175" s="129">
        <f>IFERROR(__xludf.DUMMYFUNCTION("""COMPUTED_VALUE"""),46076.0)</f>
        <v>46076</v>
      </c>
      <c r="B1175" s="124" t="str">
        <f>IFERROR(__xludf.DUMMYFUNCTION("""COMPUTED_VALUE"""),"Walkin")</f>
        <v>Walkin</v>
      </c>
      <c r="C1175" s="124" t="str">
        <f>IFERROR(__xludf.DUMMYFUNCTION("""COMPUTED_VALUE"""),"Indore")</f>
        <v>Indore</v>
      </c>
      <c r="D1175" s="124" t="str">
        <f>IFERROR(__xludf.DUMMYFUNCTION("""COMPUTED_VALUE"""),"Primary_Walkin")</f>
        <v>Primary_Walkin</v>
      </c>
      <c r="E1175" s="124">
        <f>IFERROR(__xludf.DUMMYFUNCTION("""COMPUTED_VALUE"""),1.0)</f>
        <v>1</v>
      </c>
      <c r="F1175" s="124" t="str">
        <f>IFERROR(__xludf.DUMMYFUNCTION("""COMPUTED_VALUE"""),"Enrolled")</f>
        <v>Enrolled</v>
      </c>
      <c r="G1175" s="124" t="str">
        <f>IFERROR(__xludf.DUMMYFUNCTION("""COMPUTED_VALUE"""),"GS Foundation")</f>
        <v>GS Foundation</v>
      </c>
      <c r="K1175" s="124"/>
      <c r="L1175" s="124"/>
      <c r="M1175" s="124"/>
      <c r="N1175" s="124"/>
      <c r="O1175" s="124"/>
      <c r="T1175" s="126">
        <f>IFERROR(__xludf.DUMMYFUNCTION("""COMPUTED_VALUE"""),46046.0)</f>
        <v>46046</v>
      </c>
      <c r="U1175" s="124" t="str">
        <f>IFERROR(__xludf.DUMMYFUNCTION("""COMPUTED_VALUE"""),"Paid Ads")</f>
        <v>Paid Ads</v>
      </c>
      <c r="V1175" s="124" t="str">
        <f>IFERROR(__xludf.DUMMYFUNCTION("""COMPUTED_VALUE"""),"Facebook")</f>
        <v>Facebook</v>
      </c>
      <c r="W1175" s="124" t="str">
        <f>IFERROR(__xludf.DUMMYFUNCTION("""COMPUTED_VALUE"""),"LeadAd")</f>
        <v>LeadAd</v>
      </c>
      <c r="X1175" s="124" t="str">
        <f>IFERROR(__xludf.DUMMYFUNCTION("""COMPUTED_VALUE"""),"Upsc_offline_26_delhi_FB_Creatives")</f>
        <v>Upsc_offline_26_delhi_FB_Creatives</v>
      </c>
      <c r="Y1175" s="124" t="str">
        <f>IFERROR(__xludf.DUMMYFUNCTION("""COMPUTED_VALUE"""),"Delhi")</f>
        <v>Delhi</v>
      </c>
      <c r="Z1175" s="124">
        <f>IFERROR(__xludf.DUMMYFUNCTION("""COMPUTED_VALUE"""),5.0)</f>
        <v>5</v>
      </c>
      <c r="AA1175" s="124" t="str">
        <f>IFERROR(__xludf.DUMMYFUNCTION("""COMPUTED_VALUE"""),"Cold")</f>
        <v>Cold</v>
      </c>
      <c r="AB1175" s="124"/>
    </row>
    <row r="1176">
      <c r="A1176" s="126">
        <f>IFERROR(__xludf.DUMMYFUNCTION("""COMPUTED_VALUE"""),46081.0)</f>
        <v>46081</v>
      </c>
      <c r="B1176" s="124" t="str">
        <f>IFERROR(__xludf.DUMMYFUNCTION("""COMPUTED_VALUE"""),"Walkin")</f>
        <v>Walkin</v>
      </c>
      <c r="C1176" s="124" t="str">
        <f>IFERROR(__xludf.DUMMYFUNCTION("""COMPUTED_VALUE"""),"Indore")</f>
        <v>Indore</v>
      </c>
      <c r="D1176" s="124" t="str">
        <f>IFERROR(__xludf.DUMMYFUNCTION("""COMPUTED_VALUE"""),"Primary_Walkin")</f>
        <v>Primary_Walkin</v>
      </c>
      <c r="E1176" s="124">
        <f>IFERROR(__xludf.DUMMYFUNCTION("""COMPUTED_VALUE"""),2.0)</f>
        <v>2</v>
      </c>
      <c r="F1176" s="124" t="str">
        <f>IFERROR(__xludf.DUMMYFUNCTION("""COMPUTED_VALUE"""),"Enrolled")</f>
        <v>Enrolled</v>
      </c>
      <c r="G1176" s="124" t="str">
        <f>IFERROR(__xludf.DUMMYFUNCTION("""COMPUTED_VALUE"""),"State PCS")</f>
        <v>State PCS</v>
      </c>
      <c r="K1176" s="124"/>
      <c r="L1176" s="124"/>
      <c r="M1176" s="124"/>
      <c r="N1176" s="124"/>
      <c r="O1176" s="124"/>
      <c r="T1176" s="129">
        <f>IFERROR(__xludf.DUMMYFUNCTION("""COMPUTED_VALUE"""),46051.0)</f>
        <v>46051</v>
      </c>
      <c r="U1176" s="124" t="str">
        <f>IFERROR(__xludf.DUMMYFUNCTION("""COMPUTED_VALUE"""),"Paid Ads")</f>
        <v>Paid Ads</v>
      </c>
      <c r="V1176" s="124" t="str">
        <f>IFERROR(__xludf.DUMMYFUNCTION("""COMPUTED_VALUE"""),"Facebook")</f>
        <v>Facebook</v>
      </c>
      <c r="W1176" s="124" t="str">
        <f>IFERROR(__xludf.DUMMYFUNCTION("""COMPUTED_VALUE"""),"LeadAd")</f>
        <v>LeadAd</v>
      </c>
      <c r="X1176" s="124" t="str">
        <f>IFERROR(__xludf.DUMMYFUNCTION("""COMPUTED_VALUE"""),"Upsc_offline_26_delhi_FB_Creatives")</f>
        <v>Upsc_offline_26_delhi_FB_Creatives</v>
      </c>
      <c r="Y1176" s="124" t="str">
        <f>IFERROR(__xludf.DUMMYFUNCTION("""COMPUTED_VALUE"""),"Delhi")</f>
        <v>Delhi</v>
      </c>
      <c r="Z1176" s="124">
        <f>IFERROR(__xludf.DUMMYFUNCTION("""COMPUTED_VALUE"""),6.0)</f>
        <v>6</v>
      </c>
      <c r="AA1176" s="124" t="str">
        <f>IFERROR(__xludf.DUMMYFUNCTION("""COMPUTED_VALUE"""),"Fake Lead")</f>
        <v>Fake Lead</v>
      </c>
      <c r="AB1176" s="124"/>
    </row>
    <row r="1177">
      <c r="A1177" s="126">
        <f>IFERROR(__xludf.DUMMYFUNCTION("""COMPUTED_VALUE"""),46108.0)</f>
        <v>46108</v>
      </c>
      <c r="B1177" s="124" t="str">
        <f>IFERROR(__xludf.DUMMYFUNCTION("""COMPUTED_VALUE"""),"Walkin")</f>
        <v>Walkin</v>
      </c>
      <c r="C1177" s="124" t="str">
        <f>IFERROR(__xludf.DUMMYFUNCTION("""COMPUTED_VALUE"""),"Indore")</f>
        <v>Indore</v>
      </c>
      <c r="D1177" s="124" t="str">
        <f>IFERROR(__xludf.DUMMYFUNCTION("""COMPUTED_VALUE"""),"Primary_Walkin")</f>
        <v>Primary_Walkin</v>
      </c>
      <c r="E1177" s="124">
        <f>IFERROR(__xludf.DUMMYFUNCTION("""COMPUTED_VALUE"""),1.0)</f>
        <v>1</v>
      </c>
      <c r="F1177" s="124" t="str">
        <f>IFERROR(__xludf.DUMMYFUNCTION("""COMPUTED_VALUE"""),"Interested")</f>
        <v>Interested</v>
      </c>
      <c r="G1177" s="124" t="str">
        <f>IFERROR(__xludf.DUMMYFUNCTION("""COMPUTED_VALUE"""),"State PCS")</f>
        <v>State PCS</v>
      </c>
      <c r="K1177" s="124"/>
      <c r="L1177" s="124"/>
      <c r="M1177" s="124"/>
      <c r="N1177" s="124"/>
      <c r="O1177" s="124"/>
      <c r="T1177" s="126">
        <f>IFERROR(__xludf.DUMMYFUNCTION("""COMPUTED_VALUE"""),46090.0)</f>
        <v>46090</v>
      </c>
      <c r="U1177" s="124" t="str">
        <f>IFERROR(__xludf.DUMMYFUNCTION("""COMPUTED_VALUE"""),"Paid Ads")</f>
        <v>Paid Ads</v>
      </c>
      <c r="V1177" s="124" t="str">
        <f>IFERROR(__xludf.DUMMYFUNCTION("""COMPUTED_VALUE"""),"facebook")</f>
        <v>facebook</v>
      </c>
      <c r="W1177" s="124" t="str">
        <f>IFERROR(__xludf.DUMMYFUNCTION("""COMPUTED_VALUE"""),"lucknow")</f>
        <v>lucknow</v>
      </c>
      <c r="X1177" s="124" t="str">
        <f>IFERROR(__xludf.DUMMYFUNCTION("""COMPUTED_VALUE"""),"metaleads")</f>
        <v>metaleads</v>
      </c>
      <c r="Y1177" s="124" t="str">
        <f>IFERROR(__xludf.DUMMYFUNCTION("""COMPUTED_VALUE"""),"Lucknow")</f>
        <v>Lucknow</v>
      </c>
      <c r="Z1177" s="124">
        <f>IFERROR(__xludf.DUMMYFUNCTION("""COMPUTED_VALUE"""),13.0)</f>
        <v>13</v>
      </c>
      <c r="AA1177" s="124" t="str">
        <f>IFERROR(__xludf.DUMMYFUNCTION("""COMPUTED_VALUE"""),"Cold")</f>
        <v>Cold</v>
      </c>
      <c r="AB1177" s="124"/>
    </row>
    <row r="1178">
      <c r="A1178" s="126">
        <f>IFERROR(__xludf.DUMMYFUNCTION("""COMPUTED_VALUE"""),46046.0)</f>
        <v>46046</v>
      </c>
      <c r="B1178" s="124" t="str">
        <f>IFERROR(__xludf.DUMMYFUNCTION("""COMPUTED_VALUE"""),"Walkin")</f>
        <v>Walkin</v>
      </c>
      <c r="C1178" s="124" t="str">
        <f>IFERROR(__xludf.DUMMYFUNCTION("""COMPUTED_VALUE"""),"Lucknow")</f>
        <v>Lucknow</v>
      </c>
      <c r="D1178" s="124" t="str">
        <f>IFERROR(__xludf.DUMMYFUNCTION("""COMPUTED_VALUE"""),"Primary_Walkin")</f>
        <v>Primary_Walkin</v>
      </c>
      <c r="E1178" s="124">
        <f>IFERROR(__xludf.DUMMYFUNCTION("""COMPUTED_VALUE"""),1.0)</f>
        <v>1</v>
      </c>
      <c r="F1178" s="124" t="str">
        <f>IFERROR(__xludf.DUMMYFUNCTION("""COMPUTED_VALUE"""),"Future Prospects")</f>
        <v>Future Prospects</v>
      </c>
      <c r="G1178" s="124" t="str">
        <f>IFERROR(__xludf.DUMMYFUNCTION("""COMPUTED_VALUE"""),"GS Foundation")</f>
        <v>GS Foundation</v>
      </c>
      <c r="K1178" s="124"/>
      <c r="L1178" s="124"/>
      <c r="M1178" s="124"/>
      <c r="N1178" s="124"/>
      <c r="O1178" s="124"/>
      <c r="T1178" s="126">
        <f>IFERROR(__xludf.DUMMYFUNCTION("""COMPUTED_VALUE"""),46049.0)</f>
        <v>46049</v>
      </c>
      <c r="U1178" s="124" t="str">
        <f>IFERROR(__xludf.DUMMYFUNCTION("""COMPUTED_VALUE"""),"Paid Ads")</f>
        <v>Paid Ads</v>
      </c>
      <c r="V1178" s="124" t="str">
        <f>IFERROR(__xludf.DUMMYFUNCTION("""COMPUTED_VALUE"""),"Facebook")</f>
        <v>Facebook</v>
      </c>
      <c r="W1178" s="124" t="str">
        <f>IFERROR(__xludf.DUMMYFUNCTION("""COMPUTED_VALUE"""),"LeadAd")</f>
        <v>LeadAd</v>
      </c>
      <c r="X1178" s="124" t="str">
        <f>IFERROR(__xludf.DUMMYFUNCTION("""COMPUTED_VALUE"""),"Upsc_Offline_26_Indore_FB_Creatives")</f>
        <v>Upsc_Offline_26_Indore_FB_Creatives</v>
      </c>
      <c r="Y1178" s="124" t="str">
        <f>IFERROR(__xludf.DUMMYFUNCTION("""COMPUTED_VALUE"""),"Indore")</f>
        <v>Indore</v>
      </c>
      <c r="Z1178" s="124">
        <f>IFERROR(__xludf.DUMMYFUNCTION("""COMPUTED_VALUE"""),3.0)</f>
        <v>3</v>
      </c>
      <c r="AA1178" s="124" t="str">
        <f>IFERROR(__xludf.DUMMYFUNCTION("""COMPUTED_VALUE"""),"Fake Lead")</f>
        <v>Fake Lead</v>
      </c>
      <c r="AB1178" s="124"/>
    </row>
    <row r="1179">
      <c r="A1179" s="129">
        <f>IFERROR(__xludf.DUMMYFUNCTION("""COMPUTED_VALUE"""),46062.0)</f>
        <v>46062</v>
      </c>
      <c r="B1179" s="124" t="str">
        <f>IFERROR(__xludf.DUMMYFUNCTION("""COMPUTED_VALUE"""),"Walkin")</f>
        <v>Walkin</v>
      </c>
      <c r="C1179" s="124" t="str">
        <f>IFERROR(__xludf.DUMMYFUNCTION("""COMPUTED_VALUE"""),"Indore")</f>
        <v>Indore</v>
      </c>
      <c r="D1179" s="124" t="str">
        <f>IFERROR(__xludf.DUMMYFUNCTION("""COMPUTED_VALUE"""),"Primary_Walkin")</f>
        <v>Primary_Walkin</v>
      </c>
      <c r="E1179" s="124">
        <f>IFERROR(__xludf.DUMMYFUNCTION("""COMPUTED_VALUE"""),1.0)</f>
        <v>1</v>
      </c>
      <c r="F1179" s="124" t="str">
        <f>IFERROR(__xludf.DUMMYFUNCTION("""COMPUTED_VALUE"""),"Not Interested")</f>
        <v>Not Interested</v>
      </c>
      <c r="G1179" s="124" t="str">
        <f>IFERROR(__xludf.DUMMYFUNCTION("""COMPUTED_VALUE"""),"State PCS")</f>
        <v>State PCS</v>
      </c>
      <c r="K1179" s="124"/>
      <c r="L1179" s="124"/>
      <c r="M1179" s="124"/>
      <c r="N1179" s="124"/>
      <c r="O1179" s="124"/>
      <c r="T1179" s="126">
        <f>IFERROR(__xludf.DUMMYFUNCTION("""COMPUTED_VALUE"""),46050.0)</f>
        <v>46050</v>
      </c>
      <c r="U1179" s="124" t="str">
        <f>IFERROR(__xludf.DUMMYFUNCTION("""COMPUTED_VALUE"""),"Paid Ads")</f>
        <v>Paid Ads</v>
      </c>
      <c r="V1179" s="124" t="str">
        <f>IFERROR(__xludf.DUMMYFUNCTION("""COMPUTED_VALUE"""),"Facebook")</f>
        <v>Facebook</v>
      </c>
      <c r="W1179" s="124" t="str">
        <f>IFERROR(__xludf.DUMMYFUNCTION("""COMPUTED_VALUE"""),"LeadAd")</f>
        <v>LeadAd</v>
      </c>
      <c r="X1179" s="124" t="str">
        <f>IFERROR(__xludf.DUMMYFUNCTION("""COMPUTED_VALUE"""),"Upsc_Offline_26_Indore_FB_Creatives")</f>
        <v>Upsc_Offline_26_Indore_FB_Creatives</v>
      </c>
      <c r="Y1179" s="124" t="str">
        <f>IFERROR(__xludf.DUMMYFUNCTION("""COMPUTED_VALUE"""),"Indore")</f>
        <v>Indore</v>
      </c>
      <c r="Z1179" s="124">
        <f>IFERROR(__xludf.DUMMYFUNCTION("""COMPUTED_VALUE"""),4.0)</f>
        <v>4</v>
      </c>
      <c r="AA1179" s="124" t="str">
        <f>IFERROR(__xludf.DUMMYFUNCTION("""COMPUTED_VALUE"""),"Cold")</f>
        <v>Cold</v>
      </c>
      <c r="AB1179" s="124"/>
    </row>
    <row r="1180">
      <c r="A1180" s="129">
        <f>IFERROR(__xludf.DUMMYFUNCTION("""COMPUTED_VALUE"""),46079.0)</f>
        <v>46079</v>
      </c>
      <c r="B1180" s="124" t="str">
        <f>IFERROR(__xludf.DUMMYFUNCTION("""COMPUTED_VALUE"""),"Walkin")</f>
        <v>Walkin</v>
      </c>
      <c r="C1180" s="124" t="str">
        <f>IFERROR(__xludf.DUMMYFUNCTION("""COMPUTED_VALUE"""),"Indore")</f>
        <v>Indore</v>
      </c>
      <c r="D1180" s="124" t="str">
        <f>IFERROR(__xludf.DUMMYFUNCTION("""COMPUTED_VALUE"""),"Primary_Walkin")</f>
        <v>Primary_Walkin</v>
      </c>
      <c r="E1180" s="124">
        <f>IFERROR(__xludf.DUMMYFUNCTION("""COMPUTED_VALUE"""),1.0)</f>
        <v>1</v>
      </c>
      <c r="F1180" s="124" t="str">
        <f>IFERROR(__xludf.DUMMYFUNCTION("""COMPUTED_VALUE"""),"Not Interested")</f>
        <v>Not Interested</v>
      </c>
      <c r="G1180" s="124" t="str">
        <f>IFERROR(__xludf.DUMMYFUNCTION("""COMPUTED_VALUE"""),"GS Foundation")</f>
        <v>GS Foundation</v>
      </c>
      <c r="K1180" s="124"/>
      <c r="L1180" s="124"/>
      <c r="M1180" s="124"/>
      <c r="N1180" s="124"/>
      <c r="O1180" s="124"/>
      <c r="T1180" s="126">
        <f>IFERROR(__xludf.DUMMYFUNCTION("""COMPUTED_VALUE"""),46043.0)</f>
        <v>46043</v>
      </c>
      <c r="U1180" s="124" t="str">
        <f>IFERROR(__xludf.DUMMYFUNCTION("""COMPUTED_VALUE"""),"External Leads")</f>
        <v>External Leads</v>
      </c>
      <c r="V1180" s="124" t="str">
        <f>IFERROR(__xludf.DUMMYFUNCTION("""COMPUTED_VALUE"""),"external leads")</f>
        <v>external leads</v>
      </c>
      <c r="W1180" s="124" t="str">
        <f>IFERROR(__xludf.DUMMYFUNCTION("""COMPUTED_VALUE"""),"delhi")</f>
        <v>delhi</v>
      </c>
      <c r="X1180" s="124" t="str">
        <f>IFERROR(__xludf.DUMMYFUNCTION("""COMPUTED_VALUE"""),"dubtl")</f>
        <v>dubtl</v>
      </c>
      <c r="Y1180" s="124" t="str">
        <f>IFERROR(__xludf.DUMMYFUNCTION("""COMPUTED_VALUE"""),"Delhi")</f>
        <v>Delhi</v>
      </c>
      <c r="Z1180" s="124">
        <f>IFERROR(__xludf.DUMMYFUNCTION("""COMPUTED_VALUE"""),1.0)</f>
        <v>1</v>
      </c>
      <c r="AA1180" s="124" t="str">
        <f>IFERROR(__xludf.DUMMYFUNCTION("""COMPUTED_VALUE"""),"Enrolled")</f>
        <v>Enrolled</v>
      </c>
      <c r="AB1180" s="124" t="str">
        <f>IFERROR(__xludf.DUMMYFUNCTION("""COMPUTED_VALUE"""),"GS Foundation")</f>
        <v>GS Foundation</v>
      </c>
    </row>
    <row r="1181">
      <c r="A1181" s="129">
        <f>IFERROR(__xludf.DUMMYFUNCTION("""COMPUTED_VALUE"""),46090.0)</f>
        <v>46090</v>
      </c>
      <c r="B1181" s="124" t="str">
        <f>IFERROR(__xludf.DUMMYFUNCTION("""COMPUTED_VALUE"""),"Walkin")</f>
        <v>Walkin</v>
      </c>
      <c r="C1181" s="124" t="str">
        <f>IFERROR(__xludf.DUMMYFUNCTION("""COMPUTED_VALUE"""),"Indore")</f>
        <v>Indore</v>
      </c>
      <c r="D1181" s="124" t="str">
        <f>IFERROR(__xludf.DUMMYFUNCTION("""COMPUTED_VALUE"""),"Primary_Walkin")</f>
        <v>Primary_Walkin</v>
      </c>
      <c r="E1181" s="124">
        <f>IFERROR(__xludf.DUMMYFUNCTION("""COMPUTED_VALUE"""),1.0)</f>
        <v>1</v>
      </c>
      <c r="F1181" s="124" t="str">
        <f>IFERROR(__xludf.DUMMYFUNCTION("""COMPUTED_VALUE"""),"Enrolled")</f>
        <v>Enrolled</v>
      </c>
      <c r="G1181" s="124" t="str">
        <f>IFERROR(__xludf.DUMMYFUNCTION("""COMPUTED_VALUE"""),"State PCS")</f>
        <v>State PCS</v>
      </c>
      <c r="K1181" s="124"/>
      <c r="L1181" s="124"/>
      <c r="M1181" s="124"/>
      <c r="N1181" s="124"/>
      <c r="O1181" s="124"/>
      <c r="T1181" s="126">
        <f>IFERROR(__xludf.DUMMYFUNCTION("""COMPUTED_VALUE"""),46073.0)</f>
        <v>46073</v>
      </c>
      <c r="U1181" s="124" t="str">
        <f>IFERROR(__xludf.DUMMYFUNCTION("""COMPUTED_VALUE"""),"Walk-Ins")</f>
        <v>Walk-Ins</v>
      </c>
      <c r="V1181" s="124" t="str">
        <f>IFERROR(__xludf.DUMMYFUNCTION("""COMPUTED_VALUE"""),"Walk-In")</f>
        <v>Walk-In</v>
      </c>
      <c r="W1181" s="124" t="str">
        <f>IFERROR(__xludf.DUMMYFUNCTION("""COMPUTED_VALUE"""),"New Delhi")</f>
        <v>New Delhi</v>
      </c>
      <c r="X1181" s="124" t="str">
        <f>IFERROR(__xludf.DUMMYFUNCTION("""COMPUTED_VALUE"""),"New Delhi")</f>
        <v>New Delhi</v>
      </c>
      <c r="Y1181" s="124" t="str">
        <f>IFERROR(__xludf.DUMMYFUNCTION("""COMPUTED_VALUE"""),"Delhi")</f>
        <v>Delhi</v>
      </c>
      <c r="Z1181" s="124">
        <f>IFERROR(__xludf.DUMMYFUNCTION("""COMPUTED_VALUE"""),1.0)</f>
        <v>1</v>
      </c>
      <c r="AA1181" s="124" t="str">
        <f>IFERROR(__xludf.DUMMYFUNCTION("""COMPUTED_VALUE"""),"Future Prospects")</f>
        <v>Future Prospects</v>
      </c>
      <c r="AB1181" s="124" t="str">
        <f>IFERROR(__xludf.DUMMYFUNCTION("""COMPUTED_VALUE"""),"SIM")</f>
        <v>SIM</v>
      </c>
    </row>
    <row r="1182">
      <c r="A1182" s="129">
        <f>IFERROR(__xludf.DUMMYFUNCTION("""COMPUTED_VALUE"""),46097.0)</f>
        <v>46097</v>
      </c>
      <c r="B1182" s="124" t="str">
        <f>IFERROR(__xludf.DUMMYFUNCTION("""COMPUTED_VALUE"""),"Walkin")</f>
        <v>Walkin</v>
      </c>
      <c r="C1182" s="124" t="str">
        <f>IFERROR(__xludf.DUMMYFUNCTION("""COMPUTED_VALUE"""),"Indore")</f>
        <v>Indore</v>
      </c>
      <c r="D1182" s="124" t="str">
        <f>IFERROR(__xludf.DUMMYFUNCTION("""COMPUTED_VALUE"""),"Primary_Walkin")</f>
        <v>Primary_Walkin</v>
      </c>
      <c r="E1182" s="124">
        <f>IFERROR(__xludf.DUMMYFUNCTION("""COMPUTED_VALUE"""),1.0)</f>
        <v>1</v>
      </c>
      <c r="F1182" s="124" t="str">
        <f>IFERROR(__xludf.DUMMYFUNCTION("""COMPUTED_VALUE"""),"Future Prospects")</f>
        <v>Future Prospects</v>
      </c>
      <c r="G1182" s="124" t="str">
        <f>IFERROR(__xludf.DUMMYFUNCTION("""COMPUTED_VALUE"""),"GS Foundation")</f>
        <v>GS Foundation</v>
      </c>
      <c r="K1182" s="124"/>
      <c r="L1182" s="124"/>
      <c r="M1182" s="124"/>
      <c r="N1182" s="124"/>
      <c r="O1182" s="124"/>
      <c r="T1182" s="126">
        <f>IFERROR(__xludf.DUMMYFUNCTION("""COMPUTED_VALUE"""),46087.0)</f>
        <v>46087</v>
      </c>
      <c r="U1182" s="124" t="str">
        <f>IFERROR(__xludf.DUMMYFUNCTION("""COMPUTED_VALUE"""),"Paid Ads")</f>
        <v>Paid Ads</v>
      </c>
      <c r="V1182" s="124" t="str">
        <f>IFERROR(__xludf.DUMMYFUNCTION("""COMPUTED_VALUE"""),"facebook")</f>
        <v>facebook</v>
      </c>
      <c r="W1182" s="124" t="str">
        <f>IFERROR(__xludf.DUMMYFUNCTION("""COMPUTED_VALUE"""),"lucknow")</f>
        <v>lucknow</v>
      </c>
      <c r="X1182" s="124" t="str">
        <f>IFERROR(__xludf.DUMMYFUNCTION("""COMPUTED_VALUE"""),"metaleads")</f>
        <v>metaleads</v>
      </c>
      <c r="Y1182" s="124" t="str">
        <f>IFERROR(__xludf.DUMMYFUNCTION("""COMPUTED_VALUE"""),"Lucknow")</f>
        <v>Lucknow</v>
      </c>
      <c r="Z1182" s="124">
        <f>IFERROR(__xludf.DUMMYFUNCTION("""COMPUTED_VALUE"""),5.0)</f>
        <v>5</v>
      </c>
      <c r="AA1182" s="124" t="str">
        <f>IFERROR(__xludf.DUMMYFUNCTION("""COMPUTED_VALUE"""),"Not Interested")</f>
        <v>Not Interested</v>
      </c>
      <c r="AB1182" s="124"/>
    </row>
    <row r="1183">
      <c r="A1183" s="126">
        <f>IFERROR(__xludf.DUMMYFUNCTION("""COMPUTED_VALUE"""),46065.0)</f>
        <v>46065</v>
      </c>
      <c r="B1183" s="124" t="str">
        <f>IFERROR(__xludf.DUMMYFUNCTION("""COMPUTED_VALUE"""),"Walkin")</f>
        <v>Walkin</v>
      </c>
      <c r="C1183" s="124" t="str">
        <f>IFERROR(__xludf.DUMMYFUNCTION("""COMPUTED_VALUE"""),"Indore")</f>
        <v>Indore</v>
      </c>
      <c r="D1183" s="124" t="str">
        <f>IFERROR(__xludf.DUMMYFUNCTION("""COMPUTED_VALUE"""),"Primary_Walkin")</f>
        <v>Primary_Walkin</v>
      </c>
      <c r="E1183" s="124">
        <f>IFERROR(__xludf.DUMMYFUNCTION("""COMPUTED_VALUE"""),2.0)</f>
        <v>2</v>
      </c>
      <c r="F1183" s="124" t="str">
        <f>IFERROR(__xludf.DUMMYFUNCTION("""COMPUTED_VALUE"""),"Cold")</f>
        <v>Cold</v>
      </c>
      <c r="G1183" s="124" t="str">
        <f>IFERROR(__xludf.DUMMYFUNCTION("""COMPUTED_VALUE"""),"Other")</f>
        <v>Other</v>
      </c>
      <c r="K1183" s="124"/>
      <c r="L1183" s="124"/>
      <c r="M1183" s="124"/>
      <c r="N1183" s="124"/>
      <c r="O1183" s="124"/>
      <c r="T1183" s="126">
        <f>IFERROR(__xludf.DUMMYFUNCTION("""COMPUTED_VALUE"""),46049.0)</f>
        <v>46049</v>
      </c>
      <c r="U1183" s="124" t="str">
        <f>IFERROR(__xludf.DUMMYFUNCTION("""COMPUTED_VALUE"""),"Paid Ads")</f>
        <v>Paid Ads</v>
      </c>
      <c r="V1183" s="124" t="str">
        <f>IFERROR(__xludf.DUMMYFUNCTION("""COMPUTED_VALUE"""),"Facebook")</f>
        <v>Facebook</v>
      </c>
      <c r="W1183" s="124" t="str">
        <f>IFERROR(__xludf.DUMMYFUNCTION("""COMPUTED_VALUE"""),"LeadAd")</f>
        <v>LeadAd</v>
      </c>
      <c r="X1183" s="124" t="str">
        <f>IFERROR(__xludf.DUMMYFUNCTION("""COMPUTED_VALUE"""),"Upsc_Offline_26_Indore_FB_Creatives")</f>
        <v>Upsc_Offline_26_Indore_FB_Creatives</v>
      </c>
      <c r="Y1183" s="124" t="str">
        <f>IFERROR(__xludf.DUMMYFUNCTION("""COMPUTED_VALUE"""),"Indore")</f>
        <v>Indore</v>
      </c>
      <c r="Z1183" s="124">
        <f>IFERROR(__xludf.DUMMYFUNCTION("""COMPUTED_VALUE"""),3.0)</f>
        <v>3</v>
      </c>
      <c r="AA1183" s="124" t="str">
        <f>IFERROR(__xludf.DUMMYFUNCTION("""COMPUTED_VALUE"""),"Cold")</f>
        <v>Cold</v>
      </c>
      <c r="AB1183" s="124"/>
    </row>
    <row r="1184">
      <c r="A1184" s="129">
        <f>IFERROR(__xludf.DUMMYFUNCTION("""COMPUTED_VALUE"""),46049.0)</f>
        <v>46049</v>
      </c>
      <c r="B1184" s="124" t="str">
        <f>IFERROR(__xludf.DUMMYFUNCTION("""COMPUTED_VALUE"""),"Walkin")</f>
        <v>Walkin</v>
      </c>
      <c r="C1184" s="124" t="str">
        <f>IFERROR(__xludf.DUMMYFUNCTION("""COMPUTED_VALUE"""),"Lucknow")</f>
        <v>Lucknow</v>
      </c>
      <c r="D1184" s="124" t="str">
        <f>IFERROR(__xludf.DUMMYFUNCTION("""COMPUTED_VALUE"""),"Primary_Walkin")</f>
        <v>Primary_Walkin</v>
      </c>
      <c r="E1184" s="124">
        <f>IFERROR(__xludf.DUMMYFUNCTION("""COMPUTED_VALUE"""),2.0)</f>
        <v>2</v>
      </c>
      <c r="F1184" s="124" t="str">
        <f>IFERROR(__xludf.DUMMYFUNCTION("""COMPUTED_VALUE"""),"Enrolled")</f>
        <v>Enrolled</v>
      </c>
      <c r="G1184" s="124" t="str">
        <f>IFERROR(__xludf.DUMMYFUNCTION("""COMPUTED_VALUE"""),"GS Foundation")</f>
        <v>GS Foundation</v>
      </c>
      <c r="K1184" s="124"/>
      <c r="L1184" s="124"/>
      <c r="M1184" s="124"/>
      <c r="N1184" s="124"/>
      <c r="O1184" s="124"/>
      <c r="T1184" s="126">
        <f>IFERROR(__xludf.DUMMYFUNCTION("""COMPUTED_VALUE"""),46070.0)</f>
        <v>46070</v>
      </c>
      <c r="U1184" s="124" t="str">
        <f>IFERROR(__xludf.DUMMYFUNCTION("""COMPUTED_VALUE"""),"Paid Ads")</f>
        <v>Paid Ads</v>
      </c>
      <c r="V1184" s="124" t="str">
        <f>IFERROR(__xludf.DUMMYFUNCTION("""COMPUTED_VALUE"""),"facebook")</f>
        <v>facebook</v>
      </c>
      <c r="W1184" s="124" t="str">
        <f>IFERROR(__xludf.DUMMYFUNCTION("""COMPUTED_VALUE"""),"lucknow")</f>
        <v>lucknow</v>
      </c>
      <c r="X1184" s="124" t="str">
        <f>IFERROR(__xludf.DUMMYFUNCTION("""COMPUTED_VALUE"""),"metaleads")</f>
        <v>metaleads</v>
      </c>
      <c r="Y1184" s="124" t="str">
        <f>IFERROR(__xludf.DUMMYFUNCTION("""COMPUTED_VALUE"""),"Lucknow")</f>
        <v>Lucknow</v>
      </c>
      <c r="Z1184" s="124">
        <f>IFERROR(__xludf.DUMMYFUNCTION("""COMPUTED_VALUE"""),4.0)</f>
        <v>4</v>
      </c>
      <c r="AA1184" s="124" t="str">
        <f>IFERROR(__xludf.DUMMYFUNCTION("""COMPUTED_VALUE"""),"Not Interested")</f>
        <v>Not Interested</v>
      </c>
      <c r="AB1184" s="124"/>
    </row>
    <row r="1185">
      <c r="A1185" s="126">
        <f>IFERROR(__xludf.DUMMYFUNCTION("""COMPUTED_VALUE"""),46097.0)</f>
        <v>46097</v>
      </c>
      <c r="B1185" s="124" t="str">
        <f>IFERROR(__xludf.DUMMYFUNCTION("""COMPUTED_VALUE"""),"google")</f>
        <v>google</v>
      </c>
      <c r="C1185" s="124" t="str">
        <f>IFERROR(__xludf.DUMMYFUNCTION("""COMPUTED_VALUE"""),"Indore")</f>
        <v>Indore</v>
      </c>
      <c r="D1185" s="124" t="str">
        <f>IFERROR(__xludf.DUMMYFUNCTION("""COMPUTED_VALUE"""),"Secondary_Walkin")</f>
        <v>Secondary_Walkin</v>
      </c>
      <c r="E1185" s="124">
        <f>IFERROR(__xludf.DUMMYFUNCTION("""COMPUTED_VALUE"""),1.0)</f>
        <v>1</v>
      </c>
      <c r="F1185" s="124" t="str">
        <f>IFERROR(__xludf.DUMMYFUNCTION("""COMPUTED_VALUE"""),"Not Interested")</f>
        <v>Not Interested</v>
      </c>
      <c r="G1185" s="124" t="str">
        <f>IFERROR(__xludf.DUMMYFUNCTION("""COMPUTED_VALUE"""),"GS Foundation")</f>
        <v>GS Foundation</v>
      </c>
      <c r="K1185" s="124"/>
      <c r="L1185" s="124"/>
      <c r="M1185" s="124"/>
      <c r="N1185" s="124"/>
      <c r="O1185" s="124"/>
      <c r="T1185" s="126">
        <f>IFERROR(__xludf.DUMMYFUNCTION("""COMPUTED_VALUE"""),46064.0)</f>
        <v>46064</v>
      </c>
      <c r="U1185" s="124" t="str">
        <f>IFERROR(__xludf.DUMMYFUNCTION("""COMPUTED_VALUE"""),"Walk-Ins")</f>
        <v>Walk-Ins</v>
      </c>
      <c r="V1185" s="124" t="str">
        <f>IFERROR(__xludf.DUMMYFUNCTION("""COMPUTED_VALUE"""),"Walk-In")</f>
        <v>Walk-In</v>
      </c>
      <c r="W1185" s="124" t="str">
        <f>IFERROR(__xludf.DUMMYFUNCTION("""COMPUTED_VALUE"""),"New Delhi")</f>
        <v>New Delhi</v>
      </c>
      <c r="X1185" s="124" t="str">
        <f>IFERROR(__xludf.DUMMYFUNCTION("""COMPUTED_VALUE"""),"New Delhi")</f>
        <v>New Delhi</v>
      </c>
      <c r="Y1185" s="124" t="str">
        <f>IFERROR(__xludf.DUMMYFUNCTION("""COMPUTED_VALUE"""),"Delhi")</f>
        <v>Delhi</v>
      </c>
      <c r="Z1185" s="124">
        <f>IFERROR(__xludf.DUMMYFUNCTION("""COMPUTED_VALUE"""),1.0)</f>
        <v>1</v>
      </c>
      <c r="AA1185" s="124" t="str">
        <f>IFERROR(__xludf.DUMMYFUNCTION("""COMPUTED_VALUE"""),"Warm")</f>
        <v>Warm</v>
      </c>
      <c r="AB1185" s="124" t="str">
        <f>IFERROR(__xludf.DUMMYFUNCTION("""COMPUTED_VALUE"""),"GS Foundation")</f>
        <v>GS Foundation</v>
      </c>
    </row>
    <row r="1186">
      <c r="A1186" s="126">
        <f>IFERROR(__xludf.DUMMYFUNCTION("""COMPUTED_VALUE"""),46106.0)</f>
        <v>46106</v>
      </c>
      <c r="B1186" s="124" t="str">
        <f>IFERROR(__xludf.DUMMYFUNCTION("""COMPUTED_VALUE"""),"Walkin")</f>
        <v>Walkin</v>
      </c>
      <c r="C1186" s="124" t="str">
        <f>IFERROR(__xludf.DUMMYFUNCTION("""COMPUTED_VALUE"""),"Indore")</f>
        <v>Indore</v>
      </c>
      <c r="D1186" s="124" t="str">
        <f>IFERROR(__xludf.DUMMYFUNCTION("""COMPUTED_VALUE"""),"Primary_Walkin")</f>
        <v>Primary_Walkin</v>
      </c>
      <c r="E1186" s="124">
        <f>IFERROR(__xludf.DUMMYFUNCTION("""COMPUTED_VALUE"""),1.0)</f>
        <v>1</v>
      </c>
      <c r="F1186" s="124" t="str">
        <f>IFERROR(__xludf.DUMMYFUNCTION("""COMPUTED_VALUE"""),"Enrolled")</f>
        <v>Enrolled</v>
      </c>
      <c r="G1186" s="124" t="str">
        <f>IFERROR(__xludf.DUMMYFUNCTION("""COMPUTED_VALUE"""),"GS Foundation")</f>
        <v>GS Foundation</v>
      </c>
      <c r="K1186" s="124"/>
      <c r="L1186" s="124"/>
      <c r="M1186" s="124"/>
      <c r="N1186" s="124"/>
      <c r="O1186" s="124"/>
      <c r="T1186" s="126">
        <f>IFERROR(__xludf.DUMMYFUNCTION("""COMPUTED_VALUE"""),46065.0)</f>
        <v>46065</v>
      </c>
      <c r="U1186" s="124" t="str">
        <f>IFERROR(__xludf.DUMMYFUNCTION("""COMPUTED_VALUE"""),"Walk-Ins")</f>
        <v>Walk-Ins</v>
      </c>
      <c r="V1186" s="124" t="str">
        <f>IFERROR(__xludf.DUMMYFUNCTION("""COMPUTED_VALUE"""),"Walk-In")</f>
        <v>Walk-In</v>
      </c>
      <c r="W1186" s="124" t="str">
        <f>IFERROR(__xludf.DUMMYFUNCTION("""COMPUTED_VALUE"""),"New Delhi")</f>
        <v>New Delhi</v>
      </c>
      <c r="X1186" s="124" t="str">
        <f>IFERROR(__xludf.DUMMYFUNCTION("""COMPUTED_VALUE"""),"New Delhi")</f>
        <v>New Delhi</v>
      </c>
      <c r="Y1186" s="124" t="str">
        <f>IFERROR(__xludf.DUMMYFUNCTION("""COMPUTED_VALUE"""),"Delhi")</f>
        <v>Delhi</v>
      </c>
      <c r="Z1186" s="124">
        <f>IFERROR(__xludf.DUMMYFUNCTION("""COMPUTED_VALUE"""),1.0)</f>
        <v>1</v>
      </c>
      <c r="AA1186" s="124" t="str">
        <f>IFERROR(__xludf.DUMMYFUNCTION("""COMPUTED_VALUE"""),"Future Prospects")</f>
        <v>Future Prospects</v>
      </c>
      <c r="AB1186" s="124" t="str">
        <f>IFERROR(__xludf.DUMMYFUNCTION("""COMPUTED_VALUE"""),"GS Foundation")</f>
        <v>GS Foundation</v>
      </c>
    </row>
    <row r="1187">
      <c r="A1187" s="129">
        <f>IFERROR(__xludf.DUMMYFUNCTION("""COMPUTED_VALUE"""),46062.0)</f>
        <v>46062</v>
      </c>
      <c r="B1187" s="124" t="str">
        <f>IFERROR(__xludf.DUMMYFUNCTION("""COMPUTED_VALUE"""),"Walkin")</f>
        <v>Walkin</v>
      </c>
      <c r="C1187" s="124" t="str">
        <f>IFERROR(__xludf.DUMMYFUNCTION("""COMPUTED_VALUE"""),"Indore")</f>
        <v>Indore</v>
      </c>
      <c r="D1187" s="124" t="str">
        <f>IFERROR(__xludf.DUMMYFUNCTION("""COMPUTED_VALUE"""),"Primary_Walkin")</f>
        <v>Primary_Walkin</v>
      </c>
      <c r="E1187" s="124">
        <f>IFERROR(__xludf.DUMMYFUNCTION("""COMPUTED_VALUE"""),1.0)</f>
        <v>1</v>
      </c>
      <c r="F1187" s="124" t="str">
        <f>IFERROR(__xludf.DUMMYFUNCTION("""COMPUTED_VALUE"""),"Not Interested")</f>
        <v>Not Interested</v>
      </c>
      <c r="G1187" s="124" t="str">
        <f>IFERROR(__xludf.DUMMYFUNCTION("""COMPUTED_VALUE"""),"GS Foundation")</f>
        <v>GS Foundation</v>
      </c>
      <c r="K1187" s="124"/>
      <c r="L1187" s="124"/>
      <c r="M1187" s="124"/>
      <c r="N1187" s="124"/>
      <c r="O1187" s="124"/>
      <c r="T1187" s="129">
        <f>IFERROR(__xludf.DUMMYFUNCTION("""COMPUTED_VALUE"""),46070.0)</f>
        <v>46070</v>
      </c>
      <c r="U1187" s="124" t="str">
        <f>IFERROR(__xludf.DUMMYFUNCTION("""COMPUTED_VALUE"""),"Paid Ads")</f>
        <v>Paid Ads</v>
      </c>
      <c r="V1187" s="124" t="str">
        <f>IFERROR(__xludf.DUMMYFUNCTION("""COMPUTED_VALUE"""),"facebook")</f>
        <v>facebook</v>
      </c>
      <c r="W1187" s="124" t="str">
        <f>IFERROR(__xludf.DUMMYFUNCTION("""COMPUTED_VALUE"""),"indore")</f>
        <v>indore</v>
      </c>
      <c r="X1187" s="124" t="str">
        <f>IFERROR(__xludf.DUMMYFUNCTION("""COMPUTED_VALUE"""),"metaleads")</f>
        <v>metaleads</v>
      </c>
      <c r="Y1187" s="124" t="str">
        <f>IFERROR(__xludf.DUMMYFUNCTION("""COMPUTED_VALUE"""),"Indore")</f>
        <v>Indore</v>
      </c>
      <c r="Z1187" s="124">
        <f>IFERROR(__xludf.DUMMYFUNCTION("""COMPUTED_VALUE"""),1.0)</f>
        <v>1</v>
      </c>
      <c r="AA1187" s="124" t="str">
        <f>IFERROR(__xludf.DUMMYFUNCTION("""COMPUTED_VALUE"""),"Fake Lead")</f>
        <v>Fake Lead</v>
      </c>
      <c r="AB1187" s="124"/>
    </row>
    <row r="1188">
      <c r="A1188" s="129">
        <f>IFERROR(__xludf.DUMMYFUNCTION("""COMPUTED_VALUE"""),46072.0)</f>
        <v>46072</v>
      </c>
      <c r="B1188" s="124" t="str">
        <f>IFERROR(__xludf.DUMMYFUNCTION("""COMPUTED_VALUE"""),"external leads")</f>
        <v>external leads</v>
      </c>
      <c r="C1188" s="124" t="str">
        <f>IFERROR(__xludf.DUMMYFUNCTION("""COMPUTED_VALUE"""),"Indore")</f>
        <v>Indore</v>
      </c>
      <c r="D1188" s="124" t="str">
        <f>IFERROR(__xludf.DUMMYFUNCTION("""COMPUTED_VALUE"""),"Secondary_Walkin")</f>
        <v>Secondary_Walkin</v>
      </c>
      <c r="E1188" s="124">
        <f>IFERROR(__xludf.DUMMYFUNCTION("""COMPUTED_VALUE"""),1.0)</f>
        <v>1</v>
      </c>
      <c r="F1188" s="124" t="str">
        <f>IFERROR(__xludf.DUMMYFUNCTION("""COMPUTED_VALUE"""),"Not Interested")</f>
        <v>Not Interested</v>
      </c>
      <c r="G1188" s="124" t="str">
        <f>IFERROR(__xludf.DUMMYFUNCTION("""COMPUTED_VALUE"""),"State PCS")</f>
        <v>State PCS</v>
      </c>
      <c r="K1188" s="124"/>
      <c r="L1188" s="124"/>
      <c r="M1188" s="124"/>
      <c r="N1188" s="124"/>
      <c r="O1188" s="124"/>
      <c r="T1188" s="126">
        <f>IFERROR(__xludf.DUMMYFUNCTION("""COMPUTED_VALUE"""),46047.0)</f>
        <v>46047</v>
      </c>
      <c r="U1188" s="124" t="str">
        <f>IFERROR(__xludf.DUMMYFUNCTION("""COMPUTED_VALUE"""),"Paid Ads")</f>
        <v>Paid Ads</v>
      </c>
      <c r="V1188" s="124" t="str">
        <f>IFERROR(__xludf.DUMMYFUNCTION("""COMPUTED_VALUE"""),"Facebook")</f>
        <v>Facebook</v>
      </c>
      <c r="W1188" s="124" t="str">
        <f>IFERROR(__xludf.DUMMYFUNCTION("""COMPUTED_VALUE"""),"LeadAd")</f>
        <v>LeadAd</v>
      </c>
      <c r="X1188" s="124" t="str">
        <f>IFERROR(__xludf.DUMMYFUNCTION("""COMPUTED_VALUE"""),"Upsc_Offline_26_Indore_FB_Creatives")</f>
        <v>Upsc_Offline_26_Indore_FB_Creatives</v>
      </c>
      <c r="Y1188" s="124" t="str">
        <f>IFERROR(__xludf.DUMMYFUNCTION("""COMPUTED_VALUE"""),"Indore")</f>
        <v>Indore</v>
      </c>
      <c r="Z1188" s="124">
        <f>IFERROR(__xludf.DUMMYFUNCTION("""COMPUTED_VALUE"""),2.0)</f>
        <v>2</v>
      </c>
      <c r="AA1188" s="124" t="str">
        <f>IFERROR(__xludf.DUMMYFUNCTION("""COMPUTED_VALUE"""),"Cold")</f>
        <v>Cold</v>
      </c>
      <c r="AB1188" s="124"/>
    </row>
    <row r="1189">
      <c r="A1189" s="126">
        <f>IFERROR(__xludf.DUMMYFUNCTION("""COMPUTED_VALUE"""),46058.0)</f>
        <v>46058</v>
      </c>
      <c r="B1189" s="124" t="str">
        <f>IFERROR(__xludf.DUMMYFUNCTION("""COMPUTED_VALUE"""),"Walkin")</f>
        <v>Walkin</v>
      </c>
      <c r="C1189" s="124" t="str">
        <f>IFERROR(__xludf.DUMMYFUNCTION("""COMPUTED_VALUE"""),"Indore")</f>
        <v>Indore</v>
      </c>
      <c r="D1189" s="124" t="str">
        <f>IFERROR(__xludf.DUMMYFUNCTION("""COMPUTED_VALUE"""),"Primary_Walkin")</f>
        <v>Primary_Walkin</v>
      </c>
      <c r="E1189" s="124">
        <f>IFERROR(__xludf.DUMMYFUNCTION("""COMPUTED_VALUE"""),1.0)</f>
        <v>1</v>
      </c>
      <c r="F1189" s="124" t="str">
        <f>IFERROR(__xludf.DUMMYFUNCTION("""COMPUTED_VALUE"""),"Not Interested")</f>
        <v>Not Interested</v>
      </c>
      <c r="G1189" s="124" t="str">
        <f>IFERROR(__xludf.DUMMYFUNCTION("""COMPUTED_VALUE"""),"State PCS")</f>
        <v>State PCS</v>
      </c>
      <c r="K1189" s="124"/>
      <c r="L1189" s="124"/>
      <c r="M1189" s="124"/>
      <c r="N1189" s="124"/>
      <c r="O1189" s="124"/>
      <c r="T1189" s="126">
        <f>IFERROR(__xludf.DUMMYFUNCTION("""COMPUTED_VALUE"""),46061.0)</f>
        <v>46061</v>
      </c>
      <c r="U1189" s="124" t="str">
        <f>IFERROR(__xludf.DUMMYFUNCTION("""COMPUTED_VALUE"""),"Walk-Ins")</f>
        <v>Walk-Ins</v>
      </c>
      <c r="V1189" s="124" t="str">
        <f>IFERROR(__xludf.DUMMYFUNCTION("""COMPUTED_VALUE"""),"Walk-In")</f>
        <v>Walk-In</v>
      </c>
      <c r="W1189" s="124" t="str">
        <f>IFERROR(__xludf.DUMMYFUNCTION("""COMPUTED_VALUE"""),"New Delhi")</f>
        <v>New Delhi</v>
      </c>
      <c r="X1189" s="124" t="str">
        <f>IFERROR(__xludf.DUMMYFUNCTION("""COMPUTED_VALUE"""),"New Delhi")</f>
        <v>New Delhi</v>
      </c>
      <c r="Y1189" s="124" t="str">
        <f>IFERROR(__xludf.DUMMYFUNCTION("""COMPUTED_VALUE"""),"Delhi")</f>
        <v>Delhi</v>
      </c>
      <c r="Z1189" s="124">
        <f>IFERROR(__xludf.DUMMYFUNCTION("""COMPUTED_VALUE"""),1.0)</f>
        <v>1</v>
      </c>
      <c r="AA1189" s="124" t="str">
        <f>IFERROR(__xludf.DUMMYFUNCTION("""COMPUTED_VALUE"""),"Cold")</f>
        <v>Cold</v>
      </c>
      <c r="AB1189" s="124" t="str">
        <f>IFERROR(__xludf.DUMMYFUNCTION("""COMPUTED_VALUE"""),"SIP Offline")</f>
        <v>SIP Offline</v>
      </c>
    </row>
    <row r="1190">
      <c r="A1190" s="126">
        <f>IFERROR(__xludf.DUMMYFUNCTION("""COMPUTED_VALUE"""),46109.0)</f>
        <v>46109</v>
      </c>
      <c r="B1190" s="124" t="str">
        <f>IFERROR(__xludf.DUMMYFUNCTION("""COMPUTED_VALUE"""),"Walkin")</f>
        <v>Walkin</v>
      </c>
      <c r="C1190" s="124" t="str">
        <f>IFERROR(__xludf.DUMMYFUNCTION("""COMPUTED_VALUE"""),"Indore")</f>
        <v>Indore</v>
      </c>
      <c r="D1190" s="124" t="str">
        <f>IFERROR(__xludf.DUMMYFUNCTION("""COMPUTED_VALUE"""),"Primary_Walkin")</f>
        <v>Primary_Walkin</v>
      </c>
      <c r="E1190" s="124">
        <f>IFERROR(__xludf.DUMMYFUNCTION("""COMPUTED_VALUE"""),1.0)</f>
        <v>1</v>
      </c>
      <c r="F1190" s="124" t="str">
        <f>IFERROR(__xludf.DUMMYFUNCTION("""COMPUTED_VALUE"""),"Not Interested")</f>
        <v>Not Interested</v>
      </c>
      <c r="G1190" s="124" t="str">
        <f>IFERROR(__xludf.DUMMYFUNCTION("""COMPUTED_VALUE"""),"Other")</f>
        <v>Other</v>
      </c>
      <c r="K1190" s="124"/>
      <c r="L1190" s="124"/>
      <c r="M1190" s="124"/>
      <c r="N1190" s="124"/>
      <c r="O1190" s="124"/>
      <c r="T1190" s="126">
        <f>IFERROR(__xludf.DUMMYFUNCTION("""COMPUTED_VALUE"""),46075.0)</f>
        <v>46075</v>
      </c>
      <c r="U1190" s="124" t="str">
        <f>IFERROR(__xludf.DUMMYFUNCTION("""COMPUTED_VALUE"""),"Event")</f>
        <v>Event</v>
      </c>
      <c r="V1190" s="124" t="str">
        <f>IFERROR(__xludf.DUMMYFUNCTION("""COMPUTED_VALUE"""),"Other")</f>
        <v>Other</v>
      </c>
      <c r="W1190" s="124" t="str">
        <f>IFERROR(__xludf.DUMMYFUNCTION("""COMPUTED_VALUE"""),"New Delhi")</f>
        <v>New Delhi</v>
      </c>
      <c r="X1190" s="124" t="str">
        <f>IFERROR(__xludf.DUMMYFUNCTION("""COMPUTED_VALUE"""),"New Delhi")</f>
        <v>New Delhi</v>
      </c>
      <c r="Y1190" s="124" t="str">
        <f>IFERROR(__xludf.DUMMYFUNCTION("""COMPUTED_VALUE"""),"Delhi")</f>
        <v>Delhi</v>
      </c>
      <c r="Z1190" s="124">
        <f>IFERROR(__xludf.DUMMYFUNCTION("""COMPUTED_VALUE"""),1.0)</f>
        <v>1</v>
      </c>
      <c r="AA1190" s="124" t="str">
        <f>IFERROR(__xludf.DUMMYFUNCTION("""COMPUTED_VALUE"""),"Not Interested")</f>
        <v>Not Interested</v>
      </c>
      <c r="AB1190" s="124" t="str">
        <f>IFERROR(__xludf.DUMMYFUNCTION("""COMPUTED_VALUE"""),"GS Foundation")</f>
        <v>GS Foundation</v>
      </c>
    </row>
    <row r="1191">
      <c r="A1191" s="126">
        <f>IFERROR(__xludf.DUMMYFUNCTION("""COMPUTED_VALUE"""),46057.0)</f>
        <v>46057</v>
      </c>
      <c r="B1191" s="124" t="str">
        <f>IFERROR(__xludf.DUMMYFUNCTION("""COMPUTED_VALUE"""),"Walkin")</f>
        <v>Walkin</v>
      </c>
      <c r="C1191" s="124" t="str">
        <f>IFERROR(__xludf.DUMMYFUNCTION("""COMPUTED_VALUE"""),"Indore")</f>
        <v>Indore</v>
      </c>
      <c r="D1191" s="124" t="str">
        <f>IFERROR(__xludf.DUMMYFUNCTION("""COMPUTED_VALUE"""),"Primary_Walkin")</f>
        <v>Primary_Walkin</v>
      </c>
      <c r="E1191" s="124">
        <f>IFERROR(__xludf.DUMMYFUNCTION("""COMPUTED_VALUE"""),2.0)</f>
        <v>2</v>
      </c>
      <c r="F1191" s="124" t="str">
        <f>IFERROR(__xludf.DUMMYFUNCTION("""COMPUTED_VALUE"""),"Cold")</f>
        <v>Cold</v>
      </c>
      <c r="G1191" s="124" t="str">
        <f>IFERROR(__xludf.DUMMYFUNCTION("""COMPUTED_VALUE"""),"Test Series")</f>
        <v>Test Series</v>
      </c>
      <c r="K1191" s="124"/>
      <c r="L1191" s="124"/>
      <c r="M1191" s="124"/>
      <c r="N1191" s="124"/>
      <c r="O1191" s="124"/>
      <c r="T1191" s="126">
        <f>IFERROR(__xludf.DUMMYFUNCTION("""COMPUTED_VALUE"""),46092.0)</f>
        <v>46092</v>
      </c>
      <c r="U1191" s="124" t="str">
        <f>IFERROR(__xludf.DUMMYFUNCTION("""COMPUTED_VALUE"""),"Walk-Ins")</f>
        <v>Walk-Ins</v>
      </c>
      <c r="V1191" s="124" t="str">
        <f>IFERROR(__xludf.DUMMYFUNCTION("""COMPUTED_VALUE"""),"Walk-In")</f>
        <v>Walk-In</v>
      </c>
      <c r="W1191" s="124" t="str">
        <f>IFERROR(__xludf.DUMMYFUNCTION("""COMPUTED_VALUE"""),"Delhi")</f>
        <v>Delhi</v>
      </c>
      <c r="X1191" s="124" t="str">
        <f>IFERROR(__xludf.DUMMYFUNCTION("""COMPUTED_VALUE"""),"Aryan")</f>
        <v>Aryan</v>
      </c>
      <c r="Y1191" s="124" t="str">
        <f>IFERROR(__xludf.DUMMYFUNCTION("""COMPUTED_VALUE"""),"Delhi")</f>
        <v>Delhi</v>
      </c>
      <c r="Z1191" s="124">
        <f>IFERROR(__xludf.DUMMYFUNCTION("""COMPUTED_VALUE"""),1.0)</f>
        <v>1</v>
      </c>
      <c r="AA1191" s="124" t="str">
        <f>IFERROR(__xludf.DUMMYFUNCTION("""COMPUTED_VALUE"""),"Fake Lead")</f>
        <v>Fake Lead</v>
      </c>
      <c r="AB1191" s="124" t="str">
        <f>IFERROR(__xludf.DUMMYFUNCTION("""COMPUTED_VALUE"""),"State PCS")</f>
        <v>State PCS</v>
      </c>
    </row>
    <row r="1192">
      <c r="A1192" s="126">
        <f>IFERROR(__xludf.DUMMYFUNCTION("""COMPUTED_VALUE"""),46099.0)</f>
        <v>46099</v>
      </c>
      <c r="B1192" s="124" t="str">
        <f>IFERROR(__xludf.DUMMYFUNCTION("""COMPUTED_VALUE"""),"external leads")</f>
        <v>external leads</v>
      </c>
      <c r="C1192" s="124" t="str">
        <f>IFERROR(__xludf.DUMMYFUNCTION("""COMPUTED_VALUE"""),"Lucknow")</f>
        <v>Lucknow</v>
      </c>
      <c r="D1192" s="124" t="str">
        <f>IFERROR(__xludf.DUMMYFUNCTION("""COMPUTED_VALUE"""),"Secondary_Walkin")</f>
        <v>Secondary_Walkin</v>
      </c>
      <c r="E1192" s="124">
        <f>IFERROR(__xludf.DUMMYFUNCTION("""COMPUTED_VALUE"""),1.0)</f>
        <v>1</v>
      </c>
      <c r="F1192" s="124" t="str">
        <f>IFERROR(__xludf.DUMMYFUNCTION("""COMPUTED_VALUE"""),"Warm")</f>
        <v>Warm</v>
      </c>
      <c r="G1192" s="124" t="str">
        <f>IFERROR(__xludf.DUMMYFUNCTION("""COMPUTED_VALUE"""),"State PCS")</f>
        <v>State PCS</v>
      </c>
      <c r="K1192" s="124"/>
      <c r="L1192" s="124"/>
      <c r="M1192" s="124"/>
      <c r="N1192" s="124"/>
      <c r="O1192" s="124"/>
      <c r="T1192" s="126">
        <f>IFERROR(__xludf.DUMMYFUNCTION("""COMPUTED_VALUE"""),46105.0)</f>
        <v>46105</v>
      </c>
      <c r="U1192" s="124" t="str">
        <f>IFERROR(__xludf.DUMMYFUNCTION("""COMPUTED_VALUE"""),"Event")</f>
        <v>Event</v>
      </c>
      <c r="V1192" s="124" t="str">
        <f>IFERROR(__xludf.DUMMYFUNCTION("""COMPUTED_VALUE"""),"events")</f>
        <v>events</v>
      </c>
      <c r="W1192" s="124" t="str">
        <f>IFERROR(__xludf.DUMMYFUNCTION("""COMPUTED_VALUE"""),"lucknow")</f>
        <v>lucknow</v>
      </c>
      <c r="X1192" s="124" t="str">
        <f>IFERROR(__xludf.DUMMYFUNCTION("""COMPUTED_VALUE"""),"seminar")</f>
        <v>seminar</v>
      </c>
      <c r="Y1192" s="124" t="str">
        <f>IFERROR(__xludf.DUMMYFUNCTION("""COMPUTED_VALUE"""),"Lucknow")</f>
        <v>Lucknow</v>
      </c>
      <c r="Z1192" s="124">
        <f>IFERROR(__xludf.DUMMYFUNCTION("""COMPUTED_VALUE"""),6.0)</f>
        <v>6</v>
      </c>
      <c r="AA1192" s="124" t="str">
        <f>IFERROR(__xludf.DUMMYFUNCTION("""COMPUTED_VALUE"""),"Cold")</f>
        <v>Cold</v>
      </c>
      <c r="AB1192" s="124"/>
    </row>
    <row r="1193">
      <c r="A1193" s="126">
        <f>IFERROR(__xludf.DUMMYFUNCTION("""COMPUTED_VALUE"""),46063.0)</f>
        <v>46063</v>
      </c>
      <c r="B1193" s="124" t="str">
        <f>IFERROR(__xludf.DUMMYFUNCTION("""COMPUTED_VALUE"""),"Walkin")</f>
        <v>Walkin</v>
      </c>
      <c r="C1193" s="124" t="str">
        <f>IFERROR(__xludf.DUMMYFUNCTION("""COMPUTED_VALUE"""),"Indore")</f>
        <v>Indore</v>
      </c>
      <c r="D1193" s="124" t="str">
        <f>IFERROR(__xludf.DUMMYFUNCTION("""COMPUTED_VALUE"""),"Primary_Walkin")</f>
        <v>Primary_Walkin</v>
      </c>
      <c r="E1193" s="124">
        <f>IFERROR(__xludf.DUMMYFUNCTION("""COMPUTED_VALUE"""),2.0)</f>
        <v>2</v>
      </c>
      <c r="F1193" s="124" t="str">
        <f>IFERROR(__xludf.DUMMYFUNCTION("""COMPUTED_VALUE"""),"Not Interested")</f>
        <v>Not Interested</v>
      </c>
      <c r="G1193" s="124" t="str">
        <f>IFERROR(__xludf.DUMMYFUNCTION("""COMPUTED_VALUE"""),"Other")</f>
        <v>Other</v>
      </c>
      <c r="K1193" s="124"/>
      <c r="L1193" s="124"/>
      <c r="M1193" s="124"/>
      <c r="N1193" s="124"/>
      <c r="O1193" s="124"/>
      <c r="T1193" s="126">
        <f>IFERROR(__xludf.DUMMYFUNCTION("""COMPUTED_VALUE"""),46097.0)</f>
        <v>46097</v>
      </c>
      <c r="U1193" s="124" t="str">
        <f>IFERROR(__xludf.DUMMYFUNCTION("""COMPUTED_VALUE"""),"Event")</f>
        <v>Event</v>
      </c>
      <c r="V1193" s="124" t="str">
        <f>IFERROR(__xludf.DUMMYFUNCTION("""COMPUTED_VALUE"""),"events")</f>
        <v>events</v>
      </c>
      <c r="W1193" s="124" t="str">
        <f>IFERROR(__xludf.DUMMYFUNCTION("""COMPUTED_VALUE"""),"indore")</f>
        <v>indore</v>
      </c>
      <c r="X1193" s="124" t="str">
        <f>IFERROR(__xludf.DUMMYFUNCTION("""COMPUTED_VALUE"""),"seminar")</f>
        <v>seminar</v>
      </c>
      <c r="Y1193" s="124" t="str">
        <f>IFERROR(__xludf.DUMMYFUNCTION("""COMPUTED_VALUE"""),"Indore")</f>
        <v>Indore</v>
      </c>
      <c r="Z1193" s="124">
        <f>IFERROR(__xludf.DUMMYFUNCTION("""COMPUTED_VALUE"""),27.0)</f>
        <v>27</v>
      </c>
      <c r="AA1193" s="124" t="str">
        <f>IFERROR(__xludf.DUMMYFUNCTION("""COMPUTED_VALUE"""),"Not Interested")</f>
        <v>Not Interested</v>
      </c>
      <c r="AB1193" s="124"/>
    </row>
    <row r="1194">
      <c r="A1194" s="126">
        <f>IFERROR(__xludf.DUMMYFUNCTION("""COMPUTED_VALUE"""),46074.0)</f>
        <v>46074</v>
      </c>
      <c r="B1194" s="124" t="str">
        <f>IFERROR(__xludf.DUMMYFUNCTION("""COMPUTED_VALUE"""),"Walkin")</f>
        <v>Walkin</v>
      </c>
      <c r="C1194" s="124" t="str">
        <f>IFERROR(__xludf.DUMMYFUNCTION("""COMPUTED_VALUE"""),"Indore")</f>
        <v>Indore</v>
      </c>
      <c r="D1194" s="124" t="str">
        <f>IFERROR(__xludf.DUMMYFUNCTION("""COMPUTED_VALUE"""),"Primary_Walkin")</f>
        <v>Primary_Walkin</v>
      </c>
      <c r="E1194" s="124">
        <f>IFERROR(__xludf.DUMMYFUNCTION("""COMPUTED_VALUE"""),1.0)</f>
        <v>1</v>
      </c>
      <c r="F1194" s="124" t="str">
        <f>IFERROR(__xludf.DUMMYFUNCTION("""COMPUTED_VALUE"""),"Cold")</f>
        <v>Cold</v>
      </c>
      <c r="G1194" s="124" t="str">
        <f>IFERROR(__xludf.DUMMYFUNCTION("""COMPUTED_VALUE"""),"Test Series")</f>
        <v>Test Series</v>
      </c>
      <c r="K1194" s="124"/>
      <c r="L1194" s="124"/>
      <c r="M1194" s="124"/>
      <c r="N1194" s="124"/>
      <c r="O1194" s="124"/>
      <c r="T1194" s="129">
        <f>IFERROR(__xludf.DUMMYFUNCTION("""COMPUTED_VALUE"""),46075.0)</f>
        <v>46075</v>
      </c>
      <c r="U1194" s="124" t="str">
        <f>IFERROR(__xludf.DUMMYFUNCTION("""COMPUTED_VALUE"""),"Walk-Ins")</f>
        <v>Walk-Ins</v>
      </c>
      <c r="V1194" s="124" t="str">
        <f>IFERROR(__xludf.DUMMYFUNCTION("""COMPUTED_VALUE"""),"Walk-In")</f>
        <v>Walk-In</v>
      </c>
      <c r="W1194" s="124" t="str">
        <f>IFERROR(__xludf.DUMMYFUNCTION("""COMPUTED_VALUE"""),"Patna")</f>
        <v>Patna</v>
      </c>
      <c r="X1194" s="124" t="str">
        <f>IFERROR(__xludf.DUMMYFUNCTION("""COMPUTED_VALUE"""),"Patna")</f>
        <v>Patna</v>
      </c>
      <c r="Y1194" s="124" t="str">
        <f>IFERROR(__xludf.DUMMYFUNCTION("""COMPUTED_VALUE"""),"Patna")</f>
        <v>Patna</v>
      </c>
      <c r="Z1194" s="124">
        <f>IFERROR(__xludf.DUMMYFUNCTION("""COMPUTED_VALUE"""),1.0)</f>
        <v>1</v>
      </c>
      <c r="AA1194" s="124" t="str">
        <f>IFERROR(__xludf.DUMMYFUNCTION("""COMPUTED_VALUE"""),"Not Interested")</f>
        <v>Not Interested</v>
      </c>
      <c r="AB1194" s="124" t="str">
        <f>IFERROR(__xludf.DUMMYFUNCTION("""COMPUTED_VALUE"""),"Test Series")</f>
        <v>Test Series</v>
      </c>
    </row>
    <row r="1195">
      <c r="A1195" s="126">
        <f>IFERROR(__xludf.DUMMYFUNCTION("""COMPUTED_VALUE"""),46091.0)</f>
        <v>46091</v>
      </c>
      <c r="B1195" s="124" t="str">
        <f>IFERROR(__xludf.DUMMYFUNCTION("""COMPUTED_VALUE"""),"libraries")</f>
        <v>libraries</v>
      </c>
      <c r="C1195" s="124" t="str">
        <f>IFERROR(__xludf.DUMMYFUNCTION("""COMPUTED_VALUE"""),"Indore")</f>
        <v>Indore</v>
      </c>
      <c r="D1195" s="124" t="str">
        <f>IFERROR(__xludf.DUMMYFUNCTION("""COMPUTED_VALUE"""),"Secondary_Walkin")</f>
        <v>Secondary_Walkin</v>
      </c>
      <c r="E1195" s="124">
        <f>IFERROR(__xludf.DUMMYFUNCTION("""COMPUTED_VALUE"""),1.0)</f>
        <v>1</v>
      </c>
      <c r="F1195" s="124" t="str">
        <f>IFERROR(__xludf.DUMMYFUNCTION("""COMPUTED_VALUE"""),"Cold")</f>
        <v>Cold</v>
      </c>
      <c r="G1195" s="124" t="str">
        <f>IFERROR(__xludf.DUMMYFUNCTION("""COMPUTED_VALUE"""),"GS Foundation")</f>
        <v>GS Foundation</v>
      </c>
      <c r="K1195" s="124"/>
      <c r="L1195" s="124"/>
      <c r="M1195" s="124"/>
      <c r="N1195" s="124"/>
      <c r="O1195" s="124"/>
      <c r="T1195" s="126">
        <f>IFERROR(__xludf.DUMMYFUNCTION("""COMPUTED_VALUE"""),46049.0)</f>
        <v>46049</v>
      </c>
      <c r="U1195" s="124" t="str">
        <f>IFERROR(__xludf.DUMMYFUNCTION("""COMPUTED_VALUE"""),"Paid Ads")</f>
        <v>Paid Ads</v>
      </c>
      <c r="V1195" s="124" t="str">
        <f>IFERROR(__xludf.DUMMYFUNCTION("""COMPUTED_VALUE"""),"Facebook")</f>
        <v>Facebook</v>
      </c>
      <c r="W1195" s="124" t="str">
        <f>IFERROR(__xludf.DUMMYFUNCTION("""COMPUTED_VALUE"""),"LeadAd")</f>
        <v>LeadAd</v>
      </c>
      <c r="X1195" s="124" t="str">
        <f>IFERROR(__xludf.DUMMYFUNCTION("""COMPUTED_VALUE"""),"Upsc_offline_26_Lucknow_FB_Video")</f>
        <v>Upsc_offline_26_Lucknow_FB_Video</v>
      </c>
      <c r="Y1195" s="124" t="str">
        <f>IFERROR(__xludf.DUMMYFUNCTION("""COMPUTED_VALUE"""),"Lucknow")</f>
        <v>Lucknow</v>
      </c>
      <c r="Z1195" s="124">
        <f>IFERROR(__xludf.DUMMYFUNCTION("""COMPUTED_VALUE"""),6.0)</f>
        <v>6</v>
      </c>
      <c r="AA1195" s="124" t="str">
        <f>IFERROR(__xludf.DUMMYFUNCTION("""COMPUTED_VALUE"""),"Fake Lead")</f>
        <v>Fake Lead</v>
      </c>
      <c r="AB1195" s="124"/>
    </row>
    <row r="1196">
      <c r="A1196" s="129">
        <f>IFERROR(__xludf.DUMMYFUNCTION("""COMPUTED_VALUE"""),46112.0)</f>
        <v>46112</v>
      </c>
      <c r="B1196" s="124" t="str">
        <f>IFERROR(__xludf.DUMMYFUNCTION("""COMPUTED_VALUE"""),"Walkin")</f>
        <v>Walkin</v>
      </c>
      <c r="C1196" s="124" t="str">
        <f>IFERROR(__xludf.DUMMYFUNCTION("""COMPUTED_VALUE"""),"Indore")</f>
        <v>Indore</v>
      </c>
      <c r="D1196" s="124" t="str">
        <f>IFERROR(__xludf.DUMMYFUNCTION("""COMPUTED_VALUE"""),"Primary_Walkin")</f>
        <v>Primary_Walkin</v>
      </c>
      <c r="E1196" s="124">
        <f>IFERROR(__xludf.DUMMYFUNCTION("""COMPUTED_VALUE"""),1.0)</f>
        <v>1</v>
      </c>
      <c r="F1196" s="124" t="str">
        <f>IFERROR(__xludf.DUMMYFUNCTION("""COMPUTED_VALUE"""),"Interested")</f>
        <v>Interested</v>
      </c>
      <c r="G1196" s="124" t="str">
        <f>IFERROR(__xludf.DUMMYFUNCTION("""COMPUTED_VALUE"""),"State PCS")</f>
        <v>State PCS</v>
      </c>
      <c r="K1196" s="124"/>
      <c r="L1196" s="124"/>
      <c r="M1196" s="124"/>
      <c r="N1196" s="124"/>
      <c r="O1196" s="124"/>
      <c r="T1196" s="126">
        <f>IFERROR(__xludf.DUMMYFUNCTION("""COMPUTED_VALUE"""),46047.0)</f>
        <v>46047</v>
      </c>
      <c r="U1196" s="124" t="str">
        <f>IFERROR(__xludf.DUMMYFUNCTION("""COMPUTED_VALUE"""),"Paid Ads")</f>
        <v>Paid Ads</v>
      </c>
      <c r="V1196" s="124" t="str">
        <f>IFERROR(__xludf.DUMMYFUNCTION("""COMPUTED_VALUE"""),"google")</f>
        <v>google</v>
      </c>
      <c r="W1196" s="124" t="str">
        <f>IFERROR(__xludf.DUMMYFUNCTION("""COMPUTED_VALUE"""),"cpc")</f>
        <v>cpc</v>
      </c>
      <c r="X1196" s="124">
        <f>IFERROR(__xludf.DUMMYFUNCTION("""COMPUTED_VALUE"""),2.2758016291E10)</f>
        <v>22758016291</v>
      </c>
      <c r="Y1196" s="124" t="str">
        <f>IFERROR(__xludf.DUMMYFUNCTION("""COMPUTED_VALUE"""),"Delhi")</f>
        <v>Delhi</v>
      </c>
      <c r="Z1196" s="124">
        <f>IFERROR(__xludf.DUMMYFUNCTION("""COMPUTED_VALUE"""),2.0)</f>
        <v>2</v>
      </c>
      <c r="AA1196" s="124" t="str">
        <f>IFERROR(__xludf.DUMMYFUNCTION("""COMPUTED_VALUE"""),"Cold")</f>
        <v>Cold</v>
      </c>
      <c r="AB1196" s="124" t="str">
        <f>IFERROR(__xludf.DUMMYFUNCTION("""COMPUTED_VALUE"""),"Other")</f>
        <v>Other</v>
      </c>
    </row>
    <row r="1197">
      <c r="A1197" s="129">
        <f>IFERROR(__xludf.DUMMYFUNCTION("""COMPUTED_VALUE"""),46062.0)</f>
        <v>46062</v>
      </c>
      <c r="B1197" s="124" t="str">
        <f>IFERROR(__xludf.DUMMYFUNCTION("""COMPUTED_VALUE"""),"Walkin")</f>
        <v>Walkin</v>
      </c>
      <c r="C1197" s="124" t="str">
        <f>IFERROR(__xludf.DUMMYFUNCTION("""COMPUTED_VALUE"""),"Lucknow")</f>
        <v>Lucknow</v>
      </c>
      <c r="D1197" s="124" t="str">
        <f>IFERROR(__xludf.DUMMYFUNCTION("""COMPUTED_VALUE"""),"Primary_Walkin")</f>
        <v>Primary_Walkin</v>
      </c>
      <c r="E1197" s="124">
        <f>IFERROR(__xludf.DUMMYFUNCTION("""COMPUTED_VALUE"""),1.0)</f>
        <v>1</v>
      </c>
      <c r="F1197" s="124" t="str">
        <f>IFERROR(__xludf.DUMMYFUNCTION("""COMPUTED_VALUE"""),"Cold")</f>
        <v>Cold</v>
      </c>
      <c r="G1197" s="124" t="str">
        <f>IFERROR(__xludf.DUMMYFUNCTION("""COMPUTED_VALUE"""),"SIP Offline")</f>
        <v>SIP Offline</v>
      </c>
      <c r="K1197" s="124"/>
      <c r="L1197" s="124"/>
      <c r="M1197" s="124"/>
      <c r="N1197" s="124"/>
      <c r="O1197" s="124"/>
      <c r="T1197" s="126">
        <f>IFERROR(__xludf.DUMMYFUNCTION("""COMPUTED_VALUE"""),46051.0)</f>
        <v>46051</v>
      </c>
      <c r="U1197" s="124" t="str">
        <f>IFERROR(__xludf.DUMMYFUNCTION("""COMPUTED_VALUE"""),"Paid Ads")</f>
        <v>Paid Ads</v>
      </c>
      <c r="V1197" s="124" t="str">
        <f>IFERROR(__xludf.DUMMYFUNCTION("""COMPUTED_VALUE"""),"google")</f>
        <v>google</v>
      </c>
      <c r="W1197" s="124" t="str">
        <f>IFERROR(__xludf.DUMMYFUNCTION("""COMPUTED_VALUE"""),"cpc")</f>
        <v>cpc</v>
      </c>
      <c r="X1197" s="124">
        <f>IFERROR(__xludf.DUMMYFUNCTION("""COMPUTED_VALUE"""),2.2758016291E10)</f>
        <v>22758016291</v>
      </c>
      <c r="Y1197" s="124" t="str">
        <f>IFERROR(__xludf.DUMMYFUNCTION("""COMPUTED_VALUE"""),"Delhi")</f>
        <v>Delhi</v>
      </c>
      <c r="Z1197" s="124">
        <f>IFERROR(__xludf.DUMMYFUNCTION("""COMPUTED_VALUE"""),1.0)</f>
        <v>1</v>
      </c>
      <c r="AA1197" s="124" t="str">
        <f>IFERROR(__xludf.DUMMYFUNCTION("""COMPUTED_VALUE"""),"Cold")</f>
        <v>Cold</v>
      </c>
      <c r="AB1197" s="124" t="str">
        <f>IFERROR(__xludf.DUMMYFUNCTION("""COMPUTED_VALUE"""),"Prelims Crash Course - SIP")</f>
        <v>Prelims Crash Course - SIP</v>
      </c>
    </row>
    <row r="1198">
      <c r="A1198" s="129">
        <f>IFERROR(__xludf.DUMMYFUNCTION("""COMPUTED_VALUE"""),46072.0)</f>
        <v>46072</v>
      </c>
      <c r="B1198" s="124" t="str">
        <f>IFERROR(__xludf.DUMMYFUNCTION("""COMPUTED_VALUE"""),"Walkin")</f>
        <v>Walkin</v>
      </c>
      <c r="C1198" s="124" t="str">
        <f>IFERROR(__xludf.DUMMYFUNCTION("""COMPUTED_VALUE"""),"Indore")</f>
        <v>Indore</v>
      </c>
      <c r="D1198" s="124" t="str">
        <f>IFERROR(__xludf.DUMMYFUNCTION("""COMPUTED_VALUE"""),"Primary_Walkin")</f>
        <v>Primary_Walkin</v>
      </c>
      <c r="E1198" s="124">
        <f>IFERROR(__xludf.DUMMYFUNCTION("""COMPUTED_VALUE"""),2.0)</f>
        <v>2</v>
      </c>
      <c r="F1198" s="124" t="str">
        <f>IFERROR(__xludf.DUMMYFUNCTION("""COMPUTED_VALUE"""),"Future Prospects")</f>
        <v>Future Prospects</v>
      </c>
      <c r="G1198" s="124" t="str">
        <f>IFERROR(__xludf.DUMMYFUNCTION("""COMPUTED_VALUE"""),"GS Foundation")</f>
        <v>GS Foundation</v>
      </c>
      <c r="K1198" s="124"/>
      <c r="L1198" s="124"/>
      <c r="M1198" s="124"/>
      <c r="N1198" s="124"/>
      <c r="O1198" s="124"/>
      <c r="T1198" s="126">
        <f>IFERROR(__xludf.DUMMYFUNCTION("""COMPUTED_VALUE"""),46106.0)</f>
        <v>46106</v>
      </c>
      <c r="U1198" s="124" t="str">
        <f>IFERROR(__xludf.DUMMYFUNCTION("""COMPUTED_VALUE"""),"Event")</f>
        <v>Event</v>
      </c>
      <c r="V1198" s="124" t="str">
        <f>IFERROR(__xludf.DUMMYFUNCTION("""COMPUTED_VALUE"""),"events")</f>
        <v>events</v>
      </c>
      <c r="W1198" s="124" t="str">
        <f>IFERROR(__xludf.DUMMYFUNCTION("""COMPUTED_VALUE"""),"prayagraj")</f>
        <v>prayagraj</v>
      </c>
      <c r="X1198" s="124" t="str">
        <f>IFERROR(__xludf.DUMMYFUNCTION("""COMPUTED_VALUE"""),"seminar")</f>
        <v>seminar</v>
      </c>
      <c r="Y1198" s="124" t="str">
        <f>IFERROR(__xludf.DUMMYFUNCTION("""COMPUTED_VALUE"""),"Prayagraj")</f>
        <v>Prayagraj</v>
      </c>
      <c r="Z1198" s="124">
        <f>IFERROR(__xludf.DUMMYFUNCTION("""COMPUTED_VALUE"""),1.0)</f>
        <v>1</v>
      </c>
      <c r="AA1198" s="124" t="str">
        <f>IFERROR(__xludf.DUMMYFUNCTION("""COMPUTED_VALUE"""),"Warm")</f>
        <v>Warm</v>
      </c>
      <c r="AB1198" s="124"/>
    </row>
    <row r="1199">
      <c r="A1199" s="126">
        <f>IFERROR(__xludf.DUMMYFUNCTION("""COMPUTED_VALUE"""),46087.0)</f>
        <v>46087</v>
      </c>
      <c r="B1199" s="124" t="str">
        <f>IFERROR(__xludf.DUMMYFUNCTION("""COMPUTED_VALUE"""),"Walkin")</f>
        <v>Walkin</v>
      </c>
      <c r="C1199" s="124" t="str">
        <f>IFERROR(__xludf.DUMMYFUNCTION("""COMPUTED_VALUE"""),"Indore")</f>
        <v>Indore</v>
      </c>
      <c r="D1199" s="124" t="str">
        <f>IFERROR(__xludf.DUMMYFUNCTION("""COMPUTED_VALUE"""),"Primary_Walkin")</f>
        <v>Primary_Walkin</v>
      </c>
      <c r="E1199" s="124">
        <f>IFERROR(__xludf.DUMMYFUNCTION("""COMPUTED_VALUE"""),1.0)</f>
        <v>1</v>
      </c>
      <c r="F1199" s="124" t="str">
        <f>IFERROR(__xludf.DUMMYFUNCTION("""COMPUTED_VALUE"""),"Cold")</f>
        <v>Cold</v>
      </c>
      <c r="G1199" s="124" t="str">
        <f>IFERROR(__xludf.DUMMYFUNCTION("""COMPUTED_VALUE"""),"Test Series")</f>
        <v>Test Series</v>
      </c>
      <c r="K1199" s="124"/>
      <c r="L1199" s="124"/>
      <c r="M1199" s="124"/>
      <c r="N1199" s="124"/>
      <c r="O1199" s="124"/>
      <c r="T1199" s="126">
        <f>IFERROR(__xludf.DUMMYFUNCTION("""COMPUTED_VALUE"""),46045.0)</f>
        <v>46045</v>
      </c>
      <c r="U1199" s="124" t="str">
        <f>IFERROR(__xludf.DUMMYFUNCTION("""COMPUTED_VALUE"""),"Paid Ads")</f>
        <v>Paid Ads</v>
      </c>
      <c r="V1199" s="124" t="str">
        <f>IFERROR(__xludf.DUMMYFUNCTION("""COMPUTED_VALUE"""),"google")</f>
        <v>google</v>
      </c>
      <c r="W1199" s="124" t="str">
        <f>IFERROR(__xludf.DUMMYFUNCTION("""COMPUTED_VALUE"""),"cpc")</f>
        <v>cpc</v>
      </c>
      <c r="X1199" s="124">
        <f>IFERROR(__xludf.DUMMYFUNCTION("""COMPUTED_VALUE"""),2.2758016291E10)</f>
        <v>22758016291</v>
      </c>
      <c r="Y1199" s="124" t="str">
        <f>IFERROR(__xludf.DUMMYFUNCTION("""COMPUTED_VALUE"""),"Patna")</f>
        <v>Patna</v>
      </c>
      <c r="Z1199" s="124">
        <f>IFERROR(__xludf.DUMMYFUNCTION("""COMPUTED_VALUE"""),1.0)</f>
        <v>1</v>
      </c>
      <c r="AA1199" s="124" t="str">
        <f>IFERROR(__xludf.DUMMYFUNCTION("""COMPUTED_VALUE"""),"Fake Lead")</f>
        <v>Fake Lead</v>
      </c>
      <c r="AB1199" s="124" t="str">
        <f>IFERROR(__xludf.DUMMYFUNCTION("""COMPUTED_VALUE"""),"CSAT")</f>
        <v>CSAT</v>
      </c>
    </row>
    <row r="1200">
      <c r="A1200" s="129">
        <f>IFERROR(__xludf.DUMMYFUNCTION("""COMPUTED_VALUE"""),46103.0)</f>
        <v>46103</v>
      </c>
      <c r="B1200" s="124" t="str">
        <f>IFERROR(__xludf.DUMMYFUNCTION("""COMPUTED_VALUE"""),"Walkin")</f>
        <v>Walkin</v>
      </c>
      <c r="C1200" s="124" t="str">
        <f>IFERROR(__xludf.DUMMYFUNCTION("""COMPUTED_VALUE"""),"Indore")</f>
        <v>Indore</v>
      </c>
      <c r="D1200" s="124" t="str">
        <f>IFERROR(__xludf.DUMMYFUNCTION("""COMPUTED_VALUE"""),"Primary_Walkin")</f>
        <v>Primary_Walkin</v>
      </c>
      <c r="E1200" s="124">
        <f>IFERROR(__xludf.DUMMYFUNCTION("""COMPUTED_VALUE"""),2.0)</f>
        <v>2</v>
      </c>
      <c r="F1200" s="124" t="str">
        <f>IFERROR(__xludf.DUMMYFUNCTION("""COMPUTED_VALUE"""),"Future Prospects")</f>
        <v>Future Prospects</v>
      </c>
      <c r="G1200" s="124" t="str">
        <f>IFERROR(__xludf.DUMMYFUNCTION("""COMPUTED_VALUE"""),"State PCS")</f>
        <v>State PCS</v>
      </c>
      <c r="K1200" s="124"/>
      <c r="L1200" s="124"/>
      <c r="M1200" s="124"/>
      <c r="N1200" s="124"/>
      <c r="O1200" s="124"/>
      <c r="T1200" s="129">
        <f>IFERROR(__xludf.DUMMYFUNCTION("""COMPUTED_VALUE"""),46049.0)</f>
        <v>46049</v>
      </c>
      <c r="U1200" s="124" t="str">
        <f>IFERROR(__xludf.DUMMYFUNCTION("""COMPUTED_VALUE"""),"Paid Ads")</f>
        <v>Paid Ads</v>
      </c>
      <c r="V1200" s="124" t="str">
        <f>IFERROR(__xludf.DUMMYFUNCTION("""COMPUTED_VALUE"""),"Facebook")</f>
        <v>Facebook</v>
      </c>
      <c r="W1200" s="124" t="str">
        <f>IFERROR(__xludf.DUMMYFUNCTION("""COMPUTED_VALUE"""),"LeadAd")</f>
        <v>LeadAd</v>
      </c>
      <c r="X1200" s="124" t="str">
        <f>IFERROR(__xludf.DUMMYFUNCTION("""COMPUTED_VALUE"""),"Upsc_offline_26_Lucknow_FB_Video")</f>
        <v>Upsc_offline_26_Lucknow_FB_Video</v>
      </c>
      <c r="Y1200" s="124" t="str">
        <f>IFERROR(__xludf.DUMMYFUNCTION("""COMPUTED_VALUE"""),"Lucknow")</f>
        <v>Lucknow</v>
      </c>
      <c r="Z1200" s="124">
        <f>IFERROR(__xludf.DUMMYFUNCTION("""COMPUTED_VALUE"""),9.0)</f>
        <v>9</v>
      </c>
      <c r="AA1200" s="124" t="str">
        <f>IFERROR(__xludf.DUMMYFUNCTION("""COMPUTED_VALUE"""),"Cold")</f>
        <v>Cold</v>
      </c>
      <c r="AB1200" s="124"/>
    </row>
    <row r="1201">
      <c r="A1201" s="126">
        <f>IFERROR(__xludf.DUMMYFUNCTION("""COMPUTED_VALUE"""),46101.0)</f>
        <v>46101</v>
      </c>
      <c r="B1201" s="124" t="str">
        <f>IFERROR(__xludf.DUMMYFUNCTION("""COMPUTED_VALUE"""),"Walkin")</f>
        <v>Walkin</v>
      </c>
      <c r="C1201" s="124" t="str">
        <f>IFERROR(__xludf.DUMMYFUNCTION("""COMPUTED_VALUE"""),"Lucknow")</f>
        <v>Lucknow</v>
      </c>
      <c r="D1201" s="124" t="str">
        <f>IFERROR(__xludf.DUMMYFUNCTION("""COMPUTED_VALUE"""),"Primary_Walkin")</f>
        <v>Primary_Walkin</v>
      </c>
      <c r="E1201" s="124">
        <f>IFERROR(__xludf.DUMMYFUNCTION("""COMPUTED_VALUE"""),1.0)</f>
        <v>1</v>
      </c>
      <c r="F1201" s="124" t="str">
        <f>IFERROR(__xludf.DUMMYFUNCTION("""COMPUTED_VALUE"""),"Enrolled")</f>
        <v>Enrolled</v>
      </c>
      <c r="G1201" s="124" t="str">
        <f>IFERROR(__xludf.DUMMYFUNCTION("""COMPUTED_VALUE"""),"State PCS")</f>
        <v>State PCS</v>
      </c>
      <c r="K1201" s="124"/>
      <c r="L1201" s="124"/>
      <c r="M1201" s="124"/>
      <c r="N1201" s="124"/>
      <c r="O1201" s="124"/>
      <c r="T1201" s="126">
        <f>IFERROR(__xludf.DUMMYFUNCTION("""COMPUTED_VALUE"""),46099.0)</f>
        <v>46099</v>
      </c>
      <c r="U1201" s="124" t="str">
        <f>IFERROR(__xludf.DUMMYFUNCTION("""COMPUTED_VALUE"""),"Event")</f>
        <v>Event</v>
      </c>
      <c r="V1201" s="124" t="str">
        <f>IFERROR(__xludf.DUMMYFUNCTION("""COMPUTED_VALUE"""),"events")</f>
        <v>events</v>
      </c>
      <c r="W1201" s="124" t="str">
        <f>IFERROR(__xludf.DUMMYFUNCTION("""COMPUTED_VALUE"""),"prayagraj")</f>
        <v>prayagraj</v>
      </c>
      <c r="X1201" s="124" t="str">
        <f>IFERROR(__xludf.DUMMYFUNCTION("""COMPUTED_VALUE"""),"seminar")</f>
        <v>seminar</v>
      </c>
      <c r="Y1201" s="124" t="str">
        <f>IFERROR(__xludf.DUMMYFUNCTION("""COMPUTED_VALUE"""),"Prayagraj")</f>
        <v>Prayagraj</v>
      </c>
      <c r="Z1201" s="124">
        <f>IFERROR(__xludf.DUMMYFUNCTION("""COMPUTED_VALUE"""),2.0)</f>
        <v>2</v>
      </c>
      <c r="AA1201" s="124" t="str">
        <f>IFERROR(__xludf.DUMMYFUNCTION("""COMPUTED_VALUE"""),"Cold")</f>
        <v>Cold</v>
      </c>
      <c r="AB1201" s="124"/>
    </row>
    <row r="1202">
      <c r="A1202" s="129">
        <f>IFERROR(__xludf.DUMMYFUNCTION("""COMPUTED_VALUE"""),46051.0)</f>
        <v>46051</v>
      </c>
      <c r="B1202" s="124" t="str">
        <f>IFERROR(__xludf.DUMMYFUNCTION("""COMPUTED_VALUE"""),"events")</f>
        <v>events</v>
      </c>
      <c r="C1202" s="124" t="str">
        <f>IFERROR(__xludf.DUMMYFUNCTION("""COMPUTED_VALUE"""),"Indore")</f>
        <v>Indore</v>
      </c>
      <c r="D1202" s="124" t="str">
        <f>IFERROR(__xludf.DUMMYFUNCTION("""COMPUTED_VALUE"""),"Secondary_Walkin")</f>
        <v>Secondary_Walkin</v>
      </c>
      <c r="E1202" s="124">
        <f>IFERROR(__xludf.DUMMYFUNCTION("""COMPUTED_VALUE"""),1.0)</f>
        <v>1</v>
      </c>
      <c r="F1202" s="124" t="str">
        <f>IFERROR(__xludf.DUMMYFUNCTION("""COMPUTED_VALUE"""),"Cold")</f>
        <v>Cold</v>
      </c>
      <c r="G1202" s="124" t="str">
        <f>IFERROR(__xludf.DUMMYFUNCTION("""COMPUTED_VALUE"""),"Test Series")</f>
        <v>Test Series</v>
      </c>
      <c r="K1202" s="124"/>
      <c r="L1202" s="124"/>
      <c r="M1202" s="124"/>
      <c r="N1202" s="124"/>
      <c r="O1202" s="124"/>
      <c r="T1202" s="126">
        <f>IFERROR(__xludf.DUMMYFUNCTION("""COMPUTED_VALUE"""),46048.0)</f>
        <v>46048</v>
      </c>
      <c r="U1202" s="124" t="str">
        <f>IFERROR(__xludf.DUMMYFUNCTION("""COMPUTED_VALUE"""),"Paid Ads")</f>
        <v>Paid Ads</v>
      </c>
      <c r="V1202" s="124" t="str">
        <f>IFERROR(__xludf.DUMMYFUNCTION("""COMPUTED_VALUE"""),"google")</f>
        <v>google</v>
      </c>
      <c r="W1202" s="124" t="str">
        <f>IFERROR(__xludf.DUMMYFUNCTION("""COMPUTED_VALUE"""),"cpc")</f>
        <v>cpc</v>
      </c>
      <c r="X1202" s="124">
        <f>IFERROR(__xludf.DUMMYFUNCTION("""COMPUTED_VALUE"""),2.2758016291E10)</f>
        <v>22758016291</v>
      </c>
      <c r="Y1202" s="124" t="str">
        <f>IFERROR(__xludf.DUMMYFUNCTION("""COMPUTED_VALUE"""),"Delhi")</f>
        <v>Delhi</v>
      </c>
      <c r="Z1202" s="124">
        <f>IFERROR(__xludf.DUMMYFUNCTION("""COMPUTED_VALUE"""),1.0)</f>
        <v>1</v>
      </c>
      <c r="AA1202" s="124" t="str">
        <f>IFERROR(__xludf.DUMMYFUNCTION("""COMPUTED_VALUE"""),"Fake Lead")</f>
        <v>Fake Lead</v>
      </c>
      <c r="AB1202" s="124" t="str">
        <f>IFERROR(__xludf.DUMMYFUNCTION("""COMPUTED_VALUE"""),"State PCS")</f>
        <v>State PCS</v>
      </c>
    </row>
    <row r="1203">
      <c r="A1203" s="126">
        <f>IFERROR(__xludf.DUMMYFUNCTION("""COMPUTED_VALUE"""),46104.0)</f>
        <v>46104</v>
      </c>
      <c r="B1203" s="124" t="str">
        <f>IFERROR(__xludf.DUMMYFUNCTION("""COMPUTED_VALUE"""),"Walkin")</f>
        <v>Walkin</v>
      </c>
      <c r="C1203" s="124" t="str">
        <f>IFERROR(__xludf.DUMMYFUNCTION("""COMPUTED_VALUE"""),"Lucknow")</f>
        <v>Lucknow</v>
      </c>
      <c r="D1203" s="124" t="str">
        <f>IFERROR(__xludf.DUMMYFUNCTION("""COMPUTED_VALUE"""),"Primary_Walkin")</f>
        <v>Primary_Walkin</v>
      </c>
      <c r="E1203" s="124">
        <f>IFERROR(__xludf.DUMMYFUNCTION("""COMPUTED_VALUE"""),1.0)</f>
        <v>1</v>
      </c>
      <c r="F1203" s="124" t="str">
        <f>IFERROR(__xludf.DUMMYFUNCTION("""COMPUTED_VALUE"""),"Warm")</f>
        <v>Warm</v>
      </c>
      <c r="G1203" s="124" t="str">
        <f>IFERROR(__xludf.DUMMYFUNCTION("""COMPUTED_VALUE"""),"State PCS")</f>
        <v>State PCS</v>
      </c>
      <c r="K1203" s="124"/>
      <c r="L1203" s="124"/>
      <c r="M1203" s="124"/>
      <c r="N1203" s="124"/>
      <c r="O1203" s="124"/>
      <c r="T1203" s="126">
        <f>IFERROR(__xludf.DUMMYFUNCTION("""COMPUTED_VALUE"""),46094.0)</f>
        <v>46094</v>
      </c>
      <c r="U1203" s="124" t="str">
        <f>IFERROR(__xludf.DUMMYFUNCTION("""COMPUTED_VALUE"""),"External Leads")</f>
        <v>External Leads</v>
      </c>
      <c r="V1203" s="124" t="str">
        <f>IFERROR(__xludf.DUMMYFUNCTION("""COMPUTED_VALUE"""),"external leads")</f>
        <v>external leads</v>
      </c>
      <c r="W1203" s="124" t="str">
        <f>IFERROR(__xludf.DUMMYFUNCTION("""COMPUTED_VALUE"""),"lucknow")</f>
        <v>lucknow</v>
      </c>
      <c r="X1203" s="124" t="str">
        <f>IFERROR(__xludf.DUMMYFUNCTION("""COMPUTED_VALUE"""),"justdial")</f>
        <v>justdial</v>
      </c>
      <c r="Y1203" s="124" t="str">
        <f>IFERROR(__xludf.DUMMYFUNCTION("""COMPUTED_VALUE"""),"Lucknow")</f>
        <v>Lucknow</v>
      </c>
      <c r="Z1203" s="124">
        <f>IFERROR(__xludf.DUMMYFUNCTION("""COMPUTED_VALUE"""),5.0)</f>
        <v>5</v>
      </c>
      <c r="AA1203" s="124" t="str">
        <f>IFERROR(__xludf.DUMMYFUNCTION("""COMPUTED_VALUE"""),"Not Interested")</f>
        <v>Not Interested</v>
      </c>
      <c r="AB1203" s="124"/>
    </row>
    <row r="1204">
      <c r="A1204" s="129">
        <f>IFERROR(__xludf.DUMMYFUNCTION("""COMPUTED_VALUE"""),46059.0)</f>
        <v>46059</v>
      </c>
      <c r="B1204" s="124" t="str">
        <f>IFERROR(__xludf.DUMMYFUNCTION("""COMPUTED_VALUE"""),"Walkin")</f>
        <v>Walkin</v>
      </c>
      <c r="C1204" s="124" t="str">
        <f>IFERROR(__xludf.DUMMYFUNCTION("""COMPUTED_VALUE"""),"Lucknow")</f>
        <v>Lucknow</v>
      </c>
      <c r="D1204" s="124" t="str">
        <f>IFERROR(__xludf.DUMMYFUNCTION("""COMPUTED_VALUE"""),"Primary_Walkin")</f>
        <v>Primary_Walkin</v>
      </c>
      <c r="E1204" s="124">
        <f>IFERROR(__xludf.DUMMYFUNCTION("""COMPUTED_VALUE"""),2.0)</f>
        <v>2</v>
      </c>
      <c r="F1204" s="124" t="str">
        <f>IFERROR(__xludf.DUMMYFUNCTION("""COMPUTED_VALUE"""),"Cold")</f>
        <v>Cold</v>
      </c>
      <c r="G1204" s="124" t="str">
        <f>IFERROR(__xludf.DUMMYFUNCTION("""COMPUTED_VALUE"""),"IGP UPPSC")</f>
        <v>IGP UPPSC</v>
      </c>
      <c r="K1204" s="124"/>
      <c r="L1204" s="124"/>
      <c r="M1204" s="124"/>
      <c r="N1204" s="124"/>
      <c r="O1204" s="124"/>
      <c r="T1204" s="129">
        <f>IFERROR(__xludf.DUMMYFUNCTION("""COMPUTED_VALUE"""),46097.0)</f>
        <v>46097</v>
      </c>
      <c r="U1204" s="124" t="str">
        <f>IFERROR(__xludf.DUMMYFUNCTION("""COMPUTED_VALUE"""),"Event")</f>
        <v>Event</v>
      </c>
      <c r="V1204" s="124" t="str">
        <f>IFERROR(__xludf.DUMMYFUNCTION("""COMPUTED_VALUE"""),"events")</f>
        <v>events</v>
      </c>
      <c r="W1204" s="124" t="str">
        <f>IFERROR(__xludf.DUMMYFUNCTION("""COMPUTED_VALUE"""),"prayagraj")</f>
        <v>prayagraj</v>
      </c>
      <c r="X1204" s="124" t="str">
        <f>IFERROR(__xludf.DUMMYFUNCTION("""COMPUTED_VALUE"""),"seminar")</f>
        <v>seminar</v>
      </c>
      <c r="Y1204" s="124" t="str">
        <f>IFERROR(__xludf.DUMMYFUNCTION("""COMPUTED_VALUE"""),"Prayagraj")</f>
        <v>Prayagraj</v>
      </c>
      <c r="Z1204" s="124">
        <f>IFERROR(__xludf.DUMMYFUNCTION("""COMPUTED_VALUE"""),13.0)</f>
        <v>13</v>
      </c>
      <c r="AA1204" s="124" t="str">
        <f>IFERROR(__xludf.DUMMYFUNCTION("""COMPUTED_VALUE"""),"Engaged")</f>
        <v>Engaged</v>
      </c>
      <c r="AB1204" s="124"/>
    </row>
    <row r="1205">
      <c r="A1205" s="126">
        <f>IFERROR(__xludf.DUMMYFUNCTION("""COMPUTED_VALUE"""),46108.0)</f>
        <v>46108</v>
      </c>
      <c r="B1205" s="124" t="str">
        <f>IFERROR(__xludf.DUMMYFUNCTION("""COMPUTED_VALUE"""),"Walkin")</f>
        <v>Walkin</v>
      </c>
      <c r="C1205" s="124" t="str">
        <f>IFERROR(__xludf.DUMMYFUNCTION("""COMPUTED_VALUE"""),"Lucknow")</f>
        <v>Lucknow</v>
      </c>
      <c r="D1205" s="124" t="str">
        <f>IFERROR(__xludf.DUMMYFUNCTION("""COMPUTED_VALUE"""),"Primary_Walkin")</f>
        <v>Primary_Walkin</v>
      </c>
      <c r="E1205" s="124">
        <f>IFERROR(__xludf.DUMMYFUNCTION("""COMPUTED_VALUE"""),1.0)</f>
        <v>1</v>
      </c>
      <c r="F1205" s="124" t="str">
        <f>IFERROR(__xludf.DUMMYFUNCTION("""COMPUTED_VALUE"""),"Warm")</f>
        <v>Warm</v>
      </c>
      <c r="G1205" s="124" t="str">
        <f>IFERROR(__xludf.DUMMYFUNCTION("""COMPUTED_VALUE"""),"State PCS")</f>
        <v>State PCS</v>
      </c>
      <c r="K1205" s="124"/>
      <c r="L1205" s="124"/>
      <c r="M1205" s="124"/>
      <c r="N1205" s="124"/>
      <c r="O1205" s="124"/>
      <c r="T1205" s="126">
        <f>IFERROR(__xludf.DUMMYFUNCTION("""COMPUTED_VALUE"""),46046.0)</f>
        <v>46046</v>
      </c>
      <c r="U1205" s="124" t="str">
        <f>IFERROR(__xludf.DUMMYFUNCTION("""COMPUTED_VALUE"""),"Paid Ads")</f>
        <v>Paid Ads</v>
      </c>
      <c r="V1205" s="124" t="str">
        <f>IFERROR(__xludf.DUMMYFUNCTION("""COMPUTED_VALUE"""),"google")</f>
        <v>google</v>
      </c>
      <c r="W1205" s="124" t="str">
        <f>IFERROR(__xludf.DUMMYFUNCTION("""COMPUTED_VALUE"""),"cpc")</f>
        <v>cpc</v>
      </c>
      <c r="X1205" s="124">
        <f>IFERROR(__xludf.DUMMYFUNCTION("""COMPUTED_VALUE"""),2.2758016291E10)</f>
        <v>22758016291</v>
      </c>
      <c r="Y1205" s="124" t="str">
        <f>IFERROR(__xludf.DUMMYFUNCTION("""COMPUTED_VALUE"""),"Delhi")</f>
        <v>Delhi</v>
      </c>
      <c r="Z1205" s="124">
        <f>IFERROR(__xludf.DUMMYFUNCTION("""COMPUTED_VALUE"""),1.0)</f>
        <v>1</v>
      </c>
      <c r="AA1205" s="124" t="str">
        <f>IFERROR(__xludf.DUMMYFUNCTION("""COMPUTED_VALUE"""),"Cold")</f>
        <v>Cold</v>
      </c>
      <c r="AB1205" s="124" t="str">
        <f>IFERROR(__xludf.DUMMYFUNCTION("""COMPUTED_VALUE"""),"CSAT")</f>
        <v>CSAT</v>
      </c>
    </row>
    <row r="1206">
      <c r="A1206" s="129">
        <f>IFERROR(__xludf.DUMMYFUNCTION("""COMPUTED_VALUE"""),46105.0)</f>
        <v>46105</v>
      </c>
      <c r="B1206" s="124" t="str">
        <f>IFERROR(__xludf.DUMMYFUNCTION("""COMPUTED_VALUE"""),"Walkin")</f>
        <v>Walkin</v>
      </c>
      <c r="C1206" s="124" t="str">
        <f>IFERROR(__xludf.DUMMYFUNCTION("""COMPUTED_VALUE"""),"Lucknow")</f>
        <v>Lucknow</v>
      </c>
      <c r="D1206" s="124" t="str">
        <f>IFERROR(__xludf.DUMMYFUNCTION("""COMPUTED_VALUE"""),"Primary_Walkin")</f>
        <v>Primary_Walkin</v>
      </c>
      <c r="E1206" s="124">
        <f>IFERROR(__xludf.DUMMYFUNCTION("""COMPUTED_VALUE"""),2.0)</f>
        <v>2</v>
      </c>
      <c r="F1206" s="124" t="str">
        <f>IFERROR(__xludf.DUMMYFUNCTION("""COMPUTED_VALUE"""),"Future Prospects")</f>
        <v>Future Prospects</v>
      </c>
      <c r="G1206" s="124" t="str">
        <f>IFERROR(__xludf.DUMMYFUNCTION("""COMPUTED_VALUE"""),"GS Foundation")</f>
        <v>GS Foundation</v>
      </c>
      <c r="K1206" s="124"/>
      <c r="L1206" s="124"/>
      <c r="M1206" s="124"/>
      <c r="N1206" s="124"/>
      <c r="O1206" s="124"/>
      <c r="T1206" s="129">
        <f>IFERROR(__xludf.DUMMYFUNCTION("""COMPUTED_VALUE"""),46097.0)</f>
        <v>46097</v>
      </c>
      <c r="U1206" s="124" t="str">
        <f>IFERROR(__xludf.DUMMYFUNCTION("""COMPUTED_VALUE"""),"Event")</f>
        <v>Event</v>
      </c>
      <c r="V1206" s="124" t="str">
        <f>IFERROR(__xludf.DUMMYFUNCTION("""COMPUTED_VALUE"""),"events")</f>
        <v>events</v>
      </c>
      <c r="W1206" s="124" t="str">
        <f>IFERROR(__xludf.DUMMYFUNCTION("""COMPUTED_VALUE"""),"prayagraj")</f>
        <v>prayagraj</v>
      </c>
      <c r="X1206" s="124" t="str">
        <f>IFERROR(__xludf.DUMMYFUNCTION("""COMPUTED_VALUE"""),"seminar")</f>
        <v>seminar</v>
      </c>
      <c r="Y1206" s="124" t="str">
        <f>IFERROR(__xludf.DUMMYFUNCTION("""COMPUTED_VALUE"""),"Prayagraj")</f>
        <v>Prayagraj</v>
      </c>
      <c r="Z1206" s="124">
        <f>IFERROR(__xludf.DUMMYFUNCTION("""COMPUTED_VALUE"""),1.0)</f>
        <v>1</v>
      </c>
      <c r="AA1206" s="124" t="str">
        <f>IFERROR(__xludf.DUMMYFUNCTION("""COMPUTED_VALUE"""),"Warm")</f>
        <v>Warm</v>
      </c>
      <c r="AB1206" s="124"/>
    </row>
    <row r="1207">
      <c r="A1207" s="126">
        <f>IFERROR(__xludf.DUMMYFUNCTION("""COMPUTED_VALUE"""),46064.0)</f>
        <v>46064</v>
      </c>
      <c r="B1207" s="124" t="str">
        <f>IFERROR(__xludf.DUMMYFUNCTION("""COMPUTED_VALUE"""),"Walkin")</f>
        <v>Walkin</v>
      </c>
      <c r="C1207" s="124" t="str">
        <f>IFERROR(__xludf.DUMMYFUNCTION("""COMPUTED_VALUE"""),"Lucknow")</f>
        <v>Lucknow</v>
      </c>
      <c r="D1207" s="124" t="str">
        <f>IFERROR(__xludf.DUMMYFUNCTION("""COMPUTED_VALUE"""),"Primary_Walkin")</f>
        <v>Primary_Walkin</v>
      </c>
      <c r="E1207" s="124">
        <f>IFERROR(__xludf.DUMMYFUNCTION("""COMPUTED_VALUE"""),1.0)</f>
        <v>1</v>
      </c>
      <c r="F1207" s="124" t="str">
        <f>IFERROR(__xludf.DUMMYFUNCTION("""COMPUTED_VALUE"""),"Cold")</f>
        <v>Cold</v>
      </c>
      <c r="G1207" s="124" t="str">
        <f>IFERROR(__xludf.DUMMYFUNCTION("""COMPUTED_VALUE"""),"GS Foundation")</f>
        <v>GS Foundation</v>
      </c>
      <c r="K1207" s="124"/>
      <c r="L1207" s="124"/>
      <c r="M1207" s="124"/>
      <c r="N1207" s="124"/>
      <c r="O1207" s="124"/>
      <c r="T1207" s="129">
        <f>IFERROR(__xludf.DUMMYFUNCTION("""COMPUTED_VALUE"""),46105.0)</f>
        <v>46105</v>
      </c>
      <c r="U1207" s="124" t="str">
        <f>IFERROR(__xludf.DUMMYFUNCTION("""COMPUTED_VALUE"""),"Paid Ads")</f>
        <v>Paid Ads</v>
      </c>
      <c r="V1207" s="124" t="str">
        <f>IFERROR(__xludf.DUMMYFUNCTION("""COMPUTED_VALUE"""),"Facebook")</f>
        <v>Facebook</v>
      </c>
      <c r="W1207" s="124" t="str">
        <f>IFERROR(__xludf.DUMMYFUNCTION("""COMPUTED_VALUE"""),"LeadAd")</f>
        <v>LeadAd</v>
      </c>
      <c r="X1207" s="124" t="str">
        <f>IFERROR(__xludf.DUMMYFUNCTION("""COMPUTED_VALUE"""),"Upsc_offline_Patna_Lead_Fb_Mar")</f>
        <v>Upsc_offline_Patna_Lead_Fb_Mar</v>
      </c>
      <c r="Y1207" s="124" t="str">
        <f>IFERROR(__xludf.DUMMYFUNCTION("""COMPUTED_VALUE"""),"Patna")</f>
        <v>Patna</v>
      </c>
      <c r="Z1207" s="124">
        <f>IFERROR(__xludf.DUMMYFUNCTION("""COMPUTED_VALUE"""),2.0)</f>
        <v>2</v>
      </c>
      <c r="AA1207" s="124" t="str">
        <f>IFERROR(__xludf.DUMMYFUNCTION("""COMPUTED_VALUE"""),"Cold")</f>
        <v>Cold</v>
      </c>
      <c r="AB1207" s="124"/>
    </row>
    <row r="1208">
      <c r="A1208" s="126">
        <f>IFERROR(__xludf.DUMMYFUNCTION("""COMPUTED_VALUE"""),46079.0)</f>
        <v>46079</v>
      </c>
      <c r="B1208" s="124" t="str">
        <f>IFERROR(__xludf.DUMMYFUNCTION("""COMPUTED_VALUE"""),"Walkin")</f>
        <v>Walkin</v>
      </c>
      <c r="C1208" s="124" t="str">
        <f>IFERROR(__xludf.DUMMYFUNCTION("""COMPUTED_VALUE"""),"Indore")</f>
        <v>Indore</v>
      </c>
      <c r="D1208" s="124" t="str">
        <f>IFERROR(__xludf.DUMMYFUNCTION("""COMPUTED_VALUE"""),"Primary_Walkin")</f>
        <v>Primary_Walkin</v>
      </c>
      <c r="E1208" s="124">
        <f>IFERROR(__xludf.DUMMYFUNCTION("""COMPUTED_VALUE"""),1.0)</f>
        <v>1</v>
      </c>
      <c r="F1208" s="124" t="str">
        <f>IFERROR(__xludf.DUMMYFUNCTION("""COMPUTED_VALUE"""),"Cold")</f>
        <v>Cold</v>
      </c>
      <c r="G1208" s="124" t="str">
        <f>IFERROR(__xludf.DUMMYFUNCTION("""COMPUTED_VALUE"""),"Other")</f>
        <v>Other</v>
      </c>
      <c r="K1208" s="124"/>
      <c r="L1208" s="124"/>
      <c r="M1208" s="124"/>
      <c r="N1208" s="124"/>
      <c r="O1208" s="124"/>
      <c r="T1208" s="126">
        <f>IFERROR(__xludf.DUMMYFUNCTION("""COMPUTED_VALUE"""),46106.0)</f>
        <v>46106</v>
      </c>
      <c r="U1208" s="124" t="str">
        <f>IFERROR(__xludf.DUMMYFUNCTION("""COMPUTED_VALUE"""),"Event")</f>
        <v>Event</v>
      </c>
      <c r="V1208" s="124" t="str">
        <f>IFERROR(__xludf.DUMMYFUNCTION("""COMPUTED_VALUE"""),"events")</f>
        <v>events</v>
      </c>
      <c r="W1208" s="124" t="str">
        <f>IFERROR(__xludf.DUMMYFUNCTION("""COMPUTED_VALUE"""),"prayagraj")</f>
        <v>prayagraj</v>
      </c>
      <c r="X1208" s="124" t="str">
        <f>IFERROR(__xludf.DUMMYFUNCTION("""COMPUTED_VALUE"""),"seminar")</f>
        <v>seminar</v>
      </c>
      <c r="Y1208" s="124" t="str">
        <f>IFERROR(__xludf.DUMMYFUNCTION("""COMPUTED_VALUE"""),"Prayagraj")</f>
        <v>Prayagraj</v>
      </c>
      <c r="Z1208" s="124">
        <f>IFERROR(__xludf.DUMMYFUNCTION("""COMPUTED_VALUE"""),4.0)</f>
        <v>4</v>
      </c>
      <c r="AA1208" s="124" t="str">
        <f>IFERROR(__xludf.DUMMYFUNCTION("""COMPUTED_VALUE"""),"Not Interested")</f>
        <v>Not Interested</v>
      </c>
      <c r="AB1208" s="124"/>
    </row>
    <row r="1209">
      <c r="A1209" s="126">
        <f>IFERROR(__xludf.DUMMYFUNCTION("""COMPUTED_VALUE"""),46100.0)</f>
        <v>46100</v>
      </c>
      <c r="B1209" s="124" t="str">
        <f>IFERROR(__xludf.DUMMYFUNCTION("""COMPUTED_VALUE"""),"Walkin")</f>
        <v>Walkin</v>
      </c>
      <c r="C1209" s="124" t="str">
        <f>IFERROR(__xludf.DUMMYFUNCTION("""COMPUTED_VALUE"""),"Lucknow")</f>
        <v>Lucknow</v>
      </c>
      <c r="D1209" s="124" t="str">
        <f>IFERROR(__xludf.DUMMYFUNCTION("""COMPUTED_VALUE"""),"Primary_Walkin")</f>
        <v>Primary_Walkin</v>
      </c>
      <c r="E1209" s="124">
        <f>IFERROR(__xludf.DUMMYFUNCTION("""COMPUTED_VALUE"""),1.0)</f>
        <v>1</v>
      </c>
      <c r="F1209" s="124" t="str">
        <f>IFERROR(__xludf.DUMMYFUNCTION("""COMPUTED_VALUE"""),"Enrolled")</f>
        <v>Enrolled</v>
      </c>
      <c r="G1209" s="124" t="str">
        <f>IFERROR(__xludf.DUMMYFUNCTION("""COMPUTED_VALUE"""),"GS Foundation")</f>
        <v>GS Foundation</v>
      </c>
      <c r="K1209" s="124"/>
      <c r="L1209" s="124"/>
      <c r="M1209" s="124"/>
      <c r="N1209" s="124"/>
      <c r="O1209" s="124"/>
      <c r="T1209" s="126">
        <f>IFERROR(__xludf.DUMMYFUNCTION("""COMPUTED_VALUE"""),46056.0)</f>
        <v>46056</v>
      </c>
      <c r="U1209" s="124" t="str">
        <f>IFERROR(__xludf.DUMMYFUNCTION("""COMPUTED_VALUE"""),"Walk-Ins")</f>
        <v>Walk-Ins</v>
      </c>
      <c r="V1209" s="124" t="str">
        <f>IFERROR(__xludf.DUMMYFUNCTION("""COMPUTED_VALUE"""),"Walk-In")</f>
        <v>Walk-In</v>
      </c>
      <c r="W1209" s="124" t="str">
        <f>IFERROR(__xludf.DUMMYFUNCTION("""COMPUTED_VALUE"""),"Patna")</f>
        <v>Patna</v>
      </c>
      <c r="X1209" s="124" t="str">
        <f>IFERROR(__xludf.DUMMYFUNCTION("""COMPUTED_VALUE"""),"Patna")</f>
        <v>Patna</v>
      </c>
      <c r="Y1209" s="124"/>
      <c r="Z1209" s="124">
        <f>IFERROR(__xludf.DUMMYFUNCTION("""COMPUTED_VALUE"""),1.0)</f>
        <v>1</v>
      </c>
      <c r="AA1209" s="124" t="str">
        <f>IFERROR(__xludf.DUMMYFUNCTION("""COMPUTED_VALUE"""),"Future Prospects")</f>
        <v>Future Prospects</v>
      </c>
      <c r="AB1209" s="124" t="str">
        <f>IFERROR(__xludf.DUMMYFUNCTION("""COMPUTED_VALUE"""),"GS Foundation")</f>
        <v>GS Foundation</v>
      </c>
    </row>
    <row r="1210">
      <c r="A1210" s="129">
        <f>IFERROR(__xludf.DUMMYFUNCTION("""COMPUTED_VALUE"""),46069.0)</f>
        <v>46069</v>
      </c>
      <c r="B1210" s="124" t="str">
        <f>IFERROR(__xludf.DUMMYFUNCTION("""COMPUTED_VALUE"""),"Walkin")</f>
        <v>Walkin</v>
      </c>
      <c r="C1210" s="124" t="str">
        <f>IFERROR(__xludf.DUMMYFUNCTION("""COMPUTED_VALUE"""),"Lucknow")</f>
        <v>Lucknow</v>
      </c>
      <c r="D1210" s="124" t="str">
        <f>IFERROR(__xludf.DUMMYFUNCTION("""COMPUTED_VALUE"""),"Primary_Walkin")</f>
        <v>Primary_Walkin</v>
      </c>
      <c r="E1210" s="124">
        <f>IFERROR(__xludf.DUMMYFUNCTION("""COMPUTED_VALUE"""),1.0)</f>
        <v>1</v>
      </c>
      <c r="F1210" s="124" t="str">
        <f>IFERROR(__xludf.DUMMYFUNCTION("""COMPUTED_VALUE"""),"Enrolled")</f>
        <v>Enrolled</v>
      </c>
      <c r="G1210" s="124" t="str">
        <f>IFERROR(__xludf.DUMMYFUNCTION("""COMPUTED_VALUE"""),"GS Foundation")</f>
        <v>GS Foundation</v>
      </c>
      <c r="K1210" s="124"/>
      <c r="L1210" s="124"/>
      <c r="M1210" s="124"/>
      <c r="N1210" s="124"/>
      <c r="O1210" s="124"/>
      <c r="T1210" s="126">
        <f>IFERROR(__xludf.DUMMYFUNCTION("""COMPUTED_VALUE"""),46106.0)</f>
        <v>46106</v>
      </c>
      <c r="U1210" s="124" t="str">
        <f>IFERROR(__xludf.DUMMYFUNCTION("""COMPUTED_VALUE"""),"Event")</f>
        <v>Event</v>
      </c>
      <c r="V1210" s="124" t="str">
        <f>IFERROR(__xludf.DUMMYFUNCTION("""COMPUTED_VALUE"""),"events")</f>
        <v>events</v>
      </c>
      <c r="W1210" s="124" t="str">
        <f>IFERROR(__xludf.DUMMYFUNCTION("""COMPUTED_VALUE"""),"prayagraj")</f>
        <v>prayagraj</v>
      </c>
      <c r="X1210" s="124" t="str">
        <f>IFERROR(__xludf.DUMMYFUNCTION("""COMPUTED_VALUE"""),"seminar")</f>
        <v>seminar</v>
      </c>
      <c r="Y1210" s="124" t="str">
        <f>IFERROR(__xludf.DUMMYFUNCTION("""COMPUTED_VALUE"""),"Prayagraj")</f>
        <v>Prayagraj</v>
      </c>
      <c r="Z1210" s="124">
        <f>IFERROR(__xludf.DUMMYFUNCTION("""COMPUTED_VALUE"""),1.0)</f>
        <v>1</v>
      </c>
      <c r="AA1210" s="124" t="str">
        <f>IFERROR(__xludf.DUMMYFUNCTION("""COMPUTED_VALUE"""),"Warm")</f>
        <v>Warm</v>
      </c>
      <c r="AB1210" s="124"/>
    </row>
    <row r="1211">
      <c r="A1211" s="126">
        <f>IFERROR(__xludf.DUMMYFUNCTION("""COMPUTED_VALUE"""),46051.0)</f>
        <v>46051</v>
      </c>
      <c r="B1211" s="124" t="str">
        <f>IFERROR(__xludf.DUMMYFUNCTION("""COMPUTED_VALUE"""),"Walkin")</f>
        <v>Walkin</v>
      </c>
      <c r="C1211" s="124" t="str">
        <f>IFERROR(__xludf.DUMMYFUNCTION("""COMPUTED_VALUE"""),"Lucknow")</f>
        <v>Lucknow</v>
      </c>
      <c r="D1211" s="124" t="str">
        <f>IFERROR(__xludf.DUMMYFUNCTION("""COMPUTED_VALUE"""),"Primary_Walkin")</f>
        <v>Primary_Walkin</v>
      </c>
      <c r="E1211" s="124">
        <f>IFERROR(__xludf.DUMMYFUNCTION("""COMPUTED_VALUE"""),1.0)</f>
        <v>1</v>
      </c>
      <c r="F1211" s="124" t="str">
        <f>IFERROR(__xludf.DUMMYFUNCTION("""COMPUTED_VALUE"""),"Enrolled")</f>
        <v>Enrolled</v>
      </c>
      <c r="G1211" s="124" t="str">
        <f>IFERROR(__xludf.DUMMYFUNCTION("""COMPUTED_VALUE"""),"Hybrid")</f>
        <v>Hybrid</v>
      </c>
      <c r="K1211" s="124"/>
      <c r="L1211" s="124"/>
      <c r="M1211" s="124"/>
      <c r="N1211" s="124"/>
      <c r="O1211" s="124"/>
      <c r="T1211" s="129">
        <f>IFERROR(__xludf.DUMMYFUNCTION("""COMPUTED_VALUE"""),46047.0)</f>
        <v>46047</v>
      </c>
      <c r="U1211" s="124" t="str">
        <f>IFERROR(__xludf.DUMMYFUNCTION("""COMPUTED_VALUE"""),"Paid Ads")</f>
        <v>Paid Ads</v>
      </c>
      <c r="V1211" s="124" t="str">
        <f>IFERROR(__xludf.DUMMYFUNCTION("""COMPUTED_VALUE"""),"google")</f>
        <v>google</v>
      </c>
      <c r="W1211" s="124" t="str">
        <f>IFERROR(__xludf.DUMMYFUNCTION("""COMPUTED_VALUE"""),"cpc")</f>
        <v>cpc</v>
      </c>
      <c r="X1211" s="124">
        <f>IFERROR(__xludf.DUMMYFUNCTION("""COMPUTED_VALUE"""),2.2758016291E10)</f>
        <v>22758016291</v>
      </c>
      <c r="Y1211" s="124" t="str">
        <f>IFERROR(__xludf.DUMMYFUNCTION("""COMPUTED_VALUE"""),"Delhi")</f>
        <v>Delhi</v>
      </c>
      <c r="Z1211" s="124">
        <f>IFERROR(__xludf.DUMMYFUNCTION("""COMPUTED_VALUE"""),1.0)</f>
        <v>1</v>
      </c>
      <c r="AA1211" s="124" t="str">
        <f>IFERROR(__xludf.DUMMYFUNCTION("""COMPUTED_VALUE"""),"Fake Lead")</f>
        <v>Fake Lead</v>
      </c>
      <c r="AB1211" s="124" t="str">
        <f>IFERROR(__xludf.DUMMYFUNCTION("""COMPUTED_VALUE"""),"CSAT")</f>
        <v>CSAT</v>
      </c>
    </row>
    <row r="1212">
      <c r="A1212" s="129">
        <f>IFERROR(__xludf.DUMMYFUNCTION("""COMPUTED_VALUE"""),46076.0)</f>
        <v>46076</v>
      </c>
      <c r="B1212" s="124" t="str">
        <f>IFERROR(__xludf.DUMMYFUNCTION("""COMPUTED_VALUE"""),"Walkin")</f>
        <v>Walkin</v>
      </c>
      <c r="C1212" s="124" t="str">
        <f>IFERROR(__xludf.DUMMYFUNCTION("""COMPUTED_VALUE"""),"Lucknow")</f>
        <v>Lucknow</v>
      </c>
      <c r="D1212" s="124" t="str">
        <f>IFERROR(__xludf.DUMMYFUNCTION("""COMPUTED_VALUE"""),"Primary_Walkin")</f>
        <v>Primary_Walkin</v>
      </c>
      <c r="E1212" s="124">
        <f>IFERROR(__xludf.DUMMYFUNCTION("""COMPUTED_VALUE"""),1.0)</f>
        <v>1</v>
      </c>
      <c r="F1212" s="124" t="str">
        <f>IFERROR(__xludf.DUMMYFUNCTION("""COMPUTED_VALUE"""),"Cold")</f>
        <v>Cold</v>
      </c>
      <c r="G1212" s="124" t="str">
        <f>IFERROR(__xludf.DUMMYFUNCTION("""COMPUTED_VALUE"""),"GS Foundation")</f>
        <v>GS Foundation</v>
      </c>
      <c r="K1212" s="124"/>
      <c r="L1212" s="124"/>
      <c r="M1212" s="124"/>
      <c r="N1212" s="124"/>
      <c r="O1212" s="124"/>
      <c r="T1212" s="126">
        <f>IFERROR(__xludf.DUMMYFUNCTION("""COMPUTED_VALUE"""),46046.0)</f>
        <v>46046</v>
      </c>
      <c r="U1212" s="124" t="str">
        <f>IFERROR(__xludf.DUMMYFUNCTION("""COMPUTED_VALUE"""),"Paid Ads")</f>
        <v>Paid Ads</v>
      </c>
      <c r="V1212" s="124" t="str">
        <f>IFERROR(__xludf.DUMMYFUNCTION("""COMPUTED_VALUE"""),"google")</f>
        <v>google</v>
      </c>
      <c r="W1212" s="124" t="str">
        <f>IFERROR(__xludf.DUMMYFUNCTION("""COMPUTED_VALUE"""),"cpc")</f>
        <v>cpc</v>
      </c>
      <c r="X1212" s="124">
        <f>IFERROR(__xludf.DUMMYFUNCTION("""COMPUTED_VALUE"""),2.2758016291E10)</f>
        <v>22758016291</v>
      </c>
      <c r="Y1212" s="124" t="str">
        <f>IFERROR(__xludf.DUMMYFUNCTION("""COMPUTED_VALUE"""),"Delhi")</f>
        <v>Delhi</v>
      </c>
      <c r="Z1212" s="124">
        <f>IFERROR(__xludf.DUMMYFUNCTION("""COMPUTED_VALUE"""),1.0)</f>
        <v>1</v>
      </c>
      <c r="AA1212" s="124" t="str">
        <f>IFERROR(__xludf.DUMMYFUNCTION("""COMPUTED_VALUE"""),"Fake Lead")</f>
        <v>Fake Lead</v>
      </c>
      <c r="AB1212" s="124" t="str">
        <f>IFERROR(__xludf.DUMMYFUNCTION("""COMPUTED_VALUE"""),"Test Series")</f>
        <v>Test Series</v>
      </c>
    </row>
    <row r="1213">
      <c r="A1213" s="126">
        <f>IFERROR(__xludf.DUMMYFUNCTION("""COMPUTED_VALUE"""),46066.0)</f>
        <v>46066</v>
      </c>
      <c r="B1213" s="124" t="str">
        <f>IFERROR(__xludf.DUMMYFUNCTION("""COMPUTED_VALUE"""),"walk-in")</f>
        <v>walk-in</v>
      </c>
      <c r="C1213" s="124" t="str">
        <f>IFERROR(__xludf.DUMMYFUNCTION("""COMPUTED_VALUE"""),"Indore")</f>
        <v>Indore</v>
      </c>
      <c r="D1213" s="124" t="str">
        <f>IFERROR(__xludf.DUMMYFUNCTION("""COMPUTED_VALUE"""),"Primary_Walkin")</f>
        <v>Primary_Walkin</v>
      </c>
      <c r="E1213" s="124">
        <f>IFERROR(__xludf.DUMMYFUNCTION("""COMPUTED_VALUE"""),1.0)</f>
        <v>1</v>
      </c>
      <c r="F1213" s="124" t="str">
        <f>IFERROR(__xludf.DUMMYFUNCTION("""COMPUTED_VALUE"""),"Enrolled")</f>
        <v>Enrolled</v>
      </c>
      <c r="G1213" s="124" t="str">
        <f>IFERROR(__xludf.DUMMYFUNCTION("""COMPUTED_VALUE"""),"GS Foundation")</f>
        <v>GS Foundation</v>
      </c>
      <c r="K1213" s="124"/>
      <c r="L1213" s="124"/>
      <c r="M1213" s="124"/>
      <c r="N1213" s="124"/>
      <c r="O1213" s="124"/>
      <c r="T1213" s="129">
        <f>IFERROR(__xludf.DUMMYFUNCTION("""COMPUTED_VALUE"""),46055.0)</f>
        <v>46055</v>
      </c>
      <c r="U1213" s="124" t="str">
        <f>IFERROR(__xludf.DUMMYFUNCTION("""COMPUTED_VALUE"""),"Walk-Ins")</f>
        <v>Walk-Ins</v>
      </c>
      <c r="V1213" s="124" t="str">
        <f>IFERROR(__xludf.DUMMYFUNCTION("""COMPUTED_VALUE"""),"Walk-In")</f>
        <v>Walk-In</v>
      </c>
      <c r="W1213" s="124" t="str">
        <f>IFERROR(__xludf.DUMMYFUNCTION("""COMPUTED_VALUE"""),"Patna")</f>
        <v>Patna</v>
      </c>
      <c r="X1213" s="124" t="str">
        <f>IFERROR(__xludf.DUMMYFUNCTION("""COMPUTED_VALUE"""),"Patna")</f>
        <v>Patna</v>
      </c>
      <c r="Y1213" s="124" t="str">
        <f>IFERROR(__xludf.DUMMYFUNCTION("""COMPUTED_VALUE"""),"Patna")</f>
        <v>Patna</v>
      </c>
      <c r="Z1213" s="124">
        <f>IFERROR(__xludf.DUMMYFUNCTION("""COMPUTED_VALUE"""),1.0)</f>
        <v>1</v>
      </c>
      <c r="AA1213" s="124" t="str">
        <f>IFERROR(__xludf.DUMMYFUNCTION("""COMPUTED_VALUE"""),"Cold")</f>
        <v>Cold</v>
      </c>
      <c r="AB1213" s="124" t="str">
        <f>IFERROR(__xludf.DUMMYFUNCTION("""COMPUTED_VALUE"""),"Test Series")</f>
        <v>Test Series</v>
      </c>
    </row>
    <row r="1214">
      <c r="A1214" s="129">
        <f>IFERROR(__xludf.DUMMYFUNCTION("""COMPUTED_VALUE"""),46098.0)</f>
        <v>46098</v>
      </c>
      <c r="B1214" s="124" t="str">
        <f>IFERROR(__xludf.DUMMYFUNCTION("""COMPUTED_VALUE"""),"Walkin")</f>
        <v>Walkin</v>
      </c>
      <c r="C1214" s="124" t="str">
        <f>IFERROR(__xludf.DUMMYFUNCTION("""COMPUTED_VALUE"""),"Indore")</f>
        <v>Indore</v>
      </c>
      <c r="D1214" s="124" t="str">
        <f>IFERROR(__xludf.DUMMYFUNCTION("""COMPUTED_VALUE"""),"Primary_Walkin")</f>
        <v>Primary_Walkin</v>
      </c>
      <c r="E1214" s="124">
        <f>IFERROR(__xludf.DUMMYFUNCTION("""COMPUTED_VALUE"""),1.0)</f>
        <v>1</v>
      </c>
      <c r="F1214" s="124" t="str">
        <f>IFERROR(__xludf.DUMMYFUNCTION("""COMPUTED_VALUE"""),"Not Interested")</f>
        <v>Not Interested</v>
      </c>
      <c r="G1214" s="124" t="str">
        <f>IFERROR(__xludf.DUMMYFUNCTION("""COMPUTED_VALUE"""),"GS Foundation")</f>
        <v>GS Foundation</v>
      </c>
      <c r="K1214" s="124"/>
      <c r="L1214" s="124"/>
      <c r="M1214" s="124"/>
      <c r="N1214" s="124"/>
      <c r="O1214" s="124"/>
      <c r="T1214" s="129">
        <f>IFERROR(__xludf.DUMMYFUNCTION("""COMPUTED_VALUE"""),46068.0)</f>
        <v>46068</v>
      </c>
      <c r="U1214" s="124" t="str">
        <f>IFERROR(__xludf.DUMMYFUNCTION("""COMPUTED_VALUE"""),"Walk-Ins")</f>
        <v>Walk-Ins</v>
      </c>
      <c r="V1214" s="124" t="str">
        <f>IFERROR(__xludf.DUMMYFUNCTION("""COMPUTED_VALUE"""),"Walkin")</f>
        <v>Walkin</v>
      </c>
      <c r="W1214" s="124" t="str">
        <f>IFERROR(__xludf.DUMMYFUNCTION("""COMPUTED_VALUE"""),"Indore")</f>
        <v>Indore</v>
      </c>
      <c r="X1214" s="124" t="str">
        <f>IFERROR(__xludf.DUMMYFUNCTION("""COMPUTED_VALUE"""),"Walkin")</f>
        <v>Walkin</v>
      </c>
      <c r="Y1214" s="124" t="str">
        <f>IFERROR(__xludf.DUMMYFUNCTION("""COMPUTED_VALUE"""),"Indore")</f>
        <v>Indore</v>
      </c>
      <c r="Z1214" s="124">
        <f>IFERROR(__xludf.DUMMYFUNCTION("""COMPUTED_VALUE"""),2.0)</f>
        <v>2</v>
      </c>
      <c r="AA1214" s="124" t="str">
        <f>IFERROR(__xludf.DUMMYFUNCTION("""COMPUTED_VALUE"""),"Cold")</f>
        <v>Cold</v>
      </c>
      <c r="AB1214" s="124" t="str">
        <f>IFERROR(__xludf.DUMMYFUNCTION("""COMPUTED_VALUE"""),"Other")</f>
        <v>Other</v>
      </c>
    </row>
    <row r="1215">
      <c r="A1215" s="126">
        <f>IFERROR(__xludf.DUMMYFUNCTION("""COMPUTED_VALUE"""),46076.0)</f>
        <v>46076</v>
      </c>
      <c r="B1215" s="124" t="str">
        <f>IFERROR(__xludf.DUMMYFUNCTION("""COMPUTED_VALUE"""),"Walkin")</f>
        <v>Walkin</v>
      </c>
      <c r="C1215" s="124" t="str">
        <f>IFERROR(__xludf.DUMMYFUNCTION("""COMPUTED_VALUE"""),"Lucknow")</f>
        <v>Lucknow</v>
      </c>
      <c r="D1215" s="124" t="str">
        <f>IFERROR(__xludf.DUMMYFUNCTION("""COMPUTED_VALUE"""),"Primary_Walkin")</f>
        <v>Primary_Walkin</v>
      </c>
      <c r="E1215" s="124">
        <f>IFERROR(__xludf.DUMMYFUNCTION("""COMPUTED_VALUE"""),1.0)</f>
        <v>1</v>
      </c>
      <c r="F1215" s="124" t="str">
        <f>IFERROR(__xludf.DUMMYFUNCTION("""COMPUTED_VALUE"""),"Warm")</f>
        <v>Warm</v>
      </c>
      <c r="G1215" s="124" t="str">
        <f>IFERROR(__xludf.DUMMYFUNCTION("""COMPUTED_VALUE"""),"State PCS")</f>
        <v>State PCS</v>
      </c>
      <c r="K1215" s="124"/>
      <c r="L1215" s="124"/>
      <c r="M1215" s="124"/>
      <c r="N1215" s="124"/>
      <c r="O1215" s="124"/>
      <c r="T1215" s="129">
        <f>IFERROR(__xludf.DUMMYFUNCTION("""COMPUTED_VALUE"""),46061.0)</f>
        <v>46061</v>
      </c>
      <c r="U1215" s="124" t="str">
        <f>IFERROR(__xludf.DUMMYFUNCTION("""COMPUTED_VALUE"""),"Walk-Ins")</f>
        <v>Walk-Ins</v>
      </c>
      <c r="V1215" s="124" t="str">
        <f>IFERROR(__xludf.DUMMYFUNCTION("""COMPUTED_VALUE"""),"Walkin")</f>
        <v>Walkin</v>
      </c>
      <c r="W1215" s="124" t="str">
        <f>IFERROR(__xludf.DUMMYFUNCTION("""COMPUTED_VALUE"""),"Indore")</f>
        <v>Indore</v>
      </c>
      <c r="X1215" s="124" t="str">
        <f>IFERROR(__xludf.DUMMYFUNCTION("""COMPUTED_VALUE"""),"Walkin")</f>
        <v>Walkin</v>
      </c>
      <c r="Y1215" s="124" t="str">
        <f>IFERROR(__xludf.DUMMYFUNCTION("""COMPUTED_VALUE"""),"Indore")</f>
        <v>Indore</v>
      </c>
      <c r="Z1215" s="124">
        <f>IFERROR(__xludf.DUMMYFUNCTION("""COMPUTED_VALUE"""),1.0)</f>
        <v>1</v>
      </c>
      <c r="AA1215" s="124" t="str">
        <f>IFERROR(__xludf.DUMMYFUNCTION("""COMPUTED_VALUE"""),"Not Interested")</f>
        <v>Not Interested</v>
      </c>
      <c r="AB1215" s="124" t="str">
        <f>IFERROR(__xludf.DUMMYFUNCTION("""COMPUTED_VALUE"""),"Mentorship")</f>
        <v>Mentorship</v>
      </c>
    </row>
    <row r="1216">
      <c r="A1216" s="126">
        <f>IFERROR(__xludf.DUMMYFUNCTION("""COMPUTED_VALUE"""),46064.0)</f>
        <v>46064</v>
      </c>
      <c r="B1216" s="124" t="str">
        <f>IFERROR(__xludf.DUMMYFUNCTION("""COMPUTED_VALUE"""),"events")</f>
        <v>events</v>
      </c>
      <c r="C1216" s="124" t="str">
        <f>IFERROR(__xludf.DUMMYFUNCTION("""COMPUTED_VALUE"""),"Indore")</f>
        <v>Indore</v>
      </c>
      <c r="D1216" s="124" t="str">
        <f>IFERROR(__xludf.DUMMYFUNCTION("""COMPUTED_VALUE"""),"Secondary_Walkin")</f>
        <v>Secondary_Walkin</v>
      </c>
      <c r="E1216" s="124">
        <f>IFERROR(__xludf.DUMMYFUNCTION("""COMPUTED_VALUE"""),1.0)</f>
        <v>1</v>
      </c>
      <c r="F1216" s="124" t="str">
        <f>IFERROR(__xludf.DUMMYFUNCTION("""COMPUTED_VALUE"""),"Cold")</f>
        <v>Cold</v>
      </c>
      <c r="G1216" s="124" t="str">
        <f>IFERROR(__xludf.DUMMYFUNCTION("""COMPUTED_VALUE"""),"Other")</f>
        <v>Other</v>
      </c>
      <c r="K1216" s="124"/>
      <c r="L1216" s="124"/>
      <c r="M1216" s="124"/>
      <c r="N1216" s="124"/>
      <c r="O1216" s="124"/>
      <c r="T1216" s="126">
        <f>IFERROR(__xludf.DUMMYFUNCTION("""COMPUTED_VALUE"""),46103.0)</f>
        <v>46103</v>
      </c>
      <c r="U1216" s="124" t="str">
        <f>IFERROR(__xludf.DUMMYFUNCTION("""COMPUTED_VALUE"""),"Walk-Ins")</f>
        <v>Walk-Ins</v>
      </c>
      <c r="V1216" s="124" t="str">
        <f>IFERROR(__xludf.DUMMYFUNCTION("""COMPUTED_VALUE"""),"Walkin")</f>
        <v>Walkin</v>
      </c>
      <c r="W1216" s="124" t="str">
        <f>IFERROR(__xludf.DUMMYFUNCTION("""COMPUTED_VALUE"""),"Patna")</f>
        <v>Patna</v>
      </c>
      <c r="X1216" s="124" t="str">
        <f>IFERROR(__xludf.DUMMYFUNCTION("""COMPUTED_VALUE"""),"Walkin")</f>
        <v>Walkin</v>
      </c>
      <c r="Y1216" s="124" t="str">
        <f>IFERROR(__xludf.DUMMYFUNCTION("""COMPUTED_VALUE"""),"Patna")</f>
        <v>Patna</v>
      </c>
      <c r="Z1216" s="124">
        <f>IFERROR(__xludf.DUMMYFUNCTION("""COMPUTED_VALUE"""),4.0)</f>
        <v>4</v>
      </c>
      <c r="AA1216" s="124" t="str">
        <f>IFERROR(__xludf.DUMMYFUNCTION("""COMPUTED_VALUE"""),"Warm")</f>
        <v>Warm</v>
      </c>
      <c r="AB1216" s="124" t="str">
        <f>IFERROR(__xludf.DUMMYFUNCTION("""COMPUTED_VALUE"""),"Test Series")</f>
        <v>Test Series</v>
      </c>
    </row>
    <row r="1217">
      <c r="A1217" s="129">
        <f>IFERROR(__xludf.DUMMYFUNCTION("""COMPUTED_VALUE"""),46106.0)</f>
        <v>46106</v>
      </c>
      <c r="B1217" s="124" t="str">
        <f>IFERROR(__xludf.DUMMYFUNCTION("""COMPUTED_VALUE"""),"Walkin")</f>
        <v>Walkin</v>
      </c>
      <c r="C1217" s="124" t="str">
        <f>IFERROR(__xludf.DUMMYFUNCTION("""COMPUTED_VALUE"""),"Indore")</f>
        <v>Indore</v>
      </c>
      <c r="D1217" s="124" t="str">
        <f>IFERROR(__xludf.DUMMYFUNCTION("""COMPUTED_VALUE"""),"Primary_Walkin")</f>
        <v>Primary_Walkin</v>
      </c>
      <c r="E1217" s="124">
        <f>IFERROR(__xludf.DUMMYFUNCTION("""COMPUTED_VALUE"""),2.0)</f>
        <v>2</v>
      </c>
      <c r="F1217" s="124" t="str">
        <f>IFERROR(__xludf.DUMMYFUNCTION("""COMPUTED_VALUE"""),"Enrolled")</f>
        <v>Enrolled</v>
      </c>
      <c r="G1217" s="124" t="str">
        <f>IFERROR(__xludf.DUMMYFUNCTION("""COMPUTED_VALUE"""),"State PCS")</f>
        <v>State PCS</v>
      </c>
      <c r="K1217" s="124"/>
      <c r="L1217" s="124"/>
      <c r="M1217" s="124"/>
      <c r="N1217" s="124"/>
      <c r="O1217" s="124"/>
      <c r="T1217" s="129">
        <f>IFERROR(__xludf.DUMMYFUNCTION("""COMPUTED_VALUE"""),46111.0)</f>
        <v>46111</v>
      </c>
      <c r="U1217" s="124" t="str">
        <f>IFERROR(__xludf.DUMMYFUNCTION("""COMPUTED_VALUE"""),"Walk-Ins")</f>
        <v>Walk-Ins</v>
      </c>
      <c r="V1217" s="124" t="str">
        <f>IFERROR(__xludf.DUMMYFUNCTION("""COMPUTED_VALUE"""),"Walkin")</f>
        <v>Walkin</v>
      </c>
      <c r="W1217" s="124" t="str">
        <f>IFERROR(__xludf.DUMMYFUNCTION("""COMPUTED_VALUE"""),"Patna")</f>
        <v>Patna</v>
      </c>
      <c r="X1217" s="124" t="str">
        <f>IFERROR(__xludf.DUMMYFUNCTION("""COMPUTED_VALUE"""),"Walkin")</f>
        <v>Walkin</v>
      </c>
      <c r="Y1217" s="124" t="str">
        <f>IFERROR(__xludf.DUMMYFUNCTION("""COMPUTED_VALUE"""),"Patna")</f>
        <v>Patna</v>
      </c>
      <c r="Z1217" s="124">
        <f>IFERROR(__xludf.DUMMYFUNCTION("""COMPUTED_VALUE"""),13.0)</f>
        <v>13</v>
      </c>
      <c r="AA1217" s="124" t="str">
        <f>IFERROR(__xludf.DUMMYFUNCTION("""COMPUTED_VALUE"""),"Warm")</f>
        <v>Warm</v>
      </c>
      <c r="AB1217" s="124" t="str">
        <f>IFERROR(__xludf.DUMMYFUNCTION("""COMPUTED_VALUE"""),"State PCS")</f>
        <v>State PCS</v>
      </c>
    </row>
    <row r="1218">
      <c r="A1218" s="129">
        <f>IFERROR(__xludf.DUMMYFUNCTION("""COMPUTED_VALUE"""),46050.0)</f>
        <v>46050</v>
      </c>
      <c r="B1218" s="124" t="str">
        <f>IFERROR(__xludf.DUMMYFUNCTION("""COMPUTED_VALUE"""),"Walkin")</f>
        <v>Walkin</v>
      </c>
      <c r="C1218" s="124" t="str">
        <f>IFERROR(__xludf.DUMMYFUNCTION("""COMPUTED_VALUE"""),"Lucknow")</f>
        <v>Lucknow</v>
      </c>
      <c r="D1218" s="124" t="str">
        <f>IFERROR(__xludf.DUMMYFUNCTION("""COMPUTED_VALUE"""),"Primary_Walkin")</f>
        <v>Primary_Walkin</v>
      </c>
      <c r="E1218" s="124">
        <f>IFERROR(__xludf.DUMMYFUNCTION("""COMPUTED_VALUE"""),1.0)</f>
        <v>1</v>
      </c>
      <c r="F1218" s="124" t="str">
        <f>IFERROR(__xludf.DUMMYFUNCTION("""COMPUTED_VALUE"""),"Cold")</f>
        <v>Cold</v>
      </c>
      <c r="G1218" s="124" t="str">
        <f>IFERROR(__xludf.DUMMYFUNCTION("""COMPUTED_VALUE"""),"State PCS")</f>
        <v>State PCS</v>
      </c>
      <c r="K1218" s="124"/>
      <c r="L1218" s="124"/>
      <c r="M1218" s="124"/>
      <c r="N1218" s="124"/>
      <c r="O1218" s="124"/>
      <c r="T1218" s="129">
        <f>IFERROR(__xludf.DUMMYFUNCTION("""COMPUTED_VALUE"""),46100.0)</f>
        <v>46100</v>
      </c>
      <c r="U1218" s="124" t="str">
        <f>IFERROR(__xludf.DUMMYFUNCTION("""COMPUTED_VALUE"""),"Walk-Ins")</f>
        <v>Walk-Ins</v>
      </c>
      <c r="V1218" s="124" t="str">
        <f>IFERROR(__xludf.DUMMYFUNCTION("""COMPUTED_VALUE"""),"Walkin")</f>
        <v>Walkin</v>
      </c>
      <c r="W1218" s="124" t="str">
        <f>IFERROR(__xludf.DUMMYFUNCTION("""COMPUTED_VALUE"""),"Prayagraj")</f>
        <v>Prayagraj</v>
      </c>
      <c r="X1218" s="124" t="str">
        <f>IFERROR(__xludf.DUMMYFUNCTION("""COMPUTED_VALUE"""),"Walkin")</f>
        <v>Walkin</v>
      </c>
      <c r="Y1218" s="124" t="str">
        <f>IFERROR(__xludf.DUMMYFUNCTION("""COMPUTED_VALUE"""),"Prayagraj")</f>
        <v>Prayagraj</v>
      </c>
      <c r="Z1218" s="124">
        <f>IFERROR(__xludf.DUMMYFUNCTION("""COMPUTED_VALUE"""),1.0)</f>
        <v>1</v>
      </c>
      <c r="AA1218" s="124" t="str">
        <f>IFERROR(__xludf.DUMMYFUNCTION("""COMPUTED_VALUE"""),"Enrolled")</f>
        <v>Enrolled</v>
      </c>
      <c r="AB1218" s="124" t="str">
        <f>IFERROR(__xludf.DUMMYFUNCTION("""COMPUTED_VALUE"""),"State PCS")</f>
        <v>State PCS</v>
      </c>
    </row>
    <row r="1219">
      <c r="A1219" s="126">
        <f>IFERROR(__xludf.DUMMYFUNCTION("""COMPUTED_VALUE"""),46043.0)</f>
        <v>46043</v>
      </c>
      <c r="B1219" s="124" t="str">
        <f>IFERROR(__xludf.DUMMYFUNCTION("""COMPUTED_VALUE"""),"Facebook")</f>
        <v>Facebook</v>
      </c>
      <c r="C1219" s="124" t="str">
        <f>IFERROR(__xludf.DUMMYFUNCTION("""COMPUTED_VALUE"""),"Indore")</f>
        <v>Indore</v>
      </c>
      <c r="D1219" s="124" t="str">
        <f>IFERROR(__xludf.DUMMYFUNCTION("""COMPUTED_VALUE"""),"Secondary_Walkin")</f>
        <v>Secondary_Walkin</v>
      </c>
      <c r="E1219" s="124">
        <f>IFERROR(__xludf.DUMMYFUNCTION("""COMPUTED_VALUE"""),1.0)</f>
        <v>1</v>
      </c>
      <c r="F1219" s="124" t="str">
        <f>IFERROR(__xludf.DUMMYFUNCTION("""COMPUTED_VALUE"""),"Not Interested")</f>
        <v>Not Interested</v>
      </c>
      <c r="G1219" s="124" t="str">
        <f>IFERROR(__xludf.DUMMYFUNCTION("""COMPUTED_VALUE"""),"GS Foundation")</f>
        <v>GS Foundation</v>
      </c>
      <c r="K1219" s="124"/>
      <c r="L1219" s="124"/>
      <c r="M1219" s="124"/>
      <c r="N1219" s="124"/>
      <c r="O1219" s="124"/>
      <c r="T1219" s="129">
        <f>IFERROR(__xludf.DUMMYFUNCTION("""COMPUTED_VALUE"""),46064.0)</f>
        <v>46064</v>
      </c>
      <c r="U1219" s="124" t="str">
        <f>IFERROR(__xludf.DUMMYFUNCTION("""COMPUTED_VALUE"""),"Walk-Ins")</f>
        <v>Walk-Ins</v>
      </c>
      <c r="V1219" s="124" t="str">
        <f>IFERROR(__xludf.DUMMYFUNCTION("""COMPUTED_VALUE"""),"Walkin")</f>
        <v>Walkin</v>
      </c>
      <c r="W1219" s="124" t="str">
        <f>IFERROR(__xludf.DUMMYFUNCTION("""COMPUTED_VALUE"""),"Indore")</f>
        <v>Indore</v>
      </c>
      <c r="X1219" s="124" t="str">
        <f>IFERROR(__xludf.DUMMYFUNCTION("""COMPUTED_VALUE"""),"Walkin")</f>
        <v>Walkin</v>
      </c>
      <c r="Y1219" s="124" t="str">
        <f>IFERROR(__xludf.DUMMYFUNCTION("""COMPUTED_VALUE"""),"Indore")</f>
        <v>Indore</v>
      </c>
      <c r="Z1219" s="124">
        <f>IFERROR(__xludf.DUMMYFUNCTION("""COMPUTED_VALUE"""),1.0)</f>
        <v>1</v>
      </c>
      <c r="AA1219" s="124" t="str">
        <f>IFERROR(__xludf.DUMMYFUNCTION("""COMPUTED_VALUE"""),"Not Interested")</f>
        <v>Not Interested</v>
      </c>
      <c r="AB1219" s="124" t="str">
        <f>IFERROR(__xludf.DUMMYFUNCTION("""COMPUTED_VALUE"""),"GS Foundation")</f>
        <v>GS Foundation</v>
      </c>
    </row>
    <row r="1220">
      <c r="A1220" s="126">
        <f>IFERROR(__xludf.DUMMYFUNCTION("""COMPUTED_VALUE"""),46046.0)</f>
        <v>46046</v>
      </c>
      <c r="B1220" s="124" t="str">
        <f>IFERROR(__xludf.DUMMYFUNCTION("""COMPUTED_VALUE"""),"Walkin")</f>
        <v>Walkin</v>
      </c>
      <c r="C1220" s="124" t="str">
        <f>IFERROR(__xludf.DUMMYFUNCTION("""COMPUTED_VALUE"""),"Indore")</f>
        <v>Indore</v>
      </c>
      <c r="D1220" s="124" t="str">
        <f>IFERROR(__xludf.DUMMYFUNCTION("""COMPUTED_VALUE"""),"Primary_Walkin")</f>
        <v>Primary_Walkin</v>
      </c>
      <c r="E1220" s="124">
        <f>IFERROR(__xludf.DUMMYFUNCTION("""COMPUTED_VALUE"""),1.0)</f>
        <v>1</v>
      </c>
      <c r="F1220" s="124" t="str">
        <f>IFERROR(__xludf.DUMMYFUNCTION("""COMPUTED_VALUE"""),"Not Interested")</f>
        <v>Not Interested</v>
      </c>
      <c r="G1220" s="124" t="str">
        <f>IFERROR(__xludf.DUMMYFUNCTION("""COMPUTED_VALUE"""),"GS Foundation")</f>
        <v>GS Foundation</v>
      </c>
      <c r="K1220" s="124"/>
      <c r="L1220" s="124"/>
      <c r="M1220" s="124"/>
      <c r="N1220" s="124"/>
      <c r="O1220" s="124"/>
      <c r="T1220" s="126">
        <f>IFERROR(__xludf.DUMMYFUNCTION("""COMPUTED_VALUE"""),46045.0)</f>
        <v>46045</v>
      </c>
      <c r="U1220" s="124" t="str">
        <f>IFERROR(__xludf.DUMMYFUNCTION("""COMPUTED_VALUE"""),"Walk-Ins")</f>
        <v>Walk-Ins</v>
      </c>
      <c r="V1220" s="124" t="str">
        <f>IFERROR(__xludf.DUMMYFUNCTION("""COMPUTED_VALUE"""),"Walkin")</f>
        <v>Walkin</v>
      </c>
      <c r="W1220" s="124" t="str">
        <f>IFERROR(__xludf.DUMMYFUNCTION("""COMPUTED_VALUE"""),"Indore")</f>
        <v>Indore</v>
      </c>
      <c r="X1220" s="124" t="str">
        <f>IFERROR(__xludf.DUMMYFUNCTION("""COMPUTED_VALUE"""),"Walkin")</f>
        <v>Walkin</v>
      </c>
      <c r="Y1220" s="124" t="str">
        <f>IFERROR(__xludf.DUMMYFUNCTION("""COMPUTED_VALUE"""),"Indore")</f>
        <v>Indore</v>
      </c>
      <c r="Z1220" s="124">
        <f>IFERROR(__xludf.DUMMYFUNCTION("""COMPUTED_VALUE"""),2.0)</f>
        <v>2</v>
      </c>
      <c r="AA1220" s="124" t="str">
        <f>IFERROR(__xludf.DUMMYFUNCTION("""COMPUTED_VALUE"""),"Warm")</f>
        <v>Warm</v>
      </c>
      <c r="AB1220" s="124" t="str">
        <f>IFERROR(__xludf.DUMMYFUNCTION("""COMPUTED_VALUE"""),"Test Series")</f>
        <v>Test Series</v>
      </c>
    </row>
    <row r="1221">
      <c r="A1221" s="126">
        <f>IFERROR(__xludf.DUMMYFUNCTION("""COMPUTED_VALUE"""),46076.0)</f>
        <v>46076</v>
      </c>
      <c r="B1221" s="124" t="str">
        <f>IFERROR(__xludf.DUMMYFUNCTION("""COMPUTED_VALUE"""),"Walkin")</f>
        <v>Walkin</v>
      </c>
      <c r="C1221" s="124" t="str">
        <f>IFERROR(__xludf.DUMMYFUNCTION("""COMPUTED_VALUE"""),"Indore")</f>
        <v>Indore</v>
      </c>
      <c r="D1221" s="124" t="str">
        <f>IFERROR(__xludf.DUMMYFUNCTION("""COMPUTED_VALUE"""),"Primary_Walkin")</f>
        <v>Primary_Walkin</v>
      </c>
      <c r="E1221" s="124">
        <f>IFERROR(__xludf.DUMMYFUNCTION("""COMPUTED_VALUE"""),1.0)</f>
        <v>1</v>
      </c>
      <c r="F1221" s="124" t="str">
        <f>IFERROR(__xludf.DUMMYFUNCTION("""COMPUTED_VALUE"""),"Enrolled")</f>
        <v>Enrolled</v>
      </c>
      <c r="G1221" s="124" t="str">
        <f>IFERROR(__xludf.DUMMYFUNCTION("""COMPUTED_VALUE"""),"State PCS")</f>
        <v>State PCS</v>
      </c>
      <c r="K1221" s="124"/>
      <c r="L1221" s="124"/>
      <c r="M1221" s="124"/>
      <c r="N1221" s="124"/>
      <c r="O1221" s="124"/>
      <c r="T1221" s="126">
        <f>IFERROR(__xludf.DUMMYFUNCTION("""COMPUTED_VALUE"""),46076.0)</f>
        <v>46076</v>
      </c>
      <c r="U1221" s="124" t="str">
        <f>IFERROR(__xludf.DUMMYFUNCTION("""COMPUTED_VALUE"""),"Walk-Ins")</f>
        <v>Walk-Ins</v>
      </c>
      <c r="V1221" s="124" t="str">
        <f>IFERROR(__xludf.DUMMYFUNCTION("""COMPUTED_VALUE"""),"Walkin")</f>
        <v>Walkin</v>
      </c>
      <c r="W1221" s="124" t="str">
        <f>IFERROR(__xludf.DUMMYFUNCTION("""COMPUTED_VALUE"""),"Prayagraj")</f>
        <v>Prayagraj</v>
      </c>
      <c r="X1221" s="124" t="str">
        <f>IFERROR(__xludf.DUMMYFUNCTION("""COMPUTED_VALUE"""),"Walkin")</f>
        <v>Walkin</v>
      </c>
      <c r="Y1221" s="124" t="str">
        <f>IFERROR(__xludf.DUMMYFUNCTION("""COMPUTED_VALUE"""),"Prayagraj")</f>
        <v>Prayagraj</v>
      </c>
      <c r="Z1221" s="124">
        <f>IFERROR(__xludf.DUMMYFUNCTION("""COMPUTED_VALUE"""),1.0)</f>
        <v>1</v>
      </c>
      <c r="AA1221" s="124" t="str">
        <f>IFERROR(__xludf.DUMMYFUNCTION("""COMPUTED_VALUE"""),"Cold")</f>
        <v>Cold</v>
      </c>
      <c r="AB1221" s="124" t="str">
        <f>IFERROR(__xludf.DUMMYFUNCTION("""COMPUTED_VALUE"""),"State PCS")</f>
        <v>State PCS</v>
      </c>
    </row>
    <row r="1222">
      <c r="A1222" s="129">
        <f>IFERROR(__xludf.DUMMYFUNCTION("""COMPUTED_VALUE"""),46109.0)</f>
        <v>46109</v>
      </c>
      <c r="B1222" s="124" t="str">
        <f>IFERROR(__xludf.DUMMYFUNCTION("""COMPUTED_VALUE"""),"Walkin")</f>
        <v>Walkin</v>
      </c>
      <c r="C1222" s="124" t="str">
        <f>IFERROR(__xludf.DUMMYFUNCTION("""COMPUTED_VALUE"""),"Patna")</f>
        <v>Patna</v>
      </c>
      <c r="D1222" s="124" t="str">
        <f>IFERROR(__xludf.DUMMYFUNCTION("""COMPUTED_VALUE"""),"Primary_Walkin")</f>
        <v>Primary_Walkin</v>
      </c>
      <c r="E1222" s="124">
        <f>IFERROR(__xludf.DUMMYFUNCTION("""COMPUTED_VALUE"""),1.0)</f>
        <v>1</v>
      </c>
      <c r="F1222" s="124" t="str">
        <f>IFERROR(__xludf.DUMMYFUNCTION("""COMPUTED_VALUE"""),"Fake Lead")</f>
        <v>Fake Lead</v>
      </c>
      <c r="G1222" s="124" t="str">
        <f>IFERROR(__xludf.DUMMYFUNCTION("""COMPUTED_VALUE"""),"State PCS")</f>
        <v>State PCS</v>
      </c>
      <c r="K1222" s="124"/>
      <c r="L1222" s="124"/>
      <c r="M1222" s="124"/>
      <c r="N1222" s="124"/>
      <c r="O1222" s="124"/>
      <c r="T1222" s="126">
        <f>IFERROR(__xludf.DUMMYFUNCTION("""COMPUTED_VALUE"""),46083.0)</f>
        <v>46083</v>
      </c>
      <c r="U1222" s="124" t="str">
        <f>IFERROR(__xludf.DUMMYFUNCTION("""COMPUTED_VALUE"""),"Walk-Ins")</f>
        <v>Walk-Ins</v>
      </c>
      <c r="V1222" s="124" t="str">
        <f>IFERROR(__xludf.DUMMYFUNCTION("""COMPUTED_VALUE"""),"Walkin")</f>
        <v>Walkin</v>
      </c>
      <c r="W1222" s="124" t="str">
        <f>IFERROR(__xludf.DUMMYFUNCTION("""COMPUTED_VALUE"""),"Indore")</f>
        <v>Indore</v>
      </c>
      <c r="X1222" s="124" t="str">
        <f>IFERROR(__xludf.DUMMYFUNCTION("""COMPUTED_VALUE"""),"Walkin")</f>
        <v>Walkin</v>
      </c>
      <c r="Y1222" s="124" t="str">
        <f>IFERROR(__xludf.DUMMYFUNCTION("""COMPUTED_VALUE"""),"Indore")</f>
        <v>Indore</v>
      </c>
      <c r="Z1222" s="124">
        <f>IFERROR(__xludf.DUMMYFUNCTION("""COMPUTED_VALUE"""),2.0)</f>
        <v>2</v>
      </c>
      <c r="AA1222" s="124" t="str">
        <f>IFERROR(__xludf.DUMMYFUNCTION("""COMPUTED_VALUE"""),"Cold")</f>
        <v>Cold</v>
      </c>
      <c r="AB1222" s="124" t="str">
        <f>IFERROR(__xludf.DUMMYFUNCTION("""COMPUTED_VALUE"""),"Test Series")</f>
        <v>Test Series</v>
      </c>
    </row>
    <row r="1223">
      <c r="A1223" s="129">
        <f>IFERROR(__xludf.DUMMYFUNCTION("""COMPUTED_VALUE"""),46089.0)</f>
        <v>46089</v>
      </c>
      <c r="B1223" s="124" t="str">
        <f>IFERROR(__xludf.DUMMYFUNCTION("""COMPUTED_VALUE"""),"Webinar")</f>
        <v>Webinar</v>
      </c>
      <c r="C1223" s="124" t="str">
        <f>IFERROR(__xludf.DUMMYFUNCTION("""COMPUTED_VALUE"""),"Patna")</f>
        <v>Patna</v>
      </c>
      <c r="D1223" s="124" t="str">
        <f>IFERROR(__xludf.DUMMYFUNCTION("""COMPUTED_VALUE"""),"Secondary_Walkin")</f>
        <v>Secondary_Walkin</v>
      </c>
      <c r="E1223" s="124">
        <f>IFERROR(__xludf.DUMMYFUNCTION("""COMPUTED_VALUE"""),1.0)</f>
        <v>1</v>
      </c>
      <c r="F1223" s="124" t="str">
        <f>IFERROR(__xludf.DUMMYFUNCTION("""COMPUTED_VALUE"""),"Not Interested")</f>
        <v>Not Interested</v>
      </c>
      <c r="G1223" s="124" t="str">
        <f>IFERROR(__xludf.DUMMYFUNCTION("""COMPUTED_VALUE"""),"GS Foundation")</f>
        <v>GS Foundation</v>
      </c>
      <c r="K1223" s="124"/>
      <c r="L1223" s="124"/>
      <c r="M1223" s="124"/>
      <c r="N1223" s="124"/>
      <c r="O1223" s="124"/>
      <c r="T1223" s="129">
        <f>IFERROR(__xludf.DUMMYFUNCTION("""COMPUTED_VALUE"""),46079.0)</f>
        <v>46079</v>
      </c>
      <c r="U1223" s="124" t="str">
        <f>IFERROR(__xludf.DUMMYFUNCTION("""COMPUTED_VALUE"""),"Walk-Ins")</f>
        <v>Walk-Ins</v>
      </c>
      <c r="V1223" s="124" t="str">
        <f>IFERROR(__xludf.DUMMYFUNCTION("""COMPUTED_VALUE"""),"Walkin")</f>
        <v>Walkin</v>
      </c>
      <c r="W1223" s="124" t="str">
        <f>IFERROR(__xludf.DUMMYFUNCTION("""COMPUTED_VALUE"""),"Prayagraj")</f>
        <v>Prayagraj</v>
      </c>
      <c r="X1223" s="124" t="str">
        <f>IFERROR(__xludf.DUMMYFUNCTION("""COMPUTED_VALUE"""),"Walkin")</f>
        <v>Walkin</v>
      </c>
      <c r="Y1223" s="124" t="str">
        <f>IFERROR(__xludf.DUMMYFUNCTION("""COMPUTED_VALUE"""),"Prayagraj")</f>
        <v>Prayagraj</v>
      </c>
      <c r="Z1223" s="124">
        <f>IFERROR(__xludf.DUMMYFUNCTION("""COMPUTED_VALUE"""),2.0)</f>
        <v>2</v>
      </c>
      <c r="AA1223" s="124" t="str">
        <f>IFERROR(__xludf.DUMMYFUNCTION("""COMPUTED_VALUE"""),"Warm")</f>
        <v>Warm</v>
      </c>
      <c r="AB1223" s="124" t="str">
        <f>IFERROR(__xludf.DUMMYFUNCTION("""COMPUTED_VALUE"""),"GS Foundation")</f>
        <v>GS Foundation</v>
      </c>
    </row>
    <row r="1224">
      <c r="A1224" s="126">
        <f>IFERROR(__xludf.DUMMYFUNCTION("""COMPUTED_VALUE"""),46095.0)</f>
        <v>46095</v>
      </c>
      <c r="B1224" s="124" t="str">
        <f>IFERROR(__xludf.DUMMYFUNCTION("""COMPUTED_VALUE"""),"Walkin")</f>
        <v>Walkin</v>
      </c>
      <c r="C1224" s="124" t="str">
        <f>IFERROR(__xludf.DUMMYFUNCTION("""COMPUTED_VALUE"""),"Patna")</f>
        <v>Patna</v>
      </c>
      <c r="D1224" s="124" t="str">
        <f>IFERROR(__xludf.DUMMYFUNCTION("""COMPUTED_VALUE"""),"Primary_Walkin")</f>
        <v>Primary_Walkin</v>
      </c>
      <c r="E1224" s="124">
        <f>IFERROR(__xludf.DUMMYFUNCTION("""COMPUTED_VALUE"""),1.0)</f>
        <v>1</v>
      </c>
      <c r="F1224" s="124" t="str">
        <f>IFERROR(__xludf.DUMMYFUNCTION("""COMPUTED_VALUE"""),"Enrolled")</f>
        <v>Enrolled</v>
      </c>
      <c r="G1224" s="124" t="str">
        <f>IFERROR(__xludf.DUMMYFUNCTION("""COMPUTED_VALUE"""),"GS Foundation")</f>
        <v>GS Foundation</v>
      </c>
      <c r="K1224" s="124"/>
      <c r="L1224" s="124"/>
      <c r="M1224" s="124"/>
      <c r="N1224" s="124"/>
      <c r="O1224" s="124"/>
      <c r="T1224" s="126">
        <f>IFERROR(__xludf.DUMMYFUNCTION("""COMPUTED_VALUE"""),46112.0)</f>
        <v>46112</v>
      </c>
      <c r="U1224" s="124" t="str">
        <f>IFERROR(__xludf.DUMMYFUNCTION("""COMPUTED_VALUE"""),"Walk-Ins")</f>
        <v>Walk-Ins</v>
      </c>
      <c r="V1224" s="124" t="str">
        <f>IFERROR(__xludf.DUMMYFUNCTION("""COMPUTED_VALUE"""),"Walkin")</f>
        <v>Walkin</v>
      </c>
      <c r="W1224" s="124" t="str">
        <f>IFERROR(__xludf.DUMMYFUNCTION("""COMPUTED_VALUE"""),"Indore")</f>
        <v>Indore</v>
      </c>
      <c r="X1224" s="124" t="str">
        <f>IFERROR(__xludf.DUMMYFUNCTION("""COMPUTED_VALUE"""),"Walkin")</f>
        <v>Walkin</v>
      </c>
      <c r="Y1224" s="124" t="str">
        <f>IFERROR(__xludf.DUMMYFUNCTION("""COMPUTED_VALUE"""),"Indore")</f>
        <v>Indore</v>
      </c>
      <c r="Z1224" s="124">
        <f>IFERROR(__xludf.DUMMYFUNCTION("""COMPUTED_VALUE"""),1.0)</f>
        <v>1</v>
      </c>
      <c r="AA1224" s="124" t="str">
        <f>IFERROR(__xludf.DUMMYFUNCTION("""COMPUTED_VALUE"""),"Fake Lead")</f>
        <v>Fake Lead</v>
      </c>
      <c r="AB1224" s="124" t="str">
        <f>IFERROR(__xludf.DUMMYFUNCTION("""COMPUTED_VALUE"""),"Other")</f>
        <v>Other</v>
      </c>
    </row>
    <row r="1225">
      <c r="A1225" s="126">
        <f>IFERROR(__xludf.DUMMYFUNCTION("""COMPUTED_VALUE"""),46077.0)</f>
        <v>46077</v>
      </c>
      <c r="B1225" s="124" t="str">
        <f>IFERROR(__xludf.DUMMYFUNCTION("""COMPUTED_VALUE"""),"Walkin")</f>
        <v>Walkin</v>
      </c>
      <c r="C1225" s="124" t="str">
        <f>IFERROR(__xludf.DUMMYFUNCTION("""COMPUTED_VALUE"""),"Patna")</f>
        <v>Patna</v>
      </c>
      <c r="D1225" s="124" t="str">
        <f>IFERROR(__xludf.DUMMYFUNCTION("""COMPUTED_VALUE"""),"Primary_Walkin")</f>
        <v>Primary_Walkin</v>
      </c>
      <c r="E1225" s="124">
        <f>IFERROR(__xludf.DUMMYFUNCTION("""COMPUTED_VALUE"""),2.0)</f>
        <v>2</v>
      </c>
      <c r="F1225" s="124" t="str">
        <f>IFERROR(__xludf.DUMMYFUNCTION("""COMPUTED_VALUE"""),"Fake Lead")</f>
        <v>Fake Lead</v>
      </c>
      <c r="G1225" s="124" t="str">
        <f>IFERROR(__xludf.DUMMYFUNCTION("""COMPUTED_VALUE"""),"State PCS")</f>
        <v>State PCS</v>
      </c>
      <c r="K1225" s="124"/>
      <c r="L1225" s="124"/>
      <c r="M1225" s="124"/>
      <c r="N1225" s="124"/>
      <c r="O1225" s="124"/>
      <c r="T1225" s="126">
        <f>IFERROR(__xludf.DUMMYFUNCTION("""COMPUTED_VALUE"""),46109.0)</f>
        <v>46109</v>
      </c>
      <c r="U1225" s="124" t="str">
        <f>IFERROR(__xludf.DUMMYFUNCTION("""COMPUTED_VALUE"""),"Walk-Ins")</f>
        <v>Walk-Ins</v>
      </c>
      <c r="V1225" s="124" t="str">
        <f>IFERROR(__xludf.DUMMYFUNCTION("""COMPUTED_VALUE"""),"Walkin")</f>
        <v>Walkin</v>
      </c>
      <c r="W1225" s="124" t="str">
        <f>IFERROR(__xludf.DUMMYFUNCTION("""COMPUTED_VALUE"""),"Patna")</f>
        <v>Patna</v>
      </c>
      <c r="X1225" s="124" t="str">
        <f>IFERROR(__xludf.DUMMYFUNCTION("""COMPUTED_VALUE"""),"Walkin")</f>
        <v>Walkin</v>
      </c>
      <c r="Y1225" s="124" t="str">
        <f>IFERROR(__xludf.DUMMYFUNCTION("""COMPUTED_VALUE"""),"Patna")</f>
        <v>Patna</v>
      </c>
      <c r="Z1225" s="124">
        <f>IFERROR(__xludf.DUMMYFUNCTION("""COMPUTED_VALUE"""),2.0)</f>
        <v>2</v>
      </c>
      <c r="AA1225" s="124" t="str">
        <f>IFERROR(__xludf.DUMMYFUNCTION("""COMPUTED_VALUE"""),"Warm")</f>
        <v>Warm</v>
      </c>
      <c r="AB1225" s="124" t="str">
        <f>IFERROR(__xludf.DUMMYFUNCTION("""COMPUTED_VALUE"""),"GS Foundation")</f>
        <v>GS Foundation</v>
      </c>
    </row>
    <row r="1226">
      <c r="A1226" s="126">
        <f>IFERROR(__xludf.DUMMYFUNCTION("""COMPUTED_VALUE"""),46049.0)</f>
        <v>46049</v>
      </c>
      <c r="B1226" s="124" t="str">
        <f>IFERROR(__xludf.DUMMYFUNCTION("""COMPUTED_VALUE"""),"Walk-In")</f>
        <v>Walk-In</v>
      </c>
      <c r="C1226" s="124" t="str">
        <f>IFERROR(__xludf.DUMMYFUNCTION("""COMPUTED_VALUE"""),"Patna")</f>
        <v>Patna</v>
      </c>
      <c r="D1226" s="124" t="str">
        <f>IFERROR(__xludf.DUMMYFUNCTION("""COMPUTED_VALUE"""),"Primary_Walkin")</f>
        <v>Primary_Walkin</v>
      </c>
      <c r="E1226" s="124">
        <f>IFERROR(__xludf.DUMMYFUNCTION("""COMPUTED_VALUE"""),2.0)</f>
        <v>2</v>
      </c>
      <c r="F1226" s="124" t="str">
        <f>IFERROR(__xludf.DUMMYFUNCTION("""COMPUTED_VALUE"""),"Fake Lead")</f>
        <v>Fake Lead</v>
      </c>
      <c r="G1226" s="124" t="str">
        <f>IFERROR(__xludf.DUMMYFUNCTION("""COMPUTED_VALUE"""),"State PCS")</f>
        <v>State PCS</v>
      </c>
      <c r="K1226" s="124"/>
      <c r="L1226" s="124"/>
      <c r="M1226" s="124"/>
      <c r="N1226" s="124"/>
      <c r="O1226" s="124"/>
      <c r="T1226" s="129">
        <f>IFERROR(__xludf.DUMMYFUNCTION("""COMPUTED_VALUE"""),46095.0)</f>
        <v>46095</v>
      </c>
      <c r="U1226" s="124" t="str">
        <f>IFERROR(__xludf.DUMMYFUNCTION("""COMPUTED_VALUE"""),"Walk-Ins")</f>
        <v>Walk-Ins</v>
      </c>
      <c r="V1226" s="124" t="str">
        <f>IFERROR(__xludf.DUMMYFUNCTION("""COMPUTED_VALUE"""),"Walkin")</f>
        <v>Walkin</v>
      </c>
      <c r="W1226" s="124" t="str">
        <f>IFERROR(__xludf.DUMMYFUNCTION("""COMPUTED_VALUE"""),"Patna")</f>
        <v>Patna</v>
      </c>
      <c r="X1226" s="124" t="str">
        <f>IFERROR(__xludf.DUMMYFUNCTION("""COMPUTED_VALUE"""),"Walkin")</f>
        <v>Walkin</v>
      </c>
      <c r="Y1226" s="124" t="str">
        <f>IFERROR(__xludf.DUMMYFUNCTION("""COMPUTED_VALUE"""),"Patna")</f>
        <v>Patna</v>
      </c>
      <c r="Z1226" s="124">
        <f>IFERROR(__xludf.DUMMYFUNCTION("""COMPUTED_VALUE"""),1.0)</f>
        <v>1</v>
      </c>
      <c r="AA1226" s="124" t="str">
        <f>IFERROR(__xludf.DUMMYFUNCTION("""COMPUTED_VALUE"""),"Future Prospects")</f>
        <v>Future Prospects</v>
      </c>
      <c r="AB1226" s="124" t="str">
        <f>IFERROR(__xludf.DUMMYFUNCTION("""COMPUTED_VALUE"""),"State PCS")</f>
        <v>State PCS</v>
      </c>
    </row>
    <row r="1227">
      <c r="A1227" s="126">
        <f>IFERROR(__xludf.DUMMYFUNCTION("""COMPUTED_VALUE"""),46105.0)</f>
        <v>46105</v>
      </c>
      <c r="B1227" s="124" t="str">
        <f>IFERROR(__xludf.DUMMYFUNCTION("""COMPUTED_VALUE"""),"Walkin")</f>
        <v>Walkin</v>
      </c>
      <c r="C1227" s="124" t="str">
        <f>IFERROR(__xludf.DUMMYFUNCTION("""COMPUTED_VALUE"""),"Patna")</f>
        <v>Patna</v>
      </c>
      <c r="D1227" s="124" t="str">
        <f>IFERROR(__xludf.DUMMYFUNCTION("""COMPUTED_VALUE"""),"Primary_Walkin")</f>
        <v>Primary_Walkin</v>
      </c>
      <c r="E1227" s="124">
        <f>IFERROR(__xludf.DUMMYFUNCTION("""COMPUTED_VALUE"""),2.0)</f>
        <v>2</v>
      </c>
      <c r="F1227" s="124" t="str">
        <f>IFERROR(__xludf.DUMMYFUNCTION("""COMPUTED_VALUE"""),"Future Prospects")</f>
        <v>Future Prospects</v>
      </c>
      <c r="G1227" s="124" t="str">
        <f>IFERROR(__xludf.DUMMYFUNCTION("""COMPUTED_VALUE"""),"GS Foundation")</f>
        <v>GS Foundation</v>
      </c>
      <c r="K1227" s="124"/>
      <c r="L1227" s="124"/>
      <c r="M1227" s="124"/>
      <c r="N1227" s="124"/>
      <c r="O1227" s="124"/>
      <c r="T1227" s="126">
        <f>IFERROR(__xludf.DUMMYFUNCTION("""COMPUTED_VALUE"""),46069.0)</f>
        <v>46069</v>
      </c>
      <c r="U1227" s="124" t="str">
        <f>IFERROR(__xludf.DUMMYFUNCTION("""COMPUTED_VALUE"""),"Walk-Ins")</f>
        <v>Walk-Ins</v>
      </c>
      <c r="V1227" s="124" t="str">
        <f>IFERROR(__xludf.DUMMYFUNCTION("""COMPUTED_VALUE"""),"Walkin")</f>
        <v>Walkin</v>
      </c>
      <c r="W1227" s="124" t="str">
        <f>IFERROR(__xludf.DUMMYFUNCTION("""COMPUTED_VALUE"""),"Prayagraj")</f>
        <v>Prayagraj</v>
      </c>
      <c r="X1227" s="124" t="str">
        <f>IFERROR(__xludf.DUMMYFUNCTION("""COMPUTED_VALUE"""),"Walkin")</f>
        <v>Walkin</v>
      </c>
      <c r="Y1227" s="124" t="str">
        <f>IFERROR(__xludf.DUMMYFUNCTION("""COMPUTED_VALUE"""),"Prayagraj")</f>
        <v>Prayagraj</v>
      </c>
      <c r="Z1227" s="124">
        <f>IFERROR(__xludf.DUMMYFUNCTION("""COMPUTED_VALUE"""),1.0)</f>
        <v>1</v>
      </c>
      <c r="AA1227" s="124" t="str">
        <f>IFERROR(__xludf.DUMMYFUNCTION("""COMPUTED_VALUE"""),"Cold")</f>
        <v>Cold</v>
      </c>
      <c r="AB1227" s="124" t="str">
        <f>IFERROR(__xludf.DUMMYFUNCTION("""COMPUTED_VALUE"""),"State PCS")</f>
        <v>State PCS</v>
      </c>
    </row>
    <row r="1228">
      <c r="A1228" s="126">
        <f>IFERROR(__xludf.DUMMYFUNCTION("""COMPUTED_VALUE"""),46061.0)</f>
        <v>46061</v>
      </c>
      <c r="B1228" s="124" t="str">
        <f>IFERROR(__xludf.DUMMYFUNCTION("""COMPUTED_VALUE"""),"Walkin")</f>
        <v>Walkin</v>
      </c>
      <c r="C1228" s="124" t="str">
        <f>IFERROR(__xludf.DUMMYFUNCTION("""COMPUTED_VALUE"""),"Patna")</f>
        <v>Patna</v>
      </c>
      <c r="D1228" s="124" t="str">
        <f>IFERROR(__xludf.DUMMYFUNCTION("""COMPUTED_VALUE"""),"Primary_Walkin")</f>
        <v>Primary_Walkin</v>
      </c>
      <c r="E1228" s="124">
        <f>IFERROR(__xludf.DUMMYFUNCTION("""COMPUTED_VALUE"""),1.0)</f>
        <v>1</v>
      </c>
      <c r="F1228" s="124" t="str">
        <f>IFERROR(__xludf.DUMMYFUNCTION("""COMPUTED_VALUE"""),"Not Interested")</f>
        <v>Not Interested</v>
      </c>
      <c r="G1228" s="124" t="str">
        <f>IFERROR(__xludf.DUMMYFUNCTION("""COMPUTED_VALUE"""),"State PCS")</f>
        <v>State PCS</v>
      </c>
      <c r="K1228" s="124"/>
      <c r="L1228" s="124"/>
      <c r="M1228" s="124"/>
      <c r="N1228" s="124"/>
      <c r="O1228" s="124"/>
      <c r="T1228" s="129">
        <f>IFERROR(__xludf.DUMMYFUNCTION("""COMPUTED_VALUE"""),46106.0)</f>
        <v>46106</v>
      </c>
      <c r="U1228" s="124" t="str">
        <f>IFERROR(__xludf.DUMMYFUNCTION("""COMPUTED_VALUE"""),"Walk-Ins")</f>
        <v>Walk-Ins</v>
      </c>
      <c r="V1228" s="124" t="str">
        <f>IFERROR(__xludf.DUMMYFUNCTION("""COMPUTED_VALUE"""),"Walkin")</f>
        <v>Walkin</v>
      </c>
      <c r="W1228" s="124" t="str">
        <f>IFERROR(__xludf.DUMMYFUNCTION("""COMPUTED_VALUE"""),"Lucknow")</f>
        <v>Lucknow</v>
      </c>
      <c r="X1228" s="124" t="str">
        <f>IFERROR(__xludf.DUMMYFUNCTION("""COMPUTED_VALUE"""),"Walkin")</f>
        <v>Walkin</v>
      </c>
      <c r="Y1228" s="124" t="str">
        <f>IFERROR(__xludf.DUMMYFUNCTION("""COMPUTED_VALUE"""),"Lucknow")</f>
        <v>Lucknow</v>
      </c>
      <c r="Z1228" s="124">
        <f>IFERROR(__xludf.DUMMYFUNCTION("""COMPUTED_VALUE"""),2.0)</f>
        <v>2</v>
      </c>
      <c r="AA1228" s="124" t="str">
        <f>IFERROR(__xludf.DUMMYFUNCTION("""COMPUTED_VALUE"""),"Enrolled")</f>
        <v>Enrolled</v>
      </c>
      <c r="AB1228" s="124" t="str">
        <f>IFERROR(__xludf.DUMMYFUNCTION("""COMPUTED_VALUE"""),"GS Foundation")</f>
        <v>GS Foundation</v>
      </c>
    </row>
    <row r="1229">
      <c r="A1229" s="126">
        <f>IFERROR(__xludf.DUMMYFUNCTION("""COMPUTED_VALUE"""),46111.0)</f>
        <v>46111</v>
      </c>
      <c r="B1229" s="124" t="str">
        <f>IFERROR(__xludf.DUMMYFUNCTION("""COMPUTED_VALUE"""),"Walkin")</f>
        <v>Walkin</v>
      </c>
      <c r="C1229" s="124" t="str">
        <f>IFERROR(__xludf.DUMMYFUNCTION("""COMPUTED_VALUE"""),"Patna")</f>
        <v>Patna</v>
      </c>
      <c r="D1229" s="124" t="str">
        <f>IFERROR(__xludf.DUMMYFUNCTION("""COMPUTED_VALUE"""),"Primary_Walkin")</f>
        <v>Primary_Walkin</v>
      </c>
      <c r="E1229" s="124">
        <f>IFERROR(__xludf.DUMMYFUNCTION("""COMPUTED_VALUE"""),1.0)</f>
        <v>1</v>
      </c>
      <c r="F1229" s="124" t="str">
        <f>IFERROR(__xludf.DUMMYFUNCTION("""COMPUTED_VALUE"""),"Fake Lead")</f>
        <v>Fake Lead</v>
      </c>
      <c r="G1229" s="124" t="str">
        <f>IFERROR(__xludf.DUMMYFUNCTION("""COMPUTED_VALUE"""),"Other")</f>
        <v>Other</v>
      </c>
      <c r="K1229" s="124"/>
      <c r="L1229" s="124"/>
      <c r="M1229" s="124"/>
      <c r="N1229" s="124"/>
      <c r="O1229" s="124"/>
      <c r="T1229" s="126">
        <f>IFERROR(__xludf.DUMMYFUNCTION("""COMPUTED_VALUE"""),46044.0)</f>
        <v>46044</v>
      </c>
      <c r="U1229" s="124" t="str">
        <f>IFERROR(__xludf.DUMMYFUNCTION("""COMPUTED_VALUE"""),"Walk-Ins")</f>
        <v>Walk-Ins</v>
      </c>
      <c r="V1229" s="124" t="str">
        <f>IFERROR(__xludf.DUMMYFUNCTION("""COMPUTED_VALUE"""),"Walkin")</f>
        <v>Walkin</v>
      </c>
      <c r="W1229" s="124" t="str">
        <f>IFERROR(__xludf.DUMMYFUNCTION("""COMPUTED_VALUE"""),"Patna")</f>
        <v>Patna</v>
      </c>
      <c r="X1229" s="124" t="str">
        <f>IFERROR(__xludf.DUMMYFUNCTION("""COMPUTED_VALUE"""),"Walkin")</f>
        <v>Walkin</v>
      </c>
      <c r="Y1229" s="124" t="str">
        <f>IFERROR(__xludf.DUMMYFUNCTION("""COMPUTED_VALUE"""),"Patna")</f>
        <v>Patna</v>
      </c>
      <c r="Z1229" s="124">
        <f>IFERROR(__xludf.DUMMYFUNCTION("""COMPUTED_VALUE"""),6.0)</f>
        <v>6</v>
      </c>
      <c r="AA1229" s="124" t="str">
        <f>IFERROR(__xludf.DUMMYFUNCTION("""COMPUTED_VALUE"""),"Fake Lead")</f>
        <v>Fake Lead</v>
      </c>
      <c r="AB1229" s="124" t="str">
        <f>IFERROR(__xludf.DUMMYFUNCTION("""COMPUTED_VALUE"""),"State PCS")</f>
        <v>State PCS</v>
      </c>
    </row>
    <row r="1230">
      <c r="A1230" s="126">
        <f>IFERROR(__xludf.DUMMYFUNCTION("""COMPUTED_VALUE"""),46081.0)</f>
        <v>46081</v>
      </c>
      <c r="B1230" s="124" t="str">
        <f>IFERROR(__xludf.DUMMYFUNCTION("""COMPUTED_VALUE"""),"Walkin")</f>
        <v>Walkin</v>
      </c>
      <c r="C1230" s="124" t="str">
        <f>IFERROR(__xludf.DUMMYFUNCTION("""COMPUTED_VALUE"""),"Patna")</f>
        <v>Patna</v>
      </c>
      <c r="D1230" s="124" t="str">
        <f>IFERROR(__xludf.DUMMYFUNCTION("""COMPUTED_VALUE"""),"Primary_Walkin")</f>
        <v>Primary_Walkin</v>
      </c>
      <c r="E1230" s="124">
        <f>IFERROR(__xludf.DUMMYFUNCTION("""COMPUTED_VALUE"""),1.0)</f>
        <v>1</v>
      </c>
      <c r="F1230" s="124" t="str">
        <f>IFERROR(__xludf.DUMMYFUNCTION("""COMPUTED_VALUE"""),"Enrolled")</f>
        <v>Enrolled</v>
      </c>
      <c r="G1230" s="124" t="str">
        <f>IFERROR(__xludf.DUMMYFUNCTION("""COMPUTED_VALUE"""),"Mentorship")</f>
        <v>Mentorship</v>
      </c>
      <c r="K1230" s="124"/>
      <c r="L1230" s="124"/>
      <c r="M1230" s="124"/>
      <c r="N1230" s="124"/>
      <c r="O1230" s="124"/>
      <c r="T1230" s="126">
        <f>IFERROR(__xludf.DUMMYFUNCTION("""COMPUTED_VALUE"""),46097.0)</f>
        <v>46097</v>
      </c>
      <c r="U1230" s="124" t="str">
        <f>IFERROR(__xludf.DUMMYFUNCTION("""COMPUTED_VALUE"""),"Walk-Ins")</f>
        <v>Walk-Ins</v>
      </c>
      <c r="V1230" s="124" t="str">
        <f>IFERROR(__xludf.DUMMYFUNCTION("""COMPUTED_VALUE"""),"Walkin")</f>
        <v>Walkin</v>
      </c>
      <c r="W1230" s="124" t="str">
        <f>IFERROR(__xludf.DUMMYFUNCTION("""COMPUTED_VALUE"""),"Prayagraj")</f>
        <v>Prayagraj</v>
      </c>
      <c r="X1230" s="124" t="str">
        <f>IFERROR(__xludf.DUMMYFUNCTION("""COMPUTED_VALUE"""),"Walkin")</f>
        <v>Walkin</v>
      </c>
      <c r="Y1230" s="124" t="str">
        <f>IFERROR(__xludf.DUMMYFUNCTION("""COMPUTED_VALUE"""),"Prayagraj")</f>
        <v>Prayagraj</v>
      </c>
      <c r="Z1230" s="124">
        <f>IFERROR(__xludf.DUMMYFUNCTION("""COMPUTED_VALUE"""),3.0)</f>
        <v>3</v>
      </c>
      <c r="AA1230" s="124" t="str">
        <f>IFERROR(__xludf.DUMMYFUNCTION("""COMPUTED_VALUE"""),"Not Interested")</f>
        <v>Not Interested</v>
      </c>
      <c r="AB1230" s="124" t="str">
        <f>IFERROR(__xludf.DUMMYFUNCTION("""COMPUTED_VALUE"""),"GS Foundation")</f>
        <v>GS Foundation</v>
      </c>
    </row>
    <row r="1231">
      <c r="A1231" s="129">
        <f>IFERROR(__xludf.DUMMYFUNCTION("""COMPUTED_VALUE"""),46106.0)</f>
        <v>46106</v>
      </c>
      <c r="B1231" s="124" t="str">
        <f>IFERROR(__xludf.DUMMYFUNCTION("""COMPUTED_VALUE"""),"Walkin")</f>
        <v>Walkin</v>
      </c>
      <c r="C1231" s="124" t="str">
        <f>IFERROR(__xludf.DUMMYFUNCTION("""COMPUTED_VALUE"""),"Patna")</f>
        <v>Patna</v>
      </c>
      <c r="D1231" s="124" t="str">
        <f>IFERROR(__xludf.DUMMYFUNCTION("""COMPUTED_VALUE"""),"Primary_Walkin")</f>
        <v>Primary_Walkin</v>
      </c>
      <c r="E1231" s="124">
        <f>IFERROR(__xludf.DUMMYFUNCTION("""COMPUTED_VALUE"""),3.0)</f>
        <v>3</v>
      </c>
      <c r="F1231" s="124" t="str">
        <f>IFERROR(__xludf.DUMMYFUNCTION("""COMPUTED_VALUE"""),"Fake Lead")</f>
        <v>Fake Lead</v>
      </c>
      <c r="G1231" s="124" t="str">
        <f>IFERROR(__xludf.DUMMYFUNCTION("""COMPUTED_VALUE"""),"State PCS")</f>
        <v>State PCS</v>
      </c>
      <c r="K1231" s="124"/>
      <c r="L1231" s="124"/>
      <c r="M1231" s="124"/>
      <c r="N1231" s="124"/>
      <c r="O1231" s="124"/>
      <c r="T1231" s="126">
        <f>IFERROR(__xludf.DUMMYFUNCTION("""COMPUTED_VALUE"""),46071.0)</f>
        <v>46071</v>
      </c>
      <c r="U1231" s="124" t="str">
        <f>IFERROR(__xludf.DUMMYFUNCTION("""COMPUTED_VALUE"""),"Walk-Ins")</f>
        <v>Walk-Ins</v>
      </c>
      <c r="V1231" s="124" t="str">
        <f>IFERROR(__xludf.DUMMYFUNCTION("""COMPUTED_VALUE"""),"Walkin")</f>
        <v>Walkin</v>
      </c>
      <c r="W1231" s="124" t="str">
        <f>IFERROR(__xludf.DUMMYFUNCTION("""COMPUTED_VALUE"""),"Lucknow")</f>
        <v>Lucknow</v>
      </c>
      <c r="X1231" s="124" t="str">
        <f>IFERROR(__xludf.DUMMYFUNCTION("""COMPUTED_VALUE"""),"Walkin")</f>
        <v>Walkin</v>
      </c>
      <c r="Y1231" s="124" t="str">
        <f>IFERROR(__xludf.DUMMYFUNCTION("""COMPUTED_VALUE"""),"Lucknow")</f>
        <v>Lucknow</v>
      </c>
      <c r="Z1231" s="124">
        <f>IFERROR(__xludf.DUMMYFUNCTION("""COMPUTED_VALUE"""),3.0)</f>
        <v>3</v>
      </c>
      <c r="AA1231" s="124" t="str">
        <f>IFERROR(__xludf.DUMMYFUNCTION("""COMPUTED_VALUE"""),"Cold")</f>
        <v>Cold</v>
      </c>
      <c r="AB1231" s="124" t="str">
        <f>IFERROR(__xludf.DUMMYFUNCTION("""COMPUTED_VALUE"""),"Other")</f>
        <v>Other</v>
      </c>
    </row>
    <row r="1232">
      <c r="A1232" s="129">
        <f>IFERROR(__xludf.DUMMYFUNCTION("""COMPUTED_VALUE"""),46111.0)</f>
        <v>46111</v>
      </c>
      <c r="B1232" s="124" t="str">
        <f>IFERROR(__xludf.DUMMYFUNCTION("""COMPUTED_VALUE"""),"Walkin")</f>
        <v>Walkin</v>
      </c>
      <c r="C1232" s="124" t="str">
        <f>IFERROR(__xludf.DUMMYFUNCTION("""COMPUTED_VALUE"""),"Patna")</f>
        <v>Patna</v>
      </c>
      <c r="D1232" s="124" t="str">
        <f>IFERROR(__xludf.DUMMYFUNCTION("""COMPUTED_VALUE"""),"Primary_Walkin")</f>
        <v>Primary_Walkin</v>
      </c>
      <c r="E1232" s="124">
        <f>IFERROR(__xludf.DUMMYFUNCTION("""COMPUTED_VALUE"""),1.0)</f>
        <v>1</v>
      </c>
      <c r="F1232" s="124" t="str">
        <f>IFERROR(__xludf.DUMMYFUNCTION("""COMPUTED_VALUE"""),"Not Interested")</f>
        <v>Not Interested</v>
      </c>
      <c r="G1232" s="124" t="str">
        <f>IFERROR(__xludf.DUMMYFUNCTION("""COMPUTED_VALUE"""),"GS Foundation")</f>
        <v>GS Foundation</v>
      </c>
      <c r="K1232" s="124"/>
      <c r="L1232" s="124"/>
      <c r="M1232" s="124"/>
      <c r="N1232" s="124"/>
      <c r="O1232" s="124"/>
      <c r="T1232" s="126">
        <f>IFERROR(__xludf.DUMMYFUNCTION("""COMPUTED_VALUE"""),46105.0)</f>
        <v>46105</v>
      </c>
      <c r="U1232" s="124" t="str">
        <f>IFERROR(__xludf.DUMMYFUNCTION("""COMPUTED_VALUE"""),"Walk-Ins")</f>
        <v>Walk-Ins</v>
      </c>
      <c r="V1232" s="124" t="str">
        <f>IFERROR(__xludf.DUMMYFUNCTION("""COMPUTED_VALUE"""),"Walkin")</f>
        <v>Walkin</v>
      </c>
      <c r="W1232" s="124" t="str">
        <f>IFERROR(__xludf.DUMMYFUNCTION("""COMPUTED_VALUE"""),"Patna")</f>
        <v>Patna</v>
      </c>
      <c r="X1232" s="124" t="str">
        <f>IFERROR(__xludf.DUMMYFUNCTION("""COMPUTED_VALUE"""),"Walkin")</f>
        <v>Walkin</v>
      </c>
      <c r="Y1232" s="124" t="str">
        <f>IFERROR(__xludf.DUMMYFUNCTION("""COMPUTED_VALUE"""),"Patna")</f>
        <v>Patna</v>
      </c>
      <c r="Z1232" s="124">
        <f>IFERROR(__xludf.DUMMYFUNCTION("""COMPUTED_VALUE"""),4.0)</f>
        <v>4</v>
      </c>
      <c r="AA1232" s="124" t="str">
        <f>IFERROR(__xludf.DUMMYFUNCTION("""COMPUTED_VALUE"""),"Not Interested")</f>
        <v>Not Interested</v>
      </c>
      <c r="AB1232" s="124" t="str">
        <f>IFERROR(__xludf.DUMMYFUNCTION("""COMPUTED_VALUE"""),"State PCS")</f>
        <v>State PCS</v>
      </c>
    </row>
    <row r="1233">
      <c r="A1233" s="126">
        <f>IFERROR(__xludf.DUMMYFUNCTION("""COMPUTED_VALUE"""),46108.0)</f>
        <v>46108</v>
      </c>
      <c r="B1233" s="124" t="str">
        <f>IFERROR(__xludf.DUMMYFUNCTION("""COMPUTED_VALUE"""),"Walkin")</f>
        <v>Walkin</v>
      </c>
      <c r="C1233" s="124" t="str">
        <f>IFERROR(__xludf.DUMMYFUNCTION("""COMPUTED_VALUE"""),"Patna")</f>
        <v>Patna</v>
      </c>
      <c r="D1233" s="124" t="str">
        <f>IFERROR(__xludf.DUMMYFUNCTION("""COMPUTED_VALUE"""),"Primary_Walkin")</f>
        <v>Primary_Walkin</v>
      </c>
      <c r="E1233" s="124">
        <f>IFERROR(__xludf.DUMMYFUNCTION("""COMPUTED_VALUE"""),1.0)</f>
        <v>1</v>
      </c>
      <c r="F1233" s="124" t="str">
        <f>IFERROR(__xludf.DUMMYFUNCTION("""COMPUTED_VALUE"""),"Cold")</f>
        <v>Cold</v>
      </c>
      <c r="G1233" s="124" t="str">
        <f>IFERROR(__xludf.DUMMYFUNCTION("""COMPUTED_VALUE"""),"State PCS")</f>
        <v>State PCS</v>
      </c>
      <c r="K1233" s="124"/>
      <c r="L1233" s="124"/>
      <c r="M1233" s="124"/>
      <c r="N1233" s="124"/>
      <c r="O1233" s="124"/>
      <c r="T1233" s="126">
        <f>IFERROR(__xludf.DUMMYFUNCTION("""COMPUTED_VALUE"""),46111.0)</f>
        <v>46111</v>
      </c>
      <c r="U1233" s="124" t="str">
        <f>IFERROR(__xludf.DUMMYFUNCTION("""COMPUTED_VALUE"""),"Walk-Ins")</f>
        <v>Walk-Ins</v>
      </c>
      <c r="V1233" s="124" t="str">
        <f>IFERROR(__xludf.DUMMYFUNCTION("""COMPUTED_VALUE"""),"Walkin")</f>
        <v>Walkin</v>
      </c>
      <c r="W1233" s="124" t="str">
        <f>IFERROR(__xludf.DUMMYFUNCTION("""COMPUTED_VALUE"""),"Prayagraj")</f>
        <v>Prayagraj</v>
      </c>
      <c r="X1233" s="124" t="str">
        <f>IFERROR(__xludf.DUMMYFUNCTION("""COMPUTED_VALUE"""),"Walkin")</f>
        <v>Walkin</v>
      </c>
      <c r="Y1233" s="124" t="str">
        <f>IFERROR(__xludf.DUMMYFUNCTION("""COMPUTED_VALUE"""),"Prayagraj")</f>
        <v>Prayagraj</v>
      </c>
      <c r="Z1233" s="124">
        <f>IFERROR(__xludf.DUMMYFUNCTION("""COMPUTED_VALUE"""),11.0)</f>
        <v>11</v>
      </c>
      <c r="AA1233" s="124" t="str">
        <f>IFERROR(__xludf.DUMMYFUNCTION("""COMPUTED_VALUE"""),"Warm")</f>
        <v>Warm</v>
      </c>
      <c r="AB1233" s="124" t="str">
        <f>IFERROR(__xludf.DUMMYFUNCTION("""COMPUTED_VALUE"""),"GS Foundation")</f>
        <v>GS Foundation</v>
      </c>
    </row>
    <row r="1234">
      <c r="A1234" s="126">
        <f>IFERROR(__xludf.DUMMYFUNCTION("""COMPUTED_VALUE"""),46107.0)</f>
        <v>46107</v>
      </c>
      <c r="B1234" s="124" t="str">
        <f>IFERROR(__xludf.DUMMYFUNCTION("""COMPUTED_VALUE"""),"Walkin")</f>
        <v>Walkin</v>
      </c>
      <c r="C1234" s="124" t="str">
        <f>IFERROR(__xludf.DUMMYFUNCTION("""COMPUTED_VALUE"""),"Patna")</f>
        <v>Patna</v>
      </c>
      <c r="D1234" s="124" t="str">
        <f>IFERROR(__xludf.DUMMYFUNCTION("""COMPUTED_VALUE"""),"Primary_Walkin")</f>
        <v>Primary_Walkin</v>
      </c>
      <c r="E1234" s="124">
        <f>IFERROR(__xludf.DUMMYFUNCTION("""COMPUTED_VALUE"""),1.0)</f>
        <v>1</v>
      </c>
      <c r="F1234" s="124" t="str">
        <f>IFERROR(__xludf.DUMMYFUNCTION("""COMPUTED_VALUE"""),"Cold")</f>
        <v>Cold</v>
      </c>
      <c r="G1234" s="124" t="str">
        <f>IFERROR(__xludf.DUMMYFUNCTION("""COMPUTED_VALUE"""),"Other")</f>
        <v>Other</v>
      </c>
      <c r="K1234" s="124"/>
      <c r="L1234" s="124"/>
      <c r="M1234" s="124"/>
      <c r="N1234" s="124"/>
      <c r="O1234" s="124"/>
      <c r="T1234" s="126">
        <f>IFERROR(__xludf.DUMMYFUNCTION("""COMPUTED_VALUE"""),46072.0)</f>
        <v>46072</v>
      </c>
      <c r="U1234" s="124" t="str">
        <f>IFERROR(__xludf.DUMMYFUNCTION("""COMPUTED_VALUE"""),"Walk-Ins")</f>
        <v>Walk-Ins</v>
      </c>
      <c r="V1234" s="124" t="str">
        <f>IFERROR(__xludf.DUMMYFUNCTION("""COMPUTED_VALUE"""),"Walkin")</f>
        <v>Walkin</v>
      </c>
      <c r="W1234" s="124" t="str">
        <f>IFERROR(__xludf.DUMMYFUNCTION("""COMPUTED_VALUE"""),"Patna")</f>
        <v>Patna</v>
      </c>
      <c r="X1234" s="124" t="str">
        <f>IFERROR(__xludf.DUMMYFUNCTION("""COMPUTED_VALUE"""),"Walkin")</f>
        <v>Walkin</v>
      </c>
      <c r="Y1234" s="124" t="str">
        <f>IFERROR(__xludf.DUMMYFUNCTION("""COMPUTED_VALUE"""),"Patna")</f>
        <v>Patna</v>
      </c>
      <c r="Z1234" s="124">
        <f>IFERROR(__xludf.DUMMYFUNCTION("""COMPUTED_VALUE"""),1.0)</f>
        <v>1</v>
      </c>
      <c r="AA1234" s="124" t="str">
        <f>IFERROR(__xludf.DUMMYFUNCTION("""COMPUTED_VALUE"""),"Warm")</f>
        <v>Warm</v>
      </c>
      <c r="AB1234" s="124" t="str">
        <f>IFERROR(__xludf.DUMMYFUNCTION("""COMPUTED_VALUE"""),"State PCS")</f>
        <v>State PCS</v>
      </c>
    </row>
    <row r="1235">
      <c r="A1235" s="126">
        <f>IFERROR(__xludf.DUMMYFUNCTION("""COMPUTED_VALUE"""),46094.0)</f>
        <v>46094</v>
      </c>
      <c r="B1235" s="124" t="str">
        <f>IFERROR(__xludf.DUMMYFUNCTION("""COMPUTED_VALUE"""),"Walkin")</f>
        <v>Walkin</v>
      </c>
      <c r="C1235" s="124" t="str">
        <f>IFERROR(__xludf.DUMMYFUNCTION("""COMPUTED_VALUE"""),"Patna")</f>
        <v>Patna</v>
      </c>
      <c r="D1235" s="124" t="str">
        <f>IFERROR(__xludf.DUMMYFUNCTION("""COMPUTED_VALUE"""),"Primary_Walkin")</f>
        <v>Primary_Walkin</v>
      </c>
      <c r="E1235" s="124">
        <f>IFERROR(__xludf.DUMMYFUNCTION("""COMPUTED_VALUE"""),1.0)</f>
        <v>1</v>
      </c>
      <c r="F1235" s="124" t="str">
        <f>IFERROR(__xludf.DUMMYFUNCTION("""COMPUTED_VALUE"""),"Fake Lead")</f>
        <v>Fake Lead</v>
      </c>
      <c r="G1235" s="124" t="str">
        <f>IFERROR(__xludf.DUMMYFUNCTION("""COMPUTED_VALUE"""),"Other")</f>
        <v>Other</v>
      </c>
      <c r="K1235" s="124"/>
      <c r="L1235" s="124"/>
      <c r="M1235" s="124"/>
      <c r="N1235" s="124"/>
      <c r="O1235" s="124"/>
      <c r="T1235" s="126">
        <f>IFERROR(__xludf.DUMMYFUNCTION("""COMPUTED_VALUE"""),46097.0)</f>
        <v>46097</v>
      </c>
      <c r="U1235" s="124" t="str">
        <f>IFERROR(__xludf.DUMMYFUNCTION("""COMPUTED_VALUE"""),"Walk-Ins")</f>
        <v>Walk-Ins</v>
      </c>
      <c r="V1235" s="124" t="str">
        <f>IFERROR(__xludf.DUMMYFUNCTION("""COMPUTED_VALUE"""),"Walkin")</f>
        <v>Walkin</v>
      </c>
      <c r="W1235" s="124" t="str">
        <f>IFERROR(__xludf.DUMMYFUNCTION("""COMPUTED_VALUE"""),"Prayagraj")</f>
        <v>Prayagraj</v>
      </c>
      <c r="X1235" s="124" t="str">
        <f>IFERROR(__xludf.DUMMYFUNCTION("""COMPUTED_VALUE"""),"Walkin")</f>
        <v>Walkin</v>
      </c>
      <c r="Y1235" s="124" t="str">
        <f>IFERROR(__xludf.DUMMYFUNCTION("""COMPUTED_VALUE"""),"Prayagraj")</f>
        <v>Prayagraj</v>
      </c>
      <c r="Z1235" s="124">
        <f>IFERROR(__xludf.DUMMYFUNCTION("""COMPUTED_VALUE"""),4.0)</f>
        <v>4</v>
      </c>
      <c r="AA1235" s="124" t="str">
        <f>IFERROR(__xludf.DUMMYFUNCTION("""COMPUTED_VALUE"""),"Cold")</f>
        <v>Cold</v>
      </c>
      <c r="AB1235" s="124" t="str">
        <f>IFERROR(__xludf.DUMMYFUNCTION("""COMPUTED_VALUE"""),"GS Foundation")</f>
        <v>GS Foundation</v>
      </c>
    </row>
    <row r="1236">
      <c r="A1236" s="129">
        <f>IFERROR(__xludf.DUMMYFUNCTION("""COMPUTED_VALUE"""),46065.0)</f>
        <v>46065</v>
      </c>
      <c r="B1236" s="124" t="str">
        <f>IFERROR(__xludf.DUMMYFUNCTION("""COMPUTED_VALUE"""),"Walk-In")</f>
        <v>Walk-In</v>
      </c>
      <c r="C1236" s="124" t="str">
        <f>IFERROR(__xludf.DUMMYFUNCTION("""COMPUTED_VALUE"""),"Patna")</f>
        <v>Patna</v>
      </c>
      <c r="D1236" s="124" t="str">
        <f>IFERROR(__xludf.DUMMYFUNCTION("""COMPUTED_VALUE"""),"Primary_Walkin")</f>
        <v>Primary_Walkin</v>
      </c>
      <c r="E1236" s="124">
        <f>IFERROR(__xludf.DUMMYFUNCTION("""COMPUTED_VALUE"""),1.0)</f>
        <v>1</v>
      </c>
      <c r="F1236" s="124" t="str">
        <f>IFERROR(__xludf.DUMMYFUNCTION("""COMPUTED_VALUE"""),"Fake Lead")</f>
        <v>Fake Lead</v>
      </c>
      <c r="G1236" s="124" t="str">
        <f>IFERROR(__xludf.DUMMYFUNCTION("""COMPUTED_VALUE"""),"Other")</f>
        <v>Other</v>
      </c>
      <c r="K1236" s="124"/>
      <c r="L1236" s="124"/>
      <c r="M1236" s="124"/>
      <c r="N1236" s="124"/>
      <c r="O1236" s="124"/>
      <c r="T1236" s="126">
        <f>IFERROR(__xludf.DUMMYFUNCTION("""COMPUTED_VALUE"""),46096.0)</f>
        <v>46096</v>
      </c>
      <c r="U1236" s="124" t="str">
        <f>IFERROR(__xludf.DUMMYFUNCTION("""COMPUTED_VALUE"""),"Walk-Ins")</f>
        <v>Walk-Ins</v>
      </c>
      <c r="V1236" s="124" t="str">
        <f>IFERROR(__xludf.DUMMYFUNCTION("""COMPUTED_VALUE"""),"Walkin")</f>
        <v>Walkin</v>
      </c>
      <c r="W1236" s="124" t="str">
        <f>IFERROR(__xludf.DUMMYFUNCTION("""COMPUTED_VALUE"""),"Prayagraj")</f>
        <v>Prayagraj</v>
      </c>
      <c r="X1236" s="124" t="str">
        <f>IFERROR(__xludf.DUMMYFUNCTION("""COMPUTED_VALUE"""),"Walkin")</f>
        <v>Walkin</v>
      </c>
      <c r="Y1236" s="124" t="str">
        <f>IFERROR(__xludf.DUMMYFUNCTION("""COMPUTED_VALUE"""),"Prayagraj")</f>
        <v>Prayagraj</v>
      </c>
      <c r="Z1236" s="124">
        <f>IFERROR(__xludf.DUMMYFUNCTION("""COMPUTED_VALUE"""),1.0)</f>
        <v>1</v>
      </c>
      <c r="AA1236" s="124" t="str">
        <f>IFERROR(__xludf.DUMMYFUNCTION("""COMPUTED_VALUE"""),"Future Prospects")</f>
        <v>Future Prospects</v>
      </c>
      <c r="AB1236" s="124" t="str">
        <f>IFERROR(__xludf.DUMMYFUNCTION("""COMPUTED_VALUE"""),"GS Foundation")</f>
        <v>GS Foundation</v>
      </c>
    </row>
    <row r="1237">
      <c r="A1237" s="126">
        <f>IFERROR(__xludf.DUMMYFUNCTION("""COMPUTED_VALUE"""),46043.0)</f>
        <v>46043</v>
      </c>
      <c r="B1237" s="124" t="str">
        <f>IFERROR(__xludf.DUMMYFUNCTION("""COMPUTED_VALUE"""),"Walkin")</f>
        <v>Walkin</v>
      </c>
      <c r="C1237" s="124" t="str">
        <f>IFERROR(__xludf.DUMMYFUNCTION("""COMPUTED_VALUE"""),"Patna")</f>
        <v>Patna</v>
      </c>
      <c r="D1237" s="124" t="str">
        <f>IFERROR(__xludf.DUMMYFUNCTION("""COMPUTED_VALUE"""),"Primary_Walkin")</f>
        <v>Primary_Walkin</v>
      </c>
      <c r="E1237" s="124">
        <f>IFERROR(__xludf.DUMMYFUNCTION("""COMPUTED_VALUE"""),1.0)</f>
        <v>1</v>
      </c>
      <c r="F1237" s="124" t="str">
        <f>IFERROR(__xludf.DUMMYFUNCTION("""COMPUTED_VALUE"""),"Fake Lead")</f>
        <v>Fake Lead</v>
      </c>
      <c r="G1237" s="124" t="str">
        <f>IFERROR(__xludf.DUMMYFUNCTION("""COMPUTED_VALUE"""),"State PCS")</f>
        <v>State PCS</v>
      </c>
      <c r="K1237" s="124"/>
      <c r="L1237" s="124"/>
      <c r="M1237" s="124"/>
      <c r="N1237" s="124"/>
      <c r="O1237" s="124"/>
      <c r="T1237" s="126">
        <f>IFERROR(__xludf.DUMMYFUNCTION("""COMPUTED_VALUE"""),46107.0)</f>
        <v>46107</v>
      </c>
      <c r="U1237" s="124" t="str">
        <f>IFERROR(__xludf.DUMMYFUNCTION("""COMPUTED_VALUE"""),"Walk-Ins")</f>
        <v>Walk-Ins</v>
      </c>
      <c r="V1237" s="124" t="str">
        <f>IFERROR(__xludf.DUMMYFUNCTION("""COMPUTED_VALUE"""),"Walkin")</f>
        <v>Walkin</v>
      </c>
      <c r="W1237" s="124" t="str">
        <f>IFERROR(__xludf.DUMMYFUNCTION("""COMPUTED_VALUE"""),"Patna")</f>
        <v>Patna</v>
      </c>
      <c r="X1237" s="124" t="str">
        <f>IFERROR(__xludf.DUMMYFUNCTION("""COMPUTED_VALUE"""),"Walkin")</f>
        <v>Walkin</v>
      </c>
      <c r="Y1237" s="124" t="str">
        <f>IFERROR(__xludf.DUMMYFUNCTION("""COMPUTED_VALUE"""),"Patna")</f>
        <v>Patna</v>
      </c>
      <c r="Z1237" s="124">
        <f>IFERROR(__xludf.DUMMYFUNCTION("""COMPUTED_VALUE"""),2.0)</f>
        <v>2</v>
      </c>
      <c r="AA1237" s="124" t="str">
        <f>IFERROR(__xludf.DUMMYFUNCTION("""COMPUTED_VALUE"""),"Warm")</f>
        <v>Warm</v>
      </c>
      <c r="AB1237" s="124" t="str">
        <f>IFERROR(__xludf.DUMMYFUNCTION("""COMPUTED_VALUE"""),"State PCS")</f>
        <v>State PCS</v>
      </c>
    </row>
    <row r="1238">
      <c r="A1238" s="129">
        <f>IFERROR(__xludf.DUMMYFUNCTION("""COMPUTED_VALUE"""),46079.0)</f>
        <v>46079</v>
      </c>
      <c r="B1238" s="124" t="str">
        <f>IFERROR(__xludf.DUMMYFUNCTION("""COMPUTED_VALUE"""),"Walkin")</f>
        <v>Walkin</v>
      </c>
      <c r="C1238" s="124" t="str">
        <f>IFERROR(__xludf.DUMMYFUNCTION("""COMPUTED_VALUE"""),"Patna")</f>
        <v>Patna</v>
      </c>
      <c r="D1238" s="124" t="str">
        <f>IFERROR(__xludf.DUMMYFUNCTION("""COMPUTED_VALUE"""),"Primary_Walkin")</f>
        <v>Primary_Walkin</v>
      </c>
      <c r="E1238" s="124">
        <f>IFERROR(__xludf.DUMMYFUNCTION("""COMPUTED_VALUE"""),3.0)</f>
        <v>3</v>
      </c>
      <c r="F1238" s="124" t="str">
        <f>IFERROR(__xludf.DUMMYFUNCTION("""COMPUTED_VALUE"""),"Cold")</f>
        <v>Cold</v>
      </c>
      <c r="G1238" s="124" t="str">
        <f>IFERROR(__xludf.DUMMYFUNCTION("""COMPUTED_VALUE"""),"GS Foundation")</f>
        <v>GS Foundation</v>
      </c>
      <c r="K1238" s="124"/>
      <c r="L1238" s="124"/>
      <c r="M1238" s="124"/>
      <c r="N1238" s="124"/>
      <c r="O1238" s="124"/>
      <c r="T1238" s="126">
        <f>IFERROR(__xludf.DUMMYFUNCTION("""COMPUTED_VALUE"""),46107.0)</f>
        <v>46107</v>
      </c>
      <c r="U1238" s="124" t="str">
        <f>IFERROR(__xludf.DUMMYFUNCTION("""COMPUTED_VALUE"""),"Walk-Ins")</f>
        <v>Walk-Ins</v>
      </c>
      <c r="V1238" s="124" t="str">
        <f>IFERROR(__xludf.DUMMYFUNCTION("""COMPUTED_VALUE"""),"Walkin")</f>
        <v>Walkin</v>
      </c>
      <c r="W1238" s="124" t="str">
        <f>IFERROR(__xludf.DUMMYFUNCTION("""COMPUTED_VALUE"""),"Patna")</f>
        <v>Patna</v>
      </c>
      <c r="X1238" s="124" t="str">
        <f>IFERROR(__xludf.DUMMYFUNCTION("""COMPUTED_VALUE"""),"Walkin")</f>
        <v>Walkin</v>
      </c>
      <c r="Y1238" s="124" t="str">
        <f>IFERROR(__xludf.DUMMYFUNCTION("""COMPUTED_VALUE"""),"Patna")</f>
        <v>Patna</v>
      </c>
      <c r="Z1238" s="124">
        <f>IFERROR(__xludf.DUMMYFUNCTION("""COMPUTED_VALUE"""),1.0)</f>
        <v>1</v>
      </c>
      <c r="AA1238" s="124" t="str">
        <f>IFERROR(__xludf.DUMMYFUNCTION("""COMPUTED_VALUE"""),"Not Interested")</f>
        <v>Not Interested</v>
      </c>
      <c r="AB1238" s="124" t="str">
        <f>IFERROR(__xludf.DUMMYFUNCTION("""COMPUTED_VALUE"""),"State PCS")</f>
        <v>State PCS</v>
      </c>
    </row>
    <row r="1239">
      <c r="A1239" s="126">
        <f>IFERROR(__xludf.DUMMYFUNCTION("""COMPUTED_VALUE"""),46105.0)</f>
        <v>46105</v>
      </c>
      <c r="B1239" s="124" t="str">
        <f>IFERROR(__xludf.DUMMYFUNCTION("""COMPUTED_VALUE"""),"Walkin")</f>
        <v>Walkin</v>
      </c>
      <c r="C1239" s="124" t="str">
        <f>IFERROR(__xludf.DUMMYFUNCTION("""COMPUTED_VALUE"""),"Patna")</f>
        <v>Patna</v>
      </c>
      <c r="D1239" s="124" t="str">
        <f>IFERROR(__xludf.DUMMYFUNCTION("""COMPUTED_VALUE"""),"Primary_Walkin")</f>
        <v>Primary_Walkin</v>
      </c>
      <c r="E1239" s="124">
        <f>IFERROR(__xludf.DUMMYFUNCTION("""COMPUTED_VALUE"""),1.0)</f>
        <v>1</v>
      </c>
      <c r="F1239" s="124" t="str">
        <f>IFERROR(__xludf.DUMMYFUNCTION("""COMPUTED_VALUE"""),"Cold")</f>
        <v>Cold</v>
      </c>
      <c r="G1239" s="124" t="str">
        <f>IFERROR(__xludf.DUMMYFUNCTION("""COMPUTED_VALUE"""),"Prelims Crash Course - SIP")</f>
        <v>Prelims Crash Course - SIP</v>
      </c>
      <c r="K1239" s="124"/>
      <c r="L1239" s="124"/>
      <c r="M1239" s="124"/>
      <c r="N1239" s="124"/>
      <c r="O1239" s="124"/>
      <c r="T1239" s="126">
        <f>IFERROR(__xludf.DUMMYFUNCTION("""COMPUTED_VALUE"""),46044.0)</f>
        <v>46044</v>
      </c>
      <c r="U1239" s="124" t="str">
        <f>IFERROR(__xludf.DUMMYFUNCTION("""COMPUTED_VALUE"""),"Walk-Ins")</f>
        <v>Walk-Ins</v>
      </c>
      <c r="V1239" s="124" t="str">
        <f>IFERROR(__xludf.DUMMYFUNCTION("""COMPUTED_VALUE"""),"Walkin")</f>
        <v>Walkin</v>
      </c>
      <c r="W1239" s="124" t="str">
        <f>IFERROR(__xludf.DUMMYFUNCTION("""COMPUTED_VALUE"""),"Prayagraj")</f>
        <v>Prayagraj</v>
      </c>
      <c r="X1239" s="124" t="str">
        <f>IFERROR(__xludf.DUMMYFUNCTION("""COMPUTED_VALUE"""),"Walkin")</f>
        <v>Walkin</v>
      </c>
      <c r="Y1239" s="124" t="str">
        <f>IFERROR(__xludf.DUMMYFUNCTION("""COMPUTED_VALUE"""),"Prayagraj")</f>
        <v>Prayagraj</v>
      </c>
      <c r="Z1239" s="124">
        <f>IFERROR(__xludf.DUMMYFUNCTION("""COMPUTED_VALUE"""),3.0)</f>
        <v>3</v>
      </c>
      <c r="AA1239" s="124" t="str">
        <f>IFERROR(__xludf.DUMMYFUNCTION("""COMPUTED_VALUE"""),"Cold")</f>
        <v>Cold</v>
      </c>
      <c r="AB1239" s="124" t="str">
        <f>IFERROR(__xludf.DUMMYFUNCTION("""COMPUTED_VALUE"""),"GS Foundation")</f>
        <v>GS Foundation</v>
      </c>
    </row>
    <row r="1240">
      <c r="A1240" s="126">
        <f>IFERROR(__xludf.DUMMYFUNCTION("""COMPUTED_VALUE"""),46049.0)</f>
        <v>46049</v>
      </c>
      <c r="B1240" s="124" t="str">
        <f>IFERROR(__xludf.DUMMYFUNCTION("""COMPUTED_VALUE"""),"Walkin")</f>
        <v>Walkin</v>
      </c>
      <c r="C1240" s="124" t="str">
        <f>IFERROR(__xludf.DUMMYFUNCTION("""COMPUTED_VALUE"""),"Patna")</f>
        <v>Patna</v>
      </c>
      <c r="D1240" s="124" t="str">
        <f>IFERROR(__xludf.DUMMYFUNCTION("""COMPUTED_VALUE"""),"Primary_Walkin")</f>
        <v>Primary_Walkin</v>
      </c>
      <c r="E1240" s="124">
        <f>IFERROR(__xludf.DUMMYFUNCTION("""COMPUTED_VALUE"""),1.0)</f>
        <v>1</v>
      </c>
      <c r="F1240" s="124" t="str">
        <f>IFERROR(__xludf.DUMMYFUNCTION("""COMPUTED_VALUE"""),"Fake Lead")</f>
        <v>Fake Lead</v>
      </c>
      <c r="G1240" s="124" t="str">
        <f>IFERROR(__xludf.DUMMYFUNCTION("""COMPUTED_VALUE"""),"GS Foundation")</f>
        <v>GS Foundation</v>
      </c>
      <c r="K1240" s="124"/>
      <c r="L1240" s="124"/>
      <c r="M1240" s="124"/>
      <c r="N1240" s="124"/>
      <c r="O1240" s="124"/>
      <c r="T1240" s="126">
        <f>IFERROR(__xludf.DUMMYFUNCTION("""COMPUTED_VALUE"""),46076.0)</f>
        <v>46076</v>
      </c>
      <c r="U1240" s="124" t="str">
        <f>IFERROR(__xludf.DUMMYFUNCTION("""COMPUTED_VALUE"""),"Walk-Ins")</f>
        <v>Walk-Ins</v>
      </c>
      <c r="V1240" s="124" t="str">
        <f>IFERROR(__xludf.DUMMYFUNCTION("""COMPUTED_VALUE"""),"Walkin")</f>
        <v>Walkin</v>
      </c>
      <c r="W1240" s="124" t="str">
        <f>IFERROR(__xludf.DUMMYFUNCTION("""COMPUTED_VALUE"""),"Prayagraj")</f>
        <v>Prayagraj</v>
      </c>
      <c r="X1240" s="124" t="str">
        <f>IFERROR(__xludf.DUMMYFUNCTION("""COMPUTED_VALUE"""),"Walkin")</f>
        <v>Walkin</v>
      </c>
      <c r="Y1240" s="124" t="str">
        <f>IFERROR(__xludf.DUMMYFUNCTION("""COMPUTED_VALUE"""),"Prayagraj")</f>
        <v>Prayagraj</v>
      </c>
      <c r="Z1240" s="124">
        <f>IFERROR(__xludf.DUMMYFUNCTION("""COMPUTED_VALUE"""),1.0)</f>
        <v>1</v>
      </c>
      <c r="AA1240" s="124" t="str">
        <f>IFERROR(__xludf.DUMMYFUNCTION("""COMPUTED_VALUE"""),"Warm")</f>
        <v>Warm</v>
      </c>
      <c r="AB1240" s="124" t="str">
        <f>IFERROR(__xludf.DUMMYFUNCTION("""COMPUTED_VALUE"""),"GS Foundation")</f>
        <v>GS Foundation</v>
      </c>
    </row>
    <row r="1241">
      <c r="A1241" s="126">
        <f>IFERROR(__xludf.DUMMYFUNCTION("""COMPUTED_VALUE"""),46064.0)</f>
        <v>46064</v>
      </c>
      <c r="B1241" s="124" t="str">
        <f>IFERROR(__xludf.DUMMYFUNCTION("""COMPUTED_VALUE"""),"Walkin")</f>
        <v>Walkin</v>
      </c>
      <c r="C1241" s="124" t="str">
        <f>IFERROR(__xludf.DUMMYFUNCTION("""COMPUTED_VALUE"""),"Patna")</f>
        <v>Patna</v>
      </c>
      <c r="D1241" s="124" t="str">
        <f>IFERROR(__xludf.DUMMYFUNCTION("""COMPUTED_VALUE"""),"Primary_Walkin")</f>
        <v>Primary_Walkin</v>
      </c>
      <c r="E1241" s="124">
        <f>IFERROR(__xludf.DUMMYFUNCTION("""COMPUTED_VALUE"""),1.0)</f>
        <v>1</v>
      </c>
      <c r="F1241" s="124" t="str">
        <f>IFERROR(__xludf.DUMMYFUNCTION("""COMPUTED_VALUE"""),"Enrolled")</f>
        <v>Enrolled</v>
      </c>
      <c r="G1241" s="124" t="str">
        <f>IFERROR(__xludf.DUMMYFUNCTION("""COMPUTED_VALUE"""),"GS Foundation")</f>
        <v>GS Foundation</v>
      </c>
      <c r="K1241" s="124"/>
      <c r="L1241" s="124"/>
      <c r="M1241" s="124"/>
      <c r="N1241" s="124"/>
      <c r="O1241" s="124"/>
      <c r="T1241" s="126">
        <f>IFERROR(__xludf.DUMMYFUNCTION("""COMPUTED_VALUE"""),46067.0)</f>
        <v>46067</v>
      </c>
      <c r="U1241" s="124" t="str">
        <f>IFERROR(__xludf.DUMMYFUNCTION("""COMPUTED_VALUE"""),"Walk-Ins")</f>
        <v>Walk-Ins</v>
      </c>
      <c r="V1241" s="124" t="str">
        <f>IFERROR(__xludf.DUMMYFUNCTION("""COMPUTED_VALUE"""),"Walkin")</f>
        <v>Walkin</v>
      </c>
      <c r="W1241" s="124" t="str">
        <f>IFERROR(__xludf.DUMMYFUNCTION("""COMPUTED_VALUE"""),"Patna")</f>
        <v>Patna</v>
      </c>
      <c r="X1241" s="124" t="str">
        <f>IFERROR(__xludf.DUMMYFUNCTION("""COMPUTED_VALUE"""),"Walkin")</f>
        <v>Walkin</v>
      </c>
      <c r="Y1241" s="124" t="str">
        <f>IFERROR(__xludf.DUMMYFUNCTION("""COMPUTED_VALUE"""),"Patna")</f>
        <v>Patna</v>
      </c>
      <c r="Z1241" s="124">
        <f>IFERROR(__xludf.DUMMYFUNCTION("""COMPUTED_VALUE"""),3.0)</f>
        <v>3</v>
      </c>
      <c r="AA1241" s="124" t="str">
        <f>IFERROR(__xludf.DUMMYFUNCTION("""COMPUTED_VALUE"""),"Cold")</f>
        <v>Cold</v>
      </c>
      <c r="AB1241" s="124" t="str">
        <f>IFERROR(__xludf.DUMMYFUNCTION("""COMPUTED_VALUE"""),"State PCS")</f>
        <v>State PCS</v>
      </c>
    </row>
    <row r="1242">
      <c r="A1242" s="129">
        <f>IFERROR(__xludf.DUMMYFUNCTION("""COMPUTED_VALUE"""),46109.0)</f>
        <v>46109</v>
      </c>
      <c r="B1242" s="124" t="str">
        <f>IFERROR(__xludf.DUMMYFUNCTION("""COMPUTED_VALUE"""),"Walkin")</f>
        <v>Walkin</v>
      </c>
      <c r="C1242" s="124" t="str">
        <f>IFERROR(__xludf.DUMMYFUNCTION("""COMPUTED_VALUE"""),"Patna")</f>
        <v>Patna</v>
      </c>
      <c r="D1242" s="124" t="str">
        <f>IFERROR(__xludf.DUMMYFUNCTION("""COMPUTED_VALUE"""),"Primary_Walkin")</f>
        <v>Primary_Walkin</v>
      </c>
      <c r="E1242" s="124">
        <f>IFERROR(__xludf.DUMMYFUNCTION("""COMPUTED_VALUE"""),1.0)</f>
        <v>1</v>
      </c>
      <c r="F1242" s="124" t="str">
        <f>IFERROR(__xludf.DUMMYFUNCTION("""COMPUTED_VALUE"""),"Future Prospects")</f>
        <v>Future Prospects</v>
      </c>
      <c r="G1242" s="124" t="str">
        <f>IFERROR(__xludf.DUMMYFUNCTION("""COMPUTED_VALUE"""),"GS Advanced")</f>
        <v>GS Advanced</v>
      </c>
      <c r="K1242" s="124"/>
      <c r="L1242" s="124"/>
      <c r="M1242" s="124"/>
      <c r="N1242" s="124"/>
      <c r="O1242" s="124"/>
      <c r="T1242" s="126">
        <f>IFERROR(__xludf.DUMMYFUNCTION("""COMPUTED_VALUE"""),46057.0)</f>
        <v>46057</v>
      </c>
      <c r="U1242" s="124" t="str">
        <f>IFERROR(__xludf.DUMMYFUNCTION("""COMPUTED_VALUE"""),"Walk-Ins")</f>
        <v>Walk-Ins</v>
      </c>
      <c r="V1242" s="124" t="str">
        <f>IFERROR(__xludf.DUMMYFUNCTION("""COMPUTED_VALUE"""),"Walkin")</f>
        <v>Walkin</v>
      </c>
      <c r="W1242" s="124" t="str">
        <f>IFERROR(__xludf.DUMMYFUNCTION("""COMPUTED_VALUE"""),"Patna")</f>
        <v>Patna</v>
      </c>
      <c r="X1242" s="124" t="str">
        <f>IFERROR(__xludf.DUMMYFUNCTION("""COMPUTED_VALUE"""),"Walkin")</f>
        <v>Walkin</v>
      </c>
      <c r="Y1242" s="124" t="str">
        <f>IFERROR(__xludf.DUMMYFUNCTION("""COMPUTED_VALUE"""),"Patna")</f>
        <v>Patna</v>
      </c>
      <c r="Z1242" s="124">
        <f>IFERROR(__xludf.DUMMYFUNCTION("""COMPUTED_VALUE"""),2.0)</f>
        <v>2</v>
      </c>
      <c r="AA1242" s="124" t="str">
        <f>IFERROR(__xludf.DUMMYFUNCTION("""COMPUTED_VALUE"""),"Cold")</f>
        <v>Cold</v>
      </c>
      <c r="AB1242" s="124" t="str">
        <f>IFERROR(__xludf.DUMMYFUNCTION("""COMPUTED_VALUE"""),"GS Foundation")</f>
        <v>GS Foundation</v>
      </c>
    </row>
    <row r="1243">
      <c r="A1243" s="126">
        <f>IFERROR(__xludf.DUMMYFUNCTION("""COMPUTED_VALUE"""),46053.0)</f>
        <v>46053</v>
      </c>
      <c r="B1243" s="124" t="str">
        <f>IFERROR(__xludf.DUMMYFUNCTION("""COMPUTED_VALUE"""),"Walkin")</f>
        <v>Walkin</v>
      </c>
      <c r="C1243" s="124" t="str">
        <f>IFERROR(__xludf.DUMMYFUNCTION("""COMPUTED_VALUE"""),"Patna")</f>
        <v>Patna</v>
      </c>
      <c r="D1243" s="124" t="str">
        <f>IFERROR(__xludf.DUMMYFUNCTION("""COMPUTED_VALUE"""),"Primary_Walkin")</f>
        <v>Primary_Walkin</v>
      </c>
      <c r="E1243" s="124">
        <f>IFERROR(__xludf.DUMMYFUNCTION("""COMPUTED_VALUE"""),1.0)</f>
        <v>1</v>
      </c>
      <c r="F1243" s="124" t="str">
        <f>IFERROR(__xludf.DUMMYFUNCTION("""COMPUTED_VALUE"""),"Cold")</f>
        <v>Cold</v>
      </c>
      <c r="G1243" s="124" t="str">
        <f>IFERROR(__xludf.DUMMYFUNCTION("""COMPUTED_VALUE"""),"State PCS")</f>
        <v>State PCS</v>
      </c>
      <c r="K1243" s="124"/>
      <c r="L1243" s="124"/>
      <c r="M1243" s="124"/>
      <c r="N1243" s="124"/>
      <c r="O1243" s="124"/>
      <c r="T1243" s="126">
        <f>IFERROR(__xludf.DUMMYFUNCTION("""COMPUTED_VALUE"""),46112.0)</f>
        <v>46112</v>
      </c>
      <c r="U1243" s="124" t="str">
        <f>IFERROR(__xludf.DUMMYFUNCTION("""COMPUTED_VALUE"""),"Walk-Ins")</f>
        <v>Walk-Ins</v>
      </c>
      <c r="V1243" s="124" t="str">
        <f>IFERROR(__xludf.DUMMYFUNCTION("""COMPUTED_VALUE"""),"Walkin")</f>
        <v>Walkin</v>
      </c>
      <c r="W1243" s="124" t="str">
        <f>IFERROR(__xludf.DUMMYFUNCTION("""COMPUTED_VALUE"""),"Prayagraj")</f>
        <v>Prayagraj</v>
      </c>
      <c r="X1243" s="124" t="str">
        <f>IFERROR(__xludf.DUMMYFUNCTION("""COMPUTED_VALUE"""),"Walkin")</f>
        <v>Walkin</v>
      </c>
      <c r="Y1243" s="124" t="str">
        <f>IFERROR(__xludf.DUMMYFUNCTION("""COMPUTED_VALUE"""),"Prayagraj")</f>
        <v>Prayagraj</v>
      </c>
      <c r="Z1243" s="124">
        <f>IFERROR(__xludf.DUMMYFUNCTION("""COMPUTED_VALUE"""),1.0)</f>
        <v>1</v>
      </c>
      <c r="AA1243" s="124"/>
      <c r="AB1243" s="124" t="str">
        <f>IFERROR(__xludf.DUMMYFUNCTION("""COMPUTED_VALUE"""),"Mentorship")</f>
        <v>Mentorship</v>
      </c>
    </row>
    <row r="1244">
      <c r="A1244" s="126">
        <f>IFERROR(__xludf.DUMMYFUNCTION("""COMPUTED_VALUE"""),46105.0)</f>
        <v>46105</v>
      </c>
      <c r="B1244" s="124" t="str">
        <f>IFERROR(__xludf.DUMMYFUNCTION("""COMPUTED_VALUE"""),"Walkin")</f>
        <v>Walkin</v>
      </c>
      <c r="C1244" s="124" t="str">
        <f>IFERROR(__xludf.DUMMYFUNCTION("""COMPUTED_VALUE"""),"Patna")</f>
        <v>Patna</v>
      </c>
      <c r="D1244" s="124" t="str">
        <f>IFERROR(__xludf.DUMMYFUNCTION("""COMPUTED_VALUE"""),"Primary_Walkin")</f>
        <v>Primary_Walkin</v>
      </c>
      <c r="E1244" s="124">
        <f>IFERROR(__xludf.DUMMYFUNCTION("""COMPUTED_VALUE"""),2.0)</f>
        <v>2</v>
      </c>
      <c r="F1244" s="124" t="str">
        <f>IFERROR(__xludf.DUMMYFUNCTION("""COMPUTED_VALUE"""),"Cold")</f>
        <v>Cold</v>
      </c>
      <c r="G1244" s="124" t="str">
        <f>IFERROR(__xludf.DUMMYFUNCTION("""COMPUTED_VALUE"""),"State PCS")</f>
        <v>State PCS</v>
      </c>
      <c r="K1244" s="124"/>
      <c r="L1244" s="124"/>
      <c r="M1244" s="124"/>
      <c r="N1244" s="124"/>
      <c r="O1244" s="124"/>
      <c r="T1244" s="126">
        <f>IFERROR(__xludf.DUMMYFUNCTION("""COMPUTED_VALUE"""),46098.0)</f>
        <v>46098</v>
      </c>
      <c r="U1244" s="124" t="str">
        <f>IFERROR(__xludf.DUMMYFUNCTION("""COMPUTED_VALUE"""),"Walk-Ins")</f>
        <v>Walk-Ins</v>
      </c>
      <c r="V1244" s="124" t="str">
        <f>IFERROR(__xludf.DUMMYFUNCTION("""COMPUTED_VALUE"""),"Walkin")</f>
        <v>Walkin</v>
      </c>
      <c r="W1244" s="124" t="str">
        <f>IFERROR(__xludf.DUMMYFUNCTION("""COMPUTED_VALUE"""),"Lucknow")</f>
        <v>Lucknow</v>
      </c>
      <c r="X1244" s="124" t="str">
        <f>IFERROR(__xludf.DUMMYFUNCTION("""COMPUTED_VALUE"""),"Walkin")</f>
        <v>Walkin</v>
      </c>
      <c r="Y1244" s="124" t="str">
        <f>IFERROR(__xludf.DUMMYFUNCTION("""COMPUTED_VALUE"""),"Lucknow")</f>
        <v>Lucknow</v>
      </c>
      <c r="Z1244" s="124">
        <f>IFERROR(__xludf.DUMMYFUNCTION("""COMPUTED_VALUE"""),2.0)</f>
        <v>2</v>
      </c>
      <c r="AA1244" s="124" t="str">
        <f>IFERROR(__xludf.DUMMYFUNCTION("""COMPUTED_VALUE"""),"Warm")</f>
        <v>Warm</v>
      </c>
      <c r="AB1244" s="124" t="str">
        <f>IFERROR(__xludf.DUMMYFUNCTION("""COMPUTED_VALUE"""),"GS Foundation")</f>
        <v>GS Foundation</v>
      </c>
    </row>
    <row r="1245">
      <c r="A1245" s="129">
        <f>IFERROR(__xludf.DUMMYFUNCTION("""COMPUTED_VALUE"""),46055.0)</f>
        <v>46055</v>
      </c>
      <c r="B1245" s="124" t="str">
        <f>IFERROR(__xludf.DUMMYFUNCTION("""COMPUTED_VALUE"""),"Walkin")</f>
        <v>Walkin</v>
      </c>
      <c r="C1245" s="124" t="str">
        <f>IFERROR(__xludf.DUMMYFUNCTION("""COMPUTED_VALUE"""),"Patna")</f>
        <v>Patna</v>
      </c>
      <c r="D1245" s="124" t="str">
        <f>IFERROR(__xludf.DUMMYFUNCTION("""COMPUTED_VALUE"""),"Primary_Walkin")</f>
        <v>Primary_Walkin</v>
      </c>
      <c r="E1245" s="124">
        <f>IFERROR(__xludf.DUMMYFUNCTION("""COMPUTED_VALUE"""),2.0)</f>
        <v>2</v>
      </c>
      <c r="F1245" s="124" t="str">
        <f>IFERROR(__xludf.DUMMYFUNCTION("""COMPUTED_VALUE"""),"Cold")</f>
        <v>Cold</v>
      </c>
      <c r="G1245" s="124" t="str">
        <f>IFERROR(__xludf.DUMMYFUNCTION("""COMPUTED_VALUE"""),"GS Foundation")</f>
        <v>GS Foundation</v>
      </c>
      <c r="K1245" s="124"/>
      <c r="L1245" s="124"/>
      <c r="M1245" s="124"/>
      <c r="N1245" s="124"/>
      <c r="O1245" s="124"/>
      <c r="T1245" s="129">
        <f>IFERROR(__xludf.DUMMYFUNCTION("""COMPUTED_VALUE"""),46099.0)</f>
        <v>46099</v>
      </c>
      <c r="U1245" s="124" t="str">
        <f>IFERROR(__xludf.DUMMYFUNCTION("""COMPUTED_VALUE"""),"Walk-Ins")</f>
        <v>Walk-Ins</v>
      </c>
      <c r="V1245" s="124" t="str">
        <f>IFERROR(__xludf.DUMMYFUNCTION("""COMPUTED_VALUE"""),"Walkin")</f>
        <v>Walkin</v>
      </c>
      <c r="W1245" s="124" t="str">
        <f>IFERROR(__xludf.DUMMYFUNCTION("""COMPUTED_VALUE"""),"Patna")</f>
        <v>Patna</v>
      </c>
      <c r="X1245" s="124" t="str">
        <f>IFERROR(__xludf.DUMMYFUNCTION("""COMPUTED_VALUE"""),"Walkin")</f>
        <v>Walkin</v>
      </c>
      <c r="Y1245" s="124" t="str">
        <f>IFERROR(__xludf.DUMMYFUNCTION("""COMPUTED_VALUE"""),"Patna")</f>
        <v>Patna</v>
      </c>
      <c r="Z1245" s="124">
        <f>IFERROR(__xludf.DUMMYFUNCTION("""COMPUTED_VALUE"""),1.0)</f>
        <v>1</v>
      </c>
      <c r="AA1245" s="124" t="str">
        <f>IFERROR(__xludf.DUMMYFUNCTION("""COMPUTED_VALUE"""),"Warm")</f>
        <v>Warm</v>
      </c>
      <c r="AB1245" s="124" t="str">
        <f>IFERROR(__xludf.DUMMYFUNCTION("""COMPUTED_VALUE"""),"GS Foundation")</f>
        <v>GS Foundation</v>
      </c>
    </row>
    <row r="1246">
      <c r="A1246" s="126">
        <f>IFERROR(__xludf.DUMMYFUNCTION("""COMPUTED_VALUE"""),46068.0)</f>
        <v>46068</v>
      </c>
      <c r="B1246" s="124" t="str">
        <f>IFERROR(__xludf.DUMMYFUNCTION("""COMPUTED_VALUE"""),"Walkin")</f>
        <v>Walkin</v>
      </c>
      <c r="C1246" s="124" t="str">
        <f>IFERROR(__xludf.DUMMYFUNCTION("""COMPUTED_VALUE"""),"Patna")</f>
        <v>Patna</v>
      </c>
      <c r="D1246" s="124" t="str">
        <f>IFERROR(__xludf.DUMMYFUNCTION("""COMPUTED_VALUE"""),"Primary_Walkin")</f>
        <v>Primary_Walkin</v>
      </c>
      <c r="E1246" s="124">
        <f>IFERROR(__xludf.DUMMYFUNCTION("""COMPUTED_VALUE"""),2.0)</f>
        <v>2</v>
      </c>
      <c r="F1246" s="124" t="str">
        <f>IFERROR(__xludf.DUMMYFUNCTION("""COMPUTED_VALUE"""),"Enrolled")</f>
        <v>Enrolled</v>
      </c>
      <c r="G1246" s="124" t="str">
        <f>IFERROR(__xludf.DUMMYFUNCTION("""COMPUTED_VALUE"""),"State PCS")</f>
        <v>State PCS</v>
      </c>
      <c r="K1246" s="124"/>
      <c r="L1246" s="124"/>
      <c r="M1246" s="124"/>
      <c r="N1246" s="124"/>
      <c r="O1246" s="124"/>
      <c r="T1246" s="126">
        <f>IFERROR(__xludf.DUMMYFUNCTION("""COMPUTED_VALUE"""),46065.0)</f>
        <v>46065</v>
      </c>
      <c r="U1246" s="124" t="str">
        <f>IFERROR(__xludf.DUMMYFUNCTION("""COMPUTED_VALUE"""),"Walk-Ins")</f>
        <v>Walk-Ins</v>
      </c>
      <c r="V1246" s="124" t="str">
        <f>IFERROR(__xludf.DUMMYFUNCTION("""COMPUTED_VALUE"""),"Walkin")</f>
        <v>Walkin</v>
      </c>
      <c r="W1246" s="124" t="str">
        <f>IFERROR(__xludf.DUMMYFUNCTION("""COMPUTED_VALUE"""),"Patna")</f>
        <v>Patna</v>
      </c>
      <c r="X1246" s="124" t="str">
        <f>IFERROR(__xludf.DUMMYFUNCTION("""COMPUTED_VALUE"""),"Walkin")</f>
        <v>Walkin</v>
      </c>
      <c r="Y1246" s="124" t="str">
        <f>IFERROR(__xludf.DUMMYFUNCTION("""COMPUTED_VALUE"""),"Patna")</f>
        <v>Patna</v>
      </c>
      <c r="Z1246" s="124">
        <f>IFERROR(__xludf.DUMMYFUNCTION("""COMPUTED_VALUE"""),1.0)</f>
        <v>1</v>
      </c>
      <c r="AA1246" s="124" t="str">
        <f>IFERROR(__xludf.DUMMYFUNCTION("""COMPUTED_VALUE"""),"Cold")</f>
        <v>Cold</v>
      </c>
      <c r="AB1246" s="124" t="str">
        <f>IFERROR(__xludf.DUMMYFUNCTION("""COMPUTED_VALUE"""),"GS Foundation")</f>
        <v>GS Foundation</v>
      </c>
    </row>
    <row r="1247">
      <c r="A1247" s="126">
        <f>IFERROR(__xludf.DUMMYFUNCTION("""COMPUTED_VALUE"""),46101.0)</f>
        <v>46101</v>
      </c>
      <c r="B1247" s="124" t="str">
        <f>IFERROR(__xludf.DUMMYFUNCTION("""COMPUTED_VALUE"""),"Walkin")</f>
        <v>Walkin</v>
      </c>
      <c r="C1247" s="124" t="str">
        <f>IFERROR(__xludf.DUMMYFUNCTION("""COMPUTED_VALUE"""),"Patna")</f>
        <v>Patna</v>
      </c>
      <c r="D1247" s="124" t="str">
        <f>IFERROR(__xludf.DUMMYFUNCTION("""COMPUTED_VALUE"""),"Primary_Walkin")</f>
        <v>Primary_Walkin</v>
      </c>
      <c r="E1247" s="124">
        <f>IFERROR(__xludf.DUMMYFUNCTION("""COMPUTED_VALUE"""),1.0)</f>
        <v>1</v>
      </c>
      <c r="F1247" s="124" t="str">
        <f>IFERROR(__xludf.DUMMYFUNCTION("""COMPUTED_VALUE"""),"Fake Lead")</f>
        <v>Fake Lead</v>
      </c>
      <c r="G1247" s="124" t="str">
        <f>IFERROR(__xludf.DUMMYFUNCTION("""COMPUTED_VALUE"""),"Other")</f>
        <v>Other</v>
      </c>
      <c r="K1247" s="124"/>
      <c r="L1247" s="124"/>
      <c r="M1247" s="124"/>
      <c r="N1247" s="124"/>
      <c r="O1247" s="124"/>
      <c r="T1247" s="126">
        <f>IFERROR(__xludf.DUMMYFUNCTION("""COMPUTED_VALUE"""),46098.0)</f>
        <v>46098</v>
      </c>
      <c r="U1247" s="124" t="str">
        <f>IFERROR(__xludf.DUMMYFUNCTION("""COMPUTED_VALUE"""),"Walk-Ins")</f>
        <v>Walk-Ins</v>
      </c>
      <c r="V1247" s="124" t="str">
        <f>IFERROR(__xludf.DUMMYFUNCTION("""COMPUTED_VALUE"""),"Walkin")</f>
        <v>Walkin</v>
      </c>
      <c r="W1247" s="124" t="str">
        <f>IFERROR(__xludf.DUMMYFUNCTION("""COMPUTED_VALUE"""),"Prayagraj")</f>
        <v>Prayagraj</v>
      </c>
      <c r="X1247" s="124" t="str">
        <f>IFERROR(__xludf.DUMMYFUNCTION("""COMPUTED_VALUE"""),"Walkin")</f>
        <v>Walkin</v>
      </c>
      <c r="Y1247" s="124" t="str">
        <f>IFERROR(__xludf.DUMMYFUNCTION("""COMPUTED_VALUE"""),"Prayagraj")</f>
        <v>Prayagraj</v>
      </c>
      <c r="Z1247" s="124">
        <f>IFERROR(__xludf.DUMMYFUNCTION("""COMPUTED_VALUE"""),1.0)</f>
        <v>1</v>
      </c>
      <c r="AA1247" s="124" t="str">
        <f>IFERROR(__xludf.DUMMYFUNCTION("""COMPUTED_VALUE"""),"Warm")</f>
        <v>Warm</v>
      </c>
      <c r="AB1247" s="124" t="str">
        <f>IFERROR(__xludf.DUMMYFUNCTION("""COMPUTED_VALUE"""),"State PCS")</f>
        <v>State PCS</v>
      </c>
    </row>
    <row r="1248">
      <c r="A1248" s="129">
        <f>IFERROR(__xludf.DUMMYFUNCTION("""COMPUTED_VALUE"""),46057.0)</f>
        <v>46057</v>
      </c>
      <c r="B1248" s="124" t="str">
        <f>IFERROR(__xludf.DUMMYFUNCTION("""COMPUTED_VALUE"""),"Walk-In")</f>
        <v>Walk-In</v>
      </c>
      <c r="C1248" s="124" t="str">
        <f>IFERROR(__xludf.DUMMYFUNCTION("""COMPUTED_VALUE"""),"Patna")</f>
        <v>Patna</v>
      </c>
      <c r="D1248" s="124" t="str">
        <f>IFERROR(__xludf.DUMMYFUNCTION("""COMPUTED_VALUE"""),"Primary_Walkin")</f>
        <v>Primary_Walkin</v>
      </c>
      <c r="E1248" s="124">
        <f>IFERROR(__xludf.DUMMYFUNCTION("""COMPUTED_VALUE"""),1.0)</f>
        <v>1</v>
      </c>
      <c r="F1248" s="124" t="str">
        <f>IFERROR(__xludf.DUMMYFUNCTION("""COMPUTED_VALUE"""),"Future Prospects")</f>
        <v>Future Prospects</v>
      </c>
      <c r="G1248" s="124" t="str">
        <f>IFERROR(__xludf.DUMMYFUNCTION("""COMPUTED_VALUE"""),"GS Foundation")</f>
        <v>GS Foundation</v>
      </c>
      <c r="K1248" s="124"/>
      <c r="L1248" s="124"/>
      <c r="M1248" s="124"/>
      <c r="N1248" s="124"/>
      <c r="O1248" s="124"/>
      <c r="T1248" s="126">
        <f>IFERROR(__xludf.DUMMYFUNCTION("""COMPUTED_VALUE"""),46088.0)</f>
        <v>46088</v>
      </c>
      <c r="U1248" s="124" t="str">
        <f>IFERROR(__xludf.DUMMYFUNCTION("""COMPUTED_VALUE"""),"Walk-Ins")</f>
        <v>Walk-Ins</v>
      </c>
      <c r="V1248" s="124" t="str">
        <f>IFERROR(__xludf.DUMMYFUNCTION("""COMPUTED_VALUE"""),"Walkin")</f>
        <v>Walkin</v>
      </c>
      <c r="W1248" s="124" t="str">
        <f>IFERROR(__xludf.DUMMYFUNCTION("""COMPUTED_VALUE"""),"Patna")</f>
        <v>Patna</v>
      </c>
      <c r="X1248" s="124" t="str">
        <f>IFERROR(__xludf.DUMMYFUNCTION("""COMPUTED_VALUE"""),"Walkin")</f>
        <v>Walkin</v>
      </c>
      <c r="Y1248" s="124" t="str">
        <f>IFERROR(__xludf.DUMMYFUNCTION("""COMPUTED_VALUE"""),"Patna")</f>
        <v>Patna</v>
      </c>
      <c r="Z1248" s="124">
        <f>IFERROR(__xludf.DUMMYFUNCTION("""COMPUTED_VALUE"""),1.0)</f>
        <v>1</v>
      </c>
      <c r="AA1248" s="124" t="str">
        <f>IFERROR(__xludf.DUMMYFUNCTION("""COMPUTED_VALUE"""),"Warm")</f>
        <v>Warm</v>
      </c>
      <c r="AB1248" s="124" t="str">
        <f>IFERROR(__xludf.DUMMYFUNCTION("""COMPUTED_VALUE"""),"State PCS")</f>
        <v>State PCS</v>
      </c>
    </row>
    <row r="1249">
      <c r="A1249" s="129">
        <f>IFERROR(__xludf.DUMMYFUNCTION("""COMPUTED_VALUE"""),46066.0)</f>
        <v>46066</v>
      </c>
      <c r="B1249" s="124" t="str">
        <f>IFERROR(__xludf.DUMMYFUNCTION("""COMPUTED_VALUE"""),"Walkin")</f>
        <v>Walkin</v>
      </c>
      <c r="C1249" s="124" t="str">
        <f>IFERROR(__xludf.DUMMYFUNCTION("""COMPUTED_VALUE"""),"Patna")</f>
        <v>Patna</v>
      </c>
      <c r="D1249" s="124" t="str">
        <f>IFERROR(__xludf.DUMMYFUNCTION("""COMPUTED_VALUE"""),"Primary_Walkin")</f>
        <v>Primary_Walkin</v>
      </c>
      <c r="E1249" s="124">
        <f>IFERROR(__xludf.DUMMYFUNCTION("""COMPUTED_VALUE"""),1.0)</f>
        <v>1</v>
      </c>
      <c r="F1249" s="124" t="str">
        <f>IFERROR(__xludf.DUMMYFUNCTION("""COMPUTED_VALUE"""),"Fake Lead")</f>
        <v>Fake Lead</v>
      </c>
      <c r="G1249" s="124" t="str">
        <f>IFERROR(__xludf.DUMMYFUNCTION("""COMPUTED_VALUE"""),"Test Series")</f>
        <v>Test Series</v>
      </c>
      <c r="K1249" s="124"/>
      <c r="L1249" s="124"/>
      <c r="M1249" s="124"/>
      <c r="N1249" s="124"/>
      <c r="O1249" s="124"/>
      <c r="T1249" s="126">
        <f>IFERROR(__xludf.DUMMYFUNCTION("""COMPUTED_VALUE"""),46101.0)</f>
        <v>46101</v>
      </c>
      <c r="U1249" s="124" t="str">
        <f>IFERROR(__xludf.DUMMYFUNCTION("""COMPUTED_VALUE"""),"Walk-Ins")</f>
        <v>Walk-Ins</v>
      </c>
      <c r="V1249" s="124" t="str">
        <f>IFERROR(__xludf.DUMMYFUNCTION("""COMPUTED_VALUE"""),"Walkin")</f>
        <v>Walkin</v>
      </c>
      <c r="W1249" s="124" t="str">
        <f>IFERROR(__xludf.DUMMYFUNCTION("""COMPUTED_VALUE"""),"Prayagraj")</f>
        <v>Prayagraj</v>
      </c>
      <c r="X1249" s="124" t="str">
        <f>IFERROR(__xludf.DUMMYFUNCTION("""COMPUTED_VALUE"""),"Walkin")</f>
        <v>Walkin</v>
      </c>
      <c r="Y1249" s="124" t="str">
        <f>IFERROR(__xludf.DUMMYFUNCTION("""COMPUTED_VALUE"""),"Prayagraj")</f>
        <v>Prayagraj</v>
      </c>
      <c r="Z1249" s="124">
        <f>IFERROR(__xludf.DUMMYFUNCTION("""COMPUTED_VALUE"""),5.0)</f>
        <v>5</v>
      </c>
      <c r="AA1249" s="124" t="str">
        <f>IFERROR(__xludf.DUMMYFUNCTION("""COMPUTED_VALUE"""),"Cold")</f>
        <v>Cold</v>
      </c>
      <c r="AB1249" s="124" t="str">
        <f>IFERROR(__xludf.DUMMYFUNCTION("""COMPUTED_VALUE"""),"Mentorship")</f>
        <v>Mentorship</v>
      </c>
    </row>
    <row r="1250">
      <c r="A1250" s="126">
        <f>IFERROR(__xludf.DUMMYFUNCTION("""COMPUTED_VALUE"""),46087.0)</f>
        <v>46087</v>
      </c>
      <c r="B1250" s="124" t="str">
        <f>IFERROR(__xludf.DUMMYFUNCTION("""COMPUTED_VALUE"""),"Walkin")</f>
        <v>Walkin</v>
      </c>
      <c r="C1250" s="124" t="str">
        <f>IFERROR(__xludf.DUMMYFUNCTION("""COMPUTED_VALUE"""),"Patna")</f>
        <v>Patna</v>
      </c>
      <c r="D1250" s="124" t="str">
        <f>IFERROR(__xludf.DUMMYFUNCTION("""COMPUTED_VALUE"""),"Primary_Walkin")</f>
        <v>Primary_Walkin</v>
      </c>
      <c r="E1250" s="124">
        <f>IFERROR(__xludf.DUMMYFUNCTION("""COMPUTED_VALUE"""),1.0)</f>
        <v>1</v>
      </c>
      <c r="F1250" s="124" t="str">
        <f>IFERROR(__xludf.DUMMYFUNCTION("""COMPUTED_VALUE"""),"Warm")</f>
        <v>Warm</v>
      </c>
      <c r="G1250" s="124" t="str">
        <f>IFERROR(__xludf.DUMMYFUNCTION("""COMPUTED_VALUE"""),"GS Foundation")</f>
        <v>GS Foundation</v>
      </c>
      <c r="K1250" s="124"/>
      <c r="L1250" s="124"/>
      <c r="M1250" s="124"/>
      <c r="N1250" s="124"/>
      <c r="O1250" s="124"/>
      <c r="T1250" s="126">
        <f>IFERROR(__xludf.DUMMYFUNCTION("""COMPUTED_VALUE"""),46095.0)</f>
        <v>46095</v>
      </c>
      <c r="U1250" s="124" t="str">
        <f>IFERROR(__xludf.DUMMYFUNCTION("""COMPUTED_VALUE"""),"Walk-Ins")</f>
        <v>Walk-Ins</v>
      </c>
      <c r="V1250" s="124" t="str">
        <f>IFERROR(__xludf.DUMMYFUNCTION("""COMPUTED_VALUE"""),"Walkin")</f>
        <v>Walkin</v>
      </c>
      <c r="W1250" s="124" t="str">
        <f>IFERROR(__xludf.DUMMYFUNCTION("""COMPUTED_VALUE"""),"Indore")</f>
        <v>Indore</v>
      </c>
      <c r="X1250" s="124" t="str">
        <f>IFERROR(__xludf.DUMMYFUNCTION("""COMPUTED_VALUE"""),"Walkin")</f>
        <v>Walkin</v>
      </c>
      <c r="Y1250" s="124" t="str">
        <f>IFERROR(__xludf.DUMMYFUNCTION("""COMPUTED_VALUE"""),"Indore")</f>
        <v>Indore</v>
      </c>
      <c r="Z1250" s="124">
        <f>IFERROR(__xludf.DUMMYFUNCTION("""COMPUTED_VALUE"""),2.0)</f>
        <v>2</v>
      </c>
      <c r="AA1250" s="124" t="str">
        <f>IFERROR(__xludf.DUMMYFUNCTION("""COMPUTED_VALUE"""),"Future Prospects")</f>
        <v>Future Prospects</v>
      </c>
      <c r="AB1250" s="124" t="str">
        <f>IFERROR(__xludf.DUMMYFUNCTION("""COMPUTED_VALUE"""),"State PCS")</f>
        <v>State PCS</v>
      </c>
    </row>
    <row r="1251">
      <c r="A1251" s="126">
        <f>IFERROR(__xludf.DUMMYFUNCTION("""COMPUTED_VALUE"""),46045.0)</f>
        <v>46045</v>
      </c>
      <c r="B1251" s="124" t="str">
        <f>IFERROR(__xludf.DUMMYFUNCTION("""COMPUTED_VALUE"""),"Walkin")</f>
        <v>Walkin</v>
      </c>
      <c r="C1251" s="124" t="str">
        <f>IFERROR(__xludf.DUMMYFUNCTION("""COMPUTED_VALUE"""),"Patna")</f>
        <v>Patna</v>
      </c>
      <c r="D1251" s="124" t="str">
        <f>IFERROR(__xludf.DUMMYFUNCTION("""COMPUTED_VALUE"""),"Primary_Walkin")</f>
        <v>Primary_Walkin</v>
      </c>
      <c r="E1251" s="124">
        <f>IFERROR(__xludf.DUMMYFUNCTION("""COMPUTED_VALUE"""),1.0)</f>
        <v>1</v>
      </c>
      <c r="F1251" s="124" t="str">
        <f>IFERROR(__xludf.DUMMYFUNCTION("""COMPUTED_VALUE"""),"Warm")</f>
        <v>Warm</v>
      </c>
      <c r="G1251" s="124" t="str">
        <f>IFERROR(__xludf.DUMMYFUNCTION("""COMPUTED_VALUE"""),"State PCS")</f>
        <v>State PCS</v>
      </c>
      <c r="K1251" s="124"/>
      <c r="L1251" s="124"/>
      <c r="M1251" s="124"/>
      <c r="N1251" s="124"/>
      <c r="O1251" s="124"/>
      <c r="T1251" s="126">
        <f>IFERROR(__xludf.DUMMYFUNCTION("""COMPUTED_VALUE"""),46051.0)</f>
        <v>46051</v>
      </c>
      <c r="U1251" s="124" t="str">
        <f>IFERROR(__xludf.DUMMYFUNCTION("""COMPUTED_VALUE"""),"Walk-Ins")</f>
        <v>Walk-Ins</v>
      </c>
      <c r="V1251" s="124" t="str">
        <f>IFERROR(__xludf.DUMMYFUNCTION("""COMPUTED_VALUE"""),"Walkin")</f>
        <v>Walkin</v>
      </c>
      <c r="W1251" s="124" t="str">
        <f>IFERROR(__xludf.DUMMYFUNCTION("""COMPUTED_VALUE"""),"Indore")</f>
        <v>Indore</v>
      </c>
      <c r="X1251" s="124" t="str">
        <f>IFERROR(__xludf.DUMMYFUNCTION("""COMPUTED_VALUE"""),"Walkin")</f>
        <v>Walkin</v>
      </c>
      <c r="Y1251" s="124" t="str">
        <f>IFERROR(__xludf.DUMMYFUNCTION("""COMPUTED_VALUE"""),"Indore")</f>
        <v>Indore</v>
      </c>
      <c r="Z1251" s="124">
        <f>IFERROR(__xludf.DUMMYFUNCTION("""COMPUTED_VALUE"""),1.0)</f>
        <v>1</v>
      </c>
      <c r="AA1251" s="124" t="str">
        <f>IFERROR(__xludf.DUMMYFUNCTION("""COMPUTED_VALUE"""),"Cold")</f>
        <v>Cold</v>
      </c>
      <c r="AB1251" s="124" t="str">
        <f>IFERROR(__xludf.DUMMYFUNCTION("""COMPUTED_VALUE"""),"GS Foundation")</f>
        <v>GS Foundation</v>
      </c>
    </row>
    <row r="1252">
      <c r="A1252" s="126">
        <f>IFERROR(__xludf.DUMMYFUNCTION("""COMPUTED_VALUE"""),46079.0)</f>
        <v>46079</v>
      </c>
      <c r="B1252" s="124" t="str">
        <f>IFERROR(__xludf.DUMMYFUNCTION("""COMPUTED_VALUE"""),"Walkin")</f>
        <v>Walkin</v>
      </c>
      <c r="C1252" s="124" t="str">
        <f>IFERROR(__xludf.DUMMYFUNCTION("""COMPUTED_VALUE"""),"Patna")</f>
        <v>Patna</v>
      </c>
      <c r="D1252" s="124" t="str">
        <f>IFERROR(__xludf.DUMMYFUNCTION("""COMPUTED_VALUE"""),"Primary_Walkin")</f>
        <v>Primary_Walkin</v>
      </c>
      <c r="E1252" s="124">
        <f>IFERROR(__xludf.DUMMYFUNCTION("""COMPUTED_VALUE"""),1.0)</f>
        <v>1</v>
      </c>
      <c r="F1252" s="124" t="str">
        <f>IFERROR(__xludf.DUMMYFUNCTION("""COMPUTED_VALUE"""),"Warm")</f>
        <v>Warm</v>
      </c>
      <c r="G1252" s="124" t="str">
        <f>IFERROR(__xludf.DUMMYFUNCTION("""COMPUTED_VALUE"""),"State PCS")</f>
        <v>State PCS</v>
      </c>
      <c r="K1252" s="124"/>
      <c r="L1252" s="124"/>
      <c r="M1252" s="124"/>
      <c r="N1252" s="124"/>
      <c r="O1252" s="124"/>
      <c r="T1252" s="129">
        <f>IFERROR(__xludf.DUMMYFUNCTION("""COMPUTED_VALUE"""),46069.0)</f>
        <v>46069</v>
      </c>
      <c r="U1252" s="124" t="str">
        <f>IFERROR(__xludf.DUMMYFUNCTION("""COMPUTED_VALUE"""),"Walk-Ins")</f>
        <v>Walk-Ins</v>
      </c>
      <c r="V1252" s="124" t="str">
        <f>IFERROR(__xludf.DUMMYFUNCTION("""COMPUTED_VALUE"""),"Walkin")</f>
        <v>Walkin</v>
      </c>
      <c r="W1252" s="124" t="str">
        <f>IFERROR(__xludf.DUMMYFUNCTION("""COMPUTED_VALUE"""),"Patna")</f>
        <v>Patna</v>
      </c>
      <c r="X1252" s="124" t="str">
        <f>IFERROR(__xludf.DUMMYFUNCTION("""COMPUTED_VALUE"""),"Walkin")</f>
        <v>Walkin</v>
      </c>
      <c r="Y1252" s="124" t="str">
        <f>IFERROR(__xludf.DUMMYFUNCTION("""COMPUTED_VALUE"""),"Patna")</f>
        <v>Patna</v>
      </c>
      <c r="Z1252" s="124">
        <f>IFERROR(__xludf.DUMMYFUNCTION("""COMPUTED_VALUE"""),1.0)</f>
        <v>1</v>
      </c>
      <c r="AA1252" s="124" t="str">
        <f>IFERROR(__xludf.DUMMYFUNCTION("""COMPUTED_VALUE"""),"Warm")</f>
        <v>Warm</v>
      </c>
      <c r="AB1252" s="124" t="str">
        <f>IFERROR(__xludf.DUMMYFUNCTION("""COMPUTED_VALUE"""),"GS Foundation")</f>
        <v>GS Foundation</v>
      </c>
    </row>
    <row r="1253">
      <c r="A1253" s="129">
        <f>IFERROR(__xludf.DUMMYFUNCTION("""COMPUTED_VALUE"""),46100.0)</f>
        <v>46100</v>
      </c>
      <c r="B1253" s="124" t="str">
        <f>IFERROR(__xludf.DUMMYFUNCTION("""COMPUTED_VALUE"""),"Walkin")</f>
        <v>Walkin</v>
      </c>
      <c r="C1253" s="124" t="str">
        <f>IFERROR(__xludf.DUMMYFUNCTION("""COMPUTED_VALUE"""),"Patna")</f>
        <v>Patna</v>
      </c>
      <c r="D1253" s="124" t="str">
        <f>IFERROR(__xludf.DUMMYFUNCTION("""COMPUTED_VALUE"""),"Primary_Walkin")</f>
        <v>Primary_Walkin</v>
      </c>
      <c r="E1253" s="124">
        <f>IFERROR(__xludf.DUMMYFUNCTION("""COMPUTED_VALUE"""),2.0)</f>
        <v>2</v>
      </c>
      <c r="F1253" s="124" t="str">
        <f>IFERROR(__xludf.DUMMYFUNCTION("""COMPUTED_VALUE"""),"Warm")</f>
        <v>Warm</v>
      </c>
      <c r="G1253" s="124" t="str">
        <f>IFERROR(__xludf.DUMMYFUNCTION("""COMPUTED_VALUE"""),"Test Series")</f>
        <v>Test Series</v>
      </c>
      <c r="K1253" s="124"/>
      <c r="L1253" s="124"/>
      <c r="M1253" s="124"/>
      <c r="N1253" s="124"/>
      <c r="O1253" s="124"/>
      <c r="T1253" s="126">
        <f>IFERROR(__xludf.DUMMYFUNCTION("""COMPUTED_VALUE"""),46108.0)</f>
        <v>46108</v>
      </c>
      <c r="U1253" s="124" t="str">
        <f>IFERROR(__xludf.DUMMYFUNCTION("""COMPUTED_VALUE"""),"Walk-Ins")</f>
        <v>Walk-Ins</v>
      </c>
      <c r="V1253" s="124" t="str">
        <f>IFERROR(__xludf.DUMMYFUNCTION("""COMPUTED_VALUE"""),"Walkin")</f>
        <v>Walkin</v>
      </c>
      <c r="W1253" s="124" t="str">
        <f>IFERROR(__xludf.DUMMYFUNCTION("""COMPUTED_VALUE"""),"Lucknow")</f>
        <v>Lucknow</v>
      </c>
      <c r="X1253" s="124" t="str">
        <f>IFERROR(__xludf.DUMMYFUNCTION("""COMPUTED_VALUE"""),"Walkin")</f>
        <v>Walkin</v>
      </c>
      <c r="Y1253" s="124" t="str">
        <f>IFERROR(__xludf.DUMMYFUNCTION("""COMPUTED_VALUE"""),"Lucknow")</f>
        <v>Lucknow</v>
      </c>
      <c r="Z1253" s="124">
        <f>IFERROR(__xludf.DUMMYFUNCTION("""COMPUTED_VALUE"""),2.0)</f>
        <v>2</v>
      </c>
      <c r="AA1253" s="124" t="str">
        <f>IFERROR(__xludf.DUMMYFUNCTION("""COMPUTED_VALUE"""),"Warm")</f>
        <v>Warm</v>
      </c>
      <c r="AB1253" s="124" t="str">
        <f>IFERROR(__xludf.DUMMYFUNCTION("""COMPUTED_VALUE"""),"GS Foundation")</f>
        <v>GS Foundation</v>
      </c>
    </row>
    <row r="1254">
      <c r="A1254" s="129">
        <f>IFERROR(__xludf.DUMMYFUNCTION("""COMPUTED_VALUE"""),46070.0)</f>
        <v>46070</v>
      </c>
      <c r="B1254" s="124" t="str">
        <f>IFERROR(__xludf.DUMMYFUNCTION("""COMPUTED_VALUE"""),"Walkin")</f>
        <v>Walkin</v>
      </c>
      <c r="C1254" s="124" t="str">
        <f>IFERROR(__xludf.DUMMYFUNCTION("""COMPUTED_VALUE"""),"Patna")</f>
        <v>Patna</v>
      </c>
      <c r="D1254" s="124" t="str">
        <f>IFERROR(__xludf.DUMMYFUNCTION("""COMPUTED_VALUE"""),"Primary_Walkin")</f>
        <v>Primary_Walkin</v>
      </c>
      <c r="E1254" s="124">
        <f>IFERROR(__xludf.DUMMYFUNCTION("""COMPUTED_VALUE"""),2.0)</f>
        <v>2</v>
      </c>
      <c r="F1254" s="124" t="str">
        <f>IFERROR(__xludf.DUMMYFUNCTION("""COMPUTED_VALUE"""),"Fake Lead")</f>
        <v>Fake Lead</v>
      </c>
      <c r="G1254" s="124" t="str">
        <f>IFERROR(__xludf.DUMMYFUNCTION("""COMPUTED_VALUE"""),"GS Foundation")</f>
        <v>GS Foundation</v>
      </c>
      <c r="K1254" s="124"/>
      <c r="L1254" s="124"/>
      <c r="M1254" s="124"/>
      <c r="N1254" s="124"/>
      <c r="O1254" s="124"/>
      <c r="T1254" s="129">
        <f>IFERROR(__xludf.DUMMYFUNCTION("""COMPUTED_VALUE"""),46049.0)</f>
        <v>46049</v>
      </c>
      <c r="U1254" s="124" t="str">
        <f>IFERROR(__xludf.DUMMYFUNCTION("""COMPUTED_VALUE"""),"Walk-Ins")</f>
        <v>Walk-Ins</v>
      </c>
      <c r="V1254" s="124" t="str">
        <f>IFERROR(__xludf.DUMMYFUNCTION("""COMPUTED_VALUE"""),"Walkin")</f>
        <v>Walkin</v>
      </c>
      <c r="W1254" s="124" t="str">
        <f>IFERROR(__xludf.DUMMYFUNCTION("""COMPUTED_VALUE"""),"Prayagraj")</f>
        <v>Prayagraj</v>
      </c>
      <c r="X1254" s="124" t="str">
        <f>IFERROR(__xludf.DUMMYFUNCTION("""COMPUTED_VALUE"""),"Walkin")</f>
        <v>Walkin</v>
      </c>
      <c r="Y1254" s="124" t="str">
        <f>IFERROR(__xludf.DUMMYFUNCTION("""COMPUTED_VALUE"""),"Prayagraj")</f>
        <v>Prayagraj</v>
      </c>
      <c r="Z1254" s="124">
        <f>IFERROR(__xludf.DUMMYFUNCTION("""COMPUTED_VALUE"""),1.0)</f>
        <v>1</v>
      </c>
      <c r="AA1254" s="124" t="str">
        <f>IFERROR(__xludf.DUMMYFUNCTION("""COMPUTED_VALUE"""),"Future Prospects")</f>
        <v>Future Prospects</v>
      </c>
      <c r="AB1254" s="124" t="str">
        <f>IFERROR(__xludf.DUMMYFUNCTION("""COMPUTED_VALUE"""),"GS Foundation")</f>
        <v>GS Foundation</v>
      </c>
    </row>
    <row r="1255">
      <c r="A1255" s="126">
        <f>IFERROR(__xludf.DUMMYFUNCTION("""COMPUTED_VALUE"""),46061.0)</f>
        <v>46061</v>
      </c>
      <c r="B1255" s="124" t="str">
        <f>IFERROR(__xludf.DUMMYFUNCTION("""COMPUTED_VALUE"""),"Walkin")</f>
        <v>Walkin</v>
      </c>
      <c r="C1255" s="124" t="str">
        <f>IFERROR(__xludf.DUMMYFUNCTION("""COMPUTED_VALUE"""),"Patna")</f>
        <v>Patna</v>
      </c>
      <c r="D1255" s="124" t="str">
        <f>IFERROR(__xludf.DUMMYFUNCTION("""COMPUTED_VALUE"""),"Primary_Walkin")</f>
        <v>Primary_Walkin</v>
      </c>
      <c r="E1255" s="124">
        <f>IFERROR(__xludf.DUMMYFUNCTION("""COMPUTED_VALUE"""),1.0)</f>
        <v>1</v>
      </c>
      <c r="F1255" s="124" t="str">
        <f>IFERROR(__xludf.DUMMYFUNCTION("""COMPUTED_VALUE"""),"Not Interested")</f>
        <v>Not Interested</v>
      </c>
      <c r="G1255" s="124" t="str">
        <f>IFERROR(__xludf.DUMMYFUNCTION("""COMPUTED_VALUE"""),"GS Foundation")</f>
        <v>GS Foundation</v>
      </c>
      <c r="K1255" s="124"/>
      <c r="L1255" s="124"/>
      <c r="M1255" s="124"/>
      <c r="N1255" s="124"/>
      <c r="O1255" s="124"/>
      <c r="T1255" s="126">
        <f>IFERROR(__xludf.DUMMYFUNCTION("""COMPUTED_VALUE"""),46064.0)</f>
        <v>46064</v>
      </c>
      <c r="U1255" s="124" t="str">
        <f>IFERROR(__xludf.DUMMYFUNCTION("""COMPUTED_VALUE"""),"Walk-Ins")</f>
        <v>Walk-Ins</v>
      </c>
      <c r="V1255" s="124" t="str">
        <f>IFERROR(__xludf.DUMMYFUNCTION("""COMPUTED_VALUE"""),"Walkin")</f>
        <v>Walkin</v>
      </c>
      <c r="W1255" s="124" t="str">
        <f>IFERROR(__xludf.DUMMYFUNCTION("""COMPUTED_VALUE"""),"Prayagraj")</f>
        <v>Prayagraj</v>
      </c>
      <c r="X1255" s="124" t="str">
        <f>IFERROR(__xludf.DUMMYFUNCTION("""COMPUTED_VALUE"""),"Walkin")</f>
        <v>Walkin</v>
      </c>
      <c r="Y1255" s="124" t="str">
        <f>IFERROR(__xludf.DUMMYFUNCTION("""COMPUTED_VALUE"""),"Prayagraj")</f>
        <v>Prayagraj</v>
      </c>
      <c r="Z1255" s="124">
        <f>IFERROR(__xludf.DUMMYFUNCTION("""COMPUTED_VALUE"""),1.0)</f>
        <v>1</v>
      </c>
      <c r="AA1255" s="124" t="str">
        <f>IFERROR(__xludf.DUMMYFUNCTION("""COMPUTED_VALUE"""),"Not Interested")</f>
        <v>Not Interested</v>
      </c>
      <c r="AB1255" s="124" t="str">
        <f>IFERROR(__xludf.DUMMYFUNCTION("""COMPUTED_VALUE"""),"State PCS")</f>
        <v>State PCS</v>
      </c>
    </row>
    <row r="1256">
      <c r="A1256" s="126">
        <f>IFERROR(__xludf.DUMMYFUNCTION("""COMPUTED_VALUE"""),46057.0)</f>
        <v>46057</v>
      </c>
      <c r="B1256" s="124" t="str">
        <f>IFERROR(__xludf.DUMMYFUNCTION("""COMPUTED_VALUE"""),"Walk-In")</f>
        <v>Walk-In</v>
      </c>
      <c r="C1256" s="124" t="str">
        <f>IFERROR(__xludf.DUMMYFUNCTION("""COMPUTED_VALUE"""),"Patna")</f>
        <v>Patna</v>
      </c>
      <c r="D1256" s="124" t="str">
        <f>IFERROR(__xludf.DUMMYFUNCTION("""COMPUTED_VALUE"""),"Primary_Walkin")</f>
        <v>Primary_Walkin</v>
      </c>
      <c r="E1256" s="124">
        <f>IFERROR(__xludf.DUMMYFUNCTION("""COMPUTED_VALUE"""),2.0)</f>
        <v>2</v>
      </c>
      <c r="F1256" s="124" t="str">
        <f>IFERROR(__xludf.DUMMYFUNCTION("""COMPUTED_VALUE"""),"Cold")</f>
        <v>Cold</v>
      </c>
      <c r="G1256" s="124" t="str">
        <f>IFERROR(__xludf.DUMMYFUNCTION("""COMPUTED_VALUE"""),"State PCS")</f>
        <v>State PCS</v>
      </c>
      <c r="K1256" s="124"/>
      <c r="L1256" s="124"/>
      <c r="M1256" s="124"/>
      <c r="N1256" s="124"/>
      <c r="O1256" s="124"/>
      <c r="T1256" s="126">
        <f>IFERROR(__xludf.DUMMYFUNCTION("""COMPUTED_VALUE"""),46057.0)</f>
        <v>46057</v>
      </c>
      <c r="U1256" s="124" t="str">
        <f>IFERROR(__xludf.DUMMYFUNCTION("""COMPUTED_VALUE"""),"Walk-Ins")</f>
        <v>Walk-Ins</v>
      </c>
      <c r="V1256" s="124" t="str">
        <f>IFERROR(__xludf.DUMMYFUNCTION("""COMPUTED_VALUE"""),"Walkin")</f>
        <v>Walkin</v>
      </c>
      <c r="W1256" s="124" t="str">
        <f>IFERROR(__xludf.DUMMYFUNCTION("""COMPUTED_VALUE"""),"Prayagraj")</f>
        <v>Prayagraj</v>
      </c>
      <c r="X1256" s="124" t="str">
        <f>IFERROR(__xludf.DUMMYFUNCTION("""COMPUTED_VALUE"""),"Walkin")</f>
        <v>Walkin</v>
      </c>
      <c r="Y1256" s="124" t="str">
        <f>IFERROR(__xludf.DUMMYFUNCTION("""COMPUTED_VALUE"""),"Prayagraj")</f>
        <v>Prayagraj</v>
      </c>
      <c r="Z1256" s="124">
        <f>IFERROR(__xludf.DUMMYFUNCTION("""COMPUTED_VALUE"""),1.0)</f>
        <v>1</v>
      </c>
      <c r="AA1256" s="124" t="str">
        <f>IFERROR(__xludf.DUMMYFUNCTION("""COMPUTED_VALUE"""),"Future Prospects")</f>
        <v>Future Prospects</v>
      </c>
      <c r="AB1256" s="124" t="str">
        <f>IFERROR(__xludf.DUMMYFUNCTION("""COMPUTED_VALUE"""),"Optionals")</f>
        <v>Optionals</v>
      </c>
    </row>
    <row r="1257">
      <c r="A1257" s="126">
        <f>IFERROR(__xludf.DUMMYFUNCTION("""COMPUTED_VALUE"""),46069.0)</f>
        <v>46069</v>
      </c>
      <c r="B1257" s="124" t="str">
        <f>IFERROR(__xludf.DUMMYFUNCTION("""COMPUTED_VALUE"""),"Walk-In")</f>
        <v>Walk-In</v>
      </c>
      <c r="C1257" s="124" t="str">
        <f>IFERROR(__xludf.DUMMYFUNCTION("""COMPUTED_VALUE"""),"Patna")</f>
        <v>Patna</v>
      </c>
      <c r="D1257" s="124" t="str">
        <f>IFERROR(__xludf.DUMMYFUNCTION("""COMPUTED_VALUE"""),"Primary_Walkin")</f>
        <v>Primary_Walkin</v>
      </c>
      <c r="E1257" s="124">
        <f>IFERROR(__xludf.DUMMYFUNCTION("""COMPUTED_VALUE"""),1.0)</f>
        <v>1</v>
      </c>
      <c r="F1257" s="124" t="str">
        <f>IFERROR(__xludf.DUMMYFUNCTION("""COMPUTED_VALUE"""),"Fake Lead")</f>
        <v>Fake Lead</v>
      </c>
      <c r="G1257" s="124" t="str">
        <f>IFERROR(__xludf.DUMMYFUNCTION("""COMPUTED_VALUE"""),"GS Foundation")</f>
        <v>GS Foundation</v>
      </c>
      <c r="K1257" s="124"/>
      <c r="L1257" s="124"/>
      <c r="M1257" s="124"/>
      <c r="N1257" s="124"/>
      <c r="O1257" s="124"/>
      <c r="T1257" s="129">
        <f>IFERROR(__xludf.DUMMYFUNCTION("""COMPUTED_VALUE"""),46108.0)</f>
        <v>46108</v>
      </c>
      <c r="U1257" s="124" t="str">
        <f>IFERROR(__xludf.DUMMYFUNCTION("""COMPUTED_VALUE"""),"Walk-Ins")</f>
        <v>Walk-Ins</v>
      </c>
      <c r="V1257" s="124" t="str">
        <f>IFERROR(__xludf.DUMMYFUNCTION("""COMPUTED_VALUE"""),"Walkin")</f>
        <v>Walkin</v>
      </c>
      <c r="W1257" s="124" t="str">
        <f>IFERROR(__xludf.DUMMYFUNCTION("""COMPUTED_VALUE"""),"Patna")</f>
        <v>Patna</v>
      </c>
      <c r="X1257" s="124" t="str">
        <f>IFERROR(__xludf.DUMMYFUNCTION("""COMPUTED_VALUE"""),"Walkin")</f>
        <v>Walkin</v>
      </c>
      <c r="Y1257" s="124" t="str">
        <f>IFERROR(__xludf.DUMMYFUNCTION("""COMPUTED_VALUE"""),"Patna")</f>
        <v>Patna</v>
      </c>
      <c r="Z1257" s="124">
        <f>IFERROR(__xludf.DUMMYFUNCTION("""COMPUTED_VALUE"""),2.0)</f>
        <v>2</v>
      </c>
      <c r="AA1257" s="124" t="str">
        <f>IFERROR(__xludf.DUMMYFUNCTION("""COMPUTED_VALUE"""),"Cold")</f>
        <v>Cold</v>
      </c>
      <c r="AB1257" s="124" t="str">
        <f>IFERROR(__xludf.DUMMYFUNCTION("""COMPUTED_VALUE"""),"State PCS")</f>
        <v>State PCS</v>
      </c>
    </row>
    <row r="1258">
      <c r="A1258" s="126">
        <f>IFERROR(__xludf.DUMMYFUNCTION("""COMPUTED_VALUE"""),46103.0)</f>
        <v>46103</v>
      </c>
      <c r="B1258" s="124" t="str">
        <f>IFERROR(__xludf.DUMMYFUNCTION("""COMPUTED_VALUE"""),"Walkin")</f>
        <v>Walkin</v>
      </c>
      <c r="C1258" s="124" t="str">
        <f>IFERROR(__xludf.DUMMYFUNCTION("""COMPUTED_VALUE"""),"Patna")</f>
        <v>Patna</v>
      </c>
      <c r="D1258" s="124" t="str">
        <f>IFERROR(__xludf.DUMMYFUNCTION("""COMPUTED_VALUE"""),"Primary_Walkin")</f>
        <v>Primary_Walkin</v>
      </c>
      <c r="E1258" s="124">
        <f>IFERROR(__xludf.DUMMYFUNCTION("""COMPUTED_VALUE"""),1.0)</f>
        <v>1</v>
      </c>
      <c r="F1258" s="124" t="str">
        <f>IFERROR(__xludf.DUMMYFUNCTION("""COMPUTED_VALUE"""),"Cold")</f>
        <v>Cold</v>
      </c>
      <c r="G1258" s="124" t="str">
        <f>IFERROR(__xludf.DUMMYFUNCTION("""COMPUTED_VALUE"""),"State PCS")</f>
        <v>State PCS</v>
      </c>
      <c r="K1258" s="124"/>
      <c r="L1258" s="124"/>
      <c r="M1258" s="124"/>
      <c r="N1258" s="124"/>
      <c r="O1258" s="124"/>
      <c r="T1258" s="129">
        <f>IFERROR(__xludf.DUMMYFUNCTION("""COMPUTED_VALUE"""),46088.0)</f>
        <v>46088</v>
      </c>
      <c r="U1258" s="124" t="str">
        <f>IFERROR(__xludf.DUMMYFUNCTION("""COMPUTED_VALUE"""),"Walk-Ins")</f>
        <v>Walk-Ins</v>
      </c>
      <c r="V1258" s="124" t="str">
        <f>IFERROR(__xludf.DUMMYFUNCTION("""COMPUTED_VALUE"""),"Walkin")</f>
        <v>Walkin</v>
      </c>
      <c r="W1258" s="124" t="str">
        <f>IFERROR(__xludf.DUMMYFUNCTION("""COMPUTED_VALUE"""),"Prayagraj")</f>
        <v>Prayagraj</v>
      </c>
      <c r="X1258" s="124" t="str">
        <f>IFERROR(__xludf.DUMMYFUNCTION("""COMPUTED_VALUE"""),"Walkin")</f>
        <v>Walkin</v>
      </c>
      <c r="Y1258" s="124" t="str">
        <f>IFERROR(__xludf.DUMMYFUNCTION("""COMPUTED_VALUE"""),"Prayagraj")</f>
        <v>Prayagraj</v>
      </c>
      <c r="Z1258" s="124">
        <f>IFERROR(__xludf.DUMMYFUNCTION("""COMPUTED_VALUE"""),5.0)</f>
        <v>5</v>
      </c>
      <c r="AA1258" s="124" t="str">
        <f>IFERROR(__xludf.DUMMYFUNCTION("""COMPUTED_VALUE"""),"Cold")</f>
        <v>Cold</v>
      </c>
      <c r="AB1258" s="124" t="str">
        <f>IFERROR(__xludf.DUMMYFUNCTION("""COMPUTED_VALUE"""),"GS Foundation")</f>
        <v>GS Foundation</v>
      </c>
    </row>
    <row r="1259">
      <c r="A1259" s="126">
        <f>IFERROR(__xludf.DUMMYFUNCTION("""COMPUTED_VALUE"""),46072.0)</f>
        <v>46072</v>
      </c>
      <c r="B1259" s="124" t="str">
        <f>IFERROR(__xludf.DUMMYFUNCTION("""COMPUTED_VALUE"""),"Walkin")</f>
        <v>Walkin</v>
      </c>
      <c r="C1259" s="124" t="str">
        <f>IFERROR(__xludf.DUMMYFUNCTION("""COMPUTED_VALUE"""),"Patna")</f>
        <v>Patna</v>
      </c>
      <c r="D1259" s="124" t="str">
        <f>IFERROR(__xludf.DUMMYFUNCTION("""COMPUTED_VALUE"""),"Primary_Walkin")</f>
        <v>Primary_Walkin</v>
      </c>
      <c r="E1259" s="124">
        <f>IFERROR(__xludf.DUMMYFUNCTION("""COMPUTED_VALUE"""),1.0)</f>
        <v>1</v>
      </c>
      <c r="F1259" s="124" t="str">
        <f>IFERROR(__xludf.DUMMYFUNCTION("""COMPUTED_VALUE"""),"Fake Lead")</f>
        <v>Fake Lead</v>
      </c>
      <c r="G1259" s="124" t="str">
        <f>IFERROR(__xludf.DUMMYFUNCTION("""COMPUTED_VALUE"""),"GS Foundation")</f>
        <v>GS Foundation</v>
      </c>
      <c r="K1259" s="124"/>
      <c r="L1259" s="124"/>
      <c r="M1259" s="124"/>
      <c r="N1259" s="124"/>
      <c r="O1259" s="124"/>
      <c r="T1259" s="126">
        <f>IFERROR(__xludf.DUMMYFUNCTION("""COMPUTED_VALUE"""),46100.0)</f>
        <v>46100</v>
      </c>
      <c r="U1259" s="124" t="str">
        <f>IFERROR(__xludf.DUMMYFUNCTION("""COMPUTED_VALUE"""),"Walk-Ins")</f>
        <v>Walk-Ins</v>
      </c>
      <c r="V1259" s="124" t="str">
        <f>IFERROR(__xludf.DUMMYFUNCTION("""COMPUTED_VALUE"""),"Walkin")</f>
        <v>Walkin</v>
      </c>
      <c r="W1259" s="124" t="str">
        <f>IFERROR(__xludf.DUMMYFUNCTION("""COMPUTED_VALUE"""),"Patna")</f>
        <v>Patna</v>
      </c>
      <c r="X1259" s="124" t="str">
        <f>IFERROR(__xludf.DUMMYFUNCTION("""COMPUTED_VALUE"""),"Walkin")</f>
        <v>Walkin</v>
      </c>
      <c r="Y1259" s="124" t="str">
        <f>IFERROR(__xludf.DUMMYFUNCTION("""COMPUTED_VALUE"""),"Patna")</f>
        <v>Patna</v>
      </c>
      <c r="Z1259" s="124">
        <f>IFERROR(__xludf.DUMMYFUNCTION("""COMPUTED_VALUE"""),1.0)</f>
        <v>1</v>
      </c>
      <c r="AA1259" s="124" t="str">
        <f>IFERROR(__xludf.DUMMYFUNCTION("""COMPUTED_VALUE"""),"Future Prospects")</f>
        <v>Future Prospects</v>
      </c>
      <c r="AB1259" s="124" t="str">
        <f>IFERROR(__xludf.DUMMYFUNCTION("""COMPUTED_VALUE"""),"State PCS")</f>
        <v>State PCS</v>
      </c>
    </row>
    <row r="1260">
      <c r="A1260" s="126">
        <f>IFERROR(__xludf.DUMMYFUNCTION("""COMPUTED_VALUE"""),46058.0)</f>
        <v>46058</v>
      </c>
      <c r="B1260" s="124" t="str">
        <f>IFERROR(__xludf.DUMMYFUNCTION("""COMPUTED_VALUE"""),"Walk-In")</f>
        <v>Walk-In</v>
      </c>
      <c r="C1260" s="124" t="str">
        <f>IFERROR(__xludf.DUMMYFUNCTION("""COMPUTED_VALUE"""),"Patna")</f>
        <v>Patna</v>
      </c>
      <c r="D1260" s="124" t="str">
        <f>IFERROR(__xludf.DUMMYFUNCTION("""COMPUTED_VALUE"""),"Primary_Walkin")</f>
        <v>Primary_Walkin</v>
      </c>
      <c r="E1260" s="124">
        <f>IFERROR(__xludf.DUMMYFUNCTION("""COMPUTED_VALUE"""),1.0)</f>
        <v>1</v>
      </c>
      <c r="F1260" s="124" t="str">
        <f>IFERROR(__xludf.DUMMYFUNCTION("""COMPUTED_VALUE"""),"Fake Lead")</f>
        <v>Fake Lead</v>
      </c>
      <c r="G1260" s="124" t="str">
        <f>IFERROR(__xludf.DUMMYFUNCTION("""COMPUTED_VALUE"""),"State PCS")</f>
        <v>State PCS</v>
      </c>
      <c r="K1260" s="124"/>
      <c r="L1260" s="124"/>
      <c r="M1260" s="124"/>
      <c r="N1260" s="124"/>
      <c r="O1260" s="124"/>
      <c r="T1260" s="126">
        <f>IFERROR(__xludf.DUMMYFUNCTION("""COMPUTED_VALUE"""),46097.0)</f>
        <v>46097</v>
      </c>
      <c r="U1260" s="124" t="str">
        <f>IFERROR(__xludf.DUMMYFUNCTION("""COMPUTED_VALUE"""),"Walk-Ins")</f>
        <v>Walk-Ins</v>
      </c>
      <c r="V1260" s="124" t="str">
        <f>IFERROR(__xludf.DUMMYFUNCTION("""COMPUTED_VALUE"""),"Walkin")</f>
        <v>Walkin</v>
      </c>
      <c r="W1260" s="124" t="str">
        <f>IFERROR(__xludf.DUMMYFUNCTION("""COMPUTED_VALUE"""),"Prayagraj")</f>
        <v>Prayagraj</v>
      </c>
      <c r="X1260" s="124" t="str">
        <f>IFERROR(__xludf.DUMMYFUNCTION("""COMPUTED_VALUE"""),"Walkin")</f>
        <v>Walkin</v>
      </c>
      <c r="Y1260" s="124" t="str">
        <f>IFERROR(__xludf.DUMMYFUNCTION("""COMPUTED_VALUE"""),"Prayagraj")</f>
        <v>Prayagraj</v>
      </c>
      <c r="Z1260" s="124">
        <f>IFERROR(__xludf.DUMMYFUNCTION("""COMPUTED_VALUE"""),1.0)</f>
        <v>1</v>
      </c>
      <c r="AA1260" s="124" t="str">
        <f>IFERROR(__xludf.DUMMYFUNCTION("""COMPUTED_VALUE"""),"Warm")</f>
        <v>Warm</v>
      </c>
      <c r="AB1260" s="124" t="str">
        <f>IFERROR(__xludf.DUMMYFUNCTION("""COMPUTED_VALUE"""),"GS Foundation")</f>
        <v>GS Foundation</v>
      </c>
    </row>
    <row r="1261">
      <c r="A1261" s="126">
        <f>IFERROR(__xludf.DUMMYFUNCTION("""COMPUTED_VALUE"""),46107.0)</f>
        <v>46107</v>
      </c>
      <c r="B1261" s="124" t="str">
        <f>IFERROR(__xludf.DUMMYFUNCTION("""COMPUTED_VALUE"""),"Walkin")</f>
        <v>Walkin</v>
      </c>
      <c r="C1261" s="124" t="str">
        <f>IFERROR(__xludf.DUMMYFUNCTION("""COMPUTED_VALUE"""),"Patna")</f>
        <v>Patna</v>
      </c>
      <c r="D1261" s="124" t="str">
        <f>IFERROR(__xludf.DUMMYFUNCTION("""COMPUTED_VALUE"""),"Primary_Walkin")</f>
        <v>Primary_Walkin</v>
      </c>
      <c r="E1261" s="124">
        <f>IFERROR(__xludf.DUMMYFUNCTION("""COMPUTED_VALUE"""),1.0)</f>
        <v>1</v>
      </c>
      <c r="F1261" s="124" t="str">
        <f>IFERROR(__xludf.DUMMYFUNCTION("""COMPUTED_VALUE"""),"Future Prospects")</f>
        <v>Future Prospects</v>
      </c>
      <c r="G1261" s="124" t="str">
        <f>IFERROR(__xludf.DUMMYFUNCTION("""COMPUTED_VALUE"""),"GS Foundation")</f>
        <v>GS Foundation</v>
      </c>
      <c r="K1261" s="124"/>
      <c r="L1261" s="124"/>
      <c r="M1261" s="124"/>
      <c r="N1261" s="124"/>
      <c r="O1261" s="124"/>
      <c r="T1261" s="126">
        <f>IFERROR(__xludf.DUMMYFUNCTION("""COMPUTED_VALUE"""),46099.0)</f>
        <v>46099</v>
      </c>
      <c r="U1261" s="124" t="str">
        <f>IFERROR(__xludf.DUMMYFUNCTION("""COMPUTED_VALUE"""),"Paid Ads")</f>
        <v>Paid Ads</v>
      </c>
      <c r="V1261" s="124" t="str">
        <f>IFERROR(__xludf.DUMMYFUNCTION("""COMPUTED_VALUE"""),"Facebook")</f>
        <v>Facebook</v>
      </c>
      <c r="W1261" s="124" t="str">
        <f>IFERROR(__xludf.DUMMYFUNCTION("""COMPUTED_VALUE"""),"LeadAd")</f>
        <v>LeadAd</v>
      </c>
      <c r="X1261" s="124" t="str">
        <f>IFERROR(__xludf.DUMMYFUNCTION("""COMPUTED_VALUE"""),"meta")</f>
        <v>meta</v>
      </c>
      <c r="Y1261" s="124"/>
      <c r="Z1261" s="124">
        <f>IFERROR(__xludf.DUMMYFUNCTION("""COMPUTED_VALUE"""),2.0)</f>
        <v>2</v>
      </c>
      <c r="AA1261" s="124" t="str">
        <f>IFERROR(__xludf.DUMMYFUNCTION("""COMPUTED_VALUE"""),"Not Interested")</f>
        <v>Not Interested</v>
      </c>
      <c r="AB1261" s="124"/>
    </row>
    <row r="1262">
      <c r="A1262" s="129">
        <f>IFERROR(__xludf.DUMMYFUNCTION("""COMPUTED_VALUE"""),46105.0)</f>
        <v>46105</v>
      </c>
      <c r="B1262" s="124" t="str">
        <f>IFERROR(__xludf.DUMMYFUNCTION("""COMPUTED_VALUE"""),"Walkin")</f>
        <v>Walkin</v>
      </c>
      <c r="C1262" s="124" t="str">
        <f>IFERROR(__xludf.DUMMYFUNCTION("""COMPUTED_VALUE"""),"Patna")</f>
        <v>Patna</v>
      </c>
      <c r="D1262" s="124" t="str">
        <f>IFERROR(__xludf.DUMMYFUNCTION("""COMPUTED_VALUE"""),"Primary_Walkin")</f>
        <v>Primary_Walkin</v>
      </c>
      <c r="E1262" s="124">
        <f>IFERROR(__xludf.DUMMYFUNCTION("""COMPUTED_VALUE"""),2.0)</f>
        <v>2</v>
      </c>
      <c r="F1262" s="124" t="str">
        <f>IFERROR(__xludf.DUMMYFUNCTION("""COMPUTED_VALUE"""),"Warm")</f>
        <v>Warm</v>
      </c>
      <c r="G1262" s="124" t="str">
        <f>IFERROR(__xludf.DUMMYFUNCTION("""COMPUTED_VALUE"""),"State PCS")</f>
        <v>State PCS</v>
      </c>
      <c r="K1262" s="124"/>
      <c r="L1262" s="124"/>
      <c r="M1262" s="124"/>
      <c r="N1262" s="124"/>
      <c r="O1262" s="124"/>
      <c r="T1262" s="129">
        <f>IFERROR(__xludf.DUMMYFUNCTION("""COMPUTED_VALUE"""),46046.0)</f>
        <v>46046</v>
      </c>
      <c r="U1262" s="124" t="str">
        <f>IFERROR(__xludf.DUMMYFUNCTION("""COMPUTED_VALUE"""),"Walk-Ins")</f>
        <v>Walk-Ins</v>
      </c>
      <c r="V1262" s="124" t="str">
        <f>IFERROR(__xludf.DUMMYFUNCTION("""COMPUTED_VALUE"""),"Walkin")</f>
        <v>Walkin</v>
      </c>
      <c r="W1262" s="124" t="str">
        <f>IFERROR(__xludf.DUMMYFUNCTION("""COMPUTED_VALUE"""),"Prayagraj")</f>
        <v>Prayagraj</v>
      </c>
      <c r="X1262" s="124" t="str">
        <f>IFERROR(__xludf.DUMMYFUNCTION("""COMPUTED_VALUE"""),"Walkin")</f>
        <v>Walkin</v>
      </c>
      <c r="Y1262" s="124" t="str">
        <f>IFERROR(__xludf.DUMMYFUNCTION("""COMPUTED_VALUE"""),"Prayagraj")</f>
        <v>Prayagraj</v>
      </c>
      <c r="Z1262" s="124">
        <f>IFERROR(__xludf.DUMMYFUNCTION("""COMPUTED_VALUE"""),1.0)</f>
        <v>1</v>
      </c>
      <c r="AA1262" s="124" t="str">
        <f>IFERROR(__xludf.DUMMYFUNCTION("""COMPUTED_VALUE"""),"Future Prospects")</f>
        <v>Future Prospects</v>
      </c>
      <c r="AB1262" s="124" t="str">
        <f>IFERROR(__xludf.DUMMYFUNCTION("""COMPUTED_VALUE"""),"GS Foundation")</f>
        <v>GS Foundation</v>
      </c>
    </row>
    <row r="1263">
      <c r="A1263" s="126">
        <f>IFERROR(__xludf.DUMMYFUNCTION("""COMPUTED_VALUE"""),46064.0)</f>
        <v>46064</v>
      </c>
      <c r="B1263" s="124" t="str">
        <f>IFERROR(__xludf.DUMMYFUNCTION("""COMPUTED_VALUE"""),"Walkin")</f>
        <v>Walkin</v>
      </c>
      <c r="C1263" s="124" t="str">
        <f>IFERROR(__xludf.DUMMYFUNCTION("""COMPUTED_VALUE"""),"Patna")</f>
        <v>Patna</v>
      </c>
      <c r="D1263" s="124" t="str">
        <f>IFERROR(__xludf.DUMMYFUNCTION("""COMPUTED_VALUE"""),"Primary_Walkin")</f>
        <v>Primary_Walkin</v>
      </c>
      <c r="E1263" s="124">
        <f>IFERROR(__xludf.DUMMYFUNCTION("""COMPUTED_VALUE"""),1.0)</f>
        <v>1</v>
      </c>
      <c r="F1263" s="124" t="str">
        <f>IFERROR(__xludf.DUMMYFUNCTION("""COMPUTED_VALUE"""),"Not Interested")</f>
        <v>Not Interested</v>
      </c>
      <c r="G1263" s="124" t="str">
        <f>IFERROR(__xludf.DUMMYFUNCTION("""COMPUTED_VALUE"""),"State PCS")</f>
        <v>State PCS</v>
      </c>
      <c r="K1263" s="124"/>
      <c r="L1263" s="124"/>
      <c r="M1263" s="124"/>
      <c r="N1263" s="124"/>
      <c r="O1263" s="124"/>
      <c r="T1263" s="126">
        <f>IFERROR(__xludf.DUMMYFUNCTION("""COMPUTED_VALUE"""),46109.0)</f>
        <v>46109</v>
      </c>
      <c r="U1263" s="124" t="str">
        <f>IFERROR(__xludf.DUMMYFUNCTION("""COMPUTED_VALUE"""),"Walk-Ins")</f>
        <v>Walk-Ins</v>
      </c>
      <c r="V1263" s="124" t="str">
        <f>IFERROR(__xludf.DUMMYFUNCTION("""COMPUTED_VALUE"""),"Walkin")</f>
        <v>Walkin</v>
      </c>
      <c r="W1263" s="124" t="str">
        <f>IFERROR(__xludf.DUMMYFUNCTION("""COMPUTED_VALUE"""),"Prayagraj")</f>
        <v>Prayagraj</v>
      </c>
      <c r="X1263" s="124" t="str">
        <f>IFERROR(__xludf.DUMMYFUNCTION("""COMPUTED_VALUE"""),"Walkin")</f>
        <v>Walkin</v>
      </c>
      <c r="Y1263" s="124" t="str">
        <f>IFERROR(__xludf.DUMMYFUNCTION("""COMPUTED_VALUE"""),"Prayagraj")</f>
        <v>Prayagraj</v>
      </c>
      <c r="Z1263" s="124">
        <f>IFERROR(__xludf.DUMMYFUNCTION("""COMPUTED_VALUE"""),2.0)</f>
        <v>2</v>
      </c>
      <c r="AA1263" s="124" t="str">
        <f>IFERROR(__xludf.DUMMYFUNCTION("""COMPUTED_VALUE"""),"Warm")</f>
        <v>Warm</v>
      </c>
      <c r="AB1263" s="124" t="str">
        <f>IFERROR(__xludf.DUMMYFUNCTION("""COMPUTED_VALUE"""),"State PCS")</f>
        <v>State PCS</v>
      </c>
    </row>
    <row r="1264">
      <c r="A1264" s="129">
        <f>IFERROR(__xludf.DUMMYFUNCTION("""COMPUTED_VALUE"""),46077.0)</f>
        <v>46077</v>
      </c>
      <c r="B1264" s="124" t="str">
        <f>IFERROR(__xludf.DUMMYFUNCTION("""COMPUTED_VALUE"""),"external leads")</f>
        <v>external leads</v>
      </c>
      <c r="C1264" s="124" t="str">
        <f>IFERROR(__xludf.DUMMYFUNCTION("""COMPUTED_VALUE"""),"Patna")</f>
        <v>Patna</v>
      </c>
      <c r="D1264" s="124" t="str">
        <f>IFERROR(__xludf.DUMMYFUNCTION("""COMPUTED_VALUE"""),"Secondary_Walkin")</f>
        <v>Secondary_Walkin</v>
      </c>
      <c r="E1264" s="124">
        <f>IFERROR(__xludf.DUMMYFUNCTION("""COMPUTED_VALUE"""),1.0)</f>
        <v>1</v>
      </c>
      <c r="F1264" s="124" t="str">
        <f>IFERROR(__xludf.DUMMYFUNCTION("""COMPUTED_VALUE"""),"Cold")</f>
        <v>Cold</v>
      </c>
      <c r="G1264" s="124" t="str">
        <f>IFERROR(__xludf.DUMMYFUNCTION("""COMPUTED_VALUE"""),"SIM")</f>
        <v>SIM</v>
      </c>
      <c r="K1264" s="124"/>
      <c r="L1264" s="124"/>
      <c r="M1264" s="124"/>
      <c r="N1264" s="124"/>
      <c r="O1264" s="124"/>
      <c r="T1264" s="126">
        <f>IFERROR(__xludf.DUMMYFUNCTION("""COMPUTED_VALUE"""),46070.0)</f>
        <v>46070</v>
      </c>
      <c r="U1264" s="124" t="str">
        <f>IFERROR(__xludf.DUMMYFUNCTION("""COMPUTED_VALUE"""),"Walk-Ins")</f>
        <v>Walk-Ins</v>
      </c>
      <c r="V1264" s="124" t="str">
        <f>IFERROR(__xludf.DUMMYFUNCTION("""COMPUTED_VALUE"""),"Walkin")</f>
        <v>Walkin</v>
      </c>
      <c r="W1264" s="124" t="str">
        <f>IFERROR(__xludf.DUMMYFUNCTION("""COMPUTED_VALUE"""),"Patna")</f>
        <v>Patna</v>
      </c>
      <c r="X1264" s="124" t="str">
        <f>IFERROR(__xludf.DUMMYFUNCTION("""COMPUTED_VALUE"""),"Walkin")</f>
        <v>Walkin</v>
      </c>
      <c r="Y1264" s="124" t="str">
        <f>IFERROR(__xludf.DUMMYFUNCTION("""COMPUTED_VALUE"""),"Patna")</f>
        <v>Patna</v>
      </c>
      <c r="Z1264" s="124">
        <f>IFERROR(__xludf.DUMMYFUNCTION("""COMPUTED_VALUE"""),2.0)</f>
        <v>2</v>
      </c>
      <c r="AA1264" s="124" t="str">
        <f>IFERROR(__xludf.DUMMYFUNCTION("""COMPUTED_VALUE"""),"Future Prospects")</f>
        <v>Future Prospects</v>
      </c>
      <c r="AB1264" s="124" t="str">
        <f>IFERROR(__xludf.DUMMYFUNCTION("""COMPUTED_VALUE"""),"State PCS")</f>
        <v>State PCS</v>
      </c>
    </row>
    <row r="1265">
      <c r="A1265" s="129">
        <f>IFERROR(__xludf.DUMMYFUNCTION("""COMPUTED_VALUE"""),46057.0)</f>
        <v>46057</v>
      </c>
      <c r="B1265" s="124" t="str">
        <f>IFERROR(__xludf.DUMMYFUNCTION("""COMPUTED_VALUE"""),"Walk-In")</f>
        <v>Walk-In</v>
      </c>
      <c r="C1265" s="124" t="str">
        <f>IFERROR(__xludf.DUMMYFUNCTION("""COMPUTED_VALUE"""),"Patna")</f>
        <v>Patna</v>
      </c>
      <c r="D1265" s="124" t="str">
        <f>IFERROR(__xludf.DUMMYFUNCTION("""COMPUTED_VALUE"""),"Primary_Walkin")</f>
        <v>Primary_Walkin</v>
      </c>
      <c r="E1265" s="124">
        <f>IFERROR(__xludf.DUMMYFUNCTION("""COMPUTED_VALUE"""),1.0)</f>
        <v>1</v>
      </c>
      <c r="F1265" s="124" t="str">
        <f>IFERROR(__xludf.DUMMYFUNCTION("""COMPUTED_VALUE"""),"Fake Lead")</f>
        <v>Fake Lead</v>
      </c>
      <c r="G1265" s="124" t="str">
        <f>IFERROR(__xludf.DUMMYFUNCTION("""COMPUTED_VALUE"""),"State PCS")</f>
        <v>State PCS</v>
      </c>
      <c r="K1265" s="124"/>
      <c r="L1265" s="124"/>
      <c r="M1265" s="124"/>
      <c r="N1265" s="124"/>
      <c r="O1265" s="124"/>
      <c r="T1265" s="126">
        <f>IFERROR(__xludf.DUMMYFUNCTION("""COMPUTED_VALUE"""),46090.0)</f>
        <v>46090</v>
      </c>
      <c r="U1265" s="124" t="str">
        <f>IFERROR(__xludf.DUMMYFUNCTION("""COMPUTED_VALUE"""),"Walk-Ins")</f>
        <v>Walk-Ins</v>
      </c>
      <c r="V1265" s="124" t="str">
        <f>IFERROR(__xludf.DUMMYFUNCTION("""COMPUTED_VALUE"""),"Walkin")</f>
        <v>Walkin</v>
      </c>
      <c r="W1265" s="124" t="str">
        <f>IFERROR(__xludf.DUMMYFUNCTION("""COMPUTED_VALUE"""),"Patna")</f>
        <v>Patna</v>
      </c>
      <c r="X1265" s="124" t="str">
        <f>IFERROR(__xludf.DUMMYFUNCTION("""COMPUTED_VALUE"""),"Walkin")</f>
        <v>Walkin</v>
      </c>
      <c r="Y1265" s="124" t="str">
        <f>IFERROR(__xludf.DUMMYFUNCTION("""COMPUTED_VALUE"""),"Patna")</f>
        <v>Patna</v>
      </c>
      <c r="Z1265" s="124">
        <f>IFERROR(__xludf.DUMMYFUNCTION("""COMPUTED_VALUE"""),1.0)</f>
        <v>1</v>
      </c>
      <c r="AA1265" s="124" t="str">
        <f>IFERROR(__xludf.DUMMYFUNCTION("""COMPUTED_VALUE"""),"Warm")</f>
        <v>Warm</v>
      </c>
      <c r="AB1265" s="124" t="str">
        <f>IFERROR(__xludf.DUMMYFUNCTION("""COMPUTED_VALUE"""),"Test Series")</f>
        <v>Test Series</v>
      </c>
    </row>
    <row r="1266">
      <c r="A1266" s="129">
        <f>IFERROR(__xludf.DUMMYFUNCTION("""COMPUTED_VALUE"""),46067.0)</f>
        <v>46067</v>
      </c>
      <c r="B1266" s="124" t="str">
        <f>IFERROR(__xludf.DUMMYFUNCTION("""COMPUTED_VALUE"""),"Walkin")</f>
        <v>Walkin</v>
      </c>
      <c r="C1266" s="124" t="str">
        <f>IFERROR(__xludf.DUMMYFUNCTION("""COMPUTED_VALUE"""),"Patna")</f>
        <v>Patna</v>
      </c>
      <c r="D1266" s="124" t="str">
        <f>IFERROR(__xludf.DUMMYFUNCTION("""COMPUTED_VALUE"""),"Primary_Walkin")</f>
        <v>Primary_Walkin</v>
      </c>
      <c r="E1266" s="124">
        <f>IFERROR(__xludf.DUMMYFUNCTION("""COMPUTED_VALUE"""),1.0)</f>
        <v>1</v>
      </c>
      <c r="F1266" s="124" t="str">
        <f>IFERROR(__xludf.DUMMYFUNCTION("""COMPUTED_VALUE"""),"Enrolled")</f>
        <v>Enrolled</v>
      </c>
      <c r="G1266" s="124" t="str">
        <f>IFERROR(__xludf.DUMMYFUNCTION("""COMPUTED_VALUE"""),"State PCS")</f>
        <v>State PCS</v>
      </c>
      <c r="K1266" s="124"/>
      <c r="L1266" s="124"/>
      <c r="M1266" s="124"/>
      <c r="N1266" s="124"/>
      <c r="O1266" s="124"/>
      <c r="T1266" s="126">
        <f>IFERROR(__xludf.DUMMYFUNCTION("""COMPUTED_VALUE"""),46075.0)</f>
        <v>46075</v>
      </c>
      <c r="U1266" s="124" t="str">
        <f>IFERROR(__xludf.DUMMYFUNCTION("""COMPUTED_VALUE"""),"Walk-Ins")</f>
        <v>Walk-Ins</v>
      </c>
      <c r="V1266" s="124" t="str">
        <f>IFERROR(__xludf.DUMMYFUNCTION("""COMPUTED_VALUE"""),"Walkin")</f>
        <v>Walkin</v>
      </c>
      <c r="W1266" s="124" t="str">
        <f>IFERROR(__xludf.DUMMYFUNCTION("""COMPUTED_VALUE"""),"Patna")</f>
        <v>Patna</v>
      </c>
      <c r="X1266" s="124" t="str">
        <f>IFERROR(__xludf.DUMMYFUNCTION("""COMPUTED_VALUE"""),"Walkin")</f>
        <v>Walkin</v>
      </c>
      <c r="Y1266" s="124" t="str">
        <f>IFERROR(__xludf.DUMMYFUNCTION("""COMPUTED_VALUE"""),"Patna")</f>
        <v>Patna</v>
      </c>
      <c r="Z1266" s="124">
        <f>IFERROR(__xludf.DUMMYFUNCTION("""COMPUTED_VALUE"""),1.0)</f>
        <v>1</v>
      </c>
      <c r="AA1266" s="124" t="str">
        <f>IFERROR(__xludf.DUMMYFUNCTION("""COMPUTED_VALUE"""),"Cold")</f>
        <v>Cold</v>
      </c>
      <c r="AB1266" s="124" t="str">
        <f>IFERROR(__xludf.DUMMYFUNCTION("""COMPUTED_VALUE"""),"Other")</f>
        <v>Other</v>
      </c>
    </row>
    <row r="1267">
      <c r="A1267" s="126">
        <f>IFERROR(__xludf.DUMMYFUNCTION("""COMPUTED_VALUE"""),46067.0)</f>
        <v>46067</v>
      </c>
      <c r="B1267" s="124" t="str">
        <f>IFERROR(__xludf.DUMMYFUNCTION("""COMPUTED_VALUE"""),"Walkin")</f>
        <v>Walkin</v>
      </c>
      <c r="C1267" s="124" t="str">
        <f>IFERROR(__xludf.DUMMYFUNCTION("""COMPUTED_VALUE"""),"Patna")</f>
        <v>Patna</v>
      </c>
      <c r="D1267" s="124" t="str">
        <f>IFERROR(__xludf.DUMMYFUNCTION("""COMPUTED_VALUE"""),"Primary_Walkin")</f>
        <v>Primary_Walkin</v>
      </c>
      <c r="E1267" s="124">
        <f>IFERROR(__xludf.DUMMYFUNCTION("""COMPUTED_VALUE"""),1.0)</f>
        <v>1</v>
      </c>
      <c r="F1267" s="124" t="str">
        <f>IFERROR(__xludf.DUMMYFUNCTION("""COMPUTED_VALUE"""),"Future Prospects")</f>
        <v>Future Prospects</v>
      </c>
      <c r="G1267" s="124" t="str">
        <f>IFERROR(__xludf.DUMMYFUNCTION("""COMPUTED_VALUE"""),"Mentorship")</f>
        <v>Mentorship</v>
      </c>
      <c r="K1267" s="124"/>
      <c r="L1267" s="124"/>
      <c r="M1267" s="124"/>
      <c r="N1267" s="124"/>
      <c r="O1267" s="124"/>
      <c r="T1267" s="126">
        <f>IFERROR(__xludf.DUMMYFUNCTION("""COMPUTED_VALUE"""),46076.0)</f>
        <v>46076</v>
      </c>
      <c r="U1267" s="124" t="str">
        <f>IFERROR(__xludf.DUMMYFUNCTION("""COMPUTED_VALUE"""),"Walk-Ins")</f>
        <v>Walk-Ins</v>
      </c>
      <c r="V1267" s="124" t="str">
        <f>IFERROR(__xludf.DUMMYFUNCTION("""COMPUTED_VALUE"""),"Walkin")</f>
        <v>Walkin</v>
      </c>
      <c r="W1267" s="124" t="str">
        <f>IFERROR(__xludf.DUMMYFUNCTION("""COMPUTED_VALUE"""),"Indore")</f>
        <v>Indore</v>
      </c>
      <c r="X1267" s="124" t="str">
        <f>IFERROR(__xludf.DUMMYFUNCTION("""COMPUTED_VALUE"""),"Walkin")</f>
        <v>Walkin</v>
      </c>
      <c r="Y1267" s="124" t="str">
        <f>IFERROR(__xludf.DUMMYFUNCTION("""COMPUTED_VALUE"""),"Indore")</f>
        <v>Indore</v>
      </c>
      <c r="Z1267" s="124">
        <f>IFERROR(__xludf.DUMMYFUNCTION("""COMPUTED_VALUE"""),2.0)</f>
        <v>2</v>
      </c>
      <c r="AA1267" s="124" t="str">
        <f>IFERROR(__xludf.DUMMYFUNCTION("""COMPUTED_VALUE"""),"Cold")</f>
        <v>Cold</v>
      </c>
      <c r="AB1267" s="124" t="str">
        <f>IFERROR(__xludf.DUMMYFUNCTION("""COMPUTED_VALUE"""),"Test Series")</f>
        <v>Test Series</v>
      </c>
    </row>
    <row r="1268">
      <c r="A1268" s="126">
        <f>IFERROR(__xludf.DUMMYFUNCTION("""COMPUTED_VALUE"""),46096.0)</f>
        <v>46096</v>
      </c>
      <c r="B1268" s="124" t="str">
        <f>IFERROR(__xludf.DUMMYFUNCTION("""COMPUTED_VALUE"""),"Walkin")</f>
        <v>Walkin</v>
      </c>
      <c r="C1268" s="124" t="str">
        <f>IFERROR(__xludf.DUMMYFUNCTION("""COMPUTED_VALUE"""),"Patna")</f>
        <v>Patna</v>
      </c>
      <c r="D1268" s="124" t="str">
        <f>IFERROR(__xludf.DUMMYFUNCTION("""COMPUTED_VALUE"""),"Primary_Walkin")</f>
        <v>Primary_Walkin</v>
      </c>
      <c r="E1268" s="124">
        <f>IFERROR(__xludf.DUMMYFUNCTION("""COMPUTED_VALUE"""),1.0)</f>
        <v>1</v>
      </c>
      <c r="F1268" s="124" t="str">
        <f>IFERROR(__xludf.DUMMYFUNCTION("""COMPUTED_VALUE"""),"Cold")</f>
        <v>Cold</v>
      </c>
      <c r="G1268" s="124" t="str">
        <f>IFERROR(__xludf.DUMMYFUNCTION("""COMPUTED_VALUE"""),"State PCS")</f>
        <v>State PCS</v>
      </c>
      <c r="K1268" s="124"/>
      <c r="L1268" s="124"/>
      <c r="M1268" s="124"/>
      <c r="N1268" s="124"/>
      <c r="O1268" s="124"/>
      <c r="T1268" s="129">
        <f>IFERROR(__xludf.DUMMYFUNCTION("""COMPUTED_VALUE"""),46110.0)</f>
        <v>46110</v>
      </c>
      <c r="U1268" s="124" t="str">
        <f>IFERROR(__xludf.DUMMYFUNCTION("""COMPUTED_VALUE"""),"Walk-Ins")</f>
        <v>Walk-Ins</v>
      </c>
      <c r="V1268" s="124" t="str">
        <f>IFERROR(__xludf.DUMMYFUNCTION("""COMPUTED_VALUE"""),"Walkin")</f>
        <v>Walkin</v>
      </c>
      <c r="W1268" s="124" t="str">
        <f>IFERROR(__xludf.DUMMYFUNCTION("""COMPUTED_VALUE"""),"Prayagraj")</f>
        <v>Prayagraj</v>
      </c>
      <c r="X1268" s="124" t="str">
        <f>IFERROR(__xludf.DUMMYFUNCTION("""COMPUTED_VALUE"""),"Walkin")</f>
        <v>Walkin</v>
      </c>
      <c r="Y1268" s="124" t="str">
        <f>IFERROR(__xludf.DUMMYFUNCTION("""COMPUTED_VALUE"""),"Prayagraj")</f>
        <v>Prayagraj</v>
      </c>
      <c r="Z1268" s="124">
        <f>IFERROR(__xludf.DUMMYFUNCTION("""COMPUTED_VALUE"""),1.0)</f>
        <v>1</v>
      </c>
      <c r="AA1268" s="124" t="str">
        <f>IFERROR(__xludf.DUMMYFUNCTION("""COMPUTED_VALUE"""),"Interested")</f>
        <v>Interested</v>
      </c>
      <c r="AB1268" s="124" t="str">
        <f>IFERROR(__xludf.DUMMYFUNCTION("""COMPUTED_VALUE"""),"Mentorship")</f>
        <v>Mentorship</v>
      </c>
    </row>
    <row r="1269">
      <c r="A1269" s="126">
        <f>IFERROR(__xludf.DUMMYFUNCTION("""COMPUTED_VALUE"""),46069.0)</f>
        <v>46069</v>
      </c>
      <c r="B1269" s="124" t="str">
        <f>IFERROR(__xludf.DUMMYFUNCTION("""COMPUTED_VALUE"""),"Walkin")</f>
        <v>Walkin</v>
      </c>
      <c r="C1269" s="124" t="str">
        <f>IFERROR(__xludf.DUMMYFUNCTION("""COMPUTED_VALUE"""),"Patna")</f>
        <v>Patna</v>
      </c>
      <c r="D1269" s="124" t="str">
        <f>IFERROR(__xludf.DUMMYFUNCTION("""COMPUTED_VALUE"""),"Primary_Walkin")</f>
        <v>Primary_Walkin</v>
      </c>
      <c r="E1269" s="124">
        <f>IFERROR(__xludf.DUMMYFUNCTION("""COMPUTED_VALUE"""),1.0)</f>
        <v>1</v>
      </c>
      <c r="F1269" s="124" t="str">
        <f>IFERROR(__xludf.DUMMYFUNCTION("""COMPUTED_VALUE"""),"Cold")</f>
        <v>Cold</v>
      </c>
      <c r="G1269" s="124" t="str">
        <f>IFERROR(__xludf.DUMMYFUNCTION("""COMPUTED_VALUE"""),"GS Foundation")</f>
        <v>GS Foundation</v>
      </c>
      <c r="K1269" s="124"/>
      <c r="L1269" s="124"/>
      <c r="M1269" s="124"/>
      <c r="N1269" s="124"/>
      <c r="O1269" s="124"/>
      <c r="T1269" s="126">
        <f>IFERROR(__xludf.DUMMYFUNCTION("""COMPUTED_VALUE"""),46064.0)</f>
        <v>46064</v>
      </c>
      <c r="U1269" s="124" t="str">
        <f>IFERROR(__xludf.DUMMYFUNCTION("""COMPUTED_VALUE"""),"Walk-Ins")</f>
        <v>Walk-Ins</v>
      </c>
      <c r="V1269" s="124" t="str">
        <f>IFERROR(__xludf.DUMMYFUNCTION("""COMPUTED_VALUE"""),"Walkin")</f>
        <v>Walkin</v>
      </c>
      <c r="W1269" s="124" t="str">
        <f>IFERROR(__xludf.DUMMYFUNCTION("""COMPUTED_VALUE"""),"Indore")</f>
        <v>Indore</v>
      </c>
      <c r="X1269" s="124" t="str">
        <f>IFERROR(__xludf.DUMMYFUNCTION("""COMPUTED_VALUE"""),"Walkin")</f>
        <v>Walkin</v>
      </c>
      <c r="Y1269" s="124" t="str">
        <f>IFERROR(__xludf.DUMMYFUNCTION("""COMPUTED_VALUE"""),"Indore")</f>
        <v>Indore</v>
      </c>
      <c r="Z1269" s="124">
        <f>IFERROR(__xludf.DUMMYFUNCTION("""COMPUTED_VALUE"""),1.0)</f>
        <v>1</v>
      </c>
      <c r="AA1269" s="124" t="str">
        <f>IFERROR(__xludf.DUMMYFUNCTION("""COMPUTED_VALUE"""),"Not Interested")</f>
        <v>Not Interested</v>
      </c>
      <c r="AB1269" s="124" t="str">
        <f>IFERROR(__xludf.DUMMYFUNCTION("""COMPUTED_VALUE"""),"State PCS")</f>
        <v>State PCS</v>
      </c>
    </row>
    <row r="1270">
      <c r="A1270" s="129">
        <f>IFERROR(__xludf.DUMMYFUNCTION("""COMPUTED_VALUE"""),46069.0)</f>
        <v>46069</v>
      </c>
      <c r="B1270" s="124" t="str">
        <f>IFERROR(__xludf.DUMMYFUNCTION("""COMPUTED_VALUE"""),"Walkin")</f>
        <v>Walkin</v>
      </c>
      <c r="C1270" s="124" t="str">
        <f>IFERROR(__xludf.DUMMYFUNCTION("""COMPUTED_VALUE"""),"Patna")</f>
        <v>Patna</v>
      </c>
      <c r="D1270" s="124" t="str">
        <f>IFERROR(__xludf.DUMMYFUNCTION("""COMPUTED_VALUE"""),"Primary_Walkin")</f>
        <v>Primary_Walkin</v>
      </c>
      <c r="E1270" s="124">
        <f>IFERROR(__xludf.DUMMYFUNCTION("""COMPUTED_VALUE"""),1.0)</f>
        <v>1</v>
      </c>
      <c r="F1270" s="124" t="str">
        <f>IFERROR(__xludf.DUMMYFUNCTION("""COMPUTED_VALUE"""),"Enrolled")</f>
        <v>Enrolled</v>
      </c>
      <c r="G1270" s="124" t="str">
        <f>IFERROR(__xludf.DUMMYFUNCTION("""COMPUTED_VALUE"""),"State PCS")</f>
        <v>State PCS</v>
      </c>
      <c r="K1270" s="124"/>
      <c r="L1270" s="124"/>
      <c r="M1270" s="124"/>
      <c r="N1270" s="124"/>
      <c r="O1270" s="124"/>
      <c r="T1270" s="126">
        <f>IFERROR(__xludf.DUMMYFUNCTION("""COMPUTED_VALUE"""),46078.0)</f>
        <v>46078</v>
      </c>
      <c r="U1270" s="124" t="str">
        <f>IFERROR(__xludf.DUMMYFUNCTION("""COMPUTED_VALUE"""),"Walk-Ins")</f>
        <v>Walk-Ins</v>
      </c>
      <c r="V1270" s="124" t="str">
        <f>IFERROR(__xludf.DUMMYFUNCTION("""COMPUTED_VALUE"""),"Walkin")</f>
        <v>Walkin</v>
      </c>
      <c r="W1270" s="124" t="str">
        <f>IFERROR(__xludf.DUMMYFUNCTION("""COMPUTED_VALUE"""),"Prayagraj")</f>
        <v>Prayagraj</v>
      </c>
      <c r="X1270" s="124" t="str">
        <f>IFERROR(__xludf.DUMMYFUNCTION("""COMPUTED_VALUE"""),"Walkin")</f>
        <v>Walkin</v>
      </c>
      <c r="Y1270" s="124" t="str">
        <f>IFERROR(__xludf.DUMMYFUNCTION("""COMPUTED_VALUE"""),"Prayagraj")</f>
        <v>Prayagraj</v>
      </c>
      <c r="Z1270" s="124">
        <f>IFERROR(__xludf.DUMMYFUNCTION("""COMPUTED_VALUE"""),2.0)</f>
        <v>2</v>
      </c>
      <c r="AA1270" s="124" t="str">
        <f>IFERROR(__xludf.DUMMYFUNCTION("""COMPUTED_VALUE"""),"Not Interested")</f>
        <v>Not Interested</v>
      </c>
      <c r="AB1270" s="124" t="str">
        <f>IFERROR(__xludf.DUMMYFUNCTION("""COMPUTED_VALUE"""),"GS Foundation")</f>
        <v>GS Foundation</v>
      </c>
    </row>
    <row r="1271">
      <c r="A1271" s="126">
        <f>IFERROR(__xludf.DUMMYFUNCTION("""COMPUTED_VALUE"""),46106.0)</f>
        <v>46106</v>
      </c>
      <c r="B1271" s="124" t="str">
        <f>IFERROR(__xludf.DUMMYFUNCTION("""COMPUTED_VALUE"""),"Walkin")</f>
        <v>Walkin</v>
      </c>
      <c r="C1271" s="124" t="str">
        <f>IFERROR(__xludf.DUMMYFUNCTION("""COMPUTED_VALUE"""),"Patna")</f>
        <v>Patna</v>
      </c>
      <c r="D1271" s="124" t="str">
        <f>IFERROR(__xludf.DUMMYFUNCTION("""COMPUTED_VALUE"""),"Primary_Walkin")</f>
        <v>Primary_Walkin</v>
      </c>
      <c r="E1271" s="124">
        <f>IFERROR(__xludf.DUMMYFUNCTION("""COMPUTED_VALUE"""),1.0)</f>
        <v>1</v>
      </c>
      <c r="F1271" s="124" t="str">
        <f>IFERROR(__xludf.DUMMYFUNCTION("""COMPUTED_VALUE"""),"Future Prospects")</f>
        <v>Future Prospects</v>
      </c>
      <c r="G1271" s="124" t="str">
        <f>IFERROR(__xludf.DUMMYFUNCTION("""COMPUTED_VALUE"""),"Other")</f>
        <v>Other</v>
      </c>
      <c r="K1271" s="124"/>
      <c r="L1271" s="124"/>
      <c r="M1271" s="124"/>
      <c r="N1271" s="124"/>
      <c r="O1271" s="124"/>
      <c r="T1271" s="126">
        <f>IFERROR(__xludf.DUMMYFUNCTION("""COMPUTED_VALUE"""),46081.0)</f>
        <v>46081</v>
      </c>
      <c r="U1271" s="124" t="str">
        <f>IFERROR(__xludf.DUMMYFUNCTION("""COMPUTED_VALUE"""),"Walk-Ins")</f>
        <v>Walk-Ins</v>
      </c>
      <c r="V1271" s="124" t="str">
        <f>IFERROR(__xludf.DUMMYFUNCTION("""COMPUTED_VALUE"""),"Walkin")</f>
        <v>Walkin</v>
      </c>
      <c r="W1271" s="124" t="str">
        <f>IFERROR(__xludf.DUMMYFUNCTION("""COMPUTED_VALUE"""),"Indore")</f>
        <v>Indore</v>
      </c>
      <c r="X1271" s="124" t="str">
        <f>IFERROR(__xludf.DUMMYFUNCTION("""COMPUTED_VALUE"""),"Walkin")</f>
        <v>Walkin</v>
      </c>
      <c r="Y1271" s="124" t="str">
        <f>IFERROR(__xludf.DUMMYFUNCTION("""COMPUTED_VALUE"""),"Indore")</f>
        <v>Indore</v>
      </c>
      <c r="Z1271" s="124">
        <f>IFERROR(__xludf.DUMMYFUNCTION("""COMPUTED_VALUE"""),1.0)</f>
        <v>1</v>
      </c>
      <c r="AA1271" s="124" t="str">
        <f>IFERROR(__xludf.DUMMYFUNCTION("""COMPUTED_VALUE"""),"Future Prospects")</f>
        <v>Future Prospects</v>
      </c>
      <c r="AB1271" s="124" t="str">
        <f>IFERROR(__xludf.DUMMYFUNCTION("""COMPUTED_VALUE"""),"GS Foundation")</f>
        <v>GS Foundation</v>
      </c>
    </row>
    <row r="1272">
      <c r="A1272" s="126">
        <f>IFERROR(__xludf.DUMMYFUNCTION("""COMPUTED_VALUE"""),46105.0)</f>
        <v>46105</v>
      </c>
      <c r="B1272" s="124" t="str">
        <f>IFERROR(__xludf.DUMMYFUNCTION("""COMPUTED_VALUE"""),"Walkin")</f>
        <v>Walkin</v>
      </c>
      <c r="C1272" s="124" t="str">
        <f>IFERROR(__xludf.DUMMYFUNCTION("""COMPUTED_VALUE"""),"Patna")</f>
        <v>Patna</v>
      </c>
      <c r="D1272" s="124" t="str">
        <f>IFERROR(__xludf.DUMMYFUNCTION("""COMPUTED_VALUE"""),"Primary_Walkin")</f>
        <v>Primary_Walkin</v>
      </c>
      <c r="E1272" s="124">
        <f>IFERROR(__xludf.DUMMYFUNCTION("""COMPUTED_VALUE"""),1.0)</f>
        <v>1</v>
      </c>
      <c r="F1272" s="124" t="str">
        <f>IFERROR(__xludf.DUMMYFUNCTION("""COMPUTED_VALUE"""),"Fake Lead")</f>
        <v>Fake Lead</v>
      </c>
      <c r="G1272" s="124" t="str">
        <f>IFERROR(__xludf.DUMMYFUNCTION("""COMPUTED_VALUE"""),"Other")</f>
        <v>Other</v>
      </c>
      <c r="K1272" s="124"/>
      <c r="L1272" s="124"/>
      <c r="M1272" s="124"/>
      <c r="N1272" s="124"/>
      <c r="O1272" s="124"/>
      <c r="T1272" s="129">
        <f>IFERROR(__xludf.DUMMYFUNCTION("""COMPUTED_VALUE"""),46100.0)</f>
        <v>46100</v>
      </c>
      <c r="U1272" s="124" t="str">
        <f>IFERROR(__xludf.DUMMYFUNCTION("""COMPUTED_VALUE"""),"Walk-Ins")</f>
        <v>Walk-Ins</v>
      </c>
      <c r="V1272" s="124" t="str">
        <f>IFERROR(__xludf.DUMMYFUNCTION("""COMPUTED_VALUE"""),"Walkin")</f>
        <v>Walkin</v>
      </c>
      <c r="W1272" s="124" t="str">
        <f>IFERROR(__xludf.DUMMYFUNCTION("""COMPUTED_VALUE"""),"Prayagraj")</f>
        <v>Prayagraj</v>
      </c>
      <c r="X1272" s="124" t="str">
        <f>IFERROR(__xludf.DUMMYFUNCTION("""COMPUTED_VALUE"""),"Walkin")</f>
        <v>Walkin</v>
      </c>
      <c r="Y1272" s="124" t="str">
        <f>IFERROR(__xludf.DUMMYFUNCTION("""COMPUTED_VALUE"""),"Prayagraj")</f>
        <v>Prayagraj</v>
      </c>
      <c r="Z1272" s="124">
        <f>IFERROR(__xludf.DUMMYFUNCTION("""COMPUTED_VALUE"""),2.0)</f>
        <v>2</v>
      </c>
      <c r="AA1272" s="124" t="str">
        <f>IFERROR(__xludf.DUMMYFUNCTION("""COMPUTED_VALUE"""),"Warm")</f>
        <v>Warm</v>
      </c>
      <c r="AB1272" s="124" t="str">
        <f>IFERROR(__xludf.DUMMYFUNCTION("""COMPUTED_VALUE"""),"GS Foundation")</f>
        <v>GS Foundation</v>
      </c>
    </row>
    <row r="1273">
      <c r="A1273" s="129">
        <f>IFERROR(__xludf.DUMMYFUNCTION("""COMPUTED_VALUE"""),46065.0)</f>
        <v>46065</v>
      </c>
      <c r="B1273" s="124" t="str">
        <f>IFERROR(__xludf.DUMMYFUNCTION("""COMPUTED_VALUE"""),"Walkin")</f>
        <v>Walkin</v>
      </c>
      <c r="C1273" s="124" t="str">
        <f>IFERROR(__xludf.DUMMYFUNCTION("""COMPUTED_VALUE"""),"Patna")</f>
        <v>Patna</v>
      </c>
      <c r="D1273" s="124" t="str">
        <f>IFERROR(__xludf.DUMMYFUNCTION("""COMPUTED_VALUE"""),"Primary_Walkin")</f>
        <v>Primary_Walkin</v>
      </c>
      <c r="E1273" s="124">
        <f>IFERROR(__xludf.DUMMYFUNCTION("""COMPUTED_VALUE"""),2.0)</f>
        <v>2</v>
      </c>
      <c r="F1273" s="124" t="str">
        <f>IFERROR(__xludf.DUMMYFUNCTION("""COMPUTED_VALUE"""),"Fake Lead")</f>
        <v>Fake Lead</v>
      </c>
      <c r="G1273" s="124" t="str">
        <f>IFERROR(__xludf.DUMMYFUNCTION("""COMPUTED_VALUE"""),"GS Foundation")</f>
        <v>GS Foundation</v>
      </c>
      <c r="K1273" s="124"/>
      <c r="L1273" s="124"/>
      <c r="M1273" s="124"/>
      <c r="N1273" s="124"/>
      <c r="O1273" s="124"/>
      <c r="T1273" s="126">
        <f>IFERROR(__xludf.DUMMYFUNCTION("""COMPUTED_VALUE"""),46099.0)</f>
        <v>46099</v>
      </c>
      <c r="U1273" s="124" t="str">
        <f>IFERROR(__xludf.DUMMYFUNCTION("""COMPUTED_VALUE"""),"Walk-Ins")</f>
        <v>Walk-Ins</v>
      </c>
      <c r="V1273" s="124" t="str">
        <f>IFERROR(__xludf.DUMMYFUNCTION("""COMPUTED_VALUE"""),"Walkin")</f>
        <v>Walkin</v>
      </c>
      <c r="W1273" s="124" t="str">
        <f>IFERROR(__xludf.DUMMYFUNCTION("""COMPUTED_VALUE"""),"Patna")</f>
        <v>Patna</v>
      </c>
      <c r="X1273" s="124" t="str">
        <f>IFERROR(__xludf.DUMMYFUNCTION("""COMPUTED_VALUE"""),"Walkin")</f>
        <v>Walkin</v>
      </c>
      <c r="Y1273" s="124" t="str">
        <f>IFERROR(__xludf.DUMMYFUNCTION("""COMPUTED_VALUE"""),"Patna")</f>
        <v>Patna</v>
      </c>
      <c r="Z1273" s="124">
        <f>IFERROR(__xludf.DUMMYFUNCTION("""COMPUTED_VALUE"""),4.0)</f>
        <v>4</v>
      </c>
      <c r="AA1273" s="124" t="str">
        <f>IFERROR(__xludf.DUMMYFUNCTION("""COMPUTED_VALUE"""),"Cold")</f>
        <v>Cold</v>
      </c>
      <c r="AB1273" s="124" t="str">
        <f>IFERROR(__xludf.DUMMYFUNCTION("""COMPUTED_VALUE"""),"State PCS")</f>
        <v>State PCS</v>
      </c>
    </row>
    <row r="1274">
      <c r="A1274" s="126">
        <f>IFERROR(__xludf.DUMMYFUNCTION("""COMPUTED_VALUE"""),46048.0)</f>
        <v>46048</v>
      </c>
      <c r="B1274" s="124" t="str">
        <f>IFERROR(__xludf.DUMMYFUNCTION("""COMPUTED_VALUE"""),"Walk-In")</f>
        <v>Walk-In</v>
      </c>
      <c r="C1274" s="124" t="str">
        <f>IFERROR(__xludf.DUMMYFUNCTION("""COMPUTED_VALUE"""),"Patna")</f>
        <v>Patna</v>
      </c>
      <c r="D1274" s="124" t="str">
        <f>IFERROR(__xludf.DUMMYFUNCTION("""COMPUTED_VALUE"""),"Primary_Walkin")</f>
        <v>Primary_Walkin</v>
      </c>
      <c r="E1274" s="124">
        <f>IFERROR(__xludf.DUMMYFUNCTION("""COMPUTED_VALUE"""),1.0)</f>
        <v>1</v>
      </c>
      <c r="F1274" s="124" t="str">
        <f>IFERROR(__xludf.DUMMYFUNCTION("""COMPUTED_VALUE"""),"Enrolled")</f>
        <v>Enrolled</v>
      </c>
      <c r="G1274" s="124" t="str">
        <f>IFERROR(__xludf.DUMMYFUNCTION("""COMPUTED_VALUE"""),"State PCS")</f>
        <v>State PCS</v>
      </c>
      <c r="K1274" s="124"/>
      <c r="L1274" s="124"/>
      <c r="M1274" s="124"/>
      <c r="N1274" s="124"/>
      <c r="O1274" s="124"/>
      <c r="T1274" s="129">
        <f>IFERROR(__xludf.DUMMYFUNCTION("""COMPUTED_VALUE"""),46060.0)</f>
        <v>46060</v>
      </c>
      <c r="U1274" s="124" t="str">
        <f>IFERROR(__xludf.DUMMYFUNCTION("""COMPUTED_VALUE"""),"Walk-Ins")</f>
        <v>Walk-Ins</v>
      </c>
      <c r="V1274" s="124" t="str">
        <f>IFERROR(__xludf.DUMMYFUNCTION("""COMPUTED_VALUE"""),"Walkin")</f>
        <v>Walkin</v>
      </c>
      <c r="W1274" s="124" t="str">
        <f>IFERROR(__xludf.DUMMYFUNCTION("""COMPUTED_VALUE"""),"Patna")</f>
        <v>Patna</v>
      </c>
      <c r="X1274" s="124" t="str">
        <f>IFERROR(__xludf.DUMMYFUNCTION("""COMPUTED_VALUE"""),"Walkin")</f>
        <v>Walkin</v>
      </c>
      <c r="Y1274" s="124" t="str">
        <f>IFERROR(__xludf.DUMMYFUNCTION("""COMPUTED_VALUE"""),"Patna")</f>
        <v>Patna</v>
      </c>
      <c r="Z1274" s="124">
        <f>IFERROR(__xludf.DUMMYFUNCTION("""COMPUTED_VALUE"""),3.0)</f>
        <v>3</v>
      </c>
      <c r="AA1274" s="124" t="str">
        <f>IFERROR(__xludf.DUMMYFUNCTION("""COMPUTED_VALUE"""),"Fake Lead")</f>
        <v>Fake Lead</v>
      </c>
      <c r="AB1274" s="124" t="str">
        <f>IFERROR(__xludf.DUMMYFUNCTION("""COMPUTED_VALUE"""),"State PCS")</f>
        <v>State PCS</v>
      </c>
    </row>
    <row r="1275">
      <c r="A1275" s="129">
        <f>IFERROR(__xludf.DUMMYFUNCTION("""COMPUTED_VALUE"""),46049.0)</f>
        <v>46049</v>
      </c>
      <c r="B1275" s="124" t="str">
        <f>IFERROR(__xludf.DUMMYFUNCTION("""COMPUTED_VALUE"""),"Walkin")</f>
        <v>Walkin</v>
      </c>
      <c r="C1275" s="124" t="str">
        <f>IFERROR(__xludf.DUMMYFUNCTION("""COMPUTED_VALUE"""),"Patna")</f>
        <v>Patna</v>
      </c>
      <c r="D1275" s="124" t="str">
        <f>IFERROR(__xludf.DUMMYFUNCTION("""COMPUTED_VALUE"""),"Primary_Walkin")</f>
        <v>Primary_Walkin</v>
      </c>
      <c r="E1275" s="124">
        <f>IFERROR(__xludf.DUMMYFUNCTION("""COMPUTED_VALUE"""),2.0)</f>
        <v>2</v>
      </c>
      <c r="F1275" s="124" t="str">
        <f>IFERROR(__xludf.DUMMYFUNCTION("""COMPUTED_VALUE"""),"Cold")</f>
        <v>Cold</v>
      </c>
      <c r="G1275" s="124" t="str">
        <f>IFERROR(__xludf.DUMMYFUNCTION("""COMPUTED_VALUE"""),"GS Foundation")</f>
        <v>GS Foundation</v>
      </c>
      <c r="K1275" s="124"/>
      <c r="L1275" s="124"/>
      <c r="M1275" s="124"/>
      <c r="N1275" s="124"/>
      <c r="O1275" s="124"/>
      <c r="T1275" s="126">
        <f>IFERROR(__xludf.DUMMYFUNCTION("""COMPUTED_VALUE"""),46056.0)</f>
        <v>46056</v>
      </c>
      <c r="U1275" s="124" t="str">
        <f>IFERROR(__xludf.DUMMYFUNCTION("""COMPUTED_VALUE"""),"Walk-Ins")</f>
        <v>Walk-Ins</v>
      </c>
      <c r="V1275" s="124" t="str">
        <f>IFERROR(__xludf.DUMMYFUNCTION("""COMPUTED_VALUE"""),"Walkin")</f>
        <v>Walkin</v>
      </c>
      <c r="W1275" s="124" t="str">
        <f>IFERROR(__xludf.DUMMYFUNCTION("""COMPUTED_VALUE"""),"Prayagraj")</f>
        <v>Prayagraj</v>
      </c>
      <c r="X1275" s="124" t="str">
        <f>IFERROR(__xludf.DUMMYFUNCTION("""COMPUTED_VALUE"""),"Walkin")</f>
        <v>Walkin</v>
      </c>
      <c r="Y1275" s="124" t="str">
        <f>IFERROR(__xludf.DUMMYFUNCTION("""COMPUTED_VALUE"""),"Prayagraj")</f>
        <v>Prayagraj</v>
      </c>
      <c r="Z1275" s="124">
        <f>IFERROR(__xludf.DUMMYFUNCTION("""COMPUTED_VALUE"""),2.0)</f>
        <v>2</v>
      </c>
      <c r="AA1275" s="124" t="str">
        <f>IFERROR(__xludf.DUMMYFUNCTION("""COMPUTED_VALUE"""),"Cold")</f>
        <v>Cold</v>
      </c>
      <c r="AB1275" s="124" t="str">
        <f>IFERROR(__xludf.DUMMYFUNCTION("""COMPUTED_VALUE"""),"GS Foundation")</f>
        <v>GS Foundation</v>
      </c>
    </row>
    <row r="1276">
      <c r="A1276" s="126">
        <f>IFERROR(__xludf.DUMMYFUNCTION("""COMPUTED_VALUE"""),46065.0)</f>
        <v>46065</v>
      </c>
      <c r="B1276" s="124" t="str">
        <f>IFERROR(__xludf.DUMMYFUNCTION("""COMPUTED_VALUE"""),"Walk-In")</f>
        <v>Walk-In</v>
      </c>
      <c r="C1276" s="124" t="str">
        <f>IFERROR(__xludf.DUMMYFUNCTION("""COMPUTED_VALUE"""),"Patna")</f>
        <v>Patna</v>
      </c>
      <c r="D1276" s="124" t="str">
        <f>IFERROR(__xludf.DUMMYFUNCTION("""COMPUTED_VALUE"""),"Primary_Walkin")</f>
        <v>Primary_Walkin</v>
      </c>
      <c r="E1276" s="124">
        <f>IFERROR(__xludf.DUMMYFUNCTION("""COMPUTED_VALUE"""),2.0)</f>
        <v>2</v>
      </c>
      <c r="F1276" s="124" t="str">
        <f>IFERROR(__xludf.DUMMYFUNCTION("""COMPUTED_VALUE"""),"Cold")</f>
        <v>Cold</v>
      </c>
      <c r="G1276" s="124" t="str">
        <f>IFERROR(__xludf.DUMMYFUNCTION("""COMPUTED_VALUE"""),"State PCS")</f>
        <v>State PCS</v>
      </c>
      <c r="K1276" s="124"/>
      <c r="L1276" s="124"/>
      <c r="M1276" s="124"/>
      <c r="N1276" s="124"/>
      <c r="O1276" s="124"/>
      <c r="T1276" s="126">
        <f>IFERROR(__xludf.DUMMYFUNCTION("""COMPUTED_VALUE"""),46062.0)</f>
        <v>46062</v>
      </c>
      <c r="U1276" s="124" t="str">
        <f>IFERROR(__xludf.DUMMYFUNCTION("""COMPUTED_VALUE"""),"Walk-Ins")</f>
        <v>Walk-Ins</v>
      </c>
      <c r="V1276" s="124" t="str">
        <f>IFERROR(__xludf.DUMMYFUNCTION("""COMPUTED_VALUE"""),"Walkin")</f>
        <v>Walkin</v>
      </c>
      <c r="W1276" s="124" t="str">
        <f>IFERROR(__xludf.DUMMYFUNCTION("""COMPUTED_VALUE"""),"Patna")</f>
        <v>Patna</v>
      </c>
      <c r="X1276" s="124" t="str">
        <f>IFERROR(__xludf.DUMMYFUNCTION("""COMPUTED_VALUE"""),"Walkin")</f>
        <v>Walkin</v>
      </c>
      <c r="Y1276" s="124" t="str">
        <f>IFERROR(__xludf.DUMMYFUNCTION("""COMPUTED_VALUE"""),"Patna")</f>
        <v>Patna</v>
      </c>
      <c r="Z1276" s="124">
        <f>IFERROR(__xludf.DUMMYFUNCTION("""COMPUTED_VALUE"""),3.0)</f>
        <v>3</v>
      </c>
      <c r="AA1276" s="124" t="str">
        <f>IFERROR(__xludf.DUMMYFUNCTION("""COMPUTED_VALUE"""),"Fake Lead")</f>
        <v>Fake Lead</v>
      </c>
      <c r="AB1276" s="124" t="str">
        <f>IFERROR(__xludf.DUMMYFUNCTION("""COMPUTED_VALUE"""),"GS Foundation")</f>
        <v>GS Foundation</v>
      </c>
    </row>
    <row r="1277">
      <c r="A1277" s="129">
        <f>IFERROR(__xludf.DUMMYFUNCTION("""COMPUTED_VALUE"""),46107.0)</f>
        <v>46107</v>
      </c>
      <c r="B1277" s="124" t="str">
        <f>IFERROR(__xludf.DUMMYFUNCTION("""COMPUTED_VALUE"""),"Walkin")</f>
        <v>Walkin</v>
      </c>
      <c r="C1277" s="124" t="str">
        <f>IFERROR(__xludf.DUMMYFUNCTION("""COMPUTED_VALUE"""),"Patna")</f>
        <v>Patna</v>
      </c>
      <c r="D1277" s="124" t="str">
        <f>IFERROR(__xludf.DUMMYFUNCTION("""COMPUTED_VALUE"""),"Primary_Walkin")</f>
        <v>Primary_Walkin</v>
      </c>
      <c r="E1277" s="124">
        <f>IFERROR(__xludf.DUMMYFUNCTION("""COMPUTED_VALUE"""),2.0)</f>
        <v>2</v>
      </c>
      <c r="F1277" s="124" t="str">
        <f>IFERROR(__xludf.DUMMYFUNCTION("""COMPUTED_VALUE"""),"Warm")</f>
        <v>Warm</v>
      </c>
      <c r="G1277" s="124" t="str">
        <f>IFERROR(__xludf.DUMMYFUNCTION("""COMPUTED_VALUE"""),"GS Foundation")</f>
        <v>GS Foundation</v>
      </c>
      <c r="K1277" s="124"/>
      <c r="L1277" s="124"/>
      <c r="M1277" s="124"/>
      <c r="N1277" s="124"/>
      <c r="O1277" s="124"/>
      <c r="T1277" s="129">
        <f>IFERROR(__xludf.DUMMYFUNCTION("""COMPUTED_VALUE"""),46074.0)</f>
        <v>46074</v>
      </c>
      <c r="U1277" s="124" t="str">
        <f>IFERROR(__xludf.DUMMYFUNCTION("""COMPUTED_VALUE"""),"Walk-Ins")</f>
        <v>Walk-Ins</v>
      </c>
      <c r="V1277" s="124" t="str">
        <f>IFERROR(__xludf.DUMMYFUNCTION("""COMPUTED_VALUE"""),"Walkin")</f>
        <v>Walkin</v>
      </c>
      <c r="W1277" s="124" t="str">
        <f>IFERROR(__xludf.DUMMYFUNCTION("""COMPUTED_VALUE"""),"Indore")</f>
        <v>Indore</v>
      </c>
      <c r="X1277" s="124" t="str">
        <f>IFERROR(__xludf.DUMMYFUNCTION("""COMPUTED_VALUE"""),"Walkin")</f>
        <v>Walkin</v>
      </c>
      <c r="Y1277" s="124" t="str">
        <f>IFERROR(__xludf.DUMMYFUNCTION("""COMPUTED_VALUE"""),"Indore")</f>
        <v>Indore</v>
      </c>
      <c r="Z1277" s="124">
        <f>IFERROR(__xludf.DUMMYFUNCTION("""COMPUTED_VALUE"""),1.0)</f>
        <v>1</v>
      </c>
      <c r="AA1277" s="124" t="str">
        <f>IFERROR(__xludf.DUMMYFUNCTION("""COMPUTED_VALUE"""),"Cold")</f>
        <v>Cold</v>
      </c>
      <c r="AB1277" s="124" t="str">
        <f>IFERROR(__xludf.DUMMYFUNCTION("""COMPUTED_VALUE"""),"Other")</f>
        <v>Other</v>
      </c>
    </row>
    <row r="1278">
      <c r="A1278" s="129">
        <f>IFERROR(__xludf.DUMMYFUNCTION("""COMPUTED_VALUE"""),46089.0)</f>
        <v>46089</v>
      </c>
      <c r="B1278" s="124" t="str">
        <f>IFERROR(__xludf.DUMMYFUNCTION("""COMPUTED_VALUE"""),"Walkin")</f>
        <v>Walkin</v>
      </c>
      <c r="C1278" s="124" t="str">
        <f>IFERROR(__xludf.DUMMYFUNCTION("""COMPUTED_VALUE"""),"Patna")</f>
        <v>Patna</v>
      </c>
      <c r="D1278" s="124" t="str">
        <f>IFERROR(__xludf.DUMMYFUNCTION("""COMPUTED_VALUE"""),"Primary_Walkin")</f>
        <v>Primary_Walkin</v>
      </c>
      <c r="E1278" s="124">
        <f>IFERROR(__xludf.DUMMYFUNCTION("""COMPUTED_VALUE"""),1.0)</f>
        <v>1</v>
      </c>
      <c r="F1278" s="124" t="str">
        <f>IFERROR(__xludf.DUMMYFUNCTION("""COMPUTED_VALUE"""),"Future Prospects")</f>
        <v>Future Prospects</v>
      </c>
      <c r="G1278" s="124" t="str">
        <f>IFERROR(__xludf.DUMMYFUNCTION("""COMPUTED_VALUE"""),"GS Foundation")</f>
        <v>GS Foundation</v>
      </c>
      <c r="K1278" s="124"/>
      <c r="L1278" s="124"/>
      <c r="M1278" s="124"/>
      <c r="N1278" s="124"/>
      <c r="O1278" s="124"/>
      <c r="T1278" s="126">
        <f>IFERROR(__xludf.DUMMYFUNCTION("""COMPUTED_VALUE"""),46092.0)</f>
        <v>46092</v>
      </c>
      <c r="U1278" s="124" t="str">
        <f>IFERROR(__xludf.DUMMYFUNCTION("""COMPUTED_VALUE"""),"Walk-Ins")</f>
        <v>Walk-Ins</v>
      </c>
      <c r="V1278" s="124" t="str">
        <f>IFERROR(__xludf.DUMMYFUNCTION("""COMPUTED_VALUE"""),"Walkin")</f>
        <v>Walkin</v>
      </c>
      <c r="W1278" s="124" t="str">
        <f>IFERROR(__xludf.DUMMYFUNCTION("""COMPUTED_VALUE"""),"Lucknow")</f>
        <v>Lucknow</v>
      </c>
      <c r="X1278" s="124" t="str">
        <f>IFERROR(__xludf.DUMMYFUNCTION("""COMPUTED_VALUE"""),"Walkin")</f>
        <v>Walkin</v>
      </c>
      <c r="Y1278" s="124" t="str">
        <f>IFERROR(__xludf.DUMMYFUNCTION("""COMPUTED_VALUE"""),"Lucknow")</f>
        <v>Lucknow</v>
      </c>
      <c r="Z1278" s="124">
        <f>IFERROR(__xludf.DUMMYFUNCTION("""COMPUTED_VALUE"""),1.0)</f>
        <v>1</v>
      </c>
      <c r="AA1278" s="124" t="str">
        <f>IFERROR(__xludf.DUMMYFUNCTION("""COMPUTED_VALUE"""),"Warm")</f>
        <v>Warm</v>
      </c>
      <c r="AB1278" s="124" t="str">
        <f>IFERROR(__xludf.DUMMYFUNCTION("""COMPUTED_VALUE"""),"GS Foundation")</f>
        <v>GS Foundation</v>
      </c>
    </row>
    <row r="1279">
      <c r="A1279" s="129">
        <f>IFERROR(__xludf.DUMMYFUNCTION("""COMPUTED_VALUE"""),46065.0)</f>
        <v>46065</v>
      </c>
      <c r="B1279" s="124" t="str">
        <f>IFERROR(__xludf.DUMMYFUNCTION("""COMPUTED_VALUE"""),"Walk-In")</f>
        <v>Walk-In</v>
      </c>
      <c r="C1279" s="124" t="str">
        <f>IFERROR(__xludf.DUMMYFUNCTION("""COMPUTED_VALUE"""),"Patna")</f>
        <v>Patna</v>
      </c>
      <c r="D1279" s="124" t="str">
        <f>IFERROR(__xludf.DUMMYFUNCTION("""COMPUTED_VALUE"""),"Primary_Walkin")</f>
        <v>Primary_Walkin</v>
      </c>
      <c r="E1279" s="124">
        <f>IFERROR(__xludf.DUMMYFUNCTION("""COMPUTED_VALUE"""),1.0)</f>
        <v>1</v>
      </c>
      <c r="F1279" s="124" t="str">
        <f>IFERROR(__xludf.DUMMYFUNCTION("""COMPUTED_VALUE"""),"Fake Lead")</f>
        <v>Fake Lead</v>
      </c>
      <c r="G1279" s="124" t="str">
        <f>IFERROR(__xludf.DUMMYFUNCTION("""COMPUTED_VALUE"""),"State PCS")</f>
        <v>State PCS</v>
      </c>
      <c r="K1279" s="124"/>
      <c r="L1279" s="124"/>
      <c r="M1279" s="124"/>
      <c r="N1279" s="124"/>
      <c r="O1279" s="124"/>
      <c r="T1279" s="126">
        <f>IFERROR(__xludf.DUMMYFUNCTION("""COMPUTED_VALUE"""),46046.0)</f>
        <v>46046</v>
      </c>
      <c r="U1279" s="124" t="str">
        <f>IFERROR(__xludf.DUMMYFUNCTION("""COMPUTED_VALUE"""),"Walk-Ins")</f>
        <v>Walk-Ins</v>
      </c>
      <c r="V1279" s="124" t="str">
        <f>IFERROR(__xludf.DUMMYFUNCTION("""COMPUTED_VALUE"""),"Walkin")</f>
        <v>Walkin</v>
      </c>
      <c r="W1279" s="124" t="str">
        <f>IFERROR(__xludf.DUMMYFUNCTION("""COMPUTED_VALUE"""),"Indore")</f>
        <v>Indore</v>
      </c>
      <c r="X1279" s="124" t="str">
        <f>IFERROR(__xludf.DUMMYFUNCTION("""COMPUTED_VALUE"""),"Walkin")</f>
        <v>Walkin</v>
      </c>
      <c r="Y1279" s="124" t="str">
        <f>IFERROR(__xludf.DUMMYFUNCTION("""COMPUTED_VALUE"""),"Indore")</f>
        <v>Indore</v>
      </c>
      <c r="Z1279" s="124">
        <f>IFERROR(__xludf.DUMMYFUNCTION("""COMPUTED_VALUE"""),1.0)</f>
        <v>1</v>
      </c>
      <c r="AA1279" s="124" t="str">
        <f>IFERROR(__xludf.DUMMYFUNCTION("""COMPUTED_VALUE"""),"Future Prospects")</f>
        <v>Future Prospects</v>
      </c>
      <c r="AB1279" s="124" t="str">
        <f>IFERROR(__xludf.DUMMYFUNCTION("""COMPUTED_VALUE"""),"State PCS")</f>
        <v>State PCS</v>
      </c>
    </row>
    <row r="1280">
      <c r="A1280" s="126">
        <f>IFERROR(__xludf.DUMMYFUNCTION("""COMPUTED_VALUE"""),46067.0)</f>
        <v>46067</v>
      </c>
      <c r="B1280" s="124" t="str">
        <f>IFERROR(__xludf.DUMMYFUNCTION("""COMPUTED_VALUE"""),"Walkin")</f>
        <v>Walkin</v>
      </c>
      <c r="C1280" s="124" t="str">
        <f>IFERROR(__xludf.DUMMYFUNCTION("""COMPUTED_VALUE"""),"Patna")</f>
        <v>Patna</v>
      </c>
      <c r="D1280" s="124" t="str">
        <f>IFERROR(__xludf.DUMMYFUNCTION("""COMPUTED_VALUE"""),"Primary_Walkin")</f>
        <v>Primary_Walkin</v>
      </c>
      <c r="E1280" s="124">
        <f>IFERROR(__xludf.DUMMYFUNCTION("""COMPUTED_VALUE"""),3.0)</f>
        <v>3</v>
      </c>
      <c r="F1280" s="124" t="str">
        <f>IFERROR(__xludf.DUMMYFUNCTION("""COMPUTED_VALUE"""),"Cold")</f>
        <v>Cold</v>
      </c>
      <c r="G1280" s="124" t="str">
        <f>IFERROR(__xludf.DUMMYFUNCTION("""COMPUTED_VALUE"""),"GS Foundation")</f>
        <v>GS Foundation</v>
      </c>
      <c r="K1280" s="124"/>
      <c r="L1280" s="124"/>
      <c r="M1280" s="124"/>
      <c r="N1280" s="124"/>
      <c r="O1280" s="124"/>
      <c r="T1280" s="126">
        <f>IFERROR(__xludf.DUMMYFUNCTION("""COMPUTED_VALUE"""),46104.0)</f>
        <v>46104</v>
      </c>
      <c r="U1280" s="124" t="str">
        <f>IFERROR(__xludf.DUMMYFUNCTION("""COMPUTED_VALUE"""),"Walk-Ins")</f>
        <v>Walk-Ins</v>
      </c>
      <c r="V1280" s="124" t="str">
        <f>IFERROR(__xludf.DUMMYFUNCTION("""COMPUTED_VALUE"""),"Walkin")</f>
        <v>Walkin</v>
      </c>
      <c r="W1280" s="124" t="str">
        <f>IFERROR(__xludf.DUMMYFUNCTION("""COMPUTED_VALUE"""),"Patna")</f>
        <v>Patna</v>
      </c>
      <c r="X1280" s="124" t="str">
        <f>IFERROR(__xludf.DUMMYFUNCTION("""COMPUTED_VALUE"""),"Walkin")</f>
        <v>Walkin</v>
      </c>
      <c r="Y1280" s="124" t="str">
        <f>IFERROR(__xludf.DUMMYFUNCTION("""COMPUTED_VALUE"""),"Patna")</f>
        <v>Patna</v>
      </c>
      <c r="Z1280" s="124">
        <f>IFERROR(__xludf.DUMMYFUNCTION("""COMPUTED_VALUE"""),1.0)</f>
        <v>1</v>
      </c>
      <c r="AA1280" s="124" t="str">
        <f>IFERROR(__xludf.DUMMYFUNCTION("""COMPUTED_VALUE"""),"Fake Lead")</f>
        <v>Fake Lead</v>
      </c>
      <c r="AB1280" s="124" t="str">
        <f>IFERROR(__xludf.DUMMYFUNCTION("""COMPUTED_VALUE"""),"State PCS")</f>
        <v>State PCS</v>
      </c>
    </row>
    <row r="1281">
      <c r="A1281" s="126">
        <f>IFERROR(__xludf.DUMMYFUNCTION("""COMPUTED_VALUE"""),46049.0)</f>
        <v>46049</v>
      </c>
      <c r="B1281" s="124" t="str">
        <f>IFERROR(__xludf.DUMMYFUNCTION("""COMPUTED_VALUE"""),"Walkin")</f>
        <v>Walkin</v>
      </c>
      <c r="C1281" s="124" t="str">
        <f>IFERROR(__xludf.DUMMYFUNCTION("""COMPUTED_VALUE"""),"Patna")</f>
        <v>Patna</v>
      </c>
      <c r="D1281" s="124" t="str">
        <f>IFERROR(__xludf.DUMMYFUNCTION("""COMPUTED_VALUE"""),"Primary_Walkin")</f>
        <v>Primary_Walkin</v>
      </c>
      <c r="E1281" s="124">
        <f>IFERROR(__xludf.DUMMYFUNCTION("""COMPUTED_VALUE"""),1.0)</f>
        <v>1</v>
      </c>
      <c r="F1281" s="124" t="str">
        <f>IFERROR(__xludf.DUMMYFUNCTION("""COMPUTED_VALUE"""),"Not Interested")</f>
        <v>Not Interested</v>
      </c>
      <c r="G1281" s="124" t="str">
        <f>IFERROR(__xludf.DUMMYFUNCTION("""COMPUTED_VALUE"""),"GS Foundation")</f>
        <v>GS Foundation</v>
      </c>
      <c r="K1281" s="124"/>
      <c r="L1281" s="124"/>
      <c r="M1281" s="124"/>
      <c r="N1281" s="124"/>
      <c r="O1281" s="124"/>
      <c r="T1281" s="129">
        <f>IFERROR(__xludf.DUMMYFUNCTION("""COMPUTED_VALUE"""),46071.0)</f>
        <v>46071</v>
      </c>
      <c r="U1281" s="124" t="str">
        <f>IFERROR(__xludf.DUMMYFUNCTION("""COMPUTED_VALUE"""),"Walk-Ins")</f>
        <v>Walk-Ins</v>
      </c>
      <c r="V1281" s="124" t="str">
        <f>IFERROR(__xludf.DUMMYFUNCTION("""COMPUTED_VALUE"""),"Walkin")</f>
        <v>Walkin</v>
      </c>
      <c r="W1281" s="124" t="str">
        <f>IFERROR(__xludf.DUMMYFUNCTION("""COMPUTED_VALUE"""),"Prayagraj")</f>
        <v>Prayagraj</v>
      </c>
      <c r="X1281" s="124" t="str">
        <f>IFERROR(__xludf.DUMMYFUNCTION("""COMPUTED_VALUE"""),"Walkin")</f>
        <v>Walkin</v>
      </c>
      <c r="Y1281" s="124" t="str">
        <f>IFERROR(__xludf.DUMMYFUNCTION("""COMPUTED_VALUE"""),"Prayagraj")</f>
        <v>Prayagraj</v>
      </c>
      <c r="Z1281" s="124">
        <f>IFERROR(__xludf.DUMMYFUNCTION("""COMPUTED_VALUE"""),1.0)</f>
        <v>1</v>
      </c>
      <c r="AA1281" s="124" t="str">
        <f>IFERROR(__xludf.DUMMYFUNCTION("""COMPUTED_VALUE"""),"Not Interested")</f>
        <v>Not Interested</v>
      </c>
      <c r="AB1281" s="124" t="str">
        <f>IFERROR(__xludf.DUMMYFUNCTION("""COMPUTED_VALUE"""),"GS Foundation")</f>
        <v>GS Foundation</v>
      </c>
    </row>
    <row r="1282">
      <c r="A1282" s="129">
        <f>IFERROR(__xludf.DUMMYFUNCTION("""COMPUTED_VALUE"""),46095.0)</f>
        <v>46095</v>
      </c>
      <c r="B1282" s="124" t="str">
        <f>IFERROR(__xludf.DUMMYFUNCTION("""COMPUTED_VALUE"""),"Walkin")</f>
        <v>Walkin</v>
      </c>
      <c r="C1282" s="124" t="str">
        <f>IFERROR(__xludf.DUMMYFUNCTION("""COMPUTED_VALUE"""),"Patna")</f>
        <v>Patna</v>
      </c>
      <c r="D1282" s="124" t="str">
        <f>IFERROR(__xludf.DUMMYFUNCTION("""COMPUTED_VALUE"""),"Primary_Walkin")</f>
        <v>Primary_Walkin</v>
      </c>
      <c r="E1282" s="124">
        <f>IFERROR(__xludf.DUMMYFUNCTION("""COMPUTED_VALUE"""),1.0)</f>
        <v>1</v>
      </c>
      <c r="F1282" s="124" t="str">
        <f>IFERROR(__xludf.DUMMYFUNCTION("""COMPUTED_VALUE"""),"Future Prospects")</f>
        <v>Future Prospects</v>
      </c>
      <c r="G1282" s="124" t="str">
        <f>IFERROR(__xludf.DUMMYFUNCTION("""COMPUTED_VALUE"""),"GS Foundation")</f>
        <v>GS Foundation</v>
      </c>
      <c r="K1282" s="124"/>
      <c r="L1282" s="124"/>
      <c r="M1282" s="124"/>
      <c r="N1282" s="124"/>
      <c r="O1282" s="124"/>
      <c r="T1282" s="126">
        <f>IFERROR(__xludf.DUMMYFUNCTION("""COMPUTED_VALUE"""),46049.0)</f>
        <v>46049</v>
      </c>
      <c r="U1282" s="124" t="str">
        <f>IFERROR(__xludf.DUMMYFUNCTION("""COMPUTED_VALUE"""),"Walk-Ins")</f>
        <v>Walk-Ins</v>
      </c>
      <c r="V1282" s="124" t="str">
        <f>IFERROR(__xludf.DUMMYFUNCTION("""COMPUTED_VALUE"""),"Walkin")</f>
        <v>Walkin</v>
      </c>
      <c r="W1282" s="124" t="str">
        <f>IFERROR(__xludf.DUMMYFUNCTION("""COMPUTED_VALUE"""),"Patna")</f>
        <v>Patna</v>
      </c>
      <c r="X1282" s="124" t="str">
        <f>IFERROR(__xludf.DUMMYFUNCTION("""COMPUTED_VALUE"""),"Walkin")</f>
        <v>Walkin</v>
      </c>
      <c r="Y1282" s="124" t="str">
        <f>IFERROR(__xludf.DUMMYFUNCTION("""COMPUTED_VALUE"""),"Patna")</f>
        <v>Patna</v>
      </c>
      <c r="Z1282" s="124">
        <f>IFERROR(__xludf.DUMMYFUNCTION("""COMPUTED_VALUE"""),2.0)</f>
        <v>2</v>
      </c>
      <c r="AA1282" s="124" t="str">
        <f>IFERROR(__xludf.DUMMYFUNCTION("""COMPUTED_VALUE"""),"Warm")</f>
        <v>Warm</v>
      </c>
      <c r="AB1282" s="124" t="str">
        <f>IFERROR(__xludf.DUMMYFUNCTION("""COMPUTED_VALUE"""),"GS Foundation")</f>
        <v>GS Foundation</v>
      </c>
    </row>
    <row r="1283">
      <c r="A1283" s="126">
        <f>IFERROR(__xludf.DUMMYFUNCTION("""COMPUTED_VALUE"""),46066.0)</f>
        <v>46066</v>
      </c>
      <c r="B1283" s="124" t="str">
        <f>IFERROR(__xludf.DUMMYFUNCTION("""COMPUTED_VALUE"""),"Walkin")</f>
        <v>Walkin</v>
      </c>
      <c r="C1283" s="124" t="str">
        <f>IFERROR(__xludf.DUMMYFUNCTION("""COMPUTED_VALUE"""),"Patna")</f>
        <v>Patna</v>
      </c>
      <c r="D1283" s="124" t="str">
        <f>IFERROR(__xludf.DUMMYFUNCTION("""COMPUTED_VALUE"""),"Primary_Walkin")</f>
        <v>Primary_Walkin</v>
      </c>
      <c r="E1283" s="124">
        <f>IFERROR(__xludf.DUMMYFUNCTION("""COMPUTED_VALUE"""),1.0)</f>
        <v>1</v>
      </c>
      <c r="F1283" s="124" t="str">
        <f>IFERROR(__xludf.DUMMYFUNCTION("""COMPUTED_VALUE"""),"Enrolled")</f>
        <v>Enrolled</v>
      </c>
      <c r="G1283" s="124" t="str">
        <f>IFERROR(__xludf.DUMMYFUNCTION("""COMPUTED_VALUE"""),"GS Foundation")</f>
        <v>GS Foundation</v>
      </c>
      <c r="K1283" s="124"/>
      <c r="L1283" s="124"/>
      <c r="M1283" s="124"/>
      <c r="N1283" s="124"/>
      <c r="O1283" s="124"/>
      <c r="T1283" s="126">
        <f>IFERROR(__xludf.DUMMYFUNCTION("""COMPUTED_VALUE"""),46094.0)</f>
        <v>46094</v>
      </c>
      <c r="U1283" s="124" t="str">
        <f>IFERROR(__xludf.DUMMYFUNCTION("""COMPUTED_VALUE"""),"Walk-Ins")</f>
        <v>Walk-Ins</v>
      </c>
      <c r="V1283" s="124" t="str">
        <f>IFERROR(__xludf.DUMMYFUNCTION("""COMPUTED_VALUE"""),"Walkin")</f>
        <v>Walkin</v>
      </c>
      <c r="W1283" s="124" t="str">
        <f>IFERROR(__xludf.DUMMYFUNCTION("""COMPUTED_VALUE"""),"Indore")</f>
        <v>Indore</v>
      </c>
      <c r="X1283" s="124" t="str">
        <f>IFERROR(__xludf.DUMMYFUNCTION("""COMPUTED_VALUE"""),"Walkin")</f>
        <v>Walkin</v>
      </c>
      <c r="Y1283" s="124" t="str">
        <f>IFERROR(__xludf.DUMMYFUNCTION("""COMPUTED_VALUE"""),"Indore")</f>
        <v>Indore</v>
      </c>
      <c r="Z1283" s="124">
        <f>IFERROR(__xludf.DUMMYFUNCTION("""COMPUTED_VALUE"""),2.0)</f>
        <v>2</v>
      </c>
      <c r="AA1283" s="124" t="str">
        <f>IFERROR(__xludf.DUMMYFUNCTION("""COMPUTED_VALUE"""),"Future Prospects")</f>
        <v>Future Prospects</v>
      </c>
      <c r="AB1283" s="124" t="str">
        <f>IFERROR(__xludf.DUMMYFUNCTION("""COMPUTED_VALUE"""),"Other")</f>
        <v>Other</v>
      </c>
    </row>
    <row r="1284">
      <c r="A1284" s="129">
        <f>IFERROR(__xludf.DUMMYFUNCTION("""COMPUTED_VALUE"""),46045.0)</f>
        <v>46045</v>
      </c>
      <c r="B1284" s="124" t="str">
        <f>IFERROR(__xludf.DUMMYFUNCTION("""COMPUTED_VALUE"""),"Walk-In")</f>
        <v>Walk-In</v>
      </c>
      <c r="C1284" s="124"/>
      <c r="D1284" s="124" t="str">
        <f>IFERROR(__xludf.DUMMYFUNCTION("""COMPUTED_VALUE"""),"Primary_Walkin")</f>
        <v>Primary_Walkin</v>
      </c>
      <c r="E1284" s="124">
        <f>IFERROR(__xludf.DUMMYFUNCTION("""COMPUTED_VALUE"""),1.0)</f>
        <v>1</v>
      </c>
      <c r="F1284" s="124" t="str">
        <f>IFERROR(__xludf.DUMMYFUNCTION("""COMPUTED_VALUE"""),"Not Interested")</f>
        <v>Not Interested</v>
      </c>
      <c r="G1284" s="124" t="str">
        <f>IFERROR(__xludf.DUMMYFUNCTION("""COMPUTED_VALUE"""),"GS Foundation")</f>
        <v>GS Foundation</v>
      </c>
      <c r="K1284" s="124"/>
      <c r="L1284" s="124"/>
      <c r="M1284" s="124"/>
      <c r="N1284" s="124"/>
      <c r="O1284" s="124"/>
      <c r="T1284" s="126">
        <f>IFERROR(__xludf.DUMMYFUNCTION("""COMPUTED_VALUE"""),46056.0)</f>
        <v>46056</v>
      </c>
      <c r="U1284" s="124" t="str">
        <f>IFERROR(__xludf.DUMMYFUNCTION("""COMPUTED_VALUE"""),"Walk-Ins")</f>
        <v>Walk-Ins</v>
      </c>
      <c r="V1284" s="124" t="str">
        <f>IFERROR(__xludf.DUMMYFUNCTION("""COMPUTED_VALUE"""),"Walk-In")</f>
        <v>Walk-In</v>
      </c>
      <c r="W1284" s="124" t="str">
        <f>IFERROR(__xludf.DUMMYFUNCTION("""COMPUTED_VALUE"""),"Patna")</f>
        <v>Patna</v>
      </c>
      <c r="X1284" s="124" t="str">
        <f>IFERROR(__xludf.DUMMYFUNCTION("""COMPUTED_VALUE"""),"Others")</f>
        <v>Others</v>
      </c>
      <c r="Y1284" s="124" t="str">
        <f>IFERROR(__xludf.DUMMYFUNCTION("""COMPUTED_VALUE"""),"Patna")</f>
        <v>Patna</v>
      </c>
      <c r="Z1284" s="124">
        <f>IFERROR(__xludf.DUMMYFUNCTION("""COMPUTED_VALUE"""),1.0)</f>
        <v>1</v>
      </c>
      <c r="AA1284" s="124" t="str">
        <f>IFERROR(__xludf.DUMMYFUNCTION("""COMPUTED_VALUE"""),"Warm")</f>
        <v>Warm</v>
      </c>
      <c r="AB1284" s="124" t="str">
        <f>IFERROR(__xludf.DUMMYFUNCTION("""COMPUTED_VALUE"""),"State PCS")</f>
        <v>State PCS</v>
      </c>
    </row>
    <row r="1285">
      <c r="A1285" s="126">
        <f>IFERROR(__xludf.DUMMYFUNCTION("""COMPUTED_VALUE"""),46097.0)</f>
        <v>46097</v>
      </c>
      <c r="B1285" s="124" t="str">
        <f>IFERROR(__xludf.DUMMYFUNCTION("""COMPUTED_VALUE"""),"Walk-In")</f>
        <v>Walk-In</v>
      </c>
      <c r="C1285" s="124"/>
      <c r="D1285" s="124" t="str">
        <f>IFERROR(__xludf.DUMMYFUNCTION("""COMPUTED_VALUE"""),"Primary_Walkin")</f>
        <v>Primary_Walkin</v>
      </c>
      <c r="E1285" s="124">
        <f>IFERROR(__xludf.DUMMYFUNCTION("""COMPUTED_VALUE"""),2.0)</f>
        <v>2</v>
      </c>
      <c r="F1285" s="124" t="str">
        <f>IFERROR(__xludf.DUMMYFUNCTION("""COMPUTED_VALUE"""),"Warm")</f>
        <v>Warm</v>
      </c>
      <c r="G1285" s="124" t="str">
        <f>IFERROR(__xludf.DUMMYFUNCTION("""COMPUTED_VALUE"""),"State PCS")</f>
        <v>State PCS</v>
      </c>
      <c r="K1285" s="124"/>
      <c r="L1285" s="124"/>
      <c r="M1285" s="124"/>
      <c r="N1285" s="124"/>
      <c r="O1285" s="124"/>
      <c r="T1285" s="129">
        <f>IFERROR(__xludf.DUMMYFUNCTION("""COMPUTED_VALUE"""),46093.0)</f>
        <v>46093</v>
      </c>
      <c r="U1285" s="124" t="str">
        <f>IFERROR(__xludf.DUMMYFUNCTION("""COMPUTED_VALUE"""),"Walk-Ins")</f>
        <v>Walk-Ins</v>
      </c>
      <c r="V1285" s="124" t="str">
        <f>IFERROR(__xludf.DUMMYFUNCTION("""COMPUTED_VALUE"""),"Walkin")</f>
        <v>Walkin</v>
      </c>
      <c r="W1285" s="124" t="str">
        <f>IFERROR(__xludf.DUMMYFUNCTION("""COMPUTED_VALUE"""),"Prayagraj")</f>
        <v>Prayagraj</v>
      </c>
      <c r="X1285" s="124" t="str">
        <f>IFERROR(__xludf.DUMMYFUNCTION("""COMPUTED_VALUE"""),"Walkin")</f>
        <v>Walkin</v>
      </c>
      <c r="Y1285" s="124" t="str">
        <f>IFERROR(__xludf.DUMMYFUNCTION("""COMPUTED_VALUE"""),"Prayagraj")</f>
        <v>Prayagraj</v>
      </c>
      <c r="Z1285" s="124">
        <f>IFERROR(__xludf.DUMMYFUNCTION("""COMPUTED_VALUE"""),1.0)</f>
        <v>1</v>
      </c>
      <c r="AA1285" s="124" t="str">
        <f>IFERROR(__xludf.DUMMYFUNCTION("""COMPUTED_VALUE"""),"Future Prospects")</f>
        <v>Future Prospects</v>
      </c>
      <c r="AB1285" s="124" t="str">
        <f>IFERROR(__xludf.DUMMYFUNCTION("""COMPUTED_VALUE"""),"State PCS")</f>
        <v>State PCS</v>
      </c>
    </row>
    <row r="1286">
      <c r="A1286" s="126">
        <f>IFERROR(__xludf.DUMMYFUNCTION("""COMPUTED_VALUE"""),46090.0)</f>
        <v>46090</v>
      </c>
      <c r="B1286" s="124" t="str">
        <f>IFERROR(__xludf.DUMMYFUNCTION("""COMPUTED_VALUE"""),"Walk-In")</f>
        <v>Walk-In</v>
      </c>
      <c r="C1286" s="124"/>
      <c r="D1286" s="124" t="str">
        <f>IFERROR(__xludf.DUMMYFUNCTION("""COMPUTED_VALUE"""),"Primary_Walkin")</f>
        <v>Primary_Walkin</v>
      </c>
      <c r="E1286" s="124">
        <f>IFERROR(__xludf.DUMMYFUNCTION("""COMPUTED_VALUE"""),1.0)</f>
        <v>1</v>
      </c>
      <c r="F1286" s="124" t="str">
        <f>IFERROR(__xludf.DUMMYFUNCTION("""COMPUTED_VALUE"""),"Cold")</f>
        <v>Cold</v>
      </c>
      <c r="G1286" s="124" t="str">
        <f>IFERROR(__xludf.DUMMYFUNCTION("""COMPUTED_VALUE"""),"GS Foundation")</f>
        <v>GS Foundation</v>
      </c>
      <c r="K1286" s="124"/>
      <c r="L1286" s="124"/>
      <c r="M1286" s="124"/>
      <c r="N1286" s="124"/>
      <c r="O1286" s="124"/>
      <c r="T1286" s="126">
        <f>IFERROR(__xludf.DUMMYFUNCTION("""COMPUTED_VALUE"""),46101.0)</f>
        <v>46101</v>
      </c>
      <c r="U1286" s="124" t="str">
        <f>IFERROR(__xludf.DUMMYFUNCTION("""COMPUTED_VALUE"""),"Walk-Ins")</f>
        <v>Walk-Ins</v>
      </c>
      <c r="V1286" s="124" t="str">
        <f>IFERROR(__xludf.DUMMYFUNCTION("""COMPUTED_VALUE"""),"Walkin")</f>
        <v>Walkin</v>
      </c>
      <c r="W1286" s="124" t="str">
        <f>IFERROR(__xludf.DUMMYFUNCTION("""COMPUTED_VALUE"""),"Prayagraj")</f>
        <v>Prayagraj</v>
      </c>
      <c r="X1286" s="124" t="str">
        <f>IFERROR(__xludf.DUMMYFUNCTION("""COMPUTED_VALUE"""),"Walkin")</f>
        <v>Walkin</v>
      </c>
      <c r="Y1286" s="124" t="str">
        <f>IFERROR(__xludf.DUMMYFUNCTION("""COMPUTED_VALUE"""),"Prayagraj")</f>
        <v>Prayagraj</v>
      </c>
      <c r="Z1286" s="124">
        <f>IFERROR(__xludf.DUMMYFUNCTION("""COMPUTED_VALUE"""),1.0)</f>
        <v>1</v>
      </c>
      <c r="AA1286" s="124" t="str">
        <f>IFERROR(__xludf.DUMMYFUNCTION("""COMPUTED_VALUE"""),"Fake Lead")</f>
        <v>Fake Lead</v>
      </c>
      <c r="AB1286" s="124" t="str">
        <f>IFERROR(__xludf.DUMMYFUNCTION("""COMPUTED_VALUE"""),"State PCS")</f>
        <v>State PCS</v>
      </c>
    </row>
    <row r="1287">
      <c r="A1287" s="126">
        <f>IFERROR(__xludf.DUMMYFUNCTION("""COMPUTED_VALUE"""),46043.0)</f>
        <v>46043</v>
      </c>
      <c r="B1287" s="124" t="str">
        <f>IFERROR(__xludf.DUMMYFUNCTION("""COMPUTED_VALUE"""),"Walk-In")</f>
        <v>Walk-In</v>
      </c>
      <c r="C1287" s="124"/>
      <c r="D1287" s="124" t="str">
        <f>IFERROR(__xludf.DUMMYFUNCTION("""COMPUTED_VALUE"""),"Primary_Walkin")</f>
        <v>Primary_Walkin</v>
      </c>
      <c r="E1287" s="124">
        <f>IFERROR(__xludf.DUMMYFUNCTION("""COMPUTED_VALUE"""),1.0)</f>
        <v>1</v>
      </c>
      <c r="F1287" s="124" t="str">
        <f>IFERROR(__xludf.DUMMYFUNCTION("""COMPUTED_VALUE"""),"Cold")</f>
        <v>Cold</v>
      </c>
      <c r="G1287" s="124" t="str">
        <f>IFERROR(__xludf.DUMMYFUNCTION("""COMPUTED_VALUE"""),"GS Foundation")</f>
        <v>GS Foundation</v>
      </c>
      <c r="K1287" s="124"/>
      <c r="L1287" s="124"/>
      <c r="M1287" s="124"/>
      <c r="N1287" s="124"/>
      <c r="O1287" s="124"/>
      <c r="T1287" s="126">
        <f>IFERROR(__xludf.DUMMYFUNCTION("""COMPUTED_VALUE"""),46081.0)</f>
        <v>46081</v>
      </c>
      <c r="U1287" s="124" t="str">
        <f>IFERROR(__xludf.DUMMYFUNCTION("""COMPUTED_VALUE"""),"Walk-Ins")</f>
        <v>Walk-Ins</v>
      </c>
      <c r="V1287" s="124" t="str">
        <f>IFERROR(__xludf.DUMMYFUNCTION("""COMPUTED_VALUE"""),"Walkin")</f>
        <v>Walkin</v>
      </c>
      <c r="W1287" s="124" t="str">
        <f>IFERROR(__xludf.DUMMYFUNCTION("""COMPUTED_VALUE"""),"Indore")</f>
        <v>Indore</v>
      </c>
      <c r="X1287" s="124" t="str">
        <f>IFERROR(__xludf.DUMMYFUNCTION("""COMPUTED_VALUE"""),"Walkin")</f>
        <v>Walkin</v>
      </c>
      <c r="Y1287" s="124" t="str">
        <f>IFERROR(__xludf.DUMMYFUNCTION("""COMPUTED_VALUE"""),"Indore")</f>
        <v>Indore</v>
      </c>
      <c r="Z1287" s="124">
        <f>IFERROR(__xludf.DUMMYFUNCTION("""COMPUTED_VALUE"""),4.0)</f>
        <v>4</v>
      </c>
      <c r="AA1287" s="124" t="str">
        <f>IFERROR(__xludf.DUMMYFUNCTION("""COMPUTED_VALUE"""),"Cold")</f>
        <v>Cold</v>
      </c>
      <c r="AB1287" s="124" t="str">
        <f>IFERROR(__xludf.DUMMYFUNCTION("""COMPUTED_VALUE"""),"State PCS")</f>
        <v>State PCS</v>
      </c>
    </row>
    <row r="1288">
      <c r="A1288" s="129">
        <f>IFERROR(__xludf.DUMMYFUNCTION("""COMPUTED_VALUE"""),46111.0)</f>
        <v>46111</v>
      </c>
      <c r="B1288" s="124" t="str">
        <f>IFERROR(__xludf.DUMMYFUNCTION("""COMPUTED_VALUE"""),"Walk-In")</f>
        <v>Walk-In</v>
      </c>
      <c r="C1288" s="124"/>
      <c r="D1288" s="124" t="str">
        <f>IFERROR(__xludf.DUMMYFUNCTION("""COMPUTED_VALUE"""),"Primary_Walkin")</f>
        <v>Primary_Walkin</v>
      </c>
      <c r="E1288" s="124">
        <f>IFERROR(__xludf.DUMMYFUNCTION("""COMPUTED_VALUE"""),2.0)</f>
        <v>2</v>
      </c>
      <c r="F1288" s="124" t="str">
        <f>IFERROR(__xludf.DUMMYFUNCTION("""COMPUTED_VALUE"""),"Warm")</f>
        <v>Warm</v>
      </c>
      <c r="G1288" s="124" t="str">
        <f>IFERROR(__xludf.DUMMYFUNCTION("""COMPUTED_VALUE"""),"GS Foundation")</f>
        <v>GS Foundation</v>
      </c>
      <c r="K1288" s="124"/>
      <c r="L1288" s="124"/>
      <c r="M1288" s="124"/>
      <c r="N1288" s="124"/>
      <c r="O1288" s="124"/>
      <c r="T1288" s="126">
        <f>IFERROR(__xludf.DUMMYFUNCTION("""COMPUTED_VALUE"""),46062.0)</f>
        <v>46062</v>
      </c>
      <c r="U1288" s="124" t="str">
        <f>IFERROR(__xludf.DUMMYFUNCTION("""COMPUTED_VALUE"""),"Walk-Ins")</f>
        <v>Walk-Ins</v>
      </c>
      <c r="V1288" s="124" t="str">
        <f>IFERROR(__xludf.DUMMYFUNCTION("""COMPUTED_VALUE"""),"Walkin")</f>
        <v>Walkin</v>
      </c>
      <c r="W1288" s="124" t="str">
        <f>IFERROR(__xludf.DUMMYFUNCTION("""COMPUTED_VALUE"""),"Lucknow")</f>
        <v>Lucknow</v>
      </c>
      <c r="X1288" s="124" t="str">
        <f>IFERROR(__xludf.DUMMYFUNCTION("""COMPUTED_VALUE"""),"Walkin")</f>
        <v>Walkin</v>
      </c>
      <c r="Y1288" s="124" t="str">
        <f>IFERROR(__xludf.DUMMYFUNCTION("""COMPUTED_VALUE"""),"Lucknow")</f>
        <v>Lucknow</v>
      </c>
      <c r="Z1288" s="124">
        <f>IFERROR(__xludf.DUMMYFUNCTION("""COMPUTED_VALUE"""),4.0)</f>
        <v>4</v>
      </c>
      <c r="AA1288" s="124" t="str">
        <f>IFERROR(__xludf.DUMMYFUNCTION("""COMPUTED_VALUE"""),"Cold")</f>
        <v>Cold</v>
      </c>
      <c r="AB1288" s="124" t="str">
        <f>IFERROR(__xludf.DUMMYFUNCTION("""COMPUTED_VALUE"""),"IGP UPPSC")</f>
        <v>IGP UPPSC</v>
      </c>
    </row>
    <row r="1289">
      <c r="A1289" s="126">
        <f>IFERROR(__xludf.DUMMYFUNCTION("""COMPUTED_VALUE"""),46088.0)</f>
        <v>46088</v>
      </c>
      <c r="B1289" s="124" t="str">
        <f>IFERROR(__xludf.DUMMYFUNCTION("""COMPUTED_VALUE"""),"Walkin")</f>
        <v>Walkin</v>
      </c>
      <c r="C1289" s="124" t="str">
        <f>IFERROR(__xludf.DUMMYFUNCTION("""COMPUTED_VALUE"""),"Prayagraj")</f>
        <v>Prayagraj</v>
      </c>
      <c r="D1289" s="124" t="str">
        <f>IFERROR(__xludf.DUMMYFUNCTION("""COMPUTED_VALUE"""),"Primary_Walkin")</f>
        <v>Primary_Walkin</v>
      </c>
      <c r="E1289" s="124">
        <f>IFERROR(__xludf.DUMMYFUNCTION("""COMPUTED_VALUE"""),1.0)</f>
        <v>1</v>
      </c>
      <c r="F1289" s="124" t="str">
        <f>IFERROR(__xludf.DUMMYFUNCTION("""COMPUTED_VALUE"""),"Warm")</f>
        <v>Warm</v>
      </c>
      <c r="G1289" s="124" t="str">
        <f>IFERROR(__xludf.DUMMYFUNCTION("""COMPUTED_VALUE"""),"GS Foundation")</f>
        <v>GS Foundation</v>
      </c>
      <c r="K1289" s="124"/>
      <c r="L1289" s="124"/>
      <c r="M1289" s="124"/>
      <c r="N1289" s="124"/>
      <c r="O1289" s="124"/>
      <c r="T1289" s="126">
        <f>IFERROR(__xludf.DUMMYFUNCTION("""COMPUTED_VALUE"""),46047.0)</f>
        <v>46047</v>
      </c>
      <c r="U1289" s="124" t="str">
        <f>IFERROR(__xludf.DUMMYFUNCTION("""COMPUTED_VALUE"""),"Walk-Ins")</f>
        <v>Walk-Ins</v>
      </c>
      <c r="V1289" s="124" t="str">
        <f>IFERROR(__xludf.DUMMYFUNCTION("""COMPUTED_VALUE"""),"Walkin")</f>
        <v>Walkin</v>
      </c>
      <c r="W1289" s="124" t="str">
        <f>IFERROR(__xludf.DUMMYFUNCTION("""COMPUTED_VALUE"""),"Patna")</f>
        <v>Patna</v>
      </c>
      <c r="X1289" s="124" t="str">
        <f>IFERROR(__xludf.DUMMYFUNCTION("""COMPUTED_VALUE"""),"Walkin")</f>
        <v>Walkin</v>
      </c>
      <c r="Y1289" s="124" t="str">
        <f>IFERROR(__xludf.DUMMYFUNCTION("""COMPUTED_VALUE"""),"Patna")</f>
        <v>Patna</v>
      </c>
      <c r="Z1289" s="124">
        <f>IFERROR(__xludf.DUMMYFUNCTION("""COMPUTED_VALUE"""),2.0)</f>
        <v>2</v>
      </c>
      <c r="AA1289" s="124" t="str">
        <f>IFERROR(__xludf.DUMMYFUNCTION("""COMPUTED_VALUE"""),"Warm")</f>
        <v>Warm</v>
      </c>
      <c r="AB1289" s="124" t="str">
        <f>IFERROR(__xludf.DUMMYFUNCTION("""COMPUTED_VALUE"""),"State PCS")</f>
        <v>State PCS</v>
      </c>
    </row>
    <row r="1290">
      <c r="A1290" s="126">
        <f>IFERROR(__xludf.DUMMYFUNCTION("""COMPUTED_VALUE"""),46090.0)</f>
        <v>46090</v>
      </c>
      <c r="B1290" s="124" t="str">
        <f>IFERROR(__xludf.DUMMYFUNCTION("""COMPUTED_VALUE"""),"Walkin")</f>
        <v>Walkin</v>
      </c>
      <c r="C1290" s="124" t="str">
        <f>IFERROR(__xludf.DUMMYFUNCTION("""COMPUTED_VALUE"""),"Prayagraj")</f>
        <v>Prayagraj</v>
      </c>
      <c r="D1290" s="124" t="str">
        <f>IFERROR(__xludf.DUMMYFUNCTION("""COMPUTED_VALUE"""),"Primary_Walkin")</f>
        <v>Primary_Walkin</v>
      </c>
      <c r="E1290" s="124">
        <f>IFERROR(__xludf.DUMMYFUNCTION("""COMPUTED_VALUE"""),1.0)</f>
        <v>1</v>
      </c>
      <c r="F1290" s="124" t="str">
        <f>IFERROR(__xludf.DUMMYFUNCTION("""COMPUTED_VALUE"""),"Cold")</f>
        <v>Cold</v>
      </c>
      <c r="G1290" s="124" t="str">
        <f>IFERROR(__xludf.DUMMYFUNCTION("""COMPUTED_VALUE"""),"GS Foundation")</f>
        <v>GS Foundation</v>
      </c>
      <c r="K1290" s="124"/>
      <c r="L1290" s="124"/>
      <c r="M1290" s="124"/>
      <c r="N1290" s="124"/>
      <c r="O1290" s="124"/>
      <c r="T1290" s="126">
        <f>IFERROR(__xludf.DUMMYFUNCTION("""COMPUTED_VALUE"""),46089.0)</f>
        <v>46089</v>
      </c>
      <c r="U1290" s="124" t="str">
        <f>IFERROR(__xludf.DUMMYFUNCTION("""COMPUTED_VALUE"""),"Walk-Ins")</f>
        <v>Walk-Ins</v>
      </c>
      <c r="V1290" s="124" t="str">
        <f>IFERROR(__xludf.DUMMYFUNCTION("""COMPUTED_VALUE"""),"Walkin")</f>
        <v>Walkin</v>
      </c>
      <c r="W1290" s="124" t="str">
        <f>IFERROR(__xludf.DUMMYFUNCTION("""COMPUTED_VALUE"""),"Prayagraj")</f>
        <v>Prayagraj</v>
      </c>
      <c r="X1290" s="124" t="str">
        <f>IFERROR(__xludf.DUMMYFUNCTION("""COMPUTED_VALUE"""),"Walkin")</f>
        <v>Walkin</v>
      </c>
      <c r="Y1290" s="124" t="str">
        <f>IFERROR(__xludf.DUMMYFUNCTION("""COMPUTED_VALUE"""),"Prayagraj")</f>
        <v>Prayagraj</v>
      </c>
      <c r="Z1290" s="124">
        <f>IFERROR(__xludf.DUMMYFUNCTION("""COMPUTED_VALUE"""),2.0)</f>
        <v>2</v>
      </c>
      <c r="AA1290" s="124" t="str">
        <f>IFERROR(__xludf.DUMMYFUNCTION("""COMPUTED_VALUE"""),"Enrolled")</f>
        <v>Enrolled</v>
      </c>
      <c r="AB1290" s="124" t="str">
        <f>IFERROR(__xludf.DUMMYFUNCTION("""COMPUTED_VALUE"""),"GS Foundation")</f>
        <v>GS Foundation</v>
      </c>
    </row>
    <row r="1291">
      <c r="A1291" s="129">
        <f>IFERROR(__xludf.DUMMYFUNCTION("""COMPUTED_VALUE"""),46105.0)</f>
        <v>46105</v>
      </c>
      <c r="B1291" s="124" t="str">
        <f>IFERROR(__xludf.DUMMYFUNCTION("""COMPUTED_VALUE"""),"Walkin")</f>
        <v>Walkin</v>
      </c>
      <c r="C1291" s="124" t="str">
        <f>IFERROR(__xludf.DUMMYFUNCTION("""COMPUTED_VALUE"""),"Prayagraj")</f>
        <v>Prayagraj</v>
      </c>
      <c r="D1291" s="124" t="str">
        <f>IFERROR(__xludf.DUMMYFUNCTION("""COMPUTED_VALUE"""),"Primary_Walkin")</f>
        <v>Primary_Walkin</v>
      </c>
      <c r="E1291" s="124">
        <f>IFERROR(__xludf.DUMMYFUNCTION("""COMPUTED_VALUE"""),2.0)</f>
        <v>2</v>
      </c>
      <c r="F1291" s="124" t="str">
        <f>IFERROR(__xludf.DUMMYFUNCTION("""COMPUTED_VALUE"""),"Future Prospects")</f>
        <v>Future Prospects</v>
      </c>
      <c r="G1291" s="124" t="str">
        <f>IFERROR(__xludf.DUMMYFUNCTION("""COMPUTED_VALUE"""),"GS Foundation")</f>
        <v>GS Foundation</v>
      </c>
      <c r="K1291" s="124"/>
      <c r="L1291" s="124"/>
      <c r="M1291" s="124"/>
      <c r="N1291" s="124"/>
      <c r="O1291" s="124"/>
      <c r="T1291" s="129">
        <f>IFERROR(__xludf.DUMMYFUNCTION("""COMPUTED_VALUE"""),46101.0)</f>
        <v>46101</v>
      </c>
      <c r="U1291" s="124" t="str">
        <f>IFERROR(__xludf.DUMMYFUNCTION("""COMPUTED_VALUE"""),"Walk-Ins")</f>
        <v>Walk-Ins</v>
      </c>
      <c r="V1291" s="124" t="str">
        <f>IFERROR(__xludf.DUMMYFUNCTION("""COMPUTED_VALUE"""),"Walkin")</f>
        <v>Walkin</v>
      </c>
      <c r="W1291" s="124" t="str">
        <f>IFERROR(__xludf.DUMMYFUNCTION("""COMPUTED_VALUE"""),"Prayagraj")</f>
        <v>Prayagraj</v>
      </c>
      <c r="X1291" s="124" t="str">
        <f>IFERROR(__xludf.DUMMYFUNCTION("""COMPUTED_VALUE"""),"Walkin")</f>
        <v>Walkin</v>
      </c>
      <c r="Y1291" s="124" t="str">
        <f>IFERROR(__xludf.DUMMYFUNCTION("""COMPUTED_VALUE"""),"Prayagraj")</f>
        <v>Prayagraj</v>
      </c>
      <c r="Z1291" s="124">
        <f>IFERROR(__xludf.DUMMYFUNCTION("""COMPUTED_VALUE"""),1.0)</f>
        <v>1</v>
      </c>
      <c r="AA1291" s="124" t="str">
        <f>IFERROR(__xludf.DUMMYFUNCTION("""COMPUTED_VALUE"""),"Future Prospects")</f>
        <v>Future Prospects</v>
      </c>
      <c r="AB1291" s="124" t="str">
        <f>IFERROR(__xludf.DUMMYFUNCTION("""COMPUTED_VALUE"""),"Mentorship")</f>
        <v>Mentorship</v>
      </c>
    </row>
    <row r="1292">
      <c r="A1292" s="126">
        <f>IFERROR(__xludf.DUMMYFUNCTION("""COMPUTED_VALUE"""),46095.0)</f>
        <v>46095</v>
      </c>
      <c r="B1292" s="124" t="str">
        <f>IFERROR(__xludf.DUMMYFUNCTION("""COMPUTED_VALUE"""),"Walkin")</f>
        <v>Walkin</v>
      </c>
      <c r="C1292" s="124" t="str">
        <f>IFERROR(__xludf.DUMMYFUNCTION("""COMPUTED_VALUE"""),"Prayagraj")</f>
        <v>Prayagraj</v>
      </c>
      <c r="D1292" s="124" t="str">
        <f>IFERROR(__xludf.DUMMYFUNCTION("""COMPUTED_VALUE"""),"Primary_Walkin")</f>
        <v>Primary_Walkin</v>
      </c>
      <c r="E1292" s="124">
        <f>IFERROR(__xludf.DUMMYFUNCTION("""COMPUTED_VALUE"""),2.0)</f>
        <v>2</v>
      </c>
      <c r="F1292" s="124" t="str">
        <f>IFERROR(__xludf.DUMMYFUNCTION("""COMPUTED_VALUE"""),"Future Prospects")</f>
        <v>Future Prospects</v>
      </c>
      <c r="G1292" s="124" t="str">
        <f>IFERROR(__xludf.DUMMYFUNCTION("""COMPUTED_VALUE"""),"GS Foundation")</f>
        <v>GS Foundation</v>
      </c>
      <c r="K1292" s="124"/>
      <c r="L1292" s="124"/>
      <c r="M1292" s="124"/>
      <c r="N1292" s="124"/>
      <c r="O1292" s="124"/>
      <c r="T1292" s="129">
        <f>IFERROR(__xludf.DUMMYFUNCTION("""COMPUTED_VALUE"""),46058.0)</f>
        <v>46058</v>
      </c>
      <c r="U1292" s="124" t="str">
        <f>IFERROR(__xludf.DUMMYFUNCTION("""COMPUTED_VALUE"""),"Walk-Ins")</f>
        <v>Walk-Ins</v>
      </c>
      <c r="V1292" s="124" t="str">
        <f>IFERROR(__xludf.DUMMYFUNCTION("""COMPUTED_VALUE"""),"Walkin")</f>
        <v>Walkin</v>
      </c>
      <c r="W1292" s="124" t="str">
        <f>IFERROR(__xludf.DUMMYFUNCTION("""COMPUTED_VALUE"""),"Patna")</f>
        <v>Patna</v>
      </c>
      <c r="X1292" s="124" t="str">
        <f>IFERROR(__xludf.DUMMYFUNCTION("""COMPUTED_VALUE"""),"Walkin")</f>
        <v>Walkin</v>
      </c>
      <c r="Y1292" s="124" t="str">
        <f>IFERROR(__xludf.DUMMYFUNCTION("""COMPUTED_VALUE"""),"Patna")</f>
        <v>Patna</v>
      </c>
      <c r="Z1292" s="124">
        <f>IFERROR(__xludf.DUMMYFUNCTION("""COMPUTED_VALUE"""),2.0)</f>
        <v>2</v>
      </c>
      <c r="AA1292" s="124" t="str">
        <f>IFERROR(__xludf.DUMMYFUNCTION("""COMPUTED_VALUE"""),"Cold")</f>
        <v>Cold</v>
      </c>
      <c r="AB1292" s="124" t="str">
        <f>IFERROR(__xludf.DUMMYFUNCTION("""COMPUTED_VALUE"""),"GS Foundation")</f>
        <v>GS Foundation</v>
      </c>
    </row>
    <row r="1293">
      <c r="A1293" s="126">
        <f>IFERROR(__xludf.DUMMYFUNCTION("""COMPUTED_VALUE"""),46106.0)</f>
        <v>46106</v>
      </c>
      <c r="B1293" s="124" t="str">
        <f>IFERROR(__xludf.DUMMYFUNCTION("""COMPUTED_VALUE"""),"events")</f>
        <v>events</v>
      </c>
      <c r="C1293" s="124" t="str">
        <f>IFERROR(__xludf.DUMMYFUNCTION("""COMPUTED_VALUE"""),"Prayagraj")</f>
        <v>Prayagraj</v>
      </c>
      <c r="D1293" s="124" t="str">
        <f>IFERROR(__xludf.DUMMYFUNCTION("""COMPUTED_VALUE"""),"Secondary_Walkin")</f>
        <v>Secondary_Walkin</v>
      </c>
      <c r="E1293" s="124">
        <f>IFERROR(__xludf.DUMMYFUNCTION("""COMPUTED_VALUE"""),1.0)</f>
        <v>1</v>
      </c>
      <c r="F1293" s="124" t="str">
        <f>IFERROR(__xludf.DUMMYFUNCTION("""COMPUTED_VALUE"""),"Cold")</f>
        <v>Cold</v>
      </c>
      <c r="G1293" s="124" t="str">
        <f>IFERROR(__xludf.DUMMYFUNCTION("""COMPUTED_VALUE"""),"GS Foundation")</f>
        <v>GS Foundation</v>
      </c>
      <c r="K1293" s="124"/>
      <c r="L1293" s="124"/>
      <c r="M1293" s="124"/>
      <c r="N1293" s="124"/>
      <c r="O1293" s="124"/>
      <c r="T1293" s="126">
        <f>IFERROR(__xludf.DUMMYFUNCTION("""COMPUTED_VALUE"""),46098.0)</f>
        <v>46098</v>
      </c>
      <c r="U1293" s="124" t="str">
        <f>IFERROR(__xludf.DUMMYFUNCTION("""COMPUTED_VALUE"""),"Walk-Ins")</f>
        <v>Walk-Ins</v>
      </c>
      <c r="V1293" s="124" t="str">
        <f>IFERROR(__xludf.DUMMYFUNCTION("""COMPUTED_VALUE"""),"Walkin")</f>
        <v>Walkin</v>
      </c>
      <c r="W1293" s="124" t="str">
        <f>IFERROR(__xludf.DUMMYFUNCTION("""COMPUTED_VALUE"""),"Prayagraj")</f>
        <v>Prayagraj</v>
      </c>
      <c r="X1293" s="124" t="str">
        <f>IFERROR(__xludf.DUMMYFUNCTION("""COMPUTED_VALUE"""),"Walkin")</f>
        <v>Walkin</v>
      </c>
      <c r="Y1293" s="124" t="str">
        <f>IFERROR(__xludf.DUMMYFUNCTION("""COMPUTED_VALUE"""),"Prayagraj")</f>
        <v>Prayagraj</v>
      </c>
      <c r="Z1293" s="124">
        <f>IFERROR(__xludf.DUMMYFUNCTION("""COMPUTED_VALUE"""),2.0)</f>
        <v>2</v>
      </c>
      <c r="AA1293" s="124" t="str">
        <f>IFERROR(__xludf.DUMMYFUNCTION("""COMPUTED_VALUE"""),"Cold")</f>
        <v>Cold</v>
      </c>
      <c r="AB1293" s="124" t="str">
        <f>IFERROR(__xludf.DUMMYFUNCTION("""COMPUTED_VALUE"""),"GS Foundation")</f>
        <v>GS Foundation</v>
      </c>
    </row>
    <row r="1294">
      <c r="A1294" s="126">
        <f>IFERROR(__xludf.DUMMYFUNCTION("""COMPUTED_VALUE"""),46097.0)</f>
        <v>46097</v>
      </c>
      <c r="B1294" s="124" t="str">
        <f>IFERROR(__xludf.DUMMYFUNCTION("""COMPUTED_VALUE"""),"Outbound Call")</f>
        <v>Outbound Call</v>
      </c>
      <c r="C1294" s="124" t="str">
        <f>IFERROR(__xludf.DUMMYFUNCTION("""COMPUTED_VALUE"""),"Prayagraj")</f>
        <v>Prayagraj</v>
      </c>
      <c r="D1294" s="124" t="str">
        <f>IFERROR(__xludf.DUMMYFUNCTION("""COMPUTED_VALUE"""),"Secondary_Walkin")</f>
        <v>Secondary_Walkin</v>
      </c>
      <c r="E1294" s="124">
        <f>IFERROR(__xludf.DUMMYFUNCTION("""COMPUTED_VALUE"""),2.0)</f>
        <v>2</v>
      </c>
      <c r="F1294" s="124" t="str">
        <f>IFERROR(__xludf.DUMMYFUNCTION("""COMPUTED_VALUE"""),"Warm")</f>
        <v>Warm</v>
      </c>
      <c r="G1294" s="124" t="str">
        <f>IFERROR(__xludf.DUMMYFUNCTION("""COMPUTED_VALUE"""),"GS Foundation")</f>
        <v>GS Foundation</v>
      </c>
      <c r="K1294" s="124"/>
      <c r="L1294" s="124"/>
      <c r="M1294" s="124"/>
      <c r="N1294" s="124"/>
      <c r="O1294" s="124"/>
      <c r="T1294" s="126">
        <f>IFERROR(__xludf.DUMMYFUNCTION("""COMPUTED_VALUE"""),46045.0)</f>
        <v>46045</v>
      </c>
      <c r="U1294" s="124" t="str">
        <f>IFERROR(__xludf.DUMMYFUNCTION("""COMPUTED_VALUE"""),"Walk-Ins")</f>
        <v>Walk-Ins</v>
      </c>
      <c r="V1294" s="124" t="str">
        <f>IFERROR(__xludf.DUMMYFUNCTION("""COMPUTED_VALUE"""),"Walkin")</f>
        <v>Walkin</v>
      </c>
      <c r="W1294" s="124" t="str">
        <f>IFERROR(__xludf.DUMMYFUNCTION("""COMPUTED_VALUE"""),"Patna")</f>
        <v>Patna</v>
      </c>
      <c r="X1294" s="124" t="str">
        <f>IFERROR(__xludf.DUMMYFUNCTION("""COMPUTED_VALUE"""),"Walkin")</f>
        <v>Walkin</v>
      </c>
      <c r="Y1294" s="124" t="str">
        <f>IFERROR(__xludf.DUMMYFUNCTION("""COMPUTED_VALUE"""),"Patna")</f>
        <v>Patna</v>
      </c>
      <c r="Z1294" s="124">
        <f>IFERROR(__xludf.DUMMYFUNCTION("""COMPUTED_VALUE"""),1.0)</f>
        <v>1</v>
      </c>
      <c r="AA1294" s="124" t="str">
        <f>IFERROR(__xludf.DUMMYFUNCTION("""COMPUTED_VALUE"""),"Cold")</f>
        <v>Cold</v>
      </c>
      <c r="AB1294" s="124" t="str">
        <f>IFERROR(__xludf.DUMMYFUNCTION("""COMPUTED_VALUE"""),"SIM")</f>
        <v>SIM</v>
      </c>
    </row>
    <row r="1295">
      <c r="A1295" s="126">
        <f>IFERROR(__xludf.DUMMYFUNCTION("""COMPUTED_VALUE"""),46049.0)</f>
        <v>46049</v>
      </c>
      <c r="B1295" s="124" t="str">
        <f>IFERROR(__xludf.DUMMYFUNCTION("""COMPUTED_VALUE"""),"Walkin")</f>
        <v>Walkin</v>
      </c>
      <c r="C1295" s="124" t="str">
        <f>IFERROR(__xludf.DUMMYFUNCTION("""COMPUTED_VALUE"""),"Prayagraj")</f>
        <v>Prayagraj</v>
      </c>
      <c r="D1295" s="124" t="str">
        <f>IFERROR(__xludf.DUMMYFUNCTION("""COMPUTED_VALUE"""),"Primary_Walkin")</f>
        <v>Primary_Walkin</v>
      </c>
      <c r="E1295" s="124">
        <f>IFERROR(__xludf.DUMMYFUNCTION("""COMPUTED_VALUE"""),2.0)</f>
        <v>2</v>
      </c>
      <c r="F1295" s="124" t="str">
        <f>IFERROR(__xludf.DUMMYFUNCTION("""COMPUTED_VALUE"""),"Cold")</f>
        <v>Cold</v>
      </c>
      <c r="G1295" s="124" t="str">
        <f>IFERROR(__xludf.DUMMYFUNCTION("""COMPUTED_VALUE"""),"GS Foundation")</f>
        <v>GS Foundation</v>
      </c>
      <c r="K1295" s="124"/>
      <c r="L1295" s="124"/>
      <c r="M1295" s="124"/>
      <c r="N1295" s="124"/>
      <c r="O1295" s="124"/>
      <c r="T1295" s="126">
        <f>IFERROR(__xludf.DUMMYFUNCTION("""COMPUTED_VALUE"""),46067.0)</f>
        <v>46067</v>
      </c>
      <c r="U1295" s="124" t="str">
        <f>IFERROR(__xludf.DUMMYFUNCTION("""COMPUTED_VALUE"""),"Walk-Ins")</f>
        <v>Walk-Ins</v>
      </c>
      <c r="V1295" s="124" t="str">
        <f>IFERROR(__xludf.DUMMYFUNCTION("""COMPUTED_VALUE"""),"Walkin")</f>
        <v>Walkin</v>
      </c>
      <c r="W1295" s="124" t="str">
        <f>IFERROR(__xludf.DUMMYFUNCTION("""COMPUTED_VALUE"""),"Patna")</f>
        <v>Patna</v>
      </c>
      <c r="X1295" s="124" t="str">
        <f>IFERROR(__xludf.DUMMYFUNCTION("""COMPUTED_VALUE"""),"Walkin")</f>
        <v>Walkin</v>
      </c>
      <c r="Y1295" s="124" t="str">
        <f>IFERROR(__xludf.DUMMYFUNCTION("""COMPUTED_VALUE"""),"Patna")</f>
        <v>Patna</v>
      </c>
      <c r="Z1295" s="124">
        <f>IFERROR(__xludf.DUMMYFUNCTION("""COMPUTED_VALUE"""),1.0)</f>
        <v>1</v>
      </c>
      <c r="AA1295" s="124" t="str">
        <f>IFERROR(__xludf.DUMMYFUNCTION("""COMPUTED_VALUE"""),"Future Prospects")</f>
        <v>Future Prospects</v>
      </c>
      <c r="AB1295" s="124" t="str">
        <f>IFERROR(__xludf.DUMMYFUNCTION("""COMPUTED_VALUE"""),"State PCS")</f>
        <v>State PCS</v>
      </c>
    </row>
    <row r="1296">
      <c r="A1296" s="129">
        <f>IFERROR(__xludf.DUMMYFUNCTION("""COMPUTED_VALUE"""),46044.0)</f>
        <v>46044</v>
      </c>
      <c r="B1296" s="124" t="str">
        <f>IFERROR(__xludf.DUMMYFUNCTION("""COMPUTED_VALUE"""),"Walk-In")</f>
        <v>Walk-In</v>
      </c>
      <c r="C1296" s="124" t="str">
        <f>IFERROR(__xludf.DUMMYFUNCTION("""COMPUTED_VALUE"""),"Prayagraj")</f>
        <v>Prayagraj</v>
      </c>
      <c r="D1296" s="124" t="str">
        <f>IFERROR(__xludf.DUMMYFUNCTION("""COMPUTED_VALUE"""),"Primary_Walkin")</f>
        <v>Primary_Walkin</v>
      </c>
      <c r="E1296" s="124">
        <f>IFERROR(__xludf.DUMMYFUNCTION("""COMPUTED_VALUE"""),1.0)</f>
        <v>1</v>
      </c>
      <c r="F1296" s="124" t="str">
        <f>IFERROR(__xludf.DUMMYFUNCTION("""COMPUTED_VALUE"""),"Cold")</f>
        <v>Cold</v>
      </c>
      <c r="G1296" s="124" t="str">
        <f>IFERROR(__xludf.DUMMYFUNCTION("""COMPUTED_VALUE"""),"GS Foundation")</f>
        <v>GS Foundation</v>
      </c>
      <c r="K1296" s="124"/>
      <c r="L1296" s="124"/>
      <c r="M1296" s="124"/>
      <c r="N1296" s="124"/>
      <c r="O1296" s="124"/>
      <c r="T1296" s="129">
        <f>IFERROR(__xludf.DUMMYFUNCTION("""COMPUTED_VALUE"""),46099.0)</f>
        <v>46099</v>
      </c>
      <c r="U1296" s="124" t="str">
        <f>IFERROR(__xludf.DUMMYFUNCTION("""COMPUTED_VALUE"""),"Paid Ads")</f>
        <v>Paid Ads</v>
      </c>
      <c r="V1296" s="124" t="str">
        <f>IFERROR(__xludf.DUMMYFUNCTION("""COMPUTED_VALUE"""),"Facebook")</f>
        <v>Facebook</v>
      </c>
      <c r="W1296" s="124" t="str">
        <f>IFERROR(__xludf.DUMMYFUNCTION("""COMPUTED_VALUE"""),"LeadAd")</f>
        <v>LeadAd</v>
      </c>
      <c r="X1296" s="124" t="str">
        <f>IFERROR(__xludf.DUMMYFUNCTION("""COMPUTED_VALUE"""),"meta")</f>
        <v>meta</v>
      </c>
      <c r="Y1296" s="124"/>
      <c r="Z1296" s="124">
        <f>IFERROR(__xludf.DUMMYFUNCTION("""COMPUTED_VALUE"""),10.0)</f>
        <v>10</v>
      </c>
      <c r="AA1296" s="124"/>
      <c r="AB1296" s="124"/>
    </row>
    <row r="1297">
      <c r="A1297" s="126">
        <f>IFERROR(__xludf.DUMMYFUNCTION("""COMPUTED_VALUE"""),46080.0)</f>
        <v>46080</v>
      </c>
      <c r="B1297" s="124" t="str">
        <f>IFERROR(__xludf.DUMMYFUNCTION("""COMPUTED_VALUE"""),"Walkin")</f>
        <v>Walkin</v>
      </c>
      <c r="C1297" s="124" t="str">
        <f>IFERROR(__xludf.DUMMYFUNCTION("""COMPUTED_VALUE"""),"Prayagraj")</f>
        <v>Prayagraj</v>
      </c>
      <c r="D1297" s="124" t="str">
        <f>IFERROR(__xludf.DUMMYFUNCTION("""COMPUTED_VALUE"""),"Primary_Walkin")</f>
        <v>Primary_Walkin</v>
      </c>
      <c r="E1297" s="124">
        <f>IFERROR(__xludf.DUMMYFUNCTION("""COMPUTED_VALUE"""),1.0)</f>
        <v>1</v>
      </c>
      <c r="F1297" s="124" t="str">
        <f>IFERROR(__xludf.DUMMYFUNCTION("""COMPUTED_VALUE"""),"Warm")</f>
        <v>Warm</v>
      </c>
      <c r="G1297" s="124" t="str">
        <f>IFERROR(__xludf.DUMMYFUNCTION("""COMPUTED_VALUE"""),"State PCS")</f>
        <v>State PCS</v>
      </c>
      <c r="K1297" s="124"/>
      <c r="L1297" s="124"/>
      <c r="M1297" s="124"/>
      <c r="N1297" s="124"/>
      <c r="O1297" s="124"/>
      <c r="T1297" s="129">
        <f>IFERROR(__xludf.DUMMYFUNCTION("""COMPUTED_VALUE"""),46106.0)</f>
        <v>46106</v>
      </c>
      <c r="U1297" s="124" t="str">
        <f>IFERROR(__xludf.DUMMYFUNCTION("""COMPUTED_VALUE"""),"Walk-Ins")</f>
        <v>Walk-Ins</v>
      </c>
      <c r="V1297" s="124" t="str">
        <f>IFERROR(__xludf.DUMMYFUNCTION("""COMPUTED_VALUE"""),"Walkin")</f>
        <v>Walkin</v>
      </c>
      <c r="W1297" s="124" t="str">
        <f>IFERROR(__xludf.DUMMYFUNCTION("""COMPUTED_VALUE"""),"Patna")</f>
        <v>Patna</v>
      </c>
      <c r="X1297" s="124" t="str">
        <f>IFERROR(__xludf.DUMMYFUNCTION("""COMPUTED_VALUE"""),"Walkin")</f>
        <v>Walkin</v>
      </c>
      <c r="Y1297" s="124" t="str">
        <f>IFERROR(__xludf.DUMMYFUNCTION("""COMPUTED_VALUE"""),"Patna")</f>
        <v>Patna</v>
      </c>
      <c r="Z1297" s="124">
        <f>IFERROR(__xludf.DUMMYFUNCTION("""COMPUTED_VALUE"""),1.0)</f>
        <v>1</v>
      </c>
      <c r="AA1297" s="124" t="str">
        <f>IFERROR(__xludf.DUMMYFUNCTION("""COMPUTED_VALUE"""),"Fake Lead")</f>
        <v>Fake Lead</v>
      </c>
      <c r="AB1297" s="124" t="str">
        <f>IFERROR(__xludf.DUMMYFUNCTION("""COMPUTED_VALUE"""),"GS Advanced")</f>
        <v>GS Advanced</v>
      </c>
    </row>
    <row r="1298">
      <c r="A1298" s="129">
        <f>IFERROR(__xludf.DUMMYFUNCTION("""COMPUTED_VALUE"""),46058.0)</f>
        <v>46058</v>
      </c>
      <c r="B1298" s="124" t="str">
        <f>IFERROR(__xludf.DUMMYFUNCTION("""COMPUTED_VALUE"""),"external leads")</f>
        <v>external leads</v>
      </c>
      <c r="C1298" s="124" t="str">
        <f>IFERROR(__xludf.DUMMYFUNCTION("""COMPUTED_VALUE"""),"Prayagraj")</f>
        <v>Prayagraj</v>
      </c>
      <c r="D1298" s="124" t="str">
        <f>IFERROR(__xludf.DUMMYFUNCTION("""COMPUTED_VALUE"""),"Secondary_Walkin")</f>
        <v>Secondary_Walkin</v>
      </c>
      <c r="E1298" s="124">
        <f>IFERROR(__xludf.DUMMYFUNCTION("""COMPUTED_VALUE"""),1.0)</f>
        <v>1</v>
      </c>
      <c r="F1298" s="124" t="str">
        <f>IFERROR(__xludf.DUMMYFUNCTION("""COMPUTED_VALUE"""),"Not Interested")</f>
        <v>Not Interested</v>
      </c>
      <c r="G1298" s="124" t="str">
        <f>IFERROR(__xludf.DUMMYFUNCTION("""COMPUTED_VALUE"""),"State PCS")</f>
        <v>State PCS</v>
      </c>
      <c r="K1298" s="124"/>
      <c r="L1298" s="124"/>
      <c r="M1298" s="124"/>
      <c r="N1298" s="124"/>
      <c r="O1298" s="124"/>
      <c r="T1298" s="126">
        <f>IFERROR(__xludf.DUMMYFUNCTION("""COMPUTED_VALUE"""),46057.0)</f>
        <v>46057</v>
      </c>
      <c r="U1298" s="124" t="str">
        <f>IFERROR(__xludf.DUMMYFUNCTION("""COMPUTED_VALUE"""),"Walk-Ins")</f>
        <v>Walk-Ins</v>
      </c>
      <c r="V1298" s="124" t="str">
        <f>IFERROR(__xludf.DUMMYFUNCTION("""COMPUTED_VALUE"""),"Walk-In")</f>
        <v>Walk-In</v>
      </c>
      <c r="W1298" s="124" t="str">
        <f>IFERROR(__xludf.DUMMYFUNCTION("""COMPUTED_VALUE"""),"Patna")</f>
        <v>Patna</v>
      </c>
      <c r="X1298" s="124" t="str">
        <f>IFERROR(__xludf.DUMMYFUNCTION("""COMPUTED_VALUE"""),"Others")</f>
        <v>Others</v>
      </c>
      <c r="Y1298" s="124"/>
      <c r="Z1298" s="124">
        <f>IFERROR(__xludf.DUMMYFUNCTION("""COMPUTED_VALUE"""),1.0)</f>
        <v>1</v>
      </c>
      <c r="AA1298" s="124" t="str">
        <f>IFERROR(__xludf.DUMMYFUNCTION("""COMPUTED_VALUE"""),"Enrolled")</f>
        <v>Enrolled</v>
      </c>
      <c r="AB1298" s="124" t="str">
        <f>IFERROR(__xludf.DUMMYFUNCTION("""COMPUTED_VALUE"""),"GS Foundation")</f>
        <v>GS Foundation</v>
      </c>
    </row>
    <row r="1299">
      <c r="A1299" s="126">
        <f>IFERROR(__xludf.DUMMYFUNCTION("""COMPUTED_VALUE"""),46091.0)</f>
        <v>46091</v>
      </c>
      <c r="B1299" s="124" t="str">
        <f>IFERROR(__xludf.DUMMYFUNCTION("""COMPUTED_VALUE"""),"Walkin")</f>
        <v>Walkin</v>
      </c>
      <c r="C1299" s="124" t="str">
        <f>IFERROR(__xludf.DUMMYFUNCTION("""COMPUTED_VALUE"""),"Prayagraj")</f>
        <v>Prayagraj</v>
      </c>
      <c r="D1299" s="124" t="str">
        <f>IFERROR(__xludf.DUMMYFUNCTION("""COMPUTED_VALUE"""),"Primary_Walkin")</f>
        <v>Primary_Walkin</v>
      </c>
      <c r="E1299" s="124">
        <f>IFERROR(__xludf.DUMMYFUNCTION("""COMPUTED_VALUE"""),1.0)</f>
        <v>1</v>
      </c>
      <c r="F1299" s="124" t="str">
        <f>IFERROR(__xludf.DUMMYFUNCTION("""COMPUTED_VALUE"""),"Cold")</f>
        <v>Cold</v>
      </c>
      <c r="G1299" s="124" t="str">
        <f>IFERROR(__xludf.DUMMYFUNCTION("""COMPUTED_VALUE"""),"Mentorship")</f>
        <v>Mentorship</v>
      </c>
      <c r="K1299" s="124"/>
      <c r="L1299" s="124"/>
      <c r="M1299" s="124"/>
      <c r="N1299" s="124"/>
      <c r="O1299" s="124"/>
      <c r="T1299" s="129">
        <f>IFERROR(__xludf.DUMMYFUNCTION("""COMPUTED_VALUE"""),46043.0)</f>
        <v>46043</v>
      </c>
      <c r="U1299" s="124" t="str">
        <f>IFERROR(__xludf.DUMMYFUNCTION("""COMPUTED_VALUE"""),"Walk-Ins")</f>
        <v>Walk-Ins</v>
      </c>
      <c r="V1299" s="124" t="str">
        <f>IFERROR(__xludf.DUMMYFUNCTION("""COMPUTED_VALUE"""),"Walkin")</f>
        <v>Walkin</v>
      </c>
      <c r="W1299" s="124" t="str">
        <f>IFERROR(__xludf.DUMMYFUNCTION("""COMPUTED_VALUE"""),"Indore")</f>
        <v>Indore</v>
      </c>
      <c r="X1299" s="124" t="str">
        <f>IFERROR(__xludf.DUMMYFUNCTION("""COMPUTED_VALUE"""),"Walkin")</f>
        <v>Walkin</v>
      </c>
      <c r="Y1299" s="124" t="str">
        <f>IFERROR(__xludf.DUMMYFUNCTION("""COMPUTED_VALUE"""),"Indore")</f>
        <v>Indore</v>
      </c>
      <c r="Z1299" s="124">
        <f>IFERROR(__xludf.DUMMYFUNCTION("""COMPUTED_VALUE"""),1.0)</f>
        <v>1</v>
      </c>
      <c r="AA1299" s="124" t="str">
        <f>IFERROR(__xludf.DUMMYFUNCTION("""COMPUTED_VALUE"""),"Not Interested")</f>
        <v>Not Interested</v>
      </c>
      <c r="AB1299" s="124" t="str">
        <f>IFERROR(__xludf.DUMMYFUNCTION("""COMPUTED_VALUE"""),"State PCS")</f>
        <v>State PCS</v>
      </c>
    </row>
    <row r="1300">
      <c r="A1300" s="126">
        <f>IFERROR(__xludf.DUMMYFUNCTION("""COMPUTED_VALUE"""),46071.0)</f>
        <v>46071</v>
      </c>
      <c r="B1300" s="124" t="str">
        <f>IFERROR(__xludf.DUMMYFUNCTION("""COMPUTED_VALUE"""),"Walkin")</f>
        <v>Walkin</v>
      </c>
      <c r="C1300" s="124" t="str">
        <f>IFERROR(__xludf.DUMMYFUNCTION("""COMPUTED_VALUE"""),"Prayagraj")</f>
        <v>Prayagraj</v>
      </c>
      <c r="D1300" s="124" t="str">
        <f>IFERROR(__xludf.DUMMYFUNCTION("""COMPUTED_VALUE"""),"Primary_Walkin")</f>
        <v>Primary_Walkin</v>
      </c>
      <c r="E1300" s="124">
        <f>IFERROR(__xludf.DUMMYFUNCTION("""COMPUTED_VALUE"""),2.0)</f>
        <v>2</v>
      </c>
      <c r="F1300" s="124" t="str">
        <f>IFERROR(__xludf.DUMMYFUNCTION("""COMPUTED_VALUE"""),"Cold")</f>
        <v>Cold</v>
      </c>
      <c r="G1300" s="124" t="str">
        <f>IFERROR(__xludf.DUMMYFUNCTION("""COMPUTED_VALUE"""),"GS Foundation")</f>
        <v>GS Foundation</v>
      </c>
      <c r="K1300" s="124"/>
      <c r="L1300" s="124"/>
      <c r="M1300" s="124"/>
      <c r="N1300" s="124"/>
      <c r="O1300" s="124"/>
      <c r="T1300" s="126">
        <f>IFERROR(__xludf.DUMMYFUNCTION("""COMPUTED_VALUE"""),46099.0)</f>
        <v>46099</v>
      </c>
      <c r="U1300" s="124" t="str">
        <f>IFERROR(__xludf.DUMMYFUNCTION("""COMPUTED_VALUE"""),"Walk-Ins")</f>
        <v>Walk-Ins</v>
      </c>
      <c r="V1300" s="124" t="str">
        <f>IFERROR(__xludf.DUMMYFUNCTION("""COMPUTED_VALUE"""),"Walkin")</f>
        <v>Walkin</v>
      </c>
      <c r="W1300" s="124" t="str">
        <f>IFERROR(__xludf.DUMMYFUNCTION("""COMPUTED_VALUE"""),"Patna")</f>
        <v>Patna</v>
      </c>
      <c r="X1300" s="124" t="str">
        <f>IFERROR(__xludf.DUMMYFUNCTION("""COMPUTED_VALUE"""),"Walkin")</f>
        <v>Walkin</v>
      </c>
      <c r="Y1300" s="124" t="str">
        <f>IFERROR(__xludf.DUMMYFUNCTION("""COMPUTED_VALUE"""),"Patna")</f>
        <v>Patna</v>
      </c>
      <c r="Z1300" s="124">
        <f>IFERROR(__xludf.DUMMYFUNCTION("""COMPUTED_VALUE"""),2.0)</f>
        <v>2</v>
      </c>
      <c r="AA1300" s="124" t="str">
        <f>IFERROR(__xludf.DUMMYFUNCTION("""COMPUTED_VALUE"""),"Warm")</f>
        <v>Warm</v>
      </c>
      <c r="AB1300" s="124" t="str">
        <f>IFERROR(__xludf.DUMMYFUNCTION("""COMPUTED_VALUE"""),"State PCS")</f>
        <v>State PCS</v>
      </c>
    </row>
    <row r="1301">
      <c r="A1301" s="126">
        <f>IFERROR(__xludf.DUMMYFUNCTION("""COMPUTED_VALUE"""),46099.0)</f>
        <v>46099</v>
      </c>
      <c r="B1301" s="124" t="str">
        <f>IFERROR(__xludf.DUMMYFUNCTION("""COMPUTED_VALUE"""),"Walkin")</f>
        <v>Walkin</v>
      </c>
      <c r="C1301" s="124" t="str">
        <f>IFERROR(__xludf.DUMMYFUNCTION("""COMPUTED_VALUE"""),"Prayagraj")</f>
        <v>Prayagraj</v>
      </c>
      <c r="D1301" s="124" t="str">
        <f>IFERROR(__xludf.DUMMYFUNCTION("""COMPUTED_VALUE"""),"Primary_Walkin")</f>
        <v>Primary_Walkin</v>
      </c>
      <c r="E1301" s="124">
        <f>IFERROR(__xludf.DUMMYFUNCTION("""COMPUTED_VALUE"""),2.0)</f>
        <v>2</v>
      </c>
      <c r="F1301" s="124" t="str">
        <f>IFERROR(__xludf.DUMMYFUNCTION("""COMPUTED_VALUE"""),"Interested")</f>
        <v>Interested</v>
      </c>
      <c r="G1301" s="124" t="str">
        <f>IFERROR(__xludf.DUMMYFUNCTION("""COMPUTED_VALUE"""),"GS Foundation")</f>
        <v>GS Foundation</v>
      </c>
      <c r="K1301" s="124"/>
      <c r="L1301" s="124"/>
      <c r="M1301" s="124"/>
      <c r="N1301" s="124"/>
      <c r="O1301" s="124"/>
      <c r="T1301" s="126">
        <f>IFERROR(__xludf.DUMMYFUNCTION("""COMPUTED_VALUE"""),46102.0)</f>
        <v>46102</v>
      </c>
      <c r="U1301" s="124" t="str">
        <f>IFERROR(__xludf.DUMMYFUNCTION("""COMPUTED_VALUE"""),"Walk-Ins")</f>
        <v>Walk-Ins</v>
      </c>
      <c r="V1301" s="124" t="str">
        <f>IFERROR(__xludf.DUMMYFUNCTION("""COMPUTED_VALUE"""),"Walkin")</f>
        <v>Walkin</v>
      </c>
      <c r="W1301" s="124" t="str">
        <f>IFERROR(__xludf.DUMMYFUNCTION("""COMPUTED_VALUE"""),"Patna")</f>
        <v>Patna</v>
      </c>
      <c r="X1301" s="124" t="str">
        <f>IFERROR(__xludf.DUMMYFUNCTION("""COMPUTED_VALUE"""),"Walkin")</f>
        <v>Walkin</v>
      </c>
      <c r="Y1301" s="124" t="str">
        <f>IFERROR(__xludf.DUMMYFUNCTION("""COMPUTED_VALUE"""),"Patna")</f>
        <v>Patna</v>
      </c>
      <c r="Z1301" s="124">
        <f>IFERROR(__xludf.DUMMYFUNCTION("""COMPUTED_VALUE"""),1.0)</f>
        <v>1</v>
      </c>
      <c r="AA1301" s="124" t="str">
        <f>IFERROR(__xludf.DUMMYFUNCTION("""COMPUTED_VALUE"""),"Warm")</f>
        <v>Warm</v>
      </c>
      <c r="AB1301" s="124" t="str">
        <f>IFERROR(__xludf.DUMMYFUNCTION("""COMPUTED_VALUE"""),"State PCS")</f>
        <v>State PCS</v>
      </c>
    </row>
    <row r="1302">
      <c r="A1302" s="129">
        <f>IFERROR(__xludf.DUMMYFUNCTION("""COMPUTED_VALUE"""),46070.0)</f>
        <v>46070</v>
      </c>
      <c r="B1302" s="124" t="str">
        <f>IFERROR(__xludf.DUMMYFUNCTION("""COMPUTED_VALUE"""),"Walkin")</f>
        <v>Walkin</v>
      </c>
      <c r="C1302" s="124" t="str">
        <f>IFERROR(__xludf.DUMMYFUNCTION("""COMPUTED_VALUE"""),"Prayagraj")</f>
        <v>Prayagraj</v>
      </c>
      <c r="D1302" s="124" t="str">
        <f>IFERROR(__xludf.DUMMYFUNCTION("""COMPUTED_VALUE"""),"Primary_Walkin")</f>
        <v>Primary_Walkin</v>
      </c>
      <c r="E1302" s="124">
        <f>IFERROR(__xludf.DUMMYFUNCTION("""COMPUTED_VALUE"""),2.0)</f>
        <v>2</v>
      </c>
      <c r="F1302" s="124" t="str">
        <f>IFERROR(__xludf.DUMMYFUNCTION("""COMPUTED_VALUE"""),"Future Prospects")</f>
        <v>Future Prospects</v>
      </c>
      <c r="G1302" s="124" t="str">
        <f>IFERROR(__xludf.DUMMYFUNCTION("""COMPUTED_VALUE"""),"GS Foundation")</f>
        <v>GS Foundation</v>
      </c>
      <c r="K1302" s="124"/>
      <c r="L1302" s="124"/>
      <c r="M1302" s="124"/>
      <c r="N1302" s="124"/>
      <c r="O1302" s="124"/>
      <c r="T1302" s="129">
        <f>IFERROR(__xludf.DUMMYFUNCTION("""COMPUTED_VALUE"""),46066.0)</f>
        <v>46066</v>
      </c>
      <c r="U1302" s="124" t="str">
        <f>IFERROR(__xludf.DUMMYFUNCTION("""COMPUTED_VALUE"""),"Walk-Ins")</f>
        <v>Walk-Ins</v>
      </c>
      <c r="V1302" s="124" t="str">
        <f>IFERROR(__xludf.DUMMYFUNCTION("""COMPUTED_VALUE"""),"Walkin")</f>
        <v>Walkin</v>
      </c>
      <c r="W1302" s="124" t="str">
        <f>IFERROR(__xludf.DUMMYFUNCTION("""COMPUTED_VALUE"""),"Prayagraj")</f>
        <v>Prayagraj</v>
      </c>
      <c r="X1302" s="124" t="str">
        <f>IFERROR(__xludf.DUMMYFUNCTION("""COMPUTED_VALUE"""),"Walkin")</f>
        <v>Walkin</v>
      </c>
      <c r="Y1302" s="124" t="str">
        <f>IFERROR(__xludf.DUMMYFUNCTION("""COMPUTED_VALUE"""),"Prayagraj")</f>
        <v>Prayagraj</v>
      </c>
      <c r="Z1302" s="124">
        <f>IFERROR(__xludf.DUMMYFUNCTION("""COMPUTED_VALUE"""),2.0)</f>
        <v>2</v>
      </c>
      <c r="AA1302" s="124" t="str">
        <f>IFERROR(__xludf.DUMMYFUNCTION("""COMPUTED_VALUE"""),"Future Prospects")</f>
        <v>Future Prospects</v>
      </c>
      <c r="AB1302" s="124" t="str">
        <f>IFERROR(__xludf.DUMMYFUNCTION("""COMPUTED_VALUE"""),"State PCS")</f>
        <v>State PCS</v>
      </c>
    </row>
    <row r="1303">
      <c r="A1303" s="126">
        <f>IFERROR(__xludf.DUMMYFUNCTION("""COMPUTED_VALUE"""),46098.0)</f>
        <v>46098</v>
      </c>
      <c r="B1303" s="124" t="str">
        <f>IFERROR(__xludf.DUMMYFUNCTION("""COMPUTED_VALUE"""),"DM - Meta")</f>
        <v>DM - Meta</v>
      </c>
      <c r="C1303" s="124" t="str">
        <f>IFERROR(__xludf.DUMMYFUNCTION("""COMPUTED_VALUE"""),"Prayagraj")</f>
        <v>Prayagraj</v>
      </c>
      <c r="D1303" s="124" t="str">
        <f>IFERROR(__xludf.DUMMYFUNCTION("""COMPUTED_VALUE"""),"Secondary_Walkin")</f>
        <v>Secondary_Walkin</v>
      </c>
      <c r="E1303" s="124">
        <f>IFERROR(__xludf.DUMMYFUNCTION("""COMPUTED_VALUE"""),1.0)</f>
        <v>1</v>
      </c>
      <c r="F1303" s="124" t="str">
        <f>IFERROR(__xludf.DUMMYFUNCTION("""COMPUTED_VALUE"""),"Enrolled")</f>
        <v>Enrolled</v>
      </c>
      <c r="G1303" s="124" t="str">
        <f>IFERROR(__xludf.DUMMYFUNCTION("""COMPUTED_VALUE"""),"GS Foundation")</f>
        <v>GS Foundation</v>
      </c>
      <c r="K1303" s="124"/>
      <c r="L1303" s="124"/>
      <c r="M1303" s="124"/>
      <c r="N1303" s="124"/>
      <c r="O1303" s="124"/>
      <c r="T1303" s="126">
        <f>IFERROR(__xludf.DUMMYFUNCTION("""COMPUTED_VALUE"""),46066.0)</f>
        <v>46066</v>
      </c>
      <c r="U1303" s="124" t="str">
        <f>IFERROR(__xludf.DUMMYFUNCTION("""COMPUTED_VALUE"""),"Walk-Ins")</f>
        <v>Walk-Ins</v>
      </c>
      <c r="V1303" s="124" t="str">
        <f>IFERROR(__xludf.DUMMYFUNCTION("""COMPUTED_VALUE"""),"Walkin")</f>
        <v>Walkin</v>
      </c>
      <c r="W1303" s="124" t="str">
        <f>IFERROR(__xludf.DUMMYFUNCTION("""COMPUTED_VALUE"""),"Prayagraj")</f>
        <v>Prayagraj</v>
      </c>
      <c r="X1303" s="124" t="str">
        <f>IFERROR(__xludf.DUMMYFUNCTION("""COMPUTED_VALUE"""),"Walkin")</f>
        <v>Walkin</v>
      </c>
      <c r="Y1303" s="124" t="str">
        <f>IFERROR(__xludf.DUMMYFUNCTION("""COMPUTED_VALUE"""),"Prayagraj")</f>
        <v>Prayagraj</v>
      </c>
      <c r="Z1303" s="124">
        <f>IFERROR(__xludf.DUMMYFUNCTION("""COMPUTED_VALUE"""),1.0)</f>
        <v>1</v>
      </c>
      <c r="AA1303" s="124" t="str">
        <f>IFERROR(__xludf.DUMMYFUNCTION("""COMPUTED_VALUE"""),"Warm")</f>
        <v>Warm</v>
      </c>
      <c r="AB1303" s="124" t="str">
        <f>IFERROR(__xludf.DUMMYFUNCTION("""COMPUTED_VALUE"""),"Mentorship")</f>
        <v>Mentorship</v>
      </c>
    </row>
    <row r="1304">
      <c r="A1304" s="126">
        <f>IFERROR(__xludf.DUMMYFUNCTION("""COMPUTED_VALUE"""),46075.0)</f>
        <v>46075</v>
      </c>
      <c r="B1304" s="124" t="str">
        <f>IFERROR(__xludf.DUMMYFUNCTION("""COMPUTED_VALUE"""),"Walkin")</f>
        <v>Walkin</v>
      </c>
      <c r="C1304" s="124" t="str">
        <f>IFERROR(__xludf.DUMMYFUNCTION("""COMPUTED_VALUE"""),"Prayagraj")</f>
        <v>Prayagraj</v>
      </c>
      <c r="D1304" s="124" t="str">
        <f>IFERROR(__xludf.DUMMYFUNCTION("""COMPUTED_VALUE"""),"Primary_Walkin")</f>
        <v>Primary_Walkin</v>
      </c>
      <c r="E1304" s="124">
        <f>IFERROR(__xludf.DUMMYFUNCTION("""COMPUTED_VALUE"""),1.0)</f>
        <v>1</v>
      </c>
      <c r="F1304" s="124" t="str">
        <f>IFERROR(__xludf.DUMMYFUNCTION("""COMPUTED_VALUE"""),"Cold")</f>
        <v>Cold</v>
      </c>
      <c r="G1304" s="124" t="str">
        <f>IFERROR(__xludf.DUMMYFUNCTION("""COMPUTED_VALUE"""),"State PCS")</f>
        <v>State PCS</v>
      </c>
      <c r="K1304" s="124"/>
      <c r="L1304" s="124"/>
      <c r="M1304" s="124"/>
      <c r="N1304" s="124"/>
      <c r="O1304" s="124"/>
      <c r="T1304" s="126">
        <f>IFERROR(__xludf.DUMMYFUNCTION("""COMPUTED_VALUE"""),46105.0)</f>
        <v>46105</v>
      </c>
      <c r="U1304" s="124" t="str">
        <f>IFERROR(__xludf.DUMMYFUNCTION("""COMPUTED_VALUE"""),"Walk-Ins")</f>
        <v>Walk-Ins</v>
      </c>
      <c r="V1304" s="124" t="str">
        <f>IFERROR(__xludf.DUMMYFUNCTION("""COMPUTED_VALUE"""),"Walkin")</f>
        <v>Walkin</v>
      </c>
      <c r="W1304" s="124" t="str">
        <f>IFERROR(__xludf.DUMMYFUNCTION("""COMPUTED_VALUE"""),"Lucknow")</f>
        <v>Lucknow</v>
      </c>
      <c r="X1304" s="124" t="str">
        <f>IFERROR(__xludf.DUMMYFUNCTION("""COMPUTED_VALUE"""),"Walkin")</f>
        <v>Walkin</v>
      </c>
      <c r="Y1304" s="124" t="str">
        <f>IFERROR(__xludf.DUMMYFUNCTION("""COMPUTED_VALUE"""),"Lucknow")</f>
        <v>Lucknow</v>
      </c>
      <c r="Z1304" s="124">
        <f>IFERROR(__xludf.DUMMYFUNCTION("""COMPUTED_VALUE"""),3.0)</f>
        <v>3</v>
      </c>
      <c r="AA1304" s="124" t="str">
        <f>IFERROR(__xludf.DUMMYFUNCTION("""COMPUTED_VALUE"""),"Warm")</f>
        <v>Warm</v>
      </c>
      <c r="AB1304" s="124" t="str">
        <f>IFERROR(__xludf.DUMMYFUNCTION("""COMPUTED_VALUE"""),"GS Foundation")</f>
        <v>GS Foundation</v>
      </c>
    </row>
    <row r="1305">
      <c r="A1305" s="126">
        <f>IFERROR(__xludf.DUMMYFUNCTION("""COMPUTED_VALUE"""),46088.0)</f>
        <v>46088</v>
      </c>
      <c r="B1305" s="124" t="str">
        <f>IFERROR(__xludf.DUMMYFUNCTION("""COMPUTED_VALUE"""),"external leads")</f>
        <v>external leads</v>
      </c>
      <c r="C1305" s="124" t="str">
        <f>IFERROR(__xludf.DUMMYFUNCTION("""COMPUTED_VALUE"""),"Prayagraj")</f>
        <v>Prayagraj</v>
      </c>
      <c r="D1305" s="124" t="str">
        <f>IFERROR(__xludf.DUMMYFUNCTION("""COMPUTED_VALUE"""),"Secondary_Walkin")</f>
        <v>Secondary_Walkin</v>
      </c>
      <c r="E1305" s="124">
        <f>IFERROR(__xludf.DUMMYFUNCTION("""COMPUTED_VALUE"""),1.0)</f>
        <v>1</v>
      </c>
      <c r="F1305" s="124" t="str">
        <f>IFERROR(__xludf.DUMMYFUNCTION("""COMPUTED_VALUE"""),"Enrolled")</f>
        <v>Enrolled</v>
      </c>
      <c r="G1305" s="124" t="str">
        <f>IFERROR(__xludf.DUMMYFUNCTION("""COMPUTED_VALUE"""),"GS Foundation")</f>
        <v>GS Foundation</v>
      </c>
      <c r="K1305" s="124"/>
      <c r="L1305" s="124"/>
      <c r="M1305" s="124"/>
      <c r="N1305" s="124"/>
      <c r="O1305" s="124"/>
      <c r="T1305" s="126">
        <f>IFERROR(__xludf.DUMMYFUNCTION("""COMPUTED_VALUE"""),46106.0)</f>
        <v>46106</v>
      </c>
      <c r="U1305" s="124" t="str">
        <f>IFERROR(__xludf.DUMMYFUNCTION("""COMPUTED_VALUE"""),"Walk-Ins")</f>
        <v>Walk-Ins</v>
      </c>
      <c r="V1305" s="124" t="str">
        <f>IFERROR(__xludf.DUMMYFUNCTION("""COMPUTED_VALUE"""),"Walkin")</f>
        <v>Walkin</v>
      </c>
      <c r="W1305" s="124" t="str">
        <f>IFERROR(__xludf.DUMMYFUNCTION("""COMPUTED_VALUE"""),"Patna")</f>
        <v>Patna</v>
      </c>
      <c r="X1305" s="124" t="str">
        <f>IFERROR(__xludf.DUMMYFUNCTION("""COMPUTED_VALUE"""),"Walkin")</f>
        <v>Walkin</v>
      </c>
      <c r="Y1305" s="124" t="str">
        <f>IFERROR(__xludf.DUMMYFUNCTION("""COMPUTED_VALUE"""),"Patna")</f>
        <v>Patna</v>
      </c>
      <c r="Z1305" s="124">
        <f>IFERROR(__xludf.DUMMYFUNCTION("""COMPUTED_VALUE"""),4.0)</f>
        <v>4</v>
      </c>
      <c r="AA1305" s="124" t="str">
        <f>IFERROR(__xludf.DUMMYFUNCTION("""COMPUTED_VALUE"""),"Future Prospects")</f>
        <v>Future Prospects</v>
      </c>
      <c r="AB1305" s="124" t="str">
        <f>IFERROR(__xludf.DUMMYFUNCTION("""COMPUTED_VALUE"""),"State PCS")</f>
        <v>State PCS</v>
      </c>
    </row>
    <row r="1306">
      <c r="A1306" s="129">
        <f>IFERROR(__xludf.DUMMYFUNCTION("""COMPUTED_VALUE"""),46101.0)</f>
        <v>46101</v>
      </c>
      <c r="B1306" s="124" t="str">
        <f>IFERROR(__xludf.DUMMYFUNCTION("""COMPUTED_VALUE"""),"Walkin")</f>
        <v>Walkin</v>
      </c>
      <c r="C1306" s="124" t="str">
        <f>IFERROR(__xludf.DUMMYFUNCTION("""COMPUTED_VALUE"""),"Prayagraj")</f>
        <v>Prayagraj</v>
      </c>
      <c r="D1306" s="124" t="str">
        <f>IFERROR(__xludf.DUMMYFUNCTION("""COMPUTED_VALUE"""),"Primary_Walkin")</f>
        <v>Primary_Walkin</v>
      </c>
      <c r="E1306" s="124">
        <f>IFERROR(__xludf.DUMMYFUNCTION("""COMPUTED_VALUE"""),1.0)</f>
        <v>1</v>
      </c>
      <c r="F1306" s="124" t="str">
        <f>IFERROR(__xludf.DUMMYFUNCTION("""COMPUTED_VALUE"""),"Warm")</f>
        <v>Warm</v>
      </c>
      <c r="G1306" s="124" t="str">
        <f>IFERROR(__xludf.DUMMYFUNCTION("""COMPUTED_VALUE"""),"GS Foundation")</f>
        <v>GS Foundation</v>
      </c>
      <c r="K1306" s="124"/>
      <c r="L1306" s="124"/>
      <c r="M1306" s="124"/>
      <c r="N1306" s="124"/>
      <c r="O1306" s="124"/>
      <c r="T1306" s="126">
        <f>IFERROR(__xludf.DUMMYFUNCTION("""COMPUTED_VALUE"""),46064.0)</f>
        <v>46064</v>
      </c>
      <c r="U1306" s="124" t="str">
        <f>IFERROR(__xludf.DUMMYFUNCTION("""COMPUTED_VALUE"""),"Walk-Ins")</f>
        <v>Walk-Ins</v>
      </c>
      <c r="V1306" s="124" t="str">
        <f>IFERROR(__xludf.DUMMYFUNCTION("""COMPUTED_VALUE"""),"Walkin")</f>
        <v>Walkin</v>
      </c>
      <c r="W1306" s="124" t="str">
        <f>IFERROR(__xludf.DUMMYFUNCTION("""COMPUTED_VALUE"""),"Indore")</f>
        <v>Indore</v>
      </c>
      <c r="X1306" s="124" t="str">
        <f>IFERROR(__xludf.DUMMYFUNCTION("""COMPUTED_VALUE"""),"Walkin")</f>
        <v>Walkin</v>
      </c>
      <c r="Y1306" s="124" t="str">
        <f>IFERROR(__xludf.DUMMYFUNCTION("""COMPUTED_VALUE"""),"Indore")</f>
        <v>Indore</v>
      </c>
      <c r="Z1306" s="124">
        <f>IFERROR(__xludf.DUMMYFUNCTION("""COMPUTED_VALUE"""),2.0)</f>
        <v>2</v>
      </c>
      <c r="AA1306" s="124" t="str">
        <f>IFERROR(__xludf.DUMMYFUNCTION("""COMPUTED_VALUE"""),"Enrolled")</f>
        <v>Enrolled</v>
      </c>
      <c r="AB1306" s="124" t="str">
        <f>IFERROR(__xludf.DUMMYFUNCTION("""COMPUTED_VALUE"""),"GS Foundation")</f>
        <v>GS Foundation</v>
      </c>
    </row>
    <row r="1307">
      <c r="A1307" s="126">
        <f>IFERROR(__xludf.DUMMYFUNCTION("""COMPUTED_VALUE"""),46074.0)</f>
        <v>46074</v>
      </c>
      <c r="B1307" s="124" t="str">
        <f>IFERROR(__xludf.DUMMYFUNCTION("""COMPUTED_VALUE"""),"Walk-In")</f>
        <v>Walk-In</v>
      </c>
      <c r="C1307" s="124" t="str">
        <f>IFERROR(__xludf.DUMMYFUNCTION("""COMPUTED_VALUE"""),"Prayagraj")</f>
        <v>Prayagraj</v>
      </c>
      <c r="D1307" s="124" t="str">
        <f>IFERROR(__xludf.DUMMYFUNCTION("""COMPUTED_VALUE"""),"Primary_Walkin")</f>
        <v>Primary_Walkin</v>
      </c>
      <c r="E1307" s="124">
        <f>IFERROR(__xludf.DUMMYFUNCTION("""COMPUTED_VALUE"""),2.0)</f>
        <v>2</v>
      </c>
      <c r="F1307" s="124" t="str">
        <f>IFERROR(__xludf.DUMMYFUNCTION("""COMPUTED_VALUE"""),"Not Interested")</f>
        <v>Not Interested</v>
      </c>
      <c r="G1307" s="124" t="str">
        <f>IFERROR(__xludf.DUMMYFUNCTION("""COMPUTED_VALUE"""),"GS Foundation")</f>
        <v>GS Foundation</v>
      </c>
      <c r="K1307" s="124"/>
      <c r="L1307" s="124"/>
      <c r="M1307" s="124"/>
      <c r="N1307" s="124"/>
      <c r="O1307" s="124"/>
      <c r="T1307" s="126">
        <f>IFERROR(__xludf.DUMMYFUNCTION("""COMPUTED_VALUE"""),46052.0)</f>
        <v>46052</v>
      </c>
      <c r="U1307" s="124" t="str">
        <f>IFERROR(__xludf.DUMMYFUNCTION("""COMPUTED_VALUE"""),"Walk-Ins")</f>
        <v>Walk-Ins</v>
      </c>
      <c r="V1307" s="124" t="str">
        <f>IFERROR(__xludf.DUMMYFUNCTION("""COMPUTED_VALUE"""),"Walkin")</f>
        <v>Walkin</v>
      </c>
      <c r="W1307" s="124" t="str">
        <f>IFERROR(__xludf.DUMMYFUNCTION("""COMPUTED_VALUE"""),"Prayagraj")</f>
        <v>Prayagraj</v>
      </c>
      <c r="X1307" s="124" t="str">
        <f>IFERROR(__xludf.DUMMYFUNCTION("""COMPUTED_VALUE"""),"Walkin")</f>
        <v>Walkin</v>
      </c>
      <c r="Y1307" s="124" t="str">
        <f>IFERROR(__xludf.DUMMYFUNCTION("""COMPUTED_VALUE"""),"Lucknow")</f>
        <v>Lucknow</v>
      </c>
      <c r="Z1307" s="124">
        <f>IFERROR(__xludf.DUMMYFUNCTION("""COMPUTED_VALUE"""),1.0)</f>
        <v>1</v>
      </c>
      <c r="AA1307" s="124" t="str">
        <f>IFERROR(__xludf.DUMMYFUNCTION("""COMPUTED_VALUE"""),"Cold")</f>
        <v>Cold</v>
      </c>
      <c r="AB1307" s="124" t="str">
        <f>IFERROR(__xludf.DUMMYFUNCTION("""COMPUTED_VALUE"""),"State PCS")</f>
        <v>State PCS</v>
      </c>
    </row>
    <row r="1308">
      <c r="A1308" s="126">
        <f>IFERROR(__xludf.DUMMYFUNCTION("""COMPUTED_VALUE"""),46092.0)</f>
        <v>46092</v>
      </c>
      <c r="B1308" s="124" t="str">
        <f>IFERROR(__xludf.DUMMYFUNCTION("""COMPUTED_VALUE"""),"Walk-In")</f>
        <v>Walk-In</v>
      </c>
      <c r="C1308" s="124" t="str">
        <f>IFERROR(__xludf.DUMMYFUNCTION("""COMPUTED_VALUE"""),"Prayagraj")</f>
        <v>Prayagraj</v>
      </c>
      <c r="D1308" s="124" t="str">
        <f>IFERROR(__xludf.DUMMYFUNCTION("""COMPUTED_VALUE"""),"Primary_Walkin")</f>
        <v>Primary_Walkin</v>
      </c>
      <c r="E1308" s="124">
        <f>IFERROR(__xludf.DUMMYFUNCTION("""COMPUTED_VALUE"""),1.0)</f>
        <v>1</v>
      </c>
      <c r="F1308" s="124" t="str">
        <f>IFERROR(__xludf.DUMMYFUNCTION("""COMPUTED_VALUE"""),"Fake Lead")</f>
        <v>Fake Lead</v>
      </c>
      <c r="G1308" s="124" t="str">
        <f>IFERROR(__xludf.DUMMYFUNCTION("""COMPUTED_VALUE"""),"GS Foundation")</f>
        <v>GS Foundation</v>
      </c>
      <c r="K1308" s="124"/>
      <c r="L1308" s="124"/>
      <c r="M1308" s="124"/>
      <c r="N1308" s="124"/>
      <c r="O1308" s="124"/>
      <c r="T1308" s="126">
        <f>IFERROR(__xludf.DUMMYFUNCTION("""COMPUTED_VALUE"""),46066.0)</f>
        <v>46066</v>
      </c>
      <c r="U1308" s="124" t="str">
        <f>IFERROR(__xludf.DUMMYFUNCTION("""COMPUTED_VALUE"""),"Walk-Ins")</f>
        <v>Walk-Ins</v>
      </c>
      <c r="V1308" s="124" t="str">
        <f>IFERROR(__xludf.DUMMYFUNCTION("""COMPUTED_VALUE"""),"Walkin")</f>
        <v>Walkin</v>
      </c>
      <c r="W1308" s="124" t="str">
        <f>IFERROR(__xludf.DUMMYFUNCTION("""COMPUTED_VALUE"""),"Lucknow")</f>
        <v>Lucknow</v>
      </c>
      <c r="X1308" s="124" t="str">
        <f>IFERROR(__xludf.DUMMYFUNCTION("""COMPUTED_VALUE"""),"Walkin")</f>
        <v>Walkin</v>
      </c>
      <c r="Y1308" s="124" t="str">
        <f>IFERROR(__xludf.DUMMYFUNCTION("""COMPUTED_VALUE"""),"Lucknow")</f>
        <v>Lucknow</v>
      </c>
      <c r="Z1308" s="124">
        <f>IFERROR(__xludf.DUMMYFUNCTION("""COMPUTED_VALUE"""),1.0)</f>
        <v>1</v>
      </c>
      <c r="AA1308" s="124" t="str">
        <f>IFERROR(__xludf.DUMMYFUNCTION("""COMPUTED_VALUE"""),"Enrolled")</f>
        <v>Enrolled</v>
      </c>
      <c r="AB1308" s="124" t="str">
        <f>IFERROR(__xludf.DUMMYFUNCTION("""COMPUTED_VALUE"""),"GS Foundation")</f>
        <v>GS Foundation</v>
      </c>
    </row>
    <row r="1309">
      <c r="A1309" s="129">
        <f>IFERROR(__xludf.DUMMYFUNCTION("""COMPUTED_VALUE"""),46088.0)</f>
        <v>46088</v>
      </c>
      <c r="B1309" s="124" t="str">
        <f>IFERROR(__xludf.DUMMYFUNCTION("""COMPUTED_VALUE"""),"Inbound Call")</f>
        <v>Inbound Call</v>
      </c>
      <c r="C1309" s="124" t="str">
        <f>IFERROR(__xludf.DUMMYFUNCTION("""COMPUTED_VALUE"""),"Prayagraj")</f>
        <v>Prayagraj</v>
      </c>
      <c r="D1309" s="124" t="str">
        <f>IFERROR(__xludf.DUMMYFUNCTION("""COMPUTED_VALUE"""),"Secondary_Walkin")</f>
        <v>Secondary_Walkin</v>
      </c>
      <c r="E1309" s="124">
        <f>IFERROR(__xludf.DUMMYFUNCTION("""COMPUTED_VALUE"""),1.0)</f>
        <v>1</v>
      </c>
      <c r="F1309" s="124" t="str">
        <f>IFERROR(__xludf.DUMMYFUNCTION("""COMPUTED_VALUE"""),"Enrolled")</f>
        <v>Enrolled</v>
      </c>
      <c r="G1309" s="124" t="str">
        <f>IFERROR(__xludf.DUMMYFUNCTION("""COMPUTED_VALUE"""),"CSAT")</f>
        <v>CSAT</v>
      </c>
      <c r="K1309" s="124"/>
      <c r="L1309" s="124"/>
      <c r="M1309" s="124"/>
      <c r="N1309" s="124"/>
      <c r="O1309" s="124"/>
      <c r="T1309" s="126">
        <f>IFERROR(__xludf.DUMMYFUNCTION("""COMPUTED_VALUE"""),46067.0)</f>
        <v>46067</v>
      </c>
      <c r="U1309" s="124" t="str">
        <f>IFERROR(__xludf.DUMMYFUNCTION("""COMPUTED_VALUE"""),"Walk-Ins")</f>
        <v>Walk-Ins</v>
      </c>
      <c r="V1309" s="124" t="str">
        <f>IFERROR(__xludf.DUMMYFUNCTION("""COMPUTED_VALUE"""),"Walkin")</f>
        <v>Walkin</v>
      </c>
      <c r="W1309" s="124" t="str">
        <f>IFERROR(__xludf.DUMMYFUNCTION("""COMPUTED_VALUE"""),"Prayagraj")</f>
        <v>Prayagraj</v>
      </c>
      <c r="X1309" s="124" t="str">
        <f>IFERROR(__xludf.DUMMYFUNCTION("""COMPUTED_VALUE"""),"Walkin")</f>
        <v>Walkin</v>
      </c>
      <c r="Y1309" s="124" t="str">
        <f>IFERROR(__xludf.DUMMYFUNCTION("""COMPUTED_VALUE"""),"Prayagraj")</f>
        <v>Prayagraj</v>
      </c>
      <c r="Z1309" s="124">
        <f>IFERROR(__xludf.DUMMYFUNCTION("""COMPUTED_VALUE"""),3.0)</f>
        <v>3</v>
      </c>
      <c r="AA1309" s="124" t="str">
        <f>IFERROR(__xludf.DUMMYFUNCTION("""COMPUTED_VALUE"""),"Warm")</f>
        <v>Warm</v>
      </c>
      <c r="AB1309" s="124" t="str">
        <f>IFERROR(__xludf.DUMMYFUNCTION("""COMPUTED_VALUE"""),"GS Foundation")</f>
        <v>GS Foundation</v>
      </c>
    </row>
    <row r="1310">
      <c r="A1310" s="129">
        <f>IFERROR(__xludf.DUMMYFUNCTION("""COMPUTED_VALUE"""),46069.0)</f>
        <v>46069</v>
      </c>
      <c r="B1310" s="124" t="str">
        <f>IFERROR(__xludf.DUMMYFUNCTION("""COMPUTED_VALUE"""),"Walkin")</f>
        <v>Walkin</v>
      </c>
      <c r="C1310" s="124" t="str">
        <f>IFERROR(__xludf.DUMMYFUNCTION("""COMPUTED_VALUE"""),"Prayagraj")</f>
        <v>Prayagraj</v>
      </c>
      <c r="D1310" s="124" t="str">
        <f>IFERROR(__xludf.DUMMYFUNCTION("""COMPUTED_VALUE"""),"Primary_Walkin")</f>
        <v>Primary_Walkin</v>
      </c>
      <c r="E1310" s="124">
        <f>IFERROR(__xludf.DUMMYFUNCTION("""COMPUTED_VALUE"""),2.0)</f>
        <v>2</v>
      </c>
      <c r="F1310" s="124" t="str">
        <f>IFERROR(__xludf.DUMMYFUNCTION("""COMPUTED_VALUE"""),"Enrolled")</f>
        <v>Enrolled</v>
      </c>
      <c r="G1310" s="124" t="str">
        <f>IFERROR(__xludf.DUMMYFUNCTION("""COMPUTED_VALUE"""),"GS Foundation")</f>
        <v>GS Foundation</v>
      </c>
      <c r="K1310" s="124"/>
      <c r="L1310" s="124"/>
      <c r="M1310" s="124"/>
      <c r="N1310" s="124"/>
      <c r="O1310" s="124"/>
      <c r="T1310" s="126">
        <f>IFERROR(__xludf.DUMMYFUNCTION("""COMPUTED_VALUE"""),46060.0)</f>
        <v>46060</v>
      </c>
      <c r="U1310" s="124" t="str">
        <f>IFERROR(__xludf.DUMMYFUNCTION("""COMPUTED_VALUE"""),"Walk-Ins")</f>
        <v>Walk-Ins</v>
      </c>
      <c r="V1310" s="124" t="str">
        <f>IFERROR(__xludf.DUMMYFUNCTION("""COMPUTED_VALUE"""),"Walkin")</f>
        <v>Walkin</v>
      </c>
      <c r="W1310" s="124" t="str">
        <f>IFERROR(__xludf.DUMMYFUNCTION("""COMPUTED_VALUE"""),"Lucknow")</f>
        <v>Lucknow</v>
      </c>
      <c r="X1310" s="124" t="str">
        <f>IFERROR(__xludf.DUMMYFUNCTION("""COMPUTED_VALUE"""),"Walkin")</f>
        <v>Walkin</v>
      </c>
      <c r="Y1310" s="124" t="str">
        <f>IFERROR(__xludf.DUMMYFUNCTION("""COMPUTED_VALUE"""),"Lucknow")</f>
        <v>Lucknow</v>
      </c>
      <c r="Z1310" s="124">
        <f>IFERROR(__xludf.DUMMYFUNCTION("""COMPUTED_VALUE"""),1.0)</f>
        <v>1</v>
      </c>
      <c r="AA1310" s="124" t="str">
        <f>IFERROR(__xludf.DUMMYFUNCTION("""COMPUTED_VALUE"""),"Enrolled")</f>
        <v>Enrolled</v>
      </c>
      <c r="AB1310" s="124" t="str">
        <f>IFERROR(__xludf.DUMMYFUNCTION("""COMPUTED_VALUE"""),"GS Foundation")</f>
        <v>GS Foundation</v>
      </c>
    </row>
    <row r="1311">
      <c r="A1311" s="126">
        <f>IFERROR(__xludf.DUMMYFUNCTION("""COMPUTED_VALUE"""),46081.0)</f>
        <v>46081</v>
      </c>
      <c r="B1311" s="124" t="str">
        <f>IFERROR(__xludf.DUMMYFUNCTION("""COMPUTED_VALUE"""),"Walkin")</f>
        <v>Walkin</v>
      </c>
      <c r="C1311" s="124" t="str">
        <f>IFERROR(__xludf.DUMMYFUNCTION("""COMPUTED_VALUE"""),"Prayagraj")</f>
        <v>Prayagraj</v>
      </c>
      <c r="D1311" s="124" t="str">
        <f>IFERROR(__xludf.DUMMYFUNCTION("""COMPUTED_VALUE"""),"Primary_Walkin")</f>
        <v>Primary_Walkin</v>
      </c>
      <c r="E1311" s="124">
        <f>IFERROR(__xludf.DUMMYFUNCTION("""COMPUTED_VALUE"""),1.0)</f>
        <v>1</v>
      </c>
      <c r="F1311" s="124" t="str">
        <f>IFERROR(__xludf.DUMMYFUNCTION("""COMPUTED_VALUE"""),"Enrolled")</f>
        <v>Enrolled</v>
      </c>
      <c r="G1311" s="124" t="str">
        <f>IFERROR(__xludf.DUMMYFUNCTION("""COMPUTED_VALUE"""),"Mentorship")</f>
        <v>Mentorship</v>
      </c>
      <c r="K1311" s="124"/>
      <c r="L1311" s="124"/>
      <c r="M1311" s="124"/>
      <c r="N1311" s="124"/>
      <c r="O1311" s="124"/>
      <c r="T1311" s="126">
        <f>IFERROR(__xludf.DUMMYFUNCTION("""COMPUTED_VALUE"""),46100.0)</f>
        <v>46100</v>
      </c>
      <c r="U1311" s="124" t="str">
        <f>IFERROR(__xludf.DUMMYFUNCTION("""COMPUTED_VALUE"""),"Walk-Ins")</f>
        <v>Walk-Ins</v>
      </c>
      <c r="V1311" s="124" t="str">
        <f>IFERROR(__xludf.DUMMYFUNCTION("""COMPUTED_VALUE"""),"Walkin")</f>
        <v>Walkin</v>
      </c>
      <c r="W1311" s="124" t="str">
        <f>IFERROR(__xludf.DUMMYFUNCTION("""COMPUTED_VALUE"""),"Lucknow")</f>
        <v>Lucknow</v>
      </c>
      <c r="X1311" s="124" t="str">
        <f>IFERROR(__xludf.DUMMYFUNCTION("""COMPUTED_VALUE"""),"Walkin")</f>
        <v>Walkin</v>
      </c>
      <c r="Y1311" s="124" t="str">
        <f>IFERROR(__xludf.DUMMYFUNCTION("""COMPUTED_VALUE"""),"Lucknow")</f>
        <v>Lucknow</v>
      </c>
      <c r="Z1311" s="124">
        <f>IFERROR(__xludf.DUMMYFUNCTION("""COMPUTED_VALUE"""),1.0)</f>
        <v>1</v>
      </c>
      <c r="AA1311" s="124" t="str">
        <f>IFERROR(__xludf.DUMMYFUNCTION("""COMPUTED_VALUE"""),"Cold")</f>
        <v>Cold</v>
      </c>
      <c r="AB1311" s="124" t="str">
        <f>IFERROR(__xludf.DUMMYFUNCTION("""COMPUTED_VALUE"""),"GS Foundation")</f>
        <v>GS Foundation</v>
      </c>
    </row>
    <row r="1312">
      <c r="A1312" s="126">
        <f>IFERROR(__xludf.DUMMYFUNCTION("""COMPUTED_VALUE"""),46062.0)</f>
        <v>46062</v>
      </c>
      <c r="B1312" s="124" t="str">
        <f>IFERROR(__xludf.DUMMYFUNCTION("""COMPUTED_VALUE"""),"Walk-In")</f>
        <v>Walk-In</v>
      </c>
      <c r="C1312" s="124" t="str">
        <f>IFERROR(__xludf.DUMMYFUNCTION("""COMPUTED_VALUE"""),"Prayagraj")</f>
        <v>Prayagraj</v>
      </c>
      <c r="D1312" s="124" t="str">
        <f>IFERROR(__xludf.DUMMYFUNCTION("""COMPUTED_VALUE"""),"Primary_Walkin")</f>
        <v>Primary_Walkin</v>
      </c>
      <c r="E1312" s="124">
        <f>IFERROR(__xludf.DUMMYFUNCTION("""COMPUTED_VALUE"""),1.0)</f>
        <v>1</v>
      </c>
      <c r="F1312" s="124" t="str">
        <f>IFERROR(__xludf.DUMMYFUNCTION("""COMPUTED_VALUE"""),"Enrolled")</f>
        <v>Enrolled</v>
      </c>
      <c r="G1312" s="124" t="str">
        <f>IFERROR(__xludf.DUMMYFUNCTION("""COMPUTED_VALUE"""),"Mentorship")</f>
        <v>Mentorship</v>
      </c>
      <c r="K1312" s="124"/>
      <c r="L1312" s="124"/>
      <c r="M1312" s="124"/>
      <c r="N1312" s="124"/>
      <c r="O1312" s="124"/>
      <c r="T1312" s="126">
        <f>IFERROR(__xludf.DUMMYFUNCTION("""COMPUTED_VALUE"""),46079.0)</f>
        <v>46079</v>
      </c>
      <c r="U1312" s="124" t="str">
        <f>IFERROR(__xludf.DUMMYFUNCTION("""COMPUTED_VALUE"""),"Walk-Ins")</f>
        <v>Walk-Ins</v>
      </c>
      <c r="V1312" s="124" t="str">
        <f>IFERROR(__xludf.DUMMYFUNCTION("""COMPUTED_VALUE"""),"Walkin")</f>
        <v>Walkin</v>
      </c>
      <c r="W1312" s="124" t="str">
        <f>IFERROR(__xludf.DUMMYFUNCTION("""COMPUTED_VALUE"""),"Patna")</f>
        <v>Patna</v>
      </c>
      <c r="X1312" s="124" t="str">
        <f>IFERROR(__xludf.DUMMYFUNCTION("""COMPUTED_VALUE"""),"Walkin")</f>
        <v>Walkin</v>
      </c>
      <c r="Y1312" s="124" t="str">
        <f>IFERROR(__xludf.DUMMYFUNCTION("""COMPUTED_VALUE"""),"Patna")</f>
        <v>Patna</v>
      </c>
      <c r="Z1312" s="124">
        <f>IFERROR(__xludf.DUMMYFUNCTION("""COMPUTED_VALUE"""),1.0)</f>
        <v>1</v>
      </c>
      <c r="AA1312" s="124" t="str">
        <f>IFERROR(__xludf.DUMMYFUNCTION("""COMPUTED_VALUE"""),"Cold")</f>
        <v>Cold</v>
      </c>
      <c r="AB1312" s="124" t="str">
        <f>IFERROR(__xludf.DUMMYFUNCTION("""COMPUTED_VALUE"""),"Prelims Crash Course - SIP")</f>
        <v>Prelims Crash Course - SIP</v>
      </c>
    </row>
    <row r="1313">
      <c r="A1313" s="126">
        <f>IFERROR(__xludf.DUMMYFUNCTION("""COMPUTED_VALUE"""),46045.0)</f>
        <v>46045</v>
      </c>
      <c r="B1313" s="124" t="str">
        <f>IFERROR(__xludf.DUMMYFUNCTION("""COMPUTED_VALUE"""),"Walkin")</f>
        <v>Walkin</v>
      </c>
      <c r="C1313" s="124" t="str">
        <f>IFERROR(__xludf.DUMMYFUNCTION("""COMPUTED_VALUE"""),"Prayagraj")</f>
        <v>Prayagraj</v>
      </c>
      <c r="D1313" s="124" t="str">
        <f>IFERROR(__xludf.DUMMYFUNCTION("""COMPUTED_VALUE"""),"Primary_Walkin")</f>
        <v>Primary_Walkin</v>
      </c>
      <c r="E1313" s="124">
        <f>IFERROR(__xludf.DUMMYFUNCTION("""COMPUTED_VALUE"""),2.0)</f>
        <v>2</v>
      </c>
      <c r="F1313" s="124" t="str">
        <f>IFERROR(__xludf.DUMMYFUNCTION("""COMPUTED_VALUE"""),"Cold")</f>
        <v>Cold</v>
      </c>
      <c r="G1313" s="124" t="str">
        <f>IFERROR(__xludf.DUMMYFUNCTION("""COMPUTED_VALUE"""),"GS Foundation")</f>
        <v>GS Foundation</v>
      </c>
      <c r="K1313" s="124"/>
      <c r="L1313" s="124"/>
      <c r="M1313" s="124"/>
      <c r="N1313" s="124"/>
      <c r="O1313" s="124"/>
      <c r="T1313" s="126">
        <f>IFERROR(__xludf.DUMMYFUNCTION("""COMPUTED_VALUE"""),46101.0)</f>
        <v>46101</v>
      </c>
      <c r="U1313" s="124" t="str">
        <f>IFERROR(__xludf.DUMMYFUNCTION("""COMPUTED_VALUE"""),"Walk-Ins")</f>
        <v>Walk-Ins</v>
      </c>
      <c r="V1313" s="124" t="str">
        <f>IFERROR(__xludf.DUMMYFUNCTION("""COMPUTED_VALUE"""),"Walkin")</f>
        <v>Walkin</v>
      </c>
      <c r="W1313" s="124" t="str">
        <f>IFERROR(__xludf.DUMMYFUNCTION("""COMPUTED_VALUE"""),"Patna")</f>
        <v>Patna</v>
      </c>
      <c r="X1313" s="124" t="str">
        <f>IFERROR(__xludf.DUMMYFUNCTION("""COMPUTED_VALUE"""),"Walkin")</f>
        <v>Walkin</v>
      </c>
      <c r="Y1313" s="124" t="str">
        <f>IFERROR(__xludf.DUMMYFUNCTION("""COMPUTED_VALUE"""),"Patna")</f>
        <v>Patna</v>
      </c>
      <c r="Z1313" s="124">
        <f>IFERROR(__xludf.DUMMYFUNCTION("""COMPUTED_VALUE"""),4.0)</f>
        <v>4</v>
      </c>
      <c r="AA1313" s="124" t="str">
        <f>IFERROR(__xludf.DUMMYFUNCTION("""COMPUTED_VALUE"""),"Cold")</f>
        <v>Cold</v>
      </c>
      <c r="AB1313" s="124" t="str">
        <f>IFERROR(__xludf.DUMMYFUNCTION("""COMPUTED_VALUE"""),"GS Foundation")</f>
        <v>GS Foundation</v>
      </c>
    </row>
    <row r="1314">
      <c r="A1314" s="129">
        <f>IFERROR(__xludf.DUMMYFUNCTION("""COMPUTED_VALUE"""),46087.0)</f>
        <v>46087</v>
      </c>
      <c r="B1314" s="124" t="str">
        <f>IFERROR(__xludf.DUMMYFUNCTION("""COMPUTED_VALUE"""),"Walk-In")</f>
        <v>Walk-In</v>
      </c>
      <c r="C1314" s="124" t="str">
        <f>IFERROR(__xludf.DUMMYFUNCTION("""COMPUTED_VALUE"""),"Prayagraj")</f>
        <v>Prayagraj</v>
      </c>
      <c r="D1314" s="124" t="str">
        <f>IFERROR(__xludf.DUMMYFUNCTION("""COMPUTED_VALUE"""),"Primary_Walkin")</f>
        <v>Primary_Walkin</v>
      </c>
      <c r="E1314" s="124">
        <f>IFERROR(__xludf.DUMMYFUNCTION("""COMPUTED_VALUE"""),2.0)</f>
        <v>2</v>
      </c>
      <c r="F1314" s="124" t="str">
        <f>IFERROR(__xludf.DUMMYFUNCTION("""COMPUTED_VALUE"""),"Warm")</f>
        <v>Warm</v>
      </c>
      <c r="G1314" s="124" t="str">
        <f>IFERROR(__xludf.DUMMYFUNCTION("""COMPUTED_VALUE"""),"GS Foundation")</f>
        <v>GS Foundation</v>
      </c>
      <c r="K1314" s="124"/>
      <c r="L1314" s="124"/>
      <c r="M1314" s="124"/>
      <c r="N1314" s="124"/>
      <c r="O1314" s="124"/>
      <c r="T1314" s="126">
        <f>IFERROR(__xludf.DUMMYFUNCTION("""COMPUTED_VALUE"""),46067.0)</f>
        <v>46067</v>
      </c>
      <c r="U1314" s="124" t="str">
        <f>IFERROR(__xludf.DUMMYFUNCTION("""COMPUTED_VALUE"""),"Walk-Ins")</f>
        <v>Walk-Ins</v>
      </c>
      <c r="V1314" s="124" t="str">
        <f>IFERROR(__xludf.DUMMYFUNCTION("""COMPUTED_VALUE"""),"Walkin")</f>
        <v>Walkin</v>
      </c>
      <c r="W1314" s="124" t="str">
        <f>IFERROR(__xludf.DUMMYFUNCTION("""COMPUTED_VALUE"""),"Patna")</f>
        <v>Patna</v>
      </c>
      <c r="X1314" s="124" t="str">
        <f>IFERROR(__xludf.DUMMYFUNCTION("""COMPUTED_VALUE"""),"Walkin")</f>
        <v>Walkin</v>
      </c>
      <c r="Y1314" s="124" t="str">
        <f>IFERROR(__xludf.DUMMYFUNCTION("""COMPUTED_VALUE"""),"Patna")</f>
        <v>Patna</v>
      </c>
      <c r="Z1314" s="124">
        <f>IFERROR(__xludf.DUMMYFUNCTION("""COMPUTED_VALUE"""),1.0)</f>
        <v>1</v>
      </c>
      <c r="AA1314" s="124" t="str">
        <f>IFERROR(__xludf.DUMMYFUNCTION("""COMPUTED_VALUE"""),"Future Prospects")</f>
        <v>Future Prospects</v>
      </c>
      <c r="AB1314" s="124" t="str">
        <f>IFERROR(__xludf.DUMMYFUNCTION("""COMPUTED_VALUE"""),"GS Foundation")</f>
        <v>GS Foundation</v>
      </c>
    </row>
    <row r="1315">
      <c r="A1315" s="129">
        <f>IFERROR(__xludf.DUMMYFUNCTION("""COMPUTED_VALUE"""),46063.0)</f>
        <v>46063</v>
      </c>
      <c r="B1315" s="124" t="str">
        <f>IFERROR(__xludf.DUMMYFUNCTION("""COMPUTED_VALUE"""),"Walkin")</f>
        <v>Walkin</v>
      </c>
      <c r="C1315" s="124" t="str">
        <f>IFERROR(__xludf.DUMMYFUNCTION("""COMPUTED_VALUE"""),"Prayagraj")</f>
        <v>Prayagraj</v>
      </c>
      <c r="D1315" s="124" t="str">
        <f>IFERROR(__xludf.DUMMYFUNCTION("""COMPUTED_VALUE"""),"Primary_Walkin")</f>
        <v>Primary_Walkin</v>
      </c>
      <c r="E1315" s="124">
        <f>IFERROR(__xludf.DUMMYFUNCTION("""COMPUTED_VALUE"""),4.0)</f>
        <v>4</v>
      </c>
      <c r="F1315" s="124" t="str">
        <f>IFERROR(__xludf.DUMMYFUNCTION("""COMPUTED_VALUE"""),"Cold")</f>
        <v>Cold</v>
      </c>
      <c r="G1315" s="124" t="str">
        <f>IFERROR(__xludf.DUMMYFUNCTION("""COMPUTED_VALUE"""),"GS Foundation")</f>
        <v>GS Foundation</v>
      </c>
      <c r="K1315" s="124"/>
      <c r="L1315" s="124"/>
      <c r="M1315" s="124"/>
      <c r="N1315" s="124"/>
      <c r="O1315" s="124"/>
      <c r="T1315" s="126">
        <f>IFERROR(__xludf.DUMMYFUNCTION("""COMPUTED_VALUE"""),46065.0)</f>
        <v>46065</v>
      </c>
      <c r="U1315" s="124" t="str">
        <f>IFERROR(__xludf.DUMMYFUNCTION("""COMPUTED_VALUE"""),"Walk-Ins")</f>
        <v>Walk-Ins</v>
      </c>
      <c r="V1315" s="124" t="str">
        <f>IFERROR(__xludf.DUMMYFUNCTION("""COMPUTED_VALUE"""),"Walkin")</f>
        <v>Walkin</v>
      </c>
      <c r="W1315" s="124" t="str">
        <f>IFERROR(__xludf.DUMMYFUNCTION("""COMPUTED_VALUE"""),"Prayagraj")</f>
        <v>Prayagraj</v>
      </c>
      <c r="X1315" s="124" t="str">
        <f>IFERROR(__xludf.DUMMYFUNCTION("""COMPUTED_VALUE"""),"Walkin")</f>
        <v>Walkin</v>
      </c>
      <c r="Y1315" s="124" t="str">
        <f>IFERROR(__xludf.DUMMYFUNCTION("""COMPUTED_VALUE"""),"Prayagraj")</f>
        <v>Prayagraj</v>
      </c>
      <c r="Z1315" s="124">
        <f>IFERROR(__xludf.DUMMYFUNCTION("""COMPUTED_VALUE"""),1.0)</f>
        <v>1</v>
      </c>
      <c r="AA1315" s="124" t="str">
        <f>IFERROR(__xludf.DUMMYFUNCTION("""COMPUTED_VALUE"""),"Cold")</f>
        <v>Cold</v>
      </c>
      <c r="AB1315" s="124" t="str">
        <f>IFERROR(__xludf.DUMMYFUNCTION("""COMPUTED_VALUE"""),"Other")</f>
        <v>Other</v>
      </c>
    </row>
    <row r="1316">
      <c r="A1316" s="129">
        <f>IFERROR(__xludf.DUMMYFUNCTION("""COMPUTED_VALUE"""),46098.0)</f>
        <v>46098</v>
      </c>
      <c r="B1316" s="124" t="str">
        <f>IFERROR(__xludf.DUMMYFUNCTION("""COMPUTED_VALUE"""),"Walk-In")</f>
        <v>Walk-In</v>
      </c>
      <c r="C1316" s="124" t="str">
        <f>IFERROR(__xludf.DUMMYFUNCTION("""COMPUTED_VALUE"""),"Prayagraj")</f>
        <v>Prayagraj</v>
      </c>
      <c r="D1316" s="124" t="str">
        <f>IFERROR(__xludf.DUMMYFUNCTION("""COMPUTED_VALUE"""),"Primary_Walkin")</f>
        <v>Primary_Walkin</v>
      </c>
      <c r="E1316" s="124">
        <f>IFERROR(__xludf.DUMMYFUNCTION("""COMPUTED_VALUE"""),1.0)</f>
        <v>1</v>
      </c>
      <c r="F1316" s="124" t="str">
        <f>IFERROR(__xludf.DUMMYFUNCTION("""COMPUTED_VALUE"""),"Cold")</f>
        <v>Cold</v>
      </c>
      <c r="G1316" s="124" t="str">
        <f>IFERROR(__xludf.DUMMYFUNCTION("""COMPUTED_VALUE"""),"GS Foundation")</f>
        <v>GS Foundation</v>
      </c>
      <c r="K1316" s="124"/>
      <c r="L1316" s="124"/>
      <c r="M1316" s="124"/>
      <c r="N1316" s="124"/>
      <c r="O1316" s="124"/>
      <c r="T1316" s="126">
        <f>IFERROR(__xludf.DUMMYFUNCTION("""COMPUTED_VALUE"""),46105.0)</f>
        <v>46105</v>
      </c>
      <c r="U1316" s="124" t="str">
        <f>IFERROR(__xludf.DUMMYFUNCTION("""COMPUTED_VALUE"""),"Walk-Ins")</f>
        <v>Walk-Ins</v>
      </c>
      <c r="V1316" s="124" t="str">
        <f>IFERROR(__xludf.DUMMYFUNCTION("""COMPUTED_VALUE"""),"Walkin")</f>
        <v>Walkin</v>
      </c>
      <c r="W1316" s="124" t="str">
        <f>IFERROR(__xludf.DUMMYFUNCTION("""COMPUTED_VALUE"""),"Patna")</f>
        <v>Patna</v>
      </c>
      <c r="X1316" s="124" t="str">
        <f>IFERROR(__xludf.DUMMYFUNCTION("""COMPUTED_VALUE"""),"Walkin")</f>
        <v>Walkin</v>
      </c>
      <c r="Y1316" s="124" t="str">
        <f>IFERROR(__xludf.DUMMYFUNCTION("""COMPUTED_VALUE"""),"Patna")</f>
        <v>Patna</v>
      </c>
      <c r="Z1316" s="124">
        <f>IFERROR(__xludf.DUMMYFUNCTION("""COMPUTED_VALUE"""),2.0)</f>
        <v>2</v>
      </c>
      <c r="AA1316" s="124" t="str">
        <f>IFERROR(__xludf.DUMMYFUNCTION("""COMPUTED_VALUE"""),"Warm")</f>
        <v>Warm</v>
      </c>
      <c r="AB1316" s="124" t="str">
        <f>IFERROR(__xludf.DUMMYFUNCTION("""COMPUTED_VALUE"""),"GS Foundation")</f>
        <v>GS Foundation</v>
      </c>
    </row>
    <row r="1317">
      <c r="A1317" s="129">
        <f>IFERROR(__xludf.DUMMYFUNCTION("""COMPUTED_VALUE"""),46100.0)</f>
        <v>46100</v>
      </c>
      <c r="B1317" s="124" t="str">
        <f>IFERROR(__xludf.DUMMYFUNCTION("""COMPUTED_VALUE"""),"Walkin")</f>
        <v>Walkin</v>
      </c>
      <c r="C1317" s="124" t="str">
        <f>IFERROR(__xludf.DUMMYFUNCTION("""COMPUTED_VALUE"""),"Prayagraj")</f>
        <v>Prayagraj</v>
      </c>
      <c r="D1317" s="124" t="str">
        <f>IFERROR(__xludf.DUMMYFUNCTION("""COMPUTED_VALUE"""),"Primary_Walkin")</f>
        <v>Primary_Walkin</v>
      </c>
      <c r="E1317" s="124">
        <f>IFERROR(__xludf.DUMMYFUNCTION("""COMPUTED_VALUE"""),2.0)</f>
        <v>2</v>
      </c>
      <c r="F1317" s="124" t="str">
        <f>IFERROR(__xludf.DUMMYFUNCTION("""COMPUTED_VALUE"""),"Future Prospects")</f>
        <v>Future Prospects</v>
      </c>
      <c r="G1317" s="124" t="str">
        <f>IFERROR(__xludf.DUMMYFUNCTION("""COMPUTED_VALUE"""),"GS Foundation")</f>
        <v>GS Foundation</v>
      </c>
      <c r="K1317" s="124"/>
      <c r="L1317" s="124"/>
      <c r="M1317" s="124"/>
      <c r="N1317" s="124"/>
      <c r="O1317" s="124"/>
      <c r="T1317" s="129">
        <f>IFERROR(__xludf.DUMMYFUNCTION("""COMPUTED_VALUE"""),46089.0)</f>
        <v>46089</v>
      </c>
      <c r="U1317" s="124" t="str">
        <f>IFERROR(__xludf.DUMMYFUNCTION("""COMPUTED_VALUE"""),"Walk-Ins")</f>
        <v>Walk-Ins</v>
      </c>
      <c r="V1317" s="124" t="str">
        <f>IFERROR(__xludf.DUMMYFUNCTION("""COMPUTED_VALUE"""),"Walkin")</f>
        <v>Walkin</v>
      </c>
      <c r="W1317" s="124" t="str">
        <f>IFERROR(__xludf.DUMMYFUNCTION("""COMPUTED_VALUE"""),"Prayagraj")</f>
        <v>Prayagraj</v>
      </c>
      <c r="X1317" s="124" t="str">
        <f>IFERROR(__xludf.DUMMYFUNCTION("""COMPUTED_VALUE"""),"Walkin")</f>
        <v>Walkin</v>
      </c>
      <c r="Y1317" s="124" t="str">
        <f>IFERROR(__xludf.DUMMYFUNCTION("""COMPUTED_VALUE"""),"Prayagraj")</f>
        <v>Prayagraj</v>
      </c>
      <c r="Z1317" s="124">
        <f>IFERROR(__xludf.DUMMYFUNCTION("""COMPUTED_VALUE"""),1.0)</f>
        <v>1</v>
      </c>
      <c r="AA1317" s="124" t="str">
        <f>IFERROR(__xludf.DUMMYFUNCTION("""COMPUTED_VALUE"""),"Future Prospects")</f>
        <v>Future Prospects</v>
      </c>
      <c r="AB1317" s="124" t="str">
        <f>IFERROR(__xludf.DUMMYFUNCTION("""COMPUTED_VALUE"""),"Other")</f>
        <v>Other</v>
      </c>
    </row>
    <row r="1318">
      <c r="A1318" s="126">
        <f>IFERROR(__xludf.DUMMYFUNCTION("""COMPUTED_VALUE"""),46088.0)</f>
        <v>46088</v>
      </c>
      <c r="B1318" s="124" t="str">
        <f>IFERROR(__xludf.DUMMYFUNCTION("""COMPUTED_VALUE"""),"Walkin")</f>
        <v>Walkin</v>
      </c>
      <c r="C1318" s="124" t="str">
        <f>IFERROR(__xludf.DUMMYFUNCTION("""COMPUTED_VALUE"""),"Prayagraj")</f>
        <v>Prayagraj</v>
      </c>
      <c r="D1318" s="124" t="str">
        <f>IFERROR(__xludf.DUMMYFUNCTION("""COMPUTED_VALUE"""),"Primary_Walkin")</f>
        <v>Primary_Walkin</v>
      </c>
      <c r="E1318" s="124">
        <f>IFERROR(__xludf.DUMMYFUNCTION("""COMPUTED_VALUE"""),1.0)</f>
        <v>1</v>
      </c>
      <c r="F1318" s="124" t="str">
        <f>IFERROR(__xludf.DUMMYFUNCTION("""COMPUTED_VALUE"""),"Future Prospects")</f>
        <v>Future Prospects</v>
      </c>
      <c r="G1318" s="124" t="str">
        <f>IFERROR(__xludf.DUMMYFUNCTION("""COMPUTED_VALUE"""),"Mentorship")</f>
        <v>Mentorship</v>
      </c>
      <c r="K1318" s="124"/>
      <c r="L1318" s="124"/>
      <c r="M1318" s="124"/>
      <c r="N1318" s="124"/>
      <c r="O1318" s="124"/>
      <c r="T1318" s="126">
        <f>IFERROR(__xludf.DUMMYFUNCTION("""COMPUTED_VALUE"""),46053.0)</f>
        <v>46053</v>
      </c>
      <c r="U1318" s="124" t="str">
        <f>IFERROR(__xludf.DUMMYFUNCTION("""COMPUTED_VALUE"""),"Walk-Ins")</f>
        <v>Walk-Ins</v>
      </c>
      <c r="V1318" s="124" t="str">
        <f>IFERROR(__xludf.DUMMYFUNCTION("""COMPUTED_VALUE"""),"Walkin")</f>
        <v>Walkin</v>
      </c>
      <c r="W1318" s="124" t="str">
        <f>IFERROR(__xludf.DUMMYFUNCTION("""COMPUTED_VALUE"""),"Prayagraj")</f>
        <v>Prayagraj</v>
      </c>
      <c r="X1318" s="124" t="str">
        <f>IFERROR(__xludf.DUMMYFUNCTION("""COMPUTED_VALUE"""),"Walkin")</f>
        <v>Walkin</v>
      </c>
      <c r="Y1318" s="124" t="str">
        <f>IFERROR(__xludf.DUMMYFUNCTION("""COMPUTED_VALUE"""),"Prayagraj")</f>
        <v>Prayagraj</v>
      </c>
      <c r="Z1318" s="124">
        <f>IFERROR(__xludf.DUMMYFUNCTION("""COMPUTED_VALUE"""),1.0)</f>
        <v>1</v>
      </c>
      <c r="AA1318" s="124" t="str">
        <f>IFERROR(__xludf.DUMMYFUNCTION("""COMPUTED_VALUE"""),"Not Interested")</f>
        <v>Not Interested</v>
      </c>
      <c r="AB1318" s="124" t="str">
        <f>IFERROR(__xludf.DUMMYFUNCTION("""COMPUTED_VALUE"""),"Mentorship")</f>
        <v>Mentorship</v>
      </c>
    </row>
    <row r="1319">
      <c r="A1319" s="126">
        <f>IFERROR(__xludf.DUMMYFUNCTION("""COMPUTED_VALUE"""),46066.0)</f>
        <v>46066</v>
      </c>
      <c r="B1319" s="124" t="str">
        <f>IFERROR(__xludf.DUMMYFUNCTION("""COMPUTED_VALUE"""),"Walkin")</f>
        <v>Walkin</v>
      </c>
      <c r="C1319" s="124" t="str">
        <f>IFERROR(__xludf.DUMMYFUNCTION("""COMPUTED_VALUE"""),"Prayagraj")</f>
        <v>Prayagraj</v>
      </c>
      <c r="D1319" s="124" t="str">
        <f>IFERROR(__xludf.DUMMYFUNCTION("""COMPUTED_VALUE"""),"Primary_Walkin")</f>
        <v>Primary_Walkin</v>
      </c>
      <c r="E1319" s="124">
        <f>IFERROR(__xludf.DUMMYFUNCTION("""COMPUTED_VALUE"""),1.0)</f>
        <v>1</v>
      </c>
      <c r="F1319" s="124" t="str">
        <f>IFERROR(__xludf.DUMMYFUNCTION("""COMPUTED_VALUE"""),"Future Prospects")</f>
        <v>Future Prospects</v>
      </c>
      <c r="G1319" s="124" t="str">
        <f>IFERROR(__xludf.DUMMYFUNCTION("""COMPUTED_VALUE"""),"State PCS")</f>
        <v>State PCS</v>
      </c>
      <c r="K1319" s="124"/>
      <c r="L1319" s="124"/>
      <c r="M1319" s="124"/>
      <c r="N1319" s="124"/>
      <c r="O1319" s="124"/>
      <c r="T1319" s="126">
        <f>IFERROR(__xludf.DUMMYFUNCTION("""COMPUTED_VALUE"""),46076.0)</f>
        <v>46076</v>
      </c>
      <c r="U1319" s="124" t="str">
        <f>IFERROR(__xludf.DUMMYFUNCTION("""COMPUTED_VALUE"""),"Walk-Ins")</f>
        <v>Walk-Ins</v>
      </c>
      <c r="V1319" s="124" t="str">
        <f>IFERROR(__xludf.DUMMYFUNCTION("""COMPUTED_VALUE"""),"Walkin")</f>
        <v>Walkin</v>
      </c>
      <c r="W1319" s="124" t="str">
        <f>IFERROR(__xludf.DUMMYFUNCTION("""COMPUTED_VALUE"""),"Prayagraj")</f>
        <v>Prayagraj</v>
      </c>
      <c r="X1319" s="124" t="str">
        <f>IFERROR(__xludf.DUMMYFUNCTION("""COMPUTED_VALUE"""),"Walkin")</f>
        <v>Walkin</v>
      </c>
      <c r="Y1319" s="124" t="str">
        <f>IFERROR(__xludf.DUMMYFUNCTION("""COMPUTED_VALUE"""),"Prayagraj")</f>
        <v>Prayagraj</v>
      </c>
      <c r="Z1319" s="124">
        <f>IFERROR(__xludf.DUMMYFUNCTION("""COMPUTED_VALUE"""),1.0)</f>
        <v>1</v>
      </c>
      <c r="AA1319" s="124" t="str">
        <f>IFERROR(__xludf.DUMMYFUNCTION("""COMPUTED_VALUE"""),"Future Prospects")</f>
        <v>Future Prospects</v>
      </c>
      <c r="AB1319" s="124" t="str">
        <f>IFERROR(__xludf.DUMMYFUNCTION("""COMPUTED_VALUE"""),"State PCS")</f>
        <v>State PCS</v>
      </c>
    </row>
    <row r="1320">
      <c r="A1320" s="126">
        <f>IFERROR(__xludf.DUMMYFUNCTION("""COMPUTED_VALUE"""),46107.0)</f>
        <v>46107</v>
      </c>
      <c r="B1320" s="124" t="str">
        <f>IFERROR(__xludf.DUMMYFUNCTION("""COMPUTED_VALUE"""),"Walkin")</f>
        <v>Walkin</v>
      </c>
      <c r="C1320" s="124" t="str">
        <f>IFERROR(__xludf.DUMMYFUNCTION("""COMPUTED_VALUE"""),"Prayagraj")</f>
        <v>Prayagraj</v>
      </c>
      <c r="D1320" s="124" t="str">
        <f>IFERROR(__xludf.DUMMYFUNCTION("""COMPUTED_VALUE"""),"Primary_Walkin")</f>
        <v>Primary_Walkin</v>
      </c>
      <c r="E1320" s="124">
        <f>IFERROR(__xludf.DUMMYFUNCTION("""COMPUTED_VALUE"""),2.0)</f>
        <v>2</v>
      </c>
      <c r="F1320" s="124" t="str">
        <f>IFERROR(__xludf.DUMMYFUNCTION("""COMPUTED_VALUE"""),"Future Prospects")</f>
        <v>Future Prospects</v>
      </c>
      <c r="G1320" s="124" t="str">
        <f>IFERROR(__xludf.DUMMYFUNCTION("""COMPUTED_VALUE"""),"State PCS")</f>
        <v>State PCS</v>
      </c>
      <c r="K1320" s="124"/>
      <c r="L1320" s="124"/>
      <c r="M1320" s="124"/>
      <c r="N1320" s="124"/>
      <c r="O1320" s="124"/>
      <c r="T1320" s="126">
        <f>IFERROR(__xludf.DUMMYFUNCTION("""COMPUTED_VALUE"""),46108.0)</f>
        <v>46108</v>
      </c>
      <c r="U1320" s="124" t="str">
        <f>IFERROR(__xludf.DUMMYFUNCTION("""COMPUTED_VALUE"""),"Walk-Ins")</f>
        <v>Walk-Ins</v>
      </c>
      <c r="V1320" s="124" t="str">
        <f>IFERROR(__xludf.DUMMYFUNCTION("""COMPUTED_VALUE"""),"Walkin")</f>
        <v>Walkin</v>
      </c>
      <c r="W1320" s="124" t="str">
        <f>IFERROR(__xludf.DUMMYFUNCTION("""COMPUTED_VALUE"""),"Lucknow")</f>
        <v>Lucknow</v>
      </c>
      <c r="X1320" s="124" t="str">
        <f>IFERROR(__xludf.DUMMYFUNCTION("""COMPUTED_VALUE"""),"Walkin")</f>
        <v>Walkin</v>
      </c>
      <c r="Y1320" s="124" t="str">
        <f>IFERROR(__xludf.DUMMYFUNCTION("""COMPUTED_VALUE"""),"Lucknow")</f>
        <v>Lucknow</v>
      </c>
      <c r="Z1320" s="124">
        <f>IFERROR(__xludf.DUMMYFUNCTION("""COMPUTED_VALUE"""),2.0)</f>
        <v>2</v>
      </c>
      <c r="AA1320" s="124" t="str">
        <f>IFERROR(__xludf.DUMMYFUNCTION("""COMPUTED_VALUE"""),"Enrolled")</f>
        <v>Enrolled</v>
      </c>
      <c r="AB1320" s="124" t="str">
        <f>IFERROR(__xludf.DUMMYFUNCTION("""COMPUTED_VALUE"""),"GS Foundation")</f>
        <v>GS Foundation</v>
      </c>
    </row>
    <row r="1321">
      <c r="A1321" s="129">
        <f>IFERROR(__xludf.DUMMYFUNCTION("""COMPUTED_VALUE"""),46106.0)</f>
        <v>46106</v>
      </c>
      <c r="B1321" s="124" t="str">
        <f>IFERROR(__xludf.DUMMYFUNCTION("""COMPUTED_VALUE"""),"external leads")</f>
        <v>external leads</v>
      </c>
      <c r="C1321" s="124" t="str">
        <f>IFERROR(__xludf.DUMMYFUNCTION("""COMPUTED_VALUE"""),"Prayagraj")</f>
        <v>Prayagraj</v>
      </c>
      <c r="D1321" s="124" t="str">
        <f>IFERROR(__xludf.DUMMYFUNCTION("""COMPUTED_VALUE"""),"Secondary_Walkin")</f>
        <v>Secondary_Walkin</v>
      </c>
      <c r="E1321" s="124">
        <f>IFERROR(__xludf.DUMMYFUNCTION("""COMPUTED_VALUE"""),1.0)</f>
        <v>1</v>
      </c>
      <c r="F1321" s="124" t="str">
        <f>IFERROR(__xludf.DUMMYFUNCTION("""COMPUTED_VALUE"""),"Cold")</f>
        <v>Cold</v>
      </c>
      <c r="G1321" s="124" t="str">
        <f>IFERROR(__xludf.DUMMYFUNCTION("""COMPUTED_VALUE"""),"GS Foundation")</f>
        <v>GS Foundation</v>
      </c>
      <c r="K1321" s="124"/>
      <c r="L1321" s="124"/>
      <c r="M1321" s="124"/>
      <c r="N1321" s="124"/>
      <c r="O1321" s="124"/>
      <c r="T1321" s="126">
        <f>IFERROR(__xludf.DUMMYFUNCTION("""COMPUTED_VALUE"""),46092.0)</f>
        <v>46092</v>
      </c>
      <c r="U1321" s="124" t="str">
        <f>IFERROR(__xludf.DUMMYFUNCTION("""COMPUTED_VALUE"""),"Walk-Ins")</f>
        <v>Walk-Ins</v>
      </c>
      <c r="V1321" s="124" t="str">
        <f>IFERROR(__xludf.DUMMYFUNCTION("""COMPUTED_VALUE"""),"Walkin")</f>
        <v>Walkin</v>
      </c>
      <c r="W1321" s="124" t="str">
        <f>IFERROR(__xludf.DUMMYFUNCTION("""COMPUTED_VALUE"""),"Lucknow")</f>
        <v>Lucknow</v>
      </c>
      <c r="X1321" s="124" t="str">
        <f>IFERROR(__xludf.DUMMYFUNCTION("""COMPUTED_VALUE"""),"Walkin")</f>
        <v>Walkin</v>
      </c>
      <c r="Y1321" s="124" t="str">
        <f>IFERROR(__xludf.DUMMYFUNCTION("""COMPUTED_VALUE"""),"Lucknow")</f>
        <v>Lucknow</v>
      </c>
      <c r="Z1321" s="124">
        <f>IFERROR(__xludf.DUMMYFUNCTION("""COMPUTED_VALUE"""),1.0)</f>
        <v>1</v>
      </c>
      <c r="AA1321" s="124" t="str">
        <f>IFERROR(__xludf.DUMMYFUNCTION("""COMPUTED_VALUE"""),"Enrolled")</f>
        <v>Enrolled</v>
      </c>
      <c r="AB1321" s="124" t="str">
        <f>IFERROR(__xludf.DUMMYFUNCTION("""COMPUTED_VALUE"""),"GS Foundation")</f>
        <v>GS Foundation</v>
      </c>
    </row>
    <row r="1322">
      <c r="A1322" s="129">
        <f>IFERROR(__xludf.DUMMYFUNCTION("""COMPUTED_VALUE"""),46111.0)</f>
        <v>46111</v>
      </c>
      <c r="B1322" s="124" t="str">
        <f>IFERROR(__xludf.DUMMYFUNCTION("""COMPUTED_VALUE"""),"Walk-In")</f>
        <v>Walk-In</v>
      </c>
      <c r="C1322" s="124" t="str">
        <f>IFERROR(__xludf.DUMMYFUNCTION("""COMPUTED_VALUE"""),"Prayagraj")</f>
        <v>Prayagraj</v>
      </c>
      <c r="D1322" s="124" t="str">
        <f>IFERROR(__xludf.DUMMYFUNCTION("""COMPUTED_VALUE"""),"Primary_Walkin")</f>
        <v>Primary_Walkin</v>
      </c>
      <c r="E1322" s="124">
        <f>IFERROR(__xludf.DUMMYFUNCTION("""COMPUTED_VALUE"""),2.0)</f>
        <v>2</v>
      </c>
      <c r="F1322" s="124" t="str">
        <f>IFERROR(__xludf.DUMMYFUNCTION("""COMPUTED_VALUE"""),"Warm")</f>
        <v>Warm</v>
      </c>
      <c r="G1322" s="124" t="str">
        <f>IFERROR(__xludf.DUMMYFUNCTION("""COMPUTED_VALUE"""),"GS Foundation")</f>
        <v>GS Foundation</v>
      </c>
      <c r="K1322" s="124"/>
      <c r="L1322" s="124"/>
      <c r="M1322" s="124"/>
      <c r="N1322" s="124"/>
      <c r="O1322" s="124"/>
      <c r="T1322" s="126">
        <f>IFERROR(__xludf.DUMMYFUNCTION("""COMPUTED_VALUE"""),46063.0)</f>
        <v>46063</v>
      </c>
      <c r="U1322" s="124" t="str">
        <f>IFERROR(__xludf.DUMMYFUNCTION("""COMPUTED_VALUE"""),"Walk-Ins")</f>
        <v>Walk-Ins</v>
      </c>
      <c r="V1322" s="124" t="str">
        <f>IFERROR(__xludf.DUMMYFUNCTION("""COMPUTED_VALUE"""),"Walkin")</f>
        <v>Walkin</v>
      </c>
      <c r="W1322" s="124" t="str">
        <f>IFERROR(__xludf.DUMMYFUNCTION("""COMPUTED_VALUE"""),"Patna")</f>
        <v>Patna</v>
      </c>
      <c r="X1322" s="124" t="str">
        <f>IFERROR(__xludf.DUMMYFUNCTION("""COMPUTED_VALUE"""),"Walkin")</f>
        <v>Walkin</v>
      </c>
      <c r="Y1322" s="124" t="str">
        <f>IFERROR(__xludf.DUMMYFUNCTION("""COMPUTED_VALUE"""),"Patna")</f>
        <v>Patna</v>
      </c>
      <c r="Z1322" s="124">
        <f>IFERROR(__xludf.DUMMYFUNCTION("""COMPUTED_VALUE"""),2.0)</f>
        <v>2</v>
      </c>
      <c r="AA1322" s="124" t="str">
        <f>IFERROR(__xludf.DUMMYFUNCTION("""COMPUTED_VALUE"""),"Cold")</f>
        <v>Cold</v>
      </c>
      <c r="AB1322" s="124" t="str">
        <f>IFERROR(__xludf.DUMMYFUNCTION("""COMPUTED_VALUE"""),"GS Foundation")</f>
        <v>GS Foundation</v>
      </c>
    </row>
    <row r="1323">
      <c r="A1323" s="129">
        <f>IFERROR(__xludf.DUMMYFUNCTION("""COMPUTED_VALUE"""),46096.0)</f>
        <v>46096</v>
      </c>
      <c r="B1323" s="124" t="str">
        <f>IFERROR(__xludf.DUMMYFUNCTION("""COMPUTED_VALUE"""),"Walk-In")</f>
        <v>Walk-In</v>
      </c>
      <c r="C1323" s="124" t="str">
        <f>IFERROR(__xludf.DUMMYFUNCTION("""COMPUTED_VALUE"""),"Prayagraj")</f>
        <v>Prayagraj</v>
      </c>
      <c r="D1323" s="124" t="str">
        <f>IFERROR(__xludf.DUMMYFUNCTION("""COMPUTED_VALUE"""),"Primary_Walkin")</f>
        <v>Primary_Walkin</v>
      </c>
      <c r="E1323" s="124">
        <f>IFERROR(__xludf.DUMMYFUNCTION("""COMPUTED_VALUE"""),1.0)</f>
        <v>1</v>
      </c>
      <c r="F1323" s="124" t="str">
        <f>IFERROR(__xludf.DUMMYFUNCTION("""COMPUTED_VALUE"""),"Cold")</f>
        <v>Cold</v>
      </c>
      <c r="G1323" s="124" t="str">
        <f>IFERROR(__xludf.DUMMYFUNCTION("""COMPUTED_VALUE"""),"Test Series")</f>
        <v>Test Series</v>
      </c>
      <c r="K1323" s="124"/>
      <c r="L1323" s="124"/>
      <c r="M1323" s="124"/>
      <c r="N1323" s="124"/>
      <c r="O1323" s="124"/>
      <c r="T1323" s="126">
        <f>IFERROR(__xludf.DUMMYFUNCTION("""COMPUTED_VALUE"""),46112.0)</f>
        <v>46112</v>
      </c>
      <c r="U1323" s="124" t="str">
        <f>IFERROR(__xludf.DUMMYFUNCTION("""COMPUTED_VALUE"""),"Walk-Ins")</f>
        <v>Walk-Ins</v>
      </c>
      <c r="V1323" s="124" t="str">
        <f>IFERROR(__xludf.DUMMYFUNCTION("""COMPUTED_VALUE"""),"Walkin")</f>
        <v>Walkin</v>
      </c>
      <c r="W1323" s="124" t="str">
        <f>IFERROR(__xludf.DUMMYFUNCTION("""COMPUTED_VALUE"""),"Prayagraj")</f>
        <v>Prayagraj</v>
      </c>
      <c r="X1323" s="124" t="str">
        <f>IFERROR(__xludf.DUMMYFUNCTION("""COMPUTED_VALUE"""),"Walkin")</f>
        <v>Walkin</v>
      </c>
      <c r="Y1323" s="124" t="str">
        <f>IFERROR(__xludf.DUMMYFUNCTION("""COMPUTED_VALUE"""),"Prayagraj")</f>
        <v>Prayagraj</v>
      </c>
      <c r="Z1323" s="124">
        <f>IFERROR(__xludf.DUMMYFUNCTION("""COMPUTED_VALUE"""),7.0)</f>
        <v>7</v>
      </c>
      <c r="AA1323" s="124" t="str">
        <f>IFERROR(__xludf.DUMMYFUNCTION("""COMPUTED_VALUE"""),"Warm")</f>
        <v>Warm</v>
      </c>
      <c r="AB1323" s="124" t="str">
        <f>IFERROR(__xludf.DUMMYFUNCTION("""COMPUTED_VALUE"""),"GS Foundation")</f>
        <v>GS Foundation</v>
      </c>
    </row>
    <row r="1324">
      <c r="A1324" s="126">
        <f>IFERROR(__xludf.DUMMYFUNCTION("""COMPUTED_VALUE"""),46082.0)</f>
        <v>46082</v>
      </c>
      <c r="B1324" s="124" t="str">
        <f>IFERROR(__xludf.DUMMYFUNCTION("""COMPUTED_VALUE"""),"Walk-In")</f>
        <v>Walk-In</v>
      </c>
      <c r="C1324" s="124" t="str">
        <f>IFERROR(__xludf.DUMMYFUNCTION("""COMPUTED_VALUE"""),"Prayagraj")</f>
        <v>Prayagraj</v>
      </c>
      <c r="D1324" s="124" t="str">
        <f>IFERROR(__xludf.DUMMYFUNCTION("""COMPUTED_VALUE"""),"Primary_Walkin")</f>
        <v>Primary_Walkin</v>
      </c>
      <c r="E1324" s="124">
        <f>IFERROR(__xludf.DUMMYFUNCTION("""COMPUTED_VALUE"""),1.0)</f>
        <v>1</v>
      </c>
      <c r="F1324" s="124" t="str">
        <f>IFERROR(__xludf.DUMMYFUNCTION("""COMPUTED_VALUE"""),"Cold")</f>
        <v>Cold</v>
      </c>
      <c r="G1324" s="124" t="str">
        <f>IFERROR(__xludf.DUMMYFUNCTION("""COMPUTED_VALUE"""),"GS Foundation")</f>
        <v>GS Foundation</v>
      </c>
      <c r="K1324" s="124"/>
      <c r="L1324" s="124"/>
      <c r="M1324" s="124"/>
      <c r="N1324" s="124"/>
      <c r="O1324" s="124"/>
      <c r="T1324" s="126">
        <f>IFERROR(__xludf.DUMMYFUNCTION("""COMPUTED_VALUE"""),46065.0)</f>
        <v>46065</v>
      </c>
      <c r="U1324" s="124" t="str">
        <f>IFERROR(__xludf.DUMMYFUNCTION("""COMPUTED_VALUE"""),"Walk-Ins")</f>
        <v>Walk-Ins</v>
      </c>
      <c r="V1324" s="124" t="str">
        <f>IFERROR(__xludf.DUMMYFUNCTION("""COMPUTED_VALUE"""),"Walkin")</f>
        <v>Walkin</v>
      </c>
      <c r="W1324" s="124" t="str">
        <f>IFERROR(__xludf.DUMMYFUNCTION("""COMPUTED_VALUE"""),"Indore")</f>
        <v>Indore</v>
      </c>
      <c r="X1324" s="124" t="str">
        <f>IFERROR(__xludf.DUMMYFUNCTION("""COMPUTED_VALUE"""),"Walkin")</f>
        <v>Walkin</v>
      </c>
      <c r="Y1324" s="124" t="str">
        <f>IFERROR(__xludf.DUMMYFUNCTION("""COMPUTED_VALUE"""),"Indore")</f>
        <v>Indore</v>
      </c>
      <c r="Z1324" s="124">
        <f>IFERROR(__xludf.DUMMYFUNCTION("""COMPUTED_VALUE"""),1.0)</f>
        <v>1</v>
      </c>
      <c r="AA1324" s="124" t="str">
        <f>IFERROR(__xludf.DUMMYFUNCTION("""COMPUTED_VALUE"""),"Not Interested")</f>
        <v>Not Interested</v>
      </c>
      <c r="AB1324" s="124" t="str">
        <f>IFERROR(__xludf.DUMMYFUNCTION("""COMPUTED_VALUE"""),"GS Foundation")</f>
        <v>GS Foundation</v>
      </c>
    </row>
    <row r="1325">
      <c r="A1325" s="126">
        <f>IFERROR(__xludf.DUMMYFUNCTION("""COMPUTED_VALUE"""),46067.0)</f>
        <v>46067</v>
      </c>
      <c r="B1325" s="124" t="str">
        <f>IFERROR(__xludf.DUMMYFUNCTION("""COMPUTED_VALUE"""),"Walk-In")</f>
        <v>Walk-In</v>
      </c>
      <c r="C1325" s="124" t="str">
        <f>IFERROR(__xludf.DUMMYFUNCTION("""COMPUTED_VALUE"""),"Prayagraj")</f>
        <v>Prayagraj</v>
      </c>
      <c r="D1325" s="124" t="str">
        <f>IFERROR(__xludf.DUMMYFUNCTION("""COMPUTED_VALUE"""),"Primary_Walkin")</f>
        <v>Primary_Walkin</v>
      </c>
      <c r="E1325" s="124">
        <f>IFERROR(__xludf.DUMMYFUNCTION("""COMPUTED_VALUE"""),1.0)</f>
        <v>1</v>
      </c>
      <c r="F1325" s="124" t="str">
        <f>IFERROR(__xludf.DUMMYFUNCTION("""COMPUTED_VALUE"""),"Cold")</f>
        <v>Cold</v>
      </c>
      <c r="G1325" s="124" t="str">
        <f>IFERROR(__xludf.DUMMYFUNCTION("""COMPUTED_VALUE"""),"GS Foundation")</f>
        <v>GS Foundation</v>
      </c>
      <c r="K1325" s="124"/>
      <c r="L1325" s="124"/>
      <c r="M1325" s="124"/>
      <c r="N1325" s="124"/>
      <c r="O1325" s="124"/>
      <c r="T1325" s="126">
        <f>IFERROR(__xludf.DUMMYFUNCTION("""COMPUTED_VALUE"""),46062.0)</f>
        <v>46062</v>
      </c>
      <c r="U1325" s="124" t="str">
        <f>IFERROR(__xludf.DUMMYFUNCTION("""COMPUTED_VALUE"""),"Walk-Ins")</f>
        <v>Walk-Ins</v>
      </c>
      <c r="V1325" s="124" t="str">
        <f>IFERROR(__xludf.DUMMYFUNCTION("""COMPUTED_VALUE"""),"Walkin")</f>
        <v>Walkin</v>
      </c>
      <c r="W1325" s="124" t="str">
        <f>IFERROR(__xludf.DUMMYFUNCTION("""COMPUTED_VALUE"""),"Patna")</f>
        <v>Patna</v>
      </c>
      <c r="X1325" s="124" t="str">
        <f>IFERROR(__xludf.DUMMYFUNCTION("""COMPUTED_VALUE"""),"Walkin")</f>
        <v>Walkin</v>
      </c>
      <c r="Y1325" s="124" t="str">
        <f>IFERROR(__xludf.DUMMYFUNCTION("""COMPUTED_VALUE"""),"Patna")</f>
        <v>Patna</v>
      </c>
      <c r="Z1325" s="124">
        <f>IFERROR(__xludf.DUMMYFUNCTION("""COMPUTED_VALUE"""),3.0)</f>
        <v>3</v>
      </c>
      <c r="AA1325" s="124" t="str">
        <f>IFERROR(__xludf.DUMMYFUNCTION("""COMPUTED_VALUE"""),"Enrolled")</f>
        <v>Enrolled</v>
      </c>
      <c r="AB1325" s="124" t="str">
        <f>IFERROR(__xludf.DUMMYFUNCTION("""COMPUTED_VALUE"""),"State PCS")</f>
        <v>State PCS</v>
      </c>
    </row>
    <row r="1326">
      <c r="A1326" s="126">
        <f>IFERROR(__xludf.DUMMYFUNCTION("""COMPUTED_VALUE"""),46089.0)</f>
        <v>46089</v>
      </c>
      <c r="B1326" s="124" t="str">
        <f>IFERROR(__xludf.DUMMYFUNCTION("""COMPUTED_VALUE"""),"events")</f>
        <v>events</v>
      </c>
      <c r="C1326" s="124" t="str">
        <f>IFERROR(__xludf.DUMMYFUNCTION("""COMPUTED_VALUE"""),"Prayagraj")</f>
        <v>Prayagraj</v>
      </c>
      <c r="D1326" s="124" t="str">
        <f>IFERROR(__xludf.DUMMYFUNCTION("""COMPUTED_VALUE"""),"Secondary_Walkin")</f>
        <v>Secondary_Walkin</v>
      </c>
      <c r="E1326" s="124">
        <f>IFERROR(__xludf.DUMMYFUNCTION("""COMPUTED_VALUE"""),1.0)</f>
        <v>1</v>
      </c>
      <c r="F1326" s="124" t="str">
        <f>IFERROR(__xludf.DUMMYFUNCTION("""COMPUTED_VALUE"""),"Enrolled")</f>
        <v>Enrolled</v>
      </c>
      <c r="G1326" s="124" t="str">
        <f>IFERROR(__xludf.DUMMYFUNCTION("""COMPUTED_VALUE"""),"Mentorship")</f>
        <v>Mentorship</v>
      </c>
      <c r="K1326" s="124"/>
      <c r="L1326" s="124"/>
      <c r="M1326" s="124"/>
      <c r="N1326" s="124"/>
      <c r="O1326" s="124"/>
      <c r="T1326" s="126">
        <f>IFERROR(__xludf.DUMMYFUNCTION("""COMPUTED_VALUE"""),46052.0)</f>
        <v>46052</v>
      </c>
      <c r="U1326" s="124" t="str">
        <f>IFERROR(__xludf.DUMMYFUNCTION("""COMPUTED_VALUE"""),"Walk-Ins")</f>
        <v>Walk-Ins</v>
      </c>
      <c r="V1326" s="124" t="str">
        <f>IFERROR(__xludf.DUMMYFUNCTION("""COMPUTED_VALUE"""),"Walk-In")</f>
        <v>Walk-In</v>
      </c>
      <c r="W1326" s="124" t="str">
        <f>IFERROR(__xludf.DUMMYFUNCTION("""COMPUTED_VALUE"""),"Patna")</f>
        <v>Patna</v>
      </c>
      <c r="X1326" s="124" t="str">
        <f>IFERROR(__xludf.DUMMYFUNCTION("""COMPUTED_VALUE"""),"Others")</f>
        <v>Others</v>
      </c>
      <c r="Y1326" s="124" t="str">
        <f>IFERROR(__xludf.DUMMYFUNCTION("""COMPUTED_VALUE"""),"Patna")</f>
        <v>Patna</v>
      </c>
      <c r="Z1326" s="124">
        <f>IFERROR(__xludf.DUMMYFUNCTION("""COMPUTED_VALUE"""),2.0)</f>
        <v>2</v>
      </c>
      <c r="AA1326" s="124" t="str">
        <f>IFERROR(__xludf.DUMMYFUNCTION("""COMPUTED_VALUE"""),"Cold")</f>
        <v>Cold</v>
      </c>
      <c r="AB1326" s="124" t="str">
        <f>IFERROR(__xludf.DUMMYFUNCTION("""COMPUTED_VALUE"""),"State PCS")</f>
        <v>State PCS</v>
      </c>
    </row>
    <row r="1327">
      <c r="A1327" s="129">
        <f>IFERROR(__xludf.DUMMYFUNCTION("""COMPUTED_VALUE"""),46093.0)</f>
        <v>46093</v>
      </c>
      <c r="B1327" s="124" t="str">
        <f>IFERROR(__xludf.DUMMYFUNCTION("""COMPUTED_VALUE"""),"Walkin")</f>
        <v>Walkin</v>
      </c>
      <c r="C1327" s="124" t="str">
        <f>IFERROR(__xludf.DUMMYFUNCTION("""COMPUTED_VALUE"""),"Prayagraj")</f>
        <v>Prayagraj</v>
      </c>
      <c r="D1327" s="124" t="str">
        <f>IFERROR(__xludf.DUMMYFUNCTION("""COMPUTED_VALUE"""),"Primary_Walkin")</f>
        <v>Primary_Walkin</v>
      </c>
      <c r="E1327" s="124">
        <f>IFERROR(__xludf.DUMMYFUNCTION("""COMPUTED_VALUE"""),1.0)</f>
        <v>1</v>
      </c>
      <c r="F1327" s="124" t="str">
        <f>IFERROR(__xludf.DUMMYFUNCTION("""COMPUTED_VALUE"""),"Cold")</f>
        <v>Cold</v>
      </c>
      <c r="G1327" s="124" t="str">
        <f>IFERROR(__xludf.DUMMYFUNCTION("""COMPUTED_VALUE"""),"GS Foundation")</f>
        <v>GS Foundation</v>
      </c>
      <c r="K1327" s="124"/>
      <c r="L1327" s="124"/>
      <c r="M1327" s="124"/>
      <c r="N1327" s="124"/>
      <c r="O1327" s="124"/>
      <c r="T1327" s="126">
        <f>IFERROR(__xludf.DUMMYFUNCTION("""COMPUTED_VALUE"""),46091.0)</f>
        <v>46091</v>
      </c>
      <c r="U1327" s="124" t="str">
        <f>IFERROR(__xludf.DUMMYFUNCTION("""COMPUTED_VALUE"""),"Walk-Ins")</f>
        <v>Walk-Ins</v>
      </c>
      <c r="V1327" s="124" t="str">
        <f>IFERROR(__xludf.DUMMYFUNCTION("""COMPUTED_VALUE"""),"Walkin")</f>
        <v>Walkin</v>
      </c>
      <c r="W1327" s="124" t="str">
        <f>IFERROR(__xludf.DUMMYFUNCTION("""COMPUTED_VALUE"""),"Patna")</f>
        <v>Patna</v>
      </c>
      <c r="X1327" s="124" t="str">
        <f>IFERROR(__xludf.DUMMYFUNCTION("""COMPUTED_VALUE"""),"Walkin")</f>
        <v>Walkin</v>
      </c>
      <c r="Y1327" s="124" t="str">
        <f>IFERROR(__xludf.DUMMYFUNCTION("""COMPUTED_VALUE"""),"Patna")</f>
        <v>Patna</v>
      </c>
      <c r="Z1327" s="124">
        <f>IFERROR(__xludf.DUMMYFUNCTION("""COMPUTED_VALUE"""),2.0)</f>
        <v>2</v>
      </c>
      <c r="AA1327" s="124" t="str">
        <f>IFERROR(__xludf.DUMMYFUNCTION("""COMPUTED_VALUE"""),"Cold")</f>
        <v>Cold</v>
      </c>
      <c r="AB1327" s="124" t="str">
        <f>IFERROR(__xludf.DUMMYFUNCTION("""COMPUTED_VALUE"""),"State PCS")</f>
        <v>State PCS</v>
      </c>
    </row>
    <row r="1328">
      <c r="A1328" s="126">
        <f>IFERROR(__xludf.DUMMYFUNCTION("""COMPUTED_VALUE"""),46104.0)</f>
        <v>46104</v>
      </c>
      <c r="B1328" s="124" t="str">
        <f>IFERROR(__xludf.DUMMYFUNCTION("""COMPUTED_VALUE"""),"Walkin")</f>
        <v>Walkin</v>
      </c>
      <c r="C1328" s="124" t="str">
        <f>IFERROR(__xludf.DUMMYFUNCTION("""COMPUTED_VALUE"""),"Prayagraj")</f>
        <v>Prayagraj</v>
      </c>
      <c r="D1328" s="124" t="str">
        <f>IFERROR(__xludf.DUMMYFUNCTION("""COMPUTED_VALUE"""),"Primary_Walkin")</f>
        <v>Primary_Walkin</v>
      </c>
      <c r="E1328" s="124">
        <f>IFERROR(__xludf.DUMMYFUNCTION("""COMPUTED_VALUE"""),1.0)</f>
        <v>1</v>
      </c>
      <c r="F1328" s="124" t="str">
        <f>IFERROR(__xludf.DUMMYFUNCTION("""COMPUTED_VALUE"""),"Interested")</f>
        <v>Interested</v>
      </c>
      <c r="G1328" s="124" t="str">
        <f>IFERROR(__xludf.DUMMYFUNCTION("""COMPUTED_VALUE"""),"GS Foundation")</f>
        <v>GS Foundation</v>
      </c>
      <c r="K1328" s="124"/>
      <c r="L1328" s="124"/>
      <c r="M1328" s="124"/>
      <c r="N1328" s="124"/>
      <c r="O1328" s="124"/>
      <c r="T1328" s="126">
        <f>IFERROR(__xludf.DUMMYFUNCTION("""COMPUTED_VALUE"""),46103.0)</f>
        <v>46103</v>
      </c>
      <c r="U1328" s="124" t="str">
        <f>IFERROR(__xludf.DUMMYFUNCTION("""COMPUTED_VALUE"""),"Walk-Ins")</f>
        <v>Walk-Ins</v>
      </c>
      <c r="V1328" s="124" t="str">
        <f>IFERROR(__xludf.DUMMYFUNCTION("""COMPUTED_VALUE"""),"Walkin")</f>
        <v>Walkin</v>
      </c>
      <c r="W1328" s="124" t="str">
        <f>IFERROR(__xludf.DUMMYFUNCTION("""COMPUTED_VALUE"""),"Lucknow")</f>
        <v>Lucknow</v>
      </c>
      <c r="X1328" s="124" t="str">
        <f>IFERROR(__xludf.DUMMYFUNCTION("""COMPUTED_VALUE"""),"Walkin")</f>
        <v>Walkin</v>
      </c>
      <c r="Y1328" s="124" t="str">
        <f>IFERROR(__xludf.DUMMYFUNCTION("""COMPUTED_VALUE"""),"Lucknow")</f>
        <v>Lucknow</v>
      </c>
      <c r="Z1328" s="124">
        <f>IFERROR(__xludf.DUMMYFUNCTION("""COMPUTED_VALUE"""),1.0)</f>
        <v>1</v>
      </c>
      <c r="AA1328" s="124" t="str">
        <f>IFERROR(__xludf.DUMMYFUNCTION("""COMPUTED_VALUE"""),"Warm")</f>
        <v>Warm</v>
      </c>
      <c r="AB1328" s="124" t="str">
        <f>IFERROR(__xludf.DUMMYFUNCTION("""COMPUTED_VALUE"""),"Hybrid")</f>
        <v>Hybrid</v>
      </c>
    </row>
    <row r="1329">
      <c r="A1329" s="129">
        <f>IFERROR(__xludf.DUMMYFUNCTION("""COMPUTED_VALUE"""),46099.0)</f>
        <v>46099</v>
      </c>
      <c r="B1329" s="124" t="str">
        <f>IFERROR(__xludf.DUMMYFUNCTION("""COMPUTED_VALUE"""),"Walkin")</f>
        <v>Walkin</v>
      </c>
      <c r="C1329" s="124" t="str">
        <f>IFERROR(__xludf.DUMMYFUNCTION("""COMPUTED_VALUE"""),"Prayagraj")</f>
        <v>Prayagraj</v>
      </c>
      <c r="D1329" s="124" t="str">
        <f>IFERROR(__xludf.DUMMYFUNCTION("""COMPUTED_VALUE"""),"Primary_Walkin")</f>
        <v>Primary_Walkin</v>
      </c>
      <c r="E1329" s="124">
        <f>IFERROR(__xludf.DUMMYFUNCTION("""COMPUTED_VALUE"""),1.0)</f>
        <v>1</v>
      </c>
      <c r="F1329" s="124" t="str">
        <f>IFERROR(__xludf.DUMMYFUNCTION("""COMPUTED_VALUE"""),"Warm")</f>
        <v>Warm</v>
      </c>
      <c r="G1329" s="124" t="str">
        <f>IFERROR(__xludf.DUMMYFUNCTION("""COMPUTED_VALUE"""),"State PCS")</f>
        <v>State PCS</v>
      </c>
      <c r="K1329" s="124"/>
      <c r="L1329" s="124"/>
      <c r="M1329" s="124"/>
      <c r="N1329" s="124"/>
      <c r="O1329" s="124"/>
      <c r="T1329" s="126">
        <f>IFERROR(__xludf.DUMMYFUNCTION("""COMPUTED_VALUE"""),46108.0)</f>
        <v>46108</v>
      </c>
      <c r="U1329" s="124" t="str">
        <f>IFERROR(__xludf.DUMMYFUNCTION("""COMPUTED_VALUE"""),"Walk-Ins")</f>
        <v>Walk-Ins</v>
      </c>
      <c r="V1329" s="124" t="str">
        <f>IFERROR(__xludf.DUMMYFUNCTION("""COMPUTED_VALUE"""),"Walkin")</f>
        <v>Walkin</v>
      </c>
      <c r="W1329" s="124" t="str">
        <f>IFERROR(__xludf.DUMMYFUNCTION("""COMPUTED_VALUE"""),"Prayagraj")</f>
        <v>Prayagraj</v>
      </c>
      <c r="X1329" s="124" t="str">
        <f>IFERROR(__xludf.DUMMYFUNCTION("""COMPUTED_VALUE"""),"Walkin")</f>
        <v>Walkin</v>
      </c>
      <c r="Y1329" s="124" t="str">
        <f>IFERROR(__xludf.DUMMYFUNCTION("""COMPUTED_VALUE"""),"Prayagraj")</f>
        <v>Prayagraj</v>
      </c>
      <c r="Z1329" s="124">
        <f>IFERROR(__xludf.DUMMYFUNCTION("""COMPUTED_VALUE"""),4.0)</f>
        <v>4</v>
      </c>
      <c r="AA1329" s="124" t="str">
        <f>IFERROR(__xludf.DUMMYFUNCTION("""COMPUTED_VALUE"""),"Warm")</f>
        <v>Warm</v>
      </c>
      <c r="AB1329" s="124" t="str">
        <f>IFERROR(__xludf.DUMMYFUNCTION("""COMPUTED_VALUE"""),"GS Foundation")</f>
        <v>GS Foundation</v>
      </c>
    </row>
    <row r="1330">
      <c r="A1330" s="129">
        <f>IFERROR(__xludf.DUMMYFUNCTION("""COMPUTED_VALUE"""),46057.0)</f>
        <v>46057</v>
      </c>
      <c r="B1330" s="124" t="str">
        <f>IFERROR(__xludf.DUMMYFUNCTION("""COMPUTED_VALUE"""),"Walk-In")</f>
        <v>Walk-In</v>
      </c>
      <c r="C1330" s="124" t="str">
        <f>IFERROR(__xludf.DUMMYFUNCTION("""COMPUTED_VALUE"""),"Prayagraj")</f>
        <v>Prayagraj</v>
      </c>
      <c r="D1330" s="124" t="str">
        <f>IFERROR(__xludf.DUMMYFUNCTION("""COMPUTED_VALUE"""),"Primary_Walkin")</f>
        <v>Primary_Walkin</v>
      </c>
      <c r="E1330" s="124">
        <f>IFERROR(__xludf.DUMMYFUNCTION("""COMPUTED_VALUE"""),3.0)</f>
        <v>3</v>
      </c>
      <c r="F1330" s="124" t="str">
        <f>IFERROR(__xludf.DUMMYFUNCTION("""COMPUTED_VALUE"""),"Cold")</f>
        <v>Cold</v>
      </c>
      <c r="G1330" s="124" t="str">
        <f>IFERROR(__xludf.DUMMYFUNCTION("""COMPUTED_VALUE"""),"GS Foundation")</f>
        <v>GS Foundation</v>
      </c>
      <c r="K1330" s="124"/>
      <c r="L1330" s="124"/>
      <c r="M1330" s="124"/>
      <c r="N1330" s="124"/>
      <c r="O1330" s="124"/>
      <c r="T1330" s="126">
        <f>IFERROR(__xludf.DUMMYFUNCTION("""COMPUTED_VALUE"""),46088.0)</f>
        <v>46088</v>
      </c>
      <c r="U1330" s="124" t="str">
        <f>IFERROR(__xludf.DUMMYFUNCTION("""COMPUTED_VALUE"""),"Walk-Ins")</f>
        <v>Walk-Ins</v>
      </c>
      <c r="V1330" s="124" t="str">
        <f>IFERROR(__xludf.DUMMYFUNCTION("""COMPUTED_VALUE"""),"Walkin")</f>
        <v>Walkin</v>
      </c>
      <c r="W1330" s="124" t="str">
        <f>IFERROR(__xludf.DUMMYFUNCTION("""COMPUTED_VALUE"""),"Prayagraj")</f>
        <v>Prayagraj</v>
      </c>
      <c r="X1330" s="124" t="str">
        <f>IFERROR(__xludf.DUMMYFUNCTION("""COMPUTED_VALUE"""),"Walkin")</f>
        <v>Walkin</v>
      </c>
      <c r="Y1330" s="124" t="str">
        <f>IFERROR(__xludf.DUMMYFUNCTION("""COMPUTED_VALUE"""),"Prayagraj")</f>
        <v>Prayagraj</v>
      </c>
      <c r="Z1330" s="124">
        <f>IFERROR(__xludf.DUMMYFUNCTION("""COMPUTED_VALUE"""),2.0)</f>
        <v>2</v>
      </c>
      <c r="AA1330" s="124" t="str">
        <f>IFERROR(__xludf.DUMMYFUNCTION("""COMPUTED_VALUE"""),"Cold")</f>
        <v>Cold</v>
      </c>
      <c r="AB1330" s="124" t="str">
        <f>IFERROR(__xludf.DUMMYFUNCTION("""COMPUTED_VALUE"""),"Optionals")</f>
        <v>Optionals</v>
      </c>
    </row>
    <row r="1331">
      <c r="A1331" s="126">
        <f>IFERROR(__xludf.DUMMYFUNCTION("""COMPUTED_VALUE"""),46076.0)</f>
        <v>46076</v>
      </c>
      <c r="B1331" s="124" t="str">
        <f>IFERROR(__xludf.DUMMYFUNCTION("""COMPUTED_VALUE"""),"Walkin")</f>
        <v>Walkin</v>
      </c>
      <c r="C1331" s="124" t="str">
        <f>IFERROR(__xludf.DUMMYFUNCTION("""COMPUTED_VALUE"""),"Prayagraj")</f>
        <v>Prayagraj</v>
      </c>
      <c r="D1331" s="124" t="str">
        <f>IFERROR(__xludf.DUMMYFUNCTION("""COMPUTED_VALUE"""),"Primary_Walkin")</f>
        <v>Primary_Walkin</v>
      </c>
      <c r="E1331" s="124">
        <f>IFERROR(__xludf.DUMMYFUNCTION("""COMPUTED_VALUE"""),1.0)</f>
        <v>1</v>
      </c>
      <c r="F1331" s="124" t="str">
        <f>IFERROR(__xludf.DUMMYFUNCTION("""COMPUTED_VALUE"""),"Future Prospects")</f>
        <v>Future Prospects</v>
      </c>
      <c r="G1331" s="124" t="str">
        <f>IFERROR(__xludf.DUMMYFUNCTION("""COMPUTED_VALUE"""),"GS Foundation")</f>
        <v>GS Foundation</v>
      </c>
      <c r="K1331" s="124"/>
      <c r="L1331" s="124"/>
      <c r="M1331" s="124"/>
      <c r="N1331" s="124"/>
      <c r="O1331" s="124"/>
      <c r="T1331" s="126">
        <f>IFERROR(__xludf.DUMMYFUNCTION("""COMPUTED_VALUE"""),46067.0)</f>
        <v>46067</v>
      </c>
      <c r="U1331" s="124" t="str">
        <f>IFERROR(__xludf.DUMMYFUNCTION("""COMPUTED_VALUE"""),"Walk-Ins")</f>
        <v>Walk-Ins</v>
      </c>
      <c r="V1331" s="124" t="str">
        <f>IFERROR(__xludf.DUMMYFUNCTION("""COMPUTED_VALUE"""),"Walkin")</f>
        <v>Walkin</v>
      </c>
      <c r="W1331" s="124" t="str">
        <f>IFERROR(__xludf.DUMMYFUNCTION("""COMPUTED_VALUE"""),"Prayagraj")</f>
        <v>Prayagraj</v>
      </c>
      <c r="X1331" s="124" t="str">
        <f>IFERROR(__xludf.DUMMYFUNCTION("""COMPUTED_VALUE"""),"Walkin")</f>
        <v>Walkin</v>
      </c>
      <c r="Y1331" s="124" t="str">
        <f>IFERROR(__xludf.DUMMYFUNCTION("""COMPUTED_VALUE"""),"Prayagraj")</f>
        <v>Prayagraj</v>
      </c>
      <c r="Z1331" s="124">
        <f>IFERROR(__xludf.DUMMYFUNCTION("""COMPUTED_VALUE"""),1.0)</f>
        <v>1</v>
      </c>
      <c r="AA1331" s="124" t="str">
        <f>IFERROR(__xludf.DUMMYFUNCTION("""COMPUTED_VALUE"""),"Cold")</f>
        <v>Cold</v>
      </c>
      <c r="AB1331" s="124" t="str">
        <f>IFERROR(__xludf.DUMMYFUNCTION("""COMPUTED_VALUE"""),"GS Foundation")</f>
        <v>GS Foundation</v>
      </c>
    </row>
    <row r="1332">
      <c r="A1332" s="129">
        <f>IFERROR(__xludf.DUMMYFUNCTION("""COMPUTED_VALUE"""),46111.0)</f>
        <v>46111</v>
      </c>
      <c r="B1332" s="124" t="str">
        <f>IFERROR(__xludf.DUMMYFUNCTION("""COMPUTED_VALUE"""),"external leads")</f>
        <v>external leads</v>
      </c>
      <c r="C1332" s="124" t="str">
        <f>IFERROR(__xludf.DUMMYFUNCTION("""COMPUTED_VALUE"""),"Prayagraj")</f>
        <v>Prayagraj</v>
      </c>
      <c r="D1332" s="124" t="str">
        <f>IFERROR(__xludf.DUMMYFUNCTION("""COMPUTED_VALUE"""),"Secondary_Walkin")</f>
        <v>Secondary_Walkin</v>
      </c>
      <c r="E1332" s="124">
        <f>IFERROR(__xludf.DUMMYFUNCTION("""COMPUTED_VALUE"""),1.0)</f>
        <v>1</v>
      </c>
      <c r="F1332" s="124"/>
      <c r="G1332" s="124" t="str">
        <f>IFERROR(__xludf.DUMMYFUNCTION("""COMPUTED_VALUE"""),"GS Foundation")</f>
        <v>GS Foundation</v>
      </c>
      <c r="K1332" s="124"/>
      <c r="L1332" s="124"/>
      <c r="M1332" s="124"/>
      <c r="N1332" s="124"/>
      <c r="O1332" s="124"/>
      <c r="T1332" s="126">
        <f>IFERROR(__xludf.DUMMYFUNCTION("""COMPUTED_VALUE"""),46051.0)</f>
        <v>46051</v>
      </c>
      <c r="U1332" s="124" t="str">
        <f>IFERROR(__xludf.DUMMYFUNCTION("""COMPUTED_VALUE"""),"Walk-Ins")</f>
        <v>Walk-Ins</v>
      </c>
      <c r="V1332" s="124" t="str">
        <f>IFERROR(__xludf.DUMMYFUNCTION("""COMPUTED_VALUE"""),"Walkin")</f>
        <v>Walkin</v>
      </c>
      <c r="W1332" s="124" t="str">
        <f>IFERROR(__xludf.DUMMYFUNCTION("""COMPUTED_VALUE"""),"Patna")</f>
        <v>Patna</v>
      </c>
      <c r="X1332" s="124" t="str">
        <f>IFERROR(__xludf.DUMMYFUNCTION("""COMPUTED_VALUE"""),"Walkin")</f>
        <v>Walkin</v>
      </c>
      <c r="Y1332" s="124" t="str">
        <f>IFERROR(__xludf.DUMMYFUNCTION("""COMPUTED_VALUE"""),"Patna")</f>
        <v>Patna</v>
      </c>
      <c r="Z1332" s="124">
        <f>IFERROR(__xludf.DUMMYFUNCTION("""COMPUTED_VALUE"""),4.0)</f>
        <v>4</v>
      </c>
      <c r="AA1332" s="124" t="str">
        <f>IFERROR(__xludf.DUMMYFUNCTION("""COMPUTED_VALUE"""),"Fake Lead")</f>
        <v>Fake Lead</v>
      </c>
      <c r="AB1332" s="124" t="str">
        <f>IFERROR(__xludf.DUMMYFUNCTION("""COMPUTED_VALUE"""),"State PCS")</f>
        <v>State PCS</v>
      </c>
    </row>
    <row r="1333">
      <c r="A1333" s="126">
        <f>IFERROR(__xludf.DUMMYFUNCTION("""COMPUTED_VALUE"""),46109.0)</f>
        <v>46109</v>
      </c>
      <c r="B1333" s="124" t="str">
        <f>IFERROR(__xludf.DUMMYFUNCTION("""COMPUTED_VALUE"""),"Walkin")</f>
        <v>Walkin</v>
      </c>
      <c r="C1333" s="124" t="str">
        <f>IFERROR(__xludf.DUMMYFUNCTION("""COMPUTED_VALUE"""),"Prayagraj")</f>
        <v>Prayagraj</v>
      </c>
      <c r="D1333" s="124" t="str">
        <f>IFERROR(__xludf.DUMMYFUNCTION("""COMPUTED_VALUE"""),"Primary_Walkin")</f>
        <v>Primary_Walkin</v>
      </c>
      <c r="E1333" s="124">
        <f>IFERROR(__xludf.DUMMYFUNCTION("""COMPUTED_VALUE"""),1.0)</f>
        <v>1</v>
      </c>
      <c r="F1333" s="124" t="str">
        <f>IFERROR(__xludf.DUMMYFUNCTION("""COMPUTED_VALUE"""),"Not Interested")</f>
        <v>Not Interested</v>
      </c>
      <c r="G1333" s="124" t="str">
        <f>IFERROR(__xludf.DUMMYFUNCTION("""COMPUTED_VALUE"""),"State PCS")</f>
        <v>State PCS</v>
      </c>
      <c r="K1333" s="124"/>
      <c r="L1333" s="124"/>
      <c r="M1333" s="124"/>
      <c r="N1333" s="124"/>
      <c r="O1333" s="124"/>
      <c r="T1333" s="126">
        <f>IFERROR(__xludf.DUMMYFUNCTION("""COMPUTED_VALUE"""),46093.0)</f>
        <v>46093</v>
      </c>
      <c r="U1333" s="124" t="str">
        <f>IFERROR(__xludf.DUMMYFUNCTION("""COMPUTED_VALUE"""),"Walk-Ins")</f>
        <v>Walk-Ins</v>
      </c>
      <c r="V1333" s="124" t="str">
        <f>IFERROR(__xludf.DUMMYFUNCTION("""COMPUTED_VALUE"""),"Walkin")</f>
        <v>Walkin</v>
      </c>
      <c r="W1333" s="124" t="str">
        <f>IFERROR(__xludf.DUMMYFUNCTION("""COMPUTED_VALUE"""),"Indore")</f>
        <v>Indore</v>
      </c>
      <c r="X1333" s="124" t="str">
        <f>IFERROR(__xludf.DUMMYFUNCTION("""COMPUTED_VALUE"""),"Walkin")</f>
        <v>Walkin</v>
      </c>
      <c r="Y1333" s="124" t="str">
        <f>IFERROR(__xludf.DUMMYFUNCTION("""COMPUTED_VALUE"""),"Indore")</f>
        <v>Indore</v>
      </c>
      <c r="Z1333" s="124">
        <f>IFERROR(__xludf.DUMMYFUNCTION("""COMPUTED_VALUE"""),2.0)</f>
        <v>2</v>
      </c>
      <c r="AA1333" s="124" t="str">
        <f>IFERROR(__xludf.DUMMYFUNCTION("""COMPUTED_VALUE"""),"Future Prospects")</f>
        <v>Future Prospects</v>
      </c>
      <c r="AB1333" s="124" t="str">
        <f>IFERROR(__xludf.DUMMYFUNCTION("""COMPUTED_VALUE"""),"GS Foundation")</f>
        <v>GS Foundation</v>
      </c>
    </row>
    <row r="1334">
      <c r="A1334" s="126">
        <f>IFERROR(__xludf.DUMMYFUNCTION("""COMPUTED_VALUE"""),46071.0)</f>
        <v>46071</v>
      </c>
      <c r="B1334" s="124" t="str">
        <f>IFERROR(__xludf.DUMMYFUNCTION("""COMPUTED_VALUE"""),"Walkin")</f>
        <v>Walkin</v>
      </c>
      <c r="C1334" s="124" t="str">
        <f>IFERROR(__xludf.DUMMYFUNCTION("""COMPUTED_VALUE"""),"Prayagraj")</f>
        <v>Prayagraj</v>
      </c>
      <c r="D1334" s="124" t="str">
        <f>IFERROR(__xludf.DUMMYFUNCTION("""COMPUTED_VALUE"""),"Primary_Walkin")</f>
        <v>Primary_Walkin</v>
      </c>
      <c r="E1334" s="124">
        <f>IFERROR(__xludf.DUMMYFUNCTION("""COMPUTED_VALUE"""),1.0)</f>
        <v>1</v>
      </c>
      <c r="F1334" s="124" t="str">
        <f>IFERROR(__xludf.DUMMYFUNCTION("""COMPUTED_VALUE"""),"Warm")</f>
        <v>Warm</v>
      </c>
      <c r="G1334" s="124" t="str">
        <f>IFERROR(__xludf.DUMMYFUNCTION("""COMPUTED_VALUE"""),"State PCS")</f>
        <v>State PCS</v>
      </c>
      <c r="K1334" s="124"/>
      <c r="L1334" s="124"/>
      <c r="M1334" s="124"/>
      <c r="N1334" s="124"/>
      <c r="O1334" s="124"/>
      <c r="T1334" s="126">
        <f>IFERROR(__xludf.DUMMYFUNCTION("""COMPUTED_VALUE"""),46072.0)</f>
        <v>46072</v>
      </c>
      <c r="U1334" s="124" t="str">
        <f>IFERROR(__xludf.DUMMYFUNCTION("""COMPUTED_VALUE"""),"Walk-Ins")</f>
        <v>Walk-Ins</v>
      </c>
      <c r="V1334" s="124" t="str">
        <f>IFERROR(__xludf.DUMMYFUNCTION("""COMPUTED_VALUE"""),"Walkin")</f>
        <v>Walkin</v>
      </c>
      <c r="W1334" s="124" t="str">
        <f>IFERROR(__xludf.DUMMYFUNCTION("""COMPUTED_VALUE"""),"Indore")</f>
        <v>Indore</v>
      </c>
      <c r="X1334" s="124" t="str">
        <f>IFERROR(__xludf.DUMMYFUNCTION("""COMPUTED_VALUE"""),"Walkin")</f>
        <v>Walkin</v>
      </c>
      <c r="Y1334" s="124" t="str">
        <f>IFERROR(__xludf.DUMMYFUNCTION("""COMPUTED_VALUE"""),"Indore")</f>
        <v>Indore</v>
      </c>
      <c r="Z1334" s="124">
        <f>IFERROR(__xludf.DUMMYFUNCTION("""COMPUTED_VALUE"""),2.0)</f>
        <v>2</v>
      </c>
      <c r="AA1334" s="124" t="str">
        <f>IFERROR(__xludf.DUMMYFUNCTION("""COMPUTED_VALUE"""),"Future Prospects")</f>
        <v>Future Prospects</v>
      </c>
      <c r="AB1334" s="124" t="str">
        <f>IFERROR(__xludf.DUMMYFUNCTION("""COMPUTED_VALUE"""),"State PCS")</f>
        <v>State PCS</v>
      </c>
    </row>
    <row r="1335">
      <c r="A1335" s="126">
        <f>IFERROR(__xludf.DUMMYFUNCTION("""COMPUTED_VALUE"""),46083.0)</f>
        <v>46083</v>
      </c>
      <c r="B1335" s="124" t="str">
        <f>IFERROR(__xludf.DUMMYFUNCTION("""COMPUTED_VALUE"""),"Walkin")</f>
        <v>Walkin</v>
      </c>
      <c r="C1335" s="124" t="str">
        <f>IFERROR(__xludf.DUMMYFUNCTION("""COMPUTED_VALUE"""),"Prayagraj")</f>
        <v>Prayagraj</v>
      </c>
      <c r="D1335" s="124" t="str">
        <f>IFERROR(__xludf.DUMMYFUNCTION("""COMPUTED_VALUE"""),"Primary_Walkin")</f>
        <v>Primary_Walkin</v>
      </c>
      <c r="E1335" s="124">
        <f>IFERROR(__xludf.DUMMYFUNCTION("""COMPUTED_VALUE"""),1.0)</f>
        <v>1</v>
      </c>
      <c r="F1335" s="124" t="str">
        <f>IFERROR(__xludf.DUMMYFUNCTION("""COMPUTED_VALUE"""),"Future Prospects")</f>
        <v>Future Prospects</v>
      </c>
      <c r="G1335" s="124" t="str">
        <f>IFERROR(__xludf.DUMMYFUNCTION("""COMPUTED_VALUE"""),"GS Foundation")</f>
        <v>GS Foundation</v>
      </c>
      <c r="K1335" s="124"/>
      <c r="L1335" s="124"/>
      <c r="M1335" s="124"/>
      <c r="N1335" s="124"/>
      <c r="O1335" s="124"/>
      <c r="T1335" s="126">
        <f>IFERROR(__xludf.DUMMYFUNCTION("""COMPUTED_VALUE"""),46111.0)</f>
        <v>46111</v>
      </c>
      <c r="U1335" s="124" t="str">
        <f>IFERROR(__xludf.DUMMYFUNCTION("""COMPUTED_VALUE"""),"Walk-Ins")</f>
        <v>Walk-Ins</v>
      </c>
      <c r="V1335" s="124" t="str">
        <f>IFERROR(__xludf.DUMMYFUNCTION("""COMPUTED_VALUE"""),"Walkin")</f>
        <v>Walkin</v>
      </c>
      <c r="W1335" s="124" t="str">
        <f>IFERROR(__xludf.DUMMYFUNCTION("""COMPUTED_VALUE"""),"Prayagraj")</f>
        <v>Prayagraj</v>
      </c>
      <c r="X1335" s="124" t="str">
        <f>IFERROR(__xludf.DUMMYFUNCTION("""COMPUTED_VALUE"""),"Walkin")</f>
        <v>Walkin</v>
      </c>
      <c r="Y1335" s="124" t="str">
        <f>IFERROR(__xludf.DUMMYFUNCTION("""COMPUTED_VALUE"""),"Prayagraj")</f>
        <v>Prayagraj</v>
      </c>
      <c r="Z1335" s="124">
        <f>IFERROR(__xludf.DUMMYFUNCTION("""COMPUTED_VALUE"""),4.0)</f>
        <v>4</v>
      </c>
      <c r="AA1335" s="124" t="str">
        <f>IFERROR(__xludf.DUMMYFUNCTION("""COMPUTED_VALUE"""),"Warm")</f>
        <v>Warm</v>
      </c>
      <c r="AB1335" s="124" t="str">
        <f>IFERROR(__xludf.DUMMYFUNCTION("""COMPUTED_VALUE"""),"State PCS")</f>
        <v>State PCS</v>
      </c>
    </row>
    <row r="1336">
      <c r="A1336" s="129">
        <f>IFERROR(__xludf.DUMMYFUNCTION("""COMPUTED_VALUE"""),46063.0)</f>
        <v>46063</v>
      </c>
      <c r="B1336" s="124" t="str">
        <f>IFERROR(__xludf.DUMMYFUNCTION("""COMPUTED_VALUE"""),"Walkin")</f>
        <v>Walkin</v>
      </c>
      <c r="C1336" s="124" t="str">
        <f>IFERROR(__xludf.DUMMYFUNCTION("""COMPUTED_VALUE"""),"Prayagraj")</f>
        <v>Prayagraj</v>
      </c>
      <c r="D1336" s="124" t="str">
        <f>IFERROR(__xludf.DUMMYFUNCTION("""COMPUTED_VALUE"""),"Primary_Walkin")</f>
        <v>Primary_Walkin</v>
      </c>
      <c r="E1336" s="124">
        <f>IFERROR(__xludf.DUMMYFUNCTION("""COMPUTED_VALUE"""),1.0)</f>
        <v>1</v>
      </c>
      <c r="F1336" s="124" t="str">
        <f>IFERROR(__xludf.DUMMYFUNCTION("""COMPUTED_VALUE"""),"Warm")</f>
        <v>Warm</v>
      </c>
      <c r="G1336" s="124" t="str">
        <f>IFERROR(__xludf.DUMMYFUNCTION("""COMPUTED_VALUE"""),"Mentorship")</f>
        <v>Mentorship</v>
      </c>
      <c r="K1336" s="124"/>
      <c r="L1336" s="124"/>
      <c r="M1336" s="124"/>
      <c r="N1336" s="124"/>
      <c r="O1336" s="124"/>
      <c r="T1336" s="129">
        <f>IFERROR(__xludf.DUMMYFUNCTION("""COMPUTED_VALUE"""),46098.0)</f>
        <v>46098</v>
      </c>
      <c r="U1336" s="124" t="str">
        <f>IFERROR(__xludf.DUMMYFUNCTION("""COMPUTED_VALUE"""),"Walk-Ins")</f>
        <v>Walk-Ins</v>
      </c>
      <c r="V1336" s="124" t="str">
        <f>IFERROR(__xludf.DUMMYFUNCTION("""COMPUTED_VALUE"""),"Walkin")</f>
        <v>Walkin</v>
      </c>
      <c r="W1336" s="124" t="str">
        <f>IFERROR(__xludf.DUMMYFUNCTION("""COMPUTED_VALUE"""),"Indore")</f>
        <v>Indore</v>
      </c>
      <c r="X1336" s="124" t="str">
        <f>IFERROR(__xludf.DUMMYFUNCTION("""COMPUTED_VALUE"""),"Walkin")</f>
        <v>Walkin</v>
      </c>
      <c r="Y1336" s="124" t="str">
        <f>IFERROR(__xludf.DUMMYFUNCTION("""COMPUTED_VALUE"""),"Indore")</f>
        <v>Indore</v>
      </c>
      <c r="Z1336" s="124">
        <f>IFERROR(__xludf.DUMMYFUNCTION("""COMPUTED_VALUE"""),1.0)</f>
        <v>1</v>
      </c>
      <c r="AA1336" s="124" t="str">
        <f>IFERROR(__xludf.DUMMYFUNCTION("""COMPUTED_VALUE"""),"Cold")</f>
        <v>Cold</v>
      </c>
      <c r="AB1336" s="124" t="str">
        <f>IFERROR(__xludf.DUMMYFUNCTION("""COMPUTED_VALUE"""),"Other")</f>
        <v>Other</v>
      </c>
    </row>
    <row r="1337">
      <c r="A1337" s="126">
        <f>IFERROR(__xludf.DUMMYFUNCTION("""COMPUTED_VALUE"""),46104.0)</f>
        <v>46104</v>
      </c>
      <c r="B1337" s="124" t="str">
        <f>IFERROR(__xludf.DUMMYFUNCTION("""COMPUTED_VALUE"""),"Libraries")</f>
        <v>Libraries</v>
      </c>
      <c r="C1337" s="124" t="str">
        <f>IFERROR(__xludf.DUMMYFUNCTION("""COMPUTED_VALUE"""),"Prayagraj")</f>
        <v>Prayagraj</v>
      </c>
      <c r="D1337" s="124" t="str">
        <f>IFERROR(__xludf.DUMMYFUNCTION("""COMPUTED_VALUE"""),"Secondary_Walkin")</f>
        <v>Secondary_Walkin</v>
      </c>
      <c r="E1337" s="124">
        <f>IFERROR(__xludf.DUMMYFUNCTION("""COMPUTED_VALUE"""),1.0)</f>
        <v>1</v>
      </c>
      <c r="F1337" s="124" t="str">
        <f>IFERROR(__xludf.DUMMYFUNCTION("""COMPUTED_VALUE"""),"Enrolled")</f>
        <v>Enrolled</v>
      </c>
      <c r="G1337" s="124" t="str">
        <f>IFERROR(__xludf.DUMMYFUNCTION("""COMPUTED_VALUE"""),"GS Foundation")</f>
        <v>GS Foundation</v>
      </c>
      <c r="K1337" s="124"/>
      <c r="L1337" s="124"/>
      <c r="M1337" s="124"/>
      <c r="N1337" s="124"/>
      <c r="O1337" s="124"/>
      <c r="T1337" s="129">
        <f>IFERROR(__xludf.DUMMYFUNCTION("""COMPUTED_VALUE"""),46102.0)</f>
        <v>46102</v>
      </c>
      <c r="U1337" s="124" t="str">
        <f>IFERROR(__xludf.DUMMYFUNCTION("""COMPUTED_VALUE"""),"Walk-Ins")</f>
        <v>Walk-Ins</v>
      </c>
      <c r="V1337" s="124" t="str">
        <f>IFERROR(__xludf.DUMMYFUNCTION("""COMPUTED_VALUE"""),"Walkin")</f>
        <v>Walkin</v>
      </c>
      <c r="W1337" s="124" t="str">
        <f>IFERROR(__xludf.DUMMYFUNCTION("""COMPUTED_VALUE"""),"Prayagraj")</f>
        <v>Prayagraj</v>
      </c>
      <c r="X1337" s="124" t="str">
        <f>IFERROR(__xludf.DUMMYFUNCTION("""COMPUTED_VALUE"""),"Walkin")</f>
        <v>Walkin</v>
      </c>
      <c r="Y1337" s="124" t="str">
        <f>IFERROR(__xludf.DUMMYFUNCTION("""COMPUTED_VALUE"""),"Prayagraj")</f>
        <v>Prayagraj</v>
      </c>
      <c r="Z1337" s="124">
        <f>IFERROR(__xludf.DUMMYFUNCTION("""COMPUTED_VALUE"""),1.0)</f>
        <v>1</v>
      </c>
      <c r="AA1337" s="124" t="str">
        <f>IFERROR(__xludf.DUMMYFUNCTION("""COMPUTED_VALUE"""),"Warm")</f>
        <v>Warm</v>
      </c>
      <c r="AB1337" s="124" t="str">
        <f>IFERROR(__xludf.DUMMYFUNCTION("""COMPUTED_VALUE"""),"State PCS")</f>
        <v>State PCS</v>
      </c>
    </row>
    <row r="1338">
      <c r="A1338" s="126">
        <f>IFERROR(__xludf.DUMMYFUNCTION("""COMPUTED_VALUE"""),46112.0)</f>
        <v>46112</v>
      </c>
      <c r="B1338" s="124" t="str">
        <f>IFERROR(__xludf.DUMMYFUNCTION("""COMPUTED_VALUE"""),"Walk-In")</f>
        <v>Walk-In</v>
      </c>
      <c r="C1338" s="124" t="str">
        <f>IFERROR(__xludf.DUMMYFUNCTION("""COMPUTED_VALUE"""),"Prayagraj")</f>
        <v>Prayagraj</v>
      </c>
      <c r="D1338" s="124" t="str">
        <f>IFERROR(__xludf.DUMMYFUNCTION("""COMPUTED_VALUE"""),"Primary_Walkin")</f>
        <v>Primary_Walkin</v>
      </c>
      <c r="E1338" s="124">
        <f>IFERROR(__xludf.DUMMYFUNCTION("""COMPUTED_VALUE"""),1.0)</f>
        <v>1</v>
      </c>
      <c r="F1338" s="124" t="str">
        <f>IFERROR(__xludf.DUMMYFUNCTION("""COMPUTED_VALUE"""),"Cold")</f>
        <v>Cold</v>
      </c>
      <c r="G1338" s="124" t="str">
        <f>IFERROR(__xludf.DUMMYFUNCTION("""COMPUTED_VALUE"""),"Other")</f>
        <v>Other</v>
      </c>
      <c r="K1338" s="124"/>
      <c r="L1338" s="124"/>
      <c r="M1338" s="124"/>
      <c r="N1338" s="124"/>
      <c r="O1338" s="124"/>
      <c r="T1338" s="126">
        <f>IFERROR(__xludf.DUMMYFUNCTION("""COMPUTED_VALUE"""),46066.0)</f>
        <v>46066</v>
      </c>
      <c r="U1338" s="124" t="str">
        <f>IFERROR(__xludf.DUMMYFUNCTION("""COMPUTED_VALUE"""),"Walk-Ins")</f>
        <v>Walk-Ins</v>
      </c>
      <c r="V1338" s="124" t="str">
        <f>IFERROR(__xludf.DUMMYFUNCTION("""COMPUTED_VALUE"""),"Walkin")</f>
        <v>Walkin</v>
      </c>
      <c r="W1338" s="124" t="str">
        <f>IFERROR(__xludf.DUMMYFUNCTION("""COMPUTED_VALUE"""),"Indore")</f>
        <v>Indore</v>
      </c>
      <c r="X1338" s="124" t="str">
        <f>IFERROR(__xludf.DUMMYFUNCTION("""COMPUTED_VALUE"""),"Walkin")</f>
        <v>Walkin</v>
      </c>
      <c r="Y1338" s="124" t="str">
        <f>IFERROR(__xludf.DUMMYFUNCTION("""COMPUTED_VALUE"""),"Indore")</f>
        <v>Indore</v>
      </c>
      <c r="Z1338" s="124">
        <f>IFERROR(__xludf.DUMMYFUNCTION("""COMPUTED_VALUE"""),1.0)</f>
        <v>1</v>
      </c>
      <c r="AA1338" s="124" t="str">
        <f>IFERROR(__xludf.DUMMYFUNCTION("""COMPUTED_VALUE"""),"Cold")</f>
        <v>Cold</v>
      </c>
      <c r="AB1338" s="124" t="str">
        <f>IFERROR(__xludf.DUMMYFUNCTION("""COMPUTED_VALUE"""),"State PCS")</f>
        <v>State PCS</v>
      </c>
    </row>
    <row r="1339">
      <c r="A1339" s="126">
        <f>IFERROR(__xludf.DUMMYFUNCTION("""COMPUTED_VALUE"""),46081.0)</f>
        <v>46081</v>
      </c>
      <c r="B1339" s="124" t="str">
        <f>IFERROR(__xludf.DUMMYFUNCTION("""COMPUTED_VALUE"""),"Facebook")</f>
        <v>Facebook</v>
      </c>
      <c r="C1339" s="124" t="str">
        <f>IFERROR(__xludf.DUMMYFUNCTION("""COMPUTED_VALUE"""),"Prayagraj")</f>
        <v>Prayagraj</v>
      </c>
      <c r="D1339" s="124" t="str">
        <f>IFERROR(__xludf.DUMMYFUNCTION("""COMPUTED_VALUE"""),"Secondary_Walkin")</f>
        <v>Secondary_Walkin</v>
      </c>
      <c r="E1339" s="124">
        <f>IFERROR(__xludf.DUMMYFUNCTION("""COMPUTED_VALUE"""),1.0)</f>
        <v>1</v>
      </c>
      <c r="F1339" s="124" t="str">
        <f>IFERROR(__xludf.DUMMYFUNCTION("""COMPUTED_VALUE"""),"Enrolled")</f>
        <v>Enrolled</v>
      </c>
      <c r="G1339" s="124" t="str">
        <f>IFERROR(__xludf.DUMMYFUNCTION("""COMPUTED_VALUE"""),"GS Foundation")</f>
        <v>GS Foundation</v>
      </c>
      <c r="K1339" s="124"/>
      <c r="L1339" s="124"/>
      <c r="M1339" s="124"/>
      <c r="N1339" s="124"/>
      <c r="O1339" s="124"/>
      <c r="T1339" s="126">
        <f>IFERROR(__xludf.DUMMYFUNCTION("""COMPUTED_VALUE"""),46075.0)</f>
        <v>46075</v>
      </c>
      <c r="U1339" s="124" t="str">
        <f>IFERROR(__xludf.DUMMYFUNCTION("""COMPUTED_VALUE"""),"Walk-Ins")</f>
        <v>Walk-Ins</v>
      </c>
      <c r="V1339" s="124" t="str">
        <f>IFERROR(__xludf.DUMMYFUNCTION("""COMPUTED_VALUE"""),"Walkin")</f>
        <v>Walkin</v>
      </c>
      <c r="W1339" s="124" t="str">
        <f>IFERROR(__xludf.DUMMYFUNCTION("""COMPUTED_VALUE"""),"Patna")</f>
        <v>Patna</v>
      </c>
      <c r="X1339" s="124" t="str">
        <f>IFERROR(__xludf.DUMMYFUNCTION("""COMPUTED_VALUE"""),"Walkin")</f>
        <v>Walkin</v>
      </c>
      <c r="Y1339" s="124" t="str">
        <f>IFERROR(__xludf.DUMMYFUNCTION("""COMPUTED_VALUE"""),"Patna")</f>
        <v>Patna</v>
      </c>
      <c r="Z1339" s="124">
        <f>IFERROR(__xludf.DUMMYFUNCTION("""COMPUTED_VALUE"""),1.0)</f>
        <v>1</v>
      </c>
      <c r="AA1339" s="124" t="str">
        <f>IFERROR(__xludf.DUMMYFUNCTION("""COMPUTED_VALUE"""),"Enrolled")</f>
        <v>Enrolled</v>
      </c>
      <c r="AB1339" s="124" t="str">
        <f>IFERROR(__xludf.DUMMYFUNCTION("""COMPUTED_VALUE"""),"State PCS")</f>
        <v>State PCS</v>
      </c>
    </row>
    <row r="1340">
      <c r="A1340" s="129">
        <f>IFERROR(__xludf.DUMMYFUNCTION("""COMPUTED_VALUE"""),46074.0)</f>
        <v>46074</v>
      </c>
      <c r="B1340" s="124" t="str">
        <f>IFERROR(__xludf.DUMMYFUNCTION("""COMPUTED_VALUE"""),"Walkin")</f>
        <v>Walkin</v>
      </c>
      <c r="C1340" s="124" t="str">
        <f>IFERROR(__xludf.DUMMYFUNCTION("""COMPUTED_VALUE"""),"Prayagraj")</f>
        <v>Prayagraj</v>
      </c>
      <c r="D1340" s="124" t="str">
        <f>IFERROR(__xludf.DUMMYFUNCTION("""COMPUTED_VALUE"""),"Primary_Walkin")</f>
        <v>Primary_Walkin</v>
      </c>
      <c r="E1340" s="124">
        <f>IFERROR(__xludf.DUMMYFUNCTION("""COMPUTED_VALUE"""),1.0)</f>
        <v>1</v>
      </c>
      <c r="F1340" s="124" t="str">
        <f>IFERROR(__xludf.DUMMYFUNCTION("""COMPUTED_VALUE"""),"Not Interested")</f>
        <v>Not Interested</v>
      </c>
      <c r="G1340" s="124" t="str">
        <f>IFERROR(__xludf.DUMMYFUNCTION("""COMPUTED_VALUE"""),"GS Foundation")</f>
        <v>GS Foundation</v>
      </c>
      <c r="K1340" s="124"/>
      <c r="L1340" s="124"/>
      <c r="M1340" s="124"/>
      <c r="N1340" s="124"/>
      <c r="O1340" s="124"/>
      <c r="T1340" s="126">
        <f>IFERROR(__xludf.DUMMYFUNCTION("""COMPUTED_VALUE"""),46056.0)</f>
        <v>46056</v>
      </c>
      <c r="U1340" s="124" t="str">
        <f>IFERROR(__xludf.DUMMYFUNCTION("""COMPUTED_VALUE"""),"Walk-Ins")</f>
        <v>Walk-Ins</v>
      </c>
      <c r="V1340" s="124" t="str">
        <f>IFERROR(__xludf.DUMMYFUNCTION("""COMPUTED_VALUE"""),"Walkin")</f>
        <v>Walkin</v>
      </c>
      <c r="W1340" s="124" t="str">
        <f>IFERROR(__xludf.DUMMYFUNCTION("""COMPUTED_VALUE"""),"Patna")</f>
        <v>Patna</v>
      </c>
      <c r="X1340" s="124" t="str">
        <f>IFERROR(__xludf.DUMMYFUNCTION("""COMPUTED_VALUE"""),"Walkin")</f>
        <v>Walkin</v>
      </c>
      <c r="Y1340" s="124" t="str">
        <f>IFERROR(__xludf.DUMMYFUNCTION("""COMPUTED_VALUE"""),"Patna")</f>
        <v>Patna</v>
      </c>
      <c r="Z1340" s="124">
        <f>IFERROR(__xludf.DUMMYFUNCTION("""COMPUTED_VALUE"""),2.0)</f>
        <v>2</v>
      </c>
      <c r="AA1340" s="124" t="str">
        <f>IFERROR(__xludf.DUMMYFUNCTION("""COMPUTED_VALUE"""),"Cold")</f>
        <v>Cold</v>
      </c>
      <c r="AB1340" s="124" t="str">
        <f>IFERROR(__xludf.DUMMYFUNCTION("""COMPUTED_VALUE"""),"State PCS")</f>
        <v>State PCS</v>
      </c>
    </row>
    <row r="1341">
      <c r="A1341" s="129">
        <f>IFERROR(__xludf.DUMMYFUNCTION("""COMPUTED_VALUE"""),46056.0)</f>
        <v>46056</v>
      </c>
      <c r="B1341" s="124" t="str">
        <f>IFERROR(__xludf.DUMMYFUNCTION("""COMPUTED_VALUE"""),"Walkin")</f>
        <v>Walkin</v>
      </c>
      <c r="C1341" s="124" t="str">
        <f>IFERROR(__xludf.DUMMYFUNCTION("""COMPUTED_VALUE"""),"Prayagraj")</f>
        <v>Prayagraj</v>
      </c>
      <c r="D1341" s="124" t="str">
        <f>IFERROR(__xludf.DUMMYFUNCTION("""COMPUTED_VALUE"""),"Primary_Walkin")</f>
        <v>Primary_Walkin</v>
      </c>
      <c r="E1341" s="124">
        <f>IFERROR(__xludf.DUMMYFUNCTION("""COMPUTED_VALUE"""),1.0)</f>
        <v>1</v>
      </c>
      <c r="F1341" s="124" t="str">
        <f>IFERROR(__xludf.DUMMYFUNCTION("""COMPUTED_VALUE"""),"Cold")</f>
        <v>Cold</v>
      </c>
      <c r="G1341" s="124" t="str">
        <f>IFERROR(__xludf.DUMMYFUNCTION("""COMPUTED_VALUE"""),"State PCS")</f>
        <v>State PCS</v>
      </c>
      <c r="K1341" s="124"/>
      <c r="L1341" s="124"/>
      <c r="M1341" s="124"/>
      <c r="N1341" s="124"/>
      <c r="O1341" s="124"/>
      <c r="T1341" s="126">
        <f>IFERROR(__xludf.DUMMYFUNCTION("""COMPUTED_VALUE"""),46093.0)</f>
        <v>46093</v>
      </c>
      <c r="U1341" s="124" t="str">
        <f>IFERROR(__xludf.DUMMYFUNCTION("""COMPUTED_VALUE"""),"Walk-Ins")</f>
        <v>Walk-Ins</v>
      </c>
      <c r="V1341" s="124" t="str">
        <f>IFERROR(__xludf.DUMMYFUNCTION("""COMPUTED_VALUE"""),"Walkin")</f>
        <v>Walkin</v>
      </c>
      <c r="W1341" s="124" t="str">
        <f>IFERROR(__xludf.DUMMYFUNCTION("""COMPUTED_VALUE"""),"Prayagraj")</f>
        <v>Prayagraj</v>
      </c>
      <c r="X1341" s="124" t="str">
        <f>IFERROR(__xludf.DUMMYFUNCTION("""COMPUTED_VALUE"""),"Walkin")</f>
        <v>Walkin</v>
      </c>
      <c r="Y1341" s="124" t="str">
        <f>IFERROR(__xludf.DUMMYFUNCTION("""COMPUTED_VALUE"""),"Prayagraj")</f>
        <v>Prayagraj</v>
      </c>
      <c r="Z1341" s="124">
        <f>IFERROR(__xludf.DUMMYFUNCTION("""COMPUTED_VALUE"""),1.0)</f>
        <v>1</v>
      </c>
      <c r="AA1341" s="124" t="str">
        <f>IFERROR(__xludf.DUMMYFUNCTION("""COMPUTED_VALUE"""),"Warm")</f>
        <v>Warm</v>
      </c>
      <c r="AB1341" s="124" t="str">
        <f>IFERROR(__xludf.DUMMYFUNCTION("""COMPUTED_VALUE"""),"Mentorship")</f>
        <v>Mentorship</v>
      </c>
    </row>
    <row r="1342">
      <c r="A1342" s="129">
        <f>IFERROR(__xludf.DUMMYFUNCTION("""COMPUTED_VALUE"""),46054.0)</f>
        <v>46054</v>
      </c>
      <c r="B1342" s="124" t="str">
        <f>IFERROR(__xludf.DUMMYFUNCTION("""COMPUTED_VALUE"""),"Walkin")</f>
        <v>Walkin</v>
      </c>
      <c r="C1342" s="124" t="str">
        <f>IFERROR(__xludf.DUMMYFUNCTION("""COMPUTED_VALUE"""),"Prayagraj")</f>
        <v>Prayagraj</v>
      </c>
      <c r="D1342" s="124" t="str">
        <f>IFERROR(__xludf.DUMMYFUNCTION("""COMPUTED_VALUE"""),"Primary_Walkin")</f>
        <v>Primary_Walkin</v>
      </c>
      <c r="E1342" s="124">
        <f>IFERROR(__xludf.DUMMYFUNCTION("""COMPUTED_VALUE"""),1.0)</f>
        <v>1</v>
      </c>
      <c r="F1342" s="124" t="str">
        <f>IFERROR(__xludf.DUMMYFUNCTION("""COMPUTED_VALUE"""),"Cold")</f>
        <v>Cold</v>
      </c>
      <c r="G1342" s="124" t="str">
        <f>IFERROR(__xludf.DUMMYFUNCTION("""COMPUTED_VALUE"""),"Mentorship")</f>
        <v>Mentorship</v>
      </c>
      <c r="K1342" s="124"/>
      <c r="L1342" s="124"/>
      <c r="M1342" s="124"/>
      <c r="N1342" s="124"/>
      <c r="O1342" s="124"/>
      <c r="T1342" s="126">
        <f>IFERROR(__xludf.DUMMYFUNCTION("""COMPUTED_VALUE"""),46046.0)</f>
        <v>46046</v>
      </c>
      <c r="U1342" s="124" t="str">
        <f>IFERROR(__xludf.DUMMYFUNCTION("""COMPUTED_VALUE"""),"Walk-Ins")</f>
        <v>Walk-Ins</v>
      </c>
      <c r="V1342" s="124" t="str">
        <f>IFERROR(__xludf.DUMMYFUNCTION("""COMPUTED_VALUE"""),"Walkin")</f>
        <v>Walkin</v>
      </c>
      <c r="W1342" s="124" t="str">
        <f>IFERROR(__xludf.DUMMYFUNCTION("""COMPUTED_VALUE"""),"Patna")</f>
        <v>Patna</v>
      </c>
      <c r="X1342" s="124" t="str">
        <f>IFERROR(__xludf.DUMMYFUNCTION("""COMPUTED_VALUE"""),"Walkin")</f>
        <v>Walkin</v>
      </c>
      <c r="Y1342" s="124" t="str">
        <f>IFERROR(__xludf.DUMMYFUNCTION("""COMPUTED_VALUE"""),"Patna")</f>
        <v>Patna</v>
      </c>
      <c r="Z1342" s="124">
        <f>IFERROR(__xludf.DUMMYFUNCTION("""COMPUTED_VALUE"""),1.0)</f>
        <v>1</v>
      </c>
      <c r="AA1342" s="124" t="str">
        <f>IFERROR(__xludf.DUMMYFUNCTION("""COMPUTED_VALUE"""),"Cold")</f>
        <v>Cold</v>
      </c>
      <c r="AB1342" s="124" t="str">
        <f>IFERROR(__xludf.DUMMYFUNCTION("""COMPUTED_VALUE"""),"GS Foundation")</f>
        <v>GS Foundation</v>
      </c>
    </row>
    <row r="1343">
      <c r="A1343" s="126">
        <f>IFERROR(__xludf.DUMMYFUNCTION("""COMPUTED_VALUE"""),46102.0)</f>
        <v>46102</v>
      </c>
      <c r="B1343" s="124" t="str">
        <f>IFERROR(__xludf.DUMMYFUNCTION("""COMPUTED_VALUE"""),"Walkin")</f>
        <v>Walkin</v>
      </c>
      <c r="C1343" s="124" t="str">
        <f>IFERROR(__xludf.DUMMYFUNCTION("""COMPUTED_VALUE"""),"Prayagraj")</f>
        <v>Prayagraj</v>
      </c>
      <c r="D1343" s="124" t="str">
        <f>IFERROR(__xludf.DUMMYFUNCTION("""COMPUTED_VALUE"""),"Primary_Walkin")</f>
        <v>Primary_Walkin</v>
      </c>
      <c r="E1343" s="124">
        <f>IFERROR(__xludf.DUMMYFUNCTION("""COMPUTED_VALUE"""),2.0)</f>
        <v>2</v>
      </c>
      <c r="F1343" s="124" t="str">
        <f>IFERROR(__xludf.DUMMYFUNCTION("""COMPUTED_VALUE"""),"Warm")</f>
        <v>Warm</v>
      </c>
      <c r="G1343" s="124" t="str">
        <f>IFERROR(__xludf.DUMMYFUNCTION("""COMPUTED_VALUE"""),"GS Foundation")</f>
        <v>GS Foundation</v>
      </c>
      <c r="K1343" s="124"/>
      <c r="L1343" s="124"/>
      <c r="M1343" s="124"/>
      <c r="N1343" s="124"/>
      <c r="O1343" s="124"/>
      <c r="T1343" s="129">
        <f>IFERROR(__xludf.DUMMYFUNCTION("""COMPUTED_VALUE"""),46072.0)</f>
        <v>46072</v>
      </c>
      <c r="U1343" s="124" t="str">
        <f>IFERROR(__xludf.DUMMYFUNCTION("""COMPUTED_VALUE"""),"Walk-Ins")</f>
        <v>Walk-Ins</v>
      </c>
      <c r="V1343" s="124" t="str">
        <f>IFERROR(__xludf.DUMMYFUNCTION("""COMPUTED_VALUE"""),"Walkin")</f>
        <v>Walkin</v>
      </c>
      <c r="W1343" s="124" t="str">
        <f>IFERROR(__xludf.DUMMYFUNCTION("""COMPUTED_VALUE"""),"Patna")</f>
        <v>Patna</v>
      </c>
      <c r="X1343" s="124" t="str">
        <f>IFERROR(__xludf.DUMMYFUNCTION("""COMPUTED_VALUE"""),"Walkin")</f>
        <v>Walkin</v>
      </c>
      <c r="Y1343" s="124" t="str">
        <f>IFERROR(__xludf.DUMMYFUNCTION("""COMPUTED_VALUE"""),"Patna")</f>
        <v>Patna</v>
      </c>
      <c r="Z1343" s="124">
        <f>IFERROR(__xludf.DUMMYFUNCTION("""COMPUTED_VALUE"""),3.0)</f>
        <v>3</v>
      </c>
      <c r="AA1343" s="124" t="str">
        <f>IFERROR(__xludf.DUMMYFUNCTION("""COMPUTED_VALUE"""),"Cold")</f>
        <v>Cold</v>
      </c>
      <c r="AB1343" s="124" t="str">
        <f>IFERROR(__xludf.DUMMYFUNCTION("""COMPUTED_VALUE"""),"GS Foundation")</f>
        <v>GS Foundation</v>
      </c>
    </row>
    <row r="1344">
      <c r="A1344" s="126">
        <f>IFERROR(__xludf.DUMMYFUNCTION("""COMPUTED_VALUE"""),46060.0)</f>
        <v>46060</v>
      </c>
      <c r="B1344" s="124" t="str">
        <f>IFERROR(__xludf.DUMMYFUNCTION("""COMPUTED_VALUE"""),"Walkin")</f>
        <v>Walkin</v>
      </c>
      <c r="C1344" s="124" t="str">
        <f>IFERROR(__xludf.DUMMYFUNCTION("""COMPUTED_VALUE"""),"Prayagraj")</f>
        <v>Prayagraj</v>
      </c>
      <c r="D1344" s="124" t="str">
        <f>IFERROR(__xludf.DUMMYFUNCTION("""COMPUTED_VALUE"""),"Primary_Walkin")</f>
        <v>Primary_Walkin</v>
      </c>
      <c r="E1344" s="124">
        <f>IFERROR(__xludf.DUMMYFUNCTION("""COMPUTED_VALUE"""),4.0)</f>
        <v>4</v>
      </c>
      <c r="F1344" s="124" t="str">
        <f>IFERROR(__xludf.DUMMYFUNCTION("""COMPUTED_VALUE"""),"Cold")</f>
        <v>Cold</v>
      </c>
      <c r="G1344" s="124" t="str">
        <f>IFERROR(__xludf.DUMMYFUNCTION("""COMPUTED_VALUE"""),"GS Foundation")</f>
        <v>GS Foundation</v>
      </c>
      <c r="K1344" s="124"/>
      <c r="L1344" s="124"/>
      <c r="M1344" s="124"/>
      <c r="N1344" s="124"/>
      <c r="O1344" s="124"/>
      <c r="T1344" s="129">
        <f>IFERROR(__xludf.DUMMYFUNCTION("""COMPUTED_VALUE"""),46078.0)</f>
        <v>46078</v>
      </c>
      <c r="U1344" s="124" t="str">
        <f>IFERROR(__xludf.DUMMYFUNCTION("""COMPUTED_VALUE"""),"Walk-Ins")</f>
        <v>Walk-Ins</v>
      </c>
      <c r="V1344" s="124" t="str">
        <f>IFERROR(__xludf.DUMMYFUNCTION("""COMPUTED_VALUE"""),"Walkin")</f>
        <v>Walkin</v>
      </c>
      <c r="W1344" s="124" t="str">
        <f>IFERROR(__xludf.DUMMYFUNCTION("""COMPUTED_VALUE"""),"Patna")</f>
        <v>Patna</v>
      </c>
      <c r="X1344" s="124" t="str">
        <f>IFERROR(__xludf.DUMMYFUNCTION("""COMPUTED_VALUE"""),"Walkin")</f>
        <v>Walkin</v>
      </c>
      <c r="Y1344" s="124" t="str">
        <f>IFERROR(__xludf.DUMMYFUNCTION("""COMPUTED_VALUE"""),"Patna")</f>
        <v>Patna</v>
      </c>
      <c r="Z1344" s="124">
        <f>IFERROR(__xludf.DUMMYFUNCTION("""COMPUTED_VALUE"""),1.0)</f>
        <v>1</v>
      </c>
      <c r="AA1344" s="124" t="str">
        <f>IFERROR(__xludf.DUMMYFUNCTION("""COMPUTED_VALUE"""),"Warm")</f>
        <v>Warm</v>
      </c>
      <c r="AB1344" s="124" t="str">
        <f>IFERROR(__xludf.DUMMYFUNCTION("""COMPUTED_VALUE"""),"State PCS")</f>
        <v>State PCS</v>
      </c>
    </row>
    <row r="1345">
      <c r="A1345" s="129">
        <f>IFERROR(__xludf.DUMMYFUNCTION("""COMPUTED_VALUE"""),46095.0)</f>
        <v>46095</v>
      </c>
      <c r="B1345" s="124" t="str">
        <f>IFERROR(__xludf.DUMMYFUNCTION("""COMPUTED_VALUE"""),"Walk-In")</f>
        <v>Walk-In</v>
      </c>
      <c r="C1345" s="124" t="str">
        <f>IFERROR(__xludf.DUMMYFUNCTION("""COMPUTED_VALUE"""),"Prayagraj")</f>
        <v>Prayagraj</v>
      </c>
      <c r="D1345" s="124" t="str">
        <f>IFERROR(__xludf.DUMMYFUNCTION("""COMPUTED_VALUE"""),"Primary_Walkin")</f>
        <v>Primary_Walkin</v>
      </c>
      <c r="E1345" s="124">
        <f>IFERROR(__xludf.DUMMYFUNCTION("""COMPUTED_VALUE"""),1.0)</f>
        <v>1</v>
      </c>
      <c r="F1345" s="124" t="str">
        <f>IFERROR(__xludf.DUMMYFUNCTION("""COMPUTED_VALUE"""),"Warm")</f>
        <v>Warm</v>
      </c>
      <c r="G1345" s="124" t="str">
        <f>IFERROR(__xludf.DUMMYFUNCTION("""COMPUTED_VALUE"""),"GS Foundation")</f>
        <v>GS Foundation</v>
      </c>
      <c r="K1345" s="124"/>
      <c r="L1345" s="124"/>
      <c r="M1345" s="124"/>
      <c r="N1345" s="124"/>
      <c r="O1345" s="124"/>
      <c r="T1345" s="126">
        <f>IFERROR(__xludf.DUMMYFUNCTION("""COMPUTED_VALUE"""),46064.0)</f>
        <v>46064</v>
      </c>
      <c r="U1345" s="124" t="str">
        <f>IFERROR(__xludf.DUMMYFUNCTION("""COMPUTED_VALUE"""),"Walk-Ins")</f>
        <v>Walk-Ins</v>
      </c>
      <c r="V1345" s="124" t="str">
        <f>IFERROR(__xludf.DUMMYFUNCTION("""COMPUTED_VALUE"""),"Walkin")</f>
        <v>Walkin</v>
      </c>
      <c r="W1345" s="124" t="str">
        <f>IFERROR(__xludf.DUMMYFUNCTION("""COMPUTED_VALUE"""),"Patna")</f>
        <v>Patna</v>
      </c>
      <c r="X1345" s="124" t="str">
        <f>IFERROR(__xludf.DUMMYFUNCTION("""COMPUTED_VALUE"""),"Walkin")</f>
        <v>Walkin</v>
      </c>
      <c r="Y1345" s="124" t="str">
        <f>IFERROR(__xludf.DUMMYFUNCTION("""COMPUTED_VALUE"""),"Patna")</f>
        <v>Patna</v>
      </c>
      <c r="Z1345" s="124">
        <f>IFERROR(__xludf.DUMMYFUNCTION("""COMPUTED_VALUE"""),2.0)</f>
        <v>2</v>
      </c>
      <c r="AA1345" s="124" t="str">
        <f>IFERROR(__xludf.DUMMYFUNCTION("""COMPUTED_VALUE"""),"Cold")</f>
        <v>Cold</v>
      </c>
      <c r="AB1345" s="124" t="str">
        <f>IFERROR(__xludf.DUMMYFUNCTION("""COMPUTED_VALUE"""),"GS Foundation")</f>
        <v>GS Foundation</v>
      </c>
    </row>
    <row r="1346">
      <c r="A1346" s="129">
        <f>IFERROR(__xludf.DUMMYFUNCTION("""COMPUTED_VALUE"""),46077.0)</f>
        <v>46077</v>
      </c>
      <c r="B1346" s="124" t="str">
        <f>IFERROR(__xludf.DUMMYFUNCTION("""COMPUTED_VALUE"""),"Walk-In")</f>
        <v>Walk-In</v>
      </c>
      <c r="C1346" s="124" t="str">
        <f>IFERROR(__xludf.DUMMYFUNCTION("""COMPUTED_VALUE"""),"Prayagraj")</f>
        <v>Prayagraj</v>
      </c>
      <c r="D1346" s="124" t="str">
        <f>IFERROR(__xludf.DUMMYFUNCTION("""COMPUTED_VALUE"""),"Primary_Walkin")</f>
        <v>Primary_Walkin</v>
      </c>
      <c r="E1346" s="124">
        <f>IFERROR(__xludf.DUMMYFUNCTION("""COMPUTED_VALUE"""),1.0)</f>
        <v>1</v>
      </c>
      <c r="F1346" s="124" t="str">
        <f>IFERROR(__xludf.DUMMYFUNCTION("""COMPUTED_VALUE"""),"Warm")</f>
        <v>Warm</v>
      </c>
      <c r="G1346" s="124" t="str">
        <f>IFERROR(__xludf.DUMMYFUNCTION("""COMPUTED_VALUE"""),"Other")</f>
        <v>Other</v>
      </c>
      <c r="K1346" s="124"/>
      <c r="L1346" s="124"/>
      <c r="M1346" s="124"/>
      <c r="N1346" s="124"/>
      <c r="O1346" s="124"/>
      <c r="T1346" s="126">
        <f>IFERROR(__xludf.DUMMYFUNCTION("""COMPUTED_VALUE"""),46075.0)</f>
        <v>46075</v>
      </c>
      <c r="U1346" s="124" t="str">
        <f>IFERROR(__xludf.DUMMYFUNCTION("""COMPUTED_VALUE"""),"Walk-Ins")</f>
        <v>Walk-Ins</v>
      </c>
      <c r="V1346" s="124" t="str">
        <f>IFERROR(__xludf.DUMMYFUNCTION("""COMPUTED_VALUE"""),"Walkin")</f>
        <v>Walkin</v>
      </c>
      <c r="W1346" s="124" t="str">
        <f>IFERROR(__xludf.DUMMYFUNCTION("""COMPUTED_VALUE"""),"Prayagraj")</f>
        <v>Prayagraj</v>
      </c>
      <c r="X1346" s="124" t="str">
        <f>IFERROR(__xludf.DUMMYFUNCTION("""COMPUTED_VALUE"""),"Walkin")</f>
        <v>Walkin</v>
      </c>
      <c r="Y1346" s="124" t="str">
        <f>IFERROR(__xludf.DUMMYFUNCTION("""COMPUTED_VALUE"""),"Prayagraj")</f>
        <v>Prayagraj</v>
      </c>
      <c r="Z1346" s="124">
        <f>IFERROR(__xludf.DUMMYFUNCTION("""COMPUTED_VALUE"""),5.0)</f>
        <v>5</v>
      </c>
      <c r="AA1346" s="124" t="str">
        <f>IFERROR(__xludf.DUMMYFUNCTION("""COMPUTED_VALUE"""),"Future Prospects")</f>
        <v>Future Prospects</v>
      </c>
      <c r="AB1346" s="124" t="str">
        <f>IFERROR(__xludf.DUMMYFUNCTION("""COMPUTED_VALUE"""),"GS Foundation")</f>
        <v>GS Foundation</v>
      </c>
    </row>
    <row r="1347">
      <c r="A1347" s="126">
        <f>IFERROR(__xludf.DUMMYFUNCTION("""COMPUTED_VALUE"""),46101.0)</f>
        <v>46101</v>
      </c>
      <c r="B1347" s="124" t="str">
        <f>IFERROR(__xludf.DUMMYFUNCTION("""COMPUTED_VALUE"""),"Walkin")</f>
        <v>Walkin</v>
      </c>
      <c r="C1347" s="124" t="str">
        <f>IFERROR(__xludf.DUMMYFUNCTION("""COMPUTED_VALUE"""),"Prayagraj")</f>
        <v>Prayagraj</v>
      </c>
      <c r="D1347" s="124" t="str">
        <f>IFERROR(__xludf.DUMMYFUNCTION("""COMPUTED_VALUE"""),"Primary_Walkin")</f>
        <v>Primary_Walkin</v>
      </c>
      <c r="E1347" s="124">
        <f>IFERROR(__xludf.DUMMYFUNCTION("""COMPUTED_VALUE"""),1.0)</f>
        <v>1</v>
      </c>
      <c r="F1347" s="124" t="str">
        <f>IFERROR(__xludf.DUMMYFUNCTION("""COMPUTED_VALUE"""),"Warm")</f>
        <v>Warm</v>
      </c>
      <c r="G1347" s="124" t="str">
        <f>IFERROR(__xludf.DUMMYFUNCTION("""COMPUTED_VALUE"""),"Mentorship")</f>
        <v>Mentorship</v>
      </c>
      <c r="K1347" s="124"/>
      <c r="L1347" s="124"/>
      <c r="M1347" s="124"/>
      <c r="N1347" s="124"/>
      <c r="O1347" s="124"/>
      <c r="T1347" s="126">
        <f>IFERROR(__xludf.DUMMYFUNCTION("""COMPUTED_VALUE"""),46060.0)</f>
        <v>46060</v>
      </c>
      <c r="U1347" s="124" t="str">
        <f>IFERROR(__xludf.DUMMYFUNCTION("""COMPUTED_VALUE"""),"Walk-Ins")</f>
        <v>Walk-Ins</v>
      </c>
      <c r="V1347" s="124" t="str">
        <f>IFERROR(__xludf.DUMMYFUNCTION("""COMPUTED_VALUE"""),"Walkin")</f>
        <v>Walkin</v>
      </c>
      <c r="W1347" s="124" t="str">
        <f>IFERROR(__xludf.DUMMYFUNCTION("""COMPUTED_VALUE"""),"Patna")</f>
        <v>Patna</v>
      </c>
      <c r="X1347" s="124" t="str">
        <f>IFERROR(__xludf.DUMMYFUNCTION("""COMPUTED_VALUE"""),"Walkin")</f>
        <v>Walkin</v>
      </c>
      <c r="Y1347" s="124" t="str">
        <f>IFERROR(__xludf.DUMMYFUNCTION("""COMPUTED_VALUE"""),"Patna")</f>
        <v>Patna</v>
      </c>
      <c r="Z1347" s="124">
        <f>IFERROR(__xludf.DUMMYFUNCTION("""COMPUTED_VALUE"""),3.0)</f>
        <v>3</v>
      </c>
      <c r="AA1347" s="124" t="str">
        <f>IFERROR(__xludf.DUMMYFUNCTION("""COMPUTED_VALUE"""),"Cold")</f>
        <v>Cold</v>
      </c>
      <c r="AB1347" s="124" t="str">
        <f>IFERROR(__xludf.DUMMYFUNCTION("""COMPUTED_VALUE"""),"GS Foundation")</f>
        <v>GS Foundation</v>
      </c>
    </row>
    <row r="1348">
      <c r="A1348" s="126">
        <f>IFERROR(__xludf.DUMMYFUNCTION("""COMPUTED_VALUE"""),46062.0)</f>
        <v>46062</v>
      </c>
      <c r="B1348" s="124" t="str">
        <f>IFERROR(__xludf.DUMMYFUNCTION("""COMPUTED_VALUE"""),"Walkin")</f>
        <v>Walkin</v>
      </c>
      <c r="C1348" s="124" t="str">
        <f>IFERROR(__xludf.DUMMYFUNCTION("""COMPUTED_VALUE"""),"Prayagraj")</f>
        <v>Prayagraj</v>
      </c>
      <c r="D1348" s="124" t="str">
        <f>IFERROR(__xludf.DUMMYFUNCTION("""COMPUTED_VALUE"""),"Primary_Walkin")</f>
        <v>Primary_Walkin</v>
      </c>
      <c r="E1348" s="124">
        <f>IFERROR(__xludf.DUMMYFUNCTION("""COMPUTED_VALUE"""),2.0)</f>
        <v>2</v>
      </c>
      <c r="F1348" s="124" t="str">
        <f>IFERROR(__xludf.DUMMYFUNCTION("""COMPUTED_VALUE"""),"Future Prospects")</f>
        <v>Future Prospects</v>
      </c>
      <c r="G1348" s="124" t="str">
        <f>IFERROR(__xludf.DUMMYFUNCTION("""COMPUTED_VALUE"""),"GS Foundation")</f>
        <v>GS Foundation</v>
      </c>
      <c r="K1348" s="124"/>
      <c r="L1348" s="124"/>
      <c r="M1348" s="124"/>
      <c r="N1348" s="124"/>
      <c r="O1348" s="124"/>
      <c r="T1348" s="126">
        <f>IFERROR(__xludf.DUMMYFUNCTION("""COMPUTED_VALUE"""),46091.0)</f>
        <v>46091</v>
      </c>
      <c r="U1348" s="124" t="str">
        <f>IFERROR(__xludf.DUMMYFUNCTION("""COMPUTED_VALUE"""),"Walk-Ins")</f>
        <v>Walk-Ins</v>
      </c>
      <c r="V1348" s="124" t="str">
        <f>IFERROR(__xludf.DUMMYFUNCTION("""COMPUTED_VALUE"""),"Walkin")</f>
        <v>Walkin</v>
      </c>
      <c r="W1348" s="124" t="str">
        <f>IFERROR(__xludf.DUMMYFUNCTION("""COMPUTED_VALUE"""),"Patna")</f>
        <v>Patna</v>
      </c>
      <c r="X1348" s="124" t="str">
        <f>IFERROR(__xludf.DUMMYFUNCTION("""COMPUTED_VALUE"""),"Walkin")</f>
        <v>Walkin</v>
      </c>
      <c r="Y1348" s="124" t="str">
        <f>IFERROR(__xludf.DUMMYFUNCTION("""COMPUTED_VALUE"""),"Patna")</f>
        <v>Patna</v>
      </c>
      <c r="Z1348" s="124">
        <f>IFERROR(__xludf.DUMMYFUNCTION("""COMPUTED_VALUE"""),3.0)</f>
        <v>3</v>
      </c>
      <c r="AA1348" s="124" t="str">
        <f>IFERROR(__xludf.DUMMYFUNCTION("""COMPUTED_VALUE"""),"Warm")</f>
        <v>Warm</v>
      </c>
      <c r="AB1348" s="124" t="str">
        <f>IFERROR(__xludf.DUMMYFUNCTION("""COMPUTED_VALUE"""),"State PCS")</f>
        <v>State PCS</v>
      </c>
    </row>
    <row r="1349">
      <c r="A1349" s="126">
        <f>IFERROR(__xludf.DUMMYFUNCTION("""COMPUTED_VALUE"""),46099.0)</f>
        <v>46099</v>
      </c>
      <c r="B1349" s="124" t="str">
        <f>IFERROR(__xludf.DUMMYFUNCTION("""COMPUTED_VALUE"""),"Walkin")</f>
        <v>Walkin</v>
      </c>
      <c r="C1349" s="124" t="str">
        <f>IFERROR(__xludf.DUMMYFUNCTION("""COMPUTED_VALUE"""),"Delhi")</f>
        <v>Delhi</v>
      </c>
      <c r="D1349" s="124" t="str">
        <f>IFERROR(__xludf.DUMMYFUNCTION("""COMPUTED_VALUE"""),"Primary_Walkin")</f>
        <v>Primary_Walkin</v>
      </c>
      <c r="E1349" s="124">
        <f>IFERROR(__xludf.DUMMYFUNCTION("""COMPUTED_VALUE"""),4.0)</f>
        <v>4</v>
      </c>
      <c r="F1349" s="124" t="str">
        <f>IFERROR(__xludf.DUMMYFUNCTION("""COMPUTED_VALUE"""),"Cold")</f>
        <v>Cold</v>
      </c>
      <c r="G1349" s="124" t="str">
        <f>IFERROR(__xludf.DUMMYFUNCTION("""COMPUTED_VALUE"""),"GS Foundation")</f>
        <v>GS Foundation</v>
      </c>
      <c r="K1349" s="124"/>
      <c r="L1349" s="124"/>
      <c r="M1349" s="124"/>
      <c r="N1349" s="124"/>
      <c r="O1349" s="124"/>
      <c r="T1349" s="126">
        <f>IFERROR(__xludf.DUMMYFUNCTION("""COMPUTED_VALUE"""),46083.0)</f>
        <v>46083</v>
      </c>
      <c r="U1349" s="124" t="str">
        <f>IFERROR(__xludf.DUMMYFUNCTION("""COMPUTED_VALUE"""),"Walk-Ins")</f>
        <v>Walk-Ins</v>
      </c>
      <c r="V1349" s="124" t="str">
        <f>IFERROR(__xludf.DUMMYFUNCTION("""COMPUTED_VALUE"""),"Walkin")</f>
        <v>Walkin</v>
      </c>
      <c r="W1349" s="124" t="str">
        <f>IFERROR(__xludf.DUMMYFUNCTION("""COMPUTED_VALUE"""),"Indore")</f>
        <v>Indore</v>
      </c>
      <c r="X1349" s="124" t="str">
        <f>IFERROR(__xludf.DUMMYFUNCTION("""COMPUTED_VALUE"""),"Walkin")</f>
        <v>Walkin</v>
      </c>
      <c r="Y1349" s="124" t="str">
        <f>IFERROR(__xludf.DUMMYFUNCTION("""COMPUTED_VALUE"""),"Indore")</f>
        <v>Indore</v>
      </c>
      <c r="Z1349" s="124">
        <f>IFERROR(__xludf.DUMMYFUNCTION("""COMPUTED_VALUE"""),1.0)</f>
        <v>1</v>
      </c>
      <c r="AA1349" s="124" t="str">
        <f>IFERROR(__xludf.DUMMYFUNCTION("""COMPUTED_VALUE"""),"Cold")</f>
        <v>Cold</v>
      </c>
      <c r="AB1349" s="124" t="str">
        <f>IFERROR(__xludf.DUMMYFUNCTION("""COMPUTED_VALUE"""),"Other")</f>
        <v>Other</v>
      </c>
    </row>
    <row r="1350">
      <c r="A1350" s="126">
        <f>IFERROR(__xludf.DUMMYFUNCTION("""COMPUTED_VALUE"""),46089.0)</f>
        <v>46089</v>
      </c>
      <c r="B1350" s="124" t="str">
        <f>IFERROR(__xludf.DUMMYFUNCTION("""COMPUTED_VALUE"""),"Walk-In")</f>
        <v>Walk-In</v>
      </c>
      <c r="C1350" s="124" t="str">
        <f>IFERROR(__xludf.DUMMYFUNCTION("""COMPUTED_VALUE"""),"Delhi")</f>
        <v>Delhi</v>
      </c>
      <c r="D1350" s="124" t="str">
        <f>IFERROR(__xludf.DUMMYFUNCTION("""COMPUTED_VALUE"""),"Primary_Walkin")</f>
        <v>Primary_Walkin</v>
      </c>
      <c r="E1350" s="124">
        <f>IFERROR(__xludf.DUMMYFUNCTION("""COMPUTED_VALUE"""),1.0)</f>
        <v>1</v>
      </c>
      <c r="F1350" s="124" t="str">
        <f>IFERROR(__xludf.DUMMYFUNCTION("""COMPUTED_VALUE"""),"Cold")</f>
        <v>Cold</v>
      </c>
      <c r="G1350" s="124" t="str">
        <f>IFERROR(__xludf.DUMMYFUNCTION("""COMPUTED_VALUE"""),"GS Foundation")</f>
        <v>GS Foundation</v>
      </c>
      <c r="K1350" s="124"/>
      <c r="L1350" s="124"/>
      <c r="M1350" s="124"/>
      <c r="N1350" s="124"/>
      <c r="O1350" s="124"/>
      <c r="T1350" s="126">
        <f>IFERROR(__xludf.DUMMYFUNCTION("""COMPUTED_VALUE"""),46059.0)</f>
        <v>46059</v>
      </c>
      <c r="U1350" s="124" t="str">
        <f>IFERROR(__xludf.DUMMYFUNCTION("""COMPUTED_VALUE"""),"Walk-Ins")</f>
        <v>Walk-Ins</v>
      </c>
      <c r="V1350" s="124" t="str">
        <f>IFERROR(__xludf.DUMMYFUNCTION("""COMPUTED_VALUE"""),"Walkin")</f>
        <v>Walkin</v>
      </c>
      <c r="W1350" s="124" t="str">
        <f>IFERROR(__xludf.DUMMYFUNCTION("""COMPUTED_VALUE"""),"Prayagraj")</f>
        <v>Prayagraj</v>
      </c>
      <c r="X1350" s="124" t="str">
        <f>IFERROR(__xludf.DUMMYFUNCTION("""COMPUTED_VALUE"""),"Walkin")</f>
        <v>Walkin</v>
      </c>
      <c r="Y1350" s="124" t="str">
        <f>IFERROR(__xludf.DUMMYFUNCTION("""COMPUTED_VALUE"""),"Prayagraj")</f>
        <v>Prayagraj</v>
      </c>
      <c r="Z1350" s="124">
        <f>IFERROR(__xludf.DUMMYFUNCTION("""COMPUTED_VALUE"""),4.0)</f>
        <v>4</v>
      </c>
      <c r="AA1350" s="124" t="str">
        <f>IFERROR(__xludf.DUMMYFUNCTION("""COMPUTED_VALUE"""),"Cold")</f>
        <v>Cold</v>
      </c>
      <c r="AB1350" s="124" t="str">
        <f>IFERROR(__xludf.DUMMYFUNCTION("""COMPUTED_VALUE"""),"State PCS")</f>
        <v>State PCS</v>
      </c>
    </row>
    <row r="1351">
      <c r="A1351" s="126">
        <f>IFERROR(__xludf.DUMMYFUNCTION("""COMPUTED_VALUE"""),46112.0)</f>
        <v>46112</v>
      </c>
      <c r="B1351" s="124" t="str">
        <f>IFERROR(__xludf.DUMMYFUNCTION("""COMPUTED_VALUE"""),"events")</f>
        <v>events</v>
      </c>
      <c r="C1351" s="124" t="str">
        <f>IFERROR(__xludf.DUMMYFUNCTION("""COMPUTED_VALUE"""),"Delhi")</f>
        <v>Delhi</v>
      </c>
      <c r="D1351" s="124" t="str">
        <f>IFERROR(__xludf.DUMMYFUNCTION("""COMPUTED_VALUE"""),"Secondary_Walkin")</f>
        <v>Secondary_Walkin</v>
      </c>
      <c r="E1351" s="124">
        <f>IFERROR(__xludf.DUMMYFUNCTION("""COMPUTED_VALUE"""),1.0)</f>
        <v>1</v>
      </c>
      <c r="F1351" s="124" t="str">
        <f>IFERROR(__xludf.DUMMYFUNCTION("""COMPUTED_VALUE"""),"Cold")</f>
        <v>Cold</v>
      </c>
      <c r="G1351" s="124" t="str">
        <f>IFERROR(__xludf.DUMMYFUNCTION("""COMPUTED_VALUE"""),"GS Foundation")</f>
        <v>GS Foundation</v>
      </c>
      <c r="K1351" s="124"/>
      <c r="L1351" s="124"/>
      <c r="M1351" s="124"/>
      <c r="N1351" s="124"/>
      <c r="O1351" s="124"/>
      <c r="T1351" s="126">
        <f>IFERROR(__xludf.DUMMYFUNCTION("""COMPUTED_VALUE"""),46052.0)</f>
        <v>46052</v>
      </c>
      <c r="U1351" s="124" t="str">
        <f>IFERROR(__xludf.DUMMYFUNCTION("""COMPUTED_VALUE"""),"Walk-Ins")</f>
        <v>Walk-Ins</v>
      </c>
      <c r="V1351" s="124" t="str">
        <f>IFERROR(__xludf.DUMMYFUNCTION("""COMPUTED_VALUE"""),"Walkin")</f>
        <v>Walkin</v>
      </c>
      <c r="W1351" s="124" t="str">
        <f>IFERROR(__xludf.DUMMYFUNCTION("""COMPUTED_VALUE"""),"Indore")</f>
        <v>Indore</v>
      </c>
      <c r="X1351" s="124" t="str">
        <f>IFERROR(__xludf.DUMMYFUNCTION("""COMPUTED_VALUE"""),"Walkin")</f>
        <v>Walkin</v>
      </c>
      <c r="Y1351" s="124" t="str">
        <f>IFERROR(__xludf.DUMMYFUNCTION("""COMPUTED_VALUE"""),"Indore")</f>
        <v>Indore</v>
      </c>
      <c r="Z1351" s="124">
        <f>IFERROR(__xludf.DUMMYFUNCTION("""COMPUTED_VALUE"""),1.0)</f>
        <v>1</v>
      </c>
      <c r="AA1351" s="124" t="str">
        <f>IFERROR(__xludf.DUMMYFUNCTION("""COMPUTED_VALUE"""),"Cold")</f>
        <v>Cold</v>
      </c>
      <c r="AB1351" s="124" t="str">
        <f>IFERROR(__xludf.DUMMYFUNCTION("""COMPUTED_VALUE"""),"State PCS")</f>
        <v>State PCS</v>
      </c>
    </row>
    <row r="1352">
      <c r="A1352" s="129">
        <f>IFERROR(__xludf.DUMMYFUNCTION("""COMPUTED_VALUE"""),46078.0)</f>
        <v>46078</v>
      </c>
      <c r="B1352" s="124" t="str">
        <f>IFERROR(__xludf.DUMMYFUNCTION("""COMPUTED_VALUE"""),"Walkin")</f>
        <v>Walkin</v>
      </c>
      <c r="C1352" s="124" t="str">
        <f>IFERROR(__xludf.DUMMYFUNCTION("""COMPUTED_VALUE"""),"Delhi")</f>
        <v>Delhi</v>
      </c>
      <c r="D1352" s="124" t="str">
        <f>IFERROR(__xludf.DUMMYFUNCTION("""COMPUTED_VALUE"""),"Primary_Walkin")</f>
        <v>Primary_Walkin</v>
      </c>
      <c r="E1352" s="124">
        <f>IFERROR(__xludf.DUMMYFUNCTION("""COMPUTED_VALUE"""),1.0)</f>
        <v>1</v>
      </c>
      <c r="F1352" s="124" t="str">
        <f>IFERROR(__xludf.DUMMYFUNCTION("""COMPUTED_VALUE"""),"Enrolled")</f>
        <v>Enrolled</v>
      </c>
      <c r="G1352" s="124" t="str">
        <f>IFERROR(__xludf.DUMMYFUNCTION("""COMPUTED_VALUE"""),"GS Foundation")</f>
        <v>GS Foundation</v>
      </c>
      <c r="K1352" s="124"/>
      <c r="L1352" s="124"/>
      <c r="M1352" s="124"/>
      <c r="N1352" s="124"/>
      <c r="O1352" s="124"/>
      <c r="T1352" s="129">
        <f>IFERROR(__xludf.DUMMYFUNCTION("""COMPUTED_VALUE"""),46101.0)</f>
        <v>46101</v>
      </c>
      <c r="U1352" s="124" t="str">
        <f>IFERROR(__xludf.DUMMYFUNCTION("""COMPUTED_VALUE"""),"Walk-Ins")</f>
        <v>Walk-Ins</v>
      </c>
      <c r="V1352" s="124" t="str">
        <f>IFERROR(__xludf.DUMMYFUNCTION("""COMPUTED_VALUE"""),"Walkin")</f>
        <v>Walkin</v>
      </c>
      <c r="W1352" s="124" t="str">
        <f>IFERROR(__xludf.DUMMYFUNCTION("""COMPUTED_VALUE"""),"Prayagraj")</f>
        <v>Prayagraj</v>
      </c>
      <c r="X1352" s="124" t="str">
        <f>IFERROR(__xludf.DUMMYFUNCTION("""COMPUTED_VALUE"""),"Walkin")</f>
        <v>Walkin</v>
      </c>
      <c r="Y1352" s="124" t="str">
        <f>IFERROR(__xludf.DUMMYFUNCTION("""COMPUTED_VALUE"""),"Prayagraj")</f>
        <v>Prayagraj</v>
      </c>
      <c r="Z1352" s="124">
        <f>IFERROR(__xludf.DUMMYFUNCTION("""COMPUTED_VALUE"""),1.0)</f>
        <v>1</v>
      </c>
      <c r="AA1352" s="124" t="str">
        <f>IFERROR(__xludf.DUMMYFUNCTION("""COMPUTED_VALUE"""),"Future Prospects")</f>
        <v>Future Prospects</v>
      </c>
      <c r="AB1352" s="124" t="str">
        <f>IFERROR(__xludf.DUMMYFUNCTION("""COMPUTED_VALUE"""),"State PCS")</f>
        <v>State PCS</v>
      </c>
    </row>
    <row r="1353">
      <c r="A1353" s="126">
        <f>IFERROR(__xludf.DUMMYFUNCTION("""COMPUTED_VALUE"""),46103.0)</f>
        <v>46103</v>
      </c>
      <c r="B1353" s="124" t="str">
        <f>IFERROR(__xludf.DUMMYFUNCTION("""COMPUTED_VALUE"""),"Walkin")</f>
        <v>Walkin</v>
      </c>
      <c r="C1353" s="124" t="str">
        <f>IFERROR(__xludf.DUMMYFUNCTION("""COMPUTED_VALUE"""),"Delhi")</f>
        <v>Delhi</v>
      </c>
      <c r="D1353" s="124" t="str">
        <f>IFERROR(__xludf.DUMMYFUNCTION("""COMPUTED_VALUE"""),"Primary_Walkin")</f>
        <v>Primary_Walkin</v>
      </c>
      <c r="E1353" s="124">
        <f>IFERROR(__xludf.DUMMYFUNCTION("""COMPUTED_VALUE"""),1.0)</f>
        <v>1</v>
      </c>
      <c r="F1353" s="124" t="str">
        <f>IFERROR(__xludf.DUMMYFUNCTION("""COMPUTED_VALUE"""),"Not Interested")</f>
        <v>Not Interested</v>
      </c>
      <c r="G1353" s="124" t="str">
        <f>IFERROR(__xludf.DUMMYFUNCTION("""COMPUTED_VALUE"""),"GS Foundation")</f>
        <v>GS Foundation</v>
      </c>
      <c r="K1353" s="124"/>
      <c r="L1353" s="124"/>
      <c r="M1353" s="124"/>
      <c r="N1353" s="124"/>
      <c r="O1353" s="124"/>
      <c r="T1353" s="126">
        <f>IFERROR(__xludf.DUMMYFUNCTION("""COMPUTED_VALUE"""),46063.0)</f>
        <v>46063</v>
      </c>
      <c r="U1353" s="124" t="str">
        <f>IFERROR(__xludf.DUMMYFUNCTION("""COMPUTED_VALUE"""),"Walk-Ins")</f>
        <v>Walk-Ins</v>
      </c>
      <c r="V1353" s="124" t="str">
        <f>IFERROR(__xludf.DUMMYFUNCTION("""COMPUTED_VALUE"""),"Walkin")</f>
        <v>Walkin</v>
      </c>
      <c r="W1353" s="124" t="str">
        <f>IFERROR(__xludf.DUMMYFUNCTION("""COMPUTED_VALUE"""),"Indore")</f>
        <v>Indore</v>
      </c>
      <c r="X1353" s="124" t="str">
        <f>IFERROR(__xludf.DUMMYFUNCTION("""COMPUTED_VALUE"""),"Walkin")</f>
        <v>Walkin</v>
      </c>
      <c r="Y1353" s="124" t="str">
        <f>IFERROR(__xludf.DUMMYFUNCTION("""COMPUTED_VALUE"""),"Indore")</f>
        <v>Indore</v>
      </c>
      <c r="Z1353" s="124">
        <f>IFERROR(__xludf.DUMMYFUNCTION("""COMPUTED_VALUE"""),1.0)</f>
        <v>1</v>
      </c>
      <c r="AA1353" s="124" t="str">
        <f>IFERROR(__xludf.DUMMYFUNCTION("""COMPUTED_VALUE"""),"Cold")</f>
        <v>Cold</v>
      </c>
      <c r="AB1353" s="124" t="str">
        <f>IFERROR(__xludf.DUMMYFUNCTION("""COMPUTED_VALUE"""),"Test Series")</f>
        <v>Test Series</v>
      </c>
    </row>
    <row r="1354">
      <c r="A1354" s="129">
        <f>IFERROR(__xludf.DUMMYFUNCTION("""COMPUTED_VALUE"""),46057.0)</f>
        <v>46057</v>
      </c>
      <c r="B1354" s="124" t="str">
        <f>IFERROR(__xludf.DUMMYFUNCTION("""COMPUTED_VALUE"""),"Walkin")</f>
        <v>Walkin</v>
      </c>
      <c r="C1354" s="124" t="str">
        <f>IFERROR(__xludf.DUMMYFUNCTION("""COMPUTED_VALUE"""),"Delhi")</f>
        <v>Delhi</v>
      </c>
      <c r="D1354" s="124" t="str">
        <f>IFERROR(__xludf.DUMMYFUNCTION("""COMPUTED_VALUE"""),"Primary_Walkin")</f>
        <v>Primary_Walkin</v>
      </c>
      <c r="E1354" s="124">
        <f>IFERROR(__xludf.DUMMYFUNCTION("""COMPUTED_VALUE"""),1.0)</f>
        <v>1</v>
      </c>
      <c r="F1354" s="124" t="str">
        <f>IFERROR(__xludf.DUMMYFUNCTION("""COMPUTED_VALUE"""),"Fake Lead")</f>
        <v>Fake Lead</v>
      </c>
      <c r="G1354" s="124" t="str">
        <f>IFERROR(__xludf.DUMMYFUNCTION("""COMPUTED_VALUE"""),"GS Foundation")</f>
        <v>GS Foundation</v>
      </c>
      <c r="K1354" s="124"/>
      <c r="L1354" s="124"/>
      <c r="M1354" s="124"/>
      <c r="N1354" s="124"/>
      <c r="O1354" s="124"/>
      <c r="T1354" s="126">
        <f>IFERROR(__xludf.DUMMYFUNCTION("""COMPUTED_VALUE"""),46099.0)</f>
        <v>46099</v>
      </c>
      <c r="U1354" s="124" t="str">
        <f>IFERROR(__xludf.DUMMYFUNCTION("""COMPUTED_VALUE"""),"Walk-Ins")</f>
        <v>Walk-Ins</v>
      </c>
      <c r="V1354" s="124" t="str">
        <f>IFERROR(__xludf.DUMMYFUNCTION("""COMPUTED_VALUE"""),"Walkin")</f>
        <v>Walkin</v>
      </c>
      <c r="W1354" s="124" t="str">
        <f>IFERROR(__xludf.DUMMYFUNCTION("""COMPUTED_VALUE"""),"Patna")</f>
        <v>Patna</v>
      </c>
      <c r="X1354" s="124" t="str">
        <f>IFERROR(__xludf.DUMMYFUNCTION("""COMPUTED_VALUE"""),"Walkin")</f>
        <v>Walkin</v>
      </c>
      <c r="Y1354" s="124" t="str">
        <f>IFERROR(__xludf.DUMMYFUNCTION("""COMPUTED_VALUE"""),"Patna")</f>
        <v>Patna</v>
      </c>
      <c r="Z1354" s="124">
        <f>IFERROR(__xludf.DUMMYFUNCTION("""COMPUTED_VALUE"""),2.0)</f>
        <v>2</v>
      </c>
      <c r="AA1354" s="124" t="str">
        <f>IFERROR(__xludf.DUMMYFUNCTION("""COMPUTED_VALUE"""),"Not Interested")</f>
        <v>Not Interested</v>
      </c>
      <c r="AB1354" s="124" t="str">
        <f>IFERROR(__xludf.DUMMYFUNCTION("""COMPUTED_VALUE"""),"State PCS")</f>
        <v>State PCS</v>
      </c>
    </row>
    <row r="1355">
      <c r="A1355" s="126">
        <f>IFERROR(__xludf.DUMMYFUNCTION("""COMPUTED_VALUE"""),46111.0)</f>
        <v>46111</v>
      </c>
      <c r="B1355" s="124" t="str">
        <f>IFERROR(__xludf.DUMMYFUNCTION("""COMPUTED_VALUE"""),"Inbound")</f>
        <v>Inbound</v>
      </c>
      <c r="C1355" s="124" t="str">
        <f>IFERROR(__xludf.DUMMYFUNCTION("""COMPUTED_VALUE"""),"Delhi")</f>
        <v>Delhi</v>
      </c>
      <c r="D1355" s="124" t="str">
        <f>IFERROR(__xludf.DUMMYFUNCTION("""COMPUTED_VALUE"""),"Secondary_Walkin")</f>
        <v>Secondary_Walkin</v>
      </c>
      <c r="E1355" s="124">
        <f>IFERROR(__xludf.DUMMYFUNCTION("""COMPUTED_VALUE"""),1.0)</f>
        <v>1</v>
      </c>
      <c r="F1355" s="124" t="str">
        <f>IFERROR(__xludf.DUMMYFUNCTION("""COMPUTED_VALUE"""),"Enrolled")</f>
        <v>Enrolled</v>
      </c>
      <c r="G1355" s="124" t="str">
        <f>IFERROR(__xludf.DUMMYFUNCTION("""COMPUTED_VALUE"""),"State PCS")</f>
        <v>State PCS</v>
      </c>
      <c r="K1355" s="124"/>
      <c r="L1355" s="124"/>
      <c r="M1355" s="124"/>
      <c r="N1355" s="124"/>
      <c r="O1355" s="124"/>
      <c r="T1355" s="126">
        <f>IFERROR(__xludf.DUMMYFUNCTION("""COMPUTED_VALUE"""),46074.0)</f>
        <v>46074</v>
      </c>
      <c r="U1355" s="124" t="str">
        <f>IFERROR(__xludf.DUMMYFUNCTION("""COMPUTED_VALUE"""),"Walk-Ins")</f>
        <v>Walk-Ins</v>
      </c>
      <c r="V1355" s="124" t="str">
        <f>IFERROR(__xludf.DUMMYFUNCTION("""COMPUTED_VALUE"""),"Walkin")</f>
        <v>Walkin</v>
      </c>
      <c r="W1355" s="124" t="str">
        <f>IFERROR(__xludf.DUMMYFUNCTION("""COMPUTED_VALUE"""),"Indore")</f>
        <v>Indore</v>
      </c>
      <c r="X1355" s="124" t="str">
        <f>IFERROR(__xludf.DUMMYFUNCTION("""COMPUTED_VALUE"""),"Walkin")</f>
        <v>Walkin</v>
      </c>
      <c r="Y1355" s="124" t="str">
        <f>IFERROR(__xludf.DUMMYFUNCTION("""COMPUTED_VALUE"""),"Indore")</f>
        <v>Indore</v>
      </c>
      <c r="Z1355" s="124">
        <f>IFERROR(__xludf.DUMMYFUNCTION("""COMPUTED_VALUE"""),1.0)</f>
        <v>1</v>
      </c>
      <c r="AA1355" s="124" t="str">
        <f>IFERROR(__xludf.DUMMYFUNCTION("""COMPUTED_VALUE"""),"Cold")</f>
        <v>Cold</v>
      </c>
      <c r="AB1355" s="124" t="str">
        <f>IFERROR(__xludf.DUMMYFUNCTION("""COMPUTED_VALUE"""),"GS Foundation")</f>
        <v>GS Foundation</v>
      </c>
    </row>
    <row r="1356">
      <c r="A1356" s="126">
        <f>IFERROR(__xludf.DUMMYFUNCTION("""COMPUTED_VALUE"""),46044.0)</f>
        <v>46044</v>
      </c>
      <c r="B1356" s="124" t="str">
        <f>IFERROR(__xludf.DUMMYFUNCTION("""COMPUTED_VALUE"""),"Walkin")</f>
        <v>Walkin</v>
      </c>
      <c r="C1356" s="124" t="str">
        <f>IFERROR(__xludf.DUMMYFUNCTION("""COMPUTED_VALUE"""),"Delhi")</f>
        <v>Delhi</v>
      </c>
      <c r="D1356" s="124" t="str">
        <f>IFERROR(__xludf.DUMMYFUNCTION("""COMPUTED_VALUE"""),"Primary_Walkin")</f>
        <v>Primary_Walkin</v>
      </c>
      <c r="E1356" s="124">
        <f>IFERROR(__xludf.DUMMYFUNCTION("""COMPUTED_VALUE"""),2.0)</f>
        <v>2</v>
      </c>
      <c r="F1356" s="124" t="str">
        <f>IFERROR(__xludf.DUMMYFUNCTION("""COMPUTED_VALUE"""),"Future Prospects")</f>
        <v>Future Prospects</v>
      </c>
      <c r="G1356" s="124" t="str">
        <f>IFERROR(__xludf.DUMMYFUNCTION("""COMPUTED_VALUE"""),"GS Foundation")</f>
        <v>GS Foundation</v>
      </c>
      <c r="K1356" s="124"/>
      <c r="L1356" s="124"/>
      <c r="M1356" s="124"/>
      <c r="N1356" s="124"/>
      <c r="O1356" s="124"/>
      <c r="T1356" s="126">
        <f>IFERROR(__xludf.DUMMYFUNCTION("""COMPUTED_VALUE"""),46066.0)</f>
        <v>46066</v>
      </c>
      <c r="U1356" s="124" t="str">
        <f>IFERROR(__xludf.DUMMYFUNCTION("""COMPUTED_VALUE"""),"Walk-Ins")</f>
        <v>Walk-Ins</v>
      </c>
      <c r="V1356" s="124" t="str">
        <f>IFERROR(__xludf.DUMMYFUNCTION("""COMPUTED_VALUE"""),"Walkin")</f>
        <v>Walkin</v>
      </c>
      <c r="W1356" s="124" t="str">
        <f>IFERROR(__xludf.DUMMYFUNCTION("""COMPUTED_VALUE"""),"Patna")</f>
        <v>Patna</v>
      </c>
      <c r="X1356" s="124" t="str">
        <f>IFERROR(__xludf.DUMMYFUNCTION("""COMPUTED_VALUE"""),"Walkin")</f>
        <v>Walkin</v>
      </c>
      <c r="Y1356" s="124" t="str">
        <f>IFERROR(__xludf.DUMMYFUNCTION("""COMPUTED_VALUE"""),"Patna")</f>
        <v>Patna</v>
      </c>
      <c r="Z1356" s="124">
        <f>IFERROR(__xludf.DUMMYFUNCTION("""COMPUTED_VALUE"""),1.0)</f>
        <v>1</v>
      </c>
      <c r="AA1356" s="124" t="str">
        <f>IFERROR(__xludf.DUMMYFUNCTION("""COMPUTED_VALUE"""),"Warm")</f>
        <v>Warm</v>
      </c>
      <c r="AB1356" s="124" t="str">
        <f>IFERROR(__xludf.DUMMYFUNCTION("""COMPUTED_VALUE"""),"GS Foundation")</f>
        <v>GS Foundation</v>
      </c>
    </row>
    <row r="1357">
      <c r="A1357" s="126">
        <f>IFERROR(__xludf.DUMMYFUNCTION("""COMPUTED_VALUE"""),46046.0)</f>
        <v>46046</v>
      </c>
      <c r="B1357" s="124" t="str">
        <f>IFERROR(__xludf.DUMMYFUNCTION("""COMPUTED_VALUE"""),"Walk-In")</f>
        <v>Walk-In</v>
      </c>
      <c r="C1357" s="124" t="str">
        <f>IFERROR(__xludf.DUMMYFUNCTION("""COMPUTED_VALUE"""),"Delhi")</f>
        <v>Delhi</v>
      </c>
      <c r="D1357" s="124" t="str">
        <f>IFERROR(__xludf.DUMMYFUNCTION("""COMPUTED_VALUE"""),"Primary_Walkin")</f>
        <v>Primary_Walkin</v>
      </c>
      <c r="E1357" s="124">
        <f>IFERROR(__xludf.DUMMYFUNCTION("""COMPUTED_VALUE"""),1.0)</f>
        <v>1</v>
      </c>
      <c r="F1357" s="124" t="str">
        <f>IFERROR(__xludf.DUMMYFUNCTION("""COMPUTED_VALUE"""),"Future Prospects")</f>
        <v>Future Prospects</v>
      </c>
      <c r="G1357" s="124" t="str">
        <f>IFERROR(__xludf.DUMMYFUNCTION("""COMPUTED_VALUE"""),"GS Foundation")</f>
        <v>GS Foundation</v>
      </c>
      <c r="K1357" s="124"/>
      <c r="L1357" s="124"/>
      <c r="M1357" s="124"/>
      <c r="N1357" s="124"/>
      <c r="O1357" s="124"/>
      <c r="T1357" s="126">
        <f>IFERROR(__xludf.DUMMYFUNCTION("""COMPUTED_VALUE"""),46111.0)</f>
        <v>46111</v>
      </c>
      <c r="U1357" s="124" t="str">
        <f>IFERROR(__xludf.DUMMYFUNCTION("""COMPUTED_VALUE"""),"Walk-Ins")</f>
        <v>Walk-Ins</v>
      </c>
      <c r="V1357" s="124" t="str">
        <f>IFERROR(__xludf.DUMMYFUNCTION("""COMPUTED_VALUE"""),"Walkin")</f>
        <v>Walkin</v>
      </c>
      <c r="W1357" s="124" t="str">
        <f>IFERROR(__xludf.DUMMYFUNCTION("""COMPUTED_VALUE"""),"Patna")</f>
        <v>Patna</v>
      </c>
      <c r="X1357" s="124" t="str">
        <f>IFERROR(__xludf.DUMMYFUNCTION("""COMPUTED_VALUE"""),"Walkin")</f>
        <v>Walkin</v>
      </c>
      <c r="Y1357" s="124" t="str">
        <f>IFERROR(__xludf.DUMMYFUNCTION("""COMPUTED_VALUE"""),"Patna")</f>
        <v>Patna</v>
      </c>
      <c r="Z1357" s="124">
        <f>IFERROR(__xludf.DUMMYFUNCTION("""COMPUTED_VALUE"""),1.0)</f>
        <v>1</v>
      </c>
      <c r="AA1357" s="124" t="str">
        <f>IFERROR(__xludf.DUMMYFUNCTION("""COMPUTED_VALUE"""),"Cold")</f>
        <v>Cold</v>
      </c>
      <c r="AB1357" s="124" t="str">
        <f>IFERROR(__xludf.DUMMYFUNCTION("""COMPUTED_VALUE"""),"GS Foundation")</f>
        <v>GS Foundation</v>
      </c>
    </row>
    <row r="1358">
      <c r="A1358" s="126">
        <f>IFERROR(__xludf.DUMMYFUNCTION("""COMPUTED_VALUE"""),46060.0)</f>
        <v>46060</v>
      </c>
      <c r="B1358" s="124" t="str">
        <f>IFERROR(__xludf.DUMMYFUNCTION("""COMPUTED_VALUE"""),"Walkin")</f>
        <v>Walkin</v>
      </c>
      <c r="C1358" s="124" t="str">
        <f>IFERROR(__xludf.DUMMYFUNCTION("""COMPUTED_VALUE"""),"Delhi")</f>
        <v>Delhi</v>
      </c>
      <c r="D1358" s="124" t="str">
        <f>IFERROR(__xludf.DUMMYFUNCTION("""COMPUTED_VALUE"""),"Primary_Walkin")</f>
        <v>Primary_Walkin</v>
      </c>
      <c r="E1358" s="124">
        <f>IFERROR(__xludf.DUMMYFUNCTION("""COMPUTED_VALUE"""),2.0)</f>
        <v>2</v>
      </c>
      <c r="F1358" s="124" t="str">
        <f>IFERROR(__xludf.DUMMYFUNCTION("""COMPUTED_VALUE"""),"Not Interested")</f>
        <v>Not Interested</v>
      </c>
      <c r="G1358" s="124" t="str">
        <f>IFERROR(__xludf.DUMMYFUNCTION("""COMPUTED_VALUE"""),"GS Foundation")</f>
        <v>GS Foundation</v>
      </c>
      <c r="K1358" s="124"/>
      <c r="L1358" s="124"/>
      <c r="M1358" s="124"/>
      <c r="N1358" s="124"/>
      <c r="O1358" s="124"/>
      <c r="T1358" s="126">
        <f>IFERROR(__xludf.DUMMYFUNCTION("""COMPUTED_VALUE"""),46110.0)</f>
        <v>46110</v>
      </c>
      <c r="U1358" s="124" t="str">
        <f>IFERROR(__xludf.DUMMYFUNCTION("""COMPUTED_VALUE"""),"Walk-Ins")</f>
        <v>Walk-Ins</v>
      </c>
      <c r="V1358" s="124" t="str">
        <f>IFERROR(__xludf.DUMMYFUNCTION("""COMPUTED_VALUE"""),"Walkin")</f>
        <v>Walkin</v>
      </c>
      <c r="W1358" s="124" t="str">
        <f>IFERROR(__xludf.DUMMYFUNCTION("""COMPUTED_VALUE"""),"Patna")</f>
        <v>Patna</v>
      </c>
      <c r="X1358" s="124" t="str">
        <f>IFERROR(__xludf.DUMMYFUNCTION("""COMPUTED_VALUE"""),"Walkin")</f>
        <v>Walkin</v>
      </c>
      <c r="Y1358" s="124" t="str">
        <f>IFERROR(__xludf.DUMMYFUNCTION("""COMPUTED_VALUE"""),"Patna")</f>
        <v>Patna</v>
      </c>
      <c r="Z1358" s="124">
        <f>IFERROR(__xludf.DUMMYFUNCTION("""COMPUTED_VALUE"""),2.0)</f>
        <v>2</v>
      </c>
      <c r="AA1358" s="124" t="str">
        <f>IFERROR(__xludf.DUMMYFUNCTION("""COMPUTED_VALUE"""),"Warm")</f>
        <v>Warm</v>
      </c>
      <c r="AB1358" s="124" t="str">
        <f>IFERROR(__xludf.DUMMYFUNCTION("""COMPUTED_VALUE"""),"GS Foundation")</f>
        <v>GS Foundation</v>
      </c>
    </row>
    <row r="1359">
      <c r="A1359" s="126">
        <f>IFERROR(__xludf.DUMMYFUNCTION("""COMPUTED_VALUE"""),46067.0)</f>
        <v>46067</v>
      </c>
      <c r="B1359" s="124" t="str">
        <f>IFERROR(__xludf.DUMMYFUNCTION("""COMPUTED_VALUE"""),"Walkin")</f>
        <v>Walkin</v>
      </c>
      <c r="C1359" s="124" t="str">
        <f>IFERROR(__xludf.DUMMYFUNCTION("""COMPUTED_VALUE"""),"Delhi")</f>
        <v>Delhi</v>
      </c>
      <c r="D1359" s="124" t="str">
        <f>IFERROR(__xludf.DUMMYFUNCTION("""COMPUTED_VALUE"""),"Primary_Walkin")</f>
        <v>Primary_Walkin</v>
      </c>
      <c r="E1359" s="124">
        <f>IFERROR(__xludf.DUMMYFUNCTION("""COMPUTED_VALUE"""),1.0)</f>
        <v>1</v>
      </c>
      <c r="F1359" s="124" t="str">
        <f>IFERROR(__xludf.DUMMYFUNCTION("""COMPUTED_VALUE"""),"Fake Lead")</f>
        <v>Fake Lead</v>
      </c>
      <c r="G1359" s="124" t="str">
        <f>IFERROR(__xludf.DUMMYFUNCTION("""COMPUTED_VALUE"""),"GS Foundation")</f>
        <v>GS Foundation</v>
      </c>
      <c r="K1359" s="124"/>
      <c r="L1359" s="124"/>
      <c r="M1359" s="124"/>
      <c r="N1359" s="124"/>
      <c r="O1359" s="124"/>
      <c r="T1359" s="129">
        <f>IFERROR(__xludf.DUMMYFUNCTION("""COMPUTED_VALUE"""),46090.0)</f>
        <v>46090</v>
      </c>
      <c r="U1359" s="124" t="str">
        <f>IFERROR(__xludf.DUMMYFUNCTION("""COMPUTED_VALUE"""),"Walk-Ins")</f>
        <v>Walk-Ins</v>
      </c>
      <c r="V1359" s="124" t="str">
        <f>IFERROR(__xludf.DUMMYFUNCTION("""COMPUTED_VALUE"""),"Walkin")</f>
        <v>Walkin</v>
      </c>
      <c r="W1359" s="124" t="str">
        <f>IFERROR(__xludf.DUMMYFUNCTION("""COMPUTED_VALUE"""),"Indore")</f>
        <v>Indore</v>
      </c>
      <c r="X1359" s="124" t="str">
        <f>IFERROR(__xludf.DUMMYFUNCTION("""COMPUTED_VALUE"""),"Walkin")</f>
        <v>Walkin</v>
      </c>
      <c r="Y1359" s="124" t="str">
        <f>IFERROR(__xludf.DUMMYFUNCTION("""COMPUTED_VALUE"""),"Indore")</f>
        <v>Indore</v>
      </c>
      <c r="Z1359" s="124">
        <f>IFERROR(__xludf.DUMMYFUNCTION("""COMPUTED_VALUE"""),1.0)</f>
        <v>1</v>
      </c>
      <c r="AA1359" s="124" t="str">
        <f>IFERROR(__xludf.DUMMYFUNCTION("""COMPUTED_VALUE"""),"Enrolled")</f>
        <v>Enrolled</v>
      </c>
      <c r="AB1359" s="124" t="str">
        <f>IFERROR(__xludf.DUMMYFUNCTION("""COMPUTED_VALUE"""),"GS Foundation")</f>
        <v>GS Foundation</v>
      </c>
    </row>
    <row r="1360">
      <c r="A1360" s="126">
        <f>IFERROR(__xludf.DUMMYFUNCTION("""COMPUTED_VALUE"""),46108.0)</f>
        <v>46108</v>
      </c>
      <c r="B1360" s="124" t="str">
        <f>IFERROR(__xludf.DUMMYFUNCTION("""COMPUTED_VALUE"""),"Walkin")</f>
        <v>Walkin</v>
      </c>
      <c r="C1360" s="124" t="str">
        <f>IFERROR(__xludf.DUMMYFUNCTION("""COMPUTED_VALUE"""),"Delhi")</f>
        <v>Delhi</v>
      </c>
      <c r="D1360" s="124" t="str">
        <f>IFERROR(__xludf.DUMMYFUNCTION("""COMPUTED_VALUE"""),"Primary_Walkin")</f>
        <v>Primary_Walkin</v>
      </c>
      <c r="E1360" s="124">
        <f>IFERROR(__xludf.DUMMYFUNCTION("""COMPUTED_VALUE"""),1.0)</f>
        <v>1</v>
      </c>
      <c r="F1360" s="124" t="str">
        <f>IFERROR(__xludf.DUMMYFUNCTION("""COMPUTED_VALUE"""),"Cold")</f>
        <v>Cold</v>
      </c>
      <c r="G1360" s="124" t="str">
        <f>IFERROR(__xludf.DUMMYFUNCTION("""COMPUTED_VALUE"""),"GS Foundation")</f>
        <v>GS Foundation</v>
      </c>
      <c r="K1360" s="124"/>
      <c r="L1360" s="124"/>
      <c r="M1360" s="124"/>
      <c r="N1360" s="124"/>
      <c r="O1360" s="124"/>
      <c r="T1360" s="126">
        <f>IFERROR(__xludf.DUMMYFUNCTION("""COMPUTED_VALUE"""),46073.0)</f>
        <v>46073</v>
      </c>
      <c r="U1360" s="124" t="str">
        <f>IFERROR(__xludf.DUMMYFUNCTION("""COMPUTED_VALUE"""),"Walk-Ins")</f>
        <v>Walk-Ins</v>
      </c>
      <c r="V1360" s="124" t="str">
        <f>IFERROR(__xludf.DUMMYFUNCTION("""COMPUTED_VALUE"""),"Walkin")</f>
        <v>Walkin</v>
      </c>
      <c r="W1360" s="124" t="str">
        <f>IFERROR(__xludf.DUMMYFUNCTION("""COMPUTED_VALUE"""),"Lucknow")</f>
        <v>Lucknow</v>
      </c>
      <c r="X1360" s="124" t="str">
        <f>IFERROR(__xludf.DUMMYFUNCTION("""COMPUTED_VALUE"""),"Walkin")</f>
        <v>Walkin</v>
      </c>
      <c r="Y1360" s="124" t="str">
        <f>IFERROR(__xludf.DUMMYFUNCTION("""COMPUTED_VALUE"""),"Lucknow")</f>
        <v>Lucknow</v>
      </c>
      <c r="Z1360" s="124">
        <f>IFERROR(__xludf.DUMMYFUNCTION("""COMPUTED_VALUE"""),1.0)</f>
        <v>1</v>
      </c>
      <c r="AA1360" s="124" t="str">
        <f>IFERROR(__xludf.DUMMYFUNCTION("""COMPUTED_VALUE"""),"Not Interested")</f>
        <v>Not Interested</v>
      </c>
      <c r="AB1360" s="124" t="str">
        <f>IFERROR(__xludf.DUMMYFUNCTION("""COMPUTED_VALUE"""),"State PCS")</f>
        <v>State PCS</v>
      </c>
    </row>
    <row r="1361">
      <c r="A1361" s="126">
        <f>IFERROR(__xludf.DUMMYFUNCTION("""COMPUTED_VALUE"""),46112.0)</f>
        <v>46112</v>
      </c>
      <c r="B1361" s="124" t="str">
        <f>IFERROR(__xludf.DUMMYFUNCTION("""COMPUTED_VALUE"""),"Walkin")</f>
        <v>Walkin</v>
      </c>
      <c r="C1361" s="124" t="str">
        <f>IFERROR(__xludf.DUMMYFUNCTION("""COMPUTED_VALUE"""),"Delhi")</f>
        <v>Delhi</v>
      </c>
      <c r="D1361" s="124" t="str">
        <f>IFERROR(__xludf.DUMMYFUNCTION("""COMPUTED_VALUE"""),"Primary_Walkin")</f>
        <v>Primary_Walkin</v>
      </c>
      <c r="E1361" s="124">
        <f>IFERROR(__xludf.DUMMYFUNCTION("""COMPUTED_VALUE"""),1.0)</f>
        <v>1</v>
      </c>
      <c r="F1361" s="124" t="str">
        <f>IFERROR(__xludf.DUMMYFUNCTION("""COMPUTED_VALUE"""),"Enrolled")</f>
        <v>Enrolled</v>
      </c>
      <c r="G1361" s="124" t="str">
        <f>IFERROR(__xludf.DUMMYFUNCTION("""COMPUTED_VALUE"""),"GS Foundation")</f>
        <v>GS Foundation</v>
      </c>
      <c r="K1361" s="124"/>
      <c r="L1361" s="124"/>
      <c r="M1361" s="124"/>
      <c r="N1361" s="124"/>
      <c r="O1361" s="124"/>
      <c r="T1361" s="129">
        <f>IFERROR(__xludf.DUMMYFUNCTION("""COMPUTED_VALUE"""),46044.0)</f>
        <v>46044</v>
      </c>
      <c r="U1361" s="124" t="str">
        <f>IFERROR(__xludf.DUMMYFUNCTION("""COMPUTED_VALUE"""),"Walk-Ins")</f>
        <v>Walk-Ins</v>
      </c>
      <c r="V1361" s="124" t="str">
        <f>IFERROR(__xludf.DUMMYFUNCTION("""COMPUTED_VALUE"""),"Walkin")</f>
        <v>Walkin</v>
      </c>
      <c r="W1361" s="124" t="str">
        <f>IFERROR(__xludf.DUMMYFUNCTION("""COMPUTED_VALUE"""),"Lucknow")</f>
        <v>Lucknow</v>
      </c>
      <c r="X1361" s="124" t="str">
        <f>IFERROR(__xludf.DUMMYFUNCTION("""COMPUTED_VALUE"""),"Walkin")</f>
        <v>Walkin</v>
      </c>
      <c r="Y1361" s="124" t="str">
        <f>IFERROR(__xludf.DUMMYFUNCTION("""COMPUTED_VALUE"""),"Lucknow")</f>
        <v>Lucknow</v>
      </c>
      <c r="Z1361" s="124">
        <f>IFERROR(__xludf.DUMMYFUNCTION("""COMPUTED_VALUE"""),1.0)</f>
        <v>1</v>
      </c>
      <c r="AA1361" s="124" t="str">
        <f>IFERROR(__xludf.DUMMYFUNCTION("""COMPUTED_VALUE"""),"Cold")</f>
        <v>Cold</v>
      </c>
      <c r="AB1361" s="124" t="str">
        <f>IFERROR(__xludf.DUMMYFUNCTION("""COMPUTED_VALUE"""),"GS Foundation")</f>
        <v>GS Foundation</v>
      </c>
    </row>
    <row r="1362">
      <c r="A1362" s="126">
        <f>IFERROR(__xludf.DUMMYFUNCTION("""COMPUTED_VALUE"""),46107.0)</f>
        <v>46107</v>
      </c>
      <c r="B1362" s="124" t="str">
        <f>IFERROR(__xludf.DUMMYFUNCTION("""COMPUTED_VALUE"""),"Walk-In")</f>
        <v>Walk-In</v>
      </c>
      <c r="C1362" s="124" t="str">
        <f>IFERROR(__xludf.DUMMYFUNCTION("""COMPUTED_VALUE"""),"Delhi")</f>
        <v>Delhi</v>
      </c>
      <c r="D1362" s="124" t="str">
        <f>IFERROR(__xludf.DUMMYFUNCTION("""COMPUTED_VALUE"""),"Primary_Walkin")</f>
        <v>Primary_Walkin</v>
      </c>
      <c r="E1362" s="124">
        <f>IFERROR(__xludf.DUMMYFUNCTION("""COMPUTED_VALUE"""),1.0)</f>
        <v>1</v>
      </c>
      <c r="F1362" s="124" t="str">
        <f>IFERROR(__xludf.DUMMYFUNCTION("""COMPUTED_VALUE"""),"Enrolled")</f>
        <v>Enrolled</v>
      </c>
      <c r="G1362" s="124" t="str">
        <f>IFERROR(__xludf.DUMMYFUNCTION("""COMPUTED_VALUE"""),"GS Foundation")</f>
        <v>GS Foundation</v>
      </c>
      <c r="K1362" s="124"/>
      <c r="L1362" s="124"/>
      <c r="M1362" s="124"/>
      <c r="N1362" s="124"/>
      <c r="O1362" s="124"/>
      <c r="T1362" s="126">
        <f>IFERROR(__xludf.DUMMYFUNCTION("""COMPUTED_VALUE"""),46112.0)</f>
        <v>46112</v>
      </c>
      <c r="U1362" s="124" t="str">
        <f>IFERROR(__xludf.DUMMYFUNCTION("""COMPUTED_VALUE"""),"Walk-Ins")</f>
        <v>Walk-Ins</v>
      </c>
      <c r="V1362" s="124" t="str">
        <f>IFERROR(__xludf.DUMMYFUNCTION("""COMPUTED_VALUE"""),"Walkin")</f>
        <v>Walkin</v>
      </c>
      <c r="W1362" s="124" t="str">
        <f>IFERROR(__xludf.DUMMYFUNCTION("""COMPUTED_VALUE"""),"Indore")</f>
        <v>Indore</v>
      </c>
      <c r="X1362" s="124" t="str">
        <f>IFERROR(__xludf.DUMMYFUNCTION("""COMPUTED_VALUE"""),"Walkin")</f>
        <v>Walkin</v>
      </c>
      <c r="Y1362" s="124" t="str">
        <f>IFERROR(__xludf.DUMMYFUNCTION("""COMPUTED_VALUE"""),"Indore")</f>
        <v>Indore</v>
      </c>
      <c r="Z1362" s="124">
        <f>IFERROR(__xludf.DUMMYFUNCTION("""COMPUTED_VALUE"""),4.0)</f>
        <v>4</v>
      </c>
      <c r="AA1362" s="124" t="str">
        <f>IFERROR(__xludf.DUMMYFUNCTION("""COMPUTED_VALUE"""),"Warm")</f>
        <v>Warm</v>
      </c>
      <c r="AB1362" s="124" t="str">
        <f>IFERROR(__xludf.DUMMYFUNCTION("""COMPUTED_VALUE"""),"State PCS")</f>
        <v>State PCS</v>
      </c>
    </row>
    <row r="1363">
      <c r="A1363" s="129">
        <f>IFERROR(__xludf.DUMMYFUNCTION("""COMPUTED_VALUE"""),46057.0)</f>
        <v>46057</v>
      </c>
      <c r="B1363" s="124" t="str">
        <f>IFERROR(__xludf.DUMMYFUNCTION("""COMPUTED_VALUE"""),"Walk-In")</f>
        <v>Walk-In</v>
      </c>
      <c r="C1363" s="124" t="str">
        <f>IFERROR(__xludf.DUMMYFUNCTION("""COMPUTED_VALUE"""),"Delhi")</f>
        <v>Delhi</v>
      </c>
      <c r="D1363" s="124" t="str">
        <f>IFERROR(__xludf.DUMMYFUNCTION("""COMPUTED_VALUE"""),"Primary_Walkin")</f>
        <v>Primary_Walkin</v>
      </c>
      <c r="E1363" s="124">
        <f>IFERROR(__xludf.DUMMYFUNCTION("""COMPUTED_VALUE"""),1.0)</f>
        <v>1</v>
      </c>
      <c r="F1363" s="124" t="str">
        <f>IFERROR(__xludf.DUMMYFUNCTION("""COMPUTED_VALUE"""),"Enrolled")</f>
        <v>Enrolled</v>
      </c>
      <c r="G1363" s="124" t="str">
        <f>IFERROR(__xludf.DUMMYFUNCTION("""COMPUTED_VALUE"""),"GS Foundation")</f>
        <v>GS Foundation</v>
      </c>
      <c r="K1363" s="124"/>
      <c r="L1363" s="124"/>
      <c r="M1363" s="124"/>
      <c r="N1363" s="124"/>
      <c r="O1363" s="124"/>
      <c r="T1363" s="126">
        <f>IFERROR(__xludf.DUMMYFUNCTION("""COMPUTED_VALUE"""),46104.0)</f>
        <v>46104</v>
      </c>
      <c r="U1363" s="124" t="str">
        <f>IFERROR(__xludf.DUMMYFUNCTION("""COMPUTED_VALUE"""),"Walk-Ins")</f>
        <v>Walk-Ins</v>
      </c>
      <c r="V1363" s="124" t="str">
        <f>IFERROR(__xludf.DUMMYFUNCTION("""COMPUTED_VALUE"""),"Walkin")</f>
        <v>Walkin</v>
      </c>
      <c r="W1363" s="124" t="str">
        <f>IFERROR(__xludf.DUMMYFUNCTION("""COMPUTED_VALUE"""),"Patna")</f>
        <v>Patna</v>
      </c>
      <c r="X1363" s="124" t="str">
        <f>IFERROR(__xludf.DUMMYFUNCTION("""COMPUTED_VALUE"""),"Walkin")</f>
        <v>Walkin</v>
      </c>
      <c r="Y1363" s="124" t="str">
        <f>IFERROR(__xludf.DUMMYFUNCTION("""COMPUTED_VALUE"""),"Patna")</f>
        <v>Patna</v>
      </c>
      <c r="Z1363" s="124">
        <f>IFERROR(__xludf.DUMMYFUNCTION("""COMPUTED_VALUE"""),3.0)</f>
        <v>3</v>
      </c>
      <c r="AA1363" s="124" t="str">
        <f>IFERROR(__xludf.DUMMYFUNCTION("""COMPUTED_VALUE"""),"Cold")</f>
        <v>Cold</v>
      </c>
      <c r="AB1363" s="124" t="str">
        <f>IFERROR(__xludf.DUMMYFUNCTION("""COMPUTED_VALUE"""),"GS Foundation")</f>
        <v>GS Foundation</v>
      </c>
    </row>
    <row r="1364">
      <c r="A1364" s="126">
        <f>IFERROR(__xludf.DUMMYFUNCTION("""COMPUTED_VALUE"""),46100.0)</f>
        <v>46100</v>
      </c>
      <c r="B1364" s="124" t="str">
        <f>IFERROR(__xludf.DUMMYFUNCTION("""COMPUTED_VALUE"""),"Walk-In")</f>
        <v>Walk-In</v>
      </c>
      <c r="C1364" s="124" t="str">
        <f>IFERROR(__xludf.DUMMYFUNCTION("""COMPUTED_VALUE"""),"Delhi")</f>
        <v>Delhi</v>
      </c>
      <c r="D1364" s="124" t="str">
        <f>IFERROR(__xludf.DUMMYFUNCTION("""COMPUTED_VALUE"""),"Primary_Walkin")</f>
        <v>Primary_Walkin</v>
      </c>
      <c r="E1364" s="124">
        <f>IFERROR(__xludf.DUMMYFUNCTION("""COMPUTED_VALUE"""),4.0)</f>
        <v>4</v>
      </c>
      <c r="F1364" s="124" t="str">
        <f>IFERROR(__xludf.DUMMYFUNCTION("""COMPUTED_VALUE"""),"Future Prospects")</f>
        <v>Future Prospects</v>
      </c>
      <c r="G1364" s="124" t="str">
        <f>IFERROR(__xludf.DUMMYFUNCTION("""COMPUTED_VALUE"""),"GS Foundation")</f>
        <v>GS Foundation</v>
      </c>
      <c r="K1364" s="124"/>
      <c r="L1364" s="124"/>
      <c r="M1364" s="124"/>
      <c r="N1364" s="124"/>
      <c r="O1364" s="124"/>
      <c r="T1364" s="126">
        <f>IFERROR(__xludf.DUMMYFUNCTION("""COMPUTED_VALUE"""),46050.0)</f>
        <v>46050</v>
      </c>
      <c r="U1364" s="124" t="str">
        <f>IFERROR(__xludf.DUMMYFUNCTION("""COMPUTED_VALUE"""),"Walk-Ins")</f>
        <v>Walk-Ins</v>
      </c>
      <c r="V1364" s="124" t="str">
        <f>IFERROR(__xludf.DUMMYFUNCTION("""COMPUTED_VALUE"""),"Walkin")</f>
        <v>Walkin</v>
      </c>
      <c r="W1364" s="124" t="str">
        <f>IFERROR(__xludf.DUMMYFUNCTION("""COMPUTED_VALUE"""),"Prayagraj")</f>
        <v>Prayagraj</v>
      </c>
      <c r="X1364" s="124" t="str">
        <f>IFERROR(__xludf.DUMMYFUNCTION("""COMPUTED_VALUE"""),"Walkin")</f>
        <v>Walkin</v>
      </c>
      <c r="Y1364" s="124" t="str">
        <f>IFERROR(__xludf.DUMMYFUNCTION("""COMPUTED_VALUE"""),"Prayagraj")</f>
        <v>Prayagraj</v>
      </c>
      <c r="Z1364" s="124">
        <f>IFERROR(__xludf.DUMMYFUNCTION("""COMPUTED_VALUE"""),5.0)</f>
        <v>5</v>
      </c>
      <c r="AA1364" s="124" t="str">
        <f>IFERROR(__xludf.DUMMYFUNCTION("""COMPUTED_VALUE"""),"Cold")</f>
        <v>Cold</v>
      </c>
      <c r="AB1364" s="124" t="str">
        <f>IFERROR(__xludf.DUMMYFUNCTION("""COMPUTED_VALUE"""),"GS Foundation")</f>
        <v>GS Foundation</v>
      </c>
    </row>
    <row r="1365">
      <c r="A1365" s="129">
        <f>IFERROR(__xludf.DUMMYFUNCTION("""COMPUTED_VALUE"""),46068.0)</f>
        <v>46068</v>
      </c>
      <c r="B1365" s="124" t="str">
        <f>IFERROR(__xludf.DUMMYFUNCTION("""COMPUTED_VALUE"""),"Walkin")</f>
        <v>Walkin</v>
      </c>
      <c r="C1365" s="124" t="str">
        <f>IFERROR(__xludf.DUMMYFUNCTION("""COMPUTED_VALUE"""),"Delhi")</f>
        <v>Delhi</v>
      </c>
      <c r="D1365" s="124" t="str">
        <f>IFERROR(__xludf.DUMMYFUNCTION("""COMPUTED_VALUE"""),"Primary_Walkin")</f>
        <v>Primary_Walkin</v>
      </c>
      <c r="E1365" s="124">
        <f>IFERROR(__xludf.DUMMYFUNCTION("""COMPUTED_VALUE"""),1.0)</f>
        <v>1</v>
      </c>
      <c r="F1365" s="124" t="str">
        <f>IFERROR(__xludf.DUMMYFUNCTION("""COMPUTED_VALUE"""),"Enrolled")</f>
        <v>Enrolled</v>
      </c>
      <c r="G1365" s="124" t="str">
        <f>IFERROR(__xludf.DUMMYFUNCTION("""COMPUTED_VALUE"""),"GS Foundation")</f>
        <v>GS Foundation</v>
      </c>
      <c r="K1365" s="124"/>
      <c r="L1365" s="124"/>
      <c r="M1365" s="124"/>
      <c r="N1365" s="124"/>
      <c r="O1365" s="124"/>
      <c r="T1365" s="126">
        <f>IFERROR(__xludf.DUMMYFUNCTION("""COMPUTED_VALUE"""),46059.0)</f>
        <v>46059</v>
      </c>
      <c r="U1365" s="124" t="str">
        <f>IFERROR(__xludf.DUMMYFUNCTION("""COMPUTED_VALUE"""),"Walk-Ins")</f>
        <v>Walk-Ins</v>
      </c>
      <c r="V1365" s="124" t="str">
        <f>IFERROR(__xludf.DUMMYFUNCTION("""COMPUTED_VALUE"""),"Walkin")</f>
        <v>Walkin</v>
      </c>
      <c r="W1365" s="124" t="str">
        <f>IFERROR(__xludf.DUMMYFUNCTION("""COMPUTED_VALUE"""),"Patna")</f>
        <v>Patna</v>
      </c>
      <c r="X1365" s="124" t="str">
        <f>IFERROR(__xludf.DUMMYFUNCTION("""COMPUTED_VALUE"""),"Walkin")</f>
        <v>Walkin</v>
      </c>
      <c r="Y1365" s="124" t="str">
        <f>IFERROR(__xludf.DUMMYFUNCTION("""COMPUTED_VALUE"""),"Patna")</f>
        <v>Patna</v>
      </c>
      <c r="Z1365" s="124">
        <f>IFERROR(__xludf.DUMMYFUNCTION("""COMPUTED_VALUE"""),1.0)</f>
        <v>1</v>
      </c>
      <c r="AA1365" s="124" t="str">
        <f>IFERROR(__xludf.DUMMYFUNCTION("""COMPUTED_VALUE"""),"Future Prospects")</f>
        <v>Future Prospects</v>
      </c>
      <c r="AB1365" s="124" t="str">
        <f>IFERROR(__xludf.DUMMYFUNCTION("""COMPUTED_VALUE"""),"GS Foundation")</f>
        <v>GS Foundation</v>
      </c>
    </row>
    <row r="1366">
      <c r="A1366" s="129">
        <f>IFERROR(__xludf.DUMMYFUNCTION("""COMPUTED_VALUE"""),46097.0)</f>
        <v>46097</v>
      </c>
      <c r="B1366" s="124" t="str">
        <f>IFERROR(__xludf.DUMMYFUNCTION("""COMPUTED_VALUE"""),"Walk-In")</f>
        <v>Walk-In</v>
      </c>
      <c r="C1366" s="124" t="str">
        <f>IFERROR(__xludf.DUMMYFUNCTION("""COMPUTED_VALUE"""),"Delhi")</f>
        <v>Delhi</v>
      </c>
      <c r="D1366" s="124" t="str">
        <f>IFERROR(__xludf.DUMMYFUNCTION("""COMPUTED_VALUE"""),"Primary_Walkin")</f>
        <v>Primary_Walkin</v>
      </c>
      <c r="E1366" s="124">
        <f>IFERROR(__xludf.DUMMYFUNCTION("""COMPUTED_VALUE"""),1.0)</f>
        <v>1</v>
      </c>
      <c r="F1366" s="124" t="str">
        <f>IFERROR(__xludf.DUMMYFUNCTION("""COMPUTED_VALUE"""),"Warm")</f>
        <v>Warm</v>
      </c>
      <c r="G1366" s="124" t="str">
        <f>IFERROR(__xludf.DUMMYFUNCTION("""COMPUTED_VALUE"""),"GS Foundation")</f>
        <v>GS Foundation</v>
      </c>
      <c r="K1366" s="124"/>
      <c r="L1366" s="124"/>
      <c r="M1366" s="124"/>
      <c r="N1366" s="124"/>
      <c r="O1366" s="124"/>
      <c r="T1366" s="126">
        <f>IFERROR(__xludf.DUMMYFUNCTION("""COMPUTED_VALUE"""),46105.0)</f>
        <v>46105</v>
      </c>
      <c r="U1366" s="124" t="str">
        <f>IFERROR(__xludf.DUMMYFUNCTION("""COMPUTED_VALUE"""),"Walk-Ins")</f>
        <v>Walk-Ins</v>
      </c>
      <c r="V1366" s="124" t="str">
        <f>IFERROR(__xludf.DUMMYFUNCTION("""COMPUTED_VALUE"""),"Walkin")</f>
        <v>Walkin</v>
      </c>
      <c r="W1366" s="124" t="str">
        <f>IFERROR(__xludf.DUMMYFUNCTION("""COMPUTED_VALUE"""),"Prayagraj")</f>
        <v>Prayagraj</v>
      </c>
      <c r="X1366" s="124" t="str">
        <f>IFERROR(__xludf.DUMMYFUNCTION("""COMPUTED_VALUE"""),"Walkin")</f>
        <v>Walkin</v>
      </c>
      <c r="Y1366" s="124" t="str">
        <f>IFERROR(__xludf.DUMMYFUNCTION("""COMPUTED_VALUE"""),"Prayagraj")</f>
        <v>Prayagraj</v>
      </c>
      <c r="Z1366" s="124">
        <f>IFERROR(__xludf.DUMMYFUNCTION("""COMPUTED_VALUE"""),1.0)</f>
        <v>1</v>
      </c>
      <c r="AA1366" s="124" t="str">
        <f>IFERROR(__xludf.DUMMYFUNCTION("""COMPUTED_VALUE"""),"Future Prospects")</f>
        <v>Future Prospects</v>
      </c>
      <c r="AB1366" s="124" t="str">
        <f>IFERROR(__xludf.DUMMYFUNCTION("""COMPUTED_VALUE"""),"State PCS")</f>
        <v>State PCS</v>
      </c>
    </row>
    <row r="1367">
      <c r="A1367" s="129">
        <f>IFERROR(__xludf.DUMMYFUNCTION("""COMPUTED_VALUE"""),46090.0)</f>
        <v>46090</v>
      </c>
      <c r="B1367" s="124" t="str">
        <f>IFERROR(__xludf.DUMMYFUNCTION("""COMPUTED_VALUE"""),"Walkin")</f>
        <v>Walkin</v>
      </c>
      <c r="C1367" s="124" t="str">
        <f>IFERROR(__xludf.DUMMYFUNCTION("""COMPUTED_VALUE"""),"Delhi")</f>
        <v>Delhi</v>
      </c>
      <c r="D1367" s="124" t="str">
        <f>IFERROR(__xludf.DUMMYFUNCTION("""COMPUTED_VALUE"""),"Primary_Walkin")</f>
        <v>Primary_Walkin</v>
      </c>
      <c r="E1367" s="124">
        <f>IFERROR(__xludf.DUMMYFUNCTION("""COMPUTED_VALUE"""),1.0)</f>
        <v>1</v>
      </c>
      <c r="F1367" s="124" t="str">
        <f>IFERROR(__xludf.DUMMYFUNCTION("""COMPUTED_VALUE"""),"Enrolled")</f>
        <v>Enrolled</v>
      </c>
      <c r="G1367" s="124" t="str">
        <f>IFERROR(__xludf.DUMMYFUNCTION("""COMPUTED_VALUE"""),"GS Foundation")</f>
        <v>GS Foundation</v>
      </c>
      <c r="K1367" s="124"/>
      <c r="L1367" s="124"/>
      <c r="M1367" s="124"/>
      <c r="N1367" s="124"/>
      <c r="O1367" s="124"/>
      <c r="T1367" s="129">
        <f>IFERROR(__xludf.DUMMYFUNCTION("""COMPUTED_VALUE"""),46072.0)</f>
        <v>46072</v>
      </c>
      <c r="U1367" s="124" t="str">
        <f>IFERROR(__xludf.DUMMYFUNCTION("""COMPUTED_VALUE"""),"Walk-Ins")</f>
        <v>Walk-Ins</v>
      </c>
      <c r="V1367" s="124" t="str">
        <f>IFERROR(__xludf.DUMMYFUNCTION("""COMPUTED_VALUE"""),"Walkin")</f>
        <v>Walkin</v>
      </c>
      <c r="W1367" s="124" t="str">
        <f>IFERROR(__xludf.DUMMYFUNCTION("""COMPUTED_VALUE"""),"Prayagraj")</f>
        <v>Prayagraj</v>
      </c>
      <c r="X1367" s="124" t="str">
        <f>IFERROR(__xludf.DUMMYFUNCTION("""COMPUTED_VALUE"""),"Walkin")</f>
        <v>Walkin</v>
      </c>
      <c r="Y1367" s="124" t="str">
        <f>IFERROR(__xludf.DUMMYFUNCTION("""COMPUTED_VALUE"""),"Prayagraj")</f>
        <v>Prayagraj</v>
      </c>
      <c r="Z1367" s="124">
        <f>IFERROR(__xludf.DUMMYFUNCTION("""COMPUTED_VALUE"""),4.0)</f>
        <v>4</v>
      </c>
      <c r="AA1367" s="124" t="str">
        <f>IFERROR(__xludf.DUMMYFUNCTION("""COMPUTED_VALUE"""),"Cold")</f>
        <v>Cold</v>
      </c>
      <c r="AB1367" s="124" t="str">
        <f>IFERROR(__xludf.DUMMYFUNCTION("""COMPUTED_VALUE"""),"GS Foundation")</f>
        <v>GS Foundation</v>
      </c>
    </row>
    <row r="1368">
      <c r="A1368" s="129">
        <f>IFERROR(__xludf.DUMMYFUNCTION("""COMPUTED_VALUE"""),46104.0)</f>
        <v>46104</v>
      </c>
      <c r="B1368" s="124" t="str">
        <f>IFERROR(__xludf.DUMMYFUNCTION("""COMPUTED_VALUE"""),"Walk-In")</f>
        <v>Walk-In</v>
      </c>
      <c r="C1368" s="124" t="str">
        <f>IFERROR(__xludf.DUMMYFUNCTION("""COMPUTED_VALUE"""),"Delhi")</f>
        <v>Delhi</v>
      </c>
      <c r="D1368" s="124" t="str">
        <f>IFERROR(__xludf.DUMMYFUNCTION("""COMPUTED_VALUE"""),"Primary_Walkin")</f>
        <v>Primary_Walkin</v>
      </c>
      <c r="E1368" s="124">
        <f>IFERROR(__xludf.DUMMYFUNCTION("""COMPUTED_VALUE"""),1.0)</f>
        <v>1</v>
      </c>
      <c r="F1368" s="124" t="str">
        <f>IFERROR(__xludf.DUMMYFUNCTION("""COMPUTED_VALUE"""),"Cold")</f>
        <v>Cold</v>
      </c>
      <c r="G1368" s="124" t="str">
        <f>IFERROR(__xludf.DUMMYFUNCTION("""COMPUTED_VALUE"""),"Mentorship")</f>
        <v>Mentorship</v>
      </c>
      <c r="K1368" s="124"/>
      <c r="L1368" s="124"/>
      <c r="M1368" s="124"/>
      <c r="N1368" s="124"/>
      <c r="O1368" s="124"/>
      <c r="T1368" s="126">
        <f>IFERROR(__xludf.DUMMYFUNCTION("""COMPUTED_VALUE"""),46094.0)</f>
        <v>46094</v>
      </c>
      <c r="U1368" s="124" t="str">
        <f>IFERROR(__xludf.DUMMYFUNCTION("""COMPUTED_VALUE"""),"Walk-Ins")</f>
        <v>Walk-Ins</v>
      </c>
      <c r="V1368" s="124" t="str">
        <f>IFERROR(__xludf.DUMMYFUNCTION("""COMPUTED_VALUE"""),"Walkin")</f>
        <v>Walkin</v>
      </c>
      <c r="W1368" s="124" t="str">
        <f>IFERROR(__xludf.DUMMYFUNCTION("""COMPUTED_VALUE"""),"Indore")</f>
        <v>Indore</v>
      </c>
      <c r="X1368" s="124" t="str">
        <f>IFERROR(__xludf.DUMMYFUNCTION("""COMPUTED_VALUE"""),"Walkin")</f>
        <v>Walkin</v>
      </c>
      <c r="Y1368" s="124" t="str">
        <f>IFERROR(__xludf.DUMMYFUNCTION("""COMPUTED_VALUE"""),"Indore")</f>
        <v>Indore</v>
      </c>
      <c r="Z1368" s="124">
        <f>IFERROR(__xludf.DUMMYFUNCTION("""COMPUTED_VALUE"""),1.0)</f>
        <v>1</v>
      </c>
      <c r="AA1368" s="124" t="str">
        <f>IFERROR(__xludf.DUMMYFUNCTION("""COMPUTED_VALUE"""),"Cold")</f>
        <v>Cold</v>
      </c>
      <c r="AB1368" s="124" t="str">
        <f>IFERROR(__xludf.DUMMYFUNCTION("""COMPUTED_VALUE"""),"Other")</f>
        <v>Other</v>
      </c>
    </row>
    <row r="1369">
      <c r="A1369" s="129">
        <f>IFERROR(__xludf.DUMMYFUNCTION("""COMPUTED_VALUE"""),46109.0)</f>
        <v>46109</v>
      </c>
      <c r="B1369" s="124" t="str">
        <f>IFERROR(__xludf.DUMMYFUNCTION("""COMPUTED_VALUE"""),"Walkin")</f>
        <v>Walkin</v>
      </c>
      <c r="C1369" s="124" t="str">
        <f>IFERROR(__xludf.DUMMYFUNCTION("""COMPUTED_VALUE"""),"Delhi")</f>
        <v>Delhi</v>
      </c>
      <c r="D1369" s="124" t="str">
        <f>IFERROR(__xludf.DUMMYFUNCTION("""COMPUTED_VALUE"""),"Primary_Walkin")</f>
        <v>Primary_Walkin</v>
      </c>
      <c r="E1369" s="124">
        <f>IFERROR(__xludf.DUMMYFUNCTION("""COMPUTED_VALUE"""),1.0)</f>
        <v>1</v>
      </c>
      <c r="F1369" s="124" t="str">
        <f>IFERROR(__xludf.DUMMYFUNCTION("""COMPUTED_VALUE"""),"Cold")</f>
        <v>Cold</v>
      </c>
      <c r="G1369" s="124" t="str">
        <f>IFERROR(__xludf.DUMMYFUNCTION("""COMPUTED_VALUE"""),"GS Foundation")</f>
        <v>GS Foundation</v>
      </c>
      <c r="K1369" s="124"/>
      <c r="L1369" s="124"/>
      <c r="M1369" s="124"/>
      <c r="N1369" s="124"/>
      <c r="O1369" s="124"/>
      <c r="T1369" s="129">
        <f>IFERROR(__xludf.DUMMYFUNCTION("""COMPUTED_VALUE"""),46088.0)</f>
        <v>46088</v>
      </c>
      <c r="U1369" s="124" t="str">
        <f>IFERROR(__xludf.DUMMYFUNCTION("""COMPUTED_VALUE"""),"Walk-Ins")</f>
        <v>Walk-Ins</v>
      </c>
      <c r="V1369" s="124" t="str">
        <f>IFERROR(__xludf.DUMMYFUNCTION("""COMPUTED_VALUE"""),"Walkin")</f>
        <v>Walkin</v>
      </c>
      <c r="W1369" s="124" t="str">
        <f>IFERROR(__xludf.DUMMYFUNCTION("""COMPUTED_VALUE"""),"Prayagraj")</f>
        <v>Prayagraj</v>
      </c>
      <c r="X1369" s="124" t="str">
        <f>IFERROR(__xludf.DUMMYFUNCTION("""COMPUTED_VALUE"""),"Walkin")</f>
        <v>Walkin</v>
      </c>
      <c r="Y1369" s="124" t="str">
        <f>IFERROR(__xludf.DUMMYFUNCTION("""COMPUTED_VALUE"""),"Prayagraj")</f>
        <v>Prayagraj</v>
      </c>
      <c r="Z1369" s="124">
        <f>IFERROR(__xludf.DUMMYFUNCTION("""COMPUTED_VALUE"""),1.0)</f>
        <v>1</v>
      </c>
      <c r="AA1369" s="124" t="str">
        <f>IFERROR(__xludf.DUMMYFUNCTION("""COMPUTED_VALUE"""),"Enrolled")</f>
        <v>Enrolled</v>
      </c>
      <c r="AB1369" s="124" t="str">
        <f>IFERROR(__xludf.DUMMYFUNCTION("""COMPUTED_VALUE"""),"Optionals")</f>
        <v>Optionals</v>
      </c>
    </row>
    <row r="1370">
      <c r="A1370" s="126">
        <f>IFERROR(__xludf.DUMMYFUNCTION("""COMPUTED_VALUE"""),46056.0)</f>
        <v>46056</v>
      </c>
      <c r="B1370" s="124" t="str">
        <f>IFERROR(__xludf.DUMMYFUNCTION("""COMPUTED_VALUE"""),"external leads")</f>
        <v>external leads</v>
      </c>
      <c r="C1370" s="124" t="str">
        <f>IFERROR(__xludf.DUMMYFUNCTION("""COMPUTED_VALUE"""),"Delhi")</f>
        <v>Delhi</v>
      </c>
      <c r="D1370" s="124" t="str">
        <f>IFERROR(__xludf.DUMMYFUNCTION("""COMPUTED_VALUE"""),"Secondary_Walkin")</f>
        <v>Secondary_Walkin</v>
      </c>
      <c r="E1370" s="124">
        <f>IFERROR(__xludf.DUMMYFUNCTION("""COMPUTED_VALUE"""),1.0)</f>
        <v>1</v>
      </c>
      <c r="F1370" s="124" t="str">
        <f>IFERROR(__xludf.DUMMYFUNCTION("""COMPUTED_VALUE"""),"Engaged")</f>
        <v>Engaged</v>
      </c>
      <c r="G1370" s="124" t="str">
        <f>IFERROR(__xludf.DUMMYFUNCTION("""COMPUTED_VALUE"""),"GS Foundation")</f>
        <v>GS Foundation</v>
      </c>
      <c r="K1370" s="124"/>
      <c r="L1370" s="124"/>
      <c r="M1370" s="124"/>
      <c r="N1370" s="124"/>
      <c r="O1370" s="124"/>
      <c r="T1370" s="129">
        <f>IFERROR(__xludf.DUMMYFUNCTION("""COMPUTED_VALUE"""),46056.0)</f>
        <v>46056</v>
      </c>
      <c r="U1370" s="124" t="str">
        <f>IFERROR(__xludf.DUMMYFUNCTION("""COMPUTED_VALUE"""),"Walk-Ins")</f>
        <v>Walk-Ins</v>
      </c>
      <c r="V1370" s="124" t="str">
        <f>IFERROR(__xludf.DUMMYFUNCTION("""COMPUTED_VALUE"""),"Walkin")</f>
        <v>Walkin</v>
      </c>
      <c r="W1370" s="124" t="str">
        <f>IFERROR(__xludf.DUMMYFUNCTION("""COMPUTED_VALUE"""),"Indore")</f>
        <v>Indore</v>
      </c>
      <c r="X1370" s="124" t="str">
        <f>IFERROR(__xludf.DUMMYFUNCTION("""COMPUTED_VALUE"""),"Walkin")</f>
        <v>Walkin</v>
      </c>
      <c r="Y1370" s="124" t="str">
        <f>IFERROR(__xludf.DUMMYFUNCTION("""COMPUTED_VALUE"""),"Indore")</f>
        <v>Indore</v>
      </c>
      <c r="Z1370" s="124">
        <f>IFERROR(__xludf.DUMMYFUNCTION("""COMPUTED_VALUE"""),3.0)</f>
        <v>3</v>
      </c>
      <c r="AA1370" s="124" t="str">
        <f>IFERROR(__xludf.DUMMYFUNCTION("""COMPUTED_VALUE"""),"Cold")</f>
        <v>Cold</v>
      </c>
      <c r="AB1370" s="124" t="str">
        <f>IFERROR(__xludf.DUMMYFUNCTION("""COMPUTED_VALUE"""),"State PCS")</f>
        <v>State PCS</v>
      </c>
    </row>
    <row r="1371">
      <c r="A1371" s="126">
        <f>IFERROR(__xludf.DUMMYFUNCTION("""COMPUTED_VALUE"""),46061.0)</f>
        <v>46061</v>
      </c>
      <c r="B1371" s="124" t="str">
        <f>IFERROR(__xludf.DUMMYFUNCTION("""COMPUTED_VALUE"""),"Walkin")</f>
        <v>Walkin</v>
      </c>
      <c r="C1371" s="124" t="str">
        <f>IFERROR(__xludf.DUMMYFUNCTION("""COMPUTED_VALUE"""),"Delhi")</f>
        <v>Delhi</v>
      </c>
      <c r="D1371" s="124" t="str">
        <f>IFERROR(__xludf.DUMMYFUNCTION("""COMPUTED_VALUE"""),"Primary_Walkin")</f>
        <v>Primary_Walkin</v>
      </c>
      <c r="E1371" s="124">
        <f>IFERROR(__xludf.DUMMYFUNCTION("""COMPUTED_VALUE"""),1.0)</f>
        <v>1</v>
      </c>
      <c r="F1371" s="124" t="str">
        <f>IFERROR(__xludf.DUMMYFUNCTION("""COMPUTED_VALUE"""),"Not Interested")</f>
        <v>Not Interested</v>
      </c>
      <c r="G1371" s="124" t="str">
        <f>IFERROR(__xludf.DUMMYFUNCTION("""COMPUTED_VALUE"""),"Hybrid")</f>
        <v>Hybrid</v>
      </c>
      <c r="K1371" s="124"/>
      <c r="L1371" s="124"/>
      <c r="M1371" s="124"/>
      <c r="N1371" s="124"/>
      <c r="O1371" s="124"/>
      <c r="T1371" s="126">
        <f>IFERROR(__xludf.DUMMYFUNCTION("""COMPUTED_VALUE"""),46062.0)</f>
        <v>46062</v>
      </c>
      <c r="U1371" s="124" t="str">
        <f>IFERROR(__xludf.DUMMYFUNCTION("""COMPUTED_VALUE"""),"Walk-Ins")</f>
        <v>Walk-Ins</v>
      </c>
      <c r="V1371" s="124" t="str">
        <f>IFERROR(__xludf.DUMMYFUNCTION("""COMPUTED_VALUE"""),"Walkin")</f>
        <v>Walkin</v>
      </c>
      <c r="W1371" s="124" t="str">
        <f>IFERROR(__xludf.DUMMYFUNCTION("""COMPUTED_VALUE"""),"Patna")</f>
        <v>Patna</v>
      </c>
      <c r="X1371" s="124" t="str">
        <f>IFERROR(__xludf.DUMMYFUNCTION("""COMPUTED_VALUE"""),"Walkin")</f>
        <v>Walkin</v>
      </c>
      <c r="Y1371" s="124" t="str">
        <f>IFERROR(__xludf.DUMMYFUNCTION("""COMPUTED_VALUE"""),"Patna")</f>
        <v>Patna</v>
      </c>
      <c r="Z1371" s="124">
        <f>IFERROR(__xludf.DUMMYFUNCTION("""COMPUTED_VALUE"""),4.0)</f>
        <v>4</v>
      </c>
      <c r="AA1371" s="124" t="str">
        <f>IFERROR(__xludf.DUMMYFUNCTION("""COMPUTED_VALUE"""),"Cold")</f>
        <v>Cold</v>
      </c>
      <c r="AB1371" s="124" t="str">
        <f>IFERROR(__xludf.DUMMYFUNCTION("""COMPUTED_VALUE"""),"State PCS")</f>
        <v>State PCS</v>
      </c>
    </row>
    <row r="1372">
      <c r="A1372" s="126">
        <f>IFERROR(__xludf.DUMMYFUNCTION("""COMPUTED_VALUE"""),46075.0)</f>
        <v>46075</v>
      </c>
      <c r="B1372" s="124" t="str">
        <f>IFERROR(__xludf.DUMMYFUNCTION("""COMPUTED_VALUE"""),"Walkin")</f>
        <v>Walkin</v>
      </c>
      <c r="C1372" s="124" t="str">
        <f>IFERROR(__xludf.DUMMYFUNCTION("""COMPUTED_VALUE"""),"Delhi")</f>
        <v>Delhi</v>
      </c>
      <c r="D1372" s="124" t="str">
        <f>IFERROR(__xludf.DUMMYFUNCTION("""COMPUTED_VALUE"""),"Primary_Walkin")</f>
        <v>Primary_Walkin</v>
      </c>
      <c r="E1372" s="124">
        <f>IFERROR(__xludf.DUMMYFUNCTION("""COMPUTED_VALUE"""),5.0)</f>
        <v>5</v>
      </c>
      <c r="F1372" s="124" t="str">
        <f>IFERROR(__xludf.DUMMYFUNCTION("""COMPUTED_VALUE"""),"Not Interested")</f>
        <v>Not Interested</v>
      </c>
      <c r="G1372" s="124" t="str">
        <f>IFERROR(__xludf.DUMMYFUNCTION("""COMPUTED_VALUE"""),"GS Foundation")</f>
        <v>GS Foundation</v>
      </c>
      <c r="K1372" s="124"/>
      <c r="L1372" s="124"/>
      <c r="M1372" s="124"/>
      <c r="N1372" s="124"/>
      <c r="O1372" s="124"/>
      <c r="T1372" s="126">
        <f>IFERROR(__xludf.DUMMYFUNCTION("""COMPUTED_VALUE"""),46111.0)</f>
        <v>46111</v>
      </c>
      <c r="U1372" s="124" t="str">
        <f>IFERROR(__xludf.DUMMYFUNCTION("""COMPUTED_VALUE"""),"Walk-Ins")</f>
        <v>Walk-Ins</v>
      </c>
      <c r="V1372" s="124" t="str">
        <f>IFERROR(__xludf.DUMMYFUNCTION("""COMPUTED_VALUE"""),"Walkin")</f>
        <v>Walkin</v>
      </c>
      <c r="W1372" s="124" t="str">
        <f>IFERROR(__xludf.DUMMYFUNCTION("""COMPUTED_VALUE"""),"Patna")</f>
        <v>Patna</v>
      </c>
      <c r="X1372" s="124" t="str">
        <f>IFERROR(__xludf.DUMMYFUNCTION("""COMPUTED_VALUE"""),"Walkin")</f>
        <v>Walkin</v>
      </c>
      <c r="Y1372" s="124" t="str">
        <f>IFERROR(__xludf.DUMMYFUNCTION("""COMPUTED_VALUE"""),"Patna")</f>
        <v>Patna</v>
      </c>
      <c r="Z1372" s="124">
        <f>IFERROR(__xludf.DUMMYFUNCTION("""COMPUTED_VALUE"""),1.0)</f>
        <v>1</v>
      </c>
      <c r="AA1372" s="124" t="str">
        <f>IFERROR(__xludf.DUMMYFUNCTION("""COMPUTED_VALUE"""),"Not Interested")</f>
        <v>Not Interested</v>
      </c>
      <c r="AB1372" s="124" t="str">
        <f>IFERROR(__xludf.DUMMYFUNCTION("""COMPUTED_VALUE"""),"State PCS")</f>
        <v>State PCS</v>
      </c>
    </row>
    <row r="1373">
      <c r="A1373" s="126">
        <f>IFERROR(__xludf.DUMMYFUNCTION("""COMPUTED_VALUE"""),46065.0)</f>
        <v>46065</v>
      </c>
      <c r="B1373" s="124" t="str">
        <f>IFERROR(__xludf.DUMMYFUNCTION("""COMPUTED_VALUE"""),"events")</f>
        <v>events</v>
      </c>
      <c r="C1373" s="124" t="str">
        <f>IFERROR(__xludf.DUMMYFUNCTION("""COMPUTED_VALUE"""),"Delhi")</f>
        <v>Delhi</v>
      </c>
      <c r="D1373" s="124" t="str">
        <f>IFERROR(__xludf.DUMMYFUNCTION("""COMPUTED_VALUE"""),"Secondary_Walkin")</f>
        <v>Secondary_Walkin</v>
      </c>
      <c r="E1373" s="124">
        <f>IFERROR(__xludf.DUMMYFUNCTION("""COMPUTED_VALUE"""),1.0)</f>
        <v>1</v>
      </c>
      <c r="F1373" s="124" t="str">
        <f>IFERROR(__xludf.DUMMYFUNCTION("""COMPUTED_VALUE"""),"Enrolled")</f>
        <v>Enrolled</v>
      </c>
      <c r="G1373" s="124" t="str">
        <f>IFERROR(__xludf.DUMMYFUNCTION("""COMPUTED_VALUE"""),"GS Foundation")</f>
        <v>GS Foundation</v>
      </c>
      <c r="K1373" s="124"/>
      <c r="L1373" s="124"/>
      <c r="M1373" s="124"/>
      <c r="N1373" s="124"/>
      <c r="O1373" s="124"/>
      <c r="T1373" s="126">
        <f>IFERROR(__xludf.DUMMYFUNCTION("""COMPUTED_VALUE"""),46069.0)</f>
        <v>46069</v>
      </c>
      <c r="U1373" s="124" t="str">
        <f>IFERROR(__xludf.DUMMYFUNCTION("""COMPUTED_VALUE"""),"Walk-Ins")</f>
        <v>Walk-Ins</v>
      </c>
      <c r="V1373" s="124" t="str">
        <f>IFERROR(__xludf.DUMMYFUNCTION("""COMPUTED_VALUE"""),"Walkin")</f>
        <v>Walkin</v>
      </c>
      <c r="W1373" s="124" t="str">
        <f>IFERROR(__xludf.DUMMYFUNCTION("""COMPUTED_VALUE"""),"Prayagraj")</f>
        <v>Prayagraj</v>
      </c>
      <c r="X1373" s="124" t="str">
        <f>IFERROR(__xludf.DUMMYFUNCTION("""COMPUTED_VALUE"""),"Walkin")</f>
        <v>Walkin</v>
      </c>
      <c r="Y1373" s="124" t="str">
        <f>IFERROR(__xludf.DUMMYFUNCTION("""COMPUTED_VALUE"""),"Prayagraj")</f>
        <v>Prayagraj</v>
      </c>
      <c r="Z1373" s="124">
        <f>IFERROR(__xludf.DUMMYFUNCTION("""COMPUTED_VALUE"""),2.0)</f>
        <v>2</v>
      </c>
      <c r="AA1373" s="124" t="str">
        <f>IFERROR(__xludf.DUMMYFUNCTION("""COMPUTED_VALUE"""),"Future Prospects")</f>
        <v>Future Prospects</v>
      </c>
      <c r="AB1373" s="124" t="str">
        <f>IFERROR(__xludf.DUMMYFUNCTION("""COMPUTED_VALUE"""),"State PCS")</f>
        <v>State PCS</v>
      </c>
    </row>
    <row r="1374">
      <c r="A1374" s="126">
        <f>IFERROR(__xludf.DUMMYFUNCTION("""COMPUTED_VALUE"""),46110.0)</f>
        <v>46110</v>
      </c>
      <c r="B1374" s="124" t="str">
        <f>IFERROR(__xludf.DUMMYFUNCTION("""COMPUTED_VALUE"""),"Walkin")</f>
        <v>Walkin</v>
      </c>
      <c r="C1374" s="124" t="str">
        <f>IFERROR(__xludf.DUMMYFUNCTION("""COMPUTED_VALUE"""),"Delhi")</f>
        <v>Delhi</v>
      </c>
      <c r="D1374" s="124" t="str">
        <f>IFERROR(__xludf.DUMMYFUNCTION("""COMPUTED_VALUE"""),"Primary_Walkin")</f>
        <v>Primary_Walkin</v>
      </c>
      <c r="E1374" s="124">
        <f>IFERROR(__xludf.DUMMYFUNCTION("""COMPUTED_VALUE"""),2.0)</f>
        <v>2</v>
      </c>
      <c r="F1374" s="124" t="str">
        <f>IFERROR(__xludf.DUMMYFUNCTION("""COMPUTED_VALUE"""),"Fake Lead")</f>
        <v>Fake Lead</v>
      </c>
      <c r="G1374" s="124" t="str">
        <f>IFERROR(__xludf.DUMMYFUNCTION("""COMPUTED_VALUE"""),"GS Foundation")</f>
        <v>GS Foundation</v>
      </c>
      <c r="K1374" s="124"/>
      <c r="L1374" s="124"/>
      <c r="M1374" s="124"/>
      <c r="N1374" s="124"/>
      <c r="O1374" s="124"/>
      <c r="T1374" s="129">
        <f>IFERROR(__xludf.DUMMYFUNCTION("""COMPUTED_VALUE"""),46097.0)</f>
        <v>46097</v>
      </c>
      <c r="U1374" s="124" t="str">
        <f>IFERROR(__xludf.DUMMYFUNCTION("""COMPUTED_VALUE"""),"Walk-Ins")</f>
        <v>Walk-Ins</v>
      </c>
      <c r="V1374" s="124" t="str">
        <f>IFERROR(__xludf.DUMMYFUNCTION("""COMPUTED_VALUE"""),"Walkin")</f>
        <v>Walkin</v>
      </c>
      <c r="W1374" s="124" t="str">
        <f>IFERROR(__xludf.DUMMYFUNCTION("""COMPUTED_VALUE"""),"Patna")</f>
        <v>Patna</v>
      </c>
      <c r="X1374" s="124" t="str">
        <f>IFERROR(__xludf.DUMMYFUNCTION("""COMPUTED_VALUE"""),"Walkin")</f>
        <v>Walkin</v>
      </c>
      <c r="Y1374" s="124" t="str">
        <f>IFERROR(__xludf.DUMMYFUNCTION("""COMPUTED_VALUE"""),"Patna")</f>
        <v>Patna</v>
      </c>
      <c r="Z1374" s="124">
        <f>IFERROR(__xludf.DUMMYFUNCTION("""COMPUTED_VALUE"""),1.0)</f>
        <v>1</v>
      </c>
      <c r="AA1374" s="124" t="str">
        <f>IFERROR(__xludf.DUMMYFUNCTION("""COMPUTED_VALUE"""),"Cold")</f>
        <v>Cold</v>
      </c>
      <c r="AB1374" s="124" t="str">
        <f>IFERROR(__xludf.DUMMYFUNCTION("""COMPUTED_VALUE"""),"Mentorship")</f>
        <v>Mentorship</v>
      </c>
    </row>
    <row r="1375">
      <c r="A1375" s="126">
        <f>IFERROR(__xludf.DUMMYFUNCTION("""COMPUTED_VALUE"""),46062.0)</f>
        <v>46062</v>
      </c>
      <c r="B1375" s="124" t="str">
        <f>IFERROR(__xludf.DUMMYFUNCTION("""COMPUTED_VALUE"""),"external leads")</f>
        <v>external leads</v>
      </c>
      <c r="C1375" s="124" t="str">
        <f>IFERROR(__xludf.DUMMYFUNCTION("""COMPUTED_VALUE"""),"Delhi")</f>
        <v>Delhi</v>
      </c>
      <c r="D1375" s="124" t="str">
        <f>IFERROR(__xludf.DUMMYFUNCTION("""COMPUTED_VALUE"""),"Secondary_Walkin")</f>
        <v>Secondary_Walkin</v>
      </c>
      <c r="E1375" s="124">
        <f>IFERROR(__xludf.DUMMYFUNCTION("""COMPUTED_VALUE"""),2.0)</f>
        <v>2</v>
      </c>
      <c r="F1375" s="124" t="str">
        <f>IFERROR(__xludf.DUMMYFUNCTION("""COMPUTED_VALUE"""),"Enrolled")</f>
        <v>Enrolled</v>
      </c>
      <c r="G1375" s="124" t="str">
        <f>IFERROR(__xludf.DUMMYFUNCTION("""COMPUTED_VALUE"""),"GS Foundation")</f>
        <v>GS Foundation</v>
      </c>
      <c r="K1375" s="124"/>
      <c r="L1375" s="124"/>
      <c r="M1375" s="124"/>
      <c r="N1375" s="124"/>
      <c r="O1375" s="124"/>
      <c r="T1375" s="126">
        <f>IFERROR(__xludf.DUMMYFUNCTION("""COMPUTED_VALUE"""),46094.0)</f>
        <v>46094</v>
      </c>
      <c r="U1375" s="124" t="str">
        <f>IFERROR(__xludf.DUMMYFUNCTION("""COMPUTED_VALUE"""),"Walk-Ins")</f>
        <v>Walk-Ins</v>
      </c>
      <c r="V1375" s="124" t="str">
        <f>IFERROR(__xludf.DUMMYFUNCTION("""COMPUTED_VALUE"""),"Walkin")</f>
        <v>Walkin</v>
      </c>
      <c r="W1375" s="124" t="str">
        <f>IFERROR(__xludf.DUMMYFUNCTION("""COMPUTED_VALUE"""),"Prayagraj")</f>
        <v>Prayagraj</v>
      </c>
      <c r="X1375" s="124" t="str">
        <f>IFERROR(__xludf.DUMMYFUNCTION("""COMPUTED_VALUE"""),"Walkin")</f>
        <v>Walkin</v>
      </c>
      <c r="Y1375" s="124" t="str">
        <f>IFERROR(__xludf.DUMMYFUNCTION("""COMPUTED_VALUE"""),"Prayagraj")</f>
        <v>Prayagraj</v>
      </c>
      <c r="Z1375" s="124">
        <f>IFERROR(__xludf.DUMMYFUNCTION("""COMPUTED_VALUE"""),1.0)</f>
        <v>1</v>
      </c>
      <c r="AA1375" s="124" t="str">
        <f>IFERROR(__xludf.DUMMYFUNCTION("""COMPUTED_VALUE"""),"Interested")</f>
        <v>Interested</v>
      </c>
      <c r="AB1375" s="124" t="str">
        <f>IFERROR(__xludf.DUMMYFUNCTION("""COMPUTED_VALUE"""),"Mentorship")</f>
        <v>Mentorship</v>
      </c>
    </row>
    <row r="1376">
      <c r="A1376" s="126">
        <f>IFERROR(__xludf.DUMMYFUNCTION("""COMPUTED_VALUE"""),46098.0)</f>
        <v>46098</v>
      </c>
      <c r="B1376" s="124" t="str">
        <f>IFERROR(__xludf.DUMMYFUNCTION("""COMPUTED_VALUE"""),"Walkin")</f>
        <v>Walkin</v>
      </c>
      <c r="C1376" s="124" t="str">
        <f>IFERROR(__xludf.DUMMYFUNCTION("""COMPUTED_VALUE"""),"Delhi")</f>
        <v>Delhi</v>
      </c>
      <c r="D1376" s="124" t="str">
        <f>IFERROR(__xludf.DUMMYFUNCTION("""COMPUTED_VALUE"""),"Primary_Walkin")</f>
        <v>Primary_Walkin</v>
      </c>
      <c r="E1376" s="124">
        <f>IFERROR(__xludf.DUMMYFUNCTION("""COMPUTED_VALUE"""),1.0)</f>
        <v>1</v>
      </c>
      <c r="F1376" s="124" t="str">
        <f>IFERROR(__xludf.DUMMYFUNCTION("""COMPUTED_VALUE"""),"Warm")</f>
        <v>Warm</v>
      </c>
      <c r="G1376" s="124" t="str">
        <f>IFERROR(__xludf.DUMMYFUNCTION("""COMPUTED_VALUE"""),"Mentorship")</f>
        <v>Mentorship</v>
      </c>
      <c r="K1376" s="124"/>
      <c r="L1376" s="124"/>
      <c r="M1376" s="124"/>
      <c r="N1376" s="124"/>
      <c r="O1376" s="124"/>
      <c r="T1376" s="126">
        <f>IFERROR(__xludf.DUMMYFUNCTION("""COMPUTED_VALUE"""),46087.0)</f>
        <v>46087</v>
      </c>
      <c r="U1376" s="124" t="str">
        <f>IFERROR(__xludf.DUMMYFUNCTION("""COMPUTED_VALUE"""),"Walk-Ins")</f>
        <v>Walk-Ins</v>
      </c>
      <c r="V1376" s="124" t="str">
        <f>IFERROR(__xludf.DUMMYFUNCTION("""COMPUTED_VALUE"""),"Walkin")</f>
        <v>Walkin</v>
      </c>
      <c r="W1376" s="124" t="str">
        <f>IFERROR(__xludf.DUMMYFUNCTION("""COMPUTED_VALUE"""),"Prayagraj")</f>
        <v>Prayagraj</v>
      </c>
      <c r="X1376" s="124" t="str">
        <f>IFERROR(__xludf.DUMMYFUNCTION("""COMPUTED_VALUE"""),"Walkin")</f>
        <v>Walkin</v>
      </c>
      <c r="Y1376" s="124" t="str">
        <f>IFERROR(__xludf.DUMMYFUNCTION("""COMPUTED_VALUE"""),"Prayagraj")</f>
        <v>Prayagraj</v>
      </c>
      <c r="Z1376" s="124">
        <f>IFERROR(__xludf.DUMMYFUNCTION("""COMPUTED_VALUE"""),3.0)</f>
        <v>3</v>
      </c>
      <c r="AA1376" s="124" t="str">
        <f>IFERROR(__xludf.DUMMYFUNCTION("""COMPUTED_VALUE"""),"Cold")</f>
        <v>Cold</v>
      </c>
      <c r="AB1376" s="124" t="str">
        <f>IFERROR(__xludf.DUMMYFUNCTION("""COMPUTED_VALUE"""),"GS Foundation")</f>
        <v>GS Foundation</v>
      </c>
    </row>
    <row r="1377">
      <c r="A1377" s="126">
        <f>IFERROR(__xludf.DUMMYFUNCTION("""COMPUTED_VALUE"""),46077.0)</f>
        <v>46077</v>
      </c>
      <c r="B1377" s="124" t="str">
        <f>IFERROR(__xludf.DUMMYFUNCTION("""COMPUTED_VALUE"""),"Walkin")</f>
        <v>Walkin</v>
      </c>
      <c r="C1377" s="124" t="str">
        <f>IFERROR(__xludf.DUMMYFUNCTION("""COMPUTED_VALUE"""),"Delhi")</f>
        <v>Delhi</v>
      </c>
      <c r="D1377" s="124" t="str">
        <f>IFERROR(__xludf.DUMMYFUNCTION("""COMPUTED_VALUE"""),"Primary_Walkin")</f>
        <v>Primary_Walkin</v>
      </c>
      <c r="E1377" s="124">
        <f>IFERROR(__xludf.DUMMYFUNCTION("""COMPUTED_VALUE"""),5.0)</f>
        <v>5</v>
      </c>
      <c r="F1377" s="124" t="str">
        <f>IFERROR(__xludf.DUMMYFUNCTION("""COMPUTED_VALUE"""),"Cold")</f>
        <v>Cold</v>
      </c>
      <c r="G1377" s="124" t="str">
        <f>IFERROR(__xludf.DUMMYFUNCTION("""COMPUTED_VALUE"""),"GS Foundation")</f>
        <v>GS Foundation</v>
      </c>
      <c r="K1377" s="124"/>
      <c r="L1377" s="124"/>
      <c r="M1377" s="124"/>
      <c r="N1377" s="124"/>
      <c r="O1377" s="124"/>
      <c r="T1377" s="126">
        <f>IFERROR(__xludf.DUMMYFUNCTION("""COMPUTED_VALUE"""),46063.0)</f>
        <v>46063</v>
      </c>
      <c r="U1377" s="124" t="str">
        <f>IFERROR(__xludf.DUMMYFUNCTION("""COMPUTED_VALUE"""),"Walk-Ins")</f>
        <v>Walk-Ins</v>
      </c>
      <c r="V1377" s="124" t="str">
        <f>IFERROR(__xludf.DUMMYFUNCTION("""COMPUTED_VALUE"""),"Walkin")</f>
        <v>Walkin</v>
      </c>
      <c r="W1377" s="124" t="str">
        <f>IFERROR(__xludf.DUMMYFUNCTION("""COMPUTED_VALUE"""),"Indore")</f>
        <v>Indore</v>
      </c>
      <c r="X1377" s="124" t="str">
        <f>IFERROR(__xludf.DUMMYFUNCTION("""COMPUTED_VALUE"""),"Walkin")</f>
        <v>Walkin</v>
      </c>
      <c r="Y1377" s="124" t="str">
        <f>IFERROR(__xludf.DUMMYFUNCTION("""COMPUTED_VALUE"""),"Indore")</f>
        <v>Indore</v>
      </c>
      <c r="Z1377" s="124">
        <f>IFERROR(__xludf.DUMMYFUNCTION("""COMPUTED_VALUE"""),1.0)</f>
        <v>1</v>
      </c>
      <c r="AA1377" s="124" t="str">
        <f>IFERROR(__xludf.DUMMYFUNCTION("""COMPUTED_VALUE"""),"Future Prospects")</f>
        <v>Future Prospects</v>
      </c>
      <c r="AB1377" s="124" t="str">
        <f>IFERROR(__xludf.DUMMYFUNCTION("""COMPUTED_VALUE"""),"GS Foundation")</f>
        <v>GS Foundation</v>
      </c>
    </row>
    <row r="1378">
      <c r="A1378" s="126">
        <f>IFERROR(__xludf.DUMMYFUNCTION("""COMPUTED_VALUE"""),46069.0)</f>
        <v>46069</v>
      </c>
      <c r="B1378" s="124" t="str">
        <f>IFERROR(__xludf.DUMMYFUNCTION("""COMPUTED_VALUE"""),"Walkin")</f>
        <v>Walkin</v>
      </c>
      <c r="C1378" s="124" t="str">
        <f>IFERROR(__xludf.DUMMYFUNCTION("""COMPUTED_VALUE"""),"Delhi")</f>
        <v>Delhi</v>
      </c>
      <c r="D1378" s="124" t="str">
        <f>IFERROR(__xludf.DUMMYFUNCTION("""COMPUTED_VALUE"""),"Primary_Walkin")</f>
        <v>Primary_Walkin</v>
      </c>
      <c r="E1378" s="124">
        <f>IFERROR(__xludf.DUMMYFUNCTION("""COMPUTED_VALUE"""),2.0)</f>
        <v>2</v>
      </c>
      <c r="F1378" s="124" t="str">
        <f>IFERROR(__xludf.DUMMYFUNCTION("""COMPUTED_VALUE"""),"Enrolled")</f>
        <v>Enrolled</v>
      </c>
      <c r="G1378" s="124" t="str">
        <f>IFERROR(__xludf.DUMMYFUNCTION("""COMPUTED_VALUE"""),"GS Foundation")</f>
        <v>GS Foundation</v>
      </c>
      <c r="K1378" s="124"/>
      <c r="L1378" s="124"/>
      <c r="M1378" s="124"/>
      <c r="N1378" s="124"/>
      <c r="O1378" s="124"/>
      <c r="T1378" s="126">
        <f>IFERROR(__xludf.DUMMYFUNCTION("""COMPUTED_VALUE"""),46045.0)</f>
        <v>46045</v>
      </c>
      <c r="U1378" s="124" t="str">
        <f>IFERROR(__xludf.DUMMYFUNCTION("""COMPUTED_VALUE"""),"Walk-Ins")</f>
        <v>Walk-Ins</v>
      </c>
      <c r="V1378" s="124" t="str">
        <f>IFERROR(__xludf.DUMMYFUNCTION("""COMPUTED_VALUE"""),"Walkin")</f>
        <v>Walkin</v>
      </c>
      <c r="W1378" s="124" t="str">
        <f>IFERROR(__xludf.DUMMYFUNCTION("""COMPUTED_VALUE"""),"Prayagraj")</f>
        <v>Prayagraj</v>
      </c>
      <c r="X1378" s="124" t="str">
        <f>IFERROR(__xludf.DUMMYFUNCTION("""COMPUTED_VALUE"""),"Walkin")</f>
        <v>Walkin</v>
      </c>
      <c r="Y1378" s="124" t="str">
        <f>IFERROR(__xludf.DUMMYFUNCTION("""COMPUTED_VALUE"""),"Prayagraj")</f>
        <v>Prayagraj</v>
      </c>
      <c r="Z1378" s="124">
        <f>IFERROR(__xludf.DUMMYFUNCTION("""COMPUTED_VALUE"""),1.0)</f>
        <v>1</v>
      </c>
      <c r="AA1378" s="124" t="str">
        <f>IFERROR(__xludf.DUMMYFUNCTION("""COMPUTED_VALUE"""),"Fake Lead")</f>
        <v>Fake Lead</v>
      </c>
      <c r="AB1378" s="124" t="str">
        <f>IFERROR(__xludf.DUMMYFUNCTION("""COMPUTED_VALUE"""),"GS Foundation")</f>
        <v>GS Foundation</v>
      </c>
    </row>
    <row r="1379">
      <c r="A1379" s="129">
        <f>IFERROR(__xludf.DUMMYFUNCTION("""COMPUTED_VALUE"""),46097.0)</f>
        <v>46097</v>
      </c>
      <c r="B1379" s="124" t="str">
        <f>IFERROR(__xludf.DUMMYFUNCTION("""COMPUTED_VALUE"""),"Walkin")</f>
        <v>Walkin</v>
      </c>
      <c r="C1379" s="124" t="str">
        <f>IFERROR(__xludf.DUMMYFUNCTION("""COMPUTED_VALUE"""),"Delhi")</f>
        <v>Delhi</v>
      </c>
      <c r="D1379" s="124" t="str">
        <f>IFERROR(__xludf.DUMMYFUNCTION("""COMPUTED_VALUE"""),"Primary_Walkin")</f>
        <v>Primary_Walkin</v>
      </c>
      <c r="E1379" s="124">
        <f>IFERROR(__xludf.DUMMYFUNCTION("""COMPUTED_VALUE"""),1.0)</f>
        <v>1</v>
      </c>
      <c r="F1379" s="124" t="str">
        <f>IFERROR(__xludf.DUMMYFUNCTION("""COMPUTED_VALUE"""),"Enrolled")</f>
        <v>Enrolled</v>
      </c>
      <c r="G1379" s="124" t="str">
        <f>IFERROR(__xludf.DUMMYFUNCTION("""COMPUTED_VALUE"""),"Optionals")</f>
        <v>Optionals</v>
      </c>
      <c r="K1379" s="124"/>
      <c r="L1379" s="124"/>
      <c r="M1379" s="124"/>
      <c r="N1379" s="124"/>
      <c r="O1379" s="124"/>
      <c r="T1379" s="126">
        <f>IFERROR(__xludf.DUMMYFUNCTION("""COMPUTED_VALUE"""),46046.0)</f>
        <v>46046</v>
      </c>
      <c r="U1379" s="124" t="str">
        <f>IFERROR(__xludf.DUMMYFUNCTION("""COMPUTED_VALUE"""),"Walk-Ins")</f>
        <v>Walk-Ins</v>
      </c>
      <c r="V1379" s="124" t="str">
        <f>IFERROR(__xludf.DUMMYFUNCTION("""COMPUTED_VALUE"""),"Walkin")</f>
        <v>Walkin</v>
      </c>
      <c r="W1379" s="124" t="str">
        <f>IFERROR(__xludf.DUMMYFUNCTION("""COMPUTED_VALUE"""),"Patna")</f>
        <v>Patna</v>
      </c>
      <c r="X1379" s="124" t="str">
        <f>IFERROR(__xludf.DUMMYFUNCTION("""COMPUTED_VALUE"""),"Walkin")</f>
        <v>Walkin</v>
      </c>
      <c r="Y1379" s="124" t="str">
        <f>IFERROR(__xludf.DUMMYFUNCTION("""COMPUTED_VALUE"""),"Patna")</f>
        <v>Patna</v>
      </c>
      <c r="Z1379" s="124">
        <f>IFERROR(__xludf.DUMMYFUNCTION("""COMPUTED_VALUE"""),1.0)</f>
        <v>1</v>
      </c>
      <c r="AA1379" s="124" t="str">
        <f>IFERROR(__xludf.DUMMYFUNCTION("""COMPUTED_VALUE"""),"Not Interested")</f>
        <v>Not Interested</v>
      </c>
      <c r="AB1379" s="124" t="str">
        <f>IFERROR(__xludf.DUMMYFUNCTION("""COMPUTED_VALUE"""),"State PCS")</f>
        <v>State PCS</v>
      </c>
    </row>
    <row r="1380">
      <c r="A1380" s="126">
        <f>IFERROR(__xludf.DUMMYFUNCTION("""COMPUTED_VALUE"""),46055.0)</f>
        <v>46055</v>
      </c>
      <c r="B1380" s="124" t="str">
        <f>IFERROR(__xludf.DUMMYFUNCTION("""COMPUTED_VALUE"""),"Walkin")</f>
        <v>Walkin</v>
      </c>
      <c r="C1380" s="124" t="str">
        <f>IFERROR(__xludf.DUMMYFUNCTION("""COMPUTED_VALUE"""),"Delhi")</f>
        <v>Delhi</v>
      </c>
      <c r="D1380" s="124" t="str">
        <f>IFERROR(__xludf.DUMMYFUNCTION("""COMPUTED_VALUE"""),"Primary_Walkin")</f>
        <v>Primary_Walkin</v>
      </c>
      <c r="E1380" s="124">
        <f>IFERROR(__xludf.DUMMYFUNCTION("""COMPUTED_VALUE"""),1.0)</f>
        <v>1</v>
      </c>
      <c r="F1380" s="124" t="str">
        <f>IFERROR(__xludf.DUMMYFUNCTION("""COMPUTED_VALUE"""),"Cold")</f>
        <v>Cold</v>
      </c>
      <c r="G1380" s="124" t="str">
        <f>IFERROR(__xludf.DUMMYFUNCTION("""COMPUTED_VALUE"""),"GS Foundation")</f>
        <v>GS Foundation</v>
      </c>
      <c r="K1380" s="124"/>
      <c r="L1380" s="124"/>
      <c r="M1380" s="124"/>
      <c r="N1380" s="124"/>
      <c r="O1380" s="124"/>
      <c r="T1380" s="129">
        <f>IFERROR(__xludf.DUMMYFUNCTION("""COMPUTED_VALUE"""),46092.0)</f>
        <v>46092</v>
      </c>
      <c r="U1380" s="124" t="str">
        <f>IFERROR(__xludf.DUMMYFUNCTION("""COMPUTED_VALUE"""),"Walk-Ins")</f>
        <v>Walk-Ins</v>
      </c>
      <c r="V1380" s="124" t="str">
        <f>IFERROR(__xludf.DUMMYFUNCTION("""COMPUTED_VALUE"""),"Walkin")</f>
        <v>Walkin</v>
      </c>
      <c r="W1380" s="124" t="str">
        <f>IFERROR(__xludf.DUMMYFUNCTION("""COMPUTED_VALUE"""),"Indore")</f>
        <v>Indore</v>
      </c>
      <c r="X1380" s="124" t="str">
        <f>IFERROR(__xludf.DUMMYFUNCTION("""COMPUTED_VALUE"""),"Walkin")</f>
        <v>Walkin</v>
      </c>
      <c r="Y1380" s="124" t="str">
        <f>IFERROR(__xludf.DUMMYFUNCTION("""COMPUTED_VALUE"""),"Indore")</f>
        <v>Indore</v>
      </c>
      <c r="Z1380" s="124">
        <f>IFERROR(__xludf.DUMMYFUNCTION("""COMPUTED_VALUE"""),2.0)</f>
        <v>2</v>
      </c>
      <c r="AA1380" s="124" t="str">
        <f>IFERROR(__xludf.DUMMYFUNCTION("""COMPUTED_VALUE"""),"Not Interested")</f>
        <v>Not Interested</v>
      </c>
      <c r="AB1380" s="124" t="str">
        <f>IFERROR(__xludf.DUMMYFUNCTION("""COMPUTED_VALUE"""),"State PCS")</f>
        <v>State PCS</v>
      </c>
    </row>
    <row r="1381">
      <c r="A1381" s="126">
        <f>IFERROR(__xludf.DUMMYFUNCTION("""COMPUTED_VALUE"""),46112.0)</f>
        <v>46112</v>
      </c>
      <c r="B1381" s="124" t="str">
        <f>IFERROR(__xludf.DUMMYFUNCTION("""COMPUTED_VALUE"""),"Events")</f>
        <v>Events</v>
      </c>
      <c r="C1381" s="124" t="str">
        <f>IFERROR(__xludf.DUMMYFUNCTION("""COMPUTED_VALUE"""),"Delhi")</f>
        <v>Delhi</v>
      </c>
      <c r="D1381" s="124" t="str">
        <f>IFERROR(__xludf.DUMMYFUNCTION("""COMPUTED_VALUE"""),"Secondary_Walkin")</f>
        <v>Secondary_Walkin</v>
      </c>
      <c r="E1381" s="124">
        <f>IFERROR(__xludf.DUMMYFUNCTION("""COMPUTED_VALUE"""),1.0)</f>
        <v>1</v>
      </c>
      <c r="F1381" s="124" t="str">
        <f>IFERROR(__xludf.DUMMYFUNCTION("""COMPUTED_VALUE"""),"Interested")</f>
        <v>Interested</v>
      </c>
      <c r="G1381" s="124" t="str">
        <f>IFERROR(__xludf.DUMMYFUNCTION("""COMPUTED_VALUE"""),"GS Foundation")</f>
        <v>GS Foundation</v>
      </c>
      <c r="K1381" s="124"/>
      <c r="L1381" s="124"/>
      <c r="M1381" s="124"/>
      <c r="N1381" s="124"/>
      <c r="O1381" s="124"/>
      <c r="T1381" s="126">
        <f>IFERROR(__xludf.DUMMYFUNCTION("""COMPUTED_VALUE"""),46043.0)</f>
        <v>46043</v>
      </c>
      <c r="U1381" s="124" t="str">
        <f>IFERROR(__xludf.DUMMYFUNCTION("""COMPUTED_VALUE"""),"Walk-Ins")</f>
        <v>Walk-Ins</v>
      </c>
      <c r="V1381" s="124" t="str">
        <f>IFERROR(__xludf.DUMMYFUNCTION("""COMPUTED_VALUE"""),"Walkin")</f>
        <v>Walkin</v>
      </c>
      <c r="W1381" s="124" t="str">
        <f>IFERROR(__xludf.DUMMYFUNCTION("""COMPUTED_VALUE"""),"Prayagraj")</f>
        <v>Prayagraj</v>
      </c>
      <c r="X1381" s="124" t="str">
        <f>IFERROR(__xludf.DUMMYFUNCTION("""COMPUTED_VALUE"""),"Walkin")</f>
        <v>Walkin</v>
      </c>
      <c r="Y1381" s="124" t="str">
        <f>IFERROR(__xludf.DUMMYFUNCTION("""COMPUTED_VALUE"""),"Prayagraj")</f>
        <v>Prayagraj</v>
      </c>
      <c r="Z1381" s="124">
        <f>IFERROR(__xludf.DUMMYFUNCTION("""COMPUTED_VALUE"""),3.0)</f>
        <v>3</v>
      </c>
      <c r="AA1381" s="124" t="str">
        <f>IFERROR(__xludf.DUMMYFUNCTION("""COMPUTED_VALUE"""),"Cold")</f>
        <v>Cold</v>
      </c>
      <c r="AB1381" s="124" t="str">
        <f>IFERROR(__xludf.DUMMYFUNCTION("""COMPUTED_VALUE"""),"GS Foundation")</f>
        <v>GS Foundation</v>
      </c>
    </row>
    <row r="1382">
      <c r="A1382" s="129">
        <f>IFERROR(__xludf.DUMMYFUNCTION("""COMPUTED_VALUE"""),46052.0)</f>
        <v>46052</v>
      </c>
      <c r="B1382" s="124" t="str">
        <f>IFERROR(__xludf.DUMMYFUNCTION("""COMPUTED_VALUE"""),"external leads")</f>
        <v>external leads</v>
      </c>
      <c r="C1382" s="124" t="str">
        <f>IFERROR(__xludf.DUMMYFUNCTION("""COMPUTED_VALUE"""),"Delhi")</f>
        <v>Delhi</v>
      </c>
      <c r="D1382" s="124" t="str">
        <f>IFERROR(__xludf.DUMMYFUNCTION("""COMPUTED_VALUE"""),"Secondary_Walkin")</f>
        <v>Secondary_Walkin</v>
      </c>
      <c r="E1382" s="124">
        <f>IFERROR(__xludf.DUMMYFUNCTION("""COMPUTED_VALUE"""),1.0)</f>
        <v>1</v>
      </c>
      <c r="F1382" s="124" t="str">
        <f>IFERROR(__xludf.DUMMYFUNCTION("""COMPUTED_VALUE"""),"Future Prospects")</f>
        <v>Future Prospects</v>
      </c>
      <c r="G1382" s="124" t="str">
        <f>IFERROR(__xludf.DUMMYFUNCTION("""COMPUTED_VALUE"""),"GS Foundation")</f>
        <v>GS Foundation</v>
      </c>
      <c r="K1382" s="124"/>
      <c r="L1382" s="124"/>
      <c r="M1382" s="124"/>
      <c r="N1382" s="124"/>
      <c r="O1382" s="124"/>
      <c r="T1382" s="129">
        <f>IFERROR(__xludf.DUMMYFUNCTION("""COMPUTED_VALUE"""),46062.0)</f>
        <v>46062</v>
      </c>
      <c r="U1382" s="124" t="str">
        <f>IFERROR(__xludf.DUMMYFUNCTION("""COMPUTED_VALUE"""),"Walk-Ins")</f>
        <v>Walk-Ins</v>
      </c>
      <c r="V1382" s="124" t="str">
        <f>IFERROR(__xludf.DUMMYFUNCTION("""COMPUTED_VALUE"""),"Walkin")</f>
        <v>Walkin</v>
      </c>
      <c r="W1382" s="124" t="str">
        <f>IFERROR(__xludf.DUMMYFUNCTION("""COMPUTED_VALUE"""),"Indore")</f>
        <v>Indore</v>
      </c>
      <c r="X1382" s="124" t="str">
        <f>IFERROR(__xludf.DUMMYFUNCTION("""COMPUTED_VALUE"""),"Walkin")</f>
        <v>Walkin</v>
      </c>
      <c r="Y1382" s="124" t="str">
        <f>IFERROR(__xludf.DUMMYFUNCTION("""COMPUTED_VALUE"""),"Indore")</f>
        <v>Indore</v>
      </c>
      <c r="Z1382" s="124">
        <f>IFERROR(__xludf.DUMMYFUNCTION("""COMPUTED_VALUE"""),1.0)</f>
        <v>1</v>
      </c>
      <c r="AA1382" s="124" t="str">
        <f>IFERROR(__xludf.DUMMYFUNCTION("""COMPUTED_VALUE"""),"Cold")</f>
        <v>Cold</v>
      </c>
      <c r="AB1382" s="124" t="str">
        <f>IFERROR(__xludf.DUMMYFUNCTION("""COMPUTED_VALUE"""),"Other")</f>
        <v>Other</v>
      </c>
    </row>
    <row r="1383">
      <c r="A1383" s="126">
        <f>IFERROR(__xludf.DUMMYFUNCTION("""COMPUTED_VALUE"""),46063.0)</f>
        <v>46063</v>
      </c>
      <c r="B1383" s="124" t="str">
        <f>IFERROR(__xludf.DUMMYFUNCTION("""COMPUTED_VALUE"""),"Walkin")</f>
        <v>Walkin</v>
      </c>
      <c r="C1383" s="124" t="str">
        <f>IFERROR(__xludf.DUMMYFUNCTION("""COMPUTED_VALUE"""),"Delhi")</f>
        <v>Delhi</v>
      </c>
      <c r="D1383" s="124" t="str">
        <f>IFERROR(__xludf.DUMMYFUNCTION("""COMPUTED_VALUE"""),"Primary_Walkin")</f>
        <v>Primary_Walkin</v>
      </c>
      <c r="E1383" s="124">
        <f>IFERROR(__xludf.DUMMYFUNCTION("""COMPUTED_VALUE"""),2.0)</f>
        <v>2</v>
      </c>
      <c r="F1383" s="124" t="str">
        <f>IFERROR(__xludf.DUMMYFUNCTION("""COMPUTED_VALUE"""),"Cold")</f>
        <v>Cold</v>
      </c>
      <c r="G1383" s="124" t="str">
        <f>IFERROR(__xludf.DUMMYFUNCTION("""COMPUTED_VALUE"""),"GS Foundation")</f>
        <v>GS Foundation</v>
      </c>
      <c r="K1383" s="124"/>
      <c r="L1383" s="124"/>
      <c r="M1383" s="124"/>
      <c r="N1383" s="124"/>
      <c r="O1383" s="124"/>
      <c r="T1383" s="126">
        <f>IFERROR(__xludf.DUMMYFUNCTION("""COMPUTED_VALUE"""),46074.0)</f>
        <v>46074</v>
      </c>
      <c r="U1383" s="124" t="str">
        <f>IFERROR(__xludf.DUMMYFUNCTION("""COMPUTED_VALUE"""),"Walk-Ins")</f>
        <v>Walk-Ins</v>
      </c>
      <c r="V1383" s="124" t="str">
        <f>IFERROR(__xludf.DUMMYFUNCTION("""COMPUTED_VALUE"""),"Walkin")</f>
        <v>Walkin</v>
      </c>
      <c r="W1383" s="124" t="str">
        <f>IFERROR(__xludf.DUMMYFUNCTION("""COMPUTED_VALUE"""),"Patna")</f>
        <v>Patna</v>
      </c>
      <c r="X1383" s="124" t="str">
        <f>IFERROR(__xludf.DUMMYFUNCTION("""COMPUTED_VALUE"""),"Walkin")</f>
        <v>Walkin</v>
      </c>
      <c r="Y1383" s="124" t="str">
        <f>IFERROR(__xludf.DUMMYFUNCTION("""COMPUTED_VALUE"""),"Patna")</f>
        <v>Patna</v>
      </c>
      <c r="Z1383" s="124">
        <f>IFERROR(__xludf.DUMMYFUNCTION("""COMPUTED_VALUE"""),2.0)</f>
        <v>2</v>
      </c>
      <c r="AA1383" s="124" t="str">
        <f>IFERROR(__xludf.DUMMYFUNCTION("""COMPUTED_VALUE"""),"Cold")</f>
        <v>Cold</v>
      </c>
      <c r="AB1383" s="124" t="str">
        <f>IFERROR(__xludf.DUMMYFUNCTION("""COMPUTED_VALUE"""),"GS Foundation")</f>
        <v>GS Foundation</v>
      </c>
    </row>
    <row r="1384">
      <c r="A1384" s="129">
        <f>IFERROR(__xludf.DUMMYFUNCTION("""COMPUTED_VALUE"""),46071.0)</f>
        <v>46071</v>
      </c>
      <c r="B1384" s="124" t="str">
        <f>IFERROR(__xludf.DUMMYFUNCTION("""COMPUTED_VALUE"""),"Walkin")</f>
        <v>Walkin</v>
      </c>
      <c r="C1384" s="124" t="str">
        <f>IFERROR(__xludf.DUMMYFUNCTION("""COMPUTED_VALUE"""),"Delhi")</f>
        <v>Delhi</v>
      </c>
      <c r="D1384" s="124" t="str">
        <f>IFERROR(__xludf.DUMMYFUNCTION("""COMPUTED_VALUE"""),"Primary_Walkin")</f>
        <v>Primary_Walkin</v>
      </c>
      <c r="E1384" s="124">
        <f>IFERROR(__xludf.DUMMYFUNCTION("""COMPUTED_VALUE"""),3.0)</f>
        <v>3</v>
      </c>
      <c r="F1384" s="124" t="str">
        <f>IFERROR(__xludf.DUMMYFUNCTION("""COMPUTED_VALUE"""),"Future Prospects")</f>
        <v>Future Prospects</v>
      </c>
      <c r="G1384" s="124" t="str">
        <f>IFERROR(__xludf.DUMMYFUNCTION("""COMPUTED_VALUE"""),"GS Foundation")</f>
        <v>GS Foundation</v>
      </c>
      <c r="K1384" s="124"/>
      <c r="L1384" s="124"/>
      <c r="M1384" s="124"/>
      <c r="N1384" s="124"/>
      <c r="O1384" s="124"/>
      <c r="T1384" s="126">
        <f>IFERROR(__xludf.DUMMYFUNCTION("""COMPUTED_VALUE"""),46056.0)</f>
        <v>46056</v>
      </c>
      <c r="U1384" s="124" t="str">
        <f>IFERROR(__xludf.DUMMYFUNCTION("""COMPUTED_VALUE"""),"Walk-Ins")</f>
        <v>Walk-Ins</v>
      </c>
      <c r="V1384" s="124" t="str">
        <f>IFERROR(__xludf.DUMMYFUNCTION("""COMPUTED_VALUE"""),"Walkin")</f>
        <v>Walkin</v>
      </c>
      <c r="W1384" s="124" t="str">
        <f>IFERROR(__xludf.DUMMYFUNCTION("""COMPUTED_VALUE"""),"Indore")</f>
        <v>Indore</v>
      </c>
      <c r="X1384" s="124" t="str">
        <f>IFERROR(__xludf.DUMMYFUNCTION("""COMPUTED_VALUE"""),"Walkin")</f>
        <v>Walkin</v>
      </c>
      <c r="Y1384" s="124" t="str">
        <f>IFERROR(__xludf.DUMMYFUNCTION("""COMPUTED_VALUE"""),"Indore")</f>
        <v>Indore</v>
      </c>
      <c r="Z1384" s="124">
        <f>IFERROR(__xludf.DUMMYFUNCTION("""COMPUTED_VALUE"""),1.0)</f>
        <v>1</v>
      </c>
      <c r="AA1384" s="124" t="str">
        <f>IFERROR(__xludf.DUMMYFUNCTION("""COMPUTED_VALUE"""),"Future Prospects")</f>
        <v>Future Prospects</v>
      </c>
      <c r="AB1384" s="124" t="str">
        <f>IFERROR(__xludf.DUMMYFUNCTION("""COMPUTED_VALUE"""),"State PCS")</f>
        <v>State PCS</v>
      </c>
    </row>
    <row r="1385">
      <c r="A1385" s="126">
        <f>IFERROR(__xludf.DUMMYFUNCTION("""COMPUTED_VALUE"""),46101.0)</f>
        <v>46101</v>
      </c>
      <c r="B1385" s="124" t="str">
        <f>IFERROR(__xludf.DUMMYFUNCTION("""COMPUTED_VALUE"""),"Walkin")</f>
        <v>Walkin</v>
      </c>
      <c r="C1385" s="124" t="str">
        <f>IFERROR(__xludf.DUMMYFUNCTION("""COMPUTED_VALUE"""),"Delhi")</f>
        <v>Delhi</v>
      </c>
      <c r="D1385" s="124" t="str">
        <f>IFERROR(__xludf.DUMMYFUNCTION("""COMPUTED_VALUE"""),"Primary_Walkin")</f>
        <v>Primary_Walkin</v>
      </c>
      <c r="E1385" s="124">
        <f>IFERROR(__xludf.DUMMYFUNCTION("""COMPUTED_VALUE"""),1.0)</f>
        <v>1</v>
      </c>
      <c r="F1385" s="124" t="str">
        <f>IFERROR(__xludf.DUMMYFUNCTION("""COMPUTED_VALUE"""),"Future Prospects")</f>
        <v>Future Prospects</v>
      </c>
      <c r="G1385" s="124" t="str">
        <f>IFERROR(__xludf.DUMMYFUNCTION("""COMPUTED_VALUE"""),"GS Foundation")</f>
        <v>GS Foundation</v>
      </c>
      <c r="K1385" s="124"/>
      <c r="L1385" s="124"/>
      <c r="M1385" s="124"/>
      <c r="N1385" s="124"/>
      <c r="O1385" s="124"/>
      <c r="T1385" s="126">
        <f>IFERROR(__xludf.DUMMYFUNCTION("""COMPUTED_VALUE"""),46090.0)</f>
        <v>46090</v>
      </c>
      <c r="U1385" s="124" t="str">
        <f>IFERROR(__xludf.DUMMYFUNCTION("""COMPUTED_VALUE"""),"Walk-Ins")</f>
        <v>Walk-Ins</v>
      </c>
      <c r="V1385" s="124" t="str">
        <f>IFERROR(__xludf.DUMMYFUNCTION("""COMPUTED_VALUE"""),"Walkin")</f>
        <v>Walkin</v>
      </c>
      <c r="W1385" s="124" t="str">
        <f>IFERROR(__xludf.DUMMYFUNCTION("""COMPUTED_VALUE"""),"Patna")</f>
        <v>Patna</v>
      </c>
      <c r="X1385" s="124" t="str">
        <f>IFERROR(__xludf.DUMMYFUNCTION("""COMPUTED_VALUE"""),"Walkin")</f>
        <v>Walkin</v>
      </c>
      <c r="Y1385" s="124" t="str">
        <f>IFERROR(__xludf.DUMMYFUNCTION("""COMPUTED_VALUE"""),"Patna")</f>
        <v>Patna</v>
      </c>
      <c r="Z1385" s="124">
        <f>IFERROR(__xludf.DUMMYFUNCTION("""COMPUTED_VALUE"""),4.0)</f>
        <v>4</v>
      </c>
      <c r="AA1385" s="124" t="str">
        <f>IFERROR(__xludf.DUMMYFUNCTION("""COMPUTED_VALUE"""),"Warm")</f>
        <v>Warm</v>
      </c>
      <c r="AB1385" s="124" t="str">
        <f>IFERROR(__xludf.DUMMYFUNCTION("""COMPUTED_VALUE"""),"State PCS")</f>
        <v>State PCS</v>
      </c>
    </row>
    <row r="1386">
      <c r="A1386" s="126">
        <f>IFERROR(__xludf.DUMMYFUNCTION("""COMPUTED_VALUE"""),46083.0)</f>
        <v>46083</v>
      </c>
      <c r="B1386" s="124" t="str">
        <f>IFERROR(__xludf.DUMMYFUNCTION("""COMPUTED_VALUE"""),"Walkin")</f>
        <v>Walkin</v>
      </c>
      <c r="C1386" s="124" t="str">
        <f>IFERROR(__xludf.DUMMYFUNCTION("""COMPUTED_VALUE"""),"Delhi")</f>
        <v>Delhi</v>
      </c>
      <c r="D1386" s="124" t="str">
        <f>IFERROR(__xludf.DUMMYFUNCTION("""COMPUTED_VALUE"""),"Primary_Walkin")</f>
        <v>Primary_Walkin</v>
      </c>
      <c r="E1386" s="124">
        <f>IFERROR(__xludf.DUMMYFUNCTION("""COMPUTED_VALUE"""),1.0)</f>
        <v>1</v>
      </c>
      <c r="F1386" s="124" t="str">
        <f>IFERROR(__xludf.DUMMYFUNCTION("""COMPUTED_VALUE"""),"Not Interested")</f>
        <v>Not Interested</v>
      </c>
      <c r="G1386" s="124" t="str">
        <f>IFERROR(__xludf.DUMMYFUNCTION("""COMPUTED_VALUE"""),"SIP Offline")</f>
        <v>SIP Offline</v>
      </c>
      <c r="K1386" s="124"/>
      <c r="L1386" s="124"/>
      <c r="M1386" s="124"/>
      <c r="N1386" s="124"/>
      <c r="O1386" s="124"/>
      <c r="T1386" s="126">
        <f>IFERROR(__xludf.DUMMYFUNCTION("""COMPUTED_VALUE"""),46043.0)</f>
        <v>46043</v>
      </c>
      <c r="U1386" s="124" t="str">
        <f>IFERROR(__xludf.DUMMYFUNCTION("""COMPUTED_VALUE"""),"Walk-Ins")</f>
        <v>Walk-Ins</v>
      </c>
      <c r="V1386" s="124" t="str">
        <f>IFERROR(__xludf.DUMMYFUNCTION("""COMPUTED_VALUE"""),"Walkin")</f>
        <v>Walkin</v>
      </c>
      <c r="W1386" s="124" t="str">
        <f>IFERROR(__xludf.DUMMYFUNCTION("""COMPUTED_VALUE"""),"Prayagraj")</f>
        <v>Prayagraj</v>
      </c>
      <c r="X1386" s="124" t="str">
        <f>IFERROR(__xludf.DUMMYFUNCTION("""COMPUTED_VALUE"""),"Walkin")</f>
        <v>Walkin</v>
      </c>
      <c r="Y1386" s="124" t="str">
        <f>IFERROR(__xludf.DUMMYFUNCTION("""COMPUTED_VALUE"""),"Prayagraj")</f>
        <v>Prayagraj</v>
      </c>
      <c r="Z1386" s="124">
        <f>IFERROR(__xludf.DUMMYFUNCTION("""COMPUTED_VALUE"""),2.0)</f>
        <v>2</v>
      </c>
      <c r="AA1386" s="124" t="str">
        <f>IFERROR(__xludf.DUMMYFUNCTION("""COMPUTED_VALUE"""),"Cold")</f>
        <v>Cold</v>
      </c>
      <c r="AB1386" s="124" t="str">
        <f>IFERROR(__xludf.DUMMYFUNCTION("""COMPUTED_VALUE"""),"Mentorship")</f>
        <v>Mentorship</v>
      </c>
    </row>
    <row r="1387">
      <c r="A1387" s="126">
        <f>IFERROR(__xludf.DUMMYFUNCTION("""COMPUTED_VALUE"""),46081.0)</f>
        <v>46081</v>
      </c>
      <c r="B1387" s="124" t="str">
        <f>IFERROR(__xludf.DUMMYFUNCTION("""COMPUTED_VALUE"""),"Walkin")</f>
        <v>Walkin</v>
      </c>
      <c r="C1387" s="124" t="str">
        <f>IFERROR(__xludf.DUMMYFUNCTION("""COMPUTED_VALUE"""),"Delhi")</f>
        <v>Delhi</v>
      </c>
      <c r="D1387" s="124" t="str">
        <f>IFERROR(__xludf.DUMMYFUNCTION("""COMPUTED_VALUE"""),"Primary_Walkin")</f>
        <v>Primary_Walkin</v>
      </c>
      <c r="E1387" s="124">
        <f>IFERROR(__xludf.DUMMYFUNCTION("""COMPUTED_VALUE"""),4.0)</f>
        <v>4</v>
      </c>
      <c r="F1387" s="124" t="str">
        <f>IFERROR(__xludf.DUMMYFUNCTION("""COMPUTED_VALUE"""),"Future Prospects")</f>
        <v>Future Prospects</v>
      </c>
      <c r="G1387" s="124" t="str">
        <f>IFERROR(__xludf.DUMMYFUNCTION("""COMPUTED_VALUE"""),"GS Foundation")</f>
        <v>GS Foundation</v>
      </c>
      <c r="K1387" s="124"/>
      <c r="L1387" s="124"/>
      <c r="M1387" s="124"/>
      <c r="N1387" s="124"/>
      <c r="O1387" s="124"/>
      <c r="T1387" s="126">
        <f>IFERROR(__xludf.DUMMYFUNCTION("""COMPUTED_VALUE"""),46102.0)</f>
        <v>46102</v>
      </c>
      <c r="U1387" s="124" t="str">
        <f>IFERROR(__xludf.DUMMYFUNCTION("""COMPUTED_VALUE"""),"Walk-Ins")</f>
        <v>Walk-Ins</v>
      </c>
      <c r="V1387" s="124" t="str">
        <f>IFERROR(__xludf.DUMMYFUNCTION("""COMPUTED_VALUE"""),"Walkin")</f>
        <v>Walkin</v>
      </c>
      <c r="W1387" s="124" t="str">
        <f>IFERROR(__xludf.DUMMYFUNCTION("""COMPUTED_VALUE"""),"Prayagraj")</f>
        <v>Prayagraj</v>
      </c>
      <c r="X1387" s="124" t="str">
        <f>IFERROR(__xludf.DUMMYFUNCTION("""COMPUTED_VALUE"""),"Walkin")</f>
        <v>Walkin</v>
      </c>
      <c r="Y1387" s="124" t="str">
        <f>IFERROR(__xludf.DUMMYFUNCTION("""COMPUTED_VALUE"""),"Prayagraj")</f>
        <v>Prayagraj</v>
      </c>
      <c r="Z1387" s="124">
        <f>IFERROR(__xludf.DUMMYFUNCTION("""COMPUTED_VALUE"""),1.0)</f>
        <v>1</v>
      </c>
      <c r="AA1387" s="124" t="str">
        <f>IFERROR(__xludf.DUMMYFUNCTION("""COMPUTED_VALUE"""),"Not Interested")</f>
        <v>Not Interested</v>
      </c>
      <c r="AB1387" s="124" t="str">
        <f>IFERROR(__xludf.DUMMYFUNCTION("""COMPUTED_VALUE"""),"State PCS")</f>
        <v>State PCS</v>
      </c>
    </row>
    <row r="1388">
      <c r="A1388" s="129">
        <f>IFERROR(__xludf.DUMMYFUNCTION("""COMPUTED_VALUE"""),46109.0)</f>
        <v>46109</v>
      </c>
      <c r="B1388" s="124" t="str">
        <f>IFERROR(__xludf.DUMMYFUNCTION("""COMPUTED_VALUE"""),"Walk-In")</f>
        <v>Walk-In</v>
      </c>
      <c r="C1388" s="124" t="str">
        <f>IFERROR(__xludf.DUMMYFUNCTION("""COMPUTED_VALUE"""),"Delhi")</f>
        <v>Delhi</v>
      </c>
      <c r="D1388" s="124" t="str">
        <f>IFERROR(__xludf.DUMMYFUNCTION("""COMPUTED_VALUE"""),"Primary_Walkin")</f>
        <v>Primary_Walkin</v>
      </c>
      <c r="E1388" s="124">
        <f>IFERROR(__xludf.DUMMYFUNCTION("""COMPUTED_VALUE"""),1.0)</f>
        <v>1</v>
      </c>
      <c r="F1388" s="124" t="str">
        <f>IFERROR(__xludf.DUMMYFUNCTION("""COMPUTED_VALUE"""),"Cold")</f>
        <v>Cold</v>
      </c>
      <c r="G1388" s="124" t="str">
        <f>IFERROR(__xludf.DUMMYFUNCTION("""COMPUTED_VALUE"""),"GS Foundation")</f>
        <v>GS Foundation</v>
      </c>
      <c r="K1388" s="124"/>
      <c r="L1388" s="124"/>
      <c r="M1388" s="124"/>
      <c r="N1388" s="124"/>
      <c r="O1388" s="124"/>
      <c r="T1388" s="129">
        <f>IFERROR(__xludf.DUMMYFUNCTION("""COMPUTED_VALUE"""),46066.0)</f>
        <v>46066</v>
      </c>
      <c r="U1388" s="124" t="str">
        <f>IFERROR(__xludf.DUMMYFUNCTION("""COMPUTED_VALUE"""),"Walk-Ins")</f>
        <v>Walk-Ins</v>
      </c>
      <c r="V1388" s="124" t="str">
        <f>IFERROR(__xludf.DUMMYFUNCTION("""COMPUTED_VALUE"""),"Walkin")</f>
        <v>Walkin</v>
      </c>
      <c r="W1388" s="124" t="str">
        <f>IFERROR(__xludf.DUMMYFUNCTION("""COMPUTED_VALUE"""),"Patna")</f>
        <v>Patna</v>
      </c>
      <c r="X1388" s="124" t="str">
        <f>IFERROR(__xludf.DUMMYFUNCTION("""COMPUTED_VALUE"""),"Walkin")</f>
        <v>Walkin</v>
      </c>
      <c r="Y1388" s="124" t="str">
        <f>IFERROR(__xludf.DUMMYFUNCTION("""COMPUTED_VALUE"""),"Patna")</f>
        <v>Patna</v>
      </c>
      <c r="Z1388" s="124">
        <f>IFERROR(__xludf.DUMMYFUNCTION("""COMPUTED_VALUE"""),1.0)</f>
        <v>1</v>
      </c>
      <c r="AA1388" s="124" t="str">
        <f>IFERROR(__xludf.DUMMYFUNCTION("""COMPUTED_VALUE"""),"Fake Lead")</f>
        <v>Fake Lead</v>
      </c>
      <c r="AB1388" s="124" t="str">
        <f>IFERROR(__xludf.DUMMYFUNCTION("""COMPUTED_VALUE"""),"GS Foundation")</f>
        <v>GS Foundation</v>
      </c>
    </row>
    <row r="1389">
      <c r="A1389" s="129">
        <f>IFERROR(__xludf.DUMMYFUNCTION("""COMPUTED_VALUE"""),46055.0)</f>
        <v>46055</v>
      </c>
      <c r="B1389" s="124" t="str">
        <f>IFERROR(__xludf.DUMMYFUNCTION("""COMPUTED_VALUE"""),"Walkin")</f>
        <v>Walkin</v>
      </c>
      <c r="C1389" s="124" t="str">
        <f>IFERROR(__xludf.DUMMYFUNCTION("""COMPUTED_VALUE"""),"Delhi")</f>
        <v>Delhi</v>
      </c>
      <c r="D1389" s="124" t="str">
        <f>IFERROR(__xludf.DUMMYFUNCTION("""COMPUTED_VALUE"""),"Primary_Walkin")</f>
        <v>Primary_Walkin</v>
      </c>
      <c r="E1389" s="124">
        <f>IFERROR(__xludf.DUMMYFUNCTION("""COMPUTED_VALUE"""),1.0)</f>
        <v>1</v>
      </c>
      <c r="F1389" s="124" t="str">
        <f>IFERROR(__xludf.DUMMYFUNCTION("""COMPUTED_VALUE"""),"Future Prospects")</f>
        <v>Future Prospects</v>
      </c>
      <c r="G1389" s="124" t="str">
        <f>IFERROR(__xludf.DUMMYFUNCTION("""COMPUTED_VALUE"""),"GS Foundation")</f>
        <v>GS Foundation</v>
      </c>
      <c r="K1389" s="124"/>
      <c r="L1389" s="124"/>
      <c r="M1389" s="124"/>
      <c r="N1389" s="124"/>
      <c r="O1389" s="124"/>
      <c r="T1389" s="126">
        <f>IFERROR(__xludf.DUMMYFUNCTION("""COMPUTED_VALUE"""),46107.0)</f>
        <v>46107</v>
      </c>
      <c r="U1389" s="124" t="str">
        <f>IFERROR(__xludf.DUMMYFUNCTION("""COMPUTED_VALUE"""),"Walk-Ins")</f>
        <v>Walk-Ins</v>
      </c>
      <c r="V1389" s="124" t="str">
        <f>IFERROR(__xludf.DUMMYFUNCTION("""COMPUTED_VALUE"""),"Walkin")</f>
        <v>Walkin</v>
      </c>
      <c r="W1389" s="124" t="str">
        <f>IFERROR(__xludf.DUMMYFUNCTION("""COMPUTED_VALUE"""),"Indore")</f>
        <v>Indore</v>
      </c>
      <c r="X1389" s="124" t="str">
        <f>IFERROR(__xludf.DUMMYFUNCTION("""COMPUTED_VALUE"""),"Walkin")</f>
        <v>Walkin</v>
      </c>
      <c r="Y1389" s="124" t="str">
        <f>IFERROR(__xludf.DUMMYFUNCTION("""COMPUTED_VALUE"""),"Indore")</f>
        <v>Indore</v>
      </c>
      <c r="Z1389" s="124">
        <f>IFERROR(__xludf.DUMMYFUNCTION("""COMPUTED_VALUE"""),1.0)</f>
        <v>1</v>
      </c>
      <c r="AA1389" s="124" t="str">
        <f>IFERROR(__xludf.DUMMYFUNCTION("""COMPUTED_VALUE"""),"Warm")</f>
        <v>Warm</v>
      </c>
      <c r="AB1389" s="124" t="str">
        <f>IFERROR(__xludf.DUMMYFUNCTION("""COMPUTED_VALUE"""),"GS Foundation")</f>
        <v>GS Foundation</v>
      </c>
    </row>
    <row r="1390">
      <c r="A1390" s="129">
        <f>IFERROR(__xludf.DUMMYFUNCTION("""COMPUTED_VALUE"""),46068.0)</f>
        <v>46068</v>
      </c>
      <c r="B1390" s="124" t="str">
        <f>IFERROR(__xludf.DUMMYFUNCTION("""COMPUTED_VALUE"""),"Walkin")</f>
        <v>Walkin</v>
      </c>
      <c r="C1390" s="124" t="str">
        <f>IFERROR(__xludf.DUMMYFUNCTION("""COMPUTED_VALUE"""),"Delhi")</f>
        <v>Delhi</v>
      </c>
      <c r="D1390" s="124" t="str">
        <f>IFERROR(__xludf.DUMMYFUNCTION("""COMPUTED_VALUE"""),"Primary_Walkin")</f>
        <v>Primary_Walkin</v>
      </c>
      <c r="E1390" s="124">
        <f>IFERROR(__xludf.DUMMYFUNCTION("""COMPUTED_VALUE"""),1.0)</f>
        <v>1</v>
      </c>
      <c r="F1390" s="124" t="str">
        <f>IFERROR(__xludf.DUMMYFUNCTION("""COMPUTED_VALUE"""),"Future Prospects")</f>
        <v>Future Prospects</v>
      </c>
      <c r="G1390" s="124" t="str">
        <f>IFERROR(__xludf.DUMMYFUNCTION("""COMPUTED_VALUE"""),"GS Foundation")</f>
        <v>GS Foundation</v>
      </c>
      <c r="K1390" s="124"/>
      <c r="L1390" s="124"/>
      <c r="M1390" s="124"/>
      <c r="N1390" s="124"/>
      <c r="O1390" s="124"/>
      <c r="T1390" s="126">
        <f>IFERROR(__xludf.DUMMYFUNCTION("""COMPUTED_VALUE"""),46105.0)</f>
        <v>46105</v>
      </c>
      <c r="U1390" s="124" t="str">
        <f>IFERROR(__xludf.DUMMYFUNCTION("""COMPUTED_VALUE"""),"Walk-Ins")</f>
        <v>Walk-Ins</v>
      </c>
      <c r="V1390" s="124" t="str">
        <f>IFERROR(__xludf.DUMMYFUNCTION("""COMPUTED_VALUE"""),"Walkin")</f>
        <v>Walkin</v>
      </c>
      <c r="W1390" s="124" t="str">
        <f>IFERROR(__xludf.DUMMYFUNCTION("""COMPUTED_VALUE"""),"Patna")</f>
        <v>Patna</v>
      </c>
      <c r="X1390" s="124" t="str">
        <f>IFERROR(__xludf.DUMMYFUNCTION("""COMPUTED_VALUE"""),"Walkin")</f>
        <v>Walkin</v>
      </c>
      <c r="Y1390" s="124" t="str">
        <f>IFERROR(__xludf.DUMMYFUNCTION("""COMPUTED_VALUE"""),"Patna")</f>
        <v>Patna</v>
      </c>
      <c r="Z1390" s="124">
        <f>IFERROR(__xludf.DUMMYFUNCTION("""COMPUTED_VALUE"""),1.0)</f>
        <v>1</v>
      </c>
      <c r="AA1390" s="124" t="str">
        <f>IFERROR(__xludf.DUMMYFUNCTION("""COMPUTED_VALUE"""),"Fake Lead")</f>
        <v>Fake Lead</v>
      </c>
      <c r="AB1390" s="124" t="str">
        <f>IFERROR(__xludf.DUMMYFUNCTION("""COMPUTED_VALUE"""),"State PCS")</f>
        <v>State PCS</v>
      </c>
    </row>
    <row r="1391">
      <c r="A1391" s="129">
        <f>IFERROR(__xludf.DUMMYFUNCTION("""COMPUTED_VALUE"""),46080.0)</f>
        <v>46080</v>
      </c>
      <c r="B1391" s="124" t="str">
        <f>IFERROR(__xludf.DUMMYFUNCTION("""COMPUTED_VALUE"""),"Walkin")</f>
        <v>Walkin</v>
      </c>
      <c r="C1391" s="124" t="str">
        <f>IFERROR(__xludf.DUMMYFUNCTION("""COMPUTED_VALUE"""),"Delhi")</f>
        <v>Delhi</v>
      </c>
      <c r="D1391" s="124" t="str">
        <f>IFERROR(__xludf.DUMMYFUNCTION("""COMPUTED_VALUE"""),"Primary_Walkin")</f>
        <v>Primary_Walkin</v>
      </c>
      <c r="E1391" s="124">
        <f>IFERROR(__xludf.DUMMYFUNCTION("""COMPUTED_VALUE"""),1.0)</f>
        <v>1</v>
      </c>
      <c r="F1391" s="124" t="str">
        <f>IFERROR(__xludf.DUMMYFUNCTION("""COMPUTED_VALUE"""),"Future Prospects")</f>
        <v>Future Prospects</v>
      </c>
      <c r="G1391" s="124" t="str">
        <f>IFERROR(__xludf.DUMMYFUNCTION("""COMPUTED_VALUE"""),"GS Advanced")</f>
        <v>GS Advanced</v>
      </c>
      <c r="K1391" s="124"/>
      <c r="L1391" s="124"/>
      <c r="M1391" s="124"/>
      <c r="N1391" s="124"/>
      <c r="O1391" s="124"/>
      <c r="T1391" s="126">
        <f>IFERROR(__xludf.DUMMYFUNCTION("""COMPUTED_VALUE"""),46080.0)</f>
        <v>46080</v>
      </c>
      <c r="U1391" s="124" t="str">
        <f>IFERROR(__xludf.DUMMYFUNCTION("""COMPUTED_VALUE"""),"Event")</f>
        <v>Event</v>
      </c>
      <c r="V1391" s="124" t="str">
        <f>IFERROR(__xludf.DUMMYFUNCTION("""COMPUTED_VALUE"""),"events")</f>
        <v>events</v>
      </c>
      <c r="W1391" s="124" t="str">
        <f>IFERROR(__xludf.DUMMYFUNCTION("""COMPUTED_VALUE"""),"prayagraj")</f>
        <v>prayagraj</v>
      </c>
      <c r="X1391" s="124" t="str">
        <f>IFERROR(__xludf.DUMMYFUNCTION("""COMPUTED_VALUE"""),"bhavanmehtapgcollege")</f>
        <v>bhavanmehtapgcollege</v>
      </c>
      <c r="Y1391" s="124"/>
      <c r="Z1391" s="124">
        <f>IFERROR(__xludf.DUMMYFUNCTION("""COMPUTED_VALUE"""),2.0)</f>
        <v>2</v>
      </c>
      <c r="AA1391" s="124" t="str">
        <f>IFERROR(__xludf.DUMMYFUNCTION("""COMPUTED_VALUE"""),"Fake Lead")</f>
        <v>Fake Lead</v>
      </c>
      <c r="AB1391" s="124"/>
    </row>
    <row r="1392">
      <c r="A1392" s="126">
        <f>IFERROR(__xludf.DUMMYFUNCTION("""COMPUTED_VALUE"""),46067.0)</f>
        <v>46067</v>
      </c>
      <c r="B1392" s="124" t="str">
        <f>IFERROR(__xludf.DUMMYFUNCTION("""COMPUTED_VALUE"""),"external leads")</f>
        <v>external leads</v>
      </c>
      <c r="C1392" s="124" t="str">
        <f>IFERROR(__xludf.DUMMYFUNCTION("""COMPUTED_VALUE"""),"Delhi")</f>
        <v>Delhi</v>
      </c>
      <c r="D1392" s="124" t="str">
        <f>IFERROR(__xludf.DUMMYFUNCTION("""COMPUTED_VALUE"""),"Secondary_Walkin")</f>
        <v>Secondary_Walkin</v>
      </c>
      <c r="E1392" s="124">
        <f>IFERROR(__xludf.DUMMYFUNCTION("""COMPUTED_VALUE"""),1.0)</f>
        <v>1</v>
      </c>
      <c r="F1392" s="124" t="str">
        <f>IFERROR(__xludf.DUMMYFUNCTION("""COMPUTED_VALUE"""),"Not Interested")</f>
        <v>Not Interested</v>
      </c>
      <c r="G1392" s="124" t="str">
        <f>IFERROR(__xludf.DUMMYFUNCTION("""COMPUTED_VALUE"""),"GS Foundation")</f>
        <v>GS Foundation</v>
      </c>
      <c r="K1392" s="124"/>
      <c r="L1392" s="124"/>
      <c r="M1392" s="124"/>
      <c r="N1392" s="124"/>
      <c r="O1392" s="124"/>
      <c r="T1392" s="126">
        <f>IFERROR(__xludf.DUMMYFUNCTION("""COMPUTED_VALUE"""),46057.0)</f>
        <v>46057</v>
      </c>
      <c r="U1392" s="124" t="str">
        <f>IFERROR(__xludf.DUMMYFUNCTION("""COMPUTED_VALUE"""),"Paid Ads")</f>
        <v>Paid Ads</v>
      </c>
      <c r="V1392" s="124" t="str">
        <f>IFERROR(__xludf.DUMMYFUNCTION("""COMPUTED_VALUE"""),"facebook")</f>
        <v>facebook</v>
      </c>
      <c r="W1392" s="124" t="str">
        <f>IFERROR(__xludf.DUMMYFUNCTION("""COMPUTED_VALUE"""),"lucknow")</f>
        <v>lucknow</v>
      </c>
      <c r="X1392" s="124" t="str">
        <f>IFERROR(__xludf.DUMMYFUNCTION("""COMPUTED_VALUE"""),"onlinepaid")</f>
        <v>onlinepaid</v>
      </c>
      <c r="Y1392" s="124" t="str">
        <f>IFERROR(__xludf.DUMMYFUNCTION("""COMPUTED_VALUE"""),"Lucknow")</f>
        <v>Lucknow</v>
      </c>
      <c r="Z1392" s="124">
        <f>IFERROR(__xludf.DUMMYFUNCTION("""COMPUTED_VALUE"""),3.0)</f>
        <v>3</v>
      </c>
      <c r="AA1392" s="124" t="str">
        <f>IFERROR(__xludf.DUMMYFUNCTION("""COMPUTED_VALUE"""),"Cold")</f>
        <v>Cold</v>
      </c>
      <c r="AB1392" s="124" t="str">
        <f>IFERROR(__xludf.DUMMYFUNCTION("""COMPUTED_VALUE"""),"Mentorship")</f>
        <v>Mentorship</v>
      </c>
    </row>
    <row r="1393">
      <c r="A1393" s="126">
        <f>IFERROR(__xludf.DUMMYFUNCTION("""COMPUTED_VALUE"""),46099.0)</f>
        <v>46099</v>
      </c>
      <c r="B1393" s="124" t="str">
        <f>IFERROR(__xludf.DUMMYFUNCTION("""COMPUTED_VALUE"""),"walkin")</f>
        <v>walkin</v>
      </c>
      <c r="C1393" s="124" t="str">
        <f>IFERROR(__xludf.DUMMYFUNCTION("""COMPUTED_VALUE"""),"Delhi")</f>
        <v>Delhi</v>
      </c>
      <c r="D1393" s="124" t="str">
        <f>IFERROR(__xludf.DUMMYFUNCTION("""COMPUTED_VALUE"""),"Primary_Walkin")</f>
        <v>Primary_Walkin</v>
      </c>
      <c r="E1393" s="124">
        <f>IFERROR(__xludf.DUMMYFUNCTION("""COMPUTED_VALUE"""),1.0)</f>
        <v>1</v>
      </c>
      <c r="F1393" s="124" t="str">
        <f>IFERROR(__xludf.DUMMYFUNCTION("""COMPUTED_VALUE"""),"Enrolled")</f>
        <v>Enrolled</v>
      </c>
      <c r="G1393" s="124" t="str">
        <f>IFERROR(__xludf.DUMMYFUNCTION("""COMPUTED_VALUE"""),"GS Foundation")</f>
        <v>GS Foundation</v>
      </c>
      <c r="K1393" s="124"/>
      <c r="L1393" s="124"/>
      <c r="M1393" s="124"/>
      <c r="N1393" s="124"/>
      <c r="O1393" s="124"/>
      <c r="T1393" s="129">
        <f>IFERROR(__xludf.DUMMYFUNCTION("""COMPUTED_VALUE"""),46080.0)</f>
        <v>46080</v>
      </c>
      <c r="U1393" s="124" t="str">
        <f>IFERROR(__xludf.DUMMYFUNCTION("""COMPUTED_VALUE"""),"Event")</f>
        <v>Event</v>
      </c>
      <c r="V1393" s="124" t="str">
        <f>IFERROR(__xludf.DUMMYFUNCTION("""COMPUTED_VALUE"""),"events")</f>
        <v>events</v>
      </c>
      <c r="W1393" s="124" t="str">
        <f>IFERROR(__xludf.DUMMYFUNCTION("""COMPUTED_VALUE"""),"prayagraj")</f>
        <v>prayagraj</v>
      </c>
      <c r="X1393" s="124" t="str">
        <f>IFERROR(__xludf.DUMMYFUNCTION("""COMPUTED_VALUE"""),"bhavanmehtapgcollege")</f>
        <v>bhavanmehtapgcollege</v>
      </c>
      <c r="Y1393" s="124" t="str">
        <f>IFERROR(__xludf.DUMMYFUNCTION("""COMPUTED_VALUE"""),"Prayagraj")</f>
        <v>Prayagraj</v>
      </c>
      <c r="Z1393" s="124">
        <f>IFERROR(__xludf.DUMMYFUNCTION("""COMPUTED_VALUE"""),1.0)</f>
        <v>1</v>
      </c>
      <c r="AA1393" s="124" t="str">
        <f>IFERROR(__xludf.DUMMYFUNCTION("""COMPUTED_VALUE"""),"Warm")</f>
        <v>Warm</v>
      </c>
      <c r="AB1393" s="124" t="str">
        <f>IFERROR(__xludf.DUMMYFUNCTION("""COMPUTED_VALUE"""),"GS Foundation")</f>
        <v>GS Foundation</v>
      </c>
    </row>
    <row r="1394">
      <c r="A1394" s="129">
        <f>IFERROR(__xludf.DUMMYFUNCTION("""COMPUTED_VALUE"""),46092.0)</f>
        <v>46092</v>
      </c>
      <c r="B1394" s="124" t="str">
        <f>IFERROR(__xludf.DUMMYFUNCTION("""COMPUTED_VALUE"""),"Walkin")</f>
        <v>Walkin</v>
      </c>
      <c r="C1394" s="124" t="str">
        <f>IFERROR(__xludf.DUMMYFUNCTION("""COMPUTED_VALUE"""),"Lucknow")</f>
        <v>Lucknow</v>
      </c>
      <c r="D1394" s="124" t="str">
        <f>IFERROR(__xludf.DUMMYFUNCTION("""COMPUTED_VALUE"""),"Primary_Walkin")</f>
        <v>Primary_Walkin</v>
      </c>
      <c r="E1394" s="124">
        <f>IFERROR(__xludf.DUMMYFUNCTION("""COMPUTED_VALUE"""),2.0)</f>
        <v>2</v>
      </c>
      <c r="F1394" s="124" t="str">
        <f>IFERROR(__xludf.DUMMYFUNCTION("""COMPUTED_VALUE"""),"Not Interested")</f>
        <v>Not Interested</v>
      </c>
      <c r="G1394" s="124" t="str">
        <f>IFERROR(__xludf.DUMMYFUNCTION("""COMPUTED_VALUE"""),"GS Foundation")</f>
        <v>GS Foundation</v>
      </c>
      <c r="K1394" s="124"/>
      <c r="L1394" s="124"/>
      <c r="M1394" s="124"/>
      <c r="N1394" s="124"/>
      <c r="O1394" s="124"/>
      <c r="T1394" s="129">
        <f>IFERROR(__xludf.DUMMYFUNCTION("""COMPUTED_VALUE"""),46051.0)</f>
        <v>46051</v>
      </c>
      <c r="U1394" s="124" t="str">
        <f>IFERROR(__xludf.DUMMYFUNCTION("""COMPUTED_VALUE"""),"Event")</f>
        <v>Event</v>
      </c>
      <c r="V1394" s="124" t="str">
        <f>IFERROR(__xludf.DUMMYFUNCTION("""COMPUTED_VALUE"""),"Events")</f>
        <v>Events</v>
      </c>
      <c r="W1394" s="124" t="str">
        <f>IFERROR(__xludf.DUMMYFUNCTION("""COMPUTED_VALUE"""),"Delhi")</f>
        <v>Delhi</v>
      </c>
      <c r="X1394" s="124" t="str">
        <f>IFERROR(__xludf.DUMMYFUNCTION("""COMPUTED_VALUE"""),"DRCSEMINAR(")</f>
        <v>DRCSEMINAR(</v>
      </c>
      <c r="Y1394" s="124" t="str">
        <f>IFERROR(__xludf.DUMMYFUNCTION("""COMPUTED_VALUE"""),"Delhi")</f>
        <v>Delhi</v>
      </c>
      <c r="Z1394" s="124">
        <f>IFERROR(__xludf.DUMMYFUNCTION("""COMPUTED_VALUE"""),1.0)</f>
        <v>1</v>
      </c>
      <c r="AA1394" s="124" t="str">
        <f>IFERROR(__xludf.DUMMYFUNCTION("""COMPUTED_VALUE"""),"Cold")</f>
        <v>Cold</v>
      </c>
      <c r="AB1394" s="124" t="str">
        <f>IFERROR(__xludf.DUMMYFUNCTION("""COMPUTED_VALUE"""),"GS Foundation")</f>
        <v>GS Foundation</v>
      </c>
    </row>
    <row r="1395">
      <c r="A1395" s="129">
        <f>IFERROR(__xludf.DUMMYFUNCTION("""COMPUTED_VALUE"""),46110.0)</f>
        <v>46110</v>
      </c>
      <c r="B1395" s="124" t="str">
        <f>IFERROR(__xludf.DUMMYFUNCTION("""COMPUTED_VALUE"""),"walk-in")</f>
        <v>walk-in</v>
      </c>
      <c r="C1395" s="124" t="str">
        <f>IFERROR(__xludf.DUMMYFUNCTION("""COMPUTED_VALUE"""),"Indore")</f>
        <v>Indore</v>
      </c>
      <c r="D1395" s="124" t="str">
        <f>IFERROR(__xludf.DUMMYFUNCTION("""COMPUTED_VALUE"""),"Primary_Walkin")</f>
        <v>Primary_Walkin</v>
      </c>
      <c r="E1395" s="124">
        <f>IFERROR(__xludf.DUMMYFUNCTION("""COMPUTED_VALUE"""),1.0)</f>
        <v>1</v>
      </c>
      <c r="F1395" s="124" t="str">
        <f>IFERROR(__xludf.DUMMYFUNCTION("""COMPUTED_VALUE"""),"Warm")</f>
        <v>Warm</v>
      </c>
      <c r="G1395" s="124" t="str">
        <f>IFERROR(__xludf.DUMMYFUNCTION("""COMPUTED_VALUE"""),"GS Foundation")</f>
        <v>GS Foundation</v>
      </c>
      <c r="K1395" s="124"/>
      <c r="L1395" s="124"/>
      <c r="M1395" s="124"/>
      <c r="N1395" s="124"/>
      <c r="O1395" s="124"/>
      <c r="T1395" s="126">
        <f>IFERROR(__xludf.DUMMYFUNCTION("""COMPUTED_VALUE"""),46105.0)</f>
        <v>46105</v>
      </c>
      <c r="U1395" s="124" t="str">
        <f>IFERROR(__xludf.DUMMYFUNCTION("""COMPUTED_VALUE"""),"Paid Ads")</f>
        <v>Paid Ads</v>
      </c>
      <c r="V1395" s="124" t="str">
        <f>IFERROR(__xludf.DUMMYFUNCTION("""COMPUTED_VALUE"""),"Facebook")</f>
        <v>Facebook</v>
      </c>
      <c r="W1395" s="124" t="str">
        <f>IFERROR(__xludf.DUMMYFUNCTION("""COMPUTED_VALUE"""),"LeadAd")</f>
        <v>LeadAd</v>
      </c>
      <c r="X1395" s="124" t="str">
        <f>IFERROR(__xludf.DUMMYFUNCTION("""COMPUTED_VALUE"""),"Upsc_Hindi_Leads_FB_Creatives")</f>
        <v>Upsc_Hindi_Leads_FB_Creatives</v>
      </c>
      <c r="Y1395" s="124"/>
      <c r="Z1395" s="124">
        <f>IFERROR(__xludf.DUMMYFUNCTION("""COMPUTED_VALUE"""),13.0)</f>
        <v>13</v>
      </c>
      <c r="AA1395" s="124" t="str">
        <f>IFERROR(__xludf.DUMMYFUNCTION("""COMPUTED_VALUE"""),"Cold")</f>
        <v>Cold</v>
      </c>
      <c r="AB1395" s="124"/>
    </row>
    <row r="1396">
      <c r="A1396" s="126">
        <f>IFERROR(__xludf.DUMMYFUNCTION("""COMPUTED_VALUE"""),46060.0)</f>
        <v>46060</v>
      </c>
      <c r="B1396" s="124" t="str">
        <f>IFERROR(__xludf.DUMMYFUNCTION("""COMPUTED_VALUE"""),"Walkin")</f>
        <v>Walkin</v>
      </c>
      <c r="C1396" s="124" t="str">
        <f>IFERROR(__xludf.DUMMYFUNCTION("""COMPUTED_VALUE"""),"Lucknow")</f>
        <v>Lucknow</v>
      </c>
      <c r="D1396" s="124" t="str">
        <f>IFERROR(__xludf.DUMMYFUNCTION("""COMPUTED_VALUE"""),"Primary_Walkin")</f>
        <v>Primary_Walkin</v>
      </c>
      <c r="E1396" s="124">
        <f>IFERROR(__xludf.DUMMYFUNCTION("""COMPUTED_VALUE"""),1.0)</f>
        <v>1</v>
      </c>
      <c r="F1396" s="124" t="str">
        <f>IFERROR(__xludf.DUMMYFUNCTION("""COMPUTED_VALUE"""),"Not Interested")</f>
        <v>Not Interested</v>
      </c>
      <c r="G1396" s="124" t="str">
        <f>IFERROR(__xludf.DUMMYFUNCTION("""COMPUTED_VALUE"""),"State PCS")</f>
        <v>State PCS</v>
      </c>
      <c r="K1396" s="124"/>
      <c r="L1396" s="124"/>
      <c r="M1396" s="124"/>
      <c r="N1396" s="124"/>
      <c r="O1396" s="124"/>
      <c r="T1396" s="126">
        <f>IFERROR(__xludf.DUMMYFUNCTION("""COMPUTED_VALUE"""),46103.0)</f>
        <v>46103</v>
      </c>
      <c r="U1396" s="124" t="str">
        <f>IFERROR(__xludf.DUMMYFUNCTION("""COMPUTED_VALUE"""),"Paid Ads")</f>
        <v>Paid Ads</v>
      </c>
      <c r="V1396" s="124" t="str">
        <f>IFERROR(__xludf.DUMMYFUNCTION("""COMPUTED_VALUE"""),"Facebook")</f>
        <v>Facebook</v>
      </c>
      <c r="W1396" s="124" t="str">
        <f>IFERROR(__xludf.DUMMYFUNCTION("""COMPUTED_VALUE"""),"LeadAd")</f>
        <v>LeadAd</v>
      </c>
      <c r="X1396" s="124" t="str">
        <f>IFERROR(__xludf.DUMMYFUNCTION("""COMPUTED_VALUE"""),"Upsc_Hindi_Leads_FB_Creatives")</f>
        <v>Upsc_Hindi_Leads_FB_Creatives</v>
      </c>
      <c r="Y1396" s="124"/>
      <c r="Z1396" s="124">
        <f>IFERROR(__xludf.DUMMYFUNCTION("""COMPUTED_VALUE"""),36.0)</f>
        <v>36</v>
      </c>
      <c r="AA1396" s="124" t="str">
        <f>IFERROR(__xludf.DUMMYFUNCTION("""COMPUTED_VALUE"""),"Cold")</f>
        <v>Cold</v>
      </c>
      <c r="AB1396" s="124"/>
    </row>
    <row r="1397">
      <c r="A1397" s="126">
        <f>IFERROR(__xludf.DUMMYFUNCTION("""COMPUTED_VALUE"""),46054.0)</f>
        <v>46054</v>
      </c>
      <c r="B1397" s="124" t="str">
        <f>IFERROR(__xludf.DUMMYFUNCTION("""COMPUTED_VALUE"""),"Walkin")</f>
        <v>Walkin</v>
      </c>
      <c r="C1397" s="124" t="str">
        <f>IFERROR(__xludf.DUMMYFUNCTION("""COMPUTED_VALUE"""),"Indore")</f>
        <v>Indore</v>
      </c>
      <c r="D1397" s="124" t="str">
        <f>IFERROR(__xludf.DUMMYFUNCTION("""COMPUTED_VALUE"""),"Primary_Walkin")</f>
        <v>Primary_Walkin</v>
      </c>
      <c r="E1397" s="124">
        <f>IFERROR(__xludf.DUMMYFUNCTION("""COMPUTED_VALUE"""),2.0)</f>
        <v>2</v>
      </c>
      <c r="F1397" s="124" t="str">
        <f>IFERROR(__xludf.DUMMYFUNCTION("""COMPUTED_VALUE"""),"Cold")</f>
        <v>Cold</v>
      </c>
      <c r="G1397" s="124" t="str">
        <f>IFERROR(__xludf.DUMMYFUNCTION("""COMPUTED_VALUE"""),"GS Foundation")</f>
        <v>GS Foundation</v>
      </c>
      <c r="K1397" s="124"/>
      <c r="L1397" s="124"/>
      <c r="M1397" s="124"/>
      <c r="N1397" s="124"/>
      <c r="O1397" s="124"/>
      <c r="T1397" s="129">
        <f>IFERROR(__xludf.DUMMYFUNCTION("""COMPUTED_VALUE"""),46104.0)</f>
        <v>46104</v>
      </c>
      <c r="U1397" s="124" t="str">
        <f>IFERROR(__xludf.DUMMYFUNCTION("""COMPUTED_VALUE"""),"Paid Ads")</f>
        <v>Paid Ads</v>
      </c>
      <c r="V1397" s="124" t="str">
        <f>IFERROR(__xludf.DUMMYFUNCTION("""COMPUTED_VALUE"""),"Facebook")</f>
        <v>Facebook</v>
      </c>
      <c r="W1397" s="124" t="str">
        <f>IFERROR(__xludf.DUMMYFUNCTION("""COMPUTED_VALUE"""),"LeadAd")</f>
        <v>LeadAd</v>
      </c>
      <c r="X1397" s="124" t="str">
        <f>IFERROR(__xludf.DUMMYFUNCTION("""COMPUTED_VALUE"""),"Upsc_Hindi_Leads_FB_Creatives")</f>
        <v>Upsc_Hindi_Leads_FB_Creatives</v>
      </c>
      <c r="Y1397" s="124"/>
      <c r="Z1397" s="124">
        <f>IFERROR(__xludf.DUMMYFUNCTION("""COMPUTED_VALUE"""),2.0)</f>
        <v>2</v>
      </c>
      <c r="AA1397" s="124" t="str">
        <f>IFERROR(__xludf.DUMMYFUNCTION("""COMPUTED_VALUE"""),"Warm")</f>
        <v>Warm</v>
      </c>
      <c r="AB1397" s="124"/>
    </row>
    <row r="1398">
      <c r="A1398" s="126">
        <f>IFERROR(__xludf.DUMMYFUNCTION("""COMPUTED_VALUE"""),46104.0)</f>
        <v>46104</v>
      </c>
      <c r="B1398" s="124" t="str">
        <f>IFERROR(__xludf.DUMMYFUNCTION("""COMPUTED_VALUE"""),"Walkin")</f>
        <v>Walkin</v>
      </c>
      <c r="C1398" s="124" t="str">
        <f>IFERROR(__xludf.DUMMYFUNCTION("""COMPUTED_VALUE"""),"Lucknow")</f>
        <v>Lucknow</v>
      </c>
      <c r="D1398" s="124" t="str">
        <f>IFERROR(__xludf.DUMMYFUNCTION("""COMPUTED_VALUE"""),"Primary_Walkin")</f>
        <v>Primary_Walkin</v>
      </c>
      <c r="E1398" s="124">
        <f>IFERROR(__xludf.DUMMYFUNCTION("""COMPUTED_VALUE"""),1.0)</f>
        <v>1</v>
      </c>
      <c r="F1398" s="124" t="str">
        <f>IFERROR(__xludf.DUMMYFUNCTION("""COMPUTED_VALUE"""),"Warm")</f>
        <v>Warm</v>
      </c>
      <c r="G1398" s="124" t="str">
        <f>IFERROR(__xludf.DUMMYFUNCTION("""COMPUTED_VALUE"""),"Mentorship")</f>
        <v>Mentorship</v>
      </c>
      <c r="K1398" s="124"/>
      <c r="L1398" s="124"/>
      <c r="M1398" s="124"/>
      <c r="N1398" s="124"/>
      <c r="O1398" s="124"/>
      <c r="T1398" s="129">
        <f>IFERROR(__xludf.DUMMYFUNCTION("""COMPUTED_VALUE"""),46108.0)</f>
        <v>46108</v>
      </c>
      <c r="U1398" s="124" t="str">
        <f>IFERROR(__xludf.DUMMYFUNCTION("""COMPUTED_VALUE"""),"Paid Ads")</f>
        <v>Paid Ads</v>
      </c>
      <c r="V1398" s="124" t="str">
        <f>IFERROR(__xludf.DUMMYFUNCTION("""COMPUTED_VALUE"""),"Facebook")</f>
        <v>Facebook</v>
      </c>
      <c r="W1398" s="124" t="str">
        <f>IFERROR(__xludf.DUMMYFUNCTION("""COMPUTED_VALUE"""),"LeadAd")</f>
        <v>LeadAd</v>
      </c>
      <c r="X1398" s="124" t="str">
        <f>IFERROR(__xludf.DUMMYFUNCTION("""COMPUTED_VALUE"""),"Upsc_Hindi_Leads_FB_Creatives")</f>
        <v>Upsc_Hindi_Leads_FB_Creatives</v>
      </c>
      <c r="Y1398" s="124"/>
      <c r="Z1398" s="124">
        <f>IFERROR(__xludf.DUMMYFUNCTION("""COMPUTED_VALUE"""),2.0)</f>
        <v>2</v>
      </c>
      <c r="AA1398" s="124" t="str">
        <f>IFERROR(__xludf.DUMMYFUNCTION("""COMPUTED_VALUE"""),"Fake Lead")</f>
        <v>Fake Lead</v>
      </c>
      <c r="AB1398" s="124"/>
    </row>
    <row r="1399">
      <c r="A1399" s="126">
        <f>IFERROR(__xludf.DUMMYFUNCTION("""COMPUTED_VALUE"""),46097.0)</f>
        <v>46097</v>
      </c>
      <c r="B1399" s="124" t="str">
        <f>IFERROR(__xludf.DUMMYFUNCTION("""COMPUTED_VALUE"""),"Walkin")</f>
        <v>Walkin</v>
      </c>
      <c r="C1399" s="124" t="str">
        <f>IFERROR(__xludf.DUMMYFUNCTION("""COMPUTED_VALUE"""),"Indore")</f>
        <v>Indore</v>
      </c>
      <c r="D1399" s="124" t="str">
        <f>IFERROR(__xludf.DUMMYFUNCTION("""COMPUTED_VALUE"""),"Primary_Walkin")</f>
        <v>Primary_Walkin</v>
      </c>
      <c r="E1399" s="124">
        <f>IFERROR(__xludf.DUMMYFUNCTION("""COMPUTED_VALUE"""),2.0)</f>
        <v>2</v>
      </c>
      <c r="F1399" s="124" t="str">
        <f>IFERROR(__xludf.DUMMYFUNCTION("""COMPUTED_VALUE"""),"Enrolled")</f>
        <v>Enrolled</v>
      </c>
      <c r="G1399" s="124" t="str">
        <f>IFERROR(__xludf.DUMMYFUNCTION("""COMPUTED_VALUE"""),"GS Foundation")</f>
        <v>GS Foundation</v>
      </c>
      <c r="K1399" s="124"/>
      <c r="L1399" s="124"/>
      <c r="M1399" s="124"/>
      <c r="N1399" s="124"/>
      <c r="O1399" s="124"/>
      <c r="T1399" s="126">
        <f>IFERROR(__xludf.DUMMYFUNCTION("""COMPUTED_VALUE"""),46051.0)</f>
        <v>46051</v>
      </c>
      <c r="U1399" s="124" t="str">
        <f>IFERROR(__xludf.DUMMYFUNCTION("""COMPUTED_VALUE"""),"Publisher Campaign")</f>
        <v>Publisher Campaign</v>
      </c>
      <c r="V1399" s="124" t="str">
        <f>IFERROR(__xludf.DUMMYFUNCTION("""COMPUTED_VALUE"""),"Patna Seminar")</f>
        <v>Patna Seminar</v>
      </c>
      <c r="W1399" s="124" t="str">
        <f>IFERROR(__xludf.DUMMYFUNCTION("""COMPUTED_VALUE"""),"Women's College")</f>
        <v>Women's College</v>
      </c>
      <c r="X1399" s="124">
        <f>IFERROR(__xludf.DUMMYFUNCTION("""COMPUTED_VALUE"""),2.2012026E7)</f>
        <v>22012026</v>
      </c>
      <c r="Y1399" s="124" t="str">
        <f>IFERROR(__xludf.DUMMYFUNCTION("""COMPUTED_VALUE"""),"Patna")</f>
        <v>Patna</v>
      </c>
      <c r="Z1399" s="124">
        <f>IFERROR(__xludf.DUMMYFUNCTION("""COMPUTED_VALUE"""),1.0)</f>
        <v>1</v>
      </c>
      <c r="AA1399" s="124" t="str">
        <f>IFERROR(__xludf.DUMMYFUNCTION("""COMPUTED_VALUE"""),"Cold")</f>
        <v>Cold</v>
      </c>
      <c r="AB1399" s="124" t="str">
        <f>IFERROR(__xludf.DUMMYFUNCTION("""COMPUTED_VALUE"""),"SIP Offline")</f>
        <v>SIP Offline</v>
      </c>
    </row>
    <row r="1400">
      <c r="A1400" s="126">
        <f>IFERROR(__xludf.DUMMYFUNCTION("""COMPUTED_VALUE"""),46065.0)</f>
        <v>46065</v>
      </c>
      <c r="B1400" s="124" t="str">
        <f>IFERROR(__xludf.DUMMYFUNCTION("""COMPUTED_VALUE"""),"Walkin")</f>
        <v>Walkin</v>
      </c>
      <c r="C1400" s="124" t="str">
        <f>IFERROR(__xludf.DUMMYFUNCTION("""COMPUTED_VALUE"""),"Indore")</f>
        <v>Indore</v>
      </c>
      <c r="D1400" s="124" t="str">
        <f>IFERROR(__xludf.DUMMYFUNCTION("""COMPUTED_VALUE"""),"Primary_Walkin")</f>
        <v>Primary_Walkin</v>
      </c>
      <c r="E1400" s="124">
        <f>IFERROR(__xludf.DUMMYFUNCTION("""COMPUTED_VALUE"""),1.0)</f>
        <v>1</v>
      </c>
      <c r="F1400" s="124" t="str">
        <f>IFERROR(__xludf.DUMMYFUNCTION("""COMPUTED_VALUE"""),"Future Prospects")</f>
        <v>Future Prospects</v>
      </c>
      <c r="G1400" s="124" t="str">
        <f>IFERROR(__xludf.DUMMYFUNCTION("""COMPUTED_VALUE"""),"State PCS")</f>
        <v>State PCS</v>
      </c>
      <c r="K1400" s="124"/>
      <c r="L1400" s="124"/>
      <c r="M1400" s="124"/>
      <c r="N1400" s="124"/>
      <c r="O1400" s="124"/>
      <c r="T1400" s="126">
        <f>IFERROR(__xludf.DUMMYFUNCTION("""COMPUTED_VALUE"""),46097.0)</f>
        <v>46097</v>
      </c>
      <c r="U1400" s="124" t="str">
        <f>IFERROR(__xludf.DUMMYFUNCTION("""COMPUTED_VALUE"""),"External Leads")</f>
        <v>External Leads</v>
      </c>
      <c r="V1400" s="124" t="str">
        <f>IFERROR(__xludf.DUMMYFUNCTION("""COMPUTED_VALUE"""),"external leads")</f>
        <v>external leads</v>
      </c>
      <c r="W1400" s="124" t="str">
        <f>IFERROR(__xludf.DUMMYFUNCTION("""COMPUTED_VALUE"""),"indore")</f>
        <v>indore</v>
      </c>
      <c r="X1400" s="124" t="str">
        <f>IFERROR(__xludf.DUMMYFUNCTION("""COMPUTED_VALUE"""),"btl")</f>
        <v>btl</v>
      </c>
      <c r="Y1400" s="124" t="str">
        <f>IFERROR(__xludf.DUMMYFUNCTION("""COMPUTED_VALUE"""),"Indore")</f>
        <v>Indore</v>
      </c>
      <c r="Z1400" s="124">
        <f>IFERROR(__xludf.DUMMYFUNCTION("""COMPUTED_VALUE"""),12.0)</f>
        <v>12</v>
      </c>
      <c r="AA1400" s="124" t="str">
        <f>IFERROR(__xludf.DUMMYFUNCTION("""COMPUTED_VALUE"""),"Warm")</f>
        <v>Warm</v>
      </c>
      <c r="AB1400" s="124"/>
    </row>
    <row r="1401">
      <c r="A1401" s="126">
        <f>IFERROR(__xludf.DUMMYFUNCTION("""COMPUTED_VALUE"""),46047.0)</f>
        <v>46047</v>
      </c>
      <c r="B1401" s="124" t="str">
        <f>IFERROR(__xludf.DUMMYFUNCTION("""COMPUTED_VALUE"""),"Walkin")</f>
        <v>Walkin</v>
      </c>
      <c r="C1401" s="124" t="str">
        <f>IFERROR(__xludf.DUMMYFUNCTION("""COMPUTED_VALUE"""),"Lucknow")</f>
        <v>Lucknow</v>
      </c>
      <c r="D1401" s="124" t="str">
        <f>IFERROR(__xludf.DUMMYFUNCTION("""COMPUTED_VALUE"""),"Primary_Walkin")</f>
        <v>Primary_Walkin</v>
      </c>
      <c r="E1401" s="124">
        <f>IFERROR(__xludf.DUMMYFUNCTION("""COMPUTED_VALUE"""),1.0)</f>
        <v>1</v>
      </c>
      <c r="F1401" s="124" t="str">
        <f>IFERROR(__xludf.DUMMYFUNCTION("""COMPUTED_VALUE"""),"Future Prospects")</f>
        <v>Future Prospects</v>
      </c>
      <c r="G1401" s="124" t="str">
        <f>IFERROR(__xludf.DUMMYFUNCTION("""COMPUTED_VALUE"""),"GS Foundation")</f>
        <v>GS Foundation</v>
      </c>
      <c r="K1401" s="124"/>
      <c r="L1401" s="124"/>
      <c r="M1401" s="124"/>
      <c r="N1401" s="124"/>
      <c r="O1401" s="124"/>
      <c r="T1401" s="126">
        <f>IFERROR(__xludf.DUMMYFUNCTION("""COMPUTED_VALUE"""),46066.0)</f>
        <v>46066</v>
      </c>
      <c r="U1401" s="124" t="str">
        <f>IFERROR(__xludf.DUMMYFUNCTION("""COMPUTED_VALUE"""),"Walk-Ins")</f>
        <v>Walk-Ins</v>
      </c>
      <c r="V1401" s="124" t="str">
        <f>IFERROR(__xludf.DUMMYFUNCTION("""COMPUTED_VALUE"""),"Walk-In")</f>
        <v>Walk-In</v>
      </c>
      <c r="W1401" s="124" t="str">
        <f>IFERROR(__xludf.DUMMYFUNCTION("""COMPUTED_VALUE"""),"Prayagraj")</f>
        <v>Prayagraj</v>
      </c>
      <c r="X1401" s="124" t="str">
        <f>IFERROR(__xludf.DUMMYFUNCTION("""COMPUTED_VALUE"""),"Prayagraj")</f>
        <v>Prayagraj</v>
      </c>
      <c r="Y1401" s="124"/>
      <c r="Z1401" s="124">
        <f>IFERROR(__xludf.DUMMYFUNCTION("""COMPUTED_VALUE"""),1.0)</f>
        <v>1</v>
      </c>
      <c r="AA1401" s="124" t="str">
        <f>IFERROR(__xludf.DUMMYFUNCTION("""COMPUTED_VALUE"""),"Interested")</f>
        <v>Interested</v>
      </c>
      <c r="AB1401" s="124" t="str">
        <f>IFERROR(__xludf.DUMMYFUNCTION("""COMPUTED_VALUE"""),"GS Foundation")</f>
        <v>GS Foundation</v>
      </c>
    </row>
    <row r="1402">
      <c r="A1402" s="126">
        <f>IFERROR(__xludf.DUMMYFUNCTION("""COMPUTED_VALUE"""),46070.0)</f>
        <v>46070</v>
      </c>
      <c r="B1402" s="124" t="str">
        <f>IFERROR(__xludf.DUMMYFUNCTION("""COMPUTED_VALUE"""),"Walkin")</f>
        <v>Walkin</v>
      </c>
      <c r="C1402" s="124" t="str">
        <f>IFERROR(__xludf.DUMMYFUNCTION("""COMPUTED_VALUE"""),"Indore")</f>
        <v>Indore</v>
      </c>
      <c r="D1402" s="124" t="str">
        <f>IFERROR(__xludf.DUMMYFUNCTION("""COMPUTED_VALUE"""),"Primary_Walkin")</f>
        <v>Primary_Walkin</v>
      </c>
      <c r="E1402" s="124">
        <f>IFERROR(__xludf.DUMMYFUNCTION("""COMPUTED_VALUE"""),1.0)</f>
        <v>1</v>
      </c>
      <c r="F1402" s="124" t="str">
        <f>IFERROR(__xludf.DUMMYFUNCTION("""COMPUTED_VALUE"""),"Future Prospects")</f>
        <v>Future Prospects</v>
      </c>
      <c r="G1402" s="124" t="str">
        <f>IFERROR(__xludf.DUMMYFUNCTION("""COMPUTED_VALUE"""),"GS Foundation")</f>
        <v>GS Foundation</v>
      </c>
      <c r="K1402" s="124"/>
      <c r="L1402" s="124"/>
      <c r="M1402" s="124"/>
      <c r="N1402" s="124"/>
      <c r="O1402" s="124"/>
      <c r="T1402" s="129">
        <f>IFERROR(__xludf.DUMMYFUNCTION("""COMPUTED_VALUE"""),46045.0)</f>
        <v>46045</v>
      </c>
      <c r="U1402" s="124" t="str">
        <f>IFERROR(__xludf.DUMMYFUNCTION("""COMPUTED_VALUE"""),"External Leads")</f>
        <v>External Leads</v>
      </c>
      <c r="V1402" s="124" t="str">
        <f>IFERROR(__xludf.DUMMYFUNCTION("""COMPUTED_VALUE"""),"external leads")</f>
        <v>external leads</v>
      </c>
      <c r="W1402" s="124" t="str">
        <f>IFERROR(__xludf.DUMMYFUNCTION("""COMPUTED_VALUE"""),"lucknow")</f>
        <v>lucknow</v>
      </c>
      <c r="X1402" s="124" t="str">
        <f>IFERROR(__xludf.DUMMYFUNCTION("""COMPUTED_VALUE"""),"btl")</f>
        <v>btl</v>
      </c>
      <c r="Y1402" s="124" t="str">
        <f>IFERROR(__xludf.DUMMYFUNCTION("""COMPUTED_VALUE"""),"Lucknow")</f>
        <v>Lucknow</v>
      </c>
      <c r="Z1402" s="124">
        <f>IFERROR(__xludf.DUMMYFUNCTION("""COMPUTED_VALUE"""),16.0)</f>
        <v>16</v>
      </c>
      <c r="AA1402" s="124" t="str">
        <f>IFERROR(__xludf.DUMMYFUNCTION("""COMPUTED_VALUE"""),"Cold")</f>
        <v>Cold</v>
      </c>
      <c r="AB1402" s="124"/>
    </row>
    <row r="1403">
      <c r="A1403" s="126">
        <f>IFERROR(__xludf.DUMMYFUNCTION("""COMPUTED_VALUE"""),46062.0)</f>
        <v>46062</v>
      </c>
      <c r="B1403" s="124" t="str">
        <f>IFERROR(__xludf.DUMMYFUNCTION("""COMPUTED_VALUE"""),"BTL Activities")</f>
        <v>BTL Activities</v>
      </c>
      <c r="C1403" s="124" t="str">
        <f>IFERROR(__xludf.DUMMYFUNCTION("""COMPUTED_VALUE"""),"Indore")</f>
        <v>Indore</v>
      </c>
      <c r="D1403" s="124" t="str">
        <f>IFERROR(__xludf.DUMMYFUNCTION("""COMPUTED_VALUE"""),"Secondary_Walkin")</f>
        <v>Secondary_Walkin</v>
      </c>
      <c r="E1403" s="124">
        <f>IFERROR(__xludf.DUMMYFUNCTION("""COMPUTED_VALUE"""),2.0)</f>
        <v>2</v>
      </c>
      <c r="F1403" s="124" t="str">
        <f>IFERROR(__xludf.DUMMYFUNCTION("""COMPUTED_VALUE"""),"Not Interested")</f>
        <v>Not Interested</v>
      </c>
      <c r="G1403" s="124" t="str">
        <f>IFERROR(__xludf.DUMMYFUNCTION("""COMPUTED_VALUE"""),"State PCS")</f>
        <v>State PCS</v>
      </c>
      <c r="K1403" s="124"/>
      <c r="L1403" s="124"/>
      <c r="M1403" s="124"/>
      <c r="N1403" s="124"/>
      <c r="O1403" s="124"/>
      <c r="T1403" s="126">
        <f>IFERROR(__xludf.DUMMYFUNCTION("""COMPUTED_VALUE"""),46080.0)</f>
        <v>46080</v>
      </c>
      <c r="U1403" s="124" t="str">
        <f>IFERROR(__xludf.DUMMYFUNCTION("""COMPUTED_VALUE"""),"Publisher Campaign")</f>
        <v>Publisher Campaign</v>
      </c>
      <c r="V1403" s="124" t="str">
        <f>IFERROR(__xludf.DUMMYFUNCTION("""COMPUTED_VALUE"""),"Vaishnav college")</f>
        <v>Vaishnav college</v>
      </c>
      <c r="W1403" s="124" t="str">
        <f>IFERROR(__xludf.DUMMYFUNCTION("""COMPUTED_VALUE"""),"Seminar Vaishnav college")</f>
        <v>Seminar Vaishnav college</v>
      </c>
      <c r="X1403" s="124">
        <f>IFERROR(__xludf.DUMMYFUNCTION("""COMPUTED_VALUE"""),2.2012026E7)</f>
        <v>22012026</v>
      </c>
      <c r="Y1403" s="124" t="str">
        <f>IFERROR(__xludf.DUMMYFUNCTION("""COMPUTED_VALUE"""),"Indore")</f>
        <v>Indore</v>
      </c>
      <c r="Z1403" s="124">
        <f>IFERROR(__xludf.DUMMYFUNCTION("""COMPUTED_VALUE"""),1.0)</f>
        <v>1</v>
      </c>
      <c r="AA1403" s="124"/>
      <c r="AB1403" s="124" t="str">
        <f>IFERROR(__xludf.DUMMYFUNCTION("""COMPUTED_VALUE"""),"IGP UPPSC")</f>
        <v>IGP UPPSC</v>
      </c>
    </row>
    <row r="1404">
      <c r="A1404" s="126">
        <f>IFERROR(__xludf.DUMMYFUNCTION("""COMPUTED_VALUE"""),46065.0)</f>
        <v>46065</v>
      </c>
      <c r="B1404" s="124" t="str">
        <f>IFERROR(__xludf.DUMMYFUNCTION("""COMPUTED_VALUE"""),"Walkin")</f>
        <v>Walkin</v>
      </c>
      <c r="C1404" s="124" t="str">
        <f>IFERROR(__xludf.DUMMYFUNCTION("""COMPUTED_VALUE"""),"Lucknow")</f>
        <v>Lucknow</v>
      </c>
      <c r="D1404" s="124" t="str">
        <f>IFERROR(__xludf.DUMMYFUNCTION("""COMPUTED_VALUE"""),"Primary_Walkin")</f>
        <v>Primary_Walkin</v>
      </c>
      <c r="E1404" s="124">
        <f>IFERROR(__xludf.DUMMYFUNCTION("""COMPUTED_VALUE"""),1.0)</f>
        <v>1</v>
      </c>
      <c r="F1404" s="124" t="str">
        <f>IFERROR(__xludf.DUMMYFUNCTION("""COMPUTED_VALUE"""),"Not Interested")</f>
        <v>Not Interested</v>
      </c>
      <c r="G1404" s="124" t="str">
        <f>IFERROR(__xludf.DUMMYFUNCTION("""COMPUTED_VALUE"""),"GS Foundation")</f>
        <v>GS Foundation</v>
      </c>
      <c r="K1404" s="124"/>
      <c r="L1404" s="124"/>
      <c r="M1404" s="124"/>
      <c r="N1404" s="124"/>
      <c r="O1404" s="124"/>
      <c r="T1404" s="126">
        <f>IFERROR(__xludf.DUMMYFUNCTION("""COMPUTED_VALUE"""),46080.0)</f>
        <v>46080</v>
      </c>
      <c r="U1404" s="124" t="str">
        <f>IFERROR(__xludf.DUMMYFUNCTION("""COMPUTED_VALUE"""),"Publisher Campaign")</f>
        <v>Publisher Campaign</v>
      </c>
      <c r="V1404" s="124" t="str">
        <f>IFERROR(__xludf.DUMMYFUNCTION("""COMPUTED_VALUE"""),"Vaishnav college")</f>
        <v>Vaishnav college</v>
      </c>
      <c r="W1404" s="124" t="str">
        <f>IFERROR(__xludf.DUMMYFUNCTION("""COMPUTED_VALUE"""),"Seminar Vaishnav college")</f>
        <v>Seminar Vaishnav college</v>
      </c>
      <c r="X1404" s="124">
        <f>IFERROR(__xludf.DUMMYFUNCTION("""COMPUTED_VALUE"""),2.2012026E7)</f>
        <v>22012026</v>
      </c>
      <c r="Y1404" s="124" t="str">
        <f>IFERROR(__xludf.DUMMYFUNCTION("""COMPUTED_VALUE"""),"Indore")</f>
        <v>Indore</v>
      </c>
      <c r="Z1404" s="124">
        <f>IFERROR(__xludf.DUMMYFUNCTION("""COMPUTED_VALUE"""),15.0)</f>
        <v>15</v>
      </c>
      <c r="AA1404" s="124"/>
      <c r="AB1404" s="124" t="str">
        <f>IFERROR(__xludf.DUMMYFUNCTION("""COMPUTED_VALUE"""),"GS Foundation")</f>
        <v>GS Foundation</v>
      </c>
    </row>
    <row r="1405">
      <c r="A1405" s="126">
        <f>IFERROR(__xludf.DUMMYFUNCTION("""COMPUTED_VALUE"""),46087.0)</f>
        <v>46087</v>
      </c>
      <c r="B1405" s="124" t="str">
        <f>IFERROR(__xludf.DUMMYFUNCTION("""COMPUTED_VALUE"""),"Walkin")</f>
        <v>Walkin</v>
      </c>
      <c r="C1405" s="124" t="str">
        <f>IFERROR(__xludf.DUMMYFUNCTION("""COMPUTED_VALUE"""),"Indore")</f>
        <v>Indore</v>
      </c>
      <c r="D1405" s="124" t="str">
        <f>IFERROR(__xludf.DUMMYFUNCTION("""COMPUTED_VALUE"""),"Primary_Walkin")</f>
        <v>Primary_Walkin</v>
      </c>
      <c r="E1405" s="124">
        <f>IFERROR(__xludf.DUMMYFUNCTION("""COMPUTED_VALUE"""),1.0)</f>
        <v>1</v>
      </c>
      <c r="F1405" s="124" t="str">
        <f>IFERROR(__xludf.DUMMYFUNCTION("""COMPUTED_VALUE"""),"Fake Lead")</f>
        <v>Fake Lead</v>
      </c>
      <c r="G1405" s="124" t="str">
        <f>IFERROR(__xludf.DUMMYFUNCTION("""COMPUTED_VALUE"""),"State PCS")</f>
        <v>State PCS</v>
      </c>
      <c r="K1405" s="124"/>
      <c r="L1405" s="124"/>
      <c r="M1405" s="124"/>
      <c r="N1405" s="124"/>
      <c r="O1405" s="124"/>
      <c r="T1405" s="129">
        <f>IFERROR(__xludf.DUMMYFUNCTION("""COMPUTED_VALUE"""),46051.0)</f>
        <v>46051</v>
      </c>
      <c r="U1405" s="124" t="str">
        <f>IFERROR(__xludf.DUMMYFUNCTION("""COMPUTED_VALUE"""),"Publisher Campaign")</f>
        <v>Publisher Campaign</v>
      </c>
      <c r="V1405" s="124" t="str">
        <f>IFERROR(__xludf.DUMMYFUNCTION("""COMPUTED_VALUE"""),"Patna Seminar")</f>
        <v>Patna Seminar</v>
      </c>
      <c r="W1405" s="124" t="str">
        <f>IFERROR(__xludf.DUMMYFUNCTION("""COMPUTED_VALUE"""),"Women's College")</f>
        <v>Women's College</v>
      </c>
      <c r="X1405" s="124">
        <f>IFERROR(__xludf.DUMMYFUNCTION("""COMPUTED_VALUE"""),2.2012026E7)</f>
        <v>22012026</v>
      </c>
      <c r="Y1405" s="124" t="str">
        <f>IFERROR(__xludf.DUMMYFUNCTION("""COMPUTED_VALUE"""),"Patna")</f>
        <v>Patna</v>
      </c>
      <c r="Z1405" s="124">
        <f>IFERROR(__xludf.DUMMYFUNCTION("""COMPUTED_VALUE"""),4.0)</f>
        <v>4</v>
      </c>
      <c r="AA1405" s="124"/>
      <c r="AB1405" s="124" t="str">
        <f>IFERROR(__xludf.DUMMYFUNCTION("""COMPUTED_VALUE"""),"GS Advanced")</f>
        <v>GS Advanced</v>
      </c>
    </row>
    <row r="1406">
      <c r="A1406" s="126">
        <f>IFERROR(__xludf.DUMMYFUNCTION("""COMPUTED_VALUE"""),46095.0)</f>
        <v>46095</v>
      </c>
      <c r="B1406" s="124" t="str">
        <f>IFERROR(__xludf.DUMMYFUNCTION("""COMPUTED_VALUE"""),"Inbound Call")</f>
        <v>Inbound Call</v>
      </c>
      <c r="C1406" s="124" t="str">
        <f>IFERROR(__xludf.DUMMYFUNCTION("""COMPUTED_VALUE"""),"Indore")</f>
        <v>Indore</v>
      </c>
      <c r="D1406" s="124" t="str">
        <f>IFERROR(__xludf.DUMMYFUNCTION("""COMPUTED_VALUE"""),"Secondary_Walkin")</f>
        <v>Secondary_Walkin</v>
      </c>
      <c r="E1406" s="124">
        <f>IFERROR(__xludf.DUMMYFUNCTION("""COMPUTED_VALUE"""),1.0)</f>
        <v>1</v>
      </c>
      <c r="F1406" s="124" t="str">
        <f>IFERROR(__xludf.DUMMYFUNCTION("""COMPUTED_VALUE"""),"Cold")</f>
        <v>Cold</v>
      </c>
      <c r="G1406" s="124" t="str">
        <f>IFERROR(__xludf.DUMMYFUNCTION("""COMPUTED_VALUE"""),"GS Foundation")</f>
        <v>GS Foundation</v>
      </c>
      <c r="K1406" s="124"/>
      <c r="L1406" s="124"/>
      <c r="M1406" s="124"/>
      <c r="N1406" s="124"/>
      <c r="O1406" s="124"/>
      <c r="T1406" s="126">
        <f>IFERROR(__xludf.DUMMYFUNCTION("""COMPUTED_VALUE"""),46079.0)</f>
        <v>46079</v>
      </c>
      <c r="U1406" s="124" t="str">
        <f>IFERROR(__xludf.DUMMYFUNCTION("""COMPUTED_VALUE"""),"Event")</f>
        <v>Event</v>
      </c>
      <c r="V1406" s="124" t="str">
        <f>IFERROR(__xludf.DUMMYFUNCTION("""COMPUTED_VALUE"""),"Other")</f>
        <v>Other</v>
      </c>
      <c r="W1406" s="124" t="str">
        <f>IFERROR(__xludf.DUMMYFUNCTION("""COMPUTED_VALUE"""),"Prayagraj")</f>
        <v>Prayagraj</v>
      </c>
      <c r="X1406" s="124" t="str">
        <f>IFERROR(__xludf.DUMMYFUNCTION("""COMPUTED_VALUE"""),"Prayagraj")</f>
        <v>Prayagraj</v>
      </c>
      <c r="Y1406" s="124" t="str">
        <f>IFERROR(__xludf.DUMMYFUNCTION("""COMPUTED_VALUE"""),"Prayagraj")</f>
        <v>Prayagraj</v>
      </c>
      <c r="Z1406" s="124">
        <f>IFERROR(__xludf.DUMMYFUNCTION("""COMPUTED_VALUE"""),1.0)</f>
        <v>1</v>
      </c>
      <c r="AA1406" s="124" t="str">
        <f>IFERROR(__xludf.DUMMYFUNCTION("""COMPUTED_VALUE"""),"Enrolled")</f>
        <v>Enrolled</v>
      </c>
      <c r="AB1406" s="124" t="str">
        <f>IFERROR(__xludf.DUMMYFUNCTION("""COMPUTED_VALUE"""),"GS Foundation")</f>
        <v>GS Foundation</v>
      </c>
    </row>
    <row r="1407">
      <c r="A1407" s="126">
        <f>IFERROR(__xludf.DUMMYFUNCTION("""COMPUTED_VALUE"""),46097.0)</f>
        <v>46097</v>
      </c>
      <c r="B1407" s="124" t="str">
        <f>IFERROR(__xludf.DUMMYFUNCTION("""COMPUTED_VALUE"""),"events")</f>
        <v>events</v>
      </c>
      <c r="C1407" s="124" t="str">
        <f>IFERROR(__xludf.DUMMYFUNCTION("""COMPUTED_VALUE"""),"Indore")</f>
        <v>Indore</v>
      </c>
      <c r="D1407" s="124" t="str">
        <f>IFERROR(__xludf.DUMMYFUNCTION("""COMPUTED_VALUE"""),"Secondary_Walkin")</f>
        <v>Secondary_Walkin</v>
      </c>
      <c r="E1407" s="124">
        <f>IFERROR(__xludf.DUMMYFUNCTION("""COMPUTED_VALUE"""),1.0)</f>
        <v>1</v>
      </c>
      <c r="F1407" s="124" t="str">
        <f>IFERROR(__xludf.DUMMYFUNCTION("""COMPUTED_VALUE"""),"Not Interested")</f>
        <v>Not Interested</v>
      </c>
      <c r="G1407" s="124" t="str">
        <f>IFERROR(__xludf.DUMMYFUNCTION("""COMPUTED_VALUE"""),"State PCS")</f>
        <v>State PCS</v>
      </c>
      <c r="K1407" s="124"/>
      <c r="L1407" s="124"/>
      <c r="M1407" s="124"/>
      <c r="N1407" s="124"/>
      <c r="O1407" s="124"/>
      <c r="T1407" s="126">
        <f>IFERROR(__xludf.DUMMYFUNCTION("""COMPUTED_VALUE"""),46045.0)</f>
        <v>46045</v>
      </c>
      <c r="U1407" s="124" t="str">
        <f>IFERROR(__xludf.DUMMYFUNCTION("""COMPUTED_VALUE"""),"External Leads")</f>
        <v>External Leads</v>
      </c>
      <c r="V1407" s="124" t="str">
        <f>IFERROR(__xludf.DUMMYFUNCTION("""COMPUTED_VALUE"""),"external leads")</f>
        <v>external leads</v>
      </c>
      <c r="W1407" s="124" t="str">
        <f>IFERROR(__xludf.DUMMYFUNCTION("""COMPUTED_VALUE"""),"lucknow")</f>
        <v>lucknow</v>
      </c>
      <c r="X1407" s="124" t="str">
        <f>IFERROR(__xludf.DUMMYFUNCTION("""COMPUTED_VALUE"""),"btl")</f>
        <v>btl</v>
      </c>
      <c r="Y1407" s="124" t="str">
        <f>IFERROR(__xludf.DUMMYFUNCTION("""COMPUTED_VALUE"""),"Lucknow")</f>
        <v>Lucknow</v>
      </c>
      <c r="Z1407" s="124">
        <f>IFERROR(__xludf.DUMMYFUNCTION("""COMPUTED_VALUE"""),1.0)</f>
        <v>1</v>
      </c>
      <c r="AA1407" s="124" t="str">
        <f>IFERROR(__xludf.DUMMYFUNCTION("""COMPUTED_VALUE"""),"Enrolled")</f>
        <v>Enrolled</v>
      </c>
      <c r="AB1407" s="124"/>
    </row>
    <row r="1408">
      <c r="A1408" s="126">
        <f>IFERROR(__xludf.DUMMYFUNCTION("""COMPUTED_VALUE"""),46107.0)</f>
        <v>46107</v>
      </c>
      <c r="B1408" s="124" t="str">
        <f>IFERROR(__xludf.DUMMYFUNCTION("""COMPUTED_VALUE"""),"Walkin")</f>
        <v>Walkin</v>
      </c>
      <c r="C1408" s="124" t="str">
        <f>IFERROR(__xludf.DUMMYFUNCTION("""COMPUTED_VALUE"""),"Indore")</f>
        <v>Indore</v>
      </c>
      <c r="D1408" s="124" t="str">
        <f>IFERROR(__xludf.DUMMYFUNCTION("""COMPUTED_VALUE"""),"Primary_Walkin")</f>
        <v>Primary_Walkin</v>
      </c>
      <c r="E1408" s="124">
        <f>IFERROR(__xludf.DUMMYFUNCTION("""COMPUTED_VALUE"""),1.0)</f>
        <v>1</v>
      </c>
      <c r="F1408" s="124" t="str">
        <f>IFERROR(__xludf.DUMMYFUNCTION("""COMPUTED_VALUE"""),"Future Prospects")</f>
        <v>Future Prospects</v>
      </c>
      <c r="G1408" s="124" t="str">
        <f>IFERROR(__xludf.DUMMYFUNCTION("""COMPUTED_VALUE"""),"GS Foundation")</f>
        <v>GS Foundation</v>
      </c>
      <c r="K1408" s="124"/>
      <c r="L1408" s="124"/>
      <c r="M1408" s="124"/>
      <c r="N1408" s="124"/>
      <c r="O1408" s="124"/>
      <c r="T1408" s="126">
        <f>IFERROR(__xludf.DUMMYFUNCTION("""COMPUTED_VALUE"""),46053.0)</f>
        <v>46053</v>
      </c>
      <c r="U1408" s="124" t="str">
        <f>IFERROR(__xludf.DUMMYFUNCTION("""COMPUTED_VALUE"""),"External Leads")</f>
        <v>External Leads</v>
      </c>
      <c r="V1408" s="124" t="str">
        <f>IFERROR(__xludf.DUMMYFUNCTION("""COMPUTED_VALUE"""),"External Leads")</f>
        <v>External Leads</v>
      </c>
      <c r="W1408" s="124" t="str">
        <f>IFERROR(__xludf.DUMMYFUNCTION("""COMPUTED_VALUE"""),"Delhi")</f>
        <v>Delhi</v>
      </c>
      <c r="X1408" s="124" t="str">
        <f>IFERROR(__xludf.DUMMYFUNCTION("""COMPUTED_VALUE"""),"DRC")</f>
        <v>DRC</v>
      </c>
      <c r="Y1408" s="124"/>
      <c r="Z1408" s="124">
        <f>IFERROR(__xludf.DUMMYFUNCTION("""COMPUTED_VALUE"""),3.0)</f>
        <v>3</v>
      </c>
      <c r="AA1408" s="124" t="str">
        <f>IFERROR(__xludf.DUMMYFUNCTION("""COMPUTED_VALUE"""),"Cold")</f>
        <v>Cold</v>
      </c>
      <c r="AB1408" s="124"/>
    </row>
    <row r="1409">
      <c r="A1409" s="129">
        <f>IFERROR(__xludf.DUMMYFUNCTION("""COMPUTED_VALUE"""),46078.0)</f>
        <v>46078</v>
      </c>
      <c r="B1409" s="124" t="str">
        <f>IFERROR(__xludf.DUMMYFUNCTION("""COMPUTED_VALUE"""),"Walkin")</f>
        <v>Walkin</v>
      </c>
      <c r="C1409" s="124" t="str">
        <f>IFERROR(__xludf.DUMMYFUNCTION("""COMPUTED_VALUE"""),"Lucknow")</f>
        <v>Lucknow</v>
      </c>
      <c r="D1409" s="124" t="str">
        <f>IFERROR(__xludf.DUMMYFUNCTION("""COMPUTED_VALUE"""),"Primary_Walkin")</f>
        <v>Primary_Walkin</v>
      </c>
      <c r="E1409" s="124">
        <f>IFERROR(__xludf.DUMMYFUNCTION("""COMPUTED_VALUE"""),1.0)</f>
        <v>1</v>
      </c>
      <c r="F1409" s="124" t="str">
        <f>IFERROR(__xludf.DUMMYFUNCTION("""COMPUTED_VALUE"""),"Interested")</f>
        <v>Interested</v>
      </c>
      <c r="G1409" s="124" t="str">
        <f>IFERROR(__xludf.DUMMYFUNCTION("""COMPUTED_VALUE"""),"GS Foundation")</f>
        <v>GS Foundation</v>
      </c>
      <c r="K1409" s="124"/>
      <c r="L1409" s="124"/>
      <c r="M1409" s="124"/>
      <c r="N1409" s="124"/>
      <c r="O1409" s="124"/>
      <c r="T1409" s="126">
        <f>IFERROR(__xludf.DUMMYFUNCTION("""COMPUTED_VALUE"""),46111.0)</f>
        <v>46111</v>
      </c>
      <c r="U1409" s="124" t="str">
        <f>IFERROR(__xludf.DUMMYFUNCTION("""COMPUTED_VALUE"""),"Paid Ads")</f>
        <v>Paid Ads</v>
      </c>
      <c r="V1409" s="124" t="str">
        <f>IFERROR(__xludf.DUMMYFUNCTION("""COMPUTED_VALUE"""),"Facebook")</f>
        <v>Facebook</v>
      </c>
      <c r="W1409" s="124" t="str">
        <f>IFERROR(__xludf.DUMMYFUNCTION("""COMPUTED_VALUE"""),"LeadAd")</f>
        <v>LeadAd</v>
      </c>
      <c r="X1409" s="124" t="str">
        <f>IFERROR(__xludf.DUMMYFUNCTION("""COMPUTED_VALUE"""),"Upsc_925_Prygrj_Lead_FB")</f>
        <v>Upsc_925_Prygrj_Lead_FB</v>
      </c>
      <c r="Y1409" s="124" t="str">
        <f>IFERROR(__xludf.DUMMYFUNCTION("""COMPUTED_VALUE"""),"Prayagraj")</f>
        <v>Prayagraj</v>
      </c>
      <c r="Z1409" s="124">
        <f>IFERROR(__xludf.DUMMYFUNCTION("""COMPUTED_VALUE"""),3.0)</f>
        <v>3</v>
      </c>
      <c r="AA1409" s="124" t="str">
        <f>IFERROR(__xludf.DUMMYFUNCTION("""COMPUTED_VALUE"""),"Cold")</f>
        <v>Cold</v>
      </c>
      <c r="AB1409" s="124"/>
    </row>
    <row r="1410">
      <c r="A1410" s="129">
        <f>IFERROR(__xludf.DUMMYFUNCTION("""COMPUTED_VALUE"""),46068.0)</f>
        <v>46068</v>
      </c>
      <c r="B1410" s="124" t="str">
        <f>IFERROR(__xludf.DUMMYFUNCTION("""COMPUTED_VALUE"""),"Walkin")</f>
        <v>Walkin</v>
      </c>
      <c r="C1410" s="124" t="str">
        <f>IFERROR(__xludf.DUMMYFUNCTION("""COMPUTED_VALUE"""),"Lucknow")</f>
        <v>Lucknow</v>
      </c>
      <c r="D1410" s="124" t="str">
        <f>IFERROR(__xludf.DUMMYFUNCTION("""COMPUTED_VALUE"""),"Primary_Walkin")</f>
        <v>Primary_Walkin</v>
      </c>
      <c r="E1410" s="124">
        <f>IFERROR(__xludf.DUMMYFUNCTION("""COMPUTED_VALUE"""),1.0)</f>
        <v>1</v>
      </c>
      <c r="F1410" s="124" t="str">
        <f>IFERROR(__xludf.DUMMYFUNCTION("""COMPUTED_VALUE"""),"Cold")</f>
        <v>Cold</v>
      </c>
      <c r="G1410" s="124" t="str">
        <f>IFERROR(__xludf.DUMMYFUNCTION("""COMPUTED_VALUE"""),"State PCS")</f>
        <v>State PCS</v>
      </c>
      <c r="K1410" s="124"/>
      <c r="L1410" s="124"/>
      <c r="M1410" s="124"/>
      <c r="N1410" s="124"/>
      <c r="O1410" s="124"/>
      <c r="T1410" s="126">
        <f>IFERROR(__xludf.DUMMYFUNCTION("""COMPUTED_VALUE"""),46058.0)</f>
        <v>46058</v>
      </c>
      <c r="U1410" s="124" t="str">
        <f>IFERROR(__xludf.DUMMYFUNCTION("""COMPUTED_VALUE"""),"External Leads")</f>
        <v>External Leads</v>
      </c>
      <c r="V1410" s="124" t="str">
        <f>IFERROR(__xludf.DUMMYFUNCTION("""COMPUTED_VALUE"""),"external leads")</f>
        <v>external leads</v>
      </c>
      <c r="W1410" s="124" t="str">
        <f>IFERROR(__xludf.DUMMYFUNCTION("""COMPUTED_VALUE"""),"indore")</f>
        <v>indore</v>
      </c>
      <c r="X1410" s="124" t="str">
        <f>IFERROR(__xludf.DUMMYFUNCTION("""COMPUTED_VALUE"""),"indorereconnect")</f>
        <v>indorereconnect</v>
      </c>
      <c r="Y1410" s="124" t="str">
        <f>IFERROR(__xludf.DUMMYFUNCTION("""COMPUTED_VALUE"""),"Indore")</f>
        <v>Indore</v>
      </c>
      <c r="Z1410" s="124">
        <f>IFERROR(__xludf.DUMMYFUNCTION("""COMPUTED_VALUE"""),8.0)</f>
        <v>8</v>
      </c>
      <c r="AA1410" s="124" t="str">
        <f>IFERROR(__xludf.DUMMYFUNCTION("""COMPUTED_VALUE"""),"Cold")</f>
        <v>Cold</v>
      </c>
      <c r="AB1410" s="124"/>
    </row>
    <row r="1411">
      <c r="A1411" s="129">
        <f>IFERROR(__xludf.DUMMYFUNCTION("""COMPUTED_VALUE"""),46093.0)</f>
        <v>46093</v>
      </c>
      <c r="B1411" s="124" t="str">
        <f>IFERROR(__xludf.DUMMYFUNCTION("""COMPUTED_VALUE"""),"Walkin")</f>
        <v>Walkin</v>
      </c>
      <c r="C1411" s="124" t="str">
        <f>IFERROR(__xludf.DUMMYFUNCTION("""COMPUTED_VALUE"""),"Lucknow")</f>
        <v>Lucknow</v>
      </c>
      <c r="D1411" s="124" t="str">
        <f>IFERROR(__xludf.DUMMYFUNCTION("""COMPUTED_VALUE"""),"Primary_Walkin")</f>
        <v>Primary_Walkin</v>
      </c>
      <c r="E1411" s="124">
        <f>IFERROR(__xludf.DUMMYFUNCTION("""COMPUTED_VALUE"""),1.0)</f>
        <v>1</v>
      </c>
      <c r="F1411" s="124" t="str">
        <f>IFERROR(__xludf.DUMMYFUNCTION("""COMPUTED_VALUE"""),"Enrolled")</f>
        <v>Enrolled</v>
      </c>
      <c r="G1411" s="124" t="str">
        <f>IFERROR(__xludf.DUMMYFUNCTION("""COMPUTED_VALUE"""),"GS Foundation")</f>
        <v>GS Foundation</v>
      </c>
      <c r="K1411" s="124"/>
      <c r="L1411" s="124"/>
      <c r="M1411" s="124"/>
      <c r="N1411" s="124"/>
      <c r="O1411" s="124"/>
      <c r="T1411" s="129">
        <f>IFERROR(__xludf.DUMMYFUNCTION("""COMPUTED_VALUE"""),46051.0)</f>
        <v>46051</v>
      </c>
      <c r="U1411" s="124" t="str">
        <f>IFERROR(__xludf.DUMMYFUNCTION("""COMPUTED_VALUE"""),"External Leads")</f>
        <v>External Leads</v>
      </c>
      <c r="V1411" s="124" t="str">
        <f>IFERROR(__xludf.DUMMYFUNCTION("""COMPUTED_VALUE"""),"External Leads")</f>
        <v>External Leads</v>
      </c>
      <c r="W1411" s="124" t="str">
        <f>IFERROR(__xludf.DUMMYFUNCTION("""COMPUTED_VALUE"""),"Delhi")</f>
        <v>Delhi</v>
      </c>
      <c r="X1411" s="124" t="str">
        <f>IFERROR(__xludf.DUMMYFUNCTION("""COMPUTED_VALUE"""),"DRC")</f>
        <v>DRC</v>
      </c>
      <c r="Y1411" s="124"/>
      <c r="Z1411" s="124">
        <f>IFERROR(__xludf.DUMMYFUNCTION("""COMPUTED_VALUE"""),1.0)</f>
        <v>1</v>
      </c>
      <c r="AA1411" s="124" t="str">
        <f>IFERROR(__xludf.DUMMYFUNCTION("""COMPUTED_VALUE"""),"Fake Lead")</f>
        <v>Fake Lead</v>
      </c>
      <c r="AB1411" s="124"/>
    </row>
    <row r="1412">
      <c r="A1412" s="129">
        <f>IFERROR(__xludf.DUMMYFUNCTION("""COMPUTED_VALUE"""),46065.0)</f>
        <v>46065</v>
      </c>
      <c r="B1412" s="124" t="str">
        <f>IFERROR(__xludf.DUMMYFUNCTION("""COMPUTED_VALUE"""),"Walk-In")</f>
        <v>Walk-In</v>
      </c>
      <c r="C1412" s="124" t="str">
        <f>IFERROR(__xludf.DUMMYFUNCTION("""COMPUTED_VALUE"""),"Lucknow")</f>
        <v>Lucknow</v>
      </c>
      <c r="D1412" s="124" t="str">
        <f>IFERROR(__xludf.DUMMYFUNCTION("""COMPUTED_VALUE"""),"Primary_Walkin")</f>
        <v>Primary_Walkin</v>
      </c>
      <c r="E1412" s="124">
        <f>IFERROR(__xludf.DUMMYFUNCTION("""COMPUTED_VALUE"""),1.0)</f>
        <v>1</v>
      </c>
      <c r="F1412" s="124" t="str">
        <f>IFERROR(__xludf.DUMMYFUNCTION("""COMPUTED_VALUE"""),"Cold")</f>
        <v>Cold</v>
      </c>
      <c r="G1412" s="124" t="str">
        <f>IFERROR(__xludf.DUMMYFUNCTION("""COMPUTED_VALUE"""),"State PCS")</f>
        <v>State PCS</v>
      </c>
      <c r="K1412" s="124"/>
      <c r="L1412" s="124"/>
      <c r="M1412" s="124"/>
      <c r="N1412" s="124"/>
      <c r="O1412" s="124"/>
      <c r="T1412" s="126">
        <f>IFERROR(__xludf.DUMMYFUNCTION("""COMPUTED_VALUE"""),46106.0)</f>
        <v>46106</v>
      </c>
      <c r="U1412" s="124" t="str">
        <f>IFERROR(__xludf.DUMMYFUNCTION("""COMPUTED_VALUE"""),"Walk-Ins")</f>
        <v>Walk-Ins</v>
      </c>
      <c r="V1412" s="124" t="str">
        <f>IFERROR(__xludf.DUMMYFUNCTION("""COMPUTED_VALUE"""),"Walk-In")</f>
        <v>Walk-In</v>
      </c>
      <c r="W1412" s="124" t="str">
        <f>IFERROR(__xludf.DUMMYFUNCTION("""COMPUTED_VALUE"""),"Prayagraj")</f>
        <v>Prayagraj</v>
      </c>
      <c r="X1412" s="124" t="str">
        <f>IFERROR(__xludf.DUMMYFUNCTION("""COMPUTED_VALUE"""),"Shivanshi")</f>
        <v>Shivanshi</v>
      </c>
      <c r="Y1412" s="124" t="str">
        <f>IFERROR(__xludf.DUMMYFUNCTION("""COMPUTED_VALUE"""),"Prayagraj")</f>
        <v>Prayagraj</v>
      </c>
      <c r="Z1412" s="124">
        <f>IFERROR(__xludf.DUMMYFUNCTION("""COMPUTED_VALUE"""),1.0)</f>
        <v>1</v>
      </c>
      <c r="AA1412" s="124" t="str">
        <f>IFERROR(__xludf.DUMMYFUNCTION("""COMPUTED_VALUE"""),"Warm")</f>
        <v>Warm</v>
      </c>
      <c r="AB1412" s="124" t="str">
        <f>IFERROR(__xludf.DUMMYFUNCTION("""COMPUTED_VALUE"""),"GS Foundation")</f>
        <v>GS Foundation</v>
      </c>
    </row>
    <row r="1413">
      <c r="A1413" s="129">
        <f>IFERROR(__xludf.DUMMYFUNCTION("""COMPUTED_VALUE"""),46043.0)</f>
        <v>46043</v>
      </c>
      <c r="B1413" s="124" t="str">
        <f>IFERROR(__xludf.DUMMYFUNCTION("""COMPUTED_VALUE"""),"Outbound Call")</f>
        <v>Outbound Call</v>
      </c>
      <c r="C1413" s="124" t="str">
        <f>IFERROR(__xludf.DUMMYFUNCTION("""COMPUTED_VALUE"""),"Indore")</f>
        <v>Indore</v>
      </c>
      <c r="D1413" s="124" t="str">
        <f>IFERROR(__xludf.DUMMYFUNCTION("""COMPUTED_VALUE"""),"Secondary_Walkin")</f>
        <v>Secondary_Walkin</v>
      </c>
      <c r="E1413" s="124">
        <f>IFERROR(__xludf.DUMMYFUNCTION("""COMPUTED_VALUE"""),1.0)</f>
        <v>1</v>
      </c>
      <c r="F1413" s="124" t="str">
        <f>IFERROR(__xludf.DUMMYFUNCTION("""COMPUTED_VALUE"""),"Cold")</f>
        <v>Cold</v>
      </c>
      <c r="G1413" s="124" t="str">
        <f>IFERROR(__xludf.DUMMYFUNCTION("""COMPUTED_VALUE"""),"State PCS")</f>
        <v>State PCS</v>
      </c>
      <c r="K1413" s="124"/>
      <c r="L1413" s="124"/>
      <c r="M1413" s="124"/>
      <c r="N1413" s="124"/>
      <c r="O1413" s="124"/>
      <c r="T1413" s="126">
        <f>IFERROR(__xludf.DUMMYFUNCTION("""COMPUTED_VALUE"""),46062.0)</f>
        <v>46062</v>
      </c>
      <c r="U1413" s="124" t="str">
        <f>IFERROR(__xludf.DUMMYFUNCTION("""COMPUTED_VALUE"""),"Walk-Ins")</f>
        <v>Walk-Ins</v>
      </c>
      <c r="V1413" s="124" t="str">
        <f>IFERROR(__xludf.DUMMYFUNCTION("""COMPUTED_VALUE"""),"Walk-In")</f>
        <v>Walk-In</v>
      </c>
      <c r="W1413" s="124" t="str">
        <f>IFERROR(__xludf.DUMMYFUNCTION("""COMPUTED_VALUE"""),"Prayagraj")</f>
        <v>Prayagraj</v>
      </c>
      <c r="X1413" s="124" t="str">
        <f>IFERROR(__xludf.DUMMYFUNCTION("""COMPUTED_VALUE"""),"Shivanshi")</f>
        <v>Shivanshi</v>
      </c>
      <c r="Y1413" s="124" t="str">
        <f>IFERROR(__xludf.DUMMYFUNCTION("""COMPUTED_VALUE"""),"Prayagraj")</f>
        <v>Prayagraj</v>
      </c>
      <c r="Z1413" s="124">
        <f>IFERROR(__xludf.DUMMYFUNCTION("""COMPUTED_VALUE"""),1.0)</f>
        <v>1</v>
      </c>
      <c r="AA1413" s="124" t="str">
        <f>IFERROR(__xludf.DUMMYFUNCTION("""COMPUTED_VALUE"""),"Future Prospects")</f>
        <v>Future Prospects</v>
      </c>
      <c r="AB1413" s="124" t="str">
        <f>IFERROR(__xludf.DUMMYFUNCTION("""COMPUTED_VALUE"""),"Mentorship")</f>
        <v>Mentorship</v>
      </c>
    </row>
    <row r="1414">
      <c r="A1414" s="126">
        <f>IFERROR(__xludf.DUMMYFUNCTION("""COMPUTED_VALUE"""),46105.0)</f>
        <v>46105</v>
      </c>
      <c r="B1414" s="124" t="str">
        <f>IFERROR(__xludf.DUMMYFUNCTION("""COMPUTED_VALUE"""),"Walkin")</f>
        <v>Walkin</v>
      </c>
      <c r="C1414" s="124" t="str">
        <f>IFERROR(__xludf.DUMMYFUNCTION("""COMPUTED_VALUE"""),"Indore")</f>
        <v>Indore</v>
      </c>
      <c r="D1414" s="124" t="str">
        <f>IFERROR(__xludf.DUMMYFUNCTION("""COMPUTED_VALUE"""),"Primary_Walkin")</f>
        <v>Primary_Walkin</v>
      </c>
      <c r="E1414" s="124">
        <f>IFERROR(__xludf.DUMMYFUNCTION("""COMPUTED_VALUE"""),1.0)</f>
        <v>1</v>
      </c>
      <c r="F1414" s="124" t="str">
        <f>IFERROR(__xludf.DUMMYFUNCTION("""COMPUTED_VALUE"""),"Future Prospects")</f>
        <v>Future Prospects</v>
      </c>
      <c r="G1414" s="124" t="str">
        <f>IFERROR(__xludf.DUMMYFUNCTION("""COMPUTED_VALUE"""),"GS Foundation")</f>
        <v>GS Foundation</v>
      </c>
      <c r="K1414" s="124"/>
      <c r="L1414" s="124"/>
      <c r="M1414" s="124"/>
      <c r="N1414" s="124"/>
      <c r="O1414" s="124"/>
      <c r="T1414" s="126">
        <f>IFERROR(__xludf.DUMMYFUNCTION("""COMPUTED_VALUE"""),46058.0)</f>
        <v>46058</v>
      </c>
      <c r="U1414" s="124" t="str">
        <f>IFERROR(__xludf.DUMMYFUNCTION("""COMPUTED_VALUE"""),"Walk-Ins")</f>
        <v>Walk-Ins</v>
      </c>
      <c r="V1414" s="124" t="str">
        <f>IFERROR(__xludf.DUMMYFUNCTION("""COMPUTED_VALUE"""),"Walk-In")</f>
        <v>Walk-In</v>
      </c>
      <c r="W1414" s="124" t="str">
        <f>IFERROR(__xludf.DUMMYFUNCTION("""COMPUTED_VALUE"""),"Prayagraj")</f>
        <v>Prayagraj</v>
      </c>
      <c r="X1414" s="124" t="str">
        <f>IFERROR(__xludf.DUMMYFUNCTION("""COMPUTED_VALUE"""),"Shivanshi")</f>
        <v>Shivanshi</v>
      </c>
      <c r="Y1414" s="124" t="str">
        <f>IFERROR(__xludf.DUMMYFUNCTION("""COMPUTED_VALUE"""),"Prayagraj")</f>
        <v>Prayagraj</v>
      </c>
      <c r="Z1414" s="124">
        <f>IFERROR(__xludf.DUMMYFUNCTION("""COMPUTED_VALUE"""),1.0)</f>
        <v>1</v>
      </c>
      <c r="AA1414" s="124" t="str">
        <f>IFERROR(__xludf.DUMMYFUNCTION("""COMPUTED_VALUE"""),"Cold")</f>
        <v>Cold</v>
      </c>
      <c r="AB1414" s="124" t="str">
        <f>IFERROR(__xludf.DUMMYFUNCTION("""COMPUTED_VALUE"""),"GS Foundation")</f>
        <v>GS Foundation</v>
      </c>
    </row>
    <row r="1415">
      <c r="A1415" s="129">
        <f>IFERROR(__xludf.DUMMYFUNCTION("""COMPUTED_VALUE"""),46057.0)</f>
        <v>46057</v>
      </c>
      <c r="B1415" s="124" t="str">
        <f>IFERROR(__xludf.DUMMYFUNCTION("""COMPUTED_VALUE"""),"Walkin")</f>
        <v>Walkin</v>
      </c>
      <c r="C1415" s="124" t="str">
        <f>IFERROR(__xludf.DUMMYFUNCTION("""COMPUTED_VALUE"""),"Indore")</f>
        <v>Indore</v>
      </c>
      <c r="D1415" s="124" t="str">
        <f>IFERROR(__xludf.DUMMYFUNCTION("""COMPUTED_VALUE"""),"Primary_Walkin")</f>
        <v>Primary_Walkin</v>
      </c>
      <c r="E1415" s="124">
        <f>IFERROR(__xludf.DUMMYFUNCTION("""COMPUTED_VALUE"""),2.0)</f>
        <v>2</v>
      </c>
      <c r="F1415" s="124" t="str">
        <f>IFERROR(__xludf.DUMMYFUNCTION("""COMPUTED_VALUE"""),"Cold")</f>
        <v>Cold</v>
      </c>
      <c r="G1415" s="124" t="str">
        <f>IFERROR(__xludf.DUMMYFUNCTION("""COMPUTED_VALUE"""),"State PCS")</f>
        <v>State PCS</v>
      </c>
      <c r="K1415" s="124"/>
      <c r="L1415" s="124"/>
      <c r="M1415" s="124"/>
      <c r="N1415" s="124"/>
      <c r="O1415" s="124"/>
      <c r="T1415" s="126">
        <f>IFERROR(__xludf.DUMMYFUNCTION("""COMPUTED_VALUE"""),46061.0)</f>
        <v>46061</v>
      </c>
      <c r="U1415" s="124" t="str">
        <f>IFERROR(__xludf.DUMMYFUNCTION("""COMPUTED_VALUE"""),"Walk-Ins")</f>
        <v>Walk-Ins</v>
      </c>
      <c r="V1415" s="124" t="str">
        <f>IFERROR(__xludf.DUMMYFUNCTION("""COMPUTED_VALUE"""),"Walk-In")</f>
        <v>Walk-In</v>
      </c>
      <c r="W1415" s="124" t="str">
        <f>IFERROR(__xludf.DUMMYFUNCTION("""COMPUTED_VALUE"""),"Prayagraj")</f>
        <v>Prayagraj</v>
      </c>
      <c r="X1415" s="124" t="str">
        <f>IFERROR(__xludf.DUMMYFUNCTION("""COMPUTED_VALUE"""),"Shivanshi")</f>
        <v>Shivanshi</v>
      </c>
      <c r="Y1415" s="124" t="str">
        <f>IFERROR(__xludf.DUMMYFUNCTION("""COMPUTED_VALUE"""),"Prayagraj")</f>
        <v>Prayagraj</v>
      </c>
      <c r="Z1415" s="124">
        <f>IFERROR(__xludf.DUMMYFUNCTION("""COMPUTED_VALUE"""),1.0)</f>
        <v>1</v>
      </c>
      <c r="AA1415" s="124" t="str">
        <f>IFERROR(__xludf.DUMMYFUNCTION("""COMPUTED_VALUE"""),"Warm")</f>
        <v>Warm</v>
      </c>
      <c r="AB1415" s="124" t="str">
        <f>IFERROR(__xludf.DUMMYFUNCTION("""COMPUTED_VALUE"""),"GS Foundation")</f>
        <v>GS Foundation</v>
      </c>
    </row>
    <row r="1416">
      <c r="A1416" s="126">
        <f>IFERROR(__xludf.DUMMYFUNCTION("""COMPUTED_VALUE"""),46051.0)</f>
        <v>46051</v>
      </c>
      <c r="B1416" s="124" t="str">
        <f>IFERROR(__xludf.DUMMYFUNCTION("""COMPUTED_VALUE"""),"Walk-In")</f>
        <v>Walk-In</v>
      </c>
      <c r="C1416" s="124" t="str">
        <f>IFERROR(__xludf.DUMMYFUNCTION("""COMPUTED_VALUE"""),"Indore")</f>
        <v>Indore</v>
      </c>
      <c r="D1416" s="124" t="str">
        <f>IFERROR(__xludf.DUMMYFUNCTION("""COMPUTED_VALUE"""),"Primary_Walkin")</f>
        <v>Primary_Walkin</v>
      </c>
      <c r="E1416" s="124">
        <f>IFERROR(__xludf.DUMMYFUNCTION("""COMPUTED_VALUE"""),1.0)</f>
        <v>1</v>
      </c>
      <c r="F1416" s="124" t="str">
        <f>IFERROR(__xludf.DUMMYFUNCTION("""COMPUTED_VALUE"""),"Enrolled")</f>
        <v>Enrolled</v>
      </c>
      <c r="G1416" s="124" t="str">
        <f>IFERROR(__xludf.DUMMYFUNCTION("""COMPUTED_VALUE"""),"GS Foundation")</f>
        <v>GS Foundation</v>
      </c>
      <c r="K1416" s="124"/>
      <c r="L1416" s="124"/>
      <c r="M1416" s="124"/>
      <c r="N1416" s="124"/>
      <c r="O1416" s="124"/>
      <c r="T1416" s="126">
        <f>IFERROR(__xludf.DUMMYFUNCTION("""COMPUTED_VALUE"""),46059.0)</f>
        <v>46059</v>
      </c>
      <c r="U1416" s="124" t="str">
        <f>IFERROR(__xludf.DUMMYFUNCTION("""COMPUTED_VALUE"""),"Walk-Ins")</f>
        <v>Walk-Ins</v>
      </c>
      <c r="V1416" s="124" t="str">
        <f>IFERROR(__xludf.DUMMYFUNCTION("""COMPUTED_VALUE"""),"Walk-In")</f>
        <v>Walk-In</v>
      </c>
      <c r="W1416" s="124" t="str">
        <f>IFERROR(__xludf.DUMMYFUNCTION("""COMPUTED_VALUE"""),"Prayagraj")</f>
        <v>Prayagraj</v>
      </c>
      <c r="X1416" s="124" t="str">
        <f>IFERROR(__xludf.DUMMYFUNCTION("""COMPUTED_VALUE"""),"Shivanshi")</f>
        <v>Shivanshi</v>
      </c>
      <c r="Y1416" s="124" t="str">
        <f>IFERROR(__xludf.DUMMYFUNCTION("""COMPUTED_VALUE"""),"Prayagraj")</f>
        <v>Prayagraj</v>
      </c>
      <c r="Z1416" s="124">
        <f>IFERROR(__xludf.DUMMYFUNCTION("""COMPUTED_VALUE"""),1.0)</f>
        <v>1</v>
      </c>
      <c r="AA1416" s="124" t="str">
        <f>IFERROR(__xludf.DUMMYFUNCTION("""COMPUTED_VALUE"""),"Cold")</f>
        <v>Cold</v>
      </c>
      <c r="AB1416" s="124" t="str">
        <f>IFERROR(__xludf.DUMMYFUNCTION("""COMPUTED_VALUE"""),"State PCS")</f>
        <v>State PCS</v>
      </c>
    </row>
    <row r="1417">
      <c r="A1417" s="129">
        <f>IFERROR(__xludf.DUMMYFUNCTION("""COMPUTED_VALUE"""),46044.0)</f>
        <v>46044</v>
      </c>
      <c r="B1417" s="124" t="str">
        <f>IFERROR(__xludf.DUMMYFUNCTION("""COMPUTED_VALUE"""),"Walkin")</f>
        <v>Walkin</v>
      </c>
      <c r="C1417" s="124" t="str">
        <f>IFERROR(__xludf.DUMMYFUNCTION("""COMPUTED_VALUE"""),"Lucknow")</f>
        <v>Lucknow</v>
      </c>
      <c r="D1417" s="124" t="str">
        <f>IFERROR(__xludf.DUMMYFUNCTION("""COMPUTED_VALUE"""),"Primary_Walkin")</f>
        <v>Primary_Walkin</v>
      </c>
      <c r="E1417" s="124">
        <f>IFERROR(__xludf.DUMMYFUNCTION("""COMPUTED_VALUE"""),1.0)</f>
        <v>1</v>
      </c>
      <c r="F1417" s="124" t="str">
        <f>IFERROR(__xludf.DUMMYFUNCTION("""COMPUTED_VALUE"""),"Not Interested")</f>
        <v>Not Interested</v>
      </c>
      <c r="G1417" s="124" t="str">
        <f>IFERROR(__xludf.DUMMYFUNCTION("""COMPUTED_VALUE"""),"Other")</f>
        <v>Other</v>
      </c>
      <c r="K1417" s="124"/>
      <c r="L1417" s="124"/>
      <c r="M1417" s="124"/>
      <c r="N1417" s="124"/>
      <c r="O1417" s="124"/>
      <c r="T1417" s="126">
        <f>IFERROR(__xludf.DUMMYFUNCTION("""COMPUTED_VALUE"""),46057.0)</f>
        <v>46057</v>
      </c>
      <c r="U1417" s="124" t="str">
        <f>IFERROR(__xludf.DUMMYFUNCTION("""COMPUTED_VALUE"""),"Walk-Ins")</f>
        <v>Walk-Ins</v>
      </c>
      <c r="V1417" s="124" t="str">
        <f>IFERROR(__xludf.DUMMYFUNCTION("""COMPUTED_VALUE"""),"Walk-In")</f>
        <v>Walk-In</v>
      </c>
      <c r="W1417" s="124" t="str">
        <f>IFERROR(__xludf.DUMMYFUNCTION("""COMPUTED_VALUE"""),"Prayagraj")</f>
        <v>Prayagraj</v>
      </c>
      <c r="X1417" s="124" t="str">
        <f>IFERROR(__xludf.DUMMYFUNCTION("""COMPUTED_VALUE"""),"Shivanshi")</f>
        <v>Shivanshi</v>
      </c>
      <c r="Y1417" s="124" t="str">
        <f>IFERROR(__xludf.DUMMYFUNCTION("""COMPUTED_VALUE"""),"Prayagraj")</f>
        <v>Prayagraj</v>
      </c>
      <c r="Z1417" s="124">
        <f>IFERROR(__xludf.DUMMYFUNCTION("""COMPUTED_VALUE"""),1.0)</f>
        <v>1</v>
      </c>
      <c r="AA1417" s="124" t="str">
        <f>IFERROR(__xludf.DUMMYFUNCTION("""COMPUTED_VALUE"""),"Future Prospects")</f>
        <v>Future Prospects</v>
      </c>
      <c r="AB1417" s="124" t="str">
        <f>IFERROR(__xludf.DUMMYFUNCTION("""COMPUTED_VALUE"""),"GS Foundation")</f>
        <v>GS Foundation</v>
      </c>
    </row>
    <row r="1418">
      <c r="A1418" s="126">
        <f>IFERROR(__xludf.DUMMYFUNCTION("""COMPUTED_VALUE"""),46073.0)</f>
        <v>46073</v>
      </c>
      <c r="B1418" s="124" t="str">
        <f>IFERROR(__xludf.DUMMYFUNCTION("""COMPUTED_VALUE"""),"Walkin")</f>
        <v>Walkin</v>
      </c>
      <c r="C1418" s="124" t="str">
        <f>IFERROR(__xludf.DUMMYFUNCTION("""COMPUTED_VALUE"""),"Indore")</f>
        <v>Indore</v>
      </c>
      <c r="D1418" s="124" t="str">
        <f>IFERROR(__xludf.DUMMYFUNCTION("""COMPUTED_VALUE"""),"Primary_Walkin")</f>
        <v>Primary_Walkin</v>
      </c>
      <c r="E1418" s="124">
        <f>IFERROR(__xludf.DUMMYFUNCTION("""COMPUTED_VALUE"""),2.0)</f>
        <v>2</v>
      </c>
      <c r="F1418" s="124" t="str">
        <f>IFERROR(__xludf.DUMMYFUNCTION("""COMPUTED_VALUE"""),"Cold")</f>
        <v>Cold</v>
      </c>
      <c r="G1418" s="124" t="str">
        <f>IFERROR(__xludf.DUMMYFUNCTION("""COMPUTED_VALUE"""),"State PCS")</f>
        <v>State PCS</v>
      </c>
      <c r="K1418" s="124"/>
      <c r="L1418" s="124"/>
      <c r="M1418" s="124"/>
      <c r="N1418" s="124"/>
      <c r="O1418" s="124"/>
      <c r="T1418" s="129">
        <f>IFERROR(__xludf.DUMMYFUNCTION("""COMPUTED_VALUE"""),46110.0)</f>
        <v>46110</v>
      </c>
      <c r="U1418" s="124" t="str">
        <f>IFERROR(__xludf.DUMMYFUNCTION("""COMPUTED_VALUE"""),"Walk-Ins")</f>
        <v>Walk-Ins</v>
      </c>
      <c r="V1418" s="124" t="str">
        <f>IFERROR(__xludf.DUMMYFUNCTION("""COMPUTED_VALUE"""),"Walk-In")</f>
        <v>Walk-In</v>
      </c>
      <c r="W1418" s="124" t="str">
        <f>IFERROR(__xludf.DUMMYFUNCTION("""COMPUTED_VALUE"""),"Prayagraj")</f>
        <v>Prayagraj</v>
      </c>
      <c r="X1418" s="124" t="str">
        <f>IFERROR(__xludf.DUMMYFUNCTION("""COMPUTED_VALUE"""),"Shivanshi")</f>
        <v>Shivanshi</v>
      </c>
      <c r="Y1418" s="124" t="str">
        <f>IFERROR(__xludf.DUMMYFUNCTION("""COMPUTED_VALUE"""),"Prayagraj")</f>
        <v>Prayagraj</v>
      </c>
      <c r="Z1418" s="124">
        <f>IFERROR(__xludf.DUMMYFUNCTION("""COMPUTED_VALUE"""),1.0)</f>
        <v>1</v>
      </c>
      <c r="AA1418" s="124" t="str">
        <f>IFERROR(__xludf.DUMMYFUNCTION("""COMPUTED_VALUE"""),"Warm")</f>
        <v>Warm</v>
      </c>
      <c r="AB1418" s="124" t="str">
        <f>IFERROR(__xludf.DUMMYFUNCTION("""COMPUTED_VALUE"""),"GS Foundation")</f>
        <v>GS Foundation</v>
      </c>
    </row>
    <row r="1419">
      <c r="A1419" s="126">
        <f>IFERROR(__xludf.DUMMYFUNCTION("""COMPUTED_VALUE"""),46051.0)</f>
        <v>46051</v>
      </c>
      <c r="B1419" s="124" t="str">
        <f>IFERROR(__xludf.DUMMYFUNCTION("""COMPUTED_VALUE"""),"Walkin")</f>
        <v>Walkin</v>
      </c>
      <c r="C1419" s="124" t="str">
        <f>IFERROR(__xludf.DUMMYFUNCTION("""COMPUTED_VALUE"""),"Indore")</f>
        <v>Indore</v>
      </c>
      <c r="D1419" s="124" t="str">
        <f>IFERROR(__xludf.DUMMYFUNCTION("""COMPUTED_VALUE"""),"Primary_Walkin")</f>
        <v>Primary_Walkin</v>
      </c>
      <c r="E1419" s="124">
        <f>IFERROR(__xludf.DUMMYFUNCTION("""COMPUTED_VALUE"""),2.0)</f>
        <v>2</v>
      </c>
      <c r="F1419" s="124" t="str">
        <f>IFERROR(__xludf.DUMMYFUNCTION("""COMPUTED_VALUE"""),"Not Interested")</f>
        <v>Not Interested</v>
      </c>
      <c r="G1419" s="124" t="str">
        <f>IFERROR(__xludf.DUMMYFUNCTION("""COMPUTED_VALUE"""),"State PCS")</f>
        <v>State PCS</v>
      </c>
      <c r="K1419" s="124"/>
      <c r="L1419" s="124"/>
      <c r="M1419" s="124"/>
      <c r="N1419" s="124"/>
      <c r="O1419" s="124"/>
      <c r="T1419" s="126">
        <f>IFERROR(__xludf.DUMMYFUNCTION("""COMPUTED_VALUE"""),46062.0)</f>
        <v>46062</v>
      </c>
      <c r="U1419" s="124" t="str">
        <f>IFERROR(__xludf.DUMMYFUNCTION("""COMPUTED_VALUE"""),"Walk-Ins")</f>
        <v>Walk-Ins</v>
      </c>
      <c r="V1419" s="124" t="str">
        <f>IFERROR(__xludf.DUMMYFUNCTION("""COMPUTED_VALUE"""),"Walk-In")</f>
        <v>Walk-In</v>
      </c>
      <c r="W1419" s="124" t="str">
        <f>IFERROR(__xludf.DUMMYFUNCTION("""COMPUTED_VALUE"""),"Prayagraj")</f>
        <v>Prayagraj</v>
      </c>
      <c r="X1419" s="124" t="str">
        <f>IFERROR(__xludf.DUMMYFUNCTION("""COMPUTED_VALUE"""),"Shivanshi")</f>
        <v>Shivanshi</v>
      </c>
      <c r="Y1419" s="124" t="str">
        <f>IFERROR(__xludf.DUMMYFUNCTION("""COMPUTED_VALUE"""),"Prayagraj")</f>
        <v>Prayagraj</v>
      </c>
      <c r="Z1419" s="124">
        <f>IFERROR(__xludf.DUMMYFUNCTION("""COMPUTED_VALUE"""),2.0)</f>
        <v>2</v>
      </c>
      <c r="AA1419" s="124" t="str">
        <f>IFERROR(__xludf.DUMMYFUNCTION("""COMPUTED_VALUE"""),"Cold")</f>
        <v>Cold</v>
      </c>
      <c r="AB1419" s="124" t="str">
        <f>IFERROR(__xludf.DUMMYFUNCTION("""COMPUTED_VALUE"""),"GS Foundation")</f>
        <v>GS Foundation</v>
      </c>
    </row>
    <row r="1420">
      <c r="A1420" s="126">
        <f>IFERROR(__xludf.DUMMYFUNCTION("""COMPUTED_VALUE"""),46060.0)</f>
        <v>46060</v>
      </c>
      <c r="B1420" s="124" t="str">
        <f>IFERROR(__xludf.DUMMYFUNCTION("""COMPUTED_VALUE"""),"Walkin")</f>
        <v>Walkin</v>
      </c>
      <c r="C1420" s="124" t="str">
        <f>IFERROR(__xludf.DUMMYFUNCTION("""COMPUTED_VALUE"""),"Lucknow")</f>
        <v>Lucknow</v>
      </c>
      <c r="D1420" s="124" t="str">
        <f>IFERROR(__xludf.DUMMYFUNCTION("""COMPUTED_VALUE"""),"Primary_Walkin")</f>
        <v>Primary_Walkin</v>
      </c>
      <c r="E1420" s="124">
        <f>IFERROR(__xludf.DUMMYFUNCTION("""COMPUTED_VALUE"""),1.0)</f>
        <v>1</v>
      </c>
      <c r="F1420" s="124" t="str">
        <f>IFERROR(__xludf.DUMMYFUNCTION("""COMPUTED_VALUE"""),"Cold")</f>
        <v>Cold</v>
      </c>
      <c r="G1420" s="124" t="str">
        <f>IFERROR(__xludf.DUMMYFUNCTION("""COMPUTED_VALUE"""),"Other")</f>
        <v>Other</v>
      </c>
      <c r="K1420" s="124"/>
      <c r="L1420" s="124"/>
      <c r="M1420" s="124"/>
      <c r="N1420" s="124"/>
      <c r="O1420" s="124"/>
      <c r="T1420" s="129">
        <f>IFERROR(__xludf.DUMMYFUNCTION("""COMPUTED_VALUE"""),46082.0)</f>
        <v>46082</v>
      </c>
      <c r="U1420" s="124" t="str">
        <f>IFERROR(__xludf.DUMMYFUNCTION("""COMPUTED_VALUE"""),"Walk-Ins")</f>
        <v>Walk-Ins</v>
      </c>
      <c r="V1420" s="124" t="str">
        <f>IFERROR(__xludf.DUMMYFUNCTION("""COMPUTED_VALUE"""),"Walk-In")</f>
        <v>Walk-In</v>
      </c>
      <c r="W1420" s="124" t="str">
        <f>IFERROR(__xludf.DUMMYFUNCTION("""COMPUTED_VALUE"""),"Prayagraj")</f>
        <v>Prayagraj</v>
      </c>
      <c r="X1420" s="124" t="str">
        <f>IFERROR(__xludf.DUMMYFUNCTION("""COMPUTED_VALUE"""),"Shivanshi")</f>
        <v>Shivanshi</v>
      </c>
      <c r="Y1420" s="124" t="str">
        <f>IFERROR(__xludf.DUMMYFUNCTION("""COMPUTED_VALUE"""),"Prayagraj")</f>
        <v>Prayagraj</v>
      </c>
      <c r="Z1420" s="124">
        <f>IFERROR(__xludf.DUMMYFUNCTION("""COMPUTED_VALUE"""),1.0)</f>
        <v>1</v>
      </c>
      <c r="AA1420" s="124" t="str">
        <f>IFERROR(__xludf.DUMMYFUNCTION("""COMPUTED_VALUE"""),"Future Prospects")</f>
        <v>Future Prospects</v>
      </c>
      <c r="AB1420" s="124" t="str">
        <f>IFERROR(__xludf.DUMMYFUNCTION("""COMPUTED_VALUE"""),"GS Foundation")</f>
        <v>GS Foundation</v>
      </c>
    </row>
    <row r="1421">
      <c r="A1421" s="126">
        <f>IFERROR(__xludf.DUMMYFUNCTION("""COMPUTED_VALUE"""),46060.0)</f>
        <v>46060</v>
      </c>
      <c r="B1421" s="124" t="str">
        <f>IFERROR(__xludf.DUMMYFUNCTION("""COMPUTED_VALUE"""),"Walk-In")</f>
        <v>Walk-In</v>
      </c>
      <c r="C1421" s="124" t="str">
        <f>IFERROR(__xludf.DUMMYFUNCTION("""COMPUTED_VALUE"""),"Lucknow")</f>
        <v>Lucknow</v>
      </c>
      <c r="D1421" s="124" t="str">
        <f>IFERROR(__xludf.DUMMYFUNCTION("""COMPUTED_VALUE"""),"Primary_Walkin")</f>
        <v>Primary_Walkin</v>
      </c>
      <c r="E1421" s="124">
        <f>IFERROR(__xludf.DUMMYFUNCTION("""COMPUTED_VALUE"""),1.0)</f>
        <v>1</v>
      </c>
      <c r="F1421" s="124" t="str">
        <f>IFERROR(__xludf.DUMMYFUNCTION("""COMPUTED_VALUE"""),"Cold")</f>
        <v>Cold</v>
      </c>
      <c r="G1421" s="124" t="str">
        <f>IFERROR(__xludf.DUMMYFUNCTION("""COMPUTED_VALUE"""),"IGP UPPSC")</f>
        <v>IGP UPPSC</v>
      </c>
      <c r="K1421" s="124"/>
      <c r="L1421" s="124"/>
      <c r="M1421" s="124"/>
      <c r="N1421" s="124"/>
      <c r="O1421" s="124"/>
      <c r="T1421" s="129">
        <f>IFERROR(__xludf.DUMMYFUNCTION("""COMPUTED_VALUE"""),46081.0)</f>
        <v>46081</v>
      </c>
      <c r="U1421" s="124" t="str">
        <f>IFERROR(__xludf.DUMMYFUNCTION("""COMPUTED_VALUE"""),"Telephony")</f>
        <v>Telephony</v>
      </c>
      <c r="V1421" s="124" t="str">
        <f>IFERROR(__xludf.DUMMYFUNCTION("""COMPUTED_VALUE"""),"Inbound Call")</f>
        <v>Inbound Call</v>
      </c>
      <c r="W1421" s="124">
        <f>IFERROR(__xludf.DUMMYFUNCTION("""COMPUTED_VALUE"""),9.18047861631E11)</f>
        <v>918047861631</v>
      </c>
      <c r="X1421" s="124" t="str">
        <f>IFERROR(__xludf.DUMMYFUNCTION("""COMPUTED_VALUE"""),"Inbound Call")</f>
        <v>Inbound Call</v>
      </c>
      <c r="Y1421" s="124" t="str">
        <f>IFERROR(__xludf.DUMMYFUNCTION("""COMPUTED_VALUE"""),"Delhi")</f>
        <v>Delhi</v>
      </c>
      <c r="Z1421" s="124">
        <f>IFERROR(__xludf.DUMMYFUNCTION("""COMPUTED_VALUE"""),1.0)</f>
        <v>1</v>
      </c>
      <c r="AA1421" s="124" t="str">
        <f>IFERROR(__xludf.DUMMYFUNCTION("""COMPUTED_VALUE"""),"Cold")</f>
        <v>Cold</v>
      </c>
      <c r="AB1421" s="124"/>
    </row>
    <row r="1422">
      <c r="A1422" s="126">
        <f>IFERROR(__xludf.DUMMYFUNCTION("""COMPUTED_VALUE"""),46094.0)</f>
        <v>46094</v>
      </c>
      <c r="B1422" s="124" t="str">
        <f>IFERROR(__xludf.DUMMYFUNCTION("""COMPUTED_VALUE"""),"Walkin")</f>
        <v>Walkin</v>
      </c>
      <c r="C1422" s="124" t="str">
        <f>IFERROR(__xludf.DUMMYFUNCTION("""COMPUTED_VALUE"""),"Indore")</f>
        <v>Indore</v>
      </c>
      <c r="D1422" s="124" t="str">
        <f>IFERROR(__xludf.DUMMYFUNCTION("""COMPUTED_VALUE"""),"Primary_Walkin")</f>
        <v>Primary_Walkin</v>
      </c>
      <c r="E1422" s="124">
        <f>IFERROR(__xludf.DUMMYFUNCTION("""COMPUTED_VALUE"""),1.0)</f>
        <v>1</v>
      </c>
      <c r="F1422" s="124" t="str">
        <f>IFERROR(__xludf.DUMMYFUNCTION("""COMPUTED_VALUE"""),"Not Interested")</f>
        <v>Not Interested</v>
      </c>
      <c r="G1422" s="124" t="str">
        <f>IFERROR(__xludf.DUMMYFUNCTION("""COMPUTED_VALUE"""),"State PCS")</f>
        <v>State PCS</v>
      </c>
      <c r="K1422" s="124"/>
      <c r="L1422" s="124"/>
      <c r="M1422" s="124"/>
      <c r="N1422" s="124"/>
      <c r="O1422" s="124"/>
      <c r="T1422" s="129">
        <f>IFERROR(__xludf.DUMMYFUNCTION("""COMPUTED_VALUE"""),46078.0)</f>
        <v>46078</v>
      </c>
      <c r="U1422" s="124" t="str">
        <f>IFERROR(__xludf.DUMMYFUNCTION("""COMPUTED_VALUE"""),"Telephony")</f>
        <v>Telephony</v>
      </c>
      <c r="V1422" s="124" t="str">
        <f>IFERROR(__xludf.DUMMYFUNCTION("""COMPUTED_VALUE"""),"Inbound Call")</f>
        <v>Inbound Call</v>
      </c>
      <c r="W1422" s="124">
        <f>IFERROR(__xludf.DUMMYFUNCTION("""COMPUTED_VALUE"""),9.18047861631E11)</f>
        <v>918047861631</v>
      </c>
      <c r="X1422" s="124" t="str">
        <f>IFERROR(__xludf.DUMMYFUNCTION("""COMPUTED_VALUE"""),"Inbound Call")</f>
        <v>Inbound Call</v>
      </c>
      <c r="Y1422" s="124" t="str">
        <f>IFERROR(__xludf.DUMMYFUNCTION("""COMPUTED_VALUE"""),"Delhi")</f>
        <v>Delhi</v>
      </c>
      <c r="Z1422" s="124">
        <f>IFERROR(__xludf.DUMMYFUNCTION("""COMPUTED_VALUE"""),1.0)</f>
        <v>1</v>
      </c>
      <c r="AA1422" s="124" t="str">
        <f>IFERROR(__xludf.DUMMYFUNCTION("""COMPUTED_VALUE"""),"Fake Lead")</f>
        <v>Fake Lead</v>
      </c>
      <c r="AB1422" s="124"/>
    </row>
    <row r="1423">
      <c r="A1423" s="126">
        <f>IFERROR(__xludf.DUMMYFUNCTION("""COMPUTED_VALUE"""),46060.0)</f>
        <v>46060</v>
      </c>
      <c r="B1423" s="124" t="str">
        <f>IFERROR(__xludf.DUMMYFUNCTION("""COMPUTED_VALUE"""),"Walkin")</f>
        <v>Walkin</v>
      </c>
      <c r="C1423" s="124" t="str">
        <f>IFERROR(__xludf.DUMMYFUNCTION("""COMPUTED_VALUE"""),"Indore")</f>
        <v>Indore</v>
      </c>
      <c r="D1423" s="124" t="str">
        <f>IFERROR(__xludf.DUMMYFUNCTION("""COMPUTED_VALUE"""),"Primary_Walkin")</f>
        <v>Primary_Walkin</v>
      </c>
      <c r="E1423" s="124">
        <f>IFERROR(__xludf.DUMMYFUNCTION("""COMPUTED_VALUE"""),1.0)</f>
        <v>1</v>
      </c>
      <c r="F1423" s="124" t="str">
        <f>IFERROR(__xludf.DUMMYFUNCTION("""COMPUTED_VALUE"""),"Cold")</f>
        <v>Cold</v>
      </c>
      <c r="G1423" s="124" t="str">
        <f>IFERROR(__xludf.DUMMYFUNCTION("""COMPUTED_VALUE"""),"State PCS")</f>
        <v>State PCS</v>
      </c>
      <c r="K1423" s="124"/>
      <c r="L1423" s="124"/>
      <c r="M1423" s="124"/>
      <c r="N1423" s="124"/>
      <c r="O1423" s="124"/>
      <c r="T1423" s="129">
        <f>IFERROR(__xludf.DUMMYFUNCTION("""COMPUTED_VALUE"""),46062.0)</f>
        <v>46062</v>
      </c>
      <c r="U1423" s="124" t="str">
        <f>IFERROR(__xludf.DUMMYFUNCTION("""COMPUTED_VALUE"""),"Telephony")</f>
        <v>Telephony</v>
      </c>
      <c r="V1423" s="124" t="str">
        <f>IFERROR(__xludf.DUMMYFUNCTION("""COMPUTED_VALUE"""),"Inbound Call")</f>
        <v>Inbound Call</v>
      </c>
      <c r="W1423" s="124" t="str">
        <f>IFERROR(__xludf.DUMMYFUNCTION("""COMPUTED_VALUE"""),"Inbound Call")</f>
        <v>Inbound Call</v>
      </c>
      <c r="X1423" s="124" t="str">
        <f>IFERROR(__xludf.DUMMYFUNCTION("""COMPUTED_VALUE"""),"Inbound Call")</f>
        <v>Inbound Call</v>
      </c>
      <c r="Y1423" s="124"/>
      <c r="Z1423" s="124">
        <f>IFERROR(__xludf.DUMMYFUNCTION("""COMPUTED_VALUE"""),2.0)</f>
        <v>2</v>
      </c>
      <c r="AA1423" s="124" t="str">
        <f>IFERROR(__xludf.DUMMYFUNCTION("""COMPUTED_VALUE"""),"Cold")</f>
        <v>Cold</v>
      </c>
      <c r="AB1423" s="124"/>
    </row>
    <row r="1424">
      <c r="A1424" s="126">
        <f>IFERROR(__xludf.DUMMYFUNCTION("""COMPUTED_VALUE"""),46044.0)</f>
        <v>46044</v>
      </c>
      <c r="B1424" s="124" t="str">
        <f>IFERROR(__xludf.DUMMYFUNCTION("""COMPUTED_VALUE"""),"Walkin")</f>
        <v>Walkin</v>
      </c>
      <c r="C1424" s="124" t="str">
        <f>IFERROR(__xludf.DUMMYFUNCTION("""COMPUTED_VALUE"""),"Indore")</f>
        <v>Indore</v>
      </c>
      <c r="D1424" s="124" t="str">
        <f>IFERROR(__xludf.DUMMYFUNCTION("""COMPUTED_VALUE"""),"Primary_Walkin")</f>
        <v>Primary_Walkin</v>
      </c>
      <c r="E1424" s="124">
        <f>IFERROR(__xludf.DUMMYFUNCTION("""COMPUTED_VALUE"""),1.0)</f>
        <v>1</v>
      </c>
      <c r="F1424" s="124" t="str">
        <f>IFERROR(__xludf.DUMMYFUNCTION("""COMPUTED_VALUE"""),"Warm")</f>
        <v>Warm</v>
      </c>
      <c r="G1424" s="124" t="str">
        <f>IFERROR(__xludf.DUMMYFUNCTION("""COMPUTED_VALUE"""),"Other")</f>
        <v>Other</v>
      </c>
      <c r="K1424" s="124"/>
      <c r="L1424" s="124"/>
      <c r="M1424" s="124"/>
      <c r="N1424" s="124"/>
      <c r="O1424" s="124"/>
      <c r="T1424" s="129">
        <f>IFERROR(__xludf.DUMMYFUNCTION("""COMPUTED_VALUE"""),46065.0)</f>
        <v>46065</v>
      </c>
      <c r="U1424" s="124" t="str">
        <f>IFERROR(__xludf.DUMMYFUNCTION("""COMPUTED_VALUE"""),"Telephony")</f>
        <v>Telephony</v>
      </c>
      <c r="V1424" s="124" t="str">
        <f>IFERROR(__xludf.DUMMYFUNCTION("""COMPUTED_VALUE"""),"Inbound Call")</f>
        <v>Inbound Call</v>
      </c>
      <c r="W1424" s="124">
        <f>IFERROR(__xludf.DUMMYFUNCTION("""COMPUTED_VALUE"""),9.18047861635E11)</f>
        <v>918047861635</v>
      </c>
      <c r="X1424" s="124" t="str">
        <f>IFERROR(__xludf.DUMMYFUNCTION("""COMPUTED_VALUE"""),"Inbound Call")</f>
        <v>Inbound Call</v>
      </c>
      <c r="Y1424" s="124" t="str">
        <f>IFERROR(__xludf.DUMMYFUNCTION("""COMPUTED_VALUE"""),"Indore")</f>
        <v>Indore</v>
      </c>
      <c r="Z1424" s="124">
        <f>IFERROR(__xludf.DUMMYFUNCTION("""COMPUTED_VALUE"""),2.0)</f>
        <v>2</v>
      </c>
      <c r="AA1424" s="124" t="str">
        <f>IFERROR(__xludf.DUMMYFUNCTION("""COMPUTED_VALUE"""),"Not Interested")</f>
        <v>Not Interested</v>
      </c>
      <c r="AB1424" s="124"/>
    </row>
    <row r="1425">
      <c r="A1425" s="126">
        <f>IFERROR(__xludf.DUMMYFUNCTION("""COMPUTED_VALUE"""),46072.0)</f>
        <v>46072</v>
      </c>
      <c r="B1425" s="124" t="str">
        <f>IFERROR(__xludf.DUMMYFUNCTION("""COMPUTED_VALUE"""),"Walkin")</f>
        <v>Walkin</v>
      </c>
      <c r="C1425" s="124" t="str">
        <f>IFERROR(__xludf.DUMMYFUNCTION("""COMPUTED_VALUE"""),"Lucknow")</f>
        <v>Lucknow</v>
      </c>
      <c r="D1425" s="124" t="str">
        <f>IFERROR(__xludf.DUMMYFUNCTION("""COMPUTED_VALUE"""),"Primary_Walkin")</f>
        <v>Primary_Walkin</v>
      </c>
      <c r="E1425" s="124">
        <f>IFERROR(__xludf.DUMMYFUNCTION("""COMPUTED_VALUE"""),3.0)</f>
        <v>3</v>
      </c>
      <c r="F1425" s="124" t="str">
        <f>IFERROR(__xludf.DUMMYFUNCTION("""COMPUTED_VALUE"""),"Cold")</f>
        <v>Cold</v>
      </c>
      <c r="G1425" s="124" t="str">
        <f>IFERROR(__xludf.DUMMYFUNCTION("""COMPUTED_VALUE"""),"State PCS")</f>
        <v>State PCS</v>
      </c>
      <c r="K1425" s="124"/>
      <c r="L1425" s="124"/>
      <c r="M1425" s="124"/>
      <c r="N1425" s="124"/>
      <c r="O1425" s="124"/>
      <c r="T1425" s="126">
        <f>IFERROR(__xludf.DUMMYFUNCTION("""COMPUTED_VALUE"""),46073.0)</f>
        <v>46073</v>
      </c>
      <c r="U1425" s="124" t="str">
        <f>IFERROR(__xludf.DUMMYFUNCTION("""COMPUTED_VALUE"""),"Telephony")</f>
        <v>Telephony</v>
      </c>
      <c r="V1425" s="124" t="str">
        <f>IFERROR(__xludf.DUMMYFUNCTION("""COMPUTED_VALUE"""),"Inbound Call")</f>
        <v>Inbound Call</v>
      </c>
      <c r="W1425" s="124" t="str">
        <f>IFERROR(__xludf.DUMMYFUNCTION("""COMPUTED_VALUE"""),"Inbound Call")</f>
        <v>Inbound Call</v>
      </c>
      <c r="X1425" s="124" t="str">
        <f>IFERROR(__xludf.DUMMYFUNCTION("""COMPUTED_VALUE"""),"Inbound Call")</f>
        <v>Inbound Call</v>
      </c>
      <c r="Y1425" s="124"/>
      <c r="Z1425" s="124">
        <f>IFERROR(__xludf.DUMMYFUNCTION("""COMPUTED_VALUE"""),1.0)</f>
        <v>1</v>
      </c>
      <c r="AA1425" s="124" t="str">
        <f>IFERROR(__xludf.DUMMYFUNCTION("""COMPUTED_VALUE"""),"Cold")</f>
        <v>Cold</v>
      </c>
      <c r="AB1425" s="124"/>
    </row>
    <row r="1426">
      <c r="A1426" s="129">
        <f>IFERROR(__xludf.DUMMYFUNCTION("""COMPUTED_VALUE"""),46058.0)</f>
        <v>46058</v>
      </c>
      <c r="B1426" s="124" t="str">
        <f>IFERROR(__xludf.DUMMYFUNCTION("""COMPUTED_VALUE"""),"Walkin")</f>
        <v>Walkin</v>
      </c>
      <c r="C1426" s="124" t="str">
        <f>IFERROR(__xludf.DUMMYFUNCTION("""COMPUTED_VALUE"""),"Indore")</f>
        <v>Indore</v>
      </c>
      <c r="D1426" s="124" t="str">
        <f>IFERROR(__xludf.DUMMYFUNCTION("""COMPUTED_VALUE"""),"Primary_Walkin")</f>
        <v>Primary_Walkin</v>
      </c>
      <c r="E1426" s="124">
        <f>IFERROR(__xludf.DUMMYFUNCTION("""COMPUTED_VALUE"""),2.0)</f>
        <v>2</v>
      </c>
      <c r="F1426" s="124" t="str">
        <f>IFERROR(__xludf.DUMMYFUNCTION("""COMPUTED_VALUE"""),"Cold")</f>
        <v>Cold</v>
      </c>
      <c r="G1426" s="124" t="str">
        <f>IFERROR(__xludf.DUMMYFUNCTION("""COMPUTED_VALUE"""),"State PCS")</f>
        <v>State PCS</v>
      </c>
      <c r="K1426" s="124"/>
      <c r="L1426" s="124"/>
      <c r="M1426" s="124"/>
      <c r="N1426" s="124"/>
      <c r="O1426" s="124"/>
      <c r="T1426" s="126">
        <f>IFERROR(__xludf.DUMMYFUNCTION("""COMPUTED_VALUE"""),46050.0)</f>
        <v>46050</v>
      </c>
      <c r="U1426" s="124" t="str">
        <f>IFERROR(__xludf.DUMMYFUNCTION("""COMPUTED_VALUE"""),"Telephony")</f>
        <v>Telephony</v>
      </c>
      <c r="V1426" s="124" t="str">
        <f>IFERROR(__xludf.DUMMYFUNCTION("""COMPUTED_VALUE"""),"Inbound Call")</f>
        <v>Inbound Call</v>
      </c>
      <c r="W1426" s="124">
        <f>IFERROR(__xludf.DUMMYFUNCTION("""COMPUTED_VALUE"""),9.18047861663E11)</f>
        <v>918047861663</v>
      </c>
      <c r="X1426" s="124" t="str">
        <f>IFERROR(__xludf.DUMMYFUNCTION("""COMPUTED_VALUE"""),"Inbound Call")</f>
        <v>Inbound Call</v>
      </c>
      <c r="Y1426" s="124"/>
      <c r="Z1426" s="124">
        <f>IFERROR(__xludf.DUMMYFUNCTION("""COMPUTED_VALUE"""),4.0)</f>
        <v>4</v>
      </c>
      <c r="AA1426" s="124" t="str">
        <f>IFERROR(__xludf.DUMMYFUNCTION("""COMPUTED_VALUE"""),"Fake Lead")</f>
        <v>Fake Lead</v>
      </c>
      <c r="AB1426" s="124"/>
    </row>
    <row r="1427">
      <c r="A1427" s="126">
        <f>IFERROR(__xludf.DUMMYFUNCTION("""COMPUTED_VALUE"""),46106.0)</f>
        <v>46106</v>
      </c>
      <c r="B1427" s="124" t="str">
        <f>IFERROR(__xludf.DUMMYFUNCTION("""COMPUTED_VALUE"""),"Walkin")</f>
        <v>Walkin</v>
      </c>
      <c r="C1427" s="124" t="str">
        <f>IFERROR(__xludf.DUMMYFUNCTION("""COMPUTED_VALUE"""),"Indore")</f>
        <v>Indore</v>
      </c>
      <c r="D1427" s="124" t="str">
        <f>IFERROR(__xludf.DUMMYFUNCTION("""COMPUTED_VALUE"""),"Primary_Walkin")</f>
        <v>Primary_Walkin</v>
      </c>
      <c r="E1427" s="124">
        <f>IFERROR(__xludf.DUMMYFUNCTION("""COMPUTED_VALUE"""),1.0)</f>
        <v>1</v>
      </c>
      <c r="F1427" s="124" t="str">
        <f>IFERROR(__xludf.DUMMYFUNCTION("""COMPUTED_VALUE"""),"Cold")</f>
        <v>Cold</v>
      </c>
      <c r="G1427" s="124" t="str">
        <f>IFERROR(__xludf.DUMMYFUNCTION("""COMPUTED_VALUE"""),"Other")</f>
        <v>Other</v>
      </c>
      <c r="K1427" s="124"/>
      <c r="L1427" s="124"/>
      <c r="M1427" s="124"/>
      <c r="N1427" s="124"/>
      <c r="O1427" s="124"/>
      <c r="T1427" s="126">
        <f>IFERROR(__xludf.DUMMYFUNCTION("""COMPUTED_VALUE"""),46110.0)</f>
        <v>46110</v>
      </c>
      <c r="U1427" s="124" t="str">
        <f>IFERROR(__xludf.DUMMYFUNCTION("""COMPUTED_VALUE"""),"Telephony")</f>
        <v>Telephony</v>
      </c>
      <c r="V1427" s="124" t="str">
        <f>IFERROR(__xludf.DUMMYFUNCTION("""COMPUTED_VALUE"""),"Inbound Call")</f>
        <v>Inbound Call</v>
      </c>
      <c r="W1427" s="124">
        <f>IFERROR(__xludf.DUMMYFUNCTION("""COMPUTED_VALUE"""),9.18047861663E11)</f>
        <v>918047861663</v>
      </c>
      <c r="X1427" s="124" t="str">
        <f>IFERROR(__xludf.DUMMYFUNCTION("""COMPUTED_VALUE"""),"Inbound Call")</f>
        <v>Inbound Call</v>
      </c>
      <c r="Y1427" s="124"/>
      <c r="Z1427" s="124">
        <f>IFERROR(__xludf.DUMMYFUNCTION("""COMPUTED_VALUE"""),2.0)</f>
        <v>2</v>
      </c>
      <c r="AA1427" s="124" t="str">
        <f>IFERROR(__xludf.DUMMYFUNCTION("""COMPUTED_VALUE"""),"Cold")</f>
        <v>Cold</v>
      </c>
      <c r="AB1427" s="124"/>
    </row>
    <row r="1428">
      <c r="A1428" s="126">
        <f>IFERROR(__xludf.DUMMYFUNCTION("""COMPUTED_VALUE"""),46112.0)</f>
        <v>46112</v>
      </c>
      <c r="B1428" s="124" t="str">
        <f>IFERROR(__xludf.DUMMYFUNCTION("""COMPUTED_VALUE"""),"Walkin")</f>
        <v>Walkin</v>
      </c>
      <c r="C1428" s="124" t="str">
        <f>IFERROR(__xludf.DUMMYFUNCTION("""COMPUTED_VALUE"""),"Lucknow")</f>
        <v>Lucknow</v>
      </c>
      <c r="D1428" s="124" t="str">
        <f>IFERROR(__xludf.DUMMYFUNCTION("""COMPUTED_VALUE"""),"Primary_Walkin")</f>
        <v>Primary_Walkin</v>
      </c>
      <c r="E1428" s="124">
        <f>IFERROR(__xludf.DUMMYFUNCTION("""COMPUTED_VALUE"""),1.0)</f>
        <v>1</v>
      </c>
      <c r="F1428" s="124" t="str">
        <f>IFERROR(__xludf.DUMMYFUNCTION("""COMPUTED_VALUE"""),"Warm")</f>
        <v>Warm</v>
      </c>
      <c r="G1428" s="124" t="str">
        <f>IFERROR(__xludf.DUMMYFUNCTION("""COMPUTED_VALUE"""),"GS Foundation")</f>
        <v>GS Foundation</v>
      </c>
      <c r="K1428" s="124"/>
      <c r="L1428" s="124"/>
      <c r="M1428" s="124"/>
      <c r="N1428" s="124"/>
      <c r="O1428" s="124"/>
      <c r="T1428" s="129">
        <f>IFERROR(__xludf.DUMMYFUNCTION("""COMPUTED_VALUE"""),46067.0)</f>
        <v>46067</v>
      </c>
      <c r="U1428" s="124" t="str">
        <f>IFERROR(__xludf.DUMMYFUNCTION("""COMPUTED_VALUE"""),"Telephony")</f>
        <v>Telephony</v>
      </c>
      <c r="V1428" s="124" t="str">
        <f>IFERROR(__xludf.DUMMYFUNCTION("""COMPUTED_VALUE"""),"Inbound Call")</f>
        <v>Inbound Call</v>
      </c>
      <c r="W1428" s="124">
        <f>IFERROR(__xludf.DUMMYFUNCTION("""COMPUTED_VALUE"""),9.18047861633E11)</f>
        <v>918047861633</v>
      </c>
      <c r="X1428" s="124" t="str">
        <f>IFERROR(__xludf.DUMMYFUNCTION("""COMPUTED_VALUE"""),"Inbound Call")</f>
        <v>Inbound Call</v>
      </c>
      <c r="Y1428" s="124"/>
      <c r="Z1428" s="124">
        <f>IFERROR(__xludf.DUMMYFUNCTION("""COMPUTED_VALUE"""),2.0)</f>
        <v>2</v>
      </c>
      <c r="AA1428" s="124" t="str">
        <f>IFERROR(__xludf.DUMMYFUNCTION("""COMPUTED_VALUE"""),"Cold")</f>
        <v>Cold</v>
      </c>
      <c r="AB1428" s="124"/>
    </row>
    <row r="1429">
      <c r="A1429" s="126">
        <f>IFERROR(__xludf.DUMMYFUNCTION("""COMPUTED_VALUE"""),46073.0)</f>
        <v>46073</v>
      </c>
      <c r="B1429" s="124" t="str">
        <f>IFERROR(__xludf.DUMMYFUNCTION("""COMPUTED_VALUE"""),"Walkin")</f>
        <v>Walkin</v>
      </c>
      <c r="C1429" s="124" t="str">
        <f>IFERROR(__xludf.DUMMYFUNCTION("""COMPUTED_VALUE"""),"Indore")</f>
        <v>Indore</v>
      </c>
      <c r="D1429" s="124" t="str">
        <f>IFERROR(__xludf.DUMMYFUNCTION("""COMPUTED_VALUE"""),"Primary_Walkin")</f>
        <v>Primary_Walkin</v>
      </c>
      <c r="E1429" s="124">
        <f>IFERROR(__xludf.DUMMYFUNCTION("""COMPUTED_VALUE"""),1.0)</f>
        <v>1</v>
      </c>
      <c r="F1429" s="124" t="str">
        <f>IFERROR(__xludf.DUMMYFUNCTION("""COMPUTED_VALUE"""),"Enrolled")</f>
        <v>Enrolled</v>
      </c>
      <c r="G1429" s="124" t="str">
        <f>IFERROR(__xludf.DUMMYFUNCTION("""COMPUTED_VALUE"""),"Other")</f>
        <v>Other</v>
      </c>
      <c r="K1429" s="124"/>
      <c r="L1429" s="124"/>
      <c r="M1429" s="124"/>
      <c r="N1429" s="124"/>
      <c r="O1429" s="124"/>
      <c r="T1429" s="126">
        <f>IFERROR(__xludf.DUMMYFUNCTION("""COMPUTED_VALUE"""),46072.0)</f>
        <v>46072</v>
      </c>
      <c r="U1429" s="124" t="str">
        <f>IFERROR(__xludf.DUMMYFUNCTION("""COMPUTED_VALUE"""),"Telephony")</f>
        <v>Telephony</v>
      </c>
      <c r="V1429" s="124" t="str">
        <f>IFERROR(__xludf.DUMMYFUNCTION("""COMPUTED_VALUE"""),"Inbound Call")</f>
        <v>Inbound Call</v>
      </c>
      <c r="W1429" s="124" t="str">
        <f>IFERROR(__xludf.DUMMYFUNCTION("""COMPUTED_VALUE"""),"Inbound Call")</f>
        <v>Inbound Call</v>
      </c>
      <c r="X1429" s="124" t="str">
        <f>IFERROR(__xludf.DUMMYFUNCTION("""COMPUTED_VALUE"""),"Inbound Call")</f>
        <v>Inbound Call</v>
      </c>
      <c r="Y1429" s="124"/>
      <c r="Z1429" s="124">
        <f>IFERROR(__xludf.DUMMYFUNCTION("""COMPUTED_VALUE"""),2.0)</f>
        <v>2</v>
      </c>
      <c r="AA1429" s="124" t="str">
        <f>IFERROR(__xludf.DUMMYFUNCTION("""COMPUTED_VALUE"""),"Fake Lead")</f>
        <v>Fake Lead</v>
      </c>
      <c r="AB1429" s="124"/>
    </row>
    <row r="1430">
      <c r="A1430" s="126">
        <f>IFERROR(__xludf.DUMMYFUNCTION("""COMPUTED_VALUE"""),46093.0)</f>
        <v>46093</v>
      </c>
      <c r="B1430" s="124" t="str">
        <f>IFERROR(__xludf.DUMMYFUNCTION("""COMPUTED_VALUE"""),"Walkin")</f>
        <v>Walkin</v>
      </c>
      <c r="C1430" s="124" t="str">
        <f>IFERROR(__xludf.DUMMYFUNCTION("""COMPUTED_VALUE"""),"Lucknow")</f>
        <v>Lucknow</v>
      </c>
      <c r="D1430" s="124" t="str">
        <f>IFERROR(__xludf.DUMMYFUNCTION("""COMPUTED_VALUE"""),"Primary_Walkin")</f>
        <v>Primary_Walkin</v>
      </c>
      <c r="E1430" s="124">
        <f>IFERROR(__xludf.DUMMYFUNCTION("""COMPUTED_VALUE"""),1.0)</f>
        <v>1</v>
      </c>
      <c r="F1430" s="124" t="str">
        <f>IFERROR(__xludf.DUMMYFUNCTION("""COMPUTED_VALUE"""),"Cold")</f>
        <v>Cold</v>
      </c>
      <c r="G1430" s="124" t="str">
        <f>IFERROR(__xludf.DUMMYFUNCTION("""COMPUTED_VALUE"""),"GS Foundation")</f>
        <v>GS Foundation</v>
      </c>
      <c r="K1430" s="124"/>
      <c r="L1430" s="124"/>
      <c r="M1430" s="124"/>
      <c r="N1430" s="124"/>
      <c r="O1430" s="124"/>
      <c r="T1430" s="129">
        <f>IFERROR(__xludf.DUMMYFUNCTION("""COMPUTED_VALUE"""),46105.0)</f>
        <v>46105</v>
      </c>
      <c r="U1430" s="124" t="str">
        <f>IFERROR(__xludf.DUMMYFUNCTION("""COMPUTED_VALUE"""),"Telephony")</f>
        <v>Telephony</v>
      </c>
      <c r="V1430" s="124" t="str">
        <f>IFERROR(__xludf.DUMMYFUNCTION("""COMPUTED_VALUE"""),"Inbound Call")</f>
        <v>Inbound Call</v>
      </c>
      <c r="W1430" s="124">
        <f>IFERROR(__xludf.DUMMYFUNCTION("""COMPUTED_VALUE"""),9.18047861631E11)</f>
        <v>918047861631</v>
      </c>
      <c r="X1430" s="124" t="str">
        <f>IFERROR(__xludf.DUMMYFUNCTION("""COMPUTED_VALUE"""),"Inbound Call")</f>
        <v>Inbound Call</v>
      </c>
      <c r="Y1430" s="124"/>
      <c r="Z1430" s="124">
        <f>IFERROR(__xludf.DUMMYFUNCTION("""COMPUTED_VALUE"""),1.0)</f>
        <v>1</v>
      </c>
      <c r="AA1430" s="124" t="str">
        <f>IFERROR(__xludf.DUMMYFUNCTION("""COMPUTED_VALUE"""),"Fake Lead")</f>
        <v>Fake Lead</v>
      </c>
      <c r="AB1430" s="124"/>
    </row>
    <row r="1431">
      <c r="A1431" s="126">
        <f>IFERROR(__xludf.DUMMYFUNCTION("""COMPUTED_VALUE"""),46063.0)</f>
        <v>46063</v>
      </c>
      <c r="B1431" s="124" t="str">
        <f>IFERROR(__xludf.DUMMYFUNCTION("""COMPUTED_VALUE"""),"Walkin")</f>
        <v>Walkin</v>
      </c>
      <c r="C1431" s="124" t="str">
        <f>IFERROR(__xludf.DUMMYFUNCTION("""COMPUTED_VALUE"""),"Lucknow")</f>
        <v>Lucknow</v>
      </c>
      <c r="D1431" s="124" t="str">
        <f>IFERROR(__xludf.DUMMYFUNCTION("""COMPUTED_VALUE"""),"Primary_Walkin")</f>
        <v>Primary_Walkin</v>
      </c>
      <c r="E1431" s="124">
        <f>IFERROR(__xludf.DUMMYFUNCTION("""COMPUTED_VALUE"""),1.0)</f>
        <v>1</v>
      </c>
      <c r="F1431" s="124" t="str">
        <f>IFERROR(__xludf.DUMMYFUNCTION("""COMPUTED_VALUE"""),"Not Interested")</f>
        <v>Not Interested</v>
      </c>
      <c r="G1431" s="124" t="str">
        <f>IFERROR(__xludf.DUMMYFUNCTION("""COMPUTED_VALUE"""),"GS Foundation")</f>
        <v>GS Foundation</v>
      </c>
      <c r="K1431" s="124"/>
      <c r="L1431" s="124"/>
      <c r="M1431" s="124"/>
      <c r="N1431" s="124"/>
      <c r="O1431" s="124"/>
      <c r="T1431" s="126">
        <f>IFERROR(__xludf.DUMMYFUNCTION("""COMPUTED_VALUE"""),46079.0)</f>
        <v>46079</v>
      </c>
      <c r="U1431" s="124" t="str">
        <f>IFERROR(__xludf.DUMMYFUNCTION("""COMPUTED_VALUE"""),"Telephony")</f>
        <v>Telephony</v>
      </c>
      <c r="V1431" s="124" t="str">
        <f>IFERROR(__xludf.DUMMYFUNCTION("""COMPUTED_VALUE"""),"Inbound Call")</f>
        <v>Inbound Call</v>
      </c>
      <c r="W1431" s="124" t="str">
        <f>IFERROR(__xludf.DUMMYFUNCTION("""COMPUTED_VALUE"""),"Inbound Call")</f>
        <v>Inbound Call</v>
      </c>
      <c r="X1431" s="124" t="str">
        <f>IFERROR(__xludf.DUMMYFUNCTION("""COMPUTED_VALUE"""),"Inbound Call")</f>
        <v>Inbound Call</v>
      </c>
      <c r="Y1431" s="124" t="str">
        <f>IFERROR(__xludf.DUMMYFUNCTION("""COMPUTED_VALUE"""),"Indore")</f>
        <v>Indore</v>
      </c>
      <c r="Z1431" s="124">
        <f>IFERROR(__xludf.DUMMYFUNCTION("""COMPUTED_VALUE"""),1.0)</f>
        <v>1</v>
      </c>
      <c r="AA1431" s="124" t="str">
        <f>IFERROR(__xludf.DUMMYFUNCTION("""COMPUTED_VALUE"""),"Future Prospects")</f>
        <v>Future Prospects</v>
      </c>
      <c r="AB1431" s="124" t="str">
        <f>IFERROR(__xludf.DUMMYFUNCTION("""COMPUTED_VALUE"""),"State PCS")</f>
        <v>State PCS</v>
      </c>
    </row>
    <row r="1432">
      <c r="A1432" s="129">
        <f>IFERROR(__xludf.DUMMYFUNCTION("""COMPUTED_VALUE"""),46049.0)</f>
        <v>46049</v>
      </c>
      <c r="B1432" s="124" t="str">
        <f>IFERROR(__xludf.DUMMYFUNCTION("""COMPUTED_VALUE"""),"Walkin")</f>
        <v>Walkin</v>
      </c>
      <c r="C1432" s="124" t="str">
        <f>IFERROR(__xludf.DUMMYFUNCTION("""COMPUTED_VALUE"""),"Indore")</f>
        <v>Indore</v>
      </c>
      <c r="D1432" s="124" t="str">
        <f>IFERROR(__xludf.DUMMYFUNCTION("""COMPUTED_VALUE"""),"Primary_Walkin")</f>
        <v>Primary_Walkin</v>
      </c>
      <c r="E1432" s="124">
        <f>IFERROR(__xludf.DUMMYFUNCTION("""COMPUTED_VALUE"""),1.0)</f>
        <v>1</v>
      </c>
      <c r="F1432" s="124" t="str">
        <f>IFERROR(__xludf.DUMMYFUNCTION("""COMPUTED_VALUE"""),"Not Interested")</f>
        <v>Not Interested</v>
      </c>
      <c r="G1432" s="124" t="str">
        <f>IFERROR(__xludf.DUMMYFUNCTION("""COMPUTED_VALUE"""),"GS Foundation")</f>
        <v>GS Foundation</v>
      </c>
      <c r="K1432" s="124"/>
      <c r="L1432" s="124"/>
      <c r="M1432" s="124"/>
      <c r="N1432" s="124"/>
      <c r="O1432" s="124"/>
      <c r="T1432" s="129">
        <f>IFERROR(__xludf.DUMMYFUNCTION("""COMPUTED_VALUE"""),46045.0)</f>
        <v>46045</v>
      </c>
      <c r="U1432" s="124" t="str">
        <f>IFERROR(__xludf.DUMMYFUNCTION("""COMPUTED_VALUE"""),"Telephony")</f>
        <v>Telephony</v>
      </c>
      <c r="V1432" s="124" t="str">
        <f>IFERROR(__xludf.DUMMYFUNCTION("""COMPUTED_VALUE"""),"Inbound Call")</f>
        <v>Inbound Call</v>
      </c>
      <c r="W1432" s="124">
        <f>IFERROR(__xludf.DUMMYFUNCTION("""COMPUTED_VALUE"""),9.18047861633E11)</f>
        <v>918047861633</v>
      </c>
      <c r="X1432" s="124" t="str">
        <f>IFERROR(__xludf.DUMMYFUNCTION("""COMPUTED_VALUE"""),"Inbound Call")</f>
        <v>Inbound Call</v>
      </c>
      <c r="Y1432" s="124"/>
      <c r="Z1432" s="124">
        <f>IFERROR(__xludf.DUMMYFUNCTION("""COMPUTED_VALUE"""),5.0)</f>
        <v>5</v>
      </c>
      <c r="AA1432" s="124" t="str">
        <f>IFERROR(__xludf.DUMMYFUNCTION("""COMPUTED_VALUE"""),"Cold")</f>
        <v>Cold</v>
      </c>
      <c r="AB1432" s="124"/>
    </row>
    <row r="1433">
      <c r="A1433" s="126">
        <f>IFERROR(__xludf.DUMMYFUNCTION("""COMPUTED_VALUE"""),46091.0)</f>
        <v>46091</v>
      </c>
      <c r="B1433" s="124" t="str">
        <f>IFERROR(__xludf.DUMMYFUNCTION("""COMPUTED_VALUE"""),"Walkin")</f>
        <v>Walkin</v>
      </c>
      <c r="C1433" s="124" t="str">
        <f>IFERROR(__xludf.DUMMYFUNCTION("""COMPUTED_VALUE"""),"Indore")</f>
        <v>Indore</v>
      </c>
      <c r="D1433" s="124" t="str">
        <f>IFERROR(__xludf.DUMMYFUNCTION("""COMPUTED_VALUE"""),"Primary_Walkin")</f>
        <v>Primary_Walkin</v>
      </c>
      <c r="E1433" s="124">
        <f>IFERROR(__xludf.DUMMYFUNCTION("""COMPUTED_VALUE"""),1.0)</f>
        <v>1</v>
      </c>
      <c r="F1433" s="124" t="str">
        <f>IFERROR(__xludf.DUMMYFUNCTION("""COMPUTED_VALUE"""),"Cold")</f>
        <v>Cold</v>
      </c>
      <c r="G1433" s="124" t="str">
        <f>IFERROR(__xludf.DUMMYFUNCTION("""COMPUTED_VALUE"""),"GS Foundation")</f>
        <v>GS Foundation</v>
      </c>
      <c r="K1433" s="124"/>
      <c r="L1433" s="124"/>
      <c r="M1433" s="124"/>
      <c r="N1433" s="124"/>
      <c r="O1433" s="124"/>
      <c r="T1433" s="129">
        <f>IFERROR(__xludf.DUMMYFUNCTION("""COMPUTED_VALUE"""),46054.0)</f>
        <v>46054</v>
      </c>
      <c r="U1433" s="124" t="str">
        <f>IFERROR(__xludf.DUMMYFUNCTION("""COMPUTED_VALUE"""),"Telephony")</f>
        <v>Telephony</v>
      </c>
      <c r="V1433" s="124" t="str">
        <f>IFERROR(__xludf.DUMMYFUNCTION("""COMPUTED_VALUE"""),"Inbound Call")</f>
        <v>Inbound Call</v>
      </c>
      <c r="W1433" s="124">
        <f>IFERROR(__xludf.DUMMYFUNCTION("""COMPUTED_VALUE"""),9.18047861663E11)</f>
        <v>918047861663</v>
      </c>
      <c r="X1433" s="124" t="str">
        <f>IFERROR(__xludf.DUMMYFUNCTION("""COMPUTED_VALUE"""),"Inbound Call")</f>
        <v>Inbound Call</v>
      </c>
      <c r="Y1433" s="124"/>
      <c r="Z1433" s="124">
        <f>IFERROR(__xludf.DUMMYFUNCTION("""COMPUTED_VALUE"""),3.0)</f>
        <v>3</v>
      </c>
      <c r="AA1433" s="124" t="str">
        <f>IFERROR(__xludf.DUMMYFUNCTION("""COMPUTED_VALUE"""),"Cold")</f>
        <v>Cold</v>
      </c>
      <c r="AB1433" s="124"/>
    </row>
    <row r="1434">
      <c r="A1434" s="126">
        <f>IFERROR(__xludf.DUMMYFUNCTION("""COMPUTED_VALUE"""),46051.0)</f>
        <v>46051</v>
      </c>
      <c r="B1434" s="124" t="str">
        <f>IFERROR(__xludf.DUMMYFUNCTION("""COMPUTED_VALUE"""),"Walkin")</f>
        <v>Walkin</v>
      </c>
      <c r="C1434" s="124" t="str">
        <f>IFERROR(__xludf.DUMMYFUNCTION("""COMPUTED_VALUE"""),"Lucknow")</f>
        <v>Lucknow</v>
      </c>
      <c r="D1434" s="124" t="str">
        <f>IFERROR(__xludf.DUMMYFUNCTION("""COMPUTED_VALUE"""),"Primary_Walkin")</f>
        <v>Primary_Walkin</v>
      </c>
      <c r="E1434" s="124">
        <f>IFERROR(__xludf.DUMMYFUNCTION("""COMPUTED_VALUE"""),1.0)</f>
        <v>1</v>
      </c>
      <c r="F1434" s="124" t="str">
        <f>IFERROR(__xludf.DUMMYFUNCTION("""COMPUTED_VALUE"""),"Cold")</f>
        <v>Cold</v>
      </c>
      <c r="G1434" s="124" t="str">
        <f>IFERROR(__xludf.DUMMYFUNCTION("""COMPUTED_VALUE"""),"GS Foundation")</f>
        <v>GS Foundation</v>
      </c>
      <c r="K1434" s="124"/>
      <c r="L1434" s="124"/>
      <c r="M1434" s="124"/>
      <c r="N1434" s="124"/>
      <c r="O1434" s="124"/>
      <c r="T1434" s="126">
        <f>IFERROR(__xludf.DUMMYFUNCTION("""COMPUTED_VALUE"""),46079.0)</f>
        <v>46079</v>
      </c>
      <c r="U1434" s="124" t="str">
        <f>IFERROR(__xludf.DUMMYFUNCTION("""COMPUTED_VALUE"""),"Telephony")</f>
        <v>Telephony</v>
      </c>
      <c r="V1434" s="124" t="str">
        <f>IFERROR(__xludf.DUMMYFUNCTION("""COMPUTED_VALUE"""),"Inbound Call")</f>
        <v>Inbound Call</v>
      </c>
      <c r="W1434" s="124" t="str">
        <f>IFERROR(__xludf.DUMMYFUNCTION("""COMPUTED_VALUE"""),"Inbound Call")</f>
        <v>Inbound Call</v>
      </c>
      <c r="X1434" s="124" t="str">
        <f>IFERROR(__xludf.DUMMYFUNCTION("""COMPUTED_VALUE"""),"Inbound Call")</f>
        <v>Inbound Call</v>
      </c>
      <c r="Y1434" s="124" t="str">
        <f>IFERROR(__xludf.DUMMYFUNCTION("""COMPUTED_VALUE"""),"Patna")</f>
        <v>Patna</v>
      </c>
      <c r="Z1434" s="124">
        <f>IFERROR(__xludf.DUMMYFUNCTION("""COMPUTED_VALUE"""),1.0)</f>
        <v>1</v>
      </c>
      <c r="AA1434" s="124" t="str">
        <f>IFERROR(__xludf.DUMMYFUNCTION("""COMPUTED_VALUE"""),"Cold")</f>
        <v>Cold</v>
      </c>
      <c r="AB1434" s="124" t="str">
        <f>IFERROR(__xludf.DUMMYFUNCTION("""COMPUTED_VALUE"""),"Other")</f>
        <v>Other</v>
      </c>
    </row>
    <row r="1435">
      <c r="A1435" s="126">
        <f>IFERROR(__xludf.DUMMYFUNCTION("""COMPUTED_VALUE"""),46061.0)</f>
        <v>46061</v>
      </c>
      <c r="B1435" s="124" t="str">
        <f>IFERROR(__xludf.DUMMYFUNCTION("""COMPUTED_VALUE"""),"Walk-In")</f>
        <v>Walk-In</v>
      </c>
      <c r="C1435" s="124" t="str">
        <f>IFERROR(__xludf.DUMMYFUNCTION("""COMPUTED_VALUE"""),"Lucknow")</f>
        <v>Lucknow</v>
      </c>
      <c r="D1435" s="124" t="str">
        <f>IFERROR(__xludf.DUMMYFUNCTION("""COMPUTED_VALUE"""),"Primary_Walkin")</f>
        <v>Primary_Walkin</v>
      </c>
      <c r="E1435" s="124">
        <f>IFERROR(__xludf.DUMMYFUNCTION("""COMPUTED_VALUE"""),1.0)</f>
        <v>1</v>
      </c>
      <c r="F1435" s="124" t="str">
        <f>IFERROR(__xludf.DUMMYFUNCTION("""COMPUTED_VALUE"""),"Fake Lead")</f>
        <v>Fake Lead</v>
      </c>
      <c r="G1435" s="124" t="str">
        <f>IFERROR(__xludf.DUMMYFUNCTION("""COMPUTED_VALUE"""),"Other")</f>
        <v>Other</v>
      </c>
      <c r="K1435" s="124"/>
      <c r="L1435" s="124"/>
      <c r="M1435" s="124"/>
      <c r="N1435" s="124"/>
      <c r="O1435" s="124"/>
      <c r="T1435" s="126">
        <f>IFERROR(__xludf.DUMMYFUNCTION("""COMPUTED_VALUE"""),46087.0)</f>
        <v>46087</v>
      </c>
      <c r="U1435" s="124" t="str">
        <f>IFERROR(__xludf.DUMMYFUNCTION("""COMPUTED_VALUE"""),"Telephony")</f>
        <v>Telephony</v>
      </c>
      <c r="V1435" s="124" t="str">
        <f>IFERROR(__xludf.DUMMYFUNCTION("""COMPUTED_VALUE"""),"Inbound Call")</f>
        <v>Inbound Call</v>
      </c>
      <c r="W1435" s="124">
        <f>IFERROR(__xludf.DUMMYFUNCTION("""COMPUTED_VALUE"""),9.18047861635E11)</f>
        <v>918047861635</v>
      </c>
      <c r="X1435" s="124" t="str">
        <f>IFERROR(__xludf.DUMMYFUNCTION("""COMPUTED_VALUE"""),"Inbound Call")</f>
        <v>Inbound Call</v>
      </c>
      <c r="Y1435" s="124" t="str">
        <f>IFERROR(__xludf.DUMMYFUNCTION("""COMPUTED_VALUE"""),"Indore")</f>
        <v>Indore</v>
      </c>
      <c r="Z1435" s="124">
        <f>IFERROR(__xludf.DUMMYFUNCTION("""COMPUTED_VALUE"""),1.0)</f>
        <v>1</v>
      </c>
      <c r="AA1435" s="124" t="str">
        <f>IFERROR(__xludf.DUMMYFUNCTION("""COMPUTED_VALUE"""),"Not Interested")</f>
        <v>Not Interested</v>
      </c>
      <c r="AB1435" s="124"/>
    </row>
    <row r="1436">
      <c r="A1436" s="126">
        <f>IFERROR(__xludf.DUMMYFUNCTION("""COMPUTED_VALUE"""),46044.0)</f>
        <v>46044</v>
      </c>
      <c r="B1436" s="124" t="str">
        <f>IFERROR(__xludf.DUMMYFUNCTION("""COMPUTED_VALUE"""),"Walk-In")</f>
        <v>Walk-In</v>
      </c>
      <c r="C1436" s="124" t="str">
        <f>IFERROR(__xludf.DUMMYFUNCTION("""COMPUTED_VALUE"""),"Indore")</f>
        <v>Indore</v>
      </c>
      <c r="D1436" s="124" t="str">
        <f>IFERROR(__xludf.DUMMYFUNCTION("""COMPUTED_VALUE"""),"Primary_Walkin")</f>
        <v>Primary_Walkin</v>
      </c>
      <c r="E1436" s="124">
        <f>IFERROR(__xludf.DUMMYFUNCTION("""COMPUTED_VALUE"""),1.0)</f>
        <v>1</v>
      </c>
      <c r="F1436" s="124" t="str">
        <f>IFERROR(__xludf.DUMMYFUNCTION("""COMPUTED_VALUE"""),"Enrolled")</f>
        <v>Enrolled</v>
      </c>
      <c r="G1436" s="124" t="str">
        <f>IFERROR(__xludf.DUMMYFUNCTION("""COMPUTED_VALUE"""),"GS Foundation")</f>
        <v>GS Foundation</v>
      </c>
      <c r="K1436" s="124"/>
      <c r="L1436" s="124"/>
      <c r="M1436" s="124"/>
      <c r="N1436" s="124"/>
      <c r="O1436" s="124"/>
      <c r="T1436" s="129">
        <f>IFERROR(__xludf.DUMMYFUNCTION("""COMPUTED_VALUE"""),46050.0)</f>
        <v>46050</v>
      </c>
      <c r="U1436" s="124" t="str">
        <f>IFERROR(__xludf.DUMMYFUNCTION("""COMPUTED_VALUE"""),"Telephony")</f>
        <v>Telephony</v>
      </c>
      <c r="V1436" s="124" t="str">
        <f>IFERROR(__xludf.DUMMYFUNCTION("""COMPUTED_VALUE"""),"Inbound Call")</f>
        <v>Inbound Call</v>
      </c>
      <c r="W1436" s="124">
        <f>IFERROR(__xludf.DUMMYFUNCTION("""COMPUTED_VALUE"""),9.18047861663E11)</f>
        <v>918047861663</v>
      </c>
      <c r="X1436" s="124" t="str">
        <f>IFERROR(__xludf.DUMMYFUNCTION("""COMPUTED_VALUE"""),"Inbound Call")</f>
        <v>Inbound Call</v>
      </c>
      <c r="Y1436" s="124" t="str">
        <f>IFERROR(__xludf.DUMMYFUNCTION("""COMPUTED_VALUE"""),"Patna")</f>
        <v>Patna</v>
      </c>
      <c r="Z1436" s="124">
        <f>IFERROR(__xludf.DUMMYFUNCTION("""COMPUTED_VALUE"""),1.0)</f>
        <v>1</v>
      </c>
      <c r="AA1436" s="124" t="str">
        <f>IFERROR(__xludf.DUMMYFUNCTION("""COMPUTED_VALUE"""),"Enrolled")</f>
        <v>Enrolled</v>
      </c>
      <c r="AB1436" s="124" t="str">
        <f>IFERROR(__xludf.DUMMYFUNCTION("""COMPUTED_VALUE"""),"State PCS")</f>
        <v>State PCS</v>
      </c>
    </row>
    <row r="1437">
      <c r="A1437" s="126">
        <f>IFERROR(__xludf.DUMMYFUNCTION("""COMPUTED_VALUE"""),46047.0)</f>
        <v>46047</v>
      </c>
      <c r="B1437" s="124" t="str">
        <f>IFERROR(__xludf.DUMMYFUNCTION("""COMPUTED_VALUE"""),"Walkin")</f>
        <v>Walkin</v>
      </c>
      <c r="C1437" s="124" t="str">
        <f>IFERROR(__xludf.DUMMYFUNCTION("""COMPUTED_VALUE"""),"Indore")</f>
        <v>Indore</v>
      </c>
      <c r="D1437" s="124" t="str">
        <f>IFERROR(__xludf.DUMMYFUNCTION("""COMPUTED_VALUE"""),"Primary_Walkin")</f>
        <v>Primary_Walkin</v>
      </c>
      <c r="E1437" s="124">
        <f>IFERROR(__xludf.DUMMYFUNCTION("""COMPUTED_VALUE"""),1.0)</f>
        <v>1</v>
      </c>
      <c r="F1437" s="124" t="str">
        <f>IFERROR(__xludf.DUMMYFUNCTION("""COMPUTED_VALUE"""),"Cold")</f>
        <v>Cold</v>
      </c>
      <c r="G1437" s="124" t="str">
        <f>IFERROR(__xludf.DUMMYFUNCTION("""COMPUTED_VALUE"""),"GS Foundation")</f>
        <v>GS Foundation</v>
      </c>
      <c r="K1437" s="124"/>
      <c r="L1437" s="124"/>
      <c r="M1437" s="124"/>
      <c r="N1437" s="124"/>
      <c r="O1437" s="124"/>
      <c r="T1437" s="126">
        <f>IFERROR(__xludf.DUMMYFUNCTION("""COMPUTED_VALUE"""),46056.0)</f>
        <v>46056</v>
      </c>
      <c r="U1437" s="124" t="str">
        <f>IFERROR(__xludf.DUMMYFUNCTION("""COMPUTED_VALUE"""),"Telephony")</f>
        <v>Telephony</v>
      </c>
      <c r="V1437" s="124" t="str">
        <f>IFERROR(__xludf.DUMMYFUNCTION("""COMPUTED_VALUE"""),"Inbound Call")</f>
        <v>Inbound Call</v>
      </c>
      <c r="W1437" s="124" t="str">
        <f>IFERROR(__xludf.DUMMYFUNCTION("""COMPUTED_VALUE"""),"Inbound Call")</f>
        <v>Inbound Call</v>
      </c>
      <c r="X1437" s="124" t="str">
        <f>IFERROR(__xludf.DUMMYFUNCTION("""COMPUTED_VALUE"""),"Inbound Call")</f>
        <v>Inbound Call</v>
      </c>
      <c r="Y1437" s="124"/>
      <c r="Z1437" s="124">
        <f>IFERROR(__xludf.DUMMYFUNCTION("""COMPUTED_VALUE"""),2.0)</f>
        <v>2</v>
      </c>
      <c r="AA1437" s="124" t="str">
        <f>IFERROR(__xludf.DUMMYFUNCTION("""COMPUTED_VALUE"""),"Cold")</f>
        <v>Cold</v>
      </c>
      <c r="AB1437" s="124"/>
    </row>
    <row r="1438">
      <c r="A1438" s="129">
        <f>IFERROR(__xludf.DUMMYFUNCTION("""COMPUTED_VALUE"""),46057.0)</f>
        <v>46057</v>
      </c>
      <c r="B1438" s="124" t="str">
        <f>IFERROR(__xludf.DUMMYFUNCTION("""COMPUTED_VALUE"""),"Walkin")</f>
        <v>Walkin</v>
      </c>
      <c r="C1438" s="124" t="str">
        <f>IFERROR(__xludf.DUMMYFUNCTION("""COMPUTED_VALUE"""),"Indore")</f>
        <v>Indore</v>
      </c>
      <c r="D1438" s="124" t="str">
        <f>IFERROR(__xludf.DUMMYFUNCTION("""COMPUTED_VALUE"""),"Primary_Walkin")</f>
        <v>Primary_Walkin</v>
      </c>
      <c r="E1438" s="124">
        <f>IFERROR(__xludf.DUMMYFUNCTION("""COMPUTED_VALUE"""),1.0)</f>
        <v>1</v>
      </c>
      <c r="F1438" s="124" t="str">
        <f>IFERROR(__xludf.DUMMYFUNCTION("""COMPUTED_VALUE"""),"Future Prospects")</f>
        <v>Future Prospects</v>
      </c>
      <c r="G1438" s="124" t="str">
        <f>IFERROR(__xludf.DUMMYFUNCTION("""COMPUTED_VALUE"""),"State PCS")</f>
        <v>State PCS</v>
      </c>
      <c r="K1438" s="124"/>
      <c r="L1438" s="124"/>
      <c r="M1438" s="124"/>
      <c r="N1438" s="124"/>
      <c r="O1438" s="124"/>
      <c r="T1438" s="126">
        <f>IFERROR(__xludf.DUMMYFUNCTION("""COMPUTED_VALUE"""),46090.0)</f>
        <v>46090</v>
      </c>
      <c r="U1438" s="124" t="str">
        <f>IFERROR(__xludf.DUMMYFUNCTION("""COMPUTED_VALUE"""),"Telephony")</f>
        <v>Telephony</v>
      </c>
      <c r="V1438" s="124" t="str">
        <f>IFERROR(__xludf.DUMMYFUNCTION("""COMPUTED_VALUE"""),"Inbound Call")</f>
        <v>Inbound Call</v>
      </c>
      <c r="W1438" s="124">
        <f>IFERROR(__xludf.DUMMYFUNCTION("""COMPUTED_VALUE"""),9.18047861663E11)</f>
        <v>918047861663</v>
      </c>
      <c r="X1438" s="124" t="str">
        <f>IFERROR(__xludf.DUMMYFUNCTION("""COMPUTED_VALUE"""),"Inbound Call")</f>
        <v>Inbound Call</v>
      </c>
      <c r="Y1438" s="124" t="str">
        <f>IFERROR(__xludf.DUMMYFUNCTION("""COMPUTED_VALUE"""),"Patna")</f>
        <v>Patna</v>
      </c>
      <c r="Z1438" s="124">
        <f>IFERROR(__xludf.DUMMYFUNCTION("""COMPUTED_VALUE"""),1.0)</f>
        <v>1</v>
      </c>
      <c r="AA1438" s="124" t="str">
        <f>IFERROR(__xludf.DUMMYFUNCTION("""COMPUTED_VALUE"""),"Warm")</f>
        <v>Warm</v>
      </c>
      <c r="AB1438" s="124" t="str">
        <f>IFERROR(__xludf.DUMMYFUNCTION("""COMPUTED_VALUE"""),"State PCS")</f>
        <v>State PCS</v>
      </c>
    </row>
    <row r="1439">
      <c r="A1439" s="126">
        <f>IFERROR(__xludf.DUMMYFUNCTION("""COMPUTED_VALUE"""),46062.0)</f>
        <v>46062</v>
      </c>
      <c r="B1439" s="124" t="str">
        <f>IFERROR(__xludf.DUMMYFUNCTION("""COMPUTED_VALUE"""),"events")</f>
        <v>events</v>
      </c>
      <c r="C1439" s="124" t="str">
        <f>IFERROR(__xludf.DUMMYFUNCTION("""COMPUTED_VALUE"""),"Indore")</f>
        <v>Indore</v>
      </c>
      <c r="D1439" s="124" t="str">
        <f>IFERROR(__xludf.DUMMYFUNCTION("""COMPUTED_VALUE"""),"Secondary_Walkin")</f>
        <v>Secondary_Walkin</v>
      </c>
      <c r="E1439" s="124">
        <f>IFERROR(__xludf.DUMMYFUNCTION("""COMPUTED_VALUE"""),1.0)</f>
        <v>1</v>
      </c>
      <c r="F1439" s="124" t="str">
        <f>IFERROR(__xludf.DUMMYFUNCTION("""COMPUTED_VALUE"""),"Enrolled")</f>
        <v>Enrolled</v>
      </c>
      <c r="G1439" s="124" t="str">
        <f>IFERROR(__xludf.DUMMYFUNCTION("""COMPUTED_VALUE"""),"Optionals")</f>
        <v>Optionals</v>
      </c>
      <c r="K1439" s="124"/>
      <c r="L1439" s="124"/>
      <c r="M1439" s="124"/>
      <c r="N1439" s="124"/>
      <c r="O1439" s="124"/>
      <c r="T1439" s="126">
        <f>IFERROR(__xludf.DUMMYFUNCTION("""COMPUTED_VALUE"""),46043.0)</f>
        <v>46043</v>
      </c>
      <c r="U1439" s="124" t="str">
        <f>IFERROR(__xludf.DUMMYFUNCTION("""COMPUTED_VALUE"""),"Telephony")</f>
        <v>Telephony</v>
      </c>
      <c r="V1439" s="124" t="str">
        <f>IFERROR(__xludf.DUMMYFUNCTION("""COMPUTED_VALUE"""),"Inbound Call")</f>
        <v>Inbound Call</v>
      </c>
      <c r="W1439" s="124">
        <f>IFERROR(__xludf.DUMMYFUNCTION("""COMPUTED_VALUE"""),9.18047861632E11)</f>
        <v>918047861632</v>
      </c>
      <c r="X1439" s="124" t="str">
        <f>IFERROR(__xludf.DUMMYFUNCTION("""COMPUTED_VALUE"""),"Inbound Call")</f>
        <v>Inbound Call</v>
      </c>
      <c r="Y1439" s="124"/>
      <c r="Z1439" s="124">
        <f>IFERROR(__xludf.DUMMYFUNCTION("""COMPUTED_VALUE"""),1.0)</f>
        <v>1</v>
      </c>
      <c r="AA1439" s="124" t="str">
        <f>IFERROR(__xludf.DUMMYFUNCTION("""COMPUTED_VALUE"""),"Cold")</f>
        <v>Cold</v>
      </c>
      <c r="AB1439" s="124"/>
    </row>
    <row r="1440">
      <c r="A1440" s="126">
        <f>IFERROR(__xludf.DUMMYFUNCTION("""COMPUTED_VALUE"""),46105.0)</f>
        <v>46105</v>
      </c>
      <c r="B1440" s="124" t="str">
        <f>IFERROR(__xludf.DUMMYFUNCTION("""COMPUTED_VALUE"""),"Walkin")</f>
        <v>Walkin</v>
      </c>
      <c r="C1440" s="124" t="str">
        <f>IFERROR(__xludf.DUMMYFUNCTION("""COMPUTED_VALUE"""),"Indore")</f>
        <v>Indore</v>
      </c>
      <c r="D1440" s="124" t="str">
        <f>IFERROR(__xludf.DUMMYFUNCTION("""COMPUTED_VALUE"""),"Primary_Walkin")</f>
        <v>Primary_Walkin</v>
      </c>
      <c r="E1440" s="124">
        <f>IFERROR(__xludf.DUMMYFUNCTION("""COMPUTED_VALUE"""),2.0)</f>
        <v>2</v>
      </c>
      <c r="F1440" s="124" t="str">
        <f>IFERROR(__xludf.DUMMYFUNCTION("""COMPUTED_VALUE"""),"Enrolled")</f>
        <v>Enrolled</v>
      </c>
      <c r="G1440" s="124" t="str">
        <f>IFERROR(__xludf.DUMMYFUNCTION("""COMPUTED_VALUE"""),"GS Foundation")</f>
        <v>GS Foundation</v>
      </c>
      <c r="K1440" s="124"/>
      <c r="L1440" s="124"/>
      <c r="M1440" s="124"/>
      <c r="N1440" s="124"/>
      <c r="O1440" s="124"/>
      <c r="T1440" s="126">
        <f>IFERROR(__xludf.DUMMYFUNCTION("""COMPUTED_VALUE"""),46088.0)</f>
        <v>46088</v>
      </c>
      <c r="U1440" s="124" t="str">
        <f>IFERROR(__xludf.DUMMYFUNCTION("""COMPUTED_VALUE"""),"Telephony")</f>
        <v>Telephony</v>
      </c>
      <c r="V1440" s="124" t="str">
        <f>IFERROR(__xludf.DUMMYFUNCTION("""COMPUTED_VALUE"""),"Inbound Call")</f>
        <v>Inbound Call</v>
      </c>
      <c r="W1440" s="124">
        <f>IFERROR(__xludf.DUMMYFUNCTION("""COMPUTED_VALUE"""),9.18047861663E11)</f>
        <v>918047861663</v>
      </c>
      <c r="X1440" s="124" t="str">
        <f>IFERROR(__xludf.DUMMYFUNCTION("""COMPUTED_VALUE"""),"Inbound Call")</f>
        <v>Inbound Call</v>
      </c>
      <c r="Y1440" s="124"/>
      <c r="Z1440" s="124">
        <f>IFERROR(__xludf.DUMMYFUNCTION("""COMPUTED_VALUE"""),2.0)</f>
        <v>2</v>
      </c>
      <c r="AA1440" s="124" t="str">
        <f>IFERROR(__xludf.DUMMYFUNCTION("""COMPUTED_VALUE"""),"Cold")</f>
        <v>Cold</v>
      </c>
      <c r="AB1440" s="124"/>
    </row>
    <row r="1441">
      <c r="A1441" s="126">
        <f>IFERROR(__xludf.DUMMYFUNCTION("""COMPUTED_VALUE"""),46057.0)</f>
        <v>46057</v>
      </c>
      <c r="B1441" s="124" t="str">
        <f>IFERROR(__xludf.DUMMYFUNCTION("""COMPUTED_VALUE"""),"Walkin")</f>
        <v>Walkin</v>
      </c>
      <c r="C1441" s="124" t="str">
        <f>IFERROR(__xludf.DUMMYFUNCTION("""COMPUTED_VALUE"""),"Lucknow")</f>
        <v>Lucknow</v>
      </c>
      <c r="D1441" s="124" t="str">
        <f>IFERROR(__xludf.DUMMYFUNCTION("""COMPUTED_VALUE"""),"Primary_Walkin")</f>
        <v>Primary_Walkin</v>
      </c>
      <c r="E1441" s="124">
        <f>IFERROR(__xludf.DUMMYFUNCTION("""COMPUTED_VALUE"""),1.0)</f>
        <v>1</v>
      </c>
      <c r="F1441" s="124" t="str">
        <f>IFERROR(__xludf.DUMMYFUNCTION("""COMPUTED_VALUE"""),"Enrolled")</f>
        <v>Enrolled</v>
      </c>
      <c r="G1441" s="124" t="str">
        <f>IFERROR(__xludf.DUMMYFUNCTION("""COMPUTED_VALUE"""),"Mentorship")</f>
        <v>Mentorship</v>
      </c>
      <c r="K1441" s="124"/>
      <c r="L1441" s="124"/>
      <c r="M1441" s="124"/>
      <c r="N1441" s="124"/>
      <c r="O1441" s="124"/>
      <c r="T1441" s="129">
        <f>IFERROR(__xludf.DUMMYFUNCTION("""COMPUTED_VALUE"""),46095.0)</f>
        <v>46095</v>
      </c>
      <c r="U1441" s="124" t="str">
        <f>IFERROR(__xludf.DUMMYFUNCTION("""COMPUTED_VALUE"""),"Telephony")</f>
        <v>Telephony</v>
      </c>
      <c r="V1441" s="124" t="str">
        <f>IFERROR(__xludf.DUMMYFUNCTION("""COMPUTED_VALUE"""),"Inbound Call")</f>
        <v>Inbound Call</v>
      </c>
      <c r="W1441" s="124">
        <f>IFERROR(__xludf.DUMMYFUNCTION("""COMPUTED_VALUE"""),9.18047861635E11)</f>
        <v>918047861635</v>
      </c>
      <c r="X1441" s="124" t="str">
        <f>IFERROR(__xludf.DUMMYFUNCTION("""COMPUTED_VALUE"""),"Inbound Call")</f>
        <v>Inbound Call</v>
      </c>
      <c r="Y1441" s="124" t="str">
        <f>IFERROR(__xludf.DUMMYFUNCTION("""COMPUTED_VALUE"""),"Indore")</f>
        <v>Indore</v>
      </c>
      <c r="Z1441" s="124">
        <f>IFERROR(__xludf.DUMMYFUNCTION("""COMPUTED_VALUE"""),1.0)</f>
        <v>1</v>
      </c>
      <c r="AA1441" s="124" t="str">
        <f>IFERROR(__xludf.DUMMYFUNCTION("""COMPUTED_VALUE"""),"Not Interested")</f>
        <v>Not Interested</v>
      </c>
      <c r="AB1441" s="124"/>
    </row>
    <row r="1442">
      <c r="A1442" s="129">
        <f>IFERROR(__xludf.DUMMYFUNCTION("""COMPUTED_VALUE"""),46062.0)</f>
        <v>46062</v>
      </c>
      <c r="B1442" s="124" t="str">
        <f>IFERROR(__xludf.DUMMYFUNCTION("""COMPUTED_VALUE"""),"facebook")</f>
        <v>facebook</v>
      </c>
      <c r="C1442" s="124" t="str">
        <f>IFERROR(__xludf.DUMMYFUNCTION("""COMPUTED_VALUE"""),"Lucknow")</f>
        <v>Lucknow</v>
      </c>
      <c r="D1442" s="124" t="str">
        <f>IFERROR(__xludf.DUMMYFUNCTION("""COMPUTED_VALUE"""),"Secondary_Walkin")</f>
        <v>Secondary_Walkin</v>
      </c>
      <c r="E1442" s="124">
        <f>IFERROR(__xludf.DUMMYFUNCTION("""COMPUTED_VALUE"""),1.0)</f>
        <v>1</v>
      </c>
      <c r="F1442" s="124" t="str">
        <f>IFERROR(__xludf.DUMMYFUNCTION("""COMPUTED_VALUE"""),"Not Interested")</f>
        <v>Not Interested</v>
      </c>
      <c r="G1442" s="124" t="str">
        <f>IFERROR(__xludf.DUMMYFUNCTION("""COMPUTED_VALUE"""),"GS Foundation")</f>
        <v>GS Foundation</v>
      </c>
      <c r="K1442" s="124"/>
      <c r="L1442" s="124"/>
      <c r="M1442" s="124"/>
      <c r="N1442" s="124"/>
      <c r="O1442" s="124"/>
      <c r="T1442" s="126">
        <f>IFERROR(__xludf.DUMMYFUNCTION("""COMPUTED_VALUE"""),46078.0)</f>
        <v>46078</v>
      </c>
      <c r="U1442" s="124" t="str">
        <f>IFERROR(__xludf.DUMMYFUNCTION("""COMPUTED_VALUE"""),"Telephony")</f>
        <v>Telephony</v>
      </c>
      <c r="V1442" s="124" t="str">
        <f>IFERROR(__xludf.DUMMYFUNCTION("""COMPUTED_VALUE"""),"Inbound Call")</f>
        <v>Inbound Call</v>
      </c>
      <c r="W1442" s="124">
        <f>IFERROR(__xludf.DUMMYFUNCTION("""COMPUTED_VALUE"""),9.18047861663E11)</f>
        <v>918047861663</v>
      </c>
      <c r="X1442" s="124" t="str">
        <f>IFERROR(__xludf.DUMMYFUNCTION("""COMPUTED_VALUE"""),"Inbound Call")</f>
        <v>Inbound Call</v>
      </c>
      <c r="Y1442" s="124"/>
      <c r="Z1442" s="124">
        <f>IFERROR(__xludf.DUMMYFUNCTION("""COMPUTED_VALUE"""),2.0)</f>
        <v>2</v>
      </c>
      <c r="AA1442" s="124" t="str">
        <f>IFERROR(__xludf.DUMMYFUNCTION("""COMPUTED_VALUE"""),"Cold")</f>
        <v>Cold</v>
      </c>
      <c r="AB1442" s="124"/>
    </row>
    <row r="1443">
      <c r="A1443" s="126">
        <f>IFERROR(__xludf.DUMMYFUNCTION("""COMPUTED_VALUE"""),46077.0)</f>
        <v>46077</v>
      </c>
      <c r="B1443" s="124" t="str">
        <f>IFERROR(__xludf.DUMMYFUNCTION("""COMPUTED_VALUE"""),"Walkin")</f>
        <v>Walkin</v>
      </c>
      <c r="C1443" s="124" t="str">
        <f>IFERROR(__xludf.DUMMYFUNCTION("""COMPUTED_VALUE"""),"Indore")</f>
        <v>Indore</v>
      </c>
      <c r="D1443" s="124" t="str">
        <f>IFERROR(__xludf.DUMMYFUNCTION("""COMPUTED_VALUE"""),"Primary_Walkin")</f>
        <v>Primary_Walkin</v>
      </c>
      <c r="E1443" s="124">
        <f>IFERROR(__xludf.DUMMYFUNCTION("""COMPUTED_VALUE"""),2.0)</f>
        <v>2</v>
      </c>
      <c r="F1443" s="124" t="str">
        <f>IFERROR(__xludf.DUMMYFUNCTION("""COMPUTED_VALUE"""),"Cold")</f>
        <v>Cold</v>
      </c>
      <c r="G1443" s="124" t="str">
        <f>IFERROR(__xludf.DUMMYFUNCTION("""COMPUTED_VALUE"""),"GS Foundation")</f>
        <v>GS Foundation</v>
      </c>
      <c r="K1443" s="124"/>
      <c r="L1443" s="124"/>
      <c r="M1443" s="124"/>
      <c r="N1443" s="124"/>
      <c r="O1443" s="124"/>
      <c r="T1443" s="126">
        <f>IFERROR(__xludf.DUMMYFUNCTION("""COMPUTED_VALUE"""),46082.0)</f>
        <v>46082</v>
      </c>
      <c r="U1443" s="124" t="str">
        <f>IFERROR(__xludf.DUMMYFUNCTION("""COMPUTED_VALUE"""),"Telephony")</f>
        <v>Telephony</v>
      </c>
      <c r="V1443" s="124" t="str">
        <f>IFERROR(__xludf.DUMMYFUNCTION("""COMPUTED_VALUE"""),"Inbound Call")</f>
        <v>Inbound Call</v>
      </c>
      <c r="W1443" s="124">
        <f>IFERROR(__xludf.DUMMYFUNCTION("""COMPUTED_VALUE"""),9.18047861663E11)</f>
        <v>918047861663</v>
      </c>
      <c r="X1443" s="124" t="str">
        <f>IFERROR(__xludf.DUMMYFUNCTION("""COMPUTED_VALUE"""),"Inbound Call")</f>
        <v>Inbound Call</v>
      </c>
      <c r="Y1443" s="124" t="str">
        <f>IFERROR(__xludf.DUMMYFUNCTION("""COMPUTED_VALUE"""),"Delhi")</f>
        <v>Delhi</v>
      </c>
      <c r="Z1443" s="124">
        <f>IFERROR(__xludf.DUMMYFUNCTION("""COMPUTED_VALUE"""),2.0)</f>
        <v>2</v>
      </c>
      <c r="AA1443" s="124" t="str">
        <f>IFERROR(__xludf.DUMMYFUNCTION("""COMPUTED_VALUE"""),"Cold")</f>
        <v>Cold</v>
      </c>
      <c r="AB1443" s="124"/>
    </row>
    <row r="1444">
      <c r="A1444" s="126">
        <f>IFERROR(__xludf.DUMMYFUNCTION("""COMPUTED_VALUE"""),46063.0)</f>
        <v>46063</v>
      </c>
      <c r="B1444" s="124" t="str">
        <f>IFERROR(__xludf.DUMMYFUNCTION("""COMPUTED_VALUE"""),"Walkin")</f>
        <v>Walkin</v>
      </c>
      <c r="C1444" s="124" t="str">
        <f>IFERROR(__xludf.DUMMYFUNCTION("""COMPUTED_VALUE"""),"Lucknow")</f>
        <v>Lucknow</v>
      </c>
      <c r="D1444" s="124" t="str">
        <f>IFERROR(__xludf.DUMMYFUNCTION("""COMPUTED_VALUE"""),"Primary_Walkin")</f>
        <v>Primary_Walkin</v>
      </c>
      <c r="E1444" s="124">
        <f>IFERROR(__xludf.DUMMYFUNCTION("""COMPUTED_VALUE"""),1.0)</f>
        <v>1</v>
      </c>
      <c r="F1444" s="124" t="str">
        <f>IFERROR(__xludf.DUMMYFUNCTION("""COMPUTED_VALUE"""),"Enrolled")</f>
        <v>Enrolled</v>
      </c>
      <c r="G1444" s="124" t="str">
        <f>IFERROR(__xludf.DUMMYFUNCTION("""COMPUTED_VALUE"""),"GS Foundation")</f>
        <v>GS Foundation</v>
      </c>
      <c r="K1444" s="124"/>
      <c r="L1444" s="124"/>
      <c r="M1444" s="124"/>
      <c r="N1444" s="124"/>
      <c r="O1444" s="124"/>
      <c r="T1444" s="129">
        <f>IFERROR(__xludf.DUMMYFUNCTION("""COMPUTED_VALUE"""),46052.0)</f>
        <v>46052</v>
      </c>
      <c r="U1444" s="124" t="str">
        <f>IFERROR(__xludf.DUMMYFUNCTION("""COMPUTED_VALUE"""),"Telephony")</f>
        <v>Telephony</v>
      </c>
      <c r="V1444" s="124" t="str">
        <f>IFERROR(__xludf.DUMMYFUNCTION("""COMPUTED_VALUE"""),"Inbound Call")</f>
        <v>Inbound Call</v>
      </c>
      <c r="W1444" s="124" t="str">
        <f>IFERROR(__xludf.DUMMYFUNCTION("""COMPUTED_VALUE"""),"Inbound Call")</f>
        <v>Inbound Call</v>
      </c>
      <c r="X1444" s="124" t="str">
        <f>IFERROR(__xludf.DUMMYFUNCTION("""COMPUTED_VALUE"""),"Inbound Call")</f>
        <v>Inbound Call</v>
      </c>
      <c r="Y1444" s="124"/>
      <c r="Z1444" s="124">
        <f>IFERROR(__xludf.DUMMYFUNCTION("""COMPUTED_VALUE"""),2.0)</f>
        <v>2</v>
      </c>
      <c r="AA1444" s="124" t="str">
        <f>IFERROR(__xludf.DUMMYFUNCTION("""COMPUTED_VALUE"""),"Fake Lead")</f>
        <v>Fake Lead</v>
      </c>
      <c r="AB1444" s="124"/>
    </row>
    <row r="1445">
      <c r="A1445" s="126">
        <f>IFERROR(__xludf.DUMMYFUNCTION("""COMPUTED_VALUE"""),46056.0)</f>
        <v>46056</v>
      </c>
      <c r="B1445" s="124" t="str">
        <f>IFERROR(__xludf.DUMMYFUNCTION("""COMPUTED_VALUE"""),"Walkin")</f>
        <v>Walkin</v>
      </c>
      <c r="C1445" s="124" t="str">
        <f>IFERROR(__xludf.DUMMYFUNCTION("""COMPUTED_VALUE"""),"Indore")</f>
        <v>Indore</v>
      </c>
      <c r="D1445" s="124" t="str">
        <f>IFERROR(__xludf.DUMMYFUNCTION("""COMPUTED_VALUE"""),"Primary_Walkin")</f>
        <v>Primary_Walkin</v>
      </c>
      <c r="E1445" s="124">
        <f>IFERROR(__xludf.DUMMYFUNCTION("""COMPUTED_VALUE"""),1.0)</f>
        <v>1</v>
      </c>
      <c r="F1445" s="124" t="str">
        <f>IFERROR(__xludf.DUMMYFUNCTION("""COMPUTED_VALUE"""),"Not Interested")</f>
        <v>Not Interested</v>
      </c>
      <c r="G1445" s="124" t="str">
        <f>IFERROR(__xludf.DUMMYFUNCTION("""COMPUTED_VALUE"""),"Other")</f>
        <v>Other</v>
      </c>
      <c r="K1445" s="124"/>
      <c r="L1445" s="124"/>
      <c r="M1445" s="124"/>
      <c r="N1445" s="124"/>
      <c r="O1445" s="124"/>
      <c r="T1445" s="129">
        <f>IFERROR(__xludf.DUMMYFUNCTION("""COMPUTED_VALUE"""),46079.0)</f>
        <v>46079</v>
      </c>
      <c r="U1445" s="124" t="str">
        <f>IFERROR(__xludf.DUMMYFUNCTION("""COMPUTED_VALUE"""),"Telephony")</f>
        <v>Telephony</v>
      </c>
      <c r="V1445" s="124" t="str">
        <f>IFERROR(__xludf.DUMMYFUNCTION("""COMPUTED_VALUE"""),"Inbound Call")</f>
        <v>Inbound Call</v>
      </c>
      <c r="W1445" s="124">
        <f>IFERROR(__xludf.DUMMYFUNCTION("""COMPUTED_VALUE"""),9.18047861631E11)</f>
        <v>918047861631</v>
      </c>
      <c r="X1445" s="124" t="str">
        <f>IFERROR(__xludf.DUMMYFUNCTION("""COMPUTED_VALUE"""),"Inbound Call")</f>
        <v>Inbound Call</v>
      </c>
      <c r="Y1445" s="124" t="str">
        <f>IFERROR(__xludf.DUMMYFUNCTION("""COMPUTED_VALUE"""),"Delhi")</f>
        <v>Delhi</v>
      </c>
      <c r="Z1445" s="124">
        <f>IFERROR(__xludf.DUMMYFUNCTION("""COMPUTED_VALUE"""),1.0)</f>
        <v>1</v>
      </c>
      <c r="AA1445" s="124" t="str">
        <f>IFERROR(__xludf.DUMMYFUNCTION("""COMPUTED_VALUE"""),"Cold")</f>
        <v>Cold</v>
      </c>
      <c r="AB1445" s="124"/>
    </row>
    <row r="1446">
      <c r="A1446" s="129">
        <f>IFERROR(__xludf.DUMMYFUNCTION("""COMPUTED_VALUE"""),46095.0)</f>
        <v>46095</v>
      </c>
      <c r="B1446" s="124" t="str">
        <f>IFERROR(__xludf.DUMMYFUNCTION("""COMPUTED_VALUE"""),"Walkin")</f>
        <v>Walkin</v>
      </c>
      <c r="C1446" s="124" t="str">
        <f>IFERROR(__xludf.DUMMYFUNCTION("""COMPUTED_VALUE"""),"Lucknow")</f>
        <v>Lucknow</v>
      </c>
      <c r="D1446" s="124" t="str">
        <f>IFERROR(__xludf.DUMMYFUNCTION("""COMPUTED_VALUE"""),"Primary_Walkin")</f>
        <v>Primary_Walkin</v>
      </c>
      <c r="E1446" s="124">
        <f>IFERROR(__xludf.DUMMYFUNCTION("""COMPUTED_VALUE"""),1.0)</f>
        <v>1</v>
      </c>
      <c r="F1446" s="124" t="str">
        <f>IFERROR(__xludf.DUMMYFUNCTION("""COMPUTED_VALUE"""),"Future Prospects")</f>
        <v>Future Prospects</v>
      </c>
      <c r="G1446" s="124" t="str">
        <f>IFERROR(__xludf.DUMMYFUNCTION("""COMPUTED_VALUE"""),"GS Foundation")</f>
        <v>GS Foundation</v>
      </c>
      <c r="K1446" s="124"/>
      <c r="L1446" s="124"/>
      <c r="M1446" s="124"/>
      <c r="N1446" s="124"/>
      <c r="O1446" s="124"/>
      <c r="T1446" s="126">
        <f>IFERROR(__xludf.DUMMYFUNCTION("""COMPUTED_VALUE"""),46060.0)</f>
        <v>46060</v>
      </c>
      <c r="U1446" s="124" t="str">
        <f>IFERROR(__xludf.DUMMYFUNCTION("""COMPUTED_VALUE"""),"Telephony")</f>
        <v>Telephony</v>
      </c>
      <c r="V1446" s="124" t="str">
        <f>IFERROR(__xludf.DUMMYFUNCTION("""COMPUTED_VALUE"""),"Inbound Call")</f>
        <v>Inbound Call</v>
      </c>
      <c r="W1446" s="124">
        <f>IFERROR(__xludf.DUMMYFUNCTION("""COMPUTED_VALUE"""),9.18047861663E11)</f>
        <v>918047861663</v>
      </c>
      <c r="X1446" s="124" t="str">
        <f>IFERROR(__xludf.DUMMYFUNCTION("""COMPUTED_VALUE"""),"Inbound Call")</f>
        <v>Inbound Call</v>
      </c>
      <c r="Y1446" s="124"/>
      <c r="Z1446" s="124">
        <f>IFERROR(__xludf.DUMMYFUNCTION("""COMPUTED_VALUE"""),1.0)</f>
        <v>1</v>
      </c>
      <c r="AA1446" s="124" t="str">
        <f>IFERROR(__xludf.DUMMYFUNCTION("""COMPUTED_VALUE"""),"Cold")</f>
        <v>Cold</v>
      </c>
      <c r="AB1446" s="124"/>
    </row>
    <row r="1447">
      <c r="A1447" s="129">
        <f>IFERROR(__xludf.DUMMYFUNCTION("""COMPUTED_VALUE"""),46065.0)</f>
        <v>46065</v>
      </c>
      <c r="B1447" s="124" t="str">
        <f>IFERROR(__xludf.DUMMYFUNCTION("""COMPUTED_VALUE"""),"Walkin")</f>
        <v>Walkin</v>
      </c>
      <c r="C1447" s="124" t="str">
        <f>IFERROR(__xludf.DUMMYFUNCTION("""COMPUTED_VALUE"""),"Indore")</f>
        <v>Indore</v>
      </c>
      <c r="D1447" s="124" t="str">
        <f>IFERROR(__xludf.DUMMYFUNCTION("""COMPUTED_VALUE"""),"Primary_Walkin")</f>
        <v>Primary_Walkin</v>
      </c>
      <c r="E1447" s="124">
        <f>IFERROR(__xludf.DUMMYFUNCTION("""COMPUTED_VALUE"""),1.0)</f>
        <v>1</v>
      </c>
      <c r="F1447" s="124" t="str">
        <f>IFERROR(__xludf.DUMMYFUNCTION("""COMPUTED_VALUE"""),"Cold")</f>
        <v>Cold</v>
      </c>
      <c r="G1447" s="124" t="str">
        <f>IFERROR(__xludf.DUMMYFUNCTION("""COMPUTED_VALUE"""),"State PCS")</f>
        <v>State PCS</v>
      </c>
      <c r="K1447" s="124"/>
      <c r="L1447" s="124"/>
      <c r="M1447" s="124"/>
      <c r="N1447" s="124"/>
      <c r="O1447" s="124"/>
      <c r="T1447" s="126">
        <f>IFERROR(__xludf.DUMMYFUNCTION("""COMPUTED_VALUE"""),46112.0)</f>
        <v>46112</v>
      </c>
      <c r="U1447" s="124" t="str">
        <f>IFERROR(__xludf.DUMMYFUNCTION("""COMPUTED_VALUE"""),"Paid Ads")</f>
        <v>Paid Ads</v>
      </c>
      <c r="V1447" s="124" t="str">
        <f>IFERROR(__xludf.DUMMYFUNCTION("""COMPUTED_VALUE"""),"Facebook")</f>
        <v>Facebook</v>
      </c>
      <c r="W1447" s="124" t="str">
        <f>IFERROR(__xludf.DUMMYFUNCTION("""COMPUTED_VALUE"""),"LeadAd")</f>
        <v>LeadAd</v>
      </c>
      <c r="X1447" s="124" t="str">
        <f>IFERROR(__xludf.DUMMYFUNCTION("""COMPUTED_VALUE"""),"Upsc_Offline_Indore_FB_Lead")</f>
        <v>Upsc_Offline_Indore_FB_Lead</v>
      </c>
      <c r="Y1447" s="124" t="str">
        <f>IFERROR(__xludf.DUMMYFUNCTION("""COMPUTED_VALUE"""),"Delhi")</f>
        <v>Delhi</v>
      </c>
      <c r="Z1447" s="124">
        <f>IFERROR(__xludf.DUMMYFUNCTION("""COMPUTED_VALUE"""),3.0)</f>
        <v>3</v>
      </c>
      <c r="AA1447" s="124"/>
      <c r="AB1447" s="124"/>
    </row>
    <row r="1448">
      <c r="A1448" s="126">
        <f>IFERROR(__xludf.DUMMYFUNCTION("""COMPUTED_VALUE"""),46045.0)</f>
        <v>46045</v>
      </c>
      <c r="B1448" s="124" t="str">
        <f>IFERROR(__xludf.DUMMYFUNCTION("""COMPUTED_VALUE"""),"Walkin")</f>
        <v>Walkin</v>
      </c>
      <c r="C1448" s="124" t="str">
        <f>IFERROR(__xludf.DUMMYFUNCTION("""COMPUTED_VALUE"""),"Indore")</f>
        <v>Indore</v>
      </c>
      <c r="D1448" s="124" t="str">
        <f>IFERROR(__xludf.DUMMYFUNCTION("""COMPUTED_VALUE"""),"Primary_Walkin")</f>
        <v>Primary_Walkin</v>
      </c>
      <c r="E1448" s="124">
        <f>IFERROR(__xludf.DUMMYFUNCTION("""COMPUTED_VALUE"""),3.0)</f>
        <v>3</v>
      </c>
      <c r="F1448" s="124" t="str">
        <f>IFERROR(__xludf.DUMMYFUNCTION("""COMPUTED_VALUE"""),"Enrolled")</f>
        <v>Enrolled</v>
      </c>
      <c r="G1448" s="124" t="str">
        <f>IFERROR(__xludf.DUMMYFUNCTION("""COMPUTED_VALUE"""),"GS Foundation")</f>
        <v>GS Foundation</v>
      </c>
      <c r="K1448" s="124"/>
      <c r="L1448" s="124"/>
      <c r="M1448" s="124"/>
      <c r="N1448" s="124"/>
      <c r="O1448" s="124"/>
      <c r="T1448" s="129">
        <f>IFERROR(__xludf.DUMMYFUNCTION("""COMPUTED_VALUE"""),46091.0)</f>
        <v>46091</v>
      </c>
      <c r="U1448" s="124" t="str">
        <f>IFERROR(__xludf.DUMMYFUNCTION("""COMPUTED_VALUE"""),"Telephony")</f>
        <v>Telephony</v>
      </c>
      <c r="V1448" s="124" t="str">
        <f>IFERROR(__xludf.DUMMYFUNCTION("""COMPUTED_VALUE"""),"Inbound Call")</f>
        <v>Inbound Call</v>
      </c>
      <c r="W1448" s="124">
        <f>IFERROR(__xludf.DUMMYFUNCTION("""COMPUTED_VALUE"""),9.18047861635E11)</f>
        <v>918047861635</v>
      </c>
      <c r="X1448" s="124" t="str">
        <f>IFERROR(__xludf.DUMMYFUNCTION("""COMPUTED_VALUE"""),"Inbound Call")</f>
        <v>Inbound Call</v>
      </c>
      <c r="Y1448" s="124" t="str">
        <f>IFERROR(__xludf.DUMMYFUNCTION("""COMPUTED_VALUE"""),"Indore")</f>
        <v>Indore</v>
      </c>
      <c r="Z1448" s="124">
        <f>IFERROR(__xludf.DUMMYFUNCTION("""COMPUTED_VALUE"""),1.0)</f>
        <v>1</v>
      </c>
      <c r="AA1448" s="124" t="str">
        <f>IFERROR(__xludf.DUMMYFUNCTION("""COMPUTED_VALUE"""),"Cold")</f>
        <v>Cold</v>
      </c>
      <c r="AB1448" s="124"/>
    </row>
    <row r="1449">
      <c r="A1449" s="126">
        <f>IFERROR(__xludf.DUMMYFUNCTION("""COMPUTED_VALUE"""),46105.0)</f>
        <v>46105</v>
      </c>
      <c r="B1449" s="124" t="str">
        <f>IFERROR(__xludf.DUMMYFUNCTION("""COMPUTED_VALUE"""),"Walkin")</f>
        <v>Walkin</v>
      </c>
      <c r="C1449" s="124" t="str">
        <f>IFERROR(__xludf.DUMMYFUNCTION("""COMPUTED_VALUE"""),"Indore")</f>
        <v>Indore</v>
      </c>
      <c r="D1449" s="124" t="str">
        <f>IFERROR(__xludf.DUMMYFUNCTION("""COMPUTED_VALUE"""),"Primary_Walkin")</f>
        <v>Primary_Walkin</v>
      </c>
      <c r="E1449" s="124">
        <f>IFERROR(__xludf.DUMMYFUNCTION("""COMPUTED_VALUE"""),1.0)</f>
        <v>1</v>
      </c>
      <c r="F1449" s="124" t="str">
        <f>IFERROR(__xludf.DUMMYFUNCTION("""COMPUTED_VALUE"""),"Warm")</f>
        <v>Warm</v>
      </c>
      <c r="G1449" s="124" t="str">
        <f>IFERROR(__xludf.DUMMYFUNCTION("""COMPUTED_VALUE"""),"State PCS")</f>
        <v>State PCS</v>
      </c>
      <c r="K1449" s="124"/>
      <c r="L1449" s="124"/>
      <c r="M1449" s="124"/>
      <c r="N1449" s="124"/>
      <c r="O1449" s="124"/>
      <c r="T1449" s="129">
        <f>IFERROR(__xludf.DUMMYFUNCTION("""COMPUTED_VALUE"""),46055.0)</f>
        <v>46055</v>
      </c>
      <c r="U1449" s="124" t="str">
        <f>IFERROR(__xludf.DUMMYFUNCTION("""COMPUTED_VALUE"""),"Telephony")</f>
        <v>Telephony</v>
      </c>
      <c r="V1449" s="124" t="str">
        <f>IFERROR(__xludf.DUMMYFUNCTION("""COMPUTED_VALUE"""),"Inbound Call")</f>
        <v>Inbound Call</v>
      </c>
      <c r="W1449" s="124" t="str">
        <f>IFERROR(__xludf.DUMMYFUNCTION("""COMPUTED_VALUE"""),"Inbound Call")</f>
        <v>Inbound Call</v>
      </c>
      <c r="X1449" s="124" t="str">
        <f>IFERROR(__xludf.DUMMYFUNCTION("""COMPUTED_VALUE"""),"Inbound Call")</f>
        <v>Inbound Call</v>
      </c>
      <c r="Y1449" s="124"/>
      <c r="Z1449" s="124">
        <f>IFERROR(__xludf.DUMMYFUNCTION("""COMPUTED_VALUE"""),1.0)</f>
        <v>1</v>
      </c>
      <c r="AA1449" s="124" t="str">
        <f>IFERROR(__xludf.DUMMYFUNCTION("""COMPUTED_VALUE"""),"Cold")</f>
        <v>Cold</v>
      </c>
      <c r="AB1449" s="124" t="str">
        <f>IFERROR(__xludf.DUMMYFUNCTION("""COMPUTED_VALUE"""),"State PCS")</f>
        <v>State PCS</v>
      </c>
    </row>
    <row r="1450">
      <c r="A1450" s="126">
        <f>IFERROR(__xludf.DUMMYFUNCTION("""COMPUTED_VALUE"""),46090.0)</f>
        <v>46090</v>
      </c>
      <c r="B1450" s="124" t="str">
        <f>IFERROR(__xludf.DUMMYFUNCTION("""COMPUTED_VALUE"""),"Walkin")</f>
        <v>Walkin</v>
      </c>
      <c r="C1450" s="124" t="str">
        <f>IFERROR(__xludf.DUMMYFUNCTION("""COMPUTED_VALUE"""),"Patna")</f>
        <v>Patna</v>
      </c>
      <c r="D1450" s="124" t="str">
        <f>IFERROR(__xludf.DUMMYFUNCTION("""COMPUTED_VALUE"""),"Primary_Walkin")</f>
        <v>Primary_Walkin</v>
      </c>
      <c r="E1450" s="124">
        <f>IFERROR(__xludf.DUMMYFUNCTION("""COMPUTED_VALUE"""),2.0)</f>
        <v>2</v>
      </c>
      <c r="F1450" s="124" t="str">
        <f>IFERROR(__xludf.DUMMYFUNCTION("""COMPUTED_VALUE"""),"Fake Lead")</f>
        <v>Fake Lead</v>
      </c>
      <c r="G1450" s="124" t="str">
        <f>IFERROR(__xludf.DUMMYFUNCTION("""COMPUTED_VALUE"""),"State PCS")</f>
        <v>State PCS</v>
      </c>
      <c r="K1450" s="124"/>
      <c r="L1450" s="124"/>
      <c r="M1450" s="124"/>
      <c r="N1450" s="124"/>
      <c r="O1450" s="124"/>
      <c r="T1450" s="126">
        <f>IFERROR(__xludf.DUMMYFUNCTION("""COMPUTED_VALUE"""),46060.0)</f>
        <v>46060</v>
      </c>
      <c r="U1450" s="124" t="str">
        <f>IFERROR(__xludf.DUMMYFUNCTION("""COMPUTED_VALUE"""),"Telephony")</f>
        <v>Telephony</v>
      </c>
      <c r="V1450" s="124" t="str">
        <f>IFERROR(__xludf.DUMMYFUNCTION("""COMPUTED_VALUE"""),"Inbound Call")</f>
        <v>Inbound Call</v>
      </c>
      <c r="W1450" s="124" t="str">
        <f>IFERROR(__xludf.DUMMYFUNCTION("""COMPUTED_VALUE"""),"Inbound Call")</f>
        <v>Inbound Call</v>
      </c>
      <c r="X1450" s="124" t="str">
        <f>IFERROR(__xludf.DUMMYFUNCTION("""COMPUTED_VALUE"""),"Inbound Call")</f>
        <v>Inbound Call</v>
      </c>
      <c r="Y1450" s="124"/>
      <c r="Z1450" s="124">
        <f>IFERROR(__xludf.DUMMYFUNCTION("""COMPUTED_VALUE"""),4.0)</f>
        <v>4</v>
      </c>
      <c r="AA1450" s="124" t="str">
        <f>IFERROR(__xludf.DUMMYFUNCTION("""COMPUTED_VALUE"""),"Fake Lead")</f>
        <v>Fake Lead</v>
      </c>
      <c r="AB1450" s="124"/>
    </row>
    <row r="1451">
      <c r="A1451" s="126">
        <f>IFERROR(__xludf.DUMMYFUNCTION("""COMPUTED_VALUE"""),46062.0)</f>
        <v>46062</v>
      </c>
      <c r="B1451" s="124" t="str">
        <f>IFERROR(__xludf.DUMMYFUNCTION("""COMPUTED_VALUE"""),"Walkin")</f>
        <v>Walkin</v>
      </c>
      <c r="C1451" s="124" t="str">
        <f>IFERROR(__xludf.DUMMYFUNCTION("""COMPUTED_VALUE"""),"Patna")</f>
        <v>Patna</v>
      </c>
      <c r="D1451" s="124" t="str">
        <f>IFERROR(__xludf.DUMMYFUNCTION("""COMPUTED_VALUE"""),"Primary_Walkin")</f>
        <v>Primary_Walkin</v>
      </c>
      <c r="E1451" s="124">
        <f>IFERROR(__xludf.DUMMYFUNCTION("""COMPUTED_VALUE"""),1.0)</f>
        <v>1</v>
      </c>
      <c r="F1451" s="124" t="str">
        <f>IFERROR(__xludf.DUMMYFUNCTION("""COMPUTED_VALUE"""),"Not Interested")</f>
        <v>Not Interested</v>
      </c>
      <c r="G1451" s="124" t="str">
        <f>IFERROR(__xludf.DUMMYFUNCTION("""COMPUTED_VALUE"""),"State PCS")</f>
        <v>State PCS</v>
      </c>
      <c r="K1451" s="124"/>
      <c r="L1451" s="124"/>
      <c r="M1451" s="124"/>
      <c r="N1451" s="124"/>
      <c r="O1451" s="124"/>
      <c r="T1451" s="126">
        <f>IFERROR(__xludf.DUMMYFUNCTION("""COMPUTED_VALUE"""),46057.0)</f>
        <v>46057</v>
      </c>
      <c r="U1451" s="124" t="str">
        <f>IFERROR(__xludf.DUMMYFUNCTION("""COMPUTED_VALUE"""),"Telephony")</f>
        <v>Telephony</v>
      </c>
      <c r="V1451" s="124" t="str">
        <f>IFERROR(__xludf.DUMMYFUNCTION("""COMPUTED_VALUE"""),"Inbound Call")</f>
        <v>Inbound Call</v>
      </c>
      <c r="W1451" s="124">
        <f>IFERROR(__xludf.DUMMYFUNCTION("""COMPUTED_VALUE"""),9.18047861635E11)</f>
        <v>918047861635</v>
      </c>
      <c r="X1451" s="124" t="str">
        <f>IFERROR(__xludf.DUMMYFUNCTION("""COMPUTED_VALUE"""),"Inbound Call")</f>
        <v>Inbound Call</v>
      </c>
      <c r="Y1451" s="124" t="str">
        <f>IFERROR(__xludf.DUMMYFUNCTION("""COMPUTED_VALUE"""),"Indore")</f>
        <v>Indore</v>
      </c>
      <c r="Z1451" s="124">
        <f>IFERROR(__xludf.DUMMYFUNCTION("""COMPUTED_VALUE"""),2.0)</f>
        <v>2</v>
      </c>
      <c r="AA1451" s="124" t="str">
        <f>IFERROR(__xludf.DUMMYFUNCTION("""COMPUTED_VALUE"""),"Fake Lead")</f>
        <v>Fake Lead</v>
      </c>
      <c r="AB1451" s="124"/>
    </row>
    <row r="1452">
      <c r="A1452" s="129">
        <f>IFERROR(__xludf.DUMMYFUNCTION("""COMPUTED_VALUE"""),46058.0)</f>
        <v>46058</v>
      </c>
      <c r="B1452" s="124" t="str">
        <f>IFERROR(__xludf.DUMMYFUNCTION("""COMPUTED_VALUE"""),"Walkin")</f>
        <v>Walkin</v>
      </c>
      <c r="C1452" s="124" t="str">
        <f>IFERROR(__xludf.DUMMYFUNCTION("""COMPUTED_VALUE"""),"Patna")</f>
        <v>Patna</v>
      </c>
      <c r="D1452" s="124" t="str">
        <f>IFERROR(__xludf.DUMMYFUNCTION("""COMPUTED_VALUE"""),"Primary_Walkin")</f>
        <v>Primary_Walkin</v>
      </c>
      <c r="E1452" s="124">
        <f>IFERROR(__xludf.DUMMYFUNCTION("""COMPUTED_VALUE"""),2.0)</f>
        <v>2</v>
      </c>
      <c r="F1452" s="124" t="str">
        <f>IFERROR(__xludf.DUMMYFUNCTION("""COMPUTED_VALUE"""),"Warm")</f>
        <v>Warm</v>
      </c>
      <c r="G1452" s="124" t="str">
        <f>IFERROR(__xludf.DUMMYFUNCTION("""COMPUTED_VALUE"""),"State PCS")</f>
        <v>State PCS</v>
      </c>
      <c r="K1452" s="124"/>
      <c r="L1452" s="124"/>
      <c r="M1452" s="124"/>
      <c r="N1452" s="124"/>
      <c r="O1452" s="124"/>
      <c r="T1452" s="126">
        <f>IFERROR(__xludf.DUMMYFUNCTION("""COMPUTED_VALUE"""),46112.0)</f>
        <v>46112</v>
      </c>
      <c r="U1452" s="124" t="str">
        <f>IFERROR(__xludf.DUMMYFUNCTION("""COMPUTED_VALUE"""),"Telephony")</f>
        <v>Telephony</v>
      </c>
      <c r="V1452" s="124" t="str">
        <f>IFERROR(__xludf.DUMMYFUNCTION("""COMPUTED_VALUE"""),"Inbound Call")</f>
        <v>Inbound Call</v>
      </c>
      <c r="W1452" s="124">
        <f>IFERROR(__xludf.DUMMYFUNCTION("""COMPUTED_VALUE"""),9.18047861663E11)</f>
        <v>918047861663</v>
      </c>
      <c r="X1452" s="124" t="str">
        <f>IFERROR(__xludf.DUMMYFUNCTION("""COMPUTED_VALUE"""),"Inbound Call")</f>
        <v>Inbound Call</v>
      </c>
      <c r="Y1452" s="124" t="str">
        <f>IFERROR(__xludf.DUMMYFUNCTION("""COMPUTED_VALUE"""),"Delhi")</f>
        <v>Delhi</v>
      </c>
      <c r="Z1452" s="124">
        <f>IFERROR(__xludf.DUMMYFUNCTION("""COMPUTED_VALUE"""),1.0)</f>
        <v>1</v>
      </c>
      <c r="AA1452" s="124" t="str">
        <f>IFERROR(__xludf.DUMMYFUNCTION("""COMPUTED_VALUE"""),"Fake Lead")</f>
        <v>Fake Lead</v>
      </c>
      <c r="AB1452" s="124"/>
    </row>
    <row r="1453">
      <c r="A1453" s="129">
        <f>IFERROR(__xludf.DUMMYFUNCTION("""COMPUTED_VALUE"""),46065.0)</f>
        <v>46065</v>
      </c>
      <c r="B1453" s="124" t="str">
        <f>IFERROR(__xludf.DUMMYFUNCTION("""COMPUTED_VALUE"""),"Walkin")</f>
        <v>Walkin</v>
      </c>
      <c r="C1453" s="124" t="str">
        <f>IFERROR(__xludf.DUMMYFUNCTION("""COMPUTED_VALUE"""),"Patna")</f>
        <v>Patna</v>
      </c>
      <c r="D1453" s="124" t="str">
        <f>IFERROR(__xludf.DUMMYFUNCTION("""COMPUTED_VALUE"""),"Primary_Walkin")</f>
        <v>Primary_Walkin</v>
      </c>
      <c r="E1453" s="124">
        <f>IFERROR(__xludf.DUMMYFUNCTION("""COMPUTED_VALUE"""),1.0)</f>
        <v>1</v>
      </c>
      <c r="F1453" s="124" t="str">
        <f>IFERROR(__xludf.DUMMYFUNCTION("""COMPUTED_VALUE"""),"Not Interested")</f>
        <v>Not Interested</v>
      </c>
      <c r="G1453" s="124" t="str">
        <f>IFERROR(__xludf.DUMMYFUNCTION("""COMPUTED_VALUE"""),"State PCS")</f>
        <v>State PCS</v>
      </c>
      <c r="K1453" s="124"/>
      <c r="L1453" s="124"/>
      <c r="M1453" s="124"/>
      <c r="N1453" s="124"/>
      <c r="O1453" s="124"/>
      <c r="T1453" s="126">
        <f>IFERROR(__xludf.DUMMYFUNCTION("""COMPUTED_VALUE"""),46078.0)</f>
        <v>46078</v>
      </c>
      <c r="U1453" s="124" t="str">
        <f>IFERROR(__xludf.DUMMYFUNCTION("""COMPUTED_VALUE"""),"Telephony")</f>
        <v>Telephony</v>
      </c>
      <c r="V1453" s="124" t="str">
        <f>IFERROR(__xludf.DUMMYFUNCTION("""COMPUTED_VALUE"""),"Inbound Call")</f>
        <v>Inbound Call</v>
      </c>
      <c r="W1453" s="124" t="str">
        <f>IFERROR(__xludf.DUMMYFUNCTION("""COMPUTED_VALUE"""),"Inbound Call")</f>
        <v>Inbound Call</v>
      </c>
      <c r="X1453" s="124" t="str">
        <f>IFERROR(__xludf.DUMMYFUNCTION("""COMPUTED_VALUE"""),"Inbound Call")</f>
        <v>Inbound Call</v>
      </c>
      <c r="Y1453" s="124" t="str">
        <f>IFERROR(__xludf.DUMMYFUNCTION("""COMPUTED_VALUE"""),"Delhi")</f>
        <v>Delhi</v>
      </c>
      <c r="Z1453" s="124">
        <f>IFERROR(__xludf.DUMMYFUNCTION("""COMPUTED_VALUE"""),3.0)</f>
        <v>3</v>
      </c>
      <c r="AA1453" s="124" t="str">
        <f>IFERROR(__xludf.DUMMYFUNCTION("""COMPUTED_VALUE"""),"Cold")</f>
        <v>Cold</v>
      </c>
      <c r="AB1453" s="124"/>
    </row>
    <row r="1454">
      <c r="A1454" s="126">
        <f>IFERROR(__xludf.DUMMYFUNCTION("""COMPUTED_VALUE"""),46097.0)</f>
        <v>46097</v>
      </c>
      <c r="B1454" s="124" t="str">
        <f>IFERROR(__xludf.DUMMYFUNCTION("""COMPUTED_VALUE"""),"Walk-In")</f>
        <v>Walk-In</v>
      </c>
      <c r="C1454" s="124" t="str">
        <f>IFERROR(__xludf.DUMMYFUNCTION("""COMPUTED_VALUE"""),"Patna")</f>
        <v>Patna</v>
      </c>
      <c r="D1454" s="124" t="str">
        <f>IFERROR(__xludf.DUMMYFUNCTION("""COMPUTED_VALUE"""),"Primary_Walkin")</f>
        <v>Primary_Walkin</v>
      </c>
      <c r="E1454" s="124">
        <f>IFERROR(__xludf.DUMMYFUNCTION("""COMPUTED_VALUE"""),1.0)</f>
        <v>1</v>
      </c>
      <c r="F1454" s="124" t="str">
        <f>IFERROR(__xludf.DUMMYFUNCTION("""COMPUTED_VALUE"""),"Not Interested")</f>
        <v>Not Interested</v>
      </c>
      <c r="G1454" s="124" t="str">
        <f>IFERROR(__xludf.DUMMYFUNCTION("""COMPUTED_VALUE"""),"State PCS")</f>
        <v>State PCS</v>
      </c>
      <c r="K1454" s="124"/>
      <c r="L1454" s="124"/>
      <c r="M1454" s="124"/>
      <c r="N1454" s="124"/>
      <c r="O1454" s="124"/>
      <c r="T1454" s="126">
        <f>IFERROR(__xludf.DUMMYFUNCTION("""COMPUTED_VALUE"""),46108.0)</f>
        <v>46108</v>
      </c>
      <c r="U1454" s="124" t="str">
        <f>IFERROR(__xludf.DUMMYFUNCTION("""COMPUTED_VALUE"""),"Telephony")</f>
        <v>Telephony</v>
      </c>
      <c r="V1454" s="124" t="str">
        <f>IFERROR(__xludf.DUMMYFUNCTION("""COMPUTED_VALUE"""),"Inbound Call")</f>
        <v>Inbound Call</v>
      </c>
      <c r="W1454" s="124">
        <f>IFERROR(__xludf.DUMMYFUNCTION("""COMPUTED_VALUE"""),9.18047861631E11)</f>
        <v>918047861631</v>
      </c>
      <c r="X1454" s="124" t="str">
        <f>IFERROR(__xludf.DUMMYFUNCTION("""COMPUTED_VALUE"""),"Inbound Call")</f>
        <v>Inbound Call</v>
      </c>
      <c r="Y1454" s="124" t="str">
        <f>IFERROR(__xludf.DUMMYFUNCTION("""COMPUTED_VALUE"""),"Delhi")</f>
        <v>Delhi</v>
      </c>
      <c r="Z1454" s="124">
        <f>IFERROR(__xludf.DUMMYFUNCTION("""COMPUTED_VALUE"""),2.0)</f>
        <v>2</v>
      </c>
      <c r="AA1454" s="124" t="str">
        <f>IFERROR(__xludf.DUMMYFUNCTION("""COMPUTED_VALUE"""),"Cold")</f>
        <v>Cold</v>
      </c>
      <c r="AB1454" s="124"/>
    </row>
    <row r="1455">
      <c r="A1455" s="126">
        <f>IFERROR(__xludf.DUMMYFUNCTION("""COMPUTED_VALUE"""),46069.0)</f>
        <v>46069</v>
      </c>
      <c r="B1455" s="124" t="str">
        <f>IFERROR(__xludf.DUMMYFUNCTION("""COMPUTED_VALUE"""),"Walkin")</f>
        <v>Walkin</v>
      </c>
      <c r="C1455" s="124" t="str">
        <f>IFERROR(__xludf.DUMMYFUNCTION("""COMPUTED_VALUE"""),"Patna")</f>
        <v>Patna</v>
      </c>
      <c r="D1455" s="124" t="str">
        <f>IFERROR(__xludf.DUMMYFUNCTION("""COMPUTED_VALUE"""),"Primary_Walkin")</f>
        <v>Primary_Walkin</v>
      </c>
      <c r="E1455" s="124">
        <f>IFERROR(__xludf.DUMMYFUNCTION("""COMPUTED_VALUE"""),1.0)</f>
        <v>1</v>
      </c>
      <c r="F1455" s="124" t="str">
        <f>IFERROR(__xludf.DUMMYFUNCTION("""COMPUTED_VALUE"""),"Not Interested")</f>
        <v>Not Interested</v>
      </c>
      <c r="G1455" s="124" t="str">
        <f>IFERROR(__xludf.DUMMYFUNCTION("""COMPUTED_VALUE"""),"State PCS")</f>
        <v>State PCS</v>
      </c>
      <c r="K1455" s="124"/>
      <c r="L1455" s="124"/>
      <c r="M1455" s="124"/>
      <c r="N1455" s="124"/>
      <c r="O1455" s="124"/>
      <c r="T1455" s="126">
        <f>IFERROR(__xludf.DUMMYFUNCTION("""COMPUTED_VALUE"""),46093.0)</f>
        <v>46093</v>
      </c>
      <c r="U1455" s="124" t="str">
        <f>IFERROR(__xludf.DUMMYFUNCTION("""COMPUTED_VALUE"""),"Telephony")</f>
        <v>Telephony</v>
      </c>
      <c r="V1455" s="124" t="str">
        <f>IFERROR(__xludf.DUMMYFUNCTION("""COMPUTED_VALUE"""),"Inbound Call")</f>
        <v>Inbound Call</v>
      </c>
      <c r="W1455" s="124">
        <f>IFERROR(__xludf.DUMMYFUNCTION("""COMPUTED_VALUE"""),9.18047861631E11)</f>
        <v>918047861631</v>
      </c>
      <c r="X1455" s="124" t="str">
        <f>IFERROR(__xludf.DUMMYFUNCTION("""COMPUTED_VALUE"""),"Inbound Call")</f>
        <v>Inbound Call</v>
      </c>
      <c r="Y1455" s="124"/>
      <c r="Z1455" s="124">
        <f>IFERROR(__xludf.DUMMYFUNCTION("""COMPUTED_VALUE"""),1.0)</f>
        <v>1</v>
      </c>
      <c r="AA1455" s="124" t="str">
        <f>IFERROR(__xludf.DUMMYFUNCTION("""COMPUTED_VALUE"""),"Fake Lead")</f>
        <v>Fake Lead</v>
      </c>
      <c r="AB1455" s="124"/>
    </row>
    <row r="1456">
      <c r="A1456" s="126">
        <f>IFERROR(__xludf.DUMMYFUNCTION("""COMPUTED_VALUE"""),46068.0)</f>
        <v>46068</v>
      </c>
      <c r="B1456" s="124" t="str">
        <f>IFERROR(__xludf.DUMMYFUNCTION("""COMPUTED_VALUE"""),"Walk-In")</f>
        <v>Walk-In</v>
      </c>
      <c r="C1456" s="124" t="str">
        <f>IFERROR(__xludf.DUMMYFUNCTION("""COMPUTED_VALUE"""),"Patna")</f>
        <v>Patna</v>
      </c>
      <c r="D1456" s="124" t="str">
        <f>IFERROR(__xludf.DUMMYFUNCTION("""COMPUTED_VALUE"""),"Primary_Walkin")</f>
        <v>Primary_Walkin</v>
      </c>
      <c r="E1456" s="124">
        <f>IFERROR(__xludf.DUMMYFUNCTION("""COMPUTED_VALUE"""),1.0)</f>
        <v>1</v>
      </c>
      <c r="F1456" s="124" t="str">
        <f>IFERROR(__xludf.DUMMYFUNCTION("""COMPUTED_VALUE"""),"Not Interested")</f>
        <v>Not Interested</v>
      </c>
      <c r="G1456" s="124" t="str">
        <f>IFERROR(__xludf.DUMMYFUNCTION("""COMPUTED_VALUE"""),"State PCS")</f>
        <v>State PCS</v>
      </c>
      <c r="K1456" s="124"/>
      <c r="L1456" s="124"/>
      <c r="M1456" s="124"/>
      <c r="N1456" s="124"/>
      <c r="O1456" s="124"/>
      <c r="T1456" s="126">
        <f>IFERROR(__xludf.DUMMYFUNCTION("""COMPUTED_VALUE"""),46093.0)</f>
        <v>46093</v>
      </c>
      <c r="U1456" s="124" t="str">
        <f>IFERROR(__xludf.DUMMYFUNCTION("""COMPUTED_VALUE"""),"Telephony")</f>
        <v>Telephony</v>
      </c>
      <c r="V1456" s="124" t="str">
        <f>IFERROR(__xludf.DUMMYFUNCTION("""COMPUTED_VALUE"""),"Inbound Call")</f>
        <v>Inbound Call</v>
      </c>
      <c r="W1456" s="124" t="str">
        <f>IFERROR(__xludf.DUMMYFUNCTION("""COMPUTED_VALUE"""),"Inbound Call")</f>
        <v>Inbound Call</v>
      </c>
      <c r="X1456" s="124" t="str">
        <f>IFERROR(__xludf.DUMMYFUNCTION("""COMPUTED_VALUE"""),"Inbound Call")</f>
        <v>Inbound Call</v>
      </c>
      <c r="Y1456" s="124"/>
      <c r="Z1456" s="124">
        <f>IFERROR(__xludf.DUMMYFUNCTION("""COMPUTED_VALUE"""),3.0)</f>
        <v>3</v>
      </c>
      <c r="AA1456" s="124" t="str">
        <f>IFERROR(__xludf.DUMMYFUNCTION("""COMPUTED_VALUE"""),"Cold")</f>
        <v>Cold</v>
      </c>
      <c r="AB1456" s="124"/>
    </row>
    <row r="1457">
      <c r="A1457" s="126">
        <f>IFERROR(__xludf.DUMMYFUNCTION("""COMPUTED_VALUE"""),46060.0)</f>
        <v>46060</v>
      </c>
      <c r="B1457" s="124" t="str">
        <f>IFERROR(__xludf.DUMMYFUNCTION("""COMPUTED_VALUE"""),"Walkin")</f>
        <v>Walkin</v>
      </c>
      <c r="C1457" s="124" t="str">
        <f>IFERROR(__xludf.DUMMYFUNCTION("""COMPUTED_VALUE"""),"Patna")</f>
        <v>Patna</v>
      </c>
      <c r="D1457" s="124" t="str">
        <f>IFERROR(__xludf.DUMMYFUNCTION("""COMPUTED_VALUE"""),"Primary_Walkin")</f>
        <v>Primary_Walkin</v>
      </c>
      <c r="E1457" s="124">
        <f>IFERROR(__xludf.DUMMYFUNCTION("""COMPUTED_VALUE"""),1.0)</f>
        <v>1</v>
      </c>
      <c r="F1457" s="124" t="str">
        <f>IFERROR(__xludf.DUMMYFUNCTION("""COMPUTED_VALUE"""),"Not Interested")</f>
        <v>Not Interested</v>
      </c>
      <c r="G1457" s="124" t="str">
        <f>IFERROR(__xludf.DUMMYFUNCTION("""COMPUTED_VALUE"""),"State PCS")</f>
        <v>State PCS</v>
      </c>
      <c r="K1457" s="124"/>
      <c r="L1457" s="124"/>
      <c r="M1457" s="124"/>
      <c r="N1457" s="124"/>
      <c r="O1457" s="124"/>
      <c r="T1457" s="126">
        <f>IFERROR(__xludf.DUMMYFUNCTION("""COMPUTED_VALUE"""),46073.0)</f>
        <v>46073</v>
      </c>
      <c r="U1457" s="124" t="str">
        <f>IFERROR(__xludf.DUMMYFUNCTION("""COMPUTED_VALUE"""),"Telephony")</f>
        <v>Telephony</v>
      </c>
      <c r="V1457" s="124" t="str">
        <f>IFERROR(__xludf.DUMMYFUNCTION("""COMPUTED_VALUE"""),"Inbound Call")</f>
        <v>Inbound Call</v>
      </c>
      <c r="W1457" s="124">
        <f>IFERROR(__xludf.DUMMYFUNCTION("""COMPUTED_VALUE"""),9.18047861632E11)</f>
        <v>918047861632</v>
      </c>
      <c r="X1457" s="124" t="str">
        <f>IFERROR(__xludf.DUMMYFUNCTION("""COMPUTED_VALUE"""),"Inbound Call")</f>
        <v>Inbound Call</v>
      </c>
      <c r="Y1457" s="124" t="str">
        <f>IFERROR(__xludf.DUMMYFUNCTION("""COMPUTED_VALUE"""),"Prayagraj")</f>
        <v>Prayagraj</v>
      </c>
      <c r="Z1457" s="124">
        <f>IFERROR(__xludf.DUMMYFUNCTION("""COMPUTED_VALUE"""),1.0)</f>
        <v>1</v>
      </c>
      <c r="AA1457" s="124" t="str">
        <f>IFERROR(__xludf.DUMMYFUNCTION("""COMPUTED_VALUE"""),"Cold")</f>
        <v>Cold</v>
      </c>
      <c r="AB1457" s="124" t="str">
        <f>IFERROR(__xludf.DUMMYFUNCTION("""COMPUTED_VALUE"""),"Test Series")</f>
        <v>Test Series</v>
      </c>
    </row>
    <row r="1458">
      <c r="A1458" s="126">
        <f>IFERROR(__xludf.DUMMYFUNCTION("""COMPUTED_VALUE"""),46090.0)</f>
        <v>46090</v>
      </c>
      <c r="B1458" s="124" t="str">
        <f>IFERROR(__xludf.DUMMYFUNCTION("""COMPUTED_VALUE"""),"Walkin")</f>
        <v>Walkin</v>
      </c>
      <c r="C1458" s="124" t="str">
        <f>IFERROR(__xludf.DUMMYFUNCTION("""COMPUTED_VALUE"""),"Patna")</f>
        <v>Patna</v>
      </c>
      <c r="D1458" s="124" t="str">
        <f>IFERROR(__xludf.DUMMYFUNCTION("""COMPUTED_VALUE"""),"Primary_Walkin")</f>
        <v>Primary_Walkin</v>
      </c>
      <c r="E1458" s="124">
        <f>IFERROR(__xludf.DUMMYFUNCTION("""COMPUTED_VALUE"""),1.0)</f>
        <v>1</v>
      </c>
      <c r="F1458" s="124" t="str">
        <f>IFERROR(__xludf.DUMMYFUNCTION("""COMPUTED_VALUE"""),"Not Interested")</f>
        <v>Not Interested</v>
      </c>
      <c r="G1458" s="124" t="str">
        <f>IFERROR(__xludf.DUMMYFUNCTION("""COMPUTED_VALUE"""),"GS Foundation")</f>
        <v>GS Foundation</v>
      </c>
      <c r="K1458" s="124"/>
      <c r="L1458" s="124"/>
      <c r="M1458" s="124"/>
      <c r="N1458" s="124"/>
      <c r="O1458" s="124"/>
      <c r="T1458" s="126">
        <f>IFERROR(__xludf.DUMMYFUNCTION("""COMPUTED_VALUE"""),46076.0)</f>
        <v>46076</v>
      </c>
      <c r="U1458" s="124" t="str">
        <f>IFERROR(__xludf.DUMMYFUNCTION("""COMPUTED_VALUE"""),"Telephony")</f>
        <v>Telephony</v>
      </c>
      <c r="V1458" s="124" t="str">
        <f>IFERROR(__xludf.DUMMYFUNCTION("""COMPUTED_VALUE"""),"Inbound Call")</f>
        <v>Inbound Call</v>
      </c>
      <c r="W1458" s="124" t="str">
        <f>IFERROR(__xludf.DUMMYFUNCTION("""COMPUTED_VALUE"""),"Inbound Call")</f>
        <v>Inbound Call</v>
      </c>
      <c r="X1458" s="124" t="str">
        <f>IFERROR(__xludf.DUMMYFUNCTION("""COMPUTED_VALUE"""),"Inbound Call")</f>
        <v>Inbound Call</v>
      </c>
      <c r="Y1458" s="124"/>
      <c r="Z1458" s="124">
        <f>IFERROR(__xludf.DUMMYFUNCTION("""COMPUTED_VALUE"""),1.0)</f>
        <v>1</v>
      </c>
      <c r="AA1458" s="124" t="str">
        <f>IFERROR(__xludf.DUMMYFUNCTION("""COMPUTED_VALUE"""),"Fake Lead")</f>
        <v>Fake Lead</v>
      </c>
      <c r="AB1458" s="124"/>
    </row>
    <row r="1459">
      <c r="A1459" s="126">
        <f>IFERROR(__xludf.DUMMYFUNCTION("""COMPUTED_VALUE"""),46101.0)</f>
        <v>46101</v>
      </c>
      <c r="B1459" s="124" t="str">
        <f>IFERROR(__xludf.DUMMYFUNCTION("""COMPUTED_VALUE"""),"external leads")</f>
        <v>external leads</v>
      </c>
      <c r="C1459" s="124" t="str">
        <f>IFERROR(__xludf.DUMMYFUNCTION("""COMPUTED_VALUE"""),"Patna")</f>
        <v>Patna</v>
      </c>
      <c r="D1459" s="124" t="str">
        <f>IFERROR(__xludf.DUMMYFUNCTION("""COMPUTED_VALUE"""),"Secondary_Walkin")</f>
        <v>Secondary_Walkin</v>
      </c>
      <c r="E1459" s="124">
        <f>IFERROR(__xludf.DUMMYFUNCTION("""COMPUTED_VALUE"""),4.0)</f>
        <v>4</v>
      </c>
      <c r="F1459" s="124" t="str">
        <f>IFERROR(__xludf.DUMMYFUNCTION("""COMPUTED_VALUE"""),"Warm")</f>
        <v>Warm</v>
      </c>
      <c r="G1459" s="124" t="str">
        <f>IFERROR(__xludf.DUMMYFUNCTION("""COMPUTED_VALUE"""),"GS Foundation")</f>
        <v>GS Foundation</v>
      </c>
      <c r="K1459" s="124"/>
      <c r="L1459" s="124"/>
      <c r="M1459" s="124"/>
      <c r="N1459" s="124"/>
      <c r="O1459" s="124"/>
      <c r="T1459" s="126">
        <f>IFERROR(__xludf.DUMMYFUNCTION("""COMPUTED_VALUE"""),46093.0)</f>
        <v>46093</v>
      </c>
      <c r="U1459" s="124" t="str">
        <f>IFERROR(__xludf.DUMMYFUNCTION("""COMPUTED_VALUE"""),"Telephony")</f>
        <v>Telephony</v>
      </c>
      <c r="V1459" s="124" t="str">
        <f>IFERROR(__xludf.DUMMYFUNCTION("""COMPUTED_VALUE"""),"Inbound Call")</f>
        <v>Inbound Call</v>
      </c>
      <c r="W1459" s="124">
        <f>IFERROR(__xludf.DUMMYFUNCTION("""COMPUTED_VALUE"""),9.18047861634E11)</f>
        <v>918047861634</v>
      </c>
      <c r="X1459" s="124" t="str">
        <f>IFERROR(__xludf.DUMMYFUNCTION("""COMPUTED_VALUE"""),"Inbound Call")</f>
        <v>Inbound Call</v>
      </c>
      <c r="Y1459" s="124"/>
      <c r="Z1459" s="124">
        <f>IFERROR(__xludf.DUMMYFUNCTION("""COMPUTED_VALUE"""),1.0)</f>
        <v>1</v>
      </c>
      <c r="AA1459" s="124" t="str">
        <f>IFERROR(__xludf.DUMMYFUNCTION("""COMPUTED_VALUE"""),"Not Interested")</f>
        <v>Not Interested</v>
      </c>
      <c r="AB1459" s="124"/>
    </row>
    <row r="1460">
      <c r="A1460" s="129">
        <f>IFERROR(__xludf.DUMMYFUNCTION("""COMPUTED_VALUE"""),46045.0)</f>
        <v>46045</v>
      </c>
      <c r="B1460" s="124" t="str">
        <f>IFERROR(__xludf.DUMMYFUNCTION("""COMPUTED_VALUE"""),"Walk-In")</f>
        <v>Walk-In</v>
      </c>
      <c r="C1460" s="124" t="str">
        <f>IFERROR(__xludf.DUMMYFUNCTION("""COMPUTED_VALUE"""),"Patna")</f>
        <v>Patna</v>
      </c>
      <c r="D1460" s="124" t="str">
        <f>IFERROR(__xludf.DUMMYFUNCTION("""COMPUTED_VALUE"""),"Primary_Walkin")</f>
        <v>Primary_Walkin</v>
      </c>
      <c r="E1460" s="124">
        <f>IFERROR(__xludf.DUMMYFUNCTION("""COMPUTED_VALUE"""),3.0)</f>
        <v>3</v>
      </c>
      <c r="F1460" s="124" t="str">
        <f>IFERROR(__xludf.DUMMYFUNCTION("""COMPUTED_VALUE"""),"Cold")</f>
        <v>Cold</v>
      </c>
      <c r="G1460" s="124" t="str">
        <f>IFERROR(__xludf.DUMMYFUNCTION("""COMPUTED_VALUE"""),"State PCS")</f>
        <v>State PCS</v>
      </c>
      <c r="K1460" s="124"/>
      <c r="L1460" s="124"/>
      <c r="M1460" s="124"/>
      <c r="N1460" s="124"/>
      <c r="O1460" s="124"/>
      <c r="T1460" s="126">
        <f>IFERROR(__xludf.DUMMYFUNCTION("""COMPUTED_VALUE"""),46057.0)</f>
        <v>46057</v>
      </c>
      <c r="U1460" s="124" t="str">
        <f>IFERROR(__xludf.DUMMYFUNCTION("""COMPUTED_VALUE"""),"Telephony")</f>
        <v>Telephony</v>
      </c>
      <c r="V1460" s="124" t="str">
        <f>IFERROR(__xludf.DUMMYFUNCTION("""COMPUTED_VALUE"""),"Inbound Call")</f>
        <v>Inbound Call</v>
      </c>
      <c r="W1460" s="124">
        <f>IFERROR(__xludf.DUMMYFUNCTION("""COMPUTED_VALUE"""),9.18047861633E11)</f>
        <v>918047861633</v>
      </c>
      <c r="X1460" s="124" t="str">
        <f>IFERROR(__xludf.DUMMYFUNCTION("""COMPUTED_VALUE"""),"Inbound Call")</f>
        <v>Inbound Call</v>
      </c>
      <c r="Y1460" s="124"/>
      <c r="Z1460" s="124">
        <f>IFERROR(__xludf.DUMMYFUNCTION("""COMPUTED_VALUE"""),2.0)</f>
        <v>2</v>
      </c>
      <c r="AA1460" s="124" t="str">
        <f>IFERROR(__xludf.DUMMYFUNCTION("""COMPUTED_VALUE"""),"Cold")</f>
        <v>Cold</v>
      </c>
      <c r="AB1460" s="124"/>
    </row>
    <row r="1461">
      <c r="A1461" s="126">
        <f>IFERROR(__xludf.DUMMYFUNCTION("""COMPUTED_VALUE"""),46076.0)</f>
        <v>46076</v>
      </c>
      <c r="B1461" s="124" t="str">
        <f>IFERROR(__xludf.DUMMYFUNCTION("""COMPUTED_VALUE"""),"Walkin")</f>
        <v>Walkin</v>
      </c>
      <c r="C1461" s="124" t="str">
        <f>IFERROR(__xludf.DUMMYFUNCTION("""COMPUTED_VALUE"""),"Patna")</f>
        <v>Patna</v>
      </c>
      <c r="D1461" s="124" t="str">
        <f>IFERROR(__xludf.DUMMYFUNCTION("""COMPUTED_VALUE"""),"Primary_Walkin")</f>
        <v>Primary_Walkin</v>
      </c>
      <c r="E1461" s="124">
        <f>IFERROR(__xludf.DUMMYFUNCTION("""COMPUTED_VALUE"""),1.0)</f>
        <v>1</v>
      </c>
      <c r="F1461" s="124" t="str">
        <f>IFERROR(__xludf.DUMMYFUNCTION("""COMPUTED_VALUE"""),"Warm")</f>
        <v>Warm</v>
      </c>
      <c r="G1461" s="124" t="str">
        <f>IFERROR(__xludf.DUMMYFUNCTION("""COMPUTED_VALUE"""),"State PCS")</f>
        <v>State PCS</v>
      </c>
      <c r="K1461" s="124"/>
      <c r="L1461" s="124"/>
      <c r="M1461" s="124"/>
      <c r="N1461" s="124"/>
      <c r="O1461" s="124"/>
      <c r="T1461" s="129">
        <f>IFERROR(__xludf.DUMMYFUNCTION("""COMPUTED_VALUE"""),46104.0)</f>
        <v>46104</v>
      </c>
      <c r="U1461" s="124" t="str">
        <f>IFERROR(__xludf.DUMMYFUNCTION("""COMPUTED_VALUE"""),"Telephony")</f>
        <v>Telephony</v>
      </c>
      <c r="V1461" s="124" t="str">
        <f>IFERROR(__xludf.DUMMYFUNCTION("""COMPUTED_VALUE"""),"Inbound Call")</f>
        <v>Inbound Call</v>
      </c>
      <c r="W1461" s="124">
        <f>IFERROR(__xludf.DUMMYFUNCTION("""COMPUTED_VALUE"""),9.18047861635E11)</f>
        <v>918047861635</v>
      </c>
      <c r="X1461" s="124" t="str">
        <f>IFERROR(__xludf.DUMMYFUNCTION("""COMPUTED_VALUE"""),"Inbound Call")</f>
        <v>Inbound Call</v>
      </c>
      <c r="Y1461" s="124" t="str">
        <f>IFERROR(__xludf.DUMMYFUNCTION("""COMPUTED_VALUE"""),"Indore")</f>
        <v>Indore</v>
      </c>
      <c r="Z1461" s="124">
        <f>IFERROR(__xludf.DUMMYFUNCTION("""COMPUTED_VALUE"""),1.0)</f>
        <v>1</v>
      </c>
      <c r="AA1461" s="124" t="str">
        <f>IFERROR(__xludf.DUMMYFUNCTION("""COMPUTED_VALUE"""),"Interested")</f>
        <v>Interested</v>
      </c>
      <c r="AB1461" s="124" t="str">
        <f>IFERROR(__xludf.DUMMYFUNCTION("""COMPUTED_VALUE"""),"State PCS")</f>
        <v>State PCS</v>
      </c>
    </row>
    <row r="1462">
      <c r="A1462" s="126">
        <f>IFERROR(__xludf.DUMMYFUNCTION("""COMPUTED_VALUE"""),46047.0)</f>
        <v>46047</v>
      </c>
      <c r="B1462" s="124" t="str">
        <f>IFERROR(__xludf.DUMMYFUNCTION("""COMPUTED_VALUE"""),"Walkin")</f>
        <v>Walkin</v>
      </c>
      <c r="C1462" s="124" t="str">
        <f>IFERROR(__xludf.DUMMYFUNCTION("""COMPUTED_VALUE"""),"Patna")</f>
        <v>Patna</v>
      </c>
      <c r="D1462" s="124" t="str">
        <f>IFERROR(__xludf.DUMMYFUNCTION("""COMPUTED_VALUE"""),"Primary_Walkin")</f>
        <v>Primary_Walkin</v>
      </c>
      <c r="E1462" s="124">
        <f>IFERROR(__xludf.DUMMYFUNCTION("""COMPUTED_VALUE"""),1.0)</f>
        <v>1</v>
      </c>
      <c r="F1462" s="124" t="str">
        <f>IFERROR(__xludf.DUMMYFUNCTION("""COMPUTED_VALUE"""),"Future Prospects")</f>
        <v>Future Prospects</v>
      </c>
      <c r="G1462" s="124" t="str">
        <f>IFERROR(__xludf.DUMMYFUNCTION("""COMPUTED_VALUE"""),"State PCS")</f>
        <v>State PCS</v>
      </c>
      <c r="K1462" s="124"/>
      <c r="L1462" s="124"/>
      <c r="M1462" s="124"/>
      <c r="N1462" s="124"/>
      <c r="O1462" s="124"/>
      <c r="T1462" s="126">
        <f>IFERROR(__xludf.DUMMYFUNCTION("""COMPUTED_VALUE"""),46072.0)</f>
        <v>46072</v>
      </c>
      <c r="U1462" s="124" t="str">
        <f>IFERROR(__xludf.DUMMYFUNCTION("""COMPUTED_VALUE"""),"Telephony")</f>
        <v>Telephony</v>
      </c>
      <c r="V1462" s="124" t="str">
        <f>IFERROR(__xludf.DUMMYFUNCTION("""COMPUTED_VALUE"""),"Inbound Call")</f>
        <v>Inbound Call</v>
      </c>
      <c r="W1462" s="124">
        <f>IFERROR(__xludf.DUMMYFUNCTION("""COMPUTED_VALUE"""),9.18047861663E11)</f>
        <v>918047861663</v>
      </c>
      <c r="X1462" s="124" t="str">
        <f>IFERROR(__xludf.DUMMYFUNCTION("""COMPUTED_VALUE"""),"Inbound Call")</f>
        <v>Inbound Call</v>
      </c>
      <c r="Y1462" s="124"/>
      <c r="Z1462" s="124">
        <f>IFERROR(__xludf.DUMMYFUNCTION("""COMPUTED_VALUE"""),2.0)</f>
        <v>2</v>
      </c>
      <c r="AA1462" s="124" t="str">
        <f>IFERROR(__xludf.DUMMYFUNCTION("""COMPUTED_VALUE"""),"Cold")</f>
        <v>Cold</v>
      </c>
      <c r="AB1462" s="124"/>
    </row>
    <row r="1463">
      <c r="A1463" s="126">
        <f>IFERROR(__xludf.DUMMYFUNCTION("""COMPUTED_VALUE"""),46065.0)</f>
        <v>46065</v>
      </c>
      <c r="B1463" s="124" t="str">
        <f>IFERROR(__xludf.DUMMYFUNCTION("""COMPUTED_VALUE"""),"Walkin")</f>
        <v>Walkin</v>
      </c>
      <c r="C1463" s="124" t="str">
        <f>IFERROR(__xludf.DUMMYFUNCTION("""COMPUTED_VALUE"""),"Patna")</f>
        <v>Patna</v>
      </c>
      <c r="D1463" s="124" t="str">
        <f>IFERROR(__xludf.DUMMYFUNCTION("""COMPUTED_VALUE"""),"Primary_Walkin")</f>
        <v>Primary_Walkin</v>
      </c>
      <c r="E1463" s="124">
        <f>IFERROR(__xludf.DUMMYFUNCTION("""COMPUTED_VALUE"""),1.0)</f>
        <v>1</v>
      </c>
      <c r="F1463" s="124" t="str">
        <f>IFERROR(__xludf.DUMMYFUNCTION("""COMPUTED_VALUE"""),"Enrolled")</f>
        <v>Enrolled</v>
      </c>
      <c r="G1463" s="124" t="str">
        <f>IFERROR(__xludf.DUMMYFUNCTION("""COMPUTED_VALUE"""),"State PCS")</f>
        <v>State PCS</v>
      </c>
      <c r="K1463" s="124"/>
      <c r="L1463" s="124"/>
      <c r="M1463" s="124"/>
      <c r="N1463" s="124"/>
      <c r="O1463" s="124"/>
      <c r="T1463" s="126">
        <f>IFERROR(__xludf.DUMMYFUNCTION("""COMPUTED_VALUE"""),46086.0)</f>
        <v>46086</v>
      </c>
      <c r="U1463" s="124" t="str">
        <f>IFERROR(__xludf.DUMMYFUNCTION("""COMPUTED_VALUE"""),"Telephony")</f>
        <v>Telephony</v>
      </c>
      <c r="V1463" s="124" t="str">
        <f>IFERROR(__xludf.DUMMYFUNCTION("""COMPUTED_VALUE"""),"Inbound Call")</f>
        <v>Inbound Call</v>
      </c>
      <c r="W1463" s="124">
        <f>IFERROR(__xludf.DUMMYFUNCTION("""COMPUTED_VALUE"""),9.18047861663E11)</f>
        <v>918047861663</v>
      </c>
      <c r="X1463" s="124" t="str">
        <f>IFERROR(__xludf.DUMMYFUNCTION("""COMPUTED_VALUE"""),"Inbound Call")</f>
        <v>Inbound Call</v>
      </c>
      <c r="Y1463" s="124" t="str">
        <f>IFERROR(__xludf.DUMMYFUNCTION("""COMPUTED_VALUE"""),"Delhi")</f>
        <v>Delhi</v>
      </c>
      <c r="Z1463" s="124">
        <f>IFERROR(__xludf.DUMMYFUNCTION("""COMPUTED_VALUE"""),1.0)</f>
        <v>1</v>
      </c>
      <c r="AA1463" s="124" t="str">
        <f>IFERROR(__xludf.DUMMYFUNCTION("""COMPUTED_VALUE"""),"Not Interested")</f>
        <v>Not Interested</v>
      </c>
      <c r="AB1463" s="124"/>
    </row>
    <row r="1464">
      <c r="A1464" s="129">
        <f>IFERROR(__xludf.DUMMYFUNCTION("""COMPUTED_VALUE"""),46097.0)</f>
        <v>46097</v>
      </c>
      <c r="B1464" s="124" t="str">
        <f>IFERROR(__xludf.DUMMYFUNCTION("""COMPUTED_VALUE"""),"external leads")</f>
        <v>external leads</v>
      </c>
      <c r="C1464" s="124" t="str">
        <f>IFERROR(__xludf.DUMMYFUNCTION("""COMPUTED_VALUE"""),"Patna")</f>
        <v>Patna</v>
      </c>
      <c r="D1464" s="124" t="str">
        <f>IFERROR(__xludf.DUMMYFUNCTION("""COMPUTED_VALUE"""),"Secondary_Walkin")</f>
        <v>Secondary_Walkin</v>
      </c>
      <c r="E1464" s="124">
        <f>IFERROR(__xludf.DUMMYFUNCTION("""COMPUTED_VALUE"""),1.0)</f>
        <v>1</v>
      </c>
      <c r="F1464" s="124" t="str">
        <f>IFERROR(__xludf.DUMMYFUNCTION("""COMPUTED_VALUE"""),"Not Interested")</f>
        <v>Not Interested</v>
      </c>
      <c r="G1464" s="124" t="str">
        <f>IFERROR(__xludf.DUMMYFUNCTION("""COMPUTED_VALUE"""),"Test Series")</f>
        <v>Test Series</v>
      </c>
      <c r="K1464" s="124"/>
      <c r="L1464" s="124"/>
      <c r="M1464" s="124"/>
      <c r="N1464" s="124"/>
      <c r="O1464" s="124"/>
      <c r="T1464" s="126">
        <f>IFERROR(__xludf.DUMMYFUNCTION("""COMPUTED_VALUE"""),46084.0)</f>
        <v>46084</v>
      </c>
      <c r="U1464" s="124" t="str">
        <f>IFERROR(__xludf.DUMMYFUNCTION("""COMPUTED_VALUE"""),"Telephony")</f>
        <v>Telephony</v>
      </c>
      <c r="V1464" s="124" t="str">
        <f>IFERROR(__xludf.DUMMYFUNCTION("""COMPUTED_VALUE"""),"Inbound Call")</f>
        <v>Inbound Call</v>
      </c>
      <c r="W1464" s="124">
        <f>IFERROR(__xludf.DUMMYFUNCTION("""COMPUTED_VALUE"""),9.18047861635E11)</f>
        <v>918047861635</v>
      </c>
      <c r="X1464" s="124" t="str">
        <f>IFERROR(__xludf.DUMMYFUNCTION("""COMPUTED_VALUE"""),"Inbound Call")</f>
        <v>Inbound Call</v>
      </c>
      <c r="Y1464" s="124" t="str">
        <f>IFERROR(__xludf.DUMMYFUNCTION("""COMPUTED_VALUE"""),"Indore")</f>
        <v>Indore</v>
      </c>
      <c r="Z1464" s="124">
        <f>IFERROR(__xludf.DUMMYFUNCTION("""COMPUTED_VALUE"""),2.0)</f>
        <v>2</v>
      </c>
      <c r="AA1464" s="124" t="str">
        <f>IFERROR(__xludf.DUMMYFUNCTION("""COMPUTED_VALUE"""),"Fake Lead")</f>
        <v>Fake Lead</v>
      </c>
      <c r="AB1464" s="124"/>
    </row>
    <row r="1465">
      <c r="A1465" s="126">
        <f>IFERROR(__xludf.DUMMYFUNCTION("""COMPUTED_VALUE"""),46045.0)</f>
        <v>46045</v>
      </c>
      <c r="B1465" s="124" t="str">
        <f>IFERROR(__xludf.DUMMYFUNCTION("""COMPUTED_VALUE"""),"Walk-In")</f>
        <v>Walk-In</v>
      </c>
      <c r="C1465" s="124" t="str">
        <f>IFERROR(__xludf.DUMMYFUNCTION("""COMPUTED_VALUE"""),"Patna")</f>
        <v>Patna</v>
      </c>
      <c r="D1465" s="124" t="str">
        <f>IFERROR(__xludf.DUMMYFUNCTION("""COMPUTED_VALUE"""),"Primary_Walkin")</f>
        <v>Primary_Walkin</v>
      </c>
      <c r="E1465" s="124">
        <f>IFERROR(__xludf.DUMMYFUNCTION("""COMPUTED_VALUE"""),2.0)</f>
        <v>2</v>
      </c>
      <c r="F1465" s="124" t="str">
        <f>IFERROR(__xludf.DUMMYFUNCTION("""COMPUTED_VALUE"""),"Future Prospects")</f>
        <v>Future Prospects</v>
      </c>
      <c r="G1465" s="124" t="str">
        <f>IFERROR(__xludf.DUMMYFUNCTION("""COMPUTED_VALUE"""),"GS Foundation")</f>
        <v>GS Foundation</v>
      </c>
      <c r="K1465" s="124"/>
      <c r="L1465" s="124"/>
      <c r="M1465" s="124"/>
      <c r="N1465" s="124"/>
      <c r="O1465" s="124"/>
      <c r="T1465" s="126">
        <f>IFERROR(__xludf.DUMMYFUNCTION("""COMPUTED_VALUE"""),46096.0)</f>
        <v>46096</v>
      </c>
      <c r="U1465" s="124" t="str">
        <f>IFERROR(__xludf.DUMMYFUNCTION("""COMPUTED_VALUE"""),"Telephony")</f>
        <v>Telephony</v>
      </c>
      <c r="V1465" s="124" t="str">
        <f>IFERROR(__xludf.DUMMYFUNCTION("""COMPUTED_VALUE"""),"Inbound Call")</f>
        <v>Inbound Call</v>
      </c>
      <c r="W1465" s="124">
        <f>IFERROR(__xludf.DUMMYFUNCTION("""COMPUTED_VALUE"""),9.18047861631E11)</f>
        <v>918047861631</v>
      </c>
      <c r="X1465" s="124" t="str">
        <f>IFERROR(__xludf.DUMMYFUNCTION("""COMPUTED_VALUE"""),"Inbound Call")</f>
        <v>Inbound Call</v>
      </c>
      <c r="Y1465" s="124" t="str">
        <f>IFERROR(__xludf.DUMMYFUNCTION("""COMPUTED_VALUE"""),"Delhi")</f>
        <v>Delhi</v>
      </c>
      <c r="Z1465" s="124">
        <f>IFERROR(__xludf.DUMMYFUNCTION("""COMPUTED_VALUE"""),3.0)</f>
        <v>3</v>
      </c>
      <c r="AA1465" s="124" t="str">
        <f>IFERROR(__xludf.DUMMYFUNCTION("""COMPUTED_VALUE"""),"Cold")</f>
        <v>Cold</v>
      </c>
      <c r="AB1465" s="124"/>
    </row>
    <row r="1466">
      <c r="A1466" s="129">
        <f>IFERROR(__xludf.DUMMYFUNCTION("""COMPUTED_VALUE"""),46064.0)</f>
        <v>46064</v>
      </c>
      <c r="B1466" s="124" t="str">
        <f>IFERROR(__xludf.DUMMYFUNCTION("""COMPUTED_VALUE"""),"Walkin")</f>
        <v>Walkin</v>
      </c>
      <c r="C1466" s="124" t="str">
        <f>IFERROR(__xludf.DUMMYFUNCTION("""COMPUTED_VALUE"""),"Patna")</f>
        <v>Patna</v>
      </c>
      <c r="D1466" s="124" t="str">
        <f>IFERROR(__xludf.DUMMYFUNCTION("""COMPUTED_VALUE"""),"Primary_Walkin")</f>
        <v>Primary_Walkin</v>
      </c>
      <c r="E1466" s="124">
        <f>IFERROR(__xludf.DUMMYFUNCTION("""COMPUTED_VALUE"""),2.0)</f>
        <v>2</v>
      </c>
      <c r="F1466" s="124" t="str">
        <f>IFERROR(__xludf.DUMMYFUNCTION("""COMPUTED_VALUE"""),"Future Prospects")</f>
        <v>Future Prospects</v>
      </c>
      <c r="G1466" s="124" t="str">
        <f>IFERROR(__xludf.DUMMYFUNCTION("""COMPUTED_VALUE"""),"State PCS")</f>
        <v>State PCS</v>
      </c>
      <c r="K1466" s="124"/>
      <c r="L1466" s="124"/>
      <c r="M1466" s="124"/>
      <c r="N1466" s="124"/>
      <c r="O1466" s="124"/>
      <c r="T1466" s="126">
        <f>IFERROR(__xludf.DUMMYFUNCTION("""COMPUTED_VALUE"""),46057.0)</f>
        <v>46057</v>
      </c>
      <c r="U1466" s="124" t="str">
        <f>IFERROR(__xludf.DUMMYFUNCTION("""COMPUTED_VALUE"""),"Telephony")</f>
        <v>Telephony</v>
      </c>
      <c r="V1466" s="124" t="str">
        <f>IFERROR(__xludf.DUMMYFUNCTION("""COMPUTED_VALUE"""),"Inbound Call")</f>
        <v>Inbound Call</v>
      </c>
      <c r="W1466" s="124">
        <f>IFERROR(__xludf.DUMMYFUNCTION("""COMPUTED_VALUE"""),9.18047861663E11)</f>
        <v>918047861663</v>
      </c>
      <c r="X1466" s="124" t="str">
        <f>IFERROR(__xludf.DUMMYFUNCTION("""COMPUTED_VALUE"""),"Inbound Call")</f>
        <v>Inbound Call</v>
      </c>
      <c r="Y1466" s="124"/>
      <c r="Z1466" s="124">
        <f>IFERROR(__xludf.DUMMYFUNCTION("""COMPUTED_VALUE"""),2.0)</f>
        <v>2</v>
      </c>
      <c r="AA1466" s="124" t="str">
        <f>IFERROR(__xludf.DUMMYFUNCTION("""COMPUTED_VALUE"""),"Fake Lead")</f>
        <v>Fake Lead</v>
      </c>
      <c r="AB1466" s="124"/>
    </row>
    <row r="1467">
      <c r="A1467" s="129">
        <f>IFERROR(__xludf.DUMMYFUNCTION("""COMPUTED_VALUE"""),46044.0)</f>
        <v>46044</v>
      </c>
      <c r="B1467" s="124" t="str">
        <f>IFERROR(__xludf.DUMMYFUNCTION("""COMPUTED_VALUE"""),"Walkin")</f>
        <v>Walkin</v>
      </c>
      <c r="C1467" s="124" t="str">
        <f>IFERROR(__xludf.DUMMYFUNCTION("""COMPUTED_VALUE"""),"Patna")</f>
        <v>Patna</v>
      </c>
      <c r="D1467" s="124" t="str">
        <f>IFERROR(__xludf.DUMMYFUNCTION("""COMPUTED_VALUE"""),"Primary_Walkin")</f>
        <v>Primary_Walkin</v>
      </c>
      <c r="E1467" s="124">
        <f>IFERROR(__xludf.DUMMYFUNCTION("""COMPUTED_VALUE"""),2.0)</f>
        <v>2</v>
      </c>
      <c r="F1467" s="124" t="str">
        <f>IFERROR(__xludf.DUMMYFUNCTION("""COMPUTED_VALUE"""),"Cold")</f>
        <v>Cold</v>
      </c>
      <c r="G1467" s="124" t="str">
        <f>IFERROR(__xludf.DUMMYFUNCTION("""COMPUTED_VALUE"""),"Other")</f>
        <v>Other</v>
      </c>
      <c r="K1467" s="124"/>
      <c r="L1467" s="124"/>
      <c r="M1467" s="124"/>
      <c r="N1467" s="124"/>
      <c r="O1467" s="124"/>
      <c r="T1467" s="126">
        <f>IFERROR(__xludf.DUMMYFUNCTION("""COMPUTED_VALUE"""),46050.0)</f>
        <v>46050</v>
      </c>
      <c r="U1467" s="124" t="str">
        <f>IFERROR(__xludf.DUMMYFUNCTION("""COMPUTED_VALUE"""),"Telephony")</f>
        <v>Telephony</v>
      </c>
      <c r="V1467" s="124" t="str">
        <f>IFERROR(__xludf.DUMMYFUNCTION("""COMPUTED_VALUE"""),"Inbound Call")</f>
        <v>Inbound Call</v>
      </c>
      <c r="W1467" s="124">
        <f>IFERROR(__xludf.DUMMYFUNCTION("""COMPUTED_VALUE"""),9.18047861631E11)</f>
        <v>918047861631</v>
      </c>
      <c r="X1467" s="124" t="str">
        <f>IFERROR(__xludf.DUMMYFUNCTION("""COMPUTED_VALUE"""),"Inbound Call")</f>
        <v>Inbound Call</v>
      </c>
      <c r="Y1467" s="124"/>
      <c r="Z1467" s="124">
        <f>IFERROR(__xludf.DUMMYFUNCTION("""COMPUTED_VALUE"""),1.0)</f>
        <v>1</v>
      </c>
      <c r="AA1467" s="124" t="str">
        <f>IFERROR(__xludf.DUMMYFUNCTION("""COMPUTED_VALUE"""),"Fake Lead")</f>
        <v>Fake Lead</v>
      </c>
      <c r="AB1467" s="124"/>
    </row>
    <row r="1468">
      <c r="A1468" s="129">
        <f>IFERROR(__xludf.DUMMYFUNCTION("""COMPUTED_VALUE"""),46063.0)</f>
        <v>46063</v>
      </c>
      <c r="B1468" s="124" t="str">
        <f>IFERROR(__xludf.DUMMYFUNCTION("""COMPUTED_VALUE"""),"external leads")</f>
        <v>external leads</v>
      </c>
      <c r="C1468" s="124" t="str">
        <f>IFERROR(__xludf.DUMMYFUNCTION("""COMPUTED_VALUE"""),"Patna")</f>
        <v>Patna</v>
      </c>
      <c r="D1468" s="124" t="str">
        <f>IFERROR(__xludf.DUMMYFUNCTION("""COMPUTED_VALUE"""),"Secondary_Walkin")</f>
        <v>Secondary_Walkin</v>
      </c>
      <c r="E1468" s="124">
        <f>IFERROR(__xludf.DUMMYFUNCTION("""COMPUTED_VALUE"""),1.0)</f>
        <v>1</v>
      </c>
      <c r="F1468" s="124" t="str">
        <f>IFERROR(__xludf.DUMMYFUNCTION("""COMPUTED_VALUE"""),"Cold")</f>
        <v>Cold</v>
      </c>
      <c r="G1468" s="124" t="str">
        <f>IFERROR(__xludf.DUMMYFUNCTION("""COMPUTED_VALUE"""),"State PCS")</f>
        <v>State PCS</v>
      </c>
      <c r="K1468" s="124"/>
      <c r="L1468" s="124"/>
      <c r="M1468" s="124"/>
      <c r="N1468" s="124"/>
      <c r="O1468" s="124"/>
      <c r="T1468" s="126">
        <f>IFERROR(__xludf.DUMMYFUNCTION("""COMPUTED_VALUE"""),46102.0)</f>
        <v>46102</v>
      </c>
      <c r="U1468" s="124" t="str">
        <f>IFERROR(__xludf.DUMMYFUNCTION("""COMPUTED_VALUE"""),"Telephony")</f>
        <v>Telephony</v>
      </c>
      <c r="V1468" s="124" t="str">
        <f>IFERROR(__xludf.DUMMYFUNCTION("""COMPUTED_VALUE"""),"Inbound Call")</f>
        <v>Inbound Call</v>
      </c>
      <c r="W1468" s="124" t="str">
        <f>IFERROR(__xludf.DUMMYFUNCTION("""COMPUTED_VALUE"""),"Inbound Call")</f>
        <v>Inbound Call</v>
      </c>
      <c r="X1468" s="124" t="str">
        <f>IFERROR(__xludf.DUMMYFUNCTION("""COMPUTED_VALUE"""),"Inbound Call")</f>
        <v>Inbound Call</v>
      </c>
      <c r="Y1468" s="124"/>
      <c r="Z1468" s="124">
        <f>IFERROR(__xludf.DUMMYFUNCTION("""COMPUTED_VALUE"""),1.0)</f>
        <v>1</v>
      </c>
      <c r="AA1468" s="124" t="str">
        <f>IFERROR(__xludf.DUMMYFUNCTION("""COMPUTED_VALUE"""),"Warm")</f>
        <v>Warm</v>
      </c>
      <c r="AB1468" s="124" t="str">
        <f>IFERROR(__xludf.DUMMYFUNCTION("""COMPUTED_VALUE"""),"GS Foundation")</f>
        <v>GS Foundation</v>
      </c>
    </row>
    <row r="1469">
      <c r="A1469" s="129">
        <f>IFERROR(__xludf.DUMMYFUNCTION("""COMPUTED_VALUE"""),46046.0)</f>
        <v>46046</v>
      </c>
      <c r="B1469" s="124" t="str">
        <f>IFERROR(__xludf.DUMMYFUNCTION("""COMPUTED_VALUE"""),"Inbound Call")</f>
        <v>Inbound Call</v>
      </c>
      <c r="C1469" s="124" t="str">
        <f>IFERROR(__xludf.DUMMYFUNCTION("""COMPUTED_VALUE"""),"Patna")</f>
        <v>Patna</v>
      </c>
      <c r="D1469" s="124" t="str">
        <f>IFERROR(__xludf.DUMMYFUNCTION("""COMPUTED_VALUE"""),"Secondary_Walkin")</f>
        <v>Secondary_Walkin</v>
      </c>
      <c r="E1469" s="124">
        <f>IFERROR(__xludf.DUMMYFUNCTION("""COMPUTED_VALUE"""),1.0)</f>
        <v>1</v>
      </c>
      <c r="F1469" s="124" t="str">
        <f>IFERROR(__xludf.DUMMYFUNCTION("""COMPUTED_VALUE"""),"Cold")</f>
        <v>Cold</v>
      </c>
      <c r="G1469" s="124" t="str">
        <f>IFERROR(__xludf.DUMMYFUNCTION("""COMPUTED_VALUE"""),"State PCS")</f>
        <v>State PCS</v>
      </c>
      <c r="K1469" s="124"/>
      <c r="L1469" s="124"/>
      <c r="M1469" s="124"/>
      <c r="N1469" s="124"/>
      <c r="O1469" s="124"/>
      <c r="T1469" s="126">
        <f>IFERROR(__xludf.DUMMYFUNCTION("""COMPUTED_VALUE"""),46099.0)</f>
        <v>46099</v>
      </c>
      <c r="U1469" s="124" t="str">
        <f>IFERROR(__xludf.DUMMYFUNCTION("""COMPUTED_VALUE"""),"Telephony")</f>
        <v>Telephony</v>
      </c>
      <c r="V1469" s="124" t="str">
        <f>IFERROR(__xludf.DUMMYFUNCTION("""COMPUTED_VALUE"""),"Inbound Call")</f>
        <v>Inbound Call</v>
      </c>
      <c r="W1469" s="124">
        <f>IFERROR(__xludf.DUMMYFUNCTION("""COMPUTED_VALUE"""),9.18047861631E11)</f>
        <v>918047861631</v>
      </c>
      <c r="X1469" s="124" t="str">
        <f>IFERROR(__xludf.DUMMYFUNCTION("""COMPUTED_VALUE"""),"Inbound Call")</f>
        <v>Inbound Call</v>
      </c>
      <c r="Y1469" s="124" t="str">
        <f>IFERROR(__xludf.DUMMYFUNCTION("""COMPUTED_VALUE"""),"Delhi")</f>
        <v>Delhi</v>
      </c>
      <c r="Z1469" s="124">
        <f>IFERROR(__xludf.DUMMYFUNCTION("""COMPUTED_VALUE"""),2.0)</f>
        <v>2</v>
      </c>
      <c r="AA1469" s="124" t="str">
        <f>IFERROR(__xludf.DUMMYFUNCTION("""COMPUTED_VALUE"""),"Fake Lead")</f>
        <v>Fake Lead</v>
      </c>
      <c r="AB1469" s="124"/>
    </row>
    <row r="1470">
      <c r="A1470" s="126">
        <f>IFERROR(__xludf.DUMMYFUNCTION("""COMPUTED_VALUE"""),46055.0)</f>
        <v>46055</v>
      </c>
      <c r="B1470" s="124" t="str">
        <f>IFERROR(__xludf.DUMMYFUNCTION("""COMPUTED_VALUE"""),"Walkin")</f>
        <v>Walkin</v>
      </c>
      <c r="C1470" s="124" t="str">
        <f>IFERROR(__xludf.DUMMYFUNCTION("""COMPUTED_VALUE"""),"Patna")</f>
        <v>Patna</v>
      </c>
      <c r="D1470" s="124" t="str">
        <f>IFERROR(__xludf.DUMMYFUNCTION("""COMPUTED_VALUE"""),"Primary_Walkin")</f>
        <v>Primary_Walkin</v>
      </c>
      <c r="E1470" s="124">
        <f>IFERROR(__xludf.DUMMYFUNCTION("""COMPUTED_VALUE"""),1.0)</f>
        <v>1</v>
      </c>
      <c r="F1470" s="124" t="str">
        <f>IFERROR(__xludf.DUMMYFUNCTION("""COMPUTED_VALUE"""),"Cold")</f>
        <v>Cold</v>
      </c>
      <c r="G1470" s="124" t="str">
        <f>IFERROR(__xludf.DUMMYFUNCTION("""COMPUTED_VALUE"""),"State PCS")</f>
        <v>State PCS</v>
      </c>
      <c r="K1470" s="124"/>
      <c r="L1470" s="124"/>
      <c r="M1470" s="124"/>
      <c r="N1470" s="124"/>
      <c r="O1470" s="124"/>
      <c r="T1470" s="129">
        <f>IFERROR(__xludf.DUMMYFUNCTION("""COMPUTED_VALUE"""),46072.0)</f>
        <v>46072</v>
      </c>
      <c r="U1470" s="124" t="str">
        <f>IFERROR(__xludf.DUMMYFUNCTION("""COMPUTED_VALUE"""),"Telephony")</f>
        <v>Telephony</v>
      </c>
      <c r="V1470" s="124" t="str">
        <f>IFERROR(__xludf.DUMMYFUNCTION("""COMPUTED_VALUE"""),"Inbound Call")</f>
        <v>Inbound Call</v>
      </c>
      <c r="W1470" s="124">
        <f>IFERROR(__xludf.DUMMYFUNCTION("""COMPUTED_VALUE"""),9.18047861635E11)</f>
        <v>918047861635</v>
      </c>
      <c r="X1470" s="124" t="str">
        <f>IFERROR(__xludf.DUMMYFUNCTION("""COMPUTED_VALUE"""),"Inbound Call")</f>
        <v>Inbound Call</v>
      </c>
      <c r="Y1470" s="124" t="str">
        <f>IFERROR(__xludf.DUMMYFUNCTION("""COMPUTED_VALUE"""),"Indore")</f>
        <v>Indore</v>
      </c>
      <c r="Z1470" s="124">
        <f>IFERROR(__xludf.DUMMYFUNCTION("""COMPUTED_VALUE"""),2.0)</f>
        <v>2</v>
      </c>
      <c r="AA1470" s="124" t="str">
        <f>IFERROR(__xludf.DUMMYFUNCTION("""COMPUTED_VALUE"""),"Not Interested")</f>
        <v>Not Interested</v>
      </c>
      <c r="AB1470" s="124"/>
    </row>
    <row r="1471">
      <c r="A1471" s="129">
        <f>IFERROR(__xludf.DUMMYFUNCTION("""COMPUTED_VALUE"""),46104.0)</f>
        <v>46104</v>
      </c>
      <c r="B1471" s="124" t="str">
        <f>IFERROR(__xludf.DUMMYFUNCTION("""COMPUTED_VALUE"""),"Walkin")</f>
        <v>Walkin</v>
      </c>
      <c r="C1471" s="124" t="str">
        <f>IFERROR(__xludf.DUMMYFUNCTION("""COMPUTED_VALUE"""),"Patna")</f>
        <v>Patna</v>
      </c>
      <c r="D1471" s="124" t="str">
        <f>IFERROR(__xludf.DUMMYFUNCTION("""COMPUTED_VALUE"""),"Primary_Walkin")</f>
        <v>Primary_Walkin</v>
      </c>
      <c r="E1471" s="124">
        <f>IFERROR(__xludf.DUMMYFUNCTION("""COMPUTED_VALUE"""),1.0)</f>
        <v>1</v>
      </c>
      <c r="F1471" s="124" t="str">
        <f>IFERROR(__xludf.DUMMYFUNCTION("""COMPUTED_VALUE"""),"Fake Lead")</f>
        <v>Fake Lead</v>
      </c>
      <c r="G1471" s="124" t="str">
        <f>IFERROR(__xludf.DUMMYFUNCTION("""COMPUTED_VALUE"""),"GS Foundation")</f>
        <v>GS Foundation</v>
      </c>
      <c r="K1471" s="124"/>
      <c r="L1471" s="124"/>
      <c r="M1471" s="124"/>
      <c r="N1471" s="124"/>
      <c r="O1471" s="124"/>
      <c r="T1471" s="126">
        <f>IFERROR(__xludf.DUMMYFUNCTION("""COMPUTED_VALUE"""),46048.0)</f>
        <v>46048</v>
      </c>
      <c r="U1471" s="124" t="str">
        <f>IFERROR(__xludf.DUMMYFUNCTION("""COMPUTED_VALUE"""),"Telephony")</f>
        <v>Telephony</v>
      </c>
      <c r="V1471" s="124" t="str">
        <f>IFERROR(__xludf.DUMMYFUNCTION("""COMPUTED_VALUE"""),"Inbound Call")</f>
        <v>Inbound Call</v>
      </c>
      <c r="W1471" s="124">
        <f>IFERROR(__xludf.DUMMYFUNCTION("""COMPUTED_VALUE"""),9.18047861663E11)</f>
        <v>918047861663</v>
      </c>
      <c r="X1471" s="124" t="str">
        <f>IFERROR(__xludf.DUMMYFUNCTION("""COMPUTED_VALUE"""),"Inbound Call")</f>
        <v>Inbound Call</v>
      </c>
      <c r="Y1471" s="124"/>
      <c r="Z1471" s="124">
        <f>IFERROR(__xludf.DUMMYFUNCTION("""COMPUTED_VALUE"""),3.0)</f>
        <v>3</v>
      </c>
      <c r="AA1471" s="124" t="str">
        <f>IFERROR(__xludf.DUMMYFUNCTION("""COMPUTED_VALUE"""),"Cold")</f>
        <v>Cold</v>
      </c>
      <c r="AB1471" s="124"/>
    </row>
    <row r="1472">
      <c r="A1472" s="126">
        <f>IFERROR(__xludf.DUMMYFUNCTION("""COMPUTED_VALUE"""),46046.0)</f>
        <v>46046</v>
      </c>
      <c r="B1472" s="124" t="str">
        <f>IFERROR(__xludf.DUMMYFUNCTION("""COMPUTED_VALUE"""),"Walk-In")</f>
        <v>Walk-In</v>
      </c>
      <c r="C1472" s="124" t="str">
        <f>IFERROR(__xludf.DUMMYFUNCTION("""COMPUTED_VALUE"""),"Patna")</f>
        <v>Patna</v>
      </c>
      <c r="D1472" s="124" t="str">
        <f>IFERROR(__xludf.DUMMYFUNCTION("""COMPUTED_VALUE"""),"Primary_Walkin")</f>
        <v>Primary_Walkin</v>
      </c>
      <c r="E1472" s="124">
        <f>IFERROR(__xludf.DUMMYFUNCTION("""COMPUTED_VALUE"""),1.0)</f>
        <v>1</v>
      </c>
      <c r="F1472" s="124" t="str">
        <f>IFERROR(__xludf.DUMMYFUNCTION("""COMPUTED_VALUE"""),"Cold")</f>
        <v>Cold</v>
      </c>
      <c r="G1472" s="124" t="str">
        <f>IFERROR(__xludf.DUMMYFUNCTION("""COMPUTED_VALUE"""),"GS Foundation")</f>
        <v>GS Foundation</v>
      </c>
      <c r="K1472" s="124"/>
      <c r="L1472" s="124"/>
      <c r="M1472" s="124"/>
      <c r="N1472" s="124"/>
      <c r="O1472" s="124"/>
      <c r="T1472" s="126">
        <f>IFERROR(__xludf.DUMMYFUNCTION("""COMPUTED_VALUE"""),46108.0)</f>
        <v>46108</v>
      </c>
      <c r="U1472" s="124" t="str">
        <f>IFERROR(__xludf.DUMMYFUNCTION("""COMPUTED_VALUE"""),"Telephony")</f>
        <v>Telephony</v>
      </c>
      <c r="V1472" s="124" t="str">
        <f>IFERROR(__xludf.DUMMYFUNCTION("""COMPUTED_VALUE"""),"Inbound Call")</f>
        <v>Inbound Call</v>
      </c>
      <c r="W1472" s="124">
        <f>IFERROR(__xludf.DUMMYFUNCTION("""COMPUTED_VALUE"""),9.18047861631E11)</f>
        <v>918047861631</v>
      </c>
      <c r="X1472" s="124" t="str">
        <f>IFERROR(__xludf.DUMMYFUNCTION("""COMPUTED_VALUE"""),"Inbound Call")</f>
        <v>Inbound Call</v>
      </c>
      <c r="Y1472" s="124" t="str">
        <f>IFERROR(__xludf.DUMMYFUNCTION("""COMPUTED_VALUE"""),"Delhi")</f>
        <v>Delhi</v>
      </c>
      <c r="Z1472" s="124">
        <f>IFERROR(__xludf.DUMMYFUNCTION("""COMPUTED_VALUE"""),1.0)</f>
        <v>1</v>
      </c>
      <c r="AA1472" s="124" t="str">
        <f>IFERROR(__xludf.DUMMYFUNCTION("""COMPUTED_VALUE"""),"Fake Lead")</f>
        <v>Fake Lead</v>
      </c>
      <c r="AB1472" s="124"/>
    </row>
    <row r="1473">
      <c r="A1473" s="126">
        <f>IFERROR(__xludf.DUMMYFUNCTION("""COMPUTED_VALUE"""),46070.0)</f>
        <v>46070</v>
      </c>
      <c r="B1473" s="124" t="str">
        <f>IFERROR(__xludf.DUMMYFUNCTION("""COMPUTED_VALUE"""),"Walkin")</f>
        <v>Walkin</v>
      </c>
      <c r="C1473" s="124" t="str">
        <f>IFERROR(__xludf.DUMMYFUNCTION("""COMPUTED_VALUE"""),"Patna")</f>
        <v>Patna</v>
      </c>
      <c r="D1473" s="124" t="str">
        <f>IFERROR(__xludf.DUMMYFUNCTION("""COMPUTED_VALUE"""),"Primary_Walkin")</f>
        <v>Primary_Walkin</v>
      </c>
      <c r="E1473" s="124">
        <f>IFERROR(__xludf.DUMMYFUNCTION("""COMPUTED_VALUE"""),1.0)</f>
        <v>1</v>
      </c>
      <c r="F1473" s="124" t="str">
        <f>IFERROR(__xludf.DUMMYFUNCTION("""COMPUTED_VALUE"""),"Fake Lead")</f>
        <v>Fake Lead</v>
      </c>
      <c r="G1473" s="124" t="str">
        <f>IFERROR(__xludf.DUMMYFUNCTION("""COMPUTED_VALUE"""),"Other")</f>
        <v>Other</v>
      </c>
      <c r="K1473" s="124"/>
      <c r="L1473" s="124"/>
      <c r="M1473" s="124"/>
      <c r="N1473" s="124"/>
      <c r="O1473" s="124"/>
      <c r="T1473" s="126">
        <f>IFERROR(__xludf.DUMMYFUNCTION("""COMPUTED_VALUE"""),46048.0)</f>
        <v>46048</v>
      </c>
      <c r="U1473" s="124" t="str">
        <f>IFERROR(__xludf.DUMMYFUNCTION("""COMPUTED_VALUE"""),"Telephony")</f>
        <v>Telephony</v>
      </c>
      <c r="V1473" s="124" t="str">
        <f>IFERROR(__xludf.DUMMYFUNCTION("""COMPUTED_VALUE"""),"Inbound Call")</f>
        <v>Inbound Call</v>
      </c>
      <c r="W1473" s="124">
        <f>IFERROR(__xludf.DUMMYFUNCTION("""COMPUTED_VALUE"""),9.18047861633E11)</f>
        <v>918047861633</v>
      </c>
      <c r="X1473" s="124" t="str">
        <f>IFERROR(__xludf.DUMMYFUNCTION("""COMPUTED_VALUE"""),"Inbound Call")</f>
        <v>Inbound Call</v>
      </c>
      <c r="Y1473" s="124"/>
      <c r="Z1473" s="124">
        <f>IFERROR(__xludf.DUMMYFUNCTION("""COMPUTED_VALUE"""),3.0)</f>
        <v>3</v>
      </c>
      <c r="AA1473" s="124" t="str">
        <f>IFERROR(__xludf.DUMMYFUNCTION("""COMPUTED_VALUE"""),"Cold")</f>
        <v>Cold</v>
      </c>
      <c r="AB1473" s="124"/>
    </row>
    <row r="1474">
      <c r="A1474" s="126">
        <f>IFERROR(__xludf.DUMMYFUNCTION("""COMPUTED_VALUE"""),46096.0)</f>
        <v>46096</v>
      </c>
      <c r="B1474" s="124" t="str">
        <f>IFERROR(__xludf.DUMMYFUNCTION("""COMPUTED_VALUE"""),"Walkin")</f>
        <v>Walkin</v>
      </c>
      <c r="C1474" s="124" t="str">
        <f>IFERROR(__xludf.DUMMYFUNCTION("""COMPUTED_VALUE"""),"Patna")</f>
        <v>Patna</v>
      </c>
      <c r="D1474" s="124" t="str">
        <f>IFERROR(__xludf.DUMMYFUNCTION("""COMPUTED_VALUE"""),"Primary_Walkin")</f>
        <v>Primary_Walkin</v>
      </c>
      <c r="E1474" s="124">
        <f>IFERROR(__xludf.DUMMYFUNCTION("""COMPUTED_VALUE"""),1.0)</f>
        <v>1</v>
      </c>
      <c r="F1474" s="124" t="str">
        <f>IFERROR(__xludf.DUMMYFUNCTION("""COMPUTED_VALUE"""),"Warm")</f>
        <v>Warm</v>
      </c>
      <c r="G1474" s="124" t="str">
        <f>IFERROR(__xludf.DUMMYFUNCTION("""COMPUTED_VALUE"""),"GS Foundation")</f>
        <v>GS Foundation</v>
      </c>
      <c r="K1474" s="124"/>
      <c r="L1474" s="124"/>
      <c r="M1474" s="124"/>
      <c r="N1474" s="124"/>
      <c r="O1474" s="124"/>
      <c r="T1474" s="126">
        <f>IFERROR(__xludf.DUMMYFUNCTION("""COMPUTED_VALUE"""),46105.0)</f>
        <v>46105</v>
      </c>
      <c r="U1474" s="124" t="str">
        <f>IFERROR(__xludf.DUMMYFUNCTION("""COMPUTED_VALUE"""),"Telephony")</f>
        <v>Telephony</v>
      </c>
      <c r="V1474" s="124" t="str">
        <f>IFERROR(__xludf.DUMMYFUNCTION("""COMPUTED_VALUE"""),"Inbound Call")</f>
        <v>Inbound Call</v>
      </c>
      <c r="W1474" s="124">
        <f>IFERROR(__xludf.DUMMYFUNCTION("""COMPUTED_VALUE"""),9.18047861635E11)</f>
        <v>918047861635</v>
      </c>
      <c r="X1474" s="124" t="str">
        <f>IFERROR(__xludf.DUMMYFUNCTION("""COMPUTED_VALUE"""),"Inbound Call")</f>
        <v>Inbound Call</v>
      </c>
      <c r="Y1474" s="124"/>
      <c r="Z1474" s="124">
        <f>IFERROR(__xludf.DUMMYFUNCTION("""COMPUTED_VALUE"""),1.0)</f>
        <v>1</v>
      </c>
      <c r="AA1474" s="124" t="str">
        <f>IFERROR(__xludf.DUMMYFUNCTION("""COMPUTED_VALUE"""),"Cold")</f>
        <v>Cold</v>
      </c>
      <c r="AB1474" s="124"/>
    </row>
    <row r="1475">
      <c r="A1475" s="126">
        <f>IFERROR(__xludf.DUMMYFUNCTION("""COMPUTED_VALUE"""),46088.0)</f>
        <v>46088</v>
      </c>
      <c r="B1475" s="124" t="str">
        <f>IFERROR(__xludf.DUMMYFUNCTION("""COMPUTED_VALUE"""),"Walkin")</f>
        <v>Walkin</v>
      </c>
      <c r="C1475" s="124" t="str">
        <f>IFERROR(__xludf.DUMMYFUNCTION("""COMPUTED_VALUE"""),"Patna")</f>
        <v>Patna</v>
      </c>
      <c r="D1475" s="124" t="str">
        <f>IFERROR(__xludf.DUMMYFUNCTION("""COMPUTED_VALUE"""),"Primary_Walkin")</f>
        <v>Primary_Walkin</v>
      </c>
      <c r="E1475" s="124">
        <f>IFERROR(__xludf.DUMMYFUNCTION("""COMPUTED_VALUE"""),1.0)</f>
        <v>1</v>
      </c>
      <c r="F1475" s="124" t="str">
        <f>IFERROR(__xludf.DUMMYFUNCTION("""COMPUTED_VALUE"""),"Cold")</f>
        <v>Cold</v>
      </c>
      <c r="G1475" s="124" t="str">
        <f>IFERROR(__xludf.DUMMYFUNCTION("""COMPUTED_VALUE"""),"State PCS")</f>
        <v>State PCS</v>
      </c>
      <c r="K1475" s="124"/>
      <c r="L1475" s="124"/>
      <c r="M1475" s="124"/>
      <c r="N1475" s="124"/>
      <c r="O1475" s="124"/>
      <c r="T1475" s="126">
        <f>IFERROR(__xludf.DUMMYFUNCTION("""COMPUTED_VALUE"""),46048.0)</f>
        <v>46048</v>
      </c>
      <c r="U1475" s="124" t="str">
        <f>IFERROR(__xludf.DUMMYFUNCTION("""COMPUTED_VALUE"""),"Telephony")</f>
        <v>Telephony</v>
      </c>
      <c r="V1475" s="124" t="str">
        <f>IFERROR(__xludf.DUMMYFUNCTION("""COMPUTED_VALUE"""),"Inbound Call")</f>
        <v>Inbound Call</v>
      </c>
      <c r="W1475" s="124" t="str">
        <f>IFERROR(__xludf.DUMMYFUNCTION("""COMPUTED_VALUE"""),"Inbound Call")</f>
        <v>Inbound Call</v>
      </c>
      <c r="X1475" s="124" t="str">
        <f>IFERROR(__xludf.DUMMYFUNCTION("""COMPUTED_VALUE"""),"Inbound Call")</f>
        <v>Inbound Call</v>
      </c>
      <c r="Y1475" s="124" t="str">
        <f>IFERROR(__xludf.DUMMYFUNCTION("""COMPUTED_VALUE"""),"Prayagraj")</f>
        <v>Prayagraj</v>
      </c>
      <c r="Z1475" s="124">
        <f>IFERROR(__xludf.DUMMYFUNCTION("""COMPUTED_VALUE"""),1.0)</f>
        <v>1</v>
      </c>
      <c r="AA1475" s="124" t="str">
        <f>IFERROR(__xludf.DUMMYFUNCTION("""COMPUTED_VALUE"""),"Cold")</f>
        <v>Cold</v>
      </c>
      <c r="AB1475" s="124" t="str">
        <f>IFERROR(__xludf.DUMMYFUNCTION("""COMPUTED_VALUE"""),"State PCS")</f>
        <v>State PCS</v>
      </c>
    </row>
    <row r="1476">
      <c r="A1476" s="126">
        <f>IFERROR(__xludf.DUMMYFUNCTION("""COMPUTED_VALUE"""),46103.0)</f>
        <v>46103</v>
      </c>
      <c r="B1476" s="124" t="str">
        <f>IFERROR(__xludf.DUMMYFUNCTION("""COMPUTED_VALUE"""),"Walkin")</f>
        <v>Walkin</v>
      </c>
      <c r="C1476" s="124" t="str">
        <f>IFERROR(__xludf.DUMMYFUNCTION("""COMPUTED_VALUE"""),"Patna")</f>
        <v>Patna</v>
      </c>
      <c r="D1476" s="124" t="str">
        <f>IFERROR(__xludf.DUMMYFUNCTION("""COMPUTED_VALUE"""),"Primary_Walkin")</f>
        <v>Primary_Walkin</v>
      </c>
      <c r="E1476" s="124">
        <f>IFERROR(__xludf.DUMMYFUNCTION("""COMPUTED_VALUE"""),2.0)</f>
        <v>2</v>
      </c>
      <c r="F1476" s="124" t="str">
        <f>IFERROR(__xludf.DUMMYFUNCTION("""COMPUTED_VALUE"""),"Fake Lead")</f>
        <v>Fake Lead</v>
      </c>
      <c r="G1476" s="124" t="str">
        <f>IFERROR(__xludf.DUMMYFUNCTION("""COMPUTED_VALUE"""),"State PCS")</f>
        <v>State PCS</v>
      </c>
      <c r="K1476" s="124"/>
      <c r="L1476" s="124"/>
      <c r="M1476" s="124"/>
      <c r="N1476" s="124"/>
      <c r="O1476" s="124"/>
      <c r="T1476" s="129">
        <f>IFERROR(__xludf.DUMMYFUNCTION("""COMPUTED_VALUE"""),46080.0)</f>
        <v>46080</v>
      </c>
      <c r="U1476" s="124" t="str">
        <f>IFERROR(__xludf.DUMMYFUNCTION("""COMPUTED_VALUE"""),"Telephony")</f>
        <v>Telephony</v>
      </c>
      <c r="V1476" s="124" t="str">
        <f>IFERROR(__xludf.DUMMYFUNCTION("""COMPUTED_VALUE"""),"Inbound Call")</f>
        <v>Inbound Call</v>
      </c>
      <c r="W1476" s="124">
        <f>IFERROR(__xludf.DUMMYFUNCTION("""COMPUTED_VALUE"""),9.18047861663E11)</f>
        <v>918047861663</v>
      </c>
      <c r="X1476" s="124" t="str">
        <f>IFERROR(__xludf.DUMMYFUNCTION("""COMPUTED_VALUE"""),"Inbound Call")</f>
        <v>Inbound Call</v>
      </c>
      <c r="Y1476" s="124"/>
      <c r="Z1476" s="124">
        <f>IFERROR(__xludf.DUMMYFUNCTION("""COMPUTED_VALUE"""),1.0)</f>
        <v>1</v>
      </c>
      <c r="AA1476" s="124" t="str">
        <f>IFERROR(__xludf.DUMMYFUNCTION("""COMPUTED_VALUE"""),"Cold")</f>
        <v>Cold</v>
      </c>
      <c r="AB1476" s="124"/>
    </row>
    <row r="1477">
      <c r="A1477" s="126">
        <f>IFERROR(__xludf.DUMMYFUNCTION("""COMPUTED_VALUE"""),46073.0)</f>
        <v>46073</v>
      </c>
      <c r="B1477" s="124" t="str">
        <f>IFERROR(__xludf.DUMMYFUNCTION("""COMPUTED_VALUE"""),"Walkin")</f>
        <v>Walkin</v>
      </c>
      <c r="C1477" s="124" t="str">
        <f>IFERROR(__xludf.DUMMYFUNCTION("""COMPUTED_VALUE"""),"Patna")</f>
        <v>Patna</v>
      </c>
      <c r="D1477" s="124" t="str">
        <f>IFERROR(__xludf.DUMMYFUNCTION("""COMPUTED_VALUE"""),"Primary_Walkin")</f>
        <v>Primary_Walkin</v>
      </c>
      <c r="E1477" s="124">
        <f>IFERROR(__xludf.DUMMYFUNCTION("""COMPUTED_VALUE"""),1.0)</f>
        <v>1</v>
      </c>
      <c r="F1477" s="124" t="str">
        <f>IFERROR(__xludf.DUMMYFUNCTION("""COMPUTED_VALUE"""),"Cold")</f>
        <v>Cold</v>
      </c>
      <c r="G1477" s="124" t="str">
        <f>IFERROR(__xludf.DUMMYFUNCTION("""COMPUTED_VALUE"""),"GS Foundation")</f>
        <v>GS Foundation</v>
      </c>
      <c r="K1477" s="124"/>
      <c r="L1477" s="124"/>
      <c r="M1477" s="124"/>
      <c r="N1477" s="124"/>
      <c r="O1477" s="124"/>
      <c r="T1477" s="126">
        <f>IFERROR(__xludf.DUMMYFUNCTION("""COMPUTED_VALUE"""),46059.0)</f>
        <v>46059</v>
      </c>
      <c r="U1477" s="124" t="str">
        <f>IFERROR(__xludf.DUMMYFUNCTION("""COMPUTED_VALUE"""),"Telephony")</f>
        <v>Telephony</v>
      </c>
      <c r="V1477" s="124" t="str">
        <f>IFERROR(__xludf.DUMMYFUNCTION("""COMPUTED_VALUE"""),"Inbound Call")</f>
        <v>Inbound Call</v>
      </c>
      <c r="W1477" s="124">
        <f>IFERROR(__xludf.DUMMYFUNCTION("""COMPUTED_VALUE"""),9.18047861635E11)</f>
        <v>918047861635</v>
      </c>
      <c r="X1477" s="124" t="str">
        <f>IFERROR(__xludf.DUMMYFUNCTION("""COMPUTED_VALUE"""),"Inbound Call")</f>
        <v>Inbound Call</v>
      </c>
      <c r="Y1477" s="124" t="str">
        <f>IFERROR(__xludf.DUMMYFUNCTION("""COMPUTED_VALUE"""),"Indore")</f>
        <v>Indore</v>
      </c>
      <c r="Z1477" s="124">
        <f>IFERROR(__xludf.DUMMYFUNCTION("""COMPUTED_VALUE"""),1.0)</f>
        <v>1</v>
      </c>
      <c r="AA1477" s="124" t="str">
        <f>IFERROR(__xludf.DUMMYFUNCTION("""COMPUTED_VALUE"""),"Cold")</f>
        <v>Cold</v>
      </c>
      <c r="AB1477" s="124" t="str">
        <f>IFERROR(__xludf.DUMMYFUNCTION("""COMPUTED_VALUE"""),"GS Foundation")</f>
        <v>GS Foundation</v>
      </c>
    </row>
    <row r="1478">
      <c r="A1478" s="129">
        <f>IFERROR(__xludf.DUMMYFUNCTION("""COMPUTED_VALUE"""),46050.0)</f>
        <v>46050</v>
      </c>
      <c r="B1478" s="124" t="str">
        <f>IFERROR(__xludf.DUMMYFUNCTION("""COMPUTED_VALUE"""),"Walkin")</f>
        <v>Walkin</v>
      </c>
      <c r="C1478" s="124" t="str">
        <f>IFERROR(__xludf.DUMMYFUNCTION("""COMPUTED_VALUE"""),"Patna")</f>
        <v>Patna</v>
      </c>
      <c r="D1478" s="124" t="str">
        <f>IFERROR(__xludf.DUMMYFUNCTION("""COMPUTED_VALUE"""),"Primary_Walkin")</f>
        <v>Primary_Walkin</v>
      </c>
      <c r="E1478" s="124">
        <f>IFERROR(__xludf.DUMMYFUNCTION("""COMPUTED_VALUE"""),1.0)</f>
        <v>1</v>
      </c>
      <c r="F1478" s="124" t="str">
        <f>IFERROR(__xludf.DUMMYFUNCTION("""COMPUTED_VALUE"""),"Fake Lead")</f>
        <v>Fake Lead</v>
      </c>
      <c r="G1478" s="124" t="str">
        <f>IFERROR(__xludf.DUMMYFUNCTION("""COMPUTED_VALUE"""),"State PCS")</f>
        <v>State PCS</v>
      </c>
      <c r="K1478" s="124"/>
      <c r="L1478" s="124"/>
      <c r="M1478" s="124"/>
      <c r="N1478" s="124"/>
      <c r="O1478" s="124"/>
      <c r="T1478" s="126">
        <f>IFERROR(__xludf.DUMMYFUNCTION("""COMPUTED_VALUE"""),46047.0)</f>
        <v>46047</v>
      </c>
      <c r="U1478" s="124" t="str">
        <f>IFERROR(__xludf.DUMMYFUNCTION("""COMPUTED_VALUE"""),"Telephony")</f>
        <v>Telephony</v>
      </c>
      <c r="V1478" s="124" t="str">
        <f>IFERROR(__xludf.DUMMYFUNCTION("""COMPUTED_VALUE"""),"Inbound Call")</f>
        <v>Inbound Call</v>
      </c>
      <c r="W1478" s="124">
        <f>IFERROR(__xludf.DUMMYFUNCTION("""COMPUTED_VALUE"""),9.18047861663E11)</f>
        <v>918047861663</v>
      </c>
      <c r="X1478" s="124" t="str">
        <f>IFERROR(__xludf.DUMMYFUNCTION("""COMPUTED_VALUE"""),"Inbound Call")</f>
        <v>Inbound Call</v>
      </c>
      <c r="Y1478" s="124" t="str">
        <f>IFERROR(__xludf.DUMMYFUNCTION("""COMPUTED_VALUE"""),"Delhi")</f>
        <v>Delhi</v>
      </c>
      <c r="Z1478" s="124">
        <f>IFERROR(__xludf.DUMMYFUNCTION("""COMPUTED_VALUE"""),6.0)</f>
        <v>6</v>
      </c>
      <c r="AA1478" s="124" t="str">
        <f>IFERROR(__xludf.DUMMYFUNCTION("""COMPUTED_VALUE"""),"Cold")</f>
        <v>Cold</v>
      </c>
      <c r="AB1478" s="124"/>
    </row>
    <row r="1479">
      <c r="A1479" s="129">
        <f>IFERROR(__xludf.DUMMYFUNCTION("""COMPUTED_VALUE"""),46057.0)</f>
        <v>46057</v>
      </c>
      <c r="B1479" s="124" t="str">
        <f>IFERROR(__xludf.DUMMYFUNCTION("""COMPUTED_VALUE"""),"Walk-In")</f>
        <v>Walk-In</v>
      </c>
      <c r="C1479" s="124" t="str">
        <f>IFERROR(__xludf.DUMMYFUNCTION("""COMPUTED_VALUE"""),"Patna")</f>
        <v>Patna</v>
      </c>
      <c r="D1479" s="124" t="str">
        <f>IFERROR(__xludf.DUMMYFUNCTION("""COMPUTED_VALUE"""),"Primary_Walkin")</f>
        <v>Primary_Walkin</v>
      </c>
      <c r="E1479" s="124">
        <f>IFERROR(__xludf.DUMMYFUNCTION("""COMPUTED_VALUE"""),2.0)</f>
        <v>2</v>
      </c>
      <c r="F1479" s="124" t="str">
        <f>IFERROR(__xludf.DUMMYFUNCTION("""COMPUTED_VALUE"""),"Enrolled")</f>
        <v>Enrolled</v>
      </c>
      <c r="G1479" s="124" t="str">
        <f>IFERROR(__xludf.DUMMYFUNCTION("""COMPUTED_VALUE"""),"GS Foundation")</f>
        <v>GS Foundation</v>
      </c>
      <c r="K1479" s="124"/>
      <c r="L1479" s="124"/>
      <c r="M1479" s="124"/>
      <c r="N1479" s="124"/>
      <c r="O1479" s="124"/>
      <c r="T1479" s="126">
        <f>IFERROR(__xludf.DUMMYFUNCTION("""COMPUTED_VALUE"""),46074.0)</f>
        <v>46074</v>
      </c>
      <c r="U1479" s="124" t="str">
        <f>IFERROR(__xludf.DUMMYFUNCTION("""COMPUTED_VALUE"""),"Telephony")</f>
        <v>Telephony</v>
      </c>
      <c r="V1479" s="124" t="str">
        <f>IFERROR(__xludf.DUMMYFUNCTION("""COMPUTED_VALUE"""),"Inbound Call")</f>
        <v>Inbound Call</v>
      </c>
      <c r="W1479" s="124">
        <f>IFERROR(__xludf.DUMMYFUNCTION("""COMPUTED_VALUE"""),9.18047861631E11)</f>
        <v>918047861631</v>
      </c>
      <c r="X1479" s="124" t="str">
        <f>IFERROR(__xludf.DUMMYFUNCTION("""COMPUTED_VALUE"""),"Inbound Call")</f>
        <v>Inbound Call</v>
      </c>
      <c r="Y1479" s="124"/>
      <c r="Z1479" s="124">
        <f>IFERROR(__xludf.DUMMYFUNCTION("""COMPUTED_VALUE"""),4.0)</f>
        <v>4</v>
      </c>
      <c r="AA1479" s="124" t="str">
        <f>IFERROR(__xludf.DUMMYFUNCTION("""COMPUTED_VALUE"""),"Fake Lead")</f>
        <v>Fake Lead</v>
      </c>
      <c r="AB1479" s="124"/>
    </row>
    <row r="1480">
      <c r="A1480" s="129">
        <f>IFERROR(__xludf.DUMMYFUNCTION("""COMPUTED_VALUE"""),46109.0)</f>
        <v>46109</v>
      </c>
      <c r="B1480" s="124" t="str">
        <f>IFERROR(__xludf.DUMMYFUNCTION("""COMPUTED_VALUE"""),"Walkin")</f>
        <v>Walkin</v>
      </c>
      <c r="C1480" s="124" t="str">
        <f>IFERROR(__xludf.DUMMYFUNCTION("""COMPUTED_VALUE"""),"Patna")</f>
        <v>Patna</v>
      </c>
      <c r="D1480" s="124" t="str">
        <f>IFERROR(__xludf.DUMMYFUNCTION("""COMPUTED_VALUE"""),"Primary_Walkin")</f>
        <v>Primary_Walkin</v>
      </c>
      <c r="E1480" s="124">
        <f>IFERROR(__xludf.DUMMYFUNCTION("""COMPUTED_VALUE"""),1.0)</f>
        <v>1</v>
      </c>
      <c r="F1480" s="124" t="str">
        <f>IFERROR(__xludf.DUMMYFUNCTION("""COMPUTED_VALUE"""),"Enrolled")</f>
        <v>Enrolled</v>
      </c>
      <c r="G1480" s="124" t="str">
        <f>IFERROR(__xludf.DUMMYFUNCTION("""COMPUTED_VALUE"""),"State PCS")</f>
        <v>State PCS</v>
      </c>
      <c r="K1480" s="124"/>
      <c r="L1480" s="124"/>
      <c r="M1480" s="124"/>
      <c r="N1480" s="124"/>
      <c r="O1480" s="124"/>
      <c r="T1480" s="126">
        <f>IFERROR(__xludf.DUMMYFUNCTION("""COMPUTED_VALUE"""),46110.0)</f>
        <v>46110</v>
      </c>
      <c r="U1480" s="124" t="str">
        <f>IFERROR(__xludf.DUMMYFUNCTION("""COMPUTED_VALUE"""),"Telephony")</f>
        <v>Telephony</v>
      </c>
      <c r="V1480" s="124" t="str">
        <f>IFERROR(__xludf.DUMMYFUNCTION("""COMPUTED_VALUE"""),"Inbound Call")</f>
        <v>Inbound Call</v>
      </c>
      <c r="W1480" s="124">
        <f>IFERROR(__xludf.DUMMYFUNCTION("""COMPUTED_VALUE"""),9.18047861663E11)</f>
        <v>918047861663</v>
      </c>
      <c r="X1480" s="124" t="str">
        <f>IFERROR(__xludf.DUMMYFUNCTION("""COMPUTED_VALUE"""),"Inbound Call")</f>
        <v>Inbound Call</v>
      </c>
      <c r="Y1480" s="124" t="str">
        <f>IFERROR(__xludf.DUMMYFUNCTION("""COMPUTED_VALUE"""),"Delhi")</f>
        <v>Delhi</v>
      </c>
      <c r="Z1480" s="124">
        <f>IFERROR(__xludf.DUMMYFUNCTION("""COMPUTED_VALUE"""),2.0)</f>
        <v>2</v>
      </c>
      <c r="AA1480" s="124" t="str">
        <f>IFERROR(__xludf.DUMMYFUNCTION("""COMPUTED_VALUE"""),"Warm")</f>
        <v>Warm</v>
      </c>
      <c r="AB1480" s="124"/>
    </row>
    <row r="1481">
      <c r="A1481" s="126">
        <f>IFERROR(__xludf.DUMMYFUNCTION("""COMPUTED_VALUE"""),46096.0)</f>
        <v>46096</v>
      </c>
      <c r="B1481" s="124" t="str">
        <f>IFERROR(__xludf.DUMMYFUNCTION("""COMPUTED_VALUE"""),"external leads")</f>
        <v>external leads</v>
      </c>
      <c r="C1481" s="124" t="str">
        <f>IFERROR(__xludf.DUMMYFUNCTION("""COMPUTED_VALUE"""),"Patna")</f>
        <v>Patna</v>
      </c>
      <c r="D1481" s="124" t="str">
        <f>IFERROR(__xludf.DUMMYFUNCTION("""COMPUTED_VALUE"""),"Secondary_Walkin")</f>
        <v>Secondary_Walkin</v>
      </c>
      <c r="E1481" s="124">
        <f>IFERROR(__xludf.DUMMYFUNCTION("""COMPUTED_VALUE"""),1.0)</f>
        <v>1</v>
      </c>
      <c r="F1481" s="124" t="str">
        <f>IFERROR(__xludf.DUMMYFUNCTION("""COMPUTED_VALUE"""),"Warm")</f>
        <v>Warm</v>
      </c>
      <c r="G1481" s="124" t="str">
        <f>IFERROR(__xludf.DUMMYFUNCTION("""COMPUTED_VALUE"""),"GS Foundation")</f>
        <v>GS Foundation</v>
      </c>
      <c r="K1481" s="124"/>
      <c r="L1481" s="124"/>
      <c r="M1481" s="124"/>
      <c r="N1481" s="124"/>
      <c r="O1481" s="124"/>
      <c r="T1481" s="126">
        <f>IFERROR(__xludf.DUMMYFUNCTION("""COMPUTED_VALUE"""),46065.0)</f>
        <v>46065</v>
      </c>
      <c r="U1481" s="124" t="str">
        <f>IFERROR(__xludf.DUMMYFUNCTION("""COMPUTED_VALUE"""),"Telephony")</f>
        <v>Telephony</v>
      </c>
      <c r="V1481" s="124" t="str">
        <f>IFERROR(__xludf.DUMMYFUNCTION("""COMPUTED_VALUE"""),"Inbound Call")</f>
        <v>Inbound Call</v>
      </c>
      <c r="W1481" s="124">
        <f>IFERROR(__xludf.DUMMYFUNCTION("""COMPUTED_VALUE"""),9.18047861631E11)</f>
        <v>918047861631</v>
      </c>
      <c r="X1481" s="124" t="str">
        <f>IFERROR(__xludf.DUMMYFUNCTION("""COMPUTED_VALUE"""),"Inbound Call")</f>
        <v>Inbound Call</v>
      </c>
      <c r="Y1481" s="124"/>
      <c r="Z1481" s="124">
        <f>IFERROR(__xludf.DUMMYFUNCTION("""COMPUTED_VALUE"""),1.0)</f>
        <v>1</v>
      </c>
      <c r="AA1481" s="124" t="str">
        <f>IFERROR(__xludf.DUMMYFUNCTION("""COMPUTED_VALUE"""),"Fake Lead")</f>
        <v>Fake Lead</v>
      </c>
      <c r="AB1481" s="124"/>
    </row>
    <row r="1482">
      <c r="A1482" s="129">
        <f>IFERROR(__xludf.DUMMYFUNCTION("""COMPUTED_VALUE"""),46051.0)</f>
        <v>46051</v>
      </c>
      <c r="B1482" s="124" t="str">
        <f>IFERROR(__xludf.DUMMYFUNCTION("""COMPUTED_VALUE"""),"Inbound Call")</f>
        <v>Inbound Call</v>
      </c>
      <c r="C1482" s="124" t="str">
        <f>IFERROR(__xludf.DUMMYFUNCTION("""COMPUTED_VALUE"""),"Patna")</f>
        <v>Patna</v>
      </c>
      <c r="D1482" s="124" t="str">
        <f>IFERROR(__xludf.DUMMYFUNCTION("""COMPUTED_VALUE"""),"Secondary_Walkin")</f>
        <v>Secondary_Walkin</v>
      </c>
      <c r="E1482" s="124">
        <f>IFERROR(__xludf.DUMMYFUNCTION("""COMPUTED_VALUE"""),1.0)</f>
        <v>1</v>
      </c>
      <c r="F1482" s="124" t="str">
        <f>IFERROR(__xludf.DUMMYFUNCTION("""COMPUTED_VALUE"""),"Cold")</f>
        <v>Cold</v>
      </c>
      <c r="G1482" s="124" t="str">
        <f>IFERROR(__xludf.DUMMYFUNCTION("""COMPUTED_VALUE"""),"State PCS")</f>
        <v>State PCS</v>
      </c>
      <c r="K1482" s="124"/>
      <c r="L1482" s="124"/>
      <c r="M1482" s="124"/>
      <c r="N1482" s="124"/>
      <c r="O1482" s="124"/>
      <c r="T1482" s="126">
        <f>IFERROR(__xludf.DUMMYFUNCTION("""COMPUTED_VALUE"""),46054.0)</f>
        <v>46054</v>
      </c>
      <c r="U1482" s="124" t="str">
        <f>IFERROR(__xludf.DUMMYFUNCTION("""COMPUTED_VALUE"""),"Walk-Ins")</f>
        <v>Walk-Ins</v>
      </c>
      <c r="V1482" s="124" t="str">
        <f>IFERROR(__xludf.DUMMYFUNCTION("""COMPUTED_VALUE"""),"Walk-In")</f>
        <v>Walk-In</v>
      </c>
      <c r="W1482" s="124" t="str">
        <f>IFERROR(__xludf.DUMMYFUNCTION("""COMPUTED_VALUE"""),"Delhi")</f>
        <v>Delhi</v>
      </c>
      <c r="X1482" s="124" t="str">
        <f>IFERROR(__xludf.DUMMYFUNCTION("""COMPUTED_VALUE"""),"Yogita")</f>
        <v>Yogita</v>
      </c>
      <c r="Y1482" s="124" t="str">
        <f>IFERROR(__xludf.DUMMYFUNCTION("""COMPUTED_VALUE"""),"Delhi")</f>
        <v>Delhi</v>
      </c>
      <c r="Z1482" s="124">
        <f>IFERROR(__xludf.DUMMYFUNCTION("""COMPUTED_VALUE"""),1.0)</f>
        <v>1</v>
      </c>
      <c r="AA1482" s="124" t="str">
        <f>IFERROR(__xludf.DUMMYFUNCTION("""COMPUTED_VALUE"""),"Cold")</f>
        <v>Cold</v>
      </c>
      <c r="AB1482" s="124" t="str">
        <f>IFERROR(__xludf.DUMMYFUNCTION("""COMPUTED_VALUE"""),"GS Foundation")</f>
        <v>GS Foundation</v>
      </c>
    </row>
    <row r="1483">
      <c r="A1483" s="126">
        <f>IFERROR(__xludf.DUMMYFUNCTION("""COMPUTED_VALUE"""),46055.0)</f>
        <v>46055</v>
      </c>
      <c r="B1483" s="124" t="str">
        <f>IFERROR(__xludf.DUMMYFUNCTION("""COMPUTED_VALUE"""),"Inbound Call")</f>
        <v>Inbound Call</v>
      </c>
      <c r="C1483" s="124" t="str">
        <f>IFERROR(__xludf.DUMMYFUNCTION("""COMPUTED_VALUE"""),"Patna")</f>
        <v>Patna</v>
      </c>
      <c r="D1483" s="124" t="str">
        <f>IFERROR(__xludf.DUMMYFUNCTION("""COMPUTED_VALUE"""),"Secondary_Walkin")</f>
        <v>Secondary_Walkin</v>
      </c>
      <c r="E1483" s="124">
        <f>IFERROR(__xludf.DUMMYFUNCTION("""COMPUTED_VALUE"""),1.0)</f>
        <v>1</v>
      </c>
      <c r="F1483" s="124" t="str">
        <f>IFERROR(__xludf.DUMMYFUNCTION("""COMPUTED_VALUE"""),"Not Interested")</f>
        <v>Not Interested</v>
      </c>
      <c r="G1483" s="124" t="str">
        <f>IFERROR(__xludf.DUMMYFUNCTION("""COMPUTED_VALUE"""),"GS Foundation")</f>
        <v>GS Foundation</v>
      </c>
      <c r="K1483" s="124"/>
      <c r="L1483" s="124"/>
      <c r="M1483" s="124"/>
      <c r="N1483" s="124"/>
      <c r="O1483" s="124"/>
      <c r="T1483" s="126">
        <f>IFERROR(__xludf.DUMMYFUNCTION("""COMPUTED_VALUE"""),46065.0)</f>
        <v>46065</v>
      </c>
      <c r="U1483" s="124" t="str">
        <f>IFERROR(__xludf.DUMMYFUNCTION("""COMPUTED_VALUE"""),"Telephony")</f>
        <v>Telephony</v>
      </c>
      <c r="V1483" s="124" t="str">
        <f>IFERROR(__xludf.DUMMYFUNCTION("""COMPUTED_VALUE"""),"Inbound Call")</f>
        <v>Inbound Call</v>
      </c>
      <c r="W1483" s="124">
        <f>IFERROR(__xludf.DUMMYFUNCTION("""COMPUTED_VALUE"""),9.18047861635E11)</f>
        <v>918047861635</v>
      </c>
      <c r="X1483" s="124" t="str">
        <f>IFERROR(__xludf.DUMMYFUNCTION("""COMPUTED_VALUE"""),"Inbound Call")</f>
        <v>Inbound Call</v>
      </c>
      <c r="Y1483" s="124" t="str">
        <f>IFERROR(__xludf.DUMMYFUNCTION("""COMPUTED_VALUE"""),"Indore")</f>
        <v>Indore</v>
      </c>
      <c r="Z1483" s="124">
        <f>IFERROR(__xludf.DUMMYFUNCTION("""COMPUTED_VALUE"""),1.0)</f>
        <v>1</v>
      </c>
      <c r="AA1483" s="124" t="str">
        <f>IFERROR(__xludf.DUMMYFUNCTION("""COMPUTED_VALUE"""),"Future Prospects")</f>
        <v>Future Prospects</v>
      </c>
      <c r="AB1483" s="124" t="str">
        <f>IFERROR(__xludf.DUMMYFUNCTION("""COMPUTED_VALUE"""),"GS Foundation")</f>
        <v>GS Foundation</v>
      </c>
    </row>
    <row r="1484">
      <c r="A1484" s="126">
        <f>IFERROR(__xludf.DUMMYFUNCTION("""COMPUTED_VALUE"""),46090.0)</f>
        <v>46090</v>
      </c>
      <c r="B1484" s="124" t="str">
        <f>IFERROR(__xludf.DUMMYFUNCTION("""COMPUTED_VALUE"""),"Walkin")</f>
        <v>Walkin</v>
      </c>
      <c r="C1484" s="124" t="str">
        <f>IFERROR(__xludf.DUMMYFUNCTION("""COMPUTED_VALUE"""),"Patna")</f>
        <v>Patna</v>
      </c>
      <c r="D1484" s="124" t="str">
        <f>IFERROR(__xludf.DUMMYFUNCTION("""COMPUTED_VALUE"""),"Primary_Walkin")</f>
        <v>Primary_Walkin</v>
      </c>
      <c r="E1484" s="124">
        <f>IFERROR(__xludf.DUMMYFUNCTION("""COMPUTED_VALUE"""),2.0)</f>
        <v>2</v>
      </c>
      <c r="F1484" s="124" t="str">
        <f>IFERROR(__xludf.DUMMYFUNCTION("""COMPUTED_VALUE"""),"Cold")</f>
        <v>Cold</v>
      </c>
      <c r="G1484" s="124" t="str">
        <f>IFERROR(__xludf.DUMMYFUNCTION("""COMPUTED_VALUE"""),"GS Foundation")</f>
        <v>GS Foundation</v>
      </c>
      <c r="K1484" s="124"/>
      <c r="L1484" s="124"/>
      <c r="M1484" s="124"/>
      <c r="N1484" s="124"/>
      <c r="O1484" s="124"/>
      <c r="T1484" s="126">
        <f>IFERROR(__xludf.DUMMYFUNCTION("""COMPUTED_VALUE"""),46082.0)</f>
        <v>46082</v>
      </c>
      <c r="U1484" s="124" t="str">
        <f>IFERROR(__xludf.DUMMYFUNCTION("""COMPUTED_VALUE"""),"Telephony")</f>
        <v>Telephony</v>
      </c>
      <c r="V1484" s="124" t="str">
        <f>IFERROR(__xludf.DUMMYFUNCTION("""COMPUTED_VALUE"""),"Inbound Call")</f>
        <v>Inbound Call</v>
      </c>
      <c r="W1484" s="124">
        <f>IFERROR(__xludf.DUMMYFUNCTION("""COMPUTED_VALUE"""),9.18047861663E11)</f>
        <v>918047861663</v>
      </c>
      <c r="X1484" s="124" t="str">
        <f>IFERROR(__xludf.DUMMYFUNCTION("""COMPUTED_VALUE"""),"Inbound Call")</f>
        <v>Inbound Call</v>
      </c>
      <c r="Y1484" s="124" t="str">
        <f>IFERROR(__xludf.DUMMYFUNCTION("""COMPUTED_VALUE"""),"Delhi")</f>
        <v>Delhi</v>
      </c>
      <c r="Z1484" s="124">
        <f>IFERROR(__xludf.DUMMYFUNCTION("""COMPUTED_VALUE"""),1.0)</f>
        <v>1</v>
      </c>
      <c r="AA1484" s="124" t="str">
        <f>IFERROR(__xludf.DUMMYFUNCTION("""COMPUTED_VALUE"""),"Not Interested")</f>
        <v>Not Interested</v>
      </c>
      <c r="AB1484" s="124" t="str">
        <f>IFERROR(__xludf.DUMMYFUNCTION("""COMPUTED_VALUE"""),"State PCS")</f>
        <v>State PCS</v>
      </c>
    </row>
    <row r="1485">
      <c r="A1485" s="126">
        <f>IFERROR(__xludf.DUMMYFUNCTION("""COMPUTED_VALUE"""),46097.0)</f>
        <v>46097</v>
      </c>
      <c r="B1485" s="124" t="str">
        <f>IFERROR(__xludf.DUMMYFUNCTION("""COMPUTED_VALUE"""),"external leads")</f>
        <v>external leads</v>
      </c>
      <c r="C1485" s="124" t="str">
        <f>IFERROR(__xludf.DUMMYFUNCTION("""COMPUTED_VALUE"""),"Patna")</f>
        <v>Patna</v>
      </c>
      <c r="D1485" s="124" t="str">
        <f>IFERROR(__xludf.DUMMYFUNCTION("""COMPUTED_VALUE"""),"Secondary_Walkin")</f>
        <v>Secondary_Walkin</v>
      </c>
      <c r="E1485" s="124">
        <f>IFERROR(__xludf.DUMMYFUNCTION("""COMPUTED_VALUE"""),1.0)</f>
        <v>1</v>
      </c>
      <c r="F1485" s="124" t="str">
        <f>IFERROR(__xludf.DUMMYFUNCTION("""COMPUTED_VALUE"""),"Future Prospects")</f>
        <v>Future Prospects</v>
      </c>
      <c r="G1485" s="124" t="str">
        <f>IFERROR(__xludf.DUMMYFUNCTION("""COMPUTED_VALUE"""),"GS Foundation")</f>
        <v>GS Foundation</v>
      </c>
      <c r="K1485" s="124"/>
      <c r="L1485" s="124"/>
      <c r="M1485" s="124"/>
      <c r="N1485" s="124"/>
      <c r="O1485" s="124"/>
      <c r="T1485" s="129">
        <f>IFERROR(__xludf.DUMMYFUNCTION("""COMPUTED_VALUE"""),46059.0)</f>
        <v>46059</v>
      </c>
      <c r="U1485" s="124" t="str">
        <f>IFERROR(__xludf.DUMMYFUNCTION("""COMPUTED_VALUE"""),"Paid Ads")</f>
        <v>Paid Ads</v>
      </c>
      <c r="V1485" s="124" t="str">
        <f>IFERROR(__xludf.DUMMYFUNCTION("""COMPUTED_VALUE"""),"facebook")</f>
        <v>facebook</v>
      </c>
      <c r="W1485" s="124" t="str">
        <f>IFERROR(__xludf.DUMMYFUNCTION("""COMPUTED_VALUE"""),"delhi")</f>
        <v>delhi</v>
      </c>
      <c r="X1485" s="124" t="str">
        <f>IFERROR(__xludf.DUMMYFUNCTION("""COMPUTED_VALUE"""),"fbleads")</f>
        <v>fbleads</v>
      </c>
      <c r="Y1485" s="124" t="str">
        <f>IFERROR(__xludf.DUMMYFUNCTION("""COMPUTED_VALUE"""),"Delhi")</f>
        <v>Delhi</v>
      </c>
      <c r="Z1485" s="124">
        <f>IFERROR(__xludf.DUMMYFUNCTION("""COMPUTED_VALUE"""),7.0)</f>
        <v>7</v>
      </c>
      <c r="AA1485" s="124" t="str">
        <f>IFERROR(__xludf.DUMMYFUNCTION("""COMPUTED_VALUE"""),"Not Interested")</f>
        <v>Not Interested</v>
      </c>
      <c r="AB1485" s="124"/>
    </row>
    <row r="1486">
      <c r="A1486" s="126">
        <f>IFERROR(__xludf.DUMMYFUNCTION("""COMPUTED_VALUE"""),46099.0)</f>
        <v>46099</v>
      </c>
      <c r="B1486" s="124" t="str">
        <f>IFERROR(__xludf.DUMMYFUNCTION("""COMPUTED_VALUE"""),"external leads")</f>
        <v>external leads</v>
      </c>
      <c r="C1486" s="124" t="str">
        <f>IFERROR(__xludf.DUMMYFUNCTION("""COMPUTED_VALUE"""),"Patna")</f>
        <v>Patna</v>
      </c>
      <c r="D1486" s="124" t="str">
        <f>IFERROR(__xludf.DUMMYFUNCTION("""COMPUTED_VALUE"""),"Secondary_Walkin")</f>
        <v>Secondary_Walkin</v>
      </c>
      <c r="E1486" s="124">
        <f>IFERROR(__xludf.DUMMYFUNCTION("""COMPUTED_VALUE"""),1.0)</f>
        <v>1</v>
      </c>
      <c r="F1486" s="124" t="str">
        <f>IFERROR(__xludf.DUMMYFUNCTION("""COMPUTED_VALUE"""),"Future Prospects")</f>
        <v>Future Prospects</v>
      </c>
      <c r="G1486" s="124" t="str">
        <f>IFERROR(__xludf.DUMMYFUNCTION("""COMPUTED_VALUE"""),"GS Foundation")</f>
        <v>GS Foundation</v>
      </c>
      <c r="K1486" s="124"/>
      <c r="L1486" s="124"/>
      <c r="M1486" s="124"/>
      <c r="N1486" s="124"/>
      <c r="O1486" s="124"/>
      <c r="T1486" s="129">
        <f>IFERROR(__xludf.DUMMYFUNCTION("""COMPUTED_VALUE"""),46045.0)</f>
        <v>46045</v>
      </c>
      <c r="U1486" s="124" t="str">
        <f>IFERROR(__xludf.DUMMYFUNCTION("""COMPUTED_VALUE"""),"Telephony")</f>
        <v>Telephony</v>
      </c>
      <c r="V1486" s="124" t="str">
        <f>IFERROR(__xludf.DUMMYFUNCTION("""COMPUTED_VALUE"""),"Inbound Call")</f>
        <v>Inbound Call</v>
      </c>
      <c r="W1486" s="124">
        <f>IFERROR(__xludf.DUMMYFUNCTION("""COMPUTED_VALUE"""),9.18047861632E11)</f>
        <v>918047861632</v>
      </c>
      <c r="X1486" s="124" t="str">
        <f>IFERROR(__xludf.DUMMYFUNCTION("""COMPUTED_VALUE"""),"Inbound Call")</f>
        <v>Inbound Call</v>
      </c>
      <c r="Y1486" s="124"/>
      <c r="Z1486" s="124">
        <f>IFERROR(__xludf.DUMMYFUNCTION("""COMPUTED_VALUE"""),1.0)</f>
        <v>1</v>
      </c>
      <c r="AA1486" s="124" t="str">
        <f>IFERROR(__xludf.DUMMYFUNCTION("""COMPUTED_VALUE"""),"Cold")</f>
        <v>Cold</v>
      </c>
      <c r="AB1486" s="124"/>
    </row>
    <row r="1487">
      <c r="A1487" s="126">
        <f>IFERROR(__xludf.DUMMYFUNCTION("""COMPUTED_VALUE"""),46050.0)</f>
        <v>46050</v>
      </c>
      <c r="B1487" s="124" t="str">
        <f>IFERROR(__xludf.DUMMYFUNCTION("""COMPUTED_VALUE"""),"Walkin")</f>
        <v>Walkin</v>
      </c>
      <c r="C1487" s="124" t="str">
        <f>IFERROR(__xludf.DUMMYFUNCTION("""COMPUTED_VALUE"""),"Patna")</f>
        <v>Patna</v>
      </c>
      <c r="D1487" s="124" t="str">
        <f>IFERROR(__xludf.DUMMYFUNCTION("""COMPUTED_VALUE"""),"Primary_Walkin")</f>
        <v>Primary_Walkin</v>
      </c>
      <c r="E1487" s="124">
        <f>IFERROR(__xludf.DUMMYFUNCTION("""COMPUTED_VALUE"""),2.0)</f>
        <v>2</v>
      </c>
      <c r="F1487" s="124" t="str">
        <f>IFERROR(__xludf.DUMMYFUNCTION("""COMPUTED_VALUE"""),"Not Interested")</f>
        <v>Not Interested</v>
      </c>
      <c r="G1487" s="124" t="str">
        <f>IFERROR(__xludf.DUMMYFUNCTION("""COMPUTED_VALUE"""),"State PCS")</f>
        <v>State PCS</v>
      </c>
      <c r="K1487" s="124"/>
      <c r="L1487" s="124"/>
      <c r="M1487" s="124"/>
      <c r="N1487" s="124"/>
      <c r="O1487" s="124"/>
      <c r="T1487" s="129">
        <f>IFERROR(__xludf.DUMMYFUNCTION("""COMPUTED_VALUE"""),46066.0)</f>
        <v>46066</v>
      </c>
      <c r="U1487" s="124" t="str">
        <f>IFERROR(__xludf.DUMMYFUNCTION("""COMPUTED_VALUE"""),"Telephony")</f>
        <v>Telephony</v>
      </c>
      <c r="V1487" s="124" t="str">
        <f>IFERROR(__xludf.DUMMYFUNCTION("""COMPUTED_VALUE"""),"Inbound Call")</f>
        <v>Inbound Call</v>
      </c>
      <c r="W1487" s="124" t="str">
        <f>IFERROR(__xludf.DUMMYFUNCTION("""COMPUTED_VALUE"""),"Inbound Call")</f>
        <v>Inbound Call</v>
      </c>
      <c r="X1487" s="124" t="str">
        <f>IFERROR(__xludf.DUMMYFUNCTION("""COMPUTED_VALUE"""),"Inbound Call")</f>
        <v>Inbound Call</v>
      </c>
      <c r="Y1487" s="124"/>
      <c r="Z1487" s="124">
        <f>IFERROR(__xludf.DUMMYFUNCTION("""COMPUTED_VALUE"""),3.0)</f>
        <v>3</v>
      </c>
      <c r="AA1487" s="124" t="str">
        <f>IFERROR(__xludf.DUMMYFUNCTION("""COMPUTED_VALUE"""),"Cold")</f>
        <v>Cold</v>
      </c>
      <c r="AB1487" s="124"/>
    </row>
    <row r="1488">
      <c r="A1488" s="129">
        <f>IFERROR(__xludf.DUMMYFUNCTION("""COMPUTED_VALUE"""),46047.0)</f>
        <v>46047</v>
      </c>
      <c r="B1488" s="124" t="str">
        <f>IFERROR(__xludf.DUMMYFUNCTION("""COMPUTED_VALUE"""),"Walk-In")</f>
        <v>Walk-In</v>
      </c>
      <c r="C1488" s="124" t="str">
        <f>IFERROR(__xludf.DUMMYFUNCTION("""COMPUTED_VALUE"""),"Patna")</f>
        <v>Patna</v>
      </c>
      <c r="D1488" s="124" t="str">
        <f>IFERROR(__xludf.DUMMYFUNCTION("""COMPUTED_VALUE"""),"Primary_Walkin")</f>
        <v>Primary_Walkin</v>
      </c>
      <c r="E1488" s="124">
        <f>IFERROR(__xludf.DUMMYFUNCTION("""COMPUTED_VALUE"""),1.0)</f>
        <v>1</v>
      </c>
      <c r="F1488" s="124" t="str">
        <f>IFERROR(__xludf.DUMMYFUNCTION("""COMPUTED_VALUE"""),"Cold")</f>
        <v>Cold</v>
      </c>
      <c r="G1488" s="124" t="str">
        <f>IFERROR(__xludf.DUMMYFUNCTION("""COMPUTED_VALUE"""),"GS Foundation")</f>
        <v>GS Foundation</v>
      </c>
      <c r="K1488" s="124"/>
      <c r="L1488" s="124"/>
      <c r="M1488" s="124"/>
      <c r="N1488" s="124"/>
      <c r="O1488" s="124"/>
      <c r="T1488" s="126">
        <f>IFERROR(__xludf.DUMMYFUNCTION("""COMPUTED_VALUE"""),46058.0)</f>
        <v>46058</v>
      </c>
      <c r="U1488" s="124" t="str">
        <f>IFERROR(__xludf.DUMMYFUNCTION("""COMPUTED_VALUE"""),"Telephony")</f>
        <v>Telephony</v>
      </c>
      <c r="V1488" s="124" t="str">
        <f>IFERROR(__xludf.DUMMYFUNCTION("""COMPUTED_VALUE"""),"Inbound Call")</f>
        <v>Inbound Call</v>
      </c>
      <c r="W1488" s="124">
        <f>IFERROR(__xludf.DUMMYFUNCTION("""COMPUTED_VALUE"""),9.18047861635E11)</f>
        <v>918047861635</v>
      </c>
      <c r="X1488" s="124" t="str">
        <f>IFERROR(__xludf.DUMMYFUNCTION("""COMPUTED_VALUE"""),"Inbound Call")</f>
        <v>Inbound Call</v>
      </c>
      <c r="Y1488" s="124" t="str">
        <f>IFERROR(__xludf.DUMMYFUNCTION("""COMPUTED_VALUE"""),"Indore")</f>
        <v>Indore</v>
      </c>
      <c r="Z1488" s="124">
        <f>IFERROR(__xludf.DUMMYFUNCTION("""COMPUTED_VALUE"""),1.0)</f>
        <v>1</v>
      </c>
      <c r="AA1488" s="124" t="str">
        <f>IFERROR(__xludf.DUMMYFUNCTION("""COMPUTED_VALUE"""),"Not Interested")</f>
        <v>Not Interested</v>
      </c>
      <c r="AB1488" s="124"/>
    </row>
    <row r="1489">
      <c r="A1489" s="126">
        <f>IFERROR(__xludf.DUMMYFUNCTION("""COMPUTED_VALUE"""),46088.0)</f>
        <v>46088</v>
      </c>
      <c r="B1489" s="124" t="str">
        <f>IFERROR(__xludf.DUMMYFUNCTION("""COMPUTED_VALUE"""),"Walkin")</f>
        <v>Walkin</v>
      </c>
      <c r="C1489" s="124" t="str">
        <f>IFERROR(__xludf.DUMMYFUNCTION("""COMPUTED_VALUE"""),"Patna")</f>
        <v>Patna</v>
      </c>
      <c r="D1489" s="124" t="str">
        <f>IFERROR(__xludf.DUMMYFUNCTION("""COMPUTED_VALUE"""),"Primary_Walkin")</f>
        <v>Primary_Walkin</v>
      </c>
      <c r="E1489" s="124">
        <f>IFERROR(__xludf.DUMMYFUNCTION("""COMPUTED_VALUE"""),2.0)</f>
        <v>2</v>
      </c>
      <c r="F1489" s="124" t="str">
        <f>IFERROR(__xludf.DUMMYFUNCTION("""COMPUTED_VALUE"""),"Future Prospects")</f>
        <v>Future Prospects</v>
      </c>
      <c r="G1489" s="124" t="str">
        <f>IFERROR(__xludf.DUMMYFUNCTION("""COMPUTED_VALUE"""),"State PCS")</f>
        <v>State PCS</v>
      </c>
      <c r="K1489" s="124"/>
      <c r="L1489" s="124"/>
      <c r="M1489" s="124"/>
      <c r="N1489" s="124"/>
      <c r="O1489" s="124"/>
      <c r="T1489" s="129">
        <f>IFERROR(__xludf.DUMMYFUNCTION("""COMPUTED_VALUE"""),46076.0)</f>
        <v>46076</v>
      </c>
      <c r="U1489" s="124" t="str">
        <f>IFERROR(__xludf.DUMMYFUNCTION("""COMPUTED_VALUE"""),"Telephony")</f>
        <v>Telephony</v>
      </c>
      <c r="V1489" s="124" t="str">
        <f>IFERROR(__xludf.DUMMYFUNCTION("""COMPUTED_VALUE"""),"Inbound Call")</f>
        <v>Inbound Call</v>
      </c>
      <c r="W1489" s="124">
        <f>IFERROR(__xludf.DUMMYFUNCTION("""COMPUTED_VALUE"""),9.18047861663E11)</f>
        <v>918047861663</v>
      </c>
      <c r="X1489" s="124" t="str">
        <f>IFERROR(__xludf.DUMMYFUNCTION("""COMPUTED_VALUE"""),"Inbound Call")</f>
        <v>Inbound Call</v>
      </c>
      <c r="Y1489" s="124"/>
      <c r="Z1489" s="124">
        <f>IFERROR(__xludf.DUMMYFUNCTION("""COMPUTED_VALUE"""),2.0)</f>
        <v>2</v>
      </c>
      <c r="AA1489" s="124" t="str">
        <f>IFERROR(__xludf.DUMMYFUNCTION("""COMPUTED_VALUE"""),"Fake Lead")</f>
        <v>Fake Lead</v>
      </c>
      <c r="AB1489" s="124"/>
    </row>
    <row r="1490">
      <c r="A1490" s="129">
        <f>IFERROR(__xludf.DUMMYFUNCTION("""COMPUTED_VALUE"""),46063.0)</f>
        <v>46063</v>
      </c>
      <c r="B1490" s="124" t="str">
        <f>IFERROR(__xludf.DUMMYFUNCTION("""COMPUTED_VALUE"""),"Walkin")</f>
        <v>Walkin</v>
      </c>
      <c r="C1490" s="124" t="str">
        <f>IFERROR(__xludf.DUMMYFUNCTION("""COMPUTED_VALUE"""),"Patna")</f>
        <v>Patna</v>
      </c>
      <c r="D1490" s="124" t="str">
        <f>IFERROR(__xludf.DUMMYFUNCTION("""COMPUTED_VALUE"""),"Primary_Walkin")</f>
        <v>Primary_Walkin</v>
      </c>
      <c r="E1490" s="124">
        <f>IFERROR(__xludf.DUMMYFUNCTION("""COMPUTED_VALUE"""),1.0)</f>
        <v>1</v>
      </c>
      <c r="F1490" s="124" t="str">
        <f>IFERROR(__xludf.DUMMYFUNCTION("""COMPUTED_VALUE"""),"Not Interested")</f>
        <v>Not Interested</v>
      </c>
      <c r="G1490" s="124" t="str">
        <f>IFERROR(__xludf.DUMMYFUNCTION("""COMPUTED_VALUE"""),"State PCS")</f>
        <v>State PCS</v>
      </c>
      <c r="K1490" s="124"/>
      <c r="L1490" s="124"/>
      <c r="M1490" s="124"/>
      <c r="N1490" s="124"/>
      <c r="O1490" s="124"/>
      <c r="T1490" s="126">
        <f>IFERROR(__xludf.DUMMYFUNCTION("""COMPUTED_VALUE"""),46055.0)</f>
        <v>46055</v>
      </c>
      <c r="U1490" s="124" t="str">
        <f>IFERROR(__xludf.DUMMYFUNCTION("""COMPUTED_VALUE"""),"Telephony")</f>
        <v>Telephony</v>
      </c>
      <c r="V1490" s="124" t="str">
        <f>IFERROR(__xludf.DUMMYFUNCTION("""COMPUTED_VALUE"""),"Inbound Call")</f>
        <v>Inbound Call</v>
      </c>
      <c r="W1490" s="124">
        <f>IFERROR(__xludf.DUMMYFUNCTION("""COMPUTED_VALUE"""),9.18047861635E11)</f>
        <v>918047861635</v>
      </c>
      <c r="X1490" s="124" t="str">
        <f>IFERROR(__xludf.DUMMYFUNCTION("""COMPUTED_VALUE"""),"Inbound Call")</f>
        <v>Inbound Call</v>
      </c>
      <c r="Y1490" s="124" t="str">
        <f>IFERROR(__xludf.DUMMYFUNCTION("""COMPUTED_VALUE"""),"Indore")</f>
        <v>Indore</v>
      </c>
      <c r="Z1490" s="124">
        <f>IFERROR(__xludf.DUMMYFUNCTION("""COMPUTED_VALUE"""),1.0)</f>
        <v>1</v>
      </c>
      <c r="AA1490" s="124" t="str">
        <f>IFERROR(__xludf.DUMMYFUNCTION("""COMPUTED_VALUE"""),"Not Interested")</f>
        <v>Not Interested</v>
      </c>
      <c r="AB1490" s="124" t="str">
        <f>IFERROR(__xludf.DUMMYFUNCTION("""COMPUTED_VALUE"""),"Optionals")</f>
        <v>Optionals</v>
      </c>
    </row>
    <row r="1491">
      <c r="A1491" s="129">
        <f>IFERROR(__xludf.DUMMYFUNCTION("""COMPUTED_VALUE"""),46091.0)</f>
        <v>46091</v>
      </c>
      <c r="B1491" s="124" t="str">
        <f>IFERROR(__xludf.DUMMYFUNCTION("""COMPUTED_VALUE"""),"Walkin")</f>
        <v>Walkin</v>
      </c>
      <c r="C1491" s="124" t="str">
        <f>IFERROR(__xludf.DUMMYFUNCTION("""COMPUTED_VALUE"""),"Patna")</f>
        <v>Patna</v>
      </c>
      <c r="D1491" s="124" t="str">
        <f>IFERROR(__xludf.DUMMYFUNCTION("""COMPUTED_VALUE"""),"Primary_Walkin")</f>
        <v>Primary_Walkin</v>
      </c>
      <c r="E1491" s="124">
        <f>IFERROR(__xludf.DUMMYFUNCTION("""COMPUTED_VALUE"""),1.0)</f>
        <v>1</v>
      </c>
      <c r="F1491" s="124" t="str">
        <f>IFERROR(__xludf.DUMMYFUNCTION("""COMPUTED_VALUE"""),"Enrolled")</f>
        <v>Enrolled</v>
      </c>
      <c r="G1491" s="124" t="str">
        <f>IFERROR(__xludf.DUMMYFUNCTION("""COMPUTED_VALUE"""),"State PCS")</f>
        <v>State PCS</v>
      </c>
      <c r="K1491" s="124"/>
      <c r="L1491" s="124"/>
      <c r="M1491" s="124"/>
      <c r="N1491" s="124"/>
      <c r="O1491" s="124"/>
      <c r="T1491" s="126">
        <f>IFERROR(__xludf.DUMMYFUNCTION("""COMPUTED_VALUE"""),46088.0)</f>
        <v>46088</v>
      </c>
      <c r="U1491" s="124" t="str">
        <f>IFERROR(__xludf.DUMMYFUNCTION("""COMPUTED_VALUE"""),"Telephony")</f>
        <v>Telephony</v>
      </c>
      <c r="V1491" s="124" t="str">
        <f>IFERROR(__xludf.DUMMYFUNCTION("""COMPUTED_VALUE"""),"Inbound Call")</f>
        <v>Inbound Call</v>
      </c>
      <c r="W1491" s="124" t="str">
        <f>IFERROR(__xludf.DUMMYFUNCTION("""COMPUTED_VALUE"""),"Inbound Call")</f>
        <v>Inbound Call</v>
      </c>
      <c r="X1491" s="124" t="str">
        <f>IFERROR(__xludf.DUMMYFUNCTION("""COMPUTED_VALUE"""),"Inbound Call")</f>
        <v>Inbound Call</v>
      </c>
      <c r="Y1491" s="124" t="str">
        <f>IFERROR(__xludf.DUMMYFUNCTION("""COMPUTED_VALUE"""),"Delhi")</f>
        <v>Delhi</v>
      </c>
      <c r="Z1491" s="124">
        <f>IFERROR(__xludf.DUMMYFUNCTION("""COMPUTED_VALUE"""),2.0)</f>
        <v>2</v>
      </c>
      <c r="AA1491" s="124" t="str">
        <f>IFERROR(__xludf.DUMMYFUNCTION("""COMPUTED_VALUE"""),"Cold")</f>
        <v>Cold</v>
      </c>
      <c r="AB1491" s="124"/>
    </row>
    <row r="1492">
      <c r="A1492" s="126">
        <f>IFERROR(__xludf.DUMMYFUNCTION("""COMPUTED_VALUE"""),46093.0)</f>
        <v>46093</v>
      </c>
      <c r="B1492" s="124" t="str">
        <f>IFERROR(__xludf.DUMMYFUNCTION("""COMPUTED_VALUE"""),"Walkin")</f>
        <v>Walkin</v>
      </c>
      <c r="C1492" s="124" t="str">
        <f>IFERROR(__xludf.DUMMYFUNCTION("""COMPUTED_VALUE"""),"Patna")</f>
        <v>Patna</v>
      </c>
      <c r="D1492" s="124" t="str">
        <f>IFERROR(__xludf.DUMMYFUNCTION("""COMPUTED_VALUE"""),"Primary_Walkin")</f>
        <v>Primary_Walkin</v>
      </c>
      <c r="E1492" s="124">
        <f>IFERROR(__xludf.DUMMYFUNCTION("""COMPUTED_VALUE"""),1.0)</f>
        <v>1</v>
      </c>
      <c r="F1492" s="124" t="str">
        <f>IFERROR(__xludf.DUMMYFUNCTION("""COMPUTED_VALUE"""),"Future Prospects")</f>
        <v>Future Prospects</v>
      </c>
      <c r="G1492" s="124" t="str">
        <f>IFERROR(__xludf.DUMMYFUNCTION("""COMPUTED_VALUE"""),"State PCS")</f>
        <v>State PCS</v>
      </c>
      <c r="K1492" s="124"/>
      <c r="L1492" s="124"/>
      <c r="M1492" s="124"/>
      <c r="N1492" s="124"/>
      <c r="O1492" s="124"/>
      <c r="T1492" s="126">
        <f>IFERROR(__xludf.DUMMYFUNCTION("""COMPUTED_VALUE"""),46053.0)</f>
        <v>46053</v>
      </c>
      <c r="U1492" s="124" t="str">
        <f>IFERROR(__xludf.DUMMYFUNCTION("""COMPUTED_VALUE"""),"Telephony")</f>
        <v>Telephony</v>
      </c>
      <c r="V1492" s="124" t="str">
        <f>IFERROR(__xludf.DUMMYFUNCTION("""COMPUTED_VALUE"""),"Inbound Call")</f>
        <v>Inbound Call</v>
      </c>
      <c r="W1492" s="124" t="str">
        <f>IFERROR(__xludf.DUMMYFUNCTION("""COMPUTED_VALUE"""),"Inbound Call")</f>
        <v>Inbound Call</v>
      </c>
      <c r="X1492" s="124" t="str">
        <f>IFERROR(__xludf.DUMMYFUNCTION("""COMPUTED_VALUE"""),"Inbound Call")</f>
        <v>Inbound Call</v>
      </c>
      <c r="Y1492" s="124"/>
      <c r="Z1492" s="124">
        <f>IFERROR(__xludf.DUMMYFUNCTION("""COMPUTED_VALUE"""),1.0)</f>
        <v>1</v>
      </c>
      <c r="AA1492" s="124" t="str">
        <f>IFERROR(__xludf.DUMMYFUNCTION("""COMPUTED_VALUE"""),"Cold")</f>
        <v>Cold</v>
      </c>
      <c r="AB1492" s="124" t="str">
        <f>IFERROR(__xludf.DUMMYFUNCTION("""COMPUTED_VALUE"""),"State PCS")</f>
        <v>State PCS</v>
      </c>
    </row>
    <row r="1493">
      <c r="A1493" s="129">
        <f>IFERROR(__xludf.DUMMYFUNCTION("""COMPUTED_VALUE"""),46063.0)</f>
        <v>46063</v>
      </c>
      <c r="B1493" s="124" t="str">
        <f>IFERROR(__xludf.DUMMYFUNCTION("""COMPUTED_VALUE"""),"Walk-In")</f>
        <v>Walk-In</v>
      </c>
      <c r="C1493" s="124" t="str">
        <f>IFERROR(__xludf.DUMMYFUNCTION("""COMPUTED_VALUE"""),"Patna")</f>
        <v>Patna</v>
      </c>
      <c r="D1493" s="124" t="str">
        <f>IFERROR(__xludf.DUMMYFUNCTION("""COMPUTED_VALUE"""),"Primary_Walkin")</f>
        <v>Primary_Walkin</v>
      </c>
      <c r="E1493" s="124">
        <f>IFERROR(__xludf.DUMMYFUNCTION("""COMPUTED_VALUE"""),1.0)</f>
        <v>1</v>
      </c>
      <c r="F1493" s="124" t="str">
        <f>IFERROR(__xludf.DUMMYFUNCTION("""COMPUTED_VALUE"""),"Warm")</f>
        <v>Warm</v>
      </c>
      <c r="G1493" s="124" t="str">
        <f>IFERROR(__xludf.DUMMYFUNCTION("""COMPUTED_VALUE"""),"GS Foundation")</f>
        <v>GS Foundation</v>
      </c>
      <c r="K1493" s="124"/>
      <c r="L1493" s="124"/>
      <c r="M1493" s="124"/>
      <c r="N1493" s="124"/>
      <c r="O1493" s="124"/>
      <c r="T1493" s="126">
        <f>IFERROR(__xludf.DUMMYFUNCTION("""COMPUTED_VALUE"""),46047.0)</f>
        <v>46047</v>
      </c>
      <c r="U1493" s="124" t="str">
        <f>IFERROR(__xludf.DUMMYFUNCTION("""COMPUTED_VALUE"""),"Telephony")</f>
        <v>Telephony</v>
      </c>
      <c r="V1493" s="124" t="str">
        <f>IFERROR(__xludf.DUMMYFUNCTION("""COMPUTED_VALUE"""),"Inbound Call")</f>
        <v>Inbound Call</v>
      </c>
      <c r="W1493" s="124">
        <f>IFERROR(__xludf.DUMMYFUNCTION("""COMPUTED_VALUE"""),9.18047861663E11)</f>
        <v>918047861663</v>
      </c>
      <c r="X1493" s="124" t="str">
        <f>IFERROR(__xludf.DUMMYFUNCTION("""COMPUTED_VALUE"""),"Inbound Call")</f>
        <v>Inbound Call</v>
      </c>
      <c r="Y1493" s="124"/>
      <c r="Z1493" s="124">
        <f>IFERROR(__xludf.DUMMYFUNCTION("""COMPUTED_VALUE"""),7.0)</f>
        <v>7</v>
      </c>
      <c r="AA1493" s="124" t="str">
        <f>IFERROR(__xludf.DUMMYFUNCTION("""COMPUTED_VALUE"""),"Cold")</f>
        <v>Cold</v>
      </c>
      <c r="AB1493" s="124"/>
    </row>
    <row r="1494">
      <c r="A1494" s="126">
        <f>IFERROR(__xludf.DUMMYFUNCTION("""COMPUTED_VALUE"""),46057.0)</f>
        <v>46057</v>
      </c>
      <c r="B1494" s="124" t="str">
        <f>IFERROR(__xludf.DUMMYFUNCTION("""COMPUTED_VALUE"""),"Walkin")</f>
        <v>Walkin</v>
      </c>
      <c r="C1494" s="124" t="str">
        <f>IFERROR(__xludf.DUMMYFUNCTION("""COMPUTED_VALUE"""),"Patna")</f>
        <v>Patna</v>
      </c>
      <c r="D1494" s="124" t="str">
        <f>IFERROR(__xludf.DUMMYFUNCTION("""COMPUTED_VALUE"""),"Primary_Walkin")</f>
        <v>Primary_Walkin</v>
      </c>
      <c r="E1494" s="124">
        <f>IFERROR(__xludf.DUMMYFUNCTION("""COMPUTED_VALUE"""),1.0)</f>
        <v>1</v>
      </c>
      <c r="F1494" s="124" t="str">
        <f>IFERROR(__xludf.DUMMYFUNCTION("""COMPUTED_VALUE"""),"Enrolled")</f>
        <v>Enrolled</v>
      </c>
      <c r="G1494" s="124" t="str">
        <f>IFERROR(__xludf.DUMMYFUNCTION("""COMPUTED_VALUE"""),"State PCS")</f>
        <v>State PCS</v>
      </c>
      <c r="K1494" s="124"/>
      <c r="L1494" s="124"/>
      <c r="M1494" s="124"/>
      <c r="N1494" s="124"/>
      <c r="O1494" s="124"/>
      <c r="T1494" s="129">
        <f>IFERROR(__xludf.DUMMYFUNCTION("""COMPUTED_VALUE"""),46051.0)</f>
        <v>46051</v>
      </c>
      <c r="U1494" s="124" t="str">
        <f>IFERROR(__xludf.DUMMYFUNCTION("""COMPUTED_VALUE"""),"Telephony")</f>
        <v>Telephony</v>
      </c>
      <c r="V1494" s="124" t="str">
        <f>IFERROR(__xludf.DUMMYFUNCTION("""COMPUTED_VALUE"""),"Inbound Call")</f>
        <v>Inbound Call</v>
      </c>
      <c r="W1494" s="124">
        <f>IFERROR(__xludf.DUMMYFUNCTION("""COMPUTED_VALUE"""),9.18047861634E11)</f>
        <v>918047861634</v>
      </c>
      <c r="X1494" s="124" t="str">
        <f>IFERROR(__xludf.DUMMYFUNCTION("""COMPUTED_VALUE"""),"Inbound Call")</f>
        <v>Inbound Call</v>
      </c>
      <c r="Y1494" s="124" t="str">
        <f>IFERROR(__xludf.DUMMYFUNCTION("""COMPUTED_VALUE"""),"Lucknow")</f>
        <v>Lucknow</v>
      </c>
      <c r="Z1494" s="124">
        <f>IFERROR(__xludf.DUMMYFUNCTION("""COMPUTED_VALUE"""),1.0)</f>
        <v>1</v>
      </c>
      <c r="AA1494" s="124" t="str">
        <f>IFERROR(__xludf.DUMMYFUNCTION("""COMPUTED_VALUE"""),"Warm")</f>
        <v>Warm</v>
      </c>
      <c r="AB1494" s="124" t="str">
        <f>IFERROR(__xludf.DUMMYFUNCTION("""COMPUTED_VALUE"""),"State PCS")</f>
        <v>State PCS</v>
      </c>
    </row>
    <row r="1495">
      <c r="A1495" s="129">
        <f>IFERROR(__xludf.DUMMYFUNCTION("""COMPUTED_VALUE"""),46100.0)</f>
        <v>46100</v>
      </c>
      <c r="B1495" s="124" t="str">
        <f>IFERROR(__xludf.DUMMYFUNCTION("""COMPUTED_VALUE"""),"Walkin")</f>
        <v>Walkin</v>
      </c>
      <c r="C1495" s="124" t="str">
        <f>IFERROR(__xludf.DUMMYFUNCTION("""COMPUTED_VALUE"""),"Patna")</f>
        <v>Patna</v>
      </c>
      <c r="D1495" s="124" t="str">
        <f>IFERROR(__xludf.DUMMYFUNCTION("""COMPUTED_VALUE"""),"Primary_Walkin")</f>
        <v>Primary_Walkin</v>
      </c>
      <c r="E1495" s="124">
        <f>IFERROR(__xludf.DUMMYFUNCTION("""COMPUTED_VALUE"""),1.0)</f>
        <v>1</v>
      </c>
      <c r="F1495" s="124" t="str">
        <f>IFERROR(__xludf.DUMMYFUNCTION("""COMPUTED_VALUE"""),"Warm")</f>
        <v>Warm</v>
      </c>
      <c r="G1495" s="124" t="str">
        <f>IFERROR(__xludf.DUMMYFUNCTION("""COMPUTED_VALUE"""),"GS Foundation")</f>
        <v>GS Foundation</v>
      </c>
      <c r="K1495" s="124"/>
      <c r="L1495" s="124"/>
      <c r="M1495" s="124"/>
      <c r="N1495" s="124"/>
      <c r="O1495" s="124"/>
      <c r="T1495" s="126">
        <f>IFERROR(__xludf.DUMMYFUNCTION("""COMPUTED_VALUE"""),46069.0)</f>
        <v>46069</v>
      </c>
      <c r="U1495" s="124" t="str">
        <f>IFERROR(__xludf.DUMMYFUNCTION("""COMPUTED_VALUE"""),"Telephony")</f>
        <v>Telephony</v>
      </c>
      <c r="V1495" s="124" t="str">
        <f>IFERROR(__xludf.DUMMYFUNCTION("""COMPUTED_VALUE"""),"Inbound Call")</f>
        <v>Inbound Call</v>
      </c>
      <c r="W1495" s="124" t="str">
        <f>IFERROR(__xludf.DUMMYFUNCTION("""COMPUTED_VALUE"""),"Inbound Call")</f>
        <v>Inbound Call</v>
      </c>
      <c r="X1495" s="124" t="str">
        <f>IFERROR(__xludf.DUMMYFUNCTION("""COMPUTED_VALUE"""),"Inbound Call")</f>
        <v>Inbound Call</v>
      </c>
      <c r="Y1495" s="124"/>
      <c r="Z1495" s="124">
        <f>IFERROR(__xludf.DUMMYFUNCTION("""COMPUTED_VALUE"""),2.0)</f>
        <v>2</v>
      </c>
      <c r="AA1495" s="124" t="str">
        <f>IFERROR(__xludf.DUMMYFUNCTION("""COMPUTED_VALUE"""),"Cold")</f>
        <v>Cold</v>
      </c>
      <c r="AB1495" s="124"/>
    </row>
    <row r="1496">
      <c r="A1496" s="126">
        <f>IFERROR(__xludf.DUMMYFUNCTION("""COMPUTED_VALUE"""),46053.0)</f>
        <v>46053</v>
      </c>
      <c r="B1496" s="124" t="str">
        <f>IFERROR(__xludf.DUMMYFUNCTION("""COMPUTED_VALUE"""),"events")</f>
        <v>events</v>
      </c>
      <c r="C1496" s="124"/>
      <c r="D1496" s="124" t="str">
        <f>IFERROR(__xludf.DUMMYFUNCTION("""COMPUTED_VALUE"""),"Secondary_Walkin")</f>
        <v>Secondary_Walkin</v>
      </c>
      <c r="E1496" s="124">
        <f>IFERROR(__xludf.DUMMYFUNCTION("""COMPUTED_VALUE"""),1.0)</f>
        <v>1</v>
      </c>
      <c r="F1496" s="124" t="str">
        <f>IFERROR(__xludf.DUMMYFUNCTION("""COMPUTED_VALUE"""),"Enrolled")</f>
        <v>Enrolled</v>
      </c>
      <c r="G1496" s="124" t="str">
        <f>IFERROR(__xludf.DUMMYFUNCTION("""COMPUTED_VALUE"""),"GS Foundation")</f>
        <v>GS Foundation</v>
      </c>
      <c r="K1496" s="124"/>
      <c r="L1496" s="124"/>
      <c r="M1496" s="124"/>
      <c r="N1496" s="124"/>
      <c r="O1496" s="124"/>
      <c r="T1496" s="126">
        <f>IFERROR(__xludf.DUMMYFUNCTION("""COMPUTED_VALUE"""),46049.0)</f>
        <v>46049</v>
      </c>
      <c r="U1496" s="124" t="str">
        <f>IFERROR(__xludf.DUMMYFUNCTION("""COMPUTED_VALUE"""),"Telephony")</f>
        <v>Telephony</v>
      </c>
      <c r="V1496" s="124" t="str">
        <f>IFERROR(__xludf.DUMMYFUNCTION("""COMPUTED_VALUE"""),"Inbound Call")</f>
        <v>Inbound Call</v>
      </c>
      <c r="W1496" s="124">
        <f>IFERROR(__xludf.DUMMYFUNCTION("""COMPUTED_VALUE"""),9.18047861663E11)</f>
        <v>918047861663</v>
      </c>
      <c r="X1496" s="124" t="str">
        <f>IFERROR(__xludf.DUMMYFUNCTION("""COMPUTED_VALUE"""),"Inbound Call")</f>
        <v>Inbound Call</v>
      </c>
      <c r="Y1496" s="124" t="str">
        <f>IFERROR(__xludf.DUMMYFUNCTION("""COMPUTED_VALUE"""),"Delhi")</f>
        <v>Delhi</v>
      </c>
      <c r="Z1496" s="124">
        <f>IFERROR(__xludf.DUMMYFUNCTION("""COMPUTED_VALUE"""),1.0)</f>
        <v>1</v>
      </c>
      <c r="AA1496" s="124" t="str">
        <f>IFERROR(__xludf.DUMMYFUNCTION("""COMPUTED_VALUE"""),"Cold")</f>
        <v>Cold</v>
      </c>
      <c r="AB1496" s="124" t="str">
        <f>IFERROR(__xludf.DUMMYFUNCTION("""COMPUTED_VALUE"""),"GS Foundation")</f>
        <v>GS Foundation</v>
      </c>
    </row>
    <row r="1497">
      <c r="A1497" s="126">
        <f>IFERROR(__xludf.DUMMYFUNCTION("""COMPUTED_VALUE"""),46095.0)</f>
        <v>46095</v>
      </c>
      <c r="B1497" s="124" t="str">
        <f>IFERROR(__xludf.DUMMYFUNCTION("""COMPUTED_VALUE"""),"walk-in")</f>
        <v>walk-in</v>
      </c>
      <c r="C1497" s="124"/>
      <c r="D1497" s="124" t="str">
        <f>IFERROR(__xludf.DUMMYFUNCTION("""COMPUTED_VALUE"""),"Primary_Walkin")</f>
        <v>Primary_Walkin</v>
      </c>
      <c r="E1497" s="124">
        <f>IFERROR(__xludf.DUMMYFUNCTION("""COMPUTED_VALUE"""),1.0)</f>
        <v>1</v>
      </c>
      <c r="F1497" s="124" t="str">
        <f>IFERROR(__xludf.DUMMYFUNCTION("""COMPUTED_VALUE"""),"Future Prospects")</f>
        <v>Future Prospects</v>
      </c>
      <c r="G1497" s="124" t="str">
        <f>IFERROR(__xludf.DUMMYFUNCTION("""COMPUTED_VALUE"""),"State PCS")</f>
        <v>State PCS</v>
      </c>
      <c r="K1497" s="124"/>
      <c r="L1497" s="124"/>
      <c r="M1497" s="124"/>
      <c r="N1497" s="124"/>
      <c r="O1497" s="124"/>
      <c r="T1497" s="129">
        <f>IFERROR(__xludf.DUMMYFUNCTION("""COMPUTED_VALUE"""),46088.0)</f>
        <v>46088</v>
      </c>
      <c r="U1497" s="124" t="str">
        <f>IFERROR(__xludf.DUMMYFUNCTION("""COMPUTED_VALUE"""),"Telephony")</f>
        <v>Telephony</v>
      </c>
      <c r="V1497" s="124" t="str">
        <f>IFERROR(__xludf.DUMMYFUNCTION("""COMPUTED_VALUE"""),"Inbound Call")</f>
        <v>Inbound Call</v>
      </c>
      <c r="W1497" s="124">
        <f>IFERROR(__xludf.DUMMYFUNCTION("""COMPUTED_VALUE"""),9.18047861663E11)</f>
        <v>918047861663</v>
      </c>
      <c r="X1497" s="124" t="str">
        <f>IFERROR(__xludf.DUMMYFUNCTION("""COMPUTED_VALUE"""),"Inbound Call")</f>
        <v>Inbound Call</v>
      </c>
      <c r="Y1497" s="124" t="str">
        <f>IFERROR(__xludf.DUMMYFUNCTION("""COMPUTED_VALUE"""),"Delhi")</f>
        <v>Delhi</v>
      </c>
      <c r="Z1497" s="124">
        <f>IFERROR(__xludf.DUMMYFUNCTION("""COMPUTED_VALUE"""),3.0)</f>
        <v>3</v>
      </c>
      <c r="AA1497" s="124" t="str">
        <f>IFERROR(__xludf.DUMMYFUNCTION("""COMPUTED_VALUE"""),"Not Interested")</f>
        <v>Not Interested</v>
      </c>
      <c r="AB1497" s="124"/>
    </row>
    <row r="1498">
      <c r="A1498" s="129">
        <f>IFERROR(__xludf.DUMMYFUNCTION("""COMPUTED_VALUE"""),46106.0)</f>
        <v>46106</v>
      </c>
      <c r="B1498" s="124" t="str">
        <f>IFERROR(__xludf.DUMMYFUNCTION("""COMPUTED_VALUE"""),"External Leads")</f>
        <v>External Leads</v>
      </c>
      <c r="C1498" s="124"/>
      <c r="D1498" s="124" t="str">
        <f>IFERROR(__xludf.DUMMYFUNCTION("""COMPUTED_VALUE"""),"Secondary_Walkin")</f>
        <v>Secondary_Walkin</v>
      </c>
      <c r="E1498" s="124">
        <f>IFERROR(__xludf.DUMMYFUNCTION("""COMPUTED_VALUE"""),1.0)</f>
        <v>1</v>
      </c>
      <c r="F1498" s="124" t="str">
        <f>IFERROR(__xludf.DUMMYFUNCTION("""COMPUTED_VALUE"""),"Fake Lead")</f>
        <v>Fake Lead</v>
      </c>
      <c r="G1498" s="124" t="str">
        <f>IFERROR(__xludf.DUMMYFUNCTION("""COMPUTED_VALUE"""),"Other")</f>
        <v>Other</v>
      </c>
      <c r="K1498" s="124"/>
      <c r="L1498" s="124"/>
      <c r="M1498" s="124"/>
      <c r="N1498" s="124"/>
      <c r="O1498" s="124"/>
      <c r="T1498" s="129">
        <f>IFERROR(__xludf.DUMMYFUNCTION("""COMPUTED_VALUE"""),46111.0)</f>
        <v>46111</v>
      </c>
      <c r="U1498" s="124" t="str">
        <f>IFERROR(__xludf.DUMMYFUNCTION("""COMPUTED_VALUE"""),"Paid Ads")</f>
        <v>Paid Ads</v>
      </c>
      <c r="V1498" s="124" t="str">
        <f>IFERROR(__xludf.DUMMYFUNCTION("""COMPUTED_VALUE"""),"Facebook")</f>
        <v>Facebook</v>
      </c>
      <c r="W1498" s="124" t="str">
        <f>IFERROR(__xludf.DUMMYFUNCTION("""COMPUTED_VALUE"""),"LeadAd")</f>
        <v>LeadAd</v>
      </c>
      <c r="X1498" s="124" t="str">
        <f>IFERROR(__xludf.DUMMYFUNCTION("""COMPUTED_VALUE"""),"Upsc_Offline_925_Creative_Lead_FB")</f>
        <v>Upsc_Offline_925_Creative_Lead_FB</v>
      </c>
      <c r="Y1498" s="124" t="str">
        <f>IFERROR(__xludf.DUMMYFUNCTION("""COMPUTED_VALUE"""),"Delhi")</f>
        <v>Delhi</v>
      </c>
      <c r="Z1498" s="124">
        <f>IFERROR(__xludf.DUMMYFUNCTION("""COMPUTED_VALUE"""),13.0)</f>
        <v>13</v>
      </c>
      <c r="AA1498" s="124"/>
      <c r="AB1498" s="124"/>
    </row>
    <row r="1499">
      <c r="A1499" s="129">
        <f>IFERROR(__xludf.DUMMYFUNCTION("""COMPUTED_VALUE"""),46089.0)</f>
        <v>46089</v>
      </c>
      <c r="B1499" s="124" t="str">
        <f>IFERROR(__xludf.DUMMYFUNCTION("""COMPUTED_VALUE"""),"Walkin")</f>
        <v>Walkin</v>
      </c>
      <c r="C1499" s="124" t="str">
        <f>IFERROR(__xludf.DUMMYFUNCTION("""COMPUTED_VALUE"""),"Prayagraj")</f>
        <v>Prayagraj</v>
      </c>
      <c r="D1499" s="124" t="str">
        <f>IFERROR(__xludf.DUMMYFUNCTION("""COMPUTED_VALUE"""),"Primary_Walkin")</f>
        <v>Primary_Walkin</v>
      </c>
      <c r="E1499" s="124">
        <f>IFERROR(__xludf.DUMMYFUNCTION("""COMPUTED_VALUE"""),1.0)</f>
        <v>1</v>
      </c>
      <c r="F1499" s="124" t="str">
        <f>IFERROR(__xludf.DUMMYFUNCTION("""COMPUTED_VALUE"""),"Warm")</f>
        <v>Warm</v>
      </c>
      <c r="G1499" s="124" t="str">
        <f>IFERROR(__xludf.DUMMYFUNCTION("""COMPUTED_VALUE"""),"GS Foundation")</f>
        <v>GS Foundation</v>
      </c>
      <c r="K1499" s="124"/>
      <c r="L1499" s="124"/>
      <c r="M1499" s="124"/>
      <c r="N1499" s="124"/>
      <c r="O1499" s="124"/>
      <c r="T1499" s="126">
        <f>IFERROR(__xludf.DUMMYFUNCTION("""COMPUTED_VALUE"""),46087.0)</f>
        <v>46087</v>
      </c>
      <c r="U1499" s="124" t="str">
        <f>IFERROR(__xludf.DUMMYFUNCTION("""COMPUTED_VALUE"""),"External Leads")</f>
        <v>External Leads</v>
      </c>
      <c r="V1499" s="124" t="str">
        <f>IFERROR(__xludf.DUMMYFUNCTION("""COMPUTED_VALUE"""),"external leads")</f>
        <v>external leads</v>
      </c>
      <c r="W1499" s="124" t="str">
        <f>IFERROR(__xludf.DUMMYFUNCTION("""COMPUTED_VALUE"""),"indore")</f>
        <v>indore</v>
      </c>
      <c r="X1499" s="124" t="str">
        <f>IFERROR(__xludf.DUMMYFUNCTION("""COMPUTED_VALUE"""),"vaishnavcollege")</f>
        <v>vaishnavcollege</v>
      </c>
      <c r="Y1499" s="124" t="str">
        <f>IFERROR(__xludf.DUMMYFUNCTION("""COMPUTED_VALUE"""),"Indore")</f>
        <v>Indore</v>
      </c>
      <c r="Z1499" s="124">
        <f>IFERROR(__xludf.DUMMYFUNCTION("""COMPUTED_VALUE"""),2.0)</f>
        <v>2</v>
      </c>
      <c r="AA1499" s="124" t="str">
        <f>IFERROR(__xludf.DUMMYFUNCTION("""COMPUTED_VALUE"""),"Future Prospects")</f>
        <v>Future Prospects</v>
      </c>
      <c r="AB1499" s="124"/>
    </row>
    <row r="1500">
      <c r="A1500" s="129">
        <f>IFERROR(__xludf.DUMMYFUNCTION("""COMPUTED_VALUE"""),46104.0)</f>
        <v>46104</v>
      </c>
      <c r="B1500" s="124" t="str">
        <f>IFERROR(__xludf.DUMMYFUNCTION("""COMPUTED_VALUE"""),"Walk-In")</f>
        <v>Walk-In</v>
      </c>
      <c r="C1500" s="124" t="str">
        <f>IFERROR(__xludf.DUMMYFUNCTION("""COMPUTED_VALUE"""),"Prayagraj")</f>
        <v>Prayagraj</v>
      </c>
      <c r="D1500" s="124" t="str">
        <f>IFERROR(__xludf.DUMMYFUNCTION("""COMPUTED_VALUE"""),"Primary_Walkin")</f>
        <v>Primary_Walkin</v>
      </c>
      <c r="E1500" s="124">
        <f>IFERROR(__xludf.DUMMYFUNCTION("""COMPUTED_VALUE"""),1.0)</f>
        <v>1</v>
      </c>
      <c r="F1500" s="124" t="str">
        <f>IFERROR(__xludf.DUMMYFUNCTION("""COMPUTED_VALUE"""),"Warm")</f>
        <v>Warm</v>
      </c>
      <c r="G1500" s="124" t="str">
        <f>IFERROR(__xludf.DUMMYFUNCTION("""COMPUTED_VALUE"""),"Mentorship")</f>
        <v>Mentorship</v>
      </c>
      <c r="K1500" s="124"/>
      <c r="L1500" s="124"/>
      <c r="M1500" s="124"/>
      <c r="N1500" s="124"/>
      <c r="O1500" s="124"/>
      <c r="T1500" s="129">
        <f>IFERROR(__xludf.DUMMYFUNCTION("""COMPUTED_VALUE"""),46087.0)</f>
        <v>46087</v>
      </c>
      <c r="U1500" s="124" t="str">
        <f>IFERROR(__xludf.DUMMYFUNCTION("""COMPUTED_VALUE"""),"External Leads")</f>
        <v>External Leads</v>
      </c>
      <c r="V1500" s="124" t="str">
        <f>IFERROR(__xludf.DUMMYFUNCTION("""COMPUTED_VALUE"""),"external leads")</f>
        <v>external leads</v>
      </c>
      <c r="W1500" s="124" t="str">
        <f>IFERROR(__xludf.DUMMYFUNCTION("""COMPUTED_VALUE"""),"indore")</f>
        <v>indore</v>
      </c>
      <c r="X1500" s="124" t="str">
        <f>IFERROR(__xludf.DUMMYFUNCTION("""COMPUTED_VALUE"""),"vaishnavcollege")</f>
        <v>vaishnavcollege</v>
      </c>
      <c r="Y1500" s="124" t="str">
        <f>IFERROR(__xludf.DUMMYFUNCTION("""COMPUTED_VALUE"""),"Indore")</f>
        <v>Indore</v>
      </c>
      <c r="Z1500" s="124">
        <f>IFERROR(__xludf.DUMMYFUNCTION("""COMPUTED_VALUE"""),11.0)</f>
        <v>11</v>
      </c>
      <c r="AA1500" s="124" t="str">
        <f>IFERROR(__xludf.DUMMYFUNCTION("""COMPUTED_VALUE"""),"Not Interested")</f>
        <v>Not Interested</v>
      </c>
      <c r="AB1500" s="124" t="str">
        <f>IFERROR(__xludf.DUMMYFUNCTION("""COMPUTED_VALUE"""),"GS Foundation")</f>
        <v>GS Foundation</v>
      </c>
    </row>
    <row r="1501">
      <c r="A1501" s="129">
        <f>IFERROR(__xludf.DUMMYFUNCTION("""COMPUTED_VALUE"""),46104.0)</f>
        <v>46104</v>
      </c>
      <c r="B1501" s="124" t="str">
        <f>IFERROR(__xludf.DUMMYFUNCTION("""COMPUTED_VALUE"""),"Walkin")</f>
        <v>Walkin</v>
      </c>
      <c r="C1501" s="124" t="str">
        <f>IFERROR(__xludf.DUMMYFUNCTION("""COMPUTED_VALUE"""),"Prayagraj")</f>
        <v>Prayagraj</v>
      </c>
      <c r="D1501" s="124" t="str">
        <f>IFERROR(__xludf.DUMMYFUNCTION("""COMPUTED_VALUE"""),"Primary_Walkin")</f>
        <v>Primary_Walkin</v>
      </c>
      <c r="E1501" s="124">
        <f>IFERROR(__xludf.DUMMYFUNCTION("""COMPUTED_VALUE"""),6.0)</f>
        <v>6</v>
      </c>
      <c r="F1501" s="124" t="str">
        <f>IFERROR(__xludf.DUMMYFUNCTION("""COMPUTED_VALUE"""),"Warm")</f>
        <v>Warm</v>
      </c>
      <c r="G1501" s="124" t="str">
        <f>IFERROR(__xludf.DUMMYFUNCTION("""COMPUTED_VALUE"""),"GS Foundation")</f>
        <v>GS Foundation</v>
      </c>
      <c r="K1501" s="124"/>
      <c r="L1501" s="124"/>
      <c r="M1501" s="124"/>
      <c r="N1501" s="124"/>
      <c r="O1501" s="124"/>
      <c r="T1501" s="129">
        <f>IFERROR(__xludf.DUMMYFUNCTION("""COMPUTED_VALUE"""),46057.0)</f>
        <v>46057</v>
      </c>
      <c r="U1501" s="124" t="str">
        <f>IFERROR(__xludf.DUMMYFUNCTION("""COMPUTED_VALUE"""),"Telephony")</f>
        <v>Telephony</v>
      </c>
      <c r="V1501" s="124" t="str">
        <f>IFERROR(__xludf.DUMMYFUNCTION("""COMPUTED_VALUE"""),"Inbound")</f>
        <v>Inbound</v>
      </c>
      <c r="W1501" s="124" t="str">
        <f>IFERROR(__xludf.DUMMYFUNCTION("""COMPUTED_VALUE"""),"Inbound")</f>
        <v>Inbound</v>
      </c>
      <c r="X1501" s="124" t="str">
        <f>IFERROR(__xludf.DUMMYFUNCTION("""COMPUTED_VALUE"""),"Inbound")</f>
        <v>Inbound</v>
      </c>
      <c r="Y1501" s="124" t="str">
        <f>IFERROR(__xludf.DUMMYFUNCTION("""COMPUTED_VALUE"""),"Delhi")</f>
        <v>Delhi</v>
      </c>
      <c r="Z1501" s="124">
        <f>IFERROR(__xludf.DUMMYFUNCTION("""COMPUTED_VALUE"""),1.0)</f>
        <v>1</v>
      </c>
      <c r="AA1501" s="124" t="str">
        <f>IFERROR(__xludf.DUMMYFUNCTION("""COMPUTED_VALUE"""),"Enrolled")</f>
        <v>Enrolled</v>
      </c>
      <c r="AB1501" s="124" t="str">
        <f>IFERROR(__xludf.DUMMYFUNCTION("""COMPUTED_VALUE"""),"State PCS")</f>
        <v>State PCS</v>
      </c>
    </row>
    <row r="1502">
      <c r="A1502" s="129">
        <f>IFERROR(__xludf.DUMMYFUNCTION("""COMPUTED_VALUE"""),46050.0)</f>
        <v>46050</v>
      </c>
      <c r="B1502" s="124" t="str">
        <f>IFERROR(__xludf.DUMMYFUNCTION("""COMPUTED_VALUE"""),"Walkin")</f>
        <v>Walkin</v>
      </c>
      <c r="C1502" s="124" t="str">
        <f>IFERROR(__xludf.DUMMYFUNCTION("""COMPUTED_VALUE"""),"Prayagraj")</f>
        <v>Prayagraj</v>
      </c>
      <c r="D1502" s="124" t="str">
        <f>IFERROR(__xludf.DUMMYFUNCTION("""COMPUTED_VALUE"""),"Primary_Walkin")</f>
        <v>Primary_Walkin</v>
      </c>
      <c r="E1502" s="124">
        <f>IFERROR(__xludf.DUMMYFUNCTION("""COMPUTED_VALUE"""),1.0)</f>
        <v>1</v>
      </c>
      <c r="F1502" s="124" t="str">
        <f>IFERROR(__xludf.DUMMYFUNCTION("""COMPUTED_VALUE"""),"Warm")</f>
        <v>Warm</v>
      </c>
      <c r="G1502" s="124" t="str">
        <f>IFERROR(__xludf.DUMMYFUNCTION("""COMPUTED_VALUE"""),"GS Foundation")</f>
        <v>GS Foundation</v>
      </c>
      <c r="K1502" s="124"/>
      <c r="L1502" s="124"/>
      <c r="M1502" s="124"/>
      <c r="N1502" s="124"/>
      <c r="O1502" s="124"/>
      <c r="T1502" s="126">
        <f>IFERROR(__xludf.DUMMYFUNCTION("""COMPUTED_VALUE"""),46110.0)</f>
        <v>46110</v>
      </c>
      <c r="U1502" s="124" t="str">
        <f>IFERROR(__xludf.DUMMYFUNCTION("""COMPUTED_VALUE"""),"Paid Ads")</f>
        <v>Paid Ads</v>
      </c>
      <c r="V1502" s="124" t="str">
        <f>IFERROR(__xludf.DUMMYFUNCTION("""COMPUTED_VALUE"""),"Facebook")</f>
        <v>Facebook</v>
      </c>
      <c r="W1502" s="124" t="str">
        <f>IFERROR(__xludf.DUMMYFUNCTION("""COMPUTED_VALUE"""),"LeadAd")</f>
        <v>LeadAd</v>
      </c>
      <c r="X1502" s="124" t="str">
        <f>IFERROR(__xludf.DUMMYFUNCTION("""COMPUTED_VALUE"""),"Upsc_Offline_925_Video_Lead_FB")</f>
        <v>Upsc_Offline_925_Video_Lead_FB</v>
      </c>
      <c r="Y1502" s="124" t="str">
        <f>IFERROR(__xludf.DUMMYFUNCTION("""COMPUTED_VALUE"""),"Delhi")</f>
        <v>Delhi</v>
      </c>
      <c r="Z1502" s="124">
        <f>IFERROR(__xludf.DUMMYFUNCTION("""COMPUTED_VALUE"""),3.0)</f>
        <v>3</v>
      </c>
      <c r="AA1502" s="124" t="str">
        <f>IFERROR(__xludf.DUMMYFUNCTION("""COMPUTED_VALUE"""),"Cold")</f>
        <v>Cold</v>
      </c>
      <c r="AB1502" s="124"/>
    </row>
    <row r="1503">
      <c r="A1503" s="129">
        <f>IFERROR(__xludf.DUMMYFUNCTION("""COMPUTED_VALUE"""),46064.0)</f>
        <v>46064</v>
      </c>
      <c r="B1503" s="124" t="str">
        <f>IFERROR(__xludf.DUMMYFUNCTION("""COMPUTED_VALUE"""),"Walk-In")</f>
        <v>Walk-In</v>
      </c>
      <c r="C1503" s="124" t="str">
        <f>IFERROR(__xludf.DUMMYFUNCTION("""COMPUTED_VALUE"""),"Prayagraj")</f>
        <v>Prayagraj</v>
      </c>
      <c r="D1503" s="124" t="str">
        <f>IFERROR(__xludf.DUMMYFUNCTION("""COMPUTED_VALUE"""),"Primary_Walkin")</f>
        <v>Primary_Walkin</v>
      </c>
      <c r="E1503" s="124">
        <f>IFERROR(__xludf.DUMMYFUNCTION("""COMPUTED_VALUE"""),1.0)</f>
        <v>1</v>
      </c>
      <c r="F1503" s="124" t="str">
        <f>IFERROR(__xludf.DUMMYFUNCTION("""COMPUTED_VALUE"""),"Warm")</f>
        <v>Warm</v>
      </c>
      <c r="G1503" s="124" t="str">
        <f>IFERROR(__xludf.DUMMYFUNCTION("""COMPUTED_VALUE"""),"GS Foundation")</f>
        <v>GS Foundation</v>
      </c>
      <c r="K1503" s="124"/>
      <c r="L1503" s="124"/>
      <c r="M1503" s="124"/>
      <c r="N1503" s="124"/>
      <c r="O1503" s="124"/>
      <c r="T1503" s="129">
        <f>IFERROR(__xludf.DUMMYFUNCTION("""COMPUTED_VALUE"""),46100.0)</f>
        <v>46100</v>
      </c>
      <c r="U1503" s="124" t="str">
        <f>IFERROR(__xludf.DUMMYFUNCTION("""COMPUTED_VALUE"""),"Publisher Campaign")</f>
        <v>Publisher Campaign</v>
      </c>
      <c r="V1503" s="124" t="str">
        <f>IFERROR(__xludf.DUMMYFUNCTION("""COMPUTED_VALUE"""),"Webinar")</f>
        <v>Webinar</v>
      </c>
      <c r="W1503" s="124"/>
      <c r="X1503" s="124"/>
      <c r="Y1503" s="124" t="str">
        <f>IFERROR(__xludf.DUMMYFUNCTION("""COMPUTED_VALUE"""),"Delhi")</f>
        <v>Delhi</v>
      </c>
      <c r="Z1503" s="124">
        <f>IFERROR(__xludf.DUMMYFUNCTION("""COMPUTED_VALUE"""),26.0)</f>
        <v>26</v>
      </c>
      <c r="AA1503" s="124"/>
      <c r="AB1503" s="124" t="str">
        <f>IFERROR(__xludf.DUMMYFUNCTION("""COMPUTED_VALUE"""),"GS Foundation")</f>
        <v>GS Foundation</v>
      </c>
    </row>
    <row r="1504">
      <c r="A1504" s="126">
        <f>IFERROR(__xludf.DUMMYFUNCTION("""COMPUTED_VALUE"""),46105.0)</f>
        <v>46105</v>
      </c>
      <c r="B1504" s="124" t="str">
        <f>IFERROR(__xludf.DUMMYFUNCTION("""COMPUTED_VALUE"""),"Walkin")</f>
        <v>Walkin</v>
      </c>
      <c r="C1504" s="124" t="str">
        <f>IFERROR(__xludf.DUMMYFUNCTION("""COMPUTED_VALUE"""),"Prayagraj")</f>
        <v>Prayagraj</v>
      </c>
      <c r="D1504" s="124" t="str">
        <f>IFERROR(__xludf.DUMMYFUNCTION("""COMPUTED_VALUE"""),"Primary_Walkin")</f>
        <v>Primary_Walkin</v>
      </c>
      <c r="E1504" s="124">
        <f>IFERROR(__xludf.DUMMYFUNCTION("""COMPUTED_VALUE"""),4.0)</f>
        <v>4</v>
      </c>
      <c r="F1504" s="124" t="str">
        <f>IFERROR(__xludf.DUMMYFUNCTION("""COMPUTED_VALUE"""),"Warm")</f>
        <v>Warm</v>
      </c>
      <c r="G1504" s="124" t="str">
        <f>IFERROR(__xludf.DUMMYFUNCTION("""COMPUTED_VALUE"""),"GS Foundation")</f>
        <v>GS Foundation</v>
      </c>
      <c r="K1504" s="124"/>
      <c r="L1504" s="124"/>
      <c r="M1504" s="124"/>
      <c r="N1504" s="124"/>
      <c r="O1504" s="124"/>
      <c r="T1504" s="126">
        <f>IFERROR(__xludf.DUMMYFUNCTION("""COMPUTED_VALUE"""),46051.0)</f>
        <v>46051</v>
      </c>
      <c r="U1504" s="124" t="str">
        <f>IFERROR(__xludf.DUMMYFUNCTION("""COMPUTED_VALUE"""),"External Leads")</f>
        <v>External Leads</v>
      </c>
      <c r="V1504" s="124" t="str">
        <f>IFERROR(__xludf.DUMMYFUNCTION("""COMPUTED_VALUE"""),"external leads")</f>
        <v>external leads</v>
      </c>
      <c r="W1504" s="124"/>
      <c r="X1504" s="124"/>
      <c r="Y1504" s="124"/>
      <c r="Z1504" s="124">
        <f>IFERROR(__xludf.DUMMYFUNCTION("""COMPUTED_VALUE"""),8.0)</f>
        <v>8</v>
      </c>
      <c r="AA1504" s="124" t="str">
        <f>IFERROR(__xludf.DUMMYFUNCTION("""COMPUTED_VALUE"""),"Engaged")</f>
        <v>Engaged</v>
      </c>
      <c r="AB1504" s="124"/>
    </row>
    <row r="1505">
      <c r="A1505" s="126">
        <f>IFERROR(__xludf.DUMMYFUNCTION("""COMPUTED_VALUE"""),46106.0)</f>
        <v>46106</v>
      </c>
      <c r="B1505" s="124" t="str">
        <f>IFERROR(__xludf.DUMMYFUNCTION("""COMPUTED_VALUE"""),"Walkin")</f>
        <v>Walkin</v>
      </c>
      <c r="C1505" s="124" t="str">
        <f>IFERROR(__xludf.DUMMYFUNCTION("""COMPUTED_VALUE"""),"Prayagraj")</f>
        <v>Prayagraj</v>
      </c>
      <c r="D1505" s="124" t="str">
        <f>IFERROR(__xludf.DUMMYFUNCTION("""COMPUTED_VALUE"""),"Primary_Walkin")</f>
        <v>Primary_Walkin</v>
      </c>
      <c r="E1505" s="124">
        <f>IFERROR(__xludf.DUMMYFUNCTION("""COMPUTED_VALUE"""),1.0)</f>
        <v>1</v>
      </c>
      <c r="F1505" s="124" t="str">
        <f>IFERROR(__xludf.DUMMYFUNCTION("""COMPUTED_VALUE"""),"Future Prospects")</f>
        <v>Future Prospects</v>
      </c>
      <c r="G1505" s="124" t="str">
        <f>IFERROR(__xludf.DUMMYFUNCTION("""COMPUTED_VALUE"""),"Mentorship")</f>
        <v>Mentorship</v>
      </c>
      <c r="K1505" s="124"/>
      <c r="L1505" s="124"/>
      <c r="M1505" s="124"/>
      <c r="N1505" s="124"/>
      <c r="O1505" s="124"/>
      <c r="T1505" s="129">
        <f>IFERROR(__xludf.DUMMYFUNCTION("""COMPUTED_VALUE"""),46046.0)</f>
        <v>46046</v>
      </c>
      <c r="U1505" s="124" t="str">
        <f>IFERROR(__xludf.DUMMYFUNCTION("""COMPUTED_VALUE"""),"External Leads")</f>
        <v>External Leads</v>
      </c>
      <c r="V1505" s="124" t="str">
        <f>IFERROR(__xludf.DUMMYFUNCTION("""COMPUTED_VALUE"""),"external leads")</f>
        <v>external leads</v>
      </c>
      <c r="W1505" s="124"/>
      <c r="X1505" s="124"/>
      <c r="Y1505" s="124" t="str">
        <f>IFERROR(__xludf.DUMMYFUNCTION("""COMPUTED_VALUE"""),"Delhi")</f>
        <v>Delhi</v>
      </c>
      <c r="Z1505" s="124">
        <f>IFERROR(__xludf.DUMMYFUNCTION("""COMPUTED_VALUE"""),1.0)</f>
        <v>1</v>
      </c>
      <c r="AA1505" s="124" t="str">
        <f>IFERROR(__xludf.DUMMYFUNCTION("""COMPUTED_VALUE"""),"Cold")</f>
        <v>Cold</v>
      </c>
      <c r="AB1505" s="124" t="str">
        <f>IFERROR(__xludf.DUMMYFUNCTION("""COMPUTED_VALUE"""),"CSAT")</f>
        <v>CSAT</v>
      </c>
    </row>
    <row r="1506">
      <c r="A1506" s="126">
        <f>IFERROR(__xludf.DUMMYFUNCTION("""COMPUTED_VALUE"""),46104.0)</f>
        <v>46104</v>
      </c>
      <c r="B1506" s="124" t="str">
        <f>IFERROR(__xludf.DUMMYFUNCTION("""COMPUTED_VALUE"""),"Walkin")</f>
        <v>Walkin</v>
      </c>
      <c r="C1506" s="124" t="str">
        <f>IFERROR(__xludf.DUMMYFUNCTION("""COMPUTED_VALUE"""),"Prayagraj")</f>
        <v>Prayagraj</v>
      </c>
      <c r="D1506" s="124" t="str">
        <f>IFERROR(__xludf.DUMMYFUNCTION("""COMPUTED_VALUE"""),"Primary_Walkin")</f>
        <v>Primary_Walkin</v>
      </c>
      <c r="E1506" s="124">
        <f>IFERROR(__xludf.DUMMYFUNCTION("""COMPUTED_VALUE"""),2.0)</f>
        <v>2</v>
      </c>
      <c r="F1506" s="124" t="str">
        <f>IFERROR(__xludf.DUMMYFUNCTION("""COMPUTED_VALUE"""),"Future Prospects")</f>
        <v>Future Prospects</v>
      </c>
      <c r="G1506" s="124" t="str">
        <f>IFERROR(__xludf.DUMMYFUNCTION("""COMPUTED_VALUE"""),"GS Foundation")</f>
        <v>GS Foundation</v>
      </c>
      <c r="K1506" s="124"/>
      <c r="L1506" s="124"/>
      <c r="M1506" s="124"/>
      <c r="N1506" s="124"/>
      <c r="O1506" s="124"/>
      <c r="T1506" s="126">
        <f>IFERROR(__xludf.DUMMYFUNCTION("""COMPUTED_VALUE"""),46079.0)</f>
        <v>46079</v>
      </c>
      <c r="U1506" s="124" t="str">
        <f>IFERROR(__xludf.DUMMYFUNCTION("""COMPUTED_VALUE"""),"Publisher Campaign")</f>
        <v>Publisher Campaign</v>
      </c>
      <c r="V1506" s="124" t="str">
        <f>IFERROR(__xludf.DUMMYFUNCTION("""COMPUTED_VALUE"""),"Webinar")</f>
        <v>Webinar</v>
      </c>
      <c r="W1506" s="124"/>
      <c r="X1506" s="124"/>
      <c r="Y1506" s="124" t="str">
        <f>IFERROR(__xludf.DUMMYFUNCTION("""COMPUTED_VALUE"""),"Guwahati")</f>
        <v>Guwahati</v>
      </c>
      <c r="Z1506" s="124">
        <f>IFERROR(__xludf.DUMMYFUNCTION("""COMPUTED_VALUE"""),1.0)</f>
        <v>1</v>
      </c>
      <c r="AA1506" s="124"/>
      <c r="AB1506" s="124" t="str">
        <f>IFERROR(__xludf.DUMMYFUNCTION("""COMPUTED_VALUE"""),"Test Series")</f>
        <v>Test Series</v>
      </c>
    </row>
    <row r="1507">
      <c r="A1507" s="126">
        <f>IFERROR(__xludf.DUMMYFUNCTION("""COMPUTED_VALUE"""),46048.0)</f>
        <v>46048</v>
      </c>
      <c r="B1507" s="124" t="str">
        <f>IFERROR(__xludf.DUMMYFUNCTION("""COMPUTED_VALUE"""),"Walk-In")</f>
        <v>Walk-In</v>
      </c>
      <c r="C1507" s="124" t="str">
        <f>IFERROR(__xludf.DUMMYFUNCTION("""COMPUTED_VALUE"""),"Prayagraj")</f>
        <v>Prayagraj</v>
      </c>
      <c r="D1507" s="124" t="str">
        <f>IFERROR(__xludf.DUMMYFUNCTION("""COMPUTED_VALUE"""),"Primary_Walkin")</f>
        <v>Primary_Walkin</v>
      </c>
      <c r="E1507" s="124">
        <f>IFERROR(__xludf.DUMMYFUNCTION("""COMPUTED_VALUE"""),2.0)</f>
        <v>2</v>
      </c>
      <c r="F1507" s="124" t="str">
        <f>IFERROR(__xludf.DUMMYFUNCTION("""COMPUTED_VALUE"""),"Cold")</f>
        <v>Cold</v>
      </c>
      <c r="G1507" s="124" t="str">
        <f>IFERROR(__xludf.DUMMYFUNCTION("""COMPUTED_VALUE"""),"Other")</f>
        <v>Other</v>
      </c>
      <c r="K1507" s="124"/>
      <c r="L1507" s="124"/>
      <c r="M1507" s="124"/>
      <c r="N1507" s="124"/>
      <c r="O1507" s="124"/>
      <c r="T1507" s="126">
        <f>IFERROR(__xludf.DUMMYFUNCTION("""COMPUTED_VALUE"""),46046.0)</f>
        <v>46046</v>
      </c>
      <c r="U1507" s="124" t="str">
        <f>IFERROR(__xludf.DUMMYFUNCTION("""COMPUTED_VALUE"""),"Walk-Ins")</f>
        <v>Walk-Ins</v>
      </c>
      <c r="V1507" s="124" t="str">
        <f>IFERROR(__xludf.DUMMYFUNCTION("""COMPUTED_VALUE"""),"Walkin")</f>
        <v>Walkin</v>
      </c>
      <c r="W1507" s="124"/>
      <c r="X1507" s="124"/>
      <c r="Y1507" s="124" t="str">
        <f>IFERROR(__xludf.DUMMYFUNCTION("""COMPUTED_VALUE"""),"Delhi")</f>
        <v>Delhi</v>
      </c>
      <c r="Z1507" s="124">
        <f>IFERROR(__xludf.DUMMYFUNCTION("""COMPUTED_VALUE"""),1.0)</f>
        <v>1</v>
      </c>
      <c r="AA1507" s="124" t="str">
        <f>IFERROR(__xludf.DUMMYFUNCTION("""COMPUTED_VALUE"""),"Enrolled")</f>
        <v>Enrolled</v>
      </c>
      <c r="AB1507" s="124" t="str">
        <f>IFERROR(__xludf.DUMMYFUNCTION("""COMPUTED_VALUE"""),"GS Foundation")</f>
        <v>GS Foundation</v>
      </c>
    </row>
    <row r="1508">
      <c r="A1508" s="126">
        <f>IFERROR(__xludf.DUMMYFUNCTION("""COMPUTED_VALUE"""),46109.0)</f>
        <v>46109</v>
      </c>
      <c r="B1508" s="124" t="str">
        <f>IFERROR(__xludf.DUMMYFUNCTION("""COMPUTED_VALUE"""),"Walkin")</f>
        <v>Walkin</v>
      </c>
      <c r="C1508" s="124" t="str">
        <f>IFERROR(__xludf.DUMMYFUNCTION("""COMPUTED_VALUE"""),"Prayagraj")</f>
        <v>Prayagraj</v>
      </c>
      <c r="D1508" s="124" t="str">
        <f>IFERROR(__xludf.DUMMYFUNCTION("""COMPUTED_VALUE"""),"Primary_Walkin")</f>
        <v>Primary_Walkin</v>
      </c>
      <c r="E1508" s="124">
        <f>IFERROR(__xludf.DUMMYFUNCTION("""COMPUTED_VALUE"""),3.0)</f>
        <v>3</v>
      </c>
      <c r="F1508" s="124" t="str">
        <f>IFERROR(__xludf.DUMMYFUNCTION("""COMPUTED_VALUE"""),"Warm")</f>
        <v>Warm</v>
      </c>
      <c r="G1508" s="124" t="str">
        <f>IFERROR(__xludf.DUMMYFUNCTION("""COMPUTED_VALUE"""),"GS Foundation")</f>
        <v>GS Foundation</v>
      </c>
      <c r="K1508" s="124"/>
      <c r="L1508" s="124"/>
      <c r="M1508" s="124"/>
      <c r="N1508" s="124"/>
      <c r="O1508" s="124"/>
      <c r="T1508" s="126">
        <f>IFERROR(__xludf.DUMMYFUNCTION("""COMPUTED_VALUE"""),46079.0)</f>
        <v>46079</v>
      </c>
      <c r="U1508" s="124" t="str">
        <f>IFERROR(__xludf.DUMMYFUNCTION("""COMPUTED_VALUE"""),"Publisher Campaign")</f>
        <v>Publisher Campaign</v>
      </c>
      <c r="V1508" s="124" t="str">
        <f>IFERROR(__xludf.DUMMYFUNCTION("""COMPUTED_VALUE"""),"Webinar")</f>
        <v>Webinar</v>
      </c>
      <c r="W1508" s="124"/>
      <c r="X1508" s="124"/>
      <c r="Y1508" s="124" t="str">
        <f>IFERROR(__xludf.DUMMYFUNCTION("""COMPUTED_VALUE"""),"Delhi")</f>
        <v>Delhi</v>
      </c>
      <c r="Z1508" s="124">
        <f>IFERROR(__xludf.DUMMYFUNCTION("""COMPUTED_VALUE"""),2.0)</f>
        <v>2</v>
      </c>
      <c r="AA1508" s="124" t="str">
        <f>IFERROR(__xludf.DUMMYFUNCTION("""COMPUTED_VALUE"""),"Warm")</f>
        <v>Warm</v>
      </c>
      <c r="AB1508" s="124" t="str">
        <f>IFERROR(__xludf.DUMMYFUNCTION("""COMPUTED_VALUE"""),"Hybrid")</f>
        <v>Hybrid</v>
      </c>
    </row>
    <row r="1509">
      <c r="A1509" s="129">
        <f>IFERROR(__xludf.DUMMYFUNCTION("""COMPUTED_VALUE"""),46047.0)</f>
        <v>46047</v>
      </c>
      <c r="B1509" s="124" t="str">
        <f>IFERROR(__xludf.DUMMYFUNCTION("""COMPUTED_VALUE"""),"Walkin")</f>
        <v>Walkin</v>
      </c>
      <c r="C1509" s="124" t="str">
        <f>IFERROR(__xludf.DUMMYFUNCTION("""COMPUTED_VALUE"""),"Prayagraj")</f>
        <v>Prayagraj</v>
      </c>
      <c r="D1509" s="124" t="str">
        <f>IFERROR(__xludf.DUMMYFUNCTION("""COMPUTED_VALUE"""),"Primary_Walkin")</f>
        <v>Primary_Walkin</v>
      </c>
      <c r="E1509" s="124">
        <f>IFERROR(__xludf.DUMMYFUNCTION("""COMPUTED_VALUE"""),4.0)</f>
        <v>4</v>
      </c>
      <c r="F1509" s="124" t="str">
        <f>IFERROR(__xludf.DUMMYFUNCTION("""COMPUTED_VALUE"""),"Cold")</f>
        <v>Cold</v>
      </c>
      <c r="G1509" s="124" t="str">
        <f>IFERROR(__xludf.DUMMYFUNCTION("""COMPUTED_VALUE"""),"GS Foundation")</f>
        <v>GS Foundation</v>
      </c>
      <c r="K1509" s="124"/>
      <c r="L1509" s="124"/>
      <c r="M1509" s="124"/>
      <c r="N1509" s="124"/>
      <c r="O1509" s="124"/>
      <c r="T1509" s="129">
        <f>IFERROR(__xludf.DUMMYFUNCTION("""COMPUTED_VALUE"""),46067.0)</f>
        <v>46067</v>
      </c>
      <c r="U1509" s="124" t="str">
        <f>IFERROR(__xludf.DUMMYFUNCTION("""COMPUTED_VALUE"""),"Paid Ads")</f>
        <v>Paid Ads</v>
      </c>
      <c r="V1509" s="124" t="str">
        <f>IFERROR(__xludf.DUMMYFUNCTION("""COMPUTED_VALUE"""),"google")</f>
        <v>google</v>
      </c>
      <c r="W1509" s="124" t="str">
        <f>IFERROR(__xludf.DUMMYFUNCTION("""COMPUTED_VALUE"""),"cpc")</f>
        <v>cpc</v>
      </c>
      <c r="X1509" s="124">
        <f>IFERROR(__xludf.DUMMYFUNCTION("""COMPUTED_VALUE"""),2.288825581E10)</f>
        <v>22888255810</v>
      </c>
      <c r="Y1509" s="124" t="str">
        <f>IFERROR(__xludf.DUMMYFUNCTION("""COMPUTED_VALUE"""),"Indore")</f>
        <v>Indore</v>
      </c>
      <c r="Z1509" s="124">
        <f>IFERROR(__xludf.DUMMYFUNCTION("""COMPUTED_VALUE"""),1.0)</f>
        <v>1</v>
      </c>
      <c r="AA1509" s="124" t="str">
        <f>IFERROR(__xludf.DUMMYFUNCTION("""COMPUTED_VALUE"""),"Not Interested")</f>
        <v>Not Interested</v>
      </c>
      <c r="AB1509" s="124" t="str">
        <f>IFERROR(__xludf.DUMMYFUNCTION("""COMPUTED_VALUE"""),"GS Foundation")</f>
        <v>GS Foundation</v>
      </c>
    </row>
    <row r="1510">
      <c r="A1510" s="126">
        <f>IFERROR(__xludf.DUMMYFUNCTION("""COMPUTED_VALUE"""),46092.0)</f>
        <v>46092</v>
      </c>
      <c r="B1510" s="124" t="str">
        <f>IFERROR(__xludf.DUMMYFUNCTION("""COMPUTED_VALUE"""),"Walkin")</f>
        <v>Walkin</v>
      </c>
      <c r="C1510" s="124" t="str">
        <f>IFERROR(__xludf.DUMMYFUNCTION("""COMPUTED_VALUE"""),"Prayagraj")</f>
        <v>Prayagraj</v>
      </c>
      <c r="D1510" s="124" t="str">
        <f>IFERROR(__xludf.DUMMYFUNCTION("""COMPUTED_VALUE"""),"Primary_Walkin")</f>
        <v>Primary_Walkin</v>
      </c>
      <c r="E1510" s="124">
        <f>IFERROR(__xludf.DUMMYFUNCTION("""COMPUTED_VALUE"""),1.0)</f>
        <v>1</v>
      </c>
      <c r="F1510" s="124" t="str">
        <f>IFERROR(__xludf.DUMMYFUNCTION("""COMPUTED_VALUE"""),"Not Interested")</f>
        <v>Not Interested</v>
      </c>
      <c r="G1510" s="124" t="str">
        <f>IFERROR(__xludf.DUMMYFUNCTION("""COMPUTED_VALUE"""),"GS Foundation")</f>
        <v>GS Foundation</v>
      </c>
      <c r="K1510" s="124"/>
      <c r="L1510" s="124"/>
      <c r="M1510" s="124"/>
      <c r="N1510" s="124"/>
      <c r="O1510" s="124"/>
      <c r="T1510" s="126">
        <f>IFERROR(__xludf.DUMMYFUNCTION("""COMPUTED_VALUE"""),46061.0)</f>
        <v>46061</v>
      </c>
      <c r="U1510" s="124" t="str">
        <f>IFERROR(__xludf.DUMMYFUNCTION("""COMPUTED_VALUE"""),"Publisher Campaign")</f>
        <v>Publisher Campaign</v>
      </c>
      <c r="V1510" s="124" t="str">
        <f>IFERROR(__xludf.DUMMYFUNCTION("""COMPUTED_VALUE"""),"Webinar")</f>
        <v>Webinar</v>
      </c>
      <c r="W1510" s="124"/>
      <c r="X1510" s="124"/>
      <c r="Y1510" s="124" t="str">
        <f>IFERROR(__xludf.DUMMYFUNCTION("""COMPUTED_VALUE"""),"Delhi")</f>
        <v>Delhi</v>
      </c>
      <c r="Z1510" s="124">
        <f>IFERROR(__xludf.DUMMYFUNCTION("""COMPUTED_VALUE"""),1.0)</f>
        <v>1</v>
      </c>
      <c r="AA1510" s="124" t="str">
        <f>IFERROR(__xludf.DUMMYFUNCTION("""COMPUTED_VALUE"""),"Not Interested")</f>
        <v>Not Interested</v>
      </c>
      <c r="AB1510" s="124" t="str">
        <f>IFERROR(__xludf.DUMMYFUNCTION("""COMPUTED_VALUE"""),"GS Advanced")</f>
        <v>GS Advanced</v>
      </c>
    </row>
    <row r="1511">
      <c r="A1511" s="126">
        <f>IFERROR(__xludf.DUMMYFUNCTION("""COMPUTED_VALUE"""),46045.0)</f>
        <v>46045</v>
      </c>
      <c r="B1511" s="124" t="str">
        <f>IFERROR(__xludf.DUMMYFUNCTION("""COMPUTED_VALUE"""),"Walk-In")</f>
        <v>Walk-In</v>
      </c>
      <c r="C1511" s="124" t="str">
        <f>IFERROR(__xludf.DUMMYFUNCTION("""COMPUTED_VALUE"""),"Prayagraj")</f>
        <v>Prayagraj</v>
      </c>
      <c r="D1511" s="124" t="str">
        <f>IFERROR(__xludf.DUMMYFUNCTION("""COMPUTED_VALUE"""),"Primary_Walkin")</f>
        <v>Primary_Walkin</v>
      </c>
      <c r="E1511" s="124">
        <f>IFERROR(__xludf.DUMMYFUNCTION("""COMPUTED_VALUE"""),1.0)</f>
        <v>1</v>
      </c>
      <c r="F1511" s="124" t="str">
        <f>IFERROR(__xludf.DUMMYFUNCTION("""COMPUTED_VALUE"""),"Not Interested")</f>
        <v>Not Interested</v>
      </c>
      <c r="G1511" s="124" t="str">
        <f>IFERROR(__xludf.DUMMYFUNCTION("""COMPUTED_VALUE"""),"GS Foundation")</f>
        <v>GS Foundation</v>
      </c>
      <c r="K1511" s="124"/>
      <c r="L1511" s="124"/>
      <c r="M1511" s="124"/>
      <c r="N1511" s="124"/>
      <c r="O1511" s="124"/>
      <c r="T1511" s="126">
        <f>IFERROR(__xludf.DUMMYFUNCTION("""COMPUTED_VALUE"""),46061.0)</f>
        <v>46061</v>
      </c>
      <c r="U1511" s="124" t="str">
        <f>IFERROR(__xludf.DUMMYFUNCTION("""COMPUTED_VALUE"""),"Publisher Campaign")</f>
        <v>Publisher Campaign</v>
      </c>
      <c r="V1511" s="124" t="str">
        <f>IFERROR(__xludf.DUMMYFUNCTION("""COMPUTED_VALUE"""),"Webinar")</f>
        <v>Webinar</v>
      </c>
      <c r="W1511" s="124"/>
      <c r="X1511" s="124"/>
      <c r="Y1511" s="124" t="str">
        <f>IFERROR(__xludf.DUMMYFUNCTION("""COMPUTED_VALUE"""),"Delhi")</f>
        <v>Delhi</v>
      </c>
      <c r="Z1511" s="124">
        <f>IFERROR(__xludf.DUMMYFUNCTION("""COMPUTED_VALUE"""),2.0)</f>
        <v>2</v>
      </c>
      <c r="AA1511" s="124" t="str">
        <f>IFERROR(__xludf.DUMMYFUNCTION("""COMPUTED_VALUE"""),"Not Interested")</f>
        <v>Not Interested</v>
      </c>
      <c r="AB1511" s="124" t="str">
        <f>IFERROR(__xludf.DUMMYFUNCTION("""COMPUTED_VALUE"""),"Mentorship")</f>
        <v>Mentorship</v>
      </c>
    </row>
    <row r="1512">
      <c r="A1512" s="126">
        <f>IFERROR(__xludf.DUMMYFUNCTION("""COMPUTED_VALUE"""),46104.0)</f>
        <v>46104</v>
      </c>
      <c r="B1512" s="124" t="str">
        <f>IFERROR(__xludf.DUMMYFUNCTION("""COMPUTED_VALUE"""),"Walkin")</f>
        <v>Walkin</v>
      </c>
      <c r="C1512" s="124" t="str">
        <f>IFERROR(__xludf.DUMMYFUNCTION("""COMPUTED_VALUE"""),"Prayagraj")</f>
        <v>Prayagraj</v>
      </c>
      <c r="D1512" s="124" t="str">
        <f>IFERROR(__xludf.DUMMYFUNCTION("""COMPUTED_VALUE"""),"Primary_Walkin")</f>
        <v>Primary_Walkin</v>
      </c>
      <c r="E1512" s="124">
        <f>IFERROR(__xludf.DUMMYFUNCTION("""COMPUTED_VALUE"""),1.0)</f>
        <v>1</v>
      </c>
      <c r="F1512" s="124" t="str">
        <f>IFERROR(__xludf.DUMMYFUNCTION("""COMPUTED_VALUE"""),"Cold")</f>
        <v>Cold</v>
      </c>
      <c r="G1512" s="124" t="str">
        <f>IFERROR(__xludf.DUMMYFUNCTION("""COMPUTED_VALUE"""),"GS Foundation")</f>
        <v>GS Foundation</v>
      </c>
      <c r="K1512" s="124"/>
      <c r="L1512" s="124"/>
      <c r="M1512" s="124"/>
      <c r="N1512" s="124"/>
      <c r="O1512" s="124"/>
      <c r="T1512" s="126">
        <f>IFERROR(__xludf.DUMMYFUNCTION("""COMPUTED_VALUE"""),46074.0)</f>
        <v>46074</v>
      </c>
      <c r="U1512" s="124" t="str">
        <f>IFERROR(__xludf.DUMMYFUNCTION("""COMPUTED_VALUE"""),"Walk-Ins")</f>
        <v>Walk-Ins</v>
      </c>
      <c r="V1512" s="124" t="str">
        <f>IFERROR(__xludf.DUMMYFUNCTION("""COMPUTED_VALUE"""),"Walkin")</f>
        <v>Walkin</v>
      </c>
      <c r="W1512" s="124"/>
      <c r="X1512" s="124"/>
      <c r="Y1512" s="124" t="str">
        <f>IFERROR(__xludf.DUMMYFUNCTION("""COMPUTED_VALUE"""),"Delhi")</f>
        <v>Delhi</v>
      </c>
      <c r="Z1512" s="124">
        <f>IFERROR(__xludf.DUMMYFUNCTION("""COMPUTED_VALUE"""),1.0)</f>
        <v>1</v>
      </c>
      <c r="AA1512" s="124" t="str">
        <f>IFERROR(__xludf.DUMMYFUNCTION("""COMPUTED_VALUE"""),"Warm")</f>
        <v>Warm</v>
      </c>
      <c r="AB1512" s="124" t="str">
        <f>IFERROR(__xludf.DUMMYFUNCTION("""COMPUTED_VALUE"""),"GS Foundation")</f>
        <v>GS Foundation</v>
      </c>
    </row>
    <row r="1513">
      <c r="A1513" s="126">
        <f>IFERROR(__xludf.DUMMYFUNCTION("""COMPUTED_VALUE"""),46093.0)</f>
        <v>46093</v>
      </c>
      <c r="B1513" s="124" t="str">
        <f>IFERROR(__xludf.DUMMYFUNCTION("""COMPUTED_VALUE"""),"Walkin")</f>
        <v>Walkin</v>
      </c>
      <c r="C1513" s="124" t="str">
        <f>IFERROR(__xludf.DUMMYFUNCTION("""COMPUTED_VALUE"""),"Prayagraj")</f>
        <v>Prayagraj</v>
      </c>
      <c r="D1513" s="124" t="str">
        <f>IFERROR(__xludf.DUMMYFUNCTION("""COMPUTED_VALUE"""),"Primary_Walkin")</f>
        <v>Primary_Walkin</v>
      </c>
      <c r="E1513" s="124">
        <f>IFERROR(__xludf.DUMMYFUNCTION("""COMPUTED_VALUE"""),1.0)</f>
        <v>1</v>
      </c>
      <c r="F1513" s="124" t="str">
        <f>IFERROR(__xludf.DUMMYFUNCTION("""COMPUTED_VALUE"""),"Warm")</f>
        <v>Warm</v>
      </c>
      <c r="G1513" s="124" t="str">
        <f>IFERROR(__xludf.DUMMYFUNCTION("""COMPUTED_VALUE"""),"State PCS")</f>
        <v>State PCS</v>
      </c>
      <c r="K1513" s="124"/>
      <c r="L1513" s="124"/>
      <c r="M1513" s="124"/>
      <c r="N1513" s="124"/>
      <c r="O1513" s="124"/>
      <c r="T1513" s="126">
        <f>IFERROR(__xludf.DUMMYFUNCTION("""COMPUTED_VALUE"""),46068.0)</f>
        <v>46068</v>
      </c>
      <c r="U1513" s="124" t="str">
        <f>IFERROR(__xludf.DUMMYFUNCTION("""COMPUTED_VALUE"""),"Publisher Campaign")</f>
        <v>Publisher Campaign</v>
      </c>
      <c r="V1513" s="124" t="str">
        <f>IFERROR(__xludf.DUMMYFUNCTION("""COMPUTED_VALUE"""),"Webinar")</f>
        <v>Webinar</v>
      </c>
      <c r="W1513" s="124"/>
      <c r="X1513" s="124"/>
      <c r="Y1513" s="124" t="str">
        <f>IFERROR(__xludf.DUMMYFUNCTION("""COMPUTED_VALUE"""),"Delhi")</f>
        <v>Delhi</v>
      </c>
      <c r="Z1513" s="124">
        <f>IFERROR(__xludf.DUMMYFUNCTION("""COMPUTED_VALUE"""),10.0)</f>
        <v>10</v>
      </c>
      <c r="AA1513" s="124" t="str">
        <f>IFERROR(__xludf.DUMMYFUNCTION("""COMPUTED_VALUE"""),"Cold")</f>
        <v>Cold</v>
      </c>
      <c r="AB1513" s="124" t="str">
        <f>IFERROR(__xludf.DUMMYFUNCTION("""COMPUTED_VALUE"""),"Other")</f>
        <v>Other</v>
      </c>
    </row>
    <row r="1514">
      <c r="A1514" s="126">
        <f>IFERROR(__xludf.DUMMYFUNCTION("""COMPUTED_VALUE"""),46106.0)</f>
        <v>46106</v>
      </c>
      <c r="B1514" s="124" t="str">
        <f>IFERROR(__xludf.DUMMYFUNCTION("""COMPUTED_VALUE"""),"Walkin")</f>
        <v>Walkin</v>
      </c>
      <c r="C1514" s="124" t="str">
        <f>IFERROR(__xludf.DUMMYFUNCTION("""COMPUTED_VALUE"""),"Prayagraj")</f>
        <v>Prayagraj</v>
      </c>
      <c r="D1514" s="124" t="str">
        <f>IFERROR(__xludf.DUMMYFUNCTION("""COMPUTED_VALUE"""),"Primary_Walkin")</f>
        <v>Primary_Walkin</v>
      </c>
      <c r="E1514" s="124">
        <f>IFERROR(__xludf.DUMMYFUNCTION("""COMPUTED_VALUE"""),2.0)</f>
        <v>2</v>
      </c>
      <c r="F1514" s="124" t="str">
        <f>IFERROR(__xludf.DUMMYFUNCTION("""COMPUTED_VALUE"""),"Warm")</f>
        <v>Warm</v>
      </c>
      <c r="G1514" s="124" t="str">
        <f>IFERROR(__xludf.DUMMYFUNCTION("""COMPUTED_VALUE"""),"GS Foundation")</f>
        <v>GS Foundation</v>
      </c>
      <c r="K1514" s="124"/>
      <c r="L1514" s="124"/>
      <c r="M1514" s="124"/>
      <c r="N1514" s="124"/>
      <c r="O1514" s="124"/>
      <c r="T1514" s="126">
        <f>IFERROR(__xludf.DUMMYFUNCTION("""COMPUTED_VALUE"""),46063.0)</f>
        <v>46063</v>
      </c>
      <c r="U1514" s="124" t="str">
        <f>IFERROR(__xludf.DUMMYFUNCTION("""COMPUTED_VALUE"""),"Publisher Campaign")</f>
        <v>Publisher Campaign</v>
      </c>
      <c r="V1514" s="124" t="str">
        <f>IFERROR(__xludf.DUMMYFUNCTION("""COMPUTED_VALUE"""),"Webinar")</f>
        <v>Webinar</v>
      </c>
      <c r="W1514" s="124"/>
      <c r="X1514" s="124"/>
      <c r="Y1514" s="124" t="str">
        <f>IFERROR(__xludf.DUMMYFUNCTION("""COMPUTED_VALUE"""),"Delhi")</f>
        <v>Delhi</v>
      </c>
      <c r="Z1514" s="124">
        <f>IFERROR(__xludf.DUMMYFUNCTION("""COMPUTED_VALUE"""),1.0)</f>
        <v>1</v>
      </c>
      <c r="AA1514" s="124" t="str">
        <f>IFERROR(__xludf.DUMMYFUNCTION("""COMPUTED_VALUE"""),"Cold")</f>
        <v>Cold</v>
      </c>
      <c r="AB1514" s="124" t="str">
        <f>IFERROR(__xludf.DUMMYFUNCTION("""COMPUTED_VALUE"""),"GS Foundation")</f>
        <v>GS Foundation</v>
      </c>
    </row>
    <row r="1515">
      <c r="A1515" s="126">
        <f>IFERROR(__xludf.DUMMYFUNCTION("""COMPUTED_VALUE"""),46099.0)</f>
        <v>46099</v>
      </c>
      <c r="B1515" s="124" t="str">
        <f>IFERROR(__xludf.DUMMYFUNCTION("""COMPUTED_VALUE"""),"Walkin")</f>
        <v>Walkin</v>
      </c>
      <c r="C1515" s="124" t="str">
        <f>IFERROR(__xludf.DUMMYFUNCTION("""COMPUTED_VALUE"""),"Prayagraj")</f>
        <v>Prayagraj</v>
      </c>
      <c r="D1515" s="124" t="str">
        <f>IFERROR(__xludf.DUMMYFUNCTION("""COMPUTED_VALUE"""),"Primary_Walkin")</f>
        <v>Primary_Walkin</v>
      </c>
      <c r="E1515" s="124">
        <f>IFERROR(__xludf.DUMMYFUNCTION("""COMPUTED_VALUE"""),2.0)</f>
        <v>2</v>
      </c>
      <c r="F1515" s="124" t="str">
        <f>IFERROR(__xludf.DUMMYFUNCTION("""COMPUTED_VALUE"""),"Not Interested")</f>
        <v>Not Interested</v>
      </c>
      <c r="G1515" s="124" t="str">
        <f>IFERROR(__xludf.DUMMYFUNCTION("""COMPUTED_VALUE"""),"GS Foundation")</f>
        <v>GS Foundation</v>
      </c>
      <c r="K1515" s="124"/>
      <c r="L1515" s="124"/>
      <c r="M1515" s="124"/>
      <c r="N1515" s="124"/>
      <c r="O1515" s="124"/>
      <c r="T1515" s="126">
        <f>IFERROR(__xludf.DUMMYFUNCTION("""COMPUTED_VALUE"""),46086.0)</f>
        <v>46086</v>
      </c>
      <c r="U1515" s="124" t="str">
        <f>IFERROR(__xludf.DUMMYFUNCTION("""COMPUTED_VALUE"""),"Publisher Campaign")</f>
        <v>Publisher Campaign</v>
      </c>
      <c r="V1515" s="124" t="str">
        <f>IFERROR(__xludf.DUMMYFUNCTION("""COMPUTED_VALUE"""),"Webinar")</f>
        <v>Webinar</v>
      </c>
      <c r="W1515" s="124"/>
      <c r="X1515" s="124"/>
      <c r="Y1515" s="124" t="str">
        <f>IFERROR(__xludf.DUMMYFUNCTION("""COMPUTED_VALUE"""),"Delhi")</f>
        <v>Delhi</v>
      </c>
      <c r="Z1515" s="124">
        <f>IFERROR(__xludf.DUMMYFUNCTION("""COMPUTED_VALUE"""),1.0)</f>
        <v>1</v>
      </c>
      <c r="AA1515" s="124" t="str">
        <f>IFERROR(__xludf.DUMMYFUNCTION("""COMPUTED_VALUE"""),"Engaged")</f>
        <v>Engaged</v>
      </c>
      <c r="AB1515" s="124" t="str">
        <f>IFERROR(__xludf.DUMMYFUNCTION("""COMPUTED_VALUE"""),"Test Series")</f>
        <v>Test Series</v>
      </c>
    </row>
    <row r="1516">
      <c r="A1516" s="126">
        <f>IFERROR(__xludf.DUMMYFUNCTION("""COMPUTED_VALUE"""),46079.0)</f>
        <v>46079</v>
      </c>
      <c r="B1516" s="124" t="str">
        <f>IFERROR(__xludf.DUMMYFUNCTION("""COMPUTED_VALUE"""),"Walkin")</f>
        <v>Walkin</v>
      </c>
      <c r="C1516" s="124" t="str">
        <f>IFERROR(__xludf.DUMMYFUNCTION("""COMPUTED_VALUE"""),"Prayagraj")</f>
        <v>Prayagraj</v>
      </c>
      <c r="D1516" s="124" t="str">
        <f>IFERROR(__xludf.DUMMYFUNCTION("""COMPUTED_VALUE"""),"Primary_Walkin")</f>
        <v>Primary_Walkin</v>
      </c>
      <c r="E1516" s="124">
        <f>IFERROR(__xludf.DUMMYFUNCTION("""COMPUTED_VALUE"""),2.0)</f>
        <v>2</v>
      </c>
      <c r="F1516" s="124" t="str">
        <f>IFERROR(__xludf.DUMMYFUNCTION("""COMPUTED_VALUE"""),"Not Interested")</f>
        <v>Not Interested</v>
      </c>
      <c r="G1516" s="124" t="str">
        <f>IFERROR(__xludf.DUMMYFUNCTION("""COMPUTED_VALUE"""),"Mentorship")</f>
        <v>Mentorship</v>
      </c>
      <c r="K1516" s="124"/>
      <c r="L1516" s="124"/>
      <c r="M1516" s="124"/>
      <c r="N1516" s="124"/>
      <c r="O1516" s="124"/>
      <c r="T1516" s="129">
        <f>IFERROR(__xludf.DUMMYFUNCTION("""COMPUTED_VALUE"""),46043.0)</f>
        <v>46043</v>
      </c>
      <c r="U1516" s="124" t="str">
        <f>IFERROR(__xludf.DUMMYFUNCTION("""COMPUTED_VALUE"""),"External Leads")</f>
        <v>External Leads</v>
      </c>
      <c r="V1516" s="124" t="str">
        <f>IFERROR(__xludf.DUMMYFUNCTION("""COMPUTED_VALUE"""),"external leads")</f>
        <v>external leads</v>
      </c>
      <c r="W1516" s="124"/>
      <c r="X1516" s="124"/>
      <c r="Y1516" s="124"/>
      <c r="Z1516" s="124">
        <f>IFERROR(__xludf.DUMMYFUNCTION("""COMPUTED_VALUE"""),9.0)</f>
        <v>9</v>
      </c>
      <c r="AA1516" s="124" t="str">
        <f>IFERROR(__xludf.DUMMYFUNCTION("""COMPUTED_VALUE"""),"Not Interested")</f>
        <v>Not Interested</v>
      </c>
      <c r="AB1516" s="124"/>
    </row>
    <row r="1517">
      <c r="A1517" s="126">
        <f>IFERROR(__xludf.DUMMYFUNCTION("""COMPUTED_VALUE"""),46055.0)</f>
        <v>46055</v>
      </c>
      <c r="B1517" s="124" t="str">
        <f>IFERROR(__xludf.DUMMYFUNCTION("""COMPUTED_VALUE"""),"external leads")</f>
        <v>external leads</v>
      </c>
      <c r="C1517" s="124" t="str">
        <f>IFERROR(__xludf.DUMMYFUNCTION("""COMPUTED_VALUE"""),"Prayagraj")</f>
        <v>Prayagraj</v>
      </c>
      <c r="D1517" s="124" t="str">
        <f>IFERROR(__xludf.DUMMYFUNCTION("""COMPUTED_VALUE"""),"Secondary_Walkin")</f>
        <v>Secondary_Walkin</v>
      </c>
      <c r="E1517" s="124">
        <f>IFERROR(__xludf.DUMMYFUNCTION("""COMPUTED_VALUE"""),2.0)</f>
        <v>2</v>
      </c>
      <c r="F1517" s="124" t="str">
        <f>IFERROR(__xludf.DUMMYFUNCTION("""COMPUTED_VALUE"""),"Not Interested")</f>
        <v>Not Interested</v>
      </c>
      <c r="G1517" s="124" t="str">
        <f>IFERROR(__xludf.DUMMYFUNCTION("""COMPUTED_VALUE"""),"GS Foundation")</f>
        <v>GS Foundation</v>
      </c>
      <c r="K1517" s="124"/>
      <c r="L1517" s="124"/>
      <c r="M1517" s="124"/>
      <c r="N1517" s="124"/>
      <c r="O1517" s="124"/>
      <c r="T1517" s="126">
        <f>IFERROR(__xludf.DUMMYFUNCTION("""COMPUTED_VALUE"""),46090.0)</f>
        <v>46090</v>
      </c>
      <c r="U1517" s="124" t="str">
        <f>IFERROR(__xludf.DUMMYFUNCTION("""COMPUTED_VALUE"""),"Publisher Campaign")</f>
        <v>Publisher Campaign</v>
      </c>
      <c r="V1517" s="124" t="str">
        <f>IFERROR(__xludf.DUMMYFUNCTION("""COMPUTED_VALUE"""),"BTL Activities")</f>
        <v>BTL Activities</v>
      </c>
      <c r="W1517" s="124"/>
      <c r="X1517" s="124"/>
      <c r="Y1517" s="124" t="str">
        <f>IFERROR(__xludf.DUMMYFUNCTION("""COMPUTED_VALUE"""),"Indore")</f>
        <v>Indore</v>
      </c>
      <c r="Z1517" s="124">
        <f>IFERROR(__xludf.DUMMYFUNCTION("""COMPUTED_VALUE"""),1.0)</f>
        <v>1</v>
      </c>
      <c r="AA1517" s="124" t="str">
        <f>IFERROR(__xludf.DUMMYFUNCTION("""COMPUTED_VALUE"""),"Cold")</f>
        <v>Cold</v>
      </c>
      <c r="AB1517" s="124" t="str">
        <f>IFERROR(__xludf.DUMMYFUNCTION("""COMPUTED_VALUE"""),"CSAT")</f>
        <v>CSAT</v>
      </c>
    </row>
    <row r="1518">
      <c r="A1518" s="126">
        <f>IFERROR(__xludf.DUMMYFUNCTION("""COMPUTED_VALUE"""),46069.0)</f>
        <v>46069</v>
      </c>
      <c r="B1518" s="124" t="str">
        <f>IFERROR(__xludf.DUMMYFUNCTION("""COMPUTED_VALUE"""),"Walkin")</f>
        <v>Walkin</v>
      </c>
      <c r="C1518" s="124" t="str">
        <f>IFERROR(__xludf.DUMMYFUNCTION("""COMPUTED_VALUE"""),"Prayagraj")</f>
        <v>Prayagraj</v>
      </c>
      <c r="D1518" s="124" t="str">
        <f>IFERROR(__xludf.DUMMYFUNCTION("""COMPUTED_VALUE"""),"Primary_Walkin")</f>
        <v>Primary_Walkin</v>
      </c>
      <c r="E1518" s="124">
        <f>IFERROR(__xludf.DUMMYFUNCTION("""COMPUTED_VALUE"""),1.0)</f>
        <v>1</v>
      </c>
      <c r="F1518" s="124" t="str">
        <f>IFERROR(__xludf.DUMMYFUNCTION("""COMPUTED_VALUE"""),"Cold")</f>
        <v>Cold</v>
      </c>
      <c r="G1518" s="124" t="str">
        <f>IFERROR(__xludf.DUMMYFUNCTION("""COMPUTED_VALUE"""),"Other")</f>
        <v>Other</v>
      </c>
      <c r="K1518" s="124"/>
      <c r="L1518" s="124"/>
      <c r="M1518" s="124"/>
      <c r="N1518" s="124"/>
      <c r="O1518" s="124"/>
      <c r="T1518" s="129">
        <f>IFERROR(__xludf.DUMMYFUNCTION("""COMPUTED_VALUE"""),46091.0)</f>
        <v>46091</v>
      </c>
      <c r="U1518" s="124" t="str">
        <f>IFERROR(__xludf.DUMMYFUNCTION("""COMPUTED_VALUE"""),"Publisher Campaign")</f>
        <v>Publisher Campaign</v>
      </c>
      <c r="V1518" s="124" t="str">
        <f>IFERROR(__xludf.DUMMYFUNCTION("""COMPUTED_VALUE"""),"Webinar")</f>
        <v>Webinar</v>
      </c>
      <c r="W1518" s="124"/>
      <c r="X1518" s="124"/>
      <c r="Y1518" s="124" t="str">
        <f>IFERROR(__xludf.DUMMYFUNCTION("""COMPUTED_VALUE"""),"Delhi")</f>
        <v>Delhi</v>
      </c>
      <c r="Z1518" s="124">
        <f>IFERROR(__xludf.DUMMYFUNCTION("""COMPUTED_VALUE"""),1.0)</f>
        <v>1</v>
      </c>
      <c r="AA1518" s="124" t="str">
        <f>IFERROR(__xludf.DUMMYFUNCTION("""COMPUTED_VALUE"""),"Fake Lead")</f>
        <v>Fake Lead</v>
      </c>
      <c r="AB1518" s="124" t="str">
        <f>IFERROR(__xludf.DUMMYFUNCTION("""COMPUTED_VALUE"""),"Prelims Crash Course - SIP")</f>
        <v>Prelims Crash Course - SIP</v>
      </c>
    </row>
    <row r="1519">
      <c r="A1519" s="126">
        <f>IFERROR(__xludf.DUMMYFUNCTION("""COMPUTED_VALUE"""),46052.0)</f>
        <v>46052</v>
      </c>
      <c r="B1519" s="124" t="str">
        <f>IFERROR(__xludf.DUMMYFUNCTION("""COMPUTED_VALUE"""),"Walkin")</f>
        <v>Walkin</v>
      </c>
      <c r="C1519" s="124" t="str">
        <f>IFERROR(__xludf.DUMMYFUNCTION("""COMPUTED_VALUE"""),"Prayagraj")</f>
        <v>Prayagraj</v>
      </c>
      <c r="D1519" s="124" t="str">
        <f>IFERROR(__xludf.DUMMYFUNCTION("""COMPUTED_VALUE"""),"Primary_Walkin")</f>
        <v>Primary_Walkin</v>
      </c>
      <c r="E1519" s="124">
        <f>IFERROR(__xludf.DUMMYFUNCTION("""COMPUTED_VALUE"""),1.0)</f>
        <v>1</v>
      </c>
      <c r="F1519" s="124" t="str">
        <f>IFERROR(__xludf.DUMMYFUNCTION("""COMPUTED_VALUE"""),"Future Prospects")</f>
        <v>Future Prospects</v>
      </c>
      <c r="G1519" s="124" t="str">
        <f>IFERROR(__xludf.DUMMYFUNCTION("""COMPUTED_VALUE"""),"GS Foundation")</f>
        <v>GS Foundation</v>
      </c>
      <c r="K1519" s="124"/>
      <c r="L1519" s="124"/>
      <c r="M1519" s="124"/>
      <c r="N1519" s="124"/>
      <c r="O1519" s="124"/>
      <c r="T1519" s="126">
        <f>IFERROR(__xludf.DUMMYFUNCTION("""COMPUTED_VALUE"""),46086.0)</f>
        <v>46086</v>
      </c>
      <c r="U1519" s="124" t="str">
        <f>IFERROR(__xludf.DUMMYFUNCTION("""COMPUTED_VALUE"""),"Publisher Campaign")</f>
        <v>Publisher Campaign</v>
      </c>
      <c r="V1519" s="124" t="str">
        <f>IFERROR(__xludf.DUMMYFUNCTION("""COMPUTED_VALUE"""),"Webinar")</f>
        <v>Webinar</v>
      </c>
      <c r="W1519" s="124"/>
      <c r="X1519" s="124"/>
      <c r="Y1519" s="124" t="str">
        <f>IFERROR(__xludf.DUMMYFUNCTION("""COMPUTED_VALUE"""),"Delhi")</f>
        <v>Delhi</v>
      </c>
      <c r="Z1519" s="124">
        <f>IFERROR(__xludf.DUMMYFUNCTION("""COMPUTED_VALUE"""),1.0)</f>
        <v>1</v>
      </c>
      <c r="AA1519" s="124" t="str">
        <f>IFERROR(__xludf.DUMMYFUNCTION("""COMPUTED_VALUE"""),"Cold")</f>
        <v>Cold</v>
      </c>
      <c r="AB1519" s="124" t="str">
        <f>IFERROR(__xludf.DUMMYFUNCTION("""COMPUTED_VALUE"""),"Optionals")</f>
        <v>Optionals</v>
      </c>
    </row>
    <row r="1520">
      <c r="A1520" s="126">
        <f>IFERROR(__xludf.DUMMYFUNCTION("""COMPUTED_VALUE"""),46090.0)</f>
        <v>46090</v>
      </c>
      <c r="B1520" s="124" t="str">
        <f>IFERROR(__xludf.DUMMYFUNCTION("""COMPUTED_VALUE"""),"external leads")</f>
        <v>external leads</v>
      </c>
      <c r="C1520" s="124" t="str">
        <f>IFERROR(__xludf.DUMMYFUNCTION("""COMPUTED_VALUE"""),"Prayagraj")</f>
        <v>Prayagraj</v>
      </c>
      <c r="D1520" s="124" t="str">
        <f>IFERROR(__xludf.DUMMYFUNCTION("""COMPUTED_VALUE"""),"Secondary_Walkin")</f>
        <v>Secondary_Walkin</v>
      </c>
      <c r="E1520" s="124">
        <f>IFERROR(__xludf.DUMMYFUNCTION("""COMPUTED_VALUE"""),1.0)</f>
        <v>1</v>
      </c>
      <c r="F1520" s="124" t="str">
        <f>IFERROR(__xludf.DUMMYFUNCTION("""COMPUTED_VALUE"""),"Not Interested")</f>
        <v>Not Interested</v>
      </c>
      <c r="G1520" s="124" t="str">
        <f>IFERROR(__xludf.DUMMYFUNCTION("""COMPUTED_VALUE"""),"GS Foundation")</f>
        <v>GS Foundation</v>
      </c>
      <c r="K1520" s="124"/>
      <c r="L1520" s="124"/>
      <c r="M1520" s="124"/>
      <c r="N1520" s="124"/>
      <c r="O1520" s="124"/>
      <c r="T1520" s="126">
        <f>IFERROR(__xludf.DUMMYFUNCTION("""COMPUTED_VALUE"""),46046.0)</f>
        <v>46046</v>
      </c>
      <c r="U1520" s="124" t="str">
        <f>IFERROR(__xludf.DUMMYFUNCTION("""COMPUTED_VALUE"""),"Paid Ads")</f>
        <v>Paid Ads</v>
      </c>
      <c r="V1520" s="124" t="str">
        <f>IFERROR(__xludf.DUMMYFUNCTION("""COMPUTED_VALUE"""),"google")</f>
        <v>google</v>
      </c>
      <c r="W1520" s="124" t="str">
        <f>IFERROR(__xludf.DUMMYFUNCTION("""COMPUTED_VALUE"""),"cpc")</f>
        <v>cpc</v>
      </c>
      <c r="X1520" s="124">
        <f>IFERROR(__xludf.DUMMYFUNCTION("""COMPUTED_VALUE"""),2.2754500514E10)</f>
        <v>22754500514</v>
      </c>
      <c r="Y1520" s="124" t="str">
        <f>IFERROR(__xludf.DUMMYFUNCTION("""COMPUTED_VALUE"""),"Lucknow")</f>
        <v>Lucknow</v>
      </c>
      <c r="Z1520" s="124">
        <f>IFERROR(__xludf.DUMMYFUNCTION("""COMPUTED_VALUE"""),1.0)</f>
        <v>1</v>
      </c>
      <c r="AA1520" s="124" t="str">
        <f>IFERROR(__xludf.DUMMYFUNCTION("""COMPUTED_VALUE"""),"Cold")</f>
        <v>Cold</v>
      </c>
      <c r="AB1520" s="124" t="str">
        <f>IFERROR(__xludf.DUMMYFUNCTION("""COMPUTED_VALUE"""),"State PCS")</f>
        <v>State PCS</v>
      </c>
    </row>
    <row r="1521">
      <c r="A1521" s="129">
        <f>IFERROR(__xludf.DUMMYFUNCTION("""COMPUTED_VALUE"""),46103.0)</f>
        <v>46103</v>
      </c>
      <c r="B1521" s="124" t="str">
        <f>IFERROR(__xludf.DUMMYFUNCTION("""COMPUTED_VALUE"""),"Walkin")</f>
        <v>Walkin</v>
      </c>
      <c r="C1521" s="124" t="str">
        <f>IFERROR(__xludf.DUMMYFUNCTION("""COMPUTED_VALUE"""),"Prayagraj")</f>
        <v>Prayagraj</v>
      </c>
      <c r="D1521" s="124" t="str">
        <f>IFERROR(__xludf.DUMMYFUNCTION("""COMPUTED_VALUE"""),"Primary_Walkin")</f>
        <v>Primary_Walkin</v>
      </c>
      <c r="E1521" s="124">
        <f>IFERROR(__xludf.DUMMYFUNCTION("""COMPUTED_VALUE"""),1.0)</f>
        <v>1</v>
      </c>
      <c r="F1521" s="124" t="str">
        <f>IFERROR(__xludf.DUMMYFUNCTION("""COMPUTED_VALUE"""),"Enrolled")</f>
        <v>Enrolled</v>
      </c>
      <c r="G1521" s="124" t="str">
        <f>IFERROR(__xludf.DUMMYFUNCTION("""COMPUTED_VALUE"""),"Hybrid")</f>
        <v>Hybrid</v>
      </c>
      <c r="K1521" s="124"/>
      <c r="L1521" s="124"/>
      <c r="M1521" s="124"/>
      <c r="N1521" s="124"/>
      <c r="O1521" s="124"/>
      <c r="T1521" s="126">
        <f>IFERROR(__xludf.DUMMYFUNCTION("""COMPUTED_VALUE"""),46088.0)</f>
        <v>46088</v>
      </c>
      <c r="U1521" s="124" t="str">
        <f>IFERROR(__xludf.DUMMYFUNCTION("""COMPUTED_VALUE"""),"Publisher Campaign")</f>
        <v>Publisher Campaign</v>
      </c>
      <c r="V1521" s="124" t="str">
        <f>IFERROR(__xludf.DUMMYFUNCTION("""COMPUTED_VALUE"""),"Webinar")</f>
        <v>Webinar</v>
      </c>
      <c r="W1521" s="124"/>
      <c r="X1521" s="124"/>
      <c r="Y1521" s="124" t="str">
        <f>IFERROR(__xludf.DUMMYFUNCTION("""COMPUTED_VALUE"""),"Delhi")</f>
        <v>Delhi</v>
      </c>
      <c r="Z1521" s="124">
        <f>IFERROR(__xludf.DUMMYFUNCTION("""COMPUTED_VALUE"""),1.0)</f>
        <v>1</v>
      </c>
      <c r="AA1521" s="124" t="str">
        <f>IFERROR(__xludf.DUMMYFUNCTION("""COMPUTED_VALUE"""),"Enrolled")</f>
        <v>Enrolled</v>
      </c>
      <c r="AB1521" s="124" t="str">
        <f>IFERROR(__xludf.DUMMYFUNCTION("""COMPUTED_VALUE"""),"Optionals")</f>
        <v>Optionals</v>
      </c>
    </row>
    <row r="1522">
      <c r="A1522" s="126">
        <f>IFERROR(__xludf.DUMMYFUNCTION("""COMPUTED_VALUE"""),46110.0)</f>
        <v>46110</v>
      </c>
      <c r="B1522" s="124" t="str">
        <f>IFERROR(__xludf.DUMMYFUNCTION("""COMPUTED_VALUE"""),"Facebook")</f>
        <v>Facebook</v>
      </c>
      <c r="C1522" s="124" t="str">
        <f>IFERROR(__xludf.DUMMYFUNCTION("""COMPUTED_VALUE"""),"Prayagraj")</f>
        <v>Prayagraj</v>
      </c>
      <c r="D1522" s="124" t="str">
        <f>IFERROR(__xludf.DUMMYFUNCTION("""COMPUTED_VALUE"""),"Secondary_Walkin")</f>
        <v>Secondary_Walkin</v>
      </c>
      <c r="E1522" s="124">
        <f>IFERROR(__xludf.DUMMYFUNCTION("""COMPUTED_VALUE"""),1.0)</f>
        <v>1</v>
      </c>
      <c r="F1522" s="124" t="str">
        <f>IFERROR(__xludf.DUMMYFUNCTION("""COMPUTED_VALUE"""),"Cold")</f>
        <v>Cold</v>
      </c>
      <c r="G1522" s="124" t="str">
        <f>IFERROR(__xludf.DUMMYFUNCTION("""COMPUTED_VALUE"""),"Other")</f>
        <v>Other</v>
      </c>
      <c r="K1522" s="124"/>
      <c r="L1522" s="124"/>
      <c r="M1522" s="124"/>
      <c r="N1522" s="124"/>
      <c r="O1522" s="124"/>
      <c r="T1522" s="126">
        <f>IFERROR(__xludf.DUMMYFUNCTION("""COMPUTED_VALUE"""),46094.0)</f>
        <v>46094</v>
      </c>
      <c r="U1522" s="124" t="str">
        <f>IFERROR(__xludf.DUMMYFUNCTION("""COMPUTED_VALUE"""),"Publisher Campaign")</f>
        <v>Publisher Campaign</v>
      </c>
      <c r="V1522" s="124" t="str">
        <f>IFERROR(__xludf.DUMMYFUNCTION("""COMPUTED_VALUE"""),"Webinar")</f>
        <v>Webinar</v>
      </c>
      <c r="W1522" s="124"/>
      <c r="X1522" s="124"/>
      <c r="Y1522" s="124" t="str">
        <f>IFERROR(__xludf.DUMMYFUNCTION("""COMPUTED_VALUE"""),"Delhi")</f>
        <v>Delhi</v>
      </c>
      <c r="Z1522" s="124">
        <f>IFERROR(__xludf.DUMMYFUNCTION("""COMPUTED_VALUE"""),1.0)</f>
        <v>1</v>
      </c>
      <c r="AA1522" s="124" t="str">
        <f>IFERROR(__xludf.DUMMYFUNCTION("""COMPUTED_VALUE"""),"Future Prospects")</f>
        <v>Future Prospects</v>
      </c>
      <c r="AB1522" s="124" t="str">
        <f>IFERROR(__xludf.DUMMYFUNCTION("""COMPUTED_VALUE"""),"GS Foundation")</f>
        <v>GS Foundation</v>
      </c>
    </row>
    <row r="1523">
      <c r="A1523" s="129">
        <f>IFERROR(__xludf.DUMMYFUNCTION("""COMPUTED_VALUE"""),46045.0)</f>
        <v>46045</v>
      </c>
      <c r="B1523" s="124" t="str">
        <f>IFERROR(__xludf.DUMMYFUNCTION("""COMPUTED_VALUE"""),"Walk-In")</f>
        <v>Walk-In</v>
      </c>
      <c r="C1523" s="124" t="str">
        <f>IFERROR(__xludf.DUMMYFUNCTION("""COMPUTED_VALUE"""),"Prayagraj")</f>
        <v>Prayagraj</v>
      </c>
      <c r="D1523" s="124" t="str">
        <f>IFERROR(__xludf.DUMMYFUNCTION("""COMPUTED_VALUE"""),"Primary_Walkin")</f>
        <v>Primary_Walkin</v>
      </c>
      <c r="E1523" s="124">
        <f>IFERROR(__xludf.DUMMYFUNCTION("""COMPUTED_VALUE"""),2.0)</f>
        <v>2</v>
      </c>
      <c r="F1523" s="124" t="str">
        <f>IFERROR(__xludf.DUMMYFUNCTION("""COMPUTED_VALUE"""),"Future Prospects")</f>
        <v>Future Prospects</v>
      </c>
      <c r="G1523" s="124" t="str">
        <f>IFERROR(__xludf.DUMMYFUNCTION("""COMPUTED_VALUE"""),"GS Foundation")</f>
        <v>GS Foundation</v>
      </c>
      <c r="K1523" s="124"/>
      <c r="L1523" s="124"/>
      <c r="M1523" s="124"/>
      <c r="N1523" s="124"/>
      <c r="O1523" s="124"/>
      <c r="T1523" s="129">
        <f>IFERROR(__xludf.DUMMYFUNCTION("""COMPUTED_VALUE"""),46083.0)</f>
        <v>46083</v>
      </c>
      <c r="U1523" s="124" t="str">
        <f>IFERROR(__xludf.DUMMYFUNCTION("""COMPUTED_VALUE"""),"Event")</f>
        <v>Event</v>
      </c>
      <c r="V1523" s="124" t="str">
        <f>IFERROR(__xludf.DUMMYFUNCTION("""COMPUTED_VALUE"""),"events")</f>
        <v>events</v>
      </c>
      <c r="W1523" s="124" t="str">
        <f>IFERROR(__xludf.DUMMYFUNCTION("""COMPUTED_VALUE"""),"indore")</f>
        <v>indore</v>
      </c>
      <c r="X1523" s="124" t="str">
        <f>IFERROR(__xludf.DUMMYFUNCTION("""COMPUTED_VALUE"""),"mahamarathon")</f>
        <v>mahamarathon</v>
      </c>
      <c r="Y1523" s="124" t="str">
        <f>IFERROR(__xludf.DUMMYFUNCTION("""COMPUTED_VALUE"""),"Indore")</f>
        <v>Indore</v>
      </c>
      <c r="Z1523" s="124">
        <f>IFERROR(__xludf.DUMMYFUNCTION("""COMPUTED_VALUE"""),1.0)</f>
        <v>1</v>
      </c>
      <c r="AA1523" s="124" t="str">
        <f>IFERROR(__xludf.DUMMYFUNCTION("""COMPUTED_VALUE"""),"Future Prospects")</f>
        <v>Future Prospects</v>
      </c>
      <c r="AB1523" s="124" t="str">
        <f>IFERROR(__xludf.DUMMYFUNCTION("""COMPUTED_VALUE"""),"State PCS")</f>
        <v>State PCS</v>
      </c>
    </row>
    <row r="1524">
      <c r="A1524" s="126">
        <f>IFERROR(__xludf.DUMMYFUNCTION("""COMPUTED_VALUE"""),46090.0)</f>
        <v>46090</v>
      </c>
      <c r="B1524" s="124" t="str">
        <f>IFERROR(__xludf.DUMMYFUNCTION("""COMPUTED_VALUE"""),"Walkin")</f>
        <v>Walkin</v>
      </c>
      <c r="C1524" s="124" t="str">
        <f>IFERROR(__xludf.DUMMYFUNCTION("""COMPUTED_VALUE"""),"Prayagraj")</f>
        <v>Prayagraj</v>
      </c>
      <c r="D1524" s="124" t="str">
        <f>IFERROR(__xludf.DUMMYFUNCTION("""COMPUTED_VALUE"""),"Primary_Walkin")</f>
        <v>Primary_Walkin</v>
      </c>
      <c r="E1524" s="124">
        <f>IFERROR(__xludf.DUMMYFUNCTION("""COMPUTED_VALUE"""),1.0)</f>
        <v>1</v>
      </c>
      <c r="F1524" s="124" t="str">
        <f>IFERROR(__xludf.DUMMYFUNCTION("""COMPUTED_VALUE"""),"Enrolled")</f>
        <v>Enrolled</v>
      </c>
      <c r="G1524" s="124" t="str">
        <f>IFERROR(__xludf.DUMMYFUNCTION("""COMPUTED_VALUE"""),"State PCS")</f>
        <v>State PCS</v>
      </c>
      <c r="K1524" s="124"/>
      <c r="L1524" s="124"/>
      <c r="M1524" s="124"/>
      <c r="N1524" s="124"/>
      <c r="O1524" s="124"/>
      <c r="T1524" s="126">
        <f>IFERROR(__xludf.DUMMYFUNCTION("""COMPUTED_VALUE"""),46050.0)</f>
        <v>46050</v>
      </c>
      <c r="U1524" s="124" t="str">
        <f>IFERROR(__xludf.DUMMYFUNCTION("""COMPUTED_VALUE"""),"Walk-Ins")</f>
        <v>Walk-Ins</v>
      </c>
      <c r="V1524" s="124" t="str">
        <f>IFERROR(__xludf.DUMMYFUNCTION("""COMPUTED_VALUE"""),"Walkin")</f>
        <v>Walkin</v>
      </c>
      <c r="W1524" s="124"/>
      <c r="X1524" s="124"/>
      <c r="Y1524" s="124" t="str">
        <f>IFERROR(__xludf.DUMMYFUNCTION("""COMPUTED_VALUE"""),"Delhi")</f>
        <v>Delhi</v>
      </c>
      <c r="Z1524" s="124">
        <f>IFERROR(__xludf.DUMMYFUNCTION("""COMPUTED_VALUE"""),1.0)</f>
        <v>1</v>
      </c>
      <c r="AA1524" s="124" t="str">
        <f>IFERROR(__xludf.DUMMYFUNCTION("""COMPUTED_VALUE"""),"Not Interested")</f>
        <v>Not Interested</v>
      </c>
      <c r="AB1524" s="124" t="str">
        <f>IFERROR(__xludf.DUMMYFUNCTION("""COMPUTED_VALUE"""),"Mentorship")</f>
        <v>Mentorship</v>
      </c>
    </row>
    <row r="1525">
      <c r="A1525" s="129">
        <f>IFERROR(__xludf.DUMMYFUNCTION("""COMPUTED_VALUE"""),46050.0)</f>
        <v>46050</v>
      </c>
      <c r="B1525" s="124" t="str">
        <f>IFERROR(__xludf.DUMMYFUNCTION("""COMPUTED_VALUE"""),"Walkin")</f>
        <v>Walkin</v>
      </c>
      <c r="C1525" s="124" t="str">
        <f>IFERROR(__xludf.DUMMYFUNCTION("""COMPUTED_VALUE"""),"Prayagraj")</f>
        <v>Prayagraj</v>
      </c>
      <c r="D1525" s="124" t="str">
        <f>IFERROR(__xludf.DUMMYFUNCTION("""COMPUTED_VALUE"""),"Primary_Walkin")</f>
        <v>Primary_Walkin</v>
      </c>
      <c r="E1525" s="124">
        <f>IFERROR(__xludf.DUMMYFUNCTION("""COMPUTED_VALUE"""),1.0)</f>
        <v>1</v>
      </c>
      <c r="F1525" s="124" t="str">
        <f>IFERROR(__xludf.DUMMYFUNCTION("""COMPUTED_VALUE"""),"Not Interested")</f>
        <v>Not Interested</v>
      </c>
      <c r="G1525" s="124" t="str">
        <f>IFERROR(__xludf.DUMMYFUNCTION("""COMPUTED_VALUE"""),"GS Foundation")</f>
        <v>GS Foundation</v>
      </c>
      <c r="K1525" s="124"/>
      <c r="L1525" s="124"/>
      <c r="M1525" s="124"/>
      <c r="N1525" s="124"/>
      <c r="O1525" s="124"/>
      <c r="T1525" s="129">
        <f>IFERROR(__xludf.DUMMYFUNCTION("""COMPUTED_VALUE"""),46074.0)</f>
        <v>46074</v>
      </c>
      <c r="U1525" s="124" t="str">
        <f>IFERROR(__xludf.DUMMYFUNCTION("""COMPUTED_VALUE"""),"Publisher Campaign")</f>
        <v>Publisher Campaign</v>
      </c>
      <c r="V1525" s="124" t="str">
        <f>IFERROR(__xludf.DUMMYFUNCTION("""COMPUTED_VALUE"""),"Feeder Cities")</f>
        <v>Feeder Cities</v>
      </c>
      <c r="W1525" s="124"/>
      <c r="X1525" s="124"/>
      <c r="Y1525" s="124" t="str">
        <f>IFERROR(__xludf.DUMMYFUNCTION("""COMPUTED_VALUE"""),"Indore")</f>
        <v>Indore</v>
      </c>
      <c r="Z1525" s="124">
        <f>IFERROR(__xludf.DUMMYFUNCTION("""COMPUTED_VALUE"""),2.0)</f>
        <v>2</v>
      </c>
      <c r="AA1525" s="124" t="str">
        <f>IFERROR(__xludf.DUMMYFUNCTION("""COMPUTED_VALUE"""),"Cold")</f>
        <v>Cold</v>
      </c>
      <c r="AB1525" s="124" t="str">
        <f>IFERROR(__xludf.DUMMYFUNCTION("""COMPUTED_VALUE"""),"State PCS")</f>
        <v>State PCS</v>
      </c>
    </row>
    <row r="1526">
      <c r="A1526" s="126">
        <f>IFERROR(__xludf.DUMMYFUNCTION("""COMPUTED_VALUE"""),46096.0)</f>
        <v>46096</v>
      </c>
      <c r="B1526" s="124" t="str">
        <f>IFERROR(__xludf.DUMMYFUNCTION("""COMPUTED_VALUE"""),"Walk-In")</f>
        <v>Walk-In</v>
      </c>
      <c r="C1526" s="124" t="str">
        <f>IFERROR(__xludf.DUMMYFUNCTION("""COMPUTED_VALUE"""),"Prayagraj")</f>
        <v>Prayagraj</v>
      </c>
      <c r="D1526" s="124" t="str">
        <f>IFERROR(__xludf.DUMMYFUNCTION("""COMPUTED_VALUE"""),"Primary_Walkin")</f>
        <v>Primary_Walkin</v>
      </c>
      <c r="E1526" s="124">
        <f>IFERROR(__xludf.DUMMYFUNCTION("""COMPUTED_VALUE"""),1.0)</f>
        <v>1</v>
      </c>
      <c r="F1526" s="124" t="str">
        <f>IFERROR(__xludf.DUMMYFUNCTION("""COMPUTED_VALUE"""),"Warm")</f>
        <v>Warm</v>
      </c>
      <c r="G1526" s="124" t="str">
        <f>IFERROR(__xludf.DUMMYFUNCTION("""COMPUTED_VALUE"""),"State PCS")</f>
        <v>State PCS</v>
      </c>
      <c r="K1526" s="124"/>
      <c r="L1526" s="124"/>
      <c r="M1526" s="124"/>
      <c r="N1526" s="124"/>
      <c r="O1526" s="124"/>
      <c r="T1526" s="126">
        <f>IFERROR(__xludf.DUMMYFUNCTION("""COMPUTED_VALUE"""),46092.0)</f>
        <v>46092</v>
      </c>
      <c r="U1526" s="124" t="str">
        <f>IFERROR(__xludf.DUMMYFUNCTION("""COMPUTED_VALUE"""),"Publisher Campaign")</f>
        <v>Publisher Campaign</v>
      </c>
      <c r="V1526" s="124" t="str">
        <f>IFERROR(__xludf.DUMMYFUNCTION("""COMPUTED_VALUE"""),"BTL Activities")</f>
        <v>BTL Activities</v>
      </c>
      <c r="W1526" s="124"/>
      <c r="X1526" s="124"/>
      <c r="Y1526" s="124" t="str">
        <f>IFERROR(__xludf.DUMMYFUNCTION("""COMPUTED_VALUE"""),"Indore")</f>
        <v>Indore</v>
      </c>
      <c r="Z1526" s="124">
        <f>IFERROR(__xludf.DUMMYFUNCTION("""COMPUTED_VALUE"""),1.0)</f>
        <v>1</v>
      </c>
      <c r="AA1526" s="124" t="str">
        <f>IFERROR(__xludf.DUMMYFUNCTION("""COMPUTED_VALUE"""),"Cold")</f>
        <v>Cold</v>
      </c>
      <c r="AB1526" s="124" t="str">
        <f>IFERROR(__xludf.DUMMYFUNCTION("""COMPUTED_VALUE"""),"State PCS")</f>
        <v>State PCS</v>
      </c>
    </row>
    <row r="1527">
      <c r="A1527" s="126">
        <f>IFERROR(__xludf.DUMMYFUNCTION("""COMPUTED_VALUE"""),46097.0)</f>
        <v>46097</v>
      </c>
      <c r="B1527" s="124" t="str">
        <f>IFERROR(__xludf.DUMMYFUNCTION("""COMPUTED_VALUE"""),"BTL Activities")</f>
        <v>BTL Activities</v>
      </c>
      <c r="C1527" s="124" t="str">
        <f>IFERROR(__xludf.DUMMYFUNCTION("""COMPUTED_VALUE"""),"Prayagraj")</f>
        <v>Prayagraj</v>
      </c>
      <c r="D1527" s="124" t="str">
        <f>IFERROR(__xludf.DUMMYFUNCTION("""COMPUTED_VALUE"""),"Secondary_Walkin")</f>
        <v>Secondary_Walkin</v>
      </c>
      <c r="E1527" s="124">
        <f>IFERROR(__xludf.DUMMYFUNCTION("""COMPUTED_VALUE"""),1.0)</f>
        <v>1</v>
      </c>
      <c r="F1527" s="124" t="str">
        <f>IFERROR(__xludf.DUMMYFUNCTION("""COMPUTED_VALUE"""),"Cold")</f>
        <v>Cold</v>
      </c>
      <c r="G1527" s="124" t="str">
        <f>IFERROR(__xludf.DUMMYFUNCTION("""COMPUTED_VALUE"""),"GS Foundation")</f>
        <v>GS Foundation</v>
      </c>
      <c r="K1527" s="124"/>
      <c r="L1527" s="124"/>
      <c r="M1527" s="124"/>
      <c r="N1527" s="124"/>
      <c r="O1527" s="124"/>
      <c r="T1527" s="126">
        <f>IFERROR(__xludf.DUMMYFUNCTION("""COMPUTED_VALUE"""),46088.0)</f>
        <v>46088</v>
      </c>
      <c r="U1527" s="124" t="str">
        <f>IFERROR(__xludf.DUMMYFUNCTION("""COMPUTED_VALUE"""),"Publisher Campaign")</f>
        <v>Publisher Campaign</v>
      </c>
      <c r="V1527" s="124" t="str">
        <f>IFERROR(__xludf.DUMMYFUNCTION("""COMPUTED_VALUE"""),"Webinar")</f>
        <v>Webinar</v>
      </c>
      <c r="W1527" s="124"/>
      <c r="X1527" s="124"/>
      <c r="Y1527" s="124" t="str">
        <f>IFERROR(__xludf.DUMMYFUNCTION("""COMPUTED_VALUE"""),"Delhi")</f>
        <v>Delhi</v>
      </c>
      <c r="Z1527" s="124">
        <f>IFERROR(__xludf.DUMMYFUNCTION("""COMPUTED_VALUE"""),2.0)</f>
        <v>2</v>
      </c>
      <c r="AA1527" s="124" t="str">
        <f>IFERROR(__xludf.DUMMYFUNCTION("""COMPUTED_VALUE"""),"Cold")</f>
        <v>Cold</v>
      </c>
      <c r="AB1527" s="124" t="str">
        <f>IFERROR(__xludf.DUMMYFUNCTION("""COMPUTED_VALUE"""),"GS Advanced")</f>
        <v>GS Advanced</v>
      </c>
    </row>
    <row r="1528">
      <c r="A1528" s="126">
        <f>IFERROR(__xludf.DUMMYFUNCTION("""COMPUTED_VALUE"""),46062.0)</f>
        <v>46062</v>
      </c>
      <c r="B1528" s="124" t="str">
        <f>IFERROR(__xludf.DUMMYFUNCTION("""COMPUTED_VALUE"""),"Walkin")</f>
        <v>Walkin</v>
      </c>
      <c r="C1528" s="124" t="str">
        <f>IFERROR(__xludf.DUMMYFUNCTION("""COMPUTED_VALUE"""),"Prayagraj")</f>
        <v>Prayagraj</v>
      </c>
      <c r="D1528" s="124" t="str">
        <f>IFERROR(__xludf.DUMMYFUNCTION("""COMPUTED_VALUE"""),"Primary_Walkin")</f>
        <v>Primary_Walkin</v>
      </c>
      <c r="E1528" s="124">
        <f>IFERROR(__xludf.DUMMYFUNCTION("""COMPUTED_VALUE"""),1.0)</f>
        <v>1</v>
      </c>
      <c r="F1528" s="124" t="str">
        <f>IFERROR(__xludf.DUMMYFUNCTION("""COMPUTED_VALUE"""),"Enrolled")</f>
        <v>Enrolled</v>
      </c>
      <c r="G1528" s="124" t="str">
        <f>IFERROR(__xludf.DUMMYFUNCTION("""COMPUTED_VALUE"""),"GS Foundation")</f>
        <v>GS Foundation</v>
      </c>
      <c r="K1528" s="124"/>
      <c r="L1528" s="124"/>
      <c r="M1528" s="124"/>
      <c r="N1528" s="124"/>
      <c r="O1528" s="124"/>
      <c r="T1528" s="129">
        <f>IFERROR(__xludf.DUMMYFUNCTION("""COMPUTED_VALUE"""),46087.0)</f>
        <v>46087</v>
      </c>
      <c r="U1528" s="124" t="str">
        <f>IFERROR(__xludf.DUMMYFUNCTION("""COMPUTED_VALUE"""),"Publisher Campaign")</f>
        <v>Publisher Campaign</v>
      </c>
      <c r="V1528" s="124" t="str">
        <f>IFERROR(__xludf.DUMMYFUNCTION("""COMPUTED_VALUE"""),"Webinar")</f>
        <v>Webinar</v>
      </c>
      <c r="W1528" s="124"/>
      <c r="X1528" s="124"/>
      <c r="Y1528" s="124" t="str">
        <f>IFERROR(__xludf.DUMMYFUNCTION("""COMPUTED_VALUE"""),"Delhi")</f>
        <v>Delhi</v>
      </c>
      <c r="Z1528" s="124">
        <f>IFERROR(__xludf.DUMMYFUNCTION("""COMPUTED_VALUE"""),2.0)</f>
        <v>2</v>
      </c>
      <c r="AA1528" s="124" t="str">
        <f>IFERROR(__xludf.DUMMYFUNCTION("""COMPUTED_VALUE"""),"Cold")</f>
        <v>Cold</v>
      </c>
      <c r="AB1528" s="124" t="str">
        <f>IFERROR(__xludf.DUMMYFUNCTION("""COMPUTED_VALUE"""),"Hybrid")</f>
        <v>Hybrid</v>
      </c>
    </row>
    <row r="1529">
      <c r="A1529" s="126">
        <f>IFERROR(__xludf.DUMMYFUNCTION("""COMPUTED_VALUE"""),46109.0)</f>
        <v>46109</v>
      </c>
      <c r="B1529" s="124" t="str">
        <f>IFERROR(__xludf.DUMMYFUNCTION("""COMPUTED_VALUE"""),"external leads")</f>
        <v>external leads</v>
      </c>
      <c r="C1529" s="124" t="str">
        <f>IFERROR(__xludf.DUMMYFUNCTION("""COMPUTED_VALUE"""),"Prayagraj")</f>
        <v>Prayagraj</v>
      </c>
      <c r="D1529" s="124" t="str">
        <f>IFERROR(__xludf.DUMMYFUNCTION("""COMPUTED_VALUE"""),"Secondary_Walkin")</f>
        <v>Secondary_Walkin</v>
      </c>
      <c r="E1529" s="124">
        <f>IFERROR(__xludf.DUMMYFUNCTION("""COMPUTED_VALUE"""),1.0)</f>
        <v>1</v>
      </c>
      <c r="F1529" s="124" t="str">
        <f>IFERROR(__xludf.DUMMYFUNCTION("""COMPUTED_VALUE"""),"Warm")</f>
        <v>Warm</v>
      </c>
      <c r="G1529" s="124" t="str">
        <f>IFERROR(__xludf.DUMMYFUNCTION("""COMPUTED_VALUE"""),"State PCS")</f>
        <v>State PCS</v>
      </c>
      <c r="K1529" s="124"/>
      <c r="L1529" s="124"/>
      <c r="M1529" s="124"/>
      <c r="N1529" s="124"/>
      <c r="O1529" s="124"/>
      <c r="T1529" s="126">
        <f>IFERROR(__xludf.DUMMYFUNCTION("""COMPUTED_VALUE"""),46065.0)</f>
        <v>46065</v>
      </c>
      <c r="U1529" s="124" t="str">
        <f>IFERROR(__xludf.DUMMYFUNCTION("""COMPUTED_VALUE"""),"Publisher Campaign")</f>
        <v>Publisher Campaign</v>
      </c>
      <c r="V1529" s="124" t="str">
        <f>IFERROR(__xludf.DUMMYFUNCTION("""COMPUTED_VALUE"""),"BTL Activities")</f>
        <v>BTL Activities</v>
      </c>
      <c r="W1529" s="124"/>
      <c r="X1529" s="124"/>
      <c r="Y1529" s="124" t="str">
        <f>IFERROR(__xludf.DUMMYFUNCTION("""COMPUTED_VALUE"""),"Indore")</f>
        <v>Indore</v>
      </c>
      <c r="Z1529" s="124">
        <f>IFERROR(__xludf.DUMMYFUNCTION("""COMPUTED_VALUE"""),1.0)</f>
        <v>1</v>
      </c>
      <c r="AA1529" s="124" t="str">
        <f>IFERROR(__xludf.DUMMYFUNCTION("""COMPUTED_VALUE"""),"Cold")</f>
        <v>Cold</v>
      </c>
      <c r="AB1529" s="124" t="str">
        <f>IFERROR(__xludf.DUMMYFUNCTION("""COMPUTED_VALUE"""),"IGP UPPSC")</f>
        <v>IGP UPPSC</v>
      </c>
    </row>
    <row r="1530">
      <c r="A1530" s="126">
        <f>IFERROR(__xludf.DUMMYFUNCTION("""COMPUTED_VALUE"""),46057.0)</f>
        <v>46057</v>
      </c>
      <c r="B1530" s="124" t="str">
        <f>IFERROR(__xludf.DUMMYFUNCTION("""COMPUTED_VALUE"""),"Walkin")</f>
        <v>Walkin</v>
      </c>
      <c r="C1530" s="124" t="str">
        <f>IFERROR(__xludf.DUMMYFUNCTION("""COMPUTED_VALUE"""),"Prayagraj")</f>
        <v>Prayagraj</v>
      </c>
      <c r="D1530" s="124" t="str">
        <f>IFERROR(__xludf.DUMMYFUNCTION("""COMPUTED_VALUE"""),"Primary_Walkin")</f>
        <v>Primary_Walkin</v>
      </c>
      <c r="E1530" s="124">
        <f>IFERROR(__xludf.DUMMYFUNCTION("""COMPUTED_VALUE"""),1.0)</f>
        <v>1</v>
      </c>
      <c r="F1530" s="124" t="str">
        <f>IFERROR(__xludf.DUMMYFUNCTION("""COMPUTED_VALUE"""),"Cold")</f>
        <v>Cold</v>
      </c>
      <c r="G1530" s="124" t="str">
        <f>IFERROR(__xludf.DUMMYFUNCTION("""COMPUTED_VALUE"""),"Other")</f>
        <v>Other</v>
      </c>
      <c r="K1530" s="124"/>
      <c r="L1530" s="124"/>
      <c r="M1530" s="124"/>
      <c r="N1530" s="124"/>
      <c r="O1530" s="124"/>
      <c r="T1530" s="126">
        <f>IFERROR(__xludf.DUMMYFUNCTION("""COMPUTED_VALUE"""),46061.0)</f>
        <v>46061</v>
      </c>
      <c r="U1530" s="124" t="str">
        <f>IFERROR(__xludf.DUMMYFUNCTION("""COMPUTED_VALUE"""),"Publisher Campaign")</f>
        <v>Publisher Campaign</v>
      </c>
      <c r="V1530" s="124" t="str">
        <f>IFERROR(__xludf.DUMMYFUNCTION("""COMPUTED_VALUE"""),"BTL Activities")</f>
        <v>BTL Activities</v>
      </c>
      <c r="W1530" s="124"/>
      <c r="X1530" s="124"/>
      <c r="Y1530" s="124" t="str">
        <f>IFERROR(__xludf.DUMMYFUNCTION("""COMPUTED_VALUE"""),"Indore")</f>
        <v>Indore</v>
      </c>
      <c r="Z1530" s="124">
        <f>IFERROR(__xludf.DUMMYFUNCTION("""COMPUTED_VALUE"""),3.0)</f>
        <v>3</v>
      </c>
      <c r="AA1530" s="124" t="str">
        <f>IFERROR(__xludf.DUMMYFUNCTION("""COMPUTED_VALUE"""),"Cold")</f>
        <v>Cold</v>
      </c>
      <c r="AB1530" s="124" t="str">
        <f>IFERROR(__xludf.DUMMYFUNCTION("""COMPUTED_VALUE"""),"GS Foundation")</f>
        <v>GS Foundation</v>
      </c>
    </row>
    <row r="1531">
      <c r="A1531" s="126">
        <f>IFERROR(__xludf.DUMMYFUNCTION("""COMPUTED_VALUE"""),46073.0)</f>
        <v>46073</v>
      </c>
      <c r="B1531" s="124" t="str">
        <f>IFERROR(__xludf.DUMMYFUNCTION("""COMPUTED_VALUE"""),"Walkin")</f>
        <v>Walkin</v>
      </c>
      <c r="C1531" s="124" t="str">
        <f>IFERROR(__xludf.DUMMYFUNCTION("""COMPUTED_VALUE"""),"Prayagraj")</f>
        <v>Prayagraj</v>
      </c>
      <c r="D1531" s="124" t="str">
        <f>IFERROR(__xludf.DUMMYFUNCTION("""COMPUTED_VALUE"""),"Primary_Walkin")</f>
        <v>Primary_Walkin</v>
      </c>
      <c r="E1531" s="124">
        <f>IFERROR(__xludf.DUMMYFUNCTION("""COMPUTED_VALUE"""),1.0)</f>
        <v>1</v>
      </c>
      <c r="F1531" s="124" t="str">
        <f>IFERROR(__xludf.DUMMYFUNCTION("""COMPUTED_VALUE"""),"Future Prospects")</f>
        <v>Future Prospects</v>
      </c>
      <c r="G1531" s="124" t="str">
        <f>IFERROR(__xludf.DUMMYFUNCTION("""COMPUTED_VALUE"""),"GS Foundation")</f>
        <v>GS Foundation</v>
      </c>
      <c r="K1531" s="124"/>
      <c r="L1531" s="124"/>
      <c r="M1531" s="124"/>
      <c r="N1531" s="124"/>
      <c r="O1531" s="124"/>
      <c r="T1531" s="126">
        <f>IFERROR(__xludf.DUMMYFUNCTION("""COMPUTED_VALUE"""),46068.0)</f>
        <v>46068</v>
      </c>
      <c r="U1531" s="124" t="str">
        <f>IFERROR(__xludf.DUMMYFUNCTION("""COMPUTED_VALUE"""),"Publisher Campaign")</f>
        <v>Publisher Campaign</v>
      </c>
      <c r="V1531" s="124" t="str">
        <f>IFERROR(__xludf.DUMMYFUNCTION("""COMPUTED_VALUE"""),"Webinar")</f>
        <v>Webinar</v>
      </c>
      <c r="W1531" s="124"/>
      <c r="X1531" s="124"/>
      <c r="Y1531" s="124" t="str">
        <f>IFERROR(__xludf.DUMMYFUNCTION("""COMPUTED_VALUE"""),"Delhi")</f>
        <v>Delhi</v>
      </c>
      <c r="Z1531" s="124">
        <f>IFERROR(__xludf.DUMMYFUNCTION("""COMPUTED_VALUE"""),4.0)</f>
        <v>4</v>
      </c>
      <c r="AA1531" s="124" t="str">
        <f>IFERROR(__xludf.DUMMYFUNCTION("""COMPUTED_VALUE"""),"Cold")</f>
        <v>Cold</v>
      </c>
      <c r="AB1531" s="124" t="str">
        <f>IFERROR(__xludf.DUMMYFUNCTION("""COMPUTED_VALUE"""),"Prelims Crash Course - SIP")</f>
        <v>Prelims Crash Course - SIP</v>
      </c>
    </row>
    <row r="1532">
      <c r="A1532" s="129">
        <f>IFERROR(__xludf.DUMMYFUNCTION("""COMPUTED_VALUE"""),46043.0)</f>
        <v>46043</v>
      </c>
      <c r="B1532" s="124" t="str">
        <f>IFERROR(__xludf.DUMMYFUNCTION("""COMPUTED_VALUE"""),"Walk-In")</f>
        <v>Walk-In</v>
      </c>
      <c r="C1532" s="124" t="str">
        <f>IFERROR(__xludf.DUMMYFUNCTION("""COMPUTED_VALUE"""),"Prayagraj")</f>
        <v>Prayagraj</v>
      </c>
      <c r="D1532" s="124" t="str">
        <f>IFERROR(__xludf.DUMMYFUNCTION("""COMPUTED_VALUE"""),"Primary_Walkin")</f>
        <v>Primary_Walkin</v>
      </c>
      <c r="E1532" s="124">
        <f>IFERROR(__xludf.DUMMYFUNCTION("""COMPUTED_VALUE"""),1.0)</f>
        <v>1</v>
      </c>
      <c r="F1532" s="124" t="str">
        <f>IFERROR(__xludf.DUMMYFUNCTION("""COMPUTED_VALUE"""),"Cold")</f>
        <v>Cold</v>
      </c>
      <c r="G1532" s="124" t="str">
        <f>IFERROR(__xludf.DUMMYFUNCTION("""COMPUTED_VALUE"""),"State PCS")</f>
        <v>State PCS</v>
      </c>
      <c r="K1532" s="124"/>
      <c r="L1532" s="124"/>
      <c r="M1532" s="124"/>
      <c r="N1532" s="124"/>
      <c r="O1532" s="124"/>
      <c r="T1532" s="129">
        <f>IFERROR(__xludf.DUMMYFUNCTION("""COMPUTED_VALUE"""),46091.0)</f>
        <v>46091</v>
      </c>
      <c r="U1532" s="124" t="str">
        <f>IFERROR(__xludf.DUMMYFUNCTION("""COMPUTED_VALUE"""),"Publisher Campaign")</f>
        <v>Publisher Campaign</v>
      </c>
      <c r="V1532" s="124" t="str">
        <f>IFERROR(__xludf.DUMMYFUNCTION("""COMPUTED_VALUE"""),"Webinar")</f>
        <v>Webinar</v>
      </c>
      <c r="W1532" s="124"/>
      <c r="X1532" s="124"/>
      <c r="Y1532" s="124" t="str">
        <f>IFERROR(__xludf.DUMMYFUNCTION("""COMPUTED_VALUE"""),"Delhi")</f>
        <v>Delhi</v>
      </c>
      <c r="Z1532" s="124">
        <f>IFERROR(__xludf.DUMMYFUNCTION("""COMPUTED_VALUE"""),1.0)</f>
        <v>1</v>
      </c>
      <c r="AA1532" s="124" t="str">
        <f>IFERROR(__xludf.DUMMYFUNCTION("""COMPUTED_VALUE"""),"Fake Lead")</f>
        <v>Fake Lead</v>
      </c>
      <c r="AB1532" s="124" t="str">
        <f>IFERROR(__xludf.DUMMYFUNCTION("""COMPUTED_VALUE"""),"Mentorship")</f>
        <v>Mentorship</v>
      </c>
    </row>
    <row r="1533">
      <c r="A1533" s="126">
        <f>IFERROR(__xludf.DUMMYFUNCTION("""COMPUTED_VALUE"""),46058.0)</f>
        <v>46058</v>
      </c>
      <c r="B1533" s="124" t="str">
        <f>IFERROR(__xludf.DUMMYFUNCTION("""COMPUTED_VALUE"""),"Walkin")</f>
        <v>Walkin</v>
      </c>
      <c r="C1533" s="124" t="str">
        <f>IFERROR(__xludf.DUMMYFUNCTION("""COMPUTED_VALUE"""),"Prayagraj")</f>
        <v>Prayagraj</v>
      </c>
      <c r="D1533" s="124" t="str">
        <f>IFERROR(__xludf.DUMMYFUNCTION("""COMPUTED_VALUE"""),"Primary_Walkin")</f>
        <v>Primary_Walkin</v>
      </c>
      <c r="E1533" s="124">
        <f>IFERROR(__xludf.DUMMYFUNCTION("""COMPUTED_VALUE"""),1.0)</f>
        <v>1</v>
      </c>
      <c r="F1533" s="124" t="str">
        <f>IFERROR(__xludf.DUMMYFUNCTION("""COMPUTED_VALUE"""),"Interested")</f>
        <v>Interested</v>
      </c>
      <c r="G1533" s="124" t="str">
        <f>IFERROR(__xludf.DUMMYFUNCTION("""COMPUTED_VALUE"""),"GS Foundation")</f>
        <v>GS Foundation</v>
      </c>
      <c r="K1533" s="124"/>
      <c r="L1533" s="124"/>
      <c r="M1533" s="124"/>
      <c r="N1533" s="124"/>
      <c r="O1533" s="124"/>
      <c r="T1533" s="126">
        <f>IFERROR(__xludf.DUMMYFUNCTION("""COMPUTED_VALUE"""),46076.0)</f>
        <v>46076</v>
      </c>
      <c r="U1533" s="124" t="str">
        <f>IFERROR(__xludf.DUMMYFUNCTION("""COMPUTED_VALUE"""),"Walk-Ins")</f>
        <v>Walk-Ins</v>
      </c>
      <c r="V1533" s="124" t="str">
        <f>IFERROR(__xludf.DUMMYFUNCTION("""COMPUTED_VALUE"""),"Walkin")</f>
        <v>Walkin</v>
      </c>
      <c r="W1533" s="124"/>
      <c r="X1533" s="124"/>
      <c r="Y1533" s="124" t="str">
        <f>IFERROR(__xludf.DUMMYFUNCTION("""COMPUTED_VALUE"""),"Delhi")</f>
        <v>Delhi</v>
      </c>
      <c r="Z1533" s="124">
        <f>IFERROR(__xludf.DUMMYFUNCTION("""COMPUTED_VALUE"""),3.0)</f>
        <v>3</v>
      </c>
      <c r="AA1533" s="124" t="str">
        <f>IFERROR(__xludf.DUMMYFUNCTION("""COMPUTED_VALUE"""),"Not Interested")</f>
        <v>Not Interested</v>
      </c>
      <c r="AB1533" s="124" t="str">
        <f>IFERROR(__xludf.DUMMYFUNCTION("""COMPUTED_VALUE"""),"GS Foundation")</f>
        <v>GS Foundation</v>
      </c>
    </row>
    <row r="1534">
      <c r="A1534" s="126">
        <f>IFERROR(__xludf.DUMMYFUNCTION("""COMPUTED_VALUE"""),46048.0)</f>
        <v>46048</v>
      </c>
      <c r="B1534" s="124" t="str">
        <f>IFERROR(__xludf.DUMMYFUNCTION("""COMPUTED_VALUE"""),"Walk-In")</f>
        <v>Walk-In</v>
      </c>
      <c r="C1534" s="124" t="str">
        <f>IFERROR(__xludf.DUMMYFUNCTION("""COMPUTED_VALUE"""),"Prayagraj")</f>
        <v>Prayagraj</v>
      </c>
      <c r="D1534" s="124" t="str">
        <f>IFERROR(__xludf.DUMMYFUNCTION("""COMPUTED_VALUE"""),"Primary_Walkin")</f>
        <v>Primary_Walkin</v>
      </c>
      <c r="E1534" s="124">
        <f>IFERROR(__xludf.DUMMYFUNCTION("""COMPUTED_VALUE"""),1.0)</f>
        <v>1</v>
      </c>
      <c r="F1534" s="124" t="str">
        <f>IFERROR(__xludf.DUMMYFUNCTION("""COMPUTED_VALUE"""),"Enrolled")</f>
        <v>Enrolled</v>
      </c>
      <c r="G1534" s="124" t="str">
        <f>IFERROR(__xludf.DUMMYFUNCTION("""COMPUTED_VALUE"""),"Other")</f>
        <v>Other</v>
      </c>
      <c r="K1534" s="124"/>
      <c r="L1534" s="124"/>
      <c r="M1534" s="124"/>
      <c r="N1534" s="124"/>
      <c r="O1534" s="124"/>
      <c r="T1534" s="129">
        <f>IFERROR(__xludf.DUMMYFUNCTION("""COMPUTED_VALUE"""),46085.0)</f>
        <v>46085</v>
      </c>
      <c r="U1534" s="124" t="str">
        <f>IFERROR(__xludf.DUMMYFUNCTION("""COMPUTED_VALUE"""),"Paid Ads")</f>
        <v>Paid Ads</v>
      </c>
      <c r="V1534" s="124" t="str">
        <f>IFERROR(__xludf.DUMMYFUNCTION("""COMPUTED_VALUE"""),"YouTube")</f>
        <v>YouTube</v>
      </c>
      <c r="W1534" s="124"/>
      <c r="X1534" s="124"/>
      <c r="Y1534" s="124" t="str">
        <f>IFERROR(__xludf.DUMMYFUNCTION("""COMPUTED_VALUE"""),"Lucknow")</f>
        <v>Lucknow</v>
      </c>
      <c r="Z1534" s="124">
        <f>IFERROR(__xludf.DUMMYFUNCTION("""COMPUTED_VALUE"""),1.0)</f>
        <v>1</v>
      </c>
      <c r="AA1534" s="124" t="str">
        <f>IFERROR(__xludf.DUMMYFUNCTION("""COMPUTED_VALUE"""),"Cold")</f>
        <v>Cold</v>
      </c>
      <c r="AB1534" s="124" t="str">
        <f>IFERROR(__xludf.DUMMYFUNCTION("""COMPUTED_VALUE"""),"State PCS")</f>
        <v>State PCS</v>
      </c>
    </row>
    <row r="1535">
      <c r="A1535" s="126">
        <f>IFERROR(__xludf.DUMMYFUNCTION("""COMPUTED_VALUE"""),46055.0)</f>
        <v>46055</v>
      </c>
      <c r="B1535" s="124" t="str">
        <f>IFERROR(__xludf.DUMMYFUNCTION("""COMPUTED_VALUE"""),"Walk-In")</f>
        <v>Walk-In</v>
      </c>
      <c r="C1535" s="124" t="str">
        <f>IFERROR(__xludf.DUMMYFUNCTION("""COMPUTED_VALUE"""),"Prayagraj")</f>
        <v>Prayagraj</v>
      </c>
      <c r="D1535" s="124" t="str">
        <f>IFERROR(__xludf.DUMMYFUNCTION("""COMPUTED_VALUE"""),"Primary_Walkin")</f>
        <v>Primary_Walkin</v>
      </c>
      <c r="E1535" s="124">
        <f>IFERROR(__xludf.DUMMYFUNCTION("""COMPUTED_VALUE"""),2.0)</f>
        <v>2</v>
      </c>
      <c r="F1535" s="124" t="str">
        <f>IFERROR(__xludf.DUMMYFUNCTION("""COMPUTED_VALUE"""),"Cold")</f>
        <v>Cold</v>
      </c>
      <c r="G1535" s="124" t="str">
        <f>IFERROR(__xludf.DUMMYFUNCTION("""COMPUTED_VALUE"""),"State PCS")</f>
        <v>State PCS</v>
      </c>
      <c r="K1535" s="124"/>
      <c r="L1535" s="124"/>
      <c r="M1535" s="124"/>
      <c r="N1535" s="124"/>
      <c r="O1535" s="124"/>
      <c r="T1535" s="126">
        <f>IFERROR(__xludf.DUMMYFUNCTION("""COMPUTED_VALUE"""),46079.0)</f>
        <v>46079</v>
      </c>
      <c r="U1535" s="124" t="str">
        <f>IFERROR(__xludf.DUMMYFUNCTION("""COMPUTED_VALUE"""),"Publisher Campaign")</f>
        <v>Publisher Campaign</v>
      </c>
      <c r="V1535" s="124" t="str">
        <f>IFERROR(__xludf.DUMMYFUNCTION("""COMPUTED_VALUE"""),"Webinar")</f>
        <v>Webinar</v>
      </c>
      <c r="W1535" s="124"/>
      <c r="X1535" s="124"/>
      <c r="Y1535" s="124" t="str">
        <f>IFERROR(__xludf.DUMMYFUNCTION("""COMPUTED_VALUE"""),"Delhi")</f>
        <v>Delhi</v>
      </c>
      <c r="Z1535" s="124">
        <f>IFERROR(__xludf.DUMMYFUNCTION("""COMPUTED_VALUE"""),1.0)</f>
        <v>1</v>
      </c>
      <c r="AA1535" s="124" t="str">
        <f>IFERROR(__xludf.DUMMYFUNCTION("""COMPUTED_VALUE"""),"Not Interested")</f>
        <v>Not Interested</v>
      </c>
      <c r="AB1535" s="124" t="str">
        <f>IFERROR(__xludf.DUMMYFUNCTION("""COMPUTED_VALUE"""),"GS Foundation")</f>
        <v>GS Foundation</v>
      </c>
    </row>
    <row r="1536">
      <c r="A1536" s="126">
        <f>IFERROR(__xludf.DUMMYFUNCTION("""COMPUTED_VALUE"""),46101.0)</f>
        <v>46101</v>
      </c>
      <c r="B1536" s="124" t="str">
        <f>IFERROR(__xludf.DUMMYFUNCTION("""COMPUTED_VALUE"""),"Walkin")</f>
        <v>Walkin</v>
      </c>
      <c r="C1536" s="124" t="str">
        <f>IFERROR(__xludf.DUMMYFUNCTION("""COMPUTED_VALUE"""),"Prayagraj")</f>
        <v>Prayagraj</v>
      </c>
      <c r="D1536" s="124" t="str">
        <f>IFERROR(__xludf.DUMMYFUNCTION("""COMPUTED_VALUE"""),"Primary_Walkin")</f>
        <v>Primary_Walkin</v>
      </c>
      <c r="E1536" s="124">
        <f>IFERROR(__xludf.DUMMYFUNCTION("""COMPUTED_VALUE"""),3.0)</f>
        <v>3</v>
      </c>
      <c r="F1536" s="124" t="str">
        <f>IFERROR(__xludf.DUMMYFUNCTION("""COMPUTED_VALUE"""),"Cold")</f>
        <v>Cold</v>
      </c>
      <c r="G1536" s="124" t="str">
        <f>IFERROR(__xludf.DUMMYFUNCTION("""COMPUTED_VALUE"""),"GS Foundation")</f>
        <v>GS Foundation</v>
      </c>
      <c r="K1536" s="124"/>
      <c r="L1536" s="124"/>
      <c r="M1536" s="124"/>
      <c r="N1536" s="124"/>
      <c r="O1536" s="124"/>
      <c r="T1536" s="126">
        <f>IFERROR(__xludf.DUMMYFUNCTION("""COMPUTED_VALUE"""),46079.0)</f>
        <v>46079</v>
      </c>
      <c r="U1536" s="124" t="str">
        <f>IFERROR(__xludf.DUMMYFUNCTION("""COMPUTED_VALUE"""),"Publisher Campaign")</f>
        <v>Publisher Campaign</v>
      </c>
      <c r="V1536" s="124" t="str">
        <f>IFERROR(__xludf.DUMMYFUNCTION("""COMPUTED_VALUE"""),"Webinar")</f>
        <v>Webinar</v>
      </c>
      <c r="W1536" s="124"/>
      <c r="X1536" s="124"/>
      <c r="Y1536" s="124" t="str">
        <f>IFERROR(__xludf.DUMMYFUNCTION("""COMPUTED_VALUE"""),"Delhi")</f>
        <v>Delhi</v>
      </c>
      <c r="Z1536" s="124">
        <f>IFERROR(__xludf.DUMMYFUNCTION("""COMPUTED_VALUE"""),5.0)</f>
        <v>5</v>
      </c>
      <c r="AA1536" s="124" t="str">
        <f>IFERROR(__xludf.DUMMYFUNCTION("""COMPUTED_VALUE"""),"Warm")</f>
        <v>Warm</v>
      </c>
      <c r="AB1536" s="124" t="str">
        <f>IFERROR(__xludf.DUMMYFUNCTION("""COMPUTED_VALUE"""),"State PCS")</f>
        <v>State PCS</v>
      </c>
    </row>
    <row r="1537">
      <c r="A1537" s="126">
        <f>IFERROR(__xludf.DUMMYFUNCTION("""COMPUTED_VALUE"""),46112.0)</f>
        <v>46112</v>
      </c>
      <c r="B1537" s="124" t="str">
        <f>IFERROR(__xludf.DUMMYFUNCTION("""COMPUTED_VALUE"""),"Walk-In")</f>
        <v>Walk-In</v>
      </c>
      <c r="C1537" s="124" t="str">
        <f>IFERROR(__xludf.DUMMYFUNCTION("""COMPUTED_VALUE"""),"Prayagraj")</f>
        <v>Prayagraj</v>
      </c>
      <c r="D1537" s="124" t="str">
        <f>IFERROR(__xludf.DUMMYFUNCTION("""COMPUTED_VALUE"""),"Primary_Walkin")</f>
        <v>Primary_Walkin</v>
      </c>
      <c r="E1537" s="124">
        <f>IFERROR(__xludf.DUMMYFUNCTION("""COMPUTED_VALUE"""),1.0)</f>
        <v>1</v>
      </c>
      <c r="F1537" s="124" t="str">
        <f>IFERROR(__xludf.DUMMYFUNCTION("""COMPUTED_VALUE"""),"Warm")</f>
        <v>Warm</v>
      </c>
      <c r="G1537" s="124" t="str">
        <f>IFERROR(__xludf.DUMMYFUNCTION("""COMPUTED_VALUE"""),"State PCS")</f>
        <v>State PCS</v>
      </c>
      <c r="K1537" s="124"/>
      <c r="L1537" s="124"/>
      <c r="M1537" s="124"/>
      <c r="N1537" s="124"/>
      <c r="O1537" s="124"/>
      <c r="T1537" s="126">
        <f>IFERROR(__xludf.DUMMYFUNCTION("""COMPUTED_VALUE"""),46079.0)</f>
        <v>46079</v>
      </c>
      <c r="U1537" s="124" t="str">
        <f>IFERROR(__xludf.DUMMYFUNCTION("""COMPUTED_VALUE"""),"Walk-Ins")</f>
        <v>Walk-Ins</v>
      </c>
      <c r="V1537" s="124" t="str">
        <f>IFERROR(__xludf.DUMMYFUNCTION("""COMPUTED_VALUE"""),"Walkin")</f>
        <v>Walkin</v>
      </c>
      <c r="W1537" s="124"/>
      <c r="X1537" s="124"/>
      <c r="Y1537" s="124" t="str">
        <f>IFERROR(__xludf.DUMMYFUNCTION("""COMPUTED_VALUE"""),"Delhi")</f>
        <v>Delhi</v>
      </c>
      <c r="Z1537" s="124">
        <f>IFERROR(__xludf.DUMMYFUNCTION("""COMPUTED_VALUE"""),1.0)</f>
        <v>1</v>
      </c>
      <c r="AA1537" s="124" t="str">
        <f>IFERROR(__xludf.DUMMYFUNCTION("""COMPUTED_VALUE"""),"Future Prospects")</f>
        <v>Future Prospects</v>
      </c>
      <c r="AB1537" s="124" t="str">
        <f>IFERROR(__xludf.DUMMYFUNCTION("""COMPUTED_VALUE"""),"GS Foundation")</f>
        <v>GS Foundation</v>
      </c>
    </row>
    <row r="1538">
      <c r="A1538" s="126">
        <f>IFERROR(__xludf.DUMMYFUNCTION("""COMPUTED_VALUE"""),46066.0)</f>
        <v>46066</v>
      </c>
      <c r="B1538" s="124" t="str">
        <f>IFERROR(__xludf.DUMMYFUNCTION("""COMPUTED_VALUE"""),"Walkin")</f>
        <v>Walkin</v>
      </c>
      <c r="C1538" s="124" t="str">
        <f>IFERROR(__xludf.DUMMYFUNCTION("""COMPUTED_VALUE"""),"Prayagraj")</f>
        <v>Prayagraj</v>
      </c>
      <c r="D1538" s="124" t="str">
        <f>IFERROR(__xludf.DUMMYFUNCTION("""COMPUTED_VALUE"""),"Primary_Walkin")</f>
        <v>Primary_Walkin</v>
      </c>
      <c r="E1538" s="124">
        <f>IFERROR(__xludf.DUMMYFUNCTION("""COMPUTED_VALUE"""),2.0)</f>
        <v>2</v>
      </c>
      <c r="F1538" s="124" t="str">
        <f>IFERROR(__xludf.DUMMYFUNCTION("""COMPUTED_VALUE"""),"Future Prospects")</f>
        <v>Future Prospects</v>
      </c>
      <c r="G1538" s="124" t="str">
        <f>IFERROR(__xludf.DUMMYFUNCTION("""COMPUTED_VALUE"""),"GS Foundation")</f>
        <v>GS Foundation</v>
      </c>
      <c r="K1538" s="124"/>
      <c r="L1538" s="124"/>
      <c r="M1538" s="124"/>
      <c r="N1538" s="124"/>
      <c r="O1538" s="124"/>
      <c r="T1538" s="126">
        <f>IFERROR(__xludf.DUMMYFUNCTION("""COMPUTED_VALUE"""),46061.0)</f>
        <v>46061</v>
      </c>
      <c r="U1538" s="124" t="str">
        <f>IFERROR(__xludf.DUMMYFUNCTION("""COMPUTED_VALUE"""),"External Leads")</f>
        <v>External Leads</v>
      </c>
      <c r="V1538" s="124" t="str">
        <f>IFERROR(__xludf.DUMMYFUNCTION("""COMPUTED_VALUE"""),"external leads")</f>
        <v>external leads</v>
      </c>
      <c r="W1538" s="124"/>
      <c r="X1538" s="124"/>
      <c r="Y1538" s="124"/>
      <c r="Z1538" s="124">
        <f>IFERROR(__xludf.DUMMYFUNCTION("""COMPUTED_VALUE"""),1.0)</f>
        <v>1</v>
      </c>
      <c r="AA1538" s="124" t="str">
        <f>IFERROR(__xludf.DUMMYFUNCTION("""COMPUTED_VALUE"""),"Cold")</f>
        <v>Cold</v>
      </c>
      <c r="AB1538" s="124"/>
    </row>
    <row r="1539">
      <c r="A1539" s="126">
        <f>IFERROR(__xludf.DUMMYFUNCTION("""COMPUTED_VALUE"""),46100.0)</f>
        <v>46100</v>
      </c>
      <c r="B1539" s="124" t="str">
        <f>IFERROR(__xludf.DUMMYFUNCTION("""COMPUTED_VALUE"""),"Walkin")</f>
        <v>Walkin</v>
      </c>
      <c r="C1539" s="124" t="str">
        <f>IFERROR(__xludf.DUMMYFUNCTION("""COMPUTED_VALUE"""),"Prayagraj")</f>
        <v>Prayagraj</v>
      </c>
      <c r="D1539" s="124" t="str">
        <f>IFERROR(__xludf.DUMMYFUNCTION("""COMPUTED_VALUE"""),"Primary_Walkin")</f>
        <v>Primary_Walkin</v>
      </c>
      <c r="E1539" s="124">
        <f>IFERROR(__xludf.DUMMYFUNCTION("""COMPUTED_VALUE"""),1.0)</f>
        <v>1</v>
      </c>
      <c r="F1539" s="124" t="str">
        <f>IFERROR(__xludf.DUMMYFUNCTION("""COMPUTED_VALUE"""),"Interested")</f>
        <v>Interested</v>
      </c>
      <c r="G1539" s="124" t="str">
        <f>IFERROR(__xludf.DUMMYFUNCTION("""COMPUTED_VALUE"""),"Mentorship")</f>
        <v>Mentorship</v>
      </c>
      <c r="K1539" s="124"/>
      <c r="L1539" s="124"/>
      <c r="M1539" s="124"/>
      <c r="N1539" s="124"/>
      <c r="O1539" s="124"/>
      <c r="T1539" s="126">
        <f>IFERROR(__xludf.DUMMYFUNCTION("""COMPUTED_VALUE"""),46088.0)</f>
        <v>46088</v>
      </c>
      <c r="U1539" s="124" t="str">
        <f>IFERROR(__xludf.DUMMYFUNCTION("""COMPUTED_VALUE"""),"Publisher Campaign")</f>
        <v>Publisher Campaign</v>
      </c>
      <c r="V1539" s="124" t="str">
        <f>IFERROR(__xludf.DUMMYFUNCTION("""COMPUTED_VALUE"""),"Webinar")</f>
        <v>Webinar</v>
      </c>
      <c r="W1539" s="124"/>
      <c r="X1539" s="124"/>
      <c r="Y1539" s="124" t="str">
        <f>IFERROR(__xludf.DUMMYFUNCTION("""COMPUTED_VALUE"""),"Delhi")</f>
        <v>Delhi</v>
      </c>
      <c r="Z1539" s="124">
        <f>IFERROR(__xludf.DUMMYFUNCTION("""COMPUTED_VALUE"""),9.0)</f>
        <v>9</v>
      </c>
      <c r="AA1539" s="124" t="str">
        <f>IFERROR(__xludf.DUMMYFUNCTION("""COMPUTED_VALUE"""),"Cold")</f>
        <v>Cold</v>
      </c>
      <c r="AB1539" s="124" t="str">
        <f>IFERROR(__xludf.DUMMYFUNCTION("""COMPUTED_VALUE"""),"Other")</f>
        <v>Other</v>
      </c>
    </row>
    <row r="1540">
      <c r="A1540" s="126">
        <f>IFERROR(__xludf.DUMMYFUNCTION("""COMPUTED_VALUE"""),46087.0)</f>
        <v>46087</v>
      </c>
      <c r="B1540" s="124" t="str">
        <f>IFERROR(__xludf.DUMMYFUNCTION("""COMPUTED_VALUE"""),"Walkin")</f>
        <v>Walkin</v>
      </c>
      <c r="C1540" s="124" t="str">
        <f>IFERROR(__xludf.DUMMYFUNCTION("""COMPUTED_VALUE"""),"Prayagraj")</f>
        <v>Prayagraj</v>
      </c>
      <c r="D1540" s="124" t="str">
        <f>IFERROR(__xludf.DUMMYFUNCTION("""COMPUTED_VALUE"""),"Primary_Walkin")</f>
        <v>Primary_Walkin</v>
      </c>
      <c r="E1540" s="124">
        <f>IFERROR(__xludf.DUMMYFUNCTION("""COMPUTED_VALUE"""),2.0)</f>
        <v>2</v>
      </c>
      <c r="F1540" s="124" t="str">
        <f>IFERROR(__xludf.DUMMYFUNCTION("""COMPUTED_VALUE"""),"Future Prospects")</f>
        <v>Future Prospects</v>
      </c>
      <c r="G1540" s="124" t="str">
        <f>IFERROR(__xludf.DUMMYFUNCTION("""COMPUTED_VALUE"""),"GS Foundation")</f>
        <v>GS Foundation</v>
      </c>
      <c r="K1540" s="124"/>
      <c r="L1540" s="124"/>
      <c r="M1540" s="124"/>
      <c r="N1540" s="124"/>
      <c r="O1540" s="124"/>
      <c r="T1540" s="126">
        <f>IFERROR(__xludf.DUMMYFUNCTION("""COMPUTED_VALUE"""),46086.0)</f>
        <v>46086</v>
      </c>
      <c r="U1540" s="124" t="str">
        <f>IFERROR(__xludf.DUMMYFUNCTION("""COMPUTED_VALUE"""),"Publisher Campaign")</f>
        <v>Publisher Campaign</v>
      </c>
      <c r="V1540" s="124" t="str">
        <f>IFERROR(__xludf.DUMMYFUNCTION("""COMPUTED_VALUE"""),"Webinar")</f>
        <v>Webinar</v>
      </c>
      <c r="W1540" s="124"/>
      <c r="X1540" s="124"/>
      <c r="Y1540" s="124" t="str">
        <f>IFERROR(__xludf.DUMMYFUNCTION("""COMPUTED_VALUE"""),"Delhi")</f>
        <v>Delhi</v>
      </c>
      <c r="Z1540" s="124">
        <f>IFERROR(__xludf.DUMMYFUNCTION("""COMPUTED_VALUE"""),1.0)</f>
        <v>1</v>
      </c>
      <c r="AA1540" s="124" t="str">
        <f>IFERROR(__xludf.DUMMYFUNCTION("""COMPUTED_VALUE"""),"Warm")</f>
        <v>Warm</v>
      </c>
      <c r="AB1540" s="124" t="str">
        <f>IFERROR(__xludf.DUMMYFUNCTION("""COMPUTED_VALUE"""),"Optionals")</f>
        <v>Optionals</v>
      </c>
    </row>
    <row r="1541">
      <c r="A1541" s="126">
        <f>IFERROR(__xludf.DUMMYFUNCTION("""COMPUTED_VALUE"""),46077.0)</f>
        <v>46077</v>
      </c>
      <c r="B1541" s="124" t="str">
        <f>IFERROR(__xludf.DUMMYFUNCTION("""COMPUTED_VALUE"""),"Walk-In")</f>
        <v>Walk-In</v>
      </c>
      <c r="C1541" s="124" t="str">
        <f>IFERROR(__xludf.DUMMYFUNCTION("""COMPUTED_VALUE"""),"Prayagraj")</f>
        <v>Prayagraj</v>
      </c>
      <c r="D1541" s="124" t="str">
        <f>IFERROR(__xludf.DUMMYFUNCTION("""COMPUTED_VALUE"""),"Primary_Walkin")</f>
        <v>Primary_Walkin</v>
      </c>
      <c r="E1541" s="124">
        <f>IFERROR(__xludf.DUMMYFUNCTION("""COMPUTED_VALUE"""),1.0)</f>
        <v>1</v>
      </c>
      <c r="F1541" s="124" t="str">
        <f>IFERROR(__xludf.DUMMYFUNCTION("""COMPUTED_VALUE"""),"Cold")</f>
        <v>Cold</v>
      </c>
      <c r="G1541" s="124" t="str">
        <f>IFERROR(__xludf.DUMMYFUNCTION("""COMPUTED_VALUE"""),"Optionals")</f>
        <v>Optionals</v>
      </c>
      <c r="K1541" s="124"/>
      <c r="L1541" s="124"/>
      <c r="M1541" s="124"/>
      <c r="N1541" s="124"/>
      <c r="O1541" s="124"/>
      <c r="T1541" s="126">
        <f>IFERROR(__xludf.DUMMYFUNCTION("""COMPUTED_VALUE"""),46068.0)</f>
        <v>46068</v>
      </c>
      <c r="U1541" s="124" t="str">
        <f>IFERROR(__xludf.DUMMYFUNCTION("""COMPUTED_VALUE"""),"Publisher Campaign")</f>
        <v>Publisher Campaign</v>
      </c>
      <c r="V1541" s="124" t="str">
        <f>IFERROR(__xludf.DUMMYFUNCTION("""COMPUTED_VALUE"""),"Webinar")</f>
        <v>Webinar</v>
      </c>
      <c r="W1541" s="124"/>
      <c r="X1541" s="124"/>
      <c r="Y1541" s="124" t="str">
        <f>IFERROR(__xludf.DUMMYFUNCTION("""COMPUTED_VALUE"""),"Delhi")</f>
        <v>Delhi</v>
      </c>
      <c r="Z1541" s="124">
        <f>IFERROR(__xludf.DUMMYFUNCTION("""COMPUTED_VALUE"""),7.0)</f>
        <v>7</v>
      </c>
      <c r="AA1541" s="124" t="str">
        <f>IFERROR(__xludf.DUMMYFUNCTION("""COMPUTED_VALUE"""),"Cold")</f>
        <v>Cold</v>
      </c>
      <c r="AB1541" s="124" t="str">
        <f>IFERROR(__xludf.DUMMYFUNCTION("""COMPUTED_VALUE"""),"Mentorship")</f>
        <v>Mentorship</v>
      </c>
    </row>
    <row r="1542">
      <c r="A1542" s="126">
        <f>IFERROR(__xludf.DUMMYFUNCTION("""COMPUTED_VALUE"""),46044.0)</f>
        <v>46044</v>
      </c>
      <c r="B1542" s="124" t="str">
        <f>IFERROR(__xludf.DUMMYFUNCTION("""COMPUTED_VALUE"""),"Walkin")</f>
        <v>Walkin</v>
      </c>
      <c r="C1542" s="124" t="str">
        <f>IFERROR(__xludf.DUMMYFUNCTION("""COMPUTED_VALUE"""),"Prayagraj")</f>
        <v>Prayagraj</v>
      </c>
      <c r="D1542" s="124" t="str">
        <f>IFERROR(__xludf.DUMMYFUNCTION("""COMPUTED_VALUE"""),"Primary_Walkin")</f>
        <v>Primary_Walkin</v>
      </c>
      <c r="E1542" s="124">
        <f>IFERROR(__xludf.DUMMYFUNCTION("""COMPUTED_VALUE"""),2.0)</f>
        <v>2</v>
      </c>
      <c r="F1542" s="124" t="str">
        <f>IFERROR(__xludf.DUMMYFUNCTION("""COMPUTED_VALUE"""),"Not Interested")</f>
        <v>Not Interested</v>
      </c>
      <c r="G1542" s="124" t="str">
        <f>IFERROR(__xludf.DUMMYFUNCTION("""COMPUTED_VALUE"""),"GS Foundation")</f>
        <v>GS Foundation</v>
      </c>
      <c r="K1542" s="124"/>
      <c r="L1542" s="124"/>
      <c r="M1542" s="124"/>
      <c r="N1542" s="124"/>
      <c r="O1542" s="124"/>
      <c r="T1542" s="126">
        <f>IFERROR(__xludf.DUMMYFUNCTION("""COMPUTED_VALUE"""),46060.0)</f>
        <v>46060</v>
      </c>
      <c r="U1542" s="124" t="str">
        <f>IFERROR(__xludf.DUMMYFUNCTION("""COMPUTED_VALUE"""),"Publisher Campaign")</f>
        <v>Publisher Campaign</v>
      </c>
      <c r="V1542" s="124" t="str">
        <f>IFERROR(__xludf.DUMMYFUNCTION("""COMPUTED_VALUE"""),"Webinar")</f>
        <v>Webinar</v>
      </c>
      <c r="W1542" s="124"/>
      <c r="X1542" s="124"/>
      <c r="Y1542" s="124" t="str">
        <f>IFERROR(__xludf.DUMMYFUNCTION("""COMPUTED_VALUE"""),"Delhi")</f>
        <v>Delhi</v>
      </c>
      <c r="Z1542" s="124">
        <f>IFERROR(__xludf.DUMMYFUNCTION("""COMPUTED_VALUE"""),4.0)</f>
        <v>4</v>
      </c>
      <c r="AA1542" s="124" t="str">
        <f>IFERROR(__xludf.DUMMYFUNCTION("""COMPUTED_VALUE"""),"Not Interested")</f>
        <v>Not Interested</v>
      </c>
      <c r="AB1542" s="124" t="str">
        <f>IFERROR(__xludf.DUMMYFUNCTION("""COMPUTED_VALUE"""),"CSAT")</f>
        <v>CSAT</v>
      </c>
    </row>
    <row r="1543">
      <c r="A1543" s="126">
        <f>IFERROR(__xludf.DUMMYFUNCTION("""COMPUTED_VALUE"""),46087.0)</f>
        <v>46087</v>
      </c>
      <c r="B1543" s="124" t="str">
        <f>IFERROR(__xludf.DUMMYFUNCTION("""COMPUTED_VALUE"""),"Walkin")</f>
        <v>Walkin</v>
      </c>
      <c r="C1543" s="124" t="str">
        <f>IFERROR(__xludf.DUMMYFUNCTION("""COMPUTED_VALUE"""),"Prayagraj")</f>
        <v>Prayagraj</v>
      </c>
      <c r="D1543" s="124" t="str">
        <f>IFERROR(__xludf.DUMMYFUNCTION("""COMPUTED_VALUE"""),"Primary_Walkin")</f>
        <v>Primary_Walkin</v>
      </c>
      <c r="E1543" s="124">
        <f>IFERROR(__xludf.DUMMYFUNCTION("""COMPUTED_VALUE"""),1.0)</f>
        <v>1</v>
      </c>
      <c r="F1543" s="124" t="str">
        <f>IFERROR(__xludf.DUMMYFUNCTION("""COMPUTED_VALUE"""),"Enrolled")</f>
        <v>Enrolled</v>
      </c>
      <c r="G1543" s="124" t="str">
        <f>IFERROR(__xludf.DUMMYFUNCTION("""COMPUTED_VALUE"""),"GS Foundation")</f>
        <v>GS Foundation</v>
      </c>
      <c r="K1543" s="124"/>
      <c r="L1543" s="124"/>
      <c r="M1543" s="124"/>
      <c r="N1543" s="124"/>
      <c r="O1543" s="124"/>
      <c r="T1543" s="126">
        <f>IFERROR(__xludf.DUMMYFUNCTION("""COMPUTED_VALUE"""),46101.0)</f>
        <v>46101</v>
      </c>
      <c r="U1543" s="124" t="str">
        <f>IFERROR(__xludf.DUMMYFUNCTION("""COMPUTED_VALUE"""),"Paid Ads")</f>
        <v>Paid Ads</v>
      </c>
      <c r="V1543" s="124" t="str">
        <f>IFERROR(__xludf.DUMMYFUNCTION("""COMPUTED_VALUE"""),"google")</f>
        <v>google</v>
      </c>
      <c r="W1543" s="124" t="str">
        <f>IFERROR(__xludf.DUMMYFUNCTION("""COMPUTED_VALUE"""),"cpc")</f>
        <v>cpc</v>
      </c>
      <c r="X1543" s="124">
        <f>IFERROR(__xludf.DUMMYFUNCTION("""COMPUTED_VALUE"""),2.288825581E10)</f>
        <v>22888255810</v>
      </c>
      <c r="Y1543" s="124" t="str">
        <f>IFERROR(__xludf.DUMMYFUNCTION("""COMPUTED_VALUE"""),"Indore")</f>
        <v>Indore</v>
      </c>
      <c r="Z1543" s="124">
        <f>IFERROR(__xludf.DUMMYFUNCTION("""COMPUTED_VALUE"""),1.0)</f>
        <v>1</v>
      </c>
      <c r="AA1543" s="124" t="str">
        <f>IFERROR(__xludf.DUMMYFUNCTION("""COMPUTED_VALUE"""),"Cold")</f>
        <v>Cold</v>
      </c>
      <c r="AB1543" s="124" t="str">
        <f>IFERROR(__xludf.DUMMYFUNCTION("""COMPUTED_VALUE"""),"Other")</f>
        <v>Other</v>
      </c>
    </row>
    <row r="1544">
      <c r="A1544" s="126">
        <f>IFERROR(__xludf.DUMMYFUNCTION("""COMPUTED_VALUE"""),46065.0)</f>
        <v>46065</v>
      </c>
      <c r="B1544" s="124" t="str">
        <f>IFERROR(__xludf.DUMMYFUNCTION("""COMPUTED_VALUE"""),"Walkin")</f>
        <v>Walkin</v>
      </c>
      <c r="C1544" s="124" t="str">
        <f>IFERROR(__xludf.DUMMYFUNCTION("""COMPUTED_VALUE"""),"Prayagraj")</f>
        <v>Prayagraj</v>
      </c>
      <c r="D1544" s="124" t="str">
        <f>IFERROR(__xludf.DUMMYFUNCTION("""COMPUTED_VALUE"""),"Primary_Walkin")</f>
        <v>Primary_Walkin</v>
      </c>
      <c r="E1544" s="124">
        <f>IFERROR(__xludf.DUMMYFUNCTION("""COMPUTED_VALUE"""),1.0)</f>
        <v>1</v>
      </c>
      <c r="F1544" s="124" t="str">
        <f>IFERROR(__xludf.DUMMYFUNCTION("""COMPUTED_VALUE"""),"Future Prospects")</f>
        <v>Future Prospects</v>
      </c>
      <c r="G1544" s="124" t="str">
        <f>IFERROR(__xludf.DUMMYFUNCTION("""COMPUTED_VALUE"""),"State PCS")</f>
        <v>State PCS</v>
      </c>
      <c r="K1544" s="124"/>
      <c r="L1544" s="124"/>
      <c r="M1544" s="124"/>
      <c r="N1544" s="124"/>
      <c r="O1544" s="124"/>
      <c r="T1544" s="126">
        <f>IFERROR(__xludf.DUMMYFUNCTION("""COMPUTED_VALUE"""),46047.0)</f>
        <v>46047</v>
      </c>
      <c r="U1544" s="124" t="str">
        <f>IFERROR(__xludf.DUMMYFUNCTION("""COMPUTED_VALUE"""),"External Leads")</f>
        <v>External Leads</v>
      </c>
      <c r="V1544" s="124" t="str">
        <f>IFERROR(__xludf.DUMMYFUNCTION("""COMPUTED_VALUE"""),"external leads")</f>
        <v>external leads</v>
      </c>
      <c r="W1544" s="124"/>
      <c r="X1544" s="124"/>
      <c r="Y1544" s="124"/>
      <c r="Z1544" s="124">
        <f>IFERROR(__xludf.DUMMYFUNCTION("""COMPUTED_VALUE"""),5.0)</f>
        <v>5</v>
      </c>
      <c r="AA1544" s="124" t="str">
        <f>IFERROR(__xludf.DUMMYFUNCTION("""COMPUTED_VALUE"""),"Engaged")</f>
        <v>Engaged</v>
      </c>
      <c r="AB1544" s="124"/>
    </row>
    <row r="1545">
      <c r="A1545" s="126">
        <f>IFERROR(__xludf.DUMMYFUNCTION("""COMPUTED_VALUE"""),46049.0)</f>
        <v>46049</v>
      </c>
      <c r="B1545" s="124" t="str">
        <f>IFERROR(__xludf.DUMMYFUNCTION("""COMPUTED_VALUE"""),"Walk-In")</f>
        <v>Walk-In</v>
      </c>
      <c r="C1545" s="124" t="str">
        <f>IFERROR(__xludf.DUMMYFUNCTION("""COMPUTED_VALUE"""),"Prayagraj")</f>
        <v>Prayagraj</v>
      </c>
      <c r="D1545" s="124" t="str">
        <f>IFERROR(__xludf.DUMMYFUNCTION("""COMPUTED_VALUE"""),"Primary_Walkin")</f>
        <v>Primary_Walkin</v>
      </c>
      <c r="E1545" s="124">
        <f>IFERROR(__xludf.DUMMYFUNCTION("""COMPUTED_VALUE"""),1.0)</f>
        <v>1</v>
      </c>
      <c r="F1545" s="124" t="str">
        <f>IFERROR(__xludf.DUMMYFUNCTION("""COMPUTED_VALUE"""),"Enrolled")</f>
        <v>Enrolled</v>
      </c>
      <c r="G1545" s="124" t="str">
        <f>IFERROR(__xludf.DUMMYFUNCTION("""COMPUTED_VALUE"""),"GS Foundation")</f>
        <v>GS Foundation</v>
      </c>
      <c r="K1545" s="124"/>
      <c r="L1545" s="124"/>
      <c r="M1545" s="124"/>
      <c r="N1545" s="124"/>
      <c r="O1545" s="124"/>
      <c r="T1545" s="126">
        <f>IFERROR(__xludf.DUMMYFUNCTION("""COMPUTED_VALUE"""),46080.0)</f>
        <v>46080</v>
      </c>
      <c r="U1545" s="124" t="str">
        <f>IFERROR(__xludf.DUMMYFUNCTION("""COMPUTED_VALUE"""),"Publisher Campaign")</f>
        <v>Publisher Campaign</v>
      </c>
      <c r="V1545" s="124" t="str">
        <f>IFERROR(__xludf.DUMMYFUNCTION("""COMPUTED_VALUE"""),"Webinar")</f>
        <v>Webinar</v>
      </c>
      <c r="W1545" s="124"/>
      <c r="X1545" s="124"/>
      <c r="Y1545" s="124" t="str">
        <f>IFERROR(__xludf.DUMMYFUNCTION("""COMPUTED_VALUE"""),"Delhi")</f>
        <v>Delhi</v>
      </c>
      <c r="Z1545" s="124">
        <f>IFERROR(__xludf.DUMMYFUNCTION("""COMPUTED_VALUE"""),3.0)</f>
        <v>3</v>
      </c>
      <c r="AA1545" s="124" t="str">
        <f>IFERROR(__xludf.DUMMYFUNCTION("""COMPUTED_VALUE"""),"Not Interested")</f>
        <v>Not Interested</v>
      </c>
      <c r="AB1545" s="124" t="str">
        <f>IFERROR(__xludf.DUMMYFUNCTION("""COMPUTED_VALUE"""),"GS Advanced")</f>
        <v>GS Advanced</v>
      </c>
    </row>
    <row r="1546">
      <c r="A1546" s="126">
        <f>IFERROR(__xludf.DUMMYFUNCTION("""COMPUTED_VALUE"""),46044.0)</f>
        <v>46044</v>
      </c>
      <c r="B1546" s="124" t="str">
        <f>IFERROR(__xludf.DUMMYFUNCTION("""COMPUTED_VALUE"""),"Walkin")</f>
        <v>Walkin</v>
      </c>
      <c r="C1546" s="124" t="str">
        <f>IFERROR(__xludf.DUMMYFUNCTION("""COMPUTED_VALUE"""),"Prayagraj")</f>
        <v>Prayagraj</v>
      </c>
      <c r="D1546" s="124" t="str">
        <f>IFERROR(__xludf.DUMMYFUNCTION("""COMPUTED_VALUE"""),"Primary_Walkin")</f>
        <v>Primary_Walkin</v>
      </c>
      <c r="E1546" s="124">
        <f>IFERROR(__xludf.DUMMYFUNCTION("""COMPUTED_VALUE"""),3.0)</f>
        <v>3</v>
      </c>
      <c r="F1546" s="124" t="str">
        <f>IFERROR(__xludf.DUMMYFUNCTION("""COMPUTED_VALUE"""),"Cold")</f>
        <v>Cold</v>
      </c>
      <c r="G1546" s="124" t="str">
        <f>IFERROR(__xludf.DUMMYFUNCTION("""COMPUTED_VALUE"""),"State PCS")</f>
        <v>State PCS</v>
      </c>
      <c r="K1546" s="124"/>
      <c r="L1546" s="124"/>
      <c r="M1546" s="124"/>
      <c r="N1546" s="124"/>
      <c r="O1546" s="124"/>
      <c r="T1546" s="129">
        <f>IFERROR(__xludf.DUMMYFUNCTION("""COMPUTED_VALUE"""),46088.0)</f>
        <v>46088</v>
      </c>
      <c r="U1546" s="124" t="str">
        <f>IFERROR(__xludf.DUMMYFUNCTION("""COMPUTED_VALUE"""),"Publisher Campaign")</f>
        <v>Publisher Campaign</v>
      </c>
      <c r="V1546" s="124" t="str">
        <f>IFERROR(__xludf.DUMMYFUNCTION("""COMPUTED_VALUE"""),"Feeder Cities")</f>
        <v>Feeder Cities</v>
      </c>
      <c r="W1546" s="124"/>
      <c r="X1546" s="124"/>
      <c r="Y1546" s="124" t="str">
        <f>IFERROR(__xludf.DUMMYFUNCTION("""COMPUTED_VALUE"""),"Indore")</f>
        <v>Indore</v>
      </c>
      <c r="Z1546" s="124">
        <f>IFERROR(__xludf.DUMMYFUNCTION("""COMPUTED_VALUE"""),1.0)</f>
        <v>1</v>
      </c>
      <c r="AA1546" s="124"/>
      <c r="AB1546" s="124" t="str">
        <f>IFERROR(__xludf.DUMMYFUNCTION("""COMPUTED_VALUE"""),"State PCS")</f>
        <v>State PCS</v>
      </c>
    </row>
    <row r="1547">
      <c r="A1547" s="126">
        <f>IFERROR(__xludf.DUMMYFUNCTION("""COMPUTED_VALUE"""),46067.0)</f>
        <v>46067</v>
      </c>
      <c r="B1547" s="124" t="str">
        <f>IFERROR(__xludf.DUMMYFUNCTION("""COMPUTED_VALUE"""),"Walk-In")</f>
        <v>Walk-In</v>
      </c>
      <c r="C1547" s="124" t="str">
        <f>IFERROR(__xludf.DUMMYFUNCTION("""COMPUTED_VALUE"""),"Prayagraj")</f>
        <v>Prayagraj</v>
      </c>
      <c r="D1547" s="124" t="str">
        <f>IFERROR(__xludf.DUMMYFUNCTION("""COMPUTED_VALUE"""),"Primary_Walkin")</f>
        <v>Primary_Walkin</v>
      </c>
      <c r="E1547" s="124">
        <f>IFERROR(__xludf.DUMMYFUNCTION("""COMPUTED_VALUE"""),2.0)</f>
        <v>2</v>
      </c>
      <c r="F1547" s="124" t="str">
        <f>IFERROR(__xludf.DUMMYFUNCTION("""COMPUTED_VALUE"""),"Not Interested")</f>
        <v>Not Interested</v>
      </c>
      <c r="G1547" s="124" t="str">
        <f>IFERROR(__xludf.DUMMYFUNCTION("""COMPUTED_VALUE"""),"State PCS")</f>
        <v>State PCS</v>
      </c>
      <c r="K1547" s="124"/>
      <c r="L1547" s="124"/>
      <c r="M1547" s="124"/>
      <c r="N1547" s="124"/>
      <c r="O1547" s="124"/>
      <c r="T1547" s="126">
        <f>IFERROR(__xludf.DUMMYFUNCTION("""COMPUTED_VALUE"""),46061.0)</f>
        <v>46061</v>
      </c>
      <c r="U1547" s="124" t="str">
        <f>IFERROR(__xludf.DUMMYFUNCTION("""COMPUTED_VALUE"""),"Walk-Ins")</f>
        <v>Walk-Ins</v>
      </c>
      <c r="V1547" s="124" t="str">
        <f>IFERROR(__xludf.DUMMYFUNCTION("""COMPUTED_VALUE"""),"Walk-In")</f>
        <v>Walk-In</v>
      </c>
      <c r="W1547" s="124" t="str">
        <f>IFERROR(__xludf.DUMMYFUNCTION("""COMPUTED_VALUE"""),"Indore")</f>
        <v>Indore</v>
      </c>
      <c r="X1547" s="124" t="str">
        <f>IFERROR(__xludf.DUMMYFUNCTION("""COMPUTED_VALUE"""),"Indore")</f>
        <v>Indore</v>
      </c>
      <c r="Y1547" s="124" t="str">
        <f>IFERROR(__xludf.DUMMYFUNCTION("""COMPUTED_VALUE"""),"Indore")</f>
        <v>Indore</v>
      </c>
      <c r="Z1547" s="124">
        <f>IFERROR(__xludf.DUMMYFUNCTION("""COMPUTED_VALUE"""),1.0)</f>
        <v>1</v>
      </c>
      <c r="AA1547" s="124" t="str">
        <f>IFERROR(__xludf.DUMMYFUNCTION("""COMPUTED_VALUE"""),"Cold")</f>
        <v>Cold</v>
      </c>
      <c r="AB1547" s="124" t="str">
        <f>IFERROR(__xludf.DUMMYFUNCTION("""COMPUTED_VALUE"""),"GS Foundation")</f>
        <v>GS Foundation</v>
      </c>
    </row>
    <row r="1548">
      <c r="A1548" s="126">
        <f>IFERROR(__xludf.DUMMYFUNCTION("""COMPUTED_VALUE"""),46052.0)</f>
        <v>46052</v>
      </c>
      <c r="B1548" s="124" t="str">
        <f>IFERROR(__xludf.DUMMYFUNCTION("""COMPUTED_VALUE"""),"Walkin")</f>
        <v>Walkin</v>
      </c>
      <c r="C1548" s="124" t="str">
        <f>IFERROR(__xludf.DUMMYFUNCTION("""COMPUTED_VALUE"""),"Prayagraj")</f>
        <v>Prayagraj</v>
      </c>
      <c r="D1548" s="124" t="str">
        <f>IFERROR(__xludf.DUMMYFUNCTION("""COMPUTED_VALUE"""),"Primary_Walkin")</f>
        <v>Primary_Walkin</v>
      </c>
      <c r="E1548" s="124">
        <f>IFERROR(__xludf.DUMMYFUNCTION("""COMPUTED_VALUE"""),2.0)</f>
        <v>2</v>
      </c>
      <c r="F1548" s="124" t="str">
        <f>IFERROR(__xludf.DUMMYFUNCTION("""COMPUTED_VALUE"""),"Cold")</f>
        <v>Cold</v>
      </c>
      <c r="G1548" s="124" t="str">
        <f>IFERROR(__xludf.DUMMYFUNCTION("""COMPUTED_VALUE"""),"GS Foundation")</f>
        <v>GS Foundation</v>
      </c>
      <c r="K1548" s="124"/>
      <c r="L1548" s="124"/>
      <c r="M1548" s="124"/>
      <c r="N1548" s="124"/>
      <c r="O1548" s="124"/>
      <c r="T1548" s="126">
        <f>IFERROR(__xludf.DUMMYFUNCTION("""COMPUTED_VALUE"""),46060.0)</f>
        <v>46060</v>
      </c>
      <c r="U1548" s="124" t="str">
        <f>IFERROR(__xludf.DUMMYFUNCTION("""COMPUTED_VALUE"""),"Publisher Campaign")</f>
        <v>Publisher Campaign</v>
      </c>
      <c r="V1548" s="124" t="str">
        <f>IFERROR(__xludf.DUMMYFUNCTION("""COMPUTED_VALUE"""),"Webinar")</f>
        <v>Webinar</v>
      </c>
      <c r="W1548" s="124"/>
      <c r="X1548" s="124"/>
      <c r="Y1548" s="124" t="str">
        <f>IFERROR(__xludf.DUMMYFUNCTION("""COMPUTED_VALUE"""),"Lucknow")</f>
        <v>Lucknow</v>
      </c>
      <c r="Z1548" s="124">
        <f>IFERROR(__xludf.DUMMYFUNCTION("""COMPUTED_VALUE"""),1.0)</f>
        <v>1</v>
      </c>
      <c r="AA1548" s="124" t="str">
        <f>IFERROR(__xludf.DUMMYFUNCTION("""COMPUTED_VALUE"""),"Cold")</f>
        <v>Cold</v>
      </c>
      <c r="AB1548" s="124" t="str">
        <f>IFERROR(__xludf.DUMMYFUNCTION("""COMPUTED_VALUE"""),"State PCS")</f>
        <v>State PCS</v>
      </c>
    </row>
    <row r="1549">
      <c r="A1549" s="129">
        <f>IFERROR(__xludf.DUMMYFUNCTION("""COMPUTED_VALUE"""),46091.0)</f>
        <v>46091</v>
      </c>
      <c r="B1549" s="124" t="str">
        <f>IFERROR(__xludf.DUMMYFUNCTION("""COMPUTED_VALUE"""),"Walkin")</f>
        <v>Walkin</v>
      </c>
      <c r="C1549" s="124" t="str">
        <f>IFERROR(__xludf.DUMMYFUNCTION("""COMPUTED_VALUE"""),"Prayagraj")</f>
        <v>Prayagraj</v>
      </c>
      <c r="D1549" s="124" t="str">
        <f>IFERROR(__xludf.DUMMYFUNCTION("""COMPUTED_VALUE"""),"Primary_Walkin")</f>
        <v>Primary_Walkin</v>
      </c>
      <c r="E1549" s="124">
        <f>IFERROR(__xludf.DUMMYFUNCTION("""COMPUTED_VALUE"""),1.0)</f>
        <v>1</v>
      </c>
      <c r="F1549" s="124" t="str">
        <f>IFERROR(__xludf.DUMMYFUNCTION("""COMPUTED_VALUE"""),"Warm")</f>
        <v>Warm</v>
      </c>
      <c r="G1549" s="124" t="str">
        <f>IFERROR(__xludf.DUMMYFUNCTION("""COMPUTED_VALUE"""),"GS Foundation")</f>
        <v>GS Foundation</v>
      </c>
      <c r="K1549" s="124"/>
      <c r="L1549" s="124"/>
      <c r="M1549" s="124"/>
      <c r="N1549" s="124"/>
      <c r="O1549" s="124"/>
      <c r="T1549" s="126">
        <f>IFERROR(__xludf.DUMMYFUNCTION("""COMPUTED_VALUE"""),46087.0)</f>
        <v>46087</v>
      </c>
      <c r="U1549" s="124" t="str">
        <f>IFERROR(__xludf.DUMMYFUNCTION("""COMPUTED_VALUE"""),"Publisher Campaign")</f>
        <v>Publisher Campaign</v>
      </c>
      <c r="V1549" s="124" t="str">
        <f>IFERROR(__xludf.DUMMYFUNCTION("""COMPUTED_VALUE"""),"Webinar")</f>
        <v>Webinar</v>
      </c>
      <c r="W1549" s="124"/>
      <c r="X1549" s="124"/>
      <c r="Y1549" s="124" t="str">
        <f>IFERROR(__xludf.DUMMYFUNCTION("""COMPUTED_VALUE"""),"Delhi")</f>
        <v>Delhi</v>
      </c>
      <c r="Z1549" s="124">
        <f>IFERROR(__xludf.DUMMYFUNCTION("""COMPUTED_VALUE"""),6.0)</f>
        <v>6</v>
      </c>
      <c r="AA1549" s="124" t="str">
        <f>IFERROR(__xludf.DUMMYFUNCTION("""COMPUTED_VALUE"""),"Cold")</f>
        <v>Cold</v>
      </c>
      <c r="AB1549" s="124" t="str">
        <f>IFERROR(__xludf.DUMMYFUNCTION("""COMPUTED_VALUE"""),"Other")</f>
        <v>Other</v>
      </c>
    </row>
    <row r="1550">
      <c r="A1550" s="126">
        <f>IFERROR(__xludf.DUMMYFUNCTION("""COMPUTED_VALUE"""),46068.0)</f>
        <v>46068</v>
      </c>
      <c r="B1550" s="124" t="str">
        <f>IFERROR(__xludf.DUMMYFUNCTION("""COMPUTED_VALUE"""),"external leads")</f>
        <v>external leads</v>
      </c>
      <c r="C1550" s="124" t="str">
        <f>IFERROR(__xludf.DUMMYFUNCTION("""COMPUTED_VALUE"""),"Prayagraj")</f>
        <v>Prayagraj</v>
      </c>
      <c r="D1550" s="124" t="str">
        <f>IFERROR(__xludf.DUMMYFUNCTION("""COMPUTED_VALUE"""),"Secondary_Walkin")</f>
        <v>Secondary_Walkin</v>
      </c>
      <c r="E1550" s="124">
        <f>IFERROR(__xludf.DUMMYFUNCTION("""COMPUTED_VALUE"""),1.0)</f>
        <v>1</v>
      </c>
      <c r="F1550" s="124" t="str">
        <f>IFERROR(__xludf.DUMMYFUNCTION("""COMPUTED_VALUE"""),"Cold")</f>
        <v>Cold</v>
      </c>
      <c r="G1550" s="124" t="str">
        <f>IFERROR(__xludf.DUMMYFUNCTION("""COMPUTED_VALUE"""),"Mentorship")</f>
        <v>Mentorship</v>
      </c>
      <c r="K1550" s="124"/>
      <c r="L1550" s="124"/>
      <c r="M1550" s="124"/>
      <c r="N1550" s="124"/>
      <c r="O1550" s="124"/>
      <c r="T1550" s="126">
        <f>IFERROR(__xludf.DUMMYFUNCTION("""COMPUTED_VALUE"""),46071.0)</f>
        <v>46071</v>
      </c>
      <c r="U1550" s="124" t="str">
        <f>IFERROR(__xludf.DUMMYFUNCTION("""COMPUTED_VALUE"""),"Publisher Campaign")</f>
        <v>Publisher Campaign</v>
      </c>
      <c r="V1550" s="124" t="str">
        <f>IFERROR(__xludf.DUMMYFUNCTION("""COMPUTED_VALUE"""),"Feeder Cities")</f>
        <v>Feeder Cities</v>
      </c>
      <c r="W1550" s="124"/>
      <c r="X1550" s="124"/>
      <c r="Y1550" s="124" t="str">
        <f>IFERROR(__xludf.DUMMYFUNCTION("""COMPUTED_VALUE"""),"Indore")</f>
        <v>Indore</v>
      </c>
      <c r="Z1550" s="124">
        <f>IFERROR(__xludf.DUMMYFUNCTION("""COMPUTED_VALUE"""),8.0)</f>
        <v>8</v>
      </c>
      <c r="AA1550" s="124" t="str">
        <f>IFERROR(__xludf.DUMMYFUNCTION("""COMPUTED_VALUE"""),"Cold")</f>
        <v>Cold</v>
      </c>
      <c r="AB1550" s="124" t="str">
        <f>IFERROR(__xludf.DUMMYFUNCTION("""COMPUTED_VALUE"""),"State PCS")</f>
        <v>State PCS</v>
      </c>
    </row>
    <row r="1551">
      <c r="A1551" s="129">
        <f>IFERROR(__xludf.DUMMYFUNCTION("""COMPUTED_VALUE"""),46063.0)</f>
        <v>46063</v>
      </c>
      <c r="B1551" s="124" t="str">
        <f>IFERROR(__xludf.DUMMYFUNCTION("""COMPUTED_VALUE"""),"Walk-In")</f>
        <v>Walk-In</v>
      </c>
      <c r="C1551" s="124" t="str">
        <f>IFERROR(__xludf.DUMMYFUNCTION("""COMPUTED_VALUE"""),"Prayagraj")</f>
        <v>Prayagraj</v>
      </c>
      <c r="D1551" s="124" t="str">
        <f>IFERROR(__xludf.DUMMYFUNCTION("""COMPUTED_VALUE"""),"Primary_Walkin")</f>
        <v>Primary_Walkin</v>
      </c>
      <c r="E1551" s="124">
        <f>IFERROR(__xludf.DUMMYFUNCTION("""COMPUTED_VALUE"""),1.0)</f>
        <v>1</v>
      </c>
      <c r="F1551" s="124" t="str">
        <f>IFERROR(__xludf.DUMMYFUNCTION("""COMPUTED_VALUE"""),"Cold")</f>
        <v>Cold</v>
      </c>
      <c r="G1551" s="124" t="str">
        <f>IFERROR(__xludf.DUMMYFUNCTION("""COMPUTED_VALUE"""),"GS Foundation")</f>
        <v>GS Foundation</v>
      </c>
      <c r="K1551" s="124"/>
      <c r="L1551" s="124"/>
      <c r="M1551" s="124"/>
      <c r="N1551" s="124"/>
      <c r="O1551" s="124"/>
      <c r="T1551" s="126">
        <f>IFERROR(__xludf.DUMMYFUNCTION("""COMPUTED_VALUE"""),46079.0)</f>
        <v>46079</v>
      </c>
      <c r="U1551" s="124" t="str">
        <f>IFERROR(__xludf.DUMMYFUNCTION("""COMPUTED_VALUE"""),"Publisher Campaign")</f>
        <v>Publisher Campaign</v>
      </c>
      <c r="V1551" s="124" t="str">
        <f>IFERROR(__xludf.DUMMYFUNCTION("""COMPUTED_VALUE"""),"Webinar")</f>
        <v>Webinar</v>
      </c>
      <c r="W1551" s="124"/>
      <c r="X1551" s="124"/>
      <c r="Y1551" s="124" t="str">
        <f>IFERROR(__xludf.DUMMYFUNCTION("""COMPUTED_VALUE"""),"Patna")</f>
        <v>Patna</v>
      </c>
      <c r="Z1551" s="124">
        <f>IFERROR(__xludf.DUMMYFUNCTION("""COMPUTED_VALUE"""),1.0)</f>
        <v>1</v>
      </c>
      <c r="AA1551" s="124" t="str">
        <f>IFERROR(__xludf.DUMMYFUNCTION("""COMPUTED_VALUE"""),"Cold")</f>
        <v>Cold</v>
      </c>
      <c r="AB1551" s="124" t="str">
        <f>IFERROR(__xludf.DUMMYFUNCTION("""COMPUTED_VALUE"""),"GS Advanced")</f>
        <v>GS Advanced</v>
      </c>
    </row>
    <row r="1552">
      <c r="A1552" s="126">
        <f>IFERROR(__xludf.DUMMYFUNCTION("""COMPUTED_VALUE"""),46069.0)</f>
        <v>46069</v>
      </c>
      <c r="B1552" s="124" t="str">
        <f>IFERROR(__xludf.DUMMYFUNCTION("""COMPUTED_VALUE"""),"Walk-In")</f>
        <v>Walk-In</v>
      </c>
      <c r="C1552" s="124" t="str">
        <f>IFERROR(__xludf.DUMMYFUNCTION("""COMPUTED_VALUE"""),"Delhi")</f>
        <v>Delhi</v>
      </c>
      <c r="D1552" s="124" t="str">
        <f>IFERROR(__xludf.DUMMYFUNCTION("""COMPUTED_VALUE"""),"Primary_Walkin")</f>
        <v>Primary_Walkin</v>
      </c>
      <c r="E1552" s="124">
        <f>IFERROR(__xludf.DUMMYFUNCTION("""COMPUTED_VALUE"""),1.0)</f>
        <v>1</v>
      </c>
      <c r="F1552" s="124" t="str">
        <f>IFERROR(__xludf.DUMMYFUNCTION("""COMPUTED_VALUE"""),"Fake Lead")</f>
        <v>Fake Lead</v>
      </c>
      <c r="G1552" s="124" t="str">
        <f>IFERROR(__xludf.DUMMYFUNCTION("""COMPUTED_VALUE"""),"GS Foundation")</f>
        <v>GS Foundation</v>
      </c>
      <c r="K1552" s="124"/>
      <c r="L1552" s="124"/>
      <c r="M1552" s="124"/>
      <c r="N1552" s="124"/>
      <c r="O1552" s="124"/>
      <c r="T1552" s="129">
        <f>IFERROR(__xludf.DUMMYFUNCTION("""COMPUTED_VALUE"""),46092.0)</f>
        <v>46092</v>
      </c>
      <c r="U1552" s="124" t="str">
        <f>IFERROR(__xludf.DUMMYFUNCTION("""COMPUTED_VALUE"""),"Publisher Campaign")</f>
        <v>Publisher Campaign</v>
      </c>
      <c r="V1552" s="124" t="str">
        <f>IFERROR(__xludf.DUMMYFUNCTION("""COMPUTED_VALUE"""),"BTL Activities")</f>
        <v>BTL Activities</v>
      </c>
      <c r="W1552" s="124"/>
      <c r="X1552" s="124"/>
      <c r="Y1552" s="124" t="str">
        <f>IFERROR(__xludf.DUMMYFUNCTION("""COMPUTED_VALUE"""),"Prayagraj")</f>
        <v>Prayagraj</v>
      </c>
      <c r="Z1552" s="124">
        <f>IFERROR(__xludf.DUMMYFUNCTION("""COMPUTED_VALUE"""),1.0)</f>
        <v>1</v>
      </c>
      <c r="AA1552" s="124" t="str">
        <f>IFERROR(__xludf.DUMMYFUNCTION("""COMPUTED_VALUE"""),"Enrolled")</f>
        <v>Enrolled</v>
      </c>
      <c r="AB1552" s="124" t="str">
        <f>IFERROR(__xludf.DUMMYFUNCTION("""COMPUTED_VALUE"""),"Mentorship")</f>
        <v>Mentorship</v>
      </c>
    </row>
    <row r="1553">
      <c r="A1553" s="129">
        <f>IFERROR(__xludf.DUMMYFUNCTION("""COMPUTED_VALUE"""),46047.0)</f>
        <v>46047</v>
      </c>
      <c r="B1553" s="124" t="str">
        <f>IFERROR(__xludf.DUMMYFUNCTION("""COMPUTED_VALUE"""),"Walkin")</f>
        <v>Walkin</v>
      </c>
      <c r="C1553" s="124" t="str">
        <f>IFERROR(__xludf.DUMMYFUNCTION("""COMPUTED_VALUE"""),"Delhi")</f>
        <v>Delhi</v>
      </c>
      <c r="D1553" s="124" t="str">
        <f>IFERROR(__xludf.DUMMYFUNCTION("""COMPUTED_VALUE"""),"Primary_Walkin")</f>
        <v>Primary_Walkin</v>
      </c>
      <c r="E1553" s="124">
        <f>IFERROR(__xludf.DUMMYFUNCTION("""COMPUTED_VALUE"""),2.0)</f>
        <v>2</v>
      </c>
      <c r="F1553" s="124" t="str">
        <f>IFERROR(__xludf.DUMMYFUNCTION("""COMPUTED_VALUE"""),"Fake Lead")</f>
        <v>Fake Lead</v>
      </c>
      <c r="G1553" s="124" t="str">
        <f>IFERROR(__xludf.DUMMYFUNCTION("""COMPUTED_VALUE"""),"GS Foundation")</f>
        <v>GS Foundation</v>
      </c>
      <c r="K1553" s="124"/>
      <c r="L1553" s="124"/>
      <c r="M1553" s="124"/>
      <c r="N1553" s="124"/>
      <c r="O1553" s="124"/>
      <c r="T1553" s="126">
        <f>IFERROR(__xludf.DUMMYFUNCTION("""COMPUTED_VALUE"""),46061.0)</f>
        <v>46061</v>
      </c>
      <c r="U1553" s="124" t="str">
        <f>IFERROR(__xludf.DUMMYFUNCTION("""COMPUTED_VALUE"""),"Publisher Campaign")</f>
        <v>Publisher Campaign</v>
      </c>
      <c r="V1553" s="124" t="str">
        <f>IFERROR(__xludf.DUMMYFUNCTION("""COMPUTED_VALUE"""),"Webinar")</f>
        <v>Webinar</v>
      </c>
      <c r="W1553" s="124"/>
      <c r="X1553" s="124"/>
      <c r="Y1553" s="124" t="str">
        <f>IFERROR(__xludf.DUMMYFUNCTION("""COMPUTED_VALUE"""),"Lucknow")</f>
        <v>Lucknow</v>
      </c>
      <c r="Z1553" s="124">
        <f>IFERROR(__xludf.DUMMYFUNCTION("""COMPUTED_VALUE"""),1.0)</f>
        <v>1</v>
      </c>
      <c r="AA1553" s="124" t="str">
        <f>IFERROR(__xludf.DUMMYFUNCTION("""COMPUTED_VALUE"""),"Cold")</f>
        <v>Cold</v>
      </c>
      <c r="AB1553" s="124" t="str">
        <f>IFERROR(__xludf.DUMMYFUNCTION("""COMPUTED_VALUE"""),"GS Advanced")</f>
        <v>GS Advanced</v>
      </c>
    </row>
    <row r="1554">
      <c r="A1554" s="129">
        <f>IFERROR(__xludf.DUMMYFUNCTION("""COMPUTED_VALUE"""),46071.0)</f>
        <v>46071</v>
      </c>
      <c r="B1554" s="124" t="str">
        <f>IFERROR(__xludf.DUMMYFUNCTION("""COMPUTED_VALUE"""),"external leads")</f>
        <v>external leads</v>
      </c>
      <c r="C1554" s="124" t="str">
        <f>IFERROR(__xludf.DUMMYFUNCTION("""COMPUTED_VALUE"""),"Delhi")</f>
        <v>Delhi</v>
      </c>
      <c r="D1554" s="124" t="str">
        <f>IFERROR(__xludf.DUMMYFUNCTION("""COMPUTED_VALUE"""),"Secondary_Walkin")</f>
        <v>Secondary_Walkin</v>
      </c>
      <c r="E1554" s="124">
        <f>IFERROR(__xludf.DUMMYFUNCTION("""COMPUTED_VALUE"""),1.0)</f>
        <v>1</v>
      </c>
      <c r="F1554" s="124" t="str">
        <f>IFERROR(__xludf.DUMMYFUNCTION("""COMPUTED_VALUE"""),"Future Prospects")</f>
        <v>Future Prospects</v>
      </c>
      <c r="G1554" s="124" t="str">
        <f>IFERROR(__xludf.DUMMYFUNCTION("""COMPUTED_VALUE"""),"GS Foundation")</f>
        <v>GS Foundation</v>
      </c>
      <c r="K1554" s="124"/>
      <c r="L1554" s="124"/>
      <c r="M1554" s="124"/>
      <c r="N1554" s="124"/>
      <c r="O1554" s="124"/>
      <c r="T1554" s="126">
        <f>IFERROR(__xludf.DUMMYFUNCTION("""COMPUTED_VALUE"""),46068.0)</f>
        <v>46068</v>
      </c>
      <c r="U1554" s="124" t="str">
        <f>IFERROR(__xludf.DUMMYFUNCTION("""COMPUTED_VALUE"""),"Publisher Campaign")</f>
        <v>Publisher Campaign</v>
      </c>
      <c r="V1554" s="124" t="str">
        <f>IFERROR(__xludf.DUMMYFUNCTION("""COMPUTED_VALUE"""),"Webinar")</f>
        <v>Webinar</v>
      </c>
      <c r="W1554" s="124"/>
      <c r="X1554" s="124"/>
      <c r="Y1554" s="124" t="str">
        <f>IFERROR(__xludf.DUMMYFUNCTION("""COMPUTED_VALUE"""),"Delhi")</f>
        <v>Delhi</v>
      </c>
      <c r="Z1554" s="124">
        <f>IFERROR(__xludf.DUMMYFUNCTION("""COMPUTED_VALUE"""),4.0)</f>
        <v>4</v>
      </c>
      <c r="AA1554" s="124" t="str">
        <f>IFERROR(__xludf.DUMMYFUNCTION("""COMPUTED_VALUE"""),"Cold")</f>
        <v>Cold</v>
      </c>
      <c r="AB1554" s="124" t="str">
        <f>IFERROR(__xludf.DUMMYFUNCTION("""COMPUTED_VALUE"""),"Test Series")</f>
        <v>Test Series</v>
      </c>
    </row>
    <row r="1555">
      <c r="A1555" s="129">
        <f>IFERROR(__xludf.DUMMYFUNCTION("""COMPUTED_VALUE"""),46107.0)</f>
        <v>46107</v>
      </c>
      <c r="B1555" s="124" t="str">
        <f>IFERROR(__xludf.DUMMYFUNCTION("""COMPUTED_VALUE"""),"Walkin")</f>
        <v>Walkin</v>
      </c>
      <c r="C1555" s="124" t="str">
        <f>IFERROR(__xludf.DUMMYFUNCTION("""COMPUTED_VALUE"""),"Delhi")</f>
        <v>Delhi</v>
      </c>
      <c r="D1555" s="124" t="str">
        <f>IFERROR(__xludf.DUMMYFUNCTION("""COMPUTED_VALUE"""),"Primary_Walkin")</f>
        <v>Primary_Walkin</v>
      </c>
      <c r="E1555" s="124">
        <f>IFERROR(__xludf.DUMMYFUNCTION("""COMPUTED_VALUE"""),1.0)</f>
        <v>1</v>
      </c>
      <c r="F1555" s="124" t="str">
        <f>IFERROR(__xludf.DUMMYFUNCTION("""COMPUTED_VALUE"""),"Enrolled")</f>
        <v>Enrolled</v>
      </c>
      <c r="G1555" s="124" t="str">
        <f>IFERROR(__xludf.DUMMYFUNCTION("""COMPUTED_VALUE"""),"GS Foundation")</f>
        <v>GS Foundation</v>
      </c>
      <c r="K1555" s="124"/>
      <c r="L1555" s="124"/>
      <c r="M1555" s="124"/>
      <c r="N1555" s="124"/>
      <c r="O1555" s="124"/>
      <c r="T1555" s="126">
        <f>IFERROR(__xludf.DUMMYFUNCTION("""COMPUTED_VALUE"""),46107.0)</f>
        <v>46107</v>
      </c>
      <c r="U1555" s="124" t="str">
        <f>IFERROR(__xludf.DUMMYFUNCTION("""COMPUTED_VALUE"""),"Other Marketing Channels")</f>
        <v>Other Marketing Channels</v>
      </c>
      <c r="V1555" s="124" t="str">
        <f>IFERROR(__xludf.DUMMYFUNCTION("""COMPUTED_VALUE"""),"Online Leads")</f>
        <v>Online Leads</v>
      </c>
      <c r="W1555" s="124" t="str">
        <f>IFERROR(__xludf.DUMMYFUNCTION("""COMPUTED_VALUE"""),"Existing Students")</f>
        <v>Existing Students</v>
      </c>
      <c r="X1555" s="124" t="str">
        <f>IFERROR(__xludf.DUMMYFUNCTION("""COMPUTED_VALUE"""),"Lucknow")</f>
        <v>Lucknow</v>
      </c>
      <c r="Y1555" s="124" t="str">
        <f>IFERROR(__xludf.DUMMYFUNCTION("""COMPUTED_VALUE"""),"Lucknow")</f>
        <v>Lucknow</v>
      </c>
      <c r="Z1555" s="124">
        <f>IFERROR(__xludf.DUMMYFUNCTION("""COMPUTED_VALUE"""),1.0)</f>
        <v>1</v>
      </c>
      <c r="AA1555" s="124" t="str">
        <f>IFERROR(__xludf.DUMMYFUNCTION("""COMPUTED_VALUE"""),"Enrolled")</f>
        <v>Enrolled</v>
      </c>
      <c r="AB1555" s="124" t="str">
        <f>IFERROR(__xludf.DUMMYFUNCTION("""COMPUTED_VALUE"""),"GS Foundation")</f>
        <v>GS Foundation</v>
      </c>
    </row>
    <row r="1556">
      <c r="A1556" s="126">
        <f>IFERROR(__xludf.DUMMYFUNCTION("""COMPUTED_VALUE"""),46079.0)</f>
        <v>46079</v>
      </c>
      <c r="B1556" s="124" t="str">
        <f>IFERROR(__xludf.DUMMYFUNCTION("""COMPUTED_VALUE"""),"Events")</f>
        <v>Events</v>
      </c>
      <c r="C1556" s="124" t="str">
        <f>IFERROR(__xludf.DUMMYFUNCTION("""COMPUTED_VALUE"""),"Delhi")</f>
        <v>Delhi</v>
      </c>
      <c r="D1556" s="124" t="str">
        <f>IFERROR(__xludf.DUMMYFUNCTION("""COMPUTED_VALUE"""),"Secondary_Walkin")</f>
        <v>Secondary_Walkin</v>
      </c>
      <c r="E1556" s="124">
        <f>IFERROR(__xludf.DUMMYFUNCTION("""COMPUTED_VALUE"""),1.0)</f>
        <v>1</v>
      </c>
      <c r="F1556" s="124" t="str">
        <f>IFERROR(__xludf.DUMMYFUNCTION("""COMPUTED_VALUE"""),"Cold")</f>
        <v>Cold</v>
      </c>
      <c r="G1556" s="124" t="str">
        <f>IFERROR(__xludf.DUMMYFUNCTION("""COMPUTED_VALUE"""),"Hybrid")</f>
        <v>Hybrid</v>
      </c>
      <c r="K1556" s="124"/>
      <c r="L1556" s="124"/>
      <c r="M1556" s="124"/>
      <c r="N1556" s="124"/>
      <c r="O1556" s="124"/>
      <c r="T1556" s="129">
        <f>IFERROR(__xludf.DUMMYFUNCTION("""COMPUTED_VALUE"""),46061.0)</f>
        <v>46061</v>
      </c>
      <c r="U1556" s="124" t="str">
        <f>IFERROR(__xludf.DUMMYFUNCTION("""COMPUTED_VALUE"""),"Publisher Campaign")</f>
        <v>Publisher Campaign</v>
      </c>
      <c r="V1556" s="124" t="str">
        <f>IFERROR(__xludf.DUMMYFUNCTION("""COMPUTED_VALUE"""),"Webinar")</f>
        <v>Webinar</v>
      </c>
      <c r="W1556" s="124"/>
      <c r="X1556" s="124"/>
      <c r="Y1556" s="124" t="str">
        <f>IFERROR(__xludf.DUMMYFUNCTION("""COMPUTED_VALUE"""),"Lucknow")</f>
        <v>Lucknow</v>
      </c>
      <c r="Z1556" s="124">
        <f>IFERROR(__xludf.DUMMYFUNCTION("""COMPUTED_VALUE"""),1.0)</f>
        <v>1</v>
      </c>
      <c r="AA1556" s="124" t="str">
        <f>IFERROR(__xludf.DUMMYFUNCTION("""COMPUTED_VALUE"""),"Not Interested")</f>
        <v>Not Interested</v>
      </c>
      <c r="AB1556" s="124" t="str">
        <f>IFERROR(__xludf.DUMMYFUNCTION("""COMPUTED_VALUE"""),"Optionals")</f>
        <v>Optionals</v>
      </c>
    </row>
    <row r="1557">
      <c r="A1557" s="129">
        <f>IFERROR(__xludf.DUMMYFUNCTION("""COMPUTED_VALUE"""),46057.0)</f>
        <v>46057</v>
      </c>
      <c r="B1557" s="124" t="str">
        <f>IFERROR(__xludf.DUMMYFUNCTION("""COMPUTED_VALUE"""),"Walkin")</f>
        <v>Walkin</v>
      </c>
      <c r="C1557" s="124" t="str">
        <f>IFERROR(__xludf.DUMMYFUNCTION("""COMPUTED_VALUE"""),"Delhi")</f>
        <v>Delhi</v>
      </c>
      <c r="D1557" s="124" t="str">
        <f>IFERROR(__xludf.DUMMYFUNCTION("""COMPUTED_VALUE"""),"Primary_Walkin")</f>
        <v>Primary_Walkin</v>
      </c>
      <c r="E1557" s="124">
        <f>IFERROR(__xludf.DUMMYFUNCTION("""COMPUTED_VALUE"""),1.0)</f>
        <v>1</v>
      </c>
      <c r="F1557" s="124" t="str">
        <f>IFERROR(__xludf.DUMMYFUNCTION("""COMPUTED_VALUE"""),"Cold")</f>
        <v>Cold</v>
      </c>
      <c r="G1557" s="124" t="str">
        <f>IFERROR(__xludf.DUMMYFUNCTION("""COMPUTED_VALUE"""),"Other")</f>
        <v>Other</v>
      </c>
      <c r="K1557" s="124"/>
      <c r="L1557" s="124"/>
      <c r="M1557" s="124"/>
      <c r="N1557" s="124"/>
      <c r="O1557" s="124"/>
      <c r="T1557" s="129">
        <f>IFERROR(__xludf.DUMMYFUNCTION("""COMPUTED_VALUE"""),46061.0)</f>
        <v>46061</v>
      </c>
      <c r="U1557" s="124" t="str">
        <f>IFERROR(__xludf.DUMMYFUNCTION("""COMPUTED_VALUE"""),"Walk-Ins")</f>
        <v>Walk-Ins</v>
      </c>
      <c r="V1557" s="124" t="str">
        <f>IFERROR(__xludf.DUMMYFUNCTION("""COMPUTED_VALUE"""),"Walk-In")</f>
        <v>Walk-In</v>
      </c>
      <c r="W1557" s="124" t="str">
        <f>IFERROR(__xludf.DUMMYFUNCTION("""COMPUTED_VALUE"""),"Indore")</f>
        <v>Indore</v>
      </c>
      <c r="X1557" s="124" t="str">
        <f>IFERROR(__xludf.DUMMYFUNCTION("""COMPUTED_VALUE"""),"Indore")</f>
        <v>Indore</v>
      </c>
      <c r="Y1557" s="124" t="str">
        <f>IFERROR(__xludf.DUMMYFUNCTION("""COMPUTED_VALUE"""),"Indore")</f>
        <v>Indore</v>
      </c>
      <c r="Z1557" s="124">
        <f>IFERROR(__xludf.DUMMYFUNCTION("""COMPUTED_VALUE"""),1.0)</f>
        <v>1</v>
      </c>
      <c r="AA1557" s="124" t="str">
        <f>IFERROR(__xludf.DUMMYFUNCTION("""COMPUTED_VALUE"""),"Not Interested")</f>
        <v>Not Interested</v>
      </c>
      <c r="AB1557" s="124" t="str">
        <f>IFERROR(__xludf.DUMMYFUNCTION("""COMPUTED_VALUE"""),"State PCS")</f>
        <v>State PCS</v>
      </c>
    </row>
    <row r="1558">
      <c r="A1558" s="126">
        <f>IFERROR(__xludf.DUMMYFUNCTION("""COMPUTED_VALUE"""),46086.0)</f>
        <v>46086</v>
      </c>
      <c r="B1558" s="124" t="str">
        <f>IFERROR(__xludf.DUMMYFUNCTION("""COMPUTED_VALUE"""),"Walkin")</f>
        <v>Walkin</v>
      </c>
      <c r="C1558" s="124" t="str">
        <f>IFERROR(__xludf.DUMMYFUNCTION("""COMPUTED_VALUE"""),"Delhi")</f>
        <v>Delhi</v>
      </c>
      <c r="D1558" s="124" t="str">
        <f>IFERROR(__xludf.DUMMYFUNCTION("""COMPUTED_VALUE"""),"Primary_Walkin")</f>
        <v>Primary_Walkin</v>
      </c>
      <c r="E1558" s="124">
        <f>IFERROR(__xludf.DUMMYFUNCTION("""COMPUTED_VALUE"""),1.0)</f>
        <v>1</v>
      </c>
      <c r="F1558" s="124" t="str">
        <f>IFERROR(__xludf.DUMMYFUNCTION("""COMPUTED_VALUE"""),"Future Prospects")</f>
        <v>Future Prospects</v>
      </c>
      <c r="G1558" s="124" t="str">
        <f>IFERROR(__xludf.DUMMYFUNCTION("""COMPUTED_VALUE"""),"State PCS")</f>
        <v>State PCS</v>
      </c>
      <c r="K1558" s="124"/>
      <c r="L1558" s="124"/>
      <c r="M1558" s="124"/>
      <c r="N1558" s="124"/>
      <c r="O1558" s="124"/>
      <c r="T1558" s="126">
        <f>IFERROR(__xludf.DUMMYFUNCTION("""COMPUTED_VALUE"""),46049.0)</f>
        <v>46049</v>
      </c>
      <c r="U1558" s="124" t="str">
        <f>IFERROR(__xludf.DUMMYFUNCTION("""COMPUTED_VALUE"""),"External Leads")</f>
        <v>External Leads</v>
      </c>
      <c r="V1558" s="124" t="str">
        <f>IFERROR(__xludf.DUMMYFUNCTION("""COMPUTED_VALUE"""),"external leads")</f>
        <v>external leads</v>
      </c>
      <c r="W1558" s="124"/>
      <c r="X1558" s="124"/>
      <c r="Y1558" s="124"/>
      <c r="Z1558" s="124">
        <f>IFERROR(__xludf.DUMMYFUNCTION("""COMPUTED_VALUE"""),3.0)</f>
        <v>3</v>
      </c>
      <c r="AA1558" s="124" t="str">
        <f>IFERROR(__xludf.DUMMYFUNCTION("""COMPUTED_VALUE"""),"Engaged")</f>
        <v>Engaged</v>
      </c>
      <c r="AB1558" s="124"/>
    </row>
    <row r="1559">
      <c r="A1559" s="126">
        <f>IFERROR(__xludf.DUMMYFUNCTION("""COMPUTED_VALUE"""),46047.0)</f>
        <v>46047</v>
      </c>
      <c r="B1559" s="124" t="str">
        <f>IFERROR(__xludf.DUMMYFUNCTION("""COMPUTED_VALUE"""),"Walkin")</f>
        <v>Walkin</v>
      </c>
      <c r="C1559" s="124" t="str">
        <f>IFERROR(__xludf.DUMMYFUNCTION("""COMPUTED_VALUE"""),"Delhi")</f>
        <v>Delhi</v>
      </c>
      <c r="D1559" s="124" t="str">
        <f>IFERROR(__xludf.DUMMYFUNCTION("""COMPUTED_VALUE"""),"Primary_Walkin")</f>
        <v>Primary_Walkin</v>
      </c>
      <c r="E1559" s="124">
        <f>IFERROR(__xludf.DUMMYFUNCTION("""COMPUTED_VALUE"""),1.0)</f>
        <v>1</v>
      </c>
      <c r="F1559" s="124" t="str">
        <f>IFERROR(__xludf.DUMMYFUNCTION("""COMPUTED_VALUE"""),"Enrolled")</f>
        <v>Enrolled</v>
      </c>
      <c r="G1559" s="124" t="str">
        <f>IFERROR(__xludf.DUMMYFUNCTION("""COMPUTED_VALUE"""),"Optionals")</f>
        <v>Optionals</v>
      </c>
      <c r="K1559" s="124"/>
      <c r="L1559" s="124"/>
      <c r="M1559" s="124"/>
      <c r="N1559" s="124"/>
      <c r="O1559" s="124"/>
      <c r="T1559" s="126">
        <f>IFERROR(__xludf.DUMMYFUNCTION("""COMPUTED_VALUE"""),46098.0)</f>
        <v>46098</v>
      </c>
      <c r="U1559" s="124" t="str">
        <f>IFERROR(__xludf.DUMMYFUNCTION("""COMPUTED_VALUE"""),"Libraries")</f>
        <v>Libraries</v>
      </c>
      <c r="V1559" s="124" t="str">
        <f>IFERROR(__xludf.DUMMYFUNCTION("""COMPUTED_VALUE"""),"Libraries")</f>
        <v>Libraries</v>
      </c>
      <c r="W1559" s="124"/>
      <c r="X1559" s="124"/>
      <c r="Y1559" s="124" t="str">
        <f>IFERROR(__xludf.DUMMYFUNCTION("""COMPUTED_VALUE"""),"Prayagraj")</f>
        <v>Prayagraj</v>
      </c>
      <c r="Z1559" s="124">
        <f>IFERROR(__xludf.DUMMYFUNCTION("""COMPUTED_VALUE"""),2.0)</f>
        <v>2</v>
      </c>
      <c r="AA1559" s="124" t="str">
        <f>IFERROR(__xludf.DUMMYFUNCTION("""COMPUTED_VALUE"""),"Cold")</f>
        <v>Cold</v>
      </c>
      <c r="AB1559" s="124" t="str">
        <f>IFERROR(__xludf.DUMMYFUNCTION("""COMPUTED_VALUE"""),"State PCS")</f>
        <v>State PCS</v>
      </c>
    </row>
    <row r="1560">
      <c r="A1560" s="126">
        <f>IFERROR(__xludf.DUMMYFUNCTION("""COMPUTED_VALUE"""),46049.0)</f>
        <v>46049</v>
      </c>
      <c r="B1560" s="124" t="str">
        <f>IFERROR(__xludf.DUMMYFUNCTION("""COMPUTED_VALUE"""),"Walkin")</f>
        <v>Walkin</v>
      </c>
      <c r="C1560" s="124" t="str">
        <f>IFERROR(__xludf.DUMMYFUNCTION("""COMPUTED_VALUE"""),"Delhi")</f>
        <v>Delhi</v>
      </c>
      <c r="D1560" s="124" t="str">
        <f>IFERROR(__xludf.DUMMYFUNCTION("""COMPUTED_VALUE"""),"Primary_Walkin")</f>
        <v>Primary_Walkin</v>
      </c>
      <c r="E1560" s="124">
        <f>IFERROR(__xludf.DUMMYFUNCTION("""COMPUTED_VALUE"""),7.0)</f>
        <v>7</v>
      </c>
      <c r="F1560" s="124" t="str">
        <f>IFERROR(__xludf.DUMMYFUNCTION("""COMPUTED_VALUE"""),"Cold")</f>
        <v>Cold</v>
      </c>
      <c r="G1560" s="124" t="str">
        <f>IFERROR(__xludf.DUMMYFUNCTION("""COMPUTED_VALUE"""),"GS Foundation")</f>
        <v>GS Foundation</v>
      </c>
      <c r="K1560" s="124"/>
      <c r="L1560" s="124"/>
      <c r="M1560" s="124"/>
      <c r="N1560" s="124"/>
      <c r="O1560" s="124"/>
      <c r="T1560" s="129">
        <f>IFERROR(__xludf.DUMMYFUNCTION("""COMPUTED_VALUE"""),46098.0)</f>
        <v>46098</v>
      </c>
      <c r="U1560" s="124" t="str">
        <f>IFERROR(__xludf.DUMMYFUNCTION("""COMPUTED_VALUE"""),"Libraries")</f>
        <v>Libraries</v>
      </c>
      <c r="V1560" s="124" t="str">
        <f>IFERROR(__xludf.DUMMYFUNCTION("""COMPUTED_VALUE"""),"Libraries")</f>
        <v>Libraries</v>
      </c>
      <c r="W1560" s="124"/>
      <c r="X1560" s="124"/>
      <c r="Y1560" s="124" t="str">
        <f>IFERROR(__xludf.DUMMYFUNCTION("""COMPUTED_VALUE"""),"Prayagraj")</f>
        <v>Prayagraj</v>
      </c>
      <c r="Z1560" s="124">
        <f>IFERROR(__xludf.DUMMYFUNCTION("""COMPUTED_VALUE"""),1.0)</f>
        <v>1</v>
      </c>
      <c r="AA1560" s="124" t="str">
        <f>IFERROR(__xludf.DUMMYFUNCTION("""COMPUTED_VALUE"""),"Engaged")</f>
        <v>Engaged</v>
      </c>
      <c r="AB1560" s="124" t="str">
        <f>IFERROR(__xludf.DUMMYFUNCTION("""COMPUTED_VALUE"""),"Test Series")</f>
        <v>Test Series</v>
      </c>
    </row>
    <row r="1561">
      <c r="A1561" s="126">
        <f>IFERROR(__xludf.DUMMYFUNCTION("""COMPUTED_VALUE"""),46047.0)</f>
        <v>46047</v>
      </c>
      <c r="B1561" s="124" t="str">
        <f>IFERROR(__xludf.DUMMYFUNCTION("""COMPUTED_VALUE"""),"Walkin")</f>
        <v>Walkin</v>
      </c>
      <c r="C1561" s="124" t="str">
        <f>IFERROR(__xludf.DUMMYFUNCTION("""COMPUTED_VALUE"""),"Delhi")</f>
        <v>Delhi</v>
      </c>
      <c r="D1561" s="124" t="str">
        <f>IFERROR(__xludf.DUMMYFUNCTION("""COMPUTED_VALUE"""),"Primary_Walkin")</f>
        <v>Primary_Walkin</v>
      </c>
      <c r="E1561" s="124">
        <f>IFERROR(__xludf.DUMMYFUNCTION("""COMPUTED_VALUE"""),1.0)</f>
        <v>1</v>
      </c>
      <c r="F1561" s="124" t="str">
        <f>IFERROR(__xludf.DUMMYFUNCTION("""COMPUTED_VALUE"""),"Not Interested")</f>
        <v>Not Interested</v>
      </c>
      <c r="G1561" s="124" t="str">
        <f>IFERROR(__xludf.DUMMYFUNCTION("""COMPUTED_VALUE"""),"Test Series")</f>
        <v>Test Series</v>
      </c>
      <c r="K1561" s="124"/>
      <c r="L1561" s="124"/>
      <c r="M1561" s="124"/>
      <c r="N1561" s="124"/>
      <c r="O1561" s="124"/>
      <c r="T1561" s="129">
        <f>IFERROR(__xludf.DUMMYFUNCTION("""COMPUTED_VALUE"""),46079.0)</f>
        <v>46079</v>
      </c>
      <c r="U1561" s="124" t="str">
        <f>IFERROR(__xludf.DUMMYFUNCTION("""COMPUTED_VALUE"""),"Walk-Ins")</f>
        <v>Walk-Ins</v>
      </c>
      <c r="V1561" s="124" t="str">
        <f>IFERROR(__xludf.DUMMYFUNCTION("""COMPUTED_VALUE"""),"Walkin")</f>
        <v>Walkin</v>
      </c>
      <c r="W1561" s="124"/>
      <c r="X1561" s="124"/>
      <c r="Y1561" s="124" t="str">
        <f>IFERROR(__xludf.DUMMYFUNCTION("""COMPUTED_VALUE"""),"Delhi")</f>
        <v>Delhi</v>
      </c>
      <c r="Z1561" s="124">
        <f>IFERROR(__xludf.DUMMYFUNCTION("""COMPUTED_VALUE"""),4.0)</f>
        <v>4</v>
      </c>
      <c r="AA1561" s="124" t="str">
        <f>IFERROR(__xludf.DUMMYFUNCTION("""COMPUTED_VALUE"""),"Not Interested")</f>
        <v>Not Interested</v>
      </c>
      <c r="AB1561" s="124" t="str">
        <f>IFERROR(__xludf.DUMMYFUNCTION("""COMPUTED_VALUE"""),"GS Foundation")</f>
        <v>GS Foundation</v>
      </c>
    </row>
    <row r="1562">
      <c r="A1562" s="126">
        <f>IFERROR(__xludf.DUMMYFUNCTION("""COMPUTED_VALUE"""),46095.0)</f>
        <v>46095</v>
      </c>
      <c r="B1562" s="124" t="str">
        <f>IFERROR(__xludf.DUMMYFUNCTION("""COMPUTED_VALUE"""),"Events")</f>
        <v>Events</v>
      </c>
      <c r="C1562" s="124" t="str">
        <f>IFERROR(__xludf.DUMMYFUNCTION("""COMPUTED_VALUE"""),"Delhi")</f>
        <v>Delhi</v>
      </c>
      <c r="D1562" s="124" t="str">
        <f>IFERROR(__xludf.DUMMYFUNCTION("""COMPUTED_VALUE"""),"Secondary_Walkin")</f>
        <v>Secondary_Walkin</v>
      </c>
      <c r="E1562" s="124">
        <f>IFERROR(__xludf.DUMMYFUNCTION("""COMPUTED_VALUE"""),1.0)</f>
        <v>1</v>
      </c>
      <c r="F1562" s="124" t="str">
        <f>IFERROR(__xludf.DUMMYFUNCTION("""COMPUTED_VALUE"""),"Warm")</f>
        <v>Warm</v>
      </c>
      <c r="G1562" s="124" t="str">
        <f>IFERROR(__xludf.DUMMYFUNCTION("""COMPUTED_VALUE"""),"GS Foundation")</f>
        <v>GS Foundation</v>
      </c>
      <c r="K1562" s="124"/>
      <c r="L1562" s="124"/>
      <c r="M1562" s="124"/>
      <c r="N1562" s="124"/>
      <c r="O1562" s="124"/>
      <c r="T1562" s="126">
        <f>IFERROR(__xludf.DUMMYFUNCTION("""COMPUTED_VALUE"""),46076.0)</f>
        <v>46076</v>
      </c>
      <c r="U1562" s="124" t="str">
        <f>IFERROR(__xludf.DUMMYFUNCTION("""COMPUTED_VALUE"""),"Publisher Campaign")</f>
        <v>Publisher Campaign</v>
      </c>
      <c r="V1562" s="124" t="str">
        <f>IFERROR(__xludf.DUMMYFUNCTION("""COMPUTED_VALUE"""),"Webinar")</f>
        <v>Webinar</v>
      </c>
      <c r="W1562" s="124"/>
      <c r="X1562" s="124"/>
      <c r="Y1562" s="124" t="str">
        <f>IFERROR(__xludf.DUMMYFUNCTION("""COMPUTED_VALUE"""),"Delhi")</f>
        <v>Delhi</v>
      </c>
      <c r="Z1562" s="124">
        <f>IFERROR(__xludf.DUMMYFUNCTION("""COMPUTED_VALUE"""),2.0)</f>
        <v>2</v>
      </c>
      <c r="AA1562" s="124" t="str">
        <f>IFERROR(__xludf.DUMMYFUNCTION("""COMPUTED_VALUE"""),"Warm")</f>
        <v>Warm</v>
      </c>
      <c r="AB1562" s="124" t="str">
        <f>IFERROR(__xludf.DUMMYFUNCTION("""COMPUTED_VALUE"""),"GS Foundation")</f>
        <v>GS Foundation</v>
      </c>
    </row>
    <row r="1563">
      <c r="A1563" s="129">
        <f>IFERROR(__xludf.DUMMYFUNCTION("""COMPUTED_VALUE"""),46073.0)</f>
        <v>46073</v>
      </c>
      <c r="B1563" s="124" t="str">
        <f>IFERROR(__xludf.DUMMYFUNCTION("""COMPUTED_VALUE"""),"Walk-In")</f>
        <v>Walk-In</v>
      </c>
      <c r="C1563" s="124" t="str">
        <f>IFERROR(__xludf.DUMMYFUNCTION("""COMPUTED_VALUE"""),"Delhi")</f>
        <v>Delhi</v>
      </c>
      <c r="D1563" s="124" t="str">
        <f>IFERROR(__xludf.DUMMYFUNCTION("""COMPUTED_VALUE"""),"Primary_Walkin")</f>
        <v>Primary_Walkin</v>
      </c>
      <c r="E1563" s="124">
        <f>IFERROR(__xludf.DUMMYFUNCTION("""COMPUTED_VALUE"""),1.0)</f>
        <v>1</v>
      </c>
      <c r="F1563" s="124" t="str">
        <f>IFERROR(__xludf.DUMMYFUNCTION("""COMPUTED_VALUE"""),"Enrolled")</f>
        <v>Enrolled</v>
      </c>
      <c r="G1563" s="124" t="str">
        <f>IFERROR(__xludf.DUMMYFUNCTION("""COMPUTED_VALUE"""),"GS Foundation")</f>
        <v>GS Foundation</v>
      </c>
      <c r="K1563" s="124"/>
      <c r="L1563" s="124"/>
      <c r="M1563" s="124"/>
      <c r="N1563" s="124"/>
      <c r="O1563" s="124"/>
      <c r="T1563" s="129">
        <f>IFERROR(__xludf.DUMMYFUNCTION("""COMPUTED_VALUE"""),46061.0)</f>
        <v>46061</v>
      </c>
      <c r="U1563" s="124" t="str">
        <f>IFERROR(__xludf.DUMMYFUNCTION("""COMPUTED_VALUE"""),"Publisher Campaign")</f>
        <v>Publisher Campaign</v>
      </c>
      <c r="V1563" s="124" t="str">
        <f>IFERROR(__xludf.DUMMYFUNCTION("""COMPUTED_VALUE"""),"Webinar")</f>
        <v>Webinar</v>
      </c>
      <c r="W1563" s="124"/>
      <c r="X1563" s="124"/>
      <c r="Y1563" s="124" t="str">
        <f>IFERROR(__xludf.DUMMYFUNCTION("""COMPUTED_VALUE"""),"Prayagraj")</f>
        <v>Prayagraj</v>
      </c>
      <c r="Z1563" s="124">
        <f>IFERROR(__xludf.DUMMYFUNCTION("""COMPUTED_VALUE"""),1.0)</f>
        <v>1</v>
      </c>
      <c r="AA1563" s="124" t="str">
        <f>IFERROR(__xludf.DUMMYFUNCTION("""COMPUTED_VALUE"""),"Future Prospects")</f>
        <v>Future Prospects</v>
      </c>
      <c r="AB1563" s="124" t="str">
        <f>IFERROR(__xludf.DUMMYFUNCTION("""COMPUTED_VALUE"""),"GS Foundation")</f>
        <v>GS Foundation</v>
      </c>
    </row>
    <row r="1564">
      <c r="A1564" s="126">
        <f>IFERROR(__xludf.DUMMYFUNCTION("""COMPUTED_VALUE"""),46051.0)</f>
        <v>46051</v>
      </c>
      <c r="B1564" s="124" t="str">
        <f>IFERROR(__xludf.DUMMYFUNCTION("""COMPUTED_VALUE"""),"Walk-In")</f>
        <v>Walk-In</v>
      </c>
      <c r="C1564" s="124" t="str">
        <f>IFERROR(__xludf.DUMMYFUNCTION("""COMPUTED_VALUE"""),"Delhi")</f>
        <v>Delhi</v>
      </c>
      <c r="D1564" s="124" t="str">
        <f>IFERROR(__xludf.DUMMYFUNCTION("""COMPUTED_VALUE"""),"Primary_Walkin")</f>
        <v>Primary_Walkin</v>
      </c>
      <c r="E1564" s="124">
        <f>IFERROR(__xludf.DUMMYFUNCTION("""COMPUTED_VALUE"""),1.0)</f>
        <v>1</v>
      </c>
      <c r="F1564" s="124" t="str">
        <f>IFERROR(__xludf.DUMMYFUNCTION("""COMPUTED_VALUE"""),"Enrolled")</f>
        <v>Enrolled</v>
      </c>
      <c r="G1564" s="124" t="str">
        <f>IFERROR(__xludf.DUMMYFUNCTION("""COMPUTED_VALUE"""),"GS Foundation")</f>
        <v>GS Foundation</v>
      </c>
      <c r="K1564" s="124"/>
      <c r="L1564" s="124"/>
      <c r="M1564" s="124"/>
      <c r="N1564" s="124"/>
      <c r="O1564" s="124"/>
      <c r="T1564" s="129">
        <f>IFERROR(__xludf.DUMMYFUNCTION("""COMPUTED_VALUE"""),46076.0)</f>
        <v>46076</v>
      </c>
      <c r="U1564" s="124" t="str">
        <f>IFERROR(__xludf.DUMMYFUNCTION("""COMPUTED_VALUE"""),"Publisher Campaign")</f>
        <v>Publisher Campaign</v>
      </c>
      <c r="V1564" s="124" t="str">
        <f>IFERROR(__xludf.DUMMYFUNCTION("""COMPUTED_VALUE"""),"Webinar")</f>
        <v>Webinar</v>
      </c>
      <c r="W1564" s="124"/>
      <c r="X1564" s="124"/>
      <c r="Y1564" s="124" t="str">
        <f>IFERROR(__xludf.DUMMYFUNCTION("""COMPUTED_VALUE"""),"Delhi")</f>
        <v>Delhi</v>
      </c>
      <c r="Z1564" s="124">
        <f>IFERROR(__xludf.DUMMYFUNCTION("""COMPUTED_VALUE"""),1.0)</f>
        <v>1</v>
      </c>
      <c r="AA1564" s="124" t="str">
        <f>IFERROR(__xludf.DUMMYFUNCTION("""COMPUTED_VALUE"""),"Future Prospects")</f>
        <v>Future Prospects</v>
      </c>
      <c r="AB1564" s="124" t="str">
        <f>IFERROR(__xludf.DUMMYFUNCTION("""COMPUTED_VALUE"""),"Test Series")</f>
        <v>Test Series</v>
      </c>
    </row>
    <row r="1565">
      <c r="A1565" s="126">
        <f>IFERROR(__xludf.DUMMYFUNCTION("""COMPUTED_VALUE"""),46059.0)</f>
        <v>46059</v>
      </c>
      <c r="B1565" s="124" t="str">
        <f>IFERROR(__xludf.DUMMYFUNCTION("""COMPUTED_VALUE"""),"Walkin")</f>
        <v>Walkin</v>
      </c>
      <c r="C1565" s="124" t="str">
        <f>IFERROR(__xludf.DUMMYFUNCTION("""COMPUTED_VALUE"""),"Delhi")</f>
        <v>Delhi</v>
      </c>
      <c r="D1565" s="124" t="str">
        <f>IFERROR(__xludf.DUMMYFUNCTION("""COMPUTED_VALUE"""),"Primary_Walkin")</f>
        <v>Primary_Walkin</v>
      </c>
      <c r="E1565" s="124">
        <f>IFERROR(__xludf.DUMMYFUNCTION("""COMPUTED_VALUE"""),1.0)</f>
        <v>1</v>
      </c>
      <c r="F1565" s="124" t="str">
        <f>IFERROR(__xludf.DUMMYFUNCTION("""COMPUTED_VALUE"""),"Not Interested")</f>
        <v>Not Interested</v>
      </c>
      <c r="G1565" s="124" t="str">
        <f>IFERROR(__xludf.DUMMYFUNCTION("""COMPUTED_VALUE"""),"Optionals")</f>
        <v>Optionals</v>
      </c>
      <c r="K1565" s="124"/>
      <c r="L1565" s="124"/>
      <c r="M1565" s="124"/>
      <c r="N1565" s="124"/>
      <c r="O1565" s="124"/>
      <c r="T1565" s="126">
        <f>IFERROR(__xludf.DUMMYFUNCTION("""COMPUTED_VALUE"""),46090.0)</f>
        <v>46090</v>
      </c>
      <c r="U1565" s="124" t="str">
        <f>IFERROR(__xludf.DUMMYFUNCTION("""COMPUTED_VALUE"""),"Publisher Campaign")</f>
        <v>Publisher Campaign</v>
      </c>
      <c r="V1565" s="124" t="str">
        <f>IFERROR(__xludf.DUMMYFUNCTION("""COMPUTED_VALUE"""),"BTL Activities")</f>
        <v>BTL Activities</v>
      </c>
      <c r="W1565" s="124"/>
      <c r="X1565" s="124"/>
      <c r="Y1565" s="124" t="str">
        <f>IFERROR(__xludf.DUMMYFUNCTION("""COMPUTED_VALUE"""),"Indore")</f>
        <v>Indore</v>
      </c>
      <c r="Z1565" s="124">
        <f>IFERROR(__xludf.DUMMYFUNCTION("""COMPUTED_VALUE"""),1.0)</f>
        <v>1</v>
      </c>
      <c r="AA1565" s="124" t="str">
        <f>IFERROR(__xludf.DUMMYFUNCTION("""COMPUTED_VALUE"""),"Cold")</f>
        <v>Cold</v>
      </c>
      <c r="AB1565" s="124" t="str">
        <f>IFERROR(__xludf.DUMMYFUNCTION("""COMPUTED_VALUE"""),"Test Series")</f>
        <v>Test Series</v>
      </c>
    </row>
    <row r="1566">
      <c r="A1566" s="129">
        <f>IFERROR(__xludf.DUMMYFUNCTION("""COMPUTED_VALUE"""),46077.0)</f>
        <v>46077</v>
      </c>
      <c r="B1566" s="124" t="str">
        <f>IFERROR(__xludf.DUMMYFUNCTION("""COMPUTED_VALUE"""),"external leads")</f>
        <v>external leads</v>
      </c>
      <c r="C1566" s="124" t="str">
        <f>IFERROR(__xludf.DUMMYFUNCTION("""COMPUTED_VALUE"""),"Delhi")</f>
        <v>Delhi</v>
      </c>
      <c r="D1566" s="124" t="str">
        <f>IFERROR(__xludf.DUMMYFUNCTION("""COMPUTED_VALUE"""),"Secondary_Walkin")</f>
        <v>Secondary_Walkin</v>
      </c>
      <c r="E1566" s="124">
        <f>IFERROR(__xludf.DUMMYFUNCTION("""COMPUTED_VALUE"""),1.0)</f>
        <v>1</v>
      </c>
      <c r="F1566" s="124" t="str">
        <f>IFERROR(__xludf.DUMMYFUNCTION("""COMPUTED_VALUE"""),"Not Interested")</f>
        <v>Not Interested</v>
      </c>
      <c r="G1566" s="124" t="str">
        <f>IFERROR(__xludf.DUMMYFUNCTION("""COMPUTED_VALUE"""),"GS Foundation")</f>
        <v>GS Foundation</v>
      </c>
      <c r="K1566" s="124"/>
      <c r="L1566" s="124"/>
      <c r="M1566" s="124"/>
      <c r="N1566" s="124"/>
      <c r="O1566" s="124"/>
      <c r="T1566" s="126">
        <f>IFERROR(__xludf.DUMMYFUNCTION("""COMPUTED_VALUE"""),46107.0)</f>
        <v>46107</v>
      </c>
      <c r="U1566" s="124" t="str">
        <f>IFERROR(__xludf.DUMMYFUNCTION("""COMPUTED_VALUE"""),"Publisher Campaign")</f>
        <v>Publisher Campaign</v>
      </c>
      <c r="V1566" s="124" t="str">
        <f>IFERROR(__xludf.DUMMYFUNCTION("""COMPUTED_VALUE"""),"BTL Activities")</f>
        <v>BTL Activities</v>
      </c>
      <c r="W1566" s="124"/>
      <c r="X1566" s="124"/>
      <c r="Y1566" s="124" t="str">
        <f>IFERROR(__xludf.DUMMYFUNCTION("""COMPUTED_VALUE"""),"Indore")</f>
        <v>Indore</v>
      </c>
      <c r="Z1566" s="124">
        <f>IFERROR(__xludf.DUMMYFUNCTION("""COMPUTED_VALUE"""),7.0)</f>
        <v>7</v>
      </c>
      <c r="AA1566" s="124" t="str">
        <f>IFERROR(__xludf.DUMMYFUNCTION("""COMPUTED_VALUE"""),"Cold")</f>
        <v>Cold</v>
      </c>
      <c r="AB1566" s="124" t="str">
        <f>IFERROR(__xludf.DUMMYFUNCTION("""COMPUTED_VALUE"""),"GS Foundation")</f>
        <v>GS Foundation</v>
      </c>
    </row>
    <row r="1567">
      <c r="A1567" s="126">
        <f>IFERROR(__xludf.DUMMYFUNCTION("""COMPUTED_VALUE"""),46092.0)</f>
        <v>46092</v>
      </c>
      <c r="B1567" s="124" t="str">
        <f>IFERROR(__xludf.DUMMYFUNCTION("""COMPUTED_VALUE"""),"Walk-In")</f>
        <v>Walk-In</v>
      </c>
      <c r="C1567" s="124" t="str">
        <f>IFERROR(__xludf.DUMMYFUNCTION("""COMPUTED_VALUE"""),"Delhi")</f>
        <v>Delhi</v>
      </c>
      <c r="D1567" s="124" t="str">
        <f>IFERROR(__xludf.DUMMYFUNCTION("""COMPUTED_VALUE"""),"Primary_Walkin")</f>
        <v>Primary_Walkin</v>
      </c>
      <c r="E1567" s="124">
        <f>IFERROR(__xludf.DUMMYFUNCTION("""COMPUTED_VALUE"""),1.0)</f>
        <v>1</v>
      </c>
      <c r="F1567" s="124" t="str">
        <f>IFERROR(__xludf.DUMMYFUNCTION("""COMPUTED_VALUE"""),"Enrolled")</f>
        <v>Enrolled</v>
      </c>
      <c r="G1567" s="124" t="str">
        <f>IFERROR(__xludf.DUMMYFUNCTION("""COMPUTED_VALUE"""),"GS Foundation")</f>
        <v>GS Foundation</v>
      </c>
      <c r="K1567" s="124"/>
      <c r="L1567" s="124"/>
      <c r="M1567" s="124"/>
      <c r="N1567" s="124"/>
      <c r="O1567" s="124"/>
      <c r="T1567" s="126">
        <f>IFERROR(__xludf.DUMMYFUNCTION("""COMPUTED_VALUE"""),46061.0)</f>
        <v>46061</v>
      </c>
      <c r="U1567" s="124" t="str">
        <f>IFERROR(__xludf.DUMMYFUNCTION("""COMPUTED_VALUE"""),"Publisher Campaign")</f>
        <v>Publisher Campaign</v>
      </c>
      <c r="V1567" s="124" t="str">
        <f>IFERROR(__xludf.DUMMYFUNCTION("""COMPUTED_VALUE"""),"Webinar")</f>
        <v>Webinar</v>
      </c>
      <c r="W1567" s="124"/>
      <c r="X1567" s="124"/>
      <c r="Y1567" s="124" t="str">
        <f>IFERROR(__xludf.DUMMYFUNCTION("""COMPUTED_VALUE"""),"Delhi")</f>
        <v>Delhi</v>
      </c>
      <c r="Z1567" s="124">
        <f>IFERROR(__xludf.DUMMYFUNCTION("""COMPUTED_VALUE"""),1.0)</f>
        <v>1</v>
      </c>
      <c r="AA1567" s="124" t="str">
        <f>IFERROR(__xludf.DUMMYFUNCTION("""COMPUTED_VALUE"""),"Not Interested")</f>
        <v>Not Interested</v>
      </c>
      <c r="AB1567" s="124" t="str">
        <f>IFERROR(__xludf.DUMMYFUNCTION("""COMPUTED_VALUE"""),"Test Series")</f>
        <v>Test Series</v>
      </c>
    </row>
    <row r="1568">
      <c r="A1568" s="126">
        <f>IFERROR(__xludf.DUMMYFUNCTION("""COMPUTED_VALUE"""),46075.0)</f>
        <v>46075</v>
      </c>
      <c r="B1568" s="124" t="str">
        <f>IFERROR(__xludf.DUMMYFUNCTION("""COMPUTED_VALUE"""),"Walkin")</f>
        <v>Walkin</v>
      </c>
      <c r="C1568" s="124" t="str">
        <f>IFERROR(__xludf.DUMMYFUNCTION("""COMPUTED_VALUE"""),"Delhi")</f>
        <v>Delhi</v>
      </c>
      <c r="D1568" s="124" t="str">
        <f>IFERROR(__xludf.DUMMYFUNCTION("""COMPUTED_VALUE"""),"Primary_Walkin")</f>
        <v>Primary_Walkin</v>
      </c>
      <c r="E1568" s="124">
        <f>IFERROR(__xludf.DUMMYFUNCTION("""COMPUTED_VALUE"""),2.0)</f>
        <v>2</v>
      </c>
      <c r="F1568" s="124" t="str">
        <f>IFERROR(__xludf.DUMMYFUNCTION("""COMPUTED_VALUE"""),"Enrolled")</f>
        <v>Enrolled</v>
      </c>
      <c r="G1568" s="124" t="str">
        <f>IFERROR(__xludf.DUMMYFUNCTION("""COMPUTED_VALUE"""),"GS Foundation")</f>
        <v>GS Foundation</v>
      </c>
      <c r="K1568" s="124"/>
      <c r="L1568" s="124"/>
      <c r="M1568" s="124"/>
      <c r="N1568" s="124"/>
      <c r="O1568" s="124"/>
      <c r="T1568" s="126">
        <f>IFERROR(__xludf.DUMMYFUNCTION("""COMPUTED_VALUE"""),46071.0)</f>
        <v>46071</v>
      </c>
      <c r="U1568" s="124" t="str">
        <f>IFERROR(__xludf.DUMMYFUNCTION("""COMPUTED_VALUE"""),"Publisher Campaign")</f>
        <v>Publisher Campaign</v>
      </c>
      <c r="V1568" s="124" t="str">
        <f>IFERROR(__xludf.DUMMYFUNCTION("""COMPUTED_VALUE"""),"BTL Activities")</f>
        <v>BTL Activities</v>
      </c>
      <c r="W1568" s="124"/>
      <c r="X1568" s="124"/>
      <c r="Y1568" s="124" t="str">
        <f>IFERROR(__xludf.DUMMYFUNCTION("""COMPUTED_VALUE"""),"Indore")</f>
        <v>Indore</v>
      </c>
      <c r="Z1568" s="124">
        <f>IFERROR(__xludf.DUMMYFUNCTION("""COMPUTED_VALUE"""),1.0)</f>
        <v>1</v>
      </c>
      <c r="AA1568" s="124" t="str">
        <f>IFERROR(__xludf.DUMMYFUNCTION("""COMPUTED_VALUE"""),"Not Interested")</f>
        <v>Not Interested</v>
      </c>
      <c r="AB1568" s="124" t="str">
        <f>IFERROR(__xludf.DUMMYFUNCTION("""COMPUTED_VALUE"""),"Other")</f>
        <v>Other</v>
      </c>
    </row>
    <row r="1569">
      <c r="A1569" s="129">
        <f>IFERROR(__xludf.DUMMYFUNCTION("""COMPUTED_VALUE"""),46110.0)</f>
        <v>46110</v>
      </c>
      <c r="B1569" s="124" t="str">
        <f>IFERROR(__xludf.DUMMYFUNCTION("""COMPUTED_VALUE"""),"Walkin")</f>
        <v>Walkin</v>
      </c>
      <c r="C1569" s="124" t="str">
        <f>IFERROR(__xludf.DUMMYFUNCTION("""COMPUTED_VALUE"""),"Delhi")</f>
        <v>Delhi</v>
      </c>
      <c r="D1569" s="124" t="str">
        <f>IFERROR(__xludf.DUMMYFUNCTION("""COMPUTED_VALUE"""),"Primary_Walkin")</f>
        <v>Primary_Walkin</v>
      </c>
      <c r="E1569" s="124">
        <f>IFERROR(__xludf.DUMMYFUNCTION("""COMPUTED_VALUE"""),1.0)</f>
        <v>1</v>
      </c>
      <c r="F1569" s="124" t="str">
        <f>IFERROR(__xludf.DUMMYFUNCTION("""COMPUTED_VALUE"""),"Cold")</f>
        <v>Cold</v>
      </c>
      <c r="G1569" s="124" t="str">
        <f>IFERROR(__xludf.DUMMYFUNCTION("""COMPUTED_VALUE"""),"GS Foundation")</f>
        <v>GS Foundation</v>
      </c>
      <c r="K1569" s="124"/>
      <c r="L1569" s="124"/>
      <c r="M1569" s="124"/>
      <c r="N1569" s="124"/>
      <c r="O1569" s="124"/>
      <c r="T1569" s="129">
        <f>IFERROR(__xludf.DUMMYFUNCTION("""COMPUTED_VALUE"""),46091.0)</f>
        <v>46091</v>
      </c>
      <c r="U1569" s="124" t="str">
        <f>IFERROR(__xludf.DUMMYFUNCTION("""COMPUTED_VALUE"""),"Publisher Campaign")</f>
        <v>Publisher Campaign</v>
      </c>
      <c r="V1569" s="124" t="str">
        <f>IFERROR(__xludf.DUMMYFUNCTION("""COMPUTED_VALUE"""),"Webinar")</f>
        <v>Webinar</v>
      </c>
      <c r="W1569" s="124"/>
      <c r="X1569" s="124"/>
      <c r="Y1569" s="124" t="str">
        <f>IFERROR(__xludf.DUMMYFUNCTION("""COMPUTED_VALUE"""),"Delhi")</f>
        <v>Delhi</v>
      </c>
      <c r="Z1569" s="124">
        <f>IFERROR(__xludf.DUMMYFUNCTION("""COMPUTED_VALUE"""),1.0)</f>
        <v>1</v>
      </c>
      <c r="AA1569" s="124" t="str">
        <f>IFERROR(__xludf.DUMMYFUNCTION("""COMPUTED_VALUE"""),"Not Interested")</f>
        <v>Not Interested</v>
      </c>
      <c r="AB1569" s="124" t="str">
        <f>IFERROR(__xludf.DUMMYFUNCTION("""COMPUTED_VALUE"""),"GS Foundation")</f>
        <v>GS Foundation</v>
      </c>
    </row>
    <row r="1570">
      <c r="A1570" s="126">
        <f>IFERROR(__xludf.DUMMYFUNCTION("""COMPUTED_VALUE"""),46070.0)</f>
        <v>46070</v>
      </c>
      <c r="B1570" s="124" t="str">
        <f>IFERROR(__xludf.DUMMYFUNCTION("""COMPUTED_VALUE"""),"Walkin")</f>
        <v>Walkin</v>
      </c>
      <c r="C1570" s="124" t="str">
        <f>IFERROR(__xludf.DUMMYFUNCTION("""COMPUTED_VALUE"""),"Delhi")</f>
        <v>Delhi</v>
      </c>
      <c r="D1570" s="124" t="str">
        <f>IFERROR(__xludf.DUMMYFUNCTION("""COMPUTED_VALUE"""),"Primary_Walkin")</f>
        <v>Primary_Walkin</v>
      </c>
      <c r="E1570" s="124">
        <f>IFERROR(__xludf.DUMMYFUNCTION("""COMPUTED_VALUE"""),4.0)</f>
        <v>4</v>
      </c>
      <c r="F1570" s="124" t="str">
        <f>IFERROR(__xludf.DUMMYFUNCTION("""COMPUTED_VALUE"""),"Cold")</f>
        <v>Cold</v>
      </c>
      <c r="G1570" s="124" t="str">
        <f>IFERROR(__xludf.DUMMYFUNCTION("""COMPUTED_VALUE"""),"GS Foundation")</f>
        <v>GS Foundation</v>
      </c>
      <c r="K1570" s="124"/>
      <c r="L1570" s="124"/>
      <c r="M1570" s="124"/>
      <c r="N1570" s="124"/>
      <c r="O1570" s="124"/>
      <c r="T1570" s="126">
        <f>IFERROR(__xludf.DUMMYFUNCTION("""COMPUTED_VALUE"""),46101.0)</f>
        <v>46101</v>
      </c>
      <c r="U1570" s="124" t="str">
        <f>IFERROR(__xludf.DUMMYFUNCTION("""COMPUTED_VALUE"""),"Publisher Campaign")</f>
        <v>Publisher Campaign</v>
      </c>
      <c r="V1570" s="124" t="str">
        <f>IFERROR(__xludf.DUMMYFUNCTION("""COMPUTED_VALUE"""),"Institutions")</f>
        <v>Institutions</v>
      </c>
      <c r="W1570" s="124"/>
      <c r="X1570" s="124"/>
      <c r="Y1570" s="124" t="str">
        <f>IFERROR(__xludf.DUMMYFUNCTION("""COMPUTED_VALUE"""),"Indore")</f>
        <v>Indore</v>
      </c>
      <c r="Z1570" s="124">
        <f>IFERROR(__xludf.DUMMYFUNCTION("""COMPUTED_VALUE"""),1.0)</f>
        <v>1</v>
      </c>
      <c r="AA1570" s="124" t="str">
        <f>IFERROR(__xludf.DUMMYFUNCTION("""COMPUTED_VALUE"""),"Cold")</f>
        <v>Cold</v>
      </c>
      <c r="AB1570" s="124" t="str">
        <f>IFERROR(__xludf.DUMMYFUNCTION("""COMPUTED_VALUE"""),"State PCS")</f>
        <v>State PCS</v>
      </c>
    </row>
    <row r="1571">
      <c r="A1571" s="129">
        <f>IFERROR(__xludf.DUMMYFUNCTION("""COMPUTED_VALUE"""),46068.0)</f>
        <v>46068</v>
      </c>
      <c r="B1571" s="124" t="str">
        <f>IFERROR(__xludf.DUMMYFUNCTION("""COMPUTED_VALUE"""),"Walk-In")</f>
        <v>Walk-In</v>
      </c>
      <c r="C1571" s="124" t="str">
        <f>IFERROR(__xludf.DUMMYFUNCTION("""COMPUTED_VALUE"""),"Delhi")</f>
        <v>Delhi</v>
      </c>
      <c r="D1571" s="124" t="str">
        <f>IFERROR(__xludf.DUMMYFUNCTION("""COMPUTED_VALUE"""),"Primary_Walkin")</f>
        <v>Primary_Walkin</v>
      </c>
      <c r="E1571" s="124">
        <f>IFERROR(__xludf.DUMMYFUNCTION("""COMPUTED_VALUE"""),1.0)</f>
        <v>1</v>
      </c>
      <c r="F1571" s="124" t="str">
        <f>IFERROR(__xludf.DUMMYFUNCTION("""COMPUTED_VALUE"""),"Fake Lead")</f>
        <v>Fake Lead</v>
      </c>
      <c r="G1571" s="124" t="str">
        <f>IFERROR(__xludf.DUMMYFUNCTION("""COMPUTED_VALUE"""),"GS Foundation")</f>
        <v>GS Foundation</v>
      </c>
      <c r="K1571" s="124"/>
      <c r="L1571" s="124"/>
      <c r="M1571" s="124"/>
      <c r="N1571" s="124"/>
      <c r="O1571" s="124"/>
      <c r="T1571" s="129">
        <f>IFERROR(__xludf.DUMMYFUNCTION("""COMPUTED_VALUE"""),46070.0)</f>
        <v>46070</v>
      </c>
      <c r="U1571" s="124" t="str">
        <f>IFERROR(__xludf.DUMMYFUNCTION("""COMPUTED_VALUE"""),"Publisher Campaign")</f>
        <v>Publisher Campaign</v>
      </c>
      <c r="V1571" s="124" t="str">
        <f>IFERROR(__xludf.DUMMYFUNCTION("""COMPUTED_VALUE"""),"BTL Activities")</f>
        <v>BTL Activities</v>
      </c>
      <c r="W1571" s="124"/>
      <c r="X1571" s="124"/>
      <c r="Y1571" s="124" t="str">
        <f>IFERROR(__xludf.DUMMYFUNCTION("""COMPUTED_VALUE"""),"Indore")</f>
        <v>Indore</v>
      </c>
      <c r="Z1571" s="124">
        <f>IFERROR(__xludf.DUMMYFUNCTION("""COMPUTED_VALUE"""),8.0)</f>
        <v>8</v>
      </c>
      <c r="AA1571" s="124" t="str">
        <f>IFERROR(__xludf.DUMMYFUNCTION("""COMPUTED_VALUE"""),"Not Interested")</f>
        <v>Not Interested</v>
      </c>
      <c r="AB1571" s="124" t="str">
        <f>IFERROR(__xludf.DUMMYFUNCTION("""COMPUTED_VALUE"""),"GS Foundation")</f>
        <v>GS Foundation</v>
      </c>
    </row>
    <row r="1572">
      <c r="A1572" s="129">
        <f>IFERROR(__xludf.DUMMYFUNCTION("""COMPUTED_VALUE"""),46056.0)</f>
        <v>46056</v>
      </c>
      <c r="B1572" s="124" t="str">
        <f>IFERROR(__xludf.DUMMYFUNCTION("""COMPUTED_VALUE"""),"Walkin")</f>
        <v>Walkin</v>
      </c>
      <c r="C1572" s="124" t="str">
        <f>IFERROR(__xludf.DUMMYFUNCTION("""COMPUTED_VALUE"""),"Delhi")</f>
        <v>Delhi</v>
      </c>
      <c r="D1572" s="124" t="str">
        <f>IFERROR(__xludf.DUMMYFUNCTION("""COMPUTED_VALUE"""),"Primary_Walkin")</f>
        <v>Primary_Walkin</v>
      </c>
      <c r="E1572" s="124">
        <f>IFERROR(__xludf.DUMMYFUNCTION("""COMPUTED_VALUE"""),2.0)</f>
        <v>2</v>
      </c>
      <c r="F1572" s="124" t="str">
        <f>IFERROR(__xludf.DUMMYFUNCTION("""COMPUTED_VALUE"""),"Future Prospects")</f>
        <v>Future Prospects</v>
      </c>
      <c r="G1572" s="124" t="str">
        <f>IFERROR(__xludf.DUMMYFUNCTION("""COMPUTED_VALUE"""),"GS Foundation")</f>
        <v>GS Foundation</v>
      </c>
      <c r="K1572" s="124"/>
      <c r="L1572" s="124"/>
      <c r="M1572" s="124"/>
      <c r="N1572" s="124"/>
      <c r="O1572" s="124"/>
      <c r="T1572" s="129">
        <f>IFERROR(__xludf.DUMMYFUNCTION("""COMPUTED_VALUE"""),46090.0)</f>
        <v>46090</v>
      </c>
      <c r="U1572" s="124" t="str">
        <f>IFERROR(__xludf.DUMMYFUNCTION("""COMPUTED_VALUE"""),"Publisher Campaign")</f>
        <v>Publisher Campaign</v>
      </c>
      <c r="V1572" s="124" t="str">
        <f>IFERROR(__xludf.DUMMYFUNCTION("""COMPUTED_VALUE"""),"BTL Activities")</f>
        <v>BTL Activities</v>
      </c>
      <c r="W1572" s="124"/>
      <c r="X1572" s="124"/>
      <c r="Y1572" s="124" t="str">
        <f>IFERROR(__xludf.DUMMYFUNCTION("""COMPUTED_VALUE"""),"Indore")</f>
        <v>Indore</v>
      </c>
      <c r="Z1572" s="124">
        <f>IFERROR(__xludf.DUMMYFUNCTION("""COMPUTED_VALUE"""),1.0)</f>
        <v>1</v>
      </c>
      <c r="AA1572" s="124" t="str">
        <f>IFERROR(__xludf.DUMMYFUNCTION("""COMPUTED_VALUE"""),"Not Interested")</f>
        <v>Not Interested</v>
      </c>
      <c r="AB1572" s="124" t="str">
        <f>IFERROR(__xludf.DUMMYFUNCTION("""COMPUTED_VALUE"""),"IGP UPPSC")</f>
        <v>IGP UPPSC</v>
      </c>
    </row>
    <row r="1573">
      <c r="A1573" s="129">
        <f>IFERROR(__xludf.DUMMYFUNCTION("""COMPUTED_VALUE"""),46072.0)</f>
        <v>46072</v>
      </c>
      <c r="B1573" s="124" t="str">
        <f>IFERROR(__xludf.DUMMYFUNCTION("""COMPUTED_VALUE"""),"external leads")</f>
        <v>external leads</v>
      </c>
      <c r="C1573" s="124" t="str">
        <f>IFERROR(__xludf.DUMMYFUNCTION("""COMPUTED_VALUE"""),"Delhi")</f>
        <v>Delhi</v>
      </c>
      <c r="D1573" s="124" t="str">
        <f>IFERROR(__xludf.DUMMYFUNCTION("""COMPUTED_VALUE"""),"Secondary_Walkin")</f>
        <v>Secondary_Walkin</v>
      </c>
      <c r="E1573" s="124">
        <f>IFERROR(__xludf.DUMMYFUNCTION("""COMPUTED_VALUE"""),1.0)</f>
        <v>1</v>
      </c>
      <c r="F1573" s="124" t="str">
        <f>IFERROR(__xludf.DUMMYFUNCTION("""COMPUTED_VALUE"""),"Not Interested")</f>
        <v>Not Interested</v>
      </c>
      <c r="G1573" s="124" t="str">
        <f>IFERROR(__xludf.DUMMYFUNCTION("""COMPUTED_VALUE"""),"GS Foundation")</f>
        <v>GS Foundation</v>
      </c>
      <c r="K1573" s="124"/>
      <c r="L1573" s="124"/>
      <c r="M1573" s="124"/>
      <c r="N1573" s="124"/>
      <c r="O1573" s="124"/>
      <c r="T1573" s="126">
        <f>IFERROR(__xludf.DUMMYFUNCTION("""COMPUTED_VALUE"""),46060.0)</f>
        <v>46060</v>
      </c>
      <c r="U1573" s="124" t="str">
        <f>IFERROR(__xludf.DUMMYFUNCTION("""COMPUTED_VALUE"""),"Publisher Campaign")</f>
        <v>Publisher Campaign</v>
      </c>
      <c r="V1573" s="124" t="str">
        <f>IFERROR(__xludf.DUMMYFUNCTION("""COMPUTED_VALUE"""),"Webinar")</f>
        <v>Webinar</v>
      </c>
      <c r="W1573" s="124"/>
      <c r="X1573" s="124"/>
      <c r="Y1573" s="124" t="str">
        <f>IFERROR(__xludf.DUMMYFUNCTION("""COMPUTED_VALUE"""),"Delhi")</f>
        <v>Delhi</v>
      </c>
      <c r="Z1573" s="124">
        <f>IFERROR(__xludf.DUMMYFUNCTION("""COMPUTED_VALUE"""),2.0)</f>
        <v>2</v>
      </c>
      <c r="AA1573" s="124" t="str">
        <f>IFERROR(__xludf.DUMMYFUNCTION("""COMPUTED_VALUE"""),"Not Interested")</f>
        <v>Not Interested</v>
      </c>
      <c r="AB1573" s="124" t="str">
        <f>IFERROR(__xludf.DUMMYFUNCTION("""COMPUTED_VALUE"""),"State PCS")</f>
        <v>State PCS</v>
      </c>
    </row>
    <row r="1574">
      <c r="A1574" s="126">
        <f>IFERROR(__xludf.DUMMYFUNCTION("""COMPUTED_VALUE"""),46072.0)</f>
        <v>46072</v>
      </c>
      <c r="B1574" s="124" t="str">
        <f>IFERROR(__xludf.DUMMYFUNCTION("""COMPUTED_VALUE"""),"walk-in")</f>
        <v>walk-in</v>
      </c>
      <c r="C1574" s="124" t="str">
        <f>IFERROR(__xludf.DUMMYFUNCTION("""COMPUTED_VALUE"""),"Delhi")</f>
        <v>Delhi</v>
      </c>
      <c r="D1574" s="124" t="str">
        <f>IFERROR(__xludf.DUMMYFUNCTION("""COMPUTED_VALUE"""),"Primary_Walkin")</f>
        <v>Primary_Walkin</v>
      </c>
      <c r="E1574" s="124">
        <f>IFERROR(__xludf.DUMMYFUNCTION("""COMPUTED_VALUE"""),1.0)</f>
        <v>1</v>
      </c>
      <c r="F1574" s="124" t="str">
        <f>IFERROR(__xludf.DUMMYFUNCTION("""COMPUTED_VALUE"""),"Cold")</f>
        <v>Cold</v>
      </c>
      <c r="G1574" s="124" t="str">
        <f>IFERROR(__xludf.DUMMYFUNCTION("""COMPUTED_VALUE"""),"GS Foundation")</f>
        <v>GS Foundation</v>
      </c>
      <c r="K1574" s="124"/>
      <c r="L1574" s="124"/>
      <c r="M1574" s="124"/>
      <c r="N1574" s="124"/>
      <c r="O1574" s="124"/>
      <c r="T1574" s="129">
        <f>IFERROR(__xludf.DUMMYFUNCTION("""COMPUTED_VALUE"""),46044.0)</f>
        <v>46044</v>
      </c>
      <c r="U1574" s="124" t="str">
        <f>IFERROR(__xludf.DUMMYFUNCTION("""COMPUTED_VALUE"""),"External Leads")</f>
        <v>External Leads</v>
      </c>
      <c r="V1574" s="124" t="str">
        <f>IFERROR(__xludf.DUMMYFUNCTION("""COMPUTED_VALUE"""),"external leads")</f>
        <v>external leads</v>
      </c>
      <c r="W1574" s="124"/>
      <c r="X1574" s="124"/>
      <c r="Y1574" s="124" t="str">
        <f>IFERROR(__xludf.DUMMYFUNCTION("""COMPUTED_VALUE"""),"Delhi")</f>
        <v>Delhi</v>
      </c>
      <c r="Z1574" s="124">
        <f>IFERROR(__xludf.DUMMYFUNCTION("""COMPUTED_VALUE"""),2.0)</f>
        <v>2</v>
      </c>
      <c r="AA1574" s="124" t="str">
        <f>IFERROR(__xludf.DUMMYFUNCTION("""COMPUTED_VALUE"""),"Warm")</f>
        <v>Warm</v>
      </c>
      <c r="AB1574" s="124"/>
    </row>
    <row r="1575">
      <c r="A1575" s="126">
        <f>IFERROR(__xludf.DUMMYFUNCTION("""COMPUTED_VALUE"""),46045.0)</f>
        <v>46045</v>
      </c>
      <c r="B1575" s="124" t="str">
        <f>IFERROR(__xludf.DUMMYFUNCTION("""COMPUTED_VALUE"""),"Walkin")</f>
        <v>Walkin</v>
      </c>
      <c r="C1575" s="124" t="str">
        <f>IFERROR(__xludf.DUMMYFUNCTION("""COMPUTED_VALUE"""),"Delhi")</f>
        <v>Delhi</v>
      </c>
      <c r="D1575" s="124" t="str">
        <f>IFERROR(__xludf.DUMMYFUNCTION("""COMPUTED_VALUE"""),"Primary_Walkin")</f>
        <v>Primary_Walkin</v>
      </c>
      <c r="E1575" s="124">
        <f>IFERROR(__xludf.DUMMYFUNCTION("""COMPUTED_VALUE"""),2.0)</f>
        <v>2</v>
      </c>
      <c r="F1575" s="124" t="str">
        <f>IFERROR(__xludf.DUMMYFUNCTION("""COMPUTED_VALUE"""),"Not Interested")</f>
        <v>Not Interested</v>
      </c>
      <c r="G1575" s="124" t="str">
        <f>IFERROR(__xludf.DUMMYFUNCTION("""COMPUTED_VALUE"""),"GS Foundation")</f>
        <v>GS Foundation</v>
      </c>
      <c r="K1575" s="124"/>
      <c r="L1575" s="124"/>
      <c r="M1575" s="124"/>
      <c r="N1575" s="124"/>
      <c r="O1575" s="124"/>
      <c r="T1575" s="129">
        <f>IFERROR(__xludf.DUMMYFUNCTION("""COMPUTED_VALUE"""),46059.0)</f>
        <v>46059</v>
      </c>
      <c r="U1575" s="124" t="str">
        <f>IFERROR(__xludf.DUMMYFUNCTION("""COMPUTED_VALUE"""),"Publisher Campaign")</f>
        <v>Publisher Campaign</v>
      </c>
      <c r="V1575" s="124" t="str">
        <f>IFERROR(__xludf.DUMMYFUNCTION("""COMPUTED_VALUE"""),"BTL Activities")</f>
        <v>BTL Activities</v>
      </c>
      <c r="W1575" s="124"/>
      <c r="X1575" s="124"/>
      <c r="Y1575" s="124" t="str">
        <f>IFERROR(__xludf.DUMMYFUNCTION("""COMPUTED_VALUE"""),"Indore")</f>
        <v>Indore</v>
      </c>
      <c r="Z1575" s="124">
        <f>IFERROR(__xludf.DUMMYFUNCTION("""COMPUTED_VALUE"""),3.0)</f>
        <v>3</v>
      </c>
      <c r="AA1575" s="124" t="str">
        <f>IFERROR(__xludf.DUMMYFUNCTION("""COMPUTED_VALUE"""),"Cold")</f>
        <v>Cold</v>
      </c>
      <c r="AB1575" s="124" t="str">
        <f>IFERROR(__xludf.DUMMYFUNCTION("""COMPUTED_VALUE"""),"State PCS")</f>
        <v>State PCS</v>
      </c>
    </row>
    <row r="1576">
      <c r="A1576" s="126">
        <f>IFERROR(__xludf.DUMMYFUNCTION("""COMPUTED_VALUE"""),46105.0)</f>
        <v>46105</v>
      </c>
      <c r="B1576" s="124" t="str">
        <f>IFERROR(__xludf.DUMMYFUNCTION("""COMPUTED_VALUE"""),"Walkin")</f>
        <v>Walkin</v>
      </c>
      <c r="C1576" s="124" t="str">
        <f>IFERROR(__xludf.DUMMYFUNCTION("""COMPUTED_VALUE"""),"Delhi")</f>
        <v>Delhi</v>
      </c>
      <c r="D1576" s="124" t="str">
        <f>IFERROR(__xludf.DUMMYFUNCTION("""COMPUTED_VALUE"""),"Primary_Walkin")</f>
        <v>Primary_Walkin</v>
      </c>
      <c r="E1576" s="124">
        <f>IFERROR(__xludf.DUMMYFUNCTION("""COMPUTED_VALUE"""),1.0)</f>
        <v>1</v>
      </c>
      <c r="F1576" s="124" t="str">
        <f>IFERROR(__xludf.DUMMYFUNCTION("""COMPUTED_VALUE"""),"Interested")</f>
        <v>Interested</v>
      </c>
      <c r="G1576" s="124" t="str">
        <f>IFERROR(__xludf.DUMMYFUNCTION("""COMPUTED_VALUE"""),"GS Foundation")</f>
        <v>GS Foundation</v>
      </c>
      <c r="K1576" s="124"/>
      <c r="L1576" s="124"/>
      <c r="M1576" s="124"/>
      <c r="N1576" s="124"/>
      <c r="O1576" s="124"/>
      <c r="T1576" s="126">
        <f>IFERROR(__xludf.DUMMYFUNCTION("""COMPUTED_VALUE"""),46087.0)</f>
        <v>46087</v>
      </c>
      <c r="U1576" s="124" t="str">
        <f>IFERROR(__xludf.DUMMYFUNCTION("""COMPUTED_VALUE"""),"Publisher Campaign")</f>
        <v>Publisher Campaign</v>
      </c>
      <c r="V1576" s="124" t="str">
        <f>IFERROR(__xludf.DUMMYFUNCTION("""COMPUTED_VALUE"""),"Webinar")</f>
        <v>Webinar</v>
      </c>
      <c r="W1576" s="124"/>
      <c r="X1576" s="124"/>
      <c r="Y1576" s="124" t="str">
        <f>IFERROR(__xludf.DUMMYFUNCTION("""COMPUTED_VALUE"""),"Delhi")</f>
        <v>Delhi</v>
      </c>
      <c r="Z1576" s="124">
        <f>IFERROR(__xludf.DUMMYFUNCTION("""COMPUTED_VALUE"""),1.0)</f>
        <v>1</v>
      </c>
      <c r="AA1576" s="124" t="str">
        <f>IFERROR(__xludf.DUMMYFUNCTION("""COMPUTED_VALUE"""),"Cold")</f>
        <v>Cold</v>
      </c>
      <c r="AB1576" s="124" t="str">
        <f>IFERROR(__xludf.DUMMYFUNCTION("""COMPUTED_VALUE"""),"IGP UPPSC")</f>
        <v>IGP UPPSC</v>
      </c>
    </row>
    <row r="1577">
      <c r="A1577" s="129">
        <f>IFERROR(__xludf.DUMMYFUNCTION("""COMPUTED_VALUE"""),46082.0)</f>
        <v>46082</v>
      </c>
      <c r="B1577" s="124" t="str">
        <f>IFERROR(__xludf.DUMMYFUNCTION("""COMPUTED_VALUE"""),"Walkin")</f>
        <v>Walkin</v>
      </c>
      <c r="C1577" s="124" t="str">
        <f>IFERROR(__xludf.DUMMYFUNCTION("""COMPUTED_VALUE"""),"Delhi")</f>
        <v>Delhi</v>
      </c>
      <c r="D1577" s="124" t="str">
        <f>IFERROR(__xludf.DUMMYFUNCTION("""COMPUTED_VALUE"""),"Primary_Walkin")</f>
        <v>Primary_Walkin</v>
      </c>
      <c r="E1577" s="124">
        <f>IFERROR(__xludf.DUMMYFUNCTION("""COMPUTED_VALUE"""),1.0)</f>
        <v>1</v>
      </c>
      <c r="F1577" s="124" t="str">
        <f>IFERROR(__xludf.DUMMYFUNCTION("""COMPUTED_VALUE"""),"Not Interested")</f>
        <v>Not Interested</v>
      </c>
      <c r="G1577" s="124" t="str">
        <f>IFERROR(__xludf.DUMMYFUNCTION("""COMPUTED_VALUE"""),"GS Foundation")</f>
        <v>GS Foundation</v>
      </c>
      <c r="K1577" s="124"/>
      <c r="L1577" s="124"/>
      <c r="M1577" s="124"/>
      <c r="N1577" s="124"/>
      <c r="O1577" s="124"/>
      <c r="T1577" s="129">
        <f>IFERROR(__xludf.DUMMYFUNCTION("""COMPUTED_VALUE"""),46081.0)</f>
        <v>46081</v>
      </c>
      <c r="U1577" s="124" t="str">
        <f>IFERROR(__xludf.DUMMYFUNCTION("""COMPUTED_VALUE"""),"Publisher Campaign")</f>
        <v>Publisher Campaign</v>
      </c>
      <c r="V1577" s="124" t="str">
        <f>IFERROR(__xludf.DUMMYFUNCTION("""COMPUTED_VALUE"""),"Feeder Cities")</f>
        <v>Feeder Cities</v>
      </c>
      <c r="W1577" s="124"/>
      <c r="X1577" s="124"/>
      <c r="Y1577" s="124" t="str">
        <f>IFERROR(__xludf.DUMMYFUNCTION("""COMPUTED_VALUE"""),"Indore")</f>
        <v>Indore</v>
      </c>
      <c r="Z1577" s="124">
        <f>IFERROR(__xludf.DUMMYFUNCTION("""COMPUTED_VALUE"""),2.0)</f>
        <v>2</v>
      </c>
      <c r="AA1577" s="124"/>
      <c r="AB1577" s="124" t="str">
        <f>IFERROR(__xludf.DUMMYFUNCTION("""COMPUTED_VALUE"""),"GS Foundation")</f>
        <v>GS Foundation</v>
      </c>
    </row>
    <row r="1578">
      <c r="A1578" s="126">
        <f>IFERROR(__xludf.DUMMYFUNCTION("""COMPUTED_VALUE"""),46067.0)</f>
        <v>46067</v>
      </c>
      <c r="B1578" s="124" t="str">
        <f>IFERROR(__xludf.DUMMYFUNCTION("""COMPUTED_VALUE"""),"Walkin")</f>
        <v>Walkin</v>
      </c>
      <c r="C1578" s="124" t="str">
        <f>IFERROR(__xludf.DUMMYFUNCTION("""COMPUTED_VALUE"""),"Delhi")</f>
        <v>Delhi</v>
      </c>
      <c r="D1578" s="124" t="str">
        <f>IFERROR(__xludf.DUMMYFUNCTION("""COMPUTED_VALUE"""),"Primary_Walkin")</f>
        <v>Primary_Walkin</v>
      </c>
      <c r="E1578" s="124">
        <f>IFERROR(__xludf.DUMMYFUNCTION("""COMPUTED_VALUE"""),3.0)</f>
        <v>3</v>
      </c>
      <c r="F1578" s="124" t="str">
        <f>IFERROR(__xludf.DUMMYFUNCTION("""COMPUTED_VALUE"""),"Future Prospects")</f>
        <v>Future Prospects</v>
      </c>
      <c r="G1578" s="124" t="str">
        <f>IFERROR(__xludf.DUMMYFUNCTION("""COMPUTED_VALUE"""),"GS Foundation")</f>
        <v>GS Foundation</v>
      </c>
      <c r="K1578" s="124"/>
      <c r="L1578" s="124"/>
      <c r="M1578" s="124"/>
      <c r="N1578" s="124"/>
      <c r="O1578" s="124"/>
      <c r="T1578" s="126">
        <f>IFERROR(__xludf.DUMMYFUNCTION("""COMPUTED_VALUE"""),46090.0)</f>
        <v>46090</v>
      </c>
      <c r="U1578" s="124" t="str">
        <f>IFERROR(__xludf.DUMMYFUNCTION("""COMPUTED_VALUE"""),"Publisher Campaign")</f>
        <v>Publisher Campaign</v>
      </c>
      <c r="V1578" s="124" t="str">
        <f>IFERROR(__xludf.DUMMYFUNCTION("""COMPUTED_VALUE"""),"BTL Activities")</f>
        <v>BTL Activities</v>
      </c>
      <c r="W1578" s="124"/>
      <c r="X1578" s="124"/>
      <c r="Y1578" s="124" t="str">
        <f>IFERROR(__xludf.DUMMYFUNCTION("""COMPUTED_VALUE"""),"Indore")</f>
        <v>Indore</v>
      </c>
      <c r="Z1578" s="124">
        <f>IFERROR(__xludf.DUMMYFUNCTION("""COMPUTED_VALUE"""),1.0)</f>
        <v>1</v>
      </c>
      <c r="AA1578" s="124"/>
      <c r="AB1578" s="124" t="str">
        <f>IFERROR(__xludf.DUMMYFUNCTION("""COMPUTED_VALUE"""),"GS Foundation")</f>
        <v>GS Foundation</v>
      </c>
    </row>
    <row r="1579">
      <c r="A1579" s="129">
        <f>IFERROR(__xludf.DUMMYFUNCTION("""COMPUTED_VALUE"""),46094.0)</f>
        <v>46094</v>
      </c>
      <c r="B1579" s="124" t="str">
        <f>IFERROR(__xludf.DUMMYFUNCTION("""COMPUTED_VALUE"""),"Walkin")</f>
        <v>Walkin</v>
      </c>
      <c r="C1579" s="124" t="str">
        <f>IFERROR(__xludf.DUMMYFUNCTION("""COMPUTED_VALUE"""),"Delhi")</f>
        <v>Delhi</v>
      </c>
      <c r="D1579" s="124" t="str">
        <f>IFERROR(__xludf.DUMMYFUNCTION("""COMPUTED_VALUE"""),"Primary_Walkin")</f>
        <v>Primary_Walkin</v>
      </c>
      <c r="E1579" s="124">
        <f>IFERROR(__xludf.DUMMYFUNCTION("""COMPUTED_VALUE"""),1.0)</f>
        <v>1</v>
      </c>
      <c r="F1579" s="124" t="str">
        <f>IFERROR(__xludf.DUMMYFUNCTION("""COMPUTED_VALUE"""),"Not Interested")</f>
        <v>Not Interested</v>
      </c>
      <c r="G1579" s="124" t="str">
        <f>IFERROR(__xludf.DUMMYFUNCTION("""COMPUTED_VALUE"""),"State PCS")</f>
        <v>State PCS</v>
      </c>
      <c r="K1579" s="124"/>
      <c r="L1579" s="124"/>
      <c r="M1579" s="124"/>
      <c r="N1579" s="124"/>
      <c r="O1579" s="124"/>
      <c r="T1579" s="126">
        <f>IFERROR(__xludf.DUMMYFUNCTION("""COMPUTED_VALUE"""),46047.0)</f>
        <v>46047</v>
      </c>
      <c r="U1579" s="124" t="str">
        <f>IFERROR(__xludf.DUMMYFUNCTION("""COMPUTED_VALUE"""),"External Leads")</f>
        <v>External Leads</v>
      </c>
      <c r="V1579" s="124" t="str">
        <f>IFERROR(__xludf.DUMMYFUNCTION("""COMPUTED_VALUE"""),"external leads")</f>
        <v>external leads</v>
      </c>
      <c r="W1579" s="124"/>
      <c r="X1579" s="124"/>
      <c r="Y1579" s="124" t="str">
        <f>IFERROR(__xludf.DUMMYFUNCTION("""COMPUTED_VALUE"""),"Delhi")</f>
        <v>Delhi</v>
      </c>
      <c r="Z1579" s="124">
        <f>IFERROR(__xludf.DUMMYFUNCTION("""COMPUTED_VALUE"""),1.0)</f>
        <v>1</v>
      </c>
      <c r="AA1579" s="124" t="str">
        <f>IFERROR(__xludf.DUMMYFUNCTION("""COMPUTED_VALUE"""),"Cold")</f>
        <v>Cold</v>
      </c>
      <c r="AB1579" s="124" t="str">
        <f>IFERROR(__xludf.DUMMYFUNCTION("""COMPUTED_VALUE"""),"GS Foundation")</f>
        <v>GS Foundation</v>
      </c>
    </row>
    <row r="1580">
      <c r="A1580" s="126">
        <f>IFERROR(__xludf.DUMMYFUNCTION("""COMPUTED_VALUE"""),46106.0)</f>
        <v>46106</v>
      </c>
      <c r="B1580" s="124" t="str">
        <f>IFERROR(__xludf.DUMMYFUNCTION("""COMPUTED_VALUE"""),"Inbound")</f>
        <v>Inbound</v>
      </c>
      <c r="C1580" s="124" t="str">
        <f>IFERROR(__xludf.DUMMYFUNCTION("""COMPUTED_VALUE"""),"Delhi")</f>
        <v>Delhi</v>
      </c>
      <c r="D1580" s="124" t="str">
        <f>IFERROR(__xludf.DUMMYFUNCTION("""COMPUTED_VALUE"""),"Secondary_Walkin")</f>
        <v>Secondary_Walkin</v>
      </c>
      <c r="E1580" s="124">
        <f>IFERROR(__xludf.DUMMYFUNCTION("""COMPUTED_VALUE"""),1.0)</f>
        <v>1</v>
      </c>
      <c r="F1580" s="124" t="str">
        <f>IFERROR(__xludf.DUMMYFUNCTION("""COMPUTED_VALUE"""),"Enrolled")</f>
        <v>Enrolled</v>
      </c>
      <c r="G1580" s="124" t="str">
        <f>IFERROR(__xludf.DUMMYFUNCTION("""COMPUTED_VALUE"""),"Other")</f>
        <v>Other</v>
      </c>
      <c r="K1580" s="124"/>
      <c r="L1580" s="124"/>
      <c r="M1580" s="124"/>
      <c r="N1580" s="124"/>
      <c r="O1580" s="124"/>
      <c r="T1580" s="129">
        <f>IFERROR(__xludf.DUMMYFUNCTION("""COMPUTED_VALUE"""),46079.0)</f>
        <v>46079</v>
      </c>
      <c r="U1580" s="124" t="str">
        <f>IFERROR(__xludf.DUMMYFUNCTION("""COMPUTED_VALUE"""),"Publisher Campaign")</f>
        <v>Publisher Campaign</v>
      </c>
      <c r="V1580" s="124" t="str">
        <f>IFERROR(__xludf.DUMMYFUNCTION("""COMPUTED_VALUE"""),"Webinar")</f>
        <v>Webinar</v>
      </c>
      <c r="W1580" s="124"/>
      <c r="X1580" s="124"/>
      <c r="Y1580" s="124" t="str">
        <f>IFERROR(__xludf.DUMMYFUNCTION("""COMPUTED_VALUE"""),"Delhi")</f>
        <v>Delhi</v>
      </c>
      <c r="Z1580" s="124">
        <f>IFERROR(__xludf.DUMMYFUNCTION("""COMPUTED_VALUE"""),9.0)</f>
        <v>9</v>
      </c>
      <c r="AA1580" s="124" t="str">
        <f>IFERROR(__xludf.DUMMYFUNCTION("""COMPUTED_VALUE"""),"Warm")</f>
        <v>Warm</v>
      </c>
      <c r="AB1580" s="124" t="str">
        <f>IFERROR(__xludf.DUMMYFUNCTION("""COMPUTED_VALUE"""),"Optionals")</f>
        <v>Optionals</v>
      </c>
    </row>
    <row r="1581">
      <c r="A1581" s="126">
        <f>IFERROR(__xludf.DUMMYFUNCTION("""COMPUTED_VALUE"""),46057.0)</f>
        <v>46057</v>
      </c>
      <c r="B1581" s="124" t="str">
        <f>IFERROR(__xludf.DUMMYFUNCTION("""COMPUTED_VALUE"""),"Walkin")</f>
        <v>Walkin</v>
      </c>
      <c r="C1581" s="124" t="str">
        <f>IFERROR(__xludf.DUMMYFUNCTION("""COMPUTED_VALUE"""),"Delhi")</f>
        <v>Delhi</v>
      </c>
      <c r="D1581" s="124" t="str">
        <f>IFERROR(__xludf.DUMMYFUNCTION("""COMPUTED_VALUE"""),"Primary_Walkin")</f>
        <v>Primary_Walkin</v>
      </c>
      <c r="E1581" s="124">
        <f>IFERROR(__xludf.DUMMYFUNCTION("""COMPUTED_VALUE"""),1.0)</f>
        <v>1</v>
      </c>
      <c r="F1581" s="124" t="str">
        <f>IFERROR(__xludf.DUMMYFUNCTION("""COMPUTED_VALUE"""),"Enrolled")</f>
        <v>Enrolled</v>
      </c>
      <c r="G1581" s="124" t="str">
        <f>IFERROR(__xludf.DUMMYFUNCTION("""COMPUTED_VALUE"""),"SIP Offline")</f>
        <v>SIP Offline</v>
      </c>
      <c r="K1581" s="124"/>
      <c r="L1581" s="124"/>
      <c r="M1581" s="124"/>
      <c r="N1581" s="124"/>
      <c r="O1581" s="124"/>
      <c r="T1581" s="126">
        <f>IFERROR(__xludf.DUMMYFUNCTION("""COMPUTED_VALUE"""),46079.0)</f>
        <v>46079</v>
      </c>
      <c r="U1581" s="124" t="str">
        <f>IFERROR(__xludf.DUMMYFUNCTION("""COMPUTED_VALUE"""),"Publisher Campaign")</f>
        <v>Publisher Campaign</v>
      </c>
      <c r="V1581" s="124" t="str">
        <f>IFERROR(__xludf.DUMMYFUNCTION("""COMPUTED_VALUE"""),"Webinar")</f>
        <v>Webinar</v>
      </c>
      <c r="W1581" s="124"/>
      <c r="X1581" s="124"/>
      <c r="Y1581" s="124" t="str">
        <f>IFERROR(__xludf.DUMMYFUNCTION("""COMPUTED_VALUE"""),"Guwahati")</f>
        <v>Guwahati</v>
      </c>
      <c r="Z1581" s="124">
        <f>IFERROR(__xludf.DUMMYFUNCTION("""COMPUTED_VALUE"""),1.0)</f>
        <v>1</v>
      </c>
      <c r="AA1581" s="124"/>
      <c r="AB1581" s="124" t="str">
        <f>IFERROR(__xludf.DUMMYFUNCTION("""COMPUTED_VALUE"""),"GS Foundation")</f>
        <v>GS Foundation</v>
      </c>
    </row>
    <row r="1582">
      <c r="A1582" s="126">
        <f>IFERROR(__xludf.DUMMYFUNCTION("""COMPUTED_VALUE"""),46056.0)</f>
        <v>46056</v>
      </c>
      <c r="B1582" s="124" t="str">
        <f>IFERROR(__xludf.DUMMYFUNCTION("""COMPUTED_VALUE"""),"external leads")</f>
        <v>external leads</v>
      </c>
      <c r="C1582" s="124" t="str">
        <f>IFERROR(__xludf.DUMMYFUNCTION("""COMPUTED_VALUE"""),"Delhi")</f>
        <v>Delhi</v>
      </c>
      <c r="D1582" s="124" t="str">
        <f>IFERROR(__xludf.DUMMYFUNCTION("""COMPUTED_VALUE"""),"Secondary_Walkin")</f>
        <v>Secondary_Walkin</v>
      </c>
      <c r="E1582" s="124">
        <f>IFERROR(__xludf.DUMMYFUNCTION("""COMPUTED_VALUE"""),1.0)</f>
        <v>1</v>
      </c>
      <c r="F1582" s="124" t="str">
        <f>IFERROR(__xludf.DUMMYFUNCTION("""COMPUTED_VALUE"""),"Fake Lead")</f>
        <v>Fake Lead</v>
      </c>
      <c r="G1582" s="124" t="str">
        <f>IFERROR(__xludf.DUMMYFUNCTION("""COMPUTED_VALUE"""),"GS Foundation")</f>
        <v>GS Foundation</v>
      </c>
      <c r="K1582" s="124"/>
      <c r="L1582" s="124"/>
      <c r="M1582" s="124"/>
      <c r="N1582" s="124"/>
      <c r="O1582" s="124"/>
      <c r="T1582" s="129">
        <f>IFERROR(__xludf.DUMMYFUNCTION("""COMPUTED_VALUE"""),46112.0)</f>
        <v>46112</v>
      </c>
      <c r="U1582" s="124" t="str">
        <f>IFERROR(__xludf.DUMMYFUNCTION("""COMPUTED_VALUE"""),"Other Marketing Channels")</f>
        <v>Other Marketing Channels</v>
      </c>
      <c r="V1582" s="124" t="str">
        <f>IFERROR(__xludf.DUMMYFUNCTION("""COMPUTED_VALUE"""),"Online Leads")</f>
        <v>Online Leads</v>
      </c>
      <c r="W1582" s="124" t="str">
        <f>IFERROR(__xludf.DUMMYFUNCTION("""COMPUTED_VALUE"""),"Existing Students")</f>
        <v>Existing Students</v>
      </c>
      <c r="X1582" s="124" t="str">
        <f>IFERROR(__xludf.DUMMYFUNCTION("""COMPUTED_VALUE"""),"Lucknow")</f>
        <v>Lucknow</v>
      </c>
      <c r="Y1582" s="124" t="str">
        <f>IFERROR(__xludf.DUMMYFUNCTION("""COMPUTED_VALUE"""),"Lucknow")</f>
        <v>Lucknow</v>
      </c>
      <c r="Z1582" s="124">
        <f>IFERROR(__xludf.DUMMYFUNCTION("""COMPUTED_VALUE"""),1.0)</f>
        <v>1</v>
      </c>
      <c r="AA1582" s="124" t="str">
        <f>IFERROR(__xludf.DUMMYFUNCTION("""COMPUTED_VALUE"""),"Enrolled")</f>
        <v>Enrolled</v>
      </c>
      <c r="AB1582" s="124" t="str">
        <f>IFERROR(__xludf.DUMMYFUNCTION("""COMPUTED_VALUE"""),"GS Advanced")</f>
        <v>GS Advanced</v>
      </c>
    </row>
    <row r="1583">
      <c r="A1583" s="129">
        <f>IFERROR(__xludf.DUMMYFUNCTION("""COMPUTED_VALUE"""),46079.0)</f>
        <v>46079</v>
      </c>
      <c r="B1583" s="124" t="str">
        <f>IFERROR(__xludf.DUMMYFUNCTION("""COMPUTED_VALUE"""),"external leads")</f>
        <v>external leads</v>
      </c>
      <c r="C1583" s="124" t="str">
        <f>IFERROR(__xludf.DUMMYFUNCTION("""COMPUTED_VALUE"""),"Delhi")</f>
        <v>Delhi</v>
      </c>
      <c r="D1583" s="124" t="str">
        <f>IFERROR(__xludf.DUMMYFUNCTION("""COMPUTED_VALUE"""),"Secondary_Walkin")</f>
        <v>Secondary_Walkin</v>
      </c>
      <c r="E1583" s="124">
        <f>IFERROR(__xludf.DUMMYFUNCTION("""COMPUTED_VALUE"""),1.0)</f>
        <v>1</v>
      </c>
      <c r="F1583" s="124" t="str">
        <f>IFERROR(__xludf.DUMMYFUNCTION("""COMPUTED_VALUE"""),"Not Interested")</f>
        <v>Not Interested</v>
      </c>
      <c r="G1583" s="124" t="str">
        <f>IFERROR(__xludf.DUMMYFUNCTION("""COMPUTED_VALUE"""),"GS Foundation")</f>
        <v>GS Foundation</v>
      </c>
      <c r="K1583" s="124"/>
      <c r="L1583" s="124"/>
      <c r="M1583" s="124"/>
      <c r="N1583" s="124"/>
      <c r="O1583" s="124"/>
      <c r="T1583" s="129">
        <f>IFERROR(__xludf.DUMMYFUNCTION("""COMPUTED_VALUE"""),46087.0)</f>
        <v>46087</v>
      </c>
      <c r="U1583" s="124" t="str">
        <f>IFERROR(__xludf.DUMMYFUNCTION("""COMPUTED_VALUE"""),"Publisher Campaign")</f>
        <v>Publisher Campaign</v>
      </c>
      <c r="V1583" s="124" t="str">
        <f>IFERROR(__xludf.DUMMYFUNCTION("""COMPUTED_VALUE"""),"BTL Activities")</f>
        <v>BTL Activities</v>
      </c>
      <c r="W1583" s="124"/>
      <c r="X1583" s="124"/>
      <c r="Y1583" s="124" t="str">
        <f>IFERROR(__xludf.DUMMYFUNCTION("""COMPUTED_VALUE"""),"Indore")</f>
        <v>Indore</v>
      </c>
      <c r="Z1583" s="124">
        <f>IFERROR(__xludf.DUMMYFUNCTION("""COMPUTED_VALUE"""),2.0)</f>
        <v>2</v>
      </c>
      <c r="AA1583" s="124" t="str">
        <f>IFERROR(__xludf.DUMMYFUNCTION("""COMPUTED_VALUE"""),"Cold")</f>
        <v>Cold</v>
      </c>
      <c r="AB1583" s="124" t="str">
        <f>IFERROR(__xludf.DUMMYFUNCTION("""COMPUTED_VALUE"""),"State PCS")</f>
        <v>State PCS</v>
      </c>
    </row>
    <row r="1584">
      <c r="A1584" s="129">
        <f>IFERROR(__xludf.DUMMYFUNCTION("""COMPUTED_VALUE"""),46050.0)</f>
        <v>46050</v>
      </c>
      <c r="B1584" s="124" t="str">
        <f>IFERROR(__xludf.DUMMYFUNCTION("""COMPUTED_VALUE"""),"walk-in")</f>
        <v>walk-in</v>
      </c>
      <c r="C1584" s="124" t="str">
        <f>IFERROR(__xludf.DUMMYFUNCTION("""COMPUTED_VALUE"""),"Delhi")</f>
        <v>Delhi</v>
      </c>
      <c r="D1584" s="124" t="str">
        <f>IFERROR(__xludf.DUMMYFUNCTION("""COMPUTED_VALUE"""),"Primary_Walkin")</f>
        <v>Primary_Walkin</v>
      </c>
      <c r="E1584" s="124">
        <f>IFERROR(__xludf.DUMMYFUNCTION("""COMPUTED_VALUE"""),1.0)</f>
        <v>1</v>
      </c>
      <c r="F1584" s="124" t="str">
        <f>IFERROR(__xludf.DUMMYFUNCTION("""COMPUTED_VALUE"""),"Enrolled")</f>
        <v>Enrolled</v>
      </c>
      <c r="G1584" s="124" t="str">
        <f>IFERROR(__xludf.DUMMYFUNCTION("""COMPUTED_VALUE"""),"Optionals")</f>
        <v>Optionals</v>
      </c>
      <c r="K1584" s="124"/>
      <c r="L1584" s="124"/>
      <c r="M1584" s="124"/>
      <c r="N1584" s="124"/>
      <c r="O1584" s="124"/>
      <c r="T1584" s="129">
        <f>IFERROR(__xludf.DUMMYFUNCTION("""COMPUTED_VALUE"""),46065.0)</f>
        <v>46065</v>
      </c>
      <c r="U1584" s="124" t="str">
        <f>IFERROR(__xludf.DUMMYFUNCTION("""COMPUTED_VALUE"""),"Publisher Campaign")</f>
        <v>Publisher Campaign</v>
      </c>
      <c r="V1584" s="124" t="str">
        <f>IFERROR(__xludf.DUMMYFUNCTION("""COMPUTED_VALUE"""),"BTL Activities")</f>
        <v>BTL Activities</v>
      </c>
      <c r="W1584" s="124"/>
      <c r="X1584" s="124"/>
      <c r="Y1584" s="124" t="str">
        <f>IFERROR(__xludf.DUMMYFUNCTION("""COMPUTED_VALUE"""),"Indore")</f>
        <v>Indore</v>
      </c>
      <c r="Z1584" s="124">
        <f>IFERROR(__xludf.DUMMYFUNCTION("""COMPUTED_VALUE"""),2.0)</f>
        <v>2</v>
      </c>
      <c r="AA1584" s="124" t="str">
        <f>IFERROR(__xludf.DUMMYFUNCTION("""COMPUTED_VALUE"""),"Cold")</f>
        <v>Cold</v>
      </c>
      <c r="AB1584" s="124" t="str">
        <f>IFERROR(__xludf.DUMMYFUNCTION("""COMPUTED_VALUE"""),"Other")</f>
        <v>Other</v>
      </c>
    </row>
    <row r="1585">
      <c r="A1585" s="126">
        <f>IFERROR(__xludf.DUMMYFUNCTION("""COMPUTED_VALUE"""),46044.0)</f>
        <v>46044</v>
      </c>
      <c r="B1585" s="124" t="str">
        <f>IFERROR(__xludf.DUMMYFUNCTION("""COMPUTED_VALUE"""),"Walkin")</f>
        <v>Walkin</v>
      </c>
      <c r="C1585" s="124" t="str">
        <f>IFERROR(__xludf.DUMMYFUNCTION("""COMPUTED_VALUE"""),"Delhi")</f>
        <v>Delhi</v>
      </c>
      <c r="D1585" s="124" t="str">
        <f>IFERROR(__xludf.DUMMYFUNCTION("""COMPUTED_VALUE"""),"Primary_Walkin")</f>
        <v>Primary_Walkin</v>
      </c>
      <c r="E1585" s="124">
        <f>IFERROR(__xludf.DUMMYFUNCTION("""COMPUTED_VALUE"""),1.0)</f>
        <v>1</v>
      </c>
      <c r="F1585" s="124" t="str">
        <f>IFERROR(__xludf.DUMMYFUNCTION("""COMPUTED_VALUE"""),"Warm")</f>
        <v>Warm</v>
      </c>
      <c r="G1585" s="124" t="str">
        <f>IFERROR(__xludf.DUMMYFUNCTION("""COMPUTED_VALUE"""),"Test Series")</f>
        <v>Test Series</v>
      </c>
      <c r="K1585" s="124"/>
      <c r="L1585" s="124"/>
      <c r="M1585" s="124"/>
      <c r="N1585" s="124"/>
      <c r="O1585" s="124"/>
      <c r="T1585" s="129">
        <f>IFERROR(__xludf.DUMMYFUNCTION("""COMPUTED_VALUE"""),46050.0)</f>
        <v>46050</v>
      </c>
      <c r="U1585" s="124" t="str">
        <f>IFERROR(__xludf.DUMMYFUNCTION("""COMPUTED_VALUE"""),"External Leads")</f>
        <v>External Leads</v>
      </c>
      <c r="V1585" s="124" t="str">
        <f>IFERROR(__xludf.DUMMYFUNCTION("""COMPUTED_VALUE"""),"external leads")</f>
        <v>external leads</v>
      </c>
      <c r="W1585" s="124" t="str">
        <f>IFERROR(__xludf.DUMMYFUNCTION("""COMPUTED_VALUE"""),"patna")</f>
        <v>patna</v>
      </c>
      <c r="X1585" s="124" t="str">
        <f>IFERROR(__xludf.DUMMYFUNCTION("""COMPUTED_VALUE"""),"piyushunacademy")</f>
        <v>piyushunacademy</v>
      </c>
      <c r="Y1585" s="124" t="str">
        <f>IFERROR(__xludf.DUMMYFUNCTION("""COMPUTED_VALUE"""),"Patna")</f>
        <v>Patna</v>
      </c>
      <c r="Z1585" s="124">
        <f>IFERROR(__xludf.DUMMYFUNCTION("""COMPUTED_VALUE"""),4.0)</f>
        <v>4</v>
      </c>
      <c r="AA1585" s="124" t="str">
        <f>IFERROR(__xludf.DUMMYFUNCTION("""COMPUTED_VALUE"""),"Fake Lead")</f>
        <v>Fake Lead</v>
      </c>
      <c r="AB1585" s="124"/>
    </row>
    <row r="1586">
      <c r="A1586" s="126">
        <f>IFERROR(__xludf.DUMMYFUNCTION("""COMPUTED_VALUE"""),46067.0)</f>
        <v>46067</v>
      </c>
      <c r="B1586" s="124" t="str">
        <f>IFERROR(__xludf.DUMMYFUNCTION("""COMPUTED_VALUE"""),"Walkin")</f>
        <v>Walkin</v>
      </c>
      <c r="C1586" s="124" t="str">
        <f>IFERROR(__xludf.DUMMYFUNCTION("""COMPUTED_VALUE"""),"Delhi")</f>
        <v>Delhi</v>
      </c>
      <c r="D1586" s="124" t="str">
        <f>IFERROR(__xludf.DUMMYFUNCTION("""COMPUTED_VALUE"""),"Primary_Walkin")</f>
        <v>Primary_Walkin</v>
      </c>
      <c r="E1586" s="124">
        <f>IFERROR(__xludf.DUMMYFUNCTION("""COMPUTED_VALUE"""),1.0)</f>
        <v>1</v>
      </c>
      <c r="F1586" s="124" t="str">
        <f>IFERROR(__xludf.DUMMYFUNCTION("""COMPUTED_VALUE"""),"Future Prospects")</f>
        <v>Future Prospects</v>
      </c>
      <c r="G1586" s="124" t="str">
        <f>IFERROR(__xludf.DUMMYFUNCTION("""COMPUTED_VALUE"""),"Mentorship")</f>
        <v>Mentorship</v>
      </c>
      <c r="K1586" s="124"/>
      <c r="L1586" s="124"/>
      <c r="M1586" s="124"/>
      <c r="N1586" s="124"/>
      <c r="O1586" s="124"/>
      <c r="T1586" s="126">
        <f>IFERROR(__xludf.DUMMYFUNCTION("""COMPUTED_VALUE"""),46043.0)</f>
        <v>46043</v>
      </c>
      <c r="U1586" s="124" t="str">
        <f>IFERROR(__xludf.DUMMYFUNCTION("""COMPUTED_VALUE"""),"Walk-Ins")</f>
        <v>Walk-Ins</v>
      </c>
      <c r="V1586" s="124" t="str">
        <f>IFERROR(__xludf.DUMMYFUNCTION("""COMPUTED_VALUE"""),"Walkin")</f>
        <v>Walkin</v>
      </c>
      <c r="W1586" s="124" t="str">
        <f>IFERROR(__xludf.DUMMYFUNCTION("""COMPUTED_VALUE"""),"Delhi")</f>
        <v>Delhi</v>
      </c>
      <c r="X1586" s="124" t="str">
        <f>IFERROR(__xludf.DUMMYFUNCTION("""COMPUTED_VALUE"""),"walkin")</f>
        <v>walkin</v>
      </c>
      <c r="Y1586" s="124" t="str">
        <f>IFERROR(__xludf.DUMMYFUNCTION("""COMPUTED_VALUE"""),"Delhi")</f>
        <v>Delhi</v>
      </c>
      <c r="Z1586" s="124">
        <f>IFERROR(__xludf.DUMMYFUNCTION("""COMPUTED_VALUE"""),1.0)</f>
        <v>1</v>
      </c>
      <c r="AA1586" s="124" t="str">
        <f>IFERROR(__xludf.DUMMYFUNCTION("""COMPUTED_VALUE"""),"Enrolled")</f>
        <v>Enrolled</v>
      </c>
      <c r="AB1586" s="124" t="str">
        <f>IFERROR(__xludf.DUMMYFUNCTION("""COMPUTED_VALUE"""),"State PCS")</f>
        <v>State PCS</v>
      </c>
    </row>
    <row r="1587">
      <c r="A1587" s="129">
        <f>IFERROR(__xludf.DUMMYFUNCTION("""COMPUTED_VALUE"""),46077.0)</f>
        <v>46077</v>
      </c>
      <c r="B1587" s="124" t="str">
        <f>IFERROR(__xludf.DUMMYFUNCTION("""COMPUTED_VALUE"""),"Walkin")</f>
        <v>Walkin</v>
      </c>
      <c r="C1587" s="124" t="str">
        <f>IFERROR(__xludf.DUMMYFUNCTION("""COMPUTED_VALUE"""),"Delhi")</f>
        <v>Delhi</v>
      </c>
      <c r="D1587" s="124" t="str">
        <f>IFERROR(__xludf.DUMMYFUNCTION("""COMPUTED_VALUE"""),"Primary_Walkin")</f>
        <v>Primary_Walkin</v>
      </c>
      <c r="E1587" s="124">
        <f>IFERROR(__xludf.DUMMYFUNCTION("""COMPUTED_VALUE"""),1.0)</f>
        <v>1</v>
      </c>
      <c r="F1587" s="124" t="str">
        <f>IFERROR(__xludf.DUMMYFUNCTION("""COMPUTED_VALUE"""),"Cold")</f>
        <v>Cold</v>
      </c>
      <c r="G1587" s="124" t="str">
        <f>IFERROR(__xludf.DUMMYFUNCTION("""COMPUTED_VALUE"""),"Mentorship")</f>
        <v>Mentorship</v>
      </c>
      <c r="K1587" s="124"/>
      <c r="L1587" s="124"/>
      <c r="M1587" s="124"/>
      <c r="N1587" s="124"/>
      <c r="O1587" s="124"/>
      <c r="T1587" s="126">
        <f>IFERROR(__xludf.DUMMYFUNCTION("""COMPUTED_VALUE"""),46074.0)</f>
        <v>46074</v>
      </c>
      <c r="U1587" s="124" t="str">
        <f>IFERROR(__xludf.DUMMYFUNCTION("""COMPUTED_VALUE"""),"Walk-Ins")</f>
        <v>Walk-Ins</v>
      </c>
      <c r="V1587" s="124" t="str">
        <f>IFERROR(__xludf.DUMMYFUNCTION("""COMPUTED_VALUE"""),"Walkin")</f>
        <v>Walkin</v>
      </c>
      <c r="W1587" s="124" t="str">
        <f>IFERROR(__xludf.DUMMYFUNCTION("""COMPUTED_VALUE"""),"Delhi")</f>
        <v>Delhi</v>
      </c>
      <c r="X1587" s="124" t="str">
        <f>IFERROR(__xludf.DUMMYFUNCTION("""COMPUTED_VALUE"""),"walkin")</f>
        <v>walkin</v>
      </c>
      <c r="Y1587" s="124" t="str">
        <f>IFERROR(__xludf.DUMMYFUNCTION("""COMPUTED_VALUE"""),"Delhi")</f>
        <v>Delhi</v>
      </c>
      <c r="Z1587" s="124">
        <f>IFERROR(__xludf.DUMMYFUNCTION("""COMPUTED_VALUE"""),3.0)</f>
        <v>3</v>
      </c>
      <c r="AA1587" s="124" t="str">
        <f>IFERROR(__xludf.DUMMYFUNCTION("""COMPUTED_VALUE"""),"Cold")</f>
        <v>Cold</v>
      </c>
      <c r="AB1587" s="124" t="str">
        <f>IFERROR(__xludf.DUMMYFUNCTION("""COMPUTED_VALUE"""),"GS Foundation")</f>
        <v>GS Foundation</v>
      </c>
    </row>
    <row r="1588">
      <c r="A1588" s="126">
        <f>IFERROR(__xludf.DUMMYFUNCTION("""COMPUTED_VALUE"""),46091.0)</f>
        <v>46091</v>
      </c>
      <c r="B1588" s="124" t="str">
        <f>IFERROR(__xludf.DUMMYFUNCTION("""COMPUTED_VALUE"""),"external leads")</f>
        <v>external leads</v>
      </c>
      <c r="C1588" s="124" t="str">
        <f>IFERROR(__xludf.DUMMYFUNCTION("""COMPUTED_VALUE"""),"Delhi")</f>
        <v>Delhi</v>
      </c>
      <c r="D1588" s="124" t="str">
        <f>IFERROR(__xludf.DUMMYFUNCTION("""COMPUTED_VALUE"""),"Secondary_Walkin")</f>
        <v>Secondary_Walkin</v>
      </c>
      <c r="E1588" s="124">
        <f>IFERROR(__xludf.DUMMYFUNCTION("""COMPUTED_VALUE"""),1.0)</f>
        <v>1</v>
      </c>
      <c r="F1588" s="124" t="str">
        <f>IFERROR(__xludf.DUMMYFUNCTION("""COMPUTED_VALUE"""),"Not Interested")</f>
        <v>Not Interested</v>
      </c>
      <c r="G1588" s="124" t="str">
        <f>IFERROR(__xludf.DUMMYFUNCTION("""COMPUTED_VALUE"""),"GS Foundation")</f>
        <v>GS Foundation</v>
      </c>
      <c r="K1588" s="124"/>
      <c r="L1588" s="124"/>
      <c r="M1588" s="124"/>
      <c r="N1588" s="124"/>
      <c r="O1588" s="124"/>
      <c r="T1588" s="129">
        <f>IFERROR(__xludf.DUMMYFUNCTION("""COMPUTED_VALUE"""),46108.0)</f>
        <v>46108</v>
      </c>
      <c r="U1588" s="124" t="str">
        <f>IFERROR(__xludf.DUMMYFUNCTION("""COMPUTED_VALUE"""),"Walk-Ins")</f>
        <v>Walk-Ins</v>
      </c>
      <c r="V1588" s="124" t="str">
        <f>IFERROR(__xludf.DUMMYFUNCTION("""COMPUTED_VALUE"""),"Walkin")</f>
        <v>Walkin</v>
      </c>
      <c r="W1588" s="124" t="str">
        <f>IFERROR(__xludf.DUMMYFUNCTION("""COMPUTED_VALUE"""),"Delhi")</f>
        <v>Delhi</v>
      </c>
      <c r="X1588" s="124" t="str">
        <f>IFERROR(__xludf.DUMMYFUNCTION("""COMPUTED_VALUE"""),"walkin")</f>
        <v>walkin</v>
      </c>
      <c r="Y1588" s="124" t="str">
        <f>IFERROR(__xludf.DUMMYFUNCTION("""COMPUTED_VALUE"""),"Delhi")</f>
        <v>Delhi</v>
      </c>
      <c r="Z1588" s="124">
        <f>IFERROR(__xludf.DUMMYFUNCTION("""COMPUTED_VALUE"""),6.0)</f>
        <v>6</v>
      </c>
      <c r="AA1588" s="124" t="str">
        <f>IFERROR(__xludf.DUMMYFUNCTION("""COMPUTED_VALUE"""),"Warm")</f>
        <v>Warm</v>
      </c>
      <c r="AB1588" s="124" t="str">
        <f>IFERROR(__xludf.DUMMYFUNCTION("""COMPUTED_VALUE"""),"GS Foundation")</f>
        <v>GS Foundation</v>
      </c>
    </row>
    <row r="1589">
      <c r="A1589" s="129">
        <f>IFERROR(__xludf.DUMMYFUNCTION("""COMPUTED_VALUE"""),46112.0)</f>
        <v>46112</v>
      </c>
      <c r="B1589" s="124" t="str">
        <f>IFERROR(__xludf.DUMMYFUNCTION("""COMPUTED_VALUE"""),"Walkin")</f>
        <v>Walkin</v>
      </c>
      <c r="C1589" s="124" t="str">
        <f>IFERROR(__xludf.DUMMYFUNCTION("""COMPUTED_VALUE"""),"Delhi")</f>
        <v>Delhi</v>
      </c>
      <c r="D1589" s="124" t="str">
        <f>IFERROR(__xludf.DUMMYFUNCTION("""COMPUTED_VALUE"""),"Primary_Walkin")</f>
        <v>Primary_Walkin</v>
      </c>
      <c r="E1589" s="124">
        <f>IFERROR(__xludf.DUMMYFUNCTION("""COMPUTED_VALUE"""),1.0)</f>
        <v>1</v>
      </c>
      <c r="F1589" s="124" t="str">
        <f>IFERROR(__xludf.DUMMYFUNCTION("""COMPUTED_VALUE"""),"Warm")</f>
        <v>Warm</v>
      </c>
      <c r="G1589" s="124" t="str">
        <f>IFERROR(__xludf.DUMMYFUNCTION("""COMPUTED_VALUE"""),"Mentorship")</f>
        <v>Mentorship</v>
      </c>
      <c r="K1589" s="124"/>
      <c r="L1589" s="124"/>
      <c r="M1589" s="124"/>
      <c r="N1589" s="124"/>
      <c r="O1589" s="124"/>
      <c r="T1589" s="126">
        <f>IFERROR(__xludf.DUMMYFUNCTION("""COMPUTED_VALUE"""),46087.0)</f>
        <v>46087</v>
      </c>
      <c r="U1589" s="124" t="str">
        <f>IFERROR(__xludf.DUMMYFUNCTION("""COMPUTED_VALUE"""),"Walk-Ins")</f>
        <v>Walk-Ins</v>
      </c>
      <c r="V1589" s="124" t="str">
        <f>IFERROR(__xludf.DUMMYFUNCTION("""COMPUTED_VALUE"""),"Walkin")</f>
        <v>Walkin</v>
      </c>
      <c r="W1589" s="124" t="str">
        <f>IFERROR(__xludf.DUMMYFUNCTION("""COMPUTED_VALUE"""),"Delhi")</f>
        <v>Delhi</v>
      </c>
      <c r="X1589" s="124" t="str">
        <f>IFERROR(__xludf.DUMMYFUNCTION("""COMPUTED_VALUE"""),"walkin")</f>
        <v>walkin</v>
      </c>
      <c r="Y1589" s="124" t="str">
        <f>IFERROR(__xludf.DUMMYFUNCTION("""COMPUTED_VALUE"""),"Delhi")</f>
        <v>Delhi</v>
      </c>
      <c r="Z1589" s="124">
        <f>IFERROR(__xludf.DUMMYFUNCTION("""COMPUTED_VALUE"""),4.0)</f>
        <v>4</v>
      </c>
      <c r="AA1589" s="124" t="str">
        <f>IFERROR(__xludf.DUMMYFUNCTION("""COMPUTED_VALUE"""),"Warm")</f>
        <v>Warm</v>
      </c>
      <c r="AB1589" s="124" t="str">
        <f>IFERROR(__xludf.DUMMYFUNCTION("""COMPUTED_VALUE"""),"GS Foundation")</f>
        <v>GS Foundation</v>
      </c>
    </row>
    <row r="1590">
      <c r="A1590" s="126">
        <f>IFERROR(__xludf.DUMMYFUNCTION("""COMPUTED_VALUE"""),46107.0)</f>
        <v>46107</v>
      </c>
      <c r="B1590" s="124" t="str">
        <f>IFERROR(__xludf.DUMMYFUNCTION("""COMPUTED_VALUE"""),"Walkin")</f>
        <v>Walkin</v>
      </c>
      <c r="C1590" s="124" t="str">
        <f>IFERROR(__xludf.DUMMYFUNCTION("""COMPUTED_VALUE"""),"Delhi")</f>
        <v>Delhi</v>
      </c>
      <c r="D1590" s="124" t="str">
        <f>IFERROR(__xludf.DUMMYFUNCTION("""COMPUTED_VALUE"""),"Primary_Walkin")</f>
        <v>Primary_Walkin</v>
      </c>
      <c r="E1590" s="124">
        <f>IFERROR(__xludf.DUMMYFUNCTION("""COMPUTED_VALUE"""),1.0)</f>
        <v>1</v>
      </c>
      <c r="F1590" s="124" t="str">
        <f>IFERROR(__xludf.DUMMYFUNCTION("""COMPUTED_VALUE"""),"Future Prospects")</f>
        <v>Future Prospects</v>
      </c>
      <c r="G1590" s="124" t="str">
        <f>IFERROR(__xludf.DUMMYFUNCTION("""COMPUTED_VALUE"""),"GS Foundation")</f>
        <v>GS Foundation</v>
      </c>
      <c r="K1590" s="124"/>
      <c r="L1590" s="124"/>
      <c r="M1590" s="124"/>
      <c r="N1590" s="124"/>
      <c r="O1590" s="124"/>
      <c r="T1590" s="126">
        <f>IFERROR(__xludf.DUMMYFUNCTION("""COMPUTED_VALUE"""),46106.0)</f>
        <v>46106</v>
      </c>
      <c r="U1590" s="124" t="str">
        <f>IFERROR(__xludf.DUMMYFUNCTION("""COMPUTED_VALUE"""),"Walk-Ins")</f>
        <v>Walk-Ins</v>
      </c>
      <c r="V1590" s="124" t="str">
        <f>IFERROR(__xludf.DUMMYFUNCTION("""COMPUTED_VALUE"""),"Walkin")</f>
        <v>Walkin</v>
      </c>
      <c r="W1590" s="124" t="str">
        <f>IFERROR(__xludf.DUMMYFUNCTION("""COMPUTED_VALUE"""),"Delhi")</f>
        <v>Delhi</v>
      </c>
      <c r="X1590" s="124" t="str">
        <f>IFERROR(__xludf.DUMMYFUNCTION("""COMPUTED_VALUE"""),"walkin")</f>
        <v>walkin</v>
      </c>
      <c r="Y1590" s="124" t="str">
        <f>IFERROR(__xludf.DUMMYFUNCTION("""COMPUTED_VALUE"""),"Delhi")</f>
        <v>Delhi</v>
      </c>
      <c r="Z1590" s="124">
        <f>IFERROR(__xludf.DUMMYFUNCTION("""COMPUTED_VALUE"""),3.0)</f>
        <v>3</v>
      </c>
      <c r="AA1590" s="124" t="str">
        <f>IFERROR(__xludf.DUMMYFUNCTION("""COMPUTED_VALUE"""),"Warm")</f>
        <v>Warm</v>
      </c>
      <c r="AB1590" s="124" t="str">
        <f>IFERROR(__xludf.DUMMYFUNCTION("""COMPUTED_VALUE"""),"GS Foundation")</f>
        <v>GS Foundation</v>
      </c>
    </row>
    <row r="1591">
      <c r="A1591" s="126">
        <f>IFERROR(__xludf.DUMMYFUNCTION("""COMPUTED_VALUE"""),46074.0)</f>
        <v>46074</v>
      </c>
      <c r="B1591" s="124" t="str">
        <f>IFERROR(__xludf.DUMMYFUNCTION("""COMPUTED_VALUE"""),"external leads")</f>
        <v>external leads</v>
      </c>
      <c r="C1591" s="124" t="str">
        <f>IFERROR(__xludf.DUMMYFUNCTION("""COMPUTED_VALUE"""),"Delhi")</f>
        <v>Delhi</v>
      </c>
      <c r="D1591" s="124" t="str">
        <f>IFERROR(__xludf.DUMMYFUNCTION("""COMPUTED_VALUE"""),"Secondary_Walkin")</f>
        <v>Secondary_Walkin</v>
      </c>
      <c r="E1591" s="124">
        <f>IFERROR(__xludf.DUMMYFUNCTION("""COMPUTED_VALUE"""),1.0)</f>
        <v>1</v>
      </c>
      <c r="F1591" s="124" t="str">
        <f>IFERROR(__xludf.DUMMYFUNCTION("""COMPUTED_VALUE"""),"Cold")</f>
        <v>Cold</v>
      </c>
      <c r="G1591" s="124" t="str">
        <f>IFERROR(__xludf.DUMMYFUNCTION("""COMPUTED_VALUE"""),"GS Foundation")</f>
        <v>GS Foundation</v>
      </c>
      <c r="K1591" s="124"/>
      <c r="L1591" s="124"/>
      <c r="M1591" s="124"/>
      <c r="N1591" s="124"/>
      <c r="O1591" s="124"/>
      <c r="T1591" s="126">
        <f>IFERROR(__xludf.DUMMYFUNCTION("""COMPUTED_VALUE"""),46078.0)</f>
        <v>46078</v>
      </c>
      <c r="U1591" s="124" t="str">
        <f>IFERROR(__xludf.DUMMYFUNCTION("""COMPUTED_VALUE"""),"Walk-Ins")</f>
        <v>Walk-Ins</v>
      </c>
      <c r="V1591" s="124" t="str">
        <f>IFERROR(__xludf.DUMMYFUNCTION("""COMPUTED_VALUE"""),"Walkin")</f>
        <v>Walkin</v>
      </c>
      <c r="W1591" s="124" t="str">
        <f>IFERROR(__xludf.DUMMYFUNCTION("""COMPUTED_VALUE"""),"Delhi")</f>
        <v>Delhi</v>
      </c>
      <c r="X1591" s="124" t="str">
        <f>IFERROR(__xludf.DUMMYFUNCTION("""COMPUTED_VALUE"""),"walkin")</f>
        <v>walkin</v>
      </c>
      <c r="Y1591" s="124" t="str">
        <f>IFERROR(__xludf.DUMMYFUNCTION("""COMPUTED_VALUE"""),"Delhi")</f>
        <v>Delhi</v>
      </c>
      <c r="Z1591" s="124">
        <f>IFERROR(__xludf.DUMMYFUNCTION("""COMPUTED_VALUE"""),2.0)</f>
        <v>2</v>
      </c>
      <c r="AA1591" s="124" t="str">
        <f>IFERROR(__xludf.DUMMYFUNCTION("""COMPUTED_VALUE"""),"Not Interested")</f>
        <v>Not Interested</v>
      </c>
      <c r="AB1591" s="124" t="str">
        <f>IFERROR(__xludf.DUMMYFUNCTION("""COMPUTED_VALUE"""),"SIP Offline")</f>
        <v>SIP Offline</v>
      </c>
    </row>
    <row r="1592">
      <c r="A1592" s="129">
        <f>IFERROR(__xludf.DUMMYFUNCTION("""COMPUTED_VALUE"""),46096.0)</f>
        <v>46096</v>
      </c>
      <c r="B1592" s="124" t="str">
        <f>IFERROR(__xludf.DUMMYFUNCTION("""COMPUTED_VALUE"""),"Walkin")</f>
        <v>Walkin</v>
      </c>
      <c r="C1592" s="124" t="str">
        <f>IFERROR(__xludf.DUMMYFUNCTION("""COMPUTED_VALUE"""),"Delhi")</f>
        <v>Delhi</v>
      </c>
      <c r="D1592" s="124" t="str">
        <f>IFERROR(__xludf.DUMMYFUNCTION("""COMPUTED_VALUE"""),"Primary_Walkin")</f>
        <v>Primary_Walkin</v>
      </c>
      <c r="E1592" s="124">
        <f>IFERROR(__xludf.DUMMYFUNCTION("""COMPUTED_VALUE"""),1.0)</f>
        <v>1</v>
      </c>
      <c r="F1592" s="124" t="str">
        <f>IFERROR(__xludf.DUMMYFUNCTION("""COMPUTED_VALUE"""),"Enrolled")</f>
        <v>Enrolled</v>
      </c>
      <c r="G1592" s="124" t="str">
        <f>IFERROR(__xludf.DUMMYFUNCTION("""COMPUTED_VALUE"""),"GS Foundation")</f>
        <v>GS Foundation</v>
      </c>
      <c r="K1592" s="124"/>
      <c r="L1592" s="124"/>
      <c r="M1592" s="124"/>
      <c r="N1592" s="124"/>
      <c r="O1592" s="124"/>
      <c r="T1592" s="126">
        <f>IFERROR(__xludf.DUMMYFUNCTION("""COMPUTED_VALUE"""),46087.0)</f>
        <v>46087</v>
      </c>
      <c r="U1592" s="124" t="str">
        <f>IFERROR(__xludf.DUMMYFUNCTION("""COMPUTED_VALUE"""),"Walk-Ins")</f>
        <v>Walk-Ins</v>
      </c>
      <c r="V1592" s="124" t="str">
        <f>IFERROR(__xludf.DUMMYFUNCTION("""COMPUTED_VALUE"""),"Walkin")</f>
        <v>Walkin</v>
      </c>
      <c r="W1592" s="124" t="str">
        <f>IFERROR(__xludf.DUMMYFUNCTION("""COMPUTED_VALUE"""),"Delhi")</f>
        <v>Delhi</v>
      </c>
      <c r="X1592" s="124" t="str">
        <f>IFERROR(__xludf.DUMMYFUNCTION("""COMPUTED_VALUE"""),"walkin")</f>
        <v>walkin</v>
      </c>
      <c r="Y1592" s="124" t="str">
        <f>IFERROR(__xludf.DUMMYFUNCTION("""COMPUTED_VALUE"""),"Delhi")</f>
        <v>Delhi</v>
      </c>
      <c r="Z1592" s="124">
        <f>IFERROR(__xludf.DUMMYFUNCTION("""COMPUTED_VALUE"""),1.0)</f>
        <v>1</v>
      </c>
      <c r="AA1592" s="124" t="str">
        <f>IFERROR(__xludf.DUMMYFUNCTION("""COMPUTED_VALUE"""),"Not Interested")</f>
        <v>Not Interested</v>
      </c>
      <c r="AB1592" s="124" t="str">
        <f>IFERROR(__xludf.DUMMYFUNCTION("""COMPUTED_VALUE"""),"GS Foundation")</f>
        <v>GS Foundation</v>
      </c>
    </row>
    <row r="1593">
      <c r="A1593" s="126">
        <f>IFERROR(__xludf.DUMMYFUNCTION("""COMPUTED_VALUE"""),46053.0)</f>
        <v>46053</v>
      </c>
      <c r="B1593" s="124" t="str">
        <f>IFERROR(__xludf.DUMMYFUNCTION("""COMPUTED_VALUE"""),"Walkin")</f>
        <v>Walkin</v>
      </c>
      <c r="C1593" s="124" t="str">
        <f>IFERROR(__xludf.DUMMYFUNCTION("""COMPUTED_VALUE"""),"Delhi")</f>
        <v>Delhi</v>
      </c>
      <c r="D1593" s="124" t="str">
        <f>IFERROR(__xludf.DUMMYFUNCTION("""COMPUTED_VALUE"""),"Primary_Walkin")</f>
        <v>Primary_Walkin</v>
      </c>
      <c r="E1593" s="124">
        <f>IFERROR(__xludf.DUMMYFUNCTION("""COMPUTED_VALUE"""),1.0)</f>
        <v>1</v>
      </c>
      <c r="F1593" s="124" t="str">
        <f>IFERROR(__xludf.DUMMYFUNCTION("""COMPUTED_VALUE"""),"Not Interested")</f>
        <v>Not Interested</v>
      </c>
      <c r="G1593" s="124" t="str">
        <f>IFERROR(__xludf.DUMMYFUNCTION("""COMPUTED_VALUE"""),"Optionals")</f>
        <v>Optionals</v>
      </c>
      <c r="K1593" s="124"/>
      <c r="L1593" s="124"/>
      <c r="M1593" s="124"/>
      <c r="N1593" s="124"/>
      <c r="O1593" s="124"/>
      <c r="T1593" s="126">
        <f>IFERROR(__xludf.DUMMYFUNCTION("""COMPUTED_VALUE"""),46096.0)</f>
        <v>46096</v>
      </c>
      <c r="U1593" s="124" t="str">
        <f>IFERROR(__xludf.DUMMYFUNCTION("""COMPUTED_VALUE"""),"Walk-Ins")</f>
        <v>Walk-Ins</v>
      </c>
      <c r="V1593" s="124" t="str">
        <f>IFERROR(__xludf.DUMMYFUNCTION("""COMPUTED_VALUE"""),"Walkin")</f>
        <v>Walkin</v>
      </c>
      <c r="W1593" s="124" t="str">
        <f>IFERROR(__xludf.DUMMYFUNCTION("""COMPUTED_VALUE"""),"Delhi")</f>
        <v>Delhi</v>
      </c>
      <c r="X1593" s="124" t="str">
        <f>IFERROR(__xludf.DUMMYFUNCTION("""COMPUTED_VALUE"""),"walkin")</f>
        <v>walkin</v>
      </c>
      <c r="Y1593" s="124" t="str">
        <f>IFERROR(__xludf.DUMMYFUNCTION("""COMPUTED_VALUE"""),"Delhi")</f>
        <v>Delhi</v>
      </c>
      <c r="Z1593" s="124">
        <f>IFERROR(__xludf.DUMMYFUNCTION("""COMPUTED_VALUE"""),5.0)</f>
        <v>5</v>
      </c>
      <c r="AA1593" s="124" t="str">
        <f>IFERROR(__xludf.DUMMYFUNCTION("""COMPUTED_VALUE"""),"Not Interested")</f>
        <v>Not Interested</v>
      </c>
      <c r="AB1593" s="124" t="str">
        <f>IFERROR(__xludf.DUMMYFUNCTION("""COMPUTED_VALUE"""),"GS Foundation")</f>
        <v>GS Foundation</v>
      </c>
    </row>
    <row r="1594">
      <c r="A1594" s="126">
        <f>IFERROR(__xludf.DUMMYFUNCTION("""COMPUTED_VALUE"""),46078.0)</f>
        <v>46078</v>
      </c>
      <c r="B1594" s="124" t="str">
        <f>IFERROR(__xludf.DUMMYFUNCTION("""COMPUTED_VALUE"""),"Walk-In")</f>
        <v>Walk-In</v>
      </c>
      <c r="C1594" s="124" t="str">
        <f>IFERROR(__xludf.DUMMYFUNCTION("""COMPUTED_VALUE"""),"Delhi")</f>
        <v>Delhi</v>
      </c>
      <c r="D1594" s="124" t="str">
        <f>IFERROR(__xludf.DUMMYFUNCTION("""COMPUTED_VALUE"""),"Primary_Walkin")</f>
        <v>Primary_Walkin</v>
      </c>
      <c r="E1594" s="124">
        <f>IFERROR(__xludf.DUMMYFUNCTION("""COMPUTED_VALUE"""),3.0)</f>
        <v>3</v>
      </c>
      <c r="F1594" s="124" t="str">
        <f>IFERROR(__xludf.DUMMYFUNCTION("""COMPUTED_VALUE"""),"Not Interested")</f>
        <v>Not Interested</v>
      </c>
      <c r="G1594" s="124" t="str">
        <f>IFERROR(__xludf.DUMMYFUNCTION("""COMPUTED_VALUE"""),"GS Foundation")</f>
        <v>GS Foundation</v>
      </c>
      <c r="K1594" s="124"/>
      <c r="L1594" s="124"/>
      <c r="M1594" s="124"/>
      <c r="N1594" s="124"/>
      <c r="O1594" s="124"/>
      <c r="T1594" s="129">
        <f>IFERROR(__xludf.DUMMYFUNCTION("""COMPUTED_VALUE"""),46043.0)</f>
        <v>46043</v>
      </c>
      <c r="U1594" s="124" t="str">
        <f>IFERROR(__xludf.DUMMYFUNCTION("""COMPUTED_VALUE"""),"External Leads")</f>
        <v>External Leads</v>
      </c>
      <c r="V1594" s="124" t="str">
        <f>IFERROR(__xludf.DUMMYFUNCTION("""COMPUTED_VALUE"""),"external leads")</f>
        <v>external leads</v>
      </c>
      <c r="W1594" s="124" t="str">
        <f>IFERROR(__xludf.DUMMYFUNCTION("""COMPUTED_VALUE"""),"lucknow")</f>
        <v>lucknow</v>
      </c>
      <c r="X1594" s="124" t="str">
        <f>IFERROR(__xludf.DUMMYFUNCTION("""COMPUTED_VALUE"""),"university")</f>
        <v>university</v>
      </c>
      <c r="Y1594" s="124" t="str">
        <f>IFERROR(__xludf.DUMMYFUNCTION("""COMPUTED_VALUE"""),"Lucknow")</f>
        <v>Lucknow</v>
      </c>
      <c r="Z1594" s="124">
        <f>IFERROR(__xludf.DUMMYFUNCTION("""COMPUTED_VALUE"""),6.0)</f>
        <v>6</v>
      </c>
      <c r="AA1594" s="124" t="str">
        <f>IFERROR(__xludf.DUMMYFUNCTION("""COMPUTED_VALUE"""),"Not Interested")</f>
        <v>Not Interested</v>
      </c>
      <c r="AB1594" s="124"/>
    </row>
    <row r="1595">
      <c r="A1595" s="126">
        <f>IFERROR(__xludf.DUMMYFUNCTION("""COMPUTED_VALUE"""),46093.0)</f>
        <v>46093</v>
      </c>
      <c r="B1595" s="124" t="str">
        <f>IFERROR(__xludf.DUMMYFUNCTION("""COMPUTED_VALUE"""),"Walkin")</f>
        <v>Walkin</v>
      </c>
      <c r="C1595" s="124" t="str">
        <f>IFERROR(__xludf.DUMMYFUNCTION("""COMPUTED_VALUE"""),"Delhi")</f>
        <v>Delhi</v>
      </c>
      <c r="D1595" s="124" t="str">
        <f>IFERROR(__xludf.DUMMYFUNCTION("""COMPUTED_VALUE"""),"Primary_Walkin")</f>
        <v>Primary_Walkin</v>
      </c>
      <c r="E1595" s="124">
        <f>IFERROR(__xludf.DUMMYFUNCTION("""COMPUTED_VALUE"""),1.0)</f>
        <v>1</v>
      </c>
      <c r="F1595" s="124" t="str">
        <f>IFERROR(__xludf.DUMMYFUNCTION("""COMPUTED_VALUE"""),"Enrolled")</f>
        <v>Enrolled</v>
      </c>
      <c r="G1595" s="124" t="str">
        <f>IFERROR(__xludf.DUMMYFUNCTION("""COMPUTED_VALUE"""),"GS Foundation")</f>
        <v>GS Foundation</v>
      </c>
      <c r="K1595" s="124"/>
      <c r="L1595" s="124"/>
      <c r="M1595" s="124"/>
      <c r="N1595" s="124"/>
      <c r="O1595" s="124"/>
      <c r="T1595" s="126">
        <f>IFERROR(__xludf.DUMMYFUNCTION("""COMPUTED_VALUE"""),46108.0)</f>
        <v>46108</v>
      </c>
      <c r="U1595" s="124" t="str">
        <f>IFERROR(__xludf.DUMMYFUNCTION("""COMPUTED_VALUE"""),"Walk-Ins")</f>
        <v>Walk-Ins</v>
      </c>
      <c r="V1595" s="124" t="str">
        <f>IFERROR(__xludf.DUMMYFUNCTION("""COMPUTED_VALUE"""),"Walkin")</f>
        <v>Walkin</v>
      </c>
      <c r="W1595" s="124" t="str">
        <f>IFERROR(__xludf.DUMMYFUNCTION("""COMPUTED_VALUE"""),"Delhi")</f>
        <v>Delhi</v>
      </c>
      <c r="X1595" s="124" t="str">
        <f>IFERROR(__xludf.DUMMYFUNCTION("""COMPUTED_VALUE"""),"walkin")</f>
        <v>walkin</v>
      </c>
      <c r="Y1595" s="124" t="str">
        <f>IFERROR(__xludf.DUMMYFUNCTION("""COMPUTED_VALUE"""),"Delhi")</f>
        <v>Delhi</v>
      </c>
      <c r="Z1595" s="124">
        <f>IFERROR(__xludf.DUMMYFUNCTION("""COMPUTED_VALUE"""),1.0)</f>
        <v>1</v>
      </c>
      <c r="AA1595" s="124" t="str">
        <f>IFERROR(__xludf.DUMMYFUNCTION("""COMPUTED_VALUE"""),"Interested")</f>
        <v>Interested</v>
      </c>
      <c r="AB1595" s="124" t="str">
        <f>IFERROR(__xludf.DUMMYFUNCTION("""COMPUTED_VALUE"""),"GS Foundation")</f>
        <v>GS Foundation</v>
      </c>
    </row>
    <row r="1596">
      <c r="A1596" s="126">
        <f>IFERROR(__xludf.DUMMYFUNCTION("""COMPUTED_VALUE"""),46098.0)</f>
        <v>46098</v>
      </c>
      <c r="B1596" s="124" t="str">
        <f>IFERROR(__xludf.DUMMYFUNCTION("""COMPUTED_VALUE"""),"events")</f>
        <v>events</v>
      </c>
      <c r="C1596" s="124" t="str">
        <f>IFERROR(__xludf.DUMMYFUNCTION("""COMPUTED_VALUE"""),"Delhi")</f>
        <v>Delhi</v>
      </c>
      <c r="D1596" s="124" t="str">
        <f>IFERROR(__xludf.DUMMYFUNCTION("""COMPUTED_VALUE"""),"Secondary_Walkin")</f>
        <v>Secondary_Walkin</v>
      </c>
      <c r="E1596" s="124">
        <f>IFERROR(__xludf.DUMMYFUNCTION("""COMPUTED_VALUE"""),1.0)</f>
        <v>1</v>
      </c>
      <c r="F1596" s="124" t="str">
        <f>IFERROR(__xludf.DUMMYFUNCTION("""COMPUTED_VALUE"""),"Cold")</f>
        <v>Cold</v>
      </c>
      <c r="G1596" s="124" t="str">
        <f>IFERROR(__xludf.DUMMYFUNCTION("""COMPUTED_VALUE"""),"GS Foundation")</f>
        <v>GS Foundation</v>
      </c>
      <c r="K1596" s="124"/>
      <c r="L1596" s="124"/>
      <c r="M1596" s="124"/>
      <c r="N1596" s="124"/>
      <c r="O1596" s="124"/>
      <c r="T1596" s="126">
        <f>IFERROR(__xludf.DUMMYFUNCTION("""COMPUTED_VALUE"""),46046.0)</f>
        <v>46046</v>
      </c>
      <c r="U1596" s="124" t="str">
        <f>IFERROR(__xludf.DUMMYFUNCTION("""COMPUTED_VALUE"""),"Walk-Ins")</f>
        <v>Walk-Ins</v>
      </c>
      <c r="V1596" s="124" t="str">
        <f>IFERROR(__xludf.DUMMYFUNCTION("""COMPUTED_VALUE"""),"Walkin")</f>
        <v>Walkin</v>
      </c>
      <c r="W1596" s="124" t="str">
        <f>IFERROR(__xludf.DUMMYFUNCTION("""COMPUTED_VALUE"""),"Delhi")</f>
        <v>Delhi</v>
      </c>
      <c r="X1596" s="124" t="str">
        <f>IFERROR(__xludf.DUMMYFUNCTION("""COMPUTED_VALUE"""),"walkin")</f>
        <v>walkin</v>
      </c>
      <c r="Y1596" s="124" t="str">
        <f>IFERROR(__xludf.DUMMYFUNCTION("""COMPUTED_VALUE"""),"Delhi")</f>
        <v>Delhi</v>
      </c>
      <c r="Z1596" s="124">
        <f>IFERROR(__xludf.DUMMYFUNCTION("""COMPUTED_VALUE"""),5.0)</f>
        <v>5</v>
      </c>
      <c r="AA1596" s="124" t="str">
        <f>IFERROR(__xludf.DUMMYFUNCTION("""COMPUTED_VALUE"""),"Not Interested")</f>
        <v>Not Interested</v>
      </c>
      <c r="AB1596" s="124" t="str">
        <f>IFERROR(__xludf.DUMMYFUNCTION("""COMPUTED_VALUE"""),"GS Foundation")</f>
        <v>GS Foundation</v>
      </c>
    </row>
    <row r="1597">
      <c r="A1597" s="129">
        <f>IFERROR(__xludf.DUMMYFUNCTION("""COMPUTED_VALUE"""),46077.0)</f>
        <v>46077</v>
      </c>
      <c r="B1597" s="124" t="str">
        <f>IFERROR(__xludf.DUMMYFUNCTION("""COMPUTED_VALUE"""),"Webinar")</f>
        <v>Webinar</v>
      </c>
      <c r="C1597" s="124" t="str">
        <f>IFERROR(__xludf.DUMMYFUNCTION("""COMPUTED_VALUE"""),"Delhi")</f>
        <v>Delhi</v>
      </c>
      <c r="D1597" s="124" t="str">
        <f>IFERROR(__xludf.DUMMYFUNCTION("""COMPUTED_VALUE"""),"Secondary_Walkin")</f>
        <v>Secondary_Walkin</v>
      </c>
      <c r="E1597" s="124">
        <f>IFERROR(__xludf.DUMMYFUNCTION("""COMPUTED_VALUE"""),1.0)</f>
        <v>1</v>
      </c>
      <c r="F1597" s="124" t="str">
        <f>IFERROR(__xludf.DUMMYFUNCTION("""COMPUTED_VALUE"""),"Engaged")</f>
        <v>Engaged</v>
      </c>
      <c r="G1597" s="124" t="str">
        <f>IFERROR(__xludf.DUMMYFUNCTION("""COMPUTED_VALUE"""),"GS Foundation")</f>
        <v>GS Foundation</v>
      </c>
      <c r="K1597" s="124"/>
      <c r="L1597" s="124"/>
      <c r="M1597" s="124"/>
      <c r="N1597" s="124"/>
      <c r="O1597" s="124"/>
      <c r="T1597" s="126">
        <f>IFERROR(__xludf.DUMMYFUNCTION("""COMPUTED_VALUE"""),46060.0)</f>
        <v>46060</v>
      </c>
      <c r="U1597" s="124" t="str">
        <f>IFERROR(__xludf.DUMMYFUNCTION("""COMPUTED_VALUE"""),"Walk-Ins")</f>
        <v>Walk-Ins</v>
      </c>
      <c r="V1597" s="124" t="str">
        <f>IFERROR(__xludf.DUMMYFUNCTION("""COMPUTED_VALUE"""),"Walkin")</f>
        <v>Walkin</v>
      </c>
      <c r="W1597" s="124" t="str">
        <f>IFERROR(__xludf.DUMMYFUNCTION("""COMPUTED_VALUE"""),"Delhi")</f>
        <v>Delhi</v>
      </c>
      <c r="X1597" s="124" t="str">
        <f>IFERROR(__xludf.DUMMYFUNCTION("""COMPUTED_VALUE"""),"walkin")</f>
        <v>walkin</v>
      </c>
      <c r="Y1597" s="124" t="str">
        <f>IFERROR(__xludf.DUMMYFUNCTION("""COMPUTED_VALUE"""),"Delhi")</f>
        <v>Delhi</v>
      </c>
      <c r="Z1597" s="124">
        <f>IFERROR(__xludf.DUMMYFUNCTION("""COMPUTED_VALUE"""),2.0)</f>
        <v>2</v>
      </c>
      <c r="AA1597" s="124" t="str">
        <f>IFERROR(__xludf.DUMMYFUNCTION("""COMPUTED_VALUE"""),"Enrolled")</f>
        <v>Enrolled</v>
      </c>
      <c r="AB1597" s="124" t="str">
        <f>IFERROR(__xludf.DUMMYFUNCTION("""COMPUTED_VALUE"""),"GS Foundation")</f>
        <v>GS Foundation</v>
      </c>
    </row>
    <row r="1598">
      <c r="A1598" s="126">
        <f>IFERROR(__xludf.DUMMYFUNCTION("""COMPUTED_VALUE"""),46110.0)</f>
        <v>46110</v>
      </c>
      <c r="B1598" s="124" t="str">
        <f>IFERROR(__xludf.DUMMYFUNCTION("""COMPUTED_VALUE"""),"Events")</f>
        <v>Events</v>
      </c>
      <c r="C1598" s="124" t="str">
        <f>IFERROR(__xludf.DUMMYFUNCTION("""COMPUTED_VALUE"""),"Delhi")</f>
        <v>Delhi</v>
      </c>
      <c r="D1598" s="124" t="str">
        <f>IFERROR(__xludf.DUMMYFUNCTION("""COMPUTED_VALUE"""),"Secondary_Walkin")</f>
        <v>Secondary_Walkin</v>
      </c>
      <c r="E1598" s="124">
        <f>IFERROR(__xludf.DUMMYFUNCTION("""COMPUTED_VALUE"""),1.0)</f>
        <v>1</v>
      </c>
      <c r="F1598" s="124" t="str">
        <f>IFERROR(__xludf.DUMMYFUNCTION("""COMPUTED_VALUE"""),"Cold")</f>
        <v>Cold</v>
      </c>
      <c r="G1598" s="124" t="str">
        <f>IFERROR(__xludf.DUMMYFUNCTION("""COMPUTED_VALUE"""),"GS Foundation")</f>
        <v>GS Foundation</v>
      </c>
      <c r="K1598" s="124"/>
      <c r="L1598" s="124"/>
      <c r="M1598" s="124"/>
      <c r="N1598" s="124"/>
      <c r="O1598" s="124"/>
      <c r="T1598" s="129">
        <f>IFERROR(__xludf.DUMMYFUNCTION("""COMPUTED_VALUE"""),46066.0)</f>
        <v>46066</v>
      </c>
      <c r="U1598" s="124" t="str">
        <f>IFERROR(__xludf.DUMMYFUNCTION("""COMPUTED_VALUE"""),"Walk-Ins")</f>
        <v>Walk-Ins</v>
      </c>
      <c r="V1598" s="124" t="str">
        <f>IFERROR(__xludf.DUMMYFUNCTION("""COMPUTED_VALUE"""),"Walkin")</f>
        <v>Walkin</v>
      </c>
      <c r="W1598" s="124" t="str">
        <f>IFERROR(__xludf.DUMMYFUNCTION("""COMPUTED_VALUE"""),"Delhi")</f>
        <v>Delhi</v>
      </c>
      <c r="X1598" s="124" t="str">
        <f>IFERROR(__xludf.DUMMYFUNCTION("""COMPUTED_VALUE"""),"walkin")</f>
        <v>walkin</v>
      </c>
      <c r="Y1598" s="124" t="str">
        <f>IFERROR(__xludf.DUMMYFUNCTION("""COMPUTED_VALUE"""),"Delhi")</f>
        <v>Delhi</v>
      </c>
      <c r="Z1598" s="124">
        <f>IFERROR(__xludf.DUMMYFUNCTION("""COMPUTED_VALUE"""),2.0)</f>
        <v>2</v>
      </c>
      <c r="AA1598" s="124" t="str">
        <f>IFERROR(__xludf.DUMMYFUNCTION("""COMPUTED_VALUE"""),"Enrolled")</f>
        <v>Enrolled</v>
      </c>
      <c r="AB1598" s="124" t="str">
        <f>IFERROR(__xludf.DUMMYFUNCTION("""COMPUTED_VALUE"""),"GS Foundation")</f>
        <v>GS Foundation</v>
      </c>
    </row>
    <row r="1599">
      <c r="A1599" s="126">
        <f>IFERROR(__xludf.DUMMYFUNCTION("""COMPUTED_VALUE"""),46066.0)</f>
        <v>46066</v>
      </c>
      <c r="B1599" s="124" t="str">
        <f>IFERROR(__xludf.DUMMYFUNCTION("""COMPUTED_VALUE"""),"Walkin")</f>
        <v>Walkin</v>
      </c>
      <c r="C1599" s="124" t="str">
        <f>IFERROR(__xludf.DUMMYFUNCTION("""COMPUTED_VALUE"""),"Indore")</f>
        <v>Indore</v>
      </c>
      <c r="D1599" s="124" t="str">
        <f>IFERROR(__xludf.DUMMYFUNCTION("""COMPUTED_VALUE"""),"Primary_Walkin")</f>
        <v>Primary_Walkin</v>
      </c>
      <c r="E1599" s="124">
        <f>IFERROR(__xludf.DUMMYFUNCTION("""COMPUTED_VALUE"""),1.0)</f>
        <v>1</v>
      </c>
      <c r="F1599" s="124" t="str">
        <f>IFERROR(__xludf.DUMMYFUNCTION("""COMPUTED_VALUE"""),"Not Interested")</f>
        <v>Not Interested</v>
      </c>
      <c r="G1599" s="124" t="str">
        <f>IFERROR(__xludf.DUMMYFUNCTION("""COMPUTED_VALUE"""),"Other")</f>
        <v>Other</v>
      </c>
      <c r="K1599" s="124"/>
      <c r="L1599" s="124"/>
      <c r="M1599" s="124"/>
      <c r="N1599" s="124"/>
      <c r="O1599" s="124"/>
      <c r="T1599" s="126">
        <f>IFERROR(__xludf.DUMMYFUNCTION("""COMPUTED_VALUE"""),46073.0)</f>
        <v>46073</v>
      </c>
      <c r="U1599" s="124" t="str">
        <f>IFERROR(__xludf.DUMMYFUNCTION("""COMPUTED_VALUE"""),"Walk-Ins")</f>
        <v>Walk-Ins</v>
      </c>
      <c r="V1599" s="124" t="str">
        <f>IFERROR(__xludf.DUMMYFUNCTION("""COMPUTED_VALUE"""),"Walkin")</f>
        <v>Walkin</v>
      </c>
      <c r="W1599" s="124" t="str">
        <f>IFERROR(__xludf.DUMMYFUNCTION("""COMPUTED_VALUE"""),"Delhi")</f>
        <v>Delhi</v>
      </c>
      <c r="X1599" s="124" t="str">
        <f>IFERROR(__xludf.DUMMYFUNCTION("""COMPUTED_VALUE"""),"walkin")</f>
        <v>walkin</v>
      </c>
      <c r="Y1599" s="124" t="str">
        <f>IFERROR(__xludf.DUMMYFUNCTION("""COMPUTED_VALUE"""),"Delhi")</f>
        <v>Delhi</v>
      </c>
      <c r="Z1599" s="124">
        <f>IFERROR(__xludf.DUMMYFUNCTION("""COMPUTED_VALUE"""),4.0)</f>
        <v>4</v>
      </c>
      <c r="AA1599" s="124" t="str">
        <f>IFERROR(__xludf.DUMMYFUNCTION("""COMPUTED_VALUE"""),"Not Interested")</f>
        <v>Not Interested</v>
      </c>
      <c r="AB1599" s="124" t="str">
        <f>IFERROR(__xludf.DUMMYFUNCTION("""COMPUTED_VALUE"""),"GS Foundation")</f>
        <v>GS Foundation</v>
      </c>
    </row>
    <row r="1600">
      <c r="A1600" s="126">
        <f>IFERROR(__xludf.DUMMYFUNCTION("""COMPUTED_VALUE"""),46075.0)</f>
        <v>46075</v>
      </c>
      <c r="B1600" s="124" t="str">
        <f>IFERROR(__xludf.DUMMYFUNCTION("""COMPUTED_VALUE"""),"Walkin")</f>
        <v>Walkin</v>
      </c>
      <c r="C1600" s="124" t="str">
        <f>IFERROR(__xludf.DUMMYFUNCTION("""COMPUTED_VALUE"""),"Lucknow")</f>
        <v>Lucknow</v>
      </c>
      <c r="D1600" s="124" t="str">
        <f>IFERROR(__xludf.DUMMYFUNCTION("""COMPUTED_VALUE"""),"Primary_Walkin")</f>
        <v>Primary_Walkin</v>
      </c>
      <c r="E1600" s="124">
        <f>IFERROR(__xludf.DUMMYFUNCTION("""COMPUTED_VALUE"""),1.0)</f>
        <v>1</v>
      </c>
      <c r="F1600" s="124" t="str">
        <f>IFERROR(__xludf.DUMMYFUNCTION("""COMPUTED_VALUE"""),"Future Prospects")</f>
        <v>Future Prospects</v>
      </c>
      <c r="G1600" s="124" t="str">
        <f>IFERROR(__xludf.DUMMYFUNCTION("""COMPUTED_VALUE"""),"Hybrid")</f>
        <v>Hybrid</v>
      </c>
      <c r="K1600" s="124"/>
      <c r="L1600" s="124"/>
      <c r="M1600" s="124"/>
      <c r="N1600" s="124"/>
      <c r="O1600" s="124"/>
      <c r="T1600" s="126">
        <f>IFERROR(__xludf.DUMMYFUNCTION("""COMPUTED_VALUE"""),46067.0)</f>
        <v>46067</v>
      </c>
      <c r="U1600" s="124" t="str">
        <f>IFERROR(__xludf.DUMMYFUNCTION("""COMPUTED_VALUE"""),"Walk-Ins")</f>
        <v>Walk-Ins</v>
      </c>
      <c r="V1600" s="124" t="str">
        <f>IFERROR(__xludf.DUMMYFUNCTION("""COMPUTED_VALUE"""),"Walkin")</f>
        <v>Walkin</v>
      </c>
      <c r="W1600" s="124" t="str">
        <f>IFERROR(__xludf.DUMMYFUNCTION("""COMPUTED_VALUE"""),"Delhi")</f>
        <v>Delhi</v>
      </c>
      <c r="X1600" s="124" t="str">
        <f>IFERROR(__xludf.DUMMYFUNCTION("""COMPUTED_VALUE"""),"walkin")</f>
        <v>walkin</v>
      </c>
      <c r="Y1600" s="124" t="str">
        <f>IFERROR(__xludf.DUMMYFUNCTION("""COMPUTED_VALUE"""),"Delhi")</f>
        <v>Delhi</v>
      </c>
      <c r="Z1600" s="124">
        <f>IFERROR(__xludf.DUMMYFUNCTION("""COMPUTED_VALUE"""),2.0)</f>
        <v>2</v>
      </c>
      <c r="AA1600" s="124" t="str">
        <f>IFERROR(__xludf.DUMMYFUNCTION("""COMPUTED_VALUE"""),"Not Interested")</f>
        <v>Not Interested</v>
      </c>
      <c r="AB1600" s="124" t="str">
        <f>IFERROR(__xludf.DUMMYFUNCTION("""COMPUTED_VALUE"""),"GS Foundation")</f>
        <v>GS Foundation</v>
      </c>
    </row>
    <row r="1601">
      <c r="A1601" s="129">
        <f>IFERROR(__xludf.DUMMYFUNCTION("""COMPUTED_VALUE"""),46086.0)</f>
        <v>46086</v>
      </c>
      <c r="B1601" s="124" t="str">
        <f>IFERROR(__xludf.DUMMYFUNCTION("""COMPUTED_VALUE"""),"Walk-In")</f>
        <v>Walk-In</v>
      </c>
      <c r="C1601" s="124" t="str">
        <f>IFERROR(__xludf.DUMMYFUNCTION("""COMPUTED_VALUE"""),"Lucknow")</f>
        <v>Lucknow</v>
      </c>
      <c r="D1601" s="124" t="str">
        <f>IFERROR(__xludf.DUMMYFUNCTION("""COMPUTED_VALUE"""),"Primary_Walkin")</f>
        <v>Primary_Walkin</v>
      </c>
      <c r="E1601" s="124">
        <f>IFERROR(__xludf.DUMMYFUNCTION("""COMPUTED_VALUE"""),1.0)</f>
        <v>1</v>
      </c>
      <c r="F1601" s="124" t="str">
        <f>IFERROR(__xludf.DUMMYFUNCTION("""COMPUTED_VALUE"""),"Enrolled")</f>
        <v>Enrolled</v>
      </c>
      <c r="G1601" s="124" t="str">
        <f>IFERROR(__xludf.DUMMYFUNCTION("""COMPUTED_VALUE"""),"Hybrid")</f>
        <v>Hybrid</v>
      </c>
      <c r="K1601" s="124"/>
      <c r="L1601" s="124"/>
      <c r="M1601" s="124"/>
      <c r="N1601" s="124"/>
      <c r="O1601" s="124"/>
      <c r="T1601" s="129">
        <f>IFERROR(__xludf.DUMMYFUNCTION("""COMPUTED_VALUE"""),46104.0)</f>
        <v>46104</v>
      </c>
      <c r="U1601" s="124" t="str">
        <f>IFERROR(__xludf.DUMMYFUNCTION("""COMPUTED_VALUE"""),"Walk-Ins")</f>
        <v>Walk-Ins</v>
      </c>
      <c r="V1601" s="124" t="str">
        <f>IFERROR(__xludf.DUMMYFUNCTION("""COMPUTED_VALUE"""),"Walkin")</f>
        <v>Walkin</v>
      </c>
      <c r="W1601" s="124" t="str">
        <f>IFERROR(__xludf.DUMMYFUNCTION("""COMPUTED_VALUE"""),"Delhi")</f>
        <v>Delhi</v>
      </c>
      <c r="X1601" s="124" t="str">
        <f>IFERROR(__xludf.DUMMYFUNCTION("""COMPUTED_VALUE"""),"walkin")</f>
        <v>walkin</v>
      </c>
      <c r="Y1601" s="124" t="str">
        <f>IFERROR(__xludf.DUMMYFUNCTION("""COMPUTED_VALUE"""),"Delhi")</f>
        <v>Delhi</v>
      </c>
      <c r="Z1601" s="124">
        <f>IFERROR(__xludf.DUMMYFUNCTION("""COMPUTED_VALUE"""),10.0)</f>
        <v>10</v>
      </c>
      <c r="AA1601" s="124" t="str">
        <f>IFERROR(__xludf.DUMMYFUNCTION("""COMPUTED_VALUE"""),"Warm")</f>
        <v>Warm</v>
      </c>
      <c r="AB1601" s="124" t="str">
        <f>IFERROR(__xludf.DUMMYFUNCTION("""COMPUTED_VALUE"""),"GS Foundation")</f>
        <v>GS Foundation</v>
      </c>
    </row>
    <row r="1602">
      <c r="A1602" s="126">
        <f>IFERROR(__xludf.DUMMYFUNCTION("""COMPUTED_VALUE"""),46074.0)</f>
        <v>46074</v>
      </c>
      <c r="B1602" s="124" t="str">
        <f>IFERROR(__xludf.DUMMYFUNCTION("""COMPUTED_VALUE"""),"Walkin")</f>
        <v>Walkin</v>
      </c>
      <c r="C1602" s="124" t="str">
        <f>IFERROR(__xludf.DUMMYFUNCTION("""COMPUTED_VALUE"""),"Indore")</f>
        <v>Indore</v>
      </c>
      <c r="D1602" s="124" t="str">
        <f>IFERROR(__xludf.DUMMYFUNCTION("""COMPUTED_VALUE"""),"Primary_Walkin")</f>
        <v>Primary_Walkin</v>
      </c>
      <c r="E1602" s="124">
        <f>IFERROR(__xludf.DUMMYFUNCTION("""COMPUTED_VALUE"""),1.0)</f>
        <v>1</v>
      </c>
      <c r="F1602" s="124" t="str">
        <f>IFERROR(__xludf.DUMMYFUNCTION("""COMPUTED_VALUE"""),"Not Interested")</f>
        <v>Not Interested</v>
      </c>
      <c r="G1602" s="124" t="str">
        <f>IFERROR(__xludf.DUMMYFUNCTION("""COMPUTED_VALUE"""),"State PCS")</f>
        <v>State PCS</v>
      </c>
      <c r="K1602" s="124"/>
      <c r="L1602" s="124"/>
      <c r="M1602" s="124"/>
      <c r="N1602" s="124"/>
      <c r="O1602" s="124"/>
      <c r="T1602" s="129">
        <f>IFERROR(__xludf.DUMMYFUNCTION("""COMPUTED_VALUE"""),46088.0)</f>
        <v>46088</v>
      </c>
      <c r="U1602" s="124" t="str">
        <f>IFERROR(__xludf.DUMMYFUNCTION("""COMPUTED_VALUE"""),"Walk-Ins")</f>
        <v>Walk-Ins</v>
      </c>
      <c r="V1602" s="124" t="str">
        <f>IFERROR(__xludf.DUMMYFUNCTION("""COMPUTED_VALUE"""),"Walk-In")</f>
        <v>Walk-In</v>
      </c>
      <c r="W1602" s="124" t="str">
        <f>IFERROR(__xludf.DUMMYFUNCTION("""COMPUTED_VALUE"""),"Delhi")</f>
        <v>Delhi</v>
      </c>
      <c r="X1602" s="124" t="str">
        <f>IFERROR(__xludf.DUMMYFUNCTION("""COMPUTED_VALUE"""),"walkin")</f>
        <v>walkin</v>
      </c>
      <c r="Y1602" s="124" t="str">
        <f>IFERROR(__xludf.DUMMYFUNCTION("""COMPUTED_VALUE"""),"Delhi")</f>
        <v>Delhi</v>
      </c>
      <c r="Z1602" s="124">
        <f>IFERROR(__xludf.DUMMYFUNCTION("""COMPUTED_VALUE"""),1.0)</f>
        <v>1</v>
      </c>
      <c r="AA1602" s="124" t="str">
        <f>IFERROR(__xludf.DUMMYFUNCTION("""COMPUTED_VALUE"""),"Future Prospects")</f>
        <v>Future Prospects</v>
      </c>
      <c r="AB1602" s="124" t="str">
        <f>IFERROR(__xludf.DUMMYFUNCTION("""COMPUTED_VALUE"""),"Optionals")</f>
        <v>Optionals</v>
      </c>
    </row>
    <row r="1603">
      <c r="A1603" s="126">
        <f>IFERROR(__xludf.DUMMYFUNCTION("""COMPUTED_VALUE"""),46078.0)</f>
        <v>46078</v>
      </c>
      <c r="B1603" s="124" t="str">
        <f>IFERROR(__xludf.DUMMYFUNCTION("""COMPUTED_VALUE"""),"Walkin")</f>
        <v>Walkin</v>
      </c>
      <c r="C1603" s="124" t="str">
        <f>IFERROR(__xludf.DUMMYFUNCTION("""COMPUTED_VALUE"""),"Indore")</f>
        <v>Indore</v>
      </c>
      <c r="D1603" s="124" t="str">
        <f>IFERROR(__xludf.DUMMYFUNCTION("""COMPUTED_VALUE"""),"Primary_Walkin")</f>
        <v>Primary_Walkin</v>
      </c>
      <c r="E1603" s="124">
        <f>IFERROR(__xludf.DUMMYFUNCTION("""COMPUTED_VALUE"""),1.0)</f>
        <v>1</v>
      </c>
      <c r="F1603" s="124" t="str">
        <f>IFERROR(__xludf.DUMMYFUNCTION("""COMPUTED_VALUE"""),"Cold")</f>
        <v>Cold</v>
      </c>
      <c r="G1603" s="124" t="str">
        <f>IFERROR(__xludf.DUMMYFUNCTION("""COMPUTED_VALUE"""),"State PCS")</f>
        <v>State PCS</v>
      </c>
      <c r="K1603" s="124"/>
      <c r="L1603" s="124"/>
      <c r="M1603" s="124"/>
      <c r="N1603" s="124"/>
      <c r="O1603" s="124"/>
      <c r="T1603" s="126">
        <f>IFERROR(__xludf.DUMMYFUNCTION("""COMPUTED_VALUE"""),46103.0)</f>
        <v>46103</v>
      </c>
      <c r="U1603" s="124" t="str">
        <f>IFERROR(__xludf.DUMMYFUNCTION("""COMPUTED_VALUE"""),"Walk-Ins")</f>
        <v>Walk-Ins</v>
      </c>
      <c r="V1603" s="124" t="str">
        <f>IFERROR(__xludf.DUMMYFUNCTION("""COMPUTED_VALUE"""),"Walkin")</f>
        <v>Walkin</v>
      </c>
      <c r="W1603" s="124" t="str">
        <f>IFERROR(__xludf.DUMMYFUNCTION("""COMPUTED_VALUE"""),"Delhi")</f>
        <v>Delhi</v>
      </c>
      <c r="X1603" s="124" t="str">
        <f>IFERROR(__xludf.DUMMYFUNCTION("""COMPUTED_VALUE"""),"walkin")</f>
        <v>walkin</v>
      </c>
      <c r="Y1603" s="124" t="str">
        <f>IFERROR(__xludf.DUMMYFUNCTION("""COMPUTED_VALUE"""),"Delhi")</f>
        <v>Delhi</v>
      </c>
      <c r="Z1603" s="124">
        <f>IFERROR(__xludf.DUMMYFUNCTION("""COMPUTED_VALUE"""),5.0)</f>
        <v>5</v>
      </c>
      <c r="AA1603" s="124" t="str">
        <f>IFERROR(__xludf.DUMMYFUNCTION("""COMPUTED_VALUE"""),"Warm")</f>
        <v>Warm</v>
      </c>
      <c r="AB1603" s="124" t="str">
        <f>IFERROR(__xludf.DUMMYFUNCTION("""COMPUTED_VALUE"""),"GS Foundation")</f>
        <v>GS Foundation</v>
      </c>
    </row>
    <row r="1604">
      <c r="A1604" s="129">
        <f>IFERROR(__xludf.DUMMYFUNCTION("""COMPUTED_VALUE"""),46060.0)</f>
        <v>46060</v>
      </c>
      <c r="B1604" s="124" t="str">
        <f>IFERROR(__xludf.DUMMYFUNCTION("""COMPUTED_VALUE"""),"Walkin")</f>
        <v>Walkin</v>
      </c>
      <c r="C1604" s="124" t="str">
        <f>IFERROR(__xludf.DUMMYFUNCTION("""COMPUTED_VALUE"""),"Indore")</f>
        <v>Indore</v>
      </c>
      <c r="D1604" s="124" t="str">
        <f>IFERROR(__xludf.DUMMYFUNCTION("""COMPUTED_VALUE"""),"Primary_Walkin")</f>
        <v>Primary_Walkin</v>
      </c>
      <c r="E1604" s="124">
        <f>IFERROR(__xludf.DUMMYFUNCTION("""COMPUTED_VALUE"""),1.0)</f>
        <v>1</v>
      </c>
      <c r="F1604" s="124" t="str">
        <f>IFERROR(__xludf.DUMMYFUNCTION("""COMPUTED_VALUE"""),"Cold")</f>
        <v>Cold</v>
      </c>
      <c r="G1604" s="124" t="str">
        <f>IFERROR(__xludf.DUMMYFUNCTION("""COMPUTED_VALUE"""),"Test Series")</f>
        <v>Test Series</v>
      </c>
      <c r="K1604" s="124"/>
      <c r="L1604" s="124"/>
      <c r="M1604" s="124"/>
      <c r="N1604" s="124"/>
      <c r="O1604" s="124"/>
      <c r="T1604" s="129">
        <f>IFERROR(__xludf.DUMMYFUNCTION("""COMPUTED_VALUE"""),46097.0)</f>
        <v>46097</v>
      </c>
      <c r="U1604" s="124" t="str">
        <f>IFERROR(__xludf.DUMMYFUNCTION("""COMPUTED_VALUE"""),"Walk-Ins")</f>
        <v>Walk-Ins</v>
      </c>
      <c r="V1604" s="124" t="str">
        <f>IFERROR(__xludf.DUMMYFUNCTION("""COMPUTED_VALUE"""),"walk-in")</f>
        <v>walk-in</v>
      </c>
      <c r="W1604" s="124" t="str">
        <f>IFERROR(__xludf.DUMMYFUNCTION("""COMPUTED_VALUE"""),"indore")</f>
        <v>indore</v>
      </c>
      <c r="X1604" s="124" t="str">
        <f>IFERROR(__xludf.DUMMYFUNCTION("""COMPUTED_VALUE"""),"suraj sharma")</f>
        <v>suraj sharma</v>
      </c>
      <c r="Y1604" s="124" t="str">
        <f>IFERROR(__xludf.DUMMYFUNCTION("""COMPUTED_VALUE"""),"Indore")</f>
        <v>Indore</v>
      </c>
      <c r="Z1604" s="124">
        <f>IFERROR(__xludf.DUMMYFUNCTION("""COMPUTED_VALUE"""),1.0)</f>
        <v>1</v>
      </c>
      <c r="AA1604" s="124" t="str">
        <f>IFERROR(__xludf.DUMMYFUNCTION("""COMPUTED_VALUE"""),"Cold")</f>
        <v>Cold</v>
      </c>
      <c r="AB1604" s="124" t="str">
        <f>IFERROR(__xludf.DUMMYFUNCTION("""COMPUTED_VALUE"""),"State PCS")</f>
        <v>State PCS</v>
      </c>
    </row>
    <row r="1605">
      <c r="A1605" s="126">
        <f>IFERROR(__xludf.DUMMYFUNCTION("""COMPUTED_VALUE"""),46046.0)</f>
        <v>46046</v>
      </c>
      <c r="B1605" s="124" t="str">
        <f>IFERROR(__xludf.DUMMYFUNCTION("""COMPUTED_VALUE"""),"Events")</f>
        <v>Events</v>
      </c>
      <c r="C1605" s="124" t="str">
        <f>IFERROR(__xludf.DUMMYFUNCTION("""COMPUTED_VALUE"""),"Indore")</f>
        <v>Indore</v>
      </c>
      <c r="D1605" s="124" t="str">
        <f>IFERROR(__xludf.DUMMYFUNCTION("""COMPUTED_VALUE"""),"Secondary_Walkin")</f>
        <v>Secondary_Walkin</v>
      </c>
      <c r="E1605" s="124">
        <f>IFERROR(__xludf.DUMMYFUNCTION("""COMPUTED_VALUE"""),1.0)</f>
        <v>1</v>
      </c>
      <c r="F1605" s="124" t="str">
        <f>IFERROR(__xludf.DUMMYFUNCTION("""COMPUTED_VALUE"""),"Enrolled")</f>
        <v>Enrolled</v>
      </c>
      <c r="G1605" s="124" t="str">
        <f>IFERROR(__xludf.DUMMYFUNCTION("""COMPUTED_VALUE"""),"GS Foundation")</f>
        <v>GS Foundation</v>
      </c>
      <c r="K1605" s="124"/>
      <c r="L1605" s="124"/>
      <c r="M1605" s="124"/>
      <c r="N1605" s="124"/>
      <c r="O1605" s="124"/>
      <c r="T1605" s="129">
        <f>IFERROR(__xludf.DUMMYFUNCTION("""COMPUTED_VALUE"""),46081.0)</f>
        <v>46081</v>
      </c>
      <c r="U1605" s="124" t="str">
        <f>IFERROR(__xludf.DUMMYFUNCTION("""COMPUTED_VALUE"""),"Walk-Ins")</f>
        <v>Walk-Ins</v>
      </c>
      <c r="V1605" s="124" t="str">
        <f>IFERROR(__xludf.DUMMYFUNCTION("""COMPUTED_VALUE"""),"Walk-In")</f>
        <v>Walk-In</v>
      </c>
      <c r="W1605" s="124" t="str">
        <f>IFERROR(__xludf.DUMMYFUNCTION("""COMPUTED_VALUE"""),"Prayagraj")</f>
        <v>Prayagraj</v>
      </c>
      <c r="X1605" s="124" t="str">
        <f>IFERROR(__xludf.DUMMYFUNCTION("""COMPUTED_VALUE"""),"Aditi")</f>
        <v>Aditi</v>
      </c>
      <c r="Y1605" s="124"/>
      <c r="Z1605" s="124">
        <f>IFERROR(__xludf.DUMMYFUNCTION("""COMPUTED_VALUE"""),1.0)</f>
        <v>1</v>
      </c>
      <c r="AA1605" s="124" t="str">
        <f>IFERROR(__xludf.DUMMYFUNCTION("""COMPUTED_VALUE"""),"Cold")</f>
        <v>Cold</v>
      </c>
      <c r="AB1605" s="124" t="str">
        <f>IFERROR(__xludf.DUMMYFUNCTION("""COMPUTED_VALUE"""),"GS Foundation")</f>
        <v>GS Foundation</v>
      </c>
    </row>
    <row r="1606">
      <c r="A1606" s="126">
        <f>IFERROR(__xludf.DUMMYFUNCTION("""COMPUTED_VALUE"""),46100.0)</f>
        <v>46100</v>
      </c>
      <c r="B1606" s="124" t="str">
        <f>IFERROR(__xludf.DUMMYFUNCTION("""COMPUTED_VALUE"""),"Walkin")</f>
        <v>Walkin</v>
      </c>
      <c r="C1606" s="124" t="str">
        <f>IFERROR(__xludf.DUMMYFUNCTION("""COMPUTED_VALUE"""),"Lucknow")</f>
        <v>Lucknow</v>
      </c>
      <c r="D1606" s="124" t="str">
        <f>IFERROR(__xludf.DUMMYFUNCTION("""COMPUTED_VALUE"""),"Primary_Walkin")</f>
        <v>Primary_Walkin</v>
      </c>
      <c r="E1606" s="124">
        <f>IFERROR(__xludf.DUMMYFUNCTION("""COMPUTED_VALUE"""),1.0)</f>
        <v>1</v>
      </c>
      <c r="F1606" s="124" t="str">
        <f>IFERROR(__xludf.DUMMYFUNCTION("""COMPUTED_VALUE"""),"Warm")</f>
        <v>Warm</v>
      </c>
      <c r="G1606" s="124" t="str">
        <f>IFERROR(__xludf.DUMMYFUNCTION("""COMPUTED_VALUE"""),"GS Foundation")</f>
        <v>GS Foundation</v>
      </c>
      <c r="K1606" s="124"/>
      <c r="L1606" s="124"/>
      <c r="M1606" s="124"/>
      <c r="N1606" s="124"/>
      <c r="O1606" s="124"/>
      <c r="T1606" s="126">
        <f>IFERROR(__xludf.DUMMYFUNCTION("""COMPUTED_VALUE"""),46069.0)</f>
        <v>46069</v>
      </c>
      <c r="U1606" s="124" t="str">
        <f>IFERROR(__xludf.DUMMYFUNCTION("""COMPUTED_VALUE"""),"Walk-Ins")</f>
        <v>Walk-Ins</v>
      </c>
      <c r="V1606" s="124" t="str">
        <f>IFERROR(__xludf.DUMMYFUNCTION("""COMPUTED_VALUE"""),"Walkin")</f>
        <v>Walkin</v>
      </c>
      <c r="W1606" s="124" t="str">
        <f>IFERROR(__xludf.DUMMYFUNCTION("""COMPUTED_VALUE"""),"Delhi")</f>
        <v>Delhi</v>
      </c>
      <c r="X1606" s="124" t="str">
        <f>IFERROR(__xludf.DUMMYFUNCTION("""COMPUTED_VALUE"""),"walkin")</f>
        <v>walkin</v>
      </c>
      <c r="Y1606" s="124" t="str">
        <f>IFERROR(__xludf.DUMMYFUNCTION("""COMPUTED_VALUE"""),"Delhi")</f>
        <v>Delhi</v>
      </c>
      <c r="Z1606" s="124">
        <f>IFERROR(__xludf.DUMMYFUNCTION("""COMPUTED_VALUE"""),2.0)</f>
        <v>2</v>
      </c>
      <c r="AA1606" s="124" t="str">
        <f>IFERROR(__xludf.DUMMYFUNCTION("""COMPUTED_VALUE"""),"Cold")</f>
        <v>Cold</v>
      </c>
      <c r="AB1606" s="124" t="str">
        <f>IFERROR(__xludf.DUMMYFUNCTION("""COMPUTED_VALUE"""),"GS Foundation")</f>
        <v>GS Foundation</v>
      </c>
    </row>
    <row r="1607">
      <c r="A1607" s="126">
        <f>IFERROR(__xludf.DUMMYFUNCTION("""COMPUTED_VALUE"""),46098.0)</f>
        <v>46098</v>
      </c>
      <c r="B1607" s="124" t="str">
        <f>IFERROR(__xludf.DUMMYFUNCTION("""COMPUTED_VALUE"""),"Walkin")</f>
        <v>Walkin</v>
      </c>
      <c r="C1607" s="124" t="str">
        <f>IFERROR(__xludf.DUMMYFUNCTION("""COMPUTED_VALUE"""),"Indore")</f>
        <v>Indore</v>
      </c>
      <c r="D1607" s="124" t="str">
        <f>IFERROR(__xludf.DUMMYFUNCTION("""COMPUTED_VALUE"""),"Primary_Walkin")</f>
        <v>Primary_Walkin</v>
      </c>
      <c r="E1607" s="124">
        <f>IFERROR(__xludf.DUMMYFUNCTION("""COMPUTED_VALUE"""),1.0)</f>
        <v>1</v>
      </c>
      <c r="F1607" s="124" t="str">
        <f>IFERROR(__xludf.DUMMYFUNCTION("""COMPUTED_VALUE"""),"Warm")</f>
        <v>Warm</v>
      </c>
      <c r="G1607" s="124" t="str">
        <f>IFERROR(__xludf.DUMMYFUNCTION("""COMPUTED_VALUE"""),"GS Foundation")</f>
        <v>GS Foundation</v>
      </c>
      <c r="K1607" s="124"/>
      <c r="L1607" s="124"/>
      <c r="M1607" s="124"/>
      <c r="N1607" s="124"/>
      <c r="O1607" s="124"/>
      <c r="T1607" s="126">
        <f>IFERROR(__xludf.DUMMYFUNCTION("""COMPUTED_VALUE"""),46088.0)</f>
        <v>46088</v>
      </c>
      <c r="U1607" s="124" t="str">
        <f>IFERROR(__xludf.DUMMYFUNCTION("""COMPUTED_VALUE"""),"Walk-Ins")</f>
        <v>Walk-Ins</v>
      </c>
      <c r="V1607" s="124" t="str">
        <f>IFERROR(__xludf.DUMMYFUNCTION("""COMPUTED_VALUE"""),"Walkin")</f>
        <v>Walkin</v>
      </c>
      <c r="W1607" s="124" t="str">
        <f>IFERROR(__xludf.DUMMYFUNCTION("""COMPUTED_VALUE"""),"Delhi")</f>
        <v>Delhi</v>
      </c>
      <c r="X1607" s="124" t="str">
        <f>IFERROR(__xludf.DUMMYFUNCTION("""COMPUTED_VALUE"""),"walkin")</f>
        <v>walkin</v>
      </c>
      <c r="Y1607" s="124" t="str">
        <f>IFERROR(__xludf.DUMMYFUNCTION("""COMPUTED_VALUE"""),"Delhi")</f>
        <v>Delhi</v>
      </c>
      <c r="Z1607" s="124">
        <f>IFERROR(__xludf.DUMMYFUNCTION("""COMPUTED_VALUE"""),1.0)</f>
        <v>1</v>
      </c>
      <c r="AA1607" s="124" t="str">
        <f>IFERROR(__xludf.DUMMYFUNCTION("""COMPUTED_VALUE"""),"Fake Lead")</f>
        <v>Fake Lead</v>
      </c>
      <c r="AB1607" s="124" t="str">
        <f>IFERROR(__xludf.DUMMYFUNCTION("""COMPUTED_VALUE"""),"GS Foundation")</f>
        <v>GS Foundation</v>
      </c>
    </row>
    <row r="1608">
      <c r="A1608" s="129">
        <f>IFERROR(__xludf.DUMMYFUNCTION("""COMPUTED_VALUE"""),46060.0)</f>
        <v>46060</v>
      </c>
      <c r="B1608" s="124" t="str">
        <f>IFERROR(__xludf.DUMMYFUNCTION("""COMPUTED_VALUE"""),"Walkin")</f>
        <v>Walkin</v>
      </c>
      <c r="C1608" s="124" t="str">
        <f>IFERROR(__xludf.DUMMYFUNCTION("""COMPUTED_VALUE"""),"Indore")</f>
        <v>Indore</v>
      </c>
      <c r="D1608" s="124" t="str">
        <f>IFERROR(__xludf.DUMMYFUNCTION("""COMPUTED_VALUE"""),"Primary_Walkin")</f>
        <v>Primary_Walkin</v>
      </c>
      <c r="E1608" s="124">
        <f>IFERROR(__xludf.DUMMYFUNCTION("""COMPUTED_VALUE"""),3.0)</f>
        <v>3</v>
      </c>
      <c r="F1608" s="124" t="str">
        <f>IFERROR(__xludf.DUMMYFUNCTION("""COMPUTED_VALUE"""),"Future Prospects")</f>
        <v>Future Prospects</v>
      </c>
      <c r="G1608" s="124" t="str">
        <f>IFERROR(__xludf.DUMMYFUNCTION("""COMPUTED_VALUE"""),"GS Foundation")</f>
        <v>GS Foundation</v>
      </c>
      <c r="K1608" s="124"/>
      <c r="L1608" s="124"/>
      <c r="M1608" s="124"/>
      <c r="N1608" s="124"/>
      <c r="O1608" s="124"/>
      <c r="T1608" s="126">
        <f>IFERROR(__xludf.DUMMYFUNCTION("""COMPUTED_VALUE"""),46054.0)</f>
        <v>46054</v>
      </c>
      <c r="U1608" s="124" t="str">
        <f>IFERROR(__xludf.DUMMYFUNCTION("""COMPUTED_VALUE"""),"Walk-Ins")</f>
        <v>Walk-Ins</v>
      </c>
      <c r="V1608" s="124" t="str">
        <f>IFERROR(__xludf.DUMMYFUNCTION("""COMPUTED_VALUE"""),"Walkin")</f>
        <v>Walkin</v>
      </c>
      <c r="W1608" s="124" t="str">
        <f>IFERROR(__xludf.DUMMYFUNCTION("""COMPUTED_VALUE"""),"Delhi")</f>
        <v>Delhi</v>
      </c>
      <c r="X1608" s="124" t="str">
        <f>IFERROR(__xludf.DUMMYFUNCTION("""COMPUTED_VALUE"""),"walkin")</f>
        <v>walkin</v>
      </c>
      <c r="Y1608" s="124" t="str">
        <f>IFERROR(__xludf.DUMMYFUNCTION("""COMPUTED_VALUE"""),"Delhi")</f>
        <v>Delhi</v>
      </c>
      <c r="Z1608" s="124">
        <f>IFERROR(__xludf.DUMMYFUNCTION("""COMPUTED_VALUE"""),3.0)</f>
        <v>3</v>
      </c>
      <c r="AA1608" s="124" t="str">
        <f>IFERROR(__xludf.DUMMYFUNCTION("""COMPUTED_VALUE"""),"Not Interested")</f>
        <v>Not Interested</v>
      </c>
      <c r="AB1608" s="124" t="str">
        <f>IFERROR(__xludf.DUMMYFUNCTION("""COMPUTED_VALUE"""),"GS Foundation")</f>
        <v>GS Foundation</v>
      </c>
    </row>
    <row r="1609">
      <c r="A1609" s="126">
        <f>IFERROR(__xludf.DUMMYFUNCTION("""COMPUTED_VALUE"""),46097.0)</f>
        <v>46097</v>
      </c>
      <c r="B1609" s="124" t="str">
        <f>IFERROR(__xludf.DUMMYFUNCTION("""COMPUTED_VALUE"""),"walk-in")</f>
        <v>walk-in</v>
      </c>
      <c r="C1609" s="124" t="str">
        <f>IFERROR(__xludf.DUMMYFUNCTION("""COMPUTED_VALUE"""),"Indore")</f>
        <v>Indore</v>
      </c>
      <c r="D1609" s="124" t="str">
        <f>IFERROR(__xludf.DUMMYFUNCTION("""COMPUTED_VALUE"""),"Primary_Walkin")</f>
        <v>Primary_Walkin</v>
      </c>
      <c r="E1609" s="124">
        <f>IFERROR(__xludf.DUMMYFUNCTION("""COMPUTED_VALUE"""),1.0)</f>
        <v>1</v>
      </c>
      <c r="F1609" s="124" t="str">
        <f>IFERROR(__xludf.DUMMYFUNCTION("""COMPUTED_VALUE"""),"Cold")</f>
        <v>Cold</v>
      </c>
      <c r="G1609" s="124" t="str">
        <f>IFERROR(__xludf.DUMMYFUNCTION("""COMPUTED_VALUE"""),"GS Foundation")</f>
        <v>GS Foundation</v>
      </c>
      <c r="K1609" s="124"/>
      <c r="L1609" s="124"/>
      <c r="M1609" s="124"/>
      <c r="N1609" s="124"/>
      <c r="O1609" s="124"/>
      <c r="T1609" s="126">
        <f>IFERROR(__xludf.DUMMYFUNCTION("""COMPUTED_VALUE"""),46102.0)</f>
        <v>46102</v>
      </c>
      <c r="U1609" s="124" t="str">
        <f>IFERROR(__xludf.DUMMYFUNCTION("""COMPUTED_VALUE"""),"Walk-Ins")</f>
        <v>Walk-Ins</v>
      </c>
      <c r="V1609" s="124" t="str">
        <f>IFERROR(__xludf.DUMMYFUNCTION("""COMPUTED_VALUE"""),"Walkin")</f>
        <v>Walkin</v>
      </c>
      <c r="W1609" s="124" t="str">
        <f>IFERROR(__xludf.DUMMYFUNCTION("""COMPUTED_VALUE"""),"Delhi")</f>
        <v>Delhi</v>
      </c>
      <c r="X1609" s="124" t="str">
        <f>IFERROR(__xludf.DUMMYFUNCTION("""COMPUTED_VALUE"""),"walkin")</f>
        <v>walkin</v>
      </c>
      <c r="Y1609" s="124" t="str">
        <f>IFERROR(__xludf.DUMMYFUNCTION("""COMPUTED_VALUE"""),"Delhi")</f>
        <v>Delhi</v>
      </c>
      <c r="Z1609" s="124">
        <f>IFERROR(__xludf.DUMMYFUNCTION("""COMPUTED_VALUE"""),4.0)</f>
        <v>4</v>
      </c>
      <c r="AA1609" s="124" t="str">
        <f>IFERROR(__xludf.DUMMYFUNCTION("""COMPUTED_VALUE"""),"Warm")</f>
        <v>Warm</v>
      </c>
      <c r="AB1609" s="124" t="str">
        <f>IFERROR(__xludf.DUMMYFUNCTION("""COMPUTED_VALUE"""),"GS Foundation")</f>
        <v>GS Foundation</v>
      </c>
    </row>
    <row r="1610">
      <c r="A1610" s="126">
        <f>IFERROR(__xludf.DUMMYFUNCTION("""COMPUTED_VALUE"""),46098.0)</f>
        <v>46098</v>
      </c>
      <c r="B1610" s="124" t="str">
        <f>IFERROR(__xludf.DUMMYFUNCTION("""COMPUTED_VALUE"""),"Walkin")</f>
        <v>Walkin</v>
      </c>
      <c r="C1610" s="124" t="str">
        <f>IFERROR(__xludf.DUMMYFUNCTION("""COMPUTED_VALUE"""),"Indore")</f>
        <v>Indore</v>
      </c>
      <c r="D1610" s="124" t="str">
        <f>IFERROR(__xludf.DUMMYFUNCTION("""COMPUTED_VALUE"""),"Primary_Walkin")</f>
        <v>Primary_Walkin</v>
      </c>
      <c r="E1610" s="124">
        <f>IFERROR(__xludf.DUMMYFUNCTION("""COMPUTED_VALUE"""),1.0)</f>
        <v>1</v>
      </c>
      <c r="F1610" s="124" t="str">
        <f>IFERROR(__xludf.DUMMYFUNCTION("""COMPUTED_VALUE"""),"Future Prospects")</f>
        <v>Future Prospects</v>
      </c>
      <c r="G1610" s="124" t="str">
        <f>IFERROR(__xludf.DUMMYFUNCTION("""COMPUTED_VALUE"""),"GS Foundation")</f>
        <v>GS Foundation</v>
      </c>
      <c r="K1610" s="124"/>
      <c r="L1610" s="124"/>
      <c r="M1610" s="124"/>
      <c r="N1610" s="124"/>
      <c r="O1610" s="124"/>
      <c r="T1610" s="129">
        <f>IFERROR(__xludf.DUMMYFUNCTION("""COMPUTED_VALUE"""),46050.0)</f>
        <v>46050</v>
      </c>
      <c r="U1610" s="124" t="str">
        <f>IFERROR(__xludf.DUMMYFUNCTION("""COMPUTED_VALUE"""),"External Leads")</f>
        <v>External Leads</v>
      </c>
      <c r="V1610" s="124" t="str">
        <f>IFERROR(__xludf.DUMMYFUNCTION("""COMPUTED_VALUE"""),"external leads")</f>
        <v>external leads</v>
      </c>
      <c r="W1610" s="124" t="str">
        <f>IFERROR(__xludf.DUMMYFUNCTION("""COMPUTED_VALUE"""),"delhi")</f>
        <v>delhi</v>
      </c>
      <c r="X1610" s="124" t="str">
        <f>IFERROR(__xludf.DUMMYFUNCTION("""COMPUTED_VALUE"""),"piyushunacademy")</f>
        <v>piyushunacademy</v>
      </c>
      <c r="Y1610" s="124" t="str">
        <f>IFERROR(__xludf.DUMMYFUNCTION("""COMPUTED_VALUE"""),"Delhi")</f>
        <v>Delhi</v>
      </c>
      <c r="Z1610" s="124">
        <f>IFERROR(__xludf.DUMMYFUNCTION("""COMPUTED_VALUE"""),1.0)</f>
        <v>1</v>
      </c>
      <c r="AA1610" s="124" t="str">
        <f>IFERROR(__xludf.DUMMYFUNCTION("""COMPUTED_VALUE"""),"Cold")</f>
        <v>Cold</v>
      </c>
      <c r="AB1610" s="124" t="str">
        <f>IFERROR(__xludf.DUMMYFUNCTION("""COMPUTED_VALUE"""),"SIP Offline")</f>
        <v>SIP Offline</v>
      </c>
    </row>
    <row r="1611">
      <c r="A1611" s="129">
        <f>IFERROR(__xludf.DUMMYFUNCTION("""COMPUTED_VALUE"""),46082.0)</f>
        <v>46082</v>
      </c>
      <c r="B1611" s="124" t="str">
        <f>IFERROR(__xludf.DUMMYFUNCTION("""COMPUTED_VALUE"""),"Walkin")</f>
        <v>Walkin</v>
      </c>
      <c r="C1611" s="124" t="str">
        <f>IFERROR(__xludf.DUMMYFUNCTION("""COMPUTED_VALUE"""),"Indore")</f>
        <v>Indore</v>
      </c>
      <c r="D1611" s="124" t="str">
        <f>IFERROR(__xludf.DUMMYFUNCTION("""COMPUTED_VALUE"""),"Primary_Walkin")</f>
        <v>Primary_Walkin</v>
      </c>
      <c r="E1611" s="124">
        <f>IFERROR(__xludf.DUMMYFUNCTION("""COMPUTED_VALUE"""),1.0)</f>
        <v>1</v>
      </c>
      <c r="F1611" s="124" t="str">
        <f>IFERROR(__xludf.DUMMYFUNCTION("""COMPUTED_VALUE"""),"Cold")</f>
        <v>Cold</v>
      </c>
      <c r="G1611" s="124" t="str">
        <f>IFERROR(__xludf.DUMMYFUNCTION("""COMPUTED_VALUE"""),"State PCS")</f>
        <v>State PCS</v>
      </c>
      <c r="K1611" s="124"/>
      <c r="L1611" s="124"/>
      <c r="M1611" s="124"/>
      <c r="N1611" s="124"/>
      <c r="O1611" s="124"/>
      <c r="T1611" s="129">
        <f>IFERROR(__xludf.DUMMYFUNCTION("""COMPUTED_VALUE"""),46074.0)</f>
        <v>46074</v>
      </c>
      <c r="U1611" s="124" t="str">
        <f>IFERROR(__xludf.DUMMYFUNCTION("""COMPUTED_VALUE"""),"Walk-Ins")</f>
        <v>Walk-Ins</v>
      </c>
      <c r="V1611" s="124" t="str">
        <f>IFERROR(__xludf.DUMMYFUNCTION("""COMPUTED_VALUE"""),"Walkin")</f>
        <v>Walkin</v>
      </c>
      <c r="W1611" s="124" t="str">
        <f>IFERROR(__xludf.DUMMYFUNCTION("""COMPUTED_VALUE"""),"Delhi")</f>
        <v>Delhi</v>
      </c>
      <c r="X1611" s="124" t="str">
        <f>IFERROR(__xludf.DUMMYFUNCTION("""COMPUTED_VALUE"""),"walkin")</f>
        <v>walkin</v>
      </c>
      <c r="Y1611" s="124" t="str">
        <f>IFERROR(__xludf.DUMMYFUNCTION("""COMPUTED_VALUE"""),"Delhi")</f>
        <v>Delhi</v>
      </c>
      <c r="Z1611" s="124">
        <f>IFERROR(__xludf.DUMMYFUNCTION("""COMPUTED_VALUE"""),1.0)</f>
        <v>1</v>
      </c>
      <c r="AA1611" s="124" t="str">
        <f>IFERROR(__xludf.DUMMYFUNCTION("""COMPUTED_VALUE"""),"Cold")</f>
        <v>Cold</v>
      </c>
      <c r="AB1611" s="124" t="str">
        <f>IFERROR(__xludf.DUMMYFUNCTION("""COMPUTED_VALUE"""),"State PCS")</f>
        <v>State PCS</v>
      </c>
    </row>
    <row r="1612">
      <c r="A1612" s="129">
        <f>IFERROR(__xludf.DUMMYFUNCTION("""COMPUTED_VALUE"""),46055.0)</f>
        <v>46055</v>
      </c>
      <c r="B1612" s="124" t="str">
        <f>IFERROR(__xludf.DUMMYFUNCTION("""COMPUTED_VALUE"""),"Walkin")</f>
        <v>Walkin</v>
      </c>
      <c r="C1612" s="124" t="str">
        <f>IFERROR(__xludf.DUMMYFUNCTION("""COMPUTED_VALUE"""),"Indore")</f>
        <v>Indore</v>
      </c>
      <c r="D1612" s="124" t="str">
        <f>IFERROR(__xludf.DUMMYFUNCTION("""COMPUTED_VALUE"""),"Primary_Walkin")</f>
        <v>Primary_Walkin</v>
      </c>
      <c r="E1612" s="124">
        <f>IFERROR(__xludf.DUMMYFUNCTION("""COMPUTED_VALUE"""),1.0)</f>
        <v>1</v>
      </c>
      <c r="F1612" s="124" t="str">
        <f>IFERROR(__xludf.DUMMYFUNCTION("""COMPUTED_VALUE"""),"Not Interested")</f>
        <v>Not Interested</v>
      </c>
      <c r="G1612" s="124" t="str">
        <f>IFERROR(__xludf.DUMMYFUNCTION("""COMPUTED_VALUE"""),"State PCS")</f>
        <v>State PCS</v>
      </c>
      <c r="K1612" s="124"/>
      <c r="L1612" s="124"/>
      <c r="M1612" s="124"/>
      <c r="N1612" s="124"/>
      <c r="O1612" s="124"/>
      <c r="T1612" s="126">
        <f>IFERROR(__xludf.DUMMYFUNCTION("""COMPUTED_VALUE"""),46098.0)</f>
        <v>46098</v>
      </c>
      <c r="U1612" s="124" t="str">
        <f>IFERROR(__xludf.DUMMYFUNCTION("""COMPUTED_VALUE"""),"Walk-Ins")</f>
        <v>Walk-Ins</v>
      </c>
      <c r="V1612" s="124" t="str">
        <f>IFERROR(__xludf.DUMMYFUNCTION("""COMPUTED_VALUE"""),"Walkin")</f>
        <v>Walkin</v>
      </c>
      <c r="W1612" s="124" t="str">
        <f>IFERROR(__xludf.DUMMYFUNCTION("""COMPUTED_VALUE"""),"Delhi")</f>
        <v>Delhi</v>
      </c>
      <c r="X1612" s="124" t="str">
        <f>IFERROR(__xludf.DUMMYFUNCTION("""COMPUTED_VALUE"""),"walkin")</f>
        <v>walkin</v>
      </c>
      <c r="Y1612" s="124" t="str">
        <f>IFERROR(__xludf.DUMMYFUNCTION("""COMPUTED_VALUE"""),"Delhi")</f>
        <v>Delhi</v>
      </c>
      <c r="Z1612" s="124">
        <f>IFERROR(__xludf.DUMMYFUNCTION("""COMPUTED_VALUE"""),4.0)</f>
        <v>4</v>
      </c>
      <c r="AA1612" s="124" t="str">
        <f>IFERROR(__xludf.DUMMYFUNCTION("""COMPUTED_VALUE"""),"Warm")</f>
        <v>Warm</v>
      </c>
      <c r="AB1612" s="124" t="str">
        <f>IFERROR(__xludf.DUMMYFUNCTION("""COMPUTED_VALUE"""),"GS Foundation")</f>
        <v>GS Foundation</v>
      </c>
    </row>
    <row r="1613">
      <c r="A1613" s="129">
        <f>IFERROR(__xludf.DUMMYFUNCTION("""COMPUTED_VALUE"""),46056.0)</f>
        <v>46056</v>
      </c>
      <c r="B1613" s="124" t="str">
        <f>IFERROR(__xludf.DUMMYFUNCTION("""COMPUTED_VALUE"""),"Walkin")</f>
        <v>Walkin</v>
      </c>
      <c r="C1613" s="124" t="str">
        <f>IFERROR(__xludf.DUMMYFUNCTION("""COMPUTED_VALUE"""),"Indore")</f>
        <v>Indore</v>
      </c>
      <c r="D1613" s="124" t="str">
        <f>IFERROR(__xludf.DUMMYFUNCTION("""COMPUTED_VALUE"""),"Primary_Walkin")</f>
        <v>Primary_Walkin</v>
      </c>
      <c r="E1613" s="124">
        <f>IFERROR(__xludf.DUMMYFUNCTION("""COMPUTED_VALUE"""),1.0)</f>
        <v>1</v>
      </c>
      <c r="F1613" s="124" t="str">
        <f>IFERROR(__xludf.DUMMYFUNCTION("""COMPUTED_VALUE"""),"Not Interested")</f>
        <v>Not Interested</v>
      </c>
      <c r="G1613" s="124" t="str">
        <f>IFERROR(__xludf.DUMMYFUNCTION("""COMPUTED_VALUE"""),"State PCS")</f>
        <v>State PCS</v>
      </c>
      <c r="K1613" s="124"/>
      <c r="L1613" s="124"/>
      <c r="M1613" s="124"/>
      <c r="N1613" s="124"/>
      <c r="O1613" s="124"/>
      <c r="T1613" s="129">
        <f>IFERROR(__xludf.DUMMYFUNCTION("""COMPUTED_VALUE"""),46106.0)</f>
        <v>46106</v>
      </c>
      <c r="U1613" s="124" t="str">
        <f>IFERROR(__xludf.DUMMYFUNCTION("""COMPUTED_VALUE"""),"Walk-Ins")</f>
        <v>Walk-Ins</v>
      </c>
      <c r="V1613" s="124" t="str">
        <f>IFERROR(__xludf.DUMMYFUNCTION("""COMPUTED_VALUE"""),"Walkin")</f>
        <v>Walkin</v>
      </c>
      <c r="W1613" s="124" t="str">
        <f>IFERROR(__xludf.DUMMYFUNCTION("""COMPUTED_VALUE"""),"Delhi")</f>
        <v>Delhi</v>
      </c>
      <c r="X1613" s="124" t="str">
        <f>IFERROR(__xludf.DUMMYFUNCTION("""COMPUTED_VALUE"""),"walkin")</f>
        <v>walkin</v>
      </c>
      <c r="Y1613" s="124" t="str">
        <f>IFERROR(__xludf.DUMMYFUNCTION("""COMPUTED_VALUE"""),"Delhi")</f>
        <v>Delhi</v>
      </c>
      <c r="Z1613" s="124">
        <f>IFERROR(__xludf.DUMMYFUNCTION("""COMPUTED_VALUE"""),2.0)</f>
        <v>2</v>
      </c>
      <c r="AA1613" s="124" t="str">
        <f>IFERROR(__xludf.DUMMYFUNCTION("""COMPUTED_VALUE"""),"Cold")</f>
        <v>Cold</v>
      </c>
      <c r="AB1613" s="124" t="str">
        <f>IFERROR(__xludf.DUMMYFUNCTION("""COMPUTED_VALUE"""),"GS Foundation")</f>
        <v>GS Foundation</v>
      </c>
    </row>
    <row r="1614">
      <c r="A1614" s="126">
        <f>IFERROR(__xludf.DUMMYFUNCTION("""COMPUTED_VALUE"""),46071.0)</f>
        <v>46071</v>
      </c>
      <c r="B1614" s="124" t="str">
        <f>IFERROR(__xludf.DUMMYFUNCTION("""COMPUTED_VALUE"""),"Walkin")</f>
        <v>Walkin</v>
      </c>
      <c r="C1614" s="124" t="str">
        <f>IFERROR(__xludf.DUMMYFUNCTION("""COMPUTED_VALUE"""),"Lucknow")</f>
        <v>Lucknow</v>
      </c>
      <c r="D1614" s="124" t="str">
        <f>IFERROR(__xludf.DUMMYFUNCTION("""COMPUTED_VALUE"""),"Primary_Walkin")</f>
        <v>Primary_Walkin</v>
      </c>
      <c r="E1614" s="124">
        <f>IFERROR(__xludf.DUMMYFUNCTION("""COMPUTED_VALUE"""),1.0)</f>
        <v>1</v>
      </c>
      <c r="F1614" s="124" t="str">
        <f>IFERROR(__xludf.DUMMYFUNCTION("""COMPUTED_VALUE"""),"Future Prospects")</f>
        <v>Future Prospects</v>
      </c>
      <c r="G1614" s="124" t="str">
        <f>IFERROR(__xludf.DUMMYFUNCTION("""COMPUTED_VALUE"""),"GS Foundation")</f>
        <v>GS Foundation</v>
      </c>
      <c r="K1614" s="124"/>
      <c r="L1614" s="124"/>
      <c r="M1614" s="124"/>
      <c r="N1614" s="124"/>
      <c r="O1614" s="124"/>
      <c r="T1614" s="129">
        <f>IFERROR(__xludf.DUMMYFUNCTION("""COMPUTED_VALUE"""),46080.0)</f>
        <v>46080</v>
      </c>
      <c r="U1614" s="124" t="str">
        <f>IFERROR(__xludf.DUMMYFUNCTION("""COMPUTED_VALUE"""),"Walk-Ins")</f>
        <v>Walk-Ins</v>
      </c>
      <c r="V1614" s="124" t="str">
        <f>IFERROR(__xludf.DUMMYFUNCTION("""COMPUTED_VALUE"""),"Walkin")</f>
        <v>Walkin</v>
      </c>
      <c r="W1614" s="124" t="str">
        <f>IFERROR(__xludf.DUMMYFUNCTION("""COMPUTED_VALUE"""),"Delhi")</f>
        <v>Delhi</v>
      </c>
      <c r="X1614" s="124" t="str">
        <f>IFERROR(__xludf.DUMMYFUNCTION("""COMPUTED_VALUE"""),"walkin")</f>
        <v>walkin</v>
      </c>
      <c r="Y1614" s="124" t="str">
        <f>IFERROR(__xludf.DUMMYFUNCTION("""COMPUTED_VALUE"""),"Delhi")</f>
        <v>Delhi</v>
      </c>
      <c r="Z1614" s="124">
        <f>IFERROR(__xludf.DUMMYFUNCTION("""COMPUTED_VALUE"""),2.0)</f>
        <v>2</v>
      </c>
      <c r="AA1614" s="124" t="str">
        <f>IFERROR(__xludf.DUMMYFUNCTION("""COMPUTED_VALUE"""),"Not Interested")</f>
        <v>Not Interested</v>
      </c>
      <c r="AB1614" s="124" t="str">
        <f>IFERROR(__xludf.DUMMYFUNCTION("""COMPUTED_VALUE"""),"GS Foundation")</f>
        <v>GS Foundation</v>
      </c>
    </row>
    <row r="1615">
      <c r="A1615" s="126">
        <f>IFERROR(__xludf.DUMMYFUNCTION("""COMPUTED_VALUE"""),46100.0)</f>
        <v>46100</v>
      </c>
      <c r="B1615" s="124" t="str">
        <f>IFERROR(__xludf.DUMMYFUNCTION("""COMPUTED_VALUE"""),"Walkin")</f>
        <v>Walkin</v>
      </c>
      <c r="C1615" s="124" t="str">
        <f>IFERROR(__xludf.DUMMYFUNCTION("""COMPUTED_VALUE"""),"Indore")</f>
        <v>Indore</v>
      </c>
      <c r="D1615" s="124" t="str">
        <f>IFERROR(__xludf.DUMMYFUNCTION("""COMPUTED_VALUE"""),"Primary_Walkin")</f>
        <v>Primary_Walkin</v>
      </c>
      <c r="E1615" s="124">
        <f>IFERROR(__xludf.DUMMYFUNCTION("""COMPUTED_VALUE"""),1.0)</f>
        <v>1</v>
      </c>
      <c r="F1615" s="124" t="str">
        <f>IFERROR(__xludf.DUMMYFUNCTION("""COMPUTED_VALUE"""),"Fake Lead")</f>
        <v>Fake Lead</v>
      </c>
      <c r="G1615" s="124" t="str">
        <f>IFERROR(__xludf.DUMMYFUNCTION("""COMPUTED_VALUE"""),"State PCS")</f>
        <v>State PCS</v>
      </c>
      <c r="K1615" s="124"/>
      <c r="L1615" s="124"/>
      <c r="M1615" s="124"/>
      <c r="N1615" s="124"/>
      <c r="O1615" s="124"/>
      <c r="T1615" s="126">
        <f>IFERROR(__xludf.DUMMYFUNCTION("""COMPUTED_VALUE"""),46046.0)</f>
        <v>46046</v>
      </c>
      <c r="U1615" s="124" t="str">
        <f>IFERROR(__xludf.DUMMYFUNCTION("""COMPUTED_VALUE"""),"Walk-Ins")</f>
        <v>Walk-Ins</v>
      </c>
      <c r="V1615" s="124" t="str">
        <f>IFERROR(__xludf.DUMMYFUNCTION("""COMPUTED_VALUE"""),"Walkin")</f>
        <v>Walkin</v>
      </c>
      <c r="W1615" s="124" t="str">
        <f>IFERROR(__xludf.DUMMYFUNCTION("""COMPUTED_VALUE"""),"Delhi")</f>
        <v>Delhi</v>
      </c>
      <c r="X1615" s="124" t="str">
        <f>IFERROR(__xludf.DUMMYFUNCTION("""COMPUTED_VALUE"""),"walkin")</f>
        <v>walkin</v>
      </c>
      <c r="Y1615" s="124" t="str">
        <f>IFERROR(__xludf.DUMMYFUNCTION("""COMPUTED_VALUE"""),"Delhi")</f>
        <v>Delhi</v>
      </c>
      <c r="Z1615" s="124">
        <f>IFERROR(__xludf.DUMMYFUNCTION("""COMPUTED_VALUE"""),1.0)</f>
        <v>1</v>
      </c>
      <c r="AA1615" s="124" t="str">
        <f>IFERROR(__xludf.DUMMYFUNCTION("""COMPUTED_VALUE"""),"Cold")</f>
        <v>Cold</v>
      </c>
      <c r="AB1615" s="124" t="str">
        <f>IFERROR(__xludf.DUMMYFUNCTION("""COMPUTED_VALUE"""),"Optionals")</f>
        <v>Optionals</v>
      </c>
    </row>
    <row r="1616">
      <c r="A1616" s="126">
        <f>IFERROR(__xludf.DUMMYFUNCTION("""COMPUTED_VALUE"""),46046.0)</f>
        <v>46046</v>
      </c>
      <c r="B1616" s="124" t="str">
        <f>IFERROR(__xludf.DUMMYFUNCTION("""COMPUTED_VALUE"""),"Walkin")</f>
        <v>Walkin</v>
      </c>
      <c r="C1616" s="124" t="str">
        <f>IFERROR(__xludf.DUMMYFUNCTION("""COMPUTED_VALUE"""),"Indore")</f>
        <v>Indore</v>
      </c>
      <c r="D1616" s="124" t="str">
        <f>IFERROR(__xludf.DUMMYFUNCTION("""COMPUTED_VALUE"""),"Primary_Walkin")</f>
        <v>Primary_Walkin</v>
      </c>
      <c r="E1616" s="124">
        <f>IFERROR(__xludf.DUMMYFUNCTION("""COMPUTED_VALUE"""),3.0)</f>
        <v>3</v>
      </c>
      <c r="F1616" s="124" t="str">
        <f>IFERROR(__xludf.DUMMYFUNCTION("""COMPUTED_VALUE"""),"Cold")</f>
        <v>Cold</v>
      </c>
      <c r="G1616" s="124" t="str">
        <f>IFERROR(__xludf.DUMMYFUNCTION("""COMPUTED_VALUE"""),"State PCS")</f>
        <v>State PCS</v>
      </c>
      <c r="K1616" s="124"/>
      <c r="L1616" s="124"/>
      <c r="M1616" s="124"/>
      <c r="N1616" s="124"/>
      <c r="O1616" s="124"/>
      <c r="T1616" s="126">
        <f>IFERROR(__xludf.DUMMYFUNCTION("""COMPUTED_VALUE"""),46044.0)</f>
        <v>46044</v>
      </c>
      <c r="U1616" s="124" t="str">
        <f>IFERROR(__xludf.DUMMYFUNCTION("""COMPUTED_VALUE"""),"Walk-Ins")</f>
        <v>Walk-Ins</v>
      </c>
      <c r="V1616" s="124" t="str">
        <f>IFERROR(__xludf.DUMMYFUNCTION("""COMPUTED_VALUE"""),"Walk-In")</f>
        <v>Walk-In</v>
      </c>
      <c r="W1616" s="124" t="str">
        <f>IFERROR(__xludf.DUMMYFUNCTION("""COMPUTED_VALUE"""),"Delhi")</f>
        <v>Delhi</v>
      </c>
      <c r="X1616" s="124" t="str">
        <f>IFERROR(__xludf.DUMMYFUNCTION("""COMPUTED_VALUE"""),"walkin")</f>
        <v>walkin</v>
      </c>
      <c r="Y1616" s="124"/>
      <c r="Z1616" s="124">
        <f>IFERROR(__xludf.DUMMYFUNCTION("""COMPUTED_VALUE"""),1.0)</f>
        <v>1</v>
      </c>
      <c r="AA1616" s="124" t="str">
        <f>IFERROR(__xludf.DUMMYFUNCTION("""COMPUTED_VALUE"""),"Cold")</f>
        <v>Cold</v>
      </c>
      <c r="AB1616" s="124" t="str">
        <f>IFERROR(__xludf.DUMMYFUNCTION("""COMPUTED_VALUE"""),"Mentorship")</f>
        <v>Mentorship</v>
      </c>
    </row>
    <row r="1617">
      <c r="A1617" s="126">
        <f>IFERROR(__xludf.DUMMYFUNCTION("""COMPUTED_VALUE"""),46101.0)</f>
        <v>46101</v>
      </c>
      <c r="B1617" s="124" t="str">
        <f>IFERROR(__xludf.DUMMYFUNCTION("""COMPUTED_VALUE"""),"Walkin")</f>
        <v>Walkin</v>
      </c>
      <c r="C1617" s="124" t="str">
        <f>IFERROR(__xludf.DUMMYFUNCTION("""COMPUTED_VALUE"""),"Indore")</f>
        <v>Indore</v>
      </c>
      <c r="D1617" s="124" t="str">
        <f>IFERROR(__xludf.DUMMYFUNCTION("""COMPUTED_VALUE"""),"Primary_Walkin")</f>
        <v>Primary_Walkin</v>
      </c>
      <c r="E1617" s="124">
        <f>IFERROR(__xludf.DUMMYFUNCTION("""COMPUTED_VALUE"""),1.0)</f>
        <v>1</v>
      </c>
      <c r="F1617" s="124" t="str">
        <f>IFERROR(__xludf.DUMMYFUNCTION("""COMPUTED_VALUE"""),"Warm")</f>
        <v>Warm</v>
      </c>
      <c r="G1617" s="124" t="str">
        <f>IFERROR(__xludf.DUMMYFUNCTION("""COMPUTED_VALUE"""),"GS Foundation")</f>
        <v>GS Foundation</v>
      </c>
      <c r="K1617" s="124"/>
      <c r="L1617" s="124"/>
      <c r="M1617" s="124"/>
      <c r="N1617" s="124"/>
      <c r="O1617" s="124"/>
      <c r="T1617" s="126">
        <f>IFERROR(__xludf.DUMMYFUNCTION("""COMPUTED_VALUE"""),46100.0)</f>
        <v>46100</v>
      </c>
      <c r="U1617" s="124" t="str">
        <f>IFERROR(__xludf.DUMMYFUNCTION("""COMPUTED_VALUE"""),"Walk-Ins")</f>
        <v>Walk-Ins</v>
      </c>
      <c r="V1617" s="124" t="str">
        <f>IFERROR(__xludf.DUMMYFUNCTION("""COMPUTED_VALUE"""),"Walkin")</f>
        <v>Walkin</v>
      </c>
      <c r="W1617" s="124" t="str">
        <f>IFERROR(__xludf.DUMMYFUNCTION("""COMPUTED_VALUE"""),"Delhi")</f>
        <v>Delhi</v>
      </c>
      <c r="X1617" s="124" t="str">
        <f>IFERROR(__xludf.DUMMYFUNCTION("""COMPUTED_VALUE"""),"walkin")</f>
        <v>walkin</v>
      </c>
      <c r="Y1617" s="124" t="str">
        <f>IFERROR(__xludf.DUMMYFUNCTION("""COMPUTED_VALUE"""),"Delhi")</f>
        <v>Delhi</v>
      </c>
      <c r="Z1617" s="124">
        <f>IFERROR(__xludf.DUMMYFUNCTION("""COMPUTED_VALUE"""),3.0)</f>
        <v>3</v>
      </c>
      <c r="AA1617" s="124" t="str">
        <f>IFERROR(__xludf.DUMMYFUNCTION("""COMPUTED_VALUE"""),"Enrolled")</f>
        <v>Enrolled</v>
      </c>
      <c r="AB1617" s="124" t="str">
        <f>IFERROR(__xludf.DUMMYFUNCTION("""COMPUTED_VALUE"""),"GS Foundation")</f>
        <v>GS Foundation</v>
      </c>
    </row>
    <row r="1618">
      <c r="A1618" s="129">
        <f>IFERROR(__xludf.DUMMYFUNCTION("""COMPUTED_VALUE"""),46054.0)</f>
        <v>46054</v>
      </c>
      <c r="B1618" s="124" t="str">
        <f>IFERROR(__xludf.DUMMYFUNCTION("""COMPUTED_VALUE"""),"Walkin")</f>
        <v>Walkin</v>
      </c>
      <c r="C1618" s="124" t="str">
        <f>IFERROR(__xludf.DUMMYFUNCTION("""COMPUTED_VALUE"""),"Indore")</f>
        <v>Indore</v>
      </c>
      <c r="D1618" s="124" t="str">
        <f>IFERROR(__xludf.DUMMYFUNCTION("""COMPUTED_VALUE"""),"Primary_Walkin")</f>
        <v>Primary_Walkin</v>
      </c>
      <c r="E1618" s="124">
        <f>IFERROR(__xludf.DUMMYFUNCTION("""COMPUTED_VALUE"""),1.0)</f>
        <v>1</v>
      </c>
      <c r="F1618" s="124" t="str">
        <f>IFERROR(__xludf.DUMMYFUNCTION("""COMPUTED_VALUE"""),"Not Interested")</f>
        <v>Not Interested</v>
      </c>
      <c r="G1618" s="124" t="str">
        <f>IFERROR(__xludf.DUMMYFUNCTION("""COMPUTED_VALUE"""),"State PCS")</f>
        <v>State PCS</v>
      </c>
      <c r="K1618" s="124"/>
      <c r="L1618" s="124"/>
      <c r="M1618" s="124"/>
      <c r="N1618" s="124"/>
      <c r="O1618" s="124"/>
      <c r="T1618" s="126">
        <f>IFERROR(__xludf.DUMMYFUNCTION("""COMPUTED_VALUE"""),46056.0)</f>
        <v>46056</v>
      </c>
      <c r="U1618" s="124" t="str">
        <f>IFERROR(__xludf.DUMMYFUNCTION("""COMPUTED_VALUE"""),"Walk-Ins")</f>
        <v>Walk-Ins</v>
      </c>
      <c r="V1618" s="124" t="str">
        <f>IFERROR(__xludf.DUMMYFUNCTION("""COMPUTED_VALUE"""),"Walkin")</f>
        <v>Walkin</v>
      </c>
      <c r="W1618" s="124" t="str">
        <f>IFERROR(__xludf.DUMMYFUNCTION("""COMPUTED_VALUE"""),"Delhi")</f>
        <v>Delhi</v>
      </c>
      <c r="X1618" s="124" t="str">
        <f>IFERROR(__xludf.DUMMYFUNCTION("""COMPUTED_VALUE"""),"walkin")</f>
        <v>walkin</v>
      </c>
      <c r="Y1618" s="124" t="str">
        <f>IFERROR(__xludf.DUMMYFUNCTION("""COMPUTED_VALUE"""),"Delhi")</f>
        <v>Delhi</v>
      </c>
      <c r="Z1618" s="124">
        <f>IFERROR(__xludf.DUMMYFUNCTION("""COMPUTED_VALUE"""),1.0)</f>
        <v>1</v>
      </c>
      <c r="AA1618" s="124" t="str">
        <f>IFERROR(__xludf.DUMMYFUNCTION("""COMPUTED_VALUE"""),"Fake Lead")</f>
        <v>Fake Lead</v>
      </c>
      <c r="AB1618" s="124" t="str">
        <f>IFERROR(__xludf.DUMMYFUNCTION("""COMPUTED_VALUE"""),"Optionals")</f>
        <v>Optionals</v>
      </c>
    </row>
    <row r="1619">
      <c r="A1619" s="126">
        <f>IFERROR(__xludf.DUMMYFUNCTION("""COMPUTED_VALUE"""),46111.0)</f>
        <v>46111</v>
      </c>
      <c r="B1619" s="124" t="str">
        <f>IFERROR(__xludf.DUMMYFUNCTION("""COMPUTED_VALUE"""),"walk-in")</f>
        <v>walk-in</v>
      </c>
      <c r="C1619" s="124" t="str">
        <f>IFERROR(__xludf.DUMMYFUNCTION("""COMPUTED_VALUE"""),"Indore")</f>
        <v>Indore</v>
      </c>
      <c r="D1619" s="124" t="str">
        <f>IFERROR(__xludf.DUMMYFUNCTION("""COMPUTED_VALUE"""),"Primary_Walkin")</f>
        <v>Primary_Walkin</v>
      </c>
      <c r="E1619" s="124">
        <f>IFERROR(__xludf.DUMMYFUNCTION("""COMPUTED_VALUE"""),1.0)</f>
        <v>1</v>
      </c>
      <c r="F1619" s="124" t="str">
        <f>IFERROR(__xludf.DUMMYFUNCTION("""COMPUTED_VALUE"""),"Warm")</f>
        <v>Warm</v>
      </c>
      <c r="G1619" s="124" t="str">
        <f>IFERROR(__xludf.DUMMYFUNCTION("""COMPUTED_VALUE"""),"GS Foundation")</f>
        <v>GS Foundation</v>
      </c>
      <c r="K1619" s="124"/>
      <c r="L1619" s="124"/>
      <c r="M1619" s="124"/>
      <c r="N1619" s="124"/>
      <c r="O1619" s="124"/>
      <c r="T1619" s="129">
        <f>IFERROR(__xludf.DUMMYFUNCTION("""COMPUTED_VALUE"""),46096.0)</f>
        <v>46096</v>
      </c>
      <c r="U1619" s="124" t="str">
        <f>IFERROR(__xludf.DUMMYFUNCTION("""COMPUTED_VALUE"""),"Walk-Ins")</f>
        <v>Walk-Ins</v>
      </c>
      <c r="V1619" s="124" t="str">
        <f>IFERROR(__xludf.DUMMYFUNCTION("""COMPUTED_VALUE"""),"walk-in")</f>
        <v>walk-in</v>
      </c>
      <c r="W1619" s="124" t="str">
        <f>IFERROR(__xludf.DUMMYFUNCTION("""COMPUTED_VALUE"""),"indore")</f>
        <v>indore</v>
      </c>
      <c r="X1619" s="124" t="str">
        <f>IFERROR(__xludf.DUMMYFUNCTION("""COMPUTED_VALUE"""),"suraj sharma")</f>
        <v>suraj sharma</v>
      </c>
      <c r="Y1619" s="124" t="str">
        <f>IFERROR(__xludf.DUMMYFUNCTION("""COMPUTED_VALUE"""),"Indore")</f>
        <v>Indore</v>
      </c>
      <c r="Z1619" s="124">
        <f>IFERROR(__xludf.DUMMYFUNCTION("""COMPUTED_VALUE"""),1.0)</f>
        <v>1</v>
      </c>
      <c r="AA1619" s="124" t="str">
        <f>IFERROR(__xludf.DUMMYFUNCTION("""COMPUTED_VALUE"""),"Not Interested")</f>
        <v>Not Interested</v>
      </c>
      <c r="AB1619" s="124" t="str">
        <f>IFERROR(__xludf.DUMMYFUNCTION("""COMPUTED_VALUE"""),"Test Series")</f>
        <v>Test Series</v>
      </c>
    </row>
    <row r="1620">
      <c r="A1620" s="126">
        <f>IFERROR(__xludf.DUMMYFUNCTION("""COMPUTED_VALUE"""),46051.0)</f>
        <v>46051</v>
      </c>
      <c r="B1620" s="124" t="str">
        <f>IFERROR(__xludf.DUMMYFUNCTION("""COMPUTED_VALUE"""),"Walk-In")</f>
        <v>Walk-In</v>
      </c>
      <c r="C1620" s="124" t="str">
        <f>IFERROR(__xludf.DUMMYFUNCTION("""COMPUTED_VALUE"""),"Indore")</f>
        <v>Indore</v>
      </c>
      <c r="D1620" s="124" t="str">
        <f>IFERROR(__xludf.DUMMYFUNCTION("""COMPUTED_VALUE"""),"Primary_Walkin")</f>
        <v>Primary_Walkin</v>
      </c>
      <c r="E1620" s="124">
        <f>IFERROR(__xludf.DUMMYFUNCTION("""COMPUTED_VALUE"""),1.0)</f>
        <v>1</v>
      </c>
      <c r="F1620" s="124" t="str">
        <f>IFERROR(__xludf.DUMMYFUNCTION("""COMPUTED_VALUE"""),"Cold")</f>
        <v>Cold</v>
      </c>
      <c r="G1620" s="124" t="str">
        <f>IFERROR(__xludf.DUMMYFUNCTION("""COMPUTED_VALUE"""),"Test Series")</f>
        <v>Test Series</v>
      </c>
      <c r="K1620" s="124"/>
      <c r="L1620" s="124"/>
      <c r="M1620" s="124"/>
      <c r="N1620" s="124"/>
      <c r="O1620" s="124"/>
      <c r="T1620" s="126">
        <f>IFERROR(__xludf.DUMMYFUNCTION("""COMPUTED_VALUE"""),46053.0)</f>
        <v>46053</v>
      </c>
      <c r="U1620" s="124" t="str">
        <f>IFERROR(__xludf.DUMMYFUNCTION("""COMPUTED_VALUE"""),"Walk-Ins")</f>
        <v>Walk-Ins</v>
      </c>
      <c r="V1620" s="124" t="str">
        <f>IFERROR(__xludf.DUMMYFUNCTION("""COMPUTED_VALUE"""),"Walkin")</f>
        <v>Walkin</v>
      </c>
      <c r="W1620" s="124" t="str">
        <f>IFERROR(__xludf.DUMMYFUNCTION("""COMPUTED_VALUE"""),"Delhi")</f>
        <v>Delhi</v>
      </c>
      <c r="X1620" s="124" t="str">
        <f>IFERROR(__xludf.DUMMYFUNCTION("""COMPUTED_VALUE"""),"walkin")</f>
        <v>walkin</v>
      </c>
      <c r="Y1620" s="124" t="str">
        <f>IFERROR(__xludf.DUMMYFUNCTION("""COMPUTED_VALUE"""),"Delhi")</f>
        <v>Delhi</v>
      </c>
      <c r="Z1620" s="124">
        <f>IFERROR(__xludf.DUMMYFUNCTION("""COMPUTED_VALUE"""),3.0)</f>
        <v>3</v>
      </c>
      <c r="AA1620" s="124" t="str">
        <f>IFERROR(__xludf.DUMMYFUNCTION("""COMPUTED_VALUE"""),"Not Interested")</f>
        <v>Not Interested</v>
      </c>
      <c r="AB1620" s="124" t="str">
        <f>IFERROR(__xludf.DUMMYFUNCTION("""COMPUTED_VALUE"""),"GS Foundation")</f>
        <v>GS Foundation</v>
      </c>
    </row>
    <row r="1621">
      <c r="A1621" s="129">
        <f>IFERROR(__xludf.DUMMYFUNCTION("""COMPUTED_VALUE"""),46055.0)</f>
        <v>46055</v>
      </c>
      <c r="B1621" s="124" t="str">
        <f>IFERROR(__xludf.DUMMYFUNCTION("""COMPUTED_VALUE"""),"Walkin")</f>
        <v>Walkin</v>
      </c>
      <c r="C1621" s="124" t="str">
        <f>IFERROR(__xludf.DUMMYFUNCTION("""COMPUTED_VALUE"""),"Indore")</f>
        <v>Indore</v>
      </c>
      <c r="D1621" s="124" t="str">
        <f>IFERROR(__xludf.DUMMYFUNCTION("""COMPUTED_VALUE"""),"Primary_Walkin")</f>
        <v>Primary_Walkin</v>
      </c>
      <c r="E1621" s="124">
        <f>IFERROR(__xludf.DUMMYFUNCTION("""COMPUTED_VALUE"""),1.0)</f>
        <v>1</v>
      </c>
      <c r="F1621" s="124" t="str">
        <f>IFERROR(__xludf.DUMMYFUNCTION("""COMPUTED_VALUE"""),"Not Interested")</f>
        <v>Not Interested</v>
      </c>
      <c r="G1621" s="124" t="str">
        <f>IFERROR(__xludf.DUMMYFUNCTION("""COMPUTED_VALUE"""),"SIP Offline")</f>
        <v>SIP Offline</v>
      </c>
      <c r="K1621" s="124"/>
      <c r="L1621" s="124"/>
      <c r="M1621" s="124"/>
      <c r="N1621" s="124"/>
      <c r="O1621" s="124"/>
      <c r="T1621" s="126">
        <f>IFERROR(__xludf.DUMMYFUNCTION("""COMPUTED_VALUE"""),46049.0)</f>
        <v>46049</v>
      </c>
      <c r="U1621" s="124" t="str">
        <f>IFERROR(__xludf.DUMMYFUNCTION("""COMPUTED_VALUE"""),"External Leads")</f>
        <v>External Leads</v>
      </c>
      <c r="V1621" s="124" t="str">
        <f>IFERROR(__xludf.DUMMYFUNCTION("""COMPUTED_VALUE"""),"external leads")</f>
        <v>external leads</v>
      </c>
      <c r="W1621" s="124" t="str">
        <f>IFERROR(__xludf.DUMMYFUNCTION("""COMPUTED_VALUE"""),"prayagraj")</f>
        <v>prayagraj</v>
      </c>
      <c r="X1621" s="124" t="str">
        <f>IFERROR(__xludf.DUMMYFUNCTION("""COMPUTED_VALUE"""),"piyushunacademy")</f>
        <v>piyushunacademy</v>
      </c>
      <c r="Y1621" s="124" t="str">
        <f>IFERROR(__xludf.DUMMYFUNCTION("""COMPUTED_VALUE"""),"Prayagraj")</f>
        <v>Prayagraj</v>
      </c>
      <c r="Z1621" s="124">
        <f>IFERROR(__xludf.DUMMYFUNCTION("""COMPUTED_VALUE"""),1.0)</f>
        <v>1</v>
      </c>
      <c r="AA1621" s="124" t="str">
        <f>IFERROR(__xludf.DUMMYFUNCTION("""COMPUTED_VALUE"""),"Interested")</f>
        <v>Interested</v>
      </c>
      <c r="AB1621" s="124" t="str">
        <f>IFERROR(__xludf.DUMMYFUNCTION("""COMPUTED_VALUE"""),"GS Foundation")</f>
        <v>GS Foundation</v>
      </c>
    </row>
    <row r="1622">
      <c r="A1622" s="126">
        <f>IFERROR(__xludf.DUMMYFUNCTION("""COMPUTED_VALUE"""),46099.0)</f>
        <v>46099</v>
      </c>
      <c r="B1622" s="124" t="str">
        <f>IFERROR(__xludf.DUMMYFUNCTION("""COMPUTED_VALUE"""),"Walkin")</f>
        <v>Walkin</v>
      </c>
      <c r="C1622" s="124" t="str">
        <f>IFERROR(__xludf.DUMMYFUNCTION("""COMPUTED_VALUE"""),"Lucknow")</f>
        <v>Lucknow</v>
      </c>
      <c r="D1622" s="124" t="str">
        <f>IFERROR(__xludf.DUMMYFUNCTION("""COMPUTED_VALUE"""),"Primary_Walkin")</f>
        <v>Primary_Walkin</v>
      </c>
      <c r="E1622" s="124">
        <f>IFERROR(__xludf.DUMMYFUNCTION("""COMPUTED_VALUE"""),1.0)</f>
        <v>1</v>
      </c>
      <c r="F1622" s="124" t="str">
        <f>IFERROR(__xludf.DUMMYFUNCTION("""COMPUTED_VALUE"""),"Enrolled")</f>
        <v>Enrolled</v>
      </c>
      <c r="G1622" s="124" t="str">
        <f>IFERROR(__xludf.DUMMYFUNCTION("""COMPUTED_VALUE"""),"GS Foundation")</f>
        <v>GS Foundation</v>
      </c>
      <c r="K1622" s="124"/>
      <c r="L1622" s="124"/>
      <c r="M1622" s="124"/>
      <c r="N1622" s="124"/>
      <c r="O1622" s="124"/>
      <c r="T1622" s="129">
        <f>IFERROR(__xludf.DUMMYFUNCTION("""COMPUTED_VALUE"""),46050.0)</f>
        <v>46050</v>
      </c>
      <c r="U1622" s="124" t="str">
        <f>IFERROR(__xludf.DUMMYFUNCTION("""COMPUTED_VALUE"""),"Walk-Ins")</f>
        <v>Walk-Ins</v>
      </c>
      <c r="V1622" s="124" t="str">
        <f>IFERROR(__xludf.DUMMYFUNCTION("""COMPUTED_VALUE"""),"Walkin")</f>
        <v>Walkin</v>
      </c>
      <c r="W1622" s="124" t="str">
        <f>IFERROR(__xludf.DUMMYFUNCTION("""COMPUTED_VALUE"""),"Delhi")</f>
        <v>Delhi</v>
      </c>
      <c r="X1622" s="124" t="str">
        <f>IFERROR(__xludf.DUMMYFUNCTION("""COMPUTED_VALUE"""),"walkin")</f>
        <v>walkin</v>
      </c>
      <c r="Y1622" s="124" t="str">
        <f>IFERROR(__xludf.DUMMYFUNCTION("""COMPUTED_VALUE"""),"Delhi")</f>
        <v>Delhi</v>
      </c>
      <c r="Z1622" s="124">
        <f>IFERROR(__xludf.DUMMYFUNCTION("""COMPUTED_VALUE"""),3.0)</f>
        <v>3</v>
      </c>
      <c r="AA1622" s="124" t="str">
        <f>IFERROR(__xludf.DUMMYFUNCTION("""COMPUTED_VALUE"""),"Not Interested")</f>
        <v>Not Interested</v>
      </c>
      <c r="AB1622" s="124" t="str">
        <f>IFERROR(__xludf.DUMMYFUNCTION("""COMPUTED_VALUE"""),"GS Foundation")</f>
        <v>GS Foundation</v>
      </c>
    </row>
    <row r="1623">
      <c r="A1623" s="126">
        <f>IFERROR(__xludf.DUMMYFUNCTION("""COMPUTED_VALUE"""),46102.0)</f>
        <v>46102</v>
      </c>
      <c r="B1623" s="124" t="str">
        <f>IFERROR(__xludf.DUMMYFUNCTION("""COMPUTED_VALUE"""),"Walkin")</f>
        <v>Walkin</v>
      </c>
      <c r="C1623" s="124" t="str">
        <f>IFERROR(__xludf.DUMMYFUNCTION("""COMPUTED_VALUE"""),"Indore")</f>
        <v>Indore</v>
      </c>
      <c r="D1623" s="124" t="str">
        <f>IFERROR(__xludf.DUMMYFUNCTION("""COMPUTED_VALUE"""),"Primary_Walkin")</f>
        <v>Primary_Walkin</v>
      </c>
      <c r="E1623" s="124">
        <f>IFERROR(__xludf.DUMMYFUNCTION("""COMPUTED_VALUE"""),1.0)</f>
        <v>1</v>
      </c>
      <c r="F1623" s="124" t="str">
        <f>IFERROR(__xludf.DUMMYFUNCTION("""COMPUTED_VALUE"""),"Warm")</f>
        <v>Warm</v>
      </c>
      <c r="G1623" s="124" t="str">
        <f>IFERROR(__xludf.DUMMYFUNCTION("""COMPUTED_VALUE"""),"Mentorship")</f>
        <v>Mentorship</v>
      </c>
      <c r="K1623" s="124"/>
      <c r="L1623" s="124"/>
      <c r="M1623" s="124"/>
      <c r="N1623" s="124"/>
      <c r="O1623" s="124"/>
      <c r="T1623" s="126">
        <f>IFERROR(__xludf.DUMMYFUNCTION("""COMPUTED_VALUE"""),46070.0)</f>
        <v>46070</v>
      </c>
      <c r="U1623" s="124" t="str">
        <f>IFERROR(__xludf.DUMMYFUNCTION("""COMPUTED_VALUE"""),"Walk-Ins")</f>
        <v>Walk-Ins</v>
      </c>
      <c r="V1623" s="124" t="str">
        <f>IFERROR(__xludf.DUMMYFUNCTION("""COMPUTED_VALUE"""),"Walkin")</f>
        <v>Walkin</v>
      </c>
      <c r="W1623" s="124" t="str">
        <f>IFERROR(__xludf.DUMMYFUNCTION("""COMPUTED_VALUE"""),"Delhi")</f>
        <v>Delhi</v>
      </c>
      <c r="X1623" s="124" t="str">
        <f>IFERROR(__xludf.DUMMYFUNCTION("""COMPUTED_VALUE"""),"walkin")</f>
        <v>walkin</v>
      </c>
      <c r="Y1623" s="124" t="str">
        <f>IFERROR(__xludf.DUMMYFUNCTION("""COMPUTED_VALUE"""),"Delhi")</f>
        <v>Delhi</v>
      </c>
      <c r="Z1623" s="124">
        <f>IFERROR(__xludf.DUMMYFUNCTION("""COMPUTED_VALUE"""),2.0)</f>
        <v>2</v>
      </c>
      <c r="AA1623" s="124" t="str">
        <f>IFERROR(__xludf.DUMMYFUNCTION("""COMPUTED_VALUE"""),"Future Prospects")</f>
        <v>Future Prospects</v>
      </c>
      <c r="AB1623" s="124" t="str">
        <f>IFERROR(__xludf.DUMMYFUNCTION("""COMPUTED_VALUE"""),"GS Foundation")</f>
        <v>GS Foundation</v>
      </c>
    </row>
    <row r="1624">
      <c r="A1624" s="126">
        <f>IFERROR(__xludf.DUMMYFUNCTION("""COMPUTED_VALUE"""),46071.0)</f>
        <v>46071</v>
      </c>
      <c r="B1624" s="124" t="str">
        <f>IFERROR(__xludf.DUMMYFUNCTION("""COMPUTED_VALUE"""),"Inbound Call")</f>
        <v>Inbound Call</v>
      </c>
      <c r="C1624" s="124" t="str">
        <f>IFERROR(__xludf.DUMMYFUNCTION("""COMPUTED_VALUE"""),"Indore")</f>
        <v>Indore</v>
      </c>
      <c r="D1624" s="124" t="str">
        <f>IFERROR(__xludf.DUMMYFUNCTION("""COMPUTED_VALUE"""),"Secondary_Walkin")</f>
        <v>Secondary_Walkin</v>
      </c>
      <c r="E1624" s="124">
        <f>IFERROR(__xludf.DUMMYFUNCTION("""COMPUTED_VALUE"""),1.0)</f>
        <v>1</v>
      </c>
      <c r="F1624" s="124" t="str">
        <f>IFERROR(__xludf.DUMMYFUNCTION("""COMPUTED_VALUE"""),"Enrolled")</f>
        <v>Enrolled</v>
      </c>
      <c r="G1624" s="124" t="str">
        <f>IFERROR(__xludf.DUMMYFUNCTION("""COMPUTED_VALUE"""),"GS Foundation")</f>
        <v>GS Foundation</v>
      </c>
      <c r="K1624" s="124"/>
      <c r="L1624" s="124"/>
      <c r="M1624" s="124"/>
      <c r="N1624" s="124"/>
      <c r="O1624" s="124"/>
      <c r="T1624" s="126">
        <f>IFERROR(__xludf.DUMMYFUNCTION("""COMPUTED_VALUE"""),46068.0)</f>
        <v>46068</v>
      </c>
      <c r="U1624" s="124" t="str">
        <f>IFERROR(__xludf.DUMMYFUNCTION("""COMPUTED_VALUE"""),"Walk-Ins")</f>
        <v>Walk-Ins</v>
      </c>
      <c r="V1624" s="124" t="str">
        <f>IFERROR(__xludf.DUMMYFUNCTION("""COMPUTED_VALUE"""),"Walkin")</f>
        <v>Walkin</v>
      </c>
      <c r="W1624" s="124" t="str">
        <f>IFERROR(__xludf.DUMMYFUNCTION("""COMPUTED_VALUE"""),"Delhi")</f>
        <v>Delhi</v>
      </c>
      <c r="X1624" s="124" t="str">
        <f>IFERROR(__xludf.DUMMYFUNCTION("""COMPUTED_VALUE"""),"walkin")</f>
        <v>walkin</v>
      </c>
      <c r="Y1624" s="124" t="str">
        <f>IFERROR(__xludf.DUMMYFUNCTION("""COMPUTED_VALUE"""),"Delhi")</f>
        <v>Delhi</v>
      </c>
      <c r="Z1624" s="124">
        <f>IFERROR(__xludf.DUMMYFUNCTION("""COMPUTED_VALUE"""),2.0)</f>
        <v>2</v>
      </c>
      <c r="AA1624" s="124" t="str">
        <f>IFERROR(__xludf.DUMMYFUNCTION("""COMPUTED_VALUE"""),"Not Interested")</f>
        <v>Not Interested</v>
      </c>
      <c r="AB1624" s="124" t="str">
        <f>IFERROR(__xludf.DUMMYFUNCTION("""COMPUTED_VALUE"""),"GS Foundation")</f>
        <v>GS Foundation</v>
      </c>
    </row>
    <row r="1625">
      <c r="A1625" s="129">
        <f>IFERROR(__xludf.DUMMYFUNCTION("""COMPUTED_VALUE"""),46062.0)</f>
        <v>46062</v>
      </c>
      <c r="B1625" s="124" t="str">
        <f>IFERROR(__xludf.DUMMYFUNCTION("""COMPUTED_VALUE"""),"Walkin")</f>
        <v>Walkin</v>
      </c>
      <c r="C1625" s="124" t="str">
        <f>IFERROR(__xludf.DUMMYFUNCTION("""COMPUTED_VALUE"""),"Lucknow")</f>
        <v>Lucknow</v>
      </c>
      <c r="D1625" s="124" t="str">
        <f>IFERROR(__xludf.DUMMYFUNCTION("""COMPUTED_VALUE"""),"Primary_Walkin")</f>
        <v>Primary_Walkin</v>
      </c>
      <c r="E1625" s="124">
        <f>IFERROR(__xludf.DUMMYFUNCTION("""COMPUTED_VALUE"""),1.0)</f>
        <v>1</v>
      </c>
      <c r="F1625" s="124" t="str">
        <f>IFERROR(__xludf.DUMMYFUNCTION("""COMPUTED_VALUE"""),"Cold")</f>
        <v>Cold</v>
      </c>
      <c r="G1625" s="124" t="str">
        <f>IFERROR(__xludf.DUMMYFUNCTION("""COMPUTED_VALUE"""),"Test Series")</f>
        <v>Test Series</v>
      </c>
      <c r="K1625" s="124"/>
      <c r="L1625" s="124"/>
      <c r="M1625" s="124"/>
      <c r="N1625" s="124"/>
      <c r="O1625" s="124"/>
      <c r="T1625" s="126">
        <f>IFERROR(__xludf.DUMMYFUNCTION("""COMPUTED_VALUE"""),46070.0)</f>
        <v>46070</v>
      </c>
      <c r="U1625" s="124" t="str">
        <f>IFERROR(__xludf.DUMMYFUNCTION("""COMPUTED_VALUE"""),"Walk-Ins")</f>
        <v>Walk-Ins</v>
      </c>
      <c r="V1625" s="124" t="str">
        <f>IFERROR(__xludf.DUMMYFUNCTION("""COMPUTED_VALUE"""),"Walkin")</f>
        <v>Walkin</v>
      </c>
      <c r="W1625" s="124" t="str">
        <f>IFERROR(__xludf.DUMMYFUNCTION("""COMPUTED_VALUE"""),"Delhi")</f>
        <v>Delhi</v>
      </c>
      <c r="X1625" s="124" t="str">
        <f>IFERROR(__xludf.DUMMYFUNCTION("""COMPUTED_VALUE"""),"walkin")</f>
        <v>walkin</v>
      </c>
      <c r="Y1625" s="124" t="str">
        <f>IFERROR(__xludf.DUMMYFUNCTION("""COMPUTED_VALUE"""),"Delhi")</f>
        <v>Delhi</v>
      </c>
      <c r="Z1625" s="124">
        <f>IFERROR(__xludf.DUMMYFUNCTION("""COMPUTED_VALUE"""),1.0)</f>
        <v>1</v>
      </c>
      <c r="AA1625" s="124" t="str">
        <f>IFERROR(__xludf.DUMMYFUNCTION("""COMPUTED_VALUE"""),"Warm")</f>
        <v>Warm</v>
      </c>
      <c r="AB1625" s="124" t="str">
        <f>IFERROR(__xludf.DUMMYFUNCTION("""COMPUTED_VALUE"""),"GS Foundation")</f>
        <v>GS Foundation</v>
      </c>
    </row>
    <row r="1626">
      <c r="A1626" s="126">
        <f>IFERROR(__xludf.DUMMYFUNCTION("""COMPUTED_VALUE"""),46065.0)</f>
        <v>46065</v>
      </c>
      <c r="B1626" s="124" t="str">
        <f>IFERROR(__xludf.DUMMYFUNCTION("""COMPUTED_VALUE"""),"Walkin")</f>
        <v>Walkin</v>
      </c>
      <c r="C1626" s="124" t="str">
        <f>IFERROR(__xludf.DUMMYFUNCTION("""COMPUTED_VALUE"""),"Lucknow")</f>
        <v>Lucknow</v>
      </c>
      <c r="D1626" s="124" t="str">
        <f>IFERROR(__xludf.DUMMYFUNCTION("""COMPUTED_VALUE"""),"Primary_Walkin")</f>
        <v>Primary_Walkin</v>
      </c>
      <c r="E1626" s="124">
        <f>IFERROR(__xludf.DUMMYFUNCTION("""COMPUTED_VALUE"""),2.0)</f>
        <v>2</v>
      </c>
      <c r="F1626" s="124" t="str">
        <f>IFERROR(__xludf.DUMMYFUNCTION("""COMPUTED_VALUE"""),"Cold")</f>
        <v>Cold</v>
      </c>
      <c r="G1626" s="124" t="str">
        <f>IFERROR(__xludf.DUMMYFUNCTION("""COMPUTED_VALUE"""),"IGP UPPSC")</f>
        <v>IGP UPPSC</v>
      </c>
      <c r="K1626" s="124"/>
      <c r="L1626" s="124"/>
      <c r="M1626" s="124"/>
      <c r="N1626" s="124"/>
      <c r="O1626" s="124"/>
      <c r="T1626" s="126">
        <f>IFERROR(__xludf.DUMMYFUNCTION("""COMPUTED_VALUE"""),46092.0)</f>
        <v>46092</v>
      </c>
      <c r="U1626" s="124" t="str">
        <f>IFERROR(__xludf.DUMMYFUNCTION("""COMPUTED_VALUE"""),"Walk-Ins")</f>
        <v>Walk-Ins</v>
      </c>
      <c r="V1626" s="124" t="str">
        <f>IFERROR(__xludf.DUMMYFUNCTION("""COMPUTED_VALUE"""),"Walkin")</f>
        <v>Walkin</v>
      </c>
      <c r="W1626" s="124" t="str">
        <f>IFERROR(__xludf.DUMMYFUNCTION("""COMPUTED_VALUE"""),"Delhi")</f>
        <v>Delhi</v>
      </c>
      <c r="X1626" s="124" t="str">
        <f>IFERROR(__xludf.DUMMYFUNCTION("""COMPUTED_VALUE"""),"walkin")</f>
        <v>walkin</v>
      </c>
      <c r="Y1626" s="124" t="str">
        <f>IFERROR(__xludf.DUMMYFUNCTION("""COMPUTED_VALUE"""),"Delhi")</f>
        <v>Delhi</v>
      </c>
      <c r="Z1626" s="124">
        <f>IFERROR(__xludf.DUMMYFUNCTION("""COMPUTED_VALUE"""),2.0)</f>
        <v>2</v>
      </c>
      <c r="AA1626" s="124" t="str">
        <f>IFERROR(__xludf.DUMMYFUNCTION("""COMPUTED_VALUE"""),"Not Interested")</f>
        <v>Not Interested</v>
      </c>
      <c r="AB1626" s="124" t="str">
        <f>IFERROR(__xludf.DUMMYFUNCTION("""COMPUTED_VALUE"""),"GS Foundation")</f>
        <v>GS Foundation</v>
      </c>
    </row>
    <row r="1627">
      <c r="A1627" s="126">
        <f>IFERROR(__xludf.DUMMYFUNCTION("""COMPUTED_VALUE"""),46069.0)</f>
        <v>46069</v>
      </c>
      <c r="B1627" s="124" t="str">
        <f>IFERROR(__xludf.DUMMYFUNCTION("""COMPUTED_VALUE"""),"Walkin")</f>
        <v>Walkin</v>
      </c>
      <c r="C1627" s="124" t="str">
        <f>IFERROR(__xludf.DUMMYFUNCTION("""COMPUTED_VALUE"""),"Indore")</f>
        <v>Indore</v>
      </c>
      <c r="D1627" s="124" t="str">
        <f>IFERROR(__xludf.DUMMYFUNCTION("""COMPUTED_VALUE"""),"Primary_Walkin")</f>
        <v>Primary_Walkin</v>
      </c>
      <c r="E1627" s="124">
        <f>IFERROR(__xludf.DUMMYFUNCTION("""COMPUTED_VALUE"""),1.0)</f>
        <v>1</v>
      </c>
      <c r="F1627" s="124" t="str">
        <f>IFERROR(__xludf.DUMMYFUNCTION("""COMPUTED_VALUE"""),"Cold")</f>
        <v>Cold</v>
      </c>
      <c r="G1627" s="124" t="str">
        <f>IFERROR(__xludf.DUMMYFUNCTION("""COMPUTED_VALUE"""),"GS Foundation")</f>
        <v>GS Foundation</v>
      </c>
      <c r="K1627" s="124"/>
      <c r="L1627" s="124"/>
      <c r="M1627" s="124"/>
      <c r="N1627" s="124"/>
      <c r="O1627" s="124"/>
      <c r="T1627" s="126">
        <f>IFERROR(__xludf.DUMMYFUNCTION("""COMPUTED_VALUE"""),46050.0)</f>
        <v>46050</v>
      </c>
      <c r="U1627" s="124" t="str">
        <f>IFERROR(__xludf.DUMMYFUNCTION("""COMPUTED_VALUE"""),"External Leads")</f>
        <v>External Leads</v>
      </c>
      <c r="V1627" s="124" t="str">
        <f>IFERROR(__xludf.DUMMYFUNCTION("""COMPUTED_VALUE"""),"external leads")</f>
        <v>external leads</v>
      </c>
      <c r="W1627" s="124" t="str">
        <f>IFERROR(__xludf.DUMMYFUNCTION("""COMPUTED_VALUE"""),"delhi")</f>
        <v>delhi</v>
      </c>
      <c r="X1627" s="124" t="str">
        <f>IFERROR(__xludf.DUMMYFUNCTION("""COMPUTED_VALUE"""),"piyushunacademy")</f>
        <v>piyushunacademy</v>
      </c>
      <c r="Y1627" s="124" t="str">
        <f>IFERROR(__xludf.DUMMYFUNCTION("""COMPUTED_VALUE"""),"Delhi")</f>
        <v>Delhi</v>
      </c>
      <c r="Z1627" s="124">
        <f>IFERROR(__xludf.DUMMYFUNCTION("""COMPUTED_VALUE"""),1.0)</f>
        <v>1</v>
      </c>
      <c r="AA1627" s="124" t="str">
        <f>IFERROR(__xludf.DUMMYFUNCTION("""COMPUTED_VALUE"""),"Enrolled")</f>
        <v>Enrolled</v>
      </c>
      <c r="AB1627" s="124" t="str">
        <f>IFERROR(__xludf.DUMMYFUNCTION("""COMPUTED_VALUE"""),"GS Foundation")</f>
        <v>GS Foundation</v>
      </c>
    </row>
    <row r="1628">
      <c r="A1628" s="126">
        <f>IFERROR(__xludf.DUMMYFUNCTION("""COMPUTED_VALUE"""),46097.0)</f>
        <v>46097</v>
      </c>
      <c r="B1628" s="124" t="str">
        <f>IFERROR(__xludf.DUMMYFUNCTION("""COMPUTED_VALUE"""),"Walkin")</f>
        <v>Walkin</v>
      </c>
      <c r="C1628" s="124" t="str">
        <f>IFERROR(__xludf.DUMMYFUNCTION("""COMPUTED_VALUE"""),"Lucknow")</f>
        <v>Lucknow</v>
      </c>
      <c r="D1628" s="124" t="str">
        <f>IFERROR(__xludf.DUMMYFUNCTION("""COMPUTED_VALUE"""),"Primary_Walkin")</f>
        <v>Primary_Walkin</v>
      </c>
      <c r="E1628" s="124">
        <f>IFERROR(__xludf.DUMMYFUNCTION("""COMPUTED_VALUE"""),1.0)</f>
        <v>1</v>
      </c>
      <c r="F1628" s="124" t="str">
        <f>IFERROR(__xludf.DUMMYFUNCTION("""COMPUTED_VALUE"""),"Warm")</f>
        <v>Warm</v>
      </c>
      <c r="G1628" s="124" t="str">
        <f>IFERROR(__xludf.DUMMYFUNCTION("""COMPUTED_VALUE"""),"GS Foundation")</f>
        <v>GS Foundation</v>
      </c>
      <c r="K1628" s="124"/>
      <c r="L1628" s="124"/>
      <c r="M1628" s="124"/>
      <c r="N1628" s="124"/>
      <c r="O1628" s="124"/>
      <c r="T1628" s="126">
        <f>IFERROR(__xludf.DUMMYFUNCTION("""COMPUTED_VALUE"""),46050.0)</f>
        <v>46050</v>
      </c>
      <c r="U1628" s="124" t="str">
        <f>IFERROR(__xludf.DUMMYFUNCTION("""COMPUTED_VALUE"""),"External Leads")</f>
        <v>External Leads</v>
      </c>
      <c r="V1628" s="124" t="str">
        <f>IFERROR(__xludf.DUMMYFUNCTION("""COMPUTED_VALUE"""),"external leads")</f>
        <v>external leads</v>
      </c>
      <c r="W1628" s="124" t="str">
        <f>IFERROR(__xludf.DUMMYFUNCTION("""COMPUTED_VALUE"""),"patna")</f>
        <v>patna</v>
      </c>
      <c r="X1628" s="124" t="str">
        <f>IFERROR(__xludf.DUMMYFUNCTION("""COMPUTED_VALUE"""),"piyushunacademy")</f>
        <v>piyushunacademy</v>
      </c>
      <c r="Y1628" s="124" t="str">
        <f>IFERROR(__xludf.DUMMYFUNCTION("""COMPUTED_VALUE"""),"Patna")</f>
        <v>Patna</v>
      </c>
      <c r="Z1628" s="124">
        <f>IFERROR(__xludf.DUMMYFUNCTION("""COMPUTED_VALUE"""),6.0)</f>
        <v>6</v>
      </c>
      <c r="AA1628" s="124" t="str">
        <f>IFERROR(__xludf.DUMMYFUNCTION("""COMPUTED_VALUE"""),"Future Prospects")</f>
        <v>Future Prospects</v>
      </c>
      <c r="AB1628" s="124"/>
    </row>
    <row r="1629">
      <c r="A1629" s="126">
        <f>IFERROR(__xludf.DUMMYFUNCTION("""COMPUTED_VALUE"""),46068.0)</f>
        <v>46068</v>
      </c>
      <c r="B1629" s="124" t="str">
        <f>IFERROR(__xludf.DUMMYFUNCTION("""COMPUTED_VALUE"""),"external leads")</f>
        <v>external leads</v>
      </c>
      <c r="C1629" s="124" t="str">
        <f>IFERROR(__xludf.DUMMYFUNCTION("""COMPUTED_VALUE"""),"Lucknow")</f>
        <v>Lucknow</v>
      </c>
      <c r="D1629" s="124" t="str">
        <f>IFERROR(__xludf.DUMMYFUNCTION("""COMPUTED_VALUE"""),"Secondary_Walkin")</f>
        <v>Secondary_Walkin</v>
      </c>
      <c r="E1629" s="124">
        <f>IFERROR(__xludf.DUMMYFUNCTION("""COMPUTED_VALUE"""),1.0)</f>
        <v>1</v>
      </c>
      <c r="F1629" s="124" t="str">
        <f>IFERROR(__xludf.DUMMYFUNCTION("""COMPUTED_VALUE"""),"Enrolled")</f>
        <v>Enrolled</v>
      </c>
      <c r="G1629" s="124" t="str">
        <f>IFERROR(__xludf.DUMMYFUNCTION("""COMPUTED_VALUE"""),"GS Foundation")</f>
        <v>GS Foundation</v>
      </c>
      <c r="K1629" s="124"/>
      <c r="L1629" s="124"/>
      <c r="M1629" s="124"/>
      <c r="N1629" s="124"/>
      <c r="O1629" s="124"/>
      <c r="T1629" s="126">
        <f>IFERROR(__xludf.DUMMYFUNCTION("""COMPUTED_VALUE"""),46077.0)</f>
        <v>46077</v>
      </c>
      <c r="U1629" s="124" t="str">
        <f>IFERROR(__xludf.DUMMYFUNCTION("""COMPUTED_VALUE"""),"Walk-Ins")</f>
        <v>Walk-Ins</v>
      </c>
      <c r="V1629" s="124" t="str">
        <f>IFERROR(__xludf.DUMMYFUNCTION("""COMPUTED_VALUE"""),"Walkin")</f>
        <v>Walkin</v>
      </c>
      <c r="W1629" s="124" t="str">
        <f>IFERROR(__xludf.DUMMYFUNCTION("""COMPUTED_VALUE"""),"Delhi")</f>
        <v>Delhi</v>
      </c>
      <c r="X1629" s="124" t="str">
        <f>IFERROR(__xludf.DUMMYFUNCTION("""COMPUTED_VALUE"""),"walkin")</f>
        <v>walkin</v>
      </c>
      <c r="Y1629" s="124" t="str">
        <f>IFERROR(__xludf.DUMMYFUNCTION("""COMPUTED_VALUE"""),"Delhi")</f>
        <v>Delhi</v>
      </c>
      <c r="Z1629" s="124">
        <f>IFERROR(__xludf.DUMMYFUNCTION("""COMPUTED_VALUE"""),1.0)</f>
        <v>1</v>
      </c>
      <c r="AA1629" s="124" t="str">
        <f>IFERROR(__xludf.DUMMYFUNCTION("""COMPUTED_VALUE"""),"Warm")</f>
        <v>Warm</v>
      </c>
      <c r="AB1629" s="124" t="str">
        <f>IFERROR(__xludf.DUMMYFUNCTION("""COMPUTED_VALUE"""),"GS Foundation")</f>
        <v>GS Foundation</v>
      </c>
    </row>
    <row r="1630">
      <c r="A1630" s="126">
        <f>IFERROR(__xludf.DUMMYFUNCTION("""COMPUTED_VALUE"""),46097.0)</f>
        <v>46097</v>
      </c>
      <c r="B1630" s="124" t="str">
        <f>IFERROR(__xludf.DUMMYFUNCTION("""COMPUTED_VALUE"""),"Walk-In")</f>
        <v>Walk-In</v>
      </c>
      <c r="C1630" s="124" t="str">
        <f>IFERROR(__xludf.DUMMYFUNCTION("""COMPUTED_VALUE"""),"Lucknow")</f>
        <v>Lucknow</v>
      </c>
      <c r="D1630" s="124" t="str">
        <f>IFERROR(__xludf.DUMMYFUNCTION("""COMPUTED_VALUE"""),"Primary_Walkin")</f>
        <v>Primary_Walkin</v>
      </c>
      <c r="E1630" s="124">
        <f>IFERROR(__xludf.DUMMYFUNCTION("""COMPUTED_VALUE"""),1.0)</f>
        <v>1</v>
      </c>
      <c r="F1630" s="124" t="str">
        <f>IFERROR(__xludf.DUMMYFUNCTION("""COMPUTED_VALUE"""),"Not Interested")</f>
        <v>Not Interested</v>
      </c>
      <c r="G1630" s="124" t="str">
        <f>IFERROR(__xludf.DUMMYFUNCTION("""COMPUTED_VALUE"""),"State PCS")</f>
        <v>State PCS</v>
      </c>
      <c r="K1630" s="124"/>
      <c r="L1630" s="124"/>
      <c r="M1630" s="124"/>
      <c r="N1630" s="124"/>
      <c r="O1630" s="124"/>
      <c r="T1630" s="129">
        <f>IFERROR(__xludf.DUMMYFUNCTION("""COMPUTED_VALUE"""),46109.0)</f>
        <v>46109</v>
      </c>
      <c r="U1630" s="124" t="str">
        <f>IFERROR(__xludf.DUMMYFUNCTION("""COMPUTED_VALUE"""),"Walk-Ins")</f>
        <v>Walk-Ins</v>
      </c>
      <c r="V1630" s="124" t="str">
        <f>IFERROR(__xludf.DUMMYFUNCTION("""COMPUTED_VALUE"""),"Walkin")</f>
        <v>Walkin</v>
      </c>
      <c r="W1630" s="124" t="str">
        <f>IFERROR(__xludf.DUMMYFUNCTION("""COMPUTED_VALUE"""),"Delhi")</f>
        <v>Delhi</v>
      </c>
      <c r="X1630" s="124" t="str">
        <f>IFERROR(__xludf.DUMMYFUNCTION("""COMPUTED_VALUE"""),"walkin")</f>
        <v>walkin</v>
      </c>
      <c r="Y1630" s="124" t="str">
        <f>IFERROR(__xludf.DUMMYFUNCTION("""COMPUTED_VALUE"""),"Delhi")</f>
        <v>Delhi</v>
      </c>
      <c r="Z1630" s="124">
        <f>IFERROR(__xludf.DUMMYFUNCTION("""COMPUTED_VALUE"""),2.0)</f>
        <v>2</v>
      </c>
      <c r="AA1630" s="124" t="str">
        <f>IFERROR(__xludf.DUMMYFUNCTION("""COMPUTED_VALUE"""),"Not Interested")</f>
        <v>Not Interested</v>
      </c>
      <c r="AB1630" s="124" t="str">
        <f>IFERROR(__xludf.DUMMYFUNCTION("""COMPUTED_VALUE"""),"GS Foundation")</f>
        <v>GS Foundation</v>
      </c>
    </row>
    <row r="1631">
      <c r="A1631" s="126">
        <f>IFERROR(__xludf.DUMMYFUNCTION("""COMPUTED_VALUE"""),46071.0)</f>
        <v>46071</v>
      </c>
      <c r="B1631" s="124" t="str">
        <f>IFERROR(__xludf.DUMMYFUNCTION("""COMPUTED_VALUE"""),"Walkin")</f>
        <v>Walkin</v>
      </c>
      <c r="C1631" s="124" t="str">
        <f>IFERROR(__xludf.DUMMYFUNCTION("""COMPUTED_VALUE"""),"Lucknow")</f>
        <v>Lucknow</v>
      </c>
      <c r="D1631" s="124" t="str">
        <f>IFERROR(__xludf.DUMMYFUNCTION("""COMPUTED_VALUE"""),"Primary_Walkin")</f>
        <v>Primary_Walkin</v>
      </c>
      <c r="E1631" s="124">
        <f>IFERROR(__xludf.DUMMYFUNCTION("""COMPUTED_VALUE"""),2.0)</f>
        <v>2</v>
      </c>
      <c r="F1631" s="124" t="str">
        <f>IFERROR(__xludf.DUMMYFUNCTION("""COMPUTED_VALUE"""),"Cold")</f>
        <v>Cold</v>
      </c>
      <c r="G1631" s="124" t="str">
        <f>IFERROR(__xludf.DUMMYFUNCTION("""COMPUTED_VALUE"""),"GS Foundation")</f>
        <v>GS Foundation</v>
      </c>
      <c r="K1631" s="124"/>
      <c r="L1631" s="124"/>
      <c r="M1631" s="124"/>
      <c r="N1631" s="124"/>
      <c r="O1631" s="124"/>
      <c r="T1631" s="126">
        <f>IFERROR(__xludf.DUMMYFUNCTION("""COMPUTED_VALUE"""),46059.0)</f>
        <v>46059</v>
      </c>
      <c r="U1631" s="124" t="str">
        <f>IFERROR(__xludf.DUMMYFUNCTION("""COMPUTED_VALUE"""),"Walk-Ins")</f>
        <v>Walk-Ins</v>
      </c>
      <c r="V1631" s="124" t="str">
        <f>IFERROR(__xludf.DUMMYFUNCTION("""COMPUTED_VALUE"""),"Walkin")</f>
        <v>Walkin</v>
      </c>
      <c r="W1631" s="124" t="str">
        <f>IFERROR(__xludf.DUMMYFUNCTION("""COMPUTED_VALUE"""),"Delhi")</f>
        <v>Delhi</v>
      </c>
      <c r="X1631" s="124" t="str">
        <f>IFERROR(__xludf.DUMMYFUNCTION("""COMPUTED_VALUE"""),"walkin")</f>
        <v>walkin</v>
      </c>
      <c r="Y1631" s="124" t="str">
        <f>IFERROR(__xludf.DUMMYFUNCTION("""COMPUTED_VALUE"""),"Delhi")</f>
        <v>Delhi</v>
      </c>
      <c r="Z1631" s="124">
        <f>IFERROR(__xludf.DUMMYFUNCTION("""COMPUTED_VALUE"""),1.0)</f>
        <v>1</v>
      </c>
      <c r="AA1631" s="124" t="str">
        <f>IFERROR(__xludf.DUMMYFUNCTION("""COMPUTED_VALUE"""),"Fake Lead")</f>
        <v>Fake Lead</v>
      </c>
      <c r="AB1631" s="124" t="str">
        <f>IFERROR(__xludf.DUMMYFUNCTION("""COMPUTED_VALUE"""),"GS Foundation")</f>
        <v>GS Foundation</v>
      </c>
    </row>
    <row r="1632">
      <c r="A1632" s="129">
        <f>IFERROR(__xludf.DUMMYFUNCTION("""COMPUTED_VALUE"""),46057.0)</f>
        <v>46057</v>
      </c>
      <c r="B1632" s="124" t="str">
        <f>IFERROR(__xludf.DUMMYFUNCTION("""COMPUTED_VALUE"""),"external leads")</f>
        <v>external leads</v>
      </c>
      <c r="C1632" s="124" t="str">
        <f>IFERROR(__xludf.DUMMYFUNCTION("""COMPUTED_VALUE"""),"Indore")</f>
        <v>Indore</v>
      </c>
      <c r="D1632" s="124" t="str">
        <f>IFERROR(__xludf.DUMMYFUNCTION("""COMPUTED_VALUE"""),"Secondary_Walkin")</f>
        <v>Secondary_Walkin</v>
      </c>
      <c r="E1632" s="124">
        <f>IFERROR(__xludf.DUMMYFUNCTION("""COMPUTED_VALUE"""),1.0)</f>
        <v>1</v>
      </c>
      <c r="F1632" s="124" t="str">
        <f>IFERROR(__xludf.DUMMYFUNCTION("""COMPUTED_VALUE"""),"Cold")</f>
        <v>Cold</v>
      </c>
      <c r="G1632" s="124" t="str">
        <f>IFERROR(__xludf.DUMMYFUNCTION("""COMPUTED_VALUE"""),"Test Series")</f>
        <v>Test Series</v>
      </c>
      <c r="K1632" s="124"/>
      <c r="L1632" s="124"/>
      <c r="M1632" s="124"/>
      <c r="N1632" s="124"/>
      <c r="O1632" s="124"/>
      <c r="T1632" s="126">
        <f>IFERROR(__xludf.DUMMYFUNCTION("""COMPUTED_VALUE"""),46050.0)</f>
        <v>46050</v>
      </c>
      <c r="U1632" s="124" t="str">
        <f>IFERROR(__xludf.DUMMYFUNCTION("""COMPUTED_VALUE"""),"External Leads")</f>
        <v>External Leads</v>
      </c>
      <c r="V1632" s="124" t="str">
        <f>IFERROR(__xludf.DUMMYFUNCTION("""COMPUTED_VALUE"""),"external leads")</f>
        <v>external leads</v>
      </c>
      <c r="W1632" s="124" t="str">
        <f>IFERROR(__xludf.DUMMYFUNCTION("""COMPUTED_VALUE"""),"lucknow")</f>
        <v>lucknow</v>
      </c>
      <c r="X1632" s="124" t="str">
        <f>IFERROR(__xludf.DUMMYFUNCTION("""COMPUTED_VALUE"""),"piyushunacademy")</f>
        <v>piyushunacademy</v>
      </c>
      <c r="Y1632" s="124" t="str">
        <f>IFERROR(__xludf.DUMMYFUNCTION("""COMPUTED_VALUE"""),"Lucknow")</f>
        <v>Lucknow</v>
      </c>
      <c r="Z1632" s="124">
        <f>IFERROR(__xludf.DUMMYFUNCTION("""COMPUTED_VALUE"""),1.0)</f>
        <v>1</v>
      </c>
      <c r="AA1632" s="124" t="str">
        <f>IFERROR(__xludf.DUMMYFUNCTION("""COMPUTED_VALUE"""),"Not Interested")</f>
        <v>Not Interested</v>
      </c>
      <c r="AB1632" s="124" t="str">
        <f>IFERROR(__xludf.DUMMYFUNCTION("""COMPUTED_VALUE"""),"GS Foundation")</f>
        <v>GS Foundation</v>
      </c>
    </row>
    <row r="1633">
      <c r="A1633" s="126">
        <f>IFERROR(__xludf.DUMMYFUNCTION("""COMPUTED_VALUE"""),46072.0)</f>
        <v>46072</v>
      </c>
      <c r="B1633" s="124" t="str">
        <f>IFERROR(__xludf.DUMMYFUNCTION("""COMPUTED_VALUE"""),"Walkin")</f>
        <v>Walkin</v>
      </c>
      <c r="C1633" s="124" t="str">
        <f>IFERROR(__xludf.DUMMYFUNCTION("""COMPUTED_VALUE"""),"Indore")</f>
        <v>Indore</v>
      </c>
      <c r="D1633" s="124" t="str">
        <f>IFERROR(__xludf.DUMMYFUNCTION("""COMPUTED_VALUE"""),"Primary_Walkin")</f>
        <v>Primary_Walkin</v>
      </c>
      <c r="E1633" s="124">
        <f>IFERROR(__xludf.DUMMYFUNCTION("""COMPUTED_VALUE"""),1.0)</f>
        <v>1</v>
      </c>
      <c r="F1633" s="124" t="str">
        <f>IFERROR(__xludf.DUMMYFUNCTION("""COMPUTED_VALUE"""),"Cold")</f>
        <v>Cold</v>
      </c>
      <c r="G1633" s="124" t="str">
        <f>IFERROR(__xludf.DUMMYFUNCTION("""COMPUTED_VALUE"""),"Other")</f>
        <v>Other</v>
      </c>
      <c r="K1633" s="124"/>
      <c r="L1633" s="124"/>
      <c r="M1633" s="124"/>
      <c r="N1633" s="124"/>
      <c r="O1633" s="124"/>
      <c r="T1633" s="126">
        <f>IFERROR(__xludf.DUMMYFUNCTION("""COMPUTED_VALUE"""),46091.0)</f>
        <v>46091</v>
      </c>
      <c r="U1633" s="124" t="str">
        <f>IFERROR(__xludf.DUMMYFUNCTION("""COMPUTED_VALUE"""),"Walk-Ins")</f>
        <v>Walk-Ins</v>
      </c>
      <c r="V1633" s="124" t="str">
        <f>IFERROR(__xludf.DUMMYFUNCTION("""COMPUTED_VALUE"""),"Walkin")</f>
        <v>Walkin</v>
      </c>
      <c r="W1633" s="124" t="str">
        <f>IFERROR(__xludf.DUMMYFUNCTION("""COMPUTED_VALUE"""),"Delhi")</f>
        <v>Delhi</v>
      </c>
      <c r="X1633" s="124" t="str">
        <f>IFERROR(__xludf.DUMMYFUNCTION("""COMPUTED_VALUE"""),"walkin")</f>
        <v>walkin</v>
      </c>
      <c r="Y1633" s="124" t="str">
        <f>IFERROR(__xludf.DUMMYFUNCTION("""COMPUTED_VALUE"""),"Delhi")</f>
        <v>Delhi</v>
      </c>
      <c r="Z1633" s="124">
        <f>IFERROR(__xludf.DUMMYFUNCTION("""COMPUTED_VALUE"""),4.0)</f>
        <v>4</v>
      </c>
      <c r="AA1633" s="124" t="str">
        <f>IFERROR(__xludf.DUMMYFUNCTION("""COMPUTED_VALUE"""),"Not Interested")</f>
        <v>Not Interested</v>
      </c>
      <c r="AB1633" s="124" t="str">
        <f>IFERROR(__xludf.DUMMYFUNCTION("""COMPUTED_VALUE"""),"GS Foundation")</f>
        <v>GS Foundation</v>
      </c>
    </row>
    <row r="1634">
      <c r="A1634" s="129">
        <f>IFERROR(__xludf.DUMMYFUNCTION("""COMPUTED_VALUE"""),46060.0)</f>
        <v>46060</v>
      </c>
      <c r="B1634" s="124" t="str">
        <f>IFERROR(__xludf.DUMMYFUNCTION("""COMPUTED_VALUE"""),"events")</f>
        <v>events</v>
      </c>
      <c r="C1634" s="124" t="str">
        <f>IFERROR(__xludf.DUMMYFUNCTION("""COMPUTED_VALUE"""),"Indore")</f>
        <v>Indore</v>
      </c>
      <c r="D1634" s="124" t="str">
        <f>IFERROR(__xludf.DUMMYFUNCTION("""COMPUTED_VALUE"""),"Secondary_Walkin")</f>
        <v>Secondary_Walkin</v>
      </c>
      <c r="E1634" s="124">
        <f>IFERROR(__xludf.DUMMYFUNCTION("""COMPUTED_VALUE"""),1.0)</f>
        <v>1</v>
      </c>
      <c r="F1634" s="124" t="str">
        <f>IFERROR(__xludf.DUMMYFUNCTION("""COMPUTED_VALUE"""),"Future Prospects")</f>
        <v>Future Prospects</v>
      </c>
      <c r="G1634" s="124" t="str">
        <f>IFERROR(__xludf.DUMMYFUNCTION("""COMPUTED_VALUE"""),"GS Foundation")</f>
        <v>GS Foundation</v>
      </c>
      <c r="K1634" s="124"/>
      <c r="L1634" s="124"/>
      <c r="M1634" s="124"/>
      <c r="N1634" s="124"/>
      <c r="O1634" s="124"/>
      <c r="T1634" s="126">
        <f>IFERROR(__xludf.DUMMYFUNCTION("""COMPUTED_VALUE"""),46108.0)</f>
        <v>46108</v>
      </c>
      <c r="U1634" s="124" t="str">
        <f>IFERROR(__xludf.DUMMYFUNCTION("""COMPUTED_VALUE"""),"Walk-Ins")</f>
        <v>Walk-Ins</v>
      </c>
      <c r="V1634" s="124" t="str">
        <f>IFERROR(__xludf.DUMMYFUNCTION("""COMPUTED_VALUE"""),"Walkin")</f>
        <v>Walkin</v>
      </c>
      <c r="W1634" s="124" t="str">
        <f>IFERROR(__xludf.DUMMYFUNCTION("""COMPUTED_VALUE"""),"Delhi")</f>
        <v>Delhi</v>
      </c>
      <c r="X1634" s="124" t="str">
        <f>IFERROR(__xludf.DUMMYFUNCTION("""COMPUTED_VALUE"""),"walkin")</f>
        <v>walkin</v>
      </c>
      <c r="Y1634" s="124" t="str">
        <f>IFERROR(__xludf.DUMMYFUNCTION("""COMPUTED_VALUE"""),"Delhi")</f>
        <v>Delhi</v>
      </c>
      <c r="Z1634" s="124">
        <f>IFERROR(__xludf.DUMMYFUNCTION("""COMPUTED_VALUE"""),1.0)</f>
        <v>1</v>
      </c>
      <c r="AA1634" s="124" t="str">
        <f>IFERROR(__xludf.DUMMYFUNCTION("""COMPUTED_VALUE"""),"Not Interested")</f>
        <v>Not Interested</v>
      </c>
      <c r="AB1634" s="124" t="str">
        <f>IFERROR(__xludf.DUMMYFUNCTION("""COMPUTED_VALUE"""),"State PCS")</f>
        <v>State PCS</v>
      </c>
    </row>
    <row r="1635">
      <c r="A1635" s="126">
        <f>IFERROR(__xludf.DUMMYFUNCTION("""COMPUTED_VALUE"""),46099.0)</f>
        <v>46099</v>
      </c>
      <c r="B1635" s="124" t="str">
        <f>IFERROR(__xludf.DUMMYFUNCTION("""COMPUTED_VALUE"""),"Walkin")</f>
        <v>Walkin</v>
      </c>
      <c r="C1635" s="124" t="str">
        <f>IFERROR(__xludf.DUMMYFUNCTION("""COMPUTED_VALUE"""),"Lucknow")</f>
        <v>Lucknow</v>
      </c>
      <c r="D1635" s="124" t="str">
        <f>IFERROR(__xludf.DUMMYFUNCTION("""COMPUTED_VALUE"""),"Primary_Walkin")</f>
        <v>Primary_Walkin</v>
      </c>
      <c r="E1635" s="124">
        <f>IFERROR(__xludf.DUMMYFUNCTION("""COMPUTED_VALUE"""),1.0)</f>
        <v>1</v>
      </c>
      <c r="F1635" s="124" t="str">
        <f>IFERROR(__xludf.DUMMYFUNCTION("""COMPUTED_VALUE"""),"Warm")</f>
        <v>Warm</v>
      </c>
      <c r="G1635" s="124" t="str">
        <f>IFERROR(__xludf.DUMMYFUNCTION("""COMPUTED_VALUE"""),"GS Foundation")</f>
        <v>GS Foundation</v>
      </c>
      <c r="K1635" s="124"/>
      <c r="L1635" s="124"/>
      <c r="M1635" s="124"/>
      <c r="N1635" s="124"/>
      <c r="O1635" s="124"/>
      <c r="T1635" s="126">
        <f>IFERROR(__xludf.DUMMYFUNCTION("""COMPUTED_VALUE"""),46093.0)</f>
        <v>46093</v>
      </c>
      <c r="U1635" s="124" t="str">
        <f>IFERROR(__xludf.DUMMYFUNCTION("""COMPUTED_VALUE"""),"Walk-Ins")</f>
        <v>Walk-Ins</v>
      </c>
      <c r="V1635" s="124" t="str">
        <f>IFERROR(__xludf.DUMMYFUNCTION("""COMPUTED_VALUE"""),"Walk-In")</f>
        <v>Walk-In</v>
      </c>
      <c r="W1635" s="124" t="str">
        <f>IFERROR(__xludf.DUMMYFUNCTION("""COMPUTED_VALUE"""),"Prayagraj")</f>
        <v>Prayagraj</v>
      </c>
      <c r="X1635" s="124" t="str">
        <f>IFERROR(__xludf.DUMMYFUNCTION("""COMPUTED_VALUE"""),"Aditi")</f>
        <v>Aditi</v>
      </c>
      <c r="Y1635" s="124" t="str">
        <f>IFERROR(__xludf.DUMMYFUNCTION("""COMPUTED_VALUE"""),"Prayagraj")</f>
        <v>Prayagraj</v>
      </c>
      <c r="Z1635" s="124">
        <f>IFERROR(__xludf.DUMMYFUNCTION("""COMPUTED_VALUE"""),1.0)</f>
        <v>1</v>
      </c>
      <c r="AA1635" s="124" t="str">
        <f>IFERROR(__xludf.DUMMYFUNCTION("""COMPUTED_VALUE"""),"Not Interested")</f>
        <v>Not Interested</v>
      </c>
      <c r="AB1635" s="124" t="str">
        <f>IFERROR(__xludf.DUMMYFUNCTION("""COMPUTED_VALUE"""),"GS Foundation")</f>
        <v>GS Foundation</v>
      </c>
    </row>
    <row r="1636">
      <c r="A1636" s="129">
        <f>IFERROR(__xludf.DUMMYFUNCTION("""COMPUTED_VALUE"""),46061.0)</f>
        <v>46061</v>
      </c>
      <c r="B1636" s="124" t="str">
        <f>IFERROR(__xludf.DUMMYFUNCTION("""COMPUTED_VALUE"""),"external leads")</f>
        <v>external leads</v>
      </c>
      <c r="C1636" s="124" t="str">
        <f>IFERROR(__xludf.DUMMYFUNCTION("""COMPUTED_VALUE"""),"Lucknow")</f>
        <v>Lucknow</v>
      </c>
      <c r="D1636" s="124" t="str">
        <f>IFERROR(__xludf.DUMMYFUNCTION("""COMPUTED_VALUE"""),"Secondary_Walkin")</f>
        <v>Secondary_Walkin</v>
      </c>
      <c r="E1636" s="124">
        <f>IFERROR(__xludf.DUMMYFUNCTION("""COMPUTED_VALUE"""),1.0)</f>
        <v>1</v>
      </c>
      <c r="F1636" s="124" t="str">
        <f>IFERROR(__xludf.DUMMYFUNCTION("""COMPUTED_VALUE"""),"Not Interested")</f>
        <v>Not Interested</v>
      </c>
      <c r="G1636" s="124" t="str">
        <f>IFERROR(__xludf.DUMMYFUNCTION("""COMPUTED_VALUE"""),"GS Foundation")</f>
        <v>GS Foundation</v>
      </c>
      <c r="K1636" s="124"/>
      <c r="L1636" s="124"/>
      <c r="M1636" s="124"/>
      <c r="N1636" s="124"/>
      <c r="O1636" s="124"/>
      <c r="T1636" s="126">
        <f>IFERROR(__xludf.DUMMYFUNCTION("""COMPUTED_VALUE"""),46102.0)</f>
        <v>46102</v>
      </c>
      <c r="U1636" s="124" t="str">
        <f>IFERROR(__xludf.DUMMYFUNCTION("""COMPUTED_VALUE"""),"Walk-Ins")</f>
        <v>Walk-Ins</v>
      </c>
      <c r="V1636" s="124" t="str">
        <f>IFERROR(__xludf.DUMMYFUNCTION("""COMPUTED_VALUE"""),"Walkin")</f>
        <v>Walkin</v>
      </c>
      <c r="W1636" s="124" t="str">
        <f>IFERROR(__xludf.DUMMYFUNCTION("""COMPUTED_VALUE"""),"Delhi")</f>
        <v>Delhi</v>
      </c>
      <c r="X1636" s="124" t="str">
        <f>IFERROR(__xludf.DUMMYFUNCTION("""COMPUTED_VALUE"""),"walkin")</f>
        <v>walkin</v>
      </c>
      <c r="Y1636" s="124" t="str">
        <f>IFERROR(__xludf.DUMMYFUNCTION("""COMPUTED_VALUE"""),"Delhi")</f>
        <v>Delhi</v>
      </c>
      <c r="Z1636" s="124">
        <f>IFERROR(__xludf.DUMMYFUNCTION("""COMPUTED_VALUE"""),2.0)</f>
        <v>2</v>
      </c>
      <c r="AA1636" s="124" t="str">
        <f>IFERROR(__xludf.DUMMYFUNCTION("""COMPUTED_VALUE"""),"Not Interested")</f>
        <v>Not Interested</v>
      </c>
      <c r="AB1636" s="124" t="str">
        <f>IFERROR(__xludf.DUMMYFUNCTION("""COMPUTED_VALUE"""),"GS Foundation")</f>
        <v>GS Foundation</v>
      </c>
    </row>
    <row r="1637">
      <c r="A1637" s="126">
        <f>IFERROR(__xludf.DUMMYFUNCTION("""COMPUTED_VALUE"""),46099.0)</f>
        <v>46099</v>
      </c>
      <c r="B1637" s="124" t="str">
        <f>IFERROR(__xludf.DUMMYFUNCTION("""COMPUTED_VALUE"""),"events")</f>
        <v>events</v>
      </c>
      <c r="C1637" s="124" t="str">
        <f>IFERROR(__xludf.DUMMYFUNCTION("""COMPUTED_VALUE"""),"Indore")</f>
        <v>Indore</v>
      </c>
      <c r="D1637" s="124" t="str">
        <f>IFERROR(__xludf.DUMMYFUNCTION("""COMPUTED_VALUE"""),"Secondary_Walkin")</f>
        <v>Secondary_Walkin</v>
      </c>
      <c r="E1637" s="124">
        <f>IFERROR(__xludf.DUMMYFUNCTION("""COMPUTED_VALUE"""),1.0)</f>
        <v>1</v>
      </c>
      <c r="F1637" s="124" t="str">
        <f>IFERROR(__xludf.DUMMYFUNCTION("""COMPUTED_VALUE"""),"Warm")</f>
        <v>Warm</v>
      </c>
      <c r="G1637" s="124" t="str">
        <f>IFERROR(__xludf.DUMMYFUNCTION("""COMPUTED_VALUE"""),"State PCS")</f>
        <v>State PCS</v>
      </c>
      <c r="K1637" s="124"/>
      <c r="L1637" s="124"/>
      <c r="M1637" s="124"/>
      <c r="N1637" s="124"/>
      <c r="O1637" s="124"/>
      <c r="T1637" s="126">
        <f>IFERROR(__xludf.DUMMYFUNCTION("""COMPUTED_VALUE"""),46104.0)</f>
        <v>46104</v>
      </c>
      <c r="U1637" s="124" t="str">
        <f>IFERROR(__xludf.DUMMYFUNCTION("""COMPUTED_VALUE"""),"Walk-Ins")</f>
        <v>Walk-Ins</v>
      </c>
      <c r="V1637" s="124" t="str">
        <f>IFERROR(__xludf.DUMMYFUNCTION("""COMPUTED_VALUE"""),"Walkin")</f>
        <v>Walkin</v>
      </c>
      <c r="W1637" s="124" t="str">
        <f>IFERROR(__xludf.DUMMYFUNCTION("""COMPUTED_VALUE"""),"Delhi")</f>
        <v>Delhi</v>
      </c>
      <c r="X1637" s="124" t="str">
        <f>IFERROR(__xludf.DUMMYFUNCTION("""COMPUTED_VALUE"""),"walkin")</f>
        <v>walkin</v>
      </c>
      <c r="Y1637" s="124" t="str">
        <f>IFERROR(__xludf.DUMMYFUNCTION("""COMPUTED_VALUE"""),"Delhi")</f>
        <v>Delhi</v>
      </c>
      <c r="Z1637" s="124">
        <f>IFERROR(__xludf.DUMMYFUNCTION("""COMPUTED_VALUE"""),2.0)</f>
        <v>2</v>
      </c>
      <c r="AA1637" s="124" t="str">
        <f>IFERROR(__xludf.DUMMYFUNCTION("""COMPUTED_VALUE"""),"Cold")</f>
        <v>Cold</v>
      </c>
      <c r="AB1637" s="124" t="str">
        <f>IFERROR(__xludf.DUMMYFUNCTION("""COMPUTED_VALUE"""),"GS Foundation")</f>
        <v>GS Foundation</v>
      </c>
    </row>
    <row r="1638">
      <c r="A1638" s="126">
        <f>IFERROR(__xludf.DUMMYFUNCTION("""COMPUTED_VALUE"""),46072.0)</f>
        <v>46072</v>
      </c>
      <c r="B1638" s="124" t="str">
        <f>IFERROR(__xludf.DUMMYFUNCTION("""COMPUTED_VALUE"""),"Walkin")</f>
        <v>Walkin</v>
      </c>
      <c r="C1638" s="124" t="str">
        <f>IFERROR(__xludf.DUMMYFUNCTION("""COMPUTED_VALUE"""),"Indore")</f>
        <v>Indore</v>
      </c>
      <c r="D1638" s="124" t="str">
        <f>IFERROR(__xludf.DUMMYFUNCTION("""COMPUTED_VALUE"""),"Primary_Walkin")</f>
        <v>Primary_Walkin</v>
      </c>
      <c r="E1638" s="124">
        <f>IFERROR(__xludf.DUMMYFUNCTION("""COMPUTED_VALUE"""),1.0)</f>
        <v>1</v>
      </c>
      <c r="F1638" s="124" t="str">
        <f>IFERROR(__xludf.DUMMYFUNCTION("""COMPUTED_VALUE"""),"Not Interested")</f>
        <v>Not Interested</v>
      </c>
      <c r="G1638" s="124" t="str">
        <f>IFERROR(__xludf.DUMMYFUNCTION("""COMPUTED_VALUE"""),"GS Foundation")</f>
        <v>GS Foundation</v>
      </c>
      <c r="K1638" s="124"/>
      <c r="L1638" s="124"/>
      <c r="M1638" s="124"/>
      <c r="N1638" s="124"/>
      <c r="O1638" s="124"/>
      <c r="T1638" s="126">
        <f>IFERROR(__xludf.DUMMYFUNCTION("""COMPUTED_VALUE"""),46105.0)</f>
        <v>46105</v>
      </c>
      <c r="U1638" s="124" t="str">
        <f>IFERROR(__xludf.DUMMYFUNCTION("""COMPUTED_VALUE"""),"Walk-Ins")</f>
        <v>Walk-Ins</v>
      </c>
      <c r="V1638" s="124" t="str">
        <f>IFERROR(__xludf.DUMMYFUNCTION("""COMPUTED_VALUE"""),"Walkin")</f>
        <v>Walkin</v>
      </c>
      <c r="W1638" s="124" t="str">
        <f>IFERROR(__xludf.DUMMYFUNCTION("""COMPUTED_VALUE"""),"Delhi")</f>
        <v>Delhi</v>
      </c>
      <c r="X1638" s="124" t="str">
        <f>IFERROR(__xludf.DUMMYFUNCTION("""COMPUTED_VALUE"""),"walkin")</f>
        <v>walkin</v>
      </c>
      <c r="Y1638" s="124" t="str">
        <f>IFERROR(__xludf.DUMMYFUNCTION("""COMPUTED_VALUE"""),"Delhi")</f>
        <v>Delhi</v>
      </c>
      <c r="Z1638" s="124">
        <f>IFERROR(__xludf.DUMMYFUNCTION("""COMPUTED_VALUE"""),4.0)</f>
        <v>4</v>
      </c>
      <c r="AA1638" s="124" t="str">
        <f>IFERROR(__xludf.DUMMYFUNCTION("""COMPUTED_VALUE"""),"Future Prospects")</f>
        <v>Future Prospects</v>
      </c>
      <c r="AB1638" s="124" t="str">
        <f>IFERROR(__xludf.DUMMYFUNCTION("""COMPUTED_VALUE"""),"GS Foundation")</f>
        <v>GS Foundation</v>
      </c>
    </row>
    <row r="1639">
      <c r="A1639" s="126">
        <f>IFERROR(__xludf.DUMMYFUNCTION("""COMPUTED_VALUE"""),46073.0)</f>
        <v>46073</v>
      </c>
      <c r="B1639" s="124" t="str">
        <f>IFERROR(__xludf.DUMMYFUNCTION("""COMPUTED_VALUE"""),"Walkin")</f>
        <v>Walkin</v>
      </c>
      <c r="C1639" s="124" t="str">
        <f>IFERROR(__xludf.DUMMYFUNCTION("""COMPUTED_VALUE"""),"Indore")</f>
        <v>Indore</v>
      </c>
      <c r="D1639" s="124" t="str">
        <f>IFERROR(__xludf.DUMMYFUNCTION("""COMPUTED_VALUE"""),"Primary_Walkin")</f>
        <v>Primary_Walkin</v>
      </c>
      <c r="E1639" s="124">
        <f>IFERROR(__xludf.DUMMYFUNCTION("""COMPUTED_VALUE"""),1.0)</f>
        <v>1</v>
      </c>
      <c r="F1639" s="124" t="str">
        <f>IFERROR(__xludf.DUMMYFUNCTION("""COMPUTED_VALUE"""),"Not Interested")</f>
        <v>Not Interested</v>
      </c>
      <c r="G1639" s="124" t="str">
        <f>IFERROR(__xludf.DUMMYFUNCTION("""COMPUTED_VALUE"""),"State PCS")</f>
        <v>State PCS</v>
      </c>
      <c r="K1639" s="124"/>
      <c r="L1639" s="124"/>
      <c r="M1639" s="124"/>
      <c r="N1639" s="124"/>
      <c r="O1639" s="124"/>
      <c r="T1639" s="126">
        <f>IFERROR(__xludf.DUMMYFUNCTION("""COMPUTED_VALUE"""),46062.0)</f>
        <v>46062</v>
      </c>
      <c r="U1639" s="124" t="str">
        <f>IFERROR(__xludf.DUMMYFUNCTION("""COMPUTED_VALUE"""),"Walk-Ins")</f>
        <v>Walk-Ins</v>
      </c>
      <c r="V1639" s="124" t="str">
        <f>IFERROR(__xludf.DUMMYFUNCTION("""COMPUTED_VALUE"""),"Walkin")</f>
        <v>Walkin</v>
      </c>
      <c r="W1639" s="124" t="str">
        <f>IFERROR(__xludf.DUMMYFUNCTION("""COMPUTED_VALUE"""),"Delhi")</f>
        <v>Delhi</v>
      </c>
      <c r="X1639" s="124" t="str">
        <f>IFERROR(__xludf.DUMMYFUNCTION("""COMPUTED_VALUE"""),"walkin")</f>
        <v>walkin</v>
      </c>
      <c r="Y1639" s="124" t="str">
        <f>IFERROR(__xludf.DUMMYFUNCTION("""COMPUTED_VALUE"""),"Delhi")</f>
        <v>Delhi</v>
      </c>
      <c r="Z1639" s="124">
        <f>IFERROR(__xludf.DUMMYFUNCTION("""COMPUTED_VALUE"""),3.0)</f>
        <v>3</v>
      </c>
      <c r="AA1639" s="124" t="str">
        <f>IFERROR(__xludf.DUMMYFUNCTION("""COMPUTED_VALUE"""),"Not Interested")</f>
        <v>Not Interested</v>
      </c>
      <c r="AB1639" s="124" t="str">
        <f>IFERROR(__xludf.DUMMYFUNCTION("""COMPUTED_VALUE"""),"GS Foundation")</f>
        <v>GS Foundation</v>
      </c>
    </row>
    <row r="1640">
      <c r="A1640" s="126">
        <f>IFERROR(__xludf.DUMMYFUNCTION("""COMPUTED_VALUE"""),46045.0)</f>
        <v>46045</v>
      </c>
      <c r="B1640" s="124" t="str">
        <f>IFERROR(__xludf.DUMMYFUNCTION("""COMPUTED_VALUE"""),"Walkin")</f>
        <v>Walkin</v>
      </c>
      <c r="C1640" s="124" t="str">
        <f>IFERROR(__xludf.DUMMYFUNCTION("""COMPUTED_VALUE"""),"Lucknow")</f>
        <v>Lucknow</v>
      </c>
      <c r="D1640" s="124" t="str">
        <f>IFERROR(__xludf.DUMMYFUNCTION("""COMPUTED_VALUE"""),"Primary_Walkin")</f>
        <v>Primary_Walkin</v>
      </c>
      <c r="E1640" s="124">
        <f>IFERROR(__xludf.DUMMYFUNCTION("""COMPUTED_VALUE"""),1.0)</f>
        <v>1</v>
      </c>
      <c r="F1640" s="124" t="str">
        <f>IFERROR(__xludf.DUMMYFUNCTION("""COMPUTED_VALUE"""),"Warm")</f>
        <v>Warm</v>
      </c>
      <c r="G1640" s="124" t="str">
        <f>IFERROR(__xludf.DUMMYFUNCTION("""COMPUTED_VALUE"""),"GS Foundation")</f>
        <v>GS Foundation</v>
      </c>
      <c r="K1640" s="124"/>
      <c r="L1640" s="124"/>
      <c r="M1640" s="124"/>
      <c r="N1640" s="124"/>
      <c r="O1640" s="124"/>
      <c r="T1640" s="129">
        <f>IFERROR(__xludf.DUMMYFUNCTION("""COMPUTED_VALUE"""),46096.0)</f>
        <v>46096</v>
      </c>
      <c r="U1640" s="124" t="str">
        <f>IFERROR(__xludf.DUMMYFUNCTION("""COMPUTED_VALUE"""),"Walk-Ins")</f>
        <v>Walk-Ins</v>
      </c>
      <c r="V1640" s="124" t="str">
        <f>IFERROR(__xludf.DUMMYFUNCTION("""COMPUTED_VALUE"""),"Walkin")</f>
        <v>Walkin</v>
      </c>
      <c r="W1640" s="124" t="str">
        <f>IFERROR(__xludf.DUMMYFUNCTION("""COMPUTED_VALUE"""),"Delhi")</f>
        <v>Delhi</v>
      </c>
      <c r="X1640" s="124" t="str">
        <f>IFERROR(__xludf.DUMMYFUNCTION("""COMPUTED_VALUE"""),"walkin")</f>
        <v>walkin</v>
      </c>
      <c r="Y1640" s="124" t="str">
        <f>IFERROR(__xludf.DUMMYFUNCTION("""COMPUTED_VALUE"""),"Delhi")</f>
        <v>Delhi</v>
      </c>
      <c r="Z1640" s="124">
        <f>IFERROR(__xludf.DUMMYFUNCTION("""COMPUTED_VALUE"""),1.0)</f>
        <v>1</v>
      </c>
      <c r="AA1640" s="124" t="str">
        <f>IFERROR(__xludf.DUMMYFUNCTION("""COMPUTED_VALUE"""),"Not Interested")</f>
        <v>Not Interested</v>
      </c>
      <c r="AB1640" s="124" t="str">
        <f>IFERROR(__xludf.DUMMYFUNCTION("""COMPUTED_VALUE"""),"State PCS")</f>
        <v>State PCS</v>
      </c>
    </row>
    <row r="1641">
      <c r="A1641" s="129">
        <f>IFERROR(__xludf.DUMMYFUNCTION("""COMPUTED_VALUE"""),46087.0)</f>
        <v>46087</v>
      </c>
      <c r="B1641" s="124" t="str">
        <f>IFERROR(__xludf.DUMMYFUNCTION("""COMPUTED_VALUE"""),"Walkin")</f>
        <v>Walkin</v>
      </c>
      <c r="C1641" s="124" t="str">
        <f>IFERROR(__xludf.DUMMYFUNCTION("""COMPUTED_VALUE"""),"Indore")</f>
        <v>Indore</v>
      </c>
      <c r="D1641" s="124" t="str">
        <f>IFERROR(__xludf.DUMMYFUNCTION("""COMPUTED_VALUE"""),"Primary_Walkin")</f>
        <v>Primary_Walkin</v>
      </c>
      <c r="E1641" s="124">
        <f>IFERROR(__xludf.DUMMYFUNCTION("""COMPUTED_VALUE"""),1.0)</f>
        <v>1</v>
      </c>
      <c r="F1641" s="124" t="str">
        <f>IFERROR(__xludf.DUMMYFUNCTION("""COMPUTED_VALUE"""),"Future Prospects")</f>
        <v>Future Prospects</v>
      </c>
      <c r="G1641" s="124" t="str">
        <f>IFERROR(__xludf.DUMMYFUNCTION("""COMPUTED_VALUE"""),"State PCS")</f>
        <v>State PCS</v>
      </c>
      <c r="K1641" s="124"/>
      <c r="L1641" s="124"/>
      <c r="M1641" s="124"/>
      <c r="N1641" s="124"/>
      <c r="O1641" s="124"/>
      <c r="T1641" s="126">
        <f>IFERROR(__xludf.DUMMYFUNCTION("""COMPUTED_VALUE"""),46083.0)</f>
        <v>46083</v>
      </c>
      <c r="U1641" s="124" t="str">
        <f>IFERROR(__xludf.DUMMYFUNCTION("""COMPUTED_VALUE"""),"External Leads")</f>
        <v>External Leads</v>
      </c>
      <c r="V1641" s="124" t="str">
        <f>IFERROR(__xludf.DUMMYFUNCTION("""COMPUTED_VALUE"""),"external leads")</f>
        <v>external leads</v>
      </c>
      <c r="W1641" s="124" t="str">
        <f>IFERROR(__xludf.DUMMYFUNCTION("""COMPUTED_VALUE"""),"delhi")</f>
        <v>delhi</v>
      </c>
      <c r="X1641" s="124" t="str">
        <f>IFERROR(__xludf.DUMMYFUNCTION("""COMPUTED_VALUE"""),"unacademyretargeting")</f>
        <v>unacademyretargeting</v>
      </c>
      <c r="Y1641" s="124" t="str">
        <f>IFERROR(__xludf.DUMMYFUNCTION("""COMPUTED_VALUE"""),"Delhi")</f>
        <v>Delhi</v>
      </c>
      <c r="Z1641" s="124">
        <f>IFERROR(__xludf.DUMMYFUNCTION("""COMPUTED_VALUE"""),4.0)</f>
        <v>4</v>
      </c>
      <c r="AA1641" s="124" t="str">
        <f>IFERROR(__xludf.DUMMYFUNCTION("""COMPUTED_VALUE"""),"Not Interested")</f>
        <v>Not Interested</v>
      </c>
      <c r="AB1641" s="124"/>
    </row>
    <row r="1642">
      <c r="A1642" s="129">
        <f>IFERROR(__xludf.DUMMYFUNCTION("""COMPUTED_VALUE"""),46062.0)</f>
        <v>46062</v>
      </c>
      <c r="B1642" s="124" t="str">
        <f>IFERROR(__xludf.DUMMYFUNCTION("""COMPUTED_VALUE"""),"Walkin")</f>
        <v>Walkin</v>
      </c>
      <c r="C1642" s="124" t="str">
        <f>IFERROR(__xludf.DUMMYFUNCTION("""COMPUTED_VALUE"""),"Indore")</f>
        <v>Indore</v>
      </c>
      <c r="D1642" s="124" t="str">
        <f>IFERROR(__xludf.DUMMYFUNCTION("""COMPUTED_VALUE"""),"Primary_Walkin")</f>
        <v>Primary_Walkin</v>
      </c>
      <c r="E1642" s="124">
        <f>IFERROR(__xludf.DUMMYFUNCTION("""COMPUTED_VALUE"""),2.0)</f>
        <v>2</v>
      </c>
      <c r="F1642" s="124" t="str">
        <f>IFERROR(__xludf.DUMMYFUNCTION("""COMPUTED_VALUE"""),"Enrolled")</f>
        <v>Enrolled</v>
      </c>
      <c r="G1642" s="124" t="str">
        <f>IFERROR(__xludf.DUMMYFUNCTION("""COMPUTED_VALUE"""),"State PCS")</f>
        <v>State PCS</v>
      </c>
      <c r="K1642" s="124"/>
      <c r="L1642" s="124"/>
      <c r="M1642" s="124"/>
      <c r="N1642" s="124"/>
      <c r="O1642" s="124"/>
      <c r="T1642" s="129">
        <f>IFERROR(__xludf.DUMMYFUNCTION("""COMPUTED_VALUE"""),46050.0)</f>
        <v>46050</v>
      </c>
      <c r="U1642" s="124" t="str">
        <f>IFERROR(__xludf.DUMMYFUNCTION("""COMPUTED_VALUE"""),"External Leads")</f>
        <v>External Leads</v>
      </c>
      <c r="V1642" s="124" t="str">
        <f>IFERROR(__xludf.DUMMYFUNCTION("""COMPUTED_VALUE"""),"external leads")</f>
        <v>external leads</v>
      </c>
      <c r="W1642" s="124" t="str">
        <f>IFERROR(__xludf.DUMMYFUNCTION("""COMPUTED_VALUE"""),"patna")</f>
        <v>patna</v>
      </c>
      <c r="X1642" s="124" t="str">
        <f>IFERROR(__xludf.DUMMYFUNCTION("""COMPUTED_VALUE"""),"piyushunacademy")</f>
        <v>piyushunacademy</v>
      </c>
      <c r="Y1642" s="124" t="str">
        <f>IFERROR(__xludf.DUMMYFUNCTION("""COMPUTED_VALUE"""),"Delhi")</f>
        <v>Delhi</v>
      </c>
      <c r="Z1642" s="124">
        <f>IFERROR(__xludf.DUMMYFUNCTION("""COMPUTED_VALUE"""),1.0)</f>
        <v>1</v>
      </c>
      <c r="AA1642" s="124" t="str">
        <f>IFERROR(__xludf.DUMMYFUNCTION("""COMPUTED_VALUE"""),"Cold")</f>
        <v>Cold</v>
      </c>
      <c r="AB1642" s="124" t="str">
        <f>IFERROR(__xludf.DUMMYFUNCTION("""COMPUTED_VALUE"""),"GS Foundation")</f>
        <v>GS Foundation</v>
      </c>
    </row>
    <row r="1643">
      <c r="A1643" s="126">
        <f>IFERROR(__xludf.DUMMYFUNCTION("""COMPUTED_VALUE"""),46094.0)</f>
        <v>46094</v>
      </c>
      <c r="B1643" s="124" t="str">
        <f>IFERROR(__xludf.DUMMYFUNCTION("""COMPUTED_VALUE"""),"Walk-In")</f>
        <v>Walk-In</v>
      </c>
      <c r="C1643" s="124" t="str">
        <f>IFERROR(__xludf.DUMMYFUNCTION("""COMPUTED_VALUE"""),"Lucknow")</f>
        <v>Lucknow</v>
      </c>
      <c r="D1643" s="124" t="str">
        <f>IFERROR(__xludf.DUMMYFUNCTION("""COMPUTED_VALUE"""),"Primary_Walkin")</f>
        <v>Primary_Walkin</v>
      </c>
      <c r="E1643" s="124">
        <f>IFERROR(__xludf.DUMMYFUNCTION("""COMPUTED_VALUE"""),1.0)</f>
        <v>1</v>
      </c>
      <c r="F1643" s="124" t="str">
        <f>IFERROR(__xludf.DUMMYFUNCTION("""COMPUTED_VALUE"""),"Enrolled")</f>
        <v>Enrolled</v>
      </c>
      <c r="G1643" s="124" t="str">
        <f>IFERROR(__xludf.DUMMYFUNCTION("""COMPUTED_VALUE"""),"GS Foundation")</f>
        <v>GS Foundation</v>
      </c>
      <c r="K1643" s="124"/>
      <c r="L1643" s="124"/>
      <c r="M1643" s="124"/>
      <c r="N1643" s="124"/>
      <c r="O1643" s="124"/>
      <c r="T1643" s="126">
        <f>IFERROR(__xludf.DUMMYFUNCTION("""COMPUTED_VALUE"""),46052.0)</f>
        <v>46052</v>
      </c>
      <c r="U1643" s="124" t="str">
        <f>IFERROR(__xludf.DUMMYFUNCTION("""COMPUTED_VALUE"""),"Walk-Ins")</f>
        <v>Walk-Ins</v>
      </c>
      <c r="V1643" s="124" t="str">
        <f>IFERROR(__xludf.DUMMYFUNCTION("""COMPUTED_VALUE"""),"Walkin")</f>
        <v>Walkin</v>
      </c>
      <c r="W1643" s="124" t="str">
        <f>IFERROR(__xludf.DUMMYFUNCTION("""COMPUTED_VALUE"""),"Delhi")</f>
        <v>Delhi</v>
      </c>
      <c r="X1643" s="124" t="str">
        <f>IFERROR(__xludf.DUMMYFUNCTION("""COMPUTED_VALUE"""),"walkin")</f>
        <v>walkin</v>
      </c>
      <c r="Y1643" s="124" t="str">
        <f>IFERROR(__xludf.DUMMYFUNCTION("""COMPUTED_VALUE"""),"Delhi")</f>
        <v>Delhi</v>
      </c>
      <c r="Z1643" s="124">
        <f>IFERROR(__xludf.DUMMYFUNCTION("""COMPUTED_VALUE"""),1.0)</f>
        <v>1</v>
      </c>
      <c r="AA1643" s="124" t="str">
        <f>IFERROR(__xludf.DUMMYFUNCTION("""COMPUTED_VALUE"""),"Not Interested")</f>
        <v>Not Interested</v>
      </c>
      <c r="AB1643" s="124" t="str">
        <f>IFERROR(__xludf.DUMMYFUNCTION("""COMPUTED_VALUE"""),"State PCS")</f>
        <v>State PCS</v>
      </c>
    </row>
    <row r="1644">
      <c r="A1644" s="129">
        <f>IFERROR(__xludf.DUMMYFUNCTION("""COMPUTED_VALUE"""),46090.0)</f>
        <v>46090</v>
      </c>
      <c r="B1644" s="124" t="str">
        <f>IFERROR(__xludf.DUMMYFUNCTION("""COMPUTED_VALUE"""),"events")</f>
        <v>events</v>
      </c>
      <c r="C1644" s="124" t="str">
        <f>IFERROR(__xludf.DUMMYFUNCTION("""COMPUTED_VALUE"""),"Indore")</f>
        <v>Indore</v>
      </c>
      <c r="D1644" s="124" t="str">
        <f>IFERROR(__xludf.DUMMYFUNCTION("""COMPUTED_VALUE"""),"Secondary_Walkin")</f>
        <v>Secondary_Walkin</v>
      </c>
      <c r="E1644" s="124">
        <f>IFERROR(__xludf.DUMMYFUNCTION("""COMPUTED_VALUE"""),1.0)</f>
        <v>1</v>
      </c>
      <c r="F1644" s="124" t="str">
        <f>IFERROR(__xludf.DUMMYFUNCTION("""COMPUTED_VALUE"""),"Cold")</f>
        <v>Cold</v>
      </c>
      <c r="G1644" s="124" t="str">
        <f>IFERROR(__xludf.DUMMYFUNCTION("""COMPUTED_VALUE"""),"Test Series")</f>
        <v>Test Series</v>
      </c>
      <c r="K1644" s="124"/>
      <c r="L1644" s="124"/>
      <c r="M1644" s="124"/>
      <c r="N1644" s="124"/>
      <c r="O1644" s="124"/>
      <c r="T1644" s="126">
        <f>IFERROR(__xludf.DUMMYFUNCTION("""COMPUTED_VALUE"""),46064.0)</f>
        <v>46064</v>
      </c>
      <c r="U1644" s="124" t="str">
        <f>IFERROR(__xludf.DUMMYFUNCTION("""COMPUTED_VALUE"""),"Walk-Ins")</f>
        <v>Walk-Ins</v>
      </c>
      <c r="V1644" s="124" t="str">
        <f>IFERROR(__xludf.DUMMYFUNCTION("""COMPUTED_VALUE"""),"Walkin")</f>
        <v>Walkin</v>
      </c>
      <c r="W1644" s="124" t="str">
        <f>IFERROR(__xludf.DUMMYFUNCTION("""COMPUTED_VALUE"""),"Delhi")</f>
        <v>Delhi</v>
      </c>
      <c r="X1644" s="124" t="str">
        <f>IFERROR(__xludf.DUMMYFUNCTION("""COMPUTED_VALUE"""),"walkin")</f>
        <v>walkin</v>
      </c>
      <c r="Y1644" s="124" t="str">
        <f>IFERROR(__xludf.DUMMYFUNCTION("""COMPUTED_VALUE"""),"Delhi")</f>
        <v>Delhi</v>
      </c>
      <c r="Z1644" s="124">
        <f>IFERROR(__xludf.DUMMYFUNCTION("""COMPUTED_VALUE"""),1.0)</f>
        <v>1</v>
      </c>
      <c r="AA1644" s="124" t="str">
        <f>IFERROR(__xludf.DUMMYFUNCTION("""COMPUTED_VALUE"""),"Enrolled")</f>
        <v>Enrolled</v>
      </c>
      <c r="AB1644" s="124" t="str">
        <f>IFERROR(__xludf.DUMMYFUNCTION("""COMPUTED_VALUE"""),"GS Foundation")</f>
        <v>GS Foundation</v>
      </c>
    </row>
    <row r="1645">
      <c r="A1645" s="126">
        <f>IFERROR(__xludf.DUMMYFUNCTION("""COMPUTED_VALUE"""),46099.0)</f>
        <v>46099</v>
      </c>
      <c r="B1645" s="124" t="str">
        <f>IFERROR(__xludf.DUMMYFUNCTION("""COMPUTED_VALUE"""),"Walkin")</f>
        <v>Walkin</v>
      </c>
      <c r="C1645" s="124" t="str">
        <f>IFERROR(__xludf.DUMMYFUNCTION("""COMPUTED_VALUE"""),"Lucknow")</f>
        <v>Lucknow</v>
      </c>
      <c r="D1645" s="124" t="str">
        <f>IFERROR(__xludf.DUMMYFUNCTION("""COMPUTED_VALUE"""),"Primary_Walkin")</f>
        <v>Primary_Walkin</v>
      </c>
      <c r="E1645" s="124">
        <f>IFERROR(__xludf.DUMMYFUNCTION("""COMPUTED_VALUE"""),1.0)</f>
        <v>1</v>
      </c>
      <c r="F1645" s="124" t="str">
        <f>IFERROR(__xludf.DUMMYFUNCTION("""COMPUTED_VALUE"""),"Future Prospects")</f>
        <v>Future Prospects</v>
      </c>
      <c r="G1645" s="124" t="str">
        <f>IFERROR(__xludf.DUMMYFUNCTION("""COMPUTED_VALUE"""),"GS Foundation")</f>
        <v>GS Foundation</v>
      </c>
      <c r="K1645" s="124"/>
      <c r="L1645" s="124"/>
      <c r="M1645" s="124"/>
      <c r="N1645" s="124"/>
      <c r="O1645" s="124"/>
      <c r="T1645" s="129">
        <f>IFERROR(__xludf.DUMMYFUNCTION("""COMPUTED_VALUE"""),46046.0)</f>
        <v>46046</v>
      </c>
      <c r="U1645" s="124" t="str">
        <f>IFERROR(__xludf.DUMMYFUNCTION("""COMPUTED_VALUE"""),"Walk-Ins")</f>
        <v>Walk-Ins</v>
      </c>
      <c r="V1645" s="124" t="str">
        <f>IFERROR(__xludf.DUMMYFUNCTION("""COMPUTED_VALUE"""),"Walk-In")</f>
        <v>Walk-In</v>
      </c>
      <c r="W1645" s="124" t="str">
        <f>IFERROR(__xludf.DUMMYFUNCTION("""COMPUTED_VALUE"""),"Delhi")</f>
        <v>Delhi</v>
      </c>
      <c r="X1645" s="124" t="str">
        <f>IFERROR(__xludf.DUMMYFUNCTION("""COMPUTED_VALUE"""),"walkin")</f>
        <v>walkin</v>
      </c>
      <c r="Y1645" s="124"/>
      <c r="Z1645" s="124">
        <f>IFERROR(__xludf.DUMMYFUNCTION("""COMPUTED_VALUE"""),1.0)</f>
        <v>1</v>
      </c>
      <c r="AA1645" s="124" t="str">
        <f>IFERROR(__xludf.DUMMYFUNCTION("""COMPUTED_VALUE"""),"Fake Lead")</f>
        <v>Fake Lead</v>
      </c>
      <c r="AB1645" s="124" t="str">
        <f>IFERROR(__xludf.DUMMYFUNCTION("""COMPUTED_VALUE"""),"GS Foundation")</f>
        <v>GS Foundation</v>
      </c>
    </row>
    <row r="1646">
      <c r="A1646" s="126">
        <f>IFERROR(__xludf.DUMMYFUNCTION("""COMPUTED_VALUE"""),46101.0)</f>
        <v>46101</v>
      </c>
      <c r="B1646" s="124" t="str">
        <f>IFERROR(__xludf.DUMMYFUNCTION("""COMPUTED_VALUE"""),"Walkin")</f>
        <v>Walkin</v>
      </c>
      <c r="C1646" s="124" t="str">
        <f>IFERROR(__xludf.DUMMYFUNCTION("""COMPUTED_VALUE"""),"Indore")</f>
        <v>Indore</v>
      </c>
      <c r="D1646" s="124" t="str">
        <f>IFERROR(__xludf.DUMMYFUNCTION("""COMPUTED_VALUE"""),"Primary_Walkin")</f>
        <v>Primary_Walkin</v>
      </c>
      <c r="E1646" s="124">
        <f>IFERROR(__xludf.DUMMYFUNCTION("""COMPUTED_VALUE"""),1.0)</f>
        <v>1</v>
      </c>
      <c r="F1646" s="124" t="str">
        <f>IFERROR(__xludf.DUMMYFUNCTION("""COMPUTED_VALUE"""),"Enrolled")</f>
        <v>Enrolled</v>
      </c>
      <c r="G1646" s="124" t="str">
        <f>IFERROR(__xludf.DUMMYFUNCTION("""COMPUTED_VALUE"""),"State PCS")</f>
        <v>State PCS</v>
      </c>
      <c r="K1646" s="124"/>
      <c r="L1646" s="124"/>
      <c r="M1646" s="124"/>
      <c r="N1646" s="124"/>
      <c r="O1646" s="124"/>
      <c r="T1646" s="126">
        <f>IFERROR(__xludf.DUMMYFUNCTION("""COMPUTED_VALUE"""),46104.0)</f>
        <v>46104</v>
      </c>
      <c r="U1646" s="124" t="str">
        <f>IFERROR(__xludf.DUMMYFUNCTION("""COMPUTED_VALUE"""),"Walk-Ins")</f>
        <v>Walk-Ins</v>
      </c>
      <c r="V1646" s="124" t="str">
        <f>IFERROR(__xludf.DUMMYFUNCTION("""COMPUTED_VALUE"""),"Walkin")</f>
        <v>Walkin</v>
      </c>
      <c r="W1646" s="124" t="str">
        <f>IFERROR(__xludf.DUMMYFUNCTION("""COMPUTED_VALUE"""),"Delhi")</f>
        <v>Delhi</v>
      </c>
      <c r="X1646" s="124" t="str">
        <f>IFERROR(__xludf.DUMMYFUNCTION("""COMPUTED_VALUE"""),"walkin")</f>
        <v>walkin</v>
      </c>
      <c r="Y1646" s="124" t="str">
        <f>IFERROR(__xludf.DUMMYFUNCTION("""COMPUTED_VALUE"""),"Delhi")</f>
        <v>Delhi</v>
      </c>
      <c r="Z1646" s="124">
        <f>IFERROR(__xludf.DUMMYFUNCTION("""COMPUTED_VALUE"""),2.0)</f>
        <v>2</v>
      </c>
      <c r="AA1646" s="124" t="str">
        <f>IFERROR(__xludf.DUMMYFUNCTION("""COMPUTED_VALUE"""),"Future Prospects")</f>
        <v>Future Prospects</v>
      </c>
      <c r="AB1646" s="124" t="str">
        <f>IFERROR(__xludf.DUMMYFUNCTION("""COMPUTED_VALUE"""),"GS Foundation")</f>
        <v>GS Foundation</v>
      </c>
    </row>
    <row r="1647">
      <c r="A1647" s="126">
        <f>IFERROR(__xludf.DUMMYFUNCTION("""COMPUTED_VALUE"""),46072.0)</f>
        <v>46072</v>
      </c>
      <c r="B1647" s="124" t="str">
        <f>IFERROR(__xludf.DUMMYFUNCTION("""COMPUTED_VALUE"""),"Walkin")</f>
        <v>Walkin</v>
      </c>
      <c r="C1647" s="124" t="str">
        <f>IFERROR(__xludf.DUMMYFUNCTION("""COMPUTED_VALUE"""),"Patna")</f>
        <v>Patna</v>
      </c>
      <c r="D1647" s="124" t="str">
        <f>IFERROR(__xludf.DUMMYFUNCTION("""COMPUTED_VALUE"""),"Primary_Walkin")</f>
        <v>Primary_Walkin</v>
      </c>
      <c r="E1647" s="124">
        <f>IFERROR(__xludf.DUMMYFUNCTION("""COMPUTED_VALUE"""),2.0)</f>
        <v>2</v>
      </c>
      <c r="F1647" s="124" t="str">
        <f>IFERROR(__xludf.DUMMYFUNCTION("""COMPUTED_VALUE"""),"Future Prospects")</f>
        <v>Future Prospects</v>
      </c>
      <c r="G1647" s="124" t="str">
        <f>IFERROR(__xludf.DUMMYFUNCTION("""COMPUTED_VALUE"""),"State PCS")</f>
        <v>State PCS</v>
      </c>
      <c r="K1647" s="124"/>
      <c r="L1647" s="124"/>
      <c r="M1647" s="124"/>
      <c r="N1647" s="124"/>
      <c r="O1647" s="124"/>
      <c r="T1647" s="126">
        <f>IFERROR(__xludf.DUMMYFUNCTION("""COMPUTED_VALUE"""),46050.0)</f>
        <v>46050</v>
      </c>
      <c r="U1647" s="124" t="str">
        <f>IFERROR(__xludf.DUMMYFUNCTION("""COMPUTED_VALUE"""),"External Leads")</f>
        <v>External Leads</v>
      </c>
      <c r="V1647" s="124" t="str">
        <f>IFERROR(__xludf.DUMMYFUNCTION("""COMPUTED_VALUE"""),"external leads")</f>
        <v>external leads</v>
      </c>
      <c r="W1647" s="124" t="str">
        <f>IFERROR(__xludf.DUMMYFUNCTION("""COMPUTED_VALUE"""),"delhi")</f>
        <v>delhi</v>
      </c>
      <c r="X1647" s="124" t="str">
        <f>IFERROR(__xludf.DUMMYFUNCTION("""COMPUTED_VALUE"""),"piyushunacademy")</f>
        <v>piyushunacademy</v>
      </c>
      <c r="Y1647" s="124" t="str">
        <f>IFERROR(__xludf.DUMMYFUNCTION("""COMPUTED_VALUE"""),"Delhi")</f>
        <v>Delhi</v>
      </c>
      <c r="Z1647" s="124">
        <f>IFERROR(__xludf.DUMMYFUNCTION("""COMPUTED_VALUE"""),9.0)</f>
        <v>9</v>
      </c>
      <c r="AA1647" s="124" t="str">
        <f>IFERROR(__xludf.DUMMYFUNCTION("""COMPUTED_VALUE"""),"Fake Lead")</f>
        <v>Fake Lead</v>
      </c>
      <c r="AB1647" s="124"/>
    </row>
    <row r="1648">
      <c r="A1648" s="126">
        <f>IFERROR(__xludf.DUMMYFUNCTION("""COMPUTED_VALUE"""),46111.0)</f>
        <v>46111</v>
      </c>
      <c r="B1648" s="124" t="str">
        <f>IFERROR(__xludf.DUMMYFUNCTION("""COMPUTED_VALUE"""),"external leads")</f>
        <v>external leads</v>
      </c>
      <c r="C1648" s="124" t="str">
        <f>IFERROR(__xludf.DUMMYFUNCTION("""COMPUTED_VALUE"""),"Patna")</f>
        <v>Patna</v>
      </c>
      <c r="D1648" s="124" t="str">
        <f>IFERROR(__xludf.DUMMYFUNCTION("""COMPUTED_VALUE"""),"Secondary_Walkin")</f>
        <v>Secondary_Walkin</v>
      </c>
      <c r="E1648" s="124">
        <f>IFERROR(__xludf.DUMMYFUNCTION("""COMPUTED_VALUE"""),1.0)</f>
        <v>1</v>
      </c>
      <c r="F1648" s="124" t="str">
        <f>IFERROR(__xludf.DUMMYFUNCTION("""COMPUTED_VALUE"""),"Enrolled")</f>
        <v>Enrolled</v>
      </c>
      <c r="G1648" s="124" t="str">
        <f>IFERROR(__xludf.DUMMYFUNCTION("""COMPUTED_VALUE"""),"Test Series")</f>
        <v>Test Series</v>
      </c>
      <c r="K1648" s="124"/>
      <c r="L1648" s="124"/>
      <c r="M1648" s="124"/>
      <c r="N1648" s="124"/>
      <c r="O1648" s="124"/>
      <c r="T1648" s="126">
        <f>IFERROR(__xludf.DUMMYFUNCTION("""COMPUTED_VALUE"""),46053.0)</f>
        <v>46053</v>
      </c>
      <c r="U1648" s="124" t="str">
        <f>IFERROR(__xludf.DUMMYFUNCTION("""COMPUTED_VALUE"""),"Walk-Ins")</f>
        <v>Walk-Ins</v>
      </c>
      <c r="V1648" s="124" t="str">
        <f>IFERROR(__xludf.DUMMYFUNCTION("""COMPUTED_VALUE"""),"Walkin")</f>
        <v>Walkin</v>
      </c>
      <c r="W1648" s="124" t="str">
        <f>IFERROR(__xludf.DUMMYFUNCTION("""COMPUTED_VALUE"""),"Delhi")</f>
        <v>Delhi</v>
      </c>
      <c r="X1648" s="124" t="str">
        <f>IFERROR(__xludf.DUMMYFUNCTION("""COMPUTED_VALUE"""),"walkin")</f>
        <v>walkin</v>
      </c>
      <c r="Y1648" s="124" t="str">
        <f>IFERROR(__xludf.DUMMYFUNCTION("""COMPUTED_VALUE"""),"Delhi")</f>
        <v>Delhi</v>
      </c>
      <c r="Z1648" s="124">
        <f>IFERROR(__xludf.DUMMYFUNCTION("""COMPUTED_VALUE"""),1.0)</f>
        <v>1</v>
      </c>
      <c r="AA1648" s="124" t="str">
        <f>IFERROR(__xludf.DUMMYFUNCTION("""COMPUTED_VALUE"""),"Cold")</f>
        <v>Cold</v>
      </c>
      <c r="AB1648" s="124" t="str">
        <f>IFERROR(__xludf.DUMMYFUNCTION("""COMPUTED_VALUE"""),"Optionals")</f>
        <v>Optionals</v>
      </c>
    </row>
    <row r="1649">
      <c r="A1649" s="126">
        <f>IFERROR(__xludf.DUMMYFUNCTION("""COMPUTED_VALUE"""),46078.0)</f>
        <v>46078</v>
      </c>
      <c r="B1649" s="124" t="str">
        <f>IFERROR(__xludf.DUMMYFUNCTION("""COMPUTED_VALUE"""),"Walk-In")</f>
        <v>Walk-In</v>
      </c>
      <c r="C1649" s="124" t="str">
        <f>IFERROR(__xludf.DUMMYFUNCTION("""COMPUTED_VALUE"""),"Patna")</f>
        <v>Patna</v>
      </c>
      <c r="D1649" s="124" t="str">
        <f>IFERROR(__xludf.DUMMYFUNCTION("""COMPUTED_VALUE"""),"Primary_Walkin")</f>
        <v>Primary_Walkin</v>
      </c>
      <c r="E1649" s="124">
        <f>IFERROR(__xludf.DUMMYFUNCTION("""COMPUTED_VALUE"""),1.0)</f>
        <v>1</v>
      </c>
      <c r="F1649" s="124" t="str">
        <f>IFERROR(__xludf.DUMMYFUNCTION("""COMPUTED_VALUE"""),"Cold")</f>
        <v>Cold</v>
      </c>
      <c r="G1649" s="124" t="str">
        <f>IFERROR(__xludf.DUMMYFUNCTION("""COMPUTED_VALUE"""),"State PCS")</f>
        <v>State PCS</v>
      </c>
      <c r="K1649" s="124"/>
      <c r="L1649" s="124"/>
      <c r="M1649" s="124"/>
      <c r="N1649" s="124"/>
      <c r="O1649" s="124"/>
      <c r="T1649" s="126">
        <f>IFERROR(__xludf.DUMMYFUNCTION("""COMPUTED_VALUE"""),46059.0)</f>
        <v>46059</v>
      </c>
      <c r="U1649" s="124" t="str">
        <f>IFERROR(__xludf.DUMMYFUNCTION("""COMPUTED_VALUE"""),"Walk-Ins")</f>
        <v>Walk-Ins</v>
      </c>
      <c r="V1649" s="124" t="str">
        <f>IFERROR(__xludf.DUMMYFUNCTION("""COMPUTED_VALUE"""),"Walkin")</f>
        <v>Walkin</v>
      </c>
      <c r="W1649" s="124" t="str">
        <f>IFERROR(__xludf.DUMMYFUNCTION("""COMPUTED_VALUE"""),"Delhi")</f>
        <v>Delhi</v>
      </c>
      <c r="X1649" s="124" t="str">
        <f>IFERROR(__xludf.DUMMYFUNCTION("""COMPUTED_VALUE"""),"walkin")</f>
        <v>walkin</v>
      </c>
      <c r="Y1649" s="124" t="str">
        <f>IFERROR(__xludf.DUMMYFUNCTION("""COMPUTED_VALUE"""),"Delhi")</f>
        <v>Delhi</v>
      </c>
      <c r="Z1649" s="124">
        <f>IFERROR(__xludf.DUMMYFUNCTION("""COMPUTED_VALUE"""),1.0)</f>
        <v>1</v>
      </c>
      <c r="AA1649" s="124" t="str">
        <f>IFERROR(__xludf.DUMMYFUNCTION("""COMPUTED_VALUE"""),"Future Prospects")</f>
        <v>Future Prospects</v>
      </c>
      <c r="AB1649" s="124" t="str">
        <f>IFERROR(__xludf.DUMMYFUNCTION("""COMPUTED_VALUE"""),"GS Foundation")</f>
        <v>GS Foundation</v>
      </c>
    </row>
    <row r="1650">
      <c r="A1650" s="126">
        <f>IFERROR(__xludf.DUMMYFUNCTION("""COMPUTED_VALUE"""),46111.0)</f>
        <v>46111</v>
      </c>
      <c r="B1650" s="124" t="str">
        <f>IFERROR(__xludf.DUMMYFUNCTION("""COMPUTED_VALUE"""),"Walkin")</f>
        <v>Walkin</v>
      </c>
      <c r="C1650" s="124" t="str">
        <f>IFERROR(__xludf.DUMMYFUNCTION("""COMPUTED_VALUE"""),"Patna")</f>
        <v>Patna</v>
      </c>
      <c r="D1650" s="124" t="str">
        <f>IFERROR(__xludf.DUMMYFUNCTION("""COMPUTED_VALUE"""),"Primary_Walkin")</f>
        <v>Primary_Walkin</v>
      </c>
      <c r="E1650" s="124">
        <f>IFERROR(__xludf.DUMMYFUNCTION("""COMPUTED_VALUE"""),1.0)</f>
        <v>1</v>
      </c>
      <c r="F1650" s="124" t="str">
        <f>IFERROR(__xludf.DUMMYFUNCTION("""COMPUTED_VALUE"""),"Enrolled")</f>
        <v>Enrolled</v>
      </c>
      <c r="G1650" s="124" t="str">
        <f>IFERROR(__xludf.DUMMYFUNCTION("""COMPUTED_VALUE"""),"GS Foundation")</f>
        <v>GS Foundation</v>
      </c>
      <c r="K1650" s="124"/>
      <c r="L1650" s="124"/>
      <c r="M1650" s="124"/>
      <c r="N1650" s="124"/>
      <c r="O1650" s="124"/>
      <c r="T1650" s="129">
        <f>IFERROR(__xludf.DUMMYFUNCTION("""COMPUTED_VALUE"""),46092.0)</f>
        <v>46092</v>
      </c>
      <c r="U1650" s="124" t="str">
        <f>IFERROR(__xludf.DUMMYFUNCTION("""COMPUTED_VALUE"""),"Walk-Ins")</f>
        <v>Walk-Ins</v>
      </c>
      <c r="V1650" s="124" t="str">
        <f>IFERROR(__xludf.DUMMYFUNCTION("""COMPUTED_VALUE"""),"Walkin")</f>
        <v>Walkin</v>
      </c>
      <c r="W1650" s="124" t="str">
        <f>IFERROR(__xludf.DUMMYFUNCTION("""COMPUTED_VALUE"""),"Delhi")</f>
        <v>Delhi</v>
      </c>
      <c r="X1650" s="124" t="str">
        <f>IFERROR(__xludf.DUMMYFUNCTION("""COMPUTED_VALUE"""),"walkin")</f>
        <v>walkin</v>
      </c>
      <c r="Y1650" s="124" t="str">
        <f>IFERROR(__xludf.DUMMYFUNCTION("""COMPUTED_VALUE"""),"Delhi")</f>
        <v>Delhi</v>
      </c>
      <c r="Z1650" s="124">
        <f>IFERROR(__xludf.DUMMYFUNCTION("""COMPUTED_VALUE"""),1.0)</f>
        <v>1</v>
      </c>
      <c r="AA1650" s="124" t="str">
        <f>IFERROR(__xludf.DUMMYFUNCTION("""COMPUTED_VALUE"""),"Enrolled")</f>
        <v>Enrolled</v>
      </c>
      <c r="AB1650" s="124" t="str">
        <f>IFERROR(__xludf.DUMMYFUNCTION("""COMPUTED_VALUE"""),"GS Foundation")</f>
        <v>GS Foundation</v>
      </c>
    </row>
    <row r="1651">
      <c r="A1651" s="126">
        <f>IFERROR(__xludf.DUMMYFUNCTION("""COMPUTED_VALUE"""),46107.0)</f>
        <v>46107</v>
      </c>
      <c r="B1651" s="124" t="str">
        <f>IFERROR(__xludf.DUMMYFUNCTION("""COMPUTED_VALUE"""),"Walkin")</f>
        <v>Walkin</v>
      </c>
      <c r="C1651" s="124" t="str">
        <f>IFERROR(__xludf.DUMMYFUNCTION("""COMPUTED_VALUE"""),"Patna")</f>
        <v>Patna</v>
      </c>
      <c r="D1651" s="124" t="str">
        <f>IFERROR(__xludf.DUMMYFUNCTION("""COMPUTED_VALUE"""),"Primary_Walkin")</f>
        <v>Primary_Walkin</v>
      </c>
      <c r="E1651" s="124">
        <f>IFERROR(__xludf.DUMMYFUNCTION("""COMPUTED_VALUE"""),2.0)</f>
        <v>2</v>
      </c>
      <c r="F1651" s="124" t="str">
        <f>IFERROR(__xludf.DUMMYFUNCTION("""COMPUTED_VALUE"""),"Future Prospects")</f>
        <v>Future Prospects</v>
      </c>
      <c r="G1651" s="124" t="str">
        <f>IFERROR(__xludf.DUMMYFUNCTION("""COMPUTED_VALUE"""),"SIM")</f>
        <v>SIM</v>
      </c>
      <c r="K1651" s="124"/>
      <c r="L1651" s="124"/>
      <c r="M1651" s="124"/>
      <c r="N1651" s="124"/>
      <c r="O1651" s="124"/>
      <c r="T1651" s="129">
        <f>IFERROR(__xludf.DUMMYFUNCTION("""COMPUTED_VALUE"""),46056.0)</f>
        <v>46056</v>
      </c>
      <c r="U1651" s="124" t="str">
        <f>IFERROR(__xludf.DUMMYFUNCTION("""COMPUTED_VALUE"""),"Walk-Ins")</f>
        <v>Walk-Ins</v>
      </c>
      <c r="V1651" s="124" t="str">
        <f>IFERROR(__xludf.DUMMYFUNCTION("""COMPUTED_VALUE"""),"Walkin")</f>
        <v>Walkin</v>
      </c>
      <c r="W1651" s="124" t="str">
        <f>IFERROR(__xludf.DUMMYFUNCTION("""COMPUTED_VALUE"""),"Delhi")</f>
        <v>Delhi</v>
      </c>
      <c r="X1651" s="124" t="str">
        <f>IFERROR(__xludf.DUMMYFUNCTION("""COMPUTED_VALUE"""),"walkin")</f>
        <v>walkin</v>
      </c>
      <c r="Y1651" s="124" t="str">
        <f>IFERROR(__xludf.DUMMYFUNCTION("""COMPUTED_VALUE"""),"Delhi")</f>
        <v>Delhi</v>
      </c>
      <c r="Z1651" s="124">
        <f>IFERROR(__xludf.DUMMYFUNCTION("""COMPUTED_VALUE"""),1.0)</f>
        <v>1</v>
      </c>
      <c r="AA1651" s="124" t="str">
        <f>IFERROR(__xludf.DUMMYFUNCTION("""COMPUTED_VALUE"""),"Enrolled")</f>
        <v>Enrolled</v>
      </c>
      <c r="AB1651" s="124" t="str">
        <f>IFERROR(__xludf.DUMMYFUNCTION("""COMPUTED_VALUE"""),"Optionals")</f>
        <v>Optionals</v>
      </c>
    </row>
    <row r="1652">
      <c r="A1652" s="129">
        <f>IFERROR(__xludf.DUMMYFUNCTION("""COMPUTED_VALUE"""),46059.0)</f>
        <v>46059</v>
      </c>
      <c r="B1652" s="124" t="str">
        <f>IFERROR(__xludf.DUMMYFUNCTION("""COMPUTED_VALUE"""),"Walkin")</f>
        <v>Walkin</v>
      </c>
      <c r="C1652" s="124" t="str">
        <f>IFERROR(__xludf.DUMMYFUNCTION("""COMPUTED_VALUE"""),"Patna")</f>
        <v>Patna</v>
      </c>
      <c r="D1652" s="124" t="str">
        <f>IFERROR(__xludf.DUMMYFUNCTION("""COMPUTED_VALUE"""),"Primary_Walkin")</f>
        <v>Primary_Walkin</v>
      </c>
      <c r="E1652" s="124">
        <f>IFERROR(__xludf.DUMMYFUNCTION("""COMPUTED_VALUE"""),1.0)</f>
        <v>1</v>
      </c>
      <c r="F1652" s="124" t="str">
        <f>IFERROR(__xludf.DUMMYFUNCTION("""COMPUTED_VALUE"""),"Fake Lead")</f>
        <v>Fake Lead</v>
      </c>
      <c r="G1652" s="124" t="str">
        <f>IFERROR(__xludf.DUMMYFUNCTION("""COMPUTED_VALUE"""),"GS Foundation")</f>
        <v>GS Foundation</v>
      </c>
      <c r="K1652" s="124"/>
      <c r="L1652" s="124"/>
      <c r="M1652" s="124"/>
      <c r="N1652" s="124"/>
      <c r="O1652" s="124"/>
      <c r="T1652" s="129">
        <f>IFERROR(__xludf.DUMMYFUNCTION("""COMPUTED_VALUE"""),46052.0)</f>
        <v>46052</v>
      </c>
      <c r="U1652" s="124" t="str">
        <f>IFERROR(__xludf.DUMMYFUNCTION("""COMPUTED_VALUE"""),"Walk-Ins")</f>
        <v>Walk-Ins</v>
      </c>
      <c r="V1652" s="124" t="str">
        <f>IFERROR(__xludf.DUMMYFUNCTION("""COMPUTED_VALUE"""),"Walkin")</f>
        <v>Walkin</v>
      </c>
      <c r="W1652" s="124" t="str">
        <f>IFERROR(__xludf.DUMMYFUNCTION("""COMPUTED_VALUE"""),"Delhi")</f>
        <v>Delhi</v>
      </c>
      <c r="X1652" s="124" t="str">
        <f>IFERROR(__xludf.DUMMYFUNCTION("""COMPUTED_VALUE"""),"walkin")</f>
        <v>walkin</v>
      </c>
      <c r="Y1652" s="124" t="str">
        <f>IFERROR(__xludf.DUMMYFUNCTION("""COMPUTED_VALUE"""),"Delhi")</f>
        <v>Delhi</v>
      </c>
      <c r="Z1652" s="124">
        <f>IFERROR(__xludf.DUMMYFUNCTION("""COMPUTED_VALUE"""),3.0)</f>
        <v>3</v>
      </c>
      <c r="AA1652" s="124" t="str">
        <f>IFERROR(__xludf.DUMMYFUNCTION("""COMPUTED_VALUE"""),"Cold")</f>
        <v>Cold</v>
      </c>
      <c r="AB1652" s="124" t="str">
        <f>IFERROR(__xludf.DUMMYFUNCTION("""COMPUTED_VALUE"""),"GS Foundation")</f>
        <v>GS Foundation</v>
      </c>
    </row>
    <row r="1653">
      <c r="A1653" s="129">
        <f>IFERROR(__xludf.DUMMYFUNCTION("""COMPUTED_VALUE"""),46057.0)</f>
        <v>46057</v>
      </c>
      <c r="B1653" s="124" t="str">
        <f>IFERROR(__xludf.DUMMYFUNCTION("""COMPUTED_VALUE"""),"Walkin")</f>
        <v>Walkin</v>
      </c>
      <c r="C1653" s="124" t="str">
        <f>IFERROR(__xludf.DUMMYFUNCTION("""COMPUTED_VALUE"""),"Patna")</f>
        <v>Patna</v>
      </c>
      <c r="D1653" s="124" t="str">
        <f>IFERROR(__xludf.DUMMYFUNCTION("""COMPUTED_VALUE"""),"Primary_Walkin")</f>
        <v>Primary_Walkin</v>
      </c>
      <c r="E1653" s="124">
        <f>IFERROR(__xludf.DUMMYFUNCTION("""COMPUTED_VALUE"""),1.0)</f>
        <v>1</v>
      </c>
      <c r="F1653" s="124" t="str">
        <f>IFERROR(__xludf.DUMMYFUNCTION("""COMPUTED_VALUE"""),"Enrolled")</f>
        <v>Enrolled</v>
      </c>
      <c r="G1653" s="124" t="str">
        <f>IFERROR(__xludf.DUMMYFUNCTION("""COMPUTED_VALUE"""),"GS Foundation")</f>
        <v>GS Foundation</v>
      </c>
      <c r="K1653" s="124"/>
      <c r="L1653" s="124"/>
      <c r="M1653" s="124"/>
      <c r="N1653" s="124"/>
      <c r="O1653" s="124"/>
      <c r="T1653" s="129">
        <f>IFERROR(__xludf.DUMMYFUNCTION("""COMPUTED_VALUE"""),46049.0)</f>
        <v>46049</v>
      </c>
      <c r="U1653" s="124" t="str">
        <f>IFERROR(__xludf.DUMMYFUNCTION("""COMPUTED_VALUE"""),"External Leads")</f>
        <v>External Leads</v>
      </c>
      <c r="V1653" s="124" t="str">
        <f>IFERROR(__xludf.DUMMYFUNCTION("""COMPUTED_VALUE"""),"external leads")</f>
        <v>external leads</v>
      </c>
      <c r="W1653" s="124" t="str">
        <f>IFERROR(__xludf.DUMMYFUNCTION("""COMPUTED_VALUE"""),"prayagraj")</f>
        <v>prayagraj</v>
      </c>
      <c r="X1653" s="124" t="str">
        <f>IFERROR(__xludf.DUMMYFUNCTION("""COMPUTED_VALUE"""),"piyushunacademy")</f>
        <v>piyushunacademy</v>
      </c>
      <c r="Y1653" s="124" t="str">
        <f>IFERROR(__xludf.DUMMYFUNCTION("""COMPUTED_VALUE"""),"Prayagraj")</f>
        <v>Prayagraj</v>
      </c>
      <c r="Z1653" s="124">
        <f>IFERROR(__xludf.DUMMYFUNCTION("""COMPUTED_VALUE"""),4.0)</f>
        <v>4</v>
      </c>
      <c r="AA1653" s="124"/>
      <c r="AB1653" s="124" t="str">
        <f>IFERROR(__xludf.DUMMYFUNCTION("""COMPUTED_VALUE"""),"GS Foundation")</f>
        <v>GS Foundation</v>
      </c>
    </row>
    <row r="1654">
      <c r="A1654" s="126">
        <f>IFERROR(__xludf.DUMMYFUNCTION("""COMPUTED_VALUE"""),46094.0)</f>
        <v>46094</v>
      </c>
      <c r="B1654" s="124" t="str">
        <f>IFERROR(__xludf.DUMMYFUNCTION("""COMPUTED_VALUE"""),"Walkin")</f>
        <v>Walkin</v>
      </c>
      <c r="C1654" s="124" t="str">
        <f>IFERROR(__xludf.DUMMYFUNCTION("""COMPUTED_VALUE"""),"Patna")</f>
        <v>Patna</v>
      </c>
      <c r="D1654" s="124" t="str">
        <f>IFERROR(__xludf.DUMMYFUNCTION("""COMPUTED_VALUE"""),"Primary_Walkin")</f>
        <v>Primary_Walkin</v>
      </c>
      <c r="E1654" s="124">
        <f>IFERROR(__xludf.DUMMYFUNCTION("""COMPUTED_VALUE"""),1.0)</f>
        <v>1</v>
      </c>
      <c r="F1654" s="124" t="str">
        <f>IFERROR(__xludf.DUMMYFUNCTION("""COMPUTED_VALUE"""),"Not Interested")</f>
        <v>Not Interested</v>
      </c>
      <c r="G1654" s="124" t="str">
        <f>IFERROR(__xludf.DUMMYFUNCTION("""COMPUTED_VALUE"""),"State PCS")</f>
        <v>State PCS</v>
      </c>
      <c r="K1654" s="124"/>
      <c r="L1654" s="124"/>
      <c r="M1654" s="124"/>
      <c r="N1654" s="124"/>
      <c r="O1654" s="124"/>
      <c r="T1654" s="126">
        <f>IFERROR(__xludf.DUMMYFUNCTION("""COMPUTED_VALUE"""),46082.0)</f>
        <v>46082</v>
      </c>
      <c r="U1654" s="124" t="str">
        <f>IFERROR(__xludf.DUMMYFUNCTION("""COMPUTED_VALUE"""),"Walk-Ins")</f>
        <v>Walk-Ins</v>
      </c>
      <c r="V1654" s="124" t="str">
        <f>IFERROR(__xludf.DUMMYFUNCTION("""COMPUTED_VALUE"""),"Walkin")</f>
        <v>Walkin</v>
      </c>
      <c r="W1654" s="124" t="str">
        <f>IFERROR(__xludf.DUMMYFUNCTION("""COMPUTED_VALUE"""),"Delhi")</f>
        <v>Delhi</v>
      </c>
      <c r="X1654" s="124" t="str">
        <f>IFERROR(__xludf.DUMMYFUNCTION("""COMPUTED_VALUE"""),"walkin")</f>
        <v>walkin</v>
      </c>
      <c r="Y1654" s="124" t="str">
        <f>IFERROR(__xludf.DUMMYFUNCTION("""COMPUTED_VALUE"""),"Delhi")</f>
        <v>Delhi</v>
      </c>
      <c r="Z1654" s="124">
        <f>IFERROR(__xludf.DUMMYFUNCTION("""COMPUTED_VALUE"""),1.0)</f>
        <v>1</v>
      </c>
      <c r="AA1654" s="124" t="str">
        <f>IFERROR(__xludf.DUMMYFUNCTION("""COMPUTED_VALUE"""),"Future Prospects")</f>
        <v>Future Prospects</v>
      </c>
      <c r="AB1654" s="124" t="str">
        <f>IFERROR(__xludf.DUMMYFUNCTION("""COMPUTED_VALUE"""),"GS Foundation")</f>
        <v>GS Foundation</v>
      </c>
    </row>
    <row r="1655">
      <c r="A1655" s="126">
        <f>IFERROR(__xludf.DUMMYFUNCTION("""COMPUTED_VALUE"""),46112.0)</f>
        <v>46112</v>
      </c>
      <c r="B1655" s="124" t="str">
        <f>IFERROR(__xludf.DUMMYFUNCTION("""COMPUTED_VALUE"""),"Walkin")</f>
        <v>Walkin</v>
      </c>
      <c r="C1655" s="124" t="str">
        <f>IFERROR(__xludf.DUMMYFUNCTION("""COMPUTED_VALUE"""),"Patna")</f>
        <v>Patna</v>
      </c>
      <c r="D1655" s="124" t="str">
        <f>IFERROR(__xludf.DUMMYFUNCTION("""COMPUTED_VALUE"""),"Primary_Walkin")</f>
        <v>Primary_Walkin</v>
      </c>
      <c r="E1655" s="124">
        <f>IFERROR(__xludf.DUMMYFUNCTION("""COMPUTED_VALUE"""),1.0)</f>
        <v>1</v>
      </c>
      <c r="F1655" s="124" t="str">
        <f>IFERROR(__xludf.DUMMYFUNCTION("""COMPUTED_VALUE"""),"Warm")</f>
        <v>Warm</v>
      </c>
      <c r="G1655" s="124" t="str">
        <f>IFERROR(__xludf.DUMMYFUNCTION("""COMPUTED_VALUE"""),"GS Foundation")</f>
        <v>GS Foundation</v>
      </c>
      <c r="K1655" s="124"/>
      <c r="L1655" s="124"/>
      <c r="M1655" s="124"/>
      <c r="N1655" s="124"/>
      <c r="O1655" s="124"/>
      <c r="T1655" s="126">
        <f>IFERROR(__xludf.DUMMYFUNCTION("""COMPUTED_VALUE"""),46060.0)</f>
        <v>46060</v>
      </c>
      <c r="U1655" s="124" t="str">
        <f>IFERROR(__xludf.DUMMYFUNCTION("""COMPUTED_VALUE"""),"External Leads")</f>
        <v>External Leads</v>
      </c>
      <c r="V1655" s="124" t="str">
        <f>IFERROR(__xludf.DUMMYFUNCTION("""COMPUTED_VALUE"""),"Outbound Call")</f>
        <v>Outbound Call</v>
      </c>
      <c r="W1655" s="124" t="str">
        <f>IFERROR(__xludf.DUMMYFUNCTION("""COMPUTED_VALUE"""),"Outbound Call")</f>
        <v>Outbound Call</v>
      </c>
      <c r="X1655" s="124" t="str">
        <f>IFERROR(__xludf.DUMMYFUNCTION("""COMPUTED_VALUE"""),"Outbound Call")</f>
        <v>Outbound Call</v>
      </c>
      <c r="Y1655" s="124" t="str">
        <f>IFERROR(__xludf.DUMMYFUNCTION("""COMPUTED_VALUE"""),"Indore")</f>
        <v>Indore</v>
      </c>
      <c r="Z1655" s="124">
        <f>IFERROR(__xludf.DUMMYFUNCTION("""COMPUTED_VALUE"""),1.0)</f>
        <v>1</v>
      </c>
      <c r="AA1655" s="124" t="str">
        <f>IFERROR(__xludf.DUMMYFUNCTION("""COMPUTED_VALUE"""),"Cold")</f>
        <v>Cold</v>
      </c>
      <c r="AB1655" s="124" t="str">
        <f>IFERROR(__xludf.DUMMYFUNCTION("""COMPUTED_VALUE"""),"State PCS")</f>
        <v>State PCS</v>
      </c>
    </row>
    <row r="1656">
      <c r="A1656" s="126">
        <f>IFERROR(__xludf.DUMMYFUNCTION("""COMPUTED_VALUE"""),46109.0)</f>
        <v>46109</v>
      </c>
      <c r="B1656" s="124" t="str">
        <f>IFERROR(__xludf.DUMMYFUNCTION("""COMPUTED_VALUE"""),"Walkin")</f>
        <v>Walkin</v>
      </c>
      <c r="C1656" s="124" t="str">
        <f>IFERROR(__xludf.DUMMYFUNCTION("""COMPUTED_VALUE"""),"Patna")</f>
        <v>Patna</v>
      </c>
      <c r="D1656" s="124" t="str">
        <f>IFERROR(__xludf.DUMMYFUNCTION("""COMPUTED_VALUE"""),"Primary_Walkin")</f>
        <v>Primary_Walkin</v>
      </c>
      <c r="E1656" s="124">
        <f>IFERROR(__xludf.DUMMYFUNCTION("""COMPUTED_VALUE"""),2.0)</f>
        <v>2</v>
      </c>
      <c r="F1656" s="124" t="str">
        <f>IFERROR(__xludf.DUMMYFUNCTION("""COMPUTED_VALUE"""),"Warm")</f>
        <v>Warm</v>
      </c>
      <c r="G1656" s="124" t="str">
        <f>IFERROR(__xludf.DUMMYFUNCTION("""COMPUTED_VALUE"""),"State PCS")</f>
        <v>State PCS</v>
      </c>
      <c r="K1656" s="124"/>
      <c r="L1656" s="124"/>
      <c r="M1656" s="124"/>
      <c r="N1656" s="124"/>
      <c r="O1656" s="124"/>
      <c r="T1656" s="126">
        <f>IFERROR(__xludf.DUMMYFUNCTION("""COMPUTED_VALUE"""),46108.0)</f>
        <v>46108</v>
      </c>
      <c r="U1656" s="124" t="str">
        <f>IFERROR(__xludf.DUMMYFUNCTION("""COMPUTED_VALUE"""),"Event")</f>
        <v>Event</v>
      </c>
      <c r="V1656" s="124" t="str">
        <f>IFERROR(__xludf.DUMMYFUNCTION("""COMPUTED_VALUE"""),"whatsapp")</f>
        <v>whatsapp</v>
      </c>
      <c r="W1656" s="124" t="str">
        <f>IFERROR(__xludf.DUMMYFUNCTION("""COMPUTED_VALUE"""),"api")</f>
        <v>api</v>
      </c>
      <c r="X1656" s="124" t="str">
        <f>IFERROR(__xludf.DUMMYFUNCTION("""COMPUTED_VALUE"""),"reply")</f>
        <v>reply</v>
      </c>
      <c r="Y1656" s="124" t="str">
        <f>IFERROR(__xludf.DUMMYFUNCTION("""COMPUTED_VALUE"""),"Delhi")</f>
        <v>Delhi</v>
      </c>
      <c r="Z1656" s="124">
        <f>IFERROR(__xludf.DUMMYFUNCTION("""COMPUTED_VALUE"""),1.0)</f>
        <v>1</v>
      </c>
      <c r="AA1656" s="124" t="str">
        <f>IFERROR(__xludf.DUMMYFUNCTION("""COMPUTED_VALUE"""),"Cold")</f>
        <v>Cold</v>
      </c>
      <c r="AB1656" s="124"/>
    </row>
    <row r="1657">
      <c r="A1657" s="126">
        <f>IFERROR(__xludf.DUMMYFUNCTION("""COMPUTED_VALUE"""),46072.0)</f>
        <v>46072</v>
      </c>
      <c r="B1657" s="124" t="str">
        <f>IFERROR(__xludf.DUMMYFUNCTION("""COMPUTED_VALUE"""),"external leads")</f>
        <v>external leads</v>
      </c>
      <c r="C1657" s="124" t="str">
        <f>IFERROR(__xludf.DUMMYFUNCTION("""COMPUTED_VALUE"""),"Patna")</f>
        <v>Patna</v>
      </c>
      <c r="D1657" s="124" t="str">
        <f>IFERROR(__xludf.DUMMYFUNCTION("""COMPUTED_VALUE"""),"Secondary_Walkin")</f>
        <v>Secondary_Walkin</v>
      </c>
      <c r="E1657" s="124">
        <f>IFERROR(__xludf.DUMMYFUNCTION("""COMPUTED_VALUE"""),1.0)</f>
        <v>1</v>
      </c>
      <c r="F1657" s="124" t="str">
        <f>IFERROR(__xludf.DUMMYFUNCTION("""COMPUTED_VALUE"""),"Cold")</f>
        <v>Cold</v>
      </c>
      <c r="G1657" s="124" t="str">
        <f>IFERROR(__xludf.DUMMYFUNCTION("""COMPUTED_VALUE"""),"Other")</f>
        <v>Other</v>
      </c>
      <c r="K1657" s="124"/>
      <c r="L1657" s="124"/>
      <c r="M1657" s="124"/>
      <c r="N1657" s="124"/>
      <c r="O1657" s="124"/>
      <c r="T1657" s="126">
        <f>IFERROR(__xludf.DUMMYFUNCTION("""COMPUTED_VALUE"""),46046.0)</f>
        <v>46046</v>
      </c>
      <c r="U1657" s="124" t="str">
        <f>IFERROR(__xludf.DUMMYFUNCTION("""COMPUTED_VALUE"""),"External Leads")</f>
        <v>External Leads</v>
      </c>
      <c r="V1657" s="124" t="str">
        <f>IFERROR(__xludf.DUMMYFUNCTION("""COMPUTED_VALUE"""),"Outbound Call")</f>
        <v>Outbound Call</v>
      </c>
      <c r="W1657" s="124" t="str">
        <f>IFERROR(__xludf.DUMMYFUNCTION("""COMPUTED_VALUE"""),"Outbound Call")</f>
        <v>Outbound Call</v>
      </c>
      <c r="X1657" s="124" t="str">
        <f>IFERROR(__xludf.DUMMYFUNCTION("""COMPUTED_VALUE"""),"Outbound Call")</f>
        <v>Outbound Call</v>
      </c>
      <c r="Y1657" s="124"/>
      <c r="Z1657" s="124">
        <f>IFERROR(__xludf.DUMMYFUNCTION("""COMPUTED_VALUE"""),4.0)</f>
        <v>4</v>
      </c>
      <c r="AA1657" s="124"/>
      <c r="AB1657" s="124"/>
    </row>
    <row r="1658">
      <c r="A1658" s="126">
        <f>IFERROR(__xludf.DUMMYFUNCTION("""COMPUTED_VALUE"""),46109.0)</f>
        <v>46109</v>
      </c>
      <c r="B1658" s="124" t="str">
        <f>IFERROR(__xludf.DUMMYFUNCTION("""COMPUTED_VALUE"""),"Walk-In")</f>
        <v>Walk-In</v>
      </c>
      <c r="C1658" s="124" t="str">
        <f>IFERROR(__xludf.DUMMYFUNCTION("""COMPUTED_VALUE"""),"Patna")</f>
        <v>Patna</v>
      </c>
      <c r="D1658" s="124" t="str">
        <f>IFERROR(__xludf.DUMMYFUNCTION("""COMPUTED_VALUE"""),"Primary_Walkin")</f>
        <v>Primary_Walkin</v>
      </c>
      <c r="E1658" s="124">
        <f>IFERROR(__xludf.DUMMYFUNCTION("""COMPUTED_VALUE"""),1.0)</f>
        <v>1</v>
      </c>
      <c r="F1658" s="124" t="str">
        <f>IFERROR(__xludf.DUMMYFUNCTION("""COMPUTED_VALUE"""),"Warm")</f>
        <v>Warm</v>
      </c>
      <c r="G1658" s="124" t="str">
        <f>IFERROR(__xludf.DUMMYFUNCTION("""COMPUTED_VALUE"""),"State PCS")</f>
        <v>State PCS</v>
      </c>
      <c r="K1658" s="124"/>
      <c r="L1658" s="124"/>
      <c r="M1658" s="124"/>
      <c r="N1658" s="124"/>
      <c r="O1658" s="124"/>
      <c r="T1658" s="126">
        <f>IFERROR(__xludf.DUMMYFUNCTION("""COMPUTED_VALUE"""),46063.0)</f>
        <v>46063</v>
      </c>
      <c r="U1658" s="124" t="str">
        <f>IFERROR(__xludf.DUMMYFUNCTION("""COMPUTED_VALUE"""),"Event")</f>
        <v>Event</v>
      </c>
      <c r="V1658" s="124" t="str">
        <f>IFERROR(__xludf.DUMMYFUNCTION("""COMPUTED_VALUE"""),"whatsapp")</f>
        <v>whatsapp</v>
      </c>
      <c r="W1658" s="124" t="str">
        <f>IFERROR(__xludf.DUMMYFUNCTION("""COMPUTED_VALUE"""),"api")</f>
        <v>api</v>
      </c>
      <c r="X1658" s="124" t="str">
        <f>IFERROR(__xludf.DUMMYFUNCTION("""COMPUTED_VALUE"""),"reply")</f>
        <v>reply</v>
      </c>
      <c r="Y1658" s="124"/>
      <c r="Z1658" s="124">
        <f>IFERROR(__xludf.DUMMYFUNCTION("""COMPUTED_VALUE"""),3.0)</f>
        <v>3</v>
      </c>
      <c r="AA1658" s="124" t="str">
        <f>IFERROR(__xludf.DUMMYFUNCTION("""COMPUTED_VALUE"""),"Cold")</f>
        <v>Cold</v>
      </c>
      <c r="AB1658" s="124"/>
    </row>
    <row r="1659">
      <c r="A1659" s="129">
        <f>IFERROR(__xludf.DUMMYFUNCTION("""COMPUTED_VALUE"""),46058.0)</f>
        <v>46058</v>
      </c>
      <c r="B1659" s="124" t="str">
        <f>IFERROR(__xludf.DUMMYFUNCTION("""COMPUTED_VALUE"""),"Walkin")</f>
        <v>Walkin</v>
      </c>
      <c r="C1659" s="124" t="str">
        <f>IFERROR(__xludf.DUMMYFUNCTION("""COMPUTED_VALUE"""),"Patna")</f>
        <v>Patna</v>
      </c>
      <c r="D1659" s="124" t="str">
        <f>IFERROR(__xludf.DUMMYFUNCTION("""COMPUTED_VALUE"""),"Primary_Walkin")</f>
        <v>Primary_Walkin</v>
      </c>
      <c r="E1659" s="124">
        <f>IFERROR(__xludf.DUMMYFUNCTION("""COMPUTED_VALUE"""),2.0)</f>
        <v>2</v>
      </c>
      <c r="F1659" s="124" t="str">
        <f>IFERROR(__xludf.DUMMYFUNCTION("""COMPUTED_VALUE"""),"Cold")</f>
        <v>Cold</v>
      </c>
      <c r="G1659" s="124" t="str">
        <f>IFERROR(__xludf.DUMMYFUNCTION("""COMPUTED_VALUE"""),"State PCS")</f>
        <v>State PCS</v>
      </c>
      <c r="K1659" s="124"/>
      <c r="L1659" s="124"/>
      <c r="M1659" s="124"/>
      <c r="N1659" s="124"/>
      <c r="O1659" s="124"/>
      <c r="T1659" s="126">
        <f>IFERROR(__xludf.DUMMYFUNCTION("""COMPUTED_VALUE"""),46074.0)</f>
        <v>46074</v>
      </c>
      <c r="U1659" s="124" t="str">
        <f>IFERROR(__xludf.DUMMYFUNCTION("""COMPUTED_VALUE"""),"Event")</f>
        <v>Event</v>
      </c>
      <c r="V1659" s="124" t="str">
        <f>IFERROR(__xludf.DUMMYFUNCTION("""COMPUTED_VALUE"""),"whatsapp")</f>
        <v>whatsapp</v>
      </c>
      <c r="W1659" s="124" t="str">
        <f>IFERROR(__xludf.DUMMYFUNCTION("""COMPUTED_VALUE"""),"api")</f>
        <v>api</v>
      </c>
      <c r="X1659" s="124" t="str">
        <f>IFERROR(__xludf.DUMMYFUNCTION("""COMPUTED_VALUE"""),"reply")</f>
        <v>reply</v>
      </c>
      <c r="Y1659" s="124" t="str">
        <f>IFERROR(__xludf.DUMMYFUNCTION("""COMPUTED_VALUE"""),"Delhi")</f>
        <v>Delhi</v>
      </c>
      <c r="Z1659" s="124">
        <f>IFERROR(__xludf.DUMMYFUNCTION("""COMPUTED_VALUE"""),1.0)</f>
        <v>1</v>
      </c>
      <c r="AA1659" s="124" t="str">
        <f>IFERROR(__xludf.DUMMYFUNCTION("""COMPUTED_VALUE"""),"Cold")</f>
        <v>Cold</v>
      </c>
      <c r="AB1659" s="124"/>
    </row>
    <row r="1660">
      <c r="A1660" s="126">
        <f>IFERROR(__xludf.DUMMYFUNCTION("""COMPUTED_VALUE"""),46072.0)</f>
        <v>46072</v>
      </c>
      <c r="B1660" s="124" t="str">
        <f>IFERROR(__xludf.DUMMYFUNCTION("""COMPUTED_VALUE"""),"Walkin")</f>
        <v>Walkin</v>
      </c>
      <c r="C1660" s="124" t="str">
        <f>IFERROR(__xludf.DUMMYFUNCTION("""COMPUTED_VALUE"""),"Patna")</f>
        <v>Patna</v>
      </c>
      <c r="D1660" s="124" t="str">
        <f>IFERROR(__xludf.DUMMYFUNCTION("""COMPUTED_VALUE"""),"Primary_Walkin")</f>
        <v>Primary_Walkin</v>
      </c>
      <c r="E1660" s="124">
        <f>IFERROR(__xludf.DUMMYFUNCTION("""COMPUTED_VALUE"""),1.0)</f>
        <v>1</v>
      </c>
      <c r="F1660" s="124" t="str">
        <f>IFERROR(__xludf.DUMMYFUNCTION("""COMPUTED_VALUE"""),"Cold")</f>
        <v>Cold</v>
      </c>
      <c r="G1660" s="124" t="str">
        <f>IFERROR(__xludf.DUMMYFUNCTION("""COMPUTED_VALUE"""),"Prelims Crash Course - SIP")</f>
        <v>Prelims Crash Course - SIP</v>
      </c>
      <c r="K1660" s="124"/>
      <c r="L1660" s="124"/>
      <c r="M1660" s="124"/>
      <c r="N1660" s="124"/>
      <c r="O1660" s="124"/>
      <c r="T1660" s="126">
        <f>IFERROR(__xludf.DUMMYFUNCTION("""COMPUTED_VALUE"""),46097.0)</f>
        <v>46097</v>
      </c>
      <c r="U1660" s="124" t="str">
        <f>IFERROR(__xludf.DUMMYFUNCTION("""COMPUTED_VALUE"""),"Event")</f>
        <v>Event</v>
      </c>
      <c r="V1660" s="124" t="str">
        <f>IFERROR(__xludf.DUMMYFUNCTION("""COMPUTED_VALUE"""),"whatsapp")</f>
        <v>whatsapp</v>
      </c>
      <c r="W1660" s="124" t="str">
        <f>IFERROR(__xludf.DUMMYFUNCTION("""COMPUTED_VALUE"""),"api")</f>
        <v>api</v>
      </c>
      <c r="X1660" s="124" t="str">
        <f>IFERROR(__xludf.DUMMYFUNCTION("""COMPUTED_VALUE"""),"reply")</f>
        <v>reply</v>
      </c>
      <c r="Y1660" s="124"/>
      <c r="Z1660" s="124">
        <f>IFERROR(__xludf.DUMMYFUNCTION("""COMPUTED_VALUE"""),1.0)</f>
        <v>1</v>
      </c>
      <c r="AA1660" s="124" t="str">
        <f>IFERROR(__xludf.DUMMYFUNCTION("""COMPUTED_VALUE"""),"Fake Lead")</f>
        <v>Fake Lead</v>
      </c>
      <c r="AB1660" s="124"/>
    </row>
    <row r="1661">
      <c r="A1661" s="126">
        <f>IFERROR(__xludf.DUMMYFUNCTION("""COMPUTED_VALUE"""),46097.0)</f>
        <v>46097</v>
      </c>
      <c r="B1661" s="124" t="str">
        <f>IFERROR(__xludf.DUMMYFUNCTION("""COMPUTED_VALUE"""),"Walkin")</f>
        <v>Walkin</v>
      </c>
      <c r="C1661" s="124" t="str">
        <f>IFERROR(__xludf.DUMMYFUNCTION("""COMPUTED_VALUE"""),"Patna")</f>
        <v>Patna</v>
      </c>
      <c r="D1661" s="124" t="str">
        <f>IFERROR(__xludf.DUMMYFUNCTION("""COMPUTED_VALUE"""),"Primary_Walkin")</f>
        <v>Primary_Walkin</v>
      </c>
      <c r="E1661" s="124">
        <f>IFERROR(__xludf.DUMMYFUNCTION("""COMPUTED_VALUE"""),1.0)</f>
        <v>1</v>
      </c>
      <c r="F1661" s="124" t="str">
        <f>IFERROR(__xludf.DUMMYFUNCTION("""COMPUTED_VALUE"""),"Future Prospects")</f>
        <v>Future Prospects</v>
      </c>
      <c r="G1661" s="124" t="str">
        <f>IFERROR(__xludf.DUMMYFUNCTION("""COMPUTED_VALUE"""),"State PCS")</f>
        <v>State PCS</v>
      </c>
      <c r="K1661" s="124"/>
      <c r="L1661" s="124"/>
      <c r="M1661" s="124"/>
      <c r="N1661" s="124"/>
      <c r="O1661" s="124"/>
      <c r="T1661" s="129">
        <f>IFERROR(__xludf.DUMMYFUNCTION("""COMPUTED_VALUE"""),46109.0)</f>
        <v>46109</v>
      </c>
      <c r="U1661" s="124" t="str">
        <f>IFERROR(__xludf.DUMMYFUNCTION("""COMPUTED_VALUE"""),"External Leads")</f>
        <v>External Leads</v>
      </c>
      <c r="V1661" s="124" t="str">
        <f>IFERROR(__xludf.DUMMYFUNCTION("""COMPUTED_VALUE"""),"Outbound Call")</f>
        <v>Outbound Call</v>
      </c>
      <c r="W1661" s="124" t="str">
        <f>IFERROR(__xludf.DUMMYFUNCTION("""COMPUTED_VALUE"""),"Outbound Call")</f>
        <v>Outbound Call</v>
      </c>
      <c r="X1661" s="124" t="str">
        <f>IFERROR(__xludf.DUMMYFUNCTION("""COMPUTED_VALUE"""),"Outbound Call")</f>
        <v>Outbound Call</v>
      </c>
      <c r="Y1661" s="124"/>
      <c r="Z1661" s="124">
        <f>IFERROR(__xludf.DUMMYFUNCTION("""COMPUTED_VALUE"""),4.0)</f>
        <v>4</v>
      </c>
      <c r="AA1661" s="124"/>
      <c r="AB1661" s="124"/>
    </row>
    <row r="1662">
      <c r="A1662" s="126">
        <f>IFERROR(__xludf.DUMMYFUNCTION("""COMPUTED_VALUE"""),46052.0)</f>
        <v>46052</v>
      </c>
      <c r="B1662" s="124" t="str">
        <f>IFERROR(__xludf.DUMMYFUNCTION("""COMPUTED_VALUE"""),"Walkin")</f>
        <v>Walkin</v>
      </c>
      <c r="C1662" s="124" t="str">
        <f>IFERROR(__xludf.DUMMYFUNCTION("""COMPUTED_VALUE"""),"Patna")</f>
        <v>Patna</v>
      </c>
      <c r="D1662" s="124" t="str">
        <f>IFERROR(__xludf.DUMMYFUNCTION("""COMPUTED_VALUE"""),"Primary_Walkin")</f>
        <v>Primary_Walkin</v>
      </c>
      <c r="E1662" s="124">
        <f>IFERROR(__xludf.DUMMYFUNCTION("""COMPUTED_VALUE"""),2.0)</f>
        <v>2</v>
      </c>
      <c r="F1662" s="124" t="str">
        <f>IFERROR(__xludf.DUMMYFUNCTION("""COMPUTED_VALUE"""),"Future Prospects")</f>
        <v>Future Prospects</v>
      </c>
      <c r="G1662" s="124" t="str">
        <f>IFERROR(__xludf.DUMMYFUNCTION("""COMPUTED_VALUE"""),"GS Foundation")</f>
        <v>GS Foundation</v>
      </c>
      <c r="K1662" s="124"/>
      <c r="L1662" s="124"/>
      <c r="M1662" s="124"/>
      <c r="N1662" s="124"/>
      <c r="O1662" s="124"/>
      <c r="T1662" s="126">
        <f>IFERROR(__xludf.DUMMYFUNCTION("""COMPUTED_VALUE"""),46055.0)</f>
        <v>46055</v>
      </c>
      <c r="U1662" s="124" t="str">
        <f>IFERROR(__xludf.DUMMYFUNCTION("""COMPUTED_VALUE"""),"Event")</f>
        <v>Event</v>
      </c>
      <c r="V1662" s="124" t="str">
        <f>IFERROR(__xludf.DUMMYFUNCTION("""COMPUTED_VALUE"""),"whatsapp")</f>
        <v>whatsapp</v>
      </c>
      <c r="W1662" s="124" t="str">
        <f>IFERROR(__xludf.DUMMYFUNCTION("""COMPUTED_VALUE"""),"api")</f>
        <v>api</v>
      </c>
      <c r="X1662" s="124" t="str">
        <f>IFERROR(__xludf.DUMMYFUNCTION("""COMPUTED_VALUE"""),"reply")</f>
        <v>reply</v>
      </c>
      <c r="Y1662" s="124"/>
      <c r="Z1662" s="124">
        <f>IFERROR(__xludf.DUMMYFUNCTION("""COMPUTED_VALUE"""),2.0)</f>
        <v>2</v>
      </c>
      <c r="AA1662" s="124" t="str">
        <f>IFERROR(__xludf.DUMMYFUNCTION("""COMPUTED_VALUE"""),"Cold")</f>
        <v>Cold</v>
      </c>
      <c r="AB1662" s="124"/>
    </row>
    <row r="1663">
      <c r="A1663" s="126">
        <f>IFERROR(__xludf.DUMMYFUNCTION("""COMPUTED_VALUE"""),46046.0)</f>
        <v>46046</v>
      </c>
      <c r="B1663" s="124" t="str">
        <f>IFERROR(__xludf.DUMMYFUNCTION("""COMPUTED_VALUE"""),"Walkin")</f>
        <v>Walkin</v>
      </c>
      <c r="C1663" s="124" t="str">
        <f>IFERROR(__xludf.DUMMYFUNCTION("""COMPUTED_VALUE"""),"Patna")</f>
        <v>Patna</v>
      </c>
      <c r="D1663" s="124" t="str">
        <f>IFERROR(__xludf.DUMMYFUNCTION("""COMPUTED_VALUE"""),"Primary_Walkin")</f>
        <v>Primary_Walkin</v>
      </c>
      <c r="E1663" s="124">
        <f>IFERROR(__xludf.DUMMYFUNCTION("""COMPUTED_VALUE"""),1.0)</f>
        <v>1</v>
      </c>
      <c r="F1663" s="124" t="str">
        <f>IFERROR(__xludf.DUMMYFUNCTION("""COMPUTED_VALUE"""),"Future Prospects")</f>
        <v>Future Prospects</v>
      </c>
      <c r="G1663" s="124" t="str">
        <f>IFERROR(__xludf.DUMMYFUNCTION("""COMPUTED_VALUE"""),"State PCS")</f>
        <v>State PCS</v>
      </c>
      <c r="K1663" s="124"/>
      <c r="L1663" s="124"/>
      <c r="M1663" s="124"/>
      <c r="N1663" s="124"/>
      <c r="O1663" s="124"/>
      <c r="T1663" s="126">
        <f>IFERROR(__xludf.DUMMYFUNCTION("""COMPUTED_VALUE"""),46098.0)</f>
        <v>46098</v>
      </c>
      <c r="U1663" s="124" t="str">
        <f>IFERROR(__xludf.DUMMYFUNCTION("""COMPUTED_VALUE"""),"Event")</f>
        <v>Event</v>
      </c>
      <c r="V1663" s="124" t="str">
        <f>IFERROR(__xludf.DUMMYFUNCTION("""COMPUTED_VALUE"""),"whatsapp")</f>
        <v>whatsapp</v>
      </c>
      <c r="W1663" s="124" t="str">
        <f>IFERROR(__xludf.DUMMYFUNCTION("""COMPUTED_VALUE"""),"api")</f>
        <v>api</v>
      </c>
      <c r="X1663" s="124" t="str">
        <f>IFERROR(__xludf.DUMMYFUNCTION("""COMPUTED_VALUE"""),"reply")</f>
        <v>reply</v>
      </c>
      <c r="Y1663" s="124" t="str">
        <f>IFERROR(__xludf.DUMMYFUNCTION("""COMPUTED_VALUE"""),"Delhi")</f>
        <v>Delhi</v>
      </c>
      <c r="Z1663" s="124">
        <f>IFERROR(__xludf.DUMMYFUNCTION("""COMPUTED_VALUE"""),2.0)</f>
        <v>2</v>
      </c>
      <c r="AA1663" s="124" t="str">
        <f>IFERROR(__xludf.DUMMYFUNCTION("""COMPUTED_VALUE"""),"Cold")</f>
        <v>Cold</v>
      </c>
      <c r="AB1663" s="124"/>
    </row>
    <row r="1664">
      <c r="A1664" s="126">
        <f>IFERROR(__xludf.DUMMYFUNCTION("""COMPUTED_VALUE"""),46050.0)</f>
        <v>46050</v>
      </c>
      <c r="B1664" s="124" t="str">
        <f>IFERROR(__xludf.DUMMYFUNCTION("""COMPUTED_VALUE"""),"Walkin")</f>
        <v>Walkin</v>
      </c>
      <c r="C1664" s="124" t="str">
        <f>IFERROR(__xludf.DUMMYFUNCTION("""COMPUTED_VALUE"""),"Patna")</f>
        <v>Patna</v>
      </c>
      <c r="D1664" s="124" t="str">
        <f>IFERROR(__xludf.DUMMYFUNCTION("""COMPUTED_VALUE"""),"Primary_Walkin")</f>
        <v>Primary_Walkin</v>
      </c>
      <c r="E1664" s="124">
        <f>IFERROR(__xludf.DUMMYFUNCTION("""COMPUTED_VALUE"""),1.0)</f>
        <v>1</v>
      </c>
      <c r="F1664" s="124" t="str">
        <f>IFERROR(__xludf.DUMMYFUNCTION("""COMPUTED_VALUE"""),"Enrolled")</f>
        <v>Enrolled</v>
      </c>
      <c r="G1664" s="124" t="str">
        <f>IFERROR(__xludf.DUMMYFUNCTION("""COMPUTED_VALUE"""),"State PCS")</f>
        <v>State PCS</v>
      </c>
      <c r="K1664" s="124"/>
      <c r="L1664" s="124"/>
      <c r="M1664" s="124"/>
      <c r="N1664" s="124"/>
      <c r="O1664" s="124"/>
      <c r="T1664" s="129">
        <f>IFERROR(__xludf.DUMMYFUNCTION("""COMPUTED_VALUE"""),46069.0)</f>
        <v>46069</v>
      </c>
      <c r="U1664" s="124" t="str">
        <f>IFERROR(__xludf.DUMMYFUNCTION("""COMPUTED_VALUE"""),"External Leads")</f>
        <v>External Leads</v>
      </c>
      <c r="V1664" s="124" t="str">
        <f>IFERROR(__xludf.DUMMYFUNCTION("""COMPUTED_VALUE"""),"Outbound Call")</f>
        <v>Outbound Call</v>
      </c>
      <c r="W1664" s="124" t="str">
        <f>IFERROR(__xludf.DUMMYFUNCTION("""COMPUTED_VALUE"""),"Outbound Call")</f>
        <v>Outbound Call</v>
      </c>
      <c r="X1664" s="124" t="str">
        <f>IFERROR(__xludf.DUMMYFUNCTION("""COMPUTED_VALUE"""),"Outbound Call")</f>
        <v>Outbound Call</v>
      </c>
      <c r="Y1664" s="124"/>
      <c r="Z1664" s="124">
        <f>IFERROR(__xludf.DUMMYFUNCTION("""COMPUTED_VALUE"""),1.0)</f>
        <v>1</v>
      </c>
      <c r="AA1664" s="124"/>
      <c r="AB1664" s="124"/>
    </row>
    <row r="1665">
      <c r="A1665" s="126">
        <f>IFERROR(__xludf.DUMMYFUNCTION("""COMPUTED_VALUE"""),46078.0)</f>
        <v>46078</v>
      </c>
      <c r="B1665" s="124" t="str">
        <f>IFERROR(__xludf.DUMMYFUNCTION("""COMPUTED_VALUE"""),"Walkin")</f>
        <v>Walkin</v>
      </c>
      <c r="C1665" s="124" t="str">
        <f>IFERROR(__xludf.DUMMYFUNCTION("""COMPUTED_VALUE"""),"Patna")</f>
        <v>Patna</v>
      </c>
      <c r="D1665" s="124" t="str">
        <f>IFERROR(__xludf.DUMMYFUNCTION("""COMPUTED_VALUE"""),"Primary_Walkin")</f>
        <v>Primary_Walkin</v>
      </c>
      <c r="E1665" s="124">
        <f>IFERROR(__xludf.DUMMYFUNCTION("""COMPUTED_VALUE"""),1.0)</f>
        <v>1</v>
      </c>
      <c r="F1665" s="124" t="str">
        <f>IFERROR(__xludf.DUMMYFUNCTION("""COMPUTED_VALUE"""),"Enrolled")</f>
        <v>Enrolled</v>
      </c>
      <c r="G1665" s="124" t="str">
        <f>IFERROR(__xludf.DUMMYFUNCTION("""COMPUTED_VALUE"""),"State PCS")</f>
        <v>State PCS</v>
      </c>
      <c r="K1665" s="124"/>
      <c r="L1665" s="124"/>
      <c r="M1665" s="124"/>
      <c r="N1665" s="124"/>
      <c r="O1665" s="124"/>
      <c r="T1665" s="129">
        <f>IFERROR(__xludf.DUMMYFUNCTION("""COMPUTED_VALUE"""),46101.0)</f>
        <v>46101</v>
      </c>
      <c r="U1665" s="124" t="str">
        <f>IFERROR(__xludf.DUMMYFUNCTION("""COMPUTED_VALUE"""),"Event")</f>
        <v>Event</v>
      </c>
      <c r="V1665" s="124" t="str">
        <f>IFERROR(__xludf.DUMMYFUNCTION("""COMPUTED_VALUE"""),"Events")</f>
        <v>Events</v>
      </c>
      <c r="W1665" s="124" t="str">
        <f>IFERROR(__xludf.DUMMYFUNCTION("""COMPUTED_VALUE"""),"All Centre")</f>
        <v>All Centre</v>
      </c>
      <c r="X1665" s="124" t="str">
        <f>IFERROR(__xludf.DUMMYFUNCTION("""COMPUTED_VALUE"""),"Generic")</f>
        <v>Generic</v>
      </c>
      <c r="Y1665" s="124" t="str">
        <f>IFERROR(__xludf.DUMMYFUNCTION("""COMPUTED_VALUE"""),"Delhi")</f>
        <v>Delhi</v>
      </c>
      <c r="Z1665" s="124">
        <f>IFERROR(__xludf.DUMMYFUNCTION("""COMPUTED_VALUE"""),2.0)</f>
        <v>2</v>
      </c>
      <c r="AA1665" s="124" t="str">
        <f>IFERROR(__xludf.DUMMYFUNCTION("""COMPUTED_VALUE"""),"Engaged")</f>
        <v>Engaged</v>
      </c>
      <c r="AB1665" s="124" t="str">
        <f>IFERROR(__xludf.DUMMYFUNCTION("""COMPUTED_VALUE"""),"GS Foundation")</f>
        <v>GS Foundation</v>
      </c>
    </row>
    <row r="1666">
      <c r="A1666" s="126">
        <f>IFERROR(__xludf.DUMMYFUNCTION("""COMPUTED_VALUE"""),46073.0)</f>
        <v>46073</v>
      </c>
      <c r="B1666" s="124" t="str">
        <f>IFERROR(__xludf.DUMMYFUNCTION("""COMPUTED_VALUE"""),"Walkin")</f>
        <v>Walkin</v>
      </c>
      <c r="C1666" s="124" t="str">
        <f>IFERROR(__xludf.DUMMYFUNCTION("""COMPUTED_VALUE"""),"Patna")</f>
        <v>Patna</v>
      </c>
      <c r="D1666" s="124" t="str">
        <f>IFERROR(__xludf.DUMMYFUNCTION("""COMPUTED_VALUE"""),"Primary_Walkin")</f>
        <v>Primary_Walkin</v>
      </c>
      <c r="E1666" s="124">
        <f>IFERROR(__xludf.DUMMYFUNCTION("""COMPUTED_VALUE"""),2.0)</f>
        <v>2</v>
      </c>
      <c r="F1666" s="124" t="str">
        <f>IFERROR(__xludf.DUMMYFUNCTION("""COMPUTED_VALUE"""),"Cold")</f>
        <v>Cold</v>
      </c>
      <c r="G1666" s="124" t="str">
        <f>IFERROR(__xludf.DUMMYFUNCTION("""COMPUTED_VALUE"""),"State PCS")</f>
        <v>State PCS</v>
      </c>
      <c r="K1666" s="124"/>
      <c r="L1666" s="124"/>
      <c r="M1666" s="124"/>
      <c r="N1666" s="124"/>
      <c r="O1666" s="124"/>
      <c r="T1666" s="129">
        <f>IFERROR(__xludf.DUMMYFUNCTION("""COMPUTED_VALUE"""),46057.0)</f>
        <v>46057</v>
      </c>
      <c r="U1666" s="124" t="str">
        <f>IFERROR(__xludf.DUMMYFUNCTION("""COMPUTED_VALUE"""),"Event")</f>
        <v>Event</v>
      </c>
      <c r="V1666" s="124" t="str">
        <f>IFERROR(__xludf.DUMMYFUNCTION("""COMPUTED_VALUE"""),"Events")</f>
        <v>Events</v>
      </c>
      <c r="W1666" s="124" t="str">
        <f>IFERROR(__xludf.DUMMYFUNCTION("""COMPUTED_VALUE"""),"Delhi")</f>
        <v>Delhi</v>
      </c>
      <c r="X1666" s="124" t="str">
        <f>IFERROR(__xludf.DUMMYFUNCTION("""COMPUTED_VALUE"""),"DRCSEMINAR(CTC)")</f>
        <v>DRCSEMINAR(CTC)</v>
      </c>
      <c r="Y1666" s="124" t="str">
        <f>IFERROR(__xludf.DUMMYFUNCTION("""COMPUTED_VALUE"""),"Delhi")</f>
        <v>Delhi</v>
      </c>
      <c r="Z1666" s="124">
        <f>IFERROR(__xludf.DUMMYFUNCTION("""COMPUTED_VALUE"""),8.0)</f>
        <v>8</v>
      </c>
      <c r="AA1666" s="124" t="str">
        <f>IFERROR(__xludf.DUMMYFUNCTION("""COMPUTED_VALUE"""),"Not Interested")</f>
        <v>Not Interested</v>
      </c>
      <c r="AB1666" s="124"/>
    </row>
    <row r="1667">
      <c r="A1667" s="126">
        <f>IFERROR(__xludf.DUMMYFUNCTION("""COMPUTED_VALUE"""),46077.0)</f>
        <v>46077</v>
      </c>
      <c r="B1667" s="124" t="str">
        <f>IFERROR(__xludf.DUMMYFUNCTION("""COMPUTED_VALUE"""),"Walkin")</f>
        <v>Walkin</v>
      </c>
      <c r="C1667" s="124" t="str">
        <f>IFERROR(__xludf.DUMMYFUNCTION("""COMPUTED_VALUE"""),"Patna")</f>
        <v>Patna</v>
      </c>
      <c r="D1667" s="124" t="str">
        <f>IFERROR(__xludf.DUMMYFUNCTION("""COMPUTED_VALUE"""),"Primary_Walkin")</f>
        <v>Primary_Walkin</v>
      </c>
      <c r="E1667" s="124">
        <f>IFERROR(__xludf.DUMMYFUNCTION("""COMPUTED_VALUE"""),1.0)</f>
        <v>1</v>
      </c>
      <c r="F1667" s="124" t="str">
        <f>IFERROR(__xludf.DUMMYFUNCTION("""COMPUTED_VALUE"""),"Cold")</f>
        <v>Cold</v>
      </c>
      <c r="G1667" s="124" t="str">
        <f>IFERROR(__xludf.DUMMYFUNCTION("""COMPUTED_VALUE"""),"Test Series")</f>
        <v>Test Series</v>
      </c>
      <c r="K1667" s="124"/>
      <c r="L1667" s="124"/>
      <c r="M1667" s="124"/>
      <c r="N1667" s="124"/>
      <c r="O1667" s="124"/>
      <c r="T1667" s="126">
        <f>IFERROR(__xludf.DUMMYFUNCTION("""COMPUTED_VALUE"""),46061.0)</f>
        <v>46061</v>
      </c>
      <c r="U1667" s="124" t="str">
        <f>IFERROR(__xludf.DUMMYFUNCTION("""COMPUTED_VALUE"""),"Event")</f>
        <v>Event</v>
      </c>
      <c r="V1667" s="124" t="str">
        <f>IFERROR(__xludf.DUMMYFUNCTION("""COMPUTED_VALUE"""),"Events")</f>
        <v>Events</v>
      </c>
      <c r="W1667" s="124" t="str">
        <f>IFERROR(__xludf.DUMMYFUNCTION("""COMPUTED_VALUE"""),"Delhi")</f>
        <v>Delhi</v>
      </c>
      <c r="X1667" s="124" t="str">
        <f>IFERROR(__xludf.DUMMYFUNCTION("""COMPUTED_VALUE"""),"DRCSEMINAR(CTC)")</f>
        <v>DRCSEMINAR(CTC)</v>
      </c>
      <c r="Y1667" s="124"/>
      <c r="Z1667" s="124">
        <f>IFERROR(__xludf.DUMMYFUNCTION("""COMPUTED_VALUE"""),1.0)</f>
        <v>1</v>
      </c>
      <c r="AA1667" s="124" t="str">
        <f>IFERROR(__xludf.DUMMYFUNCTION("""COMPUTED_VALUE"""),"Cold")</f>
        <v>Cold</v>
      </c>
      <c r="AB1667" s="124"/>
    </row>
    <row r="1668">
      <c r="A1668" s="126">
        <f>IFERROR(__xludf.DUMMYFUNCTION("""COMPUTED_VALUE"""),46111.0)</f>
        <v>46111</v>
      </c>
      <c r="B1668" s="124" t="str">
        <f>IFERROR(__xludf.DUMMYFUNCTION("""COMPUTED_VALUE"""),"external leads")</f>
        <v>external leads</v>
      </c>
      <c r="C1668" s="124" t="str">
        <f>IFERROR(__xludf.DUMMYFUNCTION("""COMPUTED_VALUE"""),"Patna")</f>
        <v>Patna</v>
      </c>
      <c r="D1668" s="124" t="str">
        <f>IFERROR(__xludf.DUMMYFUNCTION("""COMPUTED_VALUE"""),"Secondary_Walkin")</f>
        <v>Secondary_Walkin</v>
      </c>
      <c r="E1668" s="124">
        <f>IFERROR(__xludf.DUMMYFUNCTION("""COMPUTED_VALUE"""),1.0)</f>
        <v>1</v>
      </c>
      <c r="F1668" s="124" t="str">
        <f>IFERROR(__xludf.DUMMYFUNCTION("""COMPUTED_VALUE"""),"Cold")</f>
        <v>Cold</v>
      </c>
      <c r="G1668" s="124" t="str">
        <f>IFERROR(__xludf.DUMMYFUNCTION("""COMPUTED_VALUE"""),"GS Foundation")</f>
        <v>GS Foundation</v>
      </c>
      <c r="K1668" s="124"/>
      <c r="L1668" s="124"/>
      <c r="M1668" s="124"/>
      <c r="N1668" s="124"/>
      <c r="O1668" s="124"/>
      <c r="T1668" s="126">
        <f>IFERROR(__xludf.DUMMYFUNCTION("""COMPUTED_VALUE"""),46059.0)</f>
        <v>46059</v>
      </c>
      <c r="U1668" s="124" t="str">
        <f>IFERROR(__xludf.DUMMYFUNCTION("""COMPUTED_VALUE"""),"External Leads")</f>
        <v>External Leads</v>
      </c>
      <c r="V1668" s="124" t="str">
        <f>IFERROR(__xludf.DUMMYFUNCTION("""COMPUTED_VALUE"""),"external leads")</f>
        <v>external leads</v>
      </c>
      <c r="W1668" s="124" t="str">
        <f>IFERROR(__xludf.DUMMYFUNCTION("""COMPUTED_VALUE"""),"lucknow")</f>
        <v>lucknow</v>
      </c>
      <c r="X1668" s="124" t="str">
        <f>IFERROR(__xludf.DUMMYFUNCTION("""COMPUTED_VALUE"""),"library")</f>
        <v>library</v>
      </c>
      <c r="Y1668" s="124" t="str">
        <f>IFERROR(__xludf.DUMMYFUNCTION("""COMPUTED_VALUE"""),"Lucknow")</f>
        <v>Lucknow</v>
      </c>
      <c r="Z1668" s="124">
        <f>IFERROR(__xludf.DUMMYFUNCTION("""COMPUTED_VALUE"""),2.0)</f>
        <v>2</v>
      </c>
      <c r="AA1668" s="124" t="str">
        <f>IFERROR(__xludf.DUMMYFUNCTION("""COMPUTED_VALUE"""),"Cold")</f>
        <v>Cold</v>
      </c>
      <c r="AB1668" s="124" t="str">
        <f>IFERROR(__xludf.DUMMYFUNCTION("""COMPUTED_VALUE"""),"State PCS")</f>
        <v>State PCS</v>
      </c>
    </row>
    <row r="1669">
      <c r="A1669" s="126">
        <f>IFERROR(__xludf.DUMMYFUNCTION("""COMPUTED_VALUE"""),46073.0)</f>
        <v>46073</v>
      </c>
      <c r="B1669" s="124" t="str">
        <f>IFERROR(__xludf.DUMMYFUNCTION("""COMPUTED_VALUE"""),"Walkin")</f>
        <v>Walkin</v>
      </c>
      <c r="C1669" s="124" t="str">
        <f>IFERROR(__xludf.DUMMYFUNCTION("""COMPUTED_VALUE"""),"Patna")</f>
        <v>Patna</v>
      </c>
      <c r="D1669" s="124" t="str">
        <f>IFERROR(__xludf.DUMMYFUNCTION("""COMPUTED_VALUE"""),"Primary_Walkin")</f>
        <v>Primary_Walkin</v>
      </c>
      <c r="E1669" s="124">
        <f>IFERROR(__xludf.DUMMYFUNCTION("""COMPUTED_VALUE"""),1.0)</f>
        <v>1</v>
      </c>
      <c r="F1669" s="124" t="str">
        <f>IFERROR(__xludf.DUMMYFUNCTION("""COMPUTED_VALUE"""),"Not Interested")</f>
        <v>Not Interested</v>
      </c>
      <c r="G1669" s="124" t="str">
        <f>IFERROR(__xludf.DUMMYFUNCTION("""COMPUTED_VALUE"""),"State PCS")</f>
        <v>State PCS</v>
      </c>
      <c r="K1669" s="124"/>
      <c r="L1669" s="124"/>
      <c r="M1669" s="124"/>
      <c r="N1669" s="124"/>
      <c r="O1669" s="124"/>
      <c r="T1669" s="129">
        <f>IFERROR(__xludf.DUMMYFUNCTION("""COMPUTED_VALUE"""),46062.0)</f>
        <v>46062</v>
      </c>
      <c r="U1669" s="124" t="str">
        <f>IFERROR(__xludf.DUMMYFUNCTION("""COMPUTED_VALUE"""),"Event")</f>
        <v>Event</v>
      </c>
      <c r="V1669" s="124" t="str">
        <f>IFERROR(__xludf.DUMMYFUNCTION("""COMPUTED_VALUE"""),"Events")</f>
        <v>Events</v>
      </c>
      <c r="W1669" s="124" t="str">
        <f>IFERROR(__xludf.DUMMYFUNCTION("""COMPUTED_VALUE"""),"All Centre")</f>
        <v>All Centre</v>
      </c>
      <c r="X1669" s="124" t="str">
        <f>IFERROR(__xludf.DUMMYFUNCTION("""COMPUTED_VALUE"""),"Generic")</f>
        <v>Generic</v>
      </c>
      <c r="Y1669" s="124" t="str">
        <f>IFERROR(__xludf.DUMMYFUNCTION("""COMPUTED_VALUE"""),"Delhi")</f>
        <v>Delhi</v>
      </c>
      <c r="Z1669" s="124">
        <f>IFERROR(__xludf.DUMMYFUNCTION("""COMPUTED_VALUE"""),1.0)</f>
        <v>1</v>
      </c>
      <c r="AA1669" s="124" t="str">
        <f>IFERROR(__xludf.DUMMYFUNCTION("""COMPUTED_VALUE"""),"Not Interested")</f>
        <v>Not Interested</v>
      </c>
      <c r="AB1669" s="124" t="str">
        <f>IFERROR(__xludf.DUMMYFUNCTION("""COMPUTED_VALUE"""),"Other")</f>
        <v>Other</v>
      </c>
    </row>
    <row r="1670">
      <c r="A1670" s="129">
        <f>IFERROR(__xludf.DUMMYFUNCTION("""COMPUTED_VALUE"""),46055.0)</f>
        <v>46055</v>
      </c>
      <c r="B1670" s="124" t="str">
        <f>IFERROR(__xludf.DUMMYFUNCTION("""COMPUTED_VALUE"""),"Walkin")</f>
        <v>Walkin</v>
      </c>
      <c r="C1670" s="124" t="str">
        <f>IFERROR(__xludf.DUMMYFUNCTION("""COMPUTED_VALUE"""),"Patna")</f>
        <v>Patna</v>
      </c>
      <c r="D1670" s="124" t="str">
        <f>IFERROR(__xludf.DUMMYFUNCTION("""COMPUTED_VALUE"""),"Primary_Walkin")</f>
        <v>Primary_Walkin</v>
      </c>
      <c r="E1670" s="124">
        <f>IFERROR(__xludf.DUMMYFUNCTION("""COMPUTED_VALUE"""),1.0)</f>
        <v>1</v>
      </c>
      <c r="F1670" s="124" t="str">
        <f>IFERROR(__xludf.DUMMYFUNCTION("""COMPUTED_VALUE"""),"Enrolled")</f>
        <v>Enrolled</v>
      </c>
      <c r="G1670" s="124" t="str">
        <f>IFERROR(__xludf.DUMMYFUNCTION("""COMPUTED_VALUE"""),"State PCS")</f>
        <v>State PCS</v>
      </c>
      <c r="K1670" s="124"/>
      <c r="L1670" s="124"/>
      <c r="M1670" s="124"/>
      <c r="N1670" s="124"/>
      <c r="O1670" s="124"/>
      <c r="T1670" s="126">
        <f>IFERROR(__xludf.DUMMYFUNCTION("""COMPUTED_VALUE"""),46096.0)</f>
        <v>46096</v>
      </c>
      <c r="U1670" s="124" t="str">
        <f>IFERROR(__xludf.DUMMYFUNCTION("""COMPUTED_VALUE"""),"Event")</f>
        <v>Event</v>
      </c>
      <c r="V1670" s="124" t="str">
        <f>IFERROR(__xludf.DUMMYFUNCTION("""COMPUTED_VALUE"""),"Events")</f>
        <v>Events</v>
      </c>
      <c r="W1670" s="124" t="str">
        <f>IFERROR(__xludf.DUMMYFUNCTION("""COMPUTED_VALUE"""),"All Centre")</f>
        <v>All Centre</v>
      </c>
      <c r="X1670" s="124" t="str">
        <f>IFERROR(__xludf.DUMMYFUNCTION("""COMPUTED_VALUE"""),"Generic")</f>
        <v>Generic</v>
      </c>
      <c r="Y1670" s="124" t="str">
        <f>IFERROR(__xludf.DUMMYFUNCTION("""COMPUTED_VALUE"""),"Delhi")</f>
        <v>Delhi</v>
      </c>
      <c r="Z1670" s="124">
        <f>IFERROR(__xludf.DUMMYFUNCTION("""COMPUTED_VALUE"""),4.0)</f>
        <v>4</v>
      </c>
      <c r="AA1670" s="124" t="str">
        <f>IFERROR(__xludf.DUMMYFUNCTION("""COMPUTED_VALUE"""),"Engaged")</f>
        <v>Engaged</v>
      </c>
      <c r="AB1670" s="124" t="str">
        <f>IFERROR(__xludf.DUMMYFUNCTION("""COMPUTED_VALUE"""),"GS Foundation")</f>
        <v>GS Foundation</v>
      </c>
    </row>
    <row r="1671">
      <c r="A1671" s="126">
        <f>IFERROR(__xludf.DUMMYFUNCTION("""COMPUTED_VALUE"""),46079.0)</f>
        <v>46079</v>
      </c>
      <c r="B1671" s="124" t="str">
        <f>IFERROR(__xludf.DUMMYFUNCTION("""COMPUTED_VALUE"""),"Walkin")</f>
        <v>Walkin</v>
      </c>
      <c r="C1671" s="124" t="str">
        <f>IFERROR(__xludf.DUMMYFUNCTION("""COMPUTED_VALUE"""),"Patna")</f>
        <v>Patna</v>
      </c>
      <c r="D1671" s="124" t="str">
        <f>IFERROR(__xludf.DUMMYFUNCTION("""COMPUTED_VALUE"""),"Primary_Walkin")</f>
        <v>Primary_Walkin</v>
      </c>
      <c r="E1671" s="124">
        <f>IFERROR(__xludf.DUMMYFUNCTION("""COMPUTED_VALUE"""),1.0)</f>
        <v>1</v>
      </c>
      <c r="F1671" s="124" t="str">
        <f>IFERROR(__xludf.DUMMYFUNCTION("""COMPUTED_VALUE"""),"Enrolled")</f>
        <v>Enrolled</v>
      </c>
      <c r="G1671" s="124" t="str">
        <f>IFERROR(__xludf.DUMMYFUNCTION("""COMPUTED_VALUE"""),"State PCS")</f>
        <v>State PCS</v>
      </c>
      <c r="K1671" s="124"/>
      <c r="L1671" s="124"/>
      <c r="M1671" s="124"/>
      <c r="N1671" s="124"/>
      <c r="O1671" s="124"/>
      <c r="T1671" s="126">
        <f>IFERROR(__xludf.DUMMYFUNCTION("""COMPUTED_VALUE"""),46065.0)</f>
        <v>46065</v>
      </c>
      <c r="U1671" s="124" t="str">
        <f>IFERROR(__xludf.DUMMYFUNCTION("""COMPUTED_VALUE"""),"Event")</f>
        <v>Event</v>
      </c>
      <c r="V1671" s="124" t="str">
        <f>IFERROR(__xludf.DUMMYFUNCTION("""COMPUTED_VALUE"""),"Events")</f>
        <v>Events</v>
      </c>
      <c r="W1671" s="124" t="str">
        <f>IFERROR(__xludf.DUMMYFUNCTION("""COMPUTED_VALUE"""),"All Centre")</f>
        <v>All Centre</v>
      </c>
      <c r="X1671" s="124" t="str">
        <f>IFERROR(__xludf.DUMMYFUNCTION("""COMPUTED_VALUE"""),"Generic")</f>
        <v>Generic</v>
      </c>
      <c r="Y1671" s="124" t="str">
        <f>IFERROR(__xludf.DUMMYFUNCTION("""COMPUTED_VALUE"""),"Patna")</f>
        <v>Patna</v>
      </c>
      <c r="Z1671" s="124">
        <f>IFERROR(__xludf.DUMMYFUNCTION("""COMPUTED_VALUE"""),2.0)</f>
        <v>2</v>
      </c>
      <c r="AA1671" s="124" t="str">
        <f>IFERROR(__xludf.DUMMYFUNCTION("""COMPUTED_VALUE"""),"Cold")</f>
        <v>Cold</v>
      </c>
      <c r="AB1671" s="124" t="str">
        <f>IFERROR(__xludf.DUMMYFUNCTION("""COMPUTED_VALUE"""),"Mentorship")</f>
        <v>Mentorship</v>
      </c>
    </row>
    <row r="1672">
      <c r="A1672" s="129">
        <f>IFERROR(__xludf.DUMMYFUNCTION("""COMPUTED_VALUE"""),46082.0)</f>
        <v>46082</v>
      </c>
      <c r="B1672" s="124" t="str">
        <f>IFERROR(__xludf.DUMMYFUNCTION("""COMPUTED_VALUE"""),"Walkin")</f>
        <v>Walkin</v>
      </c>
      <c r="C1672" s="124" t="str">
        <f>IFERROR(__xludf.DUMMYFUNCTION("""COMPUTED_VALUE"""),"Patna")</f>
        <v>Patna</v>
      </c>
      <c r="D1672" s="124" t="str">
        <f>IFERROR(__xludf.DUMMYFUNCTION("""COMPUTED_VALUE"""),"Primary_Walkin")</f>
        <v>Primary_Walkin</v>
      </c>
      <c r="E1672" s="124">
        <f>IFERROR(__xludf.DUMMYFUNCTION("""COMPUTED_VALUE"""),1.0)</f>
        <v>1</v>
      </c>
      <c r="F1672" s="124" t="str">
        <f>IFERROR(__xludf.DUMMYFUNCTION("""COMPUTED_VALUE"""),"Cold")</f>
        <v>Cold</v>
      </c>
      <c r="G1672" s="124" t="str">
        <f>IFERROR(__xludf.DUMMYFUNCTION("""COMPUTED_VALUE"""),"GS Foundation")</f>
        <v>GS Foundation</v>
      </c>
      <c r="K1672" s="124"/>
      <c r="L1672" s="124"/>
      <c r="M1672" s="124"/>
      <c r="N1672" s="124"/>
      <c r="O1672" s="124"/>
      <c r="T1672" s="129">
        <f>IFERROR(__xludf.DUMMYFUNCTION("""COMPUTED_VALUE"""),46077.0)</f>
        <v>46077</v>
      </c>
      <c r="U1672" s="124" t="str">
        <f>IFERROR(__xludf.DUMMYFUNCTION("""COMPUTED_VALUE"""),"Event")</f>
        <v>Event</v>
      </c>
      <c r="V1672" s="124" t="str">
        <f>IFERROR(__xludf.DUMMYFUNCTION("""COMPUTED_VALUE"""),"Events")</f>
        <v>Events</v>
      </c>
      <c r="W1672" s="124" t="str">
        <f>IFERROR(__xludf.DUMMYFUNCTION("""COMPUTED_VALUE"""),"All Centre")</f>
        <v>All Centre</v>
      </c>
      <c r="X1672" s="124" t="str">
        <f>IFERROR(__xludf.DUMMYFUNCTION("""COMPUTED_VALUE"""),"Generic")</f>
        <v>Generic</v>
      </c>
      <c r="Y1672" s="124" t="str">
        <f>IFERROR(__xludf.DUMMYFUNCTION("""COMPUTED_VALUE"""),"Delhi")</f>
        <v>Delhi</v>
      </c>
      <c r="Z1672" s="124">
        <f>IFERROR(__xludf.DUMMYFUNCTION("""COMPUTED_VALUE"""),3.0)</f>
        <v>3</v>
      </c>
      <c r="AA1672" s="124" t="str">
        <f>IFERROR(__xludf.DUMMYFUNCTION("""COMPUTED_VALUE"""),"Cold")</f>
        <v>Cold</v>
      </c>
      <c r="AB1672" s="124" t="str">
        <f>IFERROR(__xludf.DUMMYFUNCTION("""COMPUTED_VALUE"""),"State PCS")</f>
        <v>State PCS</v>
      </c>
    </row>
    <row r="1673">
      <c r="A1673" s="129">
        <f>IFERROR(__xludf.DUMMYFUNCTION("""COMPUTED_VALUE"""),46054.0)</f>
        <v>46054</v>
      </c>
      <c r="B1673" s="124" t="str">
        <f>IFERROR(__xludf.DUMMYFUNCTION("""COMPUTED_VALUE"""),"Walkin")</f>
        <v>Walkin</v>
      </c>
      <c r="C1673" s="124" t="str">
        <f>IFERROR(__xludf.DUMMYFUNCTION("""COMPUTED_VALUE"""),"Patna")</f>
        <v>Patna</v>
      </c>
      <c r="D1673" s="124" t="str">
        <f>IFERROR(__xludf.DUMMYFUNCTION("""COMPUTED_VALUE"""),"Primary_Walkin")</f>
        <v>Primary_Walkin</v>
      </c>
      <c r="E1673" s="124">
        <f>IFERROR(__xludf.DUMMYFUNCTION("""COMPUTED_VALUE"""),1.0)</f>
        <v>1</v>
      </c>
      <c r="F1673" s="124" t="str">
        <f>IFERROR(__xludf.DUMMYFUNCTION("""COMPUTED_VALUE"""),"Enrolled")</f>
        <v>Enrolled</v>
      </c>
      <c r="G1673" s="124" t="str">
        <f>IFERROR(__xludf.DUMMYFUNCTION("""COMPUTED_VALUE"""),"State PCS")</f>
        <v>State PCS</v>
      </c>
      <c r="K1673" s="124"/>
      <c r="L1673" s="124"/>
      <c r="M1673" s="124"/>
      <c r="N1673" s="124"/>
      <c r="O1673" s="124"/>
      <c r="T1673" s="126">
        <f>IFERROR(__xludf.DUMMYFUNCTION("""COMPUTED_VALUE"""),46063.0)</f>
        <v>46063</v>
      </c>
      <c r="U1673" s="124" t="str">
        <f>IFERROR(__xludf.DUMMYFUNCTION("""COMPUTED_VALUE"""),"Event")</f>
        <v>Event</v>
      </c>
      <c r="V1673" s="124" t="str">
        <f>IFERROR(__xludf.DUMMYFUNCTION("""COMPUTED_VALUE"""),"Events")</f>
        <v>Events</v>
      </c>
      <c r="W1673" s="124" t="str">
        <f>IFERROR(__xludf.DUMMYFUNCTION("""COMPUTED_VALUE"""),"Delhi")</f>
        <v>Delhi</v>
      </c>
      <c r="X1673" s="124" t="str">
        <f>IFERROR(__xludf.DUMMYFUNCTION("""COMPUTED_VALUE"""),"DRCSEMINAR(CTC)")</f>
        <v>DRCSEMINAR(CTC)</v>
      </c>
      <c r="Y1673" s="124"/>
      <c r="Z1673" s="124">
        <f>IFERROR(__xludf.DUMMYFUNCTION("""COMPUTED_VALUE"""),1.0)</f>
        <v>1</v>
      </c>
      <c r="AA1673" s="124" t="str">
        <f>IFERROR(__xludf.DUMMYFUNCTION("""COMPUTED_VALUE"""),"Cold")</f>
        <v>Cold</v>
      </c>
      <c r="AB1673" s="124"/>
    </row>
    <row r="1674">
      <c r="A1674" s="126">
        <f>IFERROR(__xludf.DUMMYFUNCTION("""COMPUTED_VALUE"""),46050.0)</f>
        <v>46050</v>
      </c>
      <c r="B1674" s="124" t="str">
        <f>IFERROR(__xludf.DUMMYFUNCTION("""COMPUTED_VALUE"""),"Walkin")</f>
        <v>Walkin</v>
      </c>
      <c r="C1674" s="124" t="str">
        <f>IFERROR(__xludf.DUMMYFUNCTION("""COMPUTED_VALUE"""),"Patna")</f>
        <v>Patna</v>
      </c>
      <c r="D1674" s="124" t="str">
        <f>IFERROR(__xludf.DUMMYFUNCTION("""COMPUTED_VALUE"""),"Primary_Walkin")</f>
        <v>Primary_Walkin</v>
      </c>
      <c r="E1674" s="124">
        <f>IFERROR(__xludf.DUMMYFUNCTION("""COMPUTED_VALUE"""),1.0)</f>
        <v>1</v>
      </c>
      <c r="F1674" s="124" t="str">
        <f>IFERROR(__xludf.DUMMYFUNCTION("""COMPUTED_VALUE"""),"Not Interested")</f>
        <v>Not Interested</v>
      </c>
      <c r="G1674" s="124" t="str">
        <f>IFERROR(__xludf.DUMMYFUNCTION("""COMPUTED_VALUE"""),"Other")</f>
        <v>Other</v>
      </c>
      <c r="K1674" s="124"/>
      <c r="L1674" s="124"/>
      <c r="M1674" s="124"/>
      <c r="N1674" s="124"/>
      <c r="O1674" s="124"/>
      <c r="T1674" s="129">
        <f>IFERROR(__xludf.DUMMYFUNCTION("""COMPUTED_VALUE"""),46059.0)</f>
        <v>46059</v>
      </c>
      <c r="U1674" s="124" t="str">
        <f>IFERROR(__xludf.DUMMYFUNCTION("""COMPUTED_VALUE"""),"External Leads")</f>
        <v>External Leads</v>
      </c>
      <c r="V1674" s="124" t="str">
        <f>IFERROR(__xludf.DUMMYFUNCTION("""COMPUTED_VALUE"""),"external leads")</f>
        <v>external leads</v>
      </c>
      <c r="W1674" s="124" t="str">
        <f>IFERROR(__xludf.DUMMYFUNCTION("""COMPUTED_VALUE"""),"lucknow")</f>
        <v>lucknow</v>
      </c>
      <c r="X1674" s="124" t="str">
        <f>IFERROR(__xludf.DUMMYFUNCTION("""COMPUTED_VALUE"""),"library")</f>
        <v>library</v>
      </c>
      <c r="Y1674" s="124" t="str">
        <f>IFERROR(__xludf.DUMMYFUNCTION("""COMPUTED_VALUE"""),"Lucknow")</f>
        <v>Lucknow</v>
      </c>
      <c r="Z1674" s="124">
        <f>IFERROR(__xludf.DUMMYFUNCTION("""COMPUTED_VALUE"""),2.0)</f>
        <v>2</v>
      </c>
      <c r="AA1674" s="124" t="str">
        <f>IFERROR(__xludf.DUMMYFUNCTION("""COMPUTED_VALUE"""),"Warm")</f>
        <v>Warm</v>
      </c>
      <c r="AB1674" s="124" t="str">
        <f>IFERROR(__xludf.DUMMYFUNCTION("""COMPUTED_VALUE"""),"State PCS")</f>
        <v>State PCS</v>
      </c>
    </row>
    <row r="1675">
      <c r="A1675" s="126">
        <f>IFERROR(__xludf.DUMMYFUNCTION("""COMPUTED_VALUE"""),46073.0)</f>
        <v>46073</v>
      </c>
      <c r="B1675" s="124" t="str">
        <f>IFERROR(__xludf.DUMMYFUNCTION("""COMPUTED_VALUE"""),"Walkin")</f>
        <v>Walkin</v>
      </c>
      <c r="C1675" s="124" t="str">
        <f>IFERROR(__xludf.DUMMYFUNCTION("""COMPUTED_VALUE"""),"Patna")</f>
        <v>Patna</v>
      </c>
      <c r="D1675" s="124" t="str">
        <f>IFERROR(__xludf.DUMMYFUNCTION("""COMPUTED_VALUE"""),"Primary_Walkin")</f>
        <v>Primary_Walkin</v>
      </c>
      <c r="E1675" s="124">
        <f>IFERROR(__xludf.DUMMYFUNCTION("""COMPUTED_VALUE"""),1.0)</f>
        <v>1</v>
      </c>
      <c r="F1675" s="124" t="str">
        <f>IFERROR(__xludf.DUMMYFUNCTION("""COMPUTED_VALUE"""),"Fake Lead")</f>
        <v>Fake Lead</v>
      </c>
      <c r="G1675" s="124" t="str">
        <f>IFERROR(__xludf.DUMMYFUNCTION("""COMPUTED_VALUE"""),"GS Foundation")</f>
        <v>GS Foundation</v>
      </c>
      <c r="K1675" s="124"/>
      <c r="L1675" s="124"/>
      <c r="M1675" s="124"/>
      <c r="N1675" s="124"/>
      <c r="O1675" s="124"/>
      <c r="T1675" s="126">
        <f>IFERROR(__xludf.DUMMYFUNCTION("""COMPUTED_VALUE"""),46054.0)</f>
        <v>46054</v>
      </c>
      <c r="U1675" s="124" t="str">
        <f>IFERROR(__xludf.DUMMYFUNCTION("""COMPUTED_VALUE"""),"Event")</f>
        <v>Event</v>
      </c>
      <c r="V1675" s="124" t="str">
        <f>IFERROR(__xludf.DUMMYFUNCTION("""COMPUTED_VALUE"""),"Events")</f>
        <v>Events</v>
      </c>
      <c r="W1675" s="124" t="str">
        <f>IFERROR(__xludf.DUMMYFUNCTION("""COMPUTED_VALUE"""),"Delhi")</f>
        <v>Delhi</v>
      </c>
      <c r="X1675" s="124" t="str">
        <f>IFERROR(__xludf.DUMMYFUNCTION("""COMPUTED_VALUE"""),"DRCSEMINAR(CTC)")</f>
        <v>DRCSEMINAR(CTC)</v>
      </c>
      <c r="Y1675" s="124"/>
      <c r="Z1675" s="124">
        <f>IFERROR(__xludf.DUMMYFUNCTION("""COMPUTED_VALUE"""),2.0)</f>
        <v>2</v>
      </c>
      <c r="AA1675" s="124" t="str">
        <f>IFERROR(__xludf.DUMMYFUNCTION("""COMPUTED_VALUE"""),"Cold")</f>
        <v>Cold</v>
      </c>
      <c r="AB1675" s="124"/>
    </row>
    <row r="1676">
      <c r="A1676" s="129">
        <f>IFERROR(__xludf.DUMMYFUNCTION("""COMPUTED_VALUE"""),46062.0)</f>
        <v>46062</v>
      </c>
      <c r="B1676" s="124" t="str">
        <f>IFERROR(__xludf.DUMMYFUNCTION("""COMPUTED_VALUE"""),"Walkin")</f>
        <v>Walkin</v>
      </c>
      <c r="C1676" s="124" t="str">
        <f>IFERROR(__xludf.DUMMYFUNCTION("""COMPUTED_VALUE"""),"Patna")</f>
        <v>Patna</v>
      </c>
      <c r="D1676" s="124" t="str">
        <f>IFERROR(__xludf.DUMMYFUNCTION("""COMPUTED_VALUE"""),"Primary_Walkin")</f>
        <v>Primary_Walkin</v>
      </c>
      <c r="E1676" s="124">
        <f>IFERROR(__xludf.DUMMYFUNCTION("""COMPUTED_VALUE"""),2.0)</f>
        <v>2</v>
      </c>
      <c r="F1676" s="124" t="str">
        <f>IFERROR(__xludf.DUMMYFUNCTION("""COMPUTED_VALUE"""),"Not Interested")</f>
        <v>Not Interested</v>
      </c>
      <c r="G1676" s="124" t="str">
        <f>IFERROR(__xludf.DUMMYFUNCTION("""COMPUTED_VALUE"""),"GS Foundation")</f>
        <v>GS Foundation</v>
      </c>
      <c r="K1676" s="124"/>
      <c r="L1676" s="124"/>
      <c r="M1676" s="124"/>
      <c r="N1676" s="124"/>
      <c r="O1676" s="124"/>
      <c r="T1676" s="126">
        <f>IFERROR(__xludf.DUMMYFUNCTION("""COMPUTED_VALUE"""),46057.0)</f>
        <v>46057</v>
      </c>
      <c r="U1676" s="124" t="str">
        <f>IFERROR(__xludf.DUMMYFUNCTION("""COMPUTED_VALUE"""),"Event")</f>
        <v>Event</v>
      </c>
      <c r="V1676" s="124" t="str">
        <f>IFERROR(__xludf.DUMMYFUNCTION("""COMPUTED_VALUE"""),"Events")</f>
        <v>Events</v>
      </c>
      <c r="W1676" s="124" t="str">
        <f>IFERROR(__xludf.DUMMYFUNCTION("""COMPUTED_VALUE"""),"All Centre")</f>
        <v>All Centre</v>
      </c>
      <c r="X1676" s="124" t="str">
        <f>IFERROR(__xludf.DUMMYFUNCTION("""COMPUTED_VALUE"""),"Generic")</f>
        <v>Generic</v>
      </c>
      <c r="Y1676" s="124" t="str">
        <f>IFERROR(__xludf.DUMMYFUNCTION("""COMPUTED_VALUE"""),"Delhi")</f>
        <v>Delhi</v>
      </c>
      <c r="Z1676" s="124">
        <f>IFERROR(__xludf.DUMMYFUNCTION("""COMPUTED_VALUE"""),2.0)</f>
        <v>2</v>
      </c>
      <c r="AA1676" s="124" t="str">
        <f>IFERROR(__xludf.DUMMYFUNCTION("""COMPUTED_VALUE"""),"Not Interested")</f>
        <v>Not Interested</v>
      </c>
      <c r="AB1676" s="124" t="str">
        <f>IFERROR(__xludf.DUMMYFUNCTION("""COMPUTED_VALUE"""),"CSAT")</f>
        <v>CSAT</v>
      </c>
    </row>
    <row r="1677">
      <c r="A1677" s="126">
        <f>IFERROR(__xludf.DUMMYFUNCTION("""COMPUTED_VALUE"""),46091.0)</f>
        <v>46091</v>
      </c>
      <c r="B1677" s="124" t="str">
        <f>IFERROR(__xludf.DUMMYFUNCTION("""COMPUTED_VALUE"""),"Walkin")</f>
        <v>Walkin</v>
      </c>
      <c r="C1677" s="124" t="str">
        <f>IFERROR(__xludf.DUMMYFUNCTION("""COMPUTED_VALUE"""),"Patna")</f>
        <v>Patna</v>
      </c>
      <c r="D1677" s="124" t="str">
        <f>IFERROR(__xludf.DUMMYFUNCTION("""COMPUTED_VALUE"""),"Primary_Walkin")</f>
        <v>Primary_Walkin</v>
      </c>
      <c r="E1677" s="124">
        <f>IFERROR(__xludf.DUMMYFUNCTION("""COMPUTED_VALUE"""),1.0)</f>
        <v>1</v>
      </c>
      <c r="F1677" s="124" t="str">
        <f>IFERROR(__xludf.DUMMYFUNCTION("""COMPUTED_VALUE"""),"Cold")</f>
        <v>Cold</v>
      </c>
      <c r="G1677" s="124" t="str">
        <f>IFERROR(__xludf.DUMMYFUNCTION("""COMPUTED_VALUE"""),"Test Series")</f>
        <v>Test Series</v>
      </c>
      <c r="K1677" s="124"/>
      <c r="L1677" s="124"/>
      <c r="M1677" s="124"/>
      <c r="N1677" s="124"/>
      <c r="O1677" s="124"/>
      <c r="T1677" s="126">
        <f>IFERROR(__xludf.DUMMYFUNCTION("""COMPUTED_VALUE"""),46057.0)</f>
        <v>46057</v>
      </c>
      <c r="U1677" s="124" t="str">
        <f>IFERROR(__xludf.DUMMYFUNCTION("""COMPUTED_VALUE"""),"Event")</f>
        <v>Event</v>
      </c>
      <c r="V1677" s="124" t="str">
        <f>IFERROR(__xludf.DUMMYFUNCTION("""COMPUTED_VALUE"""),"Events")</f>
        <v>Events</v>
      </c>
      <c r="W1677" s="124" t="str">
        <f>IFERROR(__xludf.DUMMYFUNCTION("""COMPUTED_VALUE"""),"All Centre")</f>
        <v>All Centre</v>
      </c>
      <c r="X1677" s="124" t="str">
        <f>IFERROR(__xludf.DUMMYFUNCTION("""COMPUTED_VALUE"""),"Generic")</f>
        <v>Generic</v>
      </c>
      <c r="Y1677" s="124" t="str">
        <f>IFERROR(__xludf.DUMMYFUNCTION("""COMPUTED_VALUE"""),"Delhi")</f>
        <v>Delhi</v>
      </c>
      <c r="Z1677" s="124">
        <f>IFERROR(__xludf.DUMMYFUNCTION("""COMPUTED_VALUE"""),2.0)</f>
        <v>2</v>
      </c>
      <c r="AA1677" s="124" t="str">
        <f>IFERROR(__xludf.DUMMYFUNCTION("""COMPUTED_VALUE"""),"Fake Lead")</f>
        <v>Fake Lead</v>
      </c>
      <c r="AB1677" s="124" t="str">
        <f>IFERROR(__xludf.DUMMYFUNCTION("""COMPUTED_VALUE"""),"GS Foundation")</f>
        <v>GS Foundation</v>
      </c>
    </row>
    <row r="1678">
      <c r="A1678" s="126">
        <f>IFERROR(__xludf.DUMMYFUNCTION("""COMPUTED_VALUE"""),46092.0)</f>
        <v>46092</v>
      </c>
      <c r="B1678" s="124" t="str">
        <f>IFERROR(__xludf.DUMMYFUNCTION("""COMPUTED_VALUE"""),"Walk-In")</f>
        <v>Walk-In</v>
      </c>
      <c r="C1678" s="124" t="str">
        <f>IFERROR(__xludf.DUMMYFUNCTION("""COMPUTED_VALUE"""),"Patna")</f>
        <v>Patna</v>
      </c>
      <c r="D1678" s="124" t="str">
        <f>IFERROR(__xludf.DUMMYFUNCTION("""COMPUTED_VALUE"""),"Primary_Walkin")</f>
        <v>Primary_Walkin</v>
      </c>
      <c r="E1678" s="124">
        <f>IFERROR(__xludf.DUMMYFUNCTION("""COMPUTED_VALUE"""),1.0)</f>
        <v>1</v>
      </c>
      <c r="F1678" s="124" t="str">
        <f>IFERROR(__xludf.DUMMYFUNCTION("""COMPUTED_VALUE"""),"Cold")</f>
        <v>Cold</v>
      </c>
      <c r="G1678" s="124" t="str">
        <f>IFERROR(__xludf.DUMMYFUNCTION("""COMPUTED_VALUE"""),"State PCS")</f>
        <v>State PCS</v>
      </c>
      <c r="K1678" s="124"/>
      <c r="L1678" s="124"/>
      <c r="M1678" s="124"/>
      <c r="N1678" s="124"/>
      <c r="O1678" s="124"/>
      <c r="T1678" s="129">
        <f>IFERROR(__xludf.DUMMYFUNCTION("""COMPUTED_VALUE"""),46078.0)</f>
        <v>46078</v>
      </c>
      <c r="U1678" s="124" t="str">
        <f>IFERROR(__xludf.DUMMYFUNCTION("""COMPUTED_VALUE"""),"Event")</f>
        <v>Event</v>
      </c>
      <c r="V1678" s="124" t="str">
        <f>IFERROR(__xludf.DUMMYFUNCTION("""COMPUTED_VALUE"""),"Events")</f>
        <v>Events</v>
      </c>
      <c r="W1678" s="124" t="str">
        <f>IFERROR(__xludf.DUMMYFUNCTION("""COMPUTED_VALUE"""),"All Centre")</f>
        <v>All Centre</v>
      </c>
      <c r="X1678" s="124" t="str">
        <f>IFERROR(__xludf.DUMMYFUNCTION("""COMPUTED_VALUE"""),"Generic")</f>
        <v>Generic</v>
      </c>
      <c r="Y1678" s="124" t="str">
        <f>IFERROR(__xludf.DUMMYFUNCTION("""COMPUTED_VALUE"""),"Delhi")</f>
        <v>Delhi</v>
      </c>
      <c r="Z1678" s="124">
        <f>IFERROR(__xludf.DUMMYFUNCTION("""COMPUTED_VALUE"""),4.0)</f>
        <v>4</v>
      </c>
      <c r="AA1678" s="124" t="str">
        <f>IFERROR(__xludf.DUMMYFUNCTION("""COMPUTED_VALUE"""),"Cold")</f>
        <v>Cold</v>
      </c>
      <c r="AB1678" s="124" t="str">
        <f>IFERROR(__xludf.DUMMYFUNCTION("""COMPUTED_VALUE"""),"GS Advanced")</f>
        <v>GS Advanced</v>
      </c>
    </row>
    <row r="1679">
      <c r="A1679" s="126">
        <f>IFERROR(__xludf.DUMMYFUNCTION("""COMPUTED_VALUE"""),46072.0)</f>
        <v>46072</v>
      </c>
      <c r="B1679" s="124" t="str">
        <f>IFERROR(__xludf.DUMMYFUNCTION("""COMPUTED_VALUE"""),"Walkin")</f>
        <v>Walkin</v>
      </c>
      <c r="C1679" s="124" t="str">
        <f>IFERROR(__xludf.DUMMYFUNCTION("""COMPUTED_VALUE"""),"Patna")</f>
        <v>Patna</v>
      </c>
      <c r="D1679" s="124" t="str">
        <f>IFERROR(__xludf.DUMMYFUNCTION("""COMPUTED_VALUE"""),"Primary_Walkin")</f>
        <v>Primary_Walkin</v>
      </c>
      <c r="E1679" s="124">
        <f>IFERROR(__xludf.DUMMYFUNCTION("""COMPUTED_VALUE"""),1.0)</f>
        <v>1</v>
      </c>
      <c r="F1679" s="124" t="str">
        <f>IFERROR(__xludf.DUMMYFUNCTION("""COMPUTED_VALUE"""),"Enrolled")</f>
        <v>Enrolled</v>
      </c>
      <c r="G1679" s="124" t="str">
        <f>IFERROR(__xludf.DUMMYFUNCTION("""COMPUTED_VALUE"""),"GS Advanced")</f>
        <v>GS Advanced</v>
      </c>
      <c r="K1679" s="124"/>
      <c r="L1679" s="124"/>
      <c r="M1679" s="124"/>
      <c r="N1679" s="124"/>
      <c r="O1679" s="124"/>
      <c r="T1679" s="126">
        <f>IFERROR(__xludf.DUMMYFUNCTION("""COMPUTED_VALUE"""),46065.0)</f>
        <v>46065</v>
      </c>
      <c r="U1679" s="124" t="str">
        <f>IFERROR(__xludf.DUMMYFUNCTION("""COMPUTED_VALUE"""),"Event")</f>
        <v>Event</v>
      </c>
      <c r="V1679" s="124" t="str">
        <f>IFERROR(__xludf.DUMMYFUNCTION("""COMPUTED_VALUE"""),"Events")</f>
        <v>Events</v>
      </c>
      <c r="W1679" s="124" t="str">
        <f>IFERROR(__xludf.DUMMYFUNCTION("""COMPUTED_VALUE"""),"All Centre")</f>
        <v>All Centre</v>
      </c>
      <c r="X1679" s="124" t="str">
        <f>IFERROR(__xludf.DUMMYFUNCTION("""COMPUTED_VALUE"""),"Generic")</f>
        <v>Generic</v>
      </c>
      <c r="Y1679" s="124" t="str">
        <f>IFERROR(__xludf.DUMMYFUNCTION("""COMPUTED_VALUE"""),"Delhi")</f>
        <v>Delhi</v>
      </c>
      <c r="Z1679" s="124">
        <f>IFERROR(__xludf.DUMMYFUNCTION("""COMPUTED_VALUE"""),2.0)</f>
        <v>2</v>
      </c>
      <c r="AA1679" s="124" t="str">
        <f>IFERROR(__xludf.DUMMYFUNCTION("""COMPUTED_VALUE"""),"Fake Lead")</f>
        <v>Fake Lead</v>
      </c>
      <c r="AB1679" s="124" t="str">
        <f>IFERROR(__xludf.DUMMYFUNCTION("""COMPUTED_VALUE"""),"CSAT")</f>
        <v>CSAT</v>
      </c>
    </row>
    <row r="1680">
      <c r="A1680" s="126">
        <f>IFERROR(__xludf.DUMMYFUNCTION("""COMPUTED_VALUE"""),46103.0)</f>
        <v>46103</v>
      </c>
      <c r="B1680" s="124" t="str">
        <f>IFERROR(__xludf.DUMMYFUNCTION("""COMPUTED_VALUE"""),"Walkin")</f>
        <v>Walkin</v>
      </c>
      <c r="C1680" s="124" t="str">
        <f>IFERROR(__xludf.DUMMYFUNCTION("""COMPUTED_VALUE"""),"Patna")</f>
        <v>Patna</v>
      </c>
      <c r="D1680" s="124" t="str">
        <f>IFERROR(__xludf.DUMMYFUNCTION("""COMPUTED_VALUE"""),"Primary_Walkin")</f>
        <v>Primary_Walkin</v>
      </c>
      <c r="E1680" s="124">
        <f>IFERROR(__xludf.DUMMYFUNCTION("""COMPUTED_VALUE"""),1.0)</f>
        <v>1</v>
      </c>
      <c r="F1680" s="124" t="str">
        <f>IFERROR(__xludf.DUMMYFUNCTION("""COMPUTED_VALUE"""),"Cold")</f>
        <v>Cold</v>
      </c>
      <c r="G1680" s="124" t="str">
        <f>IFERROR(__xludf.DUMMYFUNCTION("""COMPUTED_VALUE"""),"GS Foundation")</f>
        <v>GS Foundation</v>
      </c>
      <c r="K1680" s="124"/>
      <c r="L1680" s="124"/>
      <c r="M1680" s="124"/>
      <c r="N1680" s="124"/>
      <c r="O1680" s="124"/>
      <c r="T1680" s="126">
        <f>IFERROR(__xludf.DUMMYFUNCTION("""COMPUTED_VALUE"""),46065.0)</f>
        <v>46065</v>
      </c>
      <c r="U1680" s="124" t="str">
        <f>IFERROR(__xludf.DUMMYFUNCTION("""COMPUTED_VALUE"""),"Event")</f>
        <v>Event</v>
      </c>
      <c r="V1680" s="124" t="str">
        <f>IFERROR(__xludf.DUMMYFUNCTION("""COMPUTED_VALUE"""),"Events")</f>
        <v>Events</v>
      </c>
      <c r="W1680" s="124" t="str">
        <f>IFERROR(__xludf.DUMMYFUNCTION("""COMPUTED_VALUE"""),"All Centre")</f>
        <v>All Centre</v>
      </c>
      <c r="X1680" s="124" t="str">
        <f>IFERROR(__xludf.DUMMYFUNCTION("""COMPUTED_VALUE"""),"Generic")</f>
        <v>Generic</v>
      </c>
      <c r="Y1680" s="124" t="str">
        <f>IFERROR(__xludf.DUMMYFUNCTION("""COMPUTED_VALUE"""),"Delhi")</f>
        <v>Delhi</v>
      </c>
      <c r="Z1680" s="124">
        <f>IFERROR(__xludf.DUMMYFUNCTION("""COMPUTED_VALUE"""),5.0)</f>
        <v>5</v>
      </c>
      <c r="AA1680" s="124" t="str">
        <f>IFERROR(__xludf.DUMMYFUNCTION("""COMPUTED_VALUE"""),"Cold")</f>
        <v>Cold</v>
      </c>
      <c r="AB1680" s="124" t="str">
        <f>IFERROR(__xludf.DUMMYFUNCTION("""COMPUTED_VALUE"""),"SIM")</f>
        <v>SIM</v>
      </c>
    </row>
    <row r="1681">
      <c r="A1681" s="126">
        <f>IFERROR(__xludf.DUMMYFUNCTION("""COMPUTED_VALUE"""),46102.0)</f>
        <v>46102</v>
      </c>
      <c r="B1681" s="124" t="str">
        <f>IFERROR(__xludf.DUMMYFUNCTION("""COMPUTED_VALUE"""),"Walkin")</f>
        <v>Walkin</v>
      </c>
      <c r="C1681" s="124" t="str">
        <f>IFERROR(__xludf.DUMMYFUNCTION("""COMPUTED_VALUE"""),"Patna")</f>
        <v>Patna</v>
      </c>
      <c r="D1681" s="124" t="str">
        <f>IFERROR(__xludf.DUMMYFUNCTION("""COMPUTED_VALUE"""),"Primary_Walkin")</f>
        <v>Primary_Walkin</v>
      </c>
      <c r="E1681" s="124">
        <f>IFERROR(__xludf.DUMMYFUNCTION("""COMPUTED_VALUE"""),1.0)</f>
        <v>1</v>
      </c>
      <c r="F1681" s="124" t="str">
        <f>IFERROR(__xludf.DUMMYFUNCTION("""COMPUTED_VALUE"""),"Future Prospects")</f>
        <v>Future Prospects</v>
      </c>
      <c r="G1681" s="124" t="str">
        <f>IFERROR(__xludf.DUMMYFUNCTION("""COMPUTED_VALUE"""),"GS Foundation")</f>
        <v>GS Foundation</v>
      </c>
      <c r="K1681" s="124"/>
      <c r="L1681" s="124"/>
      <c r="M1681" s="124"/>
      <c r="N1681" s="124"/>
      <c r="O1681" s="124"/>
      <c r="T1681" s="126">
        <f>IFERROR(__xludf.DUMMYFUNCTION("""COMPUTED_VALUE"""),46051.0)</f>
        <v>46051</v>
      </c>
      <c r="U1681" s="124" t="str">
        <f>IFERROR(__xludf.DUMMYFUNCTION("""COMPUTED_VALUE"""),"Event")</f>
        <v>Event</v>
      </c>
      <c r="V1681" s="124" t="str">
        <f>IFERROR(__xludf.DUMMYFUNCTION("""COMPUTED_VALUE"""),"Events")</f>
        <v>Events</v>
      </c>
      <c r="W1681" s="124" t="str">
        <f>IFERROR(__xludf.DUMMYFUNCTION("""COMPUTED_VALUE"""),"Delhi")</f>
        <v>Delhi</v>
      </c>
      <c r="X1681" s="124" t="str">
        <f>IFERROR(__xludf.DUMMYFUNCTION("""COMPUTED_VALUE"""),"DRCSEMINAR(CTC)")</f>
        <v>DRCSEMINAR(CTC)</v>
      </c>
      <c r="Y1681" s="124" t="str">
        <f>IFERROR(__xludf.DUMMYFUNCTION("""COMPUTED_VALUE"""),"Delhi")</f>
        <v>Delhi</v>
      </c>
      <c r="Z1681" s="124">
        <f>IFERROR(__xludf.DUMMYFUNCTION("""COMPUTED_VALUE"""),5.0)</f>
        <v>5</v>
      </c>
      <c r="AA1681" s="124" t="str">
        <f>IFERROR(__xludf.DUMMYFUNCTION("""COMPUTED_VALUE"""),"Warm")</f>
        <v>Warm</v>
      </c>
      <c r="AB1681" s="124"/>
    </row>
    <row r="1682">
      <c r="A1682" s="126">
        <f>IFERROR(__xludf.DUMMYFUNCTION("""COMPUTED_VALUE"""),46101.0)</f>
        <v>46101</v>
      </c>
      <c r="B1682" s="124" t="str">
        <f>IFERROR(__xludf.DUMMYFUNCTION("""COMPUTED_VALUE"""),"Walk-In")</f>
        <v>Walk-In</v>
      </c>
      <c r="C1682" s="124" t="str">
        <f>IFERROR(__xludf.DUMMYFUNCTION("""COMPUTED_VALUE"""),"Patna")</f>
        <v>Patna</v>
      </c>
      <c r="D1682" s="124" t="str">
        <f>IFERROR(__xludf.DUMMYFUNCTION("""COMPUTED_VALUE"""),"Primary_Walkin")</f>
        <v>Primary_Walkin</v>
      </c>
      <c r="E1682" s="124">
        <f>IFERROR(__xludf.DUMMYFUNCTION("""COMPUTED_VALUE"""),1.0)</f>
        <v>1</v>
      </c>
      <c r="F1682" s="124" t="str">
        <f>IFERROR(__xludf.DUMMYFUNCTION("""COMPUTED_VALUE"""),"Warm")</f>
        <v>Warm</v>
      </c>
      <c r="G1682" s="124" t="str">
        <f>IFERROR(__xludf.DUMMYFUNCTION("""COMPUTED_VALUE"""),"GS Foundation")</f>
        <v>GS Foundation</v>
      </c>
      <c r="K1682" s="124"/>
      <c r="L1682" s="124"/>
      <c r="M1682" s="124"/>
      <c r="N1682" s="124"/>
      <c r="O1682" s="124"/>
      <c r="T1682" s="129">
        <f>IFERROR(__xludf.DUMMYFUNCTION("""COMPUTED_VALUE"""),46050.0)</f>
        <v>46050</v>
      </c>
      <c r="U1682" s="124" t="str">
        <f>IFERROR(__xludf.DUMMYFUNCTION("""COMPUTED_VALUE"""),"Event")</f>
        <v>Event</v>
      </c>
      <c r="V1682" s="124" t="str">
        <f>IFERROR(__xludf.DUMMYFUNCTION("""COMPUTED_VALUE"""),"Events")</f>
        <v>Events</v>
      </c>
      <c r="W1682" s="124" t="str">
        <f>IFERROR(__xludf.DUMMYFUNCTION("""COMPUTED_VALUE"""),"Delhi")</f>
        <v>Delhi</v>
      </c>
      <c r="X1682" s="124" t="str">
        <f>IFERROR(__xludf.DUMMYFUNCTION("""COMPUTED_VALUE"""),"DRCSEMINAR(CTC)")</f>
        <v>DRCSEMINAR(CTC)</v>
      </c>
      <c r="Y1682" s="124" t="str">
        <f>IFERROR(__xludf.DUMMYFUNCTION("""COMPUTED_VALUE"""),"Delhi")</f>
        <v>Delhi</v>
      </c>
      <c r="Z1682" s="124">
        <f>IFERROR(__xludf.DUMMYFUNCTION("""COMPUTED_VALUE"""),2.0)</f>
        <v>2</v>
      </c>
      <c r="AA1682" s="124" t="str">
        <f>IFERROR(__xludf.DUMMYFUNCTION("""COMPUTED_VALUE"""),"Future Prospects")</f>
        <v>Future Prospects</v>
      </c>
      <c r="AB1682" s="124"/>
    </row>
    <row r="1683">
      <c r="A1683" s="126">
        <f>IFERROR(__xludf.DUMMYFUNCTION("""COMPUTED_VALUE"""),46110.0)</f>
        <v>46110</v>
      </c>
      <c r="B1683" s="124" t="str">
        <f>IFERROR(__xludf.DUMMYFUNCTION("""COMPUTED_VALUE"""),"Walkin")</f>
        <v>Walkin</v>
      </c>
      <c r="C1683" s="124" t="str">
        <f>IFERROR(__xludf.DUMMYFUNCTION("""COMPUTED_VALUE"""),"Patna")</f>
        <v>Patna</v>
      </c>
      <c r="D1683" s="124" t="str">
        <f>IFERROR(__xludf.DUMMYFUNCTION("""COMPUTED_VALUE"""),"Primary_Walkin")</f>
        <v>Primary_Walkin</v>
      </c>
      <c r="E1683" s="124">
        <f>IFERROR(__xludf.DUMMYFUNCTION("""COMPUTED_VALUE"""),1.0)</f>
        <v>1</v>
      </c>
      <c r="F1683" s="124" t="str">
        <f>IFERROR(__xludf.DUMMYFUNCTION("""COMPUTED_VALUE"""),"Fake Lead")</f>
        <v>Fake Lead</v>
      </c>
      <c r="G1683" s="124" t="str">
        <f>IFERROR(__xludf.DUMMYFUNCTION("""COMPUTED_VALUE"""),"State PCS")</f>
        <v>State PCS</v>
      </c>
      <c r="K1683" s="124"/>
      <c r="L1683" s="124"/>
      <c r="M1683" s="124"/>
      <c r="N1683" s="124"/>
      <c r="O1683" s="124"/>
      <c r="T1683" s="126">
        <f>IFERROR(__xludf.DUMMYFUNCTION("""COMPUTED_VALUE"""),46059.0)</f>
        <v>46059</v>
      </c>
      <c r="U1683" s="124" t="str">
        <f>IFERROR(__xludf.DUMMYFUNCTION("""COMPUTED_VALUE"""),"External Leads")</f>
        <v>External Leads</v>
      </c>
      <c r="V1683" s="124" t="str">
        <f>IFERROR(__xludf.DUMMYFUNCTION("""COMPUTED_VALUE"""),"external leads")</f>
        <v>external leads</v>
      </c>
      <c r="W1683" s="124" t="str">
        <f>IFERROR(__xludf.DUMMYFUNCTION("""COMPUTED_VALUE"""),"lucknow")</f>
        <v>lucknow</v>
      </c>
      <c r="X1683" s="124" t="str">
        <f>IFERROR(__xludf.DUMMYFUNCTION("""COMPUTED_VALUE"""),"library")</f>
        <v>library</v>
      </c>
      <c r="Y1683" s="124" t="str">
        <f>IFERROR(__xludf.DUMMYFUNCTION("""COMPUTED_VALUE"""),"Lucknow")</f>
        <v>Lucknow</v>
      </c>
      <c r="Z1683" s="124">
        <f>IFERROR(__xludf.DUMMYFUNCTION("""COMPUTED_VALUE"""),1.0)</f>
        <v>1</v>
      </c>
      <c r="AA1683" s="124" t="str">
        <f>IFERROR(__xludf.DUMMYFUNCTION("""COMPUTED_VALUE"""),"Not Interested")</f>
        <v>Not Interested</v>
      </c>
      <c r="AB1683" s="124" t="str">
        <f>IFERROR(__xludf.DUMMYFUNCTION("""COMPUTED_VALUE"""),"GS Foundation")</f>
        <v>GS Foundation</v>
      </c>
    </row>
    <row r="1684">
      <c r="A1684" s="126">
        <f>IFERROR(__xludf.DUMMYFUNCTION("""COMPUTED_VALUE"""),46047.0)</f>
        <v>46047</v>
      </c>
      <c r="B1684" s="124" t="str">
        <f>IFERROR(__xludf.DUMMYFUNCTION("""COMPUTED_VALUE"""),"Walkin")</f>
        <v>Walkin</v>
      </c>
      <c r="C1684" s="124" t="str">
        <f>IFERROR(__xludf.DUMMYFUNCTION("""COMPUTED_VALUE"""),"Patna")</f>
        <v>Patna</v>
      </c>
      <c r="D1684" s="124" t="str">
        <f>IFERROR(__xludf.DUMMYFUNCTION("""COMPUTED_VALUE"""),"Primary_Walkin")</f>
        <v>Primary_Walkin</v>
      </c>
      <c r="E1684" s="124">
        <f>IFERROR(__xludf.DUMMYFUNCTION("""COMPUTED_VALUE"""),1.0)</f>
        <v>1</v>
      </c>
      <c r="F1684" s="124" t="str">
        <f>IFERROR(__xludf.DUMMYFUNCTION("""COMPUTED_VALUE"""),"Fake Lead")</f>
        <v>Fake Lead</v>
      </c>
      <c r="G1684" s="124" t="str">
        <f>IFERROR(__xludf.DUMMYFUNCTION("""COMPUTED_VALUE"""),"State PCS")</f>
        <v>State PCS</v>
      </c>
      <c r="K1684" s="124"/>
      <c r="L1684" s="124"/>
      <c r="M1684" s="124"/>
      <c r="N1684" s="124"/>
      <c r="O1684" s="124"/>
      <c r="T1684" s="126">
        <f>IFERROR(__xludf.DUMMYFUNCTION("""COMPUTED_VALUE"""),46045.0)</f>
        <v>46045</v>
      </c>
      <c r="U1684" s="124" t="str">
        <f>IFERROR(__xludf.DUMMYFUNCTION("""COMPUTED_VALUE"""),"Walk-Ins")</f>
        <v>Walk-Ins</v>
      </c>
      <c r="V1684" s="124" t="str">
        <f>IFERROR(__xludf.DUMMYFUNCTION("""COMPUTED_VALUE"""),"Walk-In")</f>
        <v>Walk-In</v>
      </c>
      <c r="W1684" s="124" t="str">
        <f>IFERROR(__xludf.DUMMYFUNCTION("""COMPUTED_VALUE"""),"Patna")</f>
        <v>Patna</v>
      </c>
      <c r="X1684" s="124" t="str">
        <f>IFERROR(__xludf.DUMMYFUNCTION("""COMPUTED_VALUE"""),"Ashish Sinha")</f>
        <v>Ashish Sinha</v>
      </c>
      <c r="Y1684" s="124" t="str">
        <f>IFERROR(__xludf.DUMMYFUNCTION("""COMPUTED_VALUE"""),"Patna")</f>
        <v>Patna</v>
      </c>
      <c r="Z1684" s="124">
        <f>IFERROR(__xludf.DUMMYFUNCTION("""COMPUTED_VALUE"""),1.0)</f>
        <v>1</v>
      </c>
      <c r="AA1684" s="124" t="str">
        <f>IFERROR(__xludf.DUMMYFUNCTION("""COMPUTED_VALUE"""),"Enrolled")</f>
        <v>Enrolled</v>
      </c>
      <c r="AB1684" s="124" t="str">
        <f>IFERROR(__xludf.DUMMYFUNCTION("""COMPUTED_VALUE"""),"State PCS")</f>
        <v>State PCS</v>
      </c>
    </row>
    <row r="1685">
      <c r="A1685" s="129">
        <f>IFERROR(__xludf.DUMMYFUNCTION("""COMPUTED_VALUE"""),46090.0)</f>
        <v>46090</v>
      </c>
      <c r="B1685" s="124" t="str">
        <f>IFERROR(__xludf.DUMMYFUNCTION("""COMPUTED_VALUE"""),"Walk-In")</f>
        <v>Walk-In</v>
      </c>
      <c r="C1685" s="124" t="str">
        <f>IFERROR(__xludf.DUMMYFUNCTION("""COMPUTED_VALUE"""),"Patna")</f>
        <v>Patna</v>
      </c>
      <c r="D1685" s="124" t="str">
        <f>IFERROR(__xludf.DUMMYFUNCTION("""COMPUTED_VALUE"""),"Primary_Walkin")</f>
        <v>Primary_Walkin</v>
      </c>
      <c r="E1685" s="124">
        <f>IFERROR(__xludf.DUMMYFUNCTION("""COMPUTED_VALUE"""),2.0)</f>
        <v>2</v>
      </c>
      <c r="F1685" s="124" t="str">
        <f>IFERROR(__xludf.DUMMYFUNCTION("""COMPUTED_VALUE"""),"Warm")</f>
        <v>Warm</v>
      </c>
      <c r="G1685" s="124" t="str">
        <f>IFERROR(__xludf.DUMMYFUNCTION("""COMPUTED_VALUE"""),"GS Foundation")</f>
        <v>GS Foundation</v>
      </c>
      <c r="K1685" s="124"/>
      <c r="L1685" s="124"/>
      <c r="M1685" s="124"/>
      <c r="N1685" s="124"/>
      <c r="O1685" s="124"/>
      <c r="T1685" s="126">
        <f>IFERROR(__xludf.DUMMYFUNCTION("""COMPUTED_VALUE"""),46078.0)</f>
        <v>46078</v>
      </c>
      <c r="U1685" s="124" t="str">
        <f>IFERROR(__xludf.DUMMYFUNCTION("""COMPUTED_VALUE"""),"Event")</f>
        <v>Event</v>
      </c>
      <c r="V1685" s="124" t="str">
        <f>IFERROR(__xludf.DUMMYFUNCTION("""COMPUTED_VALUE"""),"Events")</f>
        <v>Events</v>
      </c>
      <c r="W1685" s="124" t="str">
        <f>IFERROR(__xludf.DUMMYFUNCTION("""COMPUTED_VALUE"""),"All Centre")</f>
        <v>All Centre</v>
      </c>
      <c r="X1685" s="124" t="str">
        <f>IFERROR(__xludf.DUMMYFUNCTION("""COMPUTED_VALUE"""),"Generic")</f>
        <v>Generic</v>
      </c>
      <c r="Y1685" s="124" t="str">
        <f>IFERROR(__xludf.DUMMYFUNCTION("""COMPUTED_VALUE"""),"Delhi")</f>
        <v>Delhi</v>
      </c>
      <c r="Z1685" s="124">
        <f>IFERROR(__xludf.DUMMYFUNCTION("""COMPUTED_VALUE"""),20.0)</f>
        <v>20</v>
      </c>
      <c r="AA1685" s="124" t="str">
        <f>IFERROR(__xludf.DUMMYFUNCTION("""COMPUTED_VALUE"""),"Warm")</f>
        <v>Warm</v>
      </c>
      <c r="AB1685" s="124" t="str">
        <f>IFERROR(__xludf.DUMMYFUNCTION("""COMPUTED_VALUE"""),"GS Foundation")</f>
        <v>GS Foundation</v>
      </c>
    </row>
    <row r="1686">
      <c r="A1686" s="126">
        <f>IFERROR(__xludf.DUMMYFUNCTION("""COMPUTED_VALUE"""),46093.0)</f>
        <v>46093</v>
      </c>
      <c r="B1686" s="124" t="str">
        <f>IFERROR(__xludf.DUMMYFUNCTION("""COMPUTED_VALUE"""),"Walkin")</f>
        <v>Walkin</v>
      </c>
      <c r="C1686" s="124" t="str">
        <f>IFERROR(__xludf.DUMMYFUNCTION("""COMPUTED_VALUE"""),"Patna")</f>
        <v>Patna</v>
      </c>
      <c r="D1686" s="124" t="str">
        <f>IFERROR(__xludf.DUMMYFUNCTION("""COMPUTED_VALUE"""),"Primary_Walkin")</f>
        <v>Primary_Walkin</v>
      </c>
      <c r="E1686" s="124">
        <f>IFERROR(__xludf.DUMMYFUNCTION("""COMPUTED_VALUE"""),2.0)</f>
        <v>2</v>
      </c>
      <c r="F1686" s="124" t="str">
        <f>IFERROR(__xludf.DUMMYFUNCTION("""COMPUTED_VALUE"""),"Warm")</f>
        <v>Warm</v>
      </c>
      <c r="G1686" s="124" t="str">
        <f>IFERROR(__xludf.DUMMYFUNCTION("""COMPUTED_VALUE"""),"State PCS")</f>
        <v>State PCS</v>
      </c>
      <c r="K1686" s="124"/>
      <c r="L1686" s="124"/>
      <c r="M1686" s="124"/>
      <c r="N1686" s="124"/>
      <c r="O1686" s="124"/>
      <c r="T1686" s="126">
        <f>IFERROR(__xludf.DUMMYFUNCTION("""COMPUTED_VALUE"""),46098.0)</f>
        <v>46098</v>
      </c>
      <c r="U1686" s="124" t="str">
        <f>IFERROR(__xludf.DUMMYFUNCTION("""COMPUTED_VALUE"""),"Event")</f>
        <v>Event</v>
      </c>
      <c r="V1686" s="124" t="str">
        <f>IFERROR(__xludf.DUMMYFUNCTION("""COMPUTED_VALUE"""),"Events")</f>
        <v>Events</v>
      </c>
      <c r="W1686" s="124" t="str">
        <f>IFERROR(__xludf.DUMMYFUNCTION("""COMPUTED_VALUE"""),"All Centre")</f>
        <v>All Centre</v>
      </c>
      <c r="X1686" s="124" t="str">
        <f>IFERROR(__xludf.DUMMYFUNCTION("""COMPUTED_VALUE"""),"Generic")</f>
        <v>Generic</v>
      </c>
      <c r="Y1686" s="124" t="str">
        <f>IFERROR(__xludf.DUMMYFUNCTION("""COMPUTED_VALUE"""),"Delhi")</f>
        <v>Delhi</v>
      </c>
      <c r="Z1686" s="124">
        <f>IFERROR(__xludf.DUMMYFUNCTION("""COMPUTED_VALUE"""),1.0)</f>
        <v>1</v>
      </c>
      <c r="AA1686" s="124" t="str">
        <f>IFERROR(__xludf.DUMMYFUNCTION("""COMPUTED_VALUE"""),"Engaged")</f>
        <v>Engaged</v>
      </c>
      <c r="AB1686" s="124" t="str">
        <f>IFERROR(__xludf.DUMMYFUNCTION("""COMPUTED_VALUE"""),"GS Foundation")</f>
        <v>GS Foundation</v>
      </c>
    </row>
    <row r="1687">
      <c r="A1687" s="126">
        <f>IFERROR(__xludf.DUMMYFUNCTION("""COMPUTED_VALUE"""),46065.0)</f>
        <v>46065</v>
      </c>
      <c r="B1687" s="124" t="str">
        <f>IFERROR(__xludf.DUMMYFUNCTION("""COMPUTED_VALUE"""),"Walk-In")</f>
        <v>Walk-In</v>
      </c>
      <c r="C1687" s="124" t="str">
        <f>IFERROR(__xludf.DUMMYFUNCTION("""COMPUTED_VALUE"""),"Patna")</f>
        <v>Patna</v>
      </c>
      <c r="D1687" s="124" t="str">
        <f>IFERROR(__xludf.DUMMYFUNCTION("""COMPUTED_VALUE"""),"Primary_Walkin")</f>
        <v>Primary_Walkin</v>
      </c>
      <c r="E1687" s="124">
        <f>IFERROR(__xludf.DUMMYFUNCTION("""COMPUTED_VALUE"""),1.0)</f>
        <v>1</v>
      </c>
      <c r="F1687" s="124" t="str">
        <f>IFERROR(__xludf.DUMMYFUNCTION("""COMPUTED_VALUE"""),"Warm")</f>
        <v>Warm</v>
      </c>
      <c r="G1687" s="124" t="str">
        <f>IFERROR(__xludf.DUMMYFUNCTION("""COMPUTED_VALUE"""),"State PCS")</f>
        <v>State PCS</v>
      </c>
      <c r="K1687" s="124"/>
      <c r="L1687" s="124"/>
      <c r="M1687" s="124"/>
      <c r="N1687" s="124"/>
      <c r="O1687" s="124"/>
      <c r="T1687" s="126">
        <f>IFERROR(__xludf.DUMMYFUNCTION("""COMPUTED_VALUE"""),46051.0)</f>
        <v>46051</v>
      </c>
      <c r="U1687" s="124" t="str">
        <f>IFERROR(__xludf.DUMMYFUNCTION("""COMPUTED_VALUE"""),"Event")</f>
        <v>Event</v>
      </c>
      <c r="V1687" s="124" t="str">
        <f>IFERROR(__xludf.DUMMYFUNCTION("""COMPUTED_VALUE"""),"Events")</f>
        <v>Events</v>
      </c>
      <c r="W1687" s="124" t="str">
        <f>IFERROR(__xludf.DUMMYFUNCTION("""COMPUTED_VALUE"""),"Delhi")</f>
        <v>Delhi</v>
      </c>
      <c r="X1687" s="124" t="str">
        <f>IFERROR(__xludf.DUMMYFUNCTION("""COMPUTED_VALUE"""),"DRCSEMINAR(CTC)")</f>
        <v>DRCSEMINAR(CTC)</v>
      </c>
      <c r="Y1687" s="124"/>
      <c r="Z1687" s="124">
        <f>IFERROR(__xludf.DUMMYFUNCTION("""COMPUTED_VALUE"""),8.0)</f>
        <v>8</v>
      </c>
      <c r="AA1687" s="124" t="str">
        <f>IFERROR(__xludf.DUMMYFUNCTION("""COMPUTED_VALUE"""),"Fake Lead")</f>
        <v>Fake Lead</v>
      </c>
      <c r="AB1687" s="124"/>
    </row>
    <row r="1688">
      <c r="A1688" s="129">
        <f>IFERROR(__xludf.DUMMYFUNCTION("""COMPUTED_VALUE"""),46089.0)</f>
        <v>46089</v>
      </c>
      <c r="B1688" s="124" t="str">
        <f>IFERROR(__xludf.DUMMYFUNCTION("""COMPUTED_VALUE"""),"Walkin")</f>
        <v>Walkin</v>
      </c>
      <c r="C1688" s="124" t="str">
        <f>IFERROR(__xludf.DUMMYFUNCTION("""COMPUTED_VALUE"""),"Patna")</f>
        <v>Patna</v>
      </c>
      <c r="D1688" s="124" t="str">
        <f>IFERROR(__xludf.DUMMYFUNCTION("""COMPUTED_VALUE"""),"Primary_Walkin")</f>
        <v>Primary_Walkin</v>
      </c>
      <c r="E1688" s="124">
        <f>IFERROR(__xludf.DUMMYFUNCTION("""COMPUTED_VALUE"""),3.0)</f>
        <v>3</v>
      </c>
      <c r="F1688" s="124" t="str">
        <f>IFERROR(__xludf.DUMMYFUNCTION("""COMPUTED_VALUE"""),"Cold")</f>
        <v>Cold</v>
      </c>
      <c r="G1688" s="124" t="str">
        <f>IFERROR(__xludf.DUMMYFUNCTION("""COMPUTED_VALUE"""),"State PCS")</f>
        <v>State PCS</v>
      </c>
      <c r="K1688" s="124"/>
      <c r="L1688" s="124"/>
      <c r="M1688" s="124"/>
      <c r="N1688" s="124"/>
      <c r="O1688" s="124"/>
      <c r="T1688" s="126">
        <f>IFERROR(__xludf.DUMMYFUNCTION("""COMPUTED_VALUE"""),46062.0)</f>
        <v>46062</v>
      </c>
      <c r="U1688" s="124" t="str">
        <f>IFERROR(__xludf.DUMMYFUNCTION("""COMPUTED_VALUE"""),"Event")</f>
        <v>Event</v>
      </c>
      <c r="V1688" s="124" t="str">
        <f>IFERROR(__xludf.DUMMYFUNCTION("""COMPUTED_VALUE"""),"Events")</f>
        <v>Events</v>
      </c>
      <c r="W1688" s="124" t="str">
        <f>IFERROR(__xludf.DUMMYFUNCTION("""COMPUTED_VALUE"""),"All Centre")</f>
        <v>All Centre</v>
      </c>
      <c r="X1688" s="124" t="str">
        <f>IFERROR(__xludf.DUMMYFUNCTION("""COMPUTED_VALUE"""),"Generic")</f>
        <v>Generic</v>
      </c>
      <c r="Y1688" s="124" t="str">
        <f>IFERROR(__xludf.DUMMYFUNCTION("""COMPUTED_VALUE"""),"Delhi")</f>
        <v>Delhi</v>
      </c>
      <c r="Z1688" s="124">
        <f>IFERROR(__xludf.DUMMYFUNCTION("""COMPUTED_VALUE"""),3.0)</f>
        <v>3</v>
      </c>
      <c r="AA1688" s="124" t="str">
        <f>IFERROR(__xludf.DUMMYFUNCTION("""COMPUTED_VALUE"""),"Cold")</f>
        <v>Cold</v>
      </c>
      <c r="AB1688" s="124" t="str">
        <f>IFERROR(__xludf.DUMMYFUNCTION("""COMPUTED_VALUE"""),"GS Foundation")</f>
        <v>GS Foundation</v>
      </c>
    </row>
    <row r="1689">
      <c r="A1689" s="129">
        <f>IFERROR(__xludf.DUMMYFUNCTION("""COMPUTED_VALUE"""),46060.0)</f>
        <v>46060</v>
      </c>
      <c r="B1689" s="124" t="str">
        <f>IFERROR(__xludf.DUMMYFUNCTION("""COMPUTED_VALUE"""),"Inbound Call")</f>
        <v>Inbound Call</v>
      </c>
      <c r="C1689" s="124" t="str">
        <f>IFERROR(__xludf.DUMMYFUNCTION("""COMPUTED_VALUE"""),"Patna")</f>
        <v>Patna</v>
      </c>
      <c r="D1689" s="124" t="str">
        <f>IFERROR(__xludf.DUMMYFUNCTION("""COMPUTED_VALUE"""),"Secondary_Walkin")</f>
        <v>Secondary_Walkin</v>
      </c>
      <c r="E1689" s="124">
        <f>IFERROR(__xludf.DUMMYFUNCTION("""COMPUTED_VALUE"""),1.0)</f>
        <v>1</v>
      </c>
      <c r="F1689" s="124" t="str">
        <f>IFERROR(__xludf.DUMMYFUNCTION("""COMPUTED_VALUE"""),"Cold")</f>
        <v>Cold</v>
      </c>
      <c r="G1689" s="124" t="str">
        <f>IFERROR(__xludf.DUMMYFUNCTION("""COMPUTED_VALUE"""),"State PCS")</f>
        <v>State PCS</v>
      </c>
      <c r="K1689" s="124"/>
      <c r="L1689" s="124"/>
      <c r="M1689" s="124"/>
      <c r="N1689" s="124"/>
      <c r="O1689" s="124"/>
      <c r="T1689" s="126">
        <f>IFERROR(__xludf.DUMMYFUNCTION("""COMPUTED_VALUE"""),46057.0)</f>
        <v>46057</v>
      </c>
      <c r="U1689" s="124" t="str">
        <f>IFERROR(__xludf.DUMMYFUNCTION("""COMPUTED_VALUE"""),"Event")</f>
        <v>Event</v>
      </c>
      <c r="V1689" s="124" t="str">
        <f>IFERROR(__xludf.DUMMYFUNCTION("""COMPUTED_VALUE"""),"Events")</f>
        <v>Events</v>
      </c>
      <c r="W1689" s="124" t="str">
        <f>IFERROR(__xludf.DUMMYFUNCTION("""COMPUTED_VALUE"""),"Delhi")</f>
        <v>Delhi</v>
      </c>
      <c r="X1689" s="124" t="str">
        <f>IFERROR(__xludf.DUMMYFUNCTION("""COMPUTED_VALUE"""),"DRCSEMINAR(CTC)")</f>
        <v>DRCSEMINAR(CTC)</v>
      </c>
      <c r="Y1689" s="124" t="str">
        <f>IFERROR(__xludf.DUMMYFUNCTION("""COMPUTED_VALUE"""),"Delhi")</f>
        <v>Delhi</v>
      </c>
      <c r="Z1689" s="124">
        <f>IFERROR(__xludf.DUMMYFUNCTION("""COMPUTED_VALUE"""),2.0)</f>
        <v>2</v>
      </c>
      <c r="AA1689" s="124" t="str">
        <f>IFERROR(__xludf.DUMMYFUNCTION("""COMPUTED_VALUE"""),"Engaged")</f>
        <v>Engaged</v>
      </c>
      <c r="AB1689" s="124" t="str">
        <f>IFERROR(__xludf.DUMMYFUNCTION("""COMPUTED_VALUE"""),"Other")</f>
        <v>Other</v>
      </c>
    </row>
    <row r="1690">
      <c r="A1690" s="126">
        <f>IFERROR(__xludf.DUMMYFUNCTION("""COMPUTED_VALUE"""),46107.0)</f>
        <v>46107</v>
      </c>
      <c r="B1690" s="124" t="str">
        <f>IFERROR(__xludf.DUMMYFUNCTION("""COMPUTED_VALUE"""),"Walk-In")</f>
        <v>Walk-In</v>
      </c>
      <c r="C1690" s="124"/>
      <c r="D1690" s="124" t="str">
        <f>IFERROR(__xludf.DUMMYFUNCTION("""COMPUTED_VALUE"""),"Primary_Walkin")</f>
        <v>Primary_Walkin</v>
      </c>
      <c r="E1690" s="124">
        <f>IFERROR(__xludf.DUMMYFUNCTION("""COMPUTED_VALUE"""),1.0)</f>
        <v>1</v>
      </c>
      <c r="F1690" s="124" t="str">
        <f>IFERROR(__xludf.DUMMYFUNCTION("""COMPUTED_VALUE"""),"Fake Lead")</f>
        <v>Fake Lead</v>
      </c>
      <c r="G1690" s="124" t="str">
        <f>IFERROR(__xludf.DUMMYFUNCTION("""COMPUTED_VALUE"""),"GS Foundation")</f>
        <v>GS Foundation</v>
      </c>
      <c r="K1690" s="124"/>
      <c r="L1690" s="124"/>
      <c r="M1690" s="124"/>
      <c r="N1690" s="124"/>
      <c r="O1690" s="124"/>
      <c r="T1690" s="126">
        <f>IFERROR(__xludf.DUMMYFUNCTION("""COMPUTED_VALUE"""),46063.0)</f>
        <v>46063</v>
      </c>
      <c r="U1690" s="124" t="str">
        <f>IFERROR(__xludf.DUMMYFUNCTION("""COMPUTED_VALUE"""),"Event")</f>
        <v>Event</v>
      </c>
      <c r="V1690" s="124" t="str">
        <f>IFERROR(__xludf.DUMMYFUNCTION("""COMPUTED_VALUE"""),"Events")</f>
        <v>Events</v>
      </c>
      <c r="W1690" s="124" t="str">
        <f>IFERROR(__xludf.DUMMYFUNCTION("""COMPUTED_VALUE"""),"All Centre")</f>
        <v>All Centre</v>
      </c>
      <c r="X1690" s="124" t="str">
        <f>IFERROR(__xludf.DUMMYFUNCTION("""COMPUTED_VALUE"""),"Generic")</f>
        <v>Generic</v>
      </c>
      <c r="Y1690" s="124" t="str">
        <f>IFERROR(__xludf.DUMMYFUNCTION("""COMPUTED_VALUE"""),"Delhi")</f>
        <v>Delhi</v>
      </c>
      <c r="Z1690" s="124">
        <f>IFERROR(__xludf.DUMMYFUNCTION("""COMPUTED_VALUE"""),1.0)</f>
        <v>1</v>
      </c>
      <c r="AA1690" s="124" t="str">
        <f>IFERROR(__xludf.DUMMYFUNCTION("""COMPUTED_VALUE"""),"Engaged")</f>
        <v>Engaged</v>
      </c>
      <c r="AB1690" s="124" t="str">
        <f>IFERROR(__xludf.DUMMYFUNCTION("""COMPUTED_VALUE"""),"GS Foundation")</f>
        <v>GS Foundation</v>
      </c>
    </row>
    <row r="1691">
      <c r="A1691" s="126">
        <f>IFERROR(__xludf.DUMMYFUNCTION("""COMPUTED_VALUE"""),46043.0)</f>
        <v>46043</v>
      </c>
      <c r="B1691" s="124" t="str">
        <f>IFERROR(__xludf.DUMMYFUNCTION("""COMPUTED_VALUE"""),"Walk-In")</f>
        <v>Walk-In</v>
      </c>
      <c r="C1691" s="124"/>
      <c r="D1691" s="124" t="str">
        <f>IFERROR(__xludf.DUMMYFUNCTION("""COMPUTED_VALUE"""),"Primary_Walkin")</f>
        <v>Primary_Walkin</v>
      </c>
      <c r="E1691" s="124">
        <f>IFERROR(__xludf.DUMMYFUNCTION("""COMPUTED_VALUE"""),1.0)</f>
        <v>1</v>
      </c>
      <c r="F1691" s="124" t="str">
        <f>IFERROR(__xludf.DUMMYFUNCTION("""COMPUTED_VALUE"""),"Cold")</f>
        <v>Cold</v>
      </c>
      <c r="G1691" s="124" t="str">
        <f>IFERROR(__xludf.DUMMYFUNCTION("""COMPUTED_VALUE"""),"Mentorship")</f>
        <v>Mentorship</v>
      </c>
      <c r="K1691" s="124"/>
      <c r="L1691" s="124"/>
      <c r="M1691" s="124"/>
      <c r="N1691" s="124"/>
      <c r="O1691" s="124"/>
      <c r="T1691" s="129">
        <f>IFERROR(__xludf.DUMMYFUNCTION("""COMPUTED_VALUE"""),46078.0)</f>
        <v>46078</v>
      </c>
      <c r="U1691" s="124" t="str">
        <f>IFERROR(__xludf.DUMMYFUNCTION("""COMPUTED_VALUE"""),"Event")</f>
        <v>Event</v>
      </c>
      <c r="V1691" s="124" t="str">
        <f>IFERROR(__xludf.DUMMYFUNCTION("""COMPUTED_VALUE"""),"Events")</f>
        <v>Events</v>
      </c>
      <c r="W1691" s="124" t="str">
        <f>IFERROR(__xludf.DUMMYFUNCTION("""COMPUTED_VALUE"""),"All Centre")</f>
        <v>All Centre</v>
      </c>
      <c r="X1691" s="124" t="str">
        <f>IFERROR(__xludf.DUMMYFUNCTION("""COMPUTED_VALUE"""),"Generic")</f>
        <v>Generic</v>
      </c>
      <c r="Y1691" s="124" t="str">
        <f>IFERROR(__xludf.DUMMYFUNCTION("""COMPUTED_VALUE"""),"Delhi")</f>
        <v>Delhi</v>
      </c>
      <c r="Z1691" s="124">
        <f>IFERROR(__xludf.DUMMYFUNCTION("""COMPUTED_VALUE"""),1.0)</f>
        <v>1</v>
      </c>
      <c r="AA1691" s="124" t="str">
        <f>IFERROR(__xludf.DUMMYFUNCTION("""COMPUTED_VALUE"""),"Warm")</f>
        <v>Warm</v>
      </c>
      <c r="AB1691" s="124" t="str">
        <f>IFERROR(__xludf.DUMMYFUNCTION("""COMPUTED_VALUE"""),"IGP UPPSC")</f>
        <v>IGP UPPSC</v>
      </c>
    </row>
    <row r="1692">
      <c r="A1692" s="126">
        <f>IFERROR(__xludf.DUMMYFUNCTION("""COMPUTED_VALUE"""),46080.0)</f>
        <v>46080</v>
      </c>
      <c r="B1692" s="124" t="str">
        <f>IFERROR(__xludf.DUMMYFUNCTION("""COMPUTED_VALUE"""),"events")</f>
        <v>events</v>
      </c>
      <c r="C1692" s="124" t="str">
        <f>IFERROR(__xludf.DUMMYFUNCTION("""COMPUTED_VALUE"""),"Prayagraj")</f>
        <v>Prayagraj</v>
      </c>
      <c r="D1692" s="124" t="str">
        <f>IFERROR(__xludf.DUMMYFUNCTION("""COMPUTED_VALUE"""),"Secondary_Walkin")</f>
        <v>Secondary_Walkin</v>
      </c>
      <c r="E1692" s="124">
        <f>IFERROR(__xludf.DUMMYFUNCTION("""COMPUTED_VALUE"""),1.0)</f>
        <v>1</v>
      </c>
      <c r="F1692" s="124" t="str">
        <f>IFERROR(__xludf.DUMMYFUNCTION("""COMPUTED_VALUE"""),"Cold")</f>
        <v>Cold</v>
      </c>
      <c r="G1692" s="124" t="str">
        <f>IFERROR(__xludf.DUMMYFUNCTION("""COMPUTED_VALUE"""),"GS Foundation")</f>
        <v>GS Foundation</v>
      </c>
      <c r="K1692" s="124"/>
      <c r="L1692" s="124"/>
      <c r="M1692" s="124"/>
      <c r="N1692" s="124"/>
      <c r="O1692" s="124"/>
      <c r="T1692" s="129">
        <f>IFERROR(__xludf.DUMMYFUNCTION("""COMPUTED_VALUE"""),46065.0)</f>
        <v>46065</v>
      </c>
      <c r="U1692" s="124" t="str">
        <f>IFERROR(__xludf.DUMMYFUNCTION("""COMPUTED_VALUE"""),"Event")</f>
        <v>Event</v>
      </c>
      <c r="V1692" s="124" t="str">
        <f>IFERROR(__xludf.DUMMYFUNCTION("""COMPUTED_VALUE"""),"Events")</f>
        <v>Events</v>
      </c>
      <c r="W1692" s="124" t="str">
        <f>IFERROR(__xludf.DUMMYFUNCTION("""COMPUTED_VALUE"""),"All Centre")</f>
        <v>All Centre</v>
      </c>
      <c r="X1692" s="124" t="str">
        <f>IFERROR(__xludf.DUMMYFUNCTION("""COMPUTED_VALUE"""),"Generic")</f>
        <v>Generic</v>
      </c>
      <c r="Y1692" s="124" t="str">
        <f>IFERROR(__xludf.DUMMYFUNCTION("""COMPUTED_VALUE"""),"Indore")</f>
        <v>Indore</v>
      </c>
      <c r="Z1692" s="124">
        <f>IFERROR(__xludf.DUMMYFUNCTION("""COMPUTED_VALUE"""),1.0)</f>
        <v>1</v>
      </c>
      <c r="AA1692" s="124" t="str">
        <f>IFERROR(__xludf.DUMMYFUNCTION("""COMPUTED_VALUE"""),"Cold")</f>
        <v>Cold</v>
      </c>
      <c r="AB1692" s="124" t="str">
        <f>IFERROR(__xludf.DUMMYFUNCTION("""COMPUTED_VALUE"""),"Mentorship")</f>
        <v>Mentorship</v>
      </c>
    </row>
    <row r="1693">
      <c r="A1693" s="126">
        <f>IFERROR(__xludf.DUMMYFUNCTION("""COMPUTED_VALUE"""),46069.0)</f>
        <v>46069</v>
      </c>
      <c r="B1693" s="124" t="str">
        <f>IFERROR(__xludf.DUMMYFUNCTION("""COMPUTED_VALUE"""),"Walkin")</f>
        <v>Walkin</v>
      </c>
      <c r="C1693" s="124" t="str">
        <f>IFERROR(__xludf.DUMMYFUNCTION("""COMPUTED_VALUE"""),"Prayagraj")</f>
        <v>Prayagraj</v>
      </c>
      <c r="D1693" s="124" t="str">
        <f>IFERROR(__xludf.DUMMYFUNCTION("""COMPUTED_VALUE"""),"Primary_Walkin")</f>
        <v>Primary_Walkin</v>
      </c>
      <c r="E1693" s="124">
        <f>IFERROR(__xludf.DUMMYFUNCTION("""COMPUTED_VALUE"""),1.0)</f>
        <v>1</v>
      </c>
      <c r="F1693" s="124" t="str">
        <f>IFERROR(__xludf.DUMMYFUNCTION("""COMPUTED_VALUE"""),"Not Interested")</f>
        <v>Not Interested</v>
      </c>
      <c r="G1693" s="124" t="str">
        <f>IFERROR(__xludf.DUMMYFUNCTION("""COMPUTED_VALUE"""),"State PCS")</f>
        <v>State PCS</v>
      </c>
      <c r="K1693" s="124"/>
      <c r="L1693" s="124"/>
      <c r="M1693" s="124"/>
      <c r="N1693" s="124"/>
      <c r="O1693" s="124"/>
      <c r="T1693" s="126">
        <f>IFERROR(__xludf.DUMMYFUNCTION("""COMPUTED_VALUE"""),46047.0)</f>
        <v>46047</v>
      </c>
      <c r="U1693" s="124" t="str">
        <f>IFERROR(__xludf.DUMMYFUNCTION("""COMPUTED_VALUE"""),"Event")</f>
        <v>Event</v>
      </c>
      <c r="V1693" s="124" t="str">
        <f>IFERROR(__xludf.DUMMYFUNCTION("""COMPUTED_VALUE"""),"Events")</f>
        <v>Events</v>
      </c>
      <c r="W1693" s="124" t="str">
        <f>IFERROR(__xludf.DUMMYFUNCTION("""COMPUTED_VALUE"""),"Delhi")</f>
        <v>Delhi</v>
      </c>
      <c r="X1693" s="124" t="str">
        <f>IFERROR(__xludf.DUMMYFUNCTION("""COMPUTED_VALUE"""),"DRCSEMINAR(CTC)")</f>
        <v>DRCSEMINAR(CTC)</v>
      </c>
      <c r="Y1693" s="124" t="str">
        <f>IFERROR(__xludf.DUMMYFUNCTION("""COMPUTED_VALUE"""),"Delhi")</f>
        <v>Delhi</v>
      </c>
      <c r="Z1693" s="124">
        <f>IFERROR(__xludf.DUMMYFUNCTION("""COMPUTED_VALUE"""),2.0)</f>
        <v>2</v>
      </c>
      <c r="AA1693" s="124" t="str">
        <f>IFERROR(__xludf.DUMMYFUNCTION("""COMPUTED_VALUE"""),"Cold")</f>
        <v>Cold</v>
      </c>
      <c r="AB1693" s="124" t="str">
        <f>IFERROR(__xludf.DUMMYFUNCTION("""COMPUTED_VALUE"""),"GS Foundation")</f>
        <v>GS Foundation</v>
      </c>
    </row>
    <row r="1694">
      <c r="A1694" s="129">
        <f>IFERROR(__xludf.DUMMYFUNCTION("""COMPUTED_VALUE"""),46119.0)</f>
        <v>46119</v>
      </c>
      <c r="B1694" s="124" t="str">
        <f>IFERROR(__xludf.DUMMYFUNCTION("""COMPUTED_VALUE"""),"Walkin")</f>
        <v>Walkin</v>
      </c>
      <c r="C1694" s="124" t="str">
        <f>IFERROR(__xludf.DUMMYFUNCTION("""COMPUTED_VALUE"""),"Prayagraj")</f>
        <v>Prayagraj</v>
      </c>
      <c r="D1694" s="124" t="str">
        <f>IFERROR(__xludf.DUMMYFUNCTION("""COMPUTED_VALUE"""),"Primary_Walkin")</f>
        <v>Primary_Walkin</v>
      </c>
      <c r="E1694" s="124">
        <f>IFERROR(__xludf.DUMMYFUNCTION("""COMPUTED_VALUE"""),1.0)</f>
        <v>1</v>
      </c>
      <c r="F1694" s="124" t="str">
        <f>IFERROR(__xludf.DUMMYFUNCTION("""COMPUTED_VALUE"""),"Warm")</f>
        <v>Warm</v>
      </c>
      <c r="G1694" s="124" t="str">
        <f>IFERROR(__xludf.DUMMYFUNCTION("""COMPUTED_VALUE"""),"GS Foundation")</f>
        <v>GS Foundation</v>
      </c>
      <c r="K1694" s="124"/>
      <c r="L1694" s="124"/>
      <c r="M1694" s="124"/>
      <c r="N1694" s="124"/>
      <c r="O1694" s="124"/>
      <c r="T1694" s="126">
        <f>IFERROR(__xludf.DUMMYFUNCTION("""COMPUTED_VALUE"""),46057.0)</f>
        <v>46057</v>
      </c>
      <c r="U1694" s="124" t="str">
        <f>IFERROR(__xludf.DUMMYFUNCTION("""COMPUTED_VALUE"""),"Event")</f>
        <v>Event</v>
      </c>
      <c r="V1694" s="124" t="str">
        <f>IFERROR(__xludf.DUMMYFUNCTION("""COMPUTED_VALUE"""),"Events")</f>
        <v>Events</v>
      </c>
      <c r="W1694" s="124" t="str">
        <f>IFERROR(__xludf.DUMMYFUNCTION("""COMPUTED_VALUE"""),"All Centre")</f>
        <v>All Centre</v>
      </c>
      <c r="X1694" s="124" t="str">
        <f>IFERROR(__xludf.DUMMYFUNCTION("""COMPUTED_VALUE"""),"Generic")</f>
        <v>Generic</v>
      </c>
      <c r="Y1694" s="124" t="str">
        <f>IFERROR(__xludf.DUMMYFUNCTION("""COMPUTED_VALUE"""),"Delhi")</f>
        <v>Delhi</v>
      </c>
      <c r="Z1694" s="124">
        <f>IFERROR(__xludf.DUMMYFUNCTION("""COMPUTED_VALUE"""),3.0)</f>
        <v>3</v>
      </c>
      <c r="AA1694" s="124" t="str">
        <f>IFERROR(__xludf.DUMMYFUNCTION("""COMPUTED_VALUE"""),"Cold")</f>
        <v>Cold</v>
      </c>
      <c r="AB1694" s="124" t="str">
        <f>IFERROR(__xludf.DUMMYFUNCTION("""COMPUTED_VALUE"""),"CSAT")</f>
        <v>CSAT</v>
      </c>
    </row>
    <row r="1695">
      <c r="A1695" s="129">
        <f>IFERROR(__xludf.DUMMYFUNCTION("""COMPUTED_VALUE"""),46057.0)</f>
        <v>46057</v>
      </c>
      <c r="B1695" s="124" t="str">
        <f>IFERROR(__xludf.DUMMYFUNCTION("""COMPUTED_VALUE"""),"Walkin")</f>
        <v>Walkin</v>
      </c>
      <c r="C1695" s="124" t="str">
        <f>IFERROR(__xludf.DUMMYFUNCTION("""COMPUTED_VALUE"""),"Prayagraj")</f>
        <v>Prayagraj</v>
      </c>
      <c r="D1695" s="124" t="str">
        <f>IFERROR(__xludf.DUMMYFUNCTION("""COMPUTED_VALUE"""),"Primary_Walkin")</f>
        <v>Primary_Walkin</v>
      </c>
      <c r="E1695" s="124">
        <f>IFERROR(__xludf.DUMMYFUNCTION("""COMPUTED_VALUE"""),1.0)</f>
        <v>1</v>
      </c>
      <c r="F1695" s="124" t="str">
        <f>IFERROR(__xludf.DUMMYFUNCTION("""COMPUTED_VALUE"""),"Not Interested")</f>
        <v>Not Interested</v>
      </c>
      <c r="G1695" s="124" t="str">
        <f>IFERROR(__xludf.DUMMYFUNCTION("""COMPUTED_VALUE"""),"GS Foundation")</f>
        <v>GS Foundation</v>
      </c>
      <c r="K1695" s="124"/>
      <c r="L1695" s="124"/>
      <c r="M1695" s="124"/>
      <c r="N1695" s="124"/>
      <c r="O1695" s="124"/>
      <c r="T1695" s="129">
        <f>IFERROR(__xludf.DUMMYFUNCTION("""COMPUTED_VALUE"""),46077.0)</f>
        <v>46077</v>
      </c>
      <c r="U1695" s="124" t="str">
        <f>IFERROR(__xludf.DUMMYFUNCTION("""COMPUTED_VALUE"""),"Event")</f>
        <v>Event</v>
      </c>
      <c r="V1695" s="124" t="str">
        <f>IFERROR(__xludf.DUMMYFUNCTION("""COMPUTED_VALUE"""),"Events")</f>
        <v>Events</v>
      </c>
      <c r="W1695" s="124" t="str">
        <f>IFERROR(__xludf.DUMMYFUNCTION("""COMPUTED_VALUE"""),"All Centre")</f>
        <v>All Centre</v>
      </c>
      <c r="X1695" s="124" t="str">
        <f>IFERROR(__xludf.DUMMYFUNCTION("""COMPUTED_VALUE"""),"Generic")</f>
        <v>Generic</v>
      </c>
      <c r="Y1695" s="124" t="str">
        <f>IFERROR(__xludf.DUMMYFUNCTION("""COMPUTED_VALUE"""),"Delhi")</f>
        <v>Delhi</v>
      </c>
      <c r="Z1695" s="124">
        <f>IFERROR(__xludf.DUMMYFUNCTION("""COMPUTED_VALUE"""),2.0)</f>
        <v>2</v>
      </c>
      <c r="AA1695" s="124" t="str">
        <f>IFERROR(__xludf.DUMMYFUNCTION("""COMPUTED_VALUE"""),"Engaged")</f>
        <v>Engaged</v>
      </c>
      <c r="AB1695" s="124" t="str">
        <f>IFERROR(__xludf.DUMMYFUNCTION("""COMPUTED_VALUE"""),"Prelims Crash Course - SIP")</f>
        <v>Prelims Crash Course - SIP</v>
      </c>
    </row>
    <row r="1696">
      <c r="A1696" s="126">
        <f>IFERROR(__xludf.DUMMYFUNCTION("""COMPUTED_VALUE"""),46103.0)</f>
        <v>46103</v>
      </c>
      <c r="B1696" s="124" t="str">
        <f>IFERROR(__xludf.DUMMYFUNCTION("""COMPUTED_VALUE"""),"external leads")</f>
        <v>external leads</v>
      </c>
      <c r="C1696" s="124" t="str">
        <f>IFERROR(__xludf.DUMMYFUNCTION("""COMPUTED_VALUE"""),"Prayagraj")</f>
        <v>Prayagraj</v>
      </c>
      <c r="D1696" s="124" t="str">
        <f>IFERROR(__xludf.DUMMYFUNCTION("""COMPUTED_VALUE"""),"Secondary_Walkin")</f>
        <v>Secondary_Walkin</v>
      </c>
      <c r="E1696" s="124">
        <f>IFERROR(__xludf.DUMMYFUNCTION("""COMPUTED_VALUE"""),1.0)</f>
        <v>1</v>
      </c>
      <c r="F1696" s="124" t="str">
        <f>IFERROR(__xludf.DUMMYFUNCTION("""COMPUTED_VALUE"""),"Enrolled")</f>
        <v>Enrolled</v>
      </c>
      <c r="G1696" s="124" t="str">
        <f>IFERROR(__xludf.DUMMYFUNCTION("""COMPUTED_VALUE"""),"Mentorship")</f>
        <v>Mentorship</v>
      </c>
      <c r="K1696" s="124"/>
      <c r="L1696" s="124"/>
      <c r="M1696" s="124"/>
      <c r="N1696" s="124"/>
      <c r="O1696" s="124"/>
      <c r="T1696" s="126">
        <f>IFERROR(__xludf.DUMMYFUNCTION("""COMPUTED_VALUE"""),46057.0)</f>
        <v>46057</v>
      </c>
      <c r="U1696" s="124" t="str">
        <f>IFERROR(__xludf.DUMMYFUNCTION("""COMPUTED_VALUE"""),"Event")</f>
        <v>Event</v>
      </c>
      <c r="V1696" s="124" t="str">
        <f>IFERROR(__xludf.DUMMYFUNCTION("""COMPUTED_VALUE"""),"Events")</f>
        <v>Events</v>
      </c>
      <c r="W1696" s="124" t="str">
        <f>IFERROR(__xludf.DUMMYFUNCTION("""COMPUTED_VALUE"""),"Delhi")</f>
        <v>Delhi</v>
      </c>
      <c r="X1696" s="124" t="str">
        <f>IFERROR(__xludf.DUMMYFUNCTION("""COMPUTED_VALUE"""),"DRCSEMINAR(CTC)")</f>
        <v>DRCSEMINAR(CTC)</v>
      </c>
      <c r="Y1696" s="124" t="str">
        <f>IFERROR(__xludf.DUMMYFUNCTION("""COMPUTED_VALUE"""),"Delhi")</f>
        <v>Delhi</v>
      </c>
      <c r="Z1696" s="124">
        <f>IFERROR(__xludf.DUMMYFUNCTION("""COMPUTED_VALUE"""),2.0)</f>
        <v>2</v>
      </c>
      <c r="AA1696" s="124" t="str">
        <f>IFERROR(__xludf.DUMMYFUNCTION("""COMPUTED_VALUE"""),"Cold")</f>
        <v>Cold</v>
      </c>
      <c r="AB1696" s="124" t="str">
        <f>IFERROR(__xludf.DUMMYFUNCTION("""COMPUTED_VALUE"""),"GS Foundation")</f>
        <v>GS Foundation</v>
      </c>
    </row>
    <row r="1697">
      <c r="A1697" s="126">
        <f>IFERROR(__xludf.DUMMYFUNCTION("""COMPUTED_VALUE"""),46074.0)</f>
        <v>46074</v>
      </c>
      <c r="B1697" s="124" t="str">
        <f>IFERROR(__xludf.DUMMYFUNCTION("""COMPUTED_VALUE"""),"Walkin")</f>
        <v>Walkin</v>
      </c>
      <c r="C1697" s="124" t="str">
        <f>IFERROR(__xludf.DUMMYFUNCTION("""COMPUTED_VALUE"""),"Prayagraj")</f>
        <v>Prayagraj</v>
      </c>
      <c r="D1697" s="124" t="str">
        <f>IFERROR(__xludf.DUMMYFUNCTION("""COMPUTED_VALUE"""),"Primary_Walkin")</f>
        <v>Primary_Walkin</v>
      </c>
      <c r="E1697" s="124">
        <f>IFERROR(__xludf.DUMMYFUNCTION("""COMPUTED_VALUE"""),1.0)</f>
        <v>1</v>
      </c>
      <c r="F1697" s="124" t="str">
        <f>IFERROR(__xludf.DUMMYFUNCTION("""COMPUTED_VALUE"""),"Future Prospects")</f>
        <v>Future Prospects</v>
      </c>
      <c r="G1697" s="124" t="str">
        <f>IFERROR(__xludf.DUMMYFUNCTION("""COMPUTED_VALUE"""),"Optionals")</f>
        <v>Optionals</v>
      </c>
      <c r="K1697" s="124"/>
      <c r="L1697" s="124"/>
      <c r="M1697" s="124"/>
      <c r="N1697" s="124"/>
      <c r="O1697" s="124"/>
      <c r="T1697" s="126">
        <f>IFERROR(__xludf.DUMMYFUNCTION("""COMPUTED_VALUE"""),46065.0)</f>
        <v>46065</v>
      </c>
      <c r="U1697" s="124" t="str">
        <f>IFERROR(__xludf.DUMMYFUNCTION("""COMPUTED_VALUE"""),"Event")</f>
        <v>Event</v>
      </c>
      <c r="V1697" s="124" t="str">
        <f>IFERROR(__xludf.DUMMYFUNCTION("""COMPUTED_VALUE"""),"Events")</f>
        <v>Events</v>
      </c>
      <c r="W1697" s="124" t="str">
        <f>IFERROR(__xludf.DUMMYFUNCTION("""COMPUTED_VALUE"""),"All Centre")</f>
        <v>All Centre</v>
      </c>
      <c r="X1697" s="124" t="str">
        <f>IFERROR(__xludf.DUMMYFUNCTION("""COMPUTED_VALUE"""),"Generic")</f>
        <v>Generic</v>
      </c>
      <c r="Y1697" s="124" t="str">
        <f>IFERROR(__xludf.DUMMYFUNCTION("""COMPUTED_VALUE"""),"Delhi")</f>
        <v>Delhi</v>
      </c>
      <c r="Z1697" s="124">
        <f>IFERROR(__xludf.DUMMYFUNCTION("""COMPUTED_VALUE"""),2.0)</f>
        <v>2</v>
      </c>
      <c r="AA1697" s="124" t="str">
        <f>IFERROR(__xludf.DUMMYFUNCTION("""COMPUTED_VALUE"""),"Not Interested")</f>
        <v>Not Interested</v>
      </c>
      <c r="AB1697" s="124" t="str">
        <f>IFERROR(__xludf.DUMMYFUNCTION("""COMPUTED_VALUE"""),"State PCS")</f>
        <v>State PCS</v>
      </c>
    </row>
    <row r="1698">
      <c r="A1698" s="126">
        <f>IFERROR(__xludf.DUMMYFUNCTION("""COMPUTED_VALUE"""),46043.0)</f>
        <v>46043</v>
      </c>
      <c r="B1698" s="124" t="str">
        <f>IFERROR(__xludf.DUMMYFUNCTION("""COMPUTED_VALUE"""),"Walkin")</f>
        <v>Walkin</v>
      </c>
      <c r="C1698" s="124" t="str">
        <f>IFERROR(__xludf.DUMMYFUNCTION("""COMPUTED_VALUE"""),"Prayagraj")</f>
        <v>Prayagraj</v>
      </c>
      <c r="D1698" s="124" t="str">
        <f>IFERROR(__xludf.DUMMYFUNCTION("""COMPUTED_VALUE"""),"Primary_Walkin")</f>
        <v>Primary_Walkin</v>
      </c>
      <c r="E1698" s="124">
        <f>IFERROR(__xludf.DUMMYFUNCTION("""COMPUTED_VALUE"""),1.0)</f>
        <v>1</v>
      </c>
      <c r="F1698" s="124" t="str">
        <f>IFERROR(__xludf.DUMMYFUNCTION("""COMPUTED_VALUE"""),"Cold")</f>
        <v>Cold</v>
      </c>
      <c r="G1698" s="124" t="str">
        <f>IFERROR(__xludf.DUMMYFUNCTION("""COMPUTED_VALUE"""),"State PCS")</f>
        <v>State PCS</v>
      </c>
      <c r="K1698" s="124"/>
      <c r="L1698" s="124"/>
      <c r="M1698" s="124"/>
      <c r="N1698" s="124"/>
      <c r="O1698" s="124"/>
      <c r="T1698" s="126">
        <f>IFERROR(__xludf.DUMMYFUNCTION("""COMPUTED_VALUE"""),46078.0)</f>
        <v>46078</v>
      </c>
      <c r="U1698" s="124" t="str">
        <f>IFERROR(__xludf.DUMMYFUNCTION("""COMPUTED_VALUE"""),"Event")</f>
        <v>Event</v>
      </c>
      <c r="V1698" s="124" t="str">
        <f>IFERROR(__xludf.DUMMYFUNCTION("""COMPUTED_VALUE"""),"Events")</f>
        <v>Events</v>
      </c>
      <c r="W1698" s="124" t="str">
        <f>IFERROR(__xludf.DUMMYFUNCTION("""COMPUTED_VALUE"""),"All Centre")</f>
        <v>All Centre</v>
      </c>
      <c r="X1698" s="124" t="str">
        <f>IFERROR(__xludf.DUMMYFUNCTION("""COMPUTED_VALUE"""),"Generic")</f>
        <v>Generic</v>
      </c>
      <c r="Y1698" s="124" t="str">
        <f>IFERROR(__xludf.DUMMYFUNCTION("""COMPUTED_VALUE"""),"Delhi")</f>
        <v>Delhi</v>
      </c>
      <c r="Z1698" s="124">
        <f>IFERROR(__xludf.DUMMYFUNCTION("""COMPUTED_VALUE"""),4.0)</f>
        <v>4</v>
      </c>
      <c r="AA1698" s="124" t="str">
        <f>IFERROR(__xludf.DUMMYFUNCTION("""COMPUTED_VALUE"""),"Warm")</f>
        <v>Warm</v>
      </c>
      <c r="AB1698" s="124" t="str">
        <f>IFERROR(__xludf.DUMMYFUNCTION("""COMPUTED_VALUE"""),"State PCS")</f>
        <v>State PCS</v>
      </c>
    </row>
    <row r="1699">
      <c r="A1699" s="126">
        <f>IFERROR(__xludf.DUMMYFUNCTION("""COMPUTED_VALUE"""),46101.0)</f>
        <v>46101</v>
      </c>
      <c r="B1699" s="124" t="str">
        <f>IFERROR(__xludf.DUMMYFUNCTION("""COMPUTED_VALUE"""),"Walkin")</f>
        <v>Walkin</v>
      </c>
      <c r="C1699" s="124" t="str">
        <f>IFERROR(__xludf.DUMMYFUNCTION("""COMPUTED_VALUE"""),"Prayagraj")</f>
        <v>Prayagraj</v>
      </c>
      <c r="D1699" s="124" t="str">
        <f>IFERROR(__xludf.DUMMYFUNCTION("""COMPUTED_VALUE"""),"Primary_Walkin")</f>
        <v>Primary_Walkin</v>
      </c>
      <c r="E1699" s="124">
        <f>IFERROR(__xludf.DUMMYFUNCTION("""COMPUTED_VALUE"""),1.0)</f>
        <v>1</v>
      </c>
      <c r="F1699" s="124" t="str">
        <f>IFERROR(__xludf.DUMMYFUNCTION("""COMPUTED_VALUE"""),"Warm")</f>
        <v>Warm</v>
      </c>
      <c r="G1699" s="124" t="str">
        <f>IFERROR(__xludf.DUMMYFUNCTION("""COMPUTED_VALUE"""),"State PCS")</f>
        <v>State PCS</v>
      </c>
      <c r="K1699" s="124"/>
      <c r="L1699" s="124"/>
      <c r="M1699" s="124"/>
      <c r="N1699" s="124"/>
      <c r="O1699" s="124"/>
      <c r="T1699" s="126">
        <f>IFERROR(__xludf.DUMMYFUNCTION("""COMPUTED_VALUE"""),46078.0)</f>
        <v>46078</v>
      </c>
      <c r="U1699" s="124" t="str">
        <f>IFERROR(__xludf.DUMMYFUNCTION("""COMPUTED_VALUE"""),"Event")</f>
        <v>Event</v>
      </c>
      <c r="V1699" s="124" t="str">
        <f>IFERROR(__xludf.DUMMYFUNCTION("""COMPUTED_VALUE"""),"Events")</f>
        <v>Events</v>
      </c>
      <c r="W1699" s="124" t="str">
        <f>IFERROR(__xludf.DUMMYFUNCTION("""COMPUTED_VALUE"""),"All Centre")</f>
        <v>All Centre</v>
      </c>
      <c r="X1699" s="124" t="str">
        <f>IFERROR(__xludf.DUMMYFUNCTION("""COMPUTED_VALUE"""),"Generic")</f>
        <v>Generic</v>
      </c>
      <c r="Y1699" s="124" t="str">
        <f>IFERROR(__xludf.DUMMYFUNCTION("""COMPUTED_VALUE"""),"Delhi")</f>
        <v>Delhi</v>
      </c>
      <c r="Z1699" s="124">
        <f>IFERROR(__xludf.DUMMYFUNCTION("""COMPUTED_VALUE"""),1.0)</f>
        <v>1</v>
      </c>
      <c r="AA1699" s="124" t="str">
        <f>IFERROR(__xludf.DUMMYFUNCTION("""COMPUTED_VALUE"""),"Not Interested")</f>
        <v>Not Interested</v>
      </c>
      <c r="AB1699" s="124" t="str">
        <f>IFERROR(__xludf.DUMMYFUNCTION("""COMPUTED_VALUE"""),"GS Foundation")</f>
        <v>GS Foundation</v>
      </c>
    </row>
    <row r="1700">
      <c r="A1700" s="126">
        <f>IFERROR(__xludf.DUMMYFUNCTION("""COMPUTED_VALUE"""),46071.0)</f>
        <v>46071</v>
      </c>
      <c r="B1700" s="124" t="str">
        <f>IFERROR(__xludf.DUMMYFUNCTION("""COMPUTED_VALUE"""),"Walk-In")</f>
        <v>Walk-In</v>
      </c>
      <c r="C1700" s="124" t="str">
        <f>IFERROR(__xludf.DUMMYFUNCTION("""COMPUTED_VALUE"""),"Prayagraj")</f>
        <v>Prayagraj</v>
      </c>
      <c r="D1700" s="124" t="str">
        <f>IFERROR(__xludf.DUMMYFUNCTION("""COMPUTED_VALUE"""),"Primary_Walkin")</f>
        <v>Primary_Walkin</v>
      </c>
      <c r="E1700" s="124">
        <f>IFERROR(__xludf.DUMMYFUNCTION("""COMPUTED_VALUE"""),1.0)</f>
        <v>1</v>
      </c>
      <c r="F1700" s="124" t="str">
        <f>IFERROR(__xludf.DUMMYFUNCTION("""COMPUTED_VALUE"""),"Cold")</f>
        <v>Cold</v>
      </c>
      <c r="G1700" s="124" t="str">
        <f>IFERROR(__xludf.DUMMYFUNCTION("""COMPUTED_VALUE"""),"GS Foundation")</f>
        <v>GS Foundation</v>
      </c>
      <c r="K1700" s="124"/>
      <c r="L1700" s="124"/>
      <c r="M1700" s="124"/>
      <c r="N1700" s="124"/>
      <c r="O1700" s="124"/>
      <c r="T1700" s="126">
        <f>IFERROR(__xludf.DUMMYFUNCTION("""COMPUTED_VALUE"""),46065.0)</f>
        <v>46065</v>
      </c>
      <c r="U1700" s="124" t="str">
        <f>IFERROR(__xludf.DUMMYFUNCTION("""COMPUTED_VALUE"""),"Event")</f>
        <v>Event</v>
      </c>
      <c r="V1700" s="124" t="str">
        <f>IFERROR(__xludf.DUMMYFUNCTION("""COMPUTED_VALUE"""),"Events")</f>
        <v>Events</v>
      </c>
      <c r="W1700" s="124" t="str">
        <f>IFERROR(__xludf.DUMMYFUNCTION("""COMPUTED_VALUE"""),"All Centre")</f>
        <v>All Centre</v>
      </c>
      <c r="X1700" s="124" t="str">
        <f>IFERROR(__xludf.DUMMYFUNCTION("""COMPUTED_VALUE"""),"Generic")</f>
        <v>Generic</v>
      </c>
      <c r="Y1700" s="124" t="str">
        <f>IFERROR(__xludf.DUMMYFUNCTION("""COMPUTED_VALUE"""),"Delhi")</f>
        <v>Delhi</v>
      </c>
      <c r="Z1700" s="124">
        <f>IFERROR(__xludf.DUMMYFUNCTION("""COMPUTED_VALUE"""),5.0)</f>
        <v>5</v>
      </c>
      <c r="AA1700" s="124" t="str">
        <f>IFERROR(__xludf.DUMMYFUNCTION("""COMPUTED_VALUE"""),"Cold")</f>
        <v>Cold</v>
      </c>
      <c r="AB1700" s="124" t="str">
        <f>IFERROR(__xludf.DUMMYFUNCTION("""COMPUTED_VALUE"""),"Prelims Crash Course - SIP")</f>
        <v>Prelims Crash Course - SIP</v>
      </c>
    </row>
    <row r="1701">
      <c r="A1701" s="126">
        <f>IFERROR(__xludf.DUMMYFUNCTION("""COMPUTED_VALUE"""),46074.0)</f>
        <v>46074</v>
      </c>
      <c r="B1701" s="124" t="str">
        <f>IFERROR(__xludf.DUMMYFUNCTION("""COMPUTED_VALUE"""),"Walk-In")</f>
        <v>Walk-In</v>
      </c>
      <c r="C1701" s="124" t="str">
        <f>IFERROR(__xludf.DUMMYFUNCTION("""COMPUTED_VALUE"""),"Prayagraj")</f>
        <v>Prayagraj</v>
      </c>
      <c r="D1701" s="124" t="str">
        <f>IFERROR(__xludf.DUMMYFUNCTION("""COMPUTED_VALUE"""),"Primary_Walkin")</f>
        <v>Primary_Walkin</v>
      </c>
      <c r="E1701" s="124">
        <f>IFERROR(__xludf.DUMMYFUNCTION("""COMPUTED_VALUE"""),1.0)</f>
        <v>1</v>
      </c>
      <c r="F1701" s="124" t="str">
        <f>IFERROR(__xludf.DUMMYFUNCTION("""COMPUTED_VALUE"""),"Future Prospects")</f>
        <v>Future Prospects</v>
      </c>
      <c r="G1701" s="124" t="str">
        <f>IFERROR(__xludf.DUMMYFUNCTION("""COMPUTED_VALUE"""),"GS Foundation")</f>
        <v>GS Foundation</v>
      </c>
      <c r="K1701" s="124"/>
      <c r="L1701" s="124"/>
      <c r="M1701" s="124"/>
      <c r="N1701" s="124"/>
      <c r="O1701" s="124"/>
      <c r="T1701" s="126">
        <f>IFERROR(__xludf.DUMMYFUNCTION("""COMPUTED_VALUE"""),46050.0)</f>
        <v>46050</v>
      </c>
      <c r="U1701" s="124" t="str">
        <f>IFERROR(__xludf.DUMMYFUNCTION("""COMPUTED_VALUE"""),"Walk-Ins")</f>
        <v>Walk-Ins</v>
      </c>
      <c r="V1701" s="124" t="str">
        <f>IFERROR(__xludf.DUMMYFUNCTION("""COMPUTED_VALUE"""),"Walk-In")</f>
        <v>Walk-In</v>
      </c>
      <c r="W1701" s="124" t="str">
        <f>IFERROR(__xludf.DUMMYFUNCTION("""COMPUTED_VALUE"""),"Delhi")</f>
        <v>Delhi</v>
      </c>
      <c r="X1701" s="124" t="str">
        <f>IFERROR(__xludf.DUMMYFUNCTION("""COMPUTED_VALUE"""),"Netri")</f>
        <v>Netri</v>
      </c>
      <c r="Y1701" s="124" t="str">
        <f>IFERROR(__xludf.DUMMYFUNCTION("""COMPUTED_VALUE"""),"Delhi")</f>
        <v>Delhi</v>
      </c>
      <c r="Z1701" s="124">
        <f>IFERROR(__xludf.DUMMYFUNCTION("""COMPUTED_VALUE"""),1.0)</f>
        <v>1</v>
      </c>
      <c r="AA1701" s="124" t="str">
        <f>IFERROR(__xludf.DUMMYFUNCTION("""COMPUTED_VALUE"""),"Enrolled")</f>
        <v>Enrolled</v>
      </c>
      <c r="AB1701" s="124" t="str">
        <f>IFERROR(__xludf.DUMMYFUNCTION("""COMPUTED_VALUE"""),"Optionals")</f>
        <v>Optionals</v>
      </c>
    </row>
    <row r="1702">
      <c r="A1702" s="126">
        <f>IFERROR(__xludf.DUMMYFUNCTION("""COMPUTED_VALUE"""),46044.0)</f>
        <v>46044</v>
      </c>
      <c r="B1702" s="124" t="str">
        <f>IFERROR(__xludf.DUMMYFUNCTION("""COMPUTED_VALUE"""),"Walkin")</f>
        <v>Walkin</v>
      </c>
      <c r="C1702" s="124" t="str">
        <f>IFERROR(__xludf.DUMMYFUNCTION("""COMPUTED_VALUE"""),"Prayagraj")</f>
        <v>Prayagraj</v>
      </c>
      <c r="D1702" s="124" t="str">
        <f>IFERROR(__xludf.DUMMYFUNCTION("""COMPUTED_VALUE"""),"Primary_Walkin")</f>
        <v>Primary_Walkin</v>
      </c>
      <c r="E1702" s="124">
        <f>IFERROR(__xludf.DUMMYFUNCTION("""COMPUTED_VALUE"""),2.0)</f>
        <v>2</v>
      </c>
      <c r="F1702" s="124" t="str">
        <f>IFERROR(__xludf.DUMMYFUNCTION("""COMPUTED_VALUE"""),"Fake Lead")</f>
        <v>Fake Lead</v>
      </c>
      <c r="G1702" s="124" t="str">
        <f>IFERROR(__xludf.DUMMYFUNCTION("""COMPUTED_VALUE"""),"Other")</f>
        <v>Other</v>
      </c>
      <c r="K1702" s="124"/>
      <c r="L1702" s="124"/>
      <c r="M1702" s="124"/>
      <c r="N1702" s="124"/>
      <c r="O1702" s="124"/>
      <c r="T1702" s="126">
        <f>IFERROR(__xludf.DUMMYFUNCTION("""COMPUTED_VALUE"""),46054.0)</f>
        <v>46054</v>
      </c>
      <c r="U1702" s="124" t="str">
        <f>IFERROR(__xludf.DUMMYFUNCTION("""COMPUTED_VALUE"""),"Walk-Ins")</f>
        <v>Walk-Ins</v>
      </c>
      <c r="V1702" s="124" t="str">
        <f>IFERROR(__xludf.DUMMYFUNCTION("""COMPUTED_VALUE"""),"Walk-In")</f>
        <v>Walk-In</v>
      </c>
      <c r="W1702" s="124" t="str">
        <f>IFERROR(__xludf.DUMMYFUNCTION("""COMPUTED_VALUE"""),"Delhi")</f>
        <v>Delhi</v>
      </c>
      <c r="X1702" s="124" t="str">
        <f>IFERROR(__xludf.DUMMYFUNCTION("""COMPUTED_VALUE"""),"Netri")</f>
        <v>Netri</v>
      </c>
      <c r="Y1702" s="124" t="str">
        <f>IFERROR(__xludf.DUMMYFUNCTION("""COMPUTED_VALUE"""),"Delhi")</f>
        <v>Delhi</v>
      </c>
      <c r="Z1702" s="124">
        <f>IFERROR(__xludf.DUMMYFUNCTION("""COMPUTED_VALUE"""),1.0)</f>
        <v>1</v>
      </c>
      <c r="AA1702" s="124" t="str">
        <f>IFERROR(__xludf.DUMMYFUNCTION("""COMPUTED_VALUE"""),"Enrolled")</f>
        <v>Enrolled</v>
      </c>
      <c r="AB1702" s="124" t="str">
        <f>IFERROR(__xludf.DUMMYFUNCTION("""COMPUTED_VALUE"""),"GS Foundation")</f>
        <v>GS Foundation</v>
      </c>
    </row>
    <row r="1703">
      <c r="A1703" s="126">
        <f>IFERROR(__xludf.DUMMYFUNCTION("""COMPUTED_VALUE"""),46066.0)</f>
        <v>46066</v>
      </c>
      <c r="B1703" s="124" t="str">
        <f>IFERROR(__xludf.DUMMYFUNCTION("""COMPUTED_VALUE"""),"Walkin")</f>
        <v>Walkin</v>
      </c>
      <c r="C1703" s="124" t="str">
        <f>IFERROR(__xludf.DUMMYFUNCTION("""COMPUTED_VALUE"""),"Prayagraj")</f>
        <v>Prayagraj</v>
      </c>
      <c r="D1703" s="124" t="str">
        <f>IFERROR(__xludf.DUMMYFUNCTION("""COMPUTED_VALUE"""),"Primary_Walkin")</f>
        <v>Primary_Walkin</v>
      </c>
      <c r="E1703" s="124">
        <f>IFERROR(__xludf.DUMMYFUNCTION("""COMPUTED_VALUE"""),1.0)</f>
        <v>1</v>
      </c>
      <c r="F1703" s="124" t="str">
        <f>IFERROR(__xludf.DUMMYFUNCTION("""COMPUTED_VALUE"""),"Cold")</f>
        <v>Cold</v>
      </c>
      <c r="G1703" s="124" t="str">
        <f>IFERROR(__xludf.DUMMYFUNCTION("""COMPUTED_VALUE"""),"State PCS")</f>
        <v>State PCS</v>
      </c>
      <c r="K1703" s="124"/>
      <c r="L1703" s="124"/>
      <c r="M1703" s="124"/>
      <c r="N1703" s="124"/>
      <c r="O1703" s="124"/>
      <c r="T1703" s="126">
        <f>IFERROR(__xludf.DUMMYFUNCTION("""COMPUTED_VALUE"""),46048.0)</f>
        <v>46048</v>
      </c>
      <c r="U1703" s="124" t="str">
        <f>IFERROR(__xludf.DUMMYFUNCTION("""COMPUTED_VALUE"""),"Paid Ads")</f>
        <v>Paid Ads</v>
      </c>
      <c r="V1703" s="124" t="str">
        <f>IFERROR(__xludf.DUMMYFUNCTION("""COMPUTED_VALUE"""),"Facebook")</f>
        <v>Facebook</v>
      </c>
      <c r="W1703" s="124" t="str">
        <f>IFERROR(__xludf.DUMMYFUNCTION("""COMPUTED_VALUE"""),"LeadAd")</f>
        <v>LeadAd</v>
      </c>
      <c r="X1703" s="124" t="str">
        <f>IFERROR(__xludf.DUMMYFUNCTION("""COMPUTED_VALUE"""),"Upsc_offline_26_delhi_FB_Creatives")</f>
        <v>Upsc_offline_26_delhi_FB_Creatives</v>
      </c>
      <c r="Y1703" s="124" t="str">
        <f>IFERROR(__xludf.DUMMYFUNCTION("""COMPUTED_VALUE"""),"Delhi")</f>
        <v>Delhi</v>
      </c>
      <c r="Z1703" s="124">
        <f>IFERROR(__xludf.DUMMYFUNCTION("""COMPUTED_VALUE"""),9.0)</f>
        <v>9</v>
      </c>
      <c r="AA1703" s="124" t="str">
        <f>IFERROR(__xludf.DUMMYFUNCTION("""COMPUTED_VALUE"""),"Fake Lead")</f>
        <v>Fake Lead</v>
      </c>
      <c r="AB1703" s="124"/>
    </row>
    <row r="1704">
      <c r="A1704" s="126">
        <f>IFERROR(__xludf.DUMMYFUNCTION("""COMPUTED_VALUE"""),46070.0)</f>
        <v>46070</v>
      </c>
      <c r="B1704" s="124" t="str">
        <f>IFERROR(__xludf.DUMMYFUNCTION("""COMPUTED_VALUE"""),"Walkin")</f>
        <v>Walkin</v>
      </c>
      <c r="C1704" s="124" t="str">
        <f>IFERROR(__xludf.DUMMYFUNCTION("""COMPUTED_VALUE"""),"Prayagraj")</f>
        <v>Prayagraj</v>
      </c>
      <c r="D1704" s="124" t="str">
        <f>IFERROR(__xludf.DUMMYFUNCTION("""COMPUTED_VALUE"""),"Primary_Walkin")</f>
        <v>Primary_Walkin</v>
      </c>
      <c r="E1704" s="124">
        <f>IFERROR(__xludf.DUMMYFUNCTION("""COMPUTED_VALUE"""),2.0)</f>
        <v>2</v>
      </c>
      <c r="F1704" s="124" t="str">
        <f>IFERROR(__xludf.DUMMYFUNCTION("""COMPUTED_VALUE"""),"Not Interested")</f>
        <v>Not Interested</v>
      </c>
      <c r="G1704" s="124" t="str">
        <f>IFERROR(__xludf.DUMMYFUNCTION("""COMPUTED_VALUE"""),"GS Foundation")</f>
        <v>GS Foundation</v>
      </c>
      <c r="K1704" s="124"/>
      <c r="L1704" s="124"/>
      <c r="M1704" s="124"/>
      <c r="N1704" s="124"/>
      <c r="O1704" s="124"/>
      <c r="T1704" s="126">
        <f>IFERROR(__xludf.DUMMYFUNCTION("""COMPUTED_VALUE"""),46049.0)</f>
        <v>46049</v>
      </c>
      <c r="U1704" s="124" t="str">
        <f>IFERROR(__xludf.DUMMYFUNCTION("""COMPUTED_VALUE"""),"Walk-Ins")</f>
        <v>Walk-Ins</v>
      </c>
      <c r="V1704" s="124" t="str">
        <f>IFERROR(__xludf.DUMMYFUNCTION("""COMPUTED_VALUE"""),"Walk-In")</f>
        <v>Walk-In</v>
      </c>
      <c r="W1704" s="124" t="str">
        <f>IFERROR(__xludf.DUMMYFUNCTION("""COMPUTED_VALUE"""),"Prayagraj")</f>
        <v>Prayagraj</v>
      </c>
      <c r="X1704" s="124" t="str">
        <f>IFERROR(__xludf.DUMMYFUNCTION("""COMPUTED_VALUE"""),"Abhinandan")</f>
        <v>Abhinandan</v>
      </c>
      <c r="Y1704" s="124"/>
      <c r="Z1704" s="124">
        <f>IFERROR(__xludf.DUMMYFUNCTION("""COMPUTED_VALUE"""),1.0)</f>
        <v>1</v>
      </c>
      <c r="AA1704" s="124" t="str">
        <f>IFERROR(__xludf.DUMMYFUNCTION("""COMPUTED_VALUE"""),"Not Interested")</f>
        <v>Not Interested</v>
      </c>
      <c r="AB1704" s="124" t="str">
        <f>IFERROR(__xludf.DUMMYFUNCTION("""COMPUTED_VALUE"""),"GS Foundation")</f>
        <v>GS Foundation</v>
      </c>
    </row>
    <row r="1705">
      <c r="A1705" s="126">
        <f>IFERROR(__xludf.DUMMYFUNCTION("""COMPUTED_VALUE"""),46103.0)</f>
        <v>46103</v>
      </c>
      <c r="B1705" s="124" t="str">
        <f>IFERROR(__xludf.DUMMYFUNCTION("""COMPUTED_VALUE"""),"Walkin")</f>
        <v>Walkin</v>
      </c>
      <c r="C1705" s="124" t="str">
        <f>IFERROR(__xludf.DUMMYFUNCTION("""COMPUTED_VALUE"""),"Prayagraj")</f>
        <v>Prayagraj</v>
      </c>
      <c r="D1705" s="124" t="str">
        <f>IFERROR(__xludf.DUMMYFUNCTION("""COMPUTED_VALUE"""),"Primary_Walkin")</f>
        <v>Primary_Walkin</v>
      </c>
      <c r="E1705" s="124">
        <f>IFERROR(__xludf.DUMMYFUNCTION("""COMPUTED_VALUE"""),1.0)</f>
        <v>1</v>
      </c>
      <c r="F1705" s="124" t="str">
        <f>IFERROR(__xludf.DUMMYFUNCTION("""COMPUTED_VALUE"""),"Enrolled")</f>
        <v>Enrolled</v>
      </c>
      <c r="G1705" s="124" t="str">
        <f>IFERROR(__xludf.DUMMYFUNCTION("""COMPUTED_VALUE"""),"Mentorship")</f>
        <v>Mentorship</v>
      </c>
      <c r="K1705" s="124"/>
      <c r="L1705" s="124"/>
      <c r="M1705" s="124"/>
      <c r="N1705" s="124"/>
      <c r="O1705" s="124"/>
      <c r="T1705" s="126">
        <f>IFERROR(__xludf.DUMMYFUNCTION("""COMPUTED_VALUE"""),46095.0)</f>
        <v>46095</v>
      </c>
      <c r="U1705" s="124" t="str">
        <f>IFERROR(__xludf.DUMMYFUNCTION("""COMPUTED_VALUE"""),"Walk-Ins")</f>
        <v>Walk-Ins</v>
      </c>
      <c r="V1705" s="124" t="str">
        <f>IFERROR(__xludf.DUMMYFUNCTION("""COMPUTED_VALUE"""),"Walk-In")</f>
        <v>Walk-In</v>
      </c>
      <c r="W1705" s="124" t="str">
        <f>IFERROR(__xludf.DUMMYFUNCTION("""COMPUTED_VALUE"""),"Delhi")</f>
        <v>Delhi</v>
      </c>
      <c r="X1705" s="124" t="str">
        <f>IFERROR(__xludf.DUMMYFUNCTION("""COMPUTED_VALUE"""),"Netri")</f>
        <v>Netri</v>
      </c>
      <c r="Y1705" s="124" t="str">
        <f>IFERROR(__xludf.DUMMYFUNCTION("""COMPUTED_VALUE"""),"Delhi")</f>
        <v>Delhi</v>
      </c>
      <c r="Z1705" s="124">
        <f>IFERROR(__xludf.DUMMYFUNCTION("""COMPUTED_VALUE"""),1.0)</f>
        <v>1</v>
      </c>
      <c r="AA1705" s="124" t="str">
        <f>IFERROR(__xludf.DUMMYFUNCTION("""COMPUTED_VALUE"""),"Cold")</f>
        <v>Cold</v>
      </c>
      <c r="AB1705" s="124" t="str">
        <f>IFERROR(__xludf.DUMMYFUNCTION("""COMPUTED_VALUE"""),"Optionals")</f>
        <v>Optionals</v>
      </c>
    </row>
    <row r="1706">
      <c r="A1706" s="126">
        <f>IFERROR(__xludf.DUMMYFUNCTION("""COMPUTED_VALUE"""),46081.0)</f>
        <v>46081</v>
      </c>
      <c r="B1706" s="124" t="str">
        <f>IFERROR(__xludf.DUMMYFUNCTION("""COMPUTED_VALUE"""),"Walkin")</f>
        <v>Walkin</v>
      </c>
      <c r="C1706" s="124" t="str">
        <f>IFERROR(__xludf.DUMMYFUNCTION("""COMPUTED_VALUE"""),"Prayagraj")</f>
        <v>Prayagraj</v>
      </c>
      <c r="D1706" s="124" t="str">
        <f>IFERROR(__xludf.DUMMYFUNCTION("""COMPUTED_VALUE"""),"Primary_Walkin")</f>
        <v>Primary_Walkin</v>
      </c>
      <c r="E1706" s="124">
        <f>IFERROR(__xludf.DUMMYFUNCTION("""COMPUTED_VALUE"""),1.0)</f>
        <v>1</v>
      </c>
      <c r="F1706" s="124" t="str">
        <f>IFERROR(__xludf.DUMMYFUNCTION("""COMPUTED_VALUE"""),"Enrolled")</f>
        <v>Enrolled</v>
      </c>
      <c r="G1706" s="124" t="str">
        <f>IFERROR(__xludf.DUMMYFUNCTION("""COMPUTED_VALUE"""),"GS Foundation")</f>
        <v>GS Foundation</v>
      </c>
      <c r="K1706" s="124"/>
      <c r="L1706" s="124"/>
      <c r="M1706" s="124"/>
      <c r="N1706" s="124"/>
      <c r="O1706" s="124"/>
      <c r="T1706" s="126">
        <f>IFERROR(__xludf.DUMMYFUNCTION("""COMPUTED_VALUE"""),46089.0)</f>
        <v>46089</v>
      </c>
      <c r="U1706" s="124" t="str">
        <f>IFERROR(__xludf.DUMMYFUNCTION("""COMPUTED_VALUE"""),"Walk-Ins")</f>
        <v>Walk-Ins</v>
      </c>
      <c r="V1706" s="124" t="str">
        <f>IFERROR(__xludf.DUMMYFUNCTION("""COMPUTED_VALUE"""),"Walk-In")</f>
        <v>Walk-In</v>
      </c>
      <c r="W1706" s="124" t="str">
        <f>IFERROR(__xludf.DUMMYFUNCTION("""COMPUTED_VALUE"""),"Lucknow")</f>
        <v>Lucknow</v>
      </c>
      <c r="X1706" s="124" t="str">
        <f>IFERROR(__xludf.DUMMYFUNCTION("""COMPUTED_VALUE"""),"Swapnil")</f>
        <v>Swapnil</v>
      </c>
      <c r="Y1706" s="124" t="str">
        <f>IFERROR(__xludf.DUMMYFUNCTION("""COMPUTED_VALUE"""),"Lucknow")</f>
        <v>Lucknow</v>
      </c>
      <c r="Z1706" s="124">
        <f>IFERROR(__xludf.DUMMYFUNCTION("""COMPUTED_VALUE"""),1.0)</f>
        <v>1</v>
      </c>
      <c r="AA1706" s="124" t="str">
        <f>IFERROR(__xludf.DUMMYFUNCTION("""COMPUTED_VALUE"""),"Cold")</f>
        <v>Cold</v>
      </c>
      <c r="AB1706" s="124" t="str">
        <f>IFERROR(__xludf.DUMMYFUNCTION("""COMPUTED_VALUE"""),"State PCS")</f>
        <v>State PCS</v>
      </c>
    </row>
    <row r="1707">
      <c r="A1707" s="126">
        <f>IFERROR(__xludf.DUMMYFUNCTION("""COMPUTED_VALUE"""),46112.0)</f>
        <v>46112</v>
      </c>
      <c r="B1707" s="124" t="str">
        <f>IFERROR(__xludf.DUMMYFUNCTION("""COMPUTED_VALUE"""),"Walk-In")</f>
        <v>Walk-In</v>
      </c>
      <c r="C1707" s="124" t="str">
        <f>IFERROR(__xludf.DUMMYFUNCTION("""COMPUTED_VALUE"""),"Prayagraj")</f>
        <v>Prayagraj</v>
      </c>
      <c r="D1707" s="124" t="str">
        <f>IFERROR(__xludf.DUMMYFUNCTION("""COMPUTED_VALUE"""),"Primary_Walkin")</f>
        <v>Primary_Walkin</v>
      </c>
      <c r="E1707" s="124">
        <f>IFERROR(__xludf.DUMMYFUNCTION("""COMPUTED_VALUE"""),1.0)</f>
        <v>1</v>
      </c>
      <c r="F1707" s="124" t="str">
        <f>IFERROR(__xludf.DUMMYFUNCTION("""COMPUTED_VALUE"""),"Warm")</f>
        <v>Warm</v>
      </c>
      <c r="G1707" s="124" t="str">
        <f>IFERROR(__xludf.DUMMYFUNCTION("""COMPUTED_VALUE"""),"GS Foundation")</f>
        <v>GS Foundation</v>
      </c>
      <c r="K1707" s="124"/>
      <c r="L1707" s="124"/>
      <c r="M1707" s="124"/>
      <c r="N1707" s="124"/>
      <c r="O1707" s="124"/>
      <c r="T1707" s="126">
        <f>IFERROR(__xludf.DUMMYFUNCTION("""COMPUTED_VALUE"""),46048.0)</f>
        <v>46048</v>
      </c>
      <c r="U1707" s="124" t="str">
        <f>IFERROR(__xludf.DUMMYFUNCTION("""COMPUTED_VALUE"""),"Paid Ads")</f>
        <v>Paid Ads</v>
      </c>
      <c r="V1707" s="124" t="str">
        <f>IFERROR(__xludf.DUMMYFUNCTION("""COMPUTED_VALUE"""),"Facebook")</f>
        <v>Facebook</v>
      </c>
      <c r="W1707" s="124" t="str">
        <f>IFERROR(__xludf.DUMMYFUNCTION("""COMPUTED_VALUE"""),"LeadAd")</f>
        <v>LeadAd</v>
      </c>
      <c r="X1707" s="124" t="str">
        <f>IFERROR(__xludf.DUMMYFUNCTION("""COMPUTED_VALUE"""),"Upsc_Offline_26_Prygrj_FB_Creatives")</f>
        <v>Upsc_Offline_26_Prygrj_FB_Creatives</v>
      </c>
      <c r="Y1707" s="124" t="str">
        <f>IFERROR(__xludf.DUMMYFUNCTION("""COMPUTED_VALUE"""),"Prayagraj")</f>
        <v>Prayagraj</v>
      </c>
      <c r="Z1707" s="124">
        <f>IFERROR(__xludf.DUMMYFUNCTION("""COMPUTED_VALUE"""),1.0)</f>
        <v>1</v>
      </c>
      <c r="AA1707" s="124" t="str">
        <f>IFERROR(__xludf.DUMMYFUNCTION("""COMPUTED_VALUE"""),"Fake Lead")</f>
        <v>Fake Lead</v>
      </c>
      <c r="AB1707" s="124"/>
    </row>
    <row r="1708">
      <c r="A1708" s="126">
        <f>IFERROR(__xludf.DUMMYFUNCTION("""COMPUTED_VALUE"""),46108.0)</f>
        <v>46108</v>
      </c>
      <c r="B1708" s="124" t="str">
        <f>IFERROR(__xludf.DUMMYFUNCTION("""COMPUTED_VALUE"""),"Walkin")</f>
        <v>Walkin</v>
      </c>
      <c r="C1708" s="124" t="str">
        <f>IFERROR(__xludf.DUMMYFUNCTION("""COMPUTED_VALUE"""),"Prayagraj")</f>
        <v>Prayagraj</v>
      </c>
      <c r="D1708" s="124" t="str">
        <f>IFERROR(__xludf.DUMMYFUNCTION("""COMPUTED_VALUE"""),"Primary_Walkin")</f>
        <v>Primary_Walkin</v>
      </c>
      <c r="E1708" s="124">
        <f>IFERROR(__xludf.DUMMYFUNCTION("""COMPUTED_VALUE"""),1.0)</f>
        <v>1</v>
      </c>
      <c r="F1708" s="124" t="str">
        <f>IFERROR(__xludf.DUMMYFUNCTION("""COMPUTED_VALUE"""),"Cold")</f>
        <v>Cold</v>
      </c>
      <c r="G1708" s="124" t="str">
        <f>IFERROR(__xludf.DUMMYFUNCTION("""COMPUTED_VALUE"""),"Other")</f>
        <v>Other</v>
      </c>
      <c r="K1708" s="124"/>
      <c r="L1708" s="124"/>
      <c r="M1708" s="124"/>
      <c r="N1708" s="124"/>
      <c r="O1708" s="124"/>
      <c r="T1708" s="129">
        <f>IFERROR(__xludf.DUMMYFUNCTION("""COMPUTED_VALUE"""),46054.0)</f>
        <v>46054</v>
      </c>
      <c r="U1708" s="124" t="str">
        <f>IFERROR(__xludf.DUMMYFUNCTION("""COMPUTED_VALUE"""),"Walk-Ins")</f>
        <v>Walk-Ins</v>
      </c>
      <c r="V1708" s="124" t="str">
        <f>IFERROR(__xludf.DUMMYFUNCTION("""COMPUTED_VALUE"""),"Walk-In")</f>
        <v>Walk-In</v>
      </c>
      <c r="W1708" s="124" t="str">
        <f>IFERROR(__xludf.DUMMYFUNCTION("""COMPUTED_VALUE"""),"Prayagraj")</f>
        <v>Prayagraj</v>
      </c>
      <c r="X1708" s="124" t="str">
        <f>IFERROR(__xludf.DUMMYFUNCTION("""COMPUTED_VALUE"""),"Abhinandan")</f>
        <v>Abhinandan</v>
      </c>
      <c r="Y1708" s="124" t="str">
        <f>IFERROR(__xludf.DUMMYFUNCTION("""COMPUTED_VALUE"""),"Prayagraj")</f>
        <v>Prayagraj</v>
      </c>
      <c r="Z1708" s="124">
        <f>IFERROR(__xludf.DUMMYFUNCTION("""COMPUTED_VALUE"""),1.0)</f>
        <v>1</v>
      </c>
      <c r="AA1708" s="124" t="str">
        <f>IFERROR(__xludf.DUMMYFUNCTION("""COMPUTED_VALUE"""),"Fake Lead")</f>
        <v>Fake Lead</v>
      </c>
      <c r="AB1708" s="124" t="str">
        <f>IFERROR(__xludf.DUMMYFUNCTION("""COMPUTED_VALUE"""),"GS Foundation")</f>
        <v>GS Foundation</v>
      </c>
    </row>
    <row r="1709">
      <c r="A1709" s="126">
        <f>IFERROR(__xludf.DUMMYFUNCTION("""COMPUTED_VALUE"""),46101.0)</f>
        <v>46101</v>
      </c>
      <c r="B1709" s="124" t="str">
        <f>IFERROR(__xludf.DUMMYFUNCTION("""COMPUTED_VALUE"""),"Walkin")</f>
        <v>Walkin</v>
      </c>
      <c r="C1709" s="124" t="str">
        <f>IFERROR(__xludf.DUMMYFUNCTION("""COMPUTED_VALUE"""),"Prayagraj")</f>
        <v>Prayagraj</v>
      </c>
      <c r="D1709" s="124" t="str">
        <f>IFERROR(__xludf.DUMMYFUNCTION("""COMPUTED_VALUE"""),"Primary_Walkin")</f>
        <v>Primary_Walkin</v>
      </c>
      <c r="E1709" s="124">
        <f>IFERROR(__xludf.DUMMYFUNCTION("""COMPUTED_VALUE"""),2.0)</f>
        <v>2</v>
      </c>
      <c r="F1709" s="124" t="str">
        <f>IFERROR(__xludf.DUMMYFUNCTION("""COMPUTED_VALUE"""),"Not Interested")</f>
        <v>Not Interested</v>
      </c>
      <c r="G1709" s="124" t="str">
        <f>IFERROR(__xludf.DUMMYFUNCTION("""COMPUTED_VALUE"""),"GS Foundation")</f>
        <v>GS Foundation</v>
      </c>
      <c r="K1709" s="124"/>
      <c r="L1709" s="124"/>
      <c r="M1709" s="124"/>
      <c r="N1709" s="124"/>
      <c r="O1709" s="124"/>
      <c r="T1709" s="126">
        <f>IFERROR(__xludf.DUMMYFUNCTION("""COMPUTED_VALUE"""),46100.0)</f>
        <v>46100</v>
      </c>
      <c r="U1709" s="124" t="str">
        <f>IFERROR(__xludf.DUMMYFUNCTION("""COMPUTED_VALUE"""),"Walk-Ins")</f>
        <v>Walk-Ins</v>
      </c>
      <c r="V1709" s="124" t="str">
        <f>IFERROR(__xludf.DUMMYFUNCTION("""COMPUTED_VALUE"""),"Walk-In")</f>
        <v>Walk-In</v>
      </c>
      <c r="W1709" s="124" t="str">
        <f>IFERROR(__xludf.DUMMYFUNCTION("""COMPUTED_VALUE"""),"Patna")</f>
        <v>Patna</v>
      </c>
      <c r="X1709" s="124" t="str">
        <f>IFERROR(__xludf.DUMMYFUNCTION("""COMPUTED_VALUE"""),"Tejaswi")</f>
        <v>Tejaswi</v>
      </c>
      <c r="Y1709" s="124" t="str">
        <f>IFERROR(__xludf.DUMMYFUNCTION("""COMPUTED_VALUE"""),"Patna")</f>
        <v>Patna</v>
      </c>
      <c r="Z1709" s="124">
        <f>IFERROR(__xludf.DUMMYFUNCTION("""COMPUTED_VALUE"""),1.0)</f>
        <v>1</v>
      </c>
      <c r="AA1709" s="124" t="str">
        <f>IFERROR(__xludf.DUMMYFUNCTION("""COMPUTED_VALUE"""),"Warm")</f>
        <v>Warm</v>
      </c>
      <c r="AB1709" s="124" t="str">
        <f>IFERROR(__xludf.DUMMYFUNCTION("""COMPUTED_VALUE"""),"GS Foundation")</f>
        <v>GS Foundation</v>
      </c>
    </row>
    <row r="1710">
      <c r="A1710" s="126">
        <f>IFERROR(__xludf.DUMMYFUNCTION("""COMPUTED_VALUE"""),46106.0)</f>
        <v>46106</v>
      </c>
      <c r="B1710" s="124" t="str">
        <f>IFERROR(__xludf.DUMMYFUNCTION("""COMPUTED_VALUE"""),"Walk-In")</f>
        <v>Walk-In</v>
      </c>
      <c r="C1710" s="124" t="str">
        <f>IFERROR(__xludf.DUMMYFUNCTION("""COMPUTED_VALUE"""),"Prayagraj")</f>
        <v>Prayagraj</v>
      </c>
      <c r="D1710" s="124" t="str">
        <f>IFERROR(__xludf.DUMMYFUNCTION("""COMPUTED_VALUE"""),"Primary_Walkin")</f>
        <v>Primary_Walkin</v>
      </c>
      <c r="E1710" s="124">
        <f>IFERROR(__xludf.DUMMYFUNCTION("""COMPUTED_VALUE"""),1.0)</f>
        <v>1</v>
      </c>
      <c r="F1710" s="124" t="str">
        <f>IFERROR(__xludf.DUMMYFUNCTION("""COMPUTED_VALUE"""),"Not Interested")</f>
        <v>Not Interested</v>
      </c>
      <c r="G1710" s="124" t="str">
        <f>IFERROR(__xludf.DUMMYFUNCTION("""COMPUTED_VALUE"""),"GS Foundation")</f>
        <v>GS Foundation</v>
      </c>
      <c r="K1710" s="124"/>
      <c r="L1710" s="124"/>
      <c r="M1710" s="124"/>
      <c r="N1710" s="124"/>
      <c r="O1710" s="124"/>
      <c r="T1710" s="129">
        <f>IFERROR(__xludf.DUMMYFUNCTION("""COMPUTED_VALUE"""),46095.0)</f>
        <v>46095</v>
      </c>
      <c r="U1710" s="124" t="str">
        <f>IFERROR(__xludf.DUMMYFUNCTION("""COMPUTED_VALUE"""),"Walk-Ins")</f>
        <v>Walk-Ins</v>
      </c>
      <c r="V1710" s="124" t="str">
        <f>IFERROR(__xludf.DUMMYFUNCTION("""COMPUTED_VALUE"""),"Walk-In")</f>
        <v>Walk-In</v>
      </c>
      <c r="W1710" s="124" t="str">
        <f>IFERROR(__xludf.DUMMYFUNCTION("""COMPUTED_VALUE"""),"Delhi")</f>
        <v>Delhi</v>
      </c>
      <c r="X1710" s="124" t="str">
        <f>IFERROR(__xludf.DUMMYFUNCTION("""COMPUTED_VALUE"""),"Netri")</f>
        <v>Netri</v>
      </c>
      <c r="Y1710" s="124" t="str">
        <f>IFERROR(__xludf.DUMMYFUNCTION("""COMPUTED_VALUE"""),"Delhi")</f>
        <v>Delhi</v>
      </c>
      <c r="Z1710" s="124">
        <f>IFERROR(__xludf.DUMMYFUNCTION("""COMPUTED_VALUE"""),1.0)</f>
        <v>1</v>
      </c>
      <c r="AA1710" s="124" t="str">
        <f>IFERROR(__xludf.DUMMYFUNCTION("""COMPUTED_VALUE"""),"Fake Lead")</f>
        <v>Fake Lead</v>
      </c>
      <c r="AB1710" s="124" t="str">
        <f>IFERROR(__xludf.DUMMYFUNCTION("""COMPUTED_VALUE"""),"CSAT")</f>
        <v>CSAT</v>
      </c>
    </row>
    <row r="1711">
      <c r="A1711" s="126">
        <f>IFERROR(__xludf.DUMMYFUNCTION("""COMPUTED_VALUE"""),46077.0)</f>
        <v>46077</v>
      </c>
      <c r="B1711" s="124" t="str">
        <f>IFERROR(__xludf.DUMMYFUNCTION("""COMPUTED_VALUE"""),"Walkin")</f>
        <v>Walkin</v>
      </c>
      <c r="C1711" s="124" t="str">
        <f>IFERROR(__xludf.DUMMYFUNCTION("""COMPUTED_VALUE"""),"Prayagraj")</f>
        <v>Prayagraj</v>
      </c>
      <c r="D1711" s="124" t="str">
        <f>IFERROR(__xludf.DUMMYFUNCTION("""COMPUTED_VALUE"""),"Primary_Walkin")</f>
        <v>Primary_Walkin</v>
      </c>
      <c r="E1711" s="124">
        <f>IFERROR(__xludf.DUMMYFUNCTION("""COMPUTED_VALUE"""),1.0)</f>
        <v>1</v>
      </c>
      <c r="F1711" s="124" t="str">
        <f>IFERROR(__xludf.DUMMYFUNCTION("""COMPUTED_VALUE"""),"Cold")</f>
        <v>Cold</v>
      </c>
      <c r="G1711" s="124" t="str">
        <f>IFERROR(__xludf.DUMMYFUNCTION("""COMPUTED_VALUE"""),"Other")</f>
        <v>Other</v>
      </c>
      <c r="K1711" s="124"/>
      <c r="L1711" s="124"/>
      <c r="M1711" s="124"/>
      <c r="N1711" s="124"/>
      <c r="O1711" s="124"/>
      <c r="T1711" s="126">
        <f>IFERROR(__xludf.DUMMYFUNCTION("""COMPUTED_VALUE"""),46046.0)</f>
        <v>46046</v>
      </c>
      <c r="U1711" s="124" t="str">
        <f>IFERROR(__xludf.DUMMYFUNCTION("""COMPUTED_VALUE"""),"Walk-Ins")</f>
        <v>Walk-Ins</v>
      </c>
      <c r="V1711" s="124" t="str">
        <f>IFERROR(__xludf.DUMMYFUNCTION("""COMPUTED_VALUE"""),"Walk-In")</f>
        <v>Walk-In</v>
      </c>
      <c r="W1711" s="124" t="str">
        <f>IFERROR(__xludf.DUMMYFUNCTION("""COMPUTED_VALUE"""),"Delhi")</f>
        <v>Delhi</v>
      </c>
      <c r="X1711" s="124" t="str">
        <f>IFERROR(__xludf.DUMMYFUNCTION("""COMPUTED_VALUE"""),"Aryan")</f>
        <v>Aryan</v>
      </c>
      <c r="Y1711" s="124"/>
      <c r="Z1711" s="124">
        <f>IFERROR(__xludf.DUMMYFUNCTION("""COMPUTED_VALUE"""),1.0)</f>
        <v>1</v>
      </c>
      <c r="AA1711" s="124" t="str">
        <f>IFERROR(__xludf.DUMMYFUNCTION("""COMPUTED_VALUE"""),"Cold")</f>
        <v>Cold</v>
      </c>
      <c r="AB1711" s="124" t="str">
        <f>IFERROR(__xludf.DUMMYFUNCTION("""COMPUTED_VALUE"""),"GS Foundation")</f>
        <v>GS Foundation</v>
      </c>
    </row>
    <row r="1712">
      <c r="A1712" s="126">
        <f>IFERROR(__xludf.DUMMYFUNCTION("""COMPUTED_VALUE"""),46051.0)</f>
        <v>46051</v>
      </c>
      <c r="B1712" s="124" t="str">
        <f>IFERROR(__xludf.DUMMYFUNCTION("""COMPUTED_VALUE"""),"Walkin")</f>
        <v>Walkin</v>
      </c>
      <c r="C1712" s="124" t="str">
        <f>IFERROR(__xludf.DUMMYFUNCTION("""COMPUTED_VALUE"""),"Prayagraj")</f>
        <v>Prayagraj</v>
      </c>
      <c r="D1712" s="124" t="str">
        <f>IFERROR(__xludf.DUMMYFUNCTION("""COMPUTED_VALUE"""),"Primary_Walkin")</f>
        <v>Primary_Walkin</v>
      </c>
      <c r="E1712" s="124">
        <f>IFERROR(__xludf.DUMMYFUNCTION("""COMPUTED_VALUE"""),2.0)</f>
        <v>2</v>
      </c>
      <c r="F1712" s="124" t="str">
        <f>IFERROR(__xludf.DUMMYFUNCTION("""COMPUTED_VALUE"""),"Enrolled")</f>
        <v>Enrolled</v>
      </c>
      <c r="G1712" s="124" t="str">
        <f>IFERROR(__xludf.DUMMYFUNCTION("""COMPUTED_VALUE"""),"GS Foundation")</f>
        <v>GS Foundation</v>
      </c>
      <c r="K1712" s="124"/>
      <c r="L1712" s="124"/>
      <c r="M1712" s="124"/>
      <c r="N1712" s="124"/>
      <c r="O1712" s="124"/>
      <c r="T1712" s="129">
        <f>IFERROR(__xludf.DUMMYFUNCTION("""COMPUTED_VALUE"""),46098.0)</f>
        <v>46098</v>
      </c>
      <c r="U1712" s="124" t="str">
        <f>IFERROR(__xludf.DUMMYFUNCTION("""COMPUTED_VALUE"""),"Walk-Ins")</f>
        <v>Walk-Ins</v>
      </c>
      <c r="V1712" s="124" t="str">
        <f>IFERROR(__xludf.DUMMYFUNCTION("""COMPUTED_VALUE"""),"Walk-In")</f>
        <v>Walk-In</v>
      </c>
      <c r="W1712" s="124" t="str">
        <f>IFERROR(__xludf.DUMMYFUNCTION("""COMPUTED_VALUE"""),"Delhi")</f>
        <v>Delhi</v>
      </c>
      <c r="X1712" s="124" t="str">
        <f>IFERROR(__xludf.DUMMYFUNCTION("""COMPUTED_VALUE"""),"Bijender")</f>
        <v>Bijender</v>
      </c>
      <c r="Y1712" s="124" t="str">
        <f>IFERROR(__xludf.DUMMYFUNCTION("""COMPUTED_VALUE"""),"Delhi")</f>
        <v>Delhi</v>
      </c>
      <c r="Z1712" s="124">
        <f>IFERROR(__xludf.DUMMYFUNCTION("""COMPUTED_VALUE"""),1.0)</f>
        <v>1</v>
      </c>
      <c r="AA1712" s="124" t="str">
        <f>IFERROR(__xludf.DUMMYFUNCTION("""COMPUTED_VALUE"""),"Cold")</f>
        <v>Cold</v>
      </c>
      <c r="AB1712" s="124" t="str">
        <f>IFERROR(__xludf.DUMMYFUNCTION("""COMPUTED_VALUE"""),"GS Foundation")</f>
        <v>GS Foundation</v>
      </c>
    </row>
    <row r="1713">
      <c r="A1713" s="126">
        <f>IFERROR(__xludf.DUMMYFUNCTION("""COMPUTED_VALUE"""),46095.0)</f>
        <v>46095</v>
      </c>
      <c r="B1713" s="124" t="str">
        <f>IFERROR(__xludf.DUMMYFUNCTION("""COMPUTED_VALUE"""),"Walkin")</f>
        <v>Walkin</v>
      </c>
      <c r="C1713" s="124" t="str">
        <f>IFERROR(__xludf.DUMMYFUNCTION("""COMPUTED_VALUE"""),"Prayagraj")</f>
        <v>Prayagraj</v>
      </c>
      <c r="D1713" s="124" t="str">
        <f>IFERROR(__xludf.DUMMYFUNCTION("""COMPUTED_VALUE"""),"Primary_Walkin")</f>
        <v>Primary_Walkin</v>
      </c>
      <c r="E1713" s="124">
        <f>IFERROR(__xludf.DUMMYFUNCTION("""COMPUTED_VALUE"""),1.0)</f>
        <v>1</v>
      </c>
      <c r="F1713" s="124" t="str">
        <f>IFERROR(__xludf.DUMMYFUNCTION("""COMPUTED_VALUE"""),"Cold")</f>
        <v>Cold</v>
      </c>
      <c r="G1713" s="124" t="str">
        <f>IFERROR(__xludf.DUMMYFUNCTION("""COMPUTED_VALUE"""),"GS Foundation")</f>
        <v>GS Foundation</v>
      </c>
      <c r="K1713" s="124"/>
      <c r="L1713" s="124"/>
      <c r="M1713" s="124"/>
      <c r="N1713" s="124"/>
      <c r="O1713" s="124"/>
      <c r="T1713" s="126">
        <f>IFERROR(__xludf.DUMMYFUNCTION("""COMPUTED_VALUE"""),46079.0)</f>
        <v>46079</v>
      </c>
      <c r="U1713" s="124" t="str">
        <f>IFERROR(__xludf.DUMMYFUNCTION("""COMPUTED_VALUE"""),"Walk-Ins")</f>
        <v>Walk-Ins</v>
      </c>
      <c r="V1713" s="124" t="str">
        <f>IFERROR(__xludf.DUMMYFUNCTION("""COMPUTED_VALUE"""),"Walk-In")</f>
        <v>Walk-In</v>
      </c>
      <c r="W1713" s="124" t="str">
        <f>IFERROR(__xludf.DUMMYFUNCTION("""COMPUTED_VALUE"""),"New Delhi")</f>
        <v>New Delhi</v>
      </c>
      <c r="X1713" s="124" t="str">
        <f>IFERROR(__xludf.DUMMYFUNCTION("""COMPUTED_VALUE"""),"New Delhi")</f>
        <v>New Delhi</v>
      </c>
      <c r="Y1713" s="124" t="str">
        <f>IFERROR(__xludf.DUMMYFUNCTION("""COMPUTED_VALUE"""),"Delhi")</f>
        <v>Delhi</v>
      </c>
      <c r="Z1713" s="124">
        <f>IFERROR(__xludf.DUMMYFUNCTION("""COMPUTED_VALUE"""),1.0)</f>
        <v>1</v>
      </c>
      <c r="AA1713" s="124" t="str">
        <f>IFERROR(__xludf.DUMMYFUNCTION("""COMPUTED_VALUE"""),"Cold")</f>
        <v>Cold</v>
      </c>
      <c r="AB1713" s="124" t="str">
        <f>IFERROR(__xludf.DUMMYFUNCTION("""COMPUTED_VALUE"""),"Optionals")</f>
        <v>Optionals</v>
      </c>
    </row>
    <row r="1714">
      <c r="A1714" s="126">
        <f>IFERROR(__xludf.DUMMYFUNCTION("""COMPUTED_VALUE"""),46046.0)</f>
        <v>46046</v>
      </c>
      <c r="B1714" s="124" t="str">
        <f>IFERROR(__xludf.DUMMYFUNCTION("""COMPUTED_VALUE"""),"Walkin")</f>
        <v>Walkin</v>
      </c>
      <c r="C1714" s="124" t="str">
        <f>IFERROR(__xludf.DUMMYFUNCTION("""COMPUTED_VALUE"""),"Prayagraj")</f>
        <v>Prayagraj</v>
      </c>
      <c r="D1714" s="124" t="str">
        <f>IFERROR(__xludf.DUMMYFUNCTION("""COMPUTED_VALUE"""),"Primary_Walkin")</f>
        <v>Primary_Walkin</v>
      </c>
      <c r="E1714" s="124">
        <f>IFERROR(__xludf.DUMMYFUNCTION("""COMPUTED_VALUE"""),1.0)</f>
        <v>1</v>
      </c>
      <c r="F1714" s="124" t="str">
        <f>IFERROR(__xludf.DUMMYFUNCTION("""COMPUTED_VALUE"""),"Not Interested")</f>
        <v>Not Interested</v>
      </c>
      <c r="G1714" s="124" t="str">
        <f>IFERROR(__xludf.DUMMYFUNCTION("""COMPUTED_VALUE"""),"State PCS")</f>
        <v>State PCS</v>
      </c>
      <c r="K1714" s="124"/>
      <c r="L1714" s="124"/>
      <c r="M1714" s="124"/>
      <c r="N1714" s="124"/>
      <c r="O1714" s="124"/>
      <c r="T1714" s="126">
        <f>IFERROR(__xludf.DUMMYFUNCTION("""COMPUTED_VALUE"""),46076.0)</f>
        <v>46076</v>
      </c>
      <c r="U1714" s="124" t="str">
        <f>IFERROR(__xludf.DUMMYFUNCTION("""COMPUTED_VALUE"""),"Walk-Ins")</f>
        <v>Walk-Ins</v>
      </c>
      <c r="V1714" s="124" t="str">
        <f>IFERROR(__xludf.DUMMYFUNCTION("""COMPUTED_VALUE"""),"Walk-In")</f>
        <v>Walk-In</v>
      </c>
      <c r="W1714" s="124" t="str">
        <f>IFERROR(__xludf.DUMMYFUNCTION("""COMPUTED_VALUE"""),"New Delhi")</f>
        <v>New Delhi</v>
      </c>
      <c r="X1714" s="124" t="str">
        <f>IFERROR(__xludf.DUMMYFUNCTION("""COMPUTED_VALUE"""),"New Delhi")</f>
        <v>New Delhi</v>
      </c>
      <c r="Y1714" s="124" t="str">
        <f>IFERROR(__xludf.DUMMYFUNCTION("""COMPUTED_VALUE"""),"Delhi")</f>
        <v>Delhi</v>
      </c>
      <c r="Z1714" s="124">
        <f>IFERROR(__xludf.DUMMYFUNCTION("""COMPUTED_VALUE"""),2.0)</f>
        <v>2</v>
      </c>
      <c r="AA1714" s="124" t="str">
        <f>IFERROR(__xludf.DUMMYFUNCTION("""COMPUTED_VALUE"""),"Cold")</f>
        <v>Cold</v>
      </c>
      <c r="AB1714" s="124" t="str">
        <f>IFERROR(__xludf.DUMMYFUNCTION("""COMPUTED_VALUE"""),"GS Foundation")</f>
        <v>GS Foundation</v>
      </c>
    </row>
    <row r="1715">
      <c r="A1715" s="126">
        <f>IFERROR(__xludf.DUMMYFUNCTION("""COMPUTED_VALUE"""),46075.0)</f>
        <v>46075</v>
      </c>
      <c r="B1715" s="124" t="str">
        <f>IFERROR(__xludf.DUMMYFUNCTION("""COMPUTED_VALUE"""),"Walkin")</f>
        <v>Walkin</v>
      </c>
      <c r="C1715" s="124" t="str">
        <f>IFERROR(__xludf.DUMMYFUNCTION("""COMPUTED_VALUE"""),"Prayagraj")</f>
        <v>Prayagraj</v>
      </c>
      <c r="D1715" s="124" t="str">
        <f>IFERROR(__xludf.DUMMYFUNCTION("""COMPUTED_VALUE"""),"Primary_Walkin")</f>
        <v>Primary_Walkin</v>
      </c>
      <c r="E1715" s="124">
        <f>IFERROR(__xludf.DUMMYFUNCTION("""COMPUTED_VALUE"""),1.0)</f>
        <v>1</v>
      </c>
      <c r="F1715" s="124" t="str">
        <f>IFERROR(__xludf.DUMMYFUNCTION("""COMPUTED_VALUE"""),"Warm")</f>
        <v>Warm</v>
      </c>
      <c r="G1715" s="124" t="str">
        <f>IFERROR(__xludf.DUMMYFUNCTION("""COMPUTED_VALUE"""),"GS Foundation")</f>
        <v>GS Foundation</v>
      </c>
      <c r="K1715" s="124"/>
      <c r="L1715" s="124"/>
      <c r="M1715" s="124"/>
      <c r="N1715" s="124"/>
      <c r="O1715" s="124"/>
      <c r="T1715" s="126">
        <f>IFERROR(__xludf.DUMMYFUNCTION("""COMPUTED_VALUE"""),46091.0)</f>
        <v>46091</v>
      </c>
      <c r="U1715" s="124" t="str">
        <f>IFERROR(__xludf.DUMMYFUNCTION("""COMPUTED_VALUE"""),"Walk-Ins")</f>
        <v>Walk-Ins</v>
      </c>
      <c r="V1715" s="124" t="str">
        <f>IFERROR(__xludf.DUMMYFUNCTION("""COMPUTED_VALUE"""),"Walk-In")</f>
        <v>Walk-In</v>
      </c>
      <c r="W1715" s="124" t="str">
        <f>IFERROR(__xludf.DUMMYFUNCTION("""COMPUTED_VALUE"""),"Delhi")</f>
        <v>Delhi</v>
      </c>
      <c r="X1715" s="124" t="str">
        <f>IFERROR(__xludf.DUMMYFUNCTION("""COMPUTED_VALUE"""),"Bijender")</f>
        <v>Bijender</v>
      </c>
      <c r="Y1715" s="124" t="str">
        <f>IFERROR(__xludf.DUMMYFUNCTION("""COMPUTED_VALUE"""),"Delhi")</f>
        <v>Delhi</v>
      </c>
      <c r="Z1715" s="124">
        <f>IFERROR(__xludf.DUMMYFUNCTION("""COMPUTED_VALUE"""),1.0)</f>
        <v>1</v>
      </c>
      <c r="AA1715" s="124" t="str">
        <f>IFERROR(__xludf.DUMMYFUNCTION("""COMPUTED_VALUE"""),"Cold")</f>
        <v>Cold</v>
      </c>
      <c r="AB1715" s="124" t="str">
        <f>IFERROR(__xludf.DUMMYFUNCTION("""COMPUTED_VALUE"""),"GS Foundation")</f>
        <v>GS Foundation</v>
      </c>
    </row>
    <row r="1716">
      <c r="A1716" s="129">
        <f>IFERROR(__xludf.DUMMYFUNCTION("""COMPUTED_VALUE"""),46055.0)</f>
        <v>46055</v>
      </c>
      <c r="B1716" s="124" t="str">
        <f>IFERROR(__xludf.DUMMYFUNCTION("""COMPUTED_VALUE"""),"Walkin")</f>
        <v>Walkin</v>
      </c>
      <c r="C1716" s="124" t="str">
        <f>IFERROR(__xludf.DUMMYFUNCTION("""COMPUTED_VALUE"""),"Prayagraj")</f>
        <v>Prayagraj</v>
      </c>
      <c r="D1716" s="124" t="str">
        <f>IFERROR(__xludf.DUMMYFUNCTION("""COMPUTED_VALUE"""),"Primary_Walkin")</f>
        <v>Primary_Walkin</v>
      </c>
      <c r="E1716" s="124">
        <f>IFERROR(__xludf.DUMMYFUNCTION("""COMPUTED_VALUE"""),1.0)</f>
        <v>1</v>
      </c>
      <c r="F1716" s="124" t="str">
        <f>IFERROR(__xludf.DUMMYFUNCTION("""COMPUTED_VALUE"""),"Cold")</f>
        <v>Cold</v>
      </c>
      <c r="G1716" s="124" t="str">
        <f>IFERROR(__xludf.DUMMYFUNCTION("""COMPUTED_VALUE"""),"Mentorship")</f>
        <v>Mentorship</v>
      </c>
      <c r="K1716" s="124"/>
      <c r="L1716" s="124"/>
      <c r="M1716" s="124"/>
      <c r="N1716" s="124"/>
      <c r="O1716" s="124"/>
      <c r="T1716" s="126">
        <f>IFERROR(__xludf.DUMMYFUNCTION("""COMPUTED_VALUE"""),46070.0)</f>
        <v>46070</v>
      </c>
      <c r="U1716" s="124" t="str">
        <f>IFERROR(__xludf.DUMMYFUNCTION("""COMPUTED_VALUE"""),"Paid Ads")</f>
        <v>Paid Ads</v>
      </c>
      <c r="V1716" s="124" t="str">
        <f>IFERROR(__xludf.DUMMYFUNCTION("""COMPUTED_VALUE"""),"facebook")</f>
        <v>facebook</v>
      </c>
      <c r="W1716" s="124" t="str">
        <f>IFERROR(__xludf.DUMMYFUNCTION("""COMPUTED_VALUE"""),"indore")</f>
        <v>indore</v>
      </c>
      <c r="X1716" s="124" t="str">
        <f>IFERROR(__xludf.DUMMYFUNCTION("""COMPUTED_VALUE"""),"metaleads")</f>
        <v>metaleads</v>
      </c>
      <c r="Y1716" s="124" t="str">
        <f>IFERROR(__xludf.DUMMYFUNCTION("""COMPUTED_VALUE"""),"Indore")</f>
        <v>Indore</v>
      </c>
      <c r="Z1716" s="124">
        <f>IFERROR(__xludf.DUMMYFUNCTION("""COMPUTED_VALUE"""),1.0)</f>
        <v>1</v>
      </c>
      <c r="AA1716" s="124" t="str">
        <f>IFERROR(__xludf.DUMMYFUNCTION("""COMPUTED_VALUE"""),"Cold")</f>
        <v>Cold</v>
      </c>
      <c r="AB1716" s="124" t="str">
        <f>IFERROR(__xludf.DUMMYFUNCTION("""COMPUTED_VALUE"""),"State PCS")</f>
        <v>State PCS</v>
      </c>
    </row>
    <row r="1717">
      <c r="A1717" s="126">
        <f>IFERROR(__xludf.DUMMYFUNCTION("""COMPUTED_VALUE"""),46111.0)</f>
        <v>46111</v>
      </c>
      <c r="B1717" s="124" t="str">
        <f>IFERROR(__xludf.DUMMYFUNCTION("""COMPUTED_VALUE"""),"BTL Activities")</f>
        <v>BTL Activities</v>
      </c>
      <c r="C1717" s="124" t="str">
        <f>IFERROR(__xludf.DUMMYFUNCTION("""COMPUTED_VALUE"""),"Prayagraj")</f>
        <v>Prayagraj</v>
      </c>
      <c r="D1717" s="124" t="str">
        <f>IFERROR(__xludf.DUMMYFUNCTION("""COMPUTED_VALUE"""),"Secondary_Walkin")</f>
        <v>Secondary_Walkin</v>
      </c>
      <c r="E1717" s="124">
        <f>IFERROR(__xludf.DUMMYFUNCTION("""COMPUTED_VALUE"""),1.0)</f>
        <v>1</v>
      </c>
      <c r="F1717" s="124" t="str">
        <f>IFERROR(__xludf.DUMMYFUNCTION("""COMPUTED_VALUE"""),"Warm")</f>
        <v>Warm</v>
      </c>
      <c r="G1717" s="124" t="str">
        <f>IFERROR(__xludf.DUMMYFUNCTION("""COMPUTED_VALUE"""),"Mentorship")</f>
        <v>Mentorship</v>
      </c>
      <c r="K1717" s="124"/>
      <c r="L1717" s="124"/>
      <c r="M1717" s="124"/>
      <c r="N1717" s="124"/>
      <c r="O1717" s="124"/>
      <c r="T1717" s="129">
        <f>IFERROR(__xludf.DUMMYFUNCTION("""COMPUTED_VALUE"""),46047.0)</f>
        <v>46047</v>
      </c>
      <c r="U1717" s="124" t="str">
        <f>IFERROR(__xludf.DUMMYFUNCTION("""COMPUTED_VALUE"""),"Paid Ads")</f>
        <v>Paid Ads</v>
      </c>
      <c r="V1717" s="124" t="str">
        <f>IFERROR(__xludf.DUMMYFUNCTION("""COMPUTED_VALUE"""),"Facebook")</f>
        <v>Facebook</v>
      </c>
      <c r="W1717" s="124" t="str">
        <f>IFERROR(__xludf.DUMMYFUNCTION("""COMPUTED_VALUE"""),"LeadAd")</f>
        <v>LeadAd</v>
      </c>
      <c r="X1717" s="124" t="str">
        <f>IFERROR(__xludf.DUMMYFUNCTION("""COMPUTED_VALUE"""),"Upsc_Offline_26_Indore_FB_Creatives")</f>
        <v>Upsc_Offline_26_Indore_FB_Creatives</v>
      </c>
      <c r="Y1717" s="124" t="str">
        <f>IFERROR(__xludf.DUMMYFUNCTION("""COMPUTED_VALUE"""),"Indore")</f>
        <v>Indore</v>
      </c>
      <c r="Z1717" s="124">
        <f>IFERROR(__xludf.DUMMYFUNCTION("""COMPUTED_VALUE"""),1.0)</f>
        <v>1</v>
      </c>
      <c r="AA1717" s="124" t="str">
        <f>IFERROR(__xludf.DUMMYFUNCTION("""COMPUTED_VALUE"""),"Not Interested")</f>
        <v>Not Interested</v>
      </c>
      <c r="AB1717" s="124"/>
    </row>
    <row r="1718">
      <c r="A1718" s="129">
        <f>IFERROR(__xludf.DUMMYFUNCTION("""COMPUTED_VALUE"""),46061.0)</f>
        <v>46061</v>
      </c>
      <c r="B1718" s="124" t="str">
        <f>IFERROR(__xludf.DUMMYFUNCTION("""COMPUTED_VALUE"""),"Walkin")</f>
        <v>Walkin</v>
      </c>
      <c r="C1718" s="124" t="str">
        <f>IFERROR(__xludf.DUMMYFUNCTION("""COMPUTED_VALUE"""),"Prayagraj")</f>
        <v>Prayagraj</v>
      </c>
      <c r="D1718" s="124" t="str">
        <f>IFERROR(__xludf.DUMMYFUNCTION("""COMPUTED_VALUE"""),"Primary_Walkin")</f>
        <v>Primary_Walkin</v>
      </c>
      <c r="E1718" s="124">
        <f>IFERROR(__xludf.DUMMYFUNCTION("""COMPUTED_VALUE"""),1.0)</f>
        <v>1</v>
      </c>
      <c r="F1718" s="124" t="str">
        <f>IFERROR(__xludf.DUMMYFUNCTION("""COMPUTED_VALUE"""),"Future Prospects")</f>
        <v>Future Prospects</v>
      </c>
      <c r="G1718" s="124" t="str">
        <f>IFERROR(__xludf.DUMMYFUNCTION("""COMPUTED_VALUE"""),"GS Foundation")</f>
        <v>GS Foundation</v>
      </c>
      <c r="K1718" s="124"/>
      <c r="L1718" s="124"/>
      <c r="M1718" s="124"/>
      <c r="N1718" s="124"/>
      <c r="O1718" s="124"/>
      <c r="T1718" s="129">
        <f>IFERROR(__xludf.DUMMYFUNCTION("""COMPUTED_VALUE"""),46065.0)</f>
        <v>46065</v>
      </c>
      <c r="U1718" s="124" t="str">
        <f>IFERROR(__xludf.DUMMYFUNCTION("""COMPUTED_VALUE"""),"Walk-Ins")</f>
        <v>Walk-Ins</v>
      </c>
      <c r="V1718" s="124" t="str">
        <f>IFERROR(__xludf.DUMMYFUNCTION("""COMPUTED_VALUE"""),"Walk-In")</f>
        <v>Walk-In</v>
      </c>
      <c r="W1718" s="124" t="str">
        <f>IFERROR(__xludf.DUMMYFUNCTION("""COMPUTED_VALUE"""),"New Delhi")</f>
        <v>New Delhi</v>
      </c>
      <c r="X1718" s="124" t="str">
        <f>IFERROR(__xludf.DUMMYFUNCTION("""COMPUTED_VALUE"""),"New Delhi")</f>
        <v>New Delhi</v>
      </c>
      <c r="Y1718" s="124" t="str">
        <f>IFERROR(__xludf.DUMMYFUNCTION("""COMPUTED_VALUE"""),"Delhi")</f>
        <v>Delhi</v>
      </c>
      <c r="Z1718" s="124">
        <f>IFERROR(__xludf.DUMMYFUNCTION("""COMPUTED_VALUE"""),1.0)</f>
        <v>1</v>
      </c>
      <c r="AA1718" s="124" t="str">
        <f>IFERROR(__xludf.DUMMYFUNCTION("""COMPUTED_VALUE"""),"Cold")</f>
        <v>Cold</v>
      </c>
      <c r="AB1718" s="124" t="str">
        <f>IFERROR(__xludf.DUMMYFUNCTION("""COMPUTED_VALUE"""),"GS Foundation")</f>
        <v>GS Foundation</v>
      </c>
    </row>
    <row r="1719">
      <c r="A1719" s="129">
        <f>IFERROR(__xludf.DUMMYFUNCTION("""COMPUTED_VALUE"""),46054.0)</f>
        <v>46054</v>
      </c>
      <c r="B1719" s="124" t="str">
        <f>IFERROR(__xludf.DUMMYFUNCTION("""COMPUTED_VALUE"""),"events")</f>
        <v>events</v>
      </c>
      <c r="C1719" s="124" t="str">
        <f>IFERROR(__xludf.DUMMYFUNCTION("""COMPUTED_VALUE"""),"Prayagraj")</f>
        <v>Prayagraj</v>
      </c>
      <c r="D1719" s="124" t="str">
        <f>IFERROR(__xludf.DUMMYFUNCTION("""COMPUTED_VALUE"""),"Secondary_Walkin")</f>
        <v>Secondary_Walkin</v>
      </c>
      <c r="E1719" s="124">
        <f>IFERROR(__xludf.DUMMYFUNCTION("""COMPUTED_VALUE"""),1.0)</f>
        <v>1</v>
      </c>
      <c r="F1719" s="124" t="str">
        <f>IFERROR(__xludf.DUMMYFUNCTION("""COMPUTED_VALUE"""),"Warm")</f>
        <v>Warm</v>
      </c>
      <c r="G1719" s="124" t="str">
        <f>IFERROR(__xludf.DUMMYFUNCTION("""COMPUTED_VALUE"""),"State PCS")</f>
        <v>State PCS</v>
      </c>
      <c r="K1719" s="124"/>
      <c r="L1719" s="124"/>
      <c r="M1719" s="124"/>
      <c r="N1719" s="124"/>
      <c r="O1719" s="124"/>
      <c r="T1719" s="126">
        <f>IFERROR(__xludf.DUMMYFUNCTION("""COMPUTED_VALUE"""),46070.0)</f>
        <v>46070</v>
      </c>
      <c r="U1719" s="124" t="str">
        <f>IFERROR(__xludf.DUMMYFUNCTION("""COMPUTED_VALUE"""),"Paid Ads")</f>
        <v>Paid Ads</v>
      </c>
      <c r="V1719" s="124" t="str">
        <f>IFERROR(__xludf.DUMMYFUNCTION("""COMPUTED_VALUE"""),"facebook")</f>
        <v>facebook</v>
      </c>
      <c r="W1719" s="124" t="str">
        <f>IFERROR(__xludf.DUMMYFUNCTION("""COMPUTED_VALUE"""),"lucknow")</f>
        <v>lucknow</v>
      </c>
      <c r="X1719" s="124" t="str">
        <f>IFERROR(__xludf.DUMMYFUNCTION("""COMPUTED_VALUE"""),"metaleads")</f>
        <v>metaleads</v>
      </c>
      <c r="Y1719" s="124" t="str">
        <f>IFERROR(__xludf.DUMMYFUNCTION("""COMPUTED_VALUE"""),"Lucknow")</f>
        <v>Lucknow</v>
      </c>
      <c r="Z1719" s="124">
        <f>IFERROR(__xludf.DUMMYFUNCTION("""COMPUTED_VALUE"""),4.0)</f>
        <v>4</v>
      </c>
      <c r="AA1719" s="124" t="str">
        <f>IFERROR(__xludf.DUMMYFUNCTION("""COMPUTED_VALUE"""),"Fake Lead")</f>
        <v>Fake Lead</v>
      </c>
      <c r="AB1719" s="124"/>
    </row>
    <row r="1720">
      <c r="A1720" s="126">
        <f>IFERROR(__xludf.DUMMYFUNCTION("""COMPUTED_VALUE"""),46101.0)</f>
        <v>46101</v>
      </c>
      <c r="B1720" s="124" t="str">
        <f>IFERROR(__xludf.DUMMYFUNCTION("""COMPUTED_VALUE"""),"Walkin")</f>
        <v>Walkin</v>
      </c>
      <c r="C1720" s="124" t="str">
        <f>IFERROR(__xludf.DUMMYFUNCTION("""COMPUTED_VALUE"""),"Prayagraj")</f>
        <v>Prayagraj</v>
      </c>
      <c r="D1720" s="124" t="str">
        <f>IFERROR(__xludf.DUMMYFUNCTION("""COMPUTED_VALUE"""),"Primary_Walkin")</f>
        <v>Primary_Walkin</v>
      </c>
      <c r="E1720" s="124">
        <f>IFERROR(__xludf.DUMMYFUNCTION("""COMPUTED_VALUE"""),3.0)</f>
        <v>3</v>
      </c>
      <c r="F1720" s="124" t="str">
        <f>IFERROR(__xludf.DUMMYFUNCTION("""COMPUTED_VALUE"""),"Fake Lead")</f>
        <v>Fake Lead</v>
      </c>
      <c r="G1720" s="124" t="str">
        <f>IFERROR(__xludf.DUMMYFUNCTION("""COMPUTED_VALUE"""),"GS Foundation")</f>
        <v>GS Foundation</v>
      </c>
      <c r="K1720" s="124"/>
      <c r="L1720" s="124"/>
      <c r="M1720" s="124"/>
      <c r="N1720" s="124"/>
      <c r="O1720" s="124"/>
      <c r="T1720" s="126">
        <f>IFERROR(__xludf.DUMMYFUNCTION("""COMPUTED_VALUE"""),46056.0)</f>
        <v>46056</v>
      </c>
      <c r="U1720" s="124" t="str">
        <f>IFERROR(__xludf.DUMMYFUNCTION("""COMPUTED_VALUE"""),"External Leads")</f>
        <v>External Leads</v>
      </c>
      <c r="V1720" s="124" t="str">
        <f>IFERROR(__xludf.DUMMYFUNCTION("""COMPUTED_VALUE"""),"Offline")</f>
        <v>Offline</v>
      </c>
      <c r="W1720" s="124" t="str">
        <f>IFERROR(__xludf.DUMMYFUNCTION("""COMPUTED_VALUE"""),"Patna")</f>
        <v>Patna</v>
      </c>
      <c r="X1720" s="124" t="str">
        <f>IFERROR(__xludf.DUMMYFUNCTION("""COMPUTED_VALUE"""),"Patna")</f>
        <v>Patna</v>
      </c>
      <c r="Y1720" s="124"/>
      <c r="Z1720" s="124">
        <f>IFERROR(__xludf.DUMMYFUNCTION("""COMPUTED_VALUE"""),1.0)</f>
        <v>1</v>
      </c>
      <c r="AA1720" s="124" t="str">
        <f>IFERROR(__xludf.DUMMYFUNCTION("""COMPUTED_VALUE"""),"Not Interested")</f>
        <v>Not Interested</v>
      </c>
      <c r="AB1720" s="124" t="str">
        <f>IFERROR(__xludf.DUMMYFUNCTION("""COMPUTED_VALUE"""),"State PCS")</f>
        <v>State PCS</v>
      </c>
    </row>
    <row r="1721">
      <c r="A1721" s="126">
        <f>IFERROR(__xludf.DUMMYFUNCTION("""COMPUTED_VALUE"""),46102.0)</f>
        <v>46102</v>
      </c>
      <c r="B1721" s="124" t="str">
        <f>IFERROR(__xludf.DUMMYFUNCTION("""COMPUTED_VALUE"""),"Walkin")</f>
        <v>Walkin</v>
      </c>
      <c r="C1721" s="124" t="str">
        <f>IFERROR(__xludf.DUMMYFUNCTION("""COMPUTED_VALUE"""),"Prayagraj")</f>
        <v>Prayagraj</v>
      </c>
      <c r="D1721" s="124" t="str">
        <f>IFERROR(__xludf.DUMMYFUNCTION("""COMPUTED_VALUE"""),"Primary_Walkin")</f>
        <v>Primary_Walkin</v>
      </c>
      <c r="E1721" s="124">
        <f>IFERROR(__xludf.DUMMYFUNCTION("""COMPUTED_VALUE"""),1.0)</f>
        <v>1</v>
      </c>
      <c r="F1721" s="124" t="str">
        <f>IFERROR(__xludf.DUMMYFUNCTION("""COMPUTED_VALUE"""),"Enrolled")</f>
        <v>Enrolled</v>
      </c>
      <c r="G1721" s="124" t="str">
        <f>IFERROR(__xludf.DUMMYFUNCTION("""COMPUTED_VALUE"""),"State PCS")</f>
        <v>State PCS</v>
      </c>
      <c r="K1721" s="124"/>
      <c r="L1721" s="124"/>
      <c r="M1721" s="124"/>
      <c r="N1721" s="124"/>
      <c r="O1721" s="124"/>
      <c r="T1721" s="129">
        <f>IFERROR(__xludf.DUMMYFUNCTION("""COMPUTED_VALUE"""),46073.0)</f>
        <v>46073</v>
      </c>
      <c r="U1721" s="124" t="str">
        <f>IFERROR(__xludf.DUMMYFUNCTION("""COMPUTED_VALUE"""),"Walk-Ins")</f>
        <v>Walk-Ins</v>
      </c>
      <c r="V1721" s="124" t="str">
        <f>IFERROR(__xludf.DUMMYFUNCTION("""COMPUTED_VALUE"""),"Walk-In")</f>
        <v>Walk-In</v>
      </c>
      <c r="W1721" s="124" t="str">
        <f>IFERROR(__xludf.DUMMYFUNCTION("""COMPUTED_VALUE"""),"Patna")</f>
        <v>Patna</v>
      </c>
      <c r="X1721" s="124" t="str">
        <f>IFERROR(__xludf.DUMMYFUNCTION("""COMPUTED_VALUE"""),"Patna")</f>
        <v>Patna</v>
      </c>
      <c r="Y1721" s="124"/>
      <c r="Z1721" s="124">
        <f>IFERROR(__xludf.DUMMYFUNCTION("""COMPUTED_VALUE"""),2.0)</f>
        <v>2</v>
      </c>
      <c r="AA1721" s="124" t="str">
        <f>IFERROR(__xludf.DUMMYFUNCTION("""COMPUTED_VALUE"""),"Cold")</f>
        <v>Cold</v>
      </c>
      <c r="AB1721" s="124" t="str">
        <f>IFERROR(__xludf.DUMMYFUNCTION("""COMPUTED_VALUE"""),"State PCS")</f>
        <v>State PCS</v>
      </c>
    </row>
    <row r="1722">
      <c r="A1722" s="129">
        <f>IFERROR(__xludf.DUMMYFUNCTION("""COMPUTED_VALUE"""),46090.0)</f>
        <v>46090</v>
      </c>
      <c r="B1722" s="124" t="str">
        <f>IFERROR(__xludf.DUMMYFUNCTION("""COMPUTED_VALUE"""),"Walk-In")</f>
        <v>Walk-In</v>
      </c>
      <c r="C1722" s="124" t="str">
        <f>IFERROR(__xludf.DUMMYFUNCTION("""COMPUTED_VALUE"""),"Prayagraj")</f>
        <v>Prayagraj</v>
      </c>
      <c r="D1722" s="124" t="str">
        <f>IFERROR(__xludf.DUMMYFUNCTION("""COMPUTED_VALUE"""),"Primary_Walkin")</f>
        <v>Primary_Walkin</v>
      </c>
      <c r="E1722" s="124">
        <f>IFERROR(__xludf.DUMMYFUNCTION("""COMPUTED_VALUE"""),1.0)</f>
        <v>1</v>
      </c>
      <c r="F1722" s="124" t="str">
        <f>IFERROR(__xludf.DUMMYFUNCTION("""COMPUTED_VALUE"""),"Cold")</f>
        <v>Cold</v>
      </c>
      <c r="G1722" s="124" t="str">
        <f>IFERROR(__xludf.DUMMYFUNCTION("""COMPUTED_VALUE"""),"GS Foundation")</f>
        <v>GS Foundation</v>
      </c>
      <c r="K1722" s="124"/>
      <c r="L1722" s="124"/>
      <c r="M1722" s="124"/>
      <c r="N1722" s="124"/>
      <c r="O1722" s="124"/>
      <c r="T1722" s="126">
        <f>IFERROR(__xludf.DUMMYFUNCTION("""COMPUTED_VALUE"""),46048.0)</f>
        <v>46048</v>
      </c>
      <c r="U1722" s="124" t="str">
        <f>IFERROR(__xludf.DUMMYFUNCTION("""COMPUTED_VALUE"""),"Paid Ads")</f>
        <v>Paid Ads</v>
      </c>
      <c r="V1722" s="124" t="str">
        <f>IFERROR(__xludf.DUMMYFUNCTION("""COMPUTED_VALUE"""),"google")</f>
        <v>google</v>
      </c>
      <c r="W1722" s="124" t="str">
        <f>IFERROR(__xludf.DUMMYFUNCTION("""COMPUTED_VALUE"""),"cpc")</f>
        <v>cpc</v>
      </c>
      <c r="X1722" s="124">
        <f>IFERROR(__xludf.DUMMYFUNCTION("""COMPUTED_VALUE"""),2.2758016291E10)</f>
        <v>22758016291</v>
      </c>
      <c r="Y1722" s="124" t="str">
        <f>IFERROR(__xludf.DUMMYFUNCTION("""COMPUTED_VALUE"""),"Delhi")</f>
        <v>Delhi</v>
      </c>
      <c r="Z1722" s="124">
        <f>IFERROR(__xludf.DUMMYFUNCTION("""COMPUTED_VALUE"""),1.0)</f>
        <v>1</v>
      </c>
      <c r="AA1722" s="124" t="str">
        <f>IFERROR(__xludf.DUMMYFUNCTION("""COMPUTED_VALUE"""),"Cold")</f>
        <v>Cold</v>
      </c>
      <c r="AB1722" s="124" t="str">
        <f>IFERROR(__xludf.DUMMYFUNCTION("""COMPUTED_VALUE"""),"CSAT")</f>
        <v>CSAT</v>
      </c>
    </row>
    <row r="1723">
      <c r="A1723" s="126">
        <f>IFERROR(__xludf.DUMMYFUNCTION("""COMPUTED_VALUE"""),46064.0)</f>
        <v>46064</v>
      </c>
      <c r="B1723" s="124" t="str">
        <f>IFERROR(__xludf.DUMMYFUNCTION("""COMPUTED_VALUE"""),"Walkin")</f>
        <v>Walkin</v>
      </c>
      <c r="C1723" s="124" t="str">
        <f>IFERROR(__xludf.DUMMYFUNCTION("""COMPUTED_VALUE"""),"Prayagraj")</f>
        <v>Prayagraj</v>
      </c>
      <c r="D1723" s="124" t="str">
        <f>IFERROR(__xludf.DUMMYFUNCTION("""COMPUTED_VALUE"""),"Primary_Walkin")</f>
        <v>Primary_Walkin</v>
      </c>
      <c r="E1723" s="124">
        <f>IFERROR(__xludf.DUMMYFUNCTION("""COMPUTED_VALUE"""),1.0)</f>
        <v>1</v>
      </c>
      <c r="F1723" s="124" t="str">
        <f>IFERROR(__xludf.DUMMYFUNCTION("""COMPUTED_VALUE"""),"Cold")</f>
        <v>Cold</v>
      </c>
      <c r="G1723" s="124" t="str">
        <f>IFERROR(__xludf.DUMMYFUNCTION("""COMPUTED_VALUE"""),"Other")</f>
        <v>Other</v>
      </c>
      <c r="K1723" s="124"/>
      <c r="L1723" s="124"/>
      <c r="M1723" s="124"/>
      <c r="N1723" s="124"/>
      <c r="O1723" s="124"/>
      <c r="T1723" s="126">
        <f>IFERROR(__xludf.DUMMYFUNCTION("""COMPUTED_VALUE"""),46111.0)</f>
        <v>46111</v>
      </c>
      <c r="U1723" s="124" t="str">
        <f>IFERROR(__xludf.DUMMYFUNCTION("""COMPUTED_VALUE"""),"Paid Ads")</f>
        <v>Paid Ads</v>
      </c>
      <c r="V1723" s="124" t="str">
        <f>IFERROR(__xludf.DUMMYFUNCTION("""COMPUTED_VALUE"""),"google")</f>
        <v>google</v>
      </c>
      <c r="W1723" s="124" t="str">
        <f>IFERROR(__xludf.DUMMYFUNCTION("""COMPUTED_VALUE"""),"cpc")</f>
        <v>cpc</v>
      </c>
      <c r="X1723" s="124">
        <f>IFERROR(__xludf.DUMMYFUNCTION("""COMPUTED_VALUE"""),2.2760381255E10)</f>
        <v>22760381255</v>
      </c>
      <c r="Y1723" s="124" t="str">
        <f>IFERROR(__xludf.DUMMYFUNCTION("""COMPUTED_VALUE"""),"Patna")</f>
        <v>Patna</v>
      </c>
      <c r="Z1723" s="124">
        <f>IFERROR(__xludf.DUMMYFUNCTION("""COMPUTED_VALUE"""),1.0)</f>
        <v>1</v>
      </c>
      <c r="AA1723" s="124"/>
      <c r="AB1723" s="124" t="str">
        <f>IFERROR(__xludf.DUMMYFUNCTION("""COMPUTED_VALUE"""),"GS Foundation")</f>
        <v>GS Foundation</v>
      </c>
    </row>
    <row r="1724">
      <c r="A1724" s="126">
        <f>IFERROR(__xludf.DUMMYFUNCTION("""COMPUTED_VALUE"""),46070.0)</f>
        <v>46070</v>
      </c>
      <c r="B1724" s="124" t="str">
        <f>IFERROR(__xludf.DUMMYFUNCTION("""COMPUTED_VALUE"""),"Walkin")</f>
        <v>Walkin</v>
      </c>
      <c r="C1724" s="124" t="str">
        <f>IFERROR(__xludf.DUMMYFUNCTION("""COMPUTED_VALUE"""),"Prayagraj")</f>
        <v>Prayagraj</v>
      </c>
      <c r="D1724" s="124" t="str">
        <f>IFERROR(__xludf.DUMMYFUNCTION("""COMPUTED_VALUE"""),"Primary_Walkin")</f>
        <v>Primary_Walkin</v>
      </c>
      <c r="E1724" s="124">
        <f>IFERROR(__xludf.DUMMYFUNCTION("""COMPUTED_VALUE"""),2.0)</f>
        <v>2</v>
      </c>
      <c r="F1724" s="124" t="str">
        <f>IFERROR(__xludf.DUMMYFUNCTION("""COMPUTED_VALUE"""),"Cold")</f>
        <v>Cold</v>
      </c>
      <c r="G1724" s="124" t="str">
        <f>IFERROR(__xludf.DUMMYFUNCTION("""COMPUTED_VALUE"""),"State PCS")</f>
        <v>State PCS</v>
      </c>
      <c r="K1724" s="124"/>
      <c r="L1724" s="124"/>
      <c r="M1724" s="124"/>
      <c r="N1724" s="124"/>
      <c r="O1724" s="124"/>
      <c r="T1724" s="126">
        <f>IFERROR(__xludf.DUMMYFUNCTION("""COMPUTED_VALUE"""),46072.0)</f>
        <v>46072</v>
      </c>
      <c r="U1724" s="124" t="str">
        <f>IFERROR(__xludf.DUMMYFUNCTION("""COMPUTED_VALUE"""),"Walk-Ins")</f>
        <v>Walk-Ins</v>
      </c>
      <c r="V1724" s="124" t="str">
        <f>IFERROR(__xludf.DUMMYFUNCTION("""COMPUTED_VALUE"""),"Walk-In")</f>
        <v>Walk-In</v>
      </c>
      <c r="W1724" s="124" t="str">
        <f>IFERROR(__xludf.DUMMYFUNCTION("""COMPUTED_VALUE"""),"Patna")</f>
        <v>Patna</v>
      </c>
      <c r="X1724" s="124" t="str">
        <f>IFERROR(__xludf.DUMMYFUNCTION("""COMPUTED_VALUE"""),"Patna")</f>
        <v>Patna</v>
      </c>
      <c r="Y1724" s="124" t="str">
        <f>IFERROR(__xludf.DUMMYFUNCTION("""COMPUTED_VALUE"""),"Patna")</f>
        <v>Patna</v>
      </c>
      <c r="Z1724" s="124">
        <f>IFERROR(__xludf.DUMMYFUNCTION("""COMPUTED_VALUE"""),1.0)</f>
        <v>1</v>
      </c>
      <c r="AA1724" s="124" t="str">
        <f>IFERROR(__xludf.DUMMYFUNCTION("""COMPUTED_VALUE"""),"Fake Lead")</f>
        <v>Fake Lead</v>
      </c>
      <c r="AB1724" s="124" t="str">
        <f>IFERROR(__xludf.DUMMYFUNCTION("""COMPUTED_VALUE"""),"GS Foundation")</f>
        <v>GS Foundation</v>
      </c>
    </row>
    <row r="1725">
      <c r="A1725" s="126">
        <f>IFERROR(__xludf.DUMMYFUNCTION("""COMPUTED_VALUE"""),46104.0)</f>
        <v>46104</v>
      </c>
      <c r="B1725" s="124" t="str">
        <f>IFERROR(__xludf.DUMMYFUNCTION("""COMPUTED_VALUE"""),"external leads")</f>
        <v>external leads</v>
      </c>
      <c r="C1725" s="124" t="str">
        <f>IFERROR(__xludf.DUMMYFUNCTION("""COMPUTED_VALUE"""),"Prayagraj")</f>
        <v>Prayagraj</v>
      </c>
      <c r="D1725" s="124" t="str">
        <f>IFERROR(__xludf.DUMMYFUNCTION("""COMPUTED_VALUE"""),"Secondary_Walkin")</f>
        <v>Secondary_Walkin</v>
      </c>
      <c r="E1725" s="124">
        <f>IFERROR(__xludf.DUMMYFUNCTION("""COMPUTED_VALUE"""),1.0)</f>
        <v>1</v>
      </c>
      <c r="F1725" s="124"/>
      <c r="G1725" s="124" t="str">
        <f>IFERROR(__xludf.DUMMYFUNCTION("""COMPUTED_VALUE"""),"GS Foundation")</f>
        <v>GS Foundation</v>
      </c>
      <c r="K1725" s="124"/>
      <c r="L1725" s="124"/>
      <c r="M1725" s="124"/>
      <c r="N1725" s="124"/>
      <c r="O1725" s="124"/>
      <c r="T1725" s="126">
        <f>IFERROR(__xludf.DUMMYFUNCTION("""COMPUTED_VALUE"""),46043.0)</f>
        <v>46043</v>
      </c>
      <c r="U1725" s="124" t="str">
        <f>IFERROR(__xludf.DUMMYFUNCTION("""COMPUTED_VALUE"""),"Paid Ads")</f>
        <v>Paid Ads</v>
      </c>
      <c r="V1725" s="124" t="str">
        <f>IFERROR(__xludf.DUMMYFUNCTION("""COMPUTED_VALUE"""),"google")</f>
        <v>google</v>
      </c>
      <c r="W1725" s="124" t="str">
        <f>IFERROR(__xludf.DUMMYFUNCTION("""COMPUTED_VALUE"""),"cpc")</f>
        <v>cpc</v>
      </c>
      <c r="X1725" s="124">
        <f>IFERROR(__xludf.DUMMYFUNCTION("""COMPUTED_VALUE"""),2.2758016291E10)</f>
        <v>22758016291</v>
      </c>
      <c r="Y1725" s="124" t="str">
        <f>IFERROR(__xludf.DUMMYFUNCTION("""COMPUTED_VALUE"""),"Patna")</f>
        <v>Patna</v>
      </c>
      <c r="Z1725" s="124">
        <f>IFERROR(__xludf.DUMMYFUNCTION("""COMPUTED_VALUE"""),1.0)</f>
        <v>1</v>
      </c>
      <c r="AA1725" s="124" t="str">
        <f>IFERROR(__xludf.DUMMYFUNCTION("""COMPUTED_VALUE"""),"Cold")</f>
        <v>Cold</v>
      </c>
      <c r="AB1725" s="124" t="str">
        <f>IFERROR(__xludf.DUMMYFUNCTION("""COMPUTED_VALUE"""),"Other")</f>
        <v>Other</v>
      </c>
    </row>
    <row r="1726">
      <c r="A1726" s="126">
        <f>IFERROR(__xludf.DUMMYFUNCTION("""COMPUTED_VALUE"""),46104.0)</f>
        <v>46104</v>
      </c>
      <c r="B1726" s="124" t="str">
        <f>IFERROR(__xludf.DUMMYFUNCTION("""COMPUTED_VALUE"""),"Walkin")</f>
        <v>Walkin</v>
      </c>
      <c r="C1726" s="124" t="str">
        <f>IFERROR(__xludf.DUMMYFUNCTION("""COMPUTED_VALUE"""),"Prayagraj")</f>
        <v>Prayagraj</v>
      </c>
      <c r="D1726" s="124" t="str">
        <f>IFERROR(__xludf.DUMMYFUNCTION("""COMPUTED_VALUE"""),"Primary_Walkin")</f>
        <v>Primary_Walkin</v>
      </c>
      <c r="E1726" s="124">
        <f>IFERROR(__xludf.DUMMYFUNCTION("""COMPUTED_VALUE"""),1.0)</f>
        <v>1</v>
      </c>
      <c r="F1726" s="124" t="str">
        <f>IFERROR(__xludf.DUMMYFUNCTION("""COMPUTED_VALUE"""),"Cold")</f>
        <v>Cold</v>
      </c>
      <c r="G1726" s="124" t="str">
        <f>IFERROR(__xludf.DUMMYFUNCTION("""COMPUTED_VALUE"""),"Mentorship")</f>
        <v>Mentorship</v>
      </c>
      <c r="K1726" s="124"/>
      <c r="L1726" s="124"/>
      <c r="M1726" s="124"/>
      <c r="N1726" s="124"/>
      <c r="O1726" s="124"/>
      <c r="T1726" s="126">
        <f>IFERROR(__xludf.DUMMYFUNCTION("""COMPUTED_VALUE"""),46062.0)</f>
        <v>46062</v>
      </c>
      <c r="U1726" s="124" t="str">
        <f>IFERROR(__xludf.DUMMYFUNCTION("""COMPUTED_VALUE"""),"Walk-Ins")</f>
        <v>Walk-Ins</v>
      </c>
      <c r="V1726" s="124" t="str">
        <f>IFERROR(__xludf.DUMMYFUNCTION("""COMPUTED_VALUE"""),"Walk-In")</f>
        <v>Walk-In</v>
      </c>
      <c r="W1726" s="124" t="str">
        <f>IFERROR(__xludf.DUMMYFUNCTION("""COMPUTED_VALUE"""),"Patna")</f>
        <v>Patna</v>
      </c>
      <c r="X1726" s="124" t="str">
        <f>IFERROR(__xludf.DUMMYFUNCTION("""COMPUTED_VALUE"""),"Patna")</f>
        <v>Patna</v>
      </c>
      <c r="Y1726" s="124" t="str">
        <f>IFERROR(__xludf.DUMMYFUNCTION("""COMPUTED_VALUE"""),"Patna")</f>
        <v>Patna</v>
      </c>
      <c r="Z1726" s="124">
        <f>IFERROR(__xludf.DUMMYFUNCTION("""COMPUTED_VALUE"""),1.0)</f>
        <v>1</v>
      </c>
      <c r="AA1726" s="124" t="str">
        <f>IFERROR(__xludf.DUMMYFUNCTION("""COMPUTED_VALUE"""),"Cold")</f>
        <v>Cold</v>
      </c>
      <c r="AB1726" s="124" t="str">
        <f>IFERROR(__xludf.DUMMYFUNCTION("""COMPUTED_VALUE"""),"State PCS")</f>
        <v>State PCS</v>
      </c>
    </row>
    <row r="1727">
      <c r="A1727" s="126">
        <f>IFERROR(__xludf.DUMMYFUNCTION("""COMPUTED_VALUE"""),46072.0)</f>
        <v>46072</v>
      </c>
      <c r="B1727" s="124" t="str">
        <f>IFERROR(__xludf.DUMMYFUNCTION("""COMPUTED_VALUE"""),"Walkin")</f>
        <v>Walkin</v>
      </c>
      <c r="C1727" s="124" t="str">
        <f>IFERROR(__xludf.DUMMYFUNCTION("""COMPUTED_VALUE"""),"Prayagraj")</f>
        <v>Prayagraj</v>
      </c>
      <c r="D1727" s="124" t="str">
        <f>IFERROR(__xludf.DUMMYFUNCTION("""COMPUTED_VALUE"""),"Primary_Walkin")</f>
        <v>Primary_Walkin</v>
      </c>
      <c r="E1727" s="124">
        <f>IFERROR(__xludf.DUMMYFUNCTION("""COMPUTED_VALUE"""),1.0)</f>
        <v>1</v>
      </c>
      <c r="F1727" s="124" t="str">
        <f>IFERROR(__xludf.DUMMYFUNCTION("""COMPUTED_VALUE"""),"Cold")</f>
        <v>Cold</v>
      </c>
      <c r="G1727" s="124" t="str">
        <f>IFERROR(__xludf.DUMMYFUNCTION("""COMPUTED_VALUE"""),"GS Advanced")</f>
        <v>GS Advanced</v>
      </c>
      <c r="K1727" s="124"/>
      <c r="L1727" s="124"/>
      <c r="M1727" s="124"/>
      <c r="N1727" s="124"/>
      <c r="O1727" s="124"/>
      <c r="T1727" s="126">
        <f>IFERROR(__xludf.DUMMYFUNCTION("""COMPUTED_VALUE"""),46047.0)</f>
        <v>46047</v>
      </c>
      <c r="U1727" s="124" t="str">
        <f>IFERROR(__xludf.DUMMYFUNCTION("""COMPUTED_VALUE"""),"Paid Ads")</f>
        <v>Paid Ads</v>
      </c>
      <c r="V1727" s="124" t="str">
        <f>IFERROR(__xludf.DUMMYFUNCTION("""COMPUTED_VALUE"""),"google")</f>
        <v>google</v>
      </c>
      <c r="W1727" s="124" t="str">
        <f>IFERROR(__xludf.DUMMYFUNCTION("""COMPUTED_VALUE"""),"cpc")</f>
        <v>cpc</v>
      </c>
      <c r="X1727" s="124">
        <f>IFERROR(__xludf.DUMMYFUNCTION("""COMPUTED_VALUE"""),2.2758016291E10)</f>
        <v>22758016291</v>
      </c>
      <c r="Y1727" s="124" t="str">
        <f>IFERROR(__xludf.DUMMYFUNCTION("""COMPUTED_VALUE"""),"Delhi")</f>
        <v>Delhi</v>
      </c>
      <c r="Z1727" s="124">
        <f>IFERROR(__xludf.DUMMYFUNCTION("""COMPUTED_VALUE"""),1.0)</f>
        <v>1</v>
      </c>
      <c r="AA1727" s="124" t="str">
        <f>IFERROR(__xludf.DUMMYFUNCTION("""COMPUTED_VALUE"""),"Fake Lead")</f>
        <v>Fake Lead</v>
      </c>
      <c r="AB1727" s="124" t="str">
        <f>IFERROR(__xludf.DUMMYFUNCTION("""COMPUTED_VALUE"""),"Test Series")</f>
        <v>Test Series</v>
      </c>
    </row>
    <row r="1728">
      <c r="A1728" s="126">
        <f>IFERROR(__xludf.DUMMYFUNCTION("""COMPUTED_VALUE"""),46065.0)</f>
        <v>46065</v>
      </c>
      <c r="B1728" s="124" t="str">
        <f>IFERROR(__xludf.DUMMYFUNCTION("""COMPUTED_VALUE"""),"Walkin")</f>
        <v>Walkin</v>
      </c>
      <c r="C1728" s="124" t="str">
        <f>IFERROR(__xludf.DUMMYFUNCTION("""COMPUTED_VALUE"""),"Prayagraj")</f>
        <v>Prayagraj</v>
      </c>
      <c r="D1728" s="124" t="str">
        <f>IFERROR(__xludf.DUMMYFUNCTION("""COMPUTED_VALUE"""),"Primary_Walkin")</f>
        <v>Primary_Walkin</v>
      </c>
      <c r="E1728" s="124">
        <f>IFERROR(__xludf.DUMMYFUNCTION("""COMPUTED_VALUE"""),2.0)</f>
        <v>2</v>
      </c>
      <c r="F1728" s="124" t="str">
        <f>IFERROR(__xludf.DUMMYFUNCTION("""COMPUTED_VALUE"""),"Not Interested")</f>
        <v>Not Interested</v>
      </c>
      <c r="G1728" s="124" t="str">
        <f>IFERROR(__xludf.DUMMYFUNCTION("""COMPUTED_VALUE"""),"GS Foundation")</f>
        <v>GS Foundation</v>
      </c>
      <c r="K1728" s="124"/>
      <c r="L1728" s="124"/>
      <c r="M1728" s="124"/>
      <c r="N1728" s="124"/>
      <c r="O1728" s="124"/>
      <c r="T1728" s="126">
        <f>IFERROR(__xludf.DUMMYFUNCTION("""COMPUTED_VALUE"""),46045.0)</f>
        <v>46045</v>
      </c>
      <c r="U1728" s="124" t="str">
        <f>IFERROR(__xludf.DUMMYFUNCTION("""COMPUTED_VALUE"""),"Paid Ads")</f>
        <v>Paid Ads</v>
      </c>
      <c r="V1728" s="124" t="str">
        <f>IFERROR(__xludf.DUMMYFUNCTION("""COMPUTED_VALUE"""),"google")</f>
        <v>google</v>
      </c>
      <c r="W1728" s="124" t="str">
        <f>IFERROR(__xludf.DUMMYFUNCTION("""COMPUTED_VALUE"""),"cpc")</f>
        <v>cpc</v>
      </c>
      <c r="X1728" s="124">
        <f>IFERROR(__xludf.DUMMYFUNCTION("""COMPUTED_VALUE"""),2.2758016291E10)</f>
        <v>22758016291</v>
      </c>
      <c r="Y1728" s="124" t="str">
        <f>IFERROR(__xludf.DUMMYFUNCTION("""COMPUTED_VALUE"""),"Patna")</f>
        <v>Patna</v>
      </c>
      <c r="Z1728" s="124">
        <f>IFERROR(__xludf.DUMMYFUNCTION("""COMPUTED_VALUE"""),1.0)</f>
        <v>1</v>
      </c>
      <c r="AA1728" s="124" t="str">
        <f>IFERROR(__xludf.DUMMYFUNCTION("""COMPUTED_VALUE"""),"Cold")</f>
        <v>Cold</v>
      </c>
      <c r="AB1728" s="124" t="str">
        <f>IFERROR(__xludf.DUMMYFUNCTION("""COMPUTED_VALUE"""),"CSAT")</f>
        <v>CSAT</v>
      </c>
    </row>
    <row r="1729">
      <c r="A1729" s="129">
        <f>IFERROR(__xludf.DUMMYFUNCTION("""COMPUTED_VALUE"""),46087.0)</f>
        <v>46087</v>
      </c>
      <c r="B1729" s="124" t="str">
        <f>IFERROR(__xludf.DUMMYFUNCTION("""COMPUTED_VALUE"""),"Walk-In")</f>
        <v>Walk-In</v>
      </c>
      <c r="C1729" s="124" t="str">
        <f>IFERROR(__xludf.DUMMYFUNCTION("""COMPUTED_VALUE"""),"Prayagraj")</f>
        <v>Prayagraj</v>
      </c>
      <c r="D1729" s="124" t="str">
        <f>IFERROR(__xludf.DUMMYFUNCTION("""COMPUTED_VALUE"""),"Primary_Walkin")</f>
        <v>Primary_Walkin</v>
      </c>
      <c r="E1729" s="124">
        <f>IFERROR(__xludf.DUMMYFUNCTION("""COMPUTED_VALUE"""),1.0)</f>
        <v>1</v>
      </c>
      <c r="F1729" s="124" t="str">
        <f>IFERROR(__xludf.DUMMYFUNCTION("""COMPUTED_VALUE"""),"Cold")</f>
        <v>Cold</v>
      </c>
      <c r="G1729" s="124" t="str">
        <f>IFERROR(__xludf.DUMMYFUNCTION("""COMPUTED_VALUE"""),"Other")</f>
        <v>Other</v>
      </c>
      <c r="K1729" s="124"/>
      <c r="L1729" s="124"/>
      <c r="M1729" s="124"/>
      <c r="N1729" s="124"/>
      <c r="O1729" s="124"/>
      <c r="T1729" s="126">
        <f>IFERROR(__xludf.DUMMYFUNCTION("""COMPUTED_VALUE"""),46048.0)</f>
        <v>46048</v>
      </c>
      <c r="U1729" s="124" t="str">
        <f>IFERROR(__xludf.DUMMYFUNCTION("""COMPUTED_VALUE"""),"Paid Ads")</f>
        <v>Paid Ads</v>
      </c>
      <c r="V1729" s="124" t="str">
        <f>IFERROR(__xludf.DUMMYFUNCTION("""COMPUTED_VALUE"""),"google")</f>
        <v>google</v>
      </c>
      <c r="W1729" s="124" t="str">
        <f>IFERROR(__xludf.DUMMYFUNCTION("""COMPUTED_VALUE"""),"cpc")</f>
        <v>cpc</v>
      </c>
      <c r="X1729" s="124">
        <f>IFERROR(__xludf.DUMMYFUNCTION("""COMPUTED_VALUE"""),2.2758016291E10)</f>
        <v>22758016291</v>
      </c>
      <c r="Y1729" s="124" t="str">
        <f>IFERROR(__xludf.DUMMYFUNCTION("""COMPUTED_VALUE"""),"Delhi")</f>
        <v>Delhi</v>
      </c>
      <c r="Z1729" s="124">
        <f>IFERROR(__xludf.DUMMYFUNCTION("""COMPUTED_VALUE"""),1.0)</f>
        <v>1</v>
      </c>
      <c r="AA1729" s="124" t="str">
        <f>IFERROR(__xludf.DUMMYFUNCTION("""COMPUTED_VALUE"""),"Fake Lead")</f>
        <v>Fake Lead</v>
      </c>
      <c r="AB1729" s="124" t="str">
        <f>IFERROR(__xludf.DUMMYFUNCTION("""COMPUTED_VALUE"""),"CSAT")</f>
        <v>CSAT</v>
      </c>
    </row>
    <row r="1730">
      <c r="A1730" s="126">
        <f>IFERROR(__xludf.DUMMYFUNCTION("""COMPUTED_VALUE"""),46108.0)</f>
        <v>46108</v>
      </c>
      <c r="B1730" s="124" t="str">
        <f>IFERROR(__xludf.DUMMYFUNCTION("""COMPUTED_VALUE"""),"Walk-In")</f>
        <v>Walk-In</v>
      </c>
      <c r="C1730" s="124" t="str">
        <f>IFERROR(__xludf.DUMMYFUNCTION("""COMPUTED_VALUE"""),"Prayagraj")</f>
        <v>Prayagraj</v>
      </c>
      <c r="D1730" s="124" t="str">
        <f>IFERROR(__xludf.DUMMYFUNCTION("""COMPUTED_VALUE"""),"Primary_Walkin")</f>
        <v>Primary_Walkin</v>
      </c>
      <c r="E1730" s="124">
        <f>IFERROR(__xludf.DUMMYFUNCTION("""COMPUTED_VALUE"""),1.0)</f>
        <v>1</v>
      </c>
      <c r="F1730" s="124" t="str">
        <f>IFERROR(__xludf.DUMMYFUNCTION("""COMPUTED_VALUE"""),"Future Prospects")</f>
        <v>Future Prospects</v>
      </c>
      <c r="G1730" s="124" t="str">
        <f>IFERROR(__xludf.DUMMYFUNCTION("""COMPUTED_VALUE"""),"GS Foundation")</f>
        <v>GS Foundation</v>
      </c>
      <c r="K1730" s="124"/>
      <c r="L1730" s="124"/>
      <c r="M1730" s="124"/>
      <c r="N1730" s="124"/>
      <c r="O1730" s="124"/>
      <c r="T1730" s="126">
        <f>IFERROR(__xludf.DUMMYFUNCTION("""COMPUTED_VALUE"""),46050.0)</f>
        <v>46050</v>
      </c>
      <c r="U1730" s="124" t="str">
        <f>IFERROR(__xludf.DUMMYFUNCTION("""COMPUTED_VALUE"""),"Paid Ads")</f>
        <v>Paid Ads</v>
      </c>
      <c r="V1730" s="124" t="str">
        <f>IFERROR(__xludf.DUMMYFUNCTION("""COMPUTED_VALUE"""),"Facebook")</f>
        <v>Facebook</v>
      </c>
      <c r="W1730" s="124" t="str">
        <f>IFERROR(__xludf.DUMMYFUNCTION("""COMPUTED_VALUE"""),"LeadAd")</f>
        <v>LeadAd</v>
      </c>
      <c r="X1730" s="124" t="str">
        <f>IFERROR(__xludf.DUMMYFUNCTION("""COMPUTED_VALUE"""),"Upsc_offline_26_Lucknow_FB_Video")</f>
        <v>Upsc_offline_26_Lucknow_FB_Video</v>
      </c>
      <c r="Y1730" s="124" t="str">
        <f>IFERROR(__xludf.DUMMYFUNCTION("""COMPUTED_VALUE"""),"Lucknow")</f>
        <v>Lucknow</v>
      </c>
      <c r="Z1730" s="124">
        <f>IFERROR(__xludf.DUMMYFUNCTION("""COMPUTED_VALUE"""),4.0)</f>
        <v>4</v>
      </c>
      <c r="AA1730" s="124" t="str">
        <f>IFERROR(__xludf.DUMMYFUNCTION("""COMPUTED_VALUE"""),"Fake Lead")</f>
        <v>Fake Lead</v>
      </c>
      <c r="AB1730" s="124"/>
    </row>
    <row r="1731">
      <c r="A1731" s="126">
        <f>IFERROR(__xludf.DUMMYFUNCTION("""COMPUTED_VALUE"""),46043.0)</f>
        <v>46043</v>
      </c>
      <c r="B1731" s="124" t="str">
        <f>IFERROR(__xludf.DUMMYFUNCTION("""COMPUTED_VALUE"""),"Walkin")</f>
        <v>Walkin</v>
      </c>
      <c r="C1731" s="124" t="str">
        <f>IFERROR(__xludf.DUMMYFUNCTION("""COMPUTED_VALUE"""),"Prayagraj")</f>
        <v>Prayagraj</v>
      </c>
      <c r="D1731" s="124" t="str">
        <f>IFERROR(__xludf.DUMMYFUNCTION("""COMPUTED_VALUE"""),"Primary_Walkin")</f>
        <v>Primary_Walkin</v>
      </c>
      <c r="E1731" s="124">
        <f>IFERROR(__xludf.DUMMYFUNCTION("""COMPUTED_VALUE"""),1.0)</f>
        <v>1</v>
      </c>
      <c r="F1731" s="124" t="str">
        <f>IFERROR(__xludf.DUMMYFUNCTION("""COMPUTED_VALUE"""),"Cold")</f>
        <v>Cold</v>
      </c>
      <c r="G1731" s="124" t="str">
        <f>IFERROR(__xludf.DUMMYFUNCTION("""COMPUTED_VALUE"""),"Other")</f>
        <v>Other</v>
      </c>
      <c r="K1731" s="124"/>
      <c r="L1731" s="124"/>
      <c r="M1731" s="124"/>
      <c r="N1731" s="124"/>
      <c r="O1731" s="124"/>
      <c r="T1731" s="126">
        <f>IFERROR(__xludf.DUMMYFUNCTION("""COMPUTED_VALUE"""),46097.0)</f>
        <v>46097</v>
      </c>
      <c r="U1731" s="124" t="str">
        <f>IFERROR(__xludf.DUMMYFUNCTION("""COMPUTED_VALUE"""),"Walk-Ins")</f>
        <v>Walk-Ins</v>
      </c>
      <c r="V1731" s="124" t="str">
        <f>IFERROR(__xludf.DUMMYFUNCTION("""COMPUTED_VALUE"""),"Walkin")</f>
        <v>Walkin</v>
      </c>
      <c r="W1731" s="124" t="str">
        <f>IFERROR(__xludf.DUMMYFUNCTION("""COMPUTED_VALUE"""),"Patna")</f>
        <v>Patna</v>
      </c>
      <c r="X1731" s="124" t="str">
        <f>IFERROR(__xludf.DUMMYFUNCTION("""COMPUTED_VALUE"""),"Walkin")</f>
        <v>Walkin</v>
      </c>
      <c r="Y1731" s="124" t="str">
        <f>IFERROR(__xludf.DUMMYFUNCTION("""COMPUTED_VALUE"""),"Patna")</f>
        <v>Patna</v>
      </c>
      <c r="Z1731" s="124">
        <f>IFERROR(__xludf.DUMMYFUNCTION("""COMPUTED_VALUE"""),2.0)</f>
        <v>2</v>
      </c>
      <c r="AA1731" s="124" t="str">
        <f>IFERROR(__xludf.DUMMYFUNCTION("""COMPUTED_VALUE"""),"Not Interested")</f>
        <v>Not Interested</v>
      </c>
      <c r="AB1731" s="124" t="str">
        <f>IFERROR(__xludf.DUMMYFUNCTION("""COMPUTED_VALUE"""),"State PCS")</f>
        <v>State PCS</v>
      </c>
    </row>
    <row r="1732">
      <c r="A1732" s="126">
        <f>IFERROR(__xludf.DUMMYFUNCTION("""COMPUTED_VALUE"""),46098.0)</f>
        <v>46098</v>
      </c>
      <c r="B1732" s="124" t="str">
        <f>IFERROR(__xludf.DUMMYFUNCTION("""COMPUTED_VALUE"""),"Walkin")</f>
        <v>Walkin</v>
      </c>
      <c r="C1732" s="124" t="str">
        <f>IFERROR(__xludf.DUMMYFUNCTION("""COMPUTED_VALUE"""),"Prayagraj")</f>
        <v>Prayagraj</v>
      </c>
      <c r="D1732" s="124" t="str">
        <f>IFERROR(__xludf.DUMMYFUNCTION("""COMPUTED_VALUE"""),"Primary_Walkin")</f>
        <v>Primary_Walkin</v>
      </c>
      <c r="E1732" s="124">
        <f>IFERROR(__xludf.DUMMYFUNCTION("""COMPUTED_VALUE"""),1.0)</f>
        <v>1</v>
      </c>
      <c r="F1732" s="124" t="str">
        <f>IFERROR(__xludf.DUMMYFUNCTION("""COMPUTED_VALUE"""),"Cold")</f>
        <v>Cold</v>
      </c>
      <c r="G1732" s="124" t="str">
        <f>IFERROR(__xludf.DUMMYFUNCTION("""COMPUTED_VALUE"""),"State PCS")</f>
        <v>State PCS</v>
      </c>
      <c r="K1732" s="124"/>
      <c r="L1732" s="124"/>
      <c r="M1732" s="124"/>
      <c r="N1732" s="124"/>
      <c r="O1732" s="124"/>
      <c r="T1732" s="126">
        <f>IFERROR(__xludf.DUMMYFUNCTION("""COMPUTED_VALUE"""),46075.0)</f>
        <v>46075</v>
      </c>
      <c r="U1732" s="124" t="str">
        <f>IFERROR(__xludf.DUMMYFUNCTION("""COMPUTED_VALUE"""),"Walk-Ins")</f>
        <v>Walk-Ins</v>
      </c>
      <c r="V1732" s="124" t="str">
        <f>IFERROR(__xludf.DUMMYFUNCTION("""COMPUTED_VALUE"""),"Walkin")</f>
        <v>Walkin</v>
      </c>
      <c r="W1732" s="124" t="str">
        <f>IFERROR(__xludf.DUMMYFUNCTION("""COMPUTED_VALUE"""),"Indore")</f>
        <v>Indore</v>
      </c>
      <c r="X1732" s="124" t="str">
        <f>IFERROR(__xludf.DUMMYFUNCTION("""COMPUTED_VALUE"""),"Walkin")</f>
        <v>Walkin</v>
      </c>
      <c r="Y1732" s="124" t="str">
        <f>IFERROR(__xludf.DUMMYFUNCTION("""COMPUTED_VALUE"""),"Indore")</f>
        <v>Indore</v>
      </c>
      <c r="Z1732" s="124">
        <f>IFERROR(__xludf.DUMMYFUNCTION("""COMPUTED_VALUE"""),1.0)</f>
        <v>1</v>
      </c>
      <c r="AA1732" s="124" t="str">
        <f>IFERROR(__xludf.DUMMYFUNCTION("""COMPUTED_VALUE"""),"Cold")</f>
        <v>Cold</v>
      </c>
      <c r="AB1732" s="124" t="str">
        <f>IFERROR(__xludf.DUMMYFUNCTION("""COMPUTED_VALUE"""),"Test Series")</f>
        <v>Test Series</v>
      </c>
    </row>
    <row r="1733">
      <c r="A1733" s="126">
        <f>IFERROR(__xludf.DUMMYFUNCTION("""COMPUTED_VALUE"""),46108.0)</f>
        <v>46108</v>
      </c>
      <c r="B1733" s="124" t="str">
        <f>IFERROR(__xludf.DUMMYFUNCTION("""COMPUTED_VALUE"""),"Walkin")</f>
        <v>Walkin</v>
      </c>
      <c r="C1733" s="124" t="str">
        <f>IFERROR(__xludf.DUMMYFUNCTION("""COMPUTED_VALUE"""),"Prayagraj")</f>
        <v>Prayagraj</v>
      </c>
      <c r="D1733" s="124" t="str">
        <f>IFERROR(__xludf.DUMMYFUNCTION("""COMPUTED_VALUE"""),"Primary_Walkin")</f>
        <v>Primary_Walkin</v>
      </c>
      <c r="E1733" s="124">
        <f>IFERROR(__xludf.DUMMYFUNCTION("""COMPUTED_VALUE"""),1.0)</f>
        <v>1</v>
      </c>
      <c r="F1733" s="124" t="str">
        <f>IFERROR(__xludf.DUMMYFUNCTION("""COMPUTED_VALUE"""),"Warm")</f>
        <v>Warm</v>
      </c>
      <c r="G1733" s="124" t="str">
        <f>IFERROR(__xludf.DUMMYFUNCTION("""COMPUTED_VALUE"""),"Mentorship")</f>
        <v>Mentorship</v>
      </c>
      <c r="K1733" s="124"/>
      <c r="L1733" s="124"/>
      <c r="M1733" s="124"/>
      <c r="N1733" s="124"/>
      <c r="O1733" s="124"/>
      <c r="T1733" s="126">
        <f>IFERROR(__xludf.DUMMYFUNCTION("""COMPUTED_VALUE"""),46104.0)</f>
        <v>46104</v>
      </c>
      <c r="U1733" s="124" t="str">
        <f>IFERROR(__xludf.DUMMYFUNCTION("""COMPUTED_VALUE"""),"Walk-Ins")</f>
        <v>Walk-Ins</v>
      </c>
      <c r="V1733" s="124" t="str">
        <f>IFERROR(__xludf.DUMMYFUNCTION("""COMPUTED_VALUE"""),"Walkin")</f>
        <v>Walkin</v>
      </c>
      <c r="W1733" s="124" t="str">
        <f>IFERROR(__xludf.DUMMYFUNCTION("""COMPUTED_VALUE"""),"Indore")</f>
        <v>Indore</v>
      </c>
      <c r="X1733" s="124" t="str">
        <f>IFERROR(__xludf.DUMMYFUNCTION("""COMPUTED_VALUE"""),"Walkin")</f>
        <v>Walkin</v>
      </c>
      <c r="Y1733" s="124" t="str">
        <f>IFERROR(__xludf.DUMMYFUNCTION("""COMPUTED_VALUE"""),"Indore")</f>
        <v>Indore</v>
      </c>
      <c r="Z1733" s="124">
        <f>IFERROR(__xludf.DUMMYFUNCTION("""COMPUTED_VALUE"""),1.0)</f>
        <v>1</v>
      </c>
      <c r="AA1733" s="124" t="str">
        <f>IFERROR(__xludf.DUMMYFUNCTION("""COMPUTED_VALUE"""),"Cold")</f>
        <v>Cold</v>
      </c>
      <c r="AB1733" s="124" t="str">
        <f>IFERROR(__xludf.DUMMYFUNCTION("""COMPUTED_VALUE"""),"Other")</f>
        <v>Other</v>
      </c>
    </row>
    <row r="1734">
      <c r="A1734" s="126">
        <f>IFERROR(__xludf.DUMMYFUNCTION("""COMPUTED_VALUE"""),46050.0)</f>
        <v>46050</v>
      </c>
      <c r="B1734" s="124" t="str">
        <f>IFERROR(__xludf.DUMMYFUNCTION("""COMPUTED_VALUE"""),"Walk-In")</f>
        <v>Walk-In</v>
      </c>
      <c r="C1734" s="124" t="str">
        <f>IFERROR(__xludf.DUMMYFUNCTION("""COMPUTED_VALUE"""),"Prayagraj")</f>
        <v>Prayagraj</v>
      </c>
      <c r="D1734" s="124" t="str">
        <f>IFERROR(__xludf.DUMMYFUNCTION("""COMPUTED_VALUE"""),"Primary_Walkin")</f>
        <v>Primary_Walkin</v>
      </c>
      <c r="E1734" s="124">
        <f>IFERROR(__xludf.DUMMYFUNCTION("""COMPUTED_VALUE"""),1.0)</f>
        <v>1</v>
      </c>
      <c r="F1734" s="124" t="str">
        <f>IFERROR(__xludf.DUMMYFUNCTION("""COMPUTED_VALUE"""),"Fake Lead")</f>
        <v>Fake Lead</v>
      </c>
      <c r="G1734" s="124" t="str">
        <f>IFERROR(__xludf.DUMMYFUNCTION("""COMPUTED_VALUE"""),"GS Foundation")</f>
        <v>GS Foundation</v>
      </c>
      <c r="K1734" s="124"/>
      <c r="L1734" s="124"/>
      <c r="M1734" s="124"/>
      <c r="N1734" s="124"/>
      <c r="O1734" s="124"/>
      <c r="T1734" s="126">
        <f>IFERROR(__xludf.DUMMYFUNCTION("""COMPUTED_VALUE"""),46073.0)</f>
        <v>46073</v>
      </c>
      <c r="U1734" s="124" t="str">
        <f>IFERROR(__xludf.DUMMYFUNCTION("""COMPUTED_VALUE"""),"Walk-Ins")</f>
        <v>Walk-Ins</v>
      </c>
      <c r="V1734" s="124" t="str">
        <f>IFERROR(__xludf.DUMMYFUNCTION("""COMPUTED_VALUE"""),"Walkin")</f>
        <v>Walkin</v>
      </c>
      <c r="W1734" s="124" t="str">
        <f>IFERROR(__xludf.DUMMYFUNCTION("""COMPUTED_VALUE"""),"Indore")</f>
        <v>Indore</v>
      </c>
      <c r="X1734" s="124" t="str">
        <f>IFERROR(__xludf.DUMMYFUNCTION("""COMPUTED_VALUE"""),"Walkin")</f>
        <v>Walkin</v>
      </c>
      <c r="Y1734" s="124" t="str">
        <f>IFERROR(__xludf.DUMMYFUNCTION("""COMPUTED_VALUE"""),"Indore")</f>
        <v>Indore</v>
      </c>
      <c r="Z1734" s="124">
        <f>IFERROR(__xludf.DUMMYFUNCTION("""COMPUTED_VALUE"""),1.0)</f>
        <v>1</v>
      </c>
      <c r="AA1734" s="124" t="str">
        <f>IFERROR(__xludf.DUMMYFUNCTION("""COMPUTED_VALUE"""),"Enrolled")</f>
        <v>Enrolled</v>
      </c>
      <c r="AB1734" s="124" t="str">
        <f>IFERROR(__xludf.DUMMYFUNCTION("""COMPUTED_VALUE"""),"State PCS")</f>
        <v>State PCS</v>
      </c>
    </row>
    <row r="1735">
      <c r="A1735" s="126">
        <f>IFERROR(__xludf.DUMMYFUNCTION("""COMPUTED_VALUE"""),46097.0)</f>
        <v>46097</v>
      </c>
      <c r="B1735" s="124" t="str">
        <f>IFERROR(__xludf.DUMMYFUNCTION("""COMPUTED_VALUE"""),"Walkin")</f>
        <v>Walkin</v>
      </c>
      <c r="C1735" s="124" t="str">
        <f>IFERROR(__xludf.DUMMYFUNCTION("""COMPUTED_VALUE"""),"Prayagraj")</f>
        <v>Prayagraj</v>
      </c>
      <c r="D1735" s="124" t="str">
        <f>IFERROR(__xludf.DUMMYFUNCTION("""COMPUTED_VALUE"""),"Primary_Walkin")</f>
        <v>Primary_Walkin</v>
      </c>
      <c r="E1735" s="124">
        <f>IFERROR(__xludf.DUMMYFUNCTION("""COMPUTED_VALUE"""),1.0)</f>
        <v>1</v>
      </c>
      <c r="F1735" s="124" t="str">
        <f>IFERROR(__xludf.DUMMYFUNCTION("""COMPUTED_VALUE"""),"Cold")</f>
        <v>Cold</v>
      </c>
      <c r="G1735" s="124" t="str">
        <f>IFERROR(__xludf.DUMMYFUNCTION("""COMPUTED_VALUE"""),"Mentorship")</f>
        <v>Mentorship</v>
      </c>
      <c r="K1735" s="124"/>
      <c r="L1735" s="124"/>
      <c r="M1735" s="124"/>
      <c r="N1735" s="124"/>
      <c r="O1735" s="124"/>
      <c r="T1735" s="126">
        <f>IFERROR(__xludf.DUMMYFUNCTION("""COMPUTED_VALUE"""),46087.0)</f>
        <v>46087</v>
      </c>
      <c r="U1735" s="124" t="str">
        <f>IFERROR(__xludf.DUMMYFUNCTION("""COMPUTED_VALUE"""),"Walk-Ins")</f>
        <v>Walk-Ins</v>
      </c>
      <c r="V1735" s="124" t="str">
        <f>IFERROR(__xludf.DUMMYFUNCTION("""COMPUTED_VALUE"""),"Walkin")</f>
        <v>Walkin</v>
      </c>
      <c r="W1735" s="124" t="str">
        <f>IFERROR(__xludf.DUMMYFUNCTION("""COMPUTED_VALUE"""),"Prayagraj")</f>
        <v>Prayagraj</v>
      </c>
      <c r="X1735" s="124" t="str">
        <f>IFERROR(__xludf.DUMMYFUNCTION("""COMPUTED_VALUE"""),"Walkin")</f>
        <v>Walkin</v>
      </c>
      <c r="Y1735" s="124" t="str">
        <f>IFERROR(__xludf.DUMMYFUNCTION("""COMPUTED_VALUE"""),"Prayagraj")</f>
        <v>Prayagraj</v>
      </c>
      <c r="Z1735" s="124">
        <f>IFERROR(__xludf.DUMMYFUNCTION("""COMPUTED_VALUE"""),1.0)</f>
        <v>1</v>
      </c>
      <c r="AA1735" s="124" t="str">
        <f>IFERROR(__xludf.DUMMYFUNCTION("""COMPUTED_VALUE"""),"Engaged")</f>
        <v>Engaged</v>
      </c>
      <c r="AB1735" s="124" t="str">
        <f>IFERROR(__xludf.DUMMYFUNCTION("""COMPUTED_VALUE"""),"Other")</f>
        <v>Other</v>
      </c>
    </row>
    <row r="1736">
      <c r="A1736" s="126">
        <f>IFERROR(__xludf.DUMMYFUNCTION("""COMPUTED_VALUE"""),46104.0)</f>
        <v>46104</v>
      </c>
      <c r="B1736" s="124" t="str">
        <f>IFERROR(__xludf.DUMMYFUNCTION("""COMPUTED_VALUE"""),"Walk-In")</f>
        <v>Walk-In</v>
      </c>
      <c r="C1736" s="124" t="str">
        <f>IFERROR(__xludf.DUMMYFUNCTION("""COMPUTED_VALUE"""),"Prayagraj")</f>
        <v>Prayagraj</v>
      </c>
      <c r="D1736" s="124" t="str">
        <f>IFERROR(__xludf.DUMMYFUNCTION("""COMPUTED_VALUE"""),"Primary_Walkin")</f>
        <v>Primary_Walkin</v>
      </c>
      <c r="E1736" s="124">
        <f>IFERROR(__xludf.DUMMYFUNCTION("""COMPUTED_VALUE"""),1.0)</f>
        <v>1</v>
      </c>
      <c r="F1736" s="124" t="str">
        <f>IFERROR(__xludf.DUMMYFUNCTION("""COMPUTED_VALUE"""),"Warm")</f>
        <v>Warm</v>
      </c>
      <c r="G1736" s="124" t="str">
        <f>IFERROR(__xludf.DUMMYFUNCTION("""COMPUTED_VALUE"""),"State PCS")</f>
        <v>State PCS</v>
      </c>
      <c r="K1736" s="124"/>
      <c r="L1736" s="124"/>
      <c r="M1736" s="124"/>
      <c r="N1736" s="124"/>
      <c r="O1736" s="124"/>
      <c r="T1736" s="126">
        <f>IFERROR(__xludf.DUMMYFUNCTION("""COMPUTED_VALUE"""),46072.0)</f>
        <v>46072</v>
      </c>
      <c r="U1736" s="124" t="str">
        <f>IFERROR(__xludf.DUMMYFUNCTION("""COMPUTED_VALUE"""),"Walk-Ins")</f>
        <v>Walk-Ins</v>
      </c>
      <c r="V1736" s="124" t="str">
        <f>IFERROR(__xludf.DUMMYFUNCTION("""COMPUTED_VALUE"""),"Walkin")</f>
        <v>Walkin</v>
      </c>
      <c r="W1736" s="124" t="str">
        <f>IFERROR(__xludf.DUMMYFUNCTION("""COMPUTED_VALUE"""),"Prayagraj")</f>
        <v>Prayagraj</v>
      </c>
      <c r="X1736" s="124" t="str">
        <f>IFERROR(__xludf.DUMMYFUNCTION("""COMPUTED_VALUE"""),"Walkin")</f>
        <v>Walkin</v>
      </c>
      <c r="Y1736" s="124" t="str">
        <f>IFERROR(__xludf.DUMMYFUNCTION("""COMPUTED_VALUE"""),"Prayagraj")</f>
        <v>Prayagraj</v>
      </c>
      <c r="Z1736" s="124">
        <f>IFERROR(__xludf.DUMMYFUNCTION("""COMPUTED_VALUE"""),2.0)</f>
        <v>2</v>
      </c>
      <c r="AA1736" s="124" t="str">
        <f>IFERROR(__xludf.DUMMYFUNCTION("""COMPUTED_VALUE"""),"Not Interested")</f>
        <v>Not Interested</v>
      </c>
      <c r="AB1736" s="124" t="str">
        <f>IFERROR(__xludf.DUMMYFUNCTION("""COMPUTED_VALUE"""),"GS Foundation")</f>
        <v>GS Foundation</v>
      </c>
    </row>
    <row r="1737">
      <c r="A1737" s="126">
        <f>IFERROR(__xludf.DUMMYFUNCTION("""COMPUTED_VALUE"""),46065.0)</f>
        <v>46065</v>
      </c>
      <c r="B1737" s="124" t="str">
        <f>IFERROR(__xludf.DUMMYFUNCTION("""COMPUTED_VALUE"""),"BTL Activities")</f>
        <v>BTL Activities</v>
      </c>
      <c r="C1737" s="124" t="str">
        <f>IFERROR(__xludf.DUMMYFUNCTION("""COMPUTED_VALUE"""),"Prayagraj")</f>
        <v>Prayagraj</v>
      </c>
      <c r="D1737" s="124" t="str">
        <f>IFERROR(__xludf.DUMMYFUNCTION("""COMPUTED_VALUE"""),"Secondary_Walkin")</f>
        <v>Secondary_Walkin</v>
      </c>
      <c r="E1737" s="124">
        <f>IFERROR(__xludf.DUMMYFUNCTION("""COMPUTED_VALUE"""),1.0)</f>
        <v>1</v>
      </c>
      <c r="F1737" s="124" t="str">
        <f>IFERROR(__xludf.DUMMYFUNCTION("""COMPUTED_VALUE"""),"Cold")</f>
        <v>Cold</v>
      </c>
      <c r="G1737" s="124" t="str">
        <f>IFERROR(__xludf.DUMMYFUNCTION("""COMPUTED_VALUE"""),"Mentorship")</f>
        <v>Mentorship</v>
      </c>
      <c r="K1737" s="124"/>
      <c r="L1737" s="124"/>
      <c r="M1737" s="124"/>
      <c r="N1737" s="124"/>
      <c r="O1737" s="124"/>
      <c r="T1737" s="126">
        <f>IFERROR(__xludf.DUMMYFUNCTION("""COMPUTED_VALUE"""),46091.0)</f>
        <v>46091</v>
      </c>
      <c r="U1737" s="124" t="str">
        <f>IFERROR(__xludf.DUMMYFUNCTION("""COMPUTED_VALUE"""),"Walk-Ins")</f>
        <v>Walk-Ins</v>
      </c>
      <c r="V1737" s="124" t="str">
        <f>IFERROR(__xludf.DUMMYFUNCTION("""COMPUTED_VALUE"""),"Walkin")</f>
        <v>Walkin</v>
      </c>
      <c r="W1737" s="124" t="str">
        <f>IFERROR(__xludf.DUMMYFUNCTION("""COMPUTED_VALUE"""),"Patna")</f>
        <v>Patna</v>
      </c>
      <c r="X1737" s="124" t="str">
        <f>IFERROR(__xludf.DUMMYFUNCTION("""COMPUTED_VALUE"""),"Walkin")</f>
        <v>Walkin</v>
      </c>
      <c r="Y1737" s="124" t="str">
        <f>IFERROR(__xludf.DUMMYFUNCTION("""COMPUTED_VALUE"""),"Patna")</f>
        <v>Patna</v>
      </c>
      <c r="Z1737" s="124">
        <f>IFERROR(__xludf.DUMMYFUNCTION("""COMPUTED_VALUE"""),2.0)</f>
        <v>2</v>
      </c>
      <c r="AA1737" s="124" t="str">
        <f>IFERROR(__xludf.DUMMYFUNCTION("""COMPUTED_VALUE"""),"Cold")</f>
        <v>Cold</v>
      </c>
      <c r="AB1737" s="124" t="str">
        <f>IFERROR(__xludf.DUMMYFUNCTION("""COMPUTED_VALUE"""),"GS Foundation")</f>
        <v>GS Foundation</v>
      </c>
    </row>
    <row r="1738">
      <c r="A1738" s="126">
        <f>IFERROR(__xludf.DUMMYFUNCTION("""COMPUTED_VALUE"""),46063.0)</f>
        <v>46063</v>
      </c>
      <c r="B1738" s="124" t="str">
        <f>IFERROR(__xludf.DUMMYFUNCTION("""COMPUTED_VALUE"""),"Walkin")</f>
        <v>Walkin</v>
      </c>
      <c r="C1738" s="124" t="str">
        <f>IFERROR(__xludf.DUMMYFUNCTION("""COMPUTED_VALUE"""),"Prayagraj")</f>
        <v>Prayagraj</v>
      </c>
      <c r="D1738" s="124" t="str">
        <f>IFERROR(__xludf.DUMMYFUNCTION("""COMPUTED_VALUE"""),"Primary_Walkin")</f>
        <v>Primary_Walkin</v>
      </c>
      <c r="E1738" s="124">
        <f>IFERROR(__xludf.DUMMYFUNCTION("""COMPUTED_VALUE"""),1.0)</f>
        <v>1</v>
      </c>
      <c r="F1738" s="124" t="str">
        <f>IFERROR(__xludf.DUMMYFUNCTION("""COMPUTED_VALUE"""),"Cold")</f>
        <v>Cold</v>
      </c>
      <c r="G1738" s="124" t="str">
        <f>IFERROR(__xludf.DUMMYFUNCTION("""COMPUTED_VALUE"""),"Mentorship")</f>
        <v>Mentorship</v>
      </c>
      <c r="K1738" s="124"/>
      <c r="L1738" s="124"/>
      <c r="M1738" s="124"/>
      <c r="N1738" s="124"/>
      <c r="O1738" s="124"/>
      <c r="T1738" s="126">
        <f>IFERROR(__xludf.DUMMYFUNCTION("""COMPUTED_VALUE"""),46073.0)</f>
        <v>46073</v>
      </c>
      <c r="U1738" s="124" t="str">
        <f>IFERROR(__xludf.DUMMYFUNCTION("""COMPUTED_VALUE"""),"Walk-Ins")</f>
        <v>Walk-Ins</v>
      </c>
      <c r="V1738" s="124" t="str">
        <f>IFERROR(__xludf.DUMMYFUNCTION("""COMPUTED_VALUE"""),"Walkin")</f>
        <v>Walkin</v>
      </c>
      <c r="W1738" s="124" t="str">
        <f>IFERROR(__xludf.DUMMYFUNCTION("""COMPUTED_VALUE"""),"Prayagraj")</f>
        <v>Prayagraj</v>
      </c>
      <c r="X1738" s="124" t="str">
        <f>IFERROR(__xludf.DUMMYFUNCTION("""COMPUTED_VALUE"""),"Walkin")</f>
        <v>Walkin</v>
      </c>
      <c r="Y1738" s="124" t="str">
        <f>IFERROR(__xludf.DUMMYFUNCTION("""COMPUTED_VALUE"""),"Prayagraj")</f>
        <v>Prayagraj</v>
      </c>
      <c r="Z1738" s="124">
        <f>IFERROR(__xludf.DUMMYFUNCTION("""COMPUTED_VALUE"""),2.0)</f>
        <v>2</v>
      </c>
      <c r="AA1738" s="124" t="str">
        <f>IFERROR(__xludf.DUMMYFUNCTION("""COMPUTED_VALUE"""),"Not Interested")</f>
        <v>Not Interested</v>
      </c>
      <c r="AB1738" s="124" t="str">
        <f>IFERROR(__xludf.DUMMYFUNCTION("""COMPUTED_VALUE"""),"State PCS")</f>
        <v>State PCS</v>
      </c>
    </row>
    <row r="1739">
      <c r="A1739" s="126">
        <f>IFERROR(__xludf.DUMMYFUNCTION("""COMPUTED_VALUE"""),46106.0)</f>
        <v>46106</v>
      </c>
      <c r="B1739" s="124" t="str">
        <f>IFERROR(__xludf.DUMMYFUNCTION("""COMPUTED_VALUE"""),"Walk-In")</f>
        <v>Walk-In</v>
      </c>
      <c r="C1739" s="124" t="str">
        <f>IFERROR(__xludf.DUMMYFUNCTION("""COMPUTED_VALUE"""),"Prayagraj")</f>
        <v>Prayagraj</v>
      </c>
      <c r="D1739" s="124" t="str">
        <f>IFERROR(__xludf.DUMMYFUNCTION("""COMPUTED_VALUE"""),"Primary_Walkin")</f>
        <v>Primary_Walkin</v>
      </c>
      <c r="E1739" s="124">
        <f>IFERROR(__xludf.DUMMYFUNCTION("""COMPUTED_VALUE"""),1.0)</f>
        <v>1</v>
      </c>
      <c r="F1739" s="124" t="str">
        <f>IFERROR(__xludf.DUMMYFUNCTION("""COMPUTED_VALUE"""),"Fake Lead")</f>
        <v>Fake Lead</v>
      </c>
      <c r="G1739" s="124" t="str">
        <f>IFERROR(__xludf.DUMMYFUNCTION("""COMPUTED_VALUE"""),"GS Foundation")</f>
        <v>GS Foundation</v>
      </c>
      <c r="K1739" s="124"/>
      <c r="L1739" s="124"/>
      <c r="M1739" s="124"/>
      <c r="N1739" s="124"/>
      <c r="O1739" s="124"/>
      <c r="T1739" s="126">
        <f>IFERROR(__xludf.DUMMYFUNCTION("""COMPUTED_VALUE"""),46096.0)</f>
        <v>46096</v>
      </c>
      <c r="U1739" s="124" t="str">
        <f>IFERROR(__xludf.DUMMYFUNCTION("""COMPUTED_VALUE"""),"Walk-Ins")</f>
        <v>Walk-Ins</v>
      </c>
      <c r="V1739" s="124" t="str">
        <f>IFERROR(__xludf.DUMMYFUNCTION("""COMPUTED_VALUE"""),"Walkin")</f>
        <v>Walkin</v>
      </c>
      <c r="W1739" s="124" t="str">
        <f>IFERROR(__xludf.DUMMYFUNCTION("""COMPUTED_VALUE"""),"Patna")</f>
        <v>Patna</v>
      </c>
      <c r="X1739" s="124" t="str">
        <f>IFERROR(__xludf.DUMMYFUNCTION("""COMPUTED_VALUE"""),"Walkin")</f>
        <v>Walkin</v>
      </c>
      <c r="Y1739" s="124" t="str">
        <f>IFERROR(__xludf.DUMMYFUNCTION("""COMPUTED_VALUE"""),"Patna")</f>
        <v>Patna</v>
      </c>
      <c r="Z1739" s="124">
        <f>IFERROR(__xludf.DUMMYFUNCTION("""COMPUTED_VALUE"""),1.0)</f>
        <v>1</v>
      </c>
      <c r="AA1739" s="124" t="str">
        <f>IFERROR(__xludf.DUMMYFUNCTION("""COMPUTED_VALUE"""),"Fake Lead")</f>
        <v>Fake Lead</v>
      </c>
      <c r="AB1739" s="124" t="str">
        <f>IFERROR(__xludf.DUMMYFUNCTION("""COMPUTED_VALUE"""),"Test Series")</f>
        <v>Test Series</v>
      </c>
    </row>
    <row r="1740">
      <c r="A1740" s="129">
        <f>IFERROR(__xludf.DUMMYFUNCTION("""COMPUTED_VALUE"""),46087.0)</f>
        <v>46087</v>
      </c>
      <c r="B1740" s="124" t="str">
        <f>IFERROR(__xludf.DUMMYFUNCTION("""COMPUTED_VALUE"""),"Walkin")</f>
        <v>Walkin</v>
      </c>
      <c r="C1740" s="124" t="str">
        <f>IFERROR(__xludf.DUMMYFUNCTION("""COMPUTED_VALUE"""),"Delhi")</f>
        <v>Delhi</v>
      </c>
      <c r="D1740" s="124" t="str">
        <f>IFERROR(__xludf.DUMMYFUNCTION("""COMPUTED_VALUE"""),"Primary_Walkin")</f>
        <v>Primary_Walkin</v>
      </c>
      <c r="E1740" s="124">
        <f>IFERROR(__xludf.DUMMYFUNCTION("""COMPUTED_VALUE"""),3.0)</f>
        <v>3</v>
      </c>
      <c r="F1740" s="124" t="str">
        <f>IFERROR(__xludf.DUMMYFUNCTION("""COMPUTED_VALUE"""),"Cold")</f>
        <v>Cold</v>
      </c>
      <c r="G1740" s="124" t="str">
        <f>IFERROR(__xludf.DUMMYFUNCTION("""COMPUTED_VALUE"""),"GS Foundation")</f>
        <v>GS Foundation</v>
      </c>
      <c r="K1740" s="124"/>
      <c r="L1740" s="124"/>
      <c r="M1740" s="124"/>
      <c r="N1740" s="124"/>
      <c r="O1740" s="124"/>
      <c r="T1740" s="126">
        <f>IFERROR(__xludf.DUMMYFUNCTION("""COMPUTED_VALUE"""),46059.0)</f>
        <v>46059</v>
      </c>
      <c r="U1740" s="124" t="str">
        <f>IFERROR(__xludf.DUMMYFUNCTION("""COMPUTED_VALUE"""),"Walk-Ins")</f>
        <v>Walk-Ins</v>
      </c>
      <c r="V1740" s="124" t="str">
        <f>IFERROR(__xludf.DUMMYFUNCTION("""COMPUTED_VALUE"""),"Walkin")</f>
        <v>Walkin</v>
      </c>
      <c r="W1740" s="124" t="str">
        <f>IFERROR(__xludf.DUMMYFUNCTION("""COMPUTED_VALUE"""),"Patna")</f>
        <v>Patna</v>
      </c>
      <c r="X1740" s="124" t="str">
        <f>IFERROR(__xludf.DUMMYFUNCTION("""COMPUTED_VALUE"""),"Walkin")</f>
        <v>Walkin</v>
      </c>
      <c r="Y1740" s="124" t="str">
        <f>IFERROR(__xludf.DUMMYFUNCTION("""COMPUTED_VALUE"""),"Patna")</f>
        <v>Patna</v>
      </c>
      <c r="Z1740" s="124">
        <f>IFERROR(__xludf.DUMMYFUNCTION("""COMPUTED_VALUE"""),3.0)</f>
        <v>3</v>
      </c>
      <c r="AA1740" s="124" t="str">
        <f>IFERROR(__xludf.DUMMYFUNCTION("""COMPUTED_VALUE"""),"Enrolled")</f>
        <v>Enrolled</v>
      </c>
      <c r="AB1740" s="124" t="str">
        <f>IFERROR(__xludf.DUMMYFUNCTION("""COMPUTED_VALUE"""),"GS Foundation")</f>
        <v>GS Foundation</v>
      </c>
    </row>
    <row r="1741">
      <c r="A1741" s="126">
        <f>IFERROR(__xludf.DUMMYFUNCTION("""COMPUTED_VALUE"""),46053.0)</f>
        <v>46053</v>
      </c>
      <c r="B1741" s="124" t="str">
        <f>IFERROR(__xludf.DUMMYFUNCTION("""COMPUTED_VALUE"""),"Walk-In")</f>
        <v>Walk-In</v>
      </c>
      <c r="C1741" s="124" t="str">
        <f>IFERROR(__xludf.DUMMYFUNCTION("""COMPUTED_VALUE"""),"Delhi")</f>
        <v>Delhi</v>
      </c>
      <c r="D1741" s="124" t="str">
        <f>IFERROR(__xludf.DUMMYFUNCTION("""COMPUTED_VALUE"""),"Primary_Walkin")</f>
        <v>Primary_Walkin</v>
      </c>
      <c r="E1741" s="124">
        <f>IFERROR(__xludf.DUMMYFUNCTION("""COMPUTED_VALUE"""),1.0)</f>
        <v>1</v>
      </c>
      <c r="F1741" s="124" t="str">
        <f>IFERROR(__xludf.DUMMYFUNCTION("""COMPUTED_VALUE"""),"Not Interested")</f>
        <v>Not Interested</v>
      </c>
      <c r="G1741" s="124" t="str">
        <f>IFERROR(__xludf.DUMMYFUNCTION("""COMPUTED_VALUE"""),"Optionals")</f>
        <v>Optionals</v>
      </c>
      <c r="K1741" s="124"/>
      <c r="L1741" s="124"/>
      <c r="M1741" s="124"/>
      <c r="N1741" s="124"/>
      <c r="O1741" s="124"/>
      <c r="T1741" s="126">
        <f>IFERROR(__xludf.DUMMYFUNCTION("""COMPUTED_VALUE"""),46069.0)</f>
        <v>46069</v>
      </c>
      <c r="U1741" s="124" t="str">
        <f>IFERROR(__xludf.DUMMYFUNCTION("""COMPUTED_VALUE"""),"Walk-Ins")</f>
        <v>Walk-Ins</v>
      </c>
      <c r="V1741" s="124" t="str">
        <f>IFERROR(__xludf.DUMMYFUNCTION("""COMPUTED_VALUE"""),"Walkin")</f>
        <v>Walkin</v>
      </c>
      <c r="W1741" s="124" t="str">
        <f>IFERROR(__xludf.DUMMYFUNCTION("""COMPUTED_VALUE"""),"Prayagraj")</f>
        <v>Prayagraj</v>
      </c>
      <c r="X1741" s="124" t="str">
        <f>IFERROR(__xludf.DUMMYFUNCTION("""COMPUTED_VALUE"""),"Walkin")</f>
        <v>Walkin</v>
      </c>
      <c r="Y1741" s="124" t="str">
        <f>IFERROR(__xludf.DUMMYFUNCTION("""COMPUTED_VALUE"""),"Prayagraj")</f>
        <v>Prayagraj</v>
      </c>
      <c r="Z1741" s="124">
        <f>IFERROR(__xludf.DUMMYFUNCTION("""COMPUTED_VALUE"""),1.0)</f>
        <v>1</v>
      </c>
      <c r="AA1741" s="124" t="str">
        <f>IFERROR(__xludf.DUMMYFUNCTION("""COMPUTED_VALUE"""),"Cold")</f>
        <v>Cold</v>
      </c>
      <c r="AB1741" s="124" t="str">
        <f>IFERROR(__xludf.DUMMYFUNCTION("""COMPUTED_VALUE"""),"Test Series")</f>
        <v>Test Series</v>
      </c>
    </row>
    <row r="1742">
      <c r="A1742" s="126">
        <f>IFERROR(__xludf.DUMMYFUNCTION("""COMPUTED_VALUE"""),46100.0)</f>
        <v>46100</v>
      </c>
      <c r="B1742" s="124" t="str">
        <f>IFERROR(__xludf.DUMMYFUNCTION("""COMPUTED_VALUE"""),"Walk-In")</f>
        <v>Walk-In</v>
      </c>
      <c r="C1742" s="124" t="str">
        <f>IFERROR(__xludf.DUMMYFUNCTION("""COMPUTED_VALUE"""),"Delhi")</f>
        <v>Delhi</v>
      </c>
      <c r="D1742" s="124" t="str">
        <f>IFERROR(__xludf.DUMMYFUNCTION("""COMPUTED_VALUE"""),"Primary_Walkin")</f>
        <v>Primary_Walkin</v>
      </c>
      <c r="E1742" s="124">
        <f>IFERROR(__xludf.DUMMYFUNCTION("""COMPUTED_VALUE"""),1.0)</f>
        <v>1</v>
      </c>
      <c r="F1742" s="124" t="str">
        <f>IFERROR(__xludf.DUMMYFUNCTION("""COMPUTED_VALUE"""),"Enrolled")</f>
        <v>Enrolled</v>
      </c>
      <c r="G1742" s="124" t="str">
        <f>IFERROR(__xludf.DUMMYFUNCTION("""COMPUTED_VALUE"""),"GS Foundation")</f>
        <v>GS Foundation</v>
      </c>
      <c r="K1742" s="124"/>
      <c r="L1742" s="124"/>
      <c r="M1742" s="124"/>
      <c r="N1742" s="124"/>
      <c r="O1742" s="124"/>
      <c r="T1742" s="126">
        <f>IFERROR(__xludf.DUMMYFUNCTION("""COMPUTED_VALUE"""),46075.0)</f>
        <v>46075</v>
      </c>
      <c r="U1742" s="124" t="str">
        <f>IFERROR(__xludf.DUMMYFUNCTION("""COMPUTED_VALUE"""),"Walk-Ins")</f>
        <v>Walk-Ins</v>
      </c>
      <c r="V1742" s="124" t="str">
        <f>IFERROR(__xludf.DUMMYFUNCTION("""COMPUTED_VALUE"""),"Walkin")</f>
        <v>Walkin</v>
      </c>
      <c r="W1742" s="124" t="str">
        <f>IFERROR(__xludf.DUMMYFUNCTION("""COMPUTED_VALUE"""),"Patna")</f>
        <v>Patna</v>
      </c>
      <c r="X1742" s="124" t="str">
        <f>IFERROR(__xludf.DUMMYFUNCTION("""COMPUTED_VALUE"""),"Walkin")</f>
        <v>Walkin</v>
      </c>
      <c r="Y1742" s="124" t="str">
        <f>IFERROR(__xludf.DUMMYFUNCTION("""COMPUTED_VALUE"""),"Patna")</f>
        <v>Patna</v>
      </c>
      <c r="Z1742" s="124">
        <f>IFERROR(__xludf.DUMMYFUNCTION("""COMPUTED_VALUE"""),1.0)</f>
        <v>1</v>
      </c>
      <c r="AA1742" s="124" t="str">
        <f>IFERROR(__xludf.DUMMYFUNCTION("""COMPUTED_VALUE"""),"Not Interested")</f>
        <v>Not Interested</v>
      </c>
      <c r="AB1742" s="124" t="str">
        <f>IFERROR(__xludf.DUMMYFUNCTION("""COMPUTED_VALUE"""),"Test Series")</f>
        <v>Test Series</v>
      </c>
    </row>
    <row r="1743">
      <c r="A1743" s="126">
        <f>IFERROR(__xludf.DUMMYFUNCTION("""COMPUTED_VALUE"""),46110.0)</f>
        <v>46110</v>
      </c>
      <c r="B1743" s="124" t="str">
        <f>IFERROR(__xludf.DUMMYFUNCTION("""COMPUTED_VALUE"""),"Inbound Call")</f>
        <v>Inbound Call</v>
      </c>
      <c r="C1743" s="124" t="str">
        <f>IFERROR(__xludf.DUMMYFUNCTION("""COMPUTED_VALUE"""),"Delhi")</f>
        <v>Delhi</v>
      </c>
      <c r="D1743" s="124" t="str">
        <f>IFERROR(__xludf.DUMMYFUNCTION("""COMPUTED_VALUE"""),"Secondary_Walkin")</f>
        <v>Secondary_Walkin</v>
      </c>
      <c r="E1743" s="124">
        <f>IFERROR(__xludf.DUMMYFUNCTION("""COMPUTED_VALUE"""),1.0)</f>
        <v>1</v>
      </c>
      <c r="F1743" s="124" t="str">
        <f>IFERROR(__xludf.DUMMYFUNCTION("""COMPUTED_VALUE"""),"Enrolled")</f>
        <v>Enrolled</v>
      </c>
      <c r="G1743" s="124" t="str">
        <f>IFERROR(__xludf.DUMMYFUNCTION("""COMPUTED_VALUE"""),"GS Foundation")</f>
        <v>GS Foundation</v>
      </c>
      <c r="K1743" s="124"/>
      <c r="L1743" s="124"/>
      <c r="M1743" s="124"/>
      <c r="N1743" s="124"/>
      <c r="O1743" s="124"/>
      <c r="T1743" s="126">
        <f>IFERROR(__xludf.DUMMYFUNCTION("""COMPUTED_VALUE"""),46102.0)</f>
        <v>46102</v>
      </c>
      <c r="U1743" s="124" t="str">
        <f>IFERROR(__xludf.DUMMYFUNCTION("""COMPUTED_VALUE"""),"Walk-Ins")</f>
        <v>Walk-Ins</v>
      </c>
      <c r="V1743" s="124" t="str">
        <f>IFERROR(__xludf.DUMMYFUNCTION("""COMPUTED_VALUE"""),"Walkin")</f>
        <v>Walkin</v>
      </c>
      <c r="W1743" s="124" t="str">
        <f>IFERROR(__xludf.DUMMYFUNCTION("""COMPUTED_VALUE"""),"Indore")</f>
        <v>Indore</v>
      </c>
      <c r="X1743" s="124" t="str">
        <f>IFERROR(__xludf.DUMMYFUNCTION("""COMPUTED_VALUE"""),"Walkin")</f>
        <v>Walkin</v>
      </c>
      <c r="Y1743" s="124" t="str">
        <f>IFERROR(__xludf.DUMMYFUNCTION("""COMPUTED_VALUE"""),"Indore")</f>
        <v>Indore</v>
      </c>
      <c r="Z1743" s="124">
        <f>IFERROR(__xludf.DUMMYFUNCTION("""COMPUTED_VALUE"""),1.0)</f>
        <v>1</v>
      </c>
      <c r="AA1743" s="124" t="str">
        <f>IFERROR(__xludf.DUMMYFUNCTION("""COMPUTED_VALUE"""),"Future Prospects")</f>
        <v>Future Prospects</v>
      </c>
      <c r="AB1743" s="124" t="str">
        <f>IFERROR(__xludf.DUMMYFUNCTION("""COMPUTED_VALUE"""),"GS Foundation")</f>
        <v>GS Foundation</v>
      </c>
    </row>
    <row r="1744">
      <c r="A1744" s="126">
        <f>IFERROR(__xludf.DUMMYFUNCTION("""COMPUTED_VALUE"""),46100.0)</f>
        <v>46100</v>
      </c>
      <c r="B1744" s="124" t="str">
        <f>IFERROR(__xludf.DUMMYFUNCTION("""COMPUTED_VALUE"""),"Walkin")</f>
        <v>Walkin</v>
      </c>
      <c r="C1744" s="124" t="str">
        <f>IFERROR(__xludf.DUMMYFUNCTION("""COMPUTED_VALUE"""),"Delhi")</f>
        <v>Delhi</v>
      </c>
      <c r="D1744" s="124" t="str">
        <f>IFERROR(__xludf.DUMMYFUNCTION("""COMPUTED_VALUE"""),"Primary_Walkin")</f>
        <v>Primary_Walkin</v>
      </c>
      <c r="E1744" s="124">
        <f>IFERROR(__xludf.DUMMYFUNCTION("""COMPUTED_VALUE"""),3.0)</f>
        <v>3</v>
      </c>
      <c r="F1744" s="124" t="str">
        <f>IFERROR(__xludf.DUMMYFUNCTION("""COMPUTED_VALUE"""),"Warm")</f>
        <v>Warm</v>
      </c>
      <c r="G1744" s="124" t="str">
        <f>IFERROR(__xludf.DUMMYFUNCTION("""COMPUTED_VALUE"""),"GS Foundation")</f>
        <v>GS Foundation</v>
      </c>
      <c r="K1744" s="124"/>
      <c r="L1744" s="124"/>
      <c r="M1744" s="124"/>
      <c r="N1744" s="124"/>
      <c r="O1744" s="124"/>
      <c r="T1744" s="126">
        <f>IFERROR(__xludf.DUMMYFUNCTION("""COMPUTED_VALUE"""),46051.0)</f>
        <v>46051</v>
      </c>
      <c r="U1744" s="124" t="str">
        <f>IFERROR(__xludf.DUMMYFUNCTION("""COMPUTED_VALUE"""),"Walk-Ins")</f>
        <v>Walk-Ins</v>
      </c>
      <c r="V1744" s="124" t="str">
        <f>IFERROR(__xludf.DUMMYFUNCTION("""COMPUTED_VALUE"""),"Walkin")</f>
        <v>Walkin</v>
      </c>
      <c r="W1744" s="124" t="str">
        <f>IFERROR(__xludf.DUMMYFUNCTION("""COMPUTED_VALUE"""),"Indore")</f>
        <v>Indore</v>
      </c>
      <c r="X1744" s="124" t="str">
        <f>IFERROR(__xludf.DUMMYFUNCTION("""COMPUTED_VALUE"""),"Walkin")</f>
        <v>Walkin</v>
      </c>
      <c r="Y1744" s="124" t="str">
        <f>IFERROR(__xludf.DUMMYFUNCTION("""COMPUTED_VALUE"""),"Indore")</f>
        <v>Indore</v>
      </c>
      <c r="Z1744" s="124">
        <f>IFERROR(__xludf.DUMMYFUNCTION("""COMPUTED_VALUE"""),2.0)</f>
        <v>2</v>
      </c>
      <c r="AA1744" s="124" t="str">
        <f>IFERROR(__xludf.DUMMYFUNCTION("""COMPUTED_VALUE"""),"Cold")</f>
        <v>Cold</v>
      </c>
      <c r="AB1744" s="124" t="str">
        <f>IFERROR(__xludf.DUMMYFUNCTION("""COMPUTED_VALUE"""),"State PCS")</f>
        <v>State PCS</v>
      </c>
    </row>
    <row r="1745">
      <c r="A1745" s="126">
        <f>IFERROR(__xludf.DUMMYFUNCTION("""COMPUTED_VALUE"""),46070.0)</f>
        <v>46070</v>
      </c>
      <c r="B1745" s="124" t="str">
        <f>IFERROR(__xludf.DUMMYFUNCTION("""COMPUTED_VALUE"""),"Walkin")</f>
        <v>Walkin</v>
      </c>
      <c r="C1745" s="124" t="str">
        <f>IFERROR(__xludf.DUMMYFUNCTION("""COMPUTED_VALUE"""),"Delhi")</f>
        <v>Delhi</v>
      </c>
      <c r="D1745" s="124" t="str">
        <f>IFERROR(__xludf.DUMMYFUNCTION("""COMPUTED_VALUE"""),"Primary_Walkin")</f>
        <v>Primary_Walkin</v>
      </c>
      <c r="E1745" s="124">
        <f>IFERROR(__xludf.DUMMYFUNCTION("""COMPUTED_VALUE"""),1.0)</f>
        <v>1</v>
      </c>
      <c r="F1745" s="124" t="str">
        <f>IFERROR(__xludf.DUMMYFUNCTION("""COMPUTED_VALUE"""),"Fake Lead")</f>
        <v>Fake Lead</v>
      </c>
      <c r="G1745" s="124" t="str">
        <f>IFERROR(__xludf.DUMMYFUNCTION("""COMPUTED_VALUE"""),"State PCS")</f>
        <v>State PCS</v>
      </c>
      <c r="K1745" s="124"/>
      <c r="L1745" s="124"/>
      <c r="M1745" s="124"/>
      <c r="N1745" s="124"/>
      <c r="O1745" s="124"/>
      <c r="T1745" s="126">
        <f>IFERROR(__xludf.DUMMYFUNCTION("""COMPUTED_VALUE"""),46090.0)</f>
        <v>46090</v>
      </c>
      <c r="U1745" s="124" t="str">
        <f>IFERROR(__xludf.DUMMYFUNCTION("""COMPUTED_VALUE"""),"Walk-Ins")</f>
        <v>Walk-Ins</v>
      </c>
      <c r="V1745" s="124" t="str">
        <f>IFERROR(__xludf.DUMMYFUNCTION("""COMPUTED_VALUE"""),"Walkin")</f>
        <v>Walkin</v>
      </c>
      <c r="W1745" s="124" t="str">
        <f>IFERROR(__xludf.DUMMYFUNCTION("""COMPUTED_VALUE"""),"Prayagraj")</f>
        <v>Prayagraj</v>
      </c>
      <c r="X1745" s="124" t="str">
        <f>IFERROR(__xludf.DUMMYFUNCTION("""COMPUTED_VALUE"""),"Walkin")</f>
        <v>Walkin</v>
      </c>
      <c r="Y1745" s="124" t="str">
        <f>IFERROR(__xludf.DUMMYFUNCTION("""COMPUTED_VALUE"""),"Prayagraj")</f>
        <v>Prayagraj</v>
      </c>
      <c r="Z1745" s="124">
        <f>IFERROR(__xludf.DUMMYFUNCTION("""COMPUTED_VALUE"""),2.0)</f>
        <v>2</v>
      </c>
      <c r="AA1745" s="124" t="str">
        <f>IFERROR(__xludf.DUMMYFUNCTION("""COMPUTED_VALUE"""),"Future Prospects")</f>
        <v>Future Prospects</v>
      </c>
      <c r="AB1745" s="124" t="str">
        <f>IFERROR(__xludf.DUMMYFUNCTION("""COMPUTED_VALUE"""),"GS Foundation")</f>
        <v>GS Foundation</v>
      </c>
    </row>
    <row r="1746">
      <c r="A1746" s="126">
        <f>IFERROR(__xludf.DUMMYFUNCTION("""COMPUTED_VALUE"""),46051.0)</f>
        <v>46051</v>
      </c>
      <c r="B1746" s="124" t="str">
        <f>IFERROR(__xludf.DUMMYFUNCTION("""COMPUTED_VALUE"""),"Inbound Call")</f>
        <v>Inbound Call</v>
      </c>
      <c r="C1746" s="124" t="str">
        <f>IFERROR(__xludf.DUMMYFUNCTION("""COMPUTED_VALUE"""),"Delhi")</f>
        <v>Delhi</v>
      </c>
      <c r="D1746" s="124" t="str">
        <f>IFERROR(__xludf.DUMMYFUNCTION("""COMPUTED_VALUE"""),"Secondary_Walkin")</f>
        <v>Secondary_Walkin</v>
      </c>
      <c r="E1746" s="124">
        <f>IFERROR(__xludf.DUMMYFUNCTION("""COMPUTED_VALUE"""),1.0)</f>
        <v>1</v>
      </c>
      <c r="F1746" s="124" t="str">
        <f>IFERROR(__xludf.DUMMYFUNCTION("""COMPUTED_VALUE"""),"Cold")</f>
        <v>Cold</v>
      </c>
      <c r="G1746" s="124" t="str">
        <f>IFERROR(__xludf.DUMMYFUNCTION("""COMPUTED_VALUE"""),"GS Foundation")</f>
        <v>GS Foundation</v>
      </c>
      <c r="K1746" s="124"/>
      <c r="L1746" s="124"/>
      <c r="M1746" s="124"/>
      <c r="N1746" s="124"/>
      <c r="O1746" s="124"/>
      <c r="T1746" s="126">
        <f>IFERROR(__xludf.DUMMYFUNCTION("""COMPUTED_VALUE"""),46066.0)</f>
        <v>46066</v>
      </c>
      <c r="U1746" s="124" t="str">
        <f>IFERROR(__xludf.DUMMYFUNCTION("""COMPUTED_VALUE"""),"Walk-Ins")</f>
        <v>Walk-Ins</v>
      </c>
      <c r="V1746" s="124" t="str">
        <f>IFERROR(__xludf.DUMMYFUNCTION("""COMPUTED_VALUE"""),"Walkin")</f>
        <v>Walkin</v>
      </c>
      <c r="W1746" s="124" t="str">
        <f>IFERROR(__xludf.DUMMYFUNCTION("""COMPUTED_VALUE"""),"Patna")</f>
        <v>Patna</v>
      </c>
      <c r="X1746" s="124" t="str">
        <f>IFERROR(__xludf.DUMMYFUNCTION("""COMPUTED_VALUE"""),"Walkin")</f>
        <v>Walkin</v>
      </c>
      <c r="Y1746" s="124" t="str">
        <f>IFERROR(__xludf.DUMMYFUNCTION("""COMPUTED_VALUE"""),"Patna")</f>
        <v>Patna</v>
      </c>
      <c r="Z1746" s="124">
        <f>IFERROR(__xludf.DUMMYFUNCTION("""COMPUTED_VALUE"""),2.0)</f>
        <v>2</v>
      </c>
      <c r="AA1746" s="124" t="str">
        <f>IFERROR(__xludf.DUMMYFUNCTION("""COMPUTED_VALUE"""),"Cold")</f>
        <v>Cold</v>
      </c>
      <c r="AB1746" s="124" t="str">
        <f>IFERROR(__xludf.DUMMYFUNCTION("""COMPUTED_VALUE"""),"State PCS")</f>
        <v>State PCS</v>
      </c>
    </row>
    <row r="1747">
      <c r="A1747" s="129">
        <f>IFERROR(__xludf.DUMMYFUNCTION("""COMPUTED_VALUE"""),46059.0)</f>
        <v>46059</v>
      </c>
      <c r="B1747" s="124" t="str">
        <f>IFERROR(__xludf.DUMMYFUNCTION("""COMPUTED_VALUE"""),"Walkin")</f>
        <v>Walkin</v>
      </c>
      <c r="C1747" s="124" t="str">
        <f>IFERROR(__xludf.DUMMYFUNCTION("""COMPUTED_VALUE"""),"Delhi")</f>
        <v>Delhi</v>
      </c>
      <c r="D1747" s="124" t="str">
        <f>IFERROR(__xludf.DUMMYFUNCTION("""COMPUTED_VALUE"""),"Primary_Walkin")</f>
        <v>Primary_Walkin</v>
      </c>
      <c r="E1747" s="124">
        <f>IFERROR(__xludf.DUMMYFUNCTION("""COMPUTED_VALUE"""),1.0)</f>
        <v>1</v>
      </c>
      <c r="F1747" s="124" t="str">
        <f>IFERROR(__xludf.DUMMYFUNCTION("""COMPUTED_VALUE"""),"Enrolled")</f>
        <v>Enrolled</v>
      </c>
      <c r="G1747" s="124" t="str">
        <f>IFERROR(__xludf.DUMMYFUNCTION("""COMPUTED_VALUE"""),"GS Foundation")</f>
        <v>GS Foundation</v>
      </c>
      <c r="K1747" s="124"/>
      <c r="L1747" s="124"/>
      <c r="M1747" s="124"/>
      <c r="N1747" s="124"/>
      <c r="O1747" s="124"/>
      <c r="T1747" s="126">
        <f>IFERROR(__xludf.DUMMYFUNCTION("""COMPUTED_VALUE"""),46111.0)</f>
        <v>46111</v>
      </c>
      <c r="U1747" s="124" t="str">
        <f>IFERROR(__xludf.DUMMYFUNCTION("""COMPUTED_VALUE"""),"Walk-Ins")</f>
        <v>Walk-Ins</v>
      </c>
      <c r="V1747" s="124" t="str">
        <f>IFERROR(__xludf.DUMMYFUNCTION("""COMPUTED_VALUE"""),"Walkin")</f>
        <v>Walkin</v>
      </c>
      <c r="W1747" s="124" t="str">
        <f>IFERROR(__xludf.DUMMYFUNCTION("""COMPUTED_VALUE"""),"Prayagraj")</f>
        <v>Prayagraj</v>
      </c>
      <c r="X1747" s="124" t="str">
        <f>IFERROR(__xludf.DUMMYFUNCTION("""COMPUTED_VALUE"""),"Walkin")</f>
        <v>Walkin</v>
      </c>
      <c r="Y1747" s="124" t="str">
        <f>IFERROR(__xludf.DUMMYFUNCTION("""COMPUTED_VALUE"""),"Prayagraj")</f>
        <v>Prayagraj</v>
      </c>
      <c r="Z1747" s="124">
        <f>IFERROR(__xludf.DUMMYFUNCTION("""COMPUTED_VALUE"""),5.0)</f>
        <v>5</v>
      </c>
      <c r="AA1747" s="124" t="str">
        <f>IFERROR(__xludf.DUMMYFUNCTION("""COMPUTED_VALUE"""),"Warm")</f>
        <v>Warm</v>
      </c>
      <c r="AB1747" s="124" t="str">
        <f>IFERROR(__xludf.DUMMYFUNCTION("""COMPUTED_VALUE"""),"Mentorship")</f>
        <v>Mentorship</v>
      </c>
    </row>
    <row r="1748">
      <c r="A1748" s="126">
        <f>IFERROR(__xludf.DUMMYFUNCTION("""COMPUTED_VALUE"""),46103.0)</f>
        <v>46103</v>
      </c>
      <c r="B1748" s="124" t="str">
        <f>IFERROR(__xludf.DUMMYFUNCTION("""COMPUTED_VALUE"""),"Walk-In")</f>
        <v>Walk-In</v>
      </c>
      <c r="C1748" s="124" t="str">
        <f>IFERROR(__xludf.DUMMYFUNCTION("""COMPUTED_VALUE"""),"Delhi")</f>
        <v>Delhi</v>
      </c>
      <c r="D1748" s="124" t="str">
        <f>IFERROR(__xludf.DUMMYFUNCTION("""COMPUTED_VALUE"""),"Primary_Walkin")</f>
        <v>Primary_Walkin</v>
      </c>
      <c r="E1748" s="124">
        <f>IFERROR(__xludf.DUMMYFUNCTION("""COMPUTED_VALUE"""),1.0)</f>
        <v>1</v>
      </c>
      <c r="F1748" s="124" t="str">
        <f>IFERROR(__xludf.DUMMYFUNCTION("""COMPUTED_VALUE"""),"Not Interested")</f>
        <v>Not Interested</v>
      </c>
      <c r="G1748" s="124" t="str">
        <f>IFERROR(__xludf.DUMMYFUNCTION("""COMPUTED_VALUE"""),"GS Foundation")</f>
        <v>GS Foundation</v>
      </c>
      <c r="K1748" s="124"/>
      <c r="L1748" s="124"/>
      <c r="M1748" s="124"/>
      <c r="N1748" s="124"/>
      <c r="O1748" s="124"/>
      <c r="T1748" s="129">
        <f>IFERROR(__xludf.DUMMYFUNCTION("""COMPUTED_VALUE"""),46074.0)</f>
        <v>46074</v>
      </c>
      <c r="U1748" s="124" t="str">
        <f>IFERROR(__xludf.DUMMYFUNCTION("""COMPUTED_VALUE"""),"Walk-Ins")</f>
        <v>Walk-Ins</v>
      </c>
      <c r="V1748" s="124" t="str">
        <f>IFERROR(__xludf.DUMMYFUNCTION("""COMPUTED_VALUE"""),"Walkin")</f>
        <v>Walkin</v>
      </c>
      <c r="W1748" s="124" t="str">
        <f>IFERROR(__xludf.DUMMYFUNCTION("""COMPUTED_VALUE"""),"Prayagraj")</f>
        <v>Prayagraj</v>
      </c>
      <c r="X1748" s="124" t="str">
        <f>IFERROR(__xludf.DUMMYFUNCTION("""COMPUTED_VALUE"""),"Walkin")</f>
        <v>Walkin</v>
      </c>
      <c r="Y1748" s="124" t="str">
        <f>IFERROR(__xludf.DUMMYFUNCTION("""COMPUTED_VALUE"""),"Prayagraj")</f>
        <v>Prayagraj</v>
      </c>
      <c r="Z1748" s="124">
        <f>IFERROR(__xludf.DUMMYFUNCTION("""COMPUTED_VALUE"""),3.0)</f>
        <v>3</v>
      </c>
      <c r="AA1748" s="124" t="str">
        <f>IFERROR(__xludf.DUMMYFUNCTION("""COMPUTED_VALUE"""),"Cold")</f>
        <v>Cold</v>
      </c>
      <c r="AB1748" s="124" t="str">
        <f>IFERROR(__xludf.DUMMYFUNCTION("""COMPUTED_VALUE"""),"GS Foundation")</f>
        <v>GS Foundation</v>
      </c>
    </row>
    <row r="1749">
      <c r="A1749" s="126">
        <f>IFERROR(__xludf.DUMMYFUNCTION("""COMPUTED_VALUE"""),46101.0)</f>
        <v>46101</v>
      </c>
      <c r="B1749" s="124" t="str">
        <f>IFERROR(__xludf.DUMMYFUNCTION("""COMPUTED_VALUE"""),"Walkin")</f>
        <v>Walkin</v>
      </c>
      <c r="C1749" s="124" t="str">
        <f>IFERROR(__xludf.DUMMYFUNCTION("""COMPUTED_VALUE"""),"Delhi")</f>
        <v>Delhi</v>
      </c>
      <c r="D1749" s="124" t="str">
        <f>IFERROR(__xludf.DUMMYFUNCTION("""COMPUTED_VALUE"""),"Primary_Walkin")</f>
        <v>Primary_Walkin</v>
      </c>
      <c r="E1749" s="124">
        <f>IFERROR(__xludf.DUMMYFUNCTION("""COMPUTED_VALUE"""),1.0)</f>
        <v>1</v>
      </c>
      <c r="F1749" s="124" t="str">
        <f>IFERROR(__xludf.DUMMYFUNCTION("""COMPUTED_VALUE"""),"Cold")</f>
        <v>Cold</v>
      </c>
      <c r="G1749" s="124" t="str">
        <f>IFERROR(__xludf.DUMMYFUNCTION("""COMPUTED_VALUE"""),"GS Foundation")</f>
        <v>GS Foundation</v>
      </c>
      <c r="K1749" s="124"/>
      <c r="L1749" s="124"/>
      <c r="M1749" s="124"/>
      <c r="N1749" s="124"/>
      <c r="O1749" s="124"/>
      <c r="T1749" s="126">
        <f>IFERROR(__xludf.DUMMYFUNCTION("""COMPUTED_VALUE"""),46060.0)</f>
        <v>46060</v>
      </c>
      <c r="U1749" s="124" t="str">
        <f>IFERROR(__xludf.DUMMYFUNCTION("""COMPUTED_VALUE"""),"Walk-Ins")</f>
        <v>Walk-Ins</v>
      </c>
      <c r="V1749" s="124" t="str">
        <f>IFERROR(__xludf.DUMMYFUNCTION("""COMPUTED_VALUE"""),"Walkin")</f>
        <v>Walkin</v>
      </c>
      <c r="W1749" s="124" t="str">
        <f>IFERROR(__xludf.DUMMYFUNCTION("""COMPUTED_VALUE"""),"Patna")</f>
        <v>Patna</v>
      </c>
      <c r="X1749" s="124" t="str">
        <f>IFERROR(__xludf.DUMMYFUNCTION("""COMPUTED_VALUE"""),"Walkin")</f>
        <v>Walkin</v>
      </c>
      <c r="Y1749" s="124" t="str">
        <f>IFERROR(__xludf.DUMMYFUNCTION("""COMPUTED_VALUE"""),"Patna")</f>
        <v>Patna</v>
      </c>
      <c r="Z1749" s="124">
        <f>IFERROR(__xludf.DUMMYFUNCTION("""COMPUTED_VALUE"""),1.0)</f>
        <v>1</v>
      </c>
      <c r="AA1749" s="124" t="str">
        <f>IFERROR(__xludf.DUMMYFUNCTION("""COMPUTED_VALUE"""),"Enrolled")</f>
        <v>Enrolled</v>
      </c>
      <c r="AB1749" s="124" t="str">
        <f>IFERROR(__xludf.DUMMYFUNCTION("""COMPUTED_VALUE"""),"State PCS")</f>
        <v>State PCS</v>
      </c>
    </row>
    <row r="1750">
      <c r="A1750" s="129">
        <f>IFERROR(__xludf.DUMMYFUNCTION("""COMPUTED_VALUE"""),46055.0)</f>
        <v>46055</v>
      </c>
      <c r="B1750" s="124" t="str">
        <f>IFERROR(__xludf.DUMMYFUNCTION("""COMPUTED_VALUE"""),"external leads")</f>
        <v>external leads</v>
      </c>
      <c r="C1750" s="124" t="str">
        <f>IFERROR(__xludf.DUMMYFUNCTION("""COMPUTED_VALUE"""),"Delhi")</f>
        <v>Delhi</v>
      </c>
      <c r="D1750" s="124" t="str">
        <f>IFERROR(__xludf.DUMMYFUNCTION("""COMPUTED_VALUE"""),"Secondary_Walkin")</f>
        <v>Secondary_Walkin</v>
      </c>
      <c r="E1750" s="124">
        <f>IFERROR(__xludf.DUMMYFUNCTION("""COMPUTED_VALUE"""),1.0)</f>
        <v>1</v>
      </c>
      <c r="F1750" s="124" t="str">
        <f>IFERROR(__xludf.DUMMYFUNCTION("""COMPUTED_VALUE"""),"Cold")</f>
        <v>Cold</v>
      </c>
      <c r="G1750" s="124" t="str">
        <f>IFERROR(__xludf.DUMMYFUNCTION("""COMPUTED_VALUE"""),"GS Foundation")</f>
        <v>GS Foundation</v>
      </c>
      <c r="K1750" s="124"/>
      <c r="L1750" s="124"/>
      <c r="M1750" s="124"/>
      <c r="N1750" s="124"/>
      <c r="O1750" s="124"/>
      <c r="T1750" s="126">
        <f>IFERROR(__xludf.DUMMYFUNCTION("""COMPUTED_VALUE"""),46105.0)</f>
        <v>46105</v>
      </c>
      <c r="U1750" s="124" t="str">
        <f>IFERROR(__xludf.DUMMYFUNCTION("""COMPUTED_VALUE"""),"Walk-Ins")</f>
        <v>Walk-Ins</v>
      </c>
      <c r="V1750" s="124" t="str">
        <f>IFERROR(__xludf.DUMMYFUNCTION("""COMPUTED_VALUE"""),"Walkin")</f>
        <v>Walkin</v>
      </c>
      <c r="W1750" s="124" t="str">
        <f>IFERROR(__xludf.DUMMYFUNCTION("""COMPUTED_VALUE"""),"Prayagraj")</f>
        <v>Prayagraj</v>
      </c>
      <c r="X1750" s="124" t="str">
        <f>IFERROR(__xludf.DUMMYFUNCTION("""COMPUTED_VALUE"""),"Walkin")</f>
        <v>Walkin</v>
      </c>
      <c r="Y1750" s="124" t="str">
        <f>IFERROR(__xludf.DUMMYFUNCTION("""COMPUTED_VALUE"""),"Prayagraj")</f>
        <v>Prayagraj</v>
      </c>
      <c r="Z1750" s="124">
        <f>IFERROR(__xludf.DUMMYFUNCTION("""COMPUTED_VALUE"""),3.0)</f>
        <v>3</v>
      </c>
      <c r="AA1750" s="124" t="str">
        <f>IFERROR(__xludf.DUMMYFUNCTION("""COMPUTED_VALUE"""),"Warm")</f>
        <v>Warm</v>
      </c>
      <c r="AB1750" s="124" t="str">
        <f>IFERROR(__xludf.DUMMYFUNCTION("""COMPUTED_VALUE"""),"State PCS")</f>
        <v>State PCS</v>
      </c>
    </row>
    <row r="1751">
      <c r="A1751" s="126">
        <f>IFERROR(__xludf.DUMMYFUNCTION("""COMPUTED_VALUE"""),46069.0)</f>
        <v>46069</v>
      </c>
      <c r="B1751" s="124" t="str">
        <f>IFERROR(__xludf.DUMMYFUNCTION("""COMPUTED_VALUE"""),"Walkin")</f>
        <v>Walkin</v>
      </c>
      <c r="C1751" s="124" t="str">
        <f>IFERROR(__xludf.DUMMYFUNCTION("""COMPUTED_VALUE"""),"Delhi")</f>
        <v>Delhi</v>
      </c>
      <c r="D1751" s="124" t="str">
        <f>IFERROR(__xludf.DUMMYFUNCTION("""COMPUTED_VALUE"""),"Primary_Walkin")</f>
        <v>Primary_Walkin</v>
      </c>
      <c r="E1751" s="124">
        <f>IFERROR(__xludf.DUMMYFUNCTION("""COMPUTED_VALUE"""),1.0)</f>
        <v>1</v>
      </c>
      <c r="F1751" s="124" t="str">
        <f>IFERROR(__xludf.DUMMYFUNCTION("""COMPUTED_VALUE"""),"Future Prospects")</f>
        <v>Future Prospects</v>
      </c>
      <c r="G1751" s="124" t="str">
        <f>IFERROR(__xludf.DUMMYFUNCTION("""COMPUTED_VALUE"""),"GS Foundation")</f>
        <v>GS Foundation</v>
      </c>
      <c r="K1751" s="124"/>
      <c r="L1751" s="124"/>
      <c r="M1751" s="124"/>
      <c r="N1751" s="124"/>
      <c r="O1751" s="124"/>
      <c r="T1751" s="126">
        <f>IFERROR(__xludf.DUMMYFUNCTION("""COMPUTED_VALUE"""),46106.0)</f>
        <v>46106</v>
      </c>
      <c r="U1751" s="124" t="str">
        <f>IFERROR(__xludf.DUMMYFUNCTION("""COMPUTED_VALUE"""),"Walk-Ins")</f>
        <v>Walk-Ins</v>
      </c>
      <c r="V1751" s="124" t="str">
        <f>IFERROR(__xludf.DUMMYFUNCTION("""COMPUTED_VALUE"""),"Walkin")</f>
        <v>Walkin</v>
      </c>
      <c r="W1751" s="124" t="str">
        <f>IFERROR(__xludf.DUMMYFUNCTION("""COMPUTED_VALUE"""),"Lucknow")</f>
        <v>Lucknow</v>
      </c>
      <c r="X1751" s="124" t="str">
        <f>IFERROR(__xludf.DUMMYFUNCTION("""COMPUTED_VALUE"""),"Walkin")</f>
        <v>Walkin</v>
      </c>
      <c r="Y1751" s="124" t="str">
        <f>IFERROR(__xludf.DUMMYFUNCTION("""COMPUTED_VALUE"""),"Lucknow")</f>
        <v>Lucknow</v>
      </c>
      <c r="Z1751" s="124">
        <f>IFERROR(__xludf.DUMMYFUNCTION("""COMPUTED_VALUE"""),1.0)</f>
        <v>1</v>
      </c>
      <c r="AA1751" s="124" t="str">
        <f>IFERROR(__xludf.DUMMYFUNCTION("""COMPUTED_VALUE"""),"Interested")</f>
        <v>Interested</v>
      </c>
      <c r="AB1751" s="124" t="str">
        <f>IFERROR(__xludf.DUMMYFUNCTION("""COMPUTED_VALUE"""),"GS Foundation")</f>
        <v>GS Foundation</v>
      </c>
    </row>
    <row r="1752">
      <c r="A1752" s="126">
        <f>IFERROR(__xludf.DUMMYFUNCTION("""COMPUTED_VALUE"""),46094.0)</f>
        <v>46094</v>
      </c>
      <c r="B1752" s="124" t="str">
        <f>IFERROR(__xludf.DUMMYFUNCTION("""COMPUTED_VALUE"""),"Walkin")</f>
        <v>Walkin</v>
      </c>
      <c r="C1752" s="124" t="str">
        <f>IFERROR(__xludf.DUMMYFUNCTION("""COMPUTED_VALUE"""),"Delhi")</f>
        <v>Delhi</v>
      </c>
      <c r="D1752" s="124" t="str">
        <f>IFERROR(__xludf.DUMMYFUNCTION("""COMPUTED_VALUE"""),"Primary_Walkin")</f>
        <v>Primary_Walkin</v>
      </c>
      <c r="E1752" s="124">
        <f>IFERROR(__xludf.DUMMYFUNCTION("""COMPUTED_VALUE"""),1.0)</f>
        <v>1</v>
      </c>
      <c r="F1752" s="124" t="str">
        <f>IFERROR(__xludf.DUMMYFUNCTION("""COMPUTED_VALUE"""),"Enrolled")</f>
        <v>Enrolled</v>
      </c>
      <c r="G1752" s="124" t="str">
        <f>IFERROR(__xludf.DUMMYFUNCTION("""COMPUTED_VALUE"""),"GS Foundation")</f>
        <v>GS Foundation</v>
      </c>
      <c r="K1752" s="124"/>
      <c r="L1752" s="124"/>
      <c r="M1752" s="124"/>
      <c r="N1752" s="124"/>
      <c r="O1752" s="124"/>
      <c r="T1752" s="126">
        <f>IFERROR(__xludf.DUMMYFUNCTION("""COMPUTED_VALUE"""),46097.0)</f>
        <v>46097</v>
      </c>
      <c r="U1752" s="124" t="str">
        <f>IFERROR(__xludf.DUMMYFUNCTION("""COMPUTED_VALUE"""),"Walk-Ins")</f>
        <v>Walk-Ins</v>
      </c>
      <c r="V1752" s="124" t="str">
        <f>IFERROR(__xludf.DUMMYFUNCTION("""COMPUTED_VALUE"""),"Walkin")</f>
        <v>Walkin</v>
      </c>
      <c r="W1752" s="124" t="str">
        <f>IFERROR(__xludf.DUMMYFUNCTION("""COMPUTED_VALUE"""),"Indore")</f>
        <v>Indore</v>
      </c>
      <c r="X1752" s="124" t="str">
        <f>IFERROR(__xludf.DUMMYFUNCTION("""COMPUTED_VALUE"""),"Walkin")</f>
        <v>Walkin</v>
      </c>
      <c r="Y1752" s="124" t="str">
        <f>IFERROR(__xludf.DUMMYFUNCTION("""COMPUTED_VALUE"""),"Indore")</f>
        <v>Indore</v>
      </c>
      <c r="Z1752" s="124">
        <f>IFERROR(__xludf.DUMMYFUNCTION("""COMPUTED_VALUE"""),1.0)</f>
        <v>1</v>
      </c>
      <c r="AA1752" s="124" t="str">
        <f>IFERROR(__xludf.DUMMYFUNCTION("""COMPUTED_VALUE"""),"Cold")</f>
        <v>Cold</v>
      </c>
      <c r="AB1752" s="124" t="str">
        <f>IFERROR(__xludf.DUMMYFUNCTION("""COMPUTED_VALUE"""),"State PCS")</f>
        <v>State PCS</v>
      </c>
    </row>
    <row r="1753">
      <c r="A1753" s="126">
        <f>IFERROR(__xludf.DUMMYFUNCTION("""COMPUTED_VALUE"""),46105.0)</f>
        <v>46105</v>
      </c>
      <c r="B1753" s="124" t="str">
        <f>IFERROR(__xludf.DUMMYFUNCTION("""COMPUTED_VALUE"""),"Walkin")</f>
        <v>Walkin</v>
      </c>
      <c r="C1753" s="124" t="str">
        <f>IFERROR(__xludf.DUMMYFUNCTION("""COMPUTED_VALUE"""),"Delhi")</f>
        <v>Delhi</v>
      </c>
      <c r="D1753" s="124" t="str">
        <f>IFERROR(__xludf.DUMMYFUNCTION("""COMPUTED_VALUE"""),"Primary_Walkin")</f>
        <v>Primary_Walkin</v>
      </c>
      <c r="E1753" s="124">
        <f>IFERROR(__xludf.DUMMYFUNCTION("""COMPUTED_VALUE"""),1.0)</f>
        <v>1</v>
      </c>
      <c r="F1753" s="124" t="str">
        <f>IFERROR(__xludf.DUMMYFUNCTION("""COMPUTED_VALUE"""),"Fake Lead")</f>
        <v>Fake Lead</v>
      </c>
      <c r="G1753" s="124" t="str">
        <f>IFERROR(__xludf.DUMMYFUNCTION("""COMPUTED_VALUE"""),"State PCS")</f>
        <v>State PCS</v>
      </c>
      <c r="K1753" s="124"/>
      <c r="L1753" s="124"/>
      <c r="M1753" s="124"/>
      <c r="N1753" s="124"/>
      <c r="O1753" s="124"/>
      <c r="T1753" s="126">
        <f>IFERROR(__xludf.DUMMYFUNCTION("""COMPUTED_VALUE"""),46051.0)</f>
        <v>46051</v>
      </c>
      <c r="U1753" s="124" t="str">
        <f>IFERROR(__xludf.DUMMYFUNCTION("""COMPUTED_VALUE"""),"Walk-Ins")</f>
        <v>Walk-Ins</v>
      </c>
      <c r="V1753" s="124" t="str">
        <f>IFERROR(__xludf.DUMMYFUNCTION("""COMPUTED_VALUE"""),"Walkin")</f>
        <v>Walkin</v>
      </c>
      <c r="W1753" s="124" t="str">
        <f>IFERROR(__xludf.DUMMYFUNCTION("""COMPUTED_VALUE"""),"Patna")</f>
        <v>Patna</v>
      </c>
      <c r="X1753" s="124" t="str">
        <f>IFERROR(__xludf.DUMMYFUNCTION("""COMPUTED_VALUE"""),"Walkin")</f>
        <v>Walkin</v>
      </c>
      <c r="Y1753" s="124" t="str">
        <f>IFERROR(__xludf.DUMMYFUNCTION("""COMPUTED_VALUE"""),"Patna")</f>
        <v>Patna</v>
      </c>
      <c r="Z1753" s="124">
        <f>IFERROR(__xludf.DUMMYFUNCTION("""COMPUTED_VALUE"""),5.0)</f>
        <v>5</v>
      </c>
      <c r="AA1753" s="124" t="str">
        <f>IFERROR(__xludf.DUMMYFUNCTION("""COMPUTED_VALUE"""),"Cold")</f>
        <v>Cold</v>
      </c>
      <c r="AB1753" s="124" t="str">
        <f>IFERROR(__xludf.DUMMYFUNCTION("""COMPUTED_VALUE"""),"State PCS")</f>
        <v>State PCS</v>
      </c>
    </row>
    <row r="1754">
      <c r="A1754" s="126">
        <f>IFERROR(__xludf.DUMMYFUNCTION("""COMPUTED_VALUE"""),46102.0)</f>
        <v>46102</v>
      </c>
      <c r="B1754" s="124" t="str">
        <f>IFERROR(__xludf.DUMMYFUNCTION("""COMPUTED_VALUE"""),"Walkin")</f>
        <v>Walkin</v>
      </c>
      <c r="C1754" s="124" t="str">
        <f>IFERROR(__xludf.DUMMYFUNCTION("""COMPUTED_VALUE"""),"Delhi")</f>
        <v>Delhi</v>
      </c>
      <c r="D1754" s="124" t="str">
        <f>IFERROR(__xludf.DUMMYFUNCTION("""COMPUTED_VALUE"""),"Primary_Walkin")</f>
        <v>Primary_Walkin</v>
      </c>
      <c r="E1754" s="124">
        <f>IFERROR(__xludf.DUMMYFUNCTION("""COMPUTED_VALUE"""),2.0)</f>
        <v>2</v>
      </c>
      <c r="F1754" s="124" t="str">
        <f>IFERROR(__xludf.DUMMYFUNCTION("""COMPUTED_VALUE"""),"Cold")</f>
        <v>Cold</v>
      </c>
      <c r="G1754" s="124" t="str">
        <f>IFERROR(__xludf.DUMMYFUNCTION("""COMPUTED_VALUE"""),"GS Foundation")</f>
        <v>GS Foundation</v>
      </c>
      <c r="K1754" s="124"/>
      <c r="L1754" s="124"/>
      <c r="M1754" s="124"/>
      <c r="N1754" s="124"/>
      <c r="O1754" s="124"/>
      <c r="T1754" s="126">
        <f>IFERROR(__xludf.DUMMYFUNCTION("""COMPUTED_VALUE"""),46064.0)</f>
        <v>46064</v>
      </c>
      <c r="U1754" s="124" t="str">
        <f>IFERROR(__xludf.DUMMYFUNCTION("""COMPUTED_VALUE"""),"Walk-Ins")</f>
        <v>Walk-Ins</v>
      </c>
      <c r="V1754" s="124" t="str">
        <f>IFERROR(__xludf.DUMMYFUNCTION("""COMPUTED_VALUE"""),"Walkin")</f>
        <v>Walkin</v>
      </c>
      <c r="W1754" s="124" t="str">
        <f>IFERROR(__xludf.DUMMYFUNCTION("""COMPUTED_VALUE"""),"Indore")</f>
        <v>Indore</v>
      </c>
      <c r="X1754" s="124" t="str">
        <f>IFERROR(__xludf.DUMMYFUNCTION("""COMPUTED_VALUE"""),"Walkin")</f>
        <v>Walkin</v>
      </c>
      <c r="Y1754" s="124" t="str">
        <f>IFERROR(__xludf.DUMMYFUNCTION("""COMPUTED_VALUE"""),"Indore")</f>
        <v>Indore</v>
      </c>
      <c r="Z1754" s="124">
        <f>IFERROR(__xludf.DUMMYFUNCTION("""COMPUTED_VALUE"""),1.0)</f>
        <v>1</v>
      </c>
      <c r="AA1754" s="124" t="str">
        <f>IFERROR(__xludf.DUMMYFUNCTION("""COMPUTED_VALUE"""),"Cold")</f>
        <v>Cold</v>
      </c>
      <c r="AB1754" s="124" t="str">
        <f>IFERROR(__xludf.DUMMYFUNCTION("""COMPUTED_VALUE"""),"Other")</f>
        <v>Other</v>
      </c>
    </row>
    <row r="1755">
      <c r="A1755" s="126">
        <f>IFERROR(__xludf.DUMMYFUNCTION("""COMPUTED_VALUE"""),46052.0)</f>
        <v>46052</v>
      </c>
      <c r="B1755" s="124" t="str">
        <f>IFERROR(__xludf.DUMMYFUNCTION("""COMPUTED_VALUE"""),"Walkin")</f>
        <v>Walkin</v>
      </c>
      <c r="C1755" s="124" t="str">
        <f>IFERROR(__xludf.DUMMYFUNCTION("""COMPUTED_VALUE"""),"Delhi")</f>
        <v>Delhi</v>
      </c>
      <c r="D1755" s="124" t="str">
        <f>IFERROR(__xludf.DUMMYFUNCTION("""COMPUTED_VALUE"""),"Primary_Walkin")</f>
        <v>Primary_Walkin</v>
      </c>
      <c r="E1755" s="124">
        <f>IFERROR(__xludf.DUMMYFUNCTION("""COMPUTED_VALUE"""),3.0)</f>
        <v>3</v>
      </c>
      <c r="F1755" s="124" t="str">
        <f>IFERROR(__xludf.DUMMYFUNCTION("""COMPUTED_VALUE"""),"Not Interested")</f>
        <v>Not Interested</v>
      </c>
      <c r="G1755" s="124" t="str">
        <f>IFERROR(__xludf.DUMMYFUNCTION("""COMPUTED_VALUE"""),"GS Foundation")</f>
        <v>GS Foundation</v>
      </c>
      <c r="K1755" s="124"/>
      <c r="L1755" s="124"/>
      <c r="M1755" s="124"/>
      <c r="N1755" s="124"/>
      <c r="O1755" s="124"/>
      <c r="T1755" s="126">
        <f>IFERROR(__xludf.DUMMYFUNCTION("""COMPUTED_VALUE"""),46089.0)</f>
        <v>46089</v>
      </c>
      <c r="U1755" s="124" t="str">
        <f>IFERROR(__xludf.DUMMYFUNCTION("""COMPUTED_VALUE"""),"Walk-Ins")</f>
        <v>Walk-Ins</v>
      </c>
      <c r="V1755" s="124" t="str">
        <f>IFERROR(__xludf.DUMMYFUNCTION("""COMPUTED_VALUE"""),"Walkin")</f>
        <v>Walkin</v>
      </c>
      <c r="W1755" s="124" t="str">
        <f>IFERROR(__xludf.DUMMYFUNCTION("""COMPUTED_VALUE"""),"Prayagraj")</f>
        <v>Prayagraj</v>
      </c>
      <c r="X1755" s="124" t="str">
        <f>IFERROR(__xludf.DUMMYFUNCTION("""COMPUTED_VALUE"""),"Walkin")</f>
        <v>Walkin</v>
      </c>
      <c r="Y1755" s="124" t="str">
        <f>IFERROR(__xludf.DUMMYFUNCTION("""COMPUTED_VALUE"""),"Prayagraj")</f>
        <v>Prayagraj</v>
      </c>
      <c r="Z1755" s="124">
        <f>IFERROR(__xludf.DUMMYFUNCTION("""COMPUTED_VALUE"""),1.0)</f>
        <v>1</v>
      </c>
      <c r="AA1755" s="124" t="str">
        <f>IFERROR(__xludf.DUMMYFUNCTION("""COMPUTED_VALUE"""),"Future Prospects")</f>
        <v>Future Prospects</v>
      </c>
      <c r="AB1755" s="124" t="str">
        <f>IFERROR(__xludf.DUMMYFUNCTION("""COMPUTED_VALUE"""),"Mentorship")</f>
        <v>Mentorship</v>
      </c>
    </row>
    <row r="1756">
      <c r="A1756" s="126">
        <f>IFERROR(__xludf.DUMMYFUNCTION("""COMPUTED_VALUE"""),46112.0)</f>
        <v>46112</v>
      </c>
      <c r="B1756" s="124" t="str">
        <f>IFERROR(__xludf.DUMMYFUNCTION("""COMPUTED_VALUE"""),"Walkin")</f>
        <v>Walkin</v>
      </c>
      <c r="C1756" s="124" t="str">
        <f>IFERROR(__xludf.DUMMYFUNCTION("""COMPUTED_VALUE"""),"Delhi")</f>
        <v>Delhi</v>
      </c>
      <c r="D1756" s="124" t="str">
        <f>IFERROR(__xludf.DUMMYFUNCTION("""COMPUTED_VALUE"""),"Primary_Walkin")</f>
        <v>Primary_Walkin</v>
      </c>
      <c r="E1756" s="124">
        <f>IFERROR(__xludf.DUMMYFUNCTION("""COMPUTED_VALUE"""),1.0)</f>
        <v>1</v>
      </c>
      <c r="F1756" s="124" t="str">
        <f>IFERROR(__xludf.DUMMYFUNCTION("""COMPUTED_VALUE"""),"Not Interested")</f>
        <v>Not Interested</v>
      </c>
      <c r="G1756" s="124" t="str">
        <f>IFERROR(__xludf.DUMMYFUNCTION("""COMPUTED_VALUE"""),"GS Foundation")</f>
        <v>GS Foundation</v>
      </c>
      <c r="K1756" s="124"/>
      <c r="L1756" s="124"/>
      <c r="M1756" s="124"/>
      <c r="N1756" s="124"/>
      <c r="O1756" s="124"/>
      <c r="T1756" s="129">
        <f>IFERROR(__xludf.DUMMYFUNCTION("""COMPUTED_VALUE"""),46092.0)</f>
        <v>46092</v>
      </c>
      <c r="U1756" s="124" t="str">
        <f>IFERROR(__xludf.DUMMYFUNCTION("""COMPUTED_VALUE"""),"Walk-Ins")</f>
        <v>Walk-Ins</v>
      </c>
      <c r="V1756" s="124" t="str">
        <f>IFERROR(__xludf.DUMMYFUNCTION("""COMPUTED_VALUE"""),"Walkin")</f>
        <v>Walkin</v>
      </c>
      <c r="W1756" s="124" t="str">
        <f>IFERROR(__xludf.DUMMYFUNCTION("""COMPUTED_VALUE"""),"Prayagraj")</f>
        <v>Prayagraj</v>
      </c>
      <c r="X1756" s="124" t="str">
        <f>IFERROR(__xludf.DUMMYFUNCTION("""COMPUTED_VALUE"""),"Walkin")</f>
        <v>Walkin</v>
      </c>
      <c r="Y1756" s="124" t="str">
        <f>IFERROR(__xludf.DUMMYFUNCTION("""COMPUTED_VALUE"""),"Prayagraj")</f>
        <v>Prayagraj</v>
      </c>
      <c r="Z1756" s="124">
        <f>IFERROR(__xludf.DUMMYFUNCTION("""COMPUTED_VALUE"""),7.0)</f>
        <v>7</v>
      </c>
      <c r="AA1756" s="124" t="str">
        <f>IFERROR(__xludf.DUMMYFUNCTION("""COMPUTED_VALUE"""),"Warm")</f>
        <v>Warm</v>
      </c>
      <c r="AB1756" s="124" t="str">
        <f>IFERROR(__xludf.DUMMYFUNCTION("""COMPUTED_VALUE"""),"GS Foundation")</f>
        <v>GS Foundation</v>
      </c>
    </row>
    <row r="1757">
      <c r="A1757" s="126">
        <f>IFERROR(__xludf.DUMMYFUNCTION("""COMPUTED_VALUE"""),46092.0)</f>
        <v>46092</v>
      </c>
      <c r="B1757" s="124" t="str">
        <f>IFERROR(__xludf.DUMMYFUNCTION("""COMPUTED_VALUE"""),"Walkin")</f>
        <v>Walkin</v>
      </c>
      <c r="C1757" s="124" t="str">
        <f>IFERROR(__xludf.DUMMYFUNCTION("""COMPUTED_VALUE"""),"Delhi")</f>
        <v>Delhi</v>
      </c>
      <c r="D1757" s="124" t="str">
        <f>IFERROR(__xludf.DUMMYFUNCTION("""COMPUTED_VALUE"""),"Primary_Walkin")</f>
        <v>Primary_Walkin</v>
      </c>
      <c r="E1757" s="124">
        <f>IFERROR(__xludf.DUMMYFUNCTION("""COMPUTED_VALUE"""),1.0)</f>
        <v>1</v>
      </c>
      <c r="F1757" s="124" t="str">
        <f>IFERROR(__xludf.DUMMYFUNCTION("""COMPUTED_VALUE"""),"Cold")</f>
        <v>Cold</v>
      </c>
      <c r="G1757" s="124" t="str">
        <f>IFERROR(__xludf.DUMMYFUNCTION("""COMPUTED_VALUE"""),"GS Foundation")</f>
        <v>GS Foundation</v>
      </c>
      <c r="K1757" s="124"/>
      <c r="L1757" s="124"/>
      <c r="M1757" s="124"/>
      <c r="N1757" s="124"/>
      <c r="O1757" s="124"/>
      <c r="T1757" s="129">
        <f>IFERROR(__xludf.DUMMYFUNCTION("""COMPUTED_VALUE"""),46087.0)</f>
        <v>46087</v>
      </c>
      <c r="U1757" s="124" t="str">
        <f>IFERROR(__xludf.DUMMYFUNCTION("""COMPUTED_VALUE"""),"Walk-Ins")</f>
        <v>Walk-Ins</v>
      </c>
      <c r="V1757" s="124" t="str">
        <f>IFERROR(__xludf.DUMMYFUNCTION("""COMPUTED_VALUE"""),"Walkin")</f>
        <v>Walkin</v>
      </c>
      <c r="W1757" s="124" t="str">
        <f>IFERROR(__xludf.DUMMYFUNCTION("""COMPUTED_VALUE"""),"Indore")</f>
        <v>Indore</v>
      </c>
      <c r="X1757" s="124" t="str">
        <f>IFERROR(__xludf.DUMMYFUNCTION("""COMPUTED_VALUE"""),"Walkin")</f>
        <v>Walkin</v>
      </c>
      <c r="Y1757" s="124" t="str">
        <f>IFERROR(__xludf.DUMMYFUNCTION("""COMPUTED_VALUE"""),"Indore")</f>
        <v>Indore</v>
      </c>
      <c r="Z1757" s="124">
        <f>IFERROR(__xludf.DUMMYFUNCTION("""COMPUTED_VALUE"""),2.0)</f>
        <v>2</v>
      </c>
      <c r="AA1757" s="124" t="str">
        <f>IFERROR(__xludf.DUMMYFUNCTION("""COMPUTED_VALUE"""),"Enrolled")</f>
        <v>Enrolled</v>
      </c>
      <c r="AB1757" s="124" t="str">
        <f>IFERROR(__xludf.DUMMYFUNCTION("""COMPUTED_VALUE"""),"State PCS")</f>
        <v>State PCS</v>
      </c>
    </row>
    <row r="1758">
      <c r="A1758" s="126">
        <f>IFERROR(__xludf.DUMMYFUNCTION("""COMPUTED_VALUE"""),46079.0)</f>
        <v>46079</v>
      </c>
      <c r="B1758" s="124" t="str">
        <f>IFERROR(__xludf.DUMMYFUNCTION("""COMPUTED_VALUE"""),"Walkin")</f>
        <v>Walkin</v>
      </c>
      <c r="C1758" s="124" t="str">
        <f>IFERROR(__xludf.DUMMYFUNCTION("""COMPUTED_VALUE"""),"Delhi")</f>
        <v>Delhi</v>
      </c>
      <c r="D1758" s="124" t="str">
        <f>IFERROR(__xludf.DUMMYFUNCTION("""COMPUTED_VALUE"""),"Primary_Walkin")</f>
        <v>Primary_Walkin</v>
      </c>
      <c r="E1758" s="124">
        <f>IFERROR(__xludf.DUMMYFUNCTION("""COMPUTED_VALUE"""),1.0)</f>
        <v>1</v>
      </c>
      <c r="F1758" s="124" t="str">
        <f>IFERROR(__xludf.DUMMYFUNCTION("""COMPUTED_VALUE"""),"Warm")</f>
        <v>Warm</v>
      </c>
      <c r="G1758" s="124" t="str">
        <f>IFERROR(__xludf.DUMMYFUNCTION("""COMPUTED_VALUE"""),"GS Foundation")</f>
        <v>GS Foundation</v>
      </c>
      <c r="K1758" s="124"/>
      <c r="L1758" s="124"/>
      <c r="M1758" s="124"/>
      <c r="N1758" s="124"/>
      <c r="O1758" s="124"/>
      <c r="T1758" s="126">
        <f>IFERROR(__xludf.DUMMYFUNCTION("""COMPUTED_VALUE"""),46093.0)</f>
        <v>46093</v>
      </c>
      <c r="U1758" s="124" t="str">
        <f>IFERROR(__xludf.DUMMYFUNCTION("""COMPUTED_VALUE"""),"Walk-Ins")</f>
        <v>Walk-Ins</v>
      </c>
      <c r="V1758" s="124" t="str">
        <f>IFERROR(__xludf.DUMMYFUNCTION("""COMPUTED_VALUE"""),"Walkin")</f>
        <v>Walkin</v>
      </c>
      <c r="W1758" s="124" t="str">
        <f>IFERROR(__xludf.DUMMYFUNCTION("""COMPUTED_VALUE"""),"Patna")</f>
        <v>Patna</v>
      </c>
      <c r="X1758" s="124" t="str">
        <f>IFERROR(__xludf.DUMMYFUNCTION("""COMPUTED_VALUE"""),"Walkin")</f>
        <v>Walkin</v>
      </c>
      <c r="Y1758" s="124" t="str">
        <f>IFERROR(__xludf.DUMMYFUNCTION("""COMPUTED_VALUE"""),"Patna")</f>
        <v>Patna</v>
      </c>
      <c r="Z1758" s="124">
        <f>IFERROR(__xludf.DUMMYFUNCTION("""COMPUTED_VALUE"""),5.0)</f>
        <v>5</v>
      </c>
      <c r="AA1758" s="124" t="str">
        <f>IFERROR(__xludf.DUMMYFUNCTION("""COMPUTED_VALUE"""),"Cold")</f>
        <v>Cold</v>
      </c>
      <c r="AB1758" s="124" t="str">
        <f>IFERROR(__xludf.DUMMYFUNCTION("""COMPUTED_VALUE"""),"State PCS")</f>
        <v>State PCS</v>
      </c>
    </row>
    <row r="1759">
      <c r="A1759" s="126">
        <f>IFERROR(__xludf.DUMMYFUNCTION("""COMPUTED_VALUE"""),46072.0)</f>
        <v>46072</v>
      </c>
      <c r="B1759" s="124" t="str">
        <f>IFERROR(__xludf.DUMMYFUNCTION("""COMPUTED_VALUE"""),"Other")</f>
        <v>Other</v>
      </c>
      <c r="C1759" s="124" t="str">
        <f>IFERROR(__xludf.DUMMYFUNCTION("""COMPUTED_VALUE"""),"Delhi")</f>
        <v>Delhi</v>
      </c>
      <c r="D1759" s="124" t="str">
        <f>IFERROR(__xludf.DUMMYFUNCTION("""COMPUTED_VALUE"""),"Secondary_Walkin")</f>
        <v>Secondary_Walkin</v>
      </c>
      <c r="E1759" s="124">
        <f>IFERROR(__xludf.DUMMYFUNCTION("""COMPUTED_VALUE"""),1.0)</f>
        <v>1</v>
      </c>
      <c r="F1759" s="124" t="str">
        <f>IFERROR(__xludf.DUMMYFUNCTION("""COMPUTED_VALUE"""),"Enrolled")</f>
        <v>Enrolled</v>
      </c>
      <c r="G1759" s="124" t="str">
        <f>IFERROR(__xludf.DUMMYFUNCTION("""COMPUTED_VALUE"""),"Other")</f>
        <v>Other</v>
      </c>
      <c r="K1759" s="124"/>
      <c r="L1759" s="124"/>
      <c r="M1759" s="124"/>
      <c r="N1759" s="124"/>
      <c r="O1759" s="124"/>
      <c r="T1759" s="129">
        <f>IFERROR(__xludf.DUMMYFUNCTION("""COMPUTED_VALUE"""),46102.0)</f>
        <v>46102</v>
      </c>
      <c r="U1759" s="124" t="str">
        <f>IFERROR(__xludf.DUMMYFUNCTION("""COMPUTED_VALUE"""),"Walk-Ins")</f>
        <v>Walk-Ins</v>
      </c>
      <c r="V1759" s="124" t="str">
        <f>IFERROR(__xludf.DUMMYFUNCTION("""COMPUTED_VALUE"""),"Walkin")</f>
        <v>Walkin</v>
      </c>
      <c r="W1759" s="124" t="str">
        <f>IFERROR(__xludf.DUMMYFUNCTION("""COMPUTED_VALUE"""),"Patna")</f>
        <v>Patna</v>
      </c>
      <c r="X1759" s="124" t="str">
        <f>IFERROR(__xludf.DUMMYFUNCTION("""COMPUTED_VALUE"""),"Walkin")</f>
        <v>Walkin</v>
      </c>
      <c r="Y1759" s="124" t="str">
        <f>IFERROR(__xludf.DUMMYFUNCTION("""COMPUTED_VALUE"""),"Patna")</f>
        <v>Patna</v>
      </c>
      <c r="Z1759" s="124">
        <f>IFERROR(__xludf.DUMMYFUNCTION("""COMPUTED_VALUE"""),2.0)</f>
        <v>2</v>
      </c>
      <c r="AA1759" s="124" t="str">
        <f>IFERROR(__xludf.DUMMYFUNCTION("""COMPUTED_VALUE"""),"Warm")</f>
        <v>Warm</v>
      </c>
      <c r="AB1759" s="124" t="str">
        <f>IFERROR(__xludf.DUMMYFUNCTION("""COMPUTED_VALUE"""),"Test Series")</f>
        <v>Test Series</v>
      </c>
    </row>
    <row r="1760">
      <c r="A1760" s="126">
        <f>IFERROR(__xludf.DUMMYFUNCTION("""COMPUTED_VALUE"""),46107.0)</f>
        <v>46107</v>
      </c>
      <c r="B1760" s="124" t="str">
        <f>IFERROR(__xludf.DUMMYFUNCTION("""COMPUTED_VALUE"""),"Walkin")</f>
        <v>Walkin</v>
      </c>
      <c r="C1760" s="124" t="str">
        <f>IFERROR(__xludf.DUMMYFUNCTION("""COMPUTED_VALUE"""),"Delhi")</f>
        <v>Delhi</v>
      </c>
      <c r="D1760" s="124" t="str">
        <f>IFERROR(__xludf.DUMMYFUNCTION("""COMPUTED_VALUE"""),"Primary_Walkin")</f>
        <v>Primary_Walkin</v>
      </c>
      <c r="E1760" s="124">
        <f>IFERROR(__xludf.DUMMYFUNCTION("""COMPUTED_VALUE"""),1.0)</f>
        <v>1</v>
      </c>
      <c r="F1760" s="124" t="str">
        <f>IFERROR(__xludf.DUMMYFUNCTION("""COMPUTED_VALUE"""),"Fake Lead")</f>
        <v>Fake Lead</v>
      </c>
      <c r="G1760" s="124" t="str">
        <f>IFERROR(__xludf.DUMMYFUNCTION("""COMPUTED_VALUE"""),"Mentorship")</f>
        <v>Mentorship</v>
      </c>
      <c r="K1760" s="124"/>
      <c r="L1760" s="124"/>
      <c r="M1760" s="124"/>
      <c r="N1760" s="124"/>
      <c r="O1760" s="124"/>
      <c r="T1760" s="129">
        <f>IFERROR(__xludf.DUMMYFUNCTION("""COMPUTED_VALUE"""),46065.0)</f>
        <v>46065</v>
      </c>
      <c r="U1760" s="124" t="str">
        <f>IFERROR(__xludf.DUMMYFUNCTION("""COMPUTED_VALUE"""),"Walk-Ins")</f>
        <v>Walk-Ins</v>
      </c>
      <c r="V1760" s="124" t="str">
        <f>IFERROR(__xludf.DUMMYFUNCTION("""COMPUTED_VALUE"""),"Walkin")</f>
        <v>Walkin</v>
      </c>
      <c r="W1760" s="124" t="str">
        <f>IFERROR(__xludf.DUMMYFUNCTION("""COMPUTED_VALUE"""),"Prayagraj")</f>
        <v>Prayagraj</v>
      </c>
      <c r="X1760" s="124" t="str">
        <f>IFERROR(__xludf.DUMMYFUNCTION("""COMPUTED_VALUE"""),"Walkin")</f>
        <v>Walkin</v>
      </c>
      <c r="Y1760" s="124" t="str">
        <f>IFERROR(__xludf.DUMMYFUNCTION("""COMPUTED_VALUE"""),"Prayagraj")</f>
        <v>Prayagraj</v>
      </c>
      <c r="Z1760" s="124">
        <f>IFERROR(__xludf.DUMMYFUNCTION("""COMPUTED_VALUE"""),4.0)</f>
        <v>4</v>
      </c>
      <c r="AA1760" s="124" t="str">
        <f>IFERROR(__xludf.DUMMYFUNCTION("""COMPUTED_VALUE"""),"Cold")</f>
        <v>Cold</v>
      </c>
      <c r="AB1760" s="124" t="str">
        <f>IFERROR(__xludf.DUMMYFUNCTION("""COMPUTED_VALUE"""),"GS Foundation")</f>
        <v>GS Foundation</v>
      </c>
    </row>
    <row r="1761">
      <c r="A1761" s="129">
        <f>IFERROR(__xludf.DUMMYFUNCTION("""COMPUTED_VALUE"""),46059.0)</f>
        <v>46059</v>
      </c>
      <c r="B1761" s="124" t="str">
        <f>IFERROR(__xludf.DUMMYFUNCTION("""COMPUTED_VALUE"""),"Walk-In")</f>
        <v>Walk-In</v>
      </c>
      <c r="C1761" s="124" t="str">
        <f>IFERROR(__xludf.DUMMYFUNCTION("""COMPUTED_VALUE"""),"Delhi")</f>
        <v>Delhi</v>
      </c>
      <c r="D1761" s="124" t="str">
        <f>IFERROR(__xludf.DUMMYFUNCTION("""COMPUTED_VALUE"""),"Primary_Walkin")</f>
        <v>Primary_Walkin</v>
      </c>
      <c r="E1761" s="124">
        <f>IFERROR(__xludf.DUMMYFUNCTION("""COMPUTED_VALUE"""),1.0)</f>
        <v>1</v>
      </c>
      <c r="F1761" s="124" t="str">
        <f>IFERROR(__xludf.DUMMYFUNCTION("""COMPUTED_VALUE"""),"Enrolled")</f>
        <v>Enrolled</v>
      </c>
      <c r="G1761" s="124" t="str">
        <f>IFERROR(__xludf.DUMMYFUNCTION("""COMPUTED_VALUE"""),"GS Foundation")</f>
        <v>GS Foundation</v>
      </c>
      <c r="K1761" s="124"/>
      <c r="L1761" s="124"/>
      <c r="M1761" s="124"/>
      <c r="N1761" s="124"/>
      <c r="O1761" s="124"/>
      <c r="T1761" s="126">
        <f>IFERROR(__xludf.DUMMYFUNCTION("""COMPUTED_VALUE"""),46058.0)</f>
        <v>46058</v>
      </c>
      <c r="U1761" s="124" t="str">
        <f>IFERROR(__xludf.DUMMYFUNCTION("""COMPUTED_VALUE"""),"Walk-Ins")</f>
        <v>Walk-Ins</v>
      </c>
      <c r="V1761" s="124" t="str">
        <f>IFERROR(__xludf.DUMMYFUNCTION("""COMPUTED_VALUE"""),"Walk-In")</f>
        <v>Walk-In</v>
      </c>
      <c r="W1761" s="124" t="str">
        <f>IFERROR(__xludf.DUMMYFUNCTION("""COMPUTED_VALUE"""),"Patna")</f>
        <v>Patna</v>
      </c>
      <c r="X1761" s="124" t="str">
        <f>IFERROR(__xludf.DUMMYFUNCTION("""COMPUTED_VALUE"""),"Others")</f>
        <v>Others</v>
      </c>
      <c r="Y1761" s="124"/>
      <c r="Z1761" s="124">
        <f>IFERROR(__xludf.DUMMYFUNCTION("""COMPUTED_VALUE"""),1.0)</f>
        <v>1</v>
      </c>
      <c r="AA1761" s="124" t="str">
        <f>IFERROR(__xludf.DUMMYFUNCTION("""COMPUTED_VALUE"""),"Not Interested")</f>
        <v>Not Interested</v>
      </c>
      <c r="AB1761" s="124" t="str">
        <f>IFERROR(__xludf.DUMMYFUNCTION("""COMPUTED_VALUE"""),"GS Foundation")</f>
        <v>GS Foundation</v>
      </c>
    </row>
    <row r="1762">
      <c r="A1762" s="129">
        <f>IFERROR(__xludf.DUMMYFUNCTION("""COMPUTED_VALUE"""),46056.0)</f>
        <v>46056</v>
      </c>
      <c r="B1762" s="124" t="str">
        <f>IFERROR(__xludf.DUMMYFUNCTION("""COMPUTED_VALUE"""),"events")</f>
        <v>events</v>
      </c>
      <c r="C1762" s="124" t="str">
        <f>IFERROR(__xludf.DUMMYFUNCTION("""COMPUTED_VALUE"""),"Delhi")</f>
        <v>Delhi</v>
      </c>
      <c r="D1762" s="124" t="str">
        <f>IFERROR(__xludf.DUMMYFUNCTION("""COMPUTED_VALUE"""),"Secondary_Walkin")</f>
        <v>Secondary_Walkin</v>
      </c>
      <c r="E1762" s="124">
        <f>IFERROR(__xludf.DUMMYFUNCTION("""COMPUTED_VALUE"""),1.0)</f>
        <v>1</v>
      </c>
      <c r="F1762" s="124" t="str">
        <f>IFERROR(__xludf.DUMMYFUNCTION("""COMPUTED_VALUE"""),"Not Interested")</f>
        <v>Not Interested</v>
      </c>
      <c r="G1762" s="124" t="str">
        <f>IFERROR(__xludf.DUMMYFUNCTION("""COMPUTED_VALUE"""),"GS Foundation")</f>
        <v>GS Foundation</v>
      </c>
      <c r="K1762" s="124"/>
      <c r="L1762" s="124"/>
      <c r="M1762" s="124"/>
      <c r="N1762" s="124"/>
      <c r="O1762" s="124"/>
      <c r="T1762" s="126">
        <f>IFERROR(__xludf.DUMMYFUNCTION("""COMPUTED_VALUE"""),46105.0)</f>
        <v>46105</v>
      </c>
      <c r="U1762" s="124" t="str">
        <f>IFERROR(__xludf.DUMMYFUNCTION("""COMPUTED_VALUE"""),"Walk-Ins")</f>
        <v>Walk-Ins</v>
      </c>
      <c r="V1762" s="124" t="str">
        <f>IFERROR(__xludf.DUMMYFUNCTION("""COMPUTED_VALUE"""),"Walkin")</f>
        <v>Walkin</v>
      </c>
      <c r="W1762" s="124" t="str">
        <f>IFERROR(__xludf.DUMMYFUNCTION("""COMPUTED_VALUE"""),"Patna")</f>
        <v>Patna</v>
      </c>
      <c r="X1762" s="124" t="str">
        <f>IFERROR(__xludf.DUMMYFUNCTION("""COMPUTED_VALUE"""),"Walkin")</f>
        <v>Walkin</v>
      </c>
      <c r="Y1762" s="124" t="str">
        <f>IFERROR(__xludf.DUMMYFUNCTION("""COMPUTED_VALUE"""),"Patna")</f>
        <v>Patna</v>
      </c>
      <c r="Z1762" s="124">
        <f>IFERROR(__xludf.DUMMYFUNCTION("""COMPUTED_VALUE"""),1.0)</f>
        <v>1</v>
      </c>
      <c r="AA1762" s="124" t="str">
        <f>IFERROR(__xludf.DUMMYFUNCTION("""COMPUTED_VALUE"""),"Cold")</f>
        <v>Cold</v>
      </c>
      <c r="AB1762" s="124" t="str">
        <f>IFERROR(__xludf.DUMMYFUNCTION("""COMPUTED_VALUE"""),"Other")</f>
        <v>Other</v>
      </c>
    </row>
    <row r="1763">
      <c r="A1763" s="129">
        <f>IFERROR(__xludf.DUMMYFUNCTION("""COMPUTED_VALUE"""),46059.0)</f>
        <v>46059</v>
      </c>
      <c r="B1763" s="124" t="str">
        <f>IFERROR(__xludf.DUMMYFUNCTION("""COMPUTED_VALUE"""),"Walkin")</f>
        <v>Walkin</v>
      </c>
      <c r="C1763" s="124" t="str">
        <f>IFERROR(__xludf.DUMMYFUNCTION("""COMPUTED_VALUE"""),"Delhi")</f>
        <v>Delhi</v>
      </c>
      <c r="D1763" s="124" t="str">
        <f>IFERROR(__xludf.DUMMYFUNCTION("""COMPUTED_VALUE"""),"Primary_Walkin")</f>
        <v>Primary_Walkin</v>
      </c>
      <c r="E1763" s="124">
        <f>IFERROR(__xludf.DUMMYFUNCTION("""COMPUTED_VALUE"""),2.0)</f>
        <v>2</v>
      </c>
      <c r="F1763" s="124" t="str">
        <f>IFERROR(__xludf.DUMMYFUNCTION("""COMPUTED_VALUE"""),"Not Interested")</f>
        <v>Not Interested</v>
      </c>
      <c r="G1763" s="124" t="str">
        <f>IFERROR(__xludf.DUMMYFUNCTION("""COMPUTED_VALUE"""),"GS Foundation")</f>
        <v>GS Foundation</v>
      </c>
      <c r="K1763" s="124"/>
      <c r="L1763" s="124"/>
      <c r="M1763" s="124"/>
      <c r="N1763" s="124"/>
      <c r="O1763" s="124"/>
      <c r="T1763" s="126">
        <f>IFERROR(__xludf.DUMMYFUNCTION("""COMPUTED_VALUE"""),46072.0)</f>
        <v>46072</v>
      </c>
      <c r="U1763" s="124" t="str">
        <f>IFERROR(__xludf.DUMMYFUNCTION("""COMPUTED_VALUE"""),"Walk-Ins")</f>
        <v>Walk-Ins</v>
      </c>
      <c r="V1763" s="124" t="str">
        <f>IFERROR(__xludf.DUMMYFUNCTION("""COMPUTED_VALUE"""),"Walkin")</f>
        <v>Walkin</v>
      </c>
      <c r="W1763" s="124" t="str">
        <f>IFERROR(__xludf.DUMMYFUNCTION("""COMPUTED_VALUE"""),"Indore")</f>
        <v>Indore</v>
      </c>
      <c r="X1763" s="124" t="str">
        <f>IFERROR(__xludf.DUMMYFUNCTION("""COMPUTED_VALUE"""),"Walkin")</f>
        <v>Walkin</v>
      </c>
      <c r="Y1763" s="124" t="str">
        <f>IFERROR(__xludf.DUMMYFUNCTION("""COMPUTED_VALUE"""),"Indore")</f>
        <v>Indore</v>
      </c>
      <c r="Z1763" s="124">
        <f>IFERROR(__xludf.DUMMYFUNCTION("""COMPUTED_VALUE"""),1.0)</f>
        <v>1</v>
      </c>
      <c r="AA1763" s="124" t="str">
        <f>IFERROR(__xludf.DUMMYFUNCTION("""COMPUTED_VALUE"""),"Not Interested")</f>
        <v>Not Interested</v>
      </c>
      <c r="AB1763" s="124" t="str">
        <f>IFERROR(__xludf.DUMMYFUNCTION("""COMPUTED_VALUE"""),"Other")</f>
        <v>Other</v>
      </c>
    </row>
    <row r="1764">
      <c r="A1764" s="129">
        <f>IFERROR(__xludf.DUMMYFUNCTION("""COMPUTED_VALUE"""),46056.0)</f>
        <v>46056</v>
      </c>
      <c r="B1764" s="124" t="str">
        <f>IFERROR(__xludf.DUMMYFUNCTION("""COMPUTED_VALUE"""),"Walkin")</f>
        <v>Walkin</v>
      </c>
      <c r="C1764" s="124" t="str">
        <f>IFERROR(__xludf.DUMMYFUNCTION("""COMPUTED_VALUE"""),"Delhi")</f>
        <v>Delhi</v>
      </c>
      <c r="D1764" s="124" t="str">
        <f>IFERROR(__xludf.DUMMYFUNCTION("""COMPUTED_VALUE"""),"Primary_Walkin")</f>
        <v>Primary_Walkin</v>
      </c>
      <c r="E1764" s="124">
        <f>IFERROR(__xludf.DUMMYFUNCTION("""COMPUTED_VALUE"""),1.0)</f>
        <v>1</v>
      </c>
      <c r="F1764" s="124" t="str">
        <f>IFERROR(__xludf.DUMMYFUNCTION("""COMPUTED_VALUE"""),"Cold")</f>
        <v>Cold</v>
      </c>
      <c r="G1764" s="124" t="str">
        <f>IFERROR(__xludf.DUMMYFUNCTION("""COMPUTED_VALUE"""),"SIP Offline")</f>
        <v>SIP Offline</v>
      </c>
      <c r="K1764" s="124"/>
      <c r="L1764" s="124"/>
      <c r="M1764" s="124"/>
      <c r="N1764" s="124"/>
      <c r="O1764" s="124"/>
      <c r="T1764" s="126">
        <f>IFERROR(__xludf.DUMMYFUNCTION("""COMPUTED_VALUE"""),46057.0)</f>
        <v>46057</v>
      </c>
      <c r="U1764" s="124" t="str">
        <f>IFERROR(__xludf.DUMMYFUNCTION("""COMPUTED_VALUE"""),"Walk-Ins")</f>
        <v>Walk-Ins</v>
      </c>
      <c r="V1764" s="124" t="str">
        <f>IFERROR(__xludf.DUMMYFUNCTION("""COMPUTED_VALUE"""),"Walkin")</f>
        <v>Walkin</v>
      </c>
      <c r="W1764" s="124" t="str">
        <f>IFERROR(__xludf.DUMMYFUNCTION("""COMPUTED_VALUE"""),"Prayagraj")</f>
        <v>Prayagraj</v>
      </c>
      <c r="X1764" s="124" t="str">
        <f>IFERROR(__xludf.DUMMYFUNCTION("""COMPUTED_VALUE"""),"Walkin")</f>
        <v>Walkin</v>
      </c>
      <c r="Y1764" s="124" t="str">
        <f>IFERROR(__xludf.DUMMYFUNCTION("""COMPUTED_VALUE"""),"Prayagraj")</f>
        <v>Prayagraj</v>
      </c>
      <c r="Z1764" s="124">
        <f>IFERROR(__xludf.DUMMYFUNCTION("""COMPUTED_VALUE"""),3.0)</f>
        <v>3</v>
      </c>
      <c r="AA1764" s="124" t="str">
        <f>IFERROR(__xludf.DUMMYFUNCTION("""COMPUTED_VALUE"""),"Cold")</f>
        <v>Cold</v>
      </c>
      <c r="AB1764" s="124" t="str">
        <f>IFERROR(__xludf.DUMMYFUNCTION("""COMPUTED_VALUE"""),"GS Foundation")</f>
        <v>GS Foundation</v>
      </c>
    </row>
    <row r="1765">
      <c r="A1765" s="126">
        <f>IFERROR(__xludf.DUMMYFUNCTION("""COMPUTED_VALUE"""),46103.0)</f>
        <v>46103</v>
      </c>
      <c r="B1765" s="124" t="str">
        <f>IFERROR(__xludf.DUMMYFUNCTION("""COMPUTED_VALUE"""),"Walkin")</f>
        <v>Walkin</v>
      </c>
      <c r="C1765" s="124" t="str">
        <f>IFERROR(__xludf.DUMMYFUNCTION("""COMPUTED_VALUE"""),"Delhi")</f>
        <v>Delhi</v>
      </c>
      <c r="D1765" s="124" t="str">
        <f>IFERROR(__xludf.DUMMYFUNCTION("""COMPUTED_VALUE"""),"Primary_Walkin")</f>
        <v>Primary_Walkin</v>
      </c>
      <c r="E1765" s="124">
        <f>IFERROR(__xludf.DUMMYFUNCTION("""COMPUTED_VALUE"""),1.0)</f>
        <v>1</v>
      </c>
      <c r="F1765" s="124" t="str">
        <f>IFERROR(__xludf.DUMMYFUNCTION("""COMPUTED_VALUE"""),"Interested")</f>
        <v>Interested</v>
      </c>
      <c r="G1765" s="124" t="str">
        <f>IFERROR(__xludf.DUMMYFUNCTION("""COMPUTED_VALUE"""),"GS Foundation")</f>
        <v>GS Foundation</v>
      </c>
      <c r="K1765" s="124"/>
      <c r="L1765" s="124"/>
      <c r="M1765" s="124"/>
      <c r="N1765" s="124"/>
      <c r="O1765" s="124"/>
      <c r="T1765" s="126">
        <f>IFERROR(__xludf.DUMMYFUNCTION("""COMPUTED_VALUE"""),46105.0)</f>
        <v>46105</v>
      </c>
      <c r="U1765" s="124" t="str">
        <f>IFERROR(__xludf.DUMMYFUNCTION("""COMPUTED_VALUE"""),"Walk-Ins")</f>
        <v>Walk-Ins</v>
      </c>
      <c r="V1765" s="124" t="str">
        <f>IFERROR(__xludf.DUMMYFUNCTION("""COMPUTED_VALUE"""),"Walkin")</f>
        <v>Walkin</v>
      </c>
      <c r="W1765" s="124" t="str">
        <f>IFERROR(__xludf.DUMMYFUNCTION("""COMPUTED_VALUE"""),"Patna")</f>
        <v>Patna</v>
      </c>
      <c r="X1765" s="124" t="str">
        <f>IFERROR(__xludf.DUMMYFUNCTION("""COMPUTED_VALUE"""),"Walkin")</f>
        <v>Walkin</v>
      </c>
      <c r="Y1765" s="124" t="str">
        <f>IFERROR(__xludf.DUMMYFUNCTION("""COMPUTED_VALUE"""),"Patna")</f>
        <v>Patna</v>
      </c>
      <c r="Z1765" s="124">
        <f>IFERROR(__xludf.DUMMYFUNCTION("""COMPUTED_VALUE"""),1.0)</f>
        <v>1</v>
      </c>
      <c r="AA1765" s="124" t="str">
        <f>IFERROR(__xludf.DUMMYFUNCTION("""COMPUTED_VALUE"""),"Cold")</f>
        <v>Cold</v>
      </c>
      <c r="AB1765" s="124" t="str">
        <f>IFERROR(__xludf.DUMMYFUNCTION("""COMPUTED_VALUE"""),"Test Series")</f>
        <v>Test Series</v>
      </c>
    </row>
    <row r="1766">
      <c r="A1766" s="126">
        <f>IFERROR(__xludf.DUMMYFUNCTION("""COMPUTED_VALUE"""),46107.0)</f>
        <v>46107</v>
      </c>
      <c r="B1766" s="124" t="str">
        <f>IFERROR(__xludf.DUMMYFUNCTION("""COMPUTED_VALUE"""),"Walkin")</f>
        <v>Walkin</v>
      </c>
      <c r="C1766" s="124" t="str">
        <f>IFERROR(__xludf.DUMMYFUNCTION("""COMPUTED_VALUE"""),"Delhi")</f>
        <v>Delhi</v>
      </c>
      <c r="D1766" s="124" t="str">
        <f>IFERROR(__xludf.DUMMYFUNCTION("""COMPUTED_VALUE"""),"Primary_Walkin")</f>
        <v>Primary_Walkin</v>
      </c>
      <c r="E1766" s="124">
        <f>IFERROR(__xludf.DUMMYFUNCTION("""COMPUTED_VALUE"""),1.0)</f>
        <v>1</v>
      </c>
      <c r="F1766" s="124" t="str">
        <f>IFERROR(__xludf.DUMMYFUNCTION("""COMPUTED_VALUE"""),"Warm")</f>
        <v>Warm</v>
      </c>
      <c r="G1766" s="124" t="str">
        <f>IFERROR(__xludf.DUMMYFUNCTION("""COMPUTED_VALUE"""),"Mentorship")</f>
        <v>Mentorship</v>
      </c>
      <c r="K1766" s="124"/>
      <c r="L1766" s="124"/>
      <c r="M1766" s="124"/>
      <c r="N1766" s="124"/>
      <c r="O1766" s="124"/>
      <c r="T1766" s="129">
        <f>IFERROR(__xludf.DUMMYFUNCTION("""COMPUTED_VALUE"""),46050.0)</f>
        <v>46050</v>
      </c>
      <c r="U1766" s="124" t="str">
        <f>IFERROR(__xludf.DUMMYFUNCTION("""COMPUTED_VALUE"""),"Walk-Ins")</f>
        <v>Walk-Ins</v>
      </c>
      <c r="V1766" s="124" t="str">
        <f>IFERROR(__xludf.DUMMYFUNCTION("""COMPUTED_VALUE"""),"Walkin")</f>
        <v>Walkin</v>
      </c>
      <c r="W1766" s="124" t="str">
        <f>IFERROR(__xludf.DUMMYFUNCTION("""COMPUTED_VALUE"""),"Indore")</f>
        <v>Indore</v>
      </c>
      <c r="X1766" s="124" t="str">
        <f>IFERROR(__xludf.DUMMYFUNCTION("""COMPUTED_VALUE"""),"Walkin")</f>
        <v>Walkin</v>
      </c>
      <c r="Y1766" s="124" t="str">
        <f>IFERROR(__xludf.DUMMYFUNCTION("""COMPUTED_VALUE"""),"Indore")</f>
        <v>Indore</v>
      </c>
      <c r="Z1766" s="124">
        <f>IFERROR(__xludf.DUMMYFUNCTION("""COMPUTED_VALUE"""),1.0)</f>
        <v>1</v>
      </c>
      <c r="AA1766" s="124" t="str">
        <f>IFERROR(__xludf.DUMMYFUNCTION("""COMPUTED_VALUE"""),"Cold")</f>
        <v>Cold</v>
      </c>
      <c r="AB1766" s="124" t="str">
        <f>IFERROR(__xludf.DUMMYFUNCTION("""COMPUTED_VALUE"""),"GS Foundation")</f>
        <v>GS Foundation</v>
      </c>
    </row>
    <row r="1767">
      <c r="A1767" s="126">
        <f>IFERROR(__xludf.DUMMYFUNCTION("""COMPUTED_VALUE"""),46076.0)</f>
        <v>46076</v>
      </c>
      <c r="B1767" s="124" t="str">
        <f>IFERROR(__xludf.DUMMYFUNCTION("""COMPUTED_VALUE"""),"Walkin")</f>
        <v>Walkin</v>
      </c>
      <c r="C1767" s="124" t="str">
        <f>IFERROR(__xludf.DUMMYFUNCTION("""COMPUTED_VALUE"""),"Delhi")</f>
        <v>Delhi</v>
      </c>
      <c r="D1767" s="124" t="str">
        <f>IFERROR(__xludf.DUMMYFUNCTION("""COMPUTED_VALUE"""),"Primary_Walkin")</f>
        <v>Primary_Walkin</v>
      </c>
      <c r="E1767" s="124">
        <f>IFERROR(__xludf.DUMMYFUNCTION("""COMPUTED_VALUE"""),2.0)</f>
        <v>2</v>
      </c>
      <c r="F1767" s="124" t="str">
        <f>IFERROR(__xludf.DUMMYFUNCTION("""COMPUTED_VALUE"""),"Future Prospects")</f>
        <v>Future Prospects</v>
      </c>
      <c r="G1767" s="124" t="str">
        <f>IFERROR(__xludf.DUMMYFUNCTION("""COMPUTED_VALUE"""),"GS Foundation")</f>
        <v>GS Foundation</v>
      </c>
      <c r="K1767" s="124"/>
      <c r="L1767" s="124"/>
      <c r="M1767" s="124"/>
      <c r="N1767" s="124"/>
      <c r="O1767" s="124"/>
      <c r="T1767" s="129">
        <f>IFERROR(__xludf.DUMMYFUNCTION("""COMPUTED_VALUE"""),46093.0)</f>
        <v>46093</v>
      </c>
      <c r="U1767" s="124" t="str">
        <f>IFERROR(__xludf.DUMMYFUNCTION("""COMPUTED_VALUE"""),"Walk-Ins")</f>
        <v>Walk-Ins</v>
      </c>
      <c r="V1767" s="124" t="str">
        <f>IFERROR(__xludf.DUMMYFUNCTION("""COMPUTED_VALUE"""),"Walkin")</f>
        <v>Walkin</v>
      </c>
      <c r="W1767" s="124" t="str">
        <f>IFERROR(__xludf.DUMMYFUNCTION("""COMPUTED_VALUE"""),"Prayagraj")</f>
        <v>Prayagraj</v>
      </c>
      <c r="X1767" s="124" t="str">
        <f>IFERROR(__xludf.DUMMYFUNCTION("""COMPUTED_VALUE"""),"Walkin")</f>
        <v>Walkin</v>
      </c>
      <c r="Y1767" s="124" t="str">
        <f>IFERROR(__xludf.DUMMYFUNCTION("""COMPUTED_VALUE"""),"Prayagraj")</f>
        <v>Prayagraj</v>
      </c>
      <c r="Z1767" s="124">
        <f>IFERROR(__xludf.DUMMYFUNCTION("""COMPUTED_VALUE"""),1.0)</f>
        <v>1</v>
      </c>
      <c r="AA1767" s="124" t="str">
        <f>IFERROR(__xludf.DUMMYFUNCTION("""COMPUTED_VALUE"""),"Interested")</f>
        <v>Interested</v>
      </c>
      <c r="AB1767" s="124" t="str">
        <f>IFERROR(__xludf.DUMMYFUNCTION("""COMPUTED_VALUE"""),"State PCS")</f>
        <v>State PCS</v>
      </c>
    </row>
    <row r="1768">
      <c r="A1768" s="126">
        <f>IFERROR(__xludf.DUMMYFUNCTION("""COMPUTED_VALUE"""),46098.0)</f>
        <v>46098</v>
      </c>
      <c r="B1768" s="124" t="str">
        <f>IFERROR(__xludf.DUMMYFUNCTION("""COMPUTED_VALUE"""),"external leads")</f>
        <v>external leads</v>
      </c>
      <c r="C1768" s="124" t="str">
        <f>IFERROR(__xludf.DUMMYFUNCTION("""COMPUTED_VALUE"""),"Delhi")</f>
        <v>Delhi</v>
      </c>
      <c r="D1768" s="124" t="str">
        <f>IFERROR(__xludf.DUMMYFUNCTION("""COMPUTED_VALUE"""),"Secondary_Walkin")</f>
        <v>Secondary_Walkin</v>
      </c>
      <c r="E1768" s="124">
        <f>IFERROR(__xludf.DUMMYFUNCTION("""COMPUTED_VALUE"""),1.0)</f>
        <v>1</v>
      </c>
      <c r="F1768" s="124" t="str">
        <f>IFERROR(__xludf.DUMMYFUNCTION("""COMPUTED_VALUE"""),"Not Interested")</f>
        <v>Not Interested</v>
      </c>
      <c r="G1768" s="124" t="str">
        <f>IFERROR(__xludf.DUMMYFUNCTION("""COMPUTED_VALUE"""),"GS Foundation")</f>
        <v>GS Foundation</v>
      </c>
      <c r="K1768" s="124"/>
      <c r="L1768" s="124"/>
      <c r="M1768" s="124"/>
      <c r="N1768" s="124"/>
      <c r="O1768" s="124"/>
      <c r="T1768" s="126">
        <f>IFERROR(__xludf.DUMMYFUNCTION("""COMPUTED_VALUE"""),46090.0)</f>
        <v>46090</v>
      </c>
      <c r="U1768" s="124" t="str">
        <f>IFERROR(__xludf.DUMMYFUNCTION("""COMPUTED_VALUE"""),"Walk-Ins")</f>
        <v>Walk-Ins</v>
      </c>
      <c r="V1768" s="124" t="str">
        <f>IFERROR(__xludf.DUMMYFUNCTION("""COMPUTED_VALUE"""),"Walkin")</f>
        <v>Walkin</v>
      </c>
      <c r="W1768" s="124" t="str">
        <f>IFERROR(__xludf.DUMMYFUNCTION("""COMPUTED_VALUE"""),"Prayagraj")</f>
        <v>Prayagraj</v>
      </c>
      <c r="X1768" s="124" t="str">
        <f>IFERROR(__xludf.DUMMYFUNCTION("""COMPUTED_VALUE"""),"Walkin")</f>
        <v>Walkin</v>
      </c>
      <c r="Y1768" s="124" t="str">
        <f>IFERROR(__xludf.DUMMYFUNCTION("""COMPUTED_VALUE"""),"Prayagraj")</f>
        <v>Prayagraj</v>
      </c>
      <c r="Z1768" s="124">
        <f>IFERROR(__xludf.DUMMYFUNCTION("""COMPUTED_VALUE"""),3.0)</f>
        <v>3</v>
      </c>
      <c r="AA1768" s="124" t="str">
        <f>IFERROR(__xludf.DUMMYFUNCTION("""COMPUTED_VALUE"""),"Enrolled")</f>
        <v>Enrolled</v>
      </c>
      <c r="AB1768" s="124" t="str">
        <f>IFERROR(__xludf.DUMMYFUNCTION("""COMPUTED_VALUE"""),"GS Foundation")</f>
        <v>GS Foundation</v>
      </c>
    </row>
    <row r="1769">
      <c r="A1769" s="126">
        <f>IFERROR(__xludf.DUMMYFUNCTION("""COMPUTED_VALUE"""),46068.0)</f>
        <v>46068</v>
      </c>
      <c r="B1769" s="124" t="str">
        <f>IFERROR(__xludf.DUMMYFUNCTION("""COMPUTED_VALUE"""),"Walkin")</f>
        <v>Walkin</v>
      </c>
      <c r="C1769" s="124" t="str">
        <f>IFERROR(__xludf.DUMMYFUNCTION("""COMPUTED_VALUE"""),"Delhi")</f>
        <v>Delhi</v>
      </c>
      <c r="D1769" s="124" t="str">
        <f>IFERROR(__xludf.DUMMYFUNCTION("""COMPUTED_VALUE"""),"Primary_Walkin")</f>
        <v>Primary_Walkin</v>
      </c>
      <c r="E1769" s="124">
        <f>IFERROR(__xludf.DUMMYFUNCTION("""COMPUTED_VALUE"""),1.0)</f>
        <v>1</v>
      </c>
      <c r="F1769" s="124" t="str">
        <f>IFERROR(__xludf.DUMMYFUNCTION("""COMPUTED_VALUE"""),"Cold")</f>
        <v>Cold</v>
      </c>
      <c r="G1769" s="124" t="str">
        <f>IFERROR(__xludf.DUMMYFUNCTION("""COMPUTED_VALUE"""),"GS Foundation")</f>
        <v>GS Foundation</v>
      </c>
      <c r="K1769" s="124"/>
      <c r="L1769" s="124"/>
      <c r="M1769" s="124"/>
      <c r="N1769" s="124"/>
      <c r="O1769" s="124"/>
      <c r="T1769" s="126">
        <f>IFERROR(__xludf.DUMMYFUNCTION("""COMPUTED_VALUE"""),46072.0)</f>
        <v>46072</v>
      </c>
      <c r="U1769" s="124" t="str">
        <f>IFERROR(__xludf.DUMMYFUNCTION("""COMPUTED_VALUE"""),"Walk-Ins")</f>
        <v>Walk-Ins</v>
      </c>
      <c r="V1769" s="124" t="str">
        <f>IFERROR(__xludf.DUMMYFUNCTION("""COMPUTED_VALUE"""),"Walkin")</f>
        <v>Walkin</v>
      </c>
      <c r="W1769" s="124" t="str">
        <f>IFERROR(__xludf.DUMMYFUNCTION("""COMPUTED_VALUE"""),"Patna")</f>
        <v>Patna</v>
      </c>
      <c r="X1769" s="124" t="str">
        <f>IFERROR(__xludf.DUMMYFUNCTION("""COMPUTED_VALUE"""),"Walkin")</f>
        <v>Walkin</v>
      </c>
      <c r="Y1769" s="124" t="str">
        <f>IFERROR(__xludf.DUMMYFUNCTION("""COMPUTED_VALUE"""),"Patna")</f>
        <v>Patna</v>
      </c>
      <c r="Z1769" s="124">
        <f>IFERROR(__xludf.DUMMYFUNCTION("""COMPUTED_VALUE"""),2.0)</f>
        <v>2</v>
      </c>
      <c r="AA1769" s="124" t="str">
        <f>IFERROR(__xludf.DUMMYFUNCTION("""COMPUTED_VALUE"""),"Cold")</f>
        <v>Cold</v>
      </c>
      <c r="AB1769" s="124" t="str">
        <f>IFERROR(__xludf.DUMMYFUNCTION("""COMPUTED_VALUE"""),"State PCS")</f>
        <v>State PCS</v>
      </c>
    </row>
    <row r="1770">
      <c r="A1770" s="126">
        <f>IFERROR(__xludf.DUMMYFUNCTION("""COMPUTED_VALUE"""),46074.0)</f>
        <v>46074</v>
      </c>
      <c r="B1770" s="124" t="str">
        <f>IFERROR(__xludf.DUMMYFUNCTION("""COMPUTED_VALUE"""),"Walkin")</f>
        <v>Walkin</v>
      </c>
      <c r="C1770" s="124" t="str">
        <f>IFERROR(__xludf.DUMMYFUNCTION("""COMPUTED_VALUE"""),"Delhi")</f>
        <v>Delhi</v>
      </c>
      <c r="D1770" s="124" t="str">
        <f>IFERROR(__xludf.DUMMYFUNCTION("""COMPUTED_VALUE"""),"Primary_Walkin")</f>
        <v>Primary_Walkin</v>
      </c>
      <c r="E1770" s="124">
        <f>IFERROR(__xludf.DUMMYFUNCTION("""COMPUTED_VALUE"""),1.0)</f>
        <v>1</v>
      </c>
      <c r="F1770" s="124" t="str">
        <f>IFERROR(__xludf.DUMMYFUNCTION("""COMPUTED_VALUE"""),"Cold")</f>
        <v>Cold</v>
      </c>
      <c r="G1770" s="124" t="str">
        <f>IFERROR(__xludf.DUMMYFUNCTION("""COMPUTED_VALUE"""),"Mentorship")</f>
        <v>Mentorship</v>
      </c>
      <c r="K1770" s="124"/>
      <c r="L1770" s="124"/>
      <c r="M1770" s="124"/>
      <c r="N1770" s="124"/>
      <c r="O1770" s="124"/>
      <c r="T1770" s="126">
        <f>IFERROR(__xludf.DUMMYFUNCTION("""COMPUTED_VALUE"""),46056.0)</f>
        <v>46056</v>
      </c>
      <c r="U1770" s="124" t="str">
        <f>IFERROR(__xludf.DUMMYFUNCTION("""COMPUTED_VALUE"""),"Walk-Ins")</f>
        <v>Walk-Ins</v>
      </c>
      <c r="V1770" s="124" t="str">
        <f>IFERROR(__xludf.DUMMYFUNCTION("""COMPUTED_VALUE"""),"Walkin")</f>
        <v>Walkin</v>
      </c>
      <c r="W1770" s="124" t="str">
        <f>IFERROR(__xludf.DUMMYFUNCTION("""COMPUTED_VALUE"""),"Prayagraj")</f>
        <v>Prayagraj</v>
      </c>
      <c r="X1770" s="124" t="str">
        <f>IFERROR(__xludf.DUMMYFUNCTION("""COMPUTED_VALUE"""),"Walkin")</f>
        <v>Walkin</v>
      </c>
      <c r="Y1770" s="124" t="str">
        <f>IFERROR(__xludf.DUMMYFUNCTION("""COMPUTED_VALUE"""),"Prayagraj")</f>
        <v>Prayagraj</v>
      </c>
      <c r="Z1770" s="124">
        <f>IFERROR(__xludf.DUMMYFUNCTION("""COMPUTED_VALUE"""),1.0)</f>
        <v>1</v>
      </c>
      <c r="AA1770" s="124" t="str">
        <f>IFERROR(__xludf.DUMMYFUNCTION("""COMPUTED_VALUE"""),"Enrolled")</f>
        <v>Enrolled</v>
      </c>
      <c r="AB1770" s="124" t="str">
        <f>IFERROR(__xludf.DUMMYFUNCTION("""COMPUTED_VALUE"""),"State PCS")</f>
        <v>State PCS</v>
      </c>
    </row>
    <row r="1771">
      <c r="A1771" s="126">
        <f>IFERROR(__xludf.DUMMYFUNCTION("""COMPUTED_VALUE"""),46051.0)</f>
        <v>46051</v>
      </c>
      <c r="B1771" s="124" t="str">
        <f>IFERROR(__xludf.DUMMYFUNCTION("""COMPUTED_VALUE"""),"Walkin")</f>
        <v>Walkin</v>
      </c>
      <c r="C1771" s="124" t="str">
        <f>IFERROR(__xludf.DUMMYFUNCTION("""COMPUTED_VALUE"""),"Delhi")</f>
        <v>Delhi</v>
      </c>
      <c r="D1771" s="124" t="str">
        <f>IFERROR(__xludf.DUMMYFUNCTION("""COMPUTED_VALUE"""),"Primary_Walkin")</f>
        <v>Primary_Walkin</v>
      </c>
      <c r="E1771" s="124">
        <f>IFERROR(__xludf.DUMMYFUNCTION("""COMPUTED_VALUE"""),1.0)</f>
        <v>1</v>
      </c>
      <c r="F1771" s="124" t="str">
        <f>IFERROR(__xludf.DUMMYFUNCTION("""COMPUTED_VALUE"""),"Cold")</f>
        <v>Cold</v>
      </c>
      <c r="G1771" s="124" t="str">
        <f>IFERROR(__xludf.DUMMYFUNCTION("""COMPUTED_VALUE"""),"Optionals")</f>
        <v>Optionals</v>
      </c>
      <c r="K1771" s="124"/>
      <c r="L1771" s="124"/>
      <c r="M1771" s="124"/>
      <c r="N1771" s="124"/>
      <c r="O1771" s="124"/>
      <c r="T1771" s="129">
        <f>IFERROR(__xludf.DUMMYFUNCTION("""COMPUTED_VALUE"""),46053.0)</f>
        <v>46053</v>
      </c>
      <c r="U1771" s="124" t="str">
        <f>IFERROR(__xludf.DUMMYFUNCTION("""COMPUTED_VALUE"""),"Walk-Ins")</f>
        <v>Walk-Ins</v>
      </c>
      <c r="V1771" s="124" t="str">
        <f>IFERROR(__xludf.DUMMYFUNCTION("""COMPUTED_VALUE"""),"Walkin")</f>
        <v>Walkin</v>
      </c>
      <c r="W1771" s="124" t="str">
        <f>IFERROR(__xludf.DUMMYFUNCTION("""COMPUTED_VALUE"""),"Patna")</f>
        <v>Patna</v>
      </c>
      <c r="X1771" s="124" t="str">
        <f>IFERROR(__xludf.DUMMYFUNCTION("""COMPUTED_VALUE"""),"Walkin")</f>
        <v>Walkin</v>
      </c>
      <c r="Y1771" s="124" t="str">
        <f>IFERROR(__xludf.DUMMYFUNCTION("""COMPUTED_VALUE"""),"Patna")</f>
        <v>Patna</v>
      </c>
      <c r="Z1771" s="124">
        <f>IFERROR(__xludf.DUMMYFUNCTION("""COMPUTED_VALUE"""),1.0)</f>
        <v>1</v>
      </c>
      <c r="AA1771" s="124" t="str">
        <f>IFERROR(__xludf.DUMMYFUNCTION("""COMPUTED_VALUE"""),"Cold")</f>
        <v>Cold</v>
      </c>
      <c r="AB1771" s="124" t="str">
        <f>IFERROR(__xludf.DUMMYFUNCTION("""COMPUTED_VALUE"""),"GS Advanced")</f>
        <v>GS Advanced</v>
      </c>
    </row>
    <row r="1772">
      <c r="A1772" s="126">
        <f>IFERROR(__xludf.DUMMYFUNCTION("""COMPUTED_VALUE"""),46106.0)</f>
        <v>46106</v>
      </c>
      <c r="B1772" s="124" t="str">
        <f>IFERROR(__xludf.DUMMYFUNCTION("""COMPUTED_VALUE"""),"Walkin")</f>
        <v>Walkin</v>
      </c>
      <c r="C1772" s="124" t="str">
        <f>IFERROR(__xludf.DUMMYFUNCTION("""COMPUTED_VALUE"""),"Delhi")</f>
        <v>Delhi</v>
      </c>
      <c r="D1772" s="124" t="str">
        <f>IFERROR(__xludf.DUMMYFUNCTION("""COMPUTED_VALUE"""),"Primary_Walkin")</f>
        <v>Primary_Walkin</v>
      </c>
      <c r="E1772" s="124">
        <f>IFERROR(__xludf.DUMMYFUNCTION("""COMPUTED_VALUE"""),1.0)</f>
        <v>1</v>
      </c>
      <c r="F1772" s="124" t="str">
        <f>IFERROR(__xludf.DUMMYFUNCTION("""COMPUTED_VALUE"""),"Enrolled")</f>
        <v>Enrolled</v>
      </c>
      <c r="G1772" s="124" t="str">
        <f>IFERROR(__xludf.DUMMYFUNCTION("""COMPUTED_VALUE"""),"GS Foundation")</f>
        <v>GS Foundation</v>
      </c>
      <c r="K1772" s="124"/>
      <c r="L1772" s="124"/>
      <c r="M1772" s="124"/>
      <c r="N1772" s="124"/>
      <c r="O1772" s="124"/>
      <c r="T1772" s="126">
        <f>IFERROR(__xludf.DUMMYFUNCTION("""COMPUTED_VALUE"""),46046.0)</f>
        <v>46046</v>
      </c>
      <c r="U1772" s="124" t="str">
        <f>IFERROR(__xludf.DUMMYFUNCTION("""COMPUTED_VALUE"""),"Walk-Ins")</f>
        <v>Walk-Ins</v>
      </c>
      <c r="V1772" s="124" t="str">
        <f>IFERROR(__xludf.DUMMYFUNCTION("""COMPUTED_VALUE"""),"Walkin")</f>
        <v>Walkin</v>
      </c>
      <c r="W1772" s="124" t="str">
        <f>IFERROR(__xludf.DUMMYFUNCTION("""COMPUTED_VALUE"""),"Prayagraj")</f>
        <v>Prayagraj</v>
      </c>
      <c r="X1772" s="124" t="str">
        <f>IFERROR(__xludf.DUMMYFUNCTION("""COMPUTED_VALUE"""),"Walkin")</f>
        <v>Walkin</v>
      </c>
      <c r="Y1772" s="124" t="str">
        <f>IFERROR(__xludf.DUMMYFUNCTION("""COMPUTED_VALUE"""),"Prayagraj")</f>
        <v>Prayagraj</v>
      </c>
      <c r="Z1772" s="124">
        <f>IFERROR(__xludf.DUMMYFUNCTION("""COMPUTED_VALUE"""),1.0)</f>
        <v>1</v>
      </c>
      <c r="AA1772" s="124" t="str">
        <f>IFERROR(__xludf.DUMMYFUNCTION("""COMPUTED_VALUE"""),"Cold")</f>
        <v>Cold</v>
      </c>
      <c r="AB1772" s="124" t="str">
        <f>IFERROR(__xludf.DUMMYFUNCTION("""COMPUTED_VALUE"""),"Other")</f>
        <v>Other</v>
      </c>
    </row>
    <row r="1773">
      <c r="A1773" s="129">
        <f>IFERROR(__xludf.DUMMYFUNCTION("""COMPUTED_VALUE"""),46054.0)</f>
        <v>46054</v>
      </c>
      <c r="B1773" s="124" t="str">
        <f>IFERROR(__xludf.DUMMYFUNCTION("""COMPUTED_VALUE"""),"Walkin")</f>
        <v>Walkin</v>
      </c>
      <c r="C1773" s="124" t="str">
        <f>IFERROR(__xludf.DUMMYFUNCTION("""COMPUTED_VALUE"""),"Delhi")</f>
        <v>Delhi</v>
      </c>
      <c r="D1773" s="124" t="str">
        <f>IFERROR(__xludf.DUMMYFUNCTION("""COMPUTED_VALUE"""),"Primary_Walkin")</f>
        <v>Primary_Walkin</v>
      </c>
      <c r="E1773" s="124">
        <f>IFERROR(__xludf.DUMMYFUNCTION("""COMPUTED_VALUE"""),2.0)</f>
        <v>2</v>
      </c>
      <c r="F1773" s="124" t="str">
        <f>IFERROR(__xludf.DUMMYFUNCTION("""COMPUTED_VALUE"""),"Future Prospects")</f>
        <v>Future Prospects</v>
      </c>
      <c r="G1773" s="124" t="str">
        <f>IFERROR(__xludf.DUMMYFUNCTION("""COMPUTED_VALUE"""),"GS Foundation")</f>
        <v>GS Foundation</v>
      </c>
      <c r="K1773" s="124"/>
      <c r="L1773" s="124"/>
      <c r="M1773" s="124"/>
      <c r="N1773" s="124"/>
      <c r="O1773" s="124"/>
      <c r="T1773" s="126">
        <f>IFERROR(__xludf.DUMMYFUNCTION("""COMPUTED_VALUE"""),46072.0)</f>
        <v>46072</v>
      </c>
      <c r="U1773" s="124" t="str">
        <f>IFERROR(__xludf.DUMMYFUNCTION("""COMPUTED_VALUE"""),"Walk-Ins")</f>
        <v>Walk-Ins</v>
      </c>
      <c r="V1773" s="124" t="str">
        <f>IFERROR(__xludf.DUMMYFUNCTION("""COMPUTED_VALUE"""),"Walkin")</f>
        <v>Walkin</v>
      </c>
      <c r="W1773" s="124" t="str">
        <f>IFERROR(__xludf.DUMMYFUNCTION("""COMPUTED_VALUE"""),"Indore")</f>
        <v>Indore</v>
      </c>
      <c r="X1773" s="124" t="str">
        <f>IFERROR(__xludf.DUMMYFUNCTION("""COMPUTED_VALUE"""),"Walkin")</f>
        <v>Walkin</v>
      </c>
      <c r="Y1773" s="124" t="str">
        <f>IFERROR(__xludf.DUMMYFUNCTION("""COMPUTED_VALUE"""),"Indore")</f>
        <v>Indore</v>
      </c>
      <c r="Z1773" s="124">
        <f>IFERROR(__xludf.DUMMYFUNCTION("""COMPUTED_VALUE"""),2.0)</f>
        <v>2</v>
      </c>
      <c r="AA1773" s="124" t="str">
        <f>IFERROR(__xludf.DUMMYFUNCTION("""COMPUTED_VALUE"""),"Cold")</f>
        <v>Cold</v>
      </c>
      <c r="AB1773" s="124" t="str">
        <f>IFERROR(__xludf.DUMMYFUNCTION("""COMPUTED_VALUE"""),"GS Foundation")</f>
        <v>GS Foundation</v>
      </c>
    </row>
    <row r="1774">
      <c r="A1774" s="126">
        <f>IFERROR(__xludf.DUMMYFUNCTION("""COMPUTED_VALUE"""),46097.0)</f>
        <v>46097</v>
      </c>
      <c r="B1774" s="124" t="str">
        <f>IFERROR(__xludf.DUMMYFUNCTION("""COMPUTED_VALUE"""),"Walk-In")</f>
        <v>Walk-In</v>
      </c>
      <c r="C1774" s="124" t="str">
        <f>IFERROR(__xludf.DUMMYFUNCTION("""COMPUTED_VALUE"""),"Delhi")</f>
        <v>Delhi</v>
      </c>
      <c r="D1774" s="124" t="str">
        <f>IFERROR(__xludf.DUMMYFUNCTION("""COMPUTED_VALUE"""),"Primary_Walkin")</f>
        <v>Primary_Walkin</v>
      </c>
      <c r="E1774" s="124">
        <f>IFERROR(__xludf.DUMMYFUNCTION("""COMPUTED_VALUE"""),2.0)</f>
        <v>2</v>
      </c>
      <c r="F1774" s="124" t="str">
        <f>IFERROR(__xludf.DUMMYFUNCTION("""COMPUTED_VALUE"""),"Cold")</f>
        <v>Cold</v>
      </c>
      <c r="G1774" s="124" t="str">
        <f>IFERROR(__xludf.DUMMYFUNCTION("""COMPUTED_VALUE"""),"GS Foundation")</f>
        <v>GS Foundation</v>
      </c>
      <c r="K1774" s="124"/>
      <c r="L1774" s="124"/>
      <c r="M1774" s="124"/>
      <c r="N1774" s="124"/>
      <c r="O1774" s="124"/>
      <c r="T1774" s="129">
        <f>IFERROR(__xludf.DUMMYFUNCTION("""COMPUTED_VALUE"""),46104.0)</f>
        <v>46104</v>
      </c>
      <c r="U1774" s="124" t="str">
        <f>IFERROR(__xludf.DUMMYFUNCTION("""COMPUTED_VALUE"""),"Walk-Ins")</f>
        <v>Walk-Ins</v>
      </c>
      <c r="V1774" s="124" t="str">
        <f>IFERROR(__xludf.DUMMYFUNCTION("""COMPUTED_VALUE"""),"Walkin")</f>
        <v>Walkin</v>
      </c>
      <c r="W1774" s="124" t="str">
        <f>IFERROR(__xludf.DUMMYFUNCTION("""COMPUTED_VALUE"""),"Indore")</f>
        <v>Indore</v>
      </c>
      <c r="X1774" s="124" t="str">
        <f>IFERROR(__xludf.DUMMYFUNCTION("""COMPUTED_VALUE"""),"Walkin")</f>
        <v>Walkin</v>
      </c>
      <c r="Y1774" s="124" t="str">
        <f>IFERROR(__xludf.DUMMYFUNCTION("""COMPUTED_VALUE"""),"Indore")</f>
        <v>Indore</v>
      </c>
      <c r="Z1774" s="124">
        <f>IFERROR(__xludf.DUMMYFUNCTION("""COMPUTED_VALUE"""),1.0)</f>
        <v>1</v>
      </c>
      <c r="AA1774" s="124" t="str">
        <f>IFERROR(__xludf.DUMMYFUNCTION("""COMPUTED_VALUE"""),"Enrolled")</f>
        <v>Enrolled</v>
      </c>
      <c r="AB1774" s="124" t="str">
        <f>IFERROR(__xludf.DUMMYFUNCTION("""COMPUTED_VALUE"""),"GS Foundation")</f>
        <v>GS Foundation</v>
      </c>
    </row>
    <row r="1775">
      <c r="A1775" s="126">
        <f>IFERROR(__xludf.DUMMYFUNCTION("""COMPUTED_VALUE"""),46094.0)</f>
        <v>46094</v>
      </c>
      <c r="B1775" s="124" t="str">
        <f>IFERROR(__xludf.DUMMYFUNCTION("""COMPUTED_VALUE"""),"Walkin")</f>
        <v>Walkin</v>
      </c>
      <c r="C1775" s="124" t="str">
        <f>IFERROR(__xludf.DUMMYFUNCTION("""COMPUTED_VALUE"""),"Delhi")</f>
        <v>Delhi</v>
      </c>
      <c r="D1775" s="124" t="str">
        <f>IFERROR(__xludf.DUMMYFUNCTION("""COMPUTED_VALUE"""),"Primary_Walkin")</f>
        <v>Primary_Walkin</v>
      </c>
      <c r="E1775" s="124">
        <f>IFERROR(__xludf.DUMMYFUNCTION("""COMPUTED_VALUE"""),1.0)</f>
        <v>1</v>
      </c>
      <c r="F1775" s="124" t="str">
        <f>IFERROR(__xludf.DUMMYFUNCTION("""COMPUTED_VALUE"""),"Warm")</f>
        <v>Warm</v>
      </c>
      <c r="G1775" s="124" t="str">
        <f>IFERROR(__xludf.DUMMYFUNCTION("""COMPUTED_VALUE"""),"State PCS")</f>
        <v>State PCS</v>
      </c>
      <c r="K1775" s="124"/>
      <c r="L1775" s="124"/>
      <c r="M1775" s="124"/>
      <c r="N1775" s="124"/>
      <c r="O1775" s="124"/>
      <c r="T1775" s="129">
        <f>IFERROR(__xludf.DUMMYFUNCTION("""COMPUTED_VALUE"""),46077.0)</f>
        <v>46077</v>
      </c>
      <c r="U1775" s="124" t="str">
        <f>IFERROR(__xludf.DUMMYFUNCTION("""COMPUTED_VALUE"""),"Walk-Ins")</f>
        <v>Walk-Ins</v>
      </c>
      <c r="V1775" s="124" t="str">
        <f>IFERROR(__xludf.DUMMYFUNCTION("""COMPUTED_VALUE"""),"Walkin")</f>
        <v>Walkin</v>
      </c>
      <c r="W1775" s="124" t="str">
        <f>IFERROR(__xludf.DUMMYFUNCTION("""COMPUTED_VALUE"""),"Prayagraj")</f>
        <v>Prayagraj</v>
      </c>
      <c r="X1775" s="124" t="str">
        <f>IFERROR(__xludf.DUMMYFUNCTION("""COMPUTED_VALUE"""),"Walkin")</f>
        <v>Walkin</v>
      </c>
      <c r="Y1775" s="124" t="str">
        <f>IFERROR(__xludf.DUMMYFUNCTION("""COMPUTED_VALUE"""),"Prayagraj")</f>
        <v>Prayagraj</v>
      </c>
      <c r="Z1775" s="124">
        <f>IFERROR(__xludf.DUMMYFUNCTION("""COMPUTED_VALUE"""),2.0)</f>
        <v>2</v>
      </c>
      <c r="AA1775" s="124" t="str">
        <f>IFERROR(__xludf.DUMMYFUNCTION("""COMPUTED_VALUE"""),"Enrolled")</f>
        <v>Enrolled</v>
      </c>
      <c r="AB1775" s="124" t="str">
        <f>IFERROR(__xludf.DUMMYFUNCTION("""COMPUTED_VALUE"""),"GS Foundation")</f>
        <v>GS Foundation</v>
      </c>
    </row>
    <row r="1776">
      <c r="A1776" s="129">
        <f>IFERROR(__xludf.DUMMYFUNCTION("""COMPUTED_VALUE"""),46060.0)</f>
        <v>46060</v>
      </c>
      <c r="B1776" s="124" t="str">
        <f>IFERROR(__xludf.DUMMYFUNCTION("""COMPUTED_VALUE"""),"Walk-In")</f>
        <v>Walk-In</v>
      </c>
      <c r="C1776" s="124" t="str">
        <f>IFERROR(__xludf.DUMMYFUNCTION("""COMPUTED_VALUE"""),"Delhi")</f>
        <v>Delhi</v>
      </c>
      <c r="D1776" s="124" t="str">
        <f>IFERROR(__xludf.DUMMYFUNCTION("""COMPUTED_VALUE"""),"Primary_Walkin")</f>
        <v>Primary_Walkin</v>
      </c>
      <c r="E1776" s="124">
        <f>IFERROR(__xludf.DUMMYFUNCTION("""COMPUTED_VALUE"""),1.0)</f>
        <v>1</v>
      </c>
      <c r="F1776" s="124" t="str">
        <f>IFERROR(__xludf.DUMMYFUNCTION("""COMPUTED_VALUE"""),"Enrolled")</f>
        <v>Enrolled</v>
      </c>
      <c r="G1776" s="124" t="str">
        <f>IFERROR(__xludf.DUMMYFUNCTION("""COMPUTED_VALUE"""),"GS Foundation")</f>
        <v>GS Foundation</v>
      </c>
      <c r="K1776" s="124"/>
      <c r="L1776" s="124"/>
      <c r="M1776" s="124"/>
      <c r="N1776" s="124"/>
      <c r="O1776" s="124"/>
      <c r="T1776" s="129">
        <f>IFERROR(__xludf.DUMMYFUNCTION("""COMPUTED_VALUE"""),46082.0)</f>
        <v>46082</v>
      </c>
      <c r="U1776" s="124" t="str">
        <f>IFERROR(__xludf.DUMMYFUNCTION("""COMPUTED_VALUE"""),"Walk-Ins")</f>
        <v>Walk-Ins</v>
      </c>
      <c r="V1776" s="124" t="str">
        <f>IFERROR(__xludf.DUMMYFUNCTION("""COMPUTED_VALUE"""),"Walkin")</f>
        <v>Walkin</v>
      </c>
      <c r="W1776" s="124" t="str">
        <f>IFERROR(__xludf.DUMMYFUNCTION("""COMPUTED_VALUE"""),"Patna")</f>
        <v>Patna</v>
      </c>
      <c r="X1776" s="124" t="str">
        <f>IFERROR(__xludf.DUMMYFUNCTION("""COMPUTED_VALUE"""),"Walkin")</f>
        <v>Walkin</v>
      </c>
      <c r="Y1776" s="124" t="str">
        <f>IFERROR(__xludf.DUMMYFUNCTION("""COMPUTED_VALUE"""),"Patna")</f>
        <v>Patna</v>
      </c>
      <c r="Z1776" s="124">
        <f>IFERROR(__xludf.DUMMYFUNCTION("""COMPUTED_VALUE"""),2.0)</f>
        <v>2</v>
      </c>
      <c r="AA1776" s="124" t="str">
        <f>IFERROR(__xludf.DUMMYFUNCTION("""COMPUTED_VALUE"""),"Cold")</f>
        <v>Cold</v>
      </c>
      <c r="AB1776" s="124" t="str">
        <f>IFERROR(__xludf.DUMMYFUNCTION("""COMPUTED_VALUE"""),"State PCS")</f>
        <v>State PCS</v>
      </c>
    </row>
    <row r="1777">
      <c r="A1777" s="129">
        <f>IFERROR(__xludf.DUMMYFUNCTION("""COMPUTED_VALUE"""),46056.0)</f>
        <v>46056</v>
      </c>
      <c r="B1777" s="124" t="str">
        <f>IFERROR(__xludf.DUMMYFUNCTION("""COMPUTED_VALUE"""),"Walkin")</f>
        <v>Walkin</v>
      </c>
      <c r="C1777" s="124" t="str">
        <f>IFERROR(__xludf.DUMMYFUNCTION("""COMPUTED_VALUE"""),"Delhi")</f>
        <v>Delhi</v>
      </c>
      <c r="D1777" s="124" t="str">
        <f>IFERROR(__xludf.DUMMYFUNCTION("""COMPUTED_VALUE"""),"Primary_Walkin")</f>
        <v>Primary_Walkin</v>
      </c>
      <c r="E1777" s="124">
        <f>IFERROR(__xludf.DUMMYFUNCTION("""COMPUTED_VALUE"""),3.0)</f>
        <v>3</v>
      </c>
      <c r="F1777" s="124" t="str">
        <f>IFERROR(__xludf.DUMMYFUNCTION("""COMPUTED_VALUE"""),"Fake Lead")</f>
        <v>Fake Lead</v>
      </c>
      <c r="G1777" s="124" t="str">
        <f>IFERROR(__xludf.DUMMYFUNCTION("""COMPUTED_VALUE"""),"GS Foundation")</f>
        <v>GS Foundation</v>
      </c>
      <c r="K1777" s="124"/>
      <c r="L1777" s="124"/>
      <c r="M1777" s="124"/>
      <c r="N1777" s="124"/>
      <c r="O1777" s="124"/>
      <c r="T1777" s="126">
        <f>IFERROR(__xludf.DUMMYFUNCTION("""COMPUTED_VALUE"""),46091.0)</f>
        <v>46091</v>
      </c>
      <c r="U1777" s="124" t="str">
        <f>IFERROR(__xludf.DUMMYFUNCTION("""COMPUTED_VALUE"""),"Walk-Ins")</f>
        <v>Walk-Ins</v>
      </c>
      <c r="V1777" s="124" t="str">
        <f>IFERROR(__xludf.DUMMYFUNCTION("""COMPUTED_VALUE"""),"Walkin")</f>
        <v>Walkin</v>
      </c>
      <c r="W1777" s="124" t="str">
        <f>IFERROR(__xludf.DUMMYFUNCTION("""COMPUTED_VALUE"""),"Prayagraj")</f>
        <v>Prayagraj</v>
      </c>
      <c r="X1777" s="124" t="str">
        <f>IFERROR(__xludf.DUMMYFUNCTION("""COMPUTED_VALUE"""),"Walkin")</f>
        <v>Walkin</v>
      </c>
      <c r="Y1777" s="124" t="str">
        <f>IFERROR(__xludf.DUMMYFUNCTION("""COMPUTED_VALUE"""),"Prayagraj")</f>
        <v>Prayagraj</v>
      </c>
      <c r="Z1777" s="124">
        <f>IFERROR(__xludf.DUMMYFUNCTION("""COMPUTED_VALUE"""),1.0)</f>
        <v>1</v>
      </c>
      <c r="AA1777" s="124" t="str">
        <f>IFERROR(__xludf.DUMMYFUNCTION("""COMPUTED_VALUE"""),"Enrolled")</f>
        <v>Enrolled</v>
      </c>
      <c r="AB1777" s="124" t="str">
        <f>IFERROR(__xludf.DUMMYFUNCTION("""COMPUTED_VALUE"""),"GS Foundation")</f>
        <v>GS Foundation</v>
      </c>
    </row>
    <row r="1778">
      <c r="A1778" s="126">
        <f>IFERROR(__xludf.DUMMYFUNCTION("""COMPUTED_VALUE"""),46097.0)</f>
        <v>46097</v>
      </c>
      <c r="B1778" s="124" t="str">
        <f>IFERROR(__xludf.DUMMYFUNCTION("""COMPUTED_VALUE"""),"Walkin")</f>
        <v>Walkin</v>
      </c>
      <c r="C1778" s="124" t="str">
        <f>IFERROR(__xludf.DUMMYFUNCTION("""COMPUTED_VALUE"""),"Delhi")</f>
        <v>Delhi</v>
      </c>
      <c r="D1778" s="124" t="str">
        <f>IFERROR(__xludf.DUMMYFUNCTION("""COMPUTED_VALUE"""),"Primary_Walkin")</f>
        <v>Primary_Walkin</v>
      </c>
      <c r="E1778" s="124">
        <f>IFERROR(__xludf.DUMMYFUNCTION("""COMPUTED_VALUE"""),1.0)</f>
        <v>1</v>
      </c>
      <c r="F1778" s="124" t="str">
        <f>IFERROR(__xludf.DUMMYFUNCTION("""COMPUTED_VALUE"""),"Future Prospects")</f>
        <v>Future Prospects</v>
      </c>
      <c r="G1778" s="124" t="str">
        <f>IFERROR(__xludf.DUMMYFUNCTION("""COMPUTED_VALUE"""),"Optionals")</f>
        <v>Optionals</v>
      </c>
      <c r="K1778" s="124"/>
      <c r="L1778" s="124"/>
      <c r="M1778" s="124"/>
      <c r="N1778" s="124"/>
      <c r="O1778" s="124"/>
      <c r="T1778" s="126">
        <f>IFERROR(__xludf.DUMMYFUNCTION("""COMPUTED_VALUE"""),46052.0)</f>
        <v>46052</v>
      </c>
      <c r="U1778" s="124" t="str">
        <f>IFERROR(__xludf.DUMMYFUNCTION("""COMPUTED_VALUE"""),"Walk-Ins")</f>
        <v>Walk-Ins</v>
      </c>
      <c r="V1778" s="124" t="str">
        <f>IFERROR(__xludf.DUMMYFUNCTION("""COMPUTED_VALUE"""),"Walk-In")</f>
        <v>Walk-In</v>
      </c>
      <c r="W1778" s="124" t="str">
        <f>IFERROR(__xludf.DUMMYFUNCTION("""COMPUTED_VALUE"""),"Patna")</f>
        <v>Patna</v>
      </c>
      <c r="X1778" s="124" t="str">
        <f>IFERROR(__xludf.DUMMYFUNCTION("""COMPUTED_VALUE"""),"Others")</f>
        <v>Others</v>
      </c>
      <c r="Y1778" s="124" t="str">
        <f>IFERROR(__xludf.DUMMYFUNCTION("""COMPUTED_VALUE"""),"Patna")</f>
        <v>Patna</v>
      </c>
      <c r="Z1778" s="124">
        <f>IFERROR(__xludf.DUMMYFUNCTION("""COMPUTED_VALUE"""),1.0)</f>
        <v>1</v>
      </c>
      <c r="AA1778" s="124" t="str">
        <f>IFERROR(__xludf.DUMMYFUNCTION("""COMPUTED_VALUE"""),"Warm")</f>
        <v>Warm</v>
      </c>
      <c r="AB1778" s="124" t="str">
        <f>IFERROR(__xludf.DUMMYFUNCTION("""COMPUTED_VALUE"""),"State PCS")</f>
        <v>State PCS</v>
      </c>
    </row>
    <row r="1779">
      <c r="A1779" s="129">
        <f>IFERROR(__xludf.DUMMYFUNCTION("""COMPUTED_VALUE"""),46088.0)</f>
        <v>46088</v>
      </c>
      <c r="B1779" s="124" t="str">
        <f>IFERROR(__xludf.DUMMYFUNCTION("""COMPUTED_VALUE"""),"external leads")</f>
        <v>external leads</v>
      </c>
      <c r="C1779" s="124" t="str">
        <f>IFERROR(__xludf.DUMMYFUNCTION("""COMPUTED_VALUE"""),"Delhi")</f>
        <v>Delhi</v>
      </c>
      <c r="D1779" s="124" t="str">
        <f>IFERROR(__xludf.DUMMYFUNCTION("""COMPUTED_VALUE"""),"Secondary_Walkin")</f>
        <v>Secondary_Walkin</v>
      </c>
      <c r="E1779" s="124">
        <f>IFERROR(__xludf.DUMMYFUNCTION("""COMPUTED_VALUE"""),1.0)</f>
        <v>1</v>
      </c>
      <c r="F1779" s="124" t="str">
        <f>IFERROR(__xludf.DUMMYFUNCTION("""COMPUTED_VALUE"""),"Not Interested")</f>
        <v>Not Interested</v>
      </c>
      <c r="G1779" s="124" t="str">
        <f>IFERROR(__xludf.DUMMYFUNCTION("""COMPUTED_VALUE"""),"Optionals")</f>
        <v>Optionals</v>
      </c>
      <c r="K1779" s="124"/>
      <c r="L1779" s="124"/>
      <c r="M1779" s="124"/>
      <c r="N1779" s="124"/>
      <c r="O1779" s="124"/>
      <c r="T1779" s="126">
        <f>IFERROR(__xludf.DUMMYFUNCTION("""COMPUTED_VALUE"""),46075.0)</f>
        <v>46075</v>
      </c>
      <c r="U1779" s="124" t="str">
        <f>IFERROR(__xludf.DUMMYFUNCTION("""COMPUTED_VALUE"""),"Walk-Ins")</f>
        <v>Walk-Ins</v>
      </c>
      <c r="V1779" s="124" t="str">
        <f>IFERROR(__xludf.DUMMYFUNCTION("""COMPUTED_VALUE"""),"Walkin")</f>
        <v>Walkin</v>
      </c>
      <c r="W1779" s="124" t="str">
        <f>IFERROR(__xludf.DUMMYFUNCTION("""COMPUTED_VALUE"""),"Indore")</f>
        <v>Indore</v>
      </c>
      <c r="X1779" s="124" t="str">
        <f>IFERROR(__xludf.DUMMYFUNCTION("""COMPUTED_VALUE"""),"Walkin")</f>
        <v>Walkin</v>
      </c>
      <c r="Y1779" s="124" t="str">
        <f>IFERROR(__xludf.DUMMYFUNCTION("""COMPUTED_VALUE"""),"Indore")</f>
        <v>Indore</v>
      </c>
      <c r="Z1779" s="124">
        <f>IFERROR(__xludf.DUMMYFUNCTION("""COMPUTED_VALUE"""),1.0)</f>
        <v>1</v>
      </c>
      <c r="AA1779" s="124" t="str">
        <f>IFERROR(__xludf.DUMMYFUNCTION("""COMPUTED_VALUE"""),"Cold")</f>
        <v>Cold</v>
      </c>
      <c r="AB1779" s="124" t="str">
        <f>IFERROR(__xludf.DUMMYFUNCTION("""COMPUTED_VALUE"""),"Other")</f>
        <v>Other</v>
      </c>
    </row>
    <row r="1780">
      <c r="A1780" s="126">
        <f>IFERROR(__xludf.DUMMYFUNCTION("""COMPUTED_VALUE"""),46098.0)</f>
        <v>46098</v>
      </c>
      <c r="B1780" s="124" t="str">
        <f>IFERROR(__xludf.DUMMYFUNCTION("""COMPUTED_VALUE"""),"Walkin")</f>
        <v>Walkin</v>
      </c>
      <c r="C1780" s="124" t="str">
        <f>IFERROR(__xludf.DUMMYFUNCTION("""COMPUTED_VALUE"""),"Delhi")</f>
        <v>Delhi</v>
      </c>
      <c r="D1780" s="124" t="str">
        <f>IFERROR(__xludf.DUMMYFUNCTION("""COMPUTED_VALUE"""),"Primary_Walkin")</f>
        <v>Primary_Walkin</v>
      </c>
      <c r="E1780" s="124">
        <f>IFERROR(__xludf.DUMMYFUNCTION("""COMPUTED_VALUE"""),1.0)</f>
        <v>1</v>
      </c>
      <c r="F1780" s="124" t="str">
        <f>IFERROR(__xludf.DUMMYFUNCTION("""COMPUTED_VALUE"""),"Future Prospects")</f>
        <v>Future Prospects</v>
      </c>
      <c r="G1780" s="124" t="str">
        <f>IFERROR(__xludf.DUMMYFUNCTION("""COMPUTED_VALUE"""),"GS Advanced")</f>
        <v>GS Advanced</v>
      </c>
      <c r="K1780" s="124"/>
      <c r="L1780" s="124"/>
      <c r="M1780" s="124"/>
      <c r="N1780" s="124"/>
      <c r="O1780" s="124"/>
      <c r="T1780" s="126">
        <f>IFERROR(__xludf.DUMMYFUNCTION("""COMPUTED_VALUE"""),46092.0)</f>
        <v>46092</v>
      </c>
      <c r="U1780" s="124" t="str">
        <f>IFERROR(__xludf.DUMMYFUNCTION("""COMPUTED_VALUE"""),"Walk-Ins")</f>
        <v>Walk-Ins</v>
      </c>
      <c r="V1780" s="124" t="str">
        <f>IFERROR(__xludf.DUMMYFUNCTION("""COMPUTED_VALUE"""),"Walkin")</f>
        <v>Walkin</v>
      </c>
      <c r="W1780" s="124" t="str">
        <f>IFERROR(__xludf.DUMMYFUNCTION("""COMPUTED_VALUE"""),"Prayagraj")</f>
        <v>Prayagraj</v>
      </c>
      <c r="X1780" s="124" t="str">
        <f>IFERROR(__xludf.DUMMYFUNCTION("""COMPUTED_VALUE"""),"Walkin")</f>
        <v>Walkin</v>
      </c>
      <c r="Y1780" s="124" t="str">
        <f>IFERROR(__xludf.DUMMYFUNCTION("""COMPUTED_VALUE"""),"Prayagraj")</f>
        <v>Prayagraj</v>
      </c>
      <c r="Z1780" s="124">
        <f>IFERROR(__xludf.DUMMYFUNCTION("""COMPUTED_VALUE"""),1.0)</f>
        <v>1</v>
      </c>
      <c r="AA1780" s="124" t="str">
        <f>IFERROR(__xludf.DUMMYFUNCTION("""COMPUTED_VALUE"""),"Not Interested")</f>
        <v>Not Interested</v>
      </c>
      <c r="AB1780" s="124" t="str">
        <f>IFERROR(__xludf.DUMMYFUNCTION("""COMPUTED_VALUE"""),"State PCS")</f>
        <v>State PCS</v>
      </c>
    </row>
    <row r="1781">
      <c r="A1781" s="126">
        <f>IFERROR(__xludf.DUMMYFUNCTION("""COMPUTED_VALUE"""),46063.0)</f>
        <v>46063</v>
      </c>
      <c r="B1781" s="124" t="str">
        <f>IFERROR(__xludf.DUMMYFUNCTION("""COMPUTED_VALUE"""),"Walkin")</f>
        <v>Walkin</v>
      </c>
      <c r="C1781" s="124" t="str">
        <f>IFERROR(__xludf.DUMMYFUNCTION("""COMPUTED_VALUE"""),"Delhi")</f>
        <v>Delhi</v>
      </c>
      <c r="D1781" s="124" t="str">
        <f>IFERROR(__xludf.DUMMYFUNCTION("""COMPUTED_VALUE"""),"Primary_Walkin")</f>
        <v>Primary_Walkin</v>
      </c>
      <c r="E1781" s="124">
        <f>IFERROR(__xludf.DUMMYFUNCTION("""COMPUTED_VALUE"""),1.0)</f>
        <v>1</v>
      </c>
      <c r="F1781" s="124" t="str">
        <f>IFERROR(__xludf.DUMMYFUNCTION("""COMPUTED_VALUE"""),"Fake Lead")</f>
        <v>Fake Lead</v>
      </c>
      <c r="G1781" s="124" t="str">
        <f>IFERROR(__xludf.DUMMYFUNCTION("""COMPUTED_VALUE"""),"GS Foundation")</f>
        <v>GS Foundation</v>
      </c>
      <c r="K1781" s="124"/>
      <c r="L1781" s="124"/>
      <c r="M1781" s="124"/>
      <c r="N1781" s="124"/>
      <c r="O1781" s="124"/>
      <c r="T1781" s="126">
        <f>IFERROR(__xludf.DUMMYFUNCTION("""COMPUTED_VALUE"""),46064.0)</f>
        <v>46064</v>
      </c>
      <c r="U1781" s="124" t="str">
        <f>IFERROR(__xludf.DUMMYFUNCTION("""COMPUTED_VALUE"""),"Walk-Ins")</f>
        <v>Walk-Ins</v>
      </c>
      <c r="V1781" s="124" t="str">
        <f>IFERROR(__xludf.DUMMYFUNCTION("""COMPUTED_VALUE"""),"Walkin")</f>
        <v>Walkin</v>
      </c>
      <c r="W1781" s="124" t="str">
        <f>IFERROR(__xludf.DUMMYFUNCTION("""COMPUTED_VALUE"""),"Indore")</f>
        <v>Indore</v>
      </c>
      <c r="X1781" s="124" t="str">
        <f>IFERROR(__xludf.DUMMYFUNCTION("""COMPUTED_VALUE"""),"Walkin")</f>
        <v>Walkin</v>
      </c>
      <c r="Y1781" s="124" t="str">
        <f>IFERROR(__xludf.DUMMYFUNCTION("""COMPUTED_VALUE"""),"Indore")</f>
        <v>Indore</v>
      </c>
      <c r="Z1781" s="124">
        <f>IFERROR(__xludf.DUMMYFUNCTION("""COMPUTED_VALUE"""),3.0)</f>
        <v>3</v>
      </c>
      <c r="AA1781" s="124" t="str">
        <f>IFERROR(__xludf.DUMMYFUNCTION("""COMPUTED_VALUE"""),"Future Prospects")</f>
        <v>Future Prospects</v>
      </c>
      <c r="AB1781" s="124" t="str">
        <f>IFERROR(__xludf.DUMMYFUNCTION("""COMPUTED_VALUE"""),"GS Foundation")</f>
        <v>GS Foundation</v>
      </c>
    </row>
    <row r="1782">
      <c r="A1782" s="126">
        <f>IFERROR(__xludf.DUMMYFUNCTION("""COMPUTED_VALUE"""),46044.0)</f>
        <v>46044</v>
      </c>
      <c r="B1782" s="124" t="str">
        <f>IFERROR(__xludf.DUMMYFUNCTION("""COMPUTED_VALUE"""),"Walk-In")</f>
        <v>Walk-In</v>
      </c>
      <c r="C1782" s="124" t="str">
        <f>IFERROR(__xludf.DUMMYFUNCTION("""COMPUTED_VALUE"""),"Delhi")</f>
        <v>Delhi</v>
      </c>
      <c r="D1782" s="124" t="str">
        <f>IFERROR(__xludf.DUMMYFUNCTION("""COMPUTED_VALUE"""),"Primary_Walkin")</f>
        <v>Primary_Walkin</v>
      </c>
      <c r="E1782" s="124">
        <f>IFERROR(__xludf.DUMMYFUNCTION("""COMPUTED_VALUE"""),1.0)</f>
        <v>1</v>
      </c>
      <c r="F1782" s="124" t="str">
        <f>IFERROR(__xludf.DUMMYFUNCTION("""COMPUTED_VALUE"""),"Cold")</f>
        <v>Cold</v>
      </c>
      <c r="G1782" s="124" t="str">
        <f>IFERROR(__xludf.DUMMYFUNCTION("""COMPUTED_VALUE"""),"GS Foundation")</f>
        <v>GS Foundation</v>
      </c>
      <c r="K1782" s="124"/>
      <c r="L1782" s="124"/>
      <c r="M1782" s="124"/>
      <c r="N1782" s="124"/>
      <c r="O1782" s="124"/>
      <c r="T1782" s="126">
        <f>IFERROR(__xludf.DUMMYFUNCTION("""COMPUTED_VALUE"""),46063.0)</f>
        <v>46063</v>
      </c>
      <c r="U1782" s="124" t="str">
        <f>IFERROR(__xludf.DUMMYFUNCTION("""COMPUTED_VALUE"""),"Walk-Ins")</f>
        <v>Walk-Ins</v>
      </c>
      <c r="V1782" s="124" t="str">
        <f>IFERROR(__xludf.DUMMYFUNCTION("""COMPUTED_VALUE"""),"Walkin")</f>
        <v>Walkin</v>
      </c>
      <c r="W1782" s="124" t="str">
        <f>IFERROR(__xludf.DUMMYFUNCTION("""COMPUTED_VALUE"""),"Prayagraj")</f>
        <v>Prayagraj</v>
      </c>
      <c r="X1782" s="124" t="str">
        <f>IFERROR(__xludf.DUMMYFUNCTION("""COMPUTED_VALUE"""),"Walkin")</f>
        <v>Walkin</v>
      </c>
      <c r="Y1782" s="124" t="str">
        <f>IFERROR(__xludf.DUMMYFUNCTION("""COMPUTED_VALUE"""),"Prayagraj")</f>
        <v>Prayagraj</v>
      </c>
      <c r="Z1782" s="124">
        <f>IFERROR(__xludf.DUMMYFUNCTION("""COMPUTED_VALUE"""),1.0)</f>
        <v>1</v>
      </c>
      <c r="AA1782" s="124" t="str">
        <f>IFERROR(__xludf.DUMMYFUNCTION("""COMPUTED_VALUE"""),"Cold")</f>
        <v>Cold</v>
      </c>
      <c r="AB1782" s="124" t="str">
        <f>IFERROR(__xludf.DUMMYFUNCTION("""COMPUTED_VALUE"""),"Test Series")</f>
        <v>Test Series</v>
      </c>
    </row>
    <row r="1783">
      <c r="A1783" s="126">
        <f>IFERROR(__xludf.DUMMYFUNCTION("""COMPUTED_VALUE"""),46053.0)</f>
        <v>46053</v>
      </c>
      <c r="B1783" s="124" t="str">
        <f>IFERROR(__xludf.DUMMYFUNCTION("""COMPUTED_VALUE"""),"Walk-In")</f>
        <v>Walk-In</v>
      </c>
      <c r="C1783" s="124" t="str">
        <f>IFERROR(__xludf.DUMMYFUNCTION("""COMPUTED_VALUE"""),"Delhi")</f>
        <v>Delhi</v>
      </c>
      <c r="D1783" s="124" t="str">
        <f>IFERROR(__xludf.DUMMYFUNCTION("""COMPUTED_VALUE"""),"Primary_Walkin")</f>
        <v>Primary_Walkin</v>
      </c>
      <c r="E1783" s="124">
        <f>IFERROR(__xludf.DUMMYFUNCTION("""COMPUTED_VALUE"""),2.0)</f>
        <v>2</v>
      </c>
      <c r="F1783" s="124" t="str">
        <f>IFERROR(__xludf.DUMMYFUNCTION("""COMPUTED_VALUE"""),"Fake Lead")</f>
        <v>Fake Lead</v>
      </c>
      <c r="G1783" s="124" t="str">
        <f>IFERROR(__xludf.DUMMYFUNCTION("""COMPUTED_VALUE"""),"GS Foundation")</f>
        <v>GS Foundation</v>
      </c>
      <c r="K1783" s="124"/>
      <c r="L1783" s="124"/>
      <c r="M1783" s="124"/>
      <c r="N1783" s="124"/>
      <c r="O1783" s="124"/>
      <c r="T1783" s="126">
        <f>IFERROR(__xludf.DUMMYFUNCTION("""COMPUTED_VALUE"""),46090.0)</f>
        <v>46090</v>
      </c>
      <c r="U1783" s="124" t="str">
        <f>IFERROR(__xludf.DUMMYFUNCTION("""COMPUTED_VALUE"""),"Walk-Ins")</f>
        <v>Walk-Ins</v>
      </c>
      <c r="V1783" s="124" t="str">
        <f>IFERROR(__xludf.DUMMYFUNCTION("""COMPUTED_VALUE"""),"Walkin")</f>
        <v>Walkin</v>
      </c>
      <c r="W1783" s="124" t="str">
        <f>IFERROR(__xludf.DUMMYFUNCTION("""COMPUTED_VALUE"""),"Prayagraj")</f>
        <v>Prayagraj</v>
      </c>
      <c r="X1783" s="124" t="str">
        <f>IFERROR(__xludf.DUMMYFUNCTION("""COMPUTED_VALUE"""),"Walkin")</f>
        <v>Walkin</v>
      </c>
      <c r="Y1783" s="124" t="str">
        <f>IFERROR(__xludf.DUMMYFUNCTION("""COMPUTED_VALUE"""),"Prayagraj")</f>
        <v>Prayagraj</v>
      </c>
      <c r="Z1783" s="124">
        <f>IFERROR(__xludf.DUMMYFUNCTION("""COMPUTED_VALUE"""),2.0)</f>
        <v>2</v>
      </c>
      <c r="AA1783" s="124" t="str">
        <f>IFERROR(__xludf.DUMMYFUNCTION("""COMPUTED_VALUE"""),"Not Interested")</f>
        <v>Not Interested</v>
      </c>
      <c r="AB1783" s="124" t="str">
        <f>IFERROR(__xludf.DUMMYFUNCTION("""COMPUTED_VALUE"""),"GS Foundation")</f>
        <v>GS Foundation</v>
      </c>
    </row>
    <row r="1784">
      <c r="A1784" s="126">
        <f>IFERROR(__xludf.DUMMYFUNCTION("""COMPUTED_VALUE"""),46105.0)</f>
        <v>46105</v>
      </c>
      <c r="B1784" s="124" t="str">
        <f>IFERROR(__xludf.DUMMYFUNCTION("""COMPUTED_VALUE"""),"Walk-In")</f>
        <v>Walk-In</v>
      </c>
      <c r="C1784" s="124" t="str">
        <f>IFERROR(__xludf.DUMMYFUNCTION("""COMPUTED_VALUE"""),"Delhi")</f>
        <v>Delhi</v>
      </c>
      <c r="D1784" s="124" t="str">
        <f>IFERROR(__xludf.DUMMYFUNCTION("""COMPUTED_VALUE"""),"Primary_Walkin")</f>
        <v>Primary_Walkin</v>
      </c>
      <c r="E1784" s="124">
        <f>IFERROR(__xludf.DUMMYFUNCTION("""COMPUTED_VALUE"""),1.0)</f>
        <v>1</v>
      </c>
      <c r="F1784" s="124" t="str">
        <f>IFERROR(__xludf.DUMMYFUNCTION("""COMPUTED_VALUE"""),"Warm")</f>
        <v>Warm</v>
      </c>
      <c r="G1784" s="124" t="str">
        <f>IFERROR(__xludf.DUMMYFUNCTION("""COMPUTED_VALUE"""),"GS Foundation")</f>
        <v>GS Foundation</v>
      </c>
      <c r="K1784" s="124"/>
      <c r="L1784" s="124"/>
      <c r="M1784" s="124"/>
      <c r="N1784" s="124"/>
      <c r="O1784" s="124"/>
      <c r="T1784" s="126">
        <f>IFERROR(__xludf.DUMMYFUNCTION("""COMPUTED_VALUE"""),46062.0)</f>
        <v>46062</v>
      </c>
      <c r="U1784" s="124" t="str">
        <f>IFERROR(__xludf.DUMMYFUNCTION("""COMPUTED_VALUE"""),"Walk-Ins")</f>
        <v>Walk-Ins</v>
      </c>
      <c r="V1784" s="124" t="str">
        <f>IFERROR(__xludf.DUMMYFUNCTION("""COMPUTED_VALUE"""),"Walkin")</f>
        <v>Walkin</v>
      </c>
      <c r="W1784" s="124" t="str">
        <f>IFERROR(__xludf.DUMMYFUNCTION("""COMPUTED_VALUE"""),"Prayagraj")</f>
        <v>Prayagraj</v>
      </c>
      <c r="X1784" s="124" t="str">
        <f>IFERROR(__xludf.DUMMYFUNCTION("""COMPUTED_VALUE"""),"Walkin")</f>
        <v>Walkin</v>
      </c>
      <c r="Y1784" s="124" t="str">
        <f>IFERROR(__xludf.DUMMYFUNCTION("""COMPUTED_VALUE"""),"Prayagraj")</f>
        <v>Prayagraj</v>
      </c>
      <c r="Z1784" s="124">
        <f>IFERROR(__xludf.DUMMYFUNCTION("""COMPUTED_VALUE"""),1.0)</f>
        <v>1</v>
      </c>
      <c r="AA1784" s="124" t="str">
        <f>IFERROR(__xludf.DUMMYFUNCTION("""COMPUTED_VALUE"""),"Cold")</f>
        <v>Cold</v>
      </c>
      <c r="AB1784" s="124" t="str">
        <f>IFERROR(__xludf.DUMMYFUNCTION("""COMPUTED_VALUE"""),"State PCS")</f>
        <v>State PCS</v>
      </c>
    </row>
    <row r="1785">
      <c r="A1785" s="126">
        <f>IFERROR(__xludf.DUMMYFUNCTION("""COMPUTED_VALUE"""),46111.0)</f>
        <v>46111</v>
      </c>
      <c r="B1785" s="124" t="str">
        <f>IFERROR(__xludf.DUMMYFUNCTION("""COMPUTED_VALUE"""),"Walk-In")</f>
        <v>Walk-In</v>
      </c>
      <c r="C1785" s="124" t="str">
        <f>IFERROR(__xludf.DUMMYFUNCTION("""COMPUTED_VALUE"""),"Delhi")</f>
        <v>Delhi</v>
      </c>
      <c r="D1785" s="124" t="str">
        <f>IFERROR(__xludf.DUMMYFUNCTION("""COMPUTED_VALUE"""),"Primary_Walkin")</f>
        <v>Primary_Walkin</v>
      </c>
      <c r="E1785" s="124">
        <f>IFERROR(__xludf.DUMMYFUNCTION("""COMPUTED_VALUE"""),1.0)</f>
        <v>1</v>
      </c>
      <c r="F1785" s="124" t="str">
        <f>IFERROR(__xludf.DUMMYFUNCTION("""COMPUTED_VALUE"""),"Fake Lead")</f>
        <v>Fake Lead</v>
      </c>
      <c r="G1785" s="124" t="str">
        <f>IFERROR(__xludf.DUMMYFUNCTION("""COMPUTED_VALUE"""),"Mentorship")</f>
        <v>Mentorship</v>
      </c>
      <c r="K1785" s="124"/>
      <c r="L1785" s="124"/>
      <c r="M1785" s="124"/>
      <c r="N1785" s="124"/>
      <c r="O1785" s="124"/>
      <c r="T1785" s="126">
        <f>IFERROR(__xludf.DUMMYFUNCTION("""COMPUTED_VALUE"""),46044.0)</f>
        <v>46044</v>
      </c>
      <c r="U1785" s="124" t="str">
        <f>IFERROR(__xludf.DUMMYFUNCTION("""COMPUTED_VALUE"""),"Walk-Ins")</f>
        <v>Walk-Ins</v>
      </c>
      <c r="V1785" s="124" t="str">
        <f>IFERROR(__xludf.DUMMYFUNCTION("""COMPUTED_VALUE"""),"Walkin")</f>
        <v>Walkin</v>
      </c>
      <c r="W1785" s="124" t="str">
        <f>IFERROR(__xludf.DUMMYFUNCTION("""COMPUTED_VALUE"""),"Indore")</f>
        <v>Indore</v>
      </c>
      <c r="X1785" s="124" t="str">
        <f>IFERROR(__xludf.DUMMYFUNCTION("""COMPUTED_VALUE"""),"Walkin")</f>
        <v>Walkin</v>
      </c>
      <c r="Y1785" s="124" t="str">
        <f>IFERROR(__xludf.DUMMYFUNCTION("""COMPUTED_VALUE"""),"Indore")</f>
        <v>Indore</v>
      </c>
      <c r="Z1785" s="124">
        <f>IFERROR(__xludf.DUMMYFUNCTION("""COMPUTED_VALUE"""),1.0)</f>
        <v>1</v>
      </c>
      <c r="AA1785" s="124" t="str">
        <f>IFERROR(__xludf.DUMMYFUNCTION("""COMPUTED_VALUE"""),"Enrolled")</f>
        <v>Enrolled</v>
      </c>
      <c r="AB1785" s="124" t="str">
        <f>IFERROR(__xludf.DUMMYFUNCTION("""COMPUTED_VALUE"""),"GS Foundation")</f>
        <v>GS Foundation</v>
      </c>
    </row>
    <row r="1786">
      <c r="A1786" s="126">
        <f>IFERROR(__xludf.DUMMYFUNCTION("""COMPUTED_VALUE"""),46107.0)</f>
        <v>46107</v>
      </c>
      <c r="B1786" s="124" t="str">
        <f>IFERROR(__xludf.DUMMYFUNCTION("""COMPUTED_VALUE"""),"Walk-In")</f>
        <v>Walk-In</v>
      </c>
      <c r="C1786" s="124" t="str">
        <f>IFERROR(__xludf.DUMMYFUNCTION("""COMPUTED_VALUE"""),"Delhi")</f>
        <v>Delhi</v>
      </c>
      <c r="D1786" s="124" t="str">
        <f>IFERROR(__xludf.DUMMYFUNCTION("""COMPUTED_VALUE"""),"Primary_Walkin")</f>
        <v>Primary_Walkin</v>
      </c>
      <c r="E1786" s="124">
        <f>IFERROR(__xludf.DUMMYFUNCTION("""COMPUTED_VALUE"""),2.0)</f>
        <v>2</v>
      </c>
      <c r="F1786" s="124" t="str">
        <f>IFERROR(__xludf.DUMMYFUNCTION("""COMPUTED_VALUE"""),"Warm")</f>
        <v>Warm</v>
      </c>
      <c r="G1786" s="124" t="str">
        <f>IFERROR(__xludf.DUMMYFUNCTION("""COMPUTED_VALUE"""),"GS Foundation")</f>
        <v>GS Foundation</v>
      </c>
      <c r="K1786" s="124"/>
      <c r="L1786" s="124"/>
      <c r="M1786" s="124"/>
      <c r="N1786" s="124"/>
      <c r="O1786" s="124"/>
      <c r="T1786" s="126">
        <f>IFERROR(__xludf.DUMMYFUNCTION("""COMPUTED_VALUE"""),46057.0)</f>
        <v>46057</v>
      </c>
      <c r="U1786" s="124" t="str">
        <f>IFERROR(__xludf.DUMMYFUNCTION("""COMPUTED_VALUE"""),"Walk-Ins")</f>
        <v>Walk-Ins</v>
      </c>
      <c r="V1786" s="124" t="str">
        <f>IFERROR(__xludf.DUMMYFUNCTION("""COMPUTED_VALUE"""),"Walkin")</f>
        <v>Walkin</v>
      </c>
      <c r="W1786" s="124" t="str">
        <f>IFERROR(__xludf.DUMMYFUNCTION("""COMPUTED_VALUE"""),"Indore")</f>
        <v>Indore</v>
      </c>
      <c r="X1786" s="124" t="str">
        <f>IFERROR(__xludf.DUMMYFUNCTION("""COMPUTED_VALUE"""),"Walkin")</f>
        <v>Walkin</v>
      </c>
      <c r="Y1786" s="124" t="str">
        <f>IFERROR(__xludf.DUMMYFUNCTION("""COMPUTED_VALUE"""),"Indore")</f>
        <v>Indore</v>
      </c>
      <c r="Z1786" s="124">
        <f>IFERROR(__xludf.DUMMYFUNCTION("""COMPUTED_VALUE"""),1.0)</f>
        <v>1</v>
      </c>
      <c r="AA1786" s="124" t="str">
        <f>IFERROR(__xludf.DUMMYFUNCTION("""COMPUTED_VALUE"""),"Warm")</f>
        <v>Warm</v>
      </c>
      <c r="AB1786" s="124" t="str">
        <f>IFERROR(__xludf.DUMMYFUNCTION("""COMPUTED_VALUE"""),"Test Series")</f>
        <v>Test Series</v>
      </c>
    </row>
    <row r="1787">
      <c r="A1787" s="126">
        <f>IFERROR(__xludf.DUMMYFUNCTION("""COMPUTED_VALUE"""),46053.0)</f>
        <v>46053</v>
      </c>
      <c r="B1787" s="124" t="str">
        <f>IFERROR(__xludf.DUMMYFUNCTION("""COMPUTED_VALUE"""),"external leads")</f>
        <v>external leads</v>
      </c>
      <c r="C1787" s="124" t="str">
        <f>IFERROR(__xludf.DUMMYFUNCTION("""COMPUTED_VALUE"""),"Delhi")</f>
        <v>Delhi</v>
      </c>
      <c r="D1787" s="124" t="str">
        <f>IFERROR(__xludf.DUMMYFUNCTION("""COMPUTED_VALUE"""),"Secondary_Walkin")</f>
        <v>Secondary_Walkin</v>
      </c>
      <c r="E1787" s="124">
        <f>IFERROR(__xludf.DUMMYFUNCTION("""COMPUTED_VALUE"""),1.0)</f>
        <v>1</v>
      </c>
      <c r="F1787" s="124" t="str">
        <f>IFERROR(__xludf.DUMMYFUNCTION("""COMPUTED_VALUE"""),"Cold")</f>
        <v>Cold</v>
      </c>
      <c r="G1787" s="124" t="str">
        <f>IFERROR(__xludf.DUMMYFUNCTION("""COMPUTED_VALUE"""),"Optionals")</f>
        <v>Optionals</v>
      </c>
      <c r="K1787" s="124"/>
      <c r="L1787" s="124"/>
      <c r="M1787" s="124"/>
      <c r="N1787" s="124"/>
      <c r="O1787" s="124"/>
      <c r="T1787" s="126">
        <f>IFERROR(__xludf.DUMMYFUNCTION("""COMPUTED_VALUE"""),46090.0)</f>
        <v>46090</v>
      </c>
      <c r="U1787" s="124" t="str">
        <f>IFERROR(__xludf.DUMMYFUNCTION("""COMPUTED_VALUE"""),"Walk-Ins")</f>
        <v>Walk-Ins</v>
      </c>
      <c r="V1787" s="124" t="str">
        <f>IFERROR(__xludf.DUMMYFUNCTION("""COMPUTED_VALUE"""),"Walkin")</f>
        <v>Walkin</v>
      </c>
      <c r="W1787" s="124" t="str">
        <f>IFERROR(__xludf.DUMMYFUNCTION("""COMPUTED_VALUE"""),"Patna")</f>
        <v>Patna</v>
      </c>
      <c r="X1787" s="124" t="str">
        <f>IFERROR(__xludf.DUMMYFUNCTION("""COMPUTED_VALUE"""),"Walkin")</f>
        <v>Walkin</v>
      </c>
      <c r="Y1787" s="124" t="str">
        <f>IFERROR(__xludf.DUMMYFUNCTION("""COMPUTED_VALUE"""),"Patna")</f>
        <v>Patna</v>
      </c>
      <c r="Z1787" s="124">
        <f>IFERROR(__xludf.DUMMYFUNCTION("""COMPUTED_VALUE"""),2.0)</f>
        <v>2</v>
      </c>
      <c r="AA1787" s="124" t="str">
        <f>IFERROR(__xludf.DUMMYFUNCTION("""COMPUTED_VALUE"""),"Enrolled")</f>
        <v>Enrolled</v>
      </c>
      <c r="AB1787" s="124" t="str">
        <f>IFERROR(__xludf.DUMMYFUNCTION("""COMPUTED_VALUE"""),"State PCS")</f>
        <v>State PCS</v>
      </c>
    </row>
    <row r="1788">
      <c r="A1788" s="126">
        <f>IFERROR(__xludf.DUMMYFUNCTION("""COMPUTED_VALUE"""),46064.0)</f>
        <v>46064</v>
      </c>
      <c r="B1788" s="124" t="str">
        <f>IFERROR(__xludf.DUMMYFUNCTION("""COMPUTED_VALUE"""),"Walkin")</f>
        <v>Walkin</v>
      </c>
      <c r="C1788" s="124" t="str">
        <f>IFERROR(__xludf.DUMMYFUNCTION("""COMPUTED_VALUE"""),"Indore")</f>
        <v>Indore</v>
      </c>
      <c r="D1788" s="124" t="str">
        <f>IFERROR(__xludf.DUMMYFUNCTION("""COMPUTED_VALUE"""),"Primary_Walkin")</f>
        <v>Primary_Walkin</v>
      </c>
      <c r="E1788" s="124">
        <f>IFERROR(__xludf.DUMMYFUNCTION("""COMPUTED_VALUE"""),1.0)</f>
        <v>1</v>
      </c>
      <c r="F1788" s="124" t="str">
        <f>IFERROR(__xludf.DUMMYFUNCTION("""COMPUTED_VALUE"""),"Cold")</f>
        <v>Cold</v>
      </c>
      <c r="G1788" s="124" t="str">
        <f>IFERROR(__xludf.DUMMYFUNCTION("""COMPUTED_VALUE"""),"State PCS")</f>
        <v>State PCS</v>
      </c>
      <c r="K1788" s="124"/>
      <c r="L1788" s="124"/>
      <c r="M1788" s="124"/>
      <c r="N1788" s="124"/>
      <c r="O1788" s="124"/>
      <c r="T1788" s="126">
        <f>IFERROR(__xludf.DUMMYFUNCTION("""COMPUTED_VALUE"""),46055.0)</f>
        <v>46055</v>
      </c>
      <c r="U1788" s="124" t="str">
        <f>IFERROR(__xludf.DUMMYFUNCTION("""COMPUTED_VALUE"""),"Walk-Ins")</f>
        <v>Walk-Ins</v>
      </c>
      <c r="V1788" s="124" t="str">
        <f>IFERROR(__xludf.DUMMYFUNCTION("""COMPUTED_VALUE"""),"Walkin")</f>
        <v>Walkin</v>
      </c>
      <c r="W1788" s="124" t="str">
        <f>IFERROR(__xludf.DUMMYFUNCTION("""COMPUTED_VALUE"""),"Prayagraj")</f>
        <v>Prayagraj</v>
      </c>
      <c r="X1788" s="124" t="str">
        <f>IFERROR(__xludf.DUMMYFUNCTION("""COMPUTED_VALUE"""),"Walkin")</f>
        <v>Walkin</v>
      </c>
      <c r="Y1788" s="124" t="str">
        <f>IFERROR(__xludf.DUMMYFUNCTION("""COMPUTED_VALUE"""),"Prayagraj")</f>
        <v>Prayagraj</v>
      </c>
      <c r="Z1788" s="124">
        <f>IFERROR(__xludf.DUMMYFUNCTION("""COMPUTED_VALUE"""),1.0)</f>
        <v>1</v>
      </c>
      <c r="AA1788" s="124" t="str">
        <f>IFERROR(__xludf.DUMMYFUNCTION("""COMPUTED_VALUE"""),"Warm")</f>
        <v>Warm</v>
      </c>
      <c r="AB1788" s="124" t="str">
        <f>IFERROR(__xludf.DUMMYFUNCTION("""COMPUTED_VALUE"""),"GS Foundation")</f>
        <v>GS Foundation</v>
      </c>
    </row>
    <row r="1789">
      <c r="A1789" s="126">
        <f>IFERROR(__xludf.DUMMYFUNCTION("""COMPUTED_VALUE"""),46064.0)</f>
        <v>46064</v>
      </c>
      <c r="B1789" s="124" t="str">
        <f>IFERROR(__xludf.DUMMYFUNCTION("""COMPUTED_VALUE"""),"events")</f>
        <v>events</v>
      </c>
      <c r="C1789" s="124" t="str">
        <f>IFERROR(__xludf.DUMMYFUNCTION("""COMPUTED_VALUE"""),"Lucknow")</f>
        <v>Lucknow</v>
      </c>
      <c r="D1789" s="124" t="str">
        <f>IFERROR(__xludf.DUMMYFUNCTION("""COMPUTED_VALUE"""),"Secondary_Walkin")</f>
        <v>Secondary_Walkin</v>
      </c>
      <c r="E1789" s="124">
        <f>IFERROR(__xludf.DUMMYFUNCTION("""COMPUTED_VALUE"""),1.0)</f>
        <v>1</v>
      </c>
      <c r="F1789" s="124" t="str">
        <f>IFERROR(__xludf.DUMMYFUNCTION("""COMPUTED_VALUE"""),"Enrolled")</f>
        <v>Enrolled</v>
      </c>
      <c r="G1789" s="124" t="str">
        <f>IFERROR(__xludf.DUMMYFUNCTION("""COMPUTED_VALUE"""),"GS Foundation")</f>
        <v>GS Foundation</v>
      </c>
      <c r="K1789" s="124"/>
      <c r="L1789" s="124"/>
      <c r="M1789" s="124"/>
      <c r="N1789" s="124"/>
      <c r="O1789" s="124"/>
      <c r="T1789" s="126">
        <f>IFERROR(__xludf.DUMMYFUNCTION("""COMPUTED_VALUE"""),46094.0)</f>
        <v>46094</v>
      </c>
      <c r="U1789" s="124" t="str">
        <f>IFERROR(__xludf.DUMMYFUNCTION("""COMPUTED_VALUE"""),"Walk-Ins")</f>
        <v>Walk-Ins</v>
      </c>
      <c r="V1789" s="124" t="str">
        <f>IFERROR(__xludf.DUMMYFUNCTION("""COMPUTED_VALUE"""),"Walkin")</f>
        <v>Walkin</v>
      </c>
      <c r="W1789" s="124" t="str">
        <f>IFERROR(__xludf.DUMMYFUNCTION("""COMPUTED_VALUE"""),"Indore")</f>
        <v>Indore</v>
      </c>
      <c r="X1789" s="124" t="str">
        <f>IFERROR(__xludf.DUMMYFUNCTION("""COMPUTED_VALUE"""),"Walkin")</f>
        <v>Walkin</v>
      </c>
      <c r="Y1789" s="124" t="str">
        <f>IFERROR(__xludf.DUMMYFUNCTION("""COMPUTED_VALUE"""),"Indore")</f>
        <v>Indore</v>
      </c>
      <c r="Z1789" s="124">
        <f>IFERROR(__xludf.DUMMYFUNCTION("""COMPUTED_VALUE"""),3.0)</f>
        <v>3</v>
      </c>
      <c r="AA1789" s="124" t="str">
        <f>IFERROR(__xludf.DUMMYFUNCTION("""COMPUTED_VALUE"""),"Future Prospects")</f>
        <v>Future Prospects</v>
      </c>
      <c r="AB1789" s="124" t="str">
        <f>IFERROR(__xludf.DUMMYFUNCTION("""COMPUTED_VALUE"""),"GS Foundation")</f>
        <v>GS Foundation</v>
      </c>
    </row>
    <row r="1790">
      <c r="A1790" s="129">
        <f>IFERROR(__xludf.DUMMYFUNCTION("""COMPUTED_VALUE"""),46062.0)</f>
        <v>46062</v>
      </c>
      <c r="B1790" s="124" t="str">
        <f>IFERROR(__xludf.DUMMYFUNCTION("""COMPUTED_VALUE"""),"Walkin")</f>
        <v>Walkin</v>
      </c>
      <c r="C1790" s="124" t="str">
        <f>IFERROR(__xludf.DUMMYFUNCTION("""COMPUTED_VALUE"""),"Indore")</f>
        <v>Indore</v>
      </c>
      <c r="D1790" s="124" t="str">
        <f>IFERROR(__xludf.DUMMYFUNCTION("""COMPUTED_VALUE"""),"Primary_Walkin")</f>
        <v>Primary_Walkin</v>
      </c>
      <c r="E1790" s="124">
        <f>IFERROR(__xludf.DUMMYFUNCTION("""COMPUTED_VALUE"""),1.0)</f>
        <v>1</v>
      </c>
      <c r="F1790" s="124" t="str">
        <f>IFERROR(__xludf.DUMMYFUNCTION("""COMPUTED_VALUE"""),"Cold")</f>
        <v>Cold</v>
      </c>
      <c r="G1790" s="124" t="str">
        <f>IFERROR(__xludf.DUMMYFUNCTION("""COMPUTED_VALUE"""),"Test Series")</f>
        <v>Test Series</v>
      </c>
      <c r="K1790" s="124"/>
      <c r="L1790" s="124"/>
      <c r="M1790" s="124"/>
      <c r="N1790" s="124"/>
      <c r="O1790" s="124"/>
      <c r="T1790" s="126">
        <f>IFERROR(__xludf.DUMMYFUNCTION("""COMPUTED_VALUE"""),46071.0)</f>
        <v>46071</v>
      </c>
      <c r="U1790" s="124" t="str">
        <f>IFERROR(__xludf.DUMMYFUNCTION("""COMPUTED_VALUE"""),"Walk-Ins")</f>
        <v>Walk-Ins</v>
      </c>
      <c r="V1790" s="124" t="str">
        <f>IFERROR(__xludf.DUMMYFUNCTION("""COMPUTED_VALUE"""),"Walkin")</f>
        <v>Walkin</v>
      </c>
      <c r="W1790" s="124" t="str">
        <f>IFERROR(__xludf.DUMMYFUNCTION("""COMPUTED_VALUE"""),"Indore")</f>
        <v>Indore</v>
      </c>
      <c r="X1790" s="124" t="str">
        <f>IFERROR(__xludf.DUMMYFUNCTION("""COMPUTED_VALUE"""),"Walkin")</f>
        <v>Walkin</v>
      </c>
      <c r="Y1790" s="124" t="str">
        <f>IFERROR(__xludf.DUMMYFUNCTION("""COMPUTED_VALUE"""),"Indore")</f>
        <v>Indore</v>
      </c>
      <c r="Z1790" s="124">
        <f>IFERROR(__xludf.DUMMYFUNCTION("""COMPUTED_VALUE"""),2.0)</f>
        <v>2</v>
      </c>
      <c r="AA1790" s="124" t="str">
        <f>IFERROR(__xludf.DUMMYFUNCTION("""COMPUTED_VALUE"""),"Future Prospects")</f>
        <v>Future Prospects</v>
      </c>
      <c r="AB1790" s="124" t="str">
        <f>IFERROR(__xludf.DUMMYFUNCTION("""COMPUTED_VALUE"""),"Other")</f>
        <v>Other</v>
      </c>
    </row>
    <row r="1791">
      <c r="A1791" s="126">
        <f>IFERROR(__xludf.DUMMYFUNCTION("""COMPUTED_VALUE"""),46107.0)</f>
        <v>46107</v>
      </c>
      <c r="B1791" s="124" t="str">
        <f>IFERROR(__xludf.DUMMYFUNCTION("""COMPUTED_VALUE"""),"Walkin")</f>
        <v>Walkin</v>
      </c>
      <c r="C1791" s="124" t="str">
        <f>IFERROR(__xludf.DUMMYFUNCTION("""COMPUTED_VALUE"""),"Indore")</f>
        <v>Indore</v>
      </c>
      <c r="D1791" s="124" t="str">
        <f>IFERROR(__xludf.DUMMYFUNCTION("""COMPUTED_VALUE"""),"Primary_Walkin")</f>
        <v>Primary_Walkin</v>
      </c>
      <c r="E1791" s="124">
        <f>IFERROR(__xludf.DUMMYFUNCTION("""COMPUTED_VALUE"""),1.0)</f>
        <v>1</v>
      </c>
      <c r="F1791" s="124" t="str">
        <f>IFERROR(__xludf.DUMMYFUNCTION("""COMPUTED_VALUE"""),"Enrolled")</f>
        <v>Enrolled</v>
      </c>
      <c r="G1791" s="124" t="str">
        <f>IFERROR(__xludf.DUMMYFUNCTION("""COMPUTED_VALUE"""),"State PCS")</f>
        <v>State PCS</v>
      </c>
      <c r="K1791" s="124"/>
      <c r="L1791" s="124"/>
      <c r="M1791" s="124"/>
      <c r="N1791" s="124"/>
      <c r="O1791" s="124"/>
      <c r="T1791" s="126">
        <f>IFERROR(__xludf.DUMMYFUNCTION("""COMPUTED_VALUE"""),46105.0)</f>
        <v>46105</v>
      </c>
      <c r="U1791" s="124" t="str">
        <f>IFERROR(__xludf.DUMMYFUNCTION("""COMPUTED_VALUE"""),"Walk-Ins")</f>
        <v>Walk-Ins</v>
      </c>
      <c r="V1791" s="124" t="str">
        <f>IFERROR(__xludf.DUMMYFUNCTION("""COMPUTED_VALUE"""),"Walkin")</f>
        <v>Walkin</v>
      </c>
      <c r="W1791" s="124" t="str">
        <f>IFERROR(__xludf.DUMMYFUNCTION("""COMPUTED_VALUE"""),"Prayagraj")</f>
        <v>Prayagraj</v>
      </c>
      <c r="X1791" s="124" t="str">
        <f>IFERROR(__xludf.DUMMYFUNCTION("""COMPUTED_VALUE"""),"Walkin")</f>
        <v>Walkin</v>
      </c>
      <c r="Y1791" s="124" t="str">
        <f>IFERROR(__xludf.DUMMYFUNCTION("""COMPUTED_VALUE"""),"Prayagraj")</f>
        <v>Prayagraj</v>
      </c>
      <c r="Z1791" s="124">
        <f>IFERROR(__xludf.DUMMYFUNCTION("""COMPUTED_VALUE"""),1.0)</f>
        <v>1</v>
      </c>
      <c r="AA1791" s="124" t="str">
        <f>IFERROR(__xludf.DUMMYFUNCTION("""COMPUTED_VALUE"""),"Interested")</f>
        <v>Interested</v>
      </c>
      <c r="AB1791" s="124" t="str">
        <f>IFERROR(__xludf.DUMMYFUNCTION("""COMPUTED_VALUE"""),"GS Foundation")</f>
        <v>GS Foundation</v>
      </c>
    </row>
    <row r="1792">
      <c r="A1792" s="126">
        <f>IFERROR(__xludf.DUMMYFUNCTION("""COMPUTED_VALUE"""),46110.0)</f>
        <v>46110</v>
      </c>
      <c r="B1792" s="124" t="str">
        <f>IFERROR(__xludf.DUMMYFUNCTION("""COMPUTED_VALUE"""),"Inbound Call")</f>
        <v>Inbound Call</v>
      </c>
      <c r="C1792" s="124" t="str">
        <f>IFERROR(__xludf.DUMMYFUNCTION("""COMPUTED_VALUE"""),"Lucknow")</f>
        <v>Lucknow</v>
      </c>
      <c r="D1792" s="124" t="str">
        <f>IFERROR(__xludf.DUMMYFUNCTION("""COMPUTED_VALUE"""),"Secondary_Walkin")</f>
        <v>Secondary_Walkin</v>
      </c>
      <c r="E1792" s="124">
        <f>IFERROR(__xludf.DUMMYFUNCTION("""COMPUTED_VALUE"""),1.0)</f>
        <v>1</v>
      </c>
      <c r="F1792" s="124" t="str">
        <f>IFERROR(__xludf.DUMMYFUNCTION("""COMPUTED_VALUE"""),"Enrolled")</f>
        <v>Enrolled</v>
      </c>
      <c r="G1792" s="124" t="str">
        <f>IFERROR(__xludf.DUMMYFUNCTION("""COMPUTED_VALUE"""),"GS Foundation")</f>
        <v>GS Foundation</v>
      </c>
      <c r="K1792" s="124"/>
      <c r="L1792" s="124"/>
      <c r="M1792" s="124"/>
      <c r="N1792" s="124"/>
      <c r="O1792" s="124"/>
      <c r="T1792" s="129">
        <f>IFERROR(__xludf.DUMMYFUNCTION("""COMPUTED_VALUE"""),46104.0)</f>
        <v>46104</v>
      </c>
      <c r="U1792" s="124" t="str">
        <f>IFERROR(__xludf.DUMMYFUNCTION("""COMPUTED_VALUE"""),"Walk-Ins")</f>
        <v>Walk-Ins</v>
      </c>
      <c r="V1792" s="124" t="str">
        <f>IFERROR(__xludf.DUMMYFUNCTION("""COMPUTED_VALUE"""),"Walkin")</f>
        <v>Walkin</v>
      </c>
      <c r="W1792" s="124" t="str">
        <f>IFERROR(__xludf.DUMMYFUNCTION("""COMPUTED_VALUE"""),"Patna")</f>
        <v>Patna</v>
      </c>
      <c r="X1792" s="124" t="str">
        <f>IFERROR(__xludf.DUMMYFUNCTION("""COMPUTED_VALUE"""),"Walkin")</f>
        <v>Walkin</v>
      </c>
      <c r="Y1792" s="124" t="str">
        <f>IFERROR(__xludf.DUMMYFUNCTION("""COMPUTED_VALUE"""),"Patna")</f>
        <v>Patna</v>
      </c>
      <c r="Z1792" s="124">
        <f>IFERROR(__xludf.DUMMYFUNCTION("""COMPUTED_VALUE"""),1.0)</f>
        <v>1</v>
      </c>
      <c r="AA1792" s="124" t="str">
        <f>IFERROR(__xludf.DUMMYFUNCTION("""COMPUTED_VALUE"""),"Future Prospects")</f>
        <v>Future Prospects</v>
      </c>
      <c r="AB1792" s="124" t="str">
        <f>IFERROR(__xludf.DUMMYFUNCTION("""COMPUTED_VALUE"""),"GS Foundation")</f>
        <v>GS Foundation</v>
      </c>
    </row>
    <row r="1793">
      <c r="A1793" s="126">
        <f>IFERROR(__xludf.DUMMYFUNCTION("""COMPUTED_VALUE"""),46074.0)</f>
        <v>46074</v>
      </c>
      <c r="B1793" s="124" t="str">
        <f>IFERROR(__xludf.DUMMYFUNCTION("""COMPUTED_VALUE"""),"external leads")</f>
        <v>external leads</v>
      </c>
      <c r="C1793" s="124" t="str">
        <f>IFERROR(__xludf.DUMMYFUNCTION("""COMPUTED_VALUE"""),"Lucknow")</f>
        <v>Lucknow</v>
      </c>
      <c r="D1793" s="124" t="str">
        <f>IFERROR(__xludf.DUMMYFUNCTION("""COMPUTED_VALUE"""),"Secondary_Walkin")</f>
        <v>Secondary_Walkin</v>
      </c>
      <c r="E1793" s="124">
        <f>IFERROR(__xludf.DUMMYFUNCTION("""COMPUTED_VALUE"""),1.0)</f>
        <v>1</v>
      </c>
      <c r="F1793" s="124" t="str">
        <f>IFERROR(__xludf.DUMMYFUNCTION("""COMPUTED_VALUE"""),"Cold")</f>
        <v>Cold</v>
      </c>
      <c r="G1793" s="124" t="str">
        <f>IFERROR(__xludf.DUMMYFUNCTION("""COMPUTED_VALUE"""),"GS Foundation")</f>
        <v>GS Foundation</v>
      </c>
      <c r="K1793" s="124"/>
      <c r="L1793" s="124"/>
      <c r="M1793" s="124"/>
      <c r="N1793" s="124"/>
      <c r="O1793" s="124"/>
      <c r="T1793" s="129">
        <f>IFERROR(__xludf.DUMMYFUNCTION("""COMPUTED_VALUE"""),46063.0)</f>
        <v>46063</v>
      </c>
      <c r="U1793" s="124" t="str">
        <f>IFERROR(__xludf.DUMMYFUNCTION("""COMPUTED_VALUE"""),"Walk-Ins")</f>
        <v>Walk-Ins</v>
      </c>
      <c r="V1793" s="124" t="str">
        <f>IFERROR(__xludf.DUMMYFUNCTION("""COMPUTED_VALUE"""),"Walkin")</f>
        <v>Walkin</v>
      </c>
      <c r="W1793" s="124" t="str">
        <f>IFERROR(__xludf.DUMMYFUNCTION("""COMPUTED_VALUE"""),"Patna")</f>
        <v>Patna</v>
      </c>
      <c r="X1793" s="124" t="str">
        <f>IFERROR(__xludf.DUMMYFUNCTION("""COMPUTED_VALUE"""),"Walkin")</f>
        <v>Walkin</v>
      </c>
      <c r="Y1793" s="124" t="str">
        <f>IFERROR(__xludf.DUMMYFUNCTION("""COMPUTED_VALUE"""),"Patna")</f>
        <v>Patna</v>
      </c>
      <c r="Z1793" s="124">
        <f>IFERROR(__xludf.DUMMYFUNCTION("""COMPUTED_VALUE"""),1.0)</f>
        <v>1</v>
      </c>
      <c r="AA1793" s="124" t="str">
        <f>IFERROR(__xludf.DUMMYFUNCTION("""COMPUTED_VALUE"""),"Fake Lead")</f>
        <v>Fake Lead</v>
      </c>
      <c r="AB1793" s="124" t="str">
        <f>IFERROR(__xludf.DUMMYFUNCTION("""COMPUTED_VALUE"""),"State PCS")</f>
        <v>State PCS</v>
      </c>
    </row>
    <row r="1794">
      <c r="A1794" s="126">
        <f>IFERROR(__xludf.DUMMYFUNCTION("""COMPUTED_VALUE"""),46105.0)</f>
        <v>46105</v>
      </c>
      <c r="B1794" s="124" t="str">
        <f>IFERROR(__xludf.DUMMYFUNCTION("""COMPUTED_VALUE"""),"events")</f>
        <v>events</v>
      </c>
      <c r="C1794" s="124" t="str">
        <f>IFERROR(__xludf.DUMMYFUNCTION("""COMPUTED_VALUE"""),"Indore")</f>
        <v>Indore</v>
      </c>
      <c r="D1794" s="124" t="str">
        <f>IFERROR(__xludf.DUMMYFUNCTION("""COMPUTED_VALUE"""),"Secondary_Walkin")</f>
        <v>Secondary_Walkin</v>
      </c>
      <c r="E1794" s="124">
        <f>IFERROR(__xludf.DUMMYFUNCTION("""COMPUTED_VALUE"""),1.0)</f>
        <v>1</v>
      </c>
      <c r="F1794" s="124" t="str">
        <f>IFERROR(__xludf.DUMMYFUNCTION("""COMPUTED_VALUE"""),"Not Interested")</f>
        <v>Not Interested</v>
      </c>
      <c r="G1794" s="124" t="str">
        <f>IFERROR(__xludf.DUMMYFUNCTION("""COMPUTED_VALUE"""),"Mentorship")</f>
        <v>Mentorship</v>
      </c>
      <c r="K1794" s="124"/>
      <c r="L1794" s="124"/>
      <c r="M1794" s="124"/>
      <c r="N1794" s="124"/>
      <c r="O1794" s="124"/>
      <c r="T1794" s="126">
        <f>IFERROR(__xludf.DUMMYFUNCTION("""COMPUTED_VALUE"""),46090.0)</f>
        <v>46090</v>
      </c>
      <c r="U1794" s="124" t="str">
        <f>IFERROR(__xludf.DUMMYFUNCTION("""COMPUTED_VALUE"""),"Walk-Ins")</f>
        <v>Walk-Ins</v>
      </c>
      <c r="V1794" s="124" t="str">
        <f>IFERROR(__xludf.DUMMYFUNCTION("""COMPUTED_VALUE"""),"Walkin")</f>
        <v>Walkin</v>
      </c>
      <c r="W1794" s="124" t="str">
        <f>IFERROR(__xludf.DUMMYFUNCTION("""COMPUTED_VALUE"""),"Prayagraj")</f>
        <v>Prayagraj</v>
      </c>
      <c r="X1794" s="124" t="str">
        <f>IFERROR(__xludf.DUMMYFUNCTION("""COMPUTED_VALUE"""),"Walkin")</f>
        <v>Walkin</v>
      </c>
      <c r="Y1794" s="124" t="str">
        <f>IFERROR(__xludf.DUMMYFUNCTION("""COMPUTED_VALUE"""),"Prayagraj")</f>
        <v>Prayagraj</v>
      </c>
      <c r="Z1794" s="124">
        <f>IFERROR(__xludf.DUMMYFUNCTION("""COMPUTED_VALUE"""),1.0)</f>
        <v>1</v>
      </c>
      <c r="AA1794" s="124" t="str">
        <f>IFERROR(__xludf.DUMMYFUNCTION("""COMPUTED_VALUE"""),"Future Prospects")</f>
        <v>Future Prospects</v>
      </c>
      <c r="AB1794" s="124" t="str">
        <f>IFERROR(__xludf.DUMMYFUNCTION("""COMPUTED_VALUE"""),"State PCS")</f>
        <v>State PCS</v>
      </c>
    </row>
    <row r="1795">
      <c r="A1795" s="126">
        <f>IFERROR(__xludf.DUMMYFUNCTION("""COMPUTED_VALUE"""),46100.0)</f>
        <v>46100</v>
      </c>
      <c r="B1795" s="124" t="str">
        <f>IFERROR(__xludf.DUMMYFUNCTION("""COMPUTED_VALUE"""),"Walkin")</f>
        <v>Walkin</v>
      </c>
      <c r="C1795" s="124" t="str">
        <f>IFERROR(__xludf.DUMMYFUNCTION("""COMPUTED_VALUE"""),"Indore")</f>
        <v>Indore</v>
      </c>
      <c r="D1795" s="124" t="str">
        <f>IFERROR(__xludf.DUMMYFUNCTION("""COMPUTED_VALUE"""),"Primary_Walkin")</f>
        <v>Primary_Walkin</v>
      </c>
      <c r="E1795" s="124">
        <f>IFERROR(__xludf.DUMMYFUNCTION("""COMPUTED_VALUE"""),1.0)</f>
        <v>1</v>
      </c>
      <c r="F1795" s="124" t="str">
        <f>IFERROR(__xludf.DUMMYFUNCTION("""COMPUTED_VALUE"""),"Not Interested")</f>
        <v>Not Interested</v>
      </c>
      <c r="G1795" s="124" t="str">
        <f>IFERROR(__xludf.DUMMYFUNCTION("""COMPUTED_VALUE"""),"Other")</f>
        <v>Other</v>
      </c>
      <c r="K1795" s="124"/>
      <c r="L1795" s="124"/>
      <c r="M1795" s="124"/>
      <c r="N1795" s="124"/>
      <c r="O1795" s="124"/>
      <c r="T1795" s="126">
        <f>IFERROR(__xludf.DUMMYFUNCTION("""COMPUTED_VALUE"""),46087.0)</f>
        <v>46087</v>
      </c>
      <c r="U1795" s="124" t="str">
        <f>IFERROR(__xludf.DUMMYFUNCTION("""COMPUTED_VALUE"""),"Walk-Ins")</f>
        <v>Walk-Ins</v>
      </c>
      <c r="V1795" s="124" t="str">
        <f>IFERROR(__xludf.DUMMYFUNCTION("""COMPUTED_VALUE"""),"Walkin")</f>
        <v>Walkin</v>
      </c>
      <c r="W1795" s="124" t="str">
        <f>IFERROR(__xludf.DUMMYFUNCTION("""COMPUTED_VALUE"""),"Prayagraj")</f>
        <v>Prayagraj</v>
      </c>
      <c r="X1795" s="124" t="str">
        <f>IFERROR(__xludf.DUMMYFUNCTION("""COMPUTED_VALUE"""),"Walkin")</f>
        <v>Walkin</v>
      </c>
      <c r="Y1795" s="124" t="str">
        <f>IFERROR(__xludf.DUMMYFUNCTION("""COMPUTED_VALUE"""),"Prayagraj")</f>
        <v>Prayagraj</v>
      </c>
      <c r="Z1795" s="124">
        <f>IFERROR(__xludf.DUMMYFUNCTION("""COMPUTED_VALUE"""),2.0)</f>
        <v>2</v>
      </c>
      <c r="AA1795" s="124" t="str">
        <f>IFERROR(__xludf.DUMMYFUNCTION("""COMPUTED_VALUE"""),"Interested")</f>
        <v>Interested</v>
      </c>
      <c r="AB1795" s="124" t="str">
        <f>IFERROR(__xludf.DUMMYFUNCTION("""COMPUTED_VALUE"""),"GS Foundation")</f>
        <v>GS Foundation</v>
      </c>
    </row>
    <row r="1796">
      <c r="A1796" s="126">
        <f>IFERROR(__xludf.DUMMYFUNCTION("""COMPUTED_VALUE"""),46095.0)</f>
        <v>46095</v>
      </c>
      <c r="B1796" s="124" t="str">
        <f>IFERROR(__xludf.DUMMYFUNCTION("""COMPUTED_VALUE"""),"Walkin")</f>
        <v>Walkin</v>
      </c>
      <c r="C1796" s="124" t="str">
        <f>IFERROR(__xludf.DUMMYFUNCTION("""COMPUTED_VALUE"""),"Indore")</f>
        <v>Indore</v>
      </c>
      <c r="D1796" s="124" t="str">
        <f>IFERROR(__xludf.DUMMYFUNCTION("""COMPUTED_VALUE"""),"Primary_Walkin")</f>
        <v>Primary_Walkin</v>
      </c>
      <c r="E1796" s="124">
        <f>IFERROR(__xludf.DUMMYFUNCTION("""COMPUTED_VALUE"""),1.0)</f>
        <v>1</v>
      </c>
      <c r="F1796" s="124" t="str">
        <f>IFERROR(__xludf.DUMMYFUNCTION("""COMPUTED_VALUE"""),"Enrolled")</f>
        <v>Enrolled</v>
      </c>
      <c r="G1796" s="124" t="str">
        <f>IFERROR(__xludf.DUMMYFUNCTION("""COMPUTED_VALUE"""),"GS Foundation")</f>
        <v>GS Foundation</v>
      </c>
      <c r="K1796" s="124"/>
      <c r="L1796" s="124"/>
      <c r="M1796" s="124"/>
      <c r="N1796" s="124"/>
      <c r="O1796" s="124"/>
      <c r="T1796" s="126">
        <f>IFERROR(__xludf.DUMMYFUNCTION("""COMPUTED_VALUE"""),46043.0)</f>
        <v>46043</v>
      </c>
      <c r="U1796" s="124" t="str">
        <f>IFERROR(__xludf.DUMMYFUNCTION("""COMPUTED_VALUE"""),"Walk-Ins")</f>
        <v>Walk-Ins</v>
      </c>
      <c r="V1796" s="124" t="str">
        <f>IFERROR(__xludf.DUMMYFUNCTION("""COMPUTED_VALUE"""),"Walkin")</f>
        <v>Walkin</v>
      </c>
      <c r="W1796" s="124" t="str">
        <f>IFERROR(__xludf.DUMMYFUNCTION("""COMPUTED_VALUE"""),"Patna")</f>
        <v>Patna</v>
      </c>
      <c r="X1796" s="124" t="str">
        <f>IFERROR(__xludf.DUMMYFUNCTION("""COMPUTED_VALUE"""),"Walkin")</f>
        <v>Walkin</v>
      </c>
      <c r="Y1796" s="124" t="str">
        <f>IFERROR(__xludf.DUMMYFUNCTION("""COMPUTED_VALUE"""),"Delhi")</f>
        <v>Delhi</v>
      </c>
      <c r="Z1796" s="124">
        <f>IFERROR(__xludf.DUMMYFUNCTION("""COMPUTED_VALUE"""),1.0)</f>
        <v>1</v>
      </c>
      <c r="AA1796" s="124" t="str">
        <f>IFERROR(__xludf.DUMMYFUNCTION("""COMPUTED_VALUE"""),"Cold")</f>
        <v>Cold</v>
      </c>
      <c r="AB1796" s="124" t="str">
        <f>IFERROR(__xludf.DUMMYFUNCTION("""COMPUTED_VALUE"""),"State PCS")</f>
        <v>State PCS</v>
      </c>
    </row>
    <row r="1797">
      <c r="A1797" s="126">
        <f>IFERROR(__xludf.DUMMYFUNCTION("""COMPUTED_VALUE"""),46101.0)</f>
        <v>46101</v>
      </c>
      <c r="B1797" s="124" t="str">
        <f>IFERROR(__xludf.DUMMYFUNCTION("""COMPUTED_VALUE"""),"external leads")</f>
        <v>external leads</v>
      </c>
      <c r="C1797" s="124" t="str">
        <f>IFERROR(__xludf.DUMMYFUNCTION("""COMPUTED_VALUE"""),"Indore")</f>
        <v>Indore</v>
      </c>
      <c r="D1797" s="124" t="str">
        <f>IFERROR(__xludf.DUMMYFUNCTION("""COMPUTED_VALUE"""),"Secondary_Walkin")</f>
        <v>Secondary_Walkin</v>
      </c>
      <c r="E1797" s="124">
        <f>IFERROR(__xludf.DUMMYFUNCTION("""COMPUTED_VALUE"""),1.0)</f>
        <v>1</v>
      </c>
      <c r="F1797" s="124" t="str">
        <f>IFERROR(__xludf.DUMMYFUNCTION("""COMPUTED_VALUE"""),"Warm")</f>
        <v>Warm</v>
      </c>
      <c r="G1797" s="124" t="str">
        <f>IFERROR(__xludf.DUMMYFUNCTION("""COMPUTED_VALUE"""),"State PCS")</f>
        <v>State PCS</v>
      </c>
      <c r="K1797" s="124"/>
      <c r="L1797" s="124"/>
      <c r="M1797" s="124"/>
      <c r="N1797" s="124"/>
      <c r="O1797" s="124"/>
      <c r="T1797" s="129">
        <f>IFERROR(__xludf.DUMMYFUNCTION("""COMPUTED_VALUE"""),46102.0)</f>
        <v>46102</v>
      </c>
      <c r="U1797" s="124" t="str">
        <f>IFERROR(__xludf.DUMMYFUNCTION("""COMPUTED_VALUE"""),"Walk-Ins")</f>
        <v>Walk-Ins</v>
      </c>
      <c r="V1797" s="124" t="str">
        <f>IFERROR(__xludf.DUMMYFUNCTION("""COMPUTED_VALUE"""),"Walkin")</f>
        <v>Walkin</v>
      </c>
      <c r="W1797" s="124" t="str">
        <f>IFERROR(__xludf.DUMMYFUNCTION("""COMPUTED_VALUE"""),"Prayagraj")</f>
        <v>Prayagraj</v>
      </c>
      <c r="X1797" s="124" t="str">
        <f>IFERROR(__xludf.DUMMYFUNCTION("""COMPUTED_VALUE"""),"Walkin")</f>
        <v>Walkin</v>
      </c>
      <c r="Y1797" s="124" t="str">
        <f>IFERROR(__xludf.DUMMYFUNCTION("""COMPUTED_VALUE"""),"Prayagraj")</f>
        <v>Prayagraj</v>
      </c>
      <c r="Z1797" s="124">
        <f>IFERROR(__xludf.DUMMYFUNCTION("""COMPUTED_VALUE"""),1.0)</f>
        <v>1</v>
      </c>
      <c r="AA1797" s="124" t="str">
        <f>IFERROR(__xludf.DUMMYFUNCTION("""COMPUTED_VALUE"""),"Not Interested")</f>
        <v>Not Interested</v>
      </c>
      <c r="AB1797" s="124" t="str">
        <f>IFERROR(__xludf.DUMMYFUNCTION("""COMPUTED_VALUE"""),"GS Foundation")</f>
        <v>GS Foundation</v>
      </c>
    </row>
    <row r="1798">
      <c r="A1798" s="126">
        <f>IFERROR(__xludf.DUMMYFUNCTION("""COMPUTED_VALUE"""),46051.0)</f>
        <v>46051</v>
      </c>
      <c r="B1798" s="124" t="str">
        <f>IFERROR(__xludf.DUMMYFUNCTION("""COMPUTED_VALUE"""),"Walkin")</f>
        <v>Walkin</v>
      </c>
      <c r="C1798" s="124" t="str">
        <f>IFERROR(__xludf.DUMMYFUNCTION("""COMPUTED_VALUE"""),"Indore")</f>
        <v>Indore</v>
      </c>
      <c r="D1798" s="124" t="str">
        <f>IFERROR(__xludf.DUMMYFUNCTION("""COMPUTED_VALUE"""),"Primary_Walkin")</f>
        <v>Primary_Walkin</v>
      </c>
      <c r="E1798" s="124">
        <f>IFERROR(__xludf.DUMMYFUNCTION("""COMPUTED_VALUE"""),1.0)</f>
        <v>1</v>
      </c>
      <c r="F1798" s="124" t="str">
        <f>IFERROR(__xludf.DUMMYFUNCTION("""COMPUTED_VALUE"""),"Cold")</f>
        <v>Cold</v>
      </c>
      <c r="G1798" s="124" t="str">
        <f>IFERROR(__xludf.DUMMYFUNCTION("""COMPUTED_VALUE"""),"Test Series")</f>
        <v>Test Series</v>
      </c>
      <c r="K1798" s="124"/>
      <c r="L1798" s="124"/>
      <c r="M1798" s="124"/>
      <c r="N1798" s="124"/>
      <c r="O1798" s="124"/>
      <c r="T1798" s="129">
        <f>IFERROR(__xludf.DUMMYFUNCTION("""COMPUTED_VALUE"""),46061.0)</f>
        <v>46061</v>
      </c>
      <c r="U1798" s="124" t="str">
        <f>IFERROR(__xludf.DUMMYFUNCTION("""COMPUTED_VALUE"""),"Walk-Ins")</f>
        <v>Walk-Ins</v>
      </c>
      <c r="V1798" s="124" t="str">
        <f>IFERROR(__xludf.DUMMYFUNCTION("""COMPUTED_VALUE"""),"Walkin")</f>
        <v>Walkin</v>
      </c>
      <c r="W1798" s="124" t="str">
        <f>IFERROR(__xludf.DUMMYFUNCTION("""COMPUTED_VALUE"""),"Patna")</f>
        <v>Patna</v>
      </c>
      <c r="X1798" s="124" t="str">
        <f>IFERROR(__xludf.DUMMYFUNCTION("""COMPUTED_VALUE"""),"Walkin")</f>
        <v>Walkin</v>
      </c>
      <c r="Y1798" s="124" t="str">
        <f>IFERROR(__xludf.DUMMYFUNCTION("""COMPUTED_VALUE"""),"Patna")</f>
        <v>Patna</v>
      </c>
      <c r="Z1798" s="124">
        <f>IFERROR(__xludf.DUMMYFUNCTION("""COMPUTED_VALUE"""),2.0)</f>
        <v>2</v>
      </c>
      <c r="AA1798" s="124" t="str">
        <f>IFERROR(__xludf.DUMMYFUNCTION("""COMPUTED_VALUE"""),"Enrolled")</f>
        <v>Enrolled</v>
      </c>
      <c r="AB1798" s="124" t="str">
        <f>IFERROR(__xludf.DUMMYFUNCTION("""COMPUTED_VALUE"""),"State PCS")</f>
        <v>State PCS</v>
      </c>
    </row>
    <row r="1799">
      <c r="A1799" s="126">
        <f>IFERROR(__xludf.DUMMYFUNCTION("""COMPUTED_VALUE"""),46069.0)</f>
        <v>46069</v>
      </c>
      <c r="B1799" s="124" t="str">
        <f>IFERROR(__xludf.DUMMYFUNCTION("""COMPUTED_VALUE"""),"Walkin")</f>
        <v>Walkin</v>
      </c>
      <c r="C1799" s="124" t="str">
        <f>IFERROR(__xludf.DUMMYFUNCTION("""COMPUTED_VALUE"""),"Indore")</f>
        <v>Indore</v>
      </c>
      <c r="D1799" s="124" t="str">
        <f>IFERROR(__xludf.DUMMYFUNCTION("""COMPUTED_VALUE"""),"Primary_Walkin")</f>
        <v>Primary_Walkin</v>
      </c>
      <c r="E1799" s="124">
        <f>IFERROR(__xludf.DUMMYFUNCTION("""COMPUTED_VALUE"""),1.0)</f>
        <v>1</v>
      </c>
      <c r="F1799" s="124" t="str">
        <f>IFERROR(__xludf.DUMMYFUNCTION("""COMPUTED_VALUE"""),"Not Interested")</f>
        <v>Not Interested</v>
      </c>
      <c r="G1799" s="124" t="str">
        <f>IFERROR(__xludf.DUMMYFUNCTION("""COMPUTED_VALUE"""),"Other")</f>
        <v>Other</v>
      </c>
      <c r="K1799" s="124"/>
      <c r="L1799" s="124"/>
      <c r="M1799" s="124"/>
      <c r="N1799" s="124"/>
      <c r="O1799" s="124"/>
      <c r="T1799" s="126">
        <f>IFERROR(__xludf.DUMMYFUNCTION("""COMPUTED_VALUE"""),46050.0)</f>
        <v>46050</v>
      </c>
      <c r="U1799" s="124" t="str">
        <f>IFERROR(__xludf.DUMMYFUNCTION("""COMPUTED_VALUE"""),"Walk-Ins")</f>
        <v>Walk-Ins</v>
      </c>
      <c r="V1799" s="124" t="str">
        <f>IFERROR(__xludf.DUMMYFUNCTION("""COMPUTED_VALUE"""),"Walkin")</f>
        <v>Walkin</v>
      </c>
      <c r="W1799" s="124" t="str">
        <f>IFERROR(__xludf.DUMMYFUNCTION("""COMPUTED_VALUE"""),"Indore")</f>
        <v>Indore</v>
      </c>
      <c r="X1799" s="124" t="str">
        <f>IFERROR(__xludf.DUMMYFUNCTION("""COMPUTED_VALUE"""),"Walkin")</f>
        <v>Walkin</v>
      </c>
      <c r="Y1799" s="124" t="str">
        <f>IFERROR(__xludf.DUMMYFUNCTION("""COMPUTED_VALUE"""),"Indore")</f>
        <v>Indore</v>
      </c>
      <c r="Z1799" s="124">
        <f>IFERROR(__xludf.DUMMYFUNCTION("""COMPUTED_VALUE"""),1.0)</f>
        <v>1</v>
      </c>
      <c r="AA1799" s="124" t="str">
        <f>IFERROR(__xludf.DUMMYFUNCTION("""COMPUTED_VALUE"""),"Not Interested")</f>
        <v>Not Interested</v>
      </c>
      <c r="AB1799" s="124" t="str">
        <f>IFERROR(__xludf.DUMMYFUNCTION("""COMPUTED_VALUE"""),"Mentorship")</f>
        <v>Mentorship</v>
      </c>
    </row>
    <row r="1800">
      <c r="A1800" s="126">
        <f>IFERROR(__xludf.DUMMYFUNCTION("""COMPUTED_VALUE"""),46109.0)</f>
        <v>46109</v>
      </c>
      <c r="B1800" s="124" t="str">
        <f>IFERROR(__xludf.DUMMYFUNCTION("""COMPUTED_VALUE"""),"Walkin")</f>
        <v>Walkin</v>
      </c>
      <c r="C1800" s="124" t="str">
        <f>IFERROR(__xludf.DUMMYFUNCTION("""COMPUTED_VALUE"""),"Indore")</f>
        <v>Indore</v>
      </c>
      <c r="D1800" s="124" t="str">
        <f>IFERROR(__xludf.DUMMYFUNCTION("""COMPUTED_VALUE"""),"Primary_Walkin")</f>
        <v>Primary_Walkin</v>
      </c>
      <c r="E1800" s="124">
        <f>IFERROR(__xludf.DUMMYFUNCTION("""COMPUTED_VALUE"""),1.0)</f>
        <v>1</v>
      </c>
      <c r="F1800" s="124" t="str">
        <f>IFERROR(__xludf.DUMMYFUNCTION("""COMPUTED_VALUE"""),"Warm")</f>
        <v>Warm</v>
      </c>
      <c r="G1800" s="124" t="str">
        <f>IFERROR(__xludf.DUMMYFUNCTION("""COMPUTED_VALUE"""),"GS Foundation")</f>
        <v>GS Foundation</v>
      </c>
      <c r="K1800" s="124"/>
      <c r="L1800" s="124"/>
      <c r="M1800" s="124"/>
      <c r="N1800" s="124"/>
      <c r="O1800" s="124"/>
      <c r="T1800" s="129">
        <f>IFERROR(__xludf.DUMMYFUNCTION("""COMPUTED_VALUE"""),46077.0)</f>
        <v>46077</v>
      </c>
      <c r="U1800" s="124" t="str">
        <f>IFERROR(__xludf.DUMMYFUNCTION("""COMPUTED_VALUE"""),"Walk-Ins")</f>
        <v>Walk-Ins</v>
      </c>
      <c r="V1800" s="124" t="str">
        <f>IFERROR(__xludf.DUMMYFUNCTION("""COMPUTED_VALUE"""),"Walkin")</f>
        <v>Walkin</v>
      </c>
      <c r="W1800" s="124" t="str">
        <f>IFERROR(__xludf.DUMMYFUNCTION("""COMPUTED_VALUE"""),"Patna")</f>
        <v>Patna</v>
      </c>
      <c r="X1800" s="124" t="str">
        <f>IFERROR(__xludf.DUMMYFUNCTION("""COMPUTED_VALUE"""),"Walkin")</f>
        <v>Walkin</v>
      </c>
      <c r="Y1800" s="124" t="str">
        <f>IFERROR(__xludf.DUMMYFUNCTION("""COMPUTED_VALUE"""),"Patna")</f>
        <v>Patna</v>
      </c>
      <c r="Z1800" s="124">
        <f>IFERROR(__xludf.DUMMYFUNCTION("""COMPUTED_VALUE"""),1.0)</f>
        <v>1</v>
      </c>
      <c r="AA1800" s="124" t="str">
        <f>IFERROR(__xludf.DUMMYFUNCTION("""COMPUTED_VALUE"""),"Enrolled")</f>
        <v>Enrolled</v>
      </c>
      <c r="AB1800" s="124" t="str">
        <f>IFERROR(__xludf.DUMMYFUNCTION("""COMPUTED_VALUE"""),"Test Series")</f>
        <v>Test Series</v>
      </c>
    </row>
    <row r="1801">
      <c r="A1801" s="126">
        <f>IFERROR(__xludf.DUMMYFUNCTION("""COMPUTED_VALUE"""),46109.0)</f>
        <v>46109</v>
      </c>
      <c r="B1801" s="124" t="str">
        <f>IFERROR(__xludf.DUMMYFUNCTION("""COMPUTED_VALUE"""),"Walkin")</f>
        <v>Walkin</v>
      </c>
      <c r="C1801" s="124" t="str">
        <f>IFERROR(__xludf.DUMMYFUNCTION("""COMPUTED_VALUE"""),"Indore")</f>
        <v>Indore</v>
      </c>
      <c r="D1801" s="124" t="str">
        <f>IFERROR(__xludf.DUMMYFUNCTION("""COMPUTED_VALUE"""),"Primary_Walkin")</f>
        <v>Primary_Walkin</v>
      </c>
      <c r="E1801" s="124">
        <f>IFERROR(__xludf.DUMMYFUNCTION("""COMPUTED_VALUE"""),1.0)</f>
        <v>1</v>
      </c>
      <c r="F1801" s="124" t="str">
        <f>IFERROR(__xludf.DUMMYFUNCTION("""COMPUTED_VALUE"""),"Future Prospects")</f>
        <v>Future Prospects</v>
      </c>
      <c r="G1801" s="124" t="str">
        <f>IFERROR(__xludf.DUMMYFUNCTION("""COMPUTED_VALUE"""),"GS Foundation")</f>
        <v>GS Foundation</v>
      </c>
      <c r="K1801" s="124"/>
      <c r="L1801" s="124"/>
      <c r="M1801" s="124"/>
      <c r="N1801" s="124"/>
      <c r="O1801" s="124"/>
      <c r="T1801" s="126">
        <f>IFERROR(__xludf.DUMMYFUNCTION("""COMPUTED_VALUE"""),46103.0)</f>
        <v>46103</v>
      </c>
      <c r="U1801" s="124" t="str">
        <f>IFERROR(__xludf.DUMMYFUNCTION("""COMPUTED_VALUE"""),"Walk-Ins")</f>
        <v>Walk-Ins</v>
      </c>
      <c r="V1801" s="124" t="str">
        <f>IFERROR(__xludf.DUMMYFUNCTION("""COMPUTED_VALUE"""),"Walkin")</f>
        <v>Walkin</v>
      </c>
      <c r="W1801" s="124" t="str">
        <f>IFERROR(__xludf.DUMMYFUNCTION("""COMPUTED_VALUE"""),"Prayagraj")</f>
        <v>Prayagraj</v>
      </c>
      <c r="X1801" s="124" t="str">
        <f>IFERROR(__xludf.DUMMYFUNCTION("""COMPUTED_VALUE"""),"Walkin")</f>
        <v>Walkin</v>
      </c>
      <c r="Y1801" s="124" t="str">
        <f>IFERROR(__xludf.DUMMYFUNCTION("""COMPUTED_VALUE"""),"Prayagraj")</f>
        <v>Prayagraj</v>
      </c>
      <c r="Z1801" s="124">
        <f>IFERROR(__xludf.DUMMYFUNCTION("""COMPUTED_VALUE"""),1.0)</f>
        <v>1</v>
      </c>
      <c r="AA1801" s="124" t="str">
        <f>IFERROR(__xludf.DUMMYFUNCTION("""COMPUTED_VALUE"""),"Cold")</f>
        <v>Cold</v>
      </c>
      <c r="AB1801" s="124" t="str">
        <f>IFERROR(__xludf.DUMMYFUNCTION("""COMPUTED_VALUE"""),"CSAT")</f>
        <v>CSAT</v>
      </c>
    </row>
    <row r="1802">
      <c r="A1802" s="126">
        <f>IFERROR(__xludf.DUMMYFUNCTION("""COMPUTED_VALUE"""),46050.0)</f>
        <v>46050</v>
      </c>
      <c r="B1802" s="124" t="str">
        <f>IFERROR(__xludf.DUMMYFUNCTION("""COMPUTED_VALUE"""),"Walkin")</f>
        <v>Walkin</v>
      </c>
      <c r="C1802" s="124" t="str">
        <f>IFERROR(__xludf.DUMMYFUNCTION("""COMPUTED_VALUE"""),"Indore")</f>
        <v>Indore</v>
      </c>
      <c r="D1802" s="124" t="str">
        <f>IFERROR(__xludf.DUMMYFUNCTION("""COMPUTED_VALUE"""),"Primary_Walkin")</f>
        <v>Primary_Walkin</v>
      </c>
      <c r="E1802" s="124">
        <f>IFERROR(__xludf.DUMMYFUNCTION("""COMPUTED_VALUE"""),1.0)</f>
        <v>1</v>
      </c>
      <c r="F1802" s="124" t="str">
        <f>IFERROR(__xludf.DUMMYFUNCTION("""COMPUTED_VALUE"""),"Not Interested")</f>
        <v>Not Interested</v>
      </c>
      <c r="G1802" s="124" t="str">
        <f>IFERROR(__xludf.DUMMYFUNCTION("""COMPUTED_VALUE"""),"State PCS")</f>
        <v>State PCS</v>
      </c>
      <c r="K1802" s="124"/>
      <c r="L1802" s="124"/>
      <c r="M1802" s="124"/>
      <c r="N1802" s="124"/>
      <c r="O1802" s="124"/>
      <c r="T1802" s="129">
        <f>IFERROR(__xludf.DUMMYFUNCTION("""COMPUTED_VALUE"""),46099.0)</f>
        <v>46099</v>
      </c>
      <c r="U1802" s="124" t="str">
        <f>IFERROR(__xludf.DUMMYFUNCTION("""COMPUTED_VALUE"""),"Walk-Ins")</f>
        <v>Walk-Ins</v>
      </c>
      <c r="V1802" s="124" t="str">
        <f>IFERROR(__xludf.DUMMYFUNCTION("""COMPUTED_VALUE"""),"Walkin")</f>
        <v>Walkin</v>
      </c>
      <c r="W1802" s="124" t="str">
        <f>IFERROR(__xludf.DUMMYFUNCTION("""COMPUTED_VALUE"""),"Patna")</f>
        <v>Patna</v>
      </c>
      <c r="X1802" s="124" t="str">
        <f>IFERROR(__xludf.DUMMYFUNCTION("""COMPUTED_VALUE"""),"Walkin")</f>
        <v>Walkin</v>
      </c>
      <c r="Y1802" s="124" t="str">
        <f>IFERROR(__xludf.DUMMYFUNCTION("""COMPUTED_VALUE"""),"Patna")</f>
        <v>Patna</v>
      </c>
      <c r="Z1802" s="124">
        <f>IFERROR(__xludf.DUMMYFUNCTION("""COMPUTED_VALUE"""),1.0)</f>
        <v>1</v>
      </c>
      <c r="AA1802" s="124" t="str">
        <f>IFERROR(__xludf.DUMMYFUNCTION("""COMPUTED_VALUE"""),"Warm")</f>
        <v>Warm</v>
      </c>
      <c r="AB1802" s="124" t="str">
        <f>IFERROR(__xludf.DUMMYFUNCTION("""COMPUTED_VALUE"""),"Test Series")</f>
        <v>Test Series</v>
      </c>
    </row>
    <row r="1803">
      <c r="A1803" s="129">
        <f>IFERROR(__xludf.DUMMYFUNCTION("""COMPUTED_VALUE"""),46087.0)</f>
        <v>46087</v>
      </c>
      <c r="B1803" s="124" t="str">
        <f>IFERROR(__xludf.DUMMYFUNCTION("""COMPUTED_VALUE"""),"Walkin")</f>
        <v>Walkin</v>
      </c>
      <c r="C1803" s="124" t="str">
        <f>IFERROR(__xludf.DUMMYFUNCTION("""COMPUTED_VALUE"""),"Indore")</f>
        <v>Indore</v>
      </c>
      <c r="D1803" s="124" t="str">
        <f>IFERROR(__xludf.DUMMYFUNCTION("""COMPUTED_VALUE"""),"Primary_Walkin")</f>
        <v>Primary_Walkin</v>
      </c>
      <c r="E1803" s="124">
        <f>IFERROR(__xludf.DUMMYFUNCTION("""COMPUTED_VALUE"""),1.0)</f>
        <v>1</v>
      </c>
      <c r="F1803" s="124" t="str">
        <f>IFERROR(__xludf.DUMMYFUNCTION("""COMPUTED_VALUE"""),"Cold")</f>
        <v>Cold</v>
      </c>
      <c r="G1803" s="124" t="str">
        <f>IFERROR(__xludf.DUMMYFUNCTION("""COMPUTED_VALUE"""),"Mentorship")</f>
        <v>Mentorship</v>
      </c>
      <c r="K1803" s="124"/>
      <c r="L1803" s="124"/>
      <c r="M1803" s="124"/>
      <c r="N1803" s="124"/>
      <c r="O1803" s="124"/>
      <c r="T1803" s="126">
        <f>IFERROR(__xludf.DUMMYFUNCTION("""COMPUTED_VALUE"""),46090.0)</f>
        <v>46090</v>
      </c>
      <c r="U1803" s="124" t="str">
        <f>IFERROR(__xludf.DUMMYFUNCTION("""COMPUTED_VALUE"""),"Paid Ads")</f>
        <v>Paid Ads</v>
      </c>
      <c r="V1803" s="124" t="str">
        <f>IFERROR(__xludf.DUMMYFUNCTION("""COMPUTED_VALUE"""),"facebook")</f>
        <v>facebook</v>
      </c>
      <c r="W1803" s="124" t="str">
        <f>IFERROR(__xludf.DUMMYFUNCTION("""COMPUTED_VALUE"""),"delhi")</f>
        <v>delhi</v>
      </c>
      <c r="X1803" s="124" t="str">
        <f>IFERROR(__xludf.DUMMYFUNCTION("""COMPUTED_VALUE"""),"meta")</f>
        <v>meta</v>
      </c>
      <c r="Y1803" s="124" t="str">
        <f>IFERROR(__xludf.DUMMYFUNCTION("""COMPUTED_VALUE"""),"Delhi")</f>
        <v>Delhi</v>
      </c>
      <c r="Z1803" s="124">
        <f>IFERROR(__xludf.DUMMYFUNCTION("""COMPUTED_VALUE"""),1.0)</f>
        <v>1</v>
      </c>
      <c r="AA1803" s="124" t="str">
        <f>IFERROR(__xludf.DUMMYFUNCTION("""COMPUTED_VALUE"""),"Not Interested")</f>
        <v>Not Interested</v>
      </c>
      <c r="AB1803" s="124"/>
    </row>
    <row r="1804">
      <c r="A1804" s="126">
        <f>IFERROR(__xludf.DUMMYFUNCTION("""COMPUTED_VALUE"""),46096.0)</f>
        <v>46096</v>
      </c>
      <c r="B1804" s="124" t="str">
        <f>IFERROR(__xludf.DUMMYFUNCTION("""COMPUTED_VALUE"""),"Walkin")</f>
        <v>Walkin</v>
      </c>
      <c r="C1804" s="124" t="str">
        <f>IFERROR(__xludf.DUMMYFUNCTION("""COMPUTED_VALUE"""),"Lucknow")</f>
        <v>Lucknow</v>
      </c>
      <c r="D1804" s="124" t="str">
        <f>IFERROR(__xludf.DUMMYFUNCTION("""COMPUTED_VALUE"""),"Primary_Walkin")</f>
        <v>Primary_Walkin</v>
      </c>
      <c r="E1804" s="124">
        <f>IFERROR(__xludf.DUMMYFUNCTION("""COMPUTED_VALUE"""),1.0)</f>
        <v>1</v>
      </c>
      <c r="F1804" s="124" t="str">
        <f>IFERROR(__xludf.DUMMYFUNCTION("""COMPUTED_VALUE"""),"Cold")</f>
        <v>Cold</v>
      </c>
      <c r="G1804" s="124" t="str">
        <f>IFERROR(__xludf.DUMMYFUNCTION("""COMPUTED_VALUE"""),"GS Foundation")</f>
        <v>GS Foundation</v>
      </c>
      <c r="K1804" s="124"/>
      <c r="L1804" s="124"/>
      <c r="M1804" s="124"/>
      <c r="N1804" s="124"/>
      <c r="O1804" s="124"/>
      <c r="T1804" s="129">
        <f>IFERROR(__xludf.DUMMYFUNCTION("""COMPUTED_VALUE"""),46101.0)</f>
        <v>46101</v>
      </c>
      <c r="U1804" s="124" t="str">
        <f>IFERROR(__xludf.DUMMYFUNCTION("""COMPUTED_VALUE"""),"Walk-Ins")</f>
        <v>Walk-Ins</v>
      </c>
      <c r="V1804" s="124" t="str">
        <f>IFERROR(__xludf.DUMMYFUNCTION("""COMPUTED_VALUE"""),"Walkin")</f>
        <v>Walkin</v>
      </c>
      <c r="W1804" s="124" t="str">
        <f>IFERROR(__xludf.DUMMYFUNCTION("""COMPUTED_VALUE"""),"Patna")</f>
        <v>Patna</v>
      </c>
      <c r="X1804" s="124" t="str">
        <f>IFERROR(__xludf.DUMMYFUNCTION("""COMPUTED_VALUE"""),"Walkin")</f>
        <v>Walkin</v>
      </c>
      <c r="Y1804" s="124" t="str">
        <f>IFERROR(__xludf.DUMMYFUNCTION("""COMPUTED_VALUE"""),"Patna")</f>
        <v>Patna</v>
      </c>
      <c r="Z1804" s="124">
        <f>IFERROR(__xludf.DUMMYFUNCTION("""COMPUTED_VALUE"""),3.0)</f>
        <v>3</v>
      </c>
      <c r="AA1804" s="124" t="str">
        <f>IFERROR(__xludf.DUMMYFUNCTION("""COMPUTED_VALUE"""),"Cold")</f>
        <v>Cold</v>
      </c>
      <c r="AB1804" s="124" t="str">
        <f>IFERROR(__xludf.DUMMYFUNCTION("""COMPUTED_VALUE"""),"State PCS")</f>
        <v>State PCS</v>
      </c>
    </row>
    <row r="1805">
      <c r="A1805" s="129">
        <f>IFERROR(__xludf.DUMMYFUNCTION("""COMPUTED_VALUE"""),46060.0)</f>
        <v>46060</v>
      </c>
      <c r="B1805" s="124" t="str">
        <f>IFERROR(__xludf.DUMMYFUNCTION("""COMPUTED_VALUE"""),"Walkin")</f>
        <v>Walkin</v>
      </c>
      <c r="C1805" s="124" t="str">
        <f>IFERROR(__xludf.DUMMYFUNCTION("""COMPUTED_VALUE"""),"Lucknow")</f>
        <v>Lucknow</v>
      </c>
      <c r="D1805" s="124" t="str">
        <f>IFERROR(__xludf.DUMMYFUNCTION("""COMPUTED_VALUE"""),"Primary_Walkin")</f>
        <v>Primary_Walkin</v>
      </c>
      <c r="E1805" s="124">
        <f>IFERROR(__xludf.DUMMYFUNCTION("""COMPUTED_VALUE"""),2.0)</f>
        <v>2</v>
      </c>
      <c r="F1805" s="124" t="str">
        <f>IFERROR(__xludf.DUMMYFUNCTION("""COMPUTED_VALUE"""),"Cold")</f>
        <v>Cold</v>
      </c>
      <c r="G1805" s="124" t="str">
        <f>IFERROR(__xludf.DUMMYFUNCTION("""COMPUTED_VALUE"""),"IGP UPPSC")</f>
        <v>IGP UPPSC</v>
      </c>
      <c r="K1805" s="124"/>
      <c r="L1805" s="124"/>
      <c r="M1805" s="124"/>
      <c r="N1805" s="124"/>
      <c r="O1805" s="124"/>
      <c r="T1805" s="126">
        <f>IFERROR(__xludf.DUMMYFUNCTION("""COMPUTED_VALUE"""),46046.0)</f>
        <v>46046</v>
      </c>
      <c r="U1805" s="124" t="str">
        <f>IFERROR(__xludf.DUMMYFUNCTION("""COMPUTED_VALUE"""),"Walk-Ins")</f>
        <v>Walk-Ins</v>
      </c>
      <c r="V1805" s="124" t="str">
        <f>IFERROR(__xludf.DUMMYFUNCTION("""COMPUTED_VALUE"""),"Walkin")</f>
        <v>Walkin</v>
      </c>
      <c r="W1805" s="124" t="str">
        <f>IFERROR(__xludf.DUMMYFUNCTION("""COMPUTED_VALUE"""),"Prayagraj")</f>
        <v>Prayagraj</v>
      </c>
      <c r="X1805" s="124" t="str">
        <f>IFERROR(__xludf.DUMMYFUNCTION("""COMPUTED_VALUE"""),"Walkin")</f>
        <v>Walkin</v>
      </c>
      <c r="Y1805" s="124" t="str">
        <f>IFERROR(__xludf.DUMMYFUNCTION("""COMPUTED_VALUE"""),"Prayagraj")</f>
        <v>Prayagraj</v>
      </c>
      <c r="Z1805" s="124">
        <f>IFERROR(__xludf.DUMMYFUNCTION("""COMPUTED_VALUE"""),4.0)</f>
        <v>4</v>
      </c>
      <c r="AA1805" s="124" t="str">
        <f>IFERROR(__xludf.DUMMYFUNCTION("""COMPUTED_VALUE"""),"Cold")</f>
        <v>Cold</v>
      </c>
      <c r="AB1805" s="124" t="str">
        <f>IFERROR(__xludf.DUMMYFUNCTION("""COMPUTED_VALUE"""),"GS Foundation")</f>
        <v>GS Foundation</v>
      </c>
    </row>
    <row r="1806">
      <c r="A1806" s="129">
        <f>IFERROR(__xludf.DUMMYFUNCTION("""COMPUTED_VALUE"""),46058.0)</f>
        <v>46058</v>
      </c>
      <c r="B1806" s="124" t="str">
        <f>IFERROR(__xludf.DUMMYFUNCTION("""COMPUTED_VALUE"""),"Walkin")</f>
        <v>Walkin</v>
      </c>
      <c r="C1806" s="124" t="str">
        <f>IFERROR(__xludf.DUMMYFUNCTION("""COMPUTED_VALUE"""),"Indore")</f>
        <v>Indore</v>
      </c>
      <c r="D1806" s="124" t="str">
        <f>IFERROR(__xludf.DUMMYFUNCTION("""COMPUTED_VALUE"""),"Primary_Walkin")</f>
        <v>Primary_Walkin</v>
      </c>
      <c r="E1806" s="124">
        <f>IFERROR(__xludf.DUMMYFUNCTION("""COMPUTED_VALUE"""),1.0)</f>
        <v>1</v>
      </c>
      <c r="F1806" s="124" t="str">
        <f>IFERROR(__xludf.DUMMYFUNCTION("""COMPUTED_VALUE"""),"Not Interested")</f>
        <v>Not Interested</v>
      </c>
      <c r="G1806" s="124" t="str">
        <f>IFERROR(__xludf.DUMMYFUNCTION("""COMPUTED_VALUE"""),"Mentorship")</f>
        <v>Mentorship</v>
      </c>
      <c r="K1806" s="124"/>
      <c r="L1806" s="124"/>
      <c r="M1806" s="124"/>
      <c r="N1806" s="124"/>
      <c r="O1806" s="124"/>
      <c r="T1806" s="126">
        <f>IFERROR(__xludf.DUMMYFUNCTION("""COMPUTED_VALUE"""),46053.0)</f>
        <v>46053</v>
      </c>
      <c r="U1806" s="124" t="str">
        <f>IFERROR(__xludf.DUMMYFUNCTION("""COMPUTED_VALUE"""),"Walk-Ins")</f>
        <v>Walk-Ins</v>
      </c>
      <c r="V1806" s="124" t="str">
        <f>IFERROR(__xludf.DUMMYFUNCTION("""COMPUTED_VALUE"""),"Walkin")</f>
        <v>Walkin</v>
      </c>
      <c r="W1806" s="124" t="str">
        <f>IFERROR(__xludf.DUMMYFUNCTION("""COMPUTED_VALUE"""),"Patna")</f>
        <v>Patna</v>
      </c>
      <c r="X1806" s="124" t="str">
        <f>IFERROR(__xludf.DUMMYFUNCTION("""COMPUTED_VALUE"""),"Walkin")</f>
        <v>Walkin</v>
      </c>
      <c r="Y1806" s="124" t="str">
        <f>IFERROR(__xludf.DUMMYFUNCTION("""COMPUTED_VALUE"""),"Patna")</f>
        <v>Patna</v>
      </c>
      <c r="Z1806" s="124">
        <f>IFERROR(__xludf.DUMMYFUNCTION("""COMPUTED_VALUE"""),1.0)</f>
        <v>1</v>
      </c>
      <c r="AA1806" s="124" t="str">
        <f>IFERROR(__xludf.DUMMYFUNCTION("""COMPUTED_VALUE"""),"Future Prospects")</f>
        <v>Future Prospects</v>
      </c>
      <c r="AB1806" s="124" t="str">
        <f>IFERROR(__xludf.DUMMYFUNCTION("""COMPUTED_VALUE"""),"State PCS")</f>
        <v>State PCS</v>
      </c>
    </row>
    <row r="1807">
      <c r="A1807" s="126">
        <f>IFERROR(__xludf.DUMMYFUNCTION("""COMPUTED_VALUE"""),46103.0)</f>
        <v>46103</v>
      </c>
      <c r="B1807" s="124" t="str">
        <f>IFERROR(__xludf.DUMMYFUNCTION("""COMPUTED_VALUE"""),"Walkin")</f>
        <v>Walkin</v>
      </c>
      <c r="C1807" s="124" t="str">
        <f>IFERROR(__xludf.DUMMYFUNCTION("""COMPUTED_VALUE"""),"Indore")</f>
        <v>Indore</v>
      </c>
      <c r="D1807" s="124" t="str">
        <f>IFERROR(__xludf.DUMMYFUNCTION("""COMPUTED_VALUE"""),"Primary_Walkin")</f>
        <v>Primary_Walkin</v>
      </c>
      <c r="E1807" s="124">
        <f>IFERROR(__xludf.DUMMYFUNCTION("""COMPUTED_VALUE"""),1.0)</f>
        <v>1</v>
      </c>
      <c r="F1807" s="124" t="str">
        <f>IFERROR(__xludf.DUMMYFUNCTION("""COMPUTED_VALUE"""),"Interested")</f>
        <v>Interested</v>
      </c>
      <c r="G1807" s="124" t="str">
        <f>IFERROR(__xludf.DUMMYFUNCTION("""COMPUTED_VALUE"""),"GS Foundation")</f>
        <v>GS Foundation</v>
      </c>
      <c r="K1807" s="124"/>
      <c r="L1807" s="124"/>
      <c r="M1807" s="124"/>
      <c r="N1807" s="124"/>
      <c r="O1807" s="124"/>
      <c r="T1807" s="129">
        <f>IFERROR(__xludf.DUMMYFUNCTION("""COMPUTED_VALUE"""),46091.0)</f>
        <v>46091</v>
      </c>
      <c r="U1807" s="124" t="str">
        <f>IFERROR(__xludf.DUMMYFUNCTION("""COMPUTED_VALUE"""),"Walk-Ins")</f>
        <v>Walk-Ins</v>
      </c>
      <c r="V1807" s="124" t="str">
        <f>IFERROR(__xludf.DUMMYFUNCTION("""COMPUTED_VALUE"""),"Walkin")</f>
        <v>Walkin</v>
      </c>
      <c r="W1807" s="124" t="str">
        <f>IFERROR(__xludf.DUMMYFUNCTION("""COMPUTED_VALUE"""),"Prayagraj")</f>
        <v>Prayagraj</v>
      </c>
      <c r="X1807" s="124" t="str">
        <f>IFERROR(__xludf.DUMMYFUNCTION("""COMPUTED_VALUE"""),"Walkin")</f>
        <v>Walkin</v>
      </c>
      <c r="Y1807" s="124" t="str">
        <f>IFERROR(__xludf.DUMMYFUNCTION("""COMPUTED_VALUE"""),"Prayagraj")</f>
        <v>Prayagraj</v>
      </c>
      <c r="Z1807" s="124">
        <f>IFERROR(__xludf.DUMMYFUNCTION("""COMPUTED_VALUE"""),2.0)</f>
        <v>2</v>
      </c>
      <c r="AA1807" s="124" t="str">
        <f>IFERROR(__xludf.DUMMYFUNCTION("""COMPUTED_VALUE"""),"Future Prospects")</f>
        <v>Future Prospects</v>
      </c>
      <c r="AB1807" s="124" t="str">
        <f>IFERROR(__xludf.DUMMYFUNCTION("""COMPUTED_VALUE"""),"GS Foundation")</f>
        <v>GS Foundation</v>
      </c>
    </row>
    <row r="1808">
      <c r="A1808" s="126">
        <f>IFERROR(__xludf.DUMMYFUNCTION("""COMPUTED_VALUE"""),46092.0)</f>
        <v>46092</v>
      </c>
      <c r="B1808" s="124" t="str">
        <f>IFERROR(__xludf.DUMMYFUNCTION("""COMPUTED_VALUE"""),"Walkin")</f>
        <v>Walkin</v>
      </c>
      <c r="C1808" s="124" t="str">
        <f>IFERROR(__xludf.DUMMYFUNCTION("""COMPUTED_VALUE"""),"Indore")</f>
        <v>Indore</v>
      </c>
      <c r="D1808" s="124" t="str">
        <f>IFERROR(__xludf.DUMMYFUNCTION("""COMPUTED_VALUE"""),"Primary_Walkin")</f>
        <v>Primary_Walkin</v>
      </c>
      <c r="E1808" s="124">
        <f>IFERROR(__xludf.DUMMYFUNCTION("""COMPUTED_VALUE"""),1.0)</f>
        <v>1</v>
      </c>
      <c r="F1808" s="124" t="str">
        <f>IFERROR(__xludf.DUMMYFUNCTION("""COMPUTED_VALUE"""),"Fake Lead")</f>
        <v>Fake Lead</v>
      </c>
      <c r="G1808" s="124" t="str">
        <f>IFERROR(__xludf.DUMMYFUNCTION("""COMPUTED_VALUE"""),"State PCS")</f>
        <v>State PCS</v>
      </c>
      <c r="K1808" s="124"/>
      <c r="L1808" s="124"/>
      <c r="M1808" s="124"/>
      <c r="N1808" s="124"/>
      <c r="O1808" s="124"/>
      <c r="T1808" s="126">
        <f>IFERROR(__xludf.DUMMYFUNCTION("""COMPUTED_VALUE"""),46092.0)</f>
        <v>46092</v>
      </c>
      <c r="U1808" s="124" t="str">
        <f>IFERROR(__xludf.DUMMYFUNCTION("""COMPUTED_VALUE"""),"Walk-Ins")</f>
        <v>Walk-Ins</v>
      </c>
      <c r="V1808" s="124" t="str">
        <f>IFERROR(__xludf.DUMMYFUNCTION("""COMPUTED_VALUE"""),"Walkin")</f>
        <v>Walkin</v>
      </c>
      <c r="W1808" s="124" t="str">
        <f>IFERROR(__xludf.DUMMYFUNCTION("""COMPUTED_VALUE"""),"Prayagraj")</f>
        <v>Prayagraj</v>
      </c>
      <c r="X1808" s="124" t="str">
        <f>IFERROR(__xludf.DUMMYFUNCTION("""COMPUTED_VALUE"""),"Walkin")</f>
        <v>Walkin</v>
      </c>
      <c r="Y1808" s="124" t="str">
        <f>IFERROR(__xludf.DUMMYFUNCTION("""COMPUTED_VALUE"""),"Prayagraj")</f>
        <v>Prayagraj</v>
      </c>
      <c r="Z1808" s="124">
        <f>IFERROR(__xludf.DUMMYFUNCTION("""COMPUTED_VALUE"""),1.0)</f>
        <v>1</v>
      </c>
      <c r="AA1808" s="124" t="str">
        <f>IFERROR(__xludf.DUMMYFUNCTION("""COMPUTED_VALUE"""),"Cold")</f>
        <v>Cold</v>
      </c>
      <c r="AB1808" s="124" t="str">
        <f>IFERROR(__xludf.DUMMYFUNCTION("""COMPUTED_VALUE"""),"Mentorship")</f>
        <v>Mentorship</v>
      </c>
    </row>
    <row r="1809">
      <c r="A1809" s="126">
        <f>IFERROR(__xludf.DUMMYFUNCTION("""COMPUTED_VALUE"""),46046.0)</f>
        <v>46046</v>
      </c>
      <c r="B1809" s="124" t="str">
        <f>IFERROR(__xludf.DUMMYFUNCTION("""COMPUTED_VALUE"""),"Walkin")</f>
        <v>Walkin</v>
      </c>
      <c r="C1809" s="124" t="str">
        <f>IFERROR(__xludf.DUMMYFUNCTION("""COMPUTED_VALUE"""),"Indore")</f>
        <v>Indore</v>
      </c>
      <c r="D1809" s="124" t="str">
        <f>IFERROR(__xludf.DUMMYFUNCTION("""COMPUTED_VALUE"""),"Primary_Walkin")</f>
        <v>Primary_Walkin</v>
      </c>
      <c r="E1809" s="124">
        <f>IFERROR(__xludf.DUMMYFUNCTION("""COMPUTED_VALUE"""),2.0)</f>
        <v>2</v>
      </c>
      <c r="F1809" s="124" t="str">
        <f>IFERROR(__xludf.DUMMYFUNCTION("""COMPUTED_VALUE"""),"Not Interested")</f>
        <v>Not Interested</v>
      </c>
      <c r="G1809" s="124" t="str">
        <f>IFERROR(__xludf.DUMMYFUNCTION("""COMPUTED_VALUE"""),"State PCS")</f>
        <v>State PCS</v>
      </c>
      <c r="K1809" s="124"/>
      <c r="L1809" s="124"/>
      <c r="M1809" s="124"/>
      <c r="N1809" s="124"/>
      <c r="O1809" s="124"/>
      <c r="T1809" s="126">
        <f>IFERROR(__xludf.DUMMYFUNCTION("""COMPUTED_VALUE"""),46072.0)</f>
        <v>46072</v>
      </c>
      <c r="U1809" s="124" t="str">
        <f>IFERROR(__xludf.DUMMYFUNCTION("""COMPUTED_VALUE"""),"Walk-Ins")</f>
        <v>Walk-Ins</v>
      </c>
      <c r="V1809" s="124" t="str">
        <f>IFERROR(__xludf.DUMMYFUNCTION("""COMPUTED_VALUE"""),"Walkin")</f>
        <v>Walkin</v>
      </c>
      <c r="W1809" s="124" t="str">
        <f>IFERROR(__xludf.DUMMYFUNCTION("""COMPUTED_VALUE"""),"Prayagraj")</f>
        <v>Prayagraj</v>
      </c>
      <c r="X1809" s="124" t="str">
        <f>IFERROR(__xludf.DUMMYFUNCTION("""COMPUTED_VALUE"""),"Walkin")</f>
        <v>Walkin</v>
      </c>
      <c r="Y1809" s="124" t="str">
        <f>IFERROR(__xludf.DUMMYFUNCTION("""COMPUTED_VALUE"""),"Prayagraj")</f>
        <v>Prayagraj</v>
      </c>
      <c r="Z1809" s="124">
        <f>IFERROR(__xludf.DUMMYFUNCTION("""COMPUTED_VALUE"""),1.0)</f>
        <v>1</v>
      </c>
      <c r="AA1809" s="124" t="str">
        <f>IFERROR(__xludf.DUMMYFUNCTION("""COMPUTED_VALUE"""),"Cold")</f>
        <v>Cold</v>
      </c>
      <c r="AB1809" s="124" t="str">
        <f>IFERROR(__xludf.DUMMYFUNCTION("""COMPUTED_VALUE"""),"Other")</f>
        <v>Other</v>
      </c>
    </row>
    <row r="1810">
      <c r="A1810" s="126">
        <f>IFERROR(__xludf.DUMMYFUNCTION("""COMPUTED_VALUE"""),46043.0)</f>
        <v>46043</v>
      </c>
      <c r="B1810" s="124" t="str">
        <f>IFERROR(__xludf.DUMMYFUNCTION("""COMPUTED_VALUE"""),"Walkin")</f>
        <v>Walkin</v>
      </c>
      <c r="C1810" s="124" t="str">
        <f>IFERROR(__xludf.DUMMYFUNCTION("""COMPUTED_VALUE"""),"Indore")</f>
        <v>Indore</v>
      </c>
      <c r="D1810" s="124" t="str">
        <f>IFERROR(__xludf.DUMMYFUNCTION("""COMPUTED_VALUE"""),"Primary_Walkin")</f>
        <v>Primary_Walkin</v>
      </c>
      <c r="E1810" s="124">
        <f>IFERROR(__xludf.DUMMYFUNCTION("""COMPUTED_VALUE"""),2.0)</f>
        <v>2</v>
      </c>
      <c r="F1810" s="124" t="str">
        <f>IFERROR(__xludf.DUMMYFUNCTION("""COMPUTED_VALUE"""),"Future Prospects")</f>
        <v>Future Prospects</v>
      </c>
      <c r="G1810" s="124" t="str">
        <f>IFERROR(__xludf.DUMMYFUNCTION("""COMPUTED_VALUE"""),"GS Foundation")</f>
        <v>GS Foundation</v>
      </c>
      <c r="K1810" s="124"/>
      <c r="L1810" s="124"/>
      <c r="M1810" s="124"/>
      <c r="N1810" s="124"/>
      <c r="O1810" s="124"/>
      <c r="T1810" s="126">
        <f>IFERROR(__xludf.DUMMYFUNCTION("""COMPUTED_VALUE"""),46102.0)</f>
        <v>46102</v>
      </c>
      <c r="U1810" s="124" t="str">
        <f>IFERROR(__xludf.DUMMYFUNCTION("""COMPUTED_VALUE"""),"Walk-Ins")</f>
        <v>Walk-Ins</v>
      </c>
      <c r="V1810" s="124" t="str">
        <f>IFERROR(__xludf.DUMMYFUNCTION("""COMPUTED_VALUE"""),"Walkin")</f>
        <v>Walkin</v>
      </c>
      <c r="W1810" s="124" t="str">
        <f>IFERROR(__xludf.DUMMYFUNCTION("""COMPUTED_VALUE"""),"Patna")</f>
        <v>Patna</v>
      </c>
      <c r="X1810" s="124" t="str">
        <f>IFERROR(__xludf.DUMMYFUNCTION("""COMPUTED_VALUE"""),"Walkin")</f>
        <v>Walkin</v>
      </c>
      <c r="Y1810" s="124" t="str">
        <f>IFERROR(__xludf.DUMMYFUNCTION("""COMPUTED_VALUE"""),"Patna")</f>
        <v>Patna</v>
      </c>
      <c r="Z1810" s="124">
        <f>IFERROR(__xludf.DUMMYFUNCTION("""COMPUTED_VALUE"""),3.0)</f>
        <v>3</v>
      </c>
      <c r="AA1810" s="124" t="str">
        <f>IFERROR(__xludf.DUMMYFUNCTION("""COMPUTED_VALUE"""),"Future Prospects")</f>
        <v>Future Prospects</v>
      </c>
      <c r="AB1810" s="124" t="str">
        <f>IFERROR(__xludf.DUMMYFUNCTION("""COMPUTED_VALUE"""),"State PCS")</f>
        <v>State PCS</v>
      </c>
    </row>
    <row r="1811">
      <c r="A1811" s="126">
        <f>IFERROR(__xludf.DUMMYFUNCTION("""COMPUTED_VALUE"""),46076.0)</f>
        <v>46076</v>
      </c>
      <c r="B1811" s="124" t="str">
        <f>IFERROR(__xludf.DUMMYFUNCTION("""COMPUTED_VALUE"""),"events")</f>
        <v>events</v>
      </c>
      <c r="C1811" s="124" t="str">
        <f>IFERROR(__xludf.DUMMYFUNCTION("""COMPUTED_VALUE"""),"Indore")</f>
        <v>Indore</v>
      </c>
      <c r="D1811" s="124" t="str">
        <f>IFERROR(__xludf.DUMMYFUNCTION("""COMPUTED_VALUE"""),"Secondary_Walkin")</f>
        <v>Secondary_Walkin</v>
      </c>
      <c r="E1811" s="124">
        <f>IFERROR(__xludf.DUMMYFUNCTION("""COMPUTED_VALUE"""),1.0)</f>
        <v>1</v>
      </c>
      <c r="F1811" s="124" t="str">
        <f>IFERROR(__xludf.DUMMYFUNCTION("""COMPUTED_VALUE"""),"Not Interested")</f>
        <v>Not Interested</v>
      </c>
      <c r="G1811" s="124" t="str">
        <f>IFERROR(__xludf.DUMMYFUNCTION("""COMPUTED_VALUE"""),"GS Foundation")</f>
        <v>GS Foundation</v>
      </c>
      <c r="K1811" s="124"/>
      <c r="L1811" s="124"/>
      <c r="M1811" s="124"/>
      <c r="N1811" s="124"/>
      <c r="O1811" s="124"/>
      <c r="T1811" s="129">
        <f>IFERROR(__xludf.DUMMYFUNCTION("""COMPUTED_VALUE"""),46112.0)</f>
        <v>46112</v>
      </c>
      <c r="U1811" s="124" t="str">
        <f>IFERROR(__xludf.DUMMYFUNCTION("""COMPUTED_VALUE"""),"Walk-Ins")</f>
        <v>Walk-Ins</v>
      </c>
      <c r="V1811" s="124" t="str">
        <f>IFERROR(__xludf.DUMMYFUNCTION("""COMPUTED_VALUE"""),"Walkin")</f>
        <v>Walkin</v>
      </c>
      <c r="W1811" s="124" t="str">
        <f>IFERROR(__xludf.DUMMYFUNCTION("""COMPUTED_VALUE"""),"Patna")</f>
        <v>Patna</v>
      </c>
      <c r="X1811" s="124" t="str">
        <f>IFERROR(__xludf.DUMMYFUNCTION("""COMPUTED_VALUE"""),"Walkin")</f>
        <v>Walkin</v>
      </c>
      <c r="Y1811" s="124" t="str">
        <f>IFERROR(__xludf.DUMMYFUNCTION("""COMPUTED_VALUE"""),"Patna")</f>
        <v>Patna</v>
      </c>
      <c r="Z1811" s="124">
        <f>IFERROR(__xludf.DUMMYFUNCTION("""COMPUTED_VALUE"""),1.0)</f>
        <v>1</v>
      </c>
      <c r="AA1811" s="124" t="str">
        <f>IFERROR(__xludf.DUMMYFUNCTION("""COMPUTED_VALUE"""),"Fake Lead")</f>
        <v>Fake Lead</v>
      </c>
      <c r="AB1811" s="124" t="str">
        <f>IFERROR(__xludf.DUMMYFUNCTION("""COMPUTED_VALUE"""),"Test Series")</f>
        <v>Test Series</v>
      </c>
    </row>
    <row r="1812">
      <c r="A1812" s="126">
        <f>IFERROR(__xludf.DUMMYFUNCTION("""COMPUTED_VALUE"""),46075.0)</f>
        <v>46075</v>
      </c>
      <c r="B1812" s="124" t="str">
        <f>IFERROR(__xludf.DUMMYFUNCTION("""COMPUTED_VALUE"""),"Walkin")</f>
        <v>Walkin</v>
      </c>
      <c r="C1812" s="124" t="str">
        <f>IFERROR(__xludf.DUMMYFUNCTION("""COMPUTED_VALUE"""),"Indore")</f>
        <v>Indore</v>
      </c>
      <c r="D1812" s="124" t="str">
        <f>IFERROR(__xludf.DUMMYFUNCTION("""COMPUTED_VALUE"""),"Primary_Walkin")</f>
        <v>Primary_Walkin</v>
      </c>
      <c r="E1812" s="124">
        <f>IFERROR(__xludf.DUMMYFUNCTION("""COMPUTED_VALUE"""),1.0)</f>
        <v>1</v>
      </c>
      <c r="F1812" s="124" t="str">
        <f>IFERROR(__xludf.DUMMYFUNCTION("""COMPUTED_VALUE"""),"Future Prospects")</f>
        <v>Future Prospects</v>
      </c>
      <c r="G1812" s="124" t="str">
        <f>IFERROR(__xludf.DUMMYFUNCTION("""COMPUTED_VALUE"""),"State PCS")</f>
        <v>State PCS</v>
      </c>
      <c r="K1812" s="124"/>
      <c r="L1812" s="124"/>
      <c r="M1812" s="124"/>
      <c r="N1812" s="124"/>
      <c r="O1812" s="124"/>
      <c r="T1812" s="129">
        <f>IFERROR(__xludf.DUMMYFUNCTION("""COMPUTED_VALUE"""),46092.0)</f>
        <v>46092</v>
      </c>
      <c r="U1812" s="124" t="str">
        <f>IFERROR(__xludf.DUMMYFUNCTION("""COMPUTED_VALUE"""),"Walk-Ins")</f>
        <v>Walk-Ins</v>
      </c>
      <c r="V1812" s="124" t="str">
        <f>IFERROR(__xludf.DUMMYFUNCTION("""COMPUTED_VALUE"""),"Walkin")</f>
        <v>Walkin</v>
      </c>
      <c r="W1812" s="124" t="str">
        <f>IFERROR(__xludf.DUMMYFUNCTION("""COMPUTED_VALUE"""),"Patna")</f>
        <v>Patna</v>
      </c>
      <c r="X1812" s="124" t="str">
        <f>IFERROR(__xludf.DUMMYFUNCTION("""COMPUTED_VALUE"""),"Walkin")</f>
        <v>Walkin</v>
      </c>
      <c r="Y1812" s="124" t="str">
        <f>IFERROR(__xludf.DUMMYFUNCTION("""COMPUTED_VALUE"""),"Patna")</f>
        <v>Patna</v>
      </c>
      <c r="Z1812" s="124">
        <f>IFERROR(__xludf.DUMMYFUNCTION("""COMPUTED_VALUE"""),1.0)</f>
        <v>1</v>
      </c>
      <c r="AA1812" s="124" t="str">
        <f>IFERROR(__xludf.DUMMYFUNCTION("""COMPUTED_VALUE"""),"Enrolled")</f>
        <v>Enrolled</v>
      </c>
      <c r="AB1812" s="124" t="str">
        <f>IFERROR(__xludf.DUMMYFUNCTION("""COMPUTED_VALUE"""),"GS Advanced")</f>
        <v>GS Advanced</v>
      </c>
    </row>
    <row r="1813">
      <c r="A1813" s="126">
        <f>IFERROR(__xludf.DUMMYFUNCTION("""COMPUTED_VALUE"""),46112.0)</f>
        <v>46112</v>
      </c>
      <c r="B1813" s="124" t="str">
        <f>IFERROR(__xludf.DUMMYFUNCTION("""COMPUTED_VALUE"""),"Walkin")</f>
        <v>Walkin</v>
      </c>
      <c r="C1813" s="124" t="str">
        <f>IFERROR(__xludf.DUMMYFUNCTION("""COMPUTED_VALUE"""),"Indore")</f>
        <v>Indore</v>
      </c>
      <c r="D1813" s="124" t="str">
        <f>IFERROR(__xludf.DUMMYFUNCTION("""COMPUTED_VALUE"""),"Primary_Walkin")</f>
        <v>Primary_Walkin</v>
      </c>
      <c r="E1813" s="124">
        <f>IFERROR(__xludf.DUMMYFUNCTION("""COMPUTED_VALUE"""),1.0)</f>
        <v>1</v>
      </c>
      <c r="F1813" s="124" t="str">
        <f>IFERROR(__xludf.DUMMYFUNCTION("""COMPUTED_VALUE"""),"Interested")</f>
        <v>Interested</v>
      </c>
      <c r="G1813" s="124" t="str">
        <f>IFERROR(__xludf.DUMMYFUNCTION("""COMPUTED_VALUE"""),"GS Foundation")</f>
        <v>GS Foundation</v>
      </c>
      <c r="K1813" s="124"/>
      <c r="L1813" s="124"/>
      <c r="M1813" s="124"/>
      <c r="N1813" s="124"/>
      <c r="O1813" s="124"/>
      <c r="T1813" s="126">
        <f>IFERROR(__xludf.DUMMYFUNCTION("""COMPUTED_VALUE"""),46045.0)</f>
        <v>46045</v>
      </c>
      <c r="U1813" s="124" t="str">
        <f>IFERROR(__xludf.DUMMYFUNCTION("""COMPUTED_VALUE"""),"Walk-Ins")</f>
        <v>Walk-Ins</v>
      </c>
      <c r="V1813" s="124" t="str">
        <f>IFERROR(__xludf.DUMMYFUNCTION("""COMPUTED_VALUE"""),"Walkin")</f>
        <v>Walkin</v>
      </c>
      <c r="W1813" s="124" t="str">
        <f>IFERROR(__xludf.DUMMYFUNCTION("""COMPUTED_VALUE"""),"Lucknow")</f>
        <v>Lucknow</v>
      </c>
      <c r="X1813" s="124" t="str">
        <f>IFERROR(__xludf.DUMMYFUNCTION("""COMPUTED_VALUE"""),"Walkin")</f>
        <v>Walkin</v>
      </c>
      <c r="Y1813" s="124" t="str">
        <f>IFERROR(__xludf.DUMMYFUNCTION("""COMPUTED_VALUE"""),"Lucknow")</f>
        <v>Lucknow</v>
      </c>
      <c r="Z1813" s="124">
        <f>IFERROR(__xludf.DUMMYFUNCTION("""COMPUTED_VALUE"""),2.0)</f>
        <v>2</v>
      </c>
      <c r="AA1813" s="124" t="str">
        <f>IFERROR(__xludf.DUMMYFUNCTION("""COMPUTED_VALUE"""),"Enrolled")</f>
        <v>Enrolled</v>
      </c>
      <c r="AB1813" s="124" t="str">
        <f>IFERROR(__xludf.DUMMYFUNCTION("""COMPUTED_VALUE"""),"GS Foundation")</f>
        <v>GS Foundation</v>
      </c>
    </row>
    <row r="1814">
      <c r="A1814" s="126">
        <f>IFERROR(__xludf.DUMMYFUNCTION("""COMPUTED_VALUE"""),46067.0)</f>
        <v>46067</v>
      </c>
      <c r="B1814" s="124" t="str">
        <f>IFERROR(__xludf.DUMMYFUNCTION("""COMPUTED_VALUE"""),"Walkin")</f>
        <v>Walkin</v>
      </c>
      <c r="C1814" s="124" t="str">
        <f>IFERROR(__xludf.DUMMYFUNCTION("""COMPUTED_VALUE"""),"Lucknow")</f>
        <v>Lucknow</v>
      </c>
      <c r="D1814" s="124" t="str">
        <f>IFERROR(__xludf.DUMMYFUNCTION("""COMPUTED_VALUE"""),"Primary_Walkin")</f>
        <v>Primary_Walkin</v>
      </c>
      <c r="E1814" s="124">
        <f>IFERROR(__xludf.DUMMYFUNCTION("""COMPUTED_VALUE"""),1.0)</f>
        <v>1</v>
      </c>
      <c r="F1814" s="124" t="str">
        <f>IFERROR(__xludf.DUMMYFUNCTION("""COMPUTED_VALUE"""),"Enrolled")</f>
        <v>Enrolled</v>
      </c>
      <c r="G1814" s="124" t="str">
        <f>IFERROR(__xludf.DUMMYFUNCTION("""COMPUTED_VALUE"""),"State PCS")</f>
        <v>State PCS</v>
      </c>
      <c r="K1814" s="124"/>
      <c r="L1814" s="124"/>
      <c r="M1814" s="124"/>
      <c r="N1814" s="124"/>
      <c r="O1814" s="124"/>
      <c r="T1814" s="126">
        <f>IFERROR(__xludf.DUMMYFUNCTION("""COMPUTED_VALUE"""),46097.0)</f>
        <v>46097</v>
      </c>
      <c r="U1814" s="124" t="str">
        <f>IFERROR(__xludf.DUMMYFUNCTION("""COMPUTED_VALUE"""),"Walk-Ins")</f>
        <v>Walk-Ins</v>
      </c>
      <c r="V1814" s="124" t="str">
        <f>IFERROR(__xludf.DUMMYFUNCTION("""COMPUTED_VALUE"""),"Walkin")</f>
        <v>Walkin</v>
      </c>
      <c r="W1814" s="124" t="str">
        <f>IFERROR(__xludf.DUMMYFUNCTION("""COMPUTED_VALUE"""),"Prayagraj")</f>
        <v>Prayagraj</v>
      </c>
      <c r="X1814" s="124" t="str">
        <f>IFERROR(__xludf.DUMMYFUNCTION("""COMPUTED_VALUE"""),"Walkin")</f>
        <v>Walkin</v>
      </c>
      <c r="Y1814" s="124" t="str">
        <f>IFERROR(__xludf.DUMMYFUNCTION("""COMPUTED_VALUE"""),"Prayagraj")</f>
        <v>Prayagraj</v>
      </c>
      <c r="Z1814" s="124">
        <f>IFERROR(__xludf.DUMMYFUNCTION("""COMPUTED_VALUE"""),1.0)</f>
        <v>1</v>
      </c>
      <c r="AA1814" s="124" t="str">
        <f>IFERROR(__xludf.DUMMYFUNCTION("""COMPUTED_VALUE"""),"Cold")</f>
        <v>Cold</v>
      </c>
      <c r="AB1814" s="124" t="str">
        <f>IFERROR(__xludf.DUMMYFUNCTION("""COMPUTED_VALUE"""),"State PCS")</f>
        <v>State PCS</v>
      </c>
    </row>
    <row r="1815">
      <c r="A1815" s="126">
        <f>IFERROR(__xludf.DUMMYFUNCTION("""COMPUTED_VALUE"""),46110.0)</f>
        <v>46110</v>
      </c>
      <c r="B1815" s="124" t="str">
        <f>IFERROR(__xludf.DUMMYFUNCTION("""COMPUTED_VALUE"""),"Walkin")</f>
        <v>Walkin</v>
      </c>
      <c r="C1815" s="124" t="str">
        <f>IFERROR(__xludf.DUMMYFUNCTION("""COMPUTED_VALUE"""),"Indore")</f>
        <v>Indore</v>
      </c>
      <c r="D1815" s="124" t="str">
        <f>IFERROR(__xludf.DUMMYFUNCTION("""COMPUTED_VALUE"""),"Primary_Walkin")</f>
        <v>Primary_Walkin</v>
      </c>
      <c r="E1815" s="124">
        <f>IFERROR(__xludf.DUMMYFUNCTION("""COMPUTED_VALUE"""),1.0)</f>
        <v>1</v>
      </c>
      <c r="F1815" s="124" t="str">
        <f>IFERROR(__xludf.DUMMYFUNCTION("""COMPUTED_VALUE"""),"Future Prospects")</f>
        <v>Future Prospects</v>
      </c>
      <c r="G1815" s="124" t="str">
        <f>IFERROR(__xludf.DUMMYFUNCTION("""COMPUTED_VALUE"""),"GS Foundation")</f>
        <v>GS Foundation</v>
      </c>
      <c r="K1815" s="124"/>
      <c r="L1815" s="124"/>
      <c r="M1815" s="124"/>
      <c r="N1815" s="124"/>
      <c r="O1815" s="124"/>
      <c r="T1815" s="126">
        <f>IFERROR(__xludf.DUMMYFUNCTION("""COMPUTED_VALUE"""),46080.0)</f>
        <v>46080</v>
      </c>
      <c r="U1815" s="124" t="str">
        <f>IFERROR(__xludf.DUMMYFUNCTION("""COMPUTED_VALUE"""),"Walk-Ins")</f>
        <v>Walk-Ins</v>
      </c>
      <c r="V1815" s="124" t="str">
        <f>IFERROR(__xludf.DUMMYFUNCTION("""COMPUTED_VALUE"""),"Walkin")</f>
        <v>Walkin</v>
      </c>
      <c r="W1815" s="124" t="str">
        <f>IFERROR(__xludf.DUMMYFUNCTION("""COMPUTED_VALUE"""),"Prayagraj")</f>
        <v>Prayagraj</v>
      </c>
      <c r="X1815" s="124" t="str">
        <f>IFERROR(__xludf.DUMMYFUNCTION("""COMPUTED_VALUE"""),"Walkin")</f>
        <v>Walkin</v>
      </c>
      <c r="Y1815" s="124" t="str">
        <f>IFERROR(__xludf.DUMMYFUNCTION("""COMPUTED_VALUE"""),"Prayagraj")</f>
        <v>Prayagraj</v>
      </c>
      <c r="Z1815" s="124">
        <f>IFERROR(__xludf.DUMMYFUNCTION("""COMPUTED_VALUE"""),1.0)</f>
        <v>1</v>
      </c>
      <c r="AA1815" s="124" t="str">
        <f>IFERROR(__xludf.DUMMYFUNCTION("""COMPUTED_VALUE"""),"Enrolled")</f>
        <v>Enrolled</v>
      </c>
      <c r="AB1815" s="124" t="str">
        <f>IFERROR(__xludf.DUMMYFUNCTION("""COMPUTED_VALUE"""),"State PCS")</f>
        <v>State PCS</v>
      </c>
    </row>
    <row r="1816">
      <c r="A1816" s="126">
        <f>IFERROR(__xludf.DUMMYFUNCTION("""COMPUTED_VALUE"""),46096.0)</f>
        <v>46096</v>
      </c>
      <c r="B1816" s="124" t="str">
        <f>IFERROR(__xludf.DUMMYFUNCTION("""COMPUTED_VALUE"""),"Walkin")</f>
        <v>Walkin</v>
      </c>
      <c r="C1816" s="124" t="str">
        <f>IFERROR(__xludf.DUMMYFUNCTION("""COMPUTED_VALUE"""),"Indore")</f>
        <v>Indore</v>
      </c>
      <c r="D1816" s="124" t="str">
        <f>IFERROR(__xludf.DUMMYFUNCTION("""COMPUTED_VALUE"""),"Primary_Walkin")</f>
        <v>Primary_Walkin</v>
      </c>
      <c r="E1816" s="124">
        <f>IFERROR(__xludf.DUMMYFUNCTION("""COMPUTED_VALUE"""),1.0)</f>
        <v>1</v>
      </c>
      <c r="F1816" s="124" t="str">
        <f>IFERROR(__xludf.DUMMYFUNCTION("""COMPUTED_VALUE"""),"Not Interested")</f>
        <v>Not Interested</v>
      </c>
      <c r="G1816" s="124" t="str">
        <f>IFERROR(__xludf.DUMMYFUNCTION("""COMPUTED_VALUE"""),"Test Series")</f>
        <v>Test Series</v>
      </c>
      <c r="K1816" s="124"/>
      <c r="L1816" s="124"/>
      <c r="M1816" s="124"/>
      <c r="N1816" s="124"/>
      <c r="O1816" s="124"/>
      <c r="T1816" s="129">
        <f>IFERROR(__xludf.DUMMYFUNCTION("""COMPUTED_VALUE"""),46044.0)</f>
        <v>46044</v>
      </c>
      <c r="U1816" s="124" t="str">
        <f>IFERROR(__xludf.DUMMYFUNCTION("""COMPUTED_VALUE"""),"Walk-Ins")</f>
        <v>Walk-Ins</v>
      </c>
      <c r="V1816" s="124" t="str">
        <f>IFERROR(__xludf.DUMMYFUNCTION("""COMPUTED_VALUE"""),"Walkin")</f>
        <v>Walkin</v>
      </c>
      <c r="W1816" s="124" t="str">
        <f>IFERROR(__xludf.DUMMYFUNCTION("""COMPUTED_VALUE"""),"Indore")</f>
        <v>Indore</v>
      </c>
      <c r="X1816" s="124" t="str">
        <f>IFERROR(__xludf.DUMMYFUNCTION("""COMPUTED_VALUE"""),"Walkin")</f>
        <v>Walkin</v>
      </c>
      <c r="Y1816" s="124" t="str">
        <f>IFERROR(__xludf.DUMMYFUNCTION("""COMPUTED_VALUE"""),"Indore")</f>
        <v>Indore</v>
      </c>
      <c r="Z1816" s="124">
        <f>IFERROR(__xludf.DUMMYFUNCTION("""COMPUTED_VALUE"""),5.0)</f>
        <v>5</v>
      </c>
      <c r="AA1816" s="124" t="str">
        <f>IFERROR(__xludf.DUMMYFUNCTION("""COMPUTED_VALUE"""),"Cold")</f>
        <v>Cold</v>
      </c>
      <c r="AB1816" s="124" t="str">
        <f>IFERROR(__xludf.DUMMYFUNCTION("""COMPUTED_VALUE"""),"Test Series")</f>
        <v>Test Series</v>
      </c>
    </row>
    <row r="1817">
      <c r="A1817" s="126">
        <f>IFERROR(__xludf.DUMMYFUNCTION("""COMPUTED_VALUE"""),46094.0)</f>
        <v>46094</v>
      </c>
      <c r="B1817" s="124" t="str">
        <f>IFERROR(__xludf.DUMMYFUNCTION("""COMPUTED_VALUE"""),"walk-in")</f>
        <v>walk-in</v>
      </c>
      <c r="C1817" s="124" t="str">
        <f>IFERROR(__xludf.DUMMYFUNCTION("""COMPUTED_VALUE"""),"Indore")</f>
        <v>Indore</v>
      </c>
      <c r="D1817" s="124" t="str">
        <f>IFERROR(__xludf.DUMMYFUNCTION("""COMPUTED_VALUE"""),"Primary_Walkin")</f>
        <v>Primary_Walkin</v>
      </c>
      <c r="E1817" s="124">
        <f>IFERROR(__xludf.DUMMYFUNCTION("""COMPUTED_VALUE"""),1.0)</f>
        <v>1</v>
      </c>
      <c r="F1817" s="124" t="str">
        <f>IFERROR(__xludf.DUMMYFUNCTION("""COMPUTED_VALUE"""),"Enrolled")</f>
        <v>Enrolled</v>
      </c>
      <c r="G1817" s="124" t="str">
        <f>IFERROR(__xludf.DUMMYFUNCTION("""COMPUTED_VALUE"""),"GS Foundation")</f>
        <v>GS Foundation</v>
      </c>
      <c r="K1817" s="124"/>
      <c r="L1817" s="124"/>
      <c r="M1817" s="124"/>
      <c r="N1817" s="124"/>
      <c r="O1817" s="124"/>
      <c r="T1817" s="126">
        <f>IFERROR(__xludf.DUMMYFUNCTION("""COMPUTED_VALUE"""),46080.0)</f>
        <v>46080</v>
      </c>
      <c r="U1817" s="124" t="str">
        <f>IFERROR(__xludf.DUMMYFUNCTION("""COMPUTED_VALUE"""),"Walk-Ins")</f>
        <v>Walk-Ins</v>
      </c>
      <c r="V1817" s="124" t="str">
        <f>IFERROR(__xludf.DUMMYFUNCTION("""COMPUTED_VALUE"""),"Walkin")</f>
        <v>Walkin</v>
      </c>
      <c r="W1817" s="124" t="str">
        <f>IFERROR(__xludf.DUMMYFUNCTION("""COMPUTED_VALUE"""),"Patna")</f>
        <v>Patna</v>
      </c>
      <c r="X1817" s="124" t="str">
        <f>IFERROR(__xludf.DUMMYFUNCTION("""COMPUTED_VALUE"""),"Walkin")</f>
        <v>Walkin</v>
      </c>
      <c r="Y1817" s="124" t="str">
        <f>IFERROR(__xludf.DUMMYFUNCTION("""COMPUTED_VALUE"""),"Patna")</f>
        <v>Patna</v>
      </c>
      <c r="Z1817" s="124">
        <f>IFERROR(__xludf.DUMMYFUNCTION("""COMPUTED_VALUE"""),3.0)</f>
        <v>3</v>
      </c>
      <c r="AA1817" s="124" t="str">
        <f>IFERROR(__xludf.DUMMYFUNCTION("""COMPUTED_VALUE"""),"Cold")</f>
        <v>Cold</v>
      </c>
      <c r="AB1817" s="124" t="str">
        <f>IFERROR(__xludf.DUMMYFUNCTION("""COMPUTED_VALUE"""),"State PCS")</f>
        <v>State PCS</v>
      </c>
    </row>
    <row r="1818">
      <c r="A1818" s="126">
        <f>IFERROR(__xludf.DUMMYFUNCTION("""COMPUTED_VALUE"""),46067.0)</f>
        <v>46067</v>
      </c>
      <c r="B1818" s="124" t="str">
        <f>IFERROR(__xludf.DUMMYFUNCTION("""COMPUTED_VALUE"""),"Walkin")</f>
        <v>Walkin</v>
      </c>
      <c r="C1818" s="124" t="str">
        <f>IFERROR(__xludf.DUMMYFUNCTION("""COMPUTED_VALUE"""),"Indore")</f>
        <v>Indore</v>
      </c>
      <c r="D1818" s="124" t="str">
        <f>IFERROR(__xludf.DUMMYFUNCTION("""COMPUTED_VALUE"""),"Primary_Walkin")</f>
        <v>Primary_Walkin</v>
      </c>
      <c r="E1818" s="124">
        <f>IFERROR(__xludf.DUMMYFUNCTION("""COMPUTED_VALUE"""),1.0)</f>
        <v>1</v>
      </c>
      <c r="F1818" s="124" t="str">
        <f>IFERROR(__xludf.DUMMYFUNCTION("""COMPUTED_VALUE"""),"Cold")</f>
        <v>Cold</v>
      </c>
      <c r="G1818" s="124" t="str">
        <f>IFERROR(__xludf.DUMMYFUNCTION("""COMPUTED_VALUE"""),"Other")</f>
        <v>Other</v>
      </c>
      <c r="K1818" s="124"/>
      <c r="L1818" s="124"/>
      <c r="M1818" s="124"/>
      <c r="N1818" s="124"/>
      <c r="O1818" s="124"/>
      <c r="T1818" s="126">
        <f>IFERROR(__xludf.DUMMYFUNCTION("""COMPUTED_VALUE"""),46057.0)</f>
        <v>46057</v>
      </c>
      <c r="U1818" s="124" t="str">
        <f>IFERROR(__xludf.DUMMYFUNCTION("""COMPUTED_VALUE"""),"Walk-Ins")</f>
        <v>Walk-Ins</v>
      </c>
      <c r="V1818" s="124" t="str">
        <f>IFERROR(__xludf.DUMMYFUNCTION("""COMPUTED_VALUE"""),"Walk-In")</f>
        <v>Walk-In</v>
      </c>
      <c r="W1818" s="124" t="str">
        <f>IFERROR(__xludf.DUMMYFUNCTION("""COMPUTED_VALUE"""),"Patna")</f>
        <v>Patna</v>
      </c>
      <c r="X1818" s="124" t="str">
        <f>IFERROR(__xludf.DUMMYFUNCTION("""COMPUTED_VALUE"""),"Others")</f>
        <v>Others</v>
      </c>
      <c r="Y1818" s="124"/>
      <c r="Z1818" s="124">
        <f>IFERROR(__xludf.DUMMYFUNCTION("""COMPUTED_VALUE"""),2.0)</f>
        <v>2</v>
      </c>
      <c r="AA1818" s="124" t="str">
        <f>IFERROR(__xludf.DUMMYFUNCTION("""COMPUTED_VALUE"""),"Cold")</f>
        <v>Cold</v>
      </c>
      <c r="AB1818" s="124" t="str">
        <f>IFERROR(__xludf.DUMMYFUNCTION("""COMPUTED_VALUE"""),"GS Foundation")</f>
        <v>GS Foundation</v>
      </c>
    </row>
    <row r="1819">
      <c r="A1819" s="126">
        <f>IFERROR(__xludf.DUMMYFUNCTION("""COMPUTED_VALUE"""),46098.0)</f>
        <v>46098</v>
      </c>
      <c r="B1819" s="124" t="str">
        <f>IFERROR(__xludf.DUMMYFUNCTION("""COMPUTED_VALUE"""),"Online Leads")</f>
        <v>Online Leads</v>
      </c>
      <c r="C1819" s="124" t="str">
        <f>IFERROR(__xludf.DUMMYFUNCTION("""COMPUTED_VALUE"""),"Lucknow")</f>
        <v>Lucknow</v>
      </c>
      <c r="D1819" s="124" t="str">
        <f>IFERROR(__xludf.DUMMYFUNCTION("""COMPUTED_VALUE"""),"Secondary_Walkin")</f>
        <v>Secondary_Walkin</v>
      </c>
      <c r="E1819" s="124">
        <f>IFERROR(__xludf.DUMMYFUNCTION("""COMPUTED_VALUE"""),1.0)</f>
        <v>1</v>
      </c>
      <c r="F1819" s="124" t="str">
        <f>IFERROR(__xludf.DUMMYFUNCTION("""COMPUTED_VALUE"""),"Enrolled")</f>
        <v>Enrolled</v>
      </c>
      <c r="G1819" s="124" t="str">
        <f>IFERROR(__xludf.DUMMYFUNCTION("""COMPUTED_VALUE"""),"GS Foundation")</f>
        <v>GS Foundation</v>
      </c>
      <c r="K1819" s="124"/>
      <c r="L1819" s="124"/>
      <c r="M1819" s="124"/>
      <c r="N1819" s="124"/>
      <c r="O1819" s="124"/>
      <c r="T1819" s="126">
        <f>IFERROR(__xludf.DUMMYFUNCTION("""COMPUTED_VALUE"""),46062.0)</f>
        <v>46062</v>
      </c>
      <c r="U1819" s="124" t="str">
        <f>IFERROR(__xludf.DUMMYFUNCTION("""COMPUTED_VALUE"""),"Walk-Ins")</f>
        <v>Walk-Ins</v>
      </c>
      <c r="V1819" s="124" t="str">
        <f>IFERROR(__xludf.DUMMYFUNCTION("""COMPUTED_VALUE"""),"Walkin")</f>
        <v>Walkin</v>
      </c>
      <c r="W1819" s="124" t="str">
        <f>IFERROR(__xludf.DUMMYFUNCTION("""COMPUTED_VALUE"""),"Lucknow")</f>
        <v>Lucknow</v>
      </c>
      <c r="X1819" s="124" t="str">
        <f>IFERROR(__xludf.DUMMYFUNCTION("""COMPUTED_VALUE"""),"Walkin")</f>
        <v>Walkin</v>
      </c>
      <c r="Y1819" s="124" t="str">
        <f>IFERROR(__xludf.DUMMYFUNCTION("""COMPUTED_VALUE"""),"Lucknow")</f>
        <v>Lucknow</v>
      </c>
      <c r="Z1819" s="124">
        <f>IFERROR(__xludf.DUMMYFUNCTION("""COMPUTED_VALUE"""),1.0)</f>
        <v>1</v>
      </c>
      <c r="AA1819" s="124" t="str">
        <f>IFERROR(__xludf.DUMMYFUNCTION("""COMPUTED_VALUE"""),"Not Interested")</f>
        <v>Not Interested</v>
      </c>
      <c r="AB1819" s="124" t="str">
        <f>IFERROR(__xludf.DUMMYFUNCTION("""COMPUTED_VALUE"""),"GS Foundation")</f>
        <v>GS Foundation</v>
      </c>
    </row>
    <row r="1820">
      <c r="A1820" s="126">
        <f>IFERROR(__xludf.DUMMYFUNCTION("""COMPUTED_VALUE"""),46065.0)</f>
        <v>46065</v>
      </c>
      <c r="B1820" s="124" t="str">
        <f>IFERROR(__xludf.DUMMYFUNCTION("""COMPUTED_VALUE"""),"walk-in")</f>
        <v>walk-in</v>
      </c>
      <c r="C1820" s="124" t="str">
        <f>IFERROR(__xludf.DUMMYFUNCTION("""COMPUTED_VALUE"""),"Indore")</f>
        <v>Indore</v>
      </c>
      <c r="D1820" s="124" t="str">
        <f>IFERROR(__xludf.DUMMYFUNCTION("""COMPUTED_VALUE"""),"Primary_Walkin")</f>
        <v>Primary_Walkin</v>
      </c>
      <c r="E1820" s="124">
        <f>IFERROR(__xludf.DUMMYFUNCTION("""COMPUTED_VALUE"""),1.0)</f>
        <v>1</v>
      </c>
      <c r="F1820" s="124" t="str">
        <f>IFERROR(__xludf.DUMMYFUNCTION("""COMPUTED_VALUE"""),"Cold")</f>
        <v>Cold</v>
      </c>
      <c r="G1820" s="124" t="str">
        <f>IFERROR(__xludf.DUMMYFUNCTION("""COMPUTED_VALUE"""),"State PCS")</f>
        <v>State PCS</v>
      </c>
      <c r="K1820" s="124"/>
      <c r="L1820" s="124"/>
      <c r="M1820" s="124"/>
      <c r="N1820" s="124"/>
      <c r="O1820" s="124"/>
      <c r="T1820" s="126">
        <f>IFERROR(__xludf.DUMMYFUNCTION("""COMPUTED_VALUE"""),46054.0)</f>
        <v>46054</v>
      </c>
      <c r="U1820" s="124" t="str">
        <f>IFERROR(__xludf.DUMMYFUNCTION("""COMPUTED_VALUE"""),"Walk-Ins")</f>
        <v>Walk-Ins</v>
      </c>
      <c r="V1820" s="124" t="str">
        <f>IFERROR(__xludf.DUMMYFUNCTION("""COMPUTED_VALUE"""),"Walkin")</f>
        <v>Walkin</v>
      </c>
      <c r="W1820" s="124" t="str">
        <f>IFERROR(__xludf.DUMMYFUNCTION("""COMPUTED_VALUE"""),"Indore")</f>
        <v>Indore</v>
      </c>
      <c r="X1820" s="124" t="str">
        <f>IFERROR(__xludf.DUMMYFUNCTION("""COMPUTED_VALUE"""),"Walkin")</f>
        <v>Walkin</v>
      </c>
      <c r="Y1820" s="124" t="str">
        <f>IFERROR(__xludf.DUMMYFUNCTION("""COMPUTED_VALUE"""),"Indore")</f>
        <v>Indore</v>
      </c>
      <c r="Z1820" s="124">
        <f>IFERROR(__xludf.DUMMYFUNCTION("""COMPUTED_VALUE"""),1.0)</f>
        <v>1</v>
      </c>
      <c r="AA1820" s="124" t="str">
        <f>IFERROR(__xludf.DUMMYFUNCTION("""COMPUTED_VALUE"""),"Not Interested")</f>
        <v>Not Interested</v>
      </c>
      <c r="AB1820" s="124" t="str">
        <f>IFERROR(__xludf.DUMMYFUNCTION("""COMPUTED_VALUE"""),"GS Foundation")</f>
        <v>GS Foundation</v>
      </c>
    </row>
    <row r="1821">
      <c r="A1821" s="126">
        <f>IFERROR(__xludf.DUMMYFUNCTION("""COMPUTED_VALUE"""),46063.0)</f>
        <v>46063</v>
      </c>
      <c r="B1821" s="124" t="str">
        <f>IFERROR(__xludf.DUMMYFUNCTION("""COMPUTED_VALUE"""),"Walkin")</f>
        <v>Walkin</v>
      </c>
      <c r="C1821" s="124" t="str">
        <f>IFERROR(__xludf.DUMMYFUNCTION("""COMPUTED_VALUE"""),"Indore")</f>
        <v>Indore</v>
      </c>
      <c r="D1821" s="124" t="str">
        <f>IFERROR(__xludf.DUMMYFUNCTION("""COMPUTED_VALUE"""),"Primary_Walkin")</f>
        <v>Primary_Walkin</v>
      </c>
      <c r="E1821" s="124">
        <f>IFERROR(__xludf.DUMMYFUNCTION("""COMPUTED_VALUE"""),1.0)</f>
        <v>1</v>
      </c>
      <c r="F1821" s="124" t="str">
        <f>IFERROR(__xludf.DUMMYFUNCTION("""COMPUTED_VALUE"""),"Enrolled")</f>
        <v>Enrolled</v>
      </c>
      <c r="G1821" s="124" t="str">
        <f>IFERROR(__xludf.DUMMYFUNCTION("""COMPUTED_VALUE"""),"GS Foundation")</f>
        <v>GS Foundation</v>
      </c>
      <c r="K1821" s="124"/>
      <c r="L1821" s="124"/>
      <c r="M1821" s="124"/>
      <c r="N1821" s="124"/>
      <c r="O1821" s="124"/>
      <c r="T1821" s="126">
        <f>IFERROR(__xludf.DUMMYFUNCTION("""COMPUTED_VALUE"""),46052.0)</f>
        <v>46052</v>
      </c>
      <c r="U1821" s="124" t="str">
        <f>IFERROR(__xludf.DUMMYFUNCTION("""COMPUTED_VALUE"""),"Walk-Ins")</f>
        <v>Walk-Ins</v>
      </c>
      <c r="V1821" s="124" t="str">
        <f>IFERROR(__xludf.DUMMYFUNCTION("""COMPUTED_VALUE"""),"Walkin")</f>
        <v>Walkin</v>
      </c>
      <c r="W1821" s="124" t="str">
        <f>IFERROR(__xludf.DUMMYFUNCTION("""COMPUTED_VALUE"""),"Indore")</f>
        <v>Indore</v>
      </c>
      <c r="X1821" s="124" t="str">
        <f>IFERROR(__xludf.DUMMYFUNCTION("""COMPUTED_VALUE"""),"Walkin")</f>
        <v>Walkin</v>
      </c>
      <c r="Y1821" s="124" t="str">
        <f>IFERROR(__xludf.DUMMYFUNCTION("""COMPUTED_VALUE"""),"Indore")</f>
        <v>Indore</v>
      </c>
      <c r="Z1821" s="124">
        <f>IFERROR(__xludf.DUMMYFUNCTION("""COMPUTED_VALUE"""),2.0)</f>
        <v>2</v>
      </c>
      <c r="AA1821" s="124" t="str">
        <f>IFERROR(__xludf.DUMMYFUNCTION("""COMPUTED_VALUE"""),"Not Interested")</f>
        <v>Not Interested</v>
      </c>
      <c r="AB1821" s="124" t="str">
        <f>IFERROR(__xludf.DUMMYFUNCTION("""COMPUTED_VALUE"""),"State PCS")</f>
        <v>State PCS</v>
      </c>
    </row>
    <row r="1822">
      <c r="A1822" s="126">
        <f>IFERROR(__xludf.DUMMYFUNCTION("""COMPUTED_VALUE"""),46064.0)</f>
        <v>46064</v>
      </c>
      <c r="B1822" s="124" t="str">
        <f>IFERROR(__xludf.DUMMYFUNCTION("""COMPUTED_VALUE"""),"Walkin")</f>
        <v>Walkin</v>
      </c>
      <c r="C1822" s="124" t="str">
        <f>IFERROR(__xludf.DUMMYFUNCTION("""COMPUTED_VALUE"""),"Indore")</f>
        <v>Indore</v>
      </c>
      <c r="D1822" s="124" t="str">
        <f>IFERROR(__xludf.DUMMYFUNCTION("""COMPUTED_VALUE"""),"Primary_Walkin")</f>
        <v>Primary_Walkin</v>
      </c>
      <c r="E1822" s="124">
        <f>IFERROR(__xludf.DUMMYFUNCTION("""COMPUTED_VALUE"""),1.0)</f>
        <v>1</v>
      </c>
      <c r="F1822" s="124" t="str">
        <f>IFERROR(__xludf.DUMMYFUNCTION("""COMPUTED_VALUE"""),"Future Prospects")</f>
        <v>Future Prospects</v>
      </c>
      <c r="G1822" s="124" t="str">
        <f>IFERROR(__xludf.DUMMYFUNCTION("""COMPUTED_VALUE"""),"State PCS")</f>
        <v>State PCS</v>
      </c>
      <c r="K1822" s="124"/>
      <c r="L1822" s="124"/>
      <c r="M1822" s="124"/>
      <c r="N1822" s="124"/>
      <c r="O1822" s="124"/>
      <c r="T1822" s="126">
        <f>IFERROR(__xludf.DUMMYFUNCTION("""COMPUTED_VALUE"""),46056.0)</f>
        <v>46056</v>
      </c>
      <c r="U1822" s="124" t="str">
        <f>IFERROR(__xludf.DUMMYFUNCTION("""COMPUTED_VALUE"""),"Walk-Ins")</f>
        <v>Walk-Ins</v>
      </c>
      <c r="V1822" s="124" t="str">
        <f>IFERROR(__xludf.DUMMYFUNCTION("""COMPUTED_VALUE"""),"Walkin")</f>
        <v>Walkin</v>
      </c>
      <c r="W1822" s="124" t="str">
        <f>IFERROR(__xludf.DUMMYFUNCTION("""COMPUTED_VALUE"""),"Patna")</f>
        <v>Patna</v>
      </c>
      <c r="X1822" s="124" t="str">
        <f>IFERROR(__xludf.DUMMYFUNCTION("""COMPUTED_VALUE"""),"Walkin")</f>
        <v>Walkin</v>
      </c>
      <c r="Y1822" s="124" t="str">
        <f>IFERROR(__xludf.DUMMYFUNCTION("""COMPUTED_VALUE"""),"Patna")</f>
        <v>Patna</v>
      </c>
      <c r="Z1822" s="124">
        <f>IFERROR(__xludf.DUMMYFUNCTION("""COMPUTED_VALUE"""),1.0)</f>
        <v>1</v>
      </c>
      <c r="AA1822" s="124" t="str">
        <f>IFERROR(__xludf.DUMMYFUNCTION("""COMPUTED_VALUE"""),"Not Interested")</f>
        <v>Not Interested</v>
      </c>
      <c r="AB1822" s="124" t="str">
        <f>IFERROR(__xludf.DUMMYFUNCTION("""COMPUTED_VALUE"""),"State PCS")</f>
        <v>State PCS</v>
      </c>
    </row>
    <row r="1823">
      <c r="A1823" s="126">
        <f>IFERROR(__xludf.DUMMYFUNCTION("""COMPUTED_VALUE"""),46099.0)</f>
        <v>46099</v>
      </c>
      <c r="B1823" s="124" t="str">
        <f>IFERROR(__xludf.DUMMYFUNCTION("""COMPUTED_VALUE"""),"Walkin")</f>
        <v>Walkin</v>
      </c>
      <c r="C1823" s="124" t="str">
        <f>IFERROR(__xludf.DUMMYFUNCTION("""COMPUTED_VALUE"""),"Indore")</f>
        <v>Indore</v>
      </c>
      <c r="D1823" s="124" t="str">
        <f>IFERROR(__xludf.DUMMYFUNCTION("""COMPUTED_VALUE"""),"Primary_Walkin")</f>
        <v>Primary_Walkin</v>
      </c>
      <c r="E1823" s="124">
        <f>IFERROR(__xludf.DUMMYFUNCTION("""COMPUTED_VALUE"""),2.0)</f>
        <v>2</v>
      </c>
      <c r="F1823" s="124" t="str">
        <f>IFERROR(__xludf.DUMMYFUNCTION("""COMPUTED_VALUE"""),"Cold")</f>
        <v>Cold</v>
      </c>
      <c r="G1823" s="124" t="str">
        <f>IFERROR(__xludf.DUMMYFUNCTION("""COMPUTED_VALUE"""),"Other")</f>
        <v>Other</v>
      </c>
      <c r="K1823" s="124"/>
      <c r="L1823" s="124"/>
      <c r="M1823" s="124"/>
      <c r="N1823" s="124"/>
      <c r="O1823" s="124"/>
      <c r="T1823" s="126">
        <f>IFERROR(__xludf.DUMMYFUNCTION("""COMPUTED_VALUE"""),46051.0)</f>
        <v>46051</v>
      </c>
      <c r="U1823" s="124" t="str">
        <f>IFERROR(__xludf.DUMMYFUNCTION("""COMPUTED_VALUE"""),"Paid Ads")</f>
        <v>Paid Ads</v>
      </c>
      <c r="V1823" s="124" t="str">
        <f>IFERROR(__xludf.DUMMYFUNCTION("""COMPUTED_VALUE"""),"facebook")</f>
        <v>facebook</v>
      </c>
      <c r="W1823" s="124" t="str">
        <f>IFERROR(__xludf.DUMMYFUNCTION("""COMPUTED_VALUE"""),"cpc")</f>
        <v>cpc</v>
      </c>
      <c r="X1823" s="124" t="str">
        <f>IFERROR(__xludf.DUMMYFUNCTION("""COMPUTED_VALUE"""),"Upsc_Offline_Delhi_Lead_Jan")</f>
        <v>Upsc_Offline_Delhi_Lead_Jan</v>
      </c>
      <c r="Y1823" s="124" t="str">
        <f>IFERROR(__xludf.DUMMYFUNCTION("""COMPUTED_VALUE"""),"Delhi")</f>
        <v>Delhi</v>
      </c>
      <c r="Z1823" s="124">
        <f>IFERROR(__xludf.DUMMYFUNCTION("""COMPUTED_VALUE"""),4.0)</f>
        <v>4</v>
      </c>
      <c r="AA1823" s="124" t="str">
        <f>IFERROR(__xludf.DUMMYFUNCTION("""COMPUTED_VALUE"""),"Cold")</f>
        <v>Cold</v>
      </c>
      <c r="AB1823" s="124"/>
    </row>
    <row r="1824">
      <c r="A1824" s="129">
        <f>IFERROR(__xludf.DUMMYFUNCTION("""COMPUTED_VALUE"""),46083.0)</f>
        <v>46083</v>
      </c>
      <c r="B1824" s="124" t="str">
        <f>IFERROR(__xludf.DUMMYFUNCTION("""COMPUTED_VALUE"""),"Walkin")</f>
        <v>Walkin</v>
      </c>
      <c r="C1824" s="124" t="str">
        <f>IFERROR(__xludf.DUMMYFUNCTION("""COMPUTED_VALUE"""),"Indore")</f>
        <v>Indore</v>
      </c>
      <c r="D1824" s="124" t="str">
        <f>IFERROR(__xludf.DUMMYFUNCTION("""COMPUTED_VALUE"""),"Primary_Walkin")</f>
        <v>Primary_Walkin</v>
      </c>
      <c r="E1824" s="124">
        <f>IFERROR(__xludf.DUMMYFUNCTION("""COMPUTED_VALUE"""),1.0)</f>
        <v>1</v>
      </c>
      <c r="F1824" s="124" t="str">
        <f>IFERROR(__xludf.DUMMYFUNCTION("""COMPUTED_VALUE"""),"Not Interested")</f>
        <v>Not Interested</v>
      </c>
      <c r="G1824" s="124" t="str">
        <f>IFERROR(__xludf.DUMMYFUNCTION("""COMPUTED_VALUE"""),"State PCS")</f>
        <v>State PCS</v>
      </c>
      <c r="K1824" s="124"/>
      <c r="L1824" s="124"/>
      <c r="M1824" s="124"/>
      <c r="N1824" s="124"/>
      <c r="O1824" s="124"/>
      <c r="T1824" s="126">
        <f>IFERROR(__xludf.DUMMYFUNCTION("""COMPUTED_VALUE"""),46078.0)</f>
        <v>46078</v>
      </c>
      <c r="U1824" s="124" t="str">
        <f>IFERROR(__xludf.DUMMYFUNCTION("""COMPUTED_VALUE"""),"Walk-Ins")</f>
        <v>Walk-Ins</v>
      </c>
      <c r="V1824" s="124" t="str">
        <f>IFERROR(__xludf.DUMMYFUNCTION("""COMPUTED_VALUE"""),"Walkin")</f>
        <v>Walkin</v>
      </c>
      <c r="W1824" s="124" t="str">
        <f>IFERROR(__xludf.DUMMYFUNCTION("""COMPUTED_VALUE"""),"Prayagraj")</f>
        <v>Prayagraj</v>
      </c>
      <c r="X1824" s="124" t="str">
        <f>IFERROR(__xludf.DUMMYFUNCTION("""COMPUTED_VALUE"""),"Walkin")</f>
        <v>Walkin</v>
      </c>
      <c r="Y1824" s="124" t="str">
        <f>IFERROR(__xludf.DUMMYFUNCTION("""COMPUTED_VALUE"""),"Prayagraj")</f>
        <v>Prayagraj</v>
      </c>
      <c r="Z1824" s="124">
        <f>IFERROR(__xludf.DUMMYFUNCTION("""COMPUTED_VALUE"""),1.0)</f>
        <v>1</v>
      </c>
      <c r="AA1824" s="124" t="str">
        <f>IFERROR(__xludf.DUMMYFUNCTION("""COMPUTED_VALUE"""),"Cold")</f>
        <v>Cold</v>
      </c>
      <c r="AB1824" s="124" t="str">
        <f>IFERROR(__xludf.DUMMYFUNCTION("""COMPUTED_VALUE"""),"GS Foundation")</f>
        <v>GS Foundation</v>
      </c>
    </row>
    <row r="1825">
      <c r="A1825" s="126">
        <f>IFERROR(__xludf.DUMMYFUNCTION("""COMPUTED_VALUE"""),46071.0)</f>
        <v>46071</v>
      </c>
      <c r="B1825" s="124" t="str">
        <f>IFERROR(__xludf.DUMMYFUNCTION("""COMPUTED_VALUE"""),"Walkin")</f>
        <v>Walkin</v>
      </c>
      <c r="C1825" s="124" t="str">
        <f>IFERROR(__xludf.DUMMYFUNCTION("""COMPUTED_VALUE"""),"Lucknow")</f>
        <v>Lucknow</v>
      </c>
      <c r="D1825" s="124" t="str">
        <f>IFERROR(__xludf.DUMMYFUNCTION("""COMPUTED_VALUE"""),"Primary_Walkin")</f>
        <v>Primary_Walkin</v>
      </c>
      <c r="E1825" s="124">
        <f>IFERROR(__xludf.DUMMYFUNCTION("""COMPUTED_VALUE"""),1.0)</f>
        <v>1</v>
      </c>
      <c r="F1825" s="124" t="str">
        <f>IFERROR(__xludf.DUMMYFUNCTION("""COMPUTED_VALUE"""),"Engaged")</f>
        <v>Engaged</v>
      </c>
      <c r="G1825" s="124" t="str">
        <f>IFERROR(__xludf.DUMMYFUNCTION("""COMPUTED_VALUE"""),"GS Foundation")</f>
        <v>GS Foundation</v>
      </c>
      <c r="K1825" s="124"/>
      <c r="L1825" s="124"/>
      <c r="M1825" s="124"/>
      <c r="N1825" s="124"/>
      <c r="O1825" s="124"/>
      <c r="T1825" s="129">
        <f>IFERROR(__xludf.DUMMYFUNCTION("""COMPUTED_VALUE"""),46061.0)</f>
        <v>46061</v>
      </c>
      <c r="U1825" s="124" t="str">
        <f>IFERROR(__xludf.DUMMYFUNCTION("""COMPUTED_VALUE"""),"Walk-Ins")</f>
        <v>Walk-Ins</v>
      </c>
      <c r="V1825" s="124" t="str">
        <f>IFERROR(__xludf.DUMMYFUNCTION("""COMPUTED_VALUE"""),"Walkin")</f>
        <v>Walkin</v>
      </c>
      <c r="W1825" s="124" t="str">
        <f>IFERROR(__xludf.DUMMYFUNCTION("""COMPUTED_VALUE"""),"Prayagraj")</f>
        <v>Prayagraj</v>
      </c>
      <c r="X1825" s="124" t="str">
        <f>IFERROR(__xludf.DUMMYFUNCTION("""COMPUTED_VALUE"""),"Walkin")</f>
        <v>Walkin</v>
      </c>
      <c r="Y1825" s="124" t="str">
        <f>IFERROR(__xludf.DUMMYFUNCTION("""COMPUTED_VALUE"""),"Prayagraj")</f>
        <v>Prayagraj</v>
      </c>
      <c r="Z1825" s="124">
        <f>IFERROR(__xludf.DUMMYFUNCTION("""COMPUTED_VALUE"""),3.0)</f>
        <v>3</v>
      </c>
      <c r="AA1825" s="124" t="str">
        <f>IFERROR(__xludf.DUMMYFUNCTION("""COMPUTED_VALUE"""),"Cold")</f>
        <v>Cold</v>
      </c>
      <c r="AB1825" s="124" t="str">
        <f>IFERROR(__xludf.DUMMYFUNCTION("""COMPUTED_VALUE"""),"GS Foundation")</f>
        <v>GS Foundation</v>
      </c>
    </row>
    <row r="1826">
      <c r="A1826" s="126">
        <f>IFERROR(__xludf.DUMMYFUNCTION("""COMPUTED_VALUE"""),46068.0)</f>
        <v>46068</v>
      </c>
      <c r="B1826" s="124" t="str">
        <f>IFERROR(__xludf.DUMMYFUNCTION("""COMPUTED_VALUE"""),"Walkin")</f>
        <v>Walkin</v>
      </c>
      <c r="C1826" s="124" t="str">
        <f>IFERROR(__xludf.DUMMYFUNCTION("""COMPUTED_VALUE"""),"Lucknow")</f>
        <v>Lucknow</v>
      </c>
      <c r="D1826" s="124" t="str">
        <f>IFERROR(__xludf.DUMMYFUNCTION("""COMPUTED_VALUE"""),"Primary_Walkin")</f>
        <v>Primary_Walkin</v>
      </c>
      <c r="E1826" s="124">
        <f>IFERROR(__xludf.DUMMYFUNCTION("""COMPUTED_VALUE"""),1.0)</f>
        <v>1</v>
      </c>
      <c r="F1826" s="124" t="str">
        <f>IFERROR(__xludf.DUMMYFUNCTION("""COMPUTED_VALUE"""),"Cold")</f>
        <v>Cold</v>
      </c>
      <c r="G1826" s="124" t="str">
        <f>IFERROR(__xludf.DUMMYFUNCTION("""COMPUTED_VALUE"""),"Mentorship")</f>
        <v>Mentorship</v>
      </c>
      <c r="K1826" s="124"/>
      <c r="L1826" s="124"/>
      <c r="M1826" s="124"/>
      <c r="N1826" s="124"/>
      <c r="O1826" s="124"/>
      <c r="T1826" s="129">
        <f>IFERROR(__xludf.DUMMYFUNCTION("""COMPUTED_VALUE"""),46056.0)</f>
        <v>46056</v>
      </c>
      <c r="U1826" s="124" t="str">
        <f>IFERROR(__xludf.DUMMYFUNCTION("""COMPUTED_VALUE"""),"Walk-Ins")</f>
        <v>Walk-Ins</v>
      </c>
      <c r="V1826" s="124" t="str">
        <f>IFERROR(__xludf.DUMMYFUNCTION("""COMPUTED_VALUE"""),"Walkin")</f>
        <v>Walkin</v>
      </c>
      <c r="W1826" s="124" t="str">
        <f>IFERROR(__xludf.DUMMYFUNCTION("""COMPUTED_VALUE"""),"Patna")</f>
        <v>Patna</v>
      </c>
      <c r="X1826" s="124" t="str">
        <f>IFERROR(__xludf.DUMMYFUNCTION("""COMPUTED_VALUE"""),"Walkin")</f>
        <v>Walkin</v>
      </c>
      <c r="Y1826" s="124" t="str">
        <f>IFERROR(__xludf.DUMMYFUNCTION("""COMPUTED_VALUE"""),"Patna")</f>
        <v>Patna</v>
      </c>
      <c r="Z1826" s="124">
        <f>IFERROR(__xludf.DUMMYFUNCTION("""COMPUTED_VALUE"""),1.0)</f>
        <v>1</v>
      </c>
      <c r="AA1826" s="124" t="str">
        <f>IFERROR(__xludf.DUMMYFUNCTION("""COMPUTED_VALUE"""),"Cold")</f>
        <v>Cold</v>
      </c>
      <c r="AB1826" s="124" t="str">
        <f>IFERROR(__xludf.DUMMYFUNCTION("""COMPUTED_VALUE"""),"GS Advanced")</f>
        <v>GS Advanced</v>
      </c>
    </row>
    <row r="1827">
      <c r="A1827" s="126">
        <f>IFERROR(__xludf.DUMMYFUNCTION("""COMPUTED_VALUE"""),46103.0)</f>
        <v>46103</v>
      </c>
      <c r="B1827" s="124" t="str">
        <f>IFERROR(__xludf.DUMMYFUNCTION("""COMPUTED_VALUE"""),"Walkin")</f>
        <v>Walkin</v>
      </c>
      <c r="C1827" s="124" t="str">
        <f>IFERROR(__xludf.DUMMYFUNCTION("""COMPUTED_VALUE"""),"Lucknow")</f>
        <v>Lucknow</v>
      </c>
      <c r="D1827" s="124" t="str">
        <f>IFERROR(__xludf.DUMMYFUNCTION("""COMPUTED_VALUE"""),"Primary_Walkin")</f>
        <v>Primary_Walkin</v>
      </c>
      <c r="E1827" s="124">
        <f>IFERROR(__xludf.DUMMYFUNCTION("""COMPUTED_VALUE"""),1.0)</f>
        <v>1</v>
      </c>
      <c r="F1827" s="124" t="str">
        <f>IFERROR(__xludf.DUMMYFUNCTION("""COMPUTED_VALUE"""),"Cold")</f>
        <v>Cold</v>
      </c>
      <c r="G1827" s="124" t="str">
        <f>IFERROR(__xludf.DUMMYFUNCTION("""COMPUTED_VALUE"""),"GS Foundation")</f>
        <v>GS Foundation</v>
      </c>
      <c r="K1827" s="124"/>
      <c r="L1827" s="124"/>
      <c r="M1827" s="124"/>
      <c r="N1827" s="124"/>
      <c r="O1827" s="124"/>
      <c r="T1827" s="126">
        <f>IFERROR(__xludf.DUMMYFUNCTION("""COMPUTED_VALUE"""),46091.0)</f>
        <v>46091</v>
      </c>
      <c r="U1827" s="124" t="str">
        <f>IFERROR(__xludf.DUMMYFUNCTION("""COMPUTED_VALUE"""),"Paid Ads")</f>
        <v>Paid Ads</v>
      </c>
      <c r="V1827" s="124" t="str">
        <f>IFERROR(__xludf.DUMMYFUNCTION("""COMPUTED_VALUE"""),"facebook")</f>
        <v>facebook</v>
      </c>
      <c r="W1827" s="124" t="str">
        <f>IFERROR(__xludf.DUMMYFUNCTION("""COMPUTED_VALUE"""),"indore")</f>
        <v>indore</v>
      </c>
      <c r="X1827" s="124" t="str">
        <f>IFERROR(__xludf.DUMMYFUNCTION("""COMPUTED_VALUE"""),"meta")</f>
        <v>meta</v>
      </c>
      <c r="Y1827" s="124" t="str">
        <f>IFERROR(__xludf.DUMMYFUNCTION("""COMPUTED_VALUE"""),"Indore")</f>
        <v>Indore</v>
      </c>
      <c r="Z1827" s="124">
        <f>IFERROR(__xludf.DUMMYFUNCTION("""COMPUTED_VALUE"""),2.0)</f>
        <v>2</v>
      </c>
      <c r="AA1827" s="124" t="str">
        <f>IFERROR(__xludf.DUMMYFUNCTION("""COMPUTED_VALUE"""),"Fake Lead")</f>
        <v>Fake Lead</v>
      </c>
      <c r="AB1827" s="124"/>
    </row>
    <row r="1828">
      <c r="A1828" s="129">
        <f>IFERROR(__xludf.DUMMYFUNCTION("""COMPUTED_VALUE"""),46056.0)</f>
        <v>46056</v>
      </c>
      <c r="B1828" s="124" t="str">
        <f>IFERROR(__xludf.DUMMYFUNCTION("""COMPUTED_VALUE"""),"Walkin")</f>
        <v>Walkin</v>
      </c>
      <c r="C1828" s="124" t="str">
        <f>IFERROR(__xludf.DUMMYFUNCTION("""COMPUTED_VALUE"""),"Indore")</f>
        <v>Indore</v>
      </c>
      <c r="D1828" s="124" t="str">
        <f>IFERROR(__xludf.DUMMYFUNCTION("""COMPUTED_VALUE"""),"Primary_Walkin")</f>
        <v>Primary_Walkin</v>
      </c>
      <c r="E1828" s="124">
        <f>IFERROR(__xludf.DUMMYFUNCTION("""COMPUTED_VALUE"""),1.0)</f>
        <v>1</v>
      </c>
      <c r="F1828" s="124" t="str">
        <f>IFERROR(__xludf.DUMMYFUNCTION("""COMPUTED_VALUE"""),"Not Interested")</f>
        <v>Not Interested</v>
      </c>
      <c r="G1828" s="124" t="str">
        <f>IFERROR(__xludf.DUMMYFUNCTION("""COMPUTED_VALUE"""),"GS Foundation")</f>
        <v>GS Foundation</v>
      </c>
      <c r="K1828" s="124"/>
      <c r="L1828" s="124"/>
      <c r="M1828" s="124"/>
      <c r="N1828" s="124"/>
      <c r="O1828" s="124"/>
      <c r="T1828" s="129">
        <f>IFERROR(__xludf.DUMMYFUNCTION("""COMPUTED_VALUE"""),46067.0)</f>
        <v>46067</v>
      </c>
      <c r="U1828" s="124" t="str">
        <f>IFERROR(__xludf.DUMMYFUNCTION("""COMPUTED_VALUE"""),"Walk-Ins")</f>
        <v>Walk-Ins</v>
      </c>
      <c r="V1828" s="124" t="str">
        <f>IFERROR(__xludf.DUMMYFUNCTION("""COMPUTED_VALUE"""),"Walkin")</f>
        <v>Walkin</v>
      </c>
      <c r="W1828" s="124" t="str">
        <f>IFERROR(__xludf.DUMMYFUNCTION("""COMPUTED_VALUE"""),"Patna")</f>
        <v>Patna</v>
      </c>
      <c r="X1828" s="124" t="str">
        <f>IFERROR(__xludf.DUMMYFUNCTION("""COMPUTED_VALUE"""),"Walkin")</f>
        <v>Walkin</v>
      </c>
      <c r="Y1828" s="124" t="str">
        <f>IFERROR(__xludf.DUMMYFUNCTION("""COMPUTED_VALUE"""),"Patna")</f>
        <v>Patna</v>
      </c>
      <c r="Z1828" s="124">
        <f>IFERROR(__xludf.DUMMYFUNCTION("""COMPUTED_VALUE"""),1.0)</f>
        <v>1</v>
      </c>
      <c r="AA1828" s="124" t="str">
        <f>IFERROR(__xludf.DUMMYFUNCTION("""COMPUTED_VALUE"""),"Not Interested")</f>
        <v>Not Interested</v>
      </c>
      <c r="AB1828" s="124" t="str">
        <f>IFERROR(__xludf.DUMMYFUNCTION("""COMPUTED_VALUE"""),"GS Advanced")</f>
        <v>GS Advanced</v>
      </c>
    </row>
    <row r="1829">
      <c r="A1829" s="129">
        <f>IFERROR(__xludf.DUMMYFUNCTION("""COMPUTED_VALUE"""),46083.0)</f>
        <v>46083</v>
      </c>
      <c r="B1829" s="124" t="str">
        <f>IFERROR(__xludf.DUMMYFUNCTION("""COMPUTED_VALUE"""),"external leads")</f>
        <v>external leads</v>
      </c>
      <c r="C1829" s="124" t="str">
        <f>IFERROR(__xludf.DUMMYFUNCTION("""COMPUTED_VALUE"""),"Indore")</f>
        <v>Indore</v>
      </c>
      <c r="D1829" s="124" t="str">
        <f>IFERROR(__xludf.DUMMYFUNCTION("""COMPUTED_VALUE"""),"Secondary_Walkin")</f>
        <v>Secondary_Walkin</v>
      </c>
      <c r="E1829" s="124">
        <f>IFERROR(__xludf.DUMMYFUNCTION("""COMPUTED_VALUE"""),1.0)</f>
        <v>1</v>
      </c>
      <c r="F1829" s="124" t="str">
        <f>IFERROR(__xludf.DUMMYFUNCTION("""COMPUTED_VALUE"""),"Cold")</f>
        <v>Cold</v>
      </c>
      <c r="G1829" s="124" t="str">
        <f>IFERROR(__xludf.DUMMYFUNCTION("""COMPUTED_VALUE"""),"Other")</f>
        <v>Other</v>
      </c>
      <c r="K1829" s="124"/>
      <c r="L1829" s="124"/>
      <c r="M1829" s="124"/>
      <c r="N1829" s="124"/>
      <c r="O1829" s="124"/>
      <c r="T1829" s="126">
        <f>IFERROR(__xludf.DUMMYFUNCTION("""COMPUTED_VALUE"""),46091.0)</f>
        <v>46091</v>
      </c>
      <c r="U1829" s="124" t="str">
        <f>IFERROR(__xludf.DUMMYFUNCTION("""COMPUTED_VALUE"""),"Walk-Ins")</f>
        <v>Walk-Ins</v>
      </c>
      <c r="V1829" s="124" t="str">
        <f>IFERROR(__xludf.DUMMYFUNCTION("""COMPUTED_VALUE"""),"Walkin")</f>
        <v>Walkin</v>
      </c>
      <c r="W1829" s="124" t="str">
        <f>IFERROR(__xludf.DUMMYFUNCTION("""COMPUTED_VALUE"""),"Prayagraj")</f>
        <v>Prayagraj</v>
      </c>
      <c r="X1829" s="124" t="str">
        <f>IFERROR(__xludf.DUMMYFUNCTION("""COMPUTED_VALUE"""),"Walkin")</f>
        <v>Walkin</v>
      </c>
      <c r="Y1829" s="124" t="str">
        <f>IFERROR(__xludf.DUMMYFUNCTION("""COMPUTED_VALUE"""),"Prayagraj")</f>
        <v>Prayagraj</v>
      </c>
      <c r="Z1829" s="124">
        <f>IFERROR(__xludf.DUMMYFUNCTION("""COMPUTED_VALUE"""),1.0)</f>
        <v>1</v>
      </c>
      <c r="AA1829" s="124" t="str">
        <f>IFERROR(__xludf.DUMMYFUNCTION("""COMPUTED_VALUE"""),"Future Prospects")</f>
        <v>Future Prospects</v>
      </c>
      <c r="AB1829" s="124" t="str">
        <f>IFERROR(__xludf.DUMMYFUNCTION("""COMPUTED_VALUE"""),"State PCS")</f>
        <v>State PCS</v>
      </c>
    </row>
    <row r="1830">
      <c r="A1830" s="126">
        <f>IFERROR(__xludf.DUMMYFUNCTION("""COMPUTED_VALUE"""),46051.0)</f>
        <v>46051</v>
      </c>
      <c r="B1830" s="124" t="str">
        <f>IFERROR(__xludf.DUMMYFUNCTION("""COMPUTED_VALUE"""),"Walkin")</f>
        <v>Walkin</v>
      </c>
      <c r="C1830" s="124" t="str">
        <f>IFERROR(__xludf.DUMMYFUNCTION("""COMPUTED_VALUE"""),"Indore")</f>
        <v>Indore</v>
      </c>
      <c r="D1830" s="124" t="str">
        <f>IFERROR(__xludf.DUMMYFUNCTION("""COMPUTED_VALUE"""),"Primary_Walkin")</f>
        <v>Primary_Walkin</v>
      </c>
      <c r="E1830" s="124">
        <f>IFERROR(__xludf.DUMMYFUNCTION("""COMPUTED_VALUE"""),1.0)</f>
        <v>1</v>
      </c>
      <c r="F1830" s="124" t="str">
        <f>IFERROR(__xludf.DUMMYFUNCTION("""COMPUTED_VALUE"""),"Warm")</f>
        <v>Warm</v>
      </c>
      <c r="G1830" s="124" t="str">
        <f>IFERROR(__xludf.DUMMYFUNCTION("""COMPUTED_VALUE"""),"Test Series")</f>
        <v>Test Series</v>
      </c>
      <c r="K1830" s="124"/>
      <c r="L1830" s="124"/>
      <c r="M1830" s="124"/>
      <c r="N1830" s="124"/>
      <c r="O1830" s="124"/>
      <c r="T1830" s="129">
        <f>IFERROR(__xludf.DUMMYFUNCTION("""COMPUTED_VALUE"""),46105.0)</f>
        <v>46105</v>
      </c>
      <c r="U1830" s="124" t="str">
        <f>IFERROR(__xludf.DUMMYFUNCTION("""COMPUTED_VALUE"""),"Walk-Ins")</f>
        <v>Walk-Ins</v>
      </c>
      <c r="V1830" s="124" t="str">
        <f>IFERROR(__xludf.DUMMYFUNCTION("""COMPUTED_VALUE"""),"Walk-In")</f>
        <v>Walk-In</v>
      </c>
      <c r="W1830" s="124" t="str">
        <f>IFERROR(__xludf.DUMMYFUNCTION("""COMPUTED_VALUE"""),"Patna")</f>
        <v>Patna</v>
      </c>
      <c r="X1830" s="124" t="str">
        <f>IFERROR(__xludf.DUMMYFUNCTION("""COMPUTED_VALUE"""),"Others")</f>
        <v>Others</v>
      </c>
      <c r="Y1830" s="124"/>
      <c r="Z1830" s="124">
        <f>IFERROR(__xludf.DUMMYFUNCTION("""COMPUTED_VALUE"""),1.0)</f>
        <v>1</v>
      </c>
      <c r="AA1830" s="124" t="str">
        <f>IFERROR(__xludf.DUMMYFUNCTION("""COMPUTED_VALUE"""),"Warm")</f>
        <v>Warm</v>
      </c>
      <c r="AB1830" s="124" t="str">
        <f>IFERROR(__xludf.DUMMYFUNCTION("""COMPUTED_VALUE"""),"Test Series")</f>
        <v>Test Series</v>
      </c>
    </row>
    <row r="1831">
      <c r="A1831" s="126">
        <f>IFERROR(__xludf.DUMMYFUNCTION("""COMPUTED_VALUE"""),46104.0)</f>
        <v>46104</v>
      </c>
      <c r="B1831" s="124" t="str">
        <f>IFERROR(__xludf.DUMMYFUNCTION("""COMPUTED_VALUE"""),"Walkin")</f>
        <v>Walkin</v>
      </c>
      <c r="C1831" s="124" t="str">
        <f>IFERROR(__xludf.DUMMYFUNCTION("""COMPUTED_VALUE"""),"Indore")</f>
        <v>Indore</v>
      </c>
      <c r="D1831" s="124" t="str">
        <f>IFERROR(__xludf.DUMMYFUNCTION("""COMPUTED_VALUE"""),"Primary_Walkin")</f>
        <v>Primary_Walkin</v>
      </c>
      <c r="E1831" s="124">
        <f>IFERROR(__xludf.DUMMYFUNCTION("""COMPUTED_VALUE"""),2.0)</f>
        <v>2</v>
      </c>
      <c r="F1831" s="124" t="str">
        <f>IFERROR(__xludf.DUMMYFUNCTION("""COMPUTED_VALUE"""),"Future Prospects")</f>
        <v>Future Prospects</v>
      </c>
      <c r="G1831" s="124" t="str">
        <f>IFERROR(__xludf.DUMMYFUNCTION("""COMPUTED_VALUE"""),"GS Foundation")</f>
        <v>GS Foundation</v>
      </c>
      <c r="K1831" s="124"/>
      <c r="L1831" s="124"/>
      <c r="M1831" s="124"/>
      <c r="N1831" s="124"/>
      <c r="O1831" s="124"/>
      <c r="T1831" s="126">
        <f>IFERROR(__xludf.DUMMYFUNCTION("""COMPUTED_VALUE"""),46047.0)</f>
        <v>46047</v>
      </c>
      <c r="U1831" s="124" t="str">
        <f>IFERROR(__xludf.DUMMYFUNCTION("""COMPUTED_VALUE"""),"Walk-Ins")</f>
        <v>Walk-Ins</v>
      </c>
      <c r="V1831" s="124" t="str">
        <f>IFERROR(__xludf.DUMMYFUNCTION("""COMPUTED_VALUE"""),"Walkin")</f>
        <v>Walkin</v>
      </c>
      <c r="W1831" s="124" t="str">
        <f>IFERROR(__xludf.DUMMYFUNCTION("""COMPUTED_VALUE"""),"Indore")</f>
        <v>Indore</v>
      </c>
      <c r="X1831" s="124" t="str">
        <f>IFERROR(__xludf.DUMMYFUNCTION("""COMPUTED_VALUE"""),"Walkin")</f>
        <v>Walkin</v>
      </c>
      <c r="Y1831" s="124" t="str">
        <f>IFERROR(__xludf.DUMMYFUNCTION("""COMPUTED_VALUE"""),"Indore")</f>
        <v>Indore</v>
      </c>
      <c r="Z1831" s="124">
        <f>IFERROR(__xludf.DUMMYFUNCTION("""COMPUTED_VALUE"""),1.0)</f>
        <v>1</v>
      </c>
      <c r="AA1831" s="124" t="str">
        <f>IFERROR(__xludf.DUMMYFUNCTION("""COMPUTED_VALUE"""),"Not Interested")</f>
        <v>Not Interested</v>
      </c>
      <c r="AB1831" s="124" t="str">
        <f>IFERROR(__xludf.DUMMYFUNCTION("""COMPUTED_VALUE"""),"Test Series")</f>
        <v>Test Series</v>
      </c>
    </row>
    <row r="1832">
      <c r="A1832" s="129">
        <f>IFERROR(__xludf.DUMMYFUNCTION("""COMPUTED_VALUE"""),46060.0)</f>
        <v>46060</v>
      </c>
      <c r="B1832" s="124" t="str">
        <f>IFERROR(__xludf.DUMMYFUNCTION("""COMPUTED_VALUE"""),"Walk-In")</f>
        <v>Walk-In</v>
      </c>
      <c r="C1832" s="124" t="str">
        <f>IFERROR(__xludf.DUMMYFUNCTION("""COMPUTED_VALUE"""),"Lucknow")</f>
        <v>Lucknow</v>
      </c>
      <c r="D1832" s="124" t="str">
        <f>IFERROR(__xludf.DUMMYFUNCTION("""COMPUTED_VALUE"""),"Primary_Walkin")</f>
        <v>Primary_Walkin</v>
      </c>
      <c r="E1832" s="124">
        <f>IFERROR(__xludf.DUMMYFUNCTION("""COMPUTED_VALUE"""),1.0)</f>
        <v>1</v>
      </c>
      <c r="F1832" s="124" t="str">
        <f>IFERROR(__xludf.DUMMYFUNCTION("""COMPUTED_VALUE"""),"Not Interested")</f>
        <v>Not Interested</v>
      </c>
      <c r="G1832" s="124" t="str">
        <f>IFERROR(__xludf.DUMMYFUNCTION("""COMPUTED_VALUE"""),"Other")</f>
        <v>Other</v>
      </c>
      <c r="K1832" s="124"/>
      <c r="L1832" s="124"/>
      <c r="M1832" s="124"/>
      <c r="N1832" s="124"/>
      <c r="O1832" s="124"/>
      <c r="T1832" s="129">
        <f>IFERROR(__xludf.DUMMYFUNCTION("""COMPUTED_VALUE"""),46081.0)</f>
        <v>46081</v>
      </c>
      <c r="U1832" s="124" t="str">
        <f>IFERROR(__xludf.DUMMYFUNCTION("""COMPUTED_VALUE"""),"Walk-Ins")</f>
        <v>Walk-Ins</v>
      </c>
      <c r="V1832" s="124" t="str">
        <f>IFERROR(__xludf.DUMMYFUNCTION("""COMPUTED_VALUE"""),"Walkin")</f>
        <v>Walkin</v>
      </c>
      <c r="W1832" s="124" t="str">
        <f>IFERROR(__xludf.DUMMYFUNCTION("""COMPUTED_VALUE"""),"Patna")</f>
        <v>Patna</v>
      </c>
      <c r="X1832" s="124" t="str">
        <f>IFERROR(__xludf.DUMMYFUNCTION("""COMPUTED_VALUE"""),"Walkin")</f>
        <v>Walkin</v>
      </c>
      <c r="Y1832" s="124" t="str">
        <f>IFERROR(__xludf.DUMMYFUNCTION("""COMPUTED_VALUE"""),"Patna")</f>
        <v>Patna</v>
      </c>
      <c r="Z1832" s="124">
        <f>IFERROR(__xludf.DUMMYFUNCTION("""COMPUTED_VALUE"""),1.0)</f>
        <v>1</v>
      </c>
      <c r="AA1832" s="124" t="str">
        <f>IFERROR(__xludf.DUMMYFUNCTION("""COMPUTED_VALUE"""),"Warm")</f>
        <v>Warm</v>
      </c>
      <c r="AB1832" s="124"/>
    </row>
    <row r="1833">
      <c r="A1833" s="126">
        <f>IFERROR(__xludf.DUMMYFUNCTION("""COMPUTED_VALUE"""),46095.0)</f>
        <v>46095</v>
      </c>
      <c r="B1833" s="124" t="str">
        <f>IFERROR(__xludf.DUMMYFUNCTION("""COMPUTED_VALUE"""),"Walkin")</f>
        <v>Walkin</v>
      </c>
      <c r="C1833" s="124" t="str">
        <f>IFERROR(__xludf.DUMMYFUNCTION("""COMPUTED_VALUE"""),"Lucknow")</f>
        <v>Lucknow</v>
      </c>
      <c r="D1833" s="124" t="str">
        <f>IFERROR(__xludf.DUMMYFUNCTION("""COMPUTED_VALUE"""),"Primary_Walkin")</f>
        <v>Primary_Walkin</v>
      </c>
      <c r="E1833" s="124">
        <f>IFERROR(__xludf.DUMMYFUNCTION("""COMPUTED_VALUE"""),1.0)</f>
        <v>1</v>
      </c>
      <c r="F1833" s="124" t="str">
        <f>IFERROR(__xludf.DUMMYFUNCTION("""COMPUTED_VALUE"""),"Enrolled")</f>
        <v>Enrolled</v>
      </c>
      <c r="G1833" s="124" t="str">
        <f>IFERROR(__xludf.DUMMYFUNCTION("""COMPUTED_VALUE"""),"GS Foundation")</f>
        <v>GS Foundation</v>
      </c>
      <c r="K1833" s="124"/>
      <c r="L1833" s="124"/>
      <c r="M1833" s="124"/>
      <c r="N1833" s="124"/>
      <c r="O1833" s="124"/>
      <c r="T1833" s="126">
        <f>IFERROR(__xludf.DUMMYFUNCTION("""COMPUTED_VALUE"""),46060.0)</f>
        <v>46060</v>
      </c>
      <c r="U1833" s="124" t="str">
        <f>IFERROR(__xludf.DUMMYFUNCTION("""COMPUTED_VALUE"""),"Walk-Ins")</f>
        <v>Walk-Ins</v>
      </c>
      <c r="V1833" s="124" t="str">
        <f>IFERROR(__xludf.DUMMYFUNCTION("""COMPUTED_VALUE"""),"Walkin")</f>
        <v>Walkin</v>
      </c>
      <c r="W1833" s="124" t="str">
        <f>IFERROR(__xludf.DUMMYFUNCTION("""COMPUTED_VALUE"""),"Patna")</f>
        <v>Patna</v>
      </c>
      <c r="X1833" s="124" t="str">
        <f>IFERROR(__xludf.DUMMYFUNCTION("""COMPUTED_VALUE"""),"Walkin")</f>
        <v>Walkin</v>
      </c>
      <c r="Y1833" s="124" t="str">
        <f>IFERROR(__xludf.DUMMYFUNCTION("""COMPUTED_VALUE"""),"Patna")</f>
        <v>Patna</v>
      </c>
      <c r="Z1833" s="124">
        <f>IFERROR(__xludf.DUMMYFUNCTION("""COMPUTED_VALUE"""),1.0)</f>
        <v>1</v>
      </c>
      <c r="AA1833" s="124" t="str">
        <f>IFERROR(__xludf.DUMMYFUNCTION("""COMPUTED_VALUE"""),"Future Prospects")</f>
        <v>Future Prospects</v>
      </c>
      <c r="AB1833" s="124" t="str">
        <f>IFERROR(__xludf.DUMMYFUNCTION("""COMPUTED_VALUE"""),"State PCS")</f>
        <v>State PCS</v>
      </c>
    </row>
    <row r="1834">
      <c r="A1834" s="126">
        <f>IFERROR(__xludf.DUMMYFUNCTION("""COMPUTED_VALUE"""),46074.0)</f>
        <v>46074</v>
      </c>
      <c r="B1834" s="124" t="str">
        <f>IFERROR(__xludf.DUMMYFUNCTION("""COMPUTED_VALUE"""),"Walkin")</f>
        <v>Walkin</v>
      </c>
      <c r="C1834" s="124" t="str">
        <f>IFERROR(__xludf.DUMMYFUNCTION("""COMPUTED_VALUE"""),"Indore")</f>
        <v>Indore</v>
      </c>
      <c r="D1834" s="124" t="str">
        <f>IFERROR(__xludf.DUMMYFUNCTION("""COMPUTED_VALUE"""),"Primary_Walkin")</f>
        <v>Primary_Walkin</v>
      </c>
      <c r="E1834" s="124">
        <f>IFERROR(__xludf.DUMMYFUNCTION("""COMPUTED_VALUE"""),2.0)</f>
        <v>2</v>
      </c>
      <c r="F1834" s="124" t="str">
        <f>IFERROR(__xludf.DUMMYFUNCTION("""COMPUTED_VALUE"""),"Not Interested")</f>
        <v>Not Interested</v>
      </c>
      <c r="G1834" s="124" t="str">
        <f>IFERROR(__xludf.DUMMYFUNCTION("""COMPUTED_VALUE"""),"Mentorship")</f>
        <v>Mentorship</v>
      </c>
      <c r="K1834" s="124"/>
      <c r="L1834" s="124"/>
      <c r="M1834" s="124"/>
      <c r="N1834" s="124"/>
      <c r="O1834" s="124"/>
      <c r="T1834" s="126">
        <f>IFERROR(__xludf.DUMMYFUNCTION("""COMPUTED_VALUE"""),46072.0)</f>
        <v>46072</v>
      </c>
      <c r="U1834" s="124" t="str">
        <f>IFERROR(__xludf.DUMMYFUNCTION("""COMPUTED_VALUE"""),"Walk-Ins")</f>
        <v>Walk-Ins</v>
      </c>
      <c r="V1834" s="124" t="str">
        <f>IFERROR(__xludf.DUMMYFUNCTION("""COMPUTED_VALUE"""),"Walkin")</f>
        <v>Walkin</v>
      </c>
      <c r="W1834" s="124" t="str">
        <f>IFERROR(__xludf.DUMMYFUNCTION("""COMPUTED_VALUE"""),"Prayagraj")</f>
        <v>Prayagraj</v>
      </c>
      <c r="X1834" s="124" t="str">
        <f>IFERROR(__xludf.DUMMYFUNCTION("""COMPUTED_VALUE"""),"Walkin")</f>
        <v>Walkin</v>
      </c>
      <c r="Y1834" s="124" t="str">
        <f>IFERROR(__xludf.DUMMYFUNCTION("""COMPUTED_VALUE"""),"Prayagraj")</f>
        <v>Prayagraj</v>
      </c>
      <c r="Z1834" s="124">
        <f>IFERROR(__xludf.DUMMYFUNCTION("""COMPUTED_VALUE"""),2.0)</f>
        <v>2</v>
      </c>
      <c r="AA1834" s="124" t="str">
        <f>IFERROR(__xludf.DUMMYFUNCTION("""COMPUTED_VALUE"""),"Cold")</f>
        <v>Cold</v>
      </c>
      <c r="AB1834" s="124" t="str">
        <f>IFERROR(__xludf.DUMMYFUNCTION("""COMPUTED_VALUE"""),"State PCS")</f>
        <v>State PCS</v>
      </c>
    </row>
    <row r="1835">
      <c r="A1835" s="126">
        <f>IFERROR(__xludf.DUMMYFUNCTION("""COMPUTED_VALUE"""),46066.0)</f>
        <v>46066</v>
      </c>
      <c r="B1835" s="124" t="str">
        <f>IFERROR(__xludf.DUMMYFUNCTION("""COMPUTED_VALUE"""),"Walkin")</f>
        <v>Walkin</v>
      </c>
      <c r="C1835" s="124" t="str">
        <f>IFERROR(__xludf.DUMMYFUNCTION("""COMPUTED_VALUE"""),"Indore")</f>
        <v>Indore</v>
      </c>
      <c r="D1835" s="124" t="str">
        <f>IFERROR(__xludf.DUMMYFUNCTION("""COMPUTED_VALUE"""),"Primary_Walkin")</f>
        <v>Primary_Walkin</v>
      </c>
      <c r="E1835" s="124">
        <f>IFERROR(__xludf.DUMMYFUNCTION("""COMPUTED_VALUE"""),1.0)</f>
        <v>1</v>
      </c>
      <c r="F1835" s="124" t="str">
        <f>IFERROR(__xludf.DUMMYFUNCTION("""COMPUTED_VALUE"""),"Future Prospects")</f>
        <v>Future Prospects</v>
      </c>
      <c r="G1835" s="124" t="str">
        <f>IFERROR(__xludf.DUMMYFUNCTION("""COMPUTED_VALUE"""),"GS Foundation")</f>
        <v>GS Foundation</v>
      </c>
      <c r="K1835" s="124"/>
      <c r="L1835" s="124"/>
      <c r="M1835" s="124"/>
      <c r="N1835" s="124"/>
      <c r="O1835" s="124"/>
      <c r="T1835" s="129">
        <f>IFERROR(__xludf.DUMMYFUNCTION("""COMPUTED_VALUE"""),46106.0)</f>
        <v>46106</v>
      </c>
      <c r="U1835" s="124" t="str">
        <f>IFERROR(__xludf.DUMMYFUNCTION("""COMPUTED_VALUE"""),"Walk-Ins")</f>
        <v>Walk-Ins</v>
      </c>
      <c r="V1835" s="124" t="str">
        <f>IFERROR(__xludf.DUMMYFUNCTION("""COMPUTED_VALUE"""),"Walkin")</f>
        <v>Walkin</v>
      </c>
      <c r="W1835" s="124" t="str">
        <f>IFERROR(__xludf.DUMMYFUNCTION("""COMPUTED_VALUE"""),"Prayagraj")</f>
        <v>Prayagraj</v>
      </c>
      <c r="X1835" s="124" t="str">
        <f>IFERROR(__xludf.DUMMYFUNCTION("""COMPUTED_VALUE"""),"Walkin")</f>
        <v>Walkin</v>
      </c>
      <c r="Y1835" s="124" t="str">
        <f>IFERROR(__xludf.DUMMYFUNCTION("""COMPUTED_VALUE"""),"Prayagraj")</f>
        <v>Prayagraj</v>
      </c>
      <c r="Z1835" s="124">
        <f>IFERROR(__xludf.DUMMYFUNCTION("""COMPUTED_VALUE"""),1.0)</f>
        <v>1</v>
      </c>
      <c r="AA1835" s="124" t="str">
        <f>IFERROR(__xludf.DUMMYFUNCTION("""COMPUTED_VALUE"""),"Enrolled")</f>
        <v>Enrolled</v>
      </c>
      <c r="AB1835" s="124" t="str">
        <f>IFERROR(__xludf.DUMMYFUNCTION("""COMPUTED_VALUE"""),"Mentorship")</f>
        <v>Mentorship</v>
      </c>
    </row>
    <row r="1836">
      <c r="A1836" s="126">
        <f>IFERROR(__xludf.DUMMYFUNCTION("""COMPUTED_VALUE"""),46071.0)</f>
        <v>46071</v>
      </c>
      <c r="B1836" s="124" t="str">
        <f>IFERROR(__xludf.DUMMYFUNCTION("""COMPUTED_VALUE"""),"Walkin")</f>
        <v>Walkin</v>
      </c>
      <c r="C1836" s="124" t="str">
        <f>IFERROR(__xludf.DUMMYFUNCTION("""COMPUTED_VALUE"""),"Patna")</f>
        <v>Patna</v>
      </c>
      <c r="D1836" s="124" t="str">
        <f>IFERROR(__xludf.DUMMYFUNCTION("""COMPUTED_VALUE"""),"Primary_Walkin")</f>
        <v>Primary_Walkin</v>
      </c>
      <c r="E1836" s="124">
        <f>IFERROR(__xludf.DUMMYFUNCTION("""COMPUTED_VALUE"""),1.0)</f>
        <v>1</v>
      </c>
      <c r="F1836" s="124" t="str">
        <f>IFERROR(__xludf.DUMMYFUNCTION("""COMPUTED_VALUE"""),"Not Interested")</f>
        <v>Not Interested</v>
      </c>
      <c r="G1836" s="124" t="str">
        <f>IFERROR(__xludf.DUMMYFUNCTION("""COMPUTED_VALUE"""),"State PCS")</f>
        <v>State PCS</v>
      </c>
      <c r="K1836" s="124"/>
      <c r="L1836" s="124"/>
      <c r="M1836" s="124"/>
      <c r="N1836" s="124"/>
      <c r="O1836" s="124"/>
      <c r="T1836" s="126">
        <f>IFERROR(__xludf.DUMMYFUNCTION("""COMPUTED_VALUE"""),46098.0)</f>
        <v>46098</v>
      </c>
      <c r="U1836" s="124" t="str">
        <f>IFERROR(__xludf.DUMMYFUNCTION("""COMPUTED_VALUE"""),"Walk-Ins")</f>
        <v>Walk-Ins</v>
      </c>
      <c r="V1836" s="124" t="str">
        <f>IFERROR(__xludf.DUMMYFUNCTION("""COMPUTED_VALUE"""),"Walkin")</f>
        <v>Walkin</v>
      </c>
      <c r="W1836" s="124" t="str">
        <f>IFERROR(__xludf.DUMMYFUNCTION("""COMPUTED_VALUE"""),"Indore")</f>
        <v>Indore</v>
      </c>
      <c r="X1836" s="124" t="str">
        <f>IFERROR(__xludf.DUMMYFUNCTION("""COMPUTED_VALUE"""),"Walkin")</f>
        <v>Walkin</v>
      </c>
      <c r="Y1836" s="124" t="str">
        <f>IFERROR(__xludf.DUMMYFUNCTION("""COMPUTED_VALUE"""),"Indore")</f>
        <v>Indore</v>
      </c>
      <c r="Z1836" s="124">
        <f>IFERROR(__xludf.DUMMYFUNCTION("""COMPUTED_VALUE"""),1.0)</f>
        <v>1</v>
      </c>
      <c r="AA1836" s="124" t="str">
        <f>IFERROR(__xludf.DUMMYFUNCTION("""COMPUTED_VALUE"""),"Future Prospects")</f>
        <v>Future Prospects</v>
      </c>
      <c r="AB1836" s="124" t="str">
        <f>IFERROR(__xludf.DUMMYFUNCTION("""COMPUTED_VALUE"""),"State PCS")</f>
        <v>State PCS</v>
      </c>
    </row>
    <row r="1837">
      <c r="A1837" s="126">
        <f>IFERROR(__xludf.DUMMYFUNCTION("""COMPUTED_VALUE"""),46108.0)</f>
        <v>46108</v>
      </c>
      <c r="B1837" s="124" t="str">
        <f>IFERROR(__xludf.DUMMYFUNCTION("""COMPUTED_VALUE"""),"Walkin")</f>
        <v>Walkin</v>
      </c>
      <c r="C1837" s="124" t="str">
        <f>IFERROR(__xludf.DUMMYFUNCTION("""COMPUTED_VALUE"""),"Patna")</f>
        <v>Patna</v>
      </c>
      <c r="D1837" s="124" t="str">
        <f>IFERROR(__xludf.DUMMYFUNCTION("""COMPUTED_VALUE"""),"Primary_Walkin")</f>
        <v>Primary_Walkin</v>
      </c>
      <c r="E1837" s="124">
        <f>IFERROR(__xludf.DUMMYFUNCTION("""COMPUTED_VALUE"""),1.0)</f>
        <v>1</v>
      </c>
      <c r="F1837" s="124" t="str">
        <f>IFERROR(__xludf.DUMMYFUNCTION("""COMPUTED_VALUE"""),"Enrolled")</f>
        <v>Enrolled</v>
      </c>
      <c r="G1837" s="124" t="str">
        <f>IFERROR(__xludf.DUMMYFUNCTION("""COMPUTED_VALUE"""),"State PCS")</f>
        <v>State PCS</v>
      </c>
      <c r="K1837" s="124"/>
      <c r="L1837" s="124"/>
      <c r="M1837" s="124"/>
      <c r="N1837" s="124"/>
      <c r="O1837" s="124"/>
      <c r="T1837" s="126">
        <f>IFERROR(__xludf.DUMMYFUNCTION("""COMPUTED_VALUE"""),46053.0)</f>
        <v>46053</v>
      </c>
      <c r="U1837" s="124" t="str">
        <f>IFERROR(__xludf.DUMMYFUNCTION("""COMPUTED_VALUE"""),"Walk-Ins")</f>
        <v>Walk-Ins</v>
      </c>
      <c r="V1837" s="124" t="str">
        <f>IFERROR(__xludf.DUMMYFUNCTION("""COMPUTED_VALUE"""),"Walkin")</f>
        <v>Walkin</v>
      </c>
      <c r="W1837" s="124" t="str">
        <f>IFERROR(__xludf.DUMMYFUNCTION("""COMPUTED_VALUE"""),"Indore")</f>
        <v>Indore</v>
      </c>
      <c r="X1837" s="124" t="str">
        <f>IFERROR(__xludf.DUMMYFUNCTION("""COMPUTED_VALUE"""),"Walkin")</f>
        <v>Walkin</v>
      </c>
      <c r="Y1837" s="124" t="str">
        <f>IFERROR(__xludf.DUMMYFUNCTION("""COMPUTED_VALUE"""),"Indore")</f>
        <v>Indore</v>
      </c>
      <c r="Z1837" s="124">
        <f>IFERROR(__xludf.DUMMYFUNCTION("""COMPUTED_VALUE"""),1.0)</f>
        <v>1</v>
      </c>
      <c r="AA1837" s="124" t="str">
        <f>IFERROR(__xludf.DUMMYFUNCTION("""COMPUTED_VALUE"""),"Warm")</f>
        <v>Warm</v>
      </c>
      <c r="AB1837" s="124" t="str">
        <f>IFERROR(__xludf.DUMMYFUNCTION("""COMPUTED_VALUE"""),"Test Series")</f>
        <v>Test Series</v>
      </c>
    </row>
    <row r="1838">
      <c r="A1838" s="129">
        <f>IFERROR(__xludf.DUMMYFUNCTION("""COMPUTED_VALUE"""),46057.0)</f>
        <v>46057</v>
      </c>
      <c r="B1838" s="124" t="str">
        <f>IFERROR(__xludf.DUMMYFUNCTION("""COMPUTED_VALUE"""),"Inbound Call")</f>
        <v>Inbound Call</v>
      </c>
      <c r="C1838" s="124" t="str">
        <f>IFERROR(__xludf.DUMMYFUNCTION("""COMPUTED_VALUE"""),"Patna")</f>
        <v>Patna</v>
      </c>
      <c r="D1838" s="124" t="str">
        <f>IFERROR(__xludf.DUMMYFUNCTION("""COMPUTED_VALUE"""),"Secondary_Walkin")</f>
        <v>Secondary_Walkin</v>
      </c>
      <c r="E1838" s="124">
        <f>IFERROR(__xludf.DUMMYFUNCTION("""COMPUTED_VALUE"""),1.0)</f>
        <v>1</v>
      </c>
      <c r="F1838" s="124" t="str">
        <f>IFERROR(__xludf.DUMMYFUNCTION("""COMPUTED_VALUE"""),"Enrolled")</f>
        <v>Enrolled</v>
      </c>
      <c r="G1838" s="124" t="str">
        <f>IFERROR(__xludf.DUMMYFUNCTION("""COMPUTED_VALUE"""),"State PCS")</f>
        <v>State PCS</v>
      </c>
      <c r="K1838" s="124"/>
      <c r="L1838" s="124"/>
      <c r="M1838" s="124"/>
      <c r="N1838" s="124"/>
      <c r="O1838" s="124"/>
      <c r="T1838" s="126">
        <f>IFERROR(__xludf.DUMMYFUNCTION("""COMPUTED_VALUE"""),46070.0)</f>
        <v>46070</v>
      </c>
      <c r="U1838" s="124" t="str">
        <f>IFERROR(__xludf.DUMMYFUNCTION("""COMPUTED_VALUE"""),"Walk-Ins")</f>
        <v>Walk-Ins</v>
      </c>
      <c r="V1838" s="124" t="str">
        <f>IFERROR(__xludf.DUMMYFUNCTION("""COMPUTED_VALUE"""),"Walkin")</f>
        <v>Walkin</v>
      </c>
      <c r="W1838" s="124" t="str">
        <f>IFERROR(__xludf.DUMMYFUNCTION("""COMPUTED_VALUE"""),"Patna")</f>
        <v>Patna</v>
      </c>
      <c r="X1838" s="124" t="str">
        <f>IFERROR(__xludf.DUMMYFUNCTION("""COMPUTED_VALUE"""),"Walkin")</f>
        <v>Walkin</v>
      </c>
      <c r="Y1838" s="124" t="str">
        <f>IFERROR(__xludf.DUMMYFUNCTION("""COMPUTED_VALUE"""),"Patna")</f>
        <v>Patna</v>
      </c>
      <c r="Z1838" s="124">
        <f>IFERROR(__xludf.DUMMYFUNCTION("""COMPUTED_VALUE"""),1.0)</f>
        <v>1</v>
      </c>
      <c r="AA1838" s="124" t="str">
        <f>IFERROR(__xludf.DUMMYFUNCTION("""COMPUTED_VALUE"""),"Enrolled")</f>
        <v>Enrolled</v>
      </c>
      <c r="AB1838" s="124" t="str">
        <f>IFERROR(__xludf.DUMMYFUNCTION("""COMPUTED_VALUE"""),"State PCS")</f>
        <v>State PCS</v>
      </c>
    </row>
    <row r="1839">
      <c r="A1839" s="126">
        <f>IFERROR(__xludf.DUMMYFUNCTION("""COMPUTED_VALUE"""),46044.0)</f>
        <v>46044</v>
      </c>
      <c r="B1839" s="124" t="str">
        <f>IFERROR(__xludf.DUMMYFUNCTION("""COMPUTED_VALUE"""),"Walkin")</f>
        <v>Walkin</v>
      </c>
      <c r="C1839" s="124" t="str">
        <f>IFERROR(__xludf.DUMMYFUNCTION("""COMPUTED_VALUE"""),"Patna")</f>
        <v>Patna</v>
      </c>
      <c r="D1839" s="124" t="str">
        <f>IFERROR(__xludf.DUMMYFUNCTION("""COMPUTED_VALUE"""),"Primary_Walkin")</f>
        <v>Primary_Walkin</v>
      </c>
      <c r="E1839" s="124">
        <f>IFERROR(__xludf.DUMMYFUNCTION("""COMPUTED_VALUE"""),1.0)</f>
        <v>1</v>
      </c>
      <c r="F1839" s="124" t="str">
        <f>IFERROR(__xludf.DUMMYFUNCTION("""COMPUTED_VALUE"""),"Not Interested")</f>
        <v>Not Interested</v>
      </c>
      <c r="G1839" s="124" t="str">
        <f>IFERROR(__xludf.DUMMYFUNCTION("""COMPUTED_VALUE"""),"State PCS")</f>
        <v>State PCS</v>
      </c>
      <c r="K1839" s="124"/>
      <c r="L1839" s="124"/>
      <c r="M1839" s="124"/>
      <c r="N1839" s="124"/>
      <c r="O1839" s="124"/>
      <c r="T1839" s="126">
        <f>IFERROR(__xludf.DUMMYFUNCTION("""COMPUTED_VALUE"""),46066.0)</f>
        <v>46066</v>
      </c>
      <c r="U1839" s="124" t="str">
        <f>IFERROR(__xludf.DUMMYFUNCTION("""COMPUTED_VALUE"""),"Walk-Ins")</f>
        <v>Walk-Ins</v>
      </c>
      <c r="V1839" s="124" t="str">
        <f>IFERROR(__xludf.DUMMYFUNCTION("""COMPUTED_VALUE"""),"Walkin")</f>
        <v>Walkin</v>
      </c>
      <c r="W1839" s="124" t="str">
        <f>IFERROR(__xludf.DUMMYFUNCTION("""COMPUTED_VALUE"""),"Indore")</f>
        <v>Indore</v>
      </c>
      <c r="X1839" s="124" t="str">
        <f>IFERROR(__xludf.DUMMYFUNCTION("""COMPUTED_VALUE"""),"Walkin")</f>
        <v>Walkin</v>
      </c>
      <c r="Y1839" s="124" t="str">
        <f>IFERROR(__xludf.DUMMYFUNCTION("""COMPUTED_VALUE"""),"Indore")</f>
        <v>Indore</v>
      </c>
      <c r="Z1839" s="124">
        <f>IFERROR(__xludf.DUMMYFUNCTION("""COMPUTED_VALUE"""),1.0)</f>
        <v>1</v>
      </c>
      <c r="AA1839" s="124" t="str">
        <f>IFERROR(__xludf.DUMMYFUNCTION("""COMPUTED_VALUE"""),"Not Interested")</f>
        <v>Not Interested</v>
      </c>
      <c r="AB1839" s="124" t="str">
        <f>IFERROR(__xludf.DUMMYFUNCTION("""COMPUTED_VALUE"""),"State PCS")</f>
        <v>State PCS</v>
      </c>
    </row>
    <row r="1840">
      <c r="A1840" s="126">
        <f>IFERROR(__xludf.DUMMYFUNCTION("""COMPUTED_VALUE"""),46049.0)</f>
        <v>46049</v>
      </c>
      <c r="B1840" s="124" t="str">
        <f>IFERROR(__xludf.DUMMYFUNCTION("""COMPUTED_VALUE"""),"Walk-In")</f>
        <v>Walk-In</v>
      </c>
      <c r="C1840" s="124" t="str">
        <f>IFERROR(__xludf.DUMMYFUNCTION("""COMPUTED_VALUE"""),"Patna")</f>
        <v>Patna</v>
      </c>
      <c r="D1840" s="124" t="str">
        <f>IFERROR(__xludf.DUMMYFUNCTION("""COMPUTED_VALUE"""),"Primary_Walkin")</f>
        <v>Primary_Walkin</v>
      </c>
      <c r="E1840" s="124">
        <f>IFERROR(__xludf.DUMMYFUNCTION("""COMPUTED_VALUE"""),2.0)</f>
        <v>2</v>
      </c>
      <c r="F1840" s="124" t="str">
        <f>IFERROR(__xludf.DUMMYFUNCTION("""COMPUTED_VALUE"""),"Cold")</f>
        <v>Cold</v>
      </c>
      <c r="G1840" s="124" t="str">
        <f>IFERROR(__xludf.DUMMYFUNCTION("""COMPUTED_VALUE"""),"GS Foundation")</f>
        <v>GS Foundation</v>
      </c>
      <c r="K1840" s="124"/>
      <c r="L1840" s="124"/>
      <c r="M1840" s="124"/>
      <c r="N1840" s="124"/>
      <c r="O1840" s="124"/>
      <c r="T1840" s="126">
        <f>IFERROR(__xludf.DUMMYFUNCTION("""COMPUTED_VALUE"""),46104.0)</f>
        <v>46104</v>
      </c>
      <c r="U1840" s="124" t="str">
        <f>IFERROR(__xludf.DUMMYFUNCTION("""COMPUTED_VALUE"""),"Walk-Ins")</f>
        <v>Walk-Ins</v>
      </c>
      <c r="V1840" s="124" t="str">
        <f>IFERROR(__xludf.DUMMYFUNCTION("""COMPUTED_VALUE"""),"Walkin")</f>
        <v>Walkin</v>
      </c>
      <c r="W1840" s="124" t="str">
        <f>IFERROR(__xludf.DUMMYFUNCTION("""COMPUTED_VALUE"""),"Patna")</f>
        <v>Patna</v>
      </c>
      <c r="X1840" s="124" t="str">
        <f>IFERROR(__xludf.DUMMYFUNCTION("""COMPUTED_VALUE"""),"Walkin")</f>
        <v>Walkin</v>
      </c>
      <c r="Y1840" s="124" t="str">
        <f>IFERROR(__xludf.DUMMYFUNCTION("""COMPUTED_VALUE"""),"Patna")</f>
        <v>Patna</v>
      </c>
      <c r="Z1840" s="124">
        <f>IFERROR(__xludf.DUMMYFUNCTION("""COMPUTED_VALUE"""),1.0)</f>
        <v>1</v>
      </c>
      <c r="AA1840" s="124" t="str">
        <f>IFERROR(__xludf.DUMMYFUNCTION("""COMPUTED_VALUE"""),"Cold")</f>
        <v>Cold</v>
      </c>
      <c r="AB1840" s="124" t="str">
        <f>IFERROR(__xludf.DUMMYFUNCTION("""COMPUTED_VALUE"""),"State PCS")</f>
        <v>State PCS</v>
      </c>
    </row>
    <row r="1841">
      <c r="A1841" s="126">
        <f>IFERROR(__xludf.DUMMYFUNCTION("""COMPUTED_VALUE"""),46106.0)</f>
        <v>46106</v>
      </c>
      <c r="B1841" s="124" t="str">
        <f>IFERROR(__xludf.DUMMYFUNCTION("""COMPUTED_VALUE"""),"Walk-In")</f>
        <v>Walk-In</v>
      </c>
      <c r="C1841" s="124" t="str">
        <f>IFERROR(__xludf.DUMMYFUNCTION("""COMPUTED_VALUE"""),"Patna")</f>
        <v>Patna</v>
      </c>
      <c r="D1841" s="124" t="str">
        <f>IFERROR(__xludf.DUMMYFUNCTION("""COMPUTED_VALUE"""),"Primary_Walkin")</f>
        <v>Primary_Walkin</v>
      </c>
      <c r="E1841" s="124">
        <f>IFERROR(__xludf.DUMMYFUNCTION("""COMPUTED_VALUE"""),1.0)</f>
        <v>1</v>
      </c>
      <c r="F1841" s="124" t="str">
        <f>IFERROR(__xludf.DUMMYFUNCTION("""COMPUTED_VALUE"""),"Cold")</f>
        <v>Cold</v>
      </c>
      <c r="G1841" s="124" t="str">
        <f>IFERROR(__xludf.DUMMYFUNCTION("""COMPUTED_VALUE"""),"State PCS")</f>
        <v>State PCS</v>
      </c>
      <c r="K1841" s="124"/>
      <c r="L1841" s="124"/>
      <c r="M1841" s="124"/>
      <c r="N1841" s="124"/>
      <c r="O1841" s="124"/>
      <c r="T1841" s="126">
        <f>IFERROR(__xludf.DUMMYFUNCTION("""COMPUTED_VALUE"""),46090.0)</f>
        <v>46090</v>
      </c>
      <c r="U1841" s="124" t="str">
        <f>IFERROR(__xludf.DUMMYFUNCTION("""COMPUTED_VALUE"""),"Walk-Ins")</f>
        <v>Walk-Ins</v>
      </c>
      <c r="V1841" s="124" t="str">
        <f>IFERROR(__xludf.DUMMYFUNCTION("""COMPUTED_VALUE"""),"Walkin")</f>
        <v>Walkin</v>
      </c>
      <c r="W1841" s="124" t="str">
        <f>IFERROR(__xludf.DUMMYFUNCTION("""COMPUTED_VALUE"""),"Patna")</f>
        <v>Patna</v>
      </c>
      <c r="X1841" s="124" t="str">
        <f>IFERROR(__xludf.DUMMYFUNCTION("""COMPUTED_VALUE"""),"Walkin")</f>
        <v>Walkin</v>
      </c>
      <c r="Y1841" s="124" t="str">
        <f>IFERROR(__xludf.DUMMYFUNCTION("""COMPUTED_VALUE"""),"Patna")</f>
        <v>Patna</v>
      </c>
      <c r="Z1841" s="124">
        <f>IFERROR(__xludf.DUMMYFUNCTION("""COMPUTED_VALUE"""),1.0)</f>
        <v>1</v>
      </c>
      <c r="AA1841" s="124" t="str">
        <f>IFERROR(__xludf.DUMMYFUNCTION("""COMPUTED_VALUE"""),"Cold")</f>
        <v>Cold</v>
      </c>
      <c r="AB1841" s="124" t="str">
        <f>IFERROR(__xludf.DUMMYFUNCTION("""COMPUTED_VALUE"""),"GS Advanced")</f>
        <v>GS Advanced</v>
      </c>
    </row>
    <row r="1842">
      <c r="A1842" s="129">
        <f>IFERROR(__xludf.DUMMYFUNCTION("""COMPUTED_VALUE"""),46055.0)</f>
        <v>46055</v>
      </c>
      <c r="B1842" s="124" t="str">
        <f>IFERROR(__xludf.DUMMYFUNCTION("""COMPUTED_VALUE"""),"Walk-In")</f>
        <v>Walk-In</v>
      </c>
      <c r="C1842" s="124" t="str">
        <f>IFERROR(__xludf.DUMMYFUNCTION("""COMPUTED_VALUE"""),"Patna")</f>
        <v>Patna</v>
      </c>
      <c r="D1842" s="124" t="str">
        <f>IFERROR(__xludf.DUMMYFUNCTION("""COMPUTED_VALUE"""),"Primary_Walkin")</f>
        <v>Primary_Walkin</v>
      </c>
      <c r="E1842" s="124">
        <f>IFERROR(__xludf.DUMMYFUNCTION("""COMPUTED_VALUE"""),1.0)</f>
        <v>1</v>
      </c>
      <c r="F1842" s="124" t="str">
        <f>IFERROR(__xludf.DUMMYFUNCTION("""COMPUTED_VALUE"""),"Not Interested")</f>
        <v>Not Interested</v>
      </c>
      <c r="G1842" s="124" t="str">
        <f>IFERROR(__xludf.DUMMYFUNCTION("""COMPUTED_VALUE"""),"Mentorship")</f>
        <v>Mentorship</v>
      </c>
      <c r="K1842" s="124"/>
      <c r="L1842" s="124"/>
      <c r="M1842" s="124"/>
      <c r="N1842" s="124"/>
      <c r="O1842" s="124"/>
      <c r="T1842" s="129">
        <f>IFERROR(__xludf.DUMMYFUNCTION("""COMPUTED_VALUE"""),46058.0)</f>
        <v>46058</v>
      </c>
      <c r="U1842" s="124" t="str">
        <f>IFERROR(__xludf.DUMMYFUNCTION("""COMPUTED_VALUE"""),"Walk-Ins")</f>
        <v>Walk-Ins</v>
      </c>
      <c r="V1842" s="124" t="str">
        <f>IFERROR(__xludf.DUMMYFUNCTION("""COMPUTED_VALUE"""),"Walkin")</f>
        <v>Walkin</v>
      </c>
      <c r="W1842" s="124" t="str">
        <f>IFERROR(__xludf.DUMMYFUNCTION("""COMPUTED_VALUE"""),"Prayagraj")</f>
        <v>Prayagraj</v>
      </c>
      <c r="X1842" s="124" t="str">
        <f>IFERROR(__xludf.DUMMYFUNCTION("""COMPUTED_VALUE"""),"Walkin")</f>
        <v>Walkin</v>
      </c>
      <c r="Y1842" s="124" t="str">
        <f>IFERROR(__xludf.DUMMYFUNCTION("""COMPUTED_VALUE"""),"Prayagraj")</f>
        <v>Prayagraj</v>
      </c>
      <c r="Z1842" s="124">
        <f>IFERROR(__xludf.DUMMYFUNCTION("""COMPUTED_VALUE"""),1.0)</f>
        <v>1</v>
      </c>
      <c r="AA1842" s="124" t="str">
        <f>IFERROR(__xludf.DUMMYFUNCTION("""COMPUTED_VALUE"""),"Not Interested")</f>
        <v>Not Interested</v>
      </c>
      <c r="AB1842" s="124" t="str">
        <f>IFERROR(__xludf.DUMMYFUNCTION("""COMPUTED_VALUE"""),"GS Foundation")</f>
        <v>GS Foundation</v>
      </c>
    </row>
    <row r="1843">
      <c r="A1843" s="126">
        <f>IFERROR(__xludf.DUMMYFUNCTION("""COMPUTED_VALUE"""),46049.0)</f>
        <v>46049</v>
      </c>
      <c r="B1843" s="124" t="str">
        <f>IFERROR(__xludf.DUMMYFUNCTION("""COMPUTED_VALUE"""),"Walkin")</f>
        <v>Walkin</v>
      </c>
      <c r="C1843" s="124" t="str">
        <f>IFERROR(__xludf.DUMMYFUNCTION("""COMPUTED_VALUE"""),"Patna")</f>
        <v>Patna</v>
      </c>
      <c r="D1843" s="124" t="str">
        <f>IFERROR(__xludf.DUMMYFUNCTION("""COMPUTED_VALUE"""),"Primary_Walkin")</f>
        <v>Primary_Walkin</v>
      </c>
      <c r="E1843" s="124">
        <f>IFERROR(__xludf.DUMMYFUNCTION("""COMPUTED_VALUE"""),1.0)</f>
        <v>1</v>
      </c>
      <c r="F1843" s="124" t="str">
        <f>IFERROR(__xludf.DUMMYFUNCTION("""COMPUTED_VALUE"""),"Not Interested")</f>
        <v>Not Interested</v>
      </c>
      <c r="G1843" s="124" t="str">
        <f>IFERROR(__xludf.DUMMYFUNCTION("""COMPUTED_VALUE"""),"State PCS")</f>
        <v>State PCS</v>
      </c>
      <c r="K1843" s="124"/>
      <c r="L1843" s="124"/>
      <c r="M1843" s="124"/>
      <c r="N1843" s="124"/>
      <c r="O1843" s="124"/>
      <c r="T1843" s="126">
        <f>IFERROR(__xludf.DUMMYFUNCTION("""COMPUTED_VALUE"""),46057.0)</f>
        <v>46057</v>
      </c>
      <c r="U1843" s="124" t="str">
        <f>IFERROR(__xludf.DUMMYFUNCTION("""COMPUTED_VALUE"""),"Walk-Ins")</f>
        <v>Walk-Ins</v>
      </c>
      <c r="V1843" s="124" t="str">
        <f>IFERROR(__xludf.DUMMYFUNCTION("""COMPUTED_VALUE"""),"Walkin")</f>
        <v>Walkin</v>
      </c>
      <c r="W1843" s="124" t="str">
        <f>IFERROR(__xludf.DUMMYFUNCTION("""COMPUTED_VALUE"""),"Patna")</f>
        <v>Patna</v>
      </c>
      <c r="X1843" s="124" t="str">
        <f>IFERROR(__xludf.DUMMYFUNCTION("""COMPUTED_VALUE"""),"Walkin")</f>
        <v>Walkin</v>
      </c>
      <c r="Y1843" s="124" t="str">
        <f>IFERROR(__xludf.DUMMYFUNCTION("""COMPUTED_VALUE"""),"Patna")</f>
        <v>Patna</v>
      </c>
      <c r="Z1843" s="124">
        <f>IFERROR(__xludf.DUMMYFUNCTION("""COMPUTED_VALUE"""),1.0)</f>
        <v>1</v>
      </c>
      <c r="AA1843" s="124" t="str">
        <f>IFERROR(__xludf.DUMMYFUNCTION("""COMPUTED_VALUE"""),"Future Prospects")</f>
        <v>Future Prospects</v>
      </c>
      <c r="AB1843" s="124" t="str">
        <f>IFERROR(__xludf.DUMMYFUNCTION("""COMPUTED_VALUE"""),"GS Foundation")</f>
        <v>GS Foundation</v>
      </c>
    </row>
    <row r="1844">
      <c r="A1844" s="126">
        <f>IFERROR(__xludf.DUMMYFUNCTION("""COMPUTED_VALUE"""),46072.0)</f>
        <v>46072</v>
      </c>
      <c r="B1844" s="124" t="str">
        <f>IFERROR(__xludf.DUMMYFUNCTION("""COMPUTED_VALUE"""),"Walkin")</f>
        <v>Walkin</v>
      </c>
      <c r="C1844" s="124" t="str">
        <f>IFERROR(__xludf.DUMMYFUNCTION("""COMPUTED_VALUE"""),"Patna")</f>
        <v>Patna</v>
      </c>
      <c r="D1844" s="124" t="str">
        <f>IFERROR(__xludf.DUMMYFUNCTION("""COMPUTED_VALUE"""),"Primary_Walkin")</f>
        <v>Primary_Walkin</v>
      </c>
      <c r="E1844" s="124">
        <f>IFERROR(__xludf.DUMMYFUNCTION("""COMPUTED_VALUE"""),1.0)</f>
        <v>1</v>
      </c>
      <c r="F1844" s="124" t="str">
        <f>IFERROR(__xludf.DUMMYFUNCTION("""COMPUTED_VALUE"""),"Not Interested")</f>
        <v>Not Interested</v>
      </c>
      <c r="G1844" s="124" t="str">
        <f>IFERROR(__xludf.DUMMYFUNCTION("""COMPUTED_VALUE"""),"State PCS")</f>
        <v>State PCS</v>
      </c>
      <c r="K1844" s="124"/>
      <c r="L1844" s="124"/>
      <c r="M1844" s="124"/>
      <c r="N1844" s="124"/>
      <c r="O1844" s="124"/>
      <c r="T1844" s="129">
        <f>IFERROR(__xludf.DUMMYFUNCTION("""COMPUTED_VALUE"""),46053.0)</f>
        <v>46053</v>
      </c>
      <c r="U1844" s="124" t="str">
        <f>IFERROR(__xludf.DUMMYFUNCTION("""COMPUTED_VALUE"""),"Walk-Ins")</f>
        <v>Walk-Ins</v>
      </c>
      <c r="V1844" s="124" t="str">
        <f>IFERROR(__xludf.DUMMYFUNCTION("""COMPUTED_VALUE"""),"Walkin")</f>
        <v>Walkin</v>
      </c>
      <c r="W1844" s="124" t="str">
        <f>IFERROR(__xludf.DUMMYFUNCTION("""COMPUTED_VALUE"""),"Prayagraj")</f>
        <v>Prayagraj</v>
      </c>
      <c r="X1844" s="124" t="str">
        <f>IFERROR(__xludf.DUMMYFUNCTION("""COMPUTED_VALUE"""),"Walkin")</f>
        <v>Walkin</v>
      </c>
      <c r="Y1844" s="124" t="str">
        <f>IFERROR(__xludf.DUMMYFUNCTION("""COMPUTED_VALUE"""),"Prayagraj")</f>
        <v>Prayagraj</v>
      </c>
      <c r="Z1844" s="124">
        <f>IFERROR(__xludf.DUMMYFUNCTION("""COMPUTED_VALUE"""),2.0)</f>
        <v>2</v>
      </c>
      <c r="AA1844" s="124" t="str">
        <f>IFERROR(__xludf.DUMMYFUNCTION("""COMPUTED_VALUE"""),"Cold")</f>
        <v>Cold</v>
      </c>
      <c r="AB1844" s="124" t="str">
        <f>IFERROR(__xludf.DUMMYFUNCTION("""COMPUTED_VALUE"""),"GS Foundation")</f>
        <v>GS Foundation</v>
      </c>
    </row>
    <row r="1845">
      <c r="A1845" s="126">
        <f>IFERROR(__xludf.DUMMYFUNCTION("""COMPUTED_VALUE"""),46112.0)</f>
        <v>46112</v>
      </c>
      <c r="B1845" s="124" t="str">
        <f>IFERROR(__xludf.DUMMYFUNCTION("""COMPUTED_VALUE"""),"Inbound Call")</f>
        <v>Inbound Call</v>
      </c>
      <c r="C1845" s="124" t="str">
        <f>IFERROR(__xludf.DUMMYFUNCTION("""COMPUTED_VALUE"""),"Patna")</f>
        <v>Patna</v>
      </c>
      <c r="D1845" s="124" t="str">
        <f>IFERROR(__xludf.DUMMYFUNCTION("""COMPUTED_VALUE"""),"Secondary_Walkin")</f>
        <v>Secondary_Walkin</v>
      </c>
      <c r="E1845" s="124">
        <f>IFERROR(__xludf.DUMMYFUNCTION("""COMPUTED_VALUE"""),1.0)</f>
        <v>1</v>
      </c>
      <c r="F1845" s="124" t="str">
        <f>IFERROR(__xludf.DUMMYFUNCTION("""COMPUTED_VALUE"""),"Warm")</f>
        <v>Warm</v>
      </c>
      <c r="G1845" s="124" t="str">
        <f>IFERROR(__xludf.DUMMYFUNCTION("""COMPUTED_VALUE"""),"GS Foundation")</f>
        <v>GS Foundation</v>
      </c>
      <c r="K1845" s="124"/>
      <c r="L1845" s="124"/>
      <c r="M1845" s="124"/>
      <c r="N1845" s="124"/>
      <c r="O1845" s="124"/>
      <c r="T1845" s="129">
        <f>IFERROR(__xludf.DUMMYFUNCTION("""COMPUTED_VALUE"""),46097.0)</f>
        <v>46097</v>
      </c>
      <c r="U1845" s="124" t="str">
        <f>IFERROR(__xludf.DUMMYFUNCTION("""COMPUTED_VALUE"""),"Walk-Ins")</f>
        <v>Walk-Ins</v>
      </c>
      <c r="V1845" s="124" t="str">
        <f>IFERROR(__xludf.DUMMYFUNCTION("""COMPUTED_VALUE"""),"Walk-In")</f>
        <v>Walk-In</v>
      </c>
      <c r="W1845" s="124" t="str">
        <f>IFERROR(__xludf.DUMMYFUNCTION("""COMPUTED_VALUE"""),"Prayagraj")</f>
        <v>Prayagraj</v>
      </c>
      <c r="X1845" s="124" t="str">
        <f>IFERROR(__xludf.DUMMYFUNCTION("""COMPUTED_VALUE"""),"Others")</f>
        <v>Others</v>
      </c>
      <c r="Y1845" s="124" t="str">
        <f>IFERROR(__xludf.DUMMYFUNCTION("""COMPUTED_VALUE"""),"Prayagraj")</f>
        <v>Prayagraj</v>
      </c>
      <c r="Z1845" s="124">
        <f>IFERROR(__xludf.DUMMYFUNCTION("""COMPUTED_VALUE"""),1.0)</f>
        <v>1</v>
      </c>
      <c r="AA1845" s="124" t="str">
        <f>IFERROR(__xludf.DUMMYFUNCTION("""COMPUTED_VALUE"""),"Enrolled")</f>
        <v>Enrolled</v>
      </c>
      <c r="AB1845" s="124" t="str">
        <f>IFERROR(__xludf.DUMMYFUNCTION("""COMPUTED_VALUE"""),"GS Foundation")</f>
        <v>GS Foundation</v>
      </c>
    </row>
    <row r="1846">
      <c r="A1846" s="129">
        <f>IFERROR(__xludf.DUMMYFUNCTION("""COMPUTED_VALUE"""),46057.0)</f>
        <v>46057</v>
      </c>
      <c r="B1846" s="124" t="str">
        <f>IFERROR(__xludf.DUMMYFUNCTION("""COMPUTED_VALUE"""),"Walk-In")</f>
        <v>Walk-In</v>
      </c>
      <c r="C1846" s="124" t="str">
        <f>IFERROR(__xludf.DUMMYFUNCTION("""COMPUTED_VALUE"""),"Patna")</f>
        <v>Patna</v>
      </c>
      <c r="D1846" s="124" t="str">
        <f>IFERROR(__xludf.DUMMYFUNCTION("""COMPUTED_VALUE"""),"Primary_Walkin")</f>
        <v>Primary_Walkin</v>
      </c>
      <c r="E1846" s="124">
        <f>IFERROR(__xludf.DUMMYFUNCTION("""COMPUTED_VALUE"""),1.0)</f>
        <v>1</v>
      </c>
      <c r="F1846" s="124" t="str">
        <f>IFERROR(__xludf.DUMMYFUNCTION("""COMPUTED_VALUE"""),"Not Interested")</f>
        <v>Not Interested</v>
      </c>
      <c r="G1846" s="124" t="str">
        <f>IFERROR(__xludf.DUMMYFUNCTION("""COMPUTED_VALUE"""),"State PCS")</f>
        <v>State PCS</v>
      </c>
      <c r="K1846" s="124"/>
      <c r="L1846" s="124"/>
      <c r="M1846" s="124"/>
      <c r="N1846" s="124"/>
      <c r="O1846" s="124"/>
      <c r="T1846" s="126">
        <f>IFERROR(__xludf.DUMMYFUNCTION("""COMPUTED_VALUE"""),46105.0)</f>
        <v>46105</v>
      </c>
      <c r="U1846" s="124" t="str">
        <f>IFERROR(__xludf.DUMMYFUNCTION("""COMPUTED_VALUE"""),"Walk-Ins")</f>
        <v>Walk-Ins</v>
      </c>
      <c r="V1846" s="124" t="str">
        <f>IFERROR(__xludf.DUMMYFUNCTION("""COMPUTED_VALUE"""),"Walkin")</f>
        <v>Walkin</v>
      </c>
      <c r="W1846" s="124" t="str">
        <f>IFERROR(__xludf.DUMMYFUNCTION("""COMPUTED_VALUE"""),"Indore")</f>
        <v>Indore</v>
      </c>
      <c r="X1846" s="124" t="str">
        <f>IFERROR(__xludf.DUMMYFUNCTION("""COMPUTED_VALUE"""),"Walkin")</f>
        <v>Walkin</v>
      </c>
      <c r="Y1846" s="124" t="str">
        <f>IFERROR(__xludf.DUMMYFUNCTION("""COMPUTED_VALUE"""),"Indore")</f>
        <v>Indore</v>
      </c>
      <c r="Z1846" s="124">
        <f>IFERROR(__xludf.DUMMYFUNCTION("""COMPUTED_VALUE"""),1.0)</f>
        <v>1</v>
      </c>
      <c r="AA1846" s="124" t="str">
        <f>IFERROR(__xludf.DUMMYFUNCTION("""COMPUTED_VALUE"""),"Cold")</f>
        <v>Cold</v>
      </c>
      <c r="AB1846" s="124" t="str">
        <f>IFERROR(__xludf.DUMMYFUNCTION("""COMPUTED_VALUE"""),"State PCS")</f>
        <v>State PCS</v>
      </c>
    </row>
    <row r="1847">
      <c r="A1847" s="126">
        <f>IFERROR(__xludf.DUMMYFUNCTION("""COMPUTED_VALUE"""),46108.0)</f>
        <v>46108</v>
      </c>
      <c r="B1847" s="124" t="str">
        <f>IFERROR(__xludf.DUMMYFUNCTION("""COMPUTED_VALUE"""),"external leads")</f>
        <v>external leads</v>
      </c>
      <c r="C1847" s="124" t="str">
        <f>IFERROR(__xludf.DUMMYFUNCTION("""COMPUTED_VALUE"""),"Patna")</f>
        <v>Patna</v>
      </c>
      <c r="D1847" s="124" t="str">
        <f>IFERROR(__xludf.DUMMYFUNCTION("""COMPUTED_VALUE"""),"Secondary_Walkin")</f>
        <v>Secondary_Walkin</v>
      </c>
      <c r="E1847" s="124">
        <f>IFERROR(__xludf.DUMMYFUNCTION("""COMPUTED_VALUE"""),1.0)</f>
        <v>1</v>
      </c>
      <c r="F1847" s="124" t="str">
        <f>IFERROR(__xludf.DUMMYFUNCTION("""COMPUTED_VALUE"""),"Enrolled")</f>
        <v>Enrolled</v>
      </c>
      <c r="G1847" s="124" t="str">
        <f>IFERROR(__xludf.DUMMYFUNCTION("""COMPUTED_VALUE"""),"State PCS")</f>
        <v>State PCS</v>
      </c>
      <c r="K1847" s="124"/>
      <c r="L1847" s="124"/>
      <c r="M1847" s="124"/>
      <c r="N1847" s="124"/>
      <c r="O1847" s="124"/>
      <c r="T1847" s="129">
        <f>IFERROR(__xludf.DUMMYFUNCTION("""COMPUTED_VALUE"""),46071.0)</f>
        <v>46071</v>
      </c>
      <c r="U1847" s="124" t="str">
        <f>IFERROR(__xludf.DUMMYFUNCTION("""COMPUTED_VALUE"""),"Walk-Ins")</f>
        <v>Walk-Ins</v>
      </c>
      <c r="V1847" s="124" t="str">
        <f>IFERROR(__xludf.DUMMYFUNCTION("""COMPUTED_VALUE"""),"Walkin")</f>
        <v>Walkin</v>
      </c>
      <c r="W1847" s="124" t="str">
        <f>IFERROR(__xludf.DUMMYFUNCTION("""COMPUTED_VALUE"""),"Patna")</f>
        <v>Patna</v>
      </c>
      <c r="X1847" s="124" t="str">
        <f>IFERROR(__xludf.DUMMYFUNCTION("""COMPUTED_VALUE"""),"Walkin")</f>
        <v>Walkin</v>
      </c>
      <c r="Y1847" s="124" t="str">
        <f>IFERROR(__xludf.DUMMYFUNCTION("""COMPUTED_VALUE"""),"Patna")</f>
        <v>Patna</v>
      </c>
      <c r="Z1847" s="124">
        <f>IFERROR(__xludf.DUMMYFUNCTION("""COMPUTED_VALUE"""),4.0)</f>
        <v>4</v>
      </c>
      <c r="AA1847" s="124" t="str">
        <f>IFERROR(__xludf.DUMMYFUNCTION("""COMPUTED_VALUE"""),"Cold")</f>
        <v>Cold</v>
      </c>
      <c r="AB1847" s="124" t="str">
        <f>IFERROR(__xludf.DUMMYFUNCTION("""COMPUTED_VALUE"""),"State PCS")</f>
        <v>State PCS</v>
      </c>
    </row>
    <row r="1848">
      <c r="A1848" s="129">
        <f>IFERROR(__xludf.DUMMYFUNCTION("""COMPUTED_VALUE"""),46059.0)</f>
        <v>46059</v>
      </c>
      <c r="B1848" s="124" t="str">
        <f>IFERROR(__xludf.DUMMYFUNCTION("""COMPUTED_VALUE"""),"Walkin")</f>
        <v>Walkin</v>
      </c>
      <c r="C1848" s="124" t="str">
        <f>IFERROR(__xludf.DUMMYFUNCTION("""COMPUTED_VALUE"""),"Patna")</f>
        <v>Patna</v>
      </c>
      <c r="D1848" s="124" t="str">
        <f>IFERROR(__xludf.DUMMYFUNCTION("""COMPUTED_VALUE"""),"Primary_Walkin")</f>
        <v>Primary_Walkin</v>
      </c>
      <c r="E1848" s="124">
        <f>IFERROR(__xludf.DUMMYFUNCTION("""COMPUTED_VALUE"""),1.0)</f>
        <v>1</v>
      </c>
      <c r="F1848" s="124" t="str">
        <f>IFERROR(__xludf.DUMMYFUNCTION("""COMPUTED_VALUE"""),"Future Prospects")</f>
        <v>Future Prospects</v>
      </c>
      <c r="G1848" s="124" t="str">
        <f>IFERROR(__xludf.DUMMYFUNCTION("""COMPUTED_VALUE"""),"State PCS")</f>
        <v>State PCS</v>
      </c>
      <c r="K1848" s="124"/>
      <c r="L1848" s="124"/>
      <c r="M1848" s="124"/>
      <c r="N1848" s="124"/>
      <c r="O1848" s="124"/>
      <c r="T1848" s="126">
        <f>IFERROR(__xludf.DUMMYFUNCTION("""COMPUTED_VALUE"""),46069.0)</f>
        <v>46069</v>
      </c>
      <c r="U1848" s="124" t="str">
        <f>IFERROR(__xludf.DUMMYFUNCTION("""COMPUTED_VALUE"""),"Walk-Ins")</f>
        <v>Walk-Ins</v>
      </c>
      <c r="V1848" s="124" t="str">
        <f>IFERROR(__xludf.DUMMYFUNCTION("""COMPUTED_VALUE"""),"Walkin")</f>
        <v>Walkin</v>
      </c>
      <c r="W1848" s="124" t="str">
        <f>IFERROR(__xludf.DUMMYFUNCTION("""COMPUTED_VALUE"""),"Lucknow")</f>
        <v>Lucknow</v>
      </c>
      <c r="X1848" s="124" t="str">
        <f>IFERROR(__xludf.DUMMYFUNCTION("""COMPUTED_VALUE"""),"Walkin")</f>
        <v>Walkin</v>
      </c>
      <c r="Y1848" s="124" t="str">
        <f>IFERROR(__xludf.DUMMYFUNCTION("""COMPUTED_VALUE"""),"Lucknow")</f>
        <v>Lucknow</v>
      </c>
      <c r="Z1848" s="124">
        <f>IFERROR(__xludf.DUMMYFUNCTION("""COMPUTED_VALUE"""),1.0)</f>
        <v>1</v>
      </c>
      <c r="AA1848" s="124" t="str">
        <f>IFERROR(__xludf.DUMMYFUNCTION("""COMPUTED_VALUE"""),"Enrolled")</f>
        <v>Enrolled</v>
      </c>
      <c r="AB1848" s="124" t="str">
        <f>IFERROR(__xludf.DUMMYFUNCTION("""COMPUTED_VALUE"""),"State PCS")</f>
        <v>State PCS</v>
      </c>
    </row>
    <row r="1849">
      <c r="A1849" s="129">
        <f>IFERROR(__xludf.DUMMYFUNCTION("""COMPUTED_VALUE"""),46087.0)</f>
        <v>46087</v>
      </c>
      <c r="B1849" s="124" t="str">
        <f>IFERROR(__xludf.DUMMYFUNCTION("""COMPUTED_VALUE"""),"Walkin")</f>
        <v>Walkin</v>
      </c>
      <c r="C1849" s="124" t="str">
        <f>IFERROR(__xludf.DUMMYFUNCTION("""COMPUTED_VALUE"""),"Patna")</f>
        <v>Patna</v>
      </c>
      <c r="D1849" s="124" t="str">
        <f>IFERROR(__xludf.DUMMYFUNCTION("""COMPUTED_VALUE"""),"Primary_Walkin")</f>
        <v>Primary_Walkin</v>
      </c>
      <c r="E1849" s="124">
        <f>IFERROR(__xludf.DUMMYFUNCTION("""COMPUTED_VALUE"""),1.0)</f>
        <v>1</v>
      </c>
      <c r="F1849" s="124" t="str">
        <f>IFERROR(__xludf.DUMMYFUNCTION("""COMPUTED_VALUE"""),"Future Prospects")</f>
        <v>Future Prospects</v>
      </c>
      <c r="G1849" s="124" t="str">
        <f>IFERROR(__xludf.DUMMYFUNCTION("""COMPUTED_VALUE"""),"Hybrid")</f>
        <v>Hybrid</v>
      </c>
      <c r="K1849" s="124"/>
      <c r="L1849" s="124"/>
      <c r="M1849" s="124"/>
      <c r="N1849" s="124"/>
      <c r="O1849" s="124"/>
      <c r="T1849" s="126">
        <f>IFERROR(__xludf.DUMMYFUNCTION("""COMPUTED_VALUE"""),46090.0)</f>
        <v>46090</v>
      </c>
      <c r="U1849" s="124" t="str">
        <f>IFERROR(__xludf.DUMMYFUNCTION("""COMPUTED_VALUE"""),"Walk-Ins")</f>
        <v>Walk-Ins</v>
      </c>
      <c r="V1849" s="124" t="str">
        <f>IFERROR(__xludf.DUMMYFUNCTION("""COMPUTED_VALUE"""),"Walkin")</f>
        <v>Walkin</v>
      </c>
      <c r="W1849" s="124" t="str">
        <f>IFERROR(__xludf.DUMMYFUNCTION("""COMPUTED_VALUE"""),"Prayagraj")</f>
        <v>Prayagraj</v>
      </c>
      <c r="X1849" s="124" t="str">
        <f>IFERROR(__xludf.DUMMYFUNCTION("""COMPUTED_VALUE"""),"Walkin")</f>
        <v>Walkin</v>
      </c>
      <c r="Y1849" s="124" t="str">
        <f>IFERROR(__xludf.DUMMYFUNCTION("""COMPUTED_VALUE"""),"Prayagraj")</f>
        <v>Prayagraj</v>
      </c>
      <c r="Z1849" s="124">
        <f>IFERROR(__xludf.DUMMYFUNCTION("""COMPUTED_VALUE"""),1.0)</f>
        <v>1</v>
      </c>
      <c r="AA1849" s="124" t="str">
        <f>IFERROR(__xludf.DUMMYFUNCTION("""COMPUTED_VALUE"""),"Warm")</f>
        <v>Warm</v>
      </c>
      <c r="AB1849" s="124" t="str">
        <f>IFERROR(__xludf.DUMMYFUNCTION("""COMPUTED_VALUE"""),"State PCS")</f>
        <v>State PCS</v>
      </c>
    </row>
    <row r="1850">
      <c r="A1850" s="129">
        <f>IFERROR(__xludf.DUMMYFUNCTION("""COMPUTED_VALUE"""),46060.0)</f>
        <v>46060</v>
      </c>
      <c r="B1850" s="124" t="str">
        <f>IFERROR(__xludf.DUMMYFUNCTION("""COMPUTED_VALUE"""),"Walkin")</f>
        <v>Walkin</v>
      </c>
      <c r="C1850" s="124" t="str">
        <f>IFERROR(__xludf.DUMMYFUNCTION("""COMPUTED_VALUE"""),"Patna")</f>
        <v>Patna</v>
      </c>
      <c r="D1850" s="124" t="str">
        <f>IFERROR(__xludf.DUMMYFUNCTION("""COMPUTED_VALUE"""),"Primary_Walkin")</f>
        <v>Primary_Walkin</v>
      </c>
      <c r="E1850" s="124">
        <f>IFERROR(__xludf.DUMMYFUNCTION("""COMPUTED_VALUE"""),1.0)</f>
        <v>1</v>
      </c>
      <c r="F1850" s="124" t="str">
        <f>IFERROR(__xludf.DUMMYFUNCTION("""COMPUTED_VALUE"""),"Cold")</f>
        <v>Cold</v>
      </c>
      <c r="G1850" s="124" t="str">
        <f>IFERROR(__xludf.DUMMYFUNCTION("""COMPUTED_VALUE"""),"Other")</f>
        <v>Other</v>
      </c>
      <c r="K1850" s="124"/>
      <c r="L1850" s="124"/>
      <c r="M1850" s="124"/>
      <c r="N1850" s="124"/>
      <c r="O1850" s="124"/>
      <c r="T1850" s="126">
        <f>IFERROR(__xludf.DUMMYFUNCTION("""COMPUTED_VALUE"""),46097.0)</f>
        <v>46097</v>
      </c>
      <c r="U1850" s="124" t="str">
        <f>IFERROR(__xludf.DUMMYFUNCTION("""COMPUTED_VALUE"""),"Walk-Ins")</f>
        <v>Walk-Ins</v>
      </c>
      <c r="V1850" s="124" t="str">
        <f>IFERROR(__xludf.DUMMYFUNCTION("""COMPUTED_VALUE"""),"Walkin")</f>
        <v>Walkin</v>
      </c>
      <c r="W1850" s="124" t="str">
        <f>IFERROR(__xludf.DUMMYFUNCTION("""COMPUTED_VALUE"""),"Patna")</f>
        <v>Patna</v>
      </c>
      <c r="X1850" s="124" t="str">
        <f>IFERROR(__xludf.DUMMYFUNCTION("""COMPUTED_VALUE"""),"Walkin")</f>
        <v>Walkin</v>
      </c>
      <c r="Y1850" s="124" t="str">
        <f>IFERROR(__xludf.DUMMYFUNCTION("""COMPUTED_VALUE"""),"Patna")</f>
        <v>Patna</v>
      </c>
      <c r="Z1850" s="124">
        <f>IFERROR(__xludf.DUMMYFUNCTION("""COMPUTED_VALUE"""),1.0)</f>
        <v>1</v>
      </c>
      <c r="AA1850" s="124" t="str">
        <f>IFERROR(__xludf.DUMMYFUNCTION("""COMPUTED_VALUE"""),"Warm")</f>
        <v>Warm</v>
      </c>
      <c r="AB1850" s="124" t="str">
        <f>IFERROR(__xludf.DUMMYFUNCTION("""COMPUTED_VALUE"""),"GS Foundation")</f>
        <v>GS Foundation</v>
      </c>
    </row>
    <row r="1851">
      <c r="A1851" s="126">
        <f>IFERROR(__xludf.DUMMYFUNCTION("""COMPUTED_VALUE"""),46095.0)</f>
        <v>46095</v>
      </c>
      <c r="B1851" s="124" t="str">
        <f>IFERROR(__xludf.DUMMYFUNCTION("""COMPUTED_VALUE"""),"external leads")</f>
        <v>external leads</v>
      </c>
      <c r="C1851" s="124" t="str">
        <f>IFERROR(__xludf.DUMMYFUNCTION("""COMPUTED_VALUE"""),"Patna")</f>
        <v>Patna</v>
      </c>
      <c r="D1851" s="124" t="str">
        <f>IFERROR(__xludf.DUMMYFUNCTION("""COMPUTED_VALUE"""),"Secondary_Walkin")</f>
        <v>Secondary_Walkin</v>
      </c>
      <c r="E1851" s="124">
        <f>IFERROR(__xludf.DUMMYFUNCTION("""COMPUTED_VALUE"""),1.0)</f>
        <v>1</v>
      </c>
      <c r="F1851" s="124" t="str">
        <f>IFERROR(__xludf.DUMMYFUNCTION("""COMPUTED_VALUE"""),"Warm")</f>
        <v>Warm</v>
      </c>
      <c r="G1851" s="124" t="str">
        <f>IFERROR(__xludf.DUMMYFUNCTION("""COMPUTED_VALUE"""),"Test Series")</f>
        <v>Test Series</v>
      </c>
      <c r="K1851" s="124"/>
      <c r="L1851" s="124"/>
      <c r="M1851" s="124"/>
      <c r="N1851" s="124"/>
      <c r="O1851" s="124"/>
      <c r="T1851" s="126">
        <f>IFERROR(__xludf.DUMMYFUNCTION("""COMPUTED_VALUE"""),46064.0)</f>
        <v>46064</v>
      </c>
      <c r="U1851" s="124" t="str">
        <f>IFERROR(__xludf.DUMMYFUNCTION("""COMPUTED_VALUE"""),"Walk-Ins")</f>
        <v>Walk-Ins</v>
      </c>
      <c r="V1851" s="124" t="str">
        <f>IFERROR(__xludf.DUMMYFUNCTION("""COMPUTED_VALUE"""),"Walkin")</f>
        <v>Walkin</v>
      </c>
      <c r="W1851" s="124" t="str">
        <f>IFERROR(__xludf.DUMMYFUNCTION("""COMPUTED_VALUE"""),"Indore")</f>
        <v>Indore</v>
      </c>
      <c r="X1851" s="124" t="str">
        <f>IFERROR(__xludf.DUMMYFUNCTION("""COMPUTED_VALUE"""),"Walkin")</f>
        <v>Walkin</v>
      </c>
      <c r="Y1851" s="124" t="str">
        <f>IFERROR(__xludf.DUMMYFUNCTION("""COMPUTED_VALUE"""),"Indore")</f>
        <v>Indore</v>
      </c>
      <c r="Z1851" s="124">
        <f>IFERROR(__xludf.DUMMYFUNCTION("""COMPUTED_VALUE"""),1.0)</f>
        <v>1</v>
      </c>
      <c r="AA1851" s="124" t="str">
        <f>IFERROR(__xludf.DUMMYFUNCTION("""COMPUTED_VALUE"""),"Enrolled")</f>
        <v>Enrolled</v>
      </c>
      <c r="AB1851" s="124" t="str">
        <f>IFERROR(__xludf.DUMMYFUNCTION("""COMPUTED_VALUE"""),"State PCS")</f>
        <v>State PCS</v>
      </c>
    </row>
    <row r="1852">
      <c r="A1852" s="126">
        <f>IFERROR(__xludf.DUMMYFUNCTION("""COMPUTED_VALUE"""),46551.0)</f>
        <v>46551</v>
      </c>
      <c r="B1852" s="124" t="str">
        <f>IFERROR(__xludf.DUMMYFUNCTION("""COMPUTED_VALUE"""),"Walkin")</f>
        <v>Walkin</v>
      </c>
      <c r="C1852" s="124" t="str">
        <f>IFERROR(__xludf.DUMMYFUNCTION("""COMPUTED_VALUE"""),"Patna")</f>
        <v>Patna</v>
      </c>
      <c r="D1852" s="124" t="str">
        <f>IFERROR(__xludf.DUMMYFUNCTION("""COMPUTED_VALUE"""),"Primary_Walkin")</f>
        <v>Primary_Walkin</v>
      </c>
      <c r="E1852" s="124">
        <f>IFERROR(__xludf.DUMMYFUNCTION("""COMPUTED_VALUE"""),1.0)</f>
        <v>1</v>
      </c>
      <c r="F1852" s="124" t="str">
        <f>IFERROR(__xludf.DUMMYFUNCTION("""COMPUTED_VALUE"""),"Fake Lead")</f>
        <v>Fake Lead</v>
      </c>
      <c r="G1852" s="124" t="str">
        <f>IFERROR(__xludf.DUMMYFUNCTION("""COMPUTED_VALUE"""),"GS Foundation")</f>
        <v>GS Foundation</v>
      </c>
      <c r="K1852" s="124"/>
      <c r="L1852" s="124"/>
      <c r="M1852" s="124"/>
      <c r="N1852" s="124"/>
      <c r="O1852" s="124"/>
      <c r="T1852" s="129">
        <f>IFERROR(__xludf.DUMMYFUNCTION("""COMPUTED_VALUE"""),46076.0)</f>
        <v>46076</v>
      </c>
      <c r="U1852" s="124" t="str">
        <f>IFERROR(__xludf.DUMMYFUNCTION("""COMPUTED_VALUE"""),"Walk-Ins")</f>
        <v>Walk-Ins</v>
      </c>
      <c r="V1852" s="124" t="str">
        <f>IFERROR(__xludf.DUMMYFUNCTION("""COMPUTED_VALUE"""),"Walkin")</f>
        <v>Walkin</v>
      </c>
      <c r="W1852" s="124" t="str">
        <f>IFERROR(__xludf.DUMMYFUNCTION("""COMPUTED_VALUE"""),"Prayagraj")</f>
        <v>Prayagraj</v>
      </c>
      <c r="X1852" s="124" t="str">
        <f>IFERROR(__xludf.DUMMYFUNCTION("""COMPUTED_VALUE"""),"Walkin")</f>
        <v>Walkin</v>
      </c>
      <c r="Y1852" s="124" t="str">
        <f>IFERROR(__xludf.DUMMYFUNCTION("""COMPUTED_VALUE"""),"Prayagraj")</f>
        <v>Prayagraj</v>
      </c>
      <c r="Z1852" s="124">
        <f>IFERROR(__xludf.DUMMYFUNCTION("""COMPUTED_VALUE"""),1.0)</f>
        <v>1</v>
      </c>
      <c r="AA1852" s="124" t="str">
        <f>IFERROR(__xludf.DUMMYFUNCTION("""COMPUTED_VALUE"""),"Enrolled")</f>
        <v>Enrolled</v>
      </c>
      <c r="AB1852" s="124" t="str">
        <f>IFERROR(__xludf.DUMMYFUNCTION("""COMPUTED_VALUE"""),"Mentorship")</f>
        <v>Mentorship</v>
      </c>
    </row>
    <row r="1853">
      <c r="A1853" s="126">
        <f>IFERROR(__xludf.DUMMYFUNCTION("""COMPUTED_VALUE"""),46110.0)</f>
        <v>46110</v>
      </c>
      <c r="B1853" s="124" t="str">
        <f>IFERROR(__xludf.DUMMYFUNCTION("""COMPUTED_VALUE"""),"Walkin")</f>
        <v>Walkin</v>
      </c>
      <c r="C1853" s="124" t="str">
        <f>IFERROR(__xludf.DUMMYFUNCTION("""COMPUTED_VALUE"""),"Patna")</f>
        <v>Patna</v>
      </c>
      <c r="D1853" s="124" t="str">
        <f>IFERROR(__xludf.DUMMYFUNCTION("""COMPUTED_VALUE"""),"Primary_Walkin")</f>
        <v>Primary_Walkin</v>
      </c>
      <c r="E1853" s="124">
        <f>IFERROR(__xludf.DUMMYFUNCTION("""COMPUTED_VALUE"""),1.0)</f>
        <v>1</v>
      </c>
      <c r="F1853" s="124" t="str">
        <f>IFERROR(__xludf.DUMMYFUNCTION("""COMPUTED_VALUE"""),"Warm")</f>
        <v>Warm</v>
      </c>
      <c r="G1853" s="124" t="str">
        <f>IFERROR(__xludf.DUMMYFUNCTION("""COMPUTED_VALUE"""),"GS Advanced")</f>
        <v>GS Advanced</v>
      </c>
      <c r="K1853" s="124"/>
      <c r="L1853" s="124"/>
      <c r="M1853" s="124"/>
      <c r="N1853" s="124"/>
      <c r="O1853" s="124"/>
      <c r="T1853" s="126">
        <f>IFERROR(__xludf.DUMMYFUNCTION("""COMPUTED_VALUE"""),46069.0)</f>
        <v>46069</v>
      </c>
      <c r="U1853" s="124" t="str">
        <f>IFERROR(__xludf.DUMMYFUNCTION("""COMPUTED_VALUE"""),"Walk-Ins")</f>
        <v>Walk-Ins</v>
      </c>
      <c r="V1853" s="124" t="str">
        <f>IFERROR(__xludf.DUMMYFUNCTION("""COMPUTED_VALUE"""),"Walkin")</f>
        <v>Walkin</v>
      </c>
      <c r="W1853" s="124" t="str">
        <f>IFERROR(__xludf.DUMMYFUNCTION("""COMPUTED_VALUE"""),"Lucknow")</f>
        <v>Lucknow</v>
      </c>
      <c r="X1853" s="124" t="str">
        <f>IFERROR(__xludf.DUMMYFUNCTION("""COMPUTED_VALUE"""),"Walkin")</f>
        <v>Walkin</v>
      </c>
      <c r="Y1853" s="124" t="str">
        <f>IFERROR(__xludf.DUMMYFUNCTION("""COMPUTED_VALUE"""),"Lucknow")</f>
        <v>Lucknow</v>
      </c>
      <c r="Z1853" s="124">
        <f>IFERROR(__xludf.DUMMYFUNCTION("""COMPUTED_VALUE"""),1.0)</f>
        <v>1</v>
      </c>
      <c r="AA1853" s="124" t="str">
        <f>IFERROR(__xludf.DUMMYFUNCTION("""COMPUTED_VALUE"""),"Future Prospects")</f>
        <v>Future Prospects</v>
      </c>
      <c r="AB1853" s="124" t="str">
        <f>IFERROR(__xludf.DUMMYFUNCTION("""COMPUTED_VALUE"""),"GS Foundation")</f>
        <v>GS Foundation</v>
      </c>
    </row>
    <row r="1854">
      <c r="A1854" s="126">
        <f>IFERROR(__xludf.DUMMYFUNCTION("""COMPUTED_VALUE"""),46111.0)</f>
        <v>46111</v>
      </c>
      <c r="B1854" s="124" t="str">
        <f>IFERROR(__xludf.DUMMYFUNCTION("""COMPUTED_VALUE"""),"Walkin")</f>
        <v>Walkin</v>
      </c>
      <c r="C1854" s="124" t="str">
        <f>IFERROR(__xludf.DUMMYFUNCTION("""COMPUTED_VALUE"""),"Patna")</f>
        <v>Patna</v>
      </c>
      <c r="D1854" s="124" t="str">
        <f>IFERROR(__xludf.DUMMYFUNCTION("""COMPUTED_VALUE"""),"Primary_Walkin")</f>
        <v>Primary_Walkin</v>
      </c>
      <c r="E1854" s="124">
        <f>IFERROR(__xludf.DUMMYFUNCTION("""COMPUTED_VALUE"""),1.0)</f>
        <v>1</v>
      </c>
      <c r="F1854" s="124" t="str">
        <f>IFERROR(__xludf.DUMMYFUNCTION("""COMPUTED_VALUE"""),"Enrolled")</f>
        <v>Enrolled</v>
      </c>
      <c r="G1854" s="124" t="str">
        <f>IFERROR(__xludf.DUMMYFUNCTION("""COMPUTED_VALUE"""),"State PCS")</f>
        <v>State PCS</v>
      </c>
      <c r="K1854" s="124"/>
      <c r="L1854" s="124"/>
      <c r="M1854" s="124"/>
      <c r="N1854" s="124"/>
      <c r="O1854" s="124"/>
      <c r="T1854" s="126">
        <f>IFERROR(__xludf.DUMMYFUNCTION("""COMPUTED_VALUE"""),46058.0)</f>
        <v>46058</v>
      </c>
      <c r="U1854" s="124" t="str">
        <f>IFERROR(__xludf.DUMMYFUNCTION("""COMPUTED_VALUE"""),"Walk-Ins")</f>
        <v>Walk-Ins</v>
      </c>
      <c r="V1854" s="124" t="str">
        <f>IFERROR(__xludf.DUMMYFUNCTION("""COMPUTED_VALUE"""),"Walk-In")</f>
        <v>Walk-In</v>
      </c>
      <c r="W1854" s="124" t="str">
        <f>IFERROR(__xludf.DUMMYFUNCTION("""COMPUTED_VALUE"""),"Patna")</f>
        <v>Patna</v>
      </c>
      <c r="X1854" s="124" t="str">
        <f>IFERROR(__xludf.DUMMYFUNCTION("""COMPUTED_VALUE"""),"Others")</f>
        <v>Others</v>
      </c>
      <c r="Y1854" s="124" t="str">
        <f>IFERROR(__xludf.DUMMYFUNCTION("""COMPUTED_VALUE"""),"Patna")</f>
        <v>Patna</v>
      </c>
      <c r="Z1854" s="124">
        <f>IFERROR(__xludf.DUMMYFUNCTION("""COMPUTED_VALUE"""),2.0)</f>
        <v>2</v>
      </c>
      <c r="AA1854" s="124" t="str">
        <f>IFERROR(__xludf.DUMMYFUNCTION("""COMPUTED_VALUE"""),"Cold")</f>
        <v>Cold</v>
      </c>
      <c r="AB1854" s="124" t="str">
        <f>IFERROR(__xludf.DUMMYFUNCTION("""COMPUTED_VALUE"""),"GS Foundation")</f>
        <v>GS Foundation</v>
      </c>
    </row>
    <row r="1855">
      <c r="A1855" s="126">
        <f>IFERROR(__xludf.DUMMYFUNCTION("""COMPUTED_VALUE"""),46105.0)</f>
        <v>46105</v>
      </c>
      <c r="B1855" s="124" t="str">
        <f>IFERROR(__xludf.DUMMYFUNCTION("""COMPUTED_VALUE"""),"Walkin")</f>
        <v>Walkin</v>
      </c>
      <c r="C1855" s="124" t="str">
        <f>IFERROR(__xludf.DUMMYFUNCTION("""COMPUTED_VALUE"""),"Patna")</f>
        <v>Patna</v>
      </c>
      <c r="D1855" s="124" t="str">
        <f>IFERROR(__xludf.DUMMYFUNCTION("""COMPUTED_VALUE"""),"Primary_Walkin")</f>
        <v>Primary_Walkin</v>
      </c>
      <c r="E1855" s="124">
        <f>IFERROR(__xludf.DUMMYFUNCTION("""COMPUTED_VALUE"""),2.0)</f>
        <v>2</v>
      </c>
      <c r="F1855" s="124" t="str">
        <f>IFERROR(__xludf.DUMMYFUNCTION("""COMPUTED_VALUE"""),"Warm")</f>
        <v>Warm</v>
      </c>
      <c r="G1855" s="124" t="str">
        <f>IFERROR(__xludf.DUMMYFUNCTION("""COMPUTED_VALUE"""),"Prelims Crash Course - SIP")</f>
        <v>Prelims Crash Course - SIP</v>
      </c>
      <c r="K1855" s="124"/>
      <c r="L1855" s="124"/>
      <c r="M1855" s="124"/>
      <c r="N1855" s="124"/>
      <c r="O1855" s="124"/>
      <c r="T1855" s="126">
        <f>IFERROR(__xludf.DUMMYFUNCTION("""COMPUTED_VALUE"""),46098.0)</f>
        <v>46098</v>
      </c>
      <c r="U1855" s="124" t="str">
        <f>IFERROR(__xludf.DUMMYFUNCTION("""COMPUTED_VALUE"""),"Paid Ads")</f>
        <v>Paid Ads</v>
      </c>
      <c r="V1855" s="124" t="str">
        <f>IFERROR(__xludf.DUMMYFUNCTION("""COMPUTED_VALUE"""),"Facebook")</f>
        <v>Facebook</v>
      </c>
      <c r="W1855" s="124" t="str">
        <f>IFERROR(__xludf.DUMMYFUNCTION("""COMPUTED_VALUE"""),"LeadAd")</f>
        <v>LeadAd</v>
      </c>
      <c r="X1855" s="124" t="str">
        <f>IFERROR(__xludf.DUMMYFUNCTION("""COMPUTED_VALUE"""),"meta")</f>
        <v>meta</v>
      </c>
      <c r="Y1855" s="124" t="str">
        <f>IFERROR(__xludf.DUMMYFUNCTION("""COMPUTED_VALUE"""),"Delhi")</f>
        <v>Delhi</v>
      </c>
      <c r="Z1855" s="124">
        <f>IFERROR(__xludf.DUMMYFUNCTION("""COMPUTED_VALUE"""),1.0)</f>
        <v>1</v>
      </c>
      <c r="AA1855" s="124" t="str">
        <f>IFERROR(__xludf.DUMMYFUNCTION("""COMPUTED_VALUE"""),"Not Interested")</f>
        <v>Not Interested</v>
      </c>
      <c r="AB1855" s="124" t="str">
        <f>IFERROR(__xludf.DUMMYFUNCTION("""COMPUTED_VALUE"""),"State PCS")</f>
        <v>State PCS</v>
      </c>
    </row>
    <row r="1856">
      <c r="A1856" s="129">
        <f>IFERROR(__xludf.DUMMYFUNCTION("""COMPUTED_VALUE"""),46061.0)</f>
        <v>46061</v>
      </c>
      <c r="B1856" s="124" t="str">
        <f>IFERROR(__xludf.DUMMYFUNCTION("""COMPUTED_VALUE"""),"Walk-In")</f>
        <v>Walk-In</v>
      </c>
      <c r="C1856" s="124" t="str">
        <f>IFERROR(__xludf.DUMMYFUNCTION("""COMPUTED_VALUE"""),"Patna")</f>
        <v>Patna</v>
      </c>
      <c r="D1856" s="124" t="str">
        <f>IFERROR(__xludf.DUMMYFUNCTION("""COMPUTED_VALUE"""),"Primary_Walkin")</f>
        <v>Primary_Walkin</v>
      </c>
      <c r="E1856" s="124">
        <f>IFERROR(__xludf.DUMMYFUNCTION("""COMPUTED_VALUE"""),1.0)</f>
        <v>1</v>
      </c>
      <c r="F1856" s="124" t="str">
        <f>IFERROR(__xludf.DUMMYFUNCTION("""COMPUTED_VALUE"""),"Cold")</f>
        <v>Cold</v>
      </c>
      <c r="G1856" s="124" t="str">
        <f>IFERROR(__xludf.DUMMYFUNCTION("""COMPUTED_VALUE"""),"GS Foundation")</f>
        <v>GS Foundation</v>
      </c>
      <c r="K1856" s="124"/>
      <c r="L1856" s="124"/>
      <c r="M1856" s="124"/>
      <c r="N1856" s="124"/>
      <c r="O1856" s="124"/>
      <c r="T1856" s="129">
        <f>IFERROR(__xludf.DUMMYFUNCTION("""COMPUTED_VALUE"""),46104.0)</f>
        <v>46104</v>
      </c>
      <c r="U1856" s="124" t="str">
        <f>IFERROR(__xludf.DUMMYFUNCTION("""COMPUTED_VALUE"""),"Walk-Ins")</f>
        <v>Walk-Ins</v>
      </c>
      <c r="V1856" s="124" t="str">
        <f>IFERROR(__xludf.DUMMYFUNCTION("""COMPUTED_VALUE"""),"Walkin")</f>
        <v>Walkin</v>
      </c>
      <c r="W1856" s="124" t="str">
        <f>IFERROR(__xludf.DUMMYFUNCTION("""COMPUTED_VALUE"""),"Lucknow")</f>
        <v>Lucknow</v>
      </c>
      <c r="X1856" s="124" t="str">
        <f>IFERROR(__xludf.DUMMYFUNCTION("""COMPUTED_VALUE"""),"Walkin")</f>
        <v>Walkin</v>
      </c>
      <c r="Y1856" s="124" t="str">
        <f>IFERROR(__xludf.DUMMYFUNCTION("""COMPUTED_VALUE"""),"Lucknow")</f>
        <v>Lucknow</v>
      </c>
      <c r="Z1856" s="124">
        <f>IFERROR(__xludf.DUMMYFUNCTION("""COMPUTED_VALUE"""),1.0)</f>
        <v>1</v>
      </c>
      <c r="AA1856" s="124" t="str">
        <f>IFERROR(__xludf.DUMMYFUNCTION("""COMPUTED_VALUE"""),"Warm")</f>
        <v>Warm</v>
      </c>
      <c r="AB1856" s="124" t="str">
        <f>IFERROR(__xludf.DUMMYFUNCTION("""COMPUTED_VALUE"""),"GS Foundation")</f>
        <v>GS Foundation</v>
      </c>
    </row>
    <row r="1857">
      <c r="A1857" s="126">
        <f>IFERROR(__xludf.DUMMYFUNCTION("""COMPUTED_VALUE"""),46068.0)</f>
        <v>46068</v>
      </c>
      <c r="B1857" s="124" t="str">
        <f>IFERROR(__xludf.DUMMYFUNCTION("""COMPUTED_VALUE"""),"Walkin")</f>
        <v>Walkin</v>
      </c>
      <c r="C1857" s="124" t="str">
        <f>IFERROR(__xludf.DUMMYFUNCTION("""COMPUTED_VALUE"""),"Patna")</f>
        <v>Patna</v>
      </c>
      <c r="D1857" s="124" t="str">
        <f>IFERROR(__xludf.DUMMYFUNCTION("""COMPUTED_VALUE"""),"Primary_Walkin")</f>
        <v>Primary_Walkin</v>
      </c>
      <c r="E1857" s="124">
        <f>IFERROR(__xludf.DUMMYFUNCTION("""COMPUTED_VALUE"""),2.0)</f>
        <v>2</v>
      </c>
      <c r="F1857" s="124" t="str">
        <f>IFERROR(__xludf.DUMMYFUNCTION("""COMPUTED_VALUE"""),"Future Prospects")</f>
        <v>Future Prospects</v>
      </c>
      <c r="G1857" s="124" t="str">
        <f>IFERROR(__xludf.DUMMYFUNCTION("""COMPUTED_VALUE"""),"GS Foundation")</f>
        <v>GS Foundation</v>
      </c>
      <c r="K1857" s="124"/>
      <c r="L1857" s="124"/>
      <c r="M1857" s="124"/>
      <c r="N1857" s="124"/>
      <c r="O1857" s="124"/>
      <c r="T1857" s="126">
        <f>IFERROR(__xludf.DUMMYFUNCTION("""COMPUTED_VALUE"""),46056.0)</f>
        <v>46056</v>
      </c>
      <c r="U1857" s="124" t="str">
        <f>IFERROR(__xludf.DUMMYFUNCTION("""COMPUTED_VALUE"""),"Walk-Ins")</f>
        <v>Walk-Ins</v>
      </c>
      <c r="V1857" s="124" t="str">
        <f>IFERROR(__xludf.DUMMYFUNCTION("""COMPUTED_VALUE"""),"Walk-In")</f>
        <v>Walk-In</v>
      </c>
      <c r="W1857" s="124" t="str">
        <f>IFERROR(__xludf.DUMMYFUNCTION("""COMPUTED_VALUE"""),"Patna")</f>
        <v>Patna</v>
      </c>
      <c r="X1857" s="124" t="str">
        <f>IFERROR(__xludf.DUMMYFUNCTION("""COMPUTED_VALUE"""),"Others")</f>
        <v>Others</v>
      </c>
      <c r="Y1857" s="124" t="str">
        <f>IFERROR(__xludf.DUMMYFUNCTION("""COMPUTED_VALUE"""),"Patna")</f>
        <v>Patna</v>
      </c>
      <c r="Z1857" s="124">
        <f>IFERROR(__xludf.DUMMYFUNCTION("""COMPUTED_VALUE"""),1.0)</f>
        <v>1</v>
      </c>
      <c r="AA1857" s="124" t="str">
        <f>IFERROR(__xludf.DUMMYFUNCTION("""COMPUTED_VALUE"""),"Cold")</f>
        <v>Cold</v>
      </c>
      <c r="AB1857" s="124" t="str">
        <f>IFERROR(__xludf.DUMMYFUNCTION("""COMPUTED_VALUE"""),"State PCS")</f>
        <v>State PCS</v>
      </c>
    </row>
    <row r="1858">
      <c r="A1858" s="126">
        <f>IFERROR(__xludf.DUMMYFUNCTION("""COMPUTED_VALUE"""),46102.0)</f>
        <v>46102</v>
      </c>
      <c r="B1858" s="124" t="str">
        <f>IFERROR(__xludf.DUMMYFUNCTION("""COMPUTED_VALUE"""),"Walkin")</f>
        <v>Walkin</v>
      </c>
      <c r="C1858" s="124" t="str">
        <f>IFERROR(__xludf.DUMMYFUNCTION("""COMPUTED_VALUE"""),"Patna")</f>
        <v>Patna</v>
      </c>
      <c r="D1858" s="124" t="str">
        <f>IFERROR(__xludf.DUMMYFUNCTION("""COMPUTED_VALUE"""),"Primary_Walkin")</f>
        <v>Primary_Walkin</v>
      </c>
      <c r="E1858" s="124">
        <f>IFERROR(__xludf.DUMMYFUNCTION("""COMPUTED_VALUE"""),2.0)</f>
        <v>2</v>
      </c>
      <c r="F1858" s="124" t="str">
        <f>IFERROR(__xludf.DUMMYFUNCTION("""COMPUTED_VALUE"""),"Warm")</f>
        <v>Warm</v>
      </c>
      <c r="G1858" s="124" t="str">
        <f>IFERROR(__xludf.DUMMYFUNCTION("""COMPUTED_VALUE"""),"GS Foundation")</f>
        <v>GS Foundation</v>
      </c>
      <c r="K1858" s="124"/>
      <c r="L1858" s="124"/>
      <c r="M1858" s="124"/>
      <c r="N1858" s="124"/>
      <c r="O1858" s="124"/>
      <c r="T1858" s="126">
        <f>IFERROR(__xludf.DUMMYFUNCTION("""COMPUTED_VALUE"""),46100.0)</f>
        <v>46100</v>
      </c>
      <c r="U1858" s="124" t="str">
        <f>IFERROR(__xludf.DUMMYFUNCTION("""COMPUTED_VALUE"""),"Walk-Ins")</f>
        <v>Walk-Ins</v>
      </c>
      <c r="V1858" s="124" t="str">
        <f>IFERROR(__xludf.DUMMYFUNCTION("""COMPUTED_VALUE"""),"Walkin")</f>
        <v>Walkin</v>
      </c>
      <c r="W1858" s="124" t="str">
        <f>IFERROR(__xludf.DUMMYFUNCTION("""COMPUTED_VALUE"""),"Prayagraj")</f>
        <v>Prayagraj</v>
      </c>
      <c r="X1858" s="124" t="str">
        <f>IFERROR(__xludf.DUMMYFUNCTION("""COMPUTED_VALUE"""),"Walkin")</f>
        <v>Walkin</v>
      </c>
      <c r="Y1858" s="124" t="str">
        <f>IFERROR(__xludf.DUMMYFUNCTION("""COMPUTED_VALUE"""),"Prayagraj")</f>
        <v>Prayagraj</v>
      </c>
      <c r="Z1858" s="124">
        <f>IFERROR(__xludf.DUMMYFUNCTION("""COMPUTED_VALUE"""),1.0)</f>
        <v>1</v>
      </c>
      <c r="AA1858" s="124" t="str">
        <f>IFERROR(__xludf.DUMMYFUNCTION("""COMPUTED_VALUE"""),"Cold")</f>
        <v>Cold</v>
      </c>
      <c r="AB1858" s="124" t="str">
        <f>IFERROR(__xludf.DUMMYFUNCTION("""COMPUTED_VALUE"""),"State PCS")</f>
        <v>State PCS</v>
      </c>
    </row>
    <row r="1859">
      <c r="A1859" s="126">
        <f>IFERROR(__xludf.DUMMYFUNCTION("""COMPUTED_VALUE"""),46075.0)</f>
        <v>46075</v>
      </c>
      <c r="B1859" s="124" t="str">
        <f>IFERROR(__xludf.DUMMYFUNCTION("""COMPUTED_VALUE"""),"Walkin")</f>
        <v>Walkin</v>
      </c>
      <c r="C1859" s="124" t="str">
        <f>IFERROR(__xludf.DUMMYFUNCTION("""COMPUTED_VALUE"""),"Patna")</f>
        <v>Patna</v>
      </c>
      <c r="D1859" s="124" t="str">
        <f>IFERROR(__xludf.DUMMYFUNCTION("""COMPUTED_VALUE"""),"Primary_Walkin")</f>
        <v>Primary_Walkin</v>
      </c>
      <c r="E1859" s="124">
        <f>IFERROR(__xludf.DUMMYFUNCTION("""COMPUTED_VALUE"""),2.0)</f>
        <v>2</v>
      </c>
      <c r="F1859" s="124" t="str">
        <f>IFERROR(__xludf.DUMMYFUNCTION("""COMPUTED_VALUE"""),"Fake Lead")</f>
        <v>Fake Lead</v>
      </c>
      <c r="G1859" s="124" t="str">
        <f>IFERROR(__xludf.DUMMYFUNCTION("""COMPUTED_VALUE"""),"State PCS")</f>
        <v>State PCS</v>
      </c>
      <c r="K1859" s="124"/>
      <c r="L1859" s="124"/>
      <c r="M1859" s="124"/>
      <c r="N1859" s="124"/>
      <c r="O1859" s="124"/>
      <c r="T1859" s="129">
        <f>IFERROR(__xludf.DUMMYFUNCTION("""COMPUTED_VALUE"""),46090.0)</f>
        <v>46090</v>
      </c>
      <c r="U1859" s="124" t="str">
        <f>IFERROR(__xludf.DUMMYFUNCTION("""COMPUTED_VALUE"""),"Paid Ads")</f>
        <v>Paid Ads</v>
      </c>
      <c r="V1859" s="124" t="str">
        <f>IFERROR(__xludf.DUMMYFUNCTION("""COMPUTED_VALUE"""),"facebook")</f>
        <v>facebook</v>
      </c>
      <c r="W1859" s="124" t="str">
        <f>IFERROR(__xludf.DUMMYFUNCTION("""COMPUTED_VALUE"""),"delhi")</f>
        <v>delhi</v>
      </c>
      <c r="X1859" s="124" t="str">
        <f>IFERROR(__xludf.DUMMYFUNCTION("""COMPUTED_VALUE"""),"meta")</f>
        <v>meta</v>
      </c>
      <c r="Y1859" s="124" t="str">
        <f>IFERROR(__xludf.DUMMYFUNCTION("""COMPUTED_VALUE"""),"Delhi")</f>
        <v>Delhi</v>
      </c>
      <c r="Z1859" s="124">
        <f>IFERROR(__xludf.DUMMYFUNCTION("""COMPUTED_VALUE"""),7.0)</f>
        <v>7</v>
      </c>
      <c r="AA1859" s="124" t="str">
        <f>IFERROR(__xludf.DUMMYFUNCTION("""COMPUTED_VALUE"""),"Fake Lead")</f>
        <v>Fake Lead</v>
      </c>
      <c r="AB1859" s="124"/>
    </row>
    <row r="1860">
      <c r="A1860" s="126">
        <f>IFERROR(__xludf.DUMMYFUNCTION("""COMPUTED_VALUE"""),46100.0)</f>
        <v>46100</v>
      </c>
      <c r="B1860" s="124" t="str">
        <f>IFERROR(__xludf.DUMMYFUNCTION("""COMPUTED_VALUE"""),"external leads")</f>
        <v>external leads</v>
      </c>
      <c r="C1860" s="124" t="str">
        <f>IFERROR(__xludf.DUMMYFUNCTION("""COMPUTED_VALUE"""),"Patna")</f>
        <v>Patna</v>
      </c>
      <c r="D1860" s="124" t="str">
        <f>IFERROR(__xludf.DUMMYFUNCTION("""COMPUTED_VALUE"""),"Secondary_Walkin")</f>
        <v>Secondary_Walkin</v>
      </c>
      <c r="E1860" s="124">
        <f>IFERROR(__xludf.DUMMYFUNCTION("""COMPUTED_VALUE"""),1.0)</f>
        <v>1</v>
      </c>
      <c r="F1860" s="124" t="str">
        <f>IFERROR(__xludf.DUMMYFUNCTION("""COMPUTED_VALUE"""),"Not Interested")</f>
        <v>Not Interested</v>
      </c>
      <c r="G1860" s="124" t="str">
        <f>IFERROR(__xludf.DUMMYFUNCTION("""COMPUTED_VALUE"""),"Test Series")</f>
        <v>Test Series</v>
      </c>
      <c r="K1860" s="124"/>
      <c r="L1860" s="124"/>
      <c r="M1860" s="124"/>
      <c r="N1860" s="124"/>
      <c r="O1860" s="124"/>
      <c r="T1860" s="126">
        <f>IFERROR(__xludf.DUMMYFUNCTION("""COMPUTED_VALUE"""),46104.0)</f>
        <v>46104</v>
      </c>
      <c r="U1860" s="124" t="str">
        <f>IFERROR(__xludf.DUMMYFUNCTION("""COMPUTED_VALUE"""),"Walk-Ins")</f>
        <v>Walk-Ins</v>
      </c>
      <c r="V1860" s="124" t="str">
        <f>IFERROR(__xludf.DUMMYFUNCTION("""COMPUTED_VALUE"""),"Walkin")</f>
        <v>Walkin</v>
      </c>
      <c r="W1860" s="124" t="str">
        <f>IFERROR(__xludf.DUMMYFUNCTION("""COMPUTED_VALUE"""),"Prayagraj")</f>
        <v>Prayagraj</v>
      </c>
      <c r="X1860" s="124" t="str">
        <f>IFERROR(__xludf.DUMMYFUNCTION("""COMPUTED_VALUE"""),"Walkin")</f>
        <v>Walkin</v>
      </c>
      <c r="Y1860" s="124" t="str">
        <f>IFERROR(__xludf.DUMMYFUNCTION("""COMPUTED_VALUE"""),"Prayagraj")</f>
        <v>Prayagraj</v>
      </c>
      <c r="Z1860" s="124">
        <f>IFERROR(__xludf.DUMMYFUNCTION("""COMPUTED_VALUE"""),4.0)</f>
        <v>4</v>
      </c>
      <c r="AA1860" s="124" t="str">
        <f>IFERROR(__xludf.DUMMYFUNCTION("""COMPUTED_VALUE"""),"Enrolled")</f>
        <v>Enrolled</v>
      </c>
      <c r="AB1860" s="124" t="str">
        <f>IFERROR(__xludf.DUMMYFUNCTION("""COMPUTED_VALUE"""),"Mentorship")</f>
        <v>Mentorship</v>
      </c>
    </row>
    <row r="1861">
      <c r="A1861" s="126">
        <f>IFERROR(__xludf.DUMMYFUNCTION("""COMPUTED_VALUE"""),46110.0)</f>
        <v>46110</v>
      </c>
      <c r="B1861" s="124" t="str">
        <f>IFERROR(__xludf.DUMMYFUNCTION("""COMPUTED_VALUE"""),"Walkin")</f>
        <v>Walkin</v>
      </c>
      <c r="C1861" s="124" t="str">
        <f>IFERROR(__xludf.DUMMYFUNCTION("""COMPUTED_VALUE"""),"Patna")</f>
        <v>Patna</v>
      </c>
      <c r="D1861" s="124" t="str">
        <f>IFERROR(__xludf.DUMMYFUNCTION("""COMPUTED_VALUE"""),"Primary_Walkin")</f>
        <v>Primary_Walkin</v>
      </c>
      <c r="E1861" s="124">
        <f>IFERROR(__xludf.DUMMYFUNCTION("""COMPUTED_VALUE"""),1.0)</f>
        <v>1</v>
      </c>
      <c r="F1861" s="124" t="str">
        <f>IFERROR(__xludf.DUMMYFUNCTION("""COMPUTED_VALUE"""),"Cold")</f>
        <v>Cold</v>
      </c>
      <c r="G1861" s="124" t="str">
        <f>IFERROR(__xludf.DUMMYFUNCTION("""COMPUTED_VALUE"""),"GS Foundation")</f>
        <v>GS Foundation</v>
      </c>
      <c r="K1861" s="124"/>
      <c r="L1861" s="124"/>
      <c r="M1861" s="124"/>
      <c r="N1861" s="124"/>
      <c r="O1861" s="124"/>
      <c r="T1861" s="129">
        <f>IFERROR(__xludf.DUMMYFUNCTION("""COMPUTED_VALUE"""),46062.0)</f>
        <v>46062</v>
      </c>
      <c r="U1861" s="124" t="str">
        <f>IFERROR(__xludf.DUMMYFUNCTION("""COMPUTED_VALUE"""),"Walk-Ins")</f>
        <v>Walk-Ins</v>
      </c>
      <c r="V1861" s="124" t="str">
        <f>IFERROR(__xludf.DUMMYFUNCTION("""COMPUTED_VALUE"""),"Walkin")</f>
        <v>Walkin</v>
      </c>
      <c r="W1861" s="124" t="str">
        <f>IFERROR(__xludf.DUMMYFUNCTION("""COMPUTED_VALUE"""),"Prayagraj")</f>
        <v>Prayagraj</v>
      </c>
      <c r="X1861" s="124" t="str">
        <f>IFERROR(__xludf.DUMMYFUNCTION("""COMPUTED_VALUE"""),"Walkin")</f>
        <v>Walkin</v>
      </c>
      <c r="Y1861" s="124" t="str">
        <f>IFERROR(__xludf.DUMMYFUNCTION("""COMPUTED_VALUE"""),"Prayagraj")</f>
        <v>Prayagraj</v>
      </c>
      <c r="Z1861" s="124">
        <f>IFERROR(__xludf.DUMMYFUNCTION("""COMPUTED_VALUE"""),4.0)</f>
        <v>4</v>
      </c>
      <c r="AA1861" s="124" t="str">
        <f>IFERROR(__xludf.DUMMYFUNCTION("""COMPUTED_VALUE"""),"Not Interested")</f>
        <v>Not Interested</v>
      </c>
      <c r="AB1861" s="124" t="str">
        <f>IFERROR(__xludf.DUMMYFUNCTION("""COMPUTED_VALUE"""),"GS Foundation")</f>
        <v>GS Foundation</v>
      </c>
    </row>
    <row r="1862">
      <c r="A1862" s="126">
        <f>IFERROR(__xludf.DUMMYFUNCTION("""COMPUTED_VALUE"""),46092.0)</f>
        <v>46092</v>
      </c>
      <c r="B1862" s="124" t="str">
        <f>IFERROR(__xludf.DUMMYFUNCTION("""COMPUTED_VALUE"""),"Walkin")</f>
        <v>Walkin</v>
      </c>
      <c r="C1862" s="124" t="str">
        <f>IFERROR(__xludf.DUMMYFUNCTION("""COMPUTED_VALUE"""),"Patna")</f>
        <v>Patna</v>
      </c>
      <c r="D1862" s="124" t="str">
        <f>IFERROR(__xludf.DUMMYFUNCTION("""COMPUTED_VALUE"""),"Primary_Walkin")</f>
        <v>Primary_Walkin</v>
      </c>
      <c r="E1862" s="124">
        <f>IFERROR(__xludf.DUMMYFUNCTION("""COMPUTED_VALUE"""),1.0)</f>
        <v>1</v>
      </c>
      <c r="F1862" s="124" t="str">
        <f>IFERROR(__xludf.DUMMYFUNCTION("""COMPUTED_VALUE"""),"Warm")</f>
        <v>Warm</v>
      </c>
      <c r="G1862" s="124" t="str">
        <f>IFERROR(__xludf.DUMMYFUNCTION("""COMPUTED_VALUE"""),"GS Foundation")</f>
        <v>GS Foundation</v>
      </c>
      <c r="K1862" s="124"/>
      <c r="L1862" s="124"/>
      <c r="M1862" s="124"/>
      <c r="N1862" s="124"/>
      <c r="O1862" s="124"/>
      <c r="T1862" s="126">
        <f>IFERROR(__xludf.DUMMYFUNCTION("""COMPUTED_VALUE"""),46046.0)</f>
        <v>46046</v>
      </c>
      <c r="U1862" s="124" t="str">
        <f>IFERROR(__xludf.DUMMYFUNCTION("""COMPUTED_VALUE"""),"Walk-Ins")</f>
        <v>Walk-Ins</v>
      </c>
      <c r="V1862" s="124" t="str">
        <f>IFERROR(__xludf.DUMMYFUNCTION("""COMPUTED_VALUE"""),"Walk-In")</f>
        <v>Walk-In</v>
      </c>
      <c r="W1862" s="124" t="str">
        <f>IFERROR(__xludf.DUMMYFUNCTION("""COMPUTED_VALUE"""),"Patna")</f>
        <v>Patna</v>
      </c>
      <c r="X1862" s="124" t="str">
        <f>IFERROR(__xludf.DUMMYFUNCTION("""COMPUTED_VALUE"""),"Others")</f>
        <v>Others</v>
      </c>
      <c r="Y1862" s="124" t="str">
        <f>IFERROR(__xludf.DUMMYFUNCTION("""COMPUTED_VALUE"""),"Patna")</f>
        <v>Patna</v>
      </c>
      <c r="Z1862" s="124">
        <f>IFERROR(__xludf.DUMMYFUNCTION("""COMPUTED_VALUE"""),2.0)</f>
        <v>2</v>
      </c>
      <c r="AA1862" s="124" t="str">
        <f>IFERROR(__xludf.DUMMYFUNCTION("""COMPUTED_VALUE"""),"Cold")</f>
        <v>Cold</v>
      </c>
      <c r="AB1862" s="124" t="str">
        <f>IFERROR(__xludf.DUMMYFUNCTION("""COMPUTED_VALUE"""),"State PCS")</f>
        <v>State PCS</v>
      </c>
    </row>
    <row r="1863">
      <c r="A1863" s="126">
        <f>IFERROR(__xludf.DUMMYFUNCTION("""COMPUTED_VALUE"""),46561.0)</f>
        <v>46561</v>
      </c>
      <c r="B1863" s="124" t="str">
        <f>IFERROR(__xludf.DUMMYFUNCTION("""COMPUTED_VALUE"""),"Walkin")</f>
        <v>Walkin</v>
      </c>
      <c r="C1863" s="124" t="str">
        <f>IFERROR(__xludf.DUMMYFUNCTION("""COMPUTED_VALUE"""),"Patna")</f>
        <v>Patna</v>
      </c>
      <c r="D1863" s="124" t="str">
        <f>IFERROR(__xludf.DUMMYFUNCTION("""COMPUTED_VALUE"""),"Primary_Walkin")</f>
        <v>Primary_Walkin</v>
      </c>
      <c r="E1863" s="124">
        <f>IFERROR(__xludf.DUMMYFUNCTION("""COMPUTED_VALUE"""),1.0)</f>
        <v>1</v>
      </c>
      <c r="F1863" s="124" t="str">
        <f>IFERROR(__xludf.DUMMYFUNCTION("""COMPUTED_VALUE"""),"Future Prospects")</f>
        <v>Future Prospects</v>
      </c>
      <c r="G1863" s="124" t="str">
        <f>IFERROR(__xludf.DUMMYFUNCTION("""COMPUTED_VALUE"""),"State PCS")</f>
        <v>State PCS</v>
      </c>
      <c r="K1863" s="124"/>
      <c r="L1863" s="124"/>
      <c r="M1863" s="124"/>
      <c r="N1863" s="124"/>
      <c r="O1863" s="124"/>
      <c r="T1863" s="129">
        <f>IFERROR(__xludf.DUMMYFUNCTION("""COMPUTED_VALUE"""),46070.0)</f>
        <v>46070</v>
      </c>
      <c r="U1863" s="124" t="str">
        <f>IFERROR(__xludf.DUMMYFUNCTION("""COMPUTED_VALUE"""),"Walk-Ins")</f>
        <v>Walk-Ins</v>
      </c>
      <c r="V1863" s="124" t="str">
        <f>IFERROR(__xludf.DUMMYFUNCTION("""COMPUTED_VALUE"""),"Walkin")</f>
        <v>Walkin</v>
      </c>
      <c r="W1863" s="124" t="str">
        <f>IFERROR(__xludf.DUMMYFUNCTION("""COMPUTED_VALUE"""),"Patna")</f>
        <v>Patna</v>
      </c>
      <c r="X1863" s="124" t="str">
        <f>IFERROR(__xludf.DUMMYFUNCTION("""COMPUTED_VALUE"""),"Walkin")</f>
        <v>Walkin</v>
      </c>
      <c r="Y1863" s="124" t="str">
        <f>IFERROR(__xludf.DUMMYFUNCTION("""COMPUTED_VALUE"""),"Patna")</f>
        <v>Patna</v>
      </c>
      <c r="Z1863" s="124">
        <f>IFERROR(__xludf.DUMMYFUNCTION("""COMPUTED_VALUE"""),3.0)</f>
        <v>3</v>
      </c>
      <c r="AA1863" s="124" t="str">
        <f>IFERROR(__xludf.DUMMYFUNCTION("""COMPUTED_VALUE"""),"Cold")</f>
        <v>Cold</v>
      </c>
      <c r="AB1863" s="124" t="str">
        <f>IFERROR(__xludf.DUMMYFUNCTION("""COMPUTED_VALUE"""),"GS Foundation")</f>
        <v>GS Foundation</v>
      </c>
    </row>
    <row r="1864">
      <c r="A1864" s="126">
        <f>IFERROR(__xludf.DUMMYFUNCTION("""COMPUTED_VALUE"""),46105.0)</f>
        <v>46105</v>
      </c>
      <c r="B1864" s="124" t="str">
        <f>IFERROR(__xludf.DUMMYFUNCTION("""COMPUTED_VALUE"""),"Walkin")</f>
        <v>Walkin</v>
      </c>
      <c r="C1864" s="124" t="str">
        <f>IFERROR(__xludf.DUMMYFUNCTION("""COMPUTED_VALUE"""),"Patna")</f>
        <v>Patna</v>
      </c>
      <c r="D1864" s="124" t="str">
        <f>IFERROR(__xludf.DUMMYFUNCTION("""COMPUTED_VALUE"""),"Primary_Walkin")</f>
        <v>Primary_Walkin</v>
      </c>
      <c r="E1864" s="124">
        <f>IFERROR(__xludf.DUMMYFUNCTION("""COMPUTED_VALUE"""),1.0)</f>
        <v>1</v>
      </c>
      <c r="F1864" s="124" t="str">
        <f>IFERROR(__xludf.DUMMYFUNCTION("""COMPUTED_VALUE"""),"Not Interested")</f>
        <v>Not Interested</v>
      </c>
      <c r="G1864" s="124" t="str">
        <f>IFERROR(__xludf.DUMMYFUNCTION("""COMPUTED_VALUE"""),"GS Foundation")</f>
        <v>GS Foundation</v>
      </c>
      <c r="K1864" s="124"/>
      <c r="L1864" s="124"/>
      <c r="M1864" s="124"/>
      <c r="N1864" s="124"/>
      <c r="O1864" s="124"/>
      <c r="T1864" s="126">
        <f>IFERROR(__xludf.DUMMYFUNCTION("""COMPUTED_VALUE"""),46101.0)</f>
        <v>46101</v>
      </c>
      <c r="U1864" s="124" t="str">
        <f>IFERROR(__xludf.DUMMYFUNCTION("""COMPUTED_VALUE"""),"Walk-Ins")</f>
        <v>Walk-Ins</v>
      </c>
      <c r="V1864" s="124" t="str">
        <f>IFERROR(__xludf.DUMMYFUNCTION("""COMPUTED_VALUE"""),"Walkin")</f>
        <v>Walkin</v>
      </c>
      <c r="W1864" s="124" t="str">
        <f>IFERROR(__xludf.DUMMYFUNCTION("""COMPUTED_VALUE"""),"Patna")</f>
        <v>Patna</v>
      </c>
      <c r="X1864" s="124" t="str">
        <f>IFERROR(__xludf.DUMMYFUNCTION("""COMPUTED_VALUE"""),"Walkin")</f>
        <v>Walkin</v>
      </c>
      <c r="Y1864" s="124" t="str">
        <f>IFERROR(__xludf.DUMMYFUNCTION("""COMPUTED_VALUE"""),"Patna")</f>
        <v>Patna</v>
      </c>
      <c r="Z1864" s="124">
        <f>IFERROR(__xludf.DUMMYFUNCTION("""COMPUTED_VALUE"""),1.0)</f>
        <v>1</v>
      </c>
      <c r="AA1864" s="124" t="str">
        <f>IFERROR(__xludf.DUMMYFUNCTION("""COMPUTED_VALUE"""),"Warm")</f>
        <v>Warm</v>
      </c>
      <c r="AB1864" s="124" t="str">
        <f>IFERROR(__xludf.DUMMYFUNCTION("""COMPUTED_VALUE"""),"GS Foundation")</f>
        <v>GS Foundation</v>
      </c>
    </row>
    <row r="1865">
      <c r="A1865" s="126">
        <f>IFERROR(__xludf.DUMMYFUNCTION("""COMPUTED_VALUE"""),46109.0)</f>
        <v>46109</v>
      </c>
      <c r="B1865" s="124" t="str">
        <f>IFERROR(__xludf.DUMMYFUNCTION("""COMPUTED_VALUE"""),"Walkin")</f>
        <v>Walkin</v>
      </c>
      <c r="C1865" s="124" t="str">
        <f>IFERROR(__xludf.DUMMYFUNCTION("""COMPUTED_VALUE"""),"Patna")</f>
        <v>Patna</v>
      </c>
      <c r="D1865" s="124" t="str">
        <f>IFERROR(__xludf.DUMMYFUNCTION("""COMPUTED_VALUE"""),"Primary_Walkin")</f>
        <v>Primary_Walkin</v>
      </c>
      <c r="E1865" s="124">
        <f>IFERROR(__xludf.DUMMYFUNCTION("""COMPUTED_VALUE"""),1.0)</f>
        <v>1</v>
      </c>
      <c r="F1865" s="124" t="str">
        <f>IFERROR(__xludf.DUMMYFUNCTION("""COMPUTED_VALUE"""),"Fake Lead")</f>
        <v>Fake Lead</v>
      </c>
      <c r="G1865" s="124" t="str">
        <f>IFERROR(__xludf.DUMMYFUNCTION("""COMPUTED_VALUE"""),"GS Foundation")</f>
        <v>GS Foundation</v>
      </c>
      <c r="K1865" s="124"/>
      <c r="L1865" s="124"/>
      <c r="M1865" s="124"/>
      <c r="N1865" s="124"/>
      <c r="O1865" s="124"/>
      <c r="T1865" s="126">
        <f>IFERROR(__xludf.DUMMYFUNCTION("""COMPUTED_VALUE"""),46047.0)</f>
        <v>46047</v>
      </c>
      <c r="U1865" s="124" t="str">
        <f>IFERROR(__xludf.DUMMYFUNCTION("""COMPUTED_VALUE"""),"Walk-Ins")</f>
        <v>Walk-Ins</v>
      </c>
      <c r="V1865" s="124" t="str">
        <f>IFERROR(__xludf.DUMMYFUNCTION("""COMPUTED_VALUE"""),"Walkin")</f>
        <v>Walkin</v>
      </c>
      <c r="W1865" s="124" t="str">
        <f>IFERROR(__xludf.DUMMYFUNCTION("""COMPUTED_VALUE"""),"Prayagraj")</f>
        <v>Prayagraj</v>
      </c>
      <c r="X1865" s="124" t="str">
        <f>IFERROR(__xludf.DUMMYFUNCTION("""COMPUTED_VALUE"""),"Walkin")</f>
        <v>Walkin</v>
      </c>
      <c r="Y1865" s="124" t="str">
        <f>IFERROR(__xludf.DUMMYFUNCTION("""COMPUTED_VALUE"""),"Prayagraj")</f>
        <v>Prayagraj</v>
      </c>
      <c r="Z1865" s="124">
        <f>IFERROR(__xludf.DUMMYFUNCTION("""COMPUTED_VALUE"""),1.0)</f>
        <v>1</v>
      </c>
      <c r="AA1865" s="124" t="str">
        <f>IFERROR(__xludf.DUMMYFUNCTION("""COMPUTED_VALUE"""),"Not Interested")</f>
        <v>Not Interested</v>
      </c>
      <c r="AB1865" s="124" t="str">
        <f>IFERROR(__xludf.DUMMYFUNCTION("""COMPUTED_VALUE"""),"Mentorship")</f>
        <v>Mentorship</v>
      </c>
    </row>
    <row r="1866">
      <c r="A1866" s="129">
        <f>IFERROR(__xludf.DUMMYFUNCTION("""COMPUTED_VALUE"""),46058.0)</f>
        <v>46058</v>
      </c>
      <c r="B1866" s="124" t="str">
        <f>IFERROR(__xludf.DUMMYFUNCTION("""COMPUTED_VALUE"""),"Walkin")</f>
        <v>Walkin</v>
      </c>
      <c r="C1866" s="124" t="str">
        <f>IFERROR(__xludf.DUMMYFUNCTION("""COMPUTED_VALUE"""),"Patna")</f>
        <v>Patna</v>
      </c>
      <c r="D1866" s="124" t="str">
        <f>IFERROR(__xludf.DUMMYFUNCTION("""COMPUTED_VALUE"""),"Primary_Walkin")</f>
        <v>Primary_Walkin</v>
      </c>
      <c r="E1866" s="124">
        <f>IFERROR(__xludf.DUMMYFUNCTION("""COMPUTED_VALUE"""),1.0)</f>
        <v>1</v>
      </c>
      <c r="F1866" s="124" t="str">
        <f>IFERROR(__xludf.DUMMYFUNCTION("""COMPUTED_VALUE"""),"Fake Lead")</f>
        <v>Fake Lead</v>
      </c>
      <c r="G1866" s="124" t="str">
        <f>IFERROR(__xludf.DUMMYFUNCTION("""COMPUTED_VALUE"""),"GS Foundation")</f>
        <v>GS Foundation</v>
      </c>
      <c r="K1866" s="124"/>
      <c r="L1866" s="124"/>
      <c r="M1866" s="124"/>
      <c r="N1866" s="124"/>
      <c r="O1866" s="124"/>
      <c r="T1866" s="126">
        <f>IFERROR(__xludf.DUMMYFUNCTION("""COMPUTED_VALUE"""),46092.0)</f>
        <v>46092</v>
      </c>
      <c r="U1866" s="124" t="str">
        <f>IFERROR(__xludf.DUMMYFUNCTION("""COMPUTED_VALUE"""),"Walk-Ins")</f>
        <v>Walk-Ins</v>
      </c>
      <c r="V1866" s="124" t="str">
        <f>IFERROR(__xludf.DUMMYFUNCTION("""COMPUTED_VALUE"""),"Walkin")</f>
        <v>Walkin</v>
      </c>
      <c r="W1866" s="124" t="str">
        <f>IFERROR(__xludf.DUMMYFUNCTION("""COMPUTED_VALUE"""),"Patna")</f>
        <v>Patna</v>
      </c>
      <c r="X1866" s="124" t="str">
        <f>IFERROR(__xludf.DUMMYFUNCTION("""COMPUTED_VALUE"""),"Walkin")</f>
        <v>Walkin</v>
      </c>
      <c r="Y1866" s="124" t="str">
        <f>IFERROR(__xludf.DUMMYFUNCTION("""COMPUTED_VALUE"""),"Patna")</f>
        <v>Patna</v>
      </c>
      <c r="Z1866" s="124">
        <f>IFERROR(__xludf.DUMMYFUNCTION("""COMPUTED_VALUE"""),1.0)</f>
        <v>1</v>
      </c>
      <c r="AA1866" s="124" t="str">
        <f>IFERROR(__xludf.DUMMYFUNCTION("""COMPUTED_VALUE"""),"Not Interested")</f>
        <v>Not Interested</v>
      </c>
      <c r="AB1866" s="124" t="str">
        <f>IFERROR(__xludf.DUMMYFUNCTION("""COMPUTED_VALUE"""),"State PCS")</f>
        <v>State PCS</v>
      </c>
    </row>
    <row r="1867">
      <c r="A1867" s="129">
        <f>IFERROR(__xludf.DUMMYFUNCTION("""COMPUTED_VALUE"""),46054.0)</f>
        <v>46054</v>
      </c>
      <c r="B1867" s="124" t="str">
        <f>IFERROR(__xludf.DUMMYFUNCTION("""COMPUTED_VALUE"""),"Walkin")</f>
        <v>Walkin</v>
      </c>
      <c r="C1867" s="124" t="str">
        <f>IFERROR(__xludf.DUMMYFUNCTION("""COMPUTED_VALUE"""),"Patna")</f>
        <v>Patna</v>
      </c>
      <c r="D1867" s="124" t="str">
        <f>IFERROR(__xludf.DUMMYFUNCTION("""COMPUTED_VALUE"""),"Primary_Walkin")</f>
        <v>Primary_Walkin</v>
      </c>
      <c r="E1867" s="124">
        <f>IFERROR(__xludf.DUMMYFUNCTION("""COMPUTED_VALUE"""),1.0)</f>
        <v>1</v>
      </c>
      <c r="F1867" s="124" t="str">
        <f>IFERROR(__xludf.DUMMYFUNCTION("""COMPUTED_VALUE"""),"Cold")</f>
        <v>Cold</v>
      </c>
      <c r="G1867" s="124" t="str">
        <f>IFERROR(__xludf.DUMMYFUNCTION("""COMPUTED_VALUE"""),"State PCS")</f>
        <v>State PCS</v>
      </c>
      <c r="K1867" s="124"/>
      <c r="L1867" s="124"/>
      <c r="M1867" s="124"/>
      <c r="N1867" s="124"/>
      <c r="O1867" s="124"/>
      <c r="T1867" s="126">
        <f>IFERROR(__xludf.DUMMYFUNCTION("""COMPUTED_VALUE"""),46102.0)</f>
        <v>46102</v>
      </c>
      <c r="U1867" s="124" t="str">
        <f>IFERROR(__xludf.DUMMYFUNCTION("""COMPUTED_VALUE"""),"Walk-Ins")</f>
        <v>Walk-Ins</v>
      </c>
      <c r="V1867" s="124" t="str">
        <f>IFERROR(__xludf.DUMMYFUNCTION("""COMPUTED_VALUE"""),"Walkin")</f>
        <v>Walkin</v>
      </c>
      <c r="W1867" s="124" t="str">
        <f>IFERROR(__xludf.DUMMYFUNCTION("""COMPUTED_VALUE"""),"Patna")</f>
        <v>Patna</v>
      </c>
      <c r="X1867" s="124" t="str">
        <f>IFERROR(__xludf.DUMMYFUNCTION("""COMPUTED_VALUE"""),"Walkin")</f>
        <v>Walkin</v>
      </c>
      <c r="Y1867" s="124" t="str">
        <f>IFERROR(__xludf.DUMMYFUNCTION("""COMPUTED_VALUE"""),"Patna")</f>
        <v>Patna</v>
      </c>
      <c r="Z1867" s="124">
        <f>IFERROR(__xludf.DUMMYFUNCTION("""COMPUTED_VALUE"""),2.0)</f>
        <v>2</v>
      </c>
      <c r="AA1867" s="124" t="str">
        <f>IFERROR(__xludf.DUMMYFUNCTION("""COMPUTED_VALUE"""),"Enrolled")</f>
        <v>Enrolled</v>
      </c>
      <c r="AB1867" s="124" t="str">
        <f>IFERROR(__xludf.DUMMYFUNCTION("""COMPUTED_VALUE"""),"State PCS")</f>
        <v>State PCS</v>
      </c>
    </row>
    <row r="1868">
      <c r="A1868" s="126">
        <f>IFERROR(__xludf.DUMMYFUNCTION("""COMPUTED_VALUE"""),46109.0)</f>
        <v>46109</v>
      </c>
      <c r="B1868" s="124" t="str">
        <f>IFERROR(__xludf.DUMMYFUNCTION("""COMPUTED_VALUE"""),"Walk-In")</f>
        <v>Walk-In</v>
      </c>
      <c r="C1868" s="124" t="str">
        <f>IFERROR(__xludf.DUMMYFUNCTION("""COMPUTED_VALUE"""),"Patna")</f>
        <v>Patna</v>
      </c>
      <c r="D1868" s="124" t="str">
        <f>IFERROR(__xludf.DUMMYFUNCTION("""COMPUTED_VALUE"""),"Primary_Walkin")</f>
        <v>Primary_Walkin</v>
      </c>
      <c r="E1868" s="124">
        <f>IFERROR(__xludf.DUMMYFUNCTION("""COMPUTED_VALUE"""),1.0)</f>
        <v>1</v>
      </c>
      <c r="F1868" s="124" t="str">
        <f>IFERROR(__xludf.DUMMYFUNCTION("""COMPUTED_VALUE"""),"Dead Lead")</f>
        <v>Dead Lead</v>
      </c>
      <c r="G1868" s="124" t="str">
        <f>IFERROR(__xludf.DUMMYFUNCTION("""COMPUTED_VALUE"""),"Prelims Crash Course - SIP")</f>
        <v>Prelims Crash Course - SIP</v>
      </c>
      <c r="K1868" s="124"/>
      <c r="L1868" s="124"/>
      <c r="M1868" s="124"/>
      <c r="N1868" s="124"/>
      <c r="O1868" s="124"/>
      <c r="T1868" s="126">
        <f>IFERROR(__xludf.DUMMYFUNCTION("""COMPUTED_VALUE"""),46091.0)</f>
        <v>46091</v>
      </c>
      <c r="U1868" s="124" t="str">
        <f>IFERROR(__xludf.DUMMYFUNCTION("""COMPUTED_VALUE"""),"Paid Ads")</f>
        <v>Paid Ads</v>
      </c>
      <c r="V1868" s="124" t="str">
        <f>IFERROR(__xludf.DUMMYFUNCTION("""COMPUTED_VALUE"""),"facebook")</f>
        <v>facebook</v>
      </c>
      <c r="W1868" s="124" t="str">
        <f>IFERROR(__xludf.DUMMYFUNCTION("""COMPUTED_VALUE"""),"indore")</f>
        <v>indore</v>
      </c>
      <c r="X1868" s="124" t="str">
        <f>IFERROR(__xludf.DUMMYFUNCTION("""COMPUTED_VALUE"""),"meta")</f>
        <v>meta</v>
      </c>
      <c r="Y1868" s="124" t="str">
        <f>IFERROR(__xludf.DUMMYFUNCTION("""COMPUTED_VALUE"""),"Indore")</f>
        <v>Indore</v>
      </c>
      <c r="Z1868" s="124">
        <f>IFERROR(__xludf.DUMMYFUNCTION("""COMPUTED_VALUE"""),4.0)</f>
        <v>4</v>
      </c>
      <c r="AA1868" s="124" t="str">
        <f>IFERROR(__xludf.DUMMYFUNCTION("""COMPUTED_VALUE"""),"Cold")</f>
        <v>Cold</v>
      </c>
      <c r="AB1868" s="124"/>
    </row>
    <row r="1869">
      <c r="A1869" s="126">
        <f>IFERROR(__xludf.DUMMYFUNCTION("""COMPUTED_VALUE"""),46072.0)</f>
        <v>46072</v>
      </c>
      <c r="B1869" s="124" t="str">
        <f>IFERROR(__xludf.DUMMYFUNCTION("""COMPUTED_VALUE"""),"Walkin")</f>
        <v>Walkin</v>
      </c>
      <c r="C1869" s="124" t="str">
        <f>IFERROR(__xludf.DUMMYFUNCTION("""COMPUTED_VALUE"""),"Patna")</f>
        <v>Patna</v>
      </c>
      <c r="D1869" s="124" t="str">
        <f>IFERROR(__xludf.DUMMYFUNCTION("""COMPUTED_VALUE"""),"Primary_Walkin")</f>
        <v>Primary_Walkin</v>
      </c>
      <c r="E1869" s="124">
        <f>IFERROR(__xludf.DUMMYFUNCTION("""COMPUTED_VALUE"""),1.0)</f>
        <v>1</v>
      </c>
      <c r="F1869" s="124" t="str">
        <f>IFERROR(__xludf.DUMMYFUNCTION("""COMPUTED_VALUE"""),"Enrolled")</f>
        <v>Enrolled</v>
      </c>
      <c r="G1869" s="124" t="str">
        <f>IFERROR(__xludf.DUMMYFUNCTION("""COMPUTED_VALUE"""),"State PCS")</f>
        <v>State PCS</v>
      </c>
      <c r="K1869" s="124"/>
      <c r="L1869" s="124"/>
      <c r="M1869" s="124"/>
      <c r="N1869" s="124"/>
      <c r="O1869" s="124"/>
      <c r="T1869" s="126">
        <f>IFERROR(__xludf.DUMMYFUNCTION("""COMPUTED_VALUE"""),46092.0)</f>
        <v>46092</v>
      </c>
      <c r="U1869" s="124" t="str">
        <f>IFERROR(__xludf.DUMMYFUNCTION("""COMPUTED_VALUE"""),"Walk-Ins")</f>
        <v>Walk-Ins</v>
      </c>
      <c r="V1869" s="124" t="str">
        <f>IFERROR(__xludf.DUMMYFUNCTION("""COMPUTED_VALUE"""),"Walkin")</f>
        <v>Walkin</v>
      </c>
      <c r="W1869" s="124" t="str">
        <f>IFERROR(__xludf.DUMMYFUNCTION("""COMPUTED_VALUE"""),"Patna")</f>
        <v>Patna</v>
      </c>
      <c r="X1869" s="124" t="str">
        <f>IFERROR(__xludf.DUMMYFUNCTION("""COMPUTED_VALUE"""),"Walkin")</f>
        <v>Walkin</v>
      </c>
      <c r="Y1869" s="124" t="str">
        <f>IFERROR(__xludf.DUMMYFUNCTION("""COMPUTED_VALUE"""),"Patna")</f>
        <v>Patna</v>
      </c>
      <c r="Z1869" s="124">
        <f>IFERROR(__xludf.DUMMYFUNCTION("""COMPUTED_VALUE"""),1.0)</f>
        <v>1</v>
      </c>
      <c r="AA1869" s="124" t="str">
        <f>IFERROR(__xludf.DUMMYFUNCTION("""COMPUTED_VALUE"""),"Cold")</f>
        <v>Cold</v>
      </c>
      <c r="AB1869" s="124" t="str">
        <f>IFERROR(__xludf.DUMMYFUNCTION("""COMPUTED_VALUE"""),"GS Foundation")</f>
        <v>GS Foundation</v>
      </c>
    </row>
    <row r="1870">
      <c r="A1870" s="126">
        <f>IFERROR(__xludf.DUMMYFUNCTION("""COMPUTED_VALUE"""),46101.0)</f>
        <v>46101</v>
      </c>
      <c r="B1870" s="124" t="str">
        <f>IFERROR(__xludf.DUMMYFUNCTION("""COMPUTED_VALUE"""),"Walkin")</f>
        <v>Walkin</v>
      </c>
      <c r="C1870" s="124" t="str">
        <f>IFERROR(__xludf.DUMMYFUNCTION("""COMPUTED_VALUE"""),"Patna")</f>
        <v>Patna</v>
      </c>
      <c r="D1870" s="124" t="str">
        <f>IFERROR(__xludf.DUMMYFUNCTION("""COMPUTED_VALUE"""),"Primary_Walkin")</f>
        <v>Primary_Walkin</v>
      </c>
      <c r="E1870" s="124">
        <f>IFERROR(__xludf.DUMMYFUNCTION("""COMPUTED_VALUE"""),1.0)</f>
        <v>1</v>
      </c>
      <c r="F1870" s="124" t="str">
        <f>IFERROR(__xludf.DUMMYFUNCTION("""COMPUTED_VALUE"""),"Not Interested")</f>
        <v>Not Interested</v>
      </c>
      <c r="G1870" s="124" t="str">
        <f>IFERROR(__xludf.DUMMYFUNCTION("""COMPUTED_VALUE"""),"State PCS")</f>
        <v>State PCS</v>
      </c>
      <c r="K1870" s="124"/>
      <c r="L1870" s="124"/>
      <c r="M1870" s="124"/>
      <c r="N1870" s="124"/>
      <c r="O1870" s="124"/>
      <c r="T1870" s="126">
        <f>IFERROR(__xludf.DUMMYFUNCTION("""COMPUTED_VALUE"""),46050.0)</f>
        <v>46050</v>
      </c>
      <c r="U1870" s="124" t="str">
        <f>IFERROR(__xludf.DUMMYFUNCTION("""COMPUTED_VALUE"""),"Event")</f>
        <v>Event</v>
      </c>
      <c r="V1870" s="124" t="str">
        <f>IFERROR(__xludf.DUMMYFUNCTION("""COMPUTED_VALUE"""),"Events")</f>
        <v>Events</v>
      </c>
      <c r="W1870" s="124" t="str">
        <f>IFERROR(__xludf.DUMMYFUNCTION("""COMPUTED_VALUE"""),"Delhi")</f>
        <v>Delhi</v>
      </c>
      <c r="X1870" s="124" t="str">
        <f>IFERROR(__xludf.DUMMYFUNCTION("""COMPUTED_VALUE"""),"DRCSEMINAR(")</f>
        <v>DRCSEMINAR(</v>
      </c>
      <c r="Y1870" s="124" t="str">
        <f>IFERROR(__xludf.DUMMYFUNCTION("""COMPUTED_VALUE"""),"Delhi")</f>
        <v>Delhi</v>
      </c>
      <c r="Z1870" s="124">
        <f>IFERROR(__xludf.DUMMYFUNCTION("""COMPUTED_VALUE"""),1.0)</f>
        <v>1</v>
      </c>
      <c r="AA1870" s="124" t="str">
        <f>IFERROR(__xludf.DUMMYFUNCTION("""COMPUTED_VALUE"""),"Not Interested")</f>
        <v>Not Interested</v>
      </c>
      <c r="AB1870" s="124"/>
    </row>
    <row r="1871">
      <c r="A1871" s="126">
        <f>IFERROR(__xludf.DUMMYFUNCTION("""COMPUTED_VALUE"""),46052.0)</f>
        <v>46052</v>
      </c>
      <c r="B1871" s="124" t="str">
        <f>IFERROR(__xludf.DUMMYFUNCTION("""COMPUTED_VALUE"""),"Walkin")</f>
        <v>Walkin</v>
      </c>
      <c r="C1871" s="124" t="str">
        <f>IFERROR(__xludf.DUMMYFUNCTION("""COMPUTED_VALUE"""),"Patna")</f>
        <v>Patna</v>
      </c>
      <c r="D1871" s="124" t="str">
        <f>IFERROR(__xludf.DUMMYFUNCTION("""COMPUTED_VALUE"""),"Primary_Walkin")</f>
        <v>Primary_Walkin</v>
      </c>
      <c r="E1871" s="124">
        <f>IFERROR(__xludf.DUMMYFUNCTION("""COMPUTED_VALUE"""),1.0)</f>
        <v>1</v>
      </c>
      <c r="F1871" s="124" t="str">
        <f>IFERROR(__xludf.DUMMYFUNCTION("""COMPUTED_VALUE"""),"Not Interested")</f>
        <v>Not Interested</v>
      </c>
      <c r="G1871" s="124" t="str">
        <f>IFERROR(__xludf.DUMMYFUNCTION("""COMPUTED_VALUE"""),"Mentorship")</f>
        <v>Mentorship</v>
      </c>
      <c r="K1871" s="124"/>
      <c r="L1871" s="124"/>
      <c r="M1871" s="124"/>
      <c r="N1871" s="124"/>
      <c r="O1871" s="124"/>
      <c r="T1871" s="129">
        <f>IFERROR(__xludf.DUMMYFUNCTION("""COMPUTED_VALUE"""),46051.0)</f>
        <v>46051</v>
      </c>
      <c r="U1871" s="124" t="str">
        <f>IFERROR(__xludf.DUMMYFUNCTION("""COMPUTED_VALUE"""),"Event")</f>
        <v>Event</v>
      </c>
      <c r="V1871" s="124" t="str">
        <f>IFERROR(__xludf.DUMMYFUNCTION("""COMPUTED_VALUE"""),"Events")</f>
        <v>Events</v>
      </c>
      <c r="W1871" s="124" t="str">
        <f>IFERROR(__xludf.DUMMYFUNCTION("""COMPUTED_VALUE"""),"Delhi")</f>
        <v>Delhi</v>
      </c>
      <c r="X1871" s="124" t="str">
        <f>IFERROR(__xludf.DUMMYFUNCTION("""COMPUTED_VALUE"""),"DRCSEMINAR(")</f>
        <v>DRCSEMINAR(</v>
      </c>
      <c r="Y1871" s="124"/>
      <c r="Z1871" s="124">
        <f>IFERROR(__xludf.DUMMYFUNCTION("""COMPUTED_VALUE"""),5.0)</f>
        <v>5</v>
      </c>
      <c r="AA1871" s="124" t="str">
        <f>IFERROR(__xludf.DUMMYFUNCTION("""COMPUTED_VALUE"""),"Cold")</f>
        <v>Cold</v>
      </c>
      <c r="AB1871" s="124"/>
    </row>
    <row r="1872">
      <c r="A1872" s="126">
        <f>IFERROR(__xludf.DUMMYFUNCTION("""COMPUTED_VALUE"""),46078.0)</f>
        <v>46078</v>
      </c>
      <c r="B1872" s="124" t="str">
        <f>IFERROR(__xludf.DUMMYFUNCTION("""COMPUTED_VALUE"""),"Walkin")</f>
        <v>Walkin</v>
      </c>
      <c r="C1872" s="124" t="str">
        <f>IFERROR(__xludf.DUMMYFUNCTION("""COMPUTED_VALUE"""),"Patna")</f>
        <v>Patna</v>
      </c>
      <c r="D1872" s="124" t="str">
        <f>IFERROR(__xludf.DUMMYFUNCTION("""COMPUTED_VALUE"""),"Primary_Walkin")</f>
        <v>Primary_Walkin</v>
      </c>
      <c r="E1872" s="124">
        <f>IFERROR(__xludf.DUMMYFUNCTION("""COMPUTED_VALUE"""),1.0)</f>
        <v>1</v>
      </c>
      <c r="F1872" s="124" t="str">
        <f>IFERROR(__xludf.DUMMYFUNCTION("""COMPUTED_VALUE"""),"Enrolled")</f>
        <v>Enrolled</v>
      </c>
      <c r="G1872" s="124" t="str">
        <f>IFERROR(__xludf.DUMMYFUNCTION("""COMPUTED_VALUE"""),"Optionals")</f>
        <v>Optionals</v>
      </c>
      <c r="K1872" s="124"/>
      <c r="L1872" s="124"/>
      <c r="M1872" s="124"/>
      <c r="N1872" s="124"/>
      <c r="O1872" s="124"/>
      <c r="T1872" s="129">
        <f>IFERROR(__xludf.DUMMYFUNCTION("""COMPUTED_VALUE"""),46104.0)</f>
        <v>46104</v>
      </c>
      <c r="U1872" s="124" t="str">
        <f>IFERROR(__xludf.DUMMYFUNCTION("""COMPUTED_VALUE"""),"Paid Ads")</f>
        <v>Paid Ads</v>
      </c>
      <c r="V1872" s="124" t="str">
        <f>IFERROR(__xludf.DUMMYFUNCTION("""COMPUTED_VALUE"""),"Facebook")</f>
        <v>Facebook</v>
      </c>
      <c r="W1872" s="124" t="str">
        <f>IFERROR(__xludf.DUMMYFUNCTION("""COMPUTED_VALUE"""),"LeadAd")</f>
        <v>LeadAd</v>
      </c>
      <c r="X1872" s="124" t="str">
        <f>IFERROR(__xludf.DUMMYFUNCTION("""COMPUTED_VALUE"""),"Upsc_Hindi_Leads_FB_Creatives")</f>
        <v>Upsc_Hindi_Leads_FB_Creatives</v>
      </c>
      <c r="Y1872" s="124"/>
      <c r="Z1872" s="124">
        <f>IFERROR(__xludf.DUMMYFUNCTION("""COMPUTED_VALUE"""),18.0)</f>
        <v>18</v>
      </c>
      <c r="AA1872" s="124" t="str">
        <f>IFERROR(__xludf.DUMMYFUNCTION("""COMPUTED_VALUE"""),"Cold")</f>
        <v>Cold</v>
      </c>
      <c r="AB1872" s="124"/>
    </row>
    <row r="1873">
      <c r="A1873" s="126">
        <f>IFERROR(__xludf.DUMMYFUNCTION("""COMPUTED_VALUE"""),46100.0)</f>
        <v>46100</v>
      </c>
      <c r="B1873" s="124" t="str">
        <f>IFERROR(__xludf.DUMMYFUNCTION("""COMPUTED_VALUE"""),"Walkin")</f>
        <v>Walkin</v>
      </c>
      <c r="C1873" s="124" t="str">
        <f>IFERROR(__xludf.DUMMYFUNCTION("""COMPUTED_VALUE"""),"Patna")</f>
        <v>Patna</v>
      </c>
      <c r="D1873" s="124" t="str">
        <f>IFERROR(__xludf.DUMMYFUNCTION("""COMPUTED_VALUE"""),"Primary_Walkin")</f>
        <v>Primary_Walkin</v>
      </c>
      <c r="E1873" s="124">
        <f>IFERROR(__xludf.DUMMYFUNCTION("""COMPUTED_VALUE"""),2.0)</f>
        <v>2</v>
      </c>
      <c r="F1873" s="124" t="str">
        <f>IFERROR(__xludf.DUMMYFUNCTION("""COMPUTED_VALUE"""),"Cold")</f>
        <v>Cold</v>
      </c>
      <c r="G1873" s="124" t="str">
        <f>IFERROR(__xludf.DUMMYFUNCTION("""COMPUTED_VALUE"""),"State PCS")</f>
        <v>State PCS</v>
      </c>
      <c r="K1873" s="124"/>
      <c r="L1873" s="124"/>
      <c r="M1873" s="124"/>
      <c r="N1873" s="124"/>
      <c r="O1873" s="124"/>
      <c r="T1873" s="126">
        <f>IFERROR(__xludf.DUMMYFUNCTION("""COMPUTED_VALUE"""),46102.0)</f>
        <v>46102</v>
      </c>
      <c r="U1873" s="124" t="str">
        <f>IFERROR(__xludf.DUMMYFUNCTION("""COMPUTED_VALUE"""),"Paid Ads")</f>
        <v>Paid Ads</v>
      </c>
      <c r="V1873" s="124" t="str">
        <f>IFERROR(__xludf.DUMMYFUNCTION("""COMPUTED_VALUE"""),"Facebook")</f>
        <v>Facebook</v>
      </c>
      <c r="W1873" s="124" t="str">
        <f>IFERROR(__xludf.DUMMYFUNCTION("""COMPUTED_VALUE"""),"LeadAd")</f>
        <v>LeadAd</v>
      </c>
      <c r="X1873" s="124" t="str">
        <f>IFERROR(__xludf.DUMMYFUNCTION("""COMPUTED_VALUE"""),"Upsc_Hindi_Leads_FB_Creatives")</f>
        <v>Upsc_Hindi_Leads_FB_Creatives</v>
      </c>
      <c r="Y1873" s="124"/>
      <c r="Z1873" s="124">
        <f>IFERROR(__xludf.DUMMYFUNCTION("""COMPUTED_VALUE"""),1.0)</f>
        <v>1</v>
      </c>
      <c r="AA1873" s="124" t="str">
        <f>IFERROR(__xludf.DUMMYFUNCTION("""COMPUTED_VALUE"""),"Interested")</f>
        <v>Interested</v>
      </c>
      <c r="AB1873" s="124"/>
    </row>
    <row r="1874">
      <c r="A1874" s="126">
        <f>IFERROR(__xludf.DUMMYFUNCTION("""COMPUTED_VALUE"""),46075.0)</f>
        <v>46075</v>
      </c>
      <c r="B1874" s="124" t="str">
        <f>IFERROR(__xludf.DUMMYFUNCTION("""COMPUTED_VALUE"""),"Walkin")</f>
        <v>Walkin</v>
      </c>
      <c r="C1874" s="124" t="str">
        <f>IFERROR(__xludf.DUMMYFUNCTION("""COMPUTED_VALUE"""),"Patna")</f>
        <v>Patna</v>
      </c>
      <c r="D1874" s="124" t="str">
        <f>IFERROR(__xludf.DUMMYFUNCTION("""COMPUTED_VALUE"""),"Primary_Walkin")</f>
        <v>Primary_Walkin</v>
      </c>
      <c r="E1874" s="124">
        <f>IFERROR(__xludf.DUMMYFUNCTION("""COMPUTED_VALUE"""),1.0)</f>
        <v>1</v>
      </c>
      <c r="F1874" s="124" t="str">
        <f>IFERROR(__xludf.DUMMYFUNCTION("""COMPUTED_VALUE"""),"Cold")</f>
        <v>Cold</v>
      </c>
      <c r="G1874" s="124" t="str">
        <f>IFERROR(__xludf.DUMMYFUNCTION("""COMPUTED_VALUE"""),"GS Foundation")</f>
        <v>GS Foundation</v>
      </c>
      <c r="K1874" s="124"/>
      <c r="L1874" s="124"/>
      <c r="M1874" s="124"/>
      <c r="N1874" s="124"/>
      <c r="O1874" s="124"/>
      <c r="T1874" s="126">
        <f>IFERROR(__xludf.DUMMYFUNCTION("""COMPUTED_VALUE"""),46102.0)</f>
        <v>46102</v>
      </c>
      <c r="U1874" s="124" t="str">
        <f>IFERROR(__xludf.DUMMYFUNCTION("""COMPUTED_VALUE"""),"Paid Ads")</f>
        <v>Paid Ads</v>
      </c>
      <c r="V1874" s="124" t="str">
        <f>IFERROR(__xludf.DUMMYFUNCTION("""COMPUTED_VALUE"""),"Facebook")</f>
        <v>Facebook</v>
      </c>
      <c r="W1874" s="124" t="str">
        <f>IFERROR(__xludf.DUMMYFUNCTION("""COMPUTED_VALUE"""),"LeadAd")</f>
        <v>LeadAd</v>
      </c>
      <c r="X1874" s="124" t="str">
        <f>IFERROR(__xludf.DUMMYFUNCTION("""COMPUTED_VALUE"""),"Upsc_Hindi_Leads_FB_Creatives")</f>
        <v>Upsc_Hindi_Leads_FB_Creatives</v>
      </c>
      <c r="Y1874" s="124"/>
      <c r="Z1874" s="124">
        <f>IFERROR(__xludf.DUMMYFUNCTION("""COMPUTED_VALUE"""),4.0)</f>
        <v>4</v>
      </c>
      <c r="AA1874" s="124" t="str">
        <f>IFERROR(__xludf.DUMMYFUNCTION("""COMPUTED_VALUE"""),"Warm")</f>
        <v>Warm</v>
      </c>
      <c r="AB1874" s="124"/>
    </row>
    <row r="1875">
      <c r="A1875" s="126">
        <f>IFERROR(__xludf.DUMMYFUNCTION("""COMPUTED_VALUE"""),46071.0)</f>
        <v>46071</v>
      </c>
      <c r="B1875" s="124" t="str">
        <f>IFERROR(__xludf.DUMMYFUNCTION("""COMPUTED_VALUE"""),"Walkin")</f>
        <v>Walkin</v>
      </c>
      <c r="C1875" s="124" t="str">
        <f>IFERROR(__xludf.DUMMYFUNCTION("""COMPUTED_VALUE"""),"Patna")</f>
        <v>Patna</v>
      </c>
      <c r="D1875" s="124" t="str">
        <f>IFERROR(__xludf.DUMMYFUNCTION("""COMPUTED_VALUE"""),"Primary_Walkin")</f>
        <v>Primary_Walkin</v>
      </c>
      <c r="E1875" s="124">
        <f>IFERROR(__xludf.DUMMYFUNCTION("""COMPUTED_VALUE"""),1.0)</f>
        <v>1</v>
      </c>
      <c r="F1875" s="124" t="str">
        <f>IFERROR(__xludf.DUMMYFUNCTION("""COMPUTED_VALUE"""),"Not Interested")</f>
        <v>Not Interested</v>
      </c>
      <c r="G1875" s="124" t="str">
        <f>IFERROR(__xludf.DUMMYFUNCTION("""COMPUTED_VALUE"""),"GS Advanced")</f>
        <v>GS Advanced</v>
      </c>
      <c r="K1875" s="124"/>
      <c r="L1875" s="124"/>
      <c r="M1875" s="124"/>
      <c r="N1875" s="124"/>
      <c r="O1875" s="124"/>
      <c r="T1875" s="129">
        <f>IFERROR(__xludf.DUMMYFUNCTION("""COMPUTED_VALUE"""),46110.0)</f>
        <v>46110</v>
      </c>
      <c r="U1875" s="124" t="str">
        <f>IFERROR(__xludf.DUMMYFUNCTION("""COMPUTED_VALUE"""),"Paid Ads")</f>
        <v>Paid Ads</v>
      </c>
      <c r="V1875" s="124" t="str">
        <f>IFERROR(__xludf.DUMMYFUNCTION("""COMPUTED_VALUE"""),"Facebook")</f>
        <v>Facebook</v>
      </c>
      <c r="W1875" s="124" t="str">
        <f>IFERROR(__xludf.DUMMYFUNCTION("""COMPUTED_VALUE"""),"LeadAd")</f>
        <v>LeadAd</v>
      </c>
      <c r="X1875" s="124" t="str">
        <f>IFERROR(__xludf.DUMMYFUNCTION("""COMPUTED_VALUE"""),"Upsc_Hindi_Leads_FB_Creatives")</f>
        <v>Upsc_Hindi_Leads_FB_Creatives</v>
      </c>
      <c r="Y1875" s="124"/>
      <c r="Z1875" s="124">
        <f>IFERROR(__xludf.DUMMYFUNCTION("""COMPUTED_VALUE"""),1.0)</f>
        <v>1</v>
      </c>
      <c r="AA1875" s="124" t="str">
        <f>IFERROR(__xludf.DUMMYFUNCTION("""COMPUTED_VALUE"""),"Fake Lead")</f>
        <v>Fake Lead</v>
      </c>
      <c r="AB1875" s="124"/>
    </row>
    <row r="1876">
      <c r="A1876" s="126">
        <f>IFERROR(__xludf.DUMMYFUNCTION("""COMPUTED_VALUE"""),46049.0)</f>
        <v>46049</v>
      </c>
      <c r="B1876" s="124" t="str">
        <f>IFERROR(__xludf.DUMMYFUNCTION("""COMPUTED_VALUE"""),"Walk-In")</f>
        <v>Walk-In</v>
      </c>
      <c r="C1876" s="124" t="str">
        <f>IFERROR(__xludf.DUMMYFUNCTION("""COMPUTED_VALUE"""),"Patna")</f>
        <v>Patna</v>
      </c>
      <c r="D1876" s="124" t="str">
        <f>IFERROR(__xludf.DUMMYFUNCTION("""COMPUTED_VALUE"""),"Primary_Walkin")</f>
        <v>Primary_Walkin</v>
      </c>
      <c r="E1876" s="124">
        <f>IFERROR(__xludf.DUMMYFUNCTION("""COMPUTED_VALUE"""),1.0)</f>
        <v>1</v>
      </c>
      <c r="F1876" s="124" t="str">
        <f>IFERROR(__xludf.DUMMYFUNCTION("""COMPUTED_VALUE"""),"Warm")</f>
        <v>Warm</v>
      </c>
      <c r="G1876" s="124" t="str">
        <f>IFERROR(__xludf.DUMMYFUNCTION("""COMPUTED_VALUE"""),"GS Foundation")</f>
        <v>GS Foundation</v>
      </c>
      <c r="K1876" s="124"/>
      <c r="L1876" s="124"/>
      <c r="M1876" s="124"/>
      <c r="N1876" s="124"/>
      <c r="O1876" s="124"/>
      <c r="T1876" s="129">
        <f>IFERROR(__xludf.DUMMYFUNCTION("""COMPUTED_VALUE"""),46101.0)</f>
        <v>46101</v>
      </c>
      <c r="U1876" s="124" t="str">
        <f>IFERROR(__xludf.DUMMYFUNCTION("""COMPUTED_VALUE"""),"Paid Ads")</f>
        <v>Paid Ads</v>
      </c>
      <c r="V1876" s="124" t="str">
        <f>IFERROR(__xludf.DUMMYFUNCTION("""COMPUTED_VALUE"""),"Facebook")</f>
        <v>Facebook</v>
      </c>
      <c r="W1876" s="124" t="str">
        <f>IFERROR(__xludf.DUMMYFUNCTION("""COMPUTED_VALUE"""),"LeadAd")</f>
        <v>LeadAd</v>
      </c>
      <c r="X1876" s="124" t="str">
        <f>IFERROR(__xludf.DUMMYFUNCTION("""COMPUTED_VALUE"""),"Upsc_Hindi_Leads_FB_Creatives")</f>
        <v>Upsc_Hindi_Leads_FB_Creatives</v>
      </c>
      <c r="Y1876" s="124" t="str">
        <f>IFERROR(__xludf.DUMMYFUNCTION("""COMPUTED_VALUE"""),"Lucknow")</f>
        <v>Lucknow</v>
      </c>
      <c r="Z1876" s="124">
        <f>IFERROR(__xludf.DUMMYFUNCTION("""COMPUTED_VALUE"""),1.0)</f>
        <v>1</v>
      </c>
      <c r="AA1876" s="124" t="str">
        <f>IFERROR(__xludf.DUMMYFUNCTION("""COMPUTED_VALUE"""),"Warm")</f>
        <v>Warm</v>
      </c>
      <c r="AB1876" s="124" t="str">
        <f>IFERROR(__xludf.DUMMYFUNCTION("""COMPUTED_VALUE"""),"GS Foundation")</f>
        <v>GS Foundation</v>
      </c>
    </row>
    <row r="1877">
      <c r="A1877" s="126">
        <f>IFERROR(__xludf.DUMMYFUNCTION("""COMPUTED_VALUE"""),46063.0)</f>
        <v>46063</v>
      </c>
      <c r="B1877" s="124" t="str">
        <f>IFERROR(__xludf.DUMMYFUNCTION("""COMPUTED_VALUE"""),"Walkin")</f>
        <v>Walkin</v>
      </c>
      <c r="C1877" s="124" t="str">
        <f>IFERROR(__xludf.DUMMYFUNCTION("""COMPUTED_VALUE"""),"Patna")</f>
        <v>Patna</v>
      </c>
      <c r="D1877" s="124" t="str">
        <f>IFERROR(__xludf.DUMMYFUNCTION("""COMPUTED_VALUE"""),"Primary_Walkin")</f>
        <v>Primary_Walkin</v>
      </c>
      <c r="E1877" s="124">
        <f>IFERROR(__xludf.DUMMYFUNCTION("""COMPUTED_VALUE"""),1.0)</f>
        <v>1</v>
      </c>
      <c r="F1877" s="124" t="str">
        <f>IFERROR(__xludf.DUMMYFUNCTION("""COMPUTED_VALUE"""),"Enrolled")</f>
        <v>Enrolled</v>
      </c>
      <c r="G1877" s="124" t="str">
        <f>IFERROR(__xludf.DUMMYFUNCTION("""COMPUTED_VALUE"""),"GS Foundation")</f>
        <v>GS Foundation</v>
      </c>
      <c r="K1877" s="124"/>
      <c r="L1877" s="124"/>
      <c r="M1877" s="124"/>
      <c r="N1877" s="124"/>
      <c r="O1877" s="124"/>
      <c r="T1877" s="126">
        <f>IFERROR(__xludf.DUMMYFUNCTION("""COMPUTED_VALUE"""),46050.0)</f>
        <v>46050</v>
      </c>
      <c r="U1877" s="124" t="str">
        <f>IFERROR(__xludf.DUMMYFUNCTION("""COMPUTED_VALUE"""),"External Leads")</f>
        <v>External Leads</v>
      </c>
      <c r="V1877" s="124" t="str">
        <f>IFERROR(__xludf.DUMMYFUNCTION("""COMPUTED_VALUE"""),"external leads")</f>
        <v>external leads</v>
      </c>
      <c r="W1877" s="124" t="str">
        <f>IFERROR(__xludf.DUMMYFUNCTION("""COMPUTED_VALUE"""),"lucknow")</f>
        <v>lucknow</v>
      </c>
      <c r="X1877" s="124" t="str">
        <f>IFERROR(__xludf.DUMMYFUNCTION("""COMPUTED_VALUE"""),"btl")</f>
        <v>btl</v>
      </c>
      <c r="Y1877" s="124" t="str">
        <f>IFERROR(__xludf.DUMMYFUNCTION("""COMPUTED_VALUE"""),"Lucknow")</f>
        <v>Lucknow</v>
      </c>
      <c r="Z1877" s="124">
        <f>IFERROR(__xludf.DUMMYFUNCTION("""COMPUTED_VALUE"""),9.0)</f>
        <v>9</v>
      </c>
      <c r="AA1877" s="124" t="str">
        <f>IFERROR(__xludf.DUMMYFUNCTION("""COMPUTED_VALUE"""),"Not Interested")</f>
        <v>Not Interested</v>
      </c>
      <c r="AB1877" s="124"/>
    </row>
    <row r="1878">
      <c r="A1878" s="126">
        <f>IFERROR(__xludf.DUMMYFUNCTION("""COMPUTED_VALUE"""),46110.0)</f>
        <v>46110</v>
      </c>
      <c r="B1878" s="124" t="str">
        <f>IFERROR(__xludf.DUMMYFUNCTION("""COMPUTED_VALUE"""),"Walkin")</f>
        <v>Walkin</v>
      </c>
      <c r="C1878" s="124" t="str">
        <f>IFERROR(__xludf.DUMMYFUNCTION("""COMPUTED_VALUE"""),"Patna")</f>
        <v>Patna</v>
      </c>
      <c r="D1878" s="124" t="str">
        <f>IFERROR(__xludf.DUMMYFUNCTION("""COMPUTED_VALUE"""),"Primary_Walkin")</f>
        <v>Primary_Walkin</v>
      </c>
      <c r="E1878" s="124">
        <f>IFERROR(__xludf.DUMMYFUNCTION("""COMPUTED_VALUE"""),1.0)</f>
        <v>1</v>
      </c>
      <c r="F1878" s="124" t="str">
        <f>IFERROR(__xludf.DUMMYFUNCTION("""COMPUTED_VALUE"""),"Cold")</f>
        <v>Cold</v>
      </c>
      <c r="G1878" s="124" t="str">
        <f>IFERROR(__xludf.DUMMYFUNCTION("""COMPUTED_VALUE"""),"Test Series")</f>
        <v>Test Series</v>
      </c>
      <c r="K1878" s="124"/>
      <c r="L1878" s="124"/>
      <c r="M1878" s="124"/>
      <c r="N1878" s="124"/>
      <c r="O1878" s="124"/>
      <c r="T1878" s="129">
        <f>IFERROR(__xludf.DUMMYFUNCTION("""COMPUTED_VALUE"""),46078.0)</f>
        <v>46078</v>
      </c>
      <c r="U1878" s="124" t="str">
        <f>IFERROR(__xludf.DUMMYFUNCTION("""COMPUTED_VALUE"""),"External Leads")</f>
        <v>External Leads</v>
      </c>
      <c r="V1878" s="124" t="str">
        <f>IFERROR(__xludf.DUMMYFUNCTION("""COMPUTED_VALUE"""),"Offline")</f>
        <v>Offline</v>
      </c>
      <c r="W1878" s="124" t="str">
        <f>IFERROR(__xludf.DUMMYFUNCTION("""COMPUTED_VALUE"""),"Prayagraj")</f>
        <v>Prayagraj</v>
      </c>
      <c r="X1878" s="124" t="str">
        <f>IFERROR(__xludf.DUMMYFUNCTION("""COMPUTED_VALUE"""),"Prayagraj")</f>
        <v>Prayagraj</v>
      </c>
      <c r="Y1878" s="124"/>
      <c r="Z1878" s="124">
        <f>IFERROR(__xludf.DUMMYFUNCTION("""COMPUTED_VALUE"""),1.0)</f>
        <v>1</v>
      </c>
      <c r="AA1878" s="124" t="str">
        <f>IFERROR(__xludf.DUMMYFUNCTION("""COMPUTED_VALUE"""),"Enrolled")</f>
        <v>Enrolled</v>
      </c>
      <c r="AB1878" s="124" t="str">
        <f>IFERROR(__xludf.DUMMYFUNCTION("""COMPUTED_VALUE"""),"GS Foundation")</f>
        <v>GS Foundation</v>
      </c>
    </row>
    <row r="1879">
      <c r="A1879" s="126">
        <f>IFERROR(__xludf.DUMMYFUNCTION("""COMPUTED_VALUE"""),46092.0)</f>
        <v>46092</v>
      </c>
      <c r="B1879" s="124" t="str">
        <f>IFERROR(__xludf.DUMMYFUNCTION("""COMPUTED_VALUE"""),"Walkin")</f>
        <v>Walkin</v>
      </c>
      <c r="C1879" s="124" t="str">
        <f>IFERROR(__xludf.DUMMYFUNCTION("""COMPUTED_VALUE"""),"Patna")</f>
        <v>Patna</v>
      </c>
      <c r="D1879" s="124" t="str">
        <f>IFERROR(__xludf.DUMMYFUNCTION("""COMPUTED_VALUE"""),"Primary_Walkin")</f>
        <v>Primary_Walkin</v>
      </c>
      <c r="E1879" s="124">
        <f>IFERROR(__xludf.DUMMYFUNCTION("""COMPUTED_VALUE"""),1.0)</f>
        <v>1</v>
      </c>
      <c r="F1879" s="124" t="str">
        <f>IFERROR(__xludf.DUMMYFUNCTION("""COMPUTED_VALUE"""),"Fake Lead")</f>
        <v>Fake Lead</v>
      </c>
      <c r="G1879" s="124" t="str">
        <f>IFERROR(__xludf.DUMMYFUNCTION("""COMPUTED_VALUE"""),"Other")</f>
        <v>Other</v>
      </c>
      <c r="K1879" s="124"/>
      <c r="L1879" s="124"/>
      <c r="M1879" s="124"/>
      <c r="N1879" s="124"/>
      <c r="O1879" s="124"/>
      <c r="T1879" s="129">
        <f>IFERROR(__xludf.DUMMYFUNCTION("""COMPUTED_VALUE"""),46099.0)</f>
        <v>46099</v>
      </c>
      <c r="U1879" s="124" t="str">
        <f>IFERROR(__xludf.DUMMYFUNCTION("""COMPUTED_VALUE"""),"Publisher Campaign")</f>
        <v>Publisher Campaign</v>
      </c>
      <c r="V1879" s="124" t="str">
        <f>IFERROR(__xludf.DUMMYFUNCTION("""COMPUTED_VALUE"""),"Just Dial")</f>
        <v>Just Dial</v>
      </c>
      <c r="W1879" s="124" t="str">
        <f>IFERROR(__xludf.DUMMYFUNCTION("""COMPUTED_VALUE"""),"Manual")</f>
        <v>Manual</v>
      </c>
      <c r="X1879" s="124">
        <f>IFERROR(__xludf.DUMMYFUNCTION("""COMPUTED_VALUE"""),2.2012026E7)</f>
        <v>22012026</v>
      </c>
      <c r="Y1879" s="124" t="str">
        <f>IFERROR(__xludf.DUMMYFUNCTION("""COMPUTED_VALUE"""),"Indore")</f>
        <v>Indore</v>
      </c>
      <c r="Z1879" s="124">
        <f>IFERROR(__xludf.DUMMYFUNCTION("""COMPUTED_VALUE"""),2.0)</f>
        <v>2</v>
      </c>
      <c r="AA1879" s="124" t="str">
        <f>IFERROR(__xludf.DUMMYFUNCTION("""COMPUTED_VALUE"""),"Cold")</f>
        <v>Cold</v>
      </c>
      <c r="AB1879" s="124" t="str">
        <f>IFERROR(__xludf.DUMMYFUNCTION("""COMPUTED_VALUE"""),"GS Foundation")</f>
        <v>GS Foundation</v>
      </c>
    </row>
    <row r="1880">
      <c r="A1880" s="126">
        <f>IFERROR(__xludf.DUMMYFUNCTION("""COMPUTED_VALUE"""),46109.0)</f>
        <v>46109</v>
      </c>
      <c r="B1880" s="124" t="str">
        <f>IFERROR(__xludf.DUMMYFUNCTION("""COMPUTED_VALUE"""),"Walkin")</f>
        <v>Walkin</v>
      </c>
      <c r="C1880" s="124" t="str">
        <f>IFERROR(__xludf.DUMMYFUNCTION("""COMPUTED_VALUE"""),"Patna")</f>
        <v>Patna</v>
      </c>
      <c r="D1880" s="124" t="str">
        <f>IFERROR(__xludf.DUMMYFUNCTION("""COMPUTED_VALUE"""),"Primary_Walkin")</f>
        <v>Primary_Walkin</v>
      </c>
      <c r="E1880" s="124">
        <f>IFERROR(__xludf.DUMMYFUNCTION("""COMPUTED_VALUE"""),1.0)</f>
        <v>1</v>
      </c>
      <c r="F1880" s="124" t="str">
        <f>IFERROR(__xludf.DUMMYFUNCTION("""COMPUTED_VALUE"""),"Warm")</f>
        <v>Warm</v>
      </c>
      <c r="G1880" s="124" t="str">
        <f>IFERROR(__xludf.DUMMYFUNCTION("""COMPUTED_VALUE"""),"GS Advanced")</f>
        <v>GS Advanced</v>
      </c>
      <c r="K1880" s="124"/>
      <c r="L1880" s="124"/>
      <c r="M1880" s="124"/>
      <c r="N1880" s="124"/>
      <c r="O1880" s="124"/>
      <c r="T1880" s="129">
        <f>IFERROR(__xludf.DUMMYFUNCTION("""COMPUTED_VALUE"""),46050.0)</f>
        <v>46050</v>
      </c>
      <c r="U1880" s="124" t="str">
        <f>IFERROR(__xludf.DUMMYFUNCTION("""COMPUTED_VALUE"""),"External Leads")</f>
        <v>External Leads</v>
      </c>
      <c r="V1880" s="124" t="str">
        <f>IFERROR(__xludf.DUMMYFUNCTION("""COMPUTED_VALUE"""),"external leads")</f>
        <v>external leads</v>
      </c>
      <c r="W1880" s="124" t="str">
        <f>IFERROR(__xludf.DUMMYFUNCTION("""COMPUTED_VALUE"""),"lucknow")</f>
        <v>lucknow</v>
      </c>
      <c r="X1880" s="124" t="str">
        <f>IFERROR(__xludf.DUMMYFUNCTION("""COMPUTED_VALUE"""),"btl")</f>
        <v>btl</v>
      </c>
      <c r="Y1880" s="124" t="str">
        <f>IFERROR(__xludf.DUMMYFUNCTION("""COMPUTED_VALUE"""),"Lucknow")</f>
        <v>Lucknow</v>
      </c>
      <c r="Z1880" s="124">
        <f>IFERROR(__xludf.DUMMYFUNCTION("""COMPUTED_VALUE"""),2.0)</f>
        <v>2</v>
      </c>
      <c r="AA1880" s="124" t="str">
        <f>IFERROR(__xludf.DUMMYFUNCTION("""COMPUTED_VALUE"""),"Fake Lead")</f>
        <v>Fake Lead</v>
      </c>
      <c r="AB1880" s="124"/>
    </row>
    <row r="1881">
      <c r="A1881" s="126">
        <f>IFERROR(__xludf.DUMMYFUNCTION("""COMPUTED_VALUE"""),46071.0)</f>
        <v>46071</v>
      </c>
      <c r="B1881" s="124" t="str">
        <f>IFERROR(__xludf.DUMMYFUNCTION("""COMPUTED_VALUE"""),"Walkin")</f>
        <v>Walkin</v>
      </c>
      <c r="C1881" s="124" t="str">
        <f>IFERROR(__xludf.DUMMYFUNCTION("""COMPUTED_VALUE"""),"Patna")</f>
        <v>Patna</v>
      </c>
      <c r="D1881" s="124" t="str">
        <f>IFERROR(__xludf.DUMMYFUNCTION("""COMPUTED_VALUE"""),"Primary_Walkin")</f>
        <v>Primary_Walkin</v>
      </c>
      <c r="E1881" s="124">
        <f>IFERROR(__xludf.DUMMYFUNCTION("""COMPUTED_VALUE"""),1.0)</f>
        <v>1</v>
      </c>
      <c r="F1881" s="124" t="str">
        <f>IFERROR(__xludf.DUMMYFUNCTION("""COMPUTED_VALUE"""),"Future Prospects")</f>
        <v>Future Prospects</v>
      </c>
      <c r="G1881" s="124" t="str">
        <f>IFERROR(__xludf.DUMMYFUNCTION("""COMPUTED_VALUE"""),"GS Advanced")</f>
        <v>GS Advanced</v>
      </c>
      <c r="K1881" s="124"/>
      <c r="L1881" s="124"/>
      <c r="M1881" s="124"/>
      <c r="N1881" s="124"/>
      <c r="O1881" s="124"/>
      <c r="T1881" s="126">
        <f>IFERROR(__xludf.DUMMYFUNCTION("""COMPUTED_VALUE"""),46079.0)</f>
        <v>46079</v>
      </c>
      <c r="U1881" s="124" t="str">
        <f>IFERROR(__xludf.DUMMYFUNCTION("""COMPUTED_VALUE"""),"External Leads")</f>
        <v>External Leads</v>
      </c>
      <c r="V1881" s="124" t="str">
        <f>IFERROR(__xludf.DUMMYFUNCTION("""COMPUTED_VALUE"""),"Offline")</f>
        <v>Offline</v>
      </c>
      <c r="W1881" s="124" t="str">
        <f>IFERROR(__xludf.DUMMYFUNCTION("""COMPUTED_VALUE"""),"Prayagraj")</f>
        <v>Prayagraj</v>
      </c>
      <c r="X1881" s="124" t="str">
        <f>IFERROR(__xludf.DUMMYFUNCTION("""COMPUTED_VALUE"""),"Prayagraj")</f>
        <v>Prayagraj</v>
      </c>
      <c r="Y1881" s="124"/>
      <c r="Z1881" s="124">
        <f>IFERROR(__xludf.DUMMYFUNCTION("""COMPUTED_VALUE"""),1.0)</f>
        <v>1</v>
      </c>
      <c r="AA1881" s="124" t="str">
        <f>IFERROR(__xludf.DUMMYFUNCTION("""COMPUTED_VALUE"""),"Interested")</f>
        <v>Interested</v>
      </c>
      <c r="AB1881" s="124" t="str">
        <f>IFERROR(__xludf.DUMMYFUNCTION("""COMPUTED_VALUE"""),"GS Foundation")</f>
        <v>GS Foundation</v>
      </c>
    </row>
    <row r="1882">
      <c r="A1882" s="129">
        <f>IFERROR(__xludf.DUMMYFUNCTION("""COMPUTED_VALUE"""),46090.0)</f>
        <v>46090</v>
      </c>
      <c r="B1882" s="124" t="str">
        <f>IFERROR(__xludf.DUMMYFUNCTION("""COMPUTED_VALUE"""),"Walkin")</f>
        <v>Walkin</v>
      </c>
      <c r="C1882" s="124" t="str">
        <f>IFERROR(__xludf.DUMMYFUNCTION("""COMPUTED_VALUE"""),"Patna")</f>
        <v>Patna</v>
      </c>
      <c r="D1882" s="124" t="str">
        <f>IFERROR(__xludf.DUMMYFUNCTION("""COMPUTED_VALUE"""),"Primary_Walkin")</f>
        <v>Primary_Walkin</v>
      </c>
      <c r="E1882" s="124">
        <f>IFERROR(__xludf.DUMMYFUNCTION("""COMPUTED_VALUE"""),1.0)</f>
        <v>1</v>
      </c>
      <c r="F1882" s="124" t="str">
        <f>IFERROR(__xludf.DUMMYFUNCTION("""COMPUTED_VALUE"""),"Not Interested")</f>
        <v>Not Interested</v>
      </c>
      <c r="G1882" s="124" t="str">
        <f>IFERROR(__xludf.DUMMYFUNCTION("""COMPUTED_VALUE"""),"State PCS")</f>
        <v>State PCS</v>
      </c>
      <c r="K1882" s="124"/>
      <c r="L1882" s="124"/>
      <c r="M1882" s="124"/>
      <c r="N1882" s="124"/>
      <c r="O1882" s="124"/>
      <c r="T1882" s="126">
        <f>IFERROR(__xludf.DUMMYFUNCTION("""COMPUTED_VALUE"""),46080.0)</f>
        <v>46080</v>
      </c>
      <c r="U1882" s="124" t="str">
        <f>IFERROR(__xludf.DUMMYFUNCTION("""COMPUTED_VALUE"""),"Publisher Campaign")</f>
        <v>Publisher Campaign</v>
      </c>
      <c r="V1882" s="124" t="str">
        <f>IFERROR(__xludf.DUMMYFUNCTION("""COMPUTED_VALUE"""),"Vaishnav college")</f>
        <v>Vaishnav college</v>
      </c>
      <c r="W1882" s="124" t="str">
        <f>IFERROR(__xludf.DUMMYFUNCTION("""COMPUTED_VALUE"""),"Seminar Vaishnav college")</f>
        <v>Seminar Vaishnav college</v>
      </c>
      <c r="X1882" s="124">
        <f>IFERROR(__xludf.DUMMYFUNCTION("""COMPUTED_VALUE"""),2.2012026E7)</f>
        <v>22012026</v>
      </c>
      <c r="Y1882" s="124" t="str">
        <f>IFERROR(__xludf.DUMMYFUNCTION("""COMPUTED_VALUE"""),"Indore")</f>
        <v>Indore</v>
      </c>
      <c r="Z1882" s="124">
        <f>IFERROR(__xludf.DUMMYFUNCTION("""COMPUTED_VALUE"""),2.0)</f>
        <v>2</v>
      </c>
      <c r="AA1882" s="124"/>
      <c r="AB1882" s="124" t="str">
        <f>IFERROR(__xludf.DUMMYFUNCTION("""COMPUTED_VALUE"""),"CSAT")</f>
        <v>CSAT</v>
      </c>
    </row>
    <row r="1883">
      <c r="A1883" s="126">
        <f>IFERROR(__xludf.DUMMYFUNCTION("""COMPUTED_VALUE"""),46078.0)</f>
        <v>46078</v>
      </c>
      <c r="B1883" s="124" t="str">
        <f>IFERROR(__xludf.DUMMYFUNCTION("""COMPUTED_VALUE"""),"Inbound Call")</f>
        <v>Inbound Call</v>
      </c>
      <c r="C1883" s="124" t="str">
        <f>IFERROR(__xludf.DUMMYFUNCTION("""COMPUTED_VALUE"""),"Patna")</f>
        <v>Patna</v>
      </c>
      <c r="D1883" s="124" t="str">
        <f>IFERROR(__xludf.DUMMYFUNCTION("""COMPUTED_VALUE"""),"Secondary_Walkin")</f>
        <v>Secondary_Walkin</v>
      </c>
      <c r="E1883" s="124">
        <f>IFERROR(__xludf.DUMMYFUNCTION("""COMPUTED_VALUE"""),1.0)</f>
        <v>1</v>
      </c>
      <c r="F1883" s="124" t="str">
        <f>IFERROR(__xludf.DUMMYFUNCTION("""COMPUTED_VALUE"""),"Cold")</f>
        <v>Cold</v>
      </c>
      <c r="G1883" s="124" t="str">
        <f>IFERROR(__xludf.DUMMYFUNCTION("""COMPUTED_VALUE"""),"State PCS")</f>
        <v>State PCS</v>
      </c>
      <c r="K1883" s="124"/>
      <c r="L1883" s="124"/>
      <c r="M1883" s="124"/>
      <c r="N1883" s="124"/>
      <c r="O1883" s="124"/>
      <c r="T1883" s="126">
        <f>IFERROR(__xludf.DUMMYFUNCTION("""COMPUTED_VALUE"""),46045.0)</f>
        <v>46045</v>
      </c>
      <c r="U1883" s="124" t="str">
        <f>IFERROR(__xludf.DUMMYFUNCTION("""COMPUTED_VALUE"""),"External Leads")</f>
        <v>External Leads</v>
      </c>
      <c r="V1883" s="124" t="str">
        <f>IFERROR(__xludf.DUMMYFUNCTION("""COMPUTED_VALUE"""),"external leads")</f>
        <v>external leads</v>
      </c>
      <c r="W1883" s="124" t="str">
        <f>IFERROR(__xludf.DUMMYFUNCTION("""COMPUTED_VALUE"""),"lucknow")</f>
        <v>lucknow</v>
      </c>
      <c r="X1883" s="124" t="str">
        <f>IFERROR(__xludf.DUMMYFUNCTION("""COMPUTED_VALUE"""),"btl")</f>
        <v>btl</v>
      </c>
      <c r="Y1883" s="124" t="str">
        <f>IFERROR(__xludf.DUMMYFUNCTION("""COMPUTED_VALUE"""),"Lucknow")</f>
        <v>Lucknow</v>
      </c>
      <c r="Z1883" s="124">
        <f>IFERROR(__xludf.DUMMYFUNCTION("""COMPUTED_VALUE"""),4.0)</f>
        <v>4</v>
      </c>
      <c r="AA1883" s="124" t="str">
        <f>IFERROR(__xludf.DUMMYFUNCTION("""COMPUTED_VALUE"""),"Not Interested")</f>
        <v>Not Interested</v>
      </c>
      <c r="AB1883" s="124"/>
    </row>
    <row r="1884">
      <c r="A1884" s="126">
        <f>IFERROR(__xludf.DUMMYFUNCTION("""COMPUTED_VALUE"""),46094.0)</f>
        <v>46094</v>
      </c>
      <c r="B1884" s="124" t="str">
        <f>IFERROR(__xludf.DUMMYFUNCTION("""COMPUTED_VALUE"""),"Walkin")</f>
        <v>Walkin</v>
      </c>
      <c r="C1884" s="124" t="str">
        <f>IFERROR(__xludf.DUMMYFUNCTION("""COMPUTED_VALUE"""),"Patna")</f>
        <v>Patna</v>
      </c>
      <c r="D1884" s="124" t="str">
        <f>IFERROR(__xludf.DUMMYFUNCTION("""COMPUTED_VALUE"""),"Primary_Walkin")</f>
        <v>Primary_Walkin</v>
      </c>
      <c r="E1884" s="124">
        <f>IFERROR(__xludf.DUMMYFUNCTION("""COMPUTED_VALUE"""),1.0)</f>
        <v>1</v>
      </c>
      <c r="F1884" s="124" t="str">
        <f>IFERROR(__xludf.DUMMYFUNCTION("""COMPUTED_VALUE"""),"Warm")</f>
        <v>Warm</v>
      </c>
      <c r="G1884" s="124" t="str">
        <f>IFERROR(__xludf.DUMMYFUNCTION("""COMPUTED_VALUE"""),"State PCS")</f>
        <v>State PCS</v>
      </c>
      <c r="K1884" s="124"/>
      <c r="L1884" s="124"/>
      <c r="M1884" s="124"/>
      <c r="N1884" s="124"/>
      <c r="O1884" s="124"/>
      <c r="T1884" s="129">
        <f>IFERROR(__xludf.DUMMYFUNCTION("""COMPUTED_VALUE"""),46079.0)</f>
        <v>46079</v>
      </c>
      <c r="U1884" s="124" t="str">
        <f>IFERROR(__xludf.DUMMYFUNCTION("""COMPUTED_VALUE"""),"External Leads")</f>
        <v>External Leads</v>
      </c>
      <c r="V1884" s="124" t="str">
        <f>IFERROR(__xludf.DUMMYFUNCTION("""COMPUTED_VALUE"""),"Offline")</f>
        <v>Offline</v>
      </c>
      <c r="W1884" s="124" t="str">
        <f>IFERROR(__xludf.DUMMYFUNCTION("""COMPUTED_VALUE"""),"Prayagraj")</f>
        <v>Prayagraj</v>
      </c>
      <c r="X1884" s="124" t="str">
        <f>IFERROR(__xludf.DUMMYFUNCTION("""COMPUTED_VALUE"""),"Prayagraj")</f>
        <v>Prayagraj</v>
      </c>
      <c r="Y1884" s="124"/>
      <c r="Z1884" s="124">
        <f>IFERROR(__xludf.DUMMYFUNCTION("""COMPUTED_VALUE"""),1.0)</f>
        <v>1</v>
      </c>
      <c r="AA1884" s="124" t="str">
        <f>IFERROR(__xludf.DUMMYFUNCTION("""COMPUTED_VALUE"""),"Fake Lead")</f>
        <v>Fake Lead</v>
      </c>
      <c r="AB1884" s="124" t="str">
        <f>IFERROR(__xludf.DUMMYFUNCTION("""COMPUTED_VALUE"""),"GS Foundation")</f>
        <v>GS Foundation</v>
      </c>
    </row>
    <row r="1885">
      <c r="A1885" s="126">
        <f>IFERROR(__xludf.DUMMYFUNCTION("""COMPUTED_VALUE"""),46073.0)</f>
        <v>46073</v>
      </c>
      <c r="B1885" s="124" t="str">
        <f>IFERROR(__xludf.DUMMYFUNCTION("""COMPUTED_VALUE"""),"Walk-In")</f>
        <v>Walk-In</v>
      </c>
      <c r="C1885" s="124"/>
      <c r="D1885" s="124" t="str">
        <f>IFERROR(__xludf.DUMMYFUNCTION("""COMPUTED_VALUE"""),"Primary_Walkin")</f>
        <v>Primary_Walkin</v>
      </c>
      <c r="E1885" s="124">
        <f>IFERROR(__xludf.DUMMYFUNCTION("""COMPUTED_VALUE"""),1.0)</f>
        <v>1</v>
      </c>
      <c r="F1885" s="124" t="str">
        <f>IFERROR(__xludf.DUMMYFUNCTION("""COMPUTED_VALUE"""),"Fake Lead")</f>
        <v>Fake Lead</v>
      </c>
      <c r="G1885" s="124" t="str">
        <f>IFERROR(__xludf.DUMMYFUNCTION("""COMPUTED_VALUE"""),"State PCS")</f>
        <v>State PCS</v>
      </c>
      <c r="K1885" s="124"/>
      <c r="L1885" s="124"/>
      <c r="M1885" s="124"/>
      <c r="N1885" s="124"/>
      <c r="O1885" s="124"/>
      <c r="T1885" s="126">
        <f>IFERROR(__xludf.DUMMYFUNCTION("""COMPUTED_VALUE"""),46068.0)</f>
        <v>46068</v>
      </c>
      <c r="U1885" s="124" t="str">
        <f>IFERROR(__xludf.DUMMYFUNCTION("""COMPUTED_VALUE"""),"Walk-Ins")</f>
        <v>Walk-Ins</v>
      </c>
      <c r="V1885" s="124" t="str">
        <f>IFERROR(__xludf.DUMMYFUNCTION("""COMPUTED_VALUE"""),"Walk-In")</f>
        <v>Walk-In</v>
      </c>
      <c r="W1885" s="124" t="str">
        <f>IFERROR(__xludf.DUMMYFUNCTION("""COMPUTED_VALUE"""),"Prayagraj")</f>
        <v>Prayagraj</v>
      </c>
      <c r="X1885" s="124" t="str">
        <f>IFERROR(__xludf.DUMMYFUNCTION("""COMPUTED_VALUE"""),"Prayagraj")</f>
        <v>Prayagraj</v>
      </c>
      <c r="Y1885" s="124" t="str">
        <f>IFERROR(__xludf.DUMMYFUNCTION("""COMPUTED_VALUE"""),"Prayagraj")</f>
        <v>Prayagraj</v>
      </c>
      <c r="Z1885" s="124">
        <f>IFERROR(__xludf.DUMMYFUNCTION("""COMPUTED_VALUE"""),1.0)</f>
        <v>1</v>
      </c>
      <c r="AA1885" s="124" t="str">
        <f>IFERROR(__xludf.DUMMYFUNCTION("""COMPUTED_VALUE"""),"Future Prospects")</f>
        <v>Future Prospects</v>
      </c>
      <c r="AB1885" s="124" t="str">
        <f>IFERROR(__xludf.DUMMYFUNCTION("""COMPUTED_VALUE"""),"GS Foundation")</f>
        <v>GS Foundation</v>
      </c>
    </row>
    <row r="1886">
      <c r="A1886" s="126">
        <f>IFERROR(__xludf.DUMMYFUNCTION("""COMPUTED_VALUE"""),46066.0)</f>
        <v>46066</v>
      </c>
      <c r="B1886" s="124" t="str">
        <f>IFERROR(__xludf.DUMMYFUNCTION("""COMPUTED_VALUE"""),"Walk-In")</f>
        <v>Walk-In</v>
      </c>
      <c r="C1886" s="124"/>
      <c r="D1886" s="124" t="str">
        <f>IFERROR(__xludf.DUMMYFUNCTION("""COMPUTED_VALUE"""),"Primary_Walkin")</f>
        <v>Primary_Walkin</v>
      </c>
      <c r="E1886" s="124">
        <f>IFERROR(__xludf.DUMMYFUNCTION("""COMPUTED_VALUE"""),1.0)</f>
        <v>1</v>
      </c>
      <c r="F1886" s="124" t="str">
        <f>IFERROR(__xludf.DUMMYFUNCTION("""COMPUTED_VALUE"""),"Interested")</f>
        <v>Interested</v>
      </c>
      <c r="G1886" s="124" t="str">
        <f>IFERROR(__xludf.DUMMYFUNCTION("""COMPUTED_VALUE"""),"State PCS")</f>
        <v>State PCS</v>
      </c>
      <c r="K1886" s="124"/>
      <c r="L1886" s="124"/>
      <c r="M1886" s="124"/>
      <c r="N1886" s="124"/>
      <c r="O1886" s="124"/>
      <c r="T1886" s="129">
        <f>IFERROR(__xludf.DUMMYFUNCTION("""COMPUTED_VALUE"""),46111.0)</f>
        <v>46111</v>
      </c>
      <c r="U1886" s="124" t="str">
        <f>IFERROR(__xludf.DUMMYFUNCTION("""COMPUTED_VALUE"""),"Walk-Ins")</f>
        <v>Walk-Ins</v>
      </c>
      <c r="V1886" s="124" t="str">
        <f>IFERROR(__xludf.DUMMYFUNCTION("""COMPUTED_VALUE"""),"Walk-In")</f>
        <v>Walk-In</v>
      </c>
      <c r="W1886" s="124" t="str">
        <f>IFERROR(__xludf.DUMMYFUNCTION("""COMPUTED_VALUE"""),"Patna")</f>
        <v>Patna</v>
      </c>
      <c r="X1886" s="124" t="str">
        <f>IFERROR(__xludf.DUMMYFUNCTION("""COMPUTED_VALUE"""),"Shane")</f>
        <v>Shane</v>
      </c>
      <c r="Y1886" s="124"/>
      <c r="Z1886" s="124">
        <f>IFERROR(__xludf.DUMMYFUNCTION("""COMPUTED_VALUE"""),1.0)</f>
        <v>1</v>
      </c>
      <c r="AA1886" s="124" t="str">
        <f>IFERROR(__xludf.DUMMYFUNCTION("""COMPUTED_VALUE"""),"Enrolled")</f>
        <v>Enrolled</v>
      </c>
      <c r="AB1886" s="124" t="str">
        <f>IFERROR(__xludf.DUMMYFUNCTION("""COMPUTED_VALUE"""),"State PCS")</f>
        <v>State PCS</v>
      </c>
    </row>
    <row r="1887">
      <c r="A1887" s="126">
        <f>IFERROR(__xludf.DUMMYFUNCTION("""COMPUTED_VALUE"""),46047.0)</f>
        <v>46047</v>
      </c>
      <c r="B1887" s="124" t="str">
        <f>IFERROR(__xludf.DUMMYFUNCTION("""COMPUTED_VALUE"""),"Walk-In")</f>
        <v>Walk-In</v>
      </c>
      <c r="C1887" s="124"/>
      <c r="D1887" s="124" t="str">
        <f>IFERROR(__xludf.DUMMYFUNCTION("""COMPUTED_VALUE"""),"Primary_Walkin")</f>
        <v>Primary_Walkin</v>
      </c>
      <c r="E1887" s="124">
        <f>IFERROR(__xludf.DUMMYFUNCTION("""COMPUTED_VALUE"""),1.0)</f>
        <v>1</v>
      </c>
      <c r="F1887" s="124" t="str">
        <f>IFERROR(__xludf.DUMMYFUNCTION("""COMPUTED_VALUE"""),"Cold")</f>
        <v>Cold</v>
      </c>
      <c r="G1887" s="124" t="str">
        <f>IFERROR(__xludf.DUMMYFUNCTION("""COMPUTED_VALUE"""),"Optionals")</f>
        <v>Optionals</v>
      </c>
      <c r="K1887" s="124"/>
      <c r="L1887" s="124"/>
      <c r="M1887" s="124"/>
      <c r="N1887" s="124"/>
      <c r="O1887" s="124"/>
      <c r="T1887" s="126">
        <f>IFERROR(__xludf.DUMMYFUNCTION("""COMPUTED_VALUE"""),46093.0)</f>
        <v>46093</v>
      </c>
      <c r="U1887" s="124" t="str">
        <f>IFERROR(__xludf.DUMMYFUNCTION("""COMPUTED_VALUE"""),"Walk-Ins")</f>
        <v>Walk-Ins</v>
      </c>
      <c r="V1887" s="124" t="str">
        <f>IFERROR(__xludf.DUMMYFUNCTION("""COMPUTED_VALUE"""),"Walk-In")</f>
        <v>Walk-In</v>
      </c>
      <c r="W1887" s="124" t="str">
        <f>IFERROR(__xludf.DUMMYFUNCTION("""COMPUTED_VALUE"""),"Patna")</f>
        <v>Patna</v>
      </c>
      <c r="X1887" s="124" t="str">
        <f>IFERROR(__xludf.DUMMYFUNCTION("""COMPUTED_VALUE"""),"Shane")</f>
        <v>Shane</v>
      </c>
      <c r="Y1887" s="124"/>
      <c r="Z1887" s="124">
        <f>IFERROR(__xludf.DUMMYFUNCTION("""COMPUTED_VALUE"""),1.0)</f>
        <v>1</v>
      </c>
      <c r="AA1887" s="124" t="str">
        <f>IFERROR(__xludf.DUMMYFUNCTION("""COMPUTED_VALUE"""),"Not Interested")</f>
        <v>Not Interested</v>
      </c>
      <c r="AB1887" s="124" t="str">
        <f>IFERROR(__xludf.DUMMYFUNCTION("""COMPUTED_VALUE"""),"Mentorship")</f>
        <v>Mentorship</v>
      </c>
    </row>
    <row r="1888">
      <c r="A1888" s="126">
        <f>IFERROR(__xludf.DUMMYFUNCTION("""COMPUTED_VALUE"""),46044.0)</f>
        <v>46044</v>
      </c>
      <c r="B1888" s="124" t="str">
        <f>IFERROR(__xludf.DUMMYFUNCTION("""COMPUTED_VALUE"""),"Walk-In")</f>
        <v>Walk-In</v>
      </c>
      <c r="C1888" s="124"/>
      <c r="D1888" s="124" t="str">
        <f>IFERROR(__xludf.DUMMYFUNCTION("""COMPUTED_VALUE"""),"Primary_Walkin")</f>
        <v>Primary_Walkin</v>
      </c>
      <c r="E1888" s="124">
        <f>IFERROR(__xludf.DUMMYFUNCTION("""COMPUTED_VALUE"""),1.0)</f>
        <v>1</v>
      </c>
      <c r="F1888" s="124" t="str">
        <f>IFERROR(__xludf.DUMMYFUNCTION("""COMPUTED_VALUE"""),"Cold")</f>
        <v>Cold</v>
      </c>
      <c r="G1888" s="124" t="str">
        <f>IFERROR(__xludf.DUMMYFUNCTION("""COMPUTED_VALUE"""),"Optionals")</f>
        <v>Optionals</v>
      </c>
      <c r="K1888" s="124"/>
      <c r="L1888" s="124"/>
      <c r="M1888" s="124"/>
      <c r="N1888" s="124"/>
      <c r="O1888" s="124"/>
      <c r="T1888" s="129">
        <f>IFERROR(__xludf.DUMMYFUNCTION("""COMPUTED_VALUE"""),46097.0)</f>
        <v>46097</v>
      </c>
      <c r="U1888" s="124" t="str">
        <f>IFERROR(__xludf.DUMMYFUNCTION("""COMPUTED_VALUE"""),"External Leads")</f>
        <v>External Leads</v>
      </c>
      <c r="V1888" s="124" t="str">
        <f>IFERROR(__xludf.DUMMYFUNCTION("""COMPUTED_VALUE"""),"external leads")</f>
        <v>external leads</v>
      </c>
      <c r="W1888" s="124" t="str">
        <f>IFERROR(__xludf.DUMMYFUNCTION("""COMPUTED_VALUE"""),"indore")</f>
        <v>indore</v>
      </c>
      <c r="X1888" s="124" t="str">
        <f>IFERROR(__xludf.DUMMYFUNCTION("""COMPUTED_VALUE"""),"btl")</f>
        <v>btl</v>
      </c>
      <c r="Y1888" s="124" t="str">
        <f>IFERROR(__xludf.DUMMYFUNCTION("""COMPUTED_VALUE"""),"Indore")</f>
        <v>Indore</v>
      </c>
      <c r="Z1888" s="124">
        <f>IFERROR(__xludf.DUMMYFUNCTION("""COMPUTED_VALUE"""),1.0)</f>
        <v>1</v>
      </c>
      <c r="AA1888" s="124" t="str">
        <f>IFERROR(__xludf.DUMMYFUNCTION("""COMPUTED_VALUE"""),"Not Interested")</f>
        <v>Not Interested</v>
      </c>
      <c r="AB1888" s="124" t="str">
        <f>IFERROR(__xludf.DUMMYFUNCTION("""COMPUTED_VALUE"""),"State PCS")</f>
        <v>State PCS</v>
      </c>
    </row>
    <row r="1889">
      <c r="A1889" s="126">
        <f>IFERROR(__xludf.DUMMYFUNCTION("""COMPUTED_VALUE"""),46053.0)</f>
        <v>46053</v>
      </c>
      <c r="B1889" s="124" t="str">
        <f>IFERROR(__xludf.DUMMYFUNCTION("""COMPUTED_VALUE"""),"events")</f>
        <v>events</v>
      </c>
      <c r="C1889" s="124" t="str">
        <f>IFERROR(__xludf.DUMMYFUNCTION("""COMPUTED_VALUE"""),"Prayagraj")</f>
        <v>Prayagraj</v>
      </c>
      <c r="D1889" s="124" t="str">
        <f>IFERROR(__xludf.DUMMYFUNCTION("""COMPUTED_VALUE"""),"Secondary_Walkin")</f>
        <v>Secondary_Walkin</v>
      </c>
      <c r="E1889" s="124">
        <f>IFERROR(__xludf.DUMMYFUNCTION("""COMPUTED_VALUE"""),1.0)</f>
        <v>1</v>
      </c>
      <c r="F1889" s="124" t="str">
        <f>IFERROR(__xludf.DUMMYFUNCTION("""COMPUTED_VALUE"""),"Cold")</f>
        <v>Cold</v>
      </c>
      <c r="G1889" s="124" t="str">
        <f>IFERROR(__xludf.DUMMYFUNCTION("""COMPUTED_VALUE"""),"GS Foundation")</f>
        <v>GS Foundation</v>
      </c>
      <c r="K1889" s="124"/>
      <c r="L1889" s="124"/>
      <c r="M1889" s="124"/>
      <c r="N1889" s="124"/>
      <c r="O1889" s="124"/>
      <c r="T1889" s="126">
        <f>IFERROR(__xludf.DUMMYFUNCTION("""COMPUTED_VALUE"""),46068.0)</f>
        <v>46068</v>
      </c>
      <c r="U1889" s="124" t="str">
        <f>IFERROR(__xludf.DUMMYFUNCTION("""COMPUTED_VALUE"""),"External Leads")</f>
        <v>External Leads</v>
      </c>
      <c r="V1889" s="124" t="str">
        <f>IFERROR(__xludf.DUMMYFUNCTION("""COMPUTED_VALUE"""),"External Leads")</f>
        <v>External Leads</v>
      </c>
      <c r="W1889" s="124" t="str">
        <f>IFERROR(__xludf.DUMMYFUNCTION("""COMPUTED_VALUE"""),"Delhi")</f>
        <v>Delhi</v>
      </c>
      <c r="X1889" s="124" t="str">
        <f>IFERROR(__xludf.DUMMYFUNCTION("""COMPUTED_VALUE"""),"DRC")</f>
        <v>DRC</v>
      </c>
      <c r="Y1889" s="124"/>
      <c r="Z1889" s="124">
        <f>IFERROR(__xludf.DUMMYFUNCTION("""COMPUTED_VALUE"""),1.0)</f>
        <v>1</v>
      </c>
      <c r="AA1889" s="124"/>
      <c r="AB1889" s="124"/>
    </row>
    <row r="1890">
      <c r="A1890" s="126">
        <f>IFERROR(__xludf.DUMMYFUNCTION("""COMPUTED_VALUE"""),46094.0)</f>
        <v>46094</v>
      </c>
      <c r="B1890" s="124" t="str">
        <f>IFERROR(__xludf.DUMMYFUNCTION("""COMPUTED_VALUE"""),"Walkin")</f>
        <v>Walkin</v>
      </c>
      <c r="C1890" s="124" t="str">
        <f>IFERROR(__xludf.DUMMYFUNCTION("""COMPUTED_VALUE"""),"Prayagraj")</f>
        <v>Prayagraj</v>
      </c>
      <c r="D1890" s="124" t="str">
        <f>IFERROR(__xludf.DUMMYFUNCTION("""COMPUTED_VALUE"""),"Primary_Walkin")</f>
        <v>Primary_Walkin</v>
      </c>
      <c r="E1890" s="124">
        <f>IFERROR(__xludf.DUMMYFUNCTION("""COMPUTED_VALUE"""),3.0)</f>
        <v>3</v>
      </c>
      <c r="F1890" s="124" t="str">
        <f>IFERROR(__xludf.DUMMYFUNCTION("""COMPUTED_VALUE"""),"Future Prospects")</f>
        <v>Future Prospects</v>
      </c>
      <c r="G1890" s="124" t="str">
        <f>IFERROR(__xludf.DUMMYFUNCTION("""COMPUTED_VALUE"""),"GS Foundation")</f>
        <v>GS Foundation</v>
      </c>
      <c r="K1890" s="124"/>
      <c r="L1890" s="124"/>
      <c r="M1890" s="124"/>
      <c r="N1890" s="124"/>
      <c r="O1890" s="124"/>
      <c r="T1890" s="126">
        <f>IFERROR(__xludf.DUMMYFUNCTION("""COMPUTED_VALUE"""),46052.0)</f>
        <v>46052</v>
      </c>
      <c r="U1890" s="124" t="str">
        <f>IFERROR(__xludf.DUMMYFUNCTION("""COMPUTED_VALUE"""),"External Leads")</f>
        <v>External Leads</v>
      </c>
      <c r="V1890" s="124" t="str">
        <f>IFERROR(__xludf.DUMMYFUNCTION("""COMPUTED_VALUE"""),"External Leads")</f>
        <v>External Leads</v>
      </c>
      <c r="W1890" s="124" t="str">
        <f>IFERROR(__xludf.DUMMYFUNCTION("""COMPUTED_VALUE"""),"Delhi")</f>
        <v>Delhi</v>
      </c>
      <c r="X1890" s="124" t="str">
        <f>IFERROR(__xludf.DUMMYFUNCTION("""COMPUTED_VALUE"""),"DRC")</f>
        <v>DRC</v>
      </c>
      <c r="Y1890" s="124"/>
      <c r="Z1890" s="124">
        <f>IFERROR(__xludf.DUMMYFUNCTION("""COMPUTED_VALUE"""),5.0)</f>
        <v>5</v>
      </c>
      <c r="AA1890" s="124" t="str">
        <f>IFERROR(__xludf.DUMMYFUNCTION("""COMPUTED_VALUE"""),"Not Interested")</f>
        <v>Not Interested</v>
      </c>
      <c r="AB1890" s="124"/>
    </row>
    <row r="1891">
      <c r="A1891" s="126">
        <f>IFERROR(__xludf.DUMMYFUNCTION("""COMPUTED_VALUE"""),46103.0)</f>
        <v>46103</v>
      </c>
      <c r="B1891" s="124" t="str">
        <f>IFERROR(__xludf.DUMMYFUNCTION("""COMPUTED_VALUE"""),"Walkin")</f>
        <v>Walkin</v>
      </c>
      <c r="C1891" s="124" t="str">
        <f>IFERROR(__xludf.DUMMYFUNCTION("""COMPUTED_VALUE"""),"Prayagraj")</f>
        <v>Prayagraj</v>
      </c>
      <c r="D1891" s="124" t="str">
        <f>IFERROR(__xludf.DUMMYFUNCTION("""COMPUTED_VALUE"""),"Primary_Walkin")</f>
        <v>Primary_Walkin</v>
      </c>
      <c r="E1891" s="124">
        <f>IFERROR(__xludf.DUMMYFUNCTION("""COMPUTED_VALUE"""),1.0)</f>
        <v>1</v>
      </c>
      <c r="F1891" s="124" t="str">
        <f>IFERROR(__xludf.DUMMYFUNCTION("""COMPUTED_VALUE"""),"Cold")</f>
        <v>Cold</v>
      </c>
      <c r="G1891" s="124" t="str">
        <f>IFERROR(__xludf.DUMMYFUNCTION("""COMPUTED_VALUE"""),"GS Foundation")</f>
        <v>GS Foundation</v>
      </c>
      <c r="K1891" s="124"/>
      <c r="L1891" s="124"/>
      <c r="M1891" s="124"/>
      <c r="N1891" s="124"/>
      <c r="O1891" s="124"/>
      <c r="T1891" s="126">
        <f>IFERROR(__xludf.DUMMYFUNCTION("""COMPUTED_VALUE"""),46107.0)</f>
        <v>46107</v>
      </c>
      <c r="U1891" s="124" t="str">
        <f>IFERROR(__xludf.DUMMYFUNCTION("""COMPUTED_VALUE"""),"Walk-Ins")</f>
        <v>Walk-Ins</v>
      </c>
      <c r="V1891" s="124" t="str">
        <f>IFERROR(__xludf.DUMMYFUNCTION("""COMPUTED_VALUE"""),"Walk-In")</f>
        <v>Walk-In</v>
      </c>
      <c r="W1891" s="124" t="str">
        <f>IFERROR(__xludf.DUMMYFUNCTION("""COMPUTED_VALUE"""),"Prayagraj")</f>
        <v>Prayagraj</v>
      </c>
      <c r="X1891" s="124" t="str">
        <f>IFERROR(__xludf.DUMMYFUNCTION("""COMPUTED_VALUE"""),"Shivanshi")</f>
        <v>Shivanshi</v>
      </c>
      <c r="Y1891" s="124" t="str">
        <f>IFERROR(__xludf.DUMMYFUNCTION("""COMPUTED_VALUE"""),"Prayagraj")</f>
        <v>Prayagraj</v>
      </c>
      <c r="Z1891" s="124">
        <f>IFERROR(__xludf.DUMMYFUNCTION("""COMPUTED_VALUE"""),1.0)</f>
        <v>1</v>
      </c>
      <c r="AA1891" s="124" t="str">
        <f>IFERROR(__xludf.DUMMYFUNCTION("""COMPUTED_VALUE"""),"Not Interested")</f>
        <v>Not Interested</v>
      </c>
      <c r="AB1891" s="124" t="str">
        <f>IFERROR(__xludf.DUMMYFUNCTION("""COMPUTED_VALUE"""),"GS Foundation")</f>
        <v>GS Foundation</v>
      </c>
    </row>
    <row r="1892">
      <c r="A1892" s="126">
        <f>IFERROR(__xludf.DUMMYFUNCTION("""COMPUTED_VALUE"""),46066.0)</f>
        <v>46066</v>
      </c>
      <c r="B1892" s="124" t="str">
        <f>IFERROR(__xludf.DUMMYFUNCTION("""COMPUTED_VALUE"""),"Walkin")</f>
        <v>Walkin</v>
      </c>
      <c r="C1892" s="124" t="str">
        <f>IFERROR(__xludf.DUMMYFUNCTION("""COMPUTED_VALUE"""),"Prayagraj")</f>
        <v>Prayagraj</v>
      </c>
      <c r="D1892" s="124" t="str">
        <f>IFERROR(__xludf.DUMMYFUNCTION("""COMPUTED_VALUE"""),"Primary_Walkin")</f>
        <v>Primary_Walkin</v>
      </c>
      <c r="E1892" s="124">
        <f>IFERROR(__xludf.DUMMYFUNCTION("""COMPUTED_VALUE"""),1.0)</f>
        <v>1</v>
      </c>
      <c r="F1892" s="124" t="str">
        <f>IFERROR(__xludf.DUMMYFUNCTION("""COMPUTED_VALUE"""),"Enrolled")</f>
        <v>Enrolled</v>
      </c>
      <c r="G1892" s="124" t="str">
        <f>IFERROR(__xludf.DUMMYFUNCTION("""COMPUTED_VALUE"""),"GS Foundation")</f>
        <v>GS Foundation</v>
      </c>
      <c r="K1892" s="124"/>
      <c r="L1892" s="124"/>
      <c r="M1892" s="124"/>
      <c r="N1892" s="124"/>
      <c r="O1892" s="124"/>
      <c r="T1892" s="129">
        <f>IFERROR(__xludf.DUMMYFUNCTION("""COMPUTED_VALUE"""),46097.0)</f>
        <v>46097</v>
      </c>
      <c r="U1892" s="124" t="str">
        <f>IFERROR(__xludf.DUMMYFUNCTION("""COMPUTED_VALUE"""),"Walk-Ins")</f>
        <v>Walk-Ins</v>
      </c>
      <c r="V1892" s="124" t="str">
        <f>IFERROR(__xludf.DUMMYFUNCTION("""COMPUTED_VALUE"""),"Walk-In")</f>
        <v>Walk-In</v>
      </c>
      <c r="W1892" s="124" t="str">
        <f>IFERROR(__xludf.DUMMYFUNCTION("""COMPUTED_VALUE"""),"Prayagraj")</f>
        <v>Prayagraj</v>
      </c>
      <c r="X1892" s="124" t="str">
        <f>IFERROR(__xludf.DUMMYFUNCTION("""COMPUTED_VALUE"""),"Shivanshi")</f>
        <v>Shivanshi</v>
      </c>
      <c r="Y1892" s="124" t="str">
        <f>IFERROR(__xludf.DUMMYFUNCTION("""COMPUTED_VALUE"""),"Prayagraj")</f>
        <v>Prayagraj</v>
      </c>
      <c r="Z1892" s="124">
        <f>IFERROR(__xludf.DUMMYFUNCTION("""COMPUTED_VALUE"""),2.0)</f>
        <v>2</v>
      </c>
      <c r="AA1892" s="124" t="str">
        <f>IFERROR(__xludf.DUMMYFUNCTION("""COMPUTED_VALUE"""),"Future Prospects")</f>
        <v>Future Prospects</v>
      </c>
      <c r="AB1892" s="124" t="str">
        <f>IFERROR(__xludf.DUMMYFUNCTION("""COMPUTED_VALUE"""),"GS Foundation")</f>
        <v>GS Foundation</v>
      </c>
    </row>
    <row r="1893">
      <c r="A1893" s="129">
        <f>IFERROR(__xludf.DUMMYFUNCTION("""COMPUTED_VALUE"""),46088.0)</f>
        <v>46088</v>
      </c>
      <c r="B1893" s="124" t="str">
        <f>IFERROR(__xludf.DUMMYFUNCTION("""COMPUTED_VALUE"""),"Walk-In")</f>
        <v>Walk-In</v>
      </c>
      <c r="C1893" s="124" t="str">
        <f>IFERROR(__xludf.DUMMYFUNCTION("""COMPUTED_VALUE"""),"Prayagraj")</f>
        <v>Prayagraj</v>
      </c>
      <c r="D1893" s="124" t="str">
        <f>IFERROR(__xludf.DUMMYFUNCTION("""COMPUTED_VALUE"""),"Primary_Walkin")</f>
        <v>Primary_Walkin</v>
      </c>
      <c r="E1893" s="124">
        <f>IFERROR(__xludf.DUMMYFUNCTION("""COMPUTED_VALUE"""),1.0)</f>
        <v>1</v>
      </c>
      <c r="F1893" s="124" t="str">
        <f>IFERROR(__xludf.DUMMYFUNCTION("""COMPUTED_VALUE"""),"Warm")</f>
        <v>Warm</v>
      </c>
      <c r="G1893" s="124" t="str">
        <f>IFERROR(__xludf.DUMMYFUNCTION("""COMPUTED_VALUE"""),"State PCS")</f>
        <v>State PCS</v>
      </c>
      <c r="K1893" s="124"/>
      <c r="L1893" s="124"/>
      <c r="M1893" s="124"/>
      <c r="N1893" s="124"/>
      <c r="O1893" s="124"/>
      <c r="T1893" s="126">
        <f>IFERROR(__xludf.DUMMYFUNCTION("""COMPUTED_VALUE"""),46049.0)</f>
        <v>46049</v>
      </c>
      <c r="U1893" s="124" t="str">
        <f>IFERROR(__xludf.DUMMYFUNCTION("""COMPUTED_VALUE"""),"Walk-Ins")</f>
        <v>Walk-Ins</v>
      </c>
      <c r="V1893" s="124" t="str">
        <f>IFERROR(__xludf.DUMMYFUNCTION("""COMPUTED_VALUE"""),"Walk-In")</f>
        <v>Walk-In</v>
      </c>
      <c r="W1893" s="124" t="str">
        <f>IFERROR(__xludf.DUMMYFUNCTION("""COMPUTED_VALUE"""),"Prayagraj")</f>
        <v>Prayagraj</v>
      </c>
      <c r="X1893" s="124" t="str">
        <f>IFERROR(__xludf.DUMMYFUNCTION("""COMPUTED_VALUE"""),"Shivanshi")</f>
        <v>Shivanshi</v>
      </c>
      <c r="Y1893" s="124" t="str">
        <f>IFERROR(__xludf.DUMMYFUNCTION("""COMPUTED_VALUE"""),"Prayagraj")</f>
        <v>Prayagraj</v>
      </c>
      <c r="Z1893" s="124">
        <f>IFERROR(__xludf.DUMMYFUNCTION("""COMPUTED_VALUE"""),1.0)</f>
        <v>1</v>
      </c>
      <c r="AA1893" s="124" t="str">
        <f>IFERROR(__xludf.DUMMYFUNCTION("""COMPUTED_VALUE"""),"Not Interested")</f>
        <v>Not Interested</v>
      </c>
      <c r="AB1893" s="124" t="str">
        <f>IFERROR(__xludf.DUMMYFUNCTION("""COMPUTED_VALUE"""),"State PCS")</f>
        <v>State PCS</v>
      </c>
    </row>
    <row r="1894">
      <c r="A1894" s="126">
        <f>IFERROR(__xludf.DUMMYFUNCTION("""COMPUTED_VALUE"""),46045.0)</f>
        <v>46045</v>
      </c>
      <c r="B1894" s="124" t="str">
        <f>IFERROR(__xludf.DUMMYFUNCTION("""COMPUTED_VALUE"""),"Walk-In")</f>
        <v>Walk-In</v>
      </c>
      <c r="C1894" s="124" t="str">
        <f>IFERROR(__xludf.DUMMYFUNCTION("""COMPUTED_VALUE"""),"Prayagraj")</f>
        <v>Prayagraj</v>
      </c>
      <c r="D1894" s="124" t="str">
        <f>IFERROR(__xludf.DUMMYFUNCTION("""COMPUTED_VALUE"""),"Primary_Walkin")</f>
        <v>Primary_Walkin</v>
      </c>
      <c r="E1894" s="124">
        <f>IFERROR(__xludf.DUMMYFUNCTION("""COMPUTED_VALUE"""),1.0)</f>
        <v>1</v>
      </c>
      <c r="F1894" s="124" t="str">
        <f>IFERROR(__xludf.DUMMYFUNCTION("""COMPUTED_VALUE"""),"Cold")</f>
        <v>Cold</v>
      </c>
      <c r="G1894" s="124" t="str">
        <f>IFERROR(__xludf.DUMMYFUNCTION("""COMPUTED_VALUE"""),"Other")</f>
        <v>Other</v>
      </c>
      <c r="K1894" s="124"/>
      <c r="L1894" s="124"/>
      <c r="M1894" s="124"/>
      <c r="N1894" s="124"/>
      <c r="O1894" s="124"/>
      <c r="T1894" s="126">
        <f>IFERROR(__xludf.DUMMYFUNCTION("""COMPUTED_VALUE"""),46090.0)</f>
        <v>46090</v>
      </c>
      <c r="U1894" s="124" t="str">
        <f>IFERROR(__xludf.DUMMYFUNCTION("""COMPUTED_VALUE"""),"Walk-Ins")</f>
        <v>Walk-Ins</v>
      </c>
      <c r="V1894" s="124" t="str">
        <f>IFERROR(__xludf.DUMMYFUNCTION("""COMPUTED_VALUE"""),"Walk-In")</f>
        <v>Walk-In</v>
      </c>
      <c r="W1894" s="124" t="str">
        <f>IFERROR(__xludf.DUMMYFUNCTION("""COMPUTED_VALUE"""),"Prayagraj")</f>
        <v>Prayagraj</v>
      </c>
      <c r="X1894" s="124" t="str">
        <f>IFERROR(__xludf.DUMMYFUNCTION("""COMPUTED_VALUE"""),"Shivanshi")</f>
        <v>Shivanshi</v>
      </c>
      <c r="Y1894" s="124" t="str">
        <f>IFERROR(__xludf.DUMMYFUNCTION("""COMPUTED_VALUE"""),"Prayagraj")</f>
        <v>Prayagraj</v>
      </c>
      <c r="Z1894" s="124">
        <f>IFERROR(__xludf.DUMMYFUNCTION("""COMPUTED_VALUE"""),1.0)</f>
        <v>1</v>
      </c>
      <c r="AA1894" s="124" t="str">
        <f>IFERROR(__xludf.DUMMYFUNCTION("""COMPUTED_VALUE"""),"Cold")</f>
        <v>Cold</v>
      </c>
      <c r="AB1894" s="124" t="str">
        <f>IFERROR(__xludf.DUMMYFUNCTION("""COMPUTED_VALUE"""),"Other")</f>
        <v>Other</v>
      </c>
    </row>
    <row r="1895">
      <c r="A1895" s="129">
        <f>IFERROR(__xludf.DUMMYFUNCTION("""COMPUTED_VALUE"""),46088.0)</f>
        <v>46088</v>
      </c>
      <c r="B1895" s="124" t="str">
        <f>IFERROR(__xludf.DUMMYFUNCTION("""COMPUTED_VALUE"""),"events")</f>
        <v>events</v>
      </c>
      <c r="C1895" s="124" t="str">
        <f>IFERROR(__xludf.DUMMYFUNCTION("""COMPUTED_VALUE"""),"Prayagraj")</f>
        <v>Prayagraj</v>
      </c>
      <c r="D1895" s="124" t="str">
        <f>IFERROR(__xludf.DUMMYFUNCTION("""COMPUTED_VALUE"""),"Secondary_Walkin")</f>
        <v>Secondary_Walkin</v>
      </c>
      <c r="E1895" s="124">
        <f>IFERROR(__xludf.DUMMYFUNCTION("""COMPUTED_VALUE"""),1.0)</f>
        <v>1</v>
      </c>
      <c r="F1895" s="124" t="str">
        <f>IFERROR(__xludf.DUMMYFUNCTION("""COMPUTED_VALUE"""),"Enrolled")</f>
        <v>Enrolled</v>
      </c>
      <c r="G1895" s="124" t="str">
        <f>IFERROR(__xludf.DUMMYFUNCTION("""COMPUTED_VALUE"""),"GS Foundation")</f>
        <v>GS Foundation</v>
      </c>
      <c r="K1895" s="124"/>
      <c r="L1895" s="124"/>
      <c r="M1895" s="124"/>
      <c r="N1895" s="124"/>
      <c r="O1895" s="124"/>
      <c r="T1895" s="129">
        <f>IFERROR(__xludf.DUMMYFUNCTION("""COMPUTED_VALUE"""),46051.0)</f>
        <v>46051</v>
      </c>
      <c r="U1895" s="124" t="str">
        <f>IFERROR(__xludf.DUMMYFUNCTION("""COMPUTED_VALUE"""),"Walk-Ins")</f>
        <v>Walk-Ins</v>
      </c>
      <c r="V1895" s="124" t="str">
        <f>IFERROR(__xludf.DUMMYFUNCTION("""COMPUTED_VALUE"""),"Walk-In")</f>
        <v>Walk-In</v>
      </c>
      <c r="W1895" s="124" t="str">
        <f>IFERROR(__xludf.DUMMYFUNCTION("""COMPUTED_VALUE"""),"Prayagraj")</f>
        <v>Prayagraj</v>
      </c>
      <c r="X1895" s="124" t="str">
        <f>IFERROR(__xludf.DUMMYFUNCTION("""COMPUTED_VALUE"""),"Shivanshi")</f>
        <v>Shivanshi</v>
      </c>
      <c r="Y1895" s="124" t="str">
        <f>IFERROR(__xludf.DUMMYFUNCTION("""COMPUTED_VALUE"""),"Prayagraj")</f>
        <v>Prayagraj</v>
      </c>
      <c r="Z1895" s="124">
        <f>IFERROR(__xludf.DUMMYFUNCTION("""COMPUTED_VALUE"""),1.0)</f>
        <v>1</v>
      </c>
      <c r="AA1895" s="124" t="str">
        <f>IFERROR(__xludf.DUMMYFUNCTION("""COMPUTED_VALUE"""),"Not Interested")</f>
        <v>Not Interested</v>
      </c>
      <c r="AB1895" s="124" t="str">
        <f>IFERROR(__xludf.DUMMYFUNCTION("""COMPUTED_VALUE"""),"GS Foundation")</f>
        <v>GS Foundation</v>
      </c>
    </row>
    <row r="1896">
      <c r="A1896" s="129">
        <f>IFERROR(__xludf.DUMMYFUNCTION("""COMPUTED_VALUE"""),46062.0)</f>
        <v>46062</v>
      </c>
      <c r="B1896" s="124" t="str">
        <f>IFERROR(__xludf.DUMMYFUNCTION("""COMPUTED_VALUE"""),"Walk-In")</f>
        <v>Walk-In</v>
      </c>
      <c r="C1896" s="124" t="str">
        <f>IFERROR(__xludf.DUMMYFUNCTION("""COMPUTED_VALUE"""),"Prayagraj")</f>
        <v>Prayagraj</v>
      </c>
      <c r="D1896" s="124" t="str">
        <f>IFERROR(__xludf.DUMMYFUNCTION("""COMPUTED_VALUE"""),"Primary_Walkin")</f>
        <v>Primary_Walkin</v>
      </c>
      <c r="E1896" s="124">
        <f>IFERROR(__xludf.DUMMYFUNCTION("""COMPUTED_VALUE"""),1.0)</f>
        <v>1</v>
      </c>
      <c r="F1896" s="124" t="str">
        <f>IFERROR(__xludf.DUMMYFUNCTION("""COMPUTED_VALUE"""),"Cold")</f>
        <v>Cold</v>
      </c>
      <c r="G1896" s="124" t="str">
        <f>IFERROR(__xludf.DUMMYFUNCTION("""COMPUTED_VALUE"""),"State PCS")</f>
        <v>State PCS</v>
      </c>
      <c r="K1896" s="124"/>
      <c r="L1896" s="124"/>
      <c r="M1896" s="124"/>
      <c r="N1896" s="124"/>
      <c r="O1896" s="124"/>
      <c r="T1896" s="129">
        <f>IFERROR(__xludf.DUMMYFUNCTION("""COMPUTED_VALUE"""),46103.0)</f>
        <v>46103</v>
      </c>
      <c r="U1896" s="124" t="str">
        <f>IFERROR(__xludf.DUMMYFUNCTION("""COMPUTED_VALUE"""),"Walk-Ins")</f>
        <v>Walk-Ins</v>
      </c>
      <c r="V1896" s="124" t="str">
        <f>IFERROR(__xludf.DUMMYFUNCTION("""COMPUTED_VALUE"""),"Walk-In")</f>
        <v>Walk-In</v>
      </c>
      <c r="W1896" s="124" t="str">
        <f>IFERROR(__xludf.DUMMYFUNCTION("""COMPUTED_VALUE"""),"Prayagraj")</f>
        <v>Prayagraj</v>
      </c>
      <c r="X1896" s="124" t="str">
        <f>IFERROR(__xludf.DUMMYFUNCTION("""COMPUTED_VALUE"""),"Shivanshi")</f>
        <v>Shivanshi</v>
      </c>
      <c r="Y1896" s="124" t="str">
        <f>IFERROR(__xludf.DUMMYFUNCTION("""COMPUTED_VALUE"""),"Prayagraj")</f>
        <v>Prayagraj</v>
      </c>
      <c r="Z1896" s="124">
        <f>IFERROR(__xludf.DUMMYFUNCTION("""COMPUTED_VALUE"""),1.0)</f>
        <v>1</v>
      </c>
      <c r="AA1896" s="124" t="str">
        <f>IFERROR(__xludf.DUMMYFUNCTION("""COMPUTED_VALUE"""),"Cold")</f>
        <v>Cold</v>
      </c>
      <c r="AB1896" s="124" t="str">
        <f>IFERROR(__xludf.DUMMYFUNCTION("""COMPUTED_VALUE"""),"Test Series")</f>
        <v>Test Series</v>
      </c>
    </row>
    <row r="1897">
      <c r="A1897" s="129">
        <f>IFERROR(__xludf.DUMMYFUNCTION("""COMPUTED_VALUE"""),46058.0)</f>
        <v>46058</v>
      </c>
      <c r="B1897" s="124" t="str">
        <f>IFERROR(__xludf.DUMMYFUNCTION("""COMPUTED_VALUE"""),"Walkin")</f>
        <v>Walkin</v>
      </c>
      <c r="C1897" s="124" t="str">
        <f>IFERROR(__xludf.DUMMYFUNCTION("""COMPUTED_VALUE"""),"Prayagraj")</f>
        <v>Prayagraj</v>
      </c>
      <c r="D1897" s="124" t="str">
        <f>IFERROR(__xludf.DUMMYFUNCTION("""COMPUTED_VALUE"""),"Primary_Walkin")</f>
        <v>Primary_Walkin</v>
      </c>
      <c r="E1897" s="124">
        <f>IFERROR(__xludf.DUMMYFUNCTION("""COMPUTED_VALUE"""),1.0)</f>
        <v>1</v>
      </c>
      <c r="F1897" s="124" t="str">
        <f>IFERROR(__xludf.DUMMYFUNCTION("""COMPUTED_VALUE"""),"Warm")</f>
        <v>Warm</v>
      </c>
      <c r="G1897" s="124" t="str">
        <f>IFERROR(__xludf.DUMMYFUNCTION("""COMPUTED_VALUE"""),"GS Foundation")</f>
        <v>GS Foundation</v>
      </c>
      <c r="K1897" s="124"/>
      <c r="L1897" s="124"/>
      <c r="M1897" s="124"/>
      <c r="N1897" s="124"/>
      <c r="O1897" s="124"/>
      <c r="T1897" s="126">
        <f>IFERROR(__xludf.DUMMYFUNCTION("""COMPUTED_VALUE"""),46056.0)</f>
        <v>46056</v>
      </c>
      <c r="U1897" s="124" t="str">
        <f>IFERROR(__xludf.DUMMYFUNCTION("""COMPUTED_VALUE"""),"Walk-Ins")</f>
        <v>Walk-Ins</v>
      </c>
      <c r="V1897" s="124" t="str">
        <f>IFERROR(__xludf.DUMMYFUNCTION("""COMPUTED_VALUE"""),"Walk-In")</f>
        <v>Walk-In</v>
      </c>
      <c r="W1897" s="124" t="str">
        <f>IFERROR(__xludf.DUMMYFUNCTION("""COMPUTED_VALUE"""),"Prayagraj")</f>
        <v>Prayagraj</v>
      </c>
      <c r="X1897" s="124" t="str">
        <f>IFERROR(__xludf.DUMMYFUNCTION("""COMPUTED_VALUE"""),"Shivanshi")</f>
        <v>Shivanshi</v>
      </c>
      <c r="Y1897" s="124" t="str">
        <f>IFERROR(__xludf.DUMMYFUNCTION("""COMPUTED_VALUE"""),"Prayagraj")</f>
        <v>Prayagraj</v>
      </c>
      <c r="Z1897" s="124">
        <f>IFERROR(__xludf.DUMMYFUNCTION("""COMPUTED_VALUE"""),2.0)</f>
        <v>2</v>
      </c>
      <c r="AA1897" s="124" t="str">
        <f>IFERROR(__xludf.DUMMYFUNCTION("""COMPUTED_VALUE"""),"Future Prospects")</f>
        <v>Future Prospects</v>
      </c>
      <c r="AB1897" s="124" t="str">
        <f>IFERROR(__xludf.DUMMYFUNCTION("""COMPUTED_VALUE"""),"GS Foundation")</f>
        <v>GS Foundation</v>
      </c>
    </row>
    <row r="1898">
      <c r="A1898" s="126">
        <f>IFERROR(__xludf.DUMMYFUNCTION("""COMPUTED_VALUE"""),46101.0)</f>
        <v>46101</v>
      </c>
      <c r="B1898" s="124" t="str">
        <f>IFERROR(__xludf.DUMMYFUNCTION("""COMPUTED_VALUE"""),"Walkin")</f>
        <v>Walkin</v>
      </c>
      <c r="C1898" s="124" t="str">
        <f>IFERROR(__xludf.DUMMYFUNCTION("""COMPUTED_VALUE"""),"Prayagraj")</f>
        <v>Prayagraj</v>
      </c>
      <c r="D1898" s="124" t="str">
        <f>IFERROR(__xludf.DUMMYFUNCTION("""COMPUTED_VALUE"""),"Primary_Walkin")</f>
        <v>Primary_Walkin</v>
      </c>
      <c r="E1898" s="124">
        <f>IFERROR(__xludf.DUMMYFUNCTION("""COMPUTED_VALUE"""),1.0)</f>
        <v>1</v>
      </c>
      <c r="F1898" s="124" t="str">
        <f>IFERROR(__xludf.DUMMYFUNCTION("""COMPUTED_VALUE"""),"Enrolled")</f>
        <v>Enrolled</v>
      </c>
      <c r="G1898" s="124" t="str">
        <f>IFERROR(__xludf.DUMMYFUNCTION("""COMPUTED_VALUE"""),"Mentorship")</f>
        <v>Mentorship</v>
      </c>
      <c r="K1898" s="124"/>
      <c r="L1898" s="124"/>
      <c r="M1898" s="124"/>
      <c r="N1898" s="124"/>
      <c r="O1898" s="124"/>
      <c r="T1898" s="126">
        <f>IFERROR(__xludf.DUMMYFUNCTION("""COMPUTED_VALUE"""),46109.0)</f>
        <v>46109</v>
      </c>
      <c r="U1898" s="124" t="str">
        <f>IFERROR(__xludf.DUMMYFUNCTION("""COMPUTED_VALUE"""),"Walk-Ins")</f>
        <v>Walk-Ins</v>
      </c>
      <c r="V1898" s="124" t="str">
        <f>IFERROR(__xludf.DUMMYFUNCTION("""COMPUTED_VALUE"""),"Walk-In")</f>
        <v>Walk-In</v>
      </c>
      <c r="W1898" s="124" t="str">
        <f>IFERROR(__xludf.DUMMYFUNCTION("""COMPUTED_VALUE"""),"Prayagraj")</f>
        <v>Prayagraj</v>
      </c>
      <c r="X1898" s="124" t="str">
        <f>IFERROR(__xludf.DUMMYFUNCTION("""COMPUTED_VALUE"""),"Shivanshi")</f>
        <v>Shivanshi</v>
      </c>
      <c r="Y1898" s="124" t="str">
        <f>IFERROR(__xludf.DUMMYFUNCTION("""COMPUTED_VALUE"""),"Prayagraj")</f>
        <v>Prayagraj</v>
      </c>
      <c r="Z1898" s="124">
        <f>IFERROR(__xludf.DUMMYFUNCTION("""COMPUTED_VALUE"""),1.0)</f>
        <v>1</v>
      </c>
      <c r="AA1898" s="124" t="str">
        <f>IFERROR(__xludf.DUMMYFUNCTION("""COMPUTED_VALUE"""),"Cold")</f>
        <v>Cold</v>
      </c>
      <c r="AB1898" s="124" t="str">
        <f>IFERROR(__xludf.DUMMYFUNCTION("""COMPUTED_VALUE"""),"Optionals")</f>
        <v>Optionals</v>
      </c>
    </row>
    <row r="1899">
      <c r="A1899" s="126">
        <f>IFERROR(__xludf.DUMMYFUNCTION("""COMPUTED_VALUE"""),46049.0)</f>
        <v>46049</v>
      </c>
      <c r="B1899" s="124" t="str">
        <f>IFERROR(__xludf.DUMMYFUNCTION("""COMPUTED_VALUE"""),"Walkin")</f>
        <v>Walkin</v>
      </c>
      <c r="C1899" s="124" t="str">
        <f>IFERROR(__xludf.DUMMYFUNCTION("""COMPUTED_VALUE"""),"Prayagraj")</f>
        <v>Prayagraj</v>
      </c>
      <c r="D1899" s="124" t="str">
        <f>IFERROR(__xludf.DUMMYFUNCTION("""COMPUTED_VALUE"""),"Primary_Walkin")</f>
        <v>Primary_Walkin</v>
      </c>
      <c r="E1899" s="124">
        <f>IFERROR(__xludf.DUMMYFUNCTION("""COMPUTED_VALUE"""),1.0)</f>
        <v>1</v>
      </c>
      <c r="F1899" s="124" t="str">
        <f>IFERROR(__xludf.DUMMYFUNCTION("""COMPUTED_VALUE"""),"Not Interested")</f>
        <v>Not Interested</v>
      </c>
      <c r="G1899" s="124" t="str">
        <f>IFERROR(__xludf.DUMMYFUNCTION("""COMPUTED_VALUE"""),"GS Foundation")</f>
        <v>GS Foundation</v>
      </c>
      <c r="K1899" s="124"/>
      <c r="L1899" s="124"/>
      <c r="M1899" s="124"/>
      <c r="N1899" s="124"/>
      <c r="O1899" s="124"/>
      <c r="T1899" s="126">
        <f>IFERROR(__xludf.DUMMYFUNCTION("""COMPUTED_VALUE"""),46098.0)</f>
        <v>46098</v>
      </c>
      <c r="U1899" s="124" t="str">
        <f>IFERROR(__xludf.DUMMYFUNCTION("""COMPUTED_VALUE"""),"Walk-Ins")</f>
        <v>Walk-Ins</v>
      </c>
      <c r="V1899" s="124" t="str">
        <f>IFERROR(__xludf.DUMMYFUNCTION("""COMPUTED_VALUE"""),"Walk-In")</f>
        <v>Walk-In</v>
      </c>
      <c r="W1899" s="124" t="str">
        <f>IFERROR(__xludf.DUMMYFUNCTION("""COMPUTED_VALUE"""),"Prayagraj")</f>
        <v>Prayagraj</v>
      </c>
      <c r="X1899" s="124" t="str">
        <f>IFERROR(__xludf.DUMMYFUNCTION("""COMPUTED_VALUE"""),"Shivanshi")</f>
        <v>Shivanshi</v>
      </c>
      <c r="Y1899" s="124" t="str">
        <f>IFERROR(__xludf.DUMMYFUNCTION("""COMPUTED_VALUE"""),"Prayagraj")</f>
        <v>Prayagraj</v>
      </c>
      <c r="Z1899" s="124">
        <f>IFERROR(__xludf.DUMMYFUNCTION("""COMPUTED_VALUE"""),1.0)</f>
        <v>1</v>
      </c>
      <c r="AA1899" s="124" t="str">
        <f>IFERROR(__xludf.DUMMYFUNCTION("""COMPUTED_VALUE"""),"Warm")</f>
        <v>Warm</v>
      </c>
      <c r="AB1899" s="124" t="str">
        <f>IFERROR(__xludf.DUMMYFUNCTION("""COMPUTED_VALUE"""),"State PCS")</f>
        <v>State PCS</v>
      </c>
    </row>
    <row r="1900">
      <c r="A1900" s="126">
        <f>IFERROR(__xludf.DUMMYFUNCTION("""COMPUTED_VALUE"""),46092.0)</f>
        <v>46092</v>
      </c>
      <c r="B1900" s="124" t="str">
        <f>IFERROR(__xludf.DUMMYFUNCTION("""COMPUTED_VALUE"""),"Walkin")</f>
        <v>Walkin</v>
      </c>
      <c r="C1900" s="124" t="str">
        <f>IFERROR(__xludf.DUMMYFUNCTION("""COMPUTED_VALUE"""),"Prayagraj")</f>
        <v>Prayagraj</v>
      </c>
      <c r="D1900" s="124" t="str">
        <f>IFERROR(__xludf.DUMMYFUNCTION("""COMPUTED_VALUE"""),"Primary_Walkin")</f>
        <v>Primary_Walkin</v>
      </c>
      <c r="E1900" s="124">
        <f>IFERROR(__xludf.DUMMYFUNCTION("""COMPUTED_VALUE"""),1.0)</f>
        <v>1</v>
      </c>
      <c r="F1900" s="124" t="str">
        <f>IFERROR(__xludf.DUMMYFUNCTION("""COMPUTED_VALUE"""),"Enrolled")</f>
        <v>Enrolled</v>
      </c>
      <c r="G1900" s="124" t="str">
        <f>IFERROR(__xludf.DUMMYFUNCTION("""COMPUTED_VALUE"""),"GS Foundation")</f>
        <v>GS Foundation</v>
      </c>
      <c r="K1900" s="124"/>
      <c r="L1900" s="124"/>
      <c r="M1900" s="124"/>
      <c r="N1900" s="124"/>
      <c r="O1900" s="124"/>
      <c r="T1900" s="126">
        <f>IFERROR(__xludf.DUMMYFUNCTION("""COMPUTED_VALUE"""),46045.0)</f>
        <v>46045</v>
      </c>
      <c r="U1900" s="124" t="str">
        <f>IFERROR(__xludf.DUMMYFUNCTION("""COMPUTED_VALUE"""),"Walk-Ins")</f>
        <v>Walk-Ins</v>
      </c>
      <c r="V1900" s="124" t="str">
        <f>IFERROR(__xludf.DUMMYFUNCTION("""COMPUTED_VALUE"""),"Walk-In")</f>
        <v>Walk-In</v>
      </c>
      <c r="W1900" s="124" t="str">
        <f>IFERROR(__xludf.DUMMYFUNCTION("""COMPUTED_VALUE"""),"Prayagraj")</f>
        <v>Prayagraj</v>
      </c>
      <c r="X1900" s="124" t="str">
        <f>IFERROR(__xludf.DUMMYFUNCTION("""COMPUTED_VALUE"""),"Shivanshi")</f>
        <v>Shivanshi</v>
      </c>
      <c r="Y1900" s="124" t="str">
        <f>IFERROR(__xludf.DUMMYFUNCTION("""COMPUTED_VALUE"""),"Prayagraj")</f>
        <v>Prayagraj</v>
      </c>
      <c r="Z1900" s="124">
        <f>IFERROR(__xludf.DUMMYFUNCTION("""COMPUTED_VALUE"""),1.0)</f>
        <v>1</v>
      </c>
      <c r="AA1900" s="124" t="str">
        <f>IFERROR(__xludf.DUMMYFUNCTION("""COMPUTED_VALUE"""),"Cold")</f>
        <v>Cold</v>
      </c>
      <c r="AB1900" s="124" t="str">
        <f>IFERROR(__xludf.DUMMYFUNCTION("""COMPUTED_VALUE"""),"Test Series")</f>
        <v>Test Series</v>
      </c>
    </row>
    <row r="1901">
      <c r="A1901" s="129">
        <f>IFERROR(__xludf.DUMMYFUNCTION("""COMPUTED_VALUE"""),46062.0)</f>
        <v>46062</v>
      </c>
      <c r="B1901" s="124" t="str">
        <f>IFERROR(__xludf.DUMMYFUNCTION("""COMPUTED_VALUE"""),"Walkin")</f>
        <v>Walkin</v>
      </c>
      <c r="C1901" s="124" t="str">
        <f>IFERROR(__xludf.DUMMYFUNCTION("""COMPUTED_VALUE"""),"Prayagraj")</f>
        <v>Prayagraj</v>
      </c>
      <c r="D1901" s="124" t="str">
        <f>IFERROR(__xludf.DUMMYFUNCTION("""COMPUTED_VALUE"""),"Primary_Walkin")</f>
        <v>Primary_Walkin</v>
      </c>
      <c r="E1901" s="124">
        <f>IFERROR(__xludf.DUMMYFUNCTION("""COMPUTED_VALUE"""),2.0)</f>
        <v>2</v>
      </c>
      <c r="F1901" s="124" t="str">
        <f>IFERROR(__xludf.DUMMYFUNCTION("""COMPUTED_VALUE"""),"Fake Lead")</f>
        <v>Fake Lead</v>
      </c>
      <c r="G1901" s="124" t="str">
        <f>IFERROR(__xludf.DUMMYFUNCTION("""COMPUTED_VALUE"""),"GS Foundation")</f>
        <v>GS Foundation</v>
      </c>
      <c r="K1901" s="124"/>
      <c r="L1901" s="124"/>
      <c r="M1901" s="124"/>
      <c r="N1901" s="124"/>
      <c r="O1901" s="124"/>
      <c r="T1901" s="129">
        <f>IFERROR(__xludf.DUMMYFUNCTION("""COMPUTED_VALUE"""),46104.0)</f>
        <v>46104</v>
      </c>
      <c r="U1901" s="124" t="str">
        <f>IFERROR(__xludf.DUMMYFUNCTION("""COMPUTED_VALUE"""),"Walk-Ins")</f>
        <v>Walk-Ins</v>
      </c>
      <c r="V1901" s="124" t="str">
        <f>IFERROR(__xludf.DUMMYFUNCTION("""COMPUTED_VALUE"""),"Walk-In")</f>
        <v>Walk-In</v>
      </c>
      <c r="W1901" s="124" t="str">
        <f>IFERROR(__xludf.DUMMYFUNCTION("""COMPUTED_VALUE"""),"Prayagraj")</f>
        <v>Prayagraj</v>
      </c>
      <c r="X1901" s="124" t="str">
        <f>IFERROR(__xludf.DUMMYFUNCTION("""COMPUTED_VALUE"""),"Shivanshi")</f>
        <v>Shivanshi</v>
      </c>
      <c r="Y1901" s="124" t="str">
        <f>IFERROR(__xludf.DUMMYFUNCTION("""COMPUTED_VALUE"""),"Prayagraj")</f>
        <v>Prayagraj</v>
      </c>
      <c r="Z1901" s="124">
        <f>IFERROR(__xludf.DUMMYFUNCTION("""COMPUTED_VALUE"""),1.0)</f>
        <v>1</v>
      </c>
      <c r="AA1901" s="124" t="str">
        <f>IFERROR(__xludf.DUMMYFUNCTION("""COMPUTED_VALUE"""),"Cold")</f>
        <v>Cold</v>
      </c>
      <c r="AB1901" s="124" t="str">
        <f>IFERROR(__xludf.DUMMYFUNCTION("""COMPUTED_VALUE"""),"State PCS")</f>
        <v>State PCS</v>
      </c>
    </row>
    <row r="1902">
      <c r="A1902" s="126">
        <f>IFERROR(__xludf.DUMMYFUNCTION("""COMPUTED_VALUE"""),46053.0)</f>
        <v>46053</v>
      </c>
      <c r="B1902" s="124" t="str">
        <f>IFERROR(__xludf.DUMMYFUNCTION("""COMPUTED_VALUE"""),"Events")</f>
        <v>Events</v>
      </c>
      <c r="C1902" s="124" t="str">
        <f>IFERROR(__xludf.DUMMYFUNCTION("""COMPUTED_VALUE"""),"Prayagraj")</f>
        <v>Prayagraj</v>
      </c>
      <c r="D1902" s="124" t="str">
        <f>IFERROR(__xludf.DUMMYFUNCTION("""COMPUTED_VALUE"""),"Secondary_Walkin")</f>
        <v>Secondary_Walkin</v>
      </c>
      <c r="E1902" s="124">
        <f>IFERROR(__xludf.DUMMYFUNCTION("""COMPUTED_VALUE"""),1.0)</f>
        <v>1</v>
      </c>
      <c r="F1902" s="124" t="str">
        <f>IFERROR(__xludf.DUMMYFUNCTION("""COMPUTED_VALUE"""),"Cold")</f>
        <v>Cold</v>
      </c>
      <c r="G1902" s="124" t="str">
        <f>IFERROR(__xludf.DUMMYFUNCTION("""COMPUTED_VALUE"""),"GS Foundation")</f>
        <v>GS Foundation</v>
      </c>
      <c r="K1902" s="124"/>
      <c r="L1902" s="124"/>
      <c r="M1902" s="124"/>
      <c r="N1902" s="124"/>
      <c r="O1902" s="124"/>
      <c r="T1902" s="126">
        <f>IFERROR(__xludf.DUMMYFUNCTION("""COMPUTED_VALUE"""),46074.0)</f>
        <v>46074</v>
      </c>
      <c r="U1902" s="124" t="str">
        <f>IFERROR(__xludf.DUMMYFUNCTION("""COMPUTED_VALUE"""),"Telephony")</f>
        <v>Telephony</v>
      </c>
      <c r="V1902" s="124" t="str">
        <f>IFERROR(__xludf.DUMMYFUNCTION("""COMPUTED_VALUE"""),"Inbound Call")</f>
        <v>Inbound Call</v>
      </c>
      <c r="W1902" s="124">
        <f>IFERROR(__xludf.DUMMYFUNCTION("""COMPUTED_VALUE"""),9.18047861634E11)</f>
        <v>918047861634</v>
      </c>
      <c r="X1902" s="124" t="str">
        <f>IFERROR(__xludf.DUMMYFUNCTION("""COMPUTED_VALUE"""),"Inbound Call")</f>
        <v>Inbound Call</v>
      </c>
      <c r="Y1902" s="124"/>
      <c r="Z1902" s="124">
        <f>IFERROR(__xludf.DUMMYFUNCTION("""COMPUTED_VALUE"""),1.0)</f>
        <v>1</v>
      </c>
      <c r="AA1902" s="124" t="str">
        <f>IFERROR(__xludf.DUMMYFUNCTION("""COMPUTED_VALUE"""),"Cold")</f>
        <v>Cold</v>
      </c>
      <c r="AB1902" s="124"/>
    </row>
    <row r="1903">
      <c r="A1903" s="126">
        <f>IFERROR(__xludf.DUMMYFUNCTION("""COMPUTED_VALUE"""),46106.0)</f>
        <v>46106</v>
      </c>
      <c r="B1903" s="124" t="str">
        <f>IFERROR(__xludf.DUMMYFUNCTION("""COMPUTED_VALUE"""),"Walkin")</f>
        <v>Walkin</v>
      </c>
      <c r="C1903" s="124" t="str">
        <f>IFERROR(__xludf.DUMMYFUNCTION("""COMPUTED_VALUE"""),"Prayagraj")</f>
        <v>Prayagraj</v>
      </c>
      <c r="D1903" s="124" t="str">
        <f>IFERROR(__xludf.DUMMYFUNCTION("""COMPUTED_VALUE"""),"Primary_Walkin")</f>
        <v>Primary_Walkin</v>
      </c>
      <c r="E1903" s="124">
        <f>IFERROR(__xludf.DUMMYFUNCTION("""COMPUTED_VALUE"""),1.0)</f>
        <v>1</v>
      </c>
      <c r="F1903" s="124" t="str">
        <f>IFERROR(__xludf.DUMMYFUNCTION("""COMPUTED_VALUE"""),"Warm")</f>
        <v>Warm</v>
      </c>
      <c r="G1903" s="124" t="str">
        <f>IFERROR(__xludf.DUMMYFUNCTION("""COMPUTED_VALUE"""),"Mentorship")</f>
        <v>Mentorship</v>
      </c>
      <c r="K1903" s="124"/>
      <c r="L1903" s="124"/>
      <c r="M1903" s="124"/>
      <c r="N1903" s="124"/>
      <c r="O1903" s="124"/>
      <c r="T1903" s="126">
        <f>IFERROR(__xludf.DUMMYFUNCTION("""COMPUTED_VALUE"""),46045.0)</f>
        <v>46045</v>
      </c>
      <c r="U1903" s="124" t="str">
        <f>IFERROR(__xludf.DUMMYFUNCTION("""COMPUTED_VALUE"""),"Telephony")</f>
        <v>Telephony</v>
      </c>
      <c r="V1903" s="124" t="str">
        <f>IFERROR(__xludf.DUMMYFUNCTION("""COMPUTED_VALUE"""),"Inbound Call")</f>
        <v>Inbound Call</v>
      </c>
      <c r="W1903" s="124">
        <f>IFERROR(__xludf.DUMMYFUNCTION("""COMPUTED_VALUE"""),9.18047861634E11)</f>
        <v>918047861634</v>
      </c>
      <c r="X1903" s="124" t="str">
        <f>IFERROR(__xludf.DUMMYFUNCTION("""COMPUTED_VALUE"""),"Inbound Call")</f>
        <v>Inbound Call</v>
      </c>
      <c r="Y1903" s="124"/>
      <c r="Z1903" s="124">
        <f>IFERROR(__xludf.DUMMYFUNCTION("""COMPUTED_VALUE"""),1.0)</f>
        <v>1</v>
      </c>
      <c r="AA1903" s="124" t="str">
        <f>IFERROR(__xludf.DUMMYFUNCTION("""COMPUTED_VALUE"""),"Cold")</f>
        <v>Cold</v>
      </c>
      <c r="AB1903" s="124"/>
    </row>
    <row r="1904">
      <c r="A1904" s="126">
        <f>IFERROR(__xludf.DUMMYFUNCTION("""COMPUTED_VALUE"""),46101.0)</f>
        <v>46101</v>
      </c>
      <c r="B1904" s="124" t="str">
        <f>IFERROR(__xludf.DUMMYFUNCTION("""COMPUTED_VALUE"""),"Walkin")</f>
        <v>Walkin</v>
      </c>
      <c r="C1904" s="124" t="str">
        <f>IFERROR(__xludf.DUMMYFUNCTION("""COMPUTED_VALUE"""),"Prayagraj")</f>
        <v>Prayagraj</v>
      </c>
      <c r="D1904" s="124" t="str">
        <f>IFERROR(__xludf.DUMMYFUNCTION("""COMPUTED_VALUE"""),"Primary_Walkin")</f>
        <v>Primary_Walkin</v>
      </c>
      <c r="E1904" s="124">
        <f>IFERROR(__xludf.DUMMYFUNCTION("""COMPUTED_VALUE"""),1.0)</f>
        <v>1</v>
      </c>
      <c r="F1904" s="124" t="str">
        <f>IFERROR(__xludf.DUMMYFUNCTION("""COMPUTED_VALUE"""),"Cold")</f>
        <v>Cold</v>
      </c>
      <c r="G1904" s="124" t="str">
        <f>IFERROR(__xludf.DUMMYFUNCTION("""COMPUTED_VALUE"""),"State PCS")</f>
        <v>State PCS</v>
      </c>
      <c r="K1904" s="124"/>
      <c r="L1904" s="124"/>
      <c r="M1904" s="124"/>
      <c r="N1904" s="124"/>
      <c r="O1904" s="124"/>
      <c r="T1904" s="126">
        <f>IFERROR(__xludf.DUMMYFUNCTION("""COMPUTED_VALUE"""),46046.0)</f>
        <v>46046</v>
      </c>
      <c r="U1904" s="124" t="str">
        <f>IFERROR(__xludf.DUMMYFUNCTION("""COMPUTED_VALUE"""),"Telephony")</f>
        <v>Telephony</v>
      </c>
      <c r="V1904" s="124" t="str">
        <f>IFERROR(__xludf.DUMMYFUNCTION("""COMPUTED_VALUE"""),"Inbound Call")</f>
        <v>Inbound Call</v>
      </c>
      <c r="W1904" s="124">
        <f>IFERROR(__xludf.DUMMYFUNCTION("""COMPUTED_VALUE"""),9.18047861663E11)</f>
        <v>918047861663</v>
      </c>
      <c r="X1904" s="124" t="str">
        <f>IFERROR(__xludf.DUMMYFUNCTION("""COMPUTED_VALUE"""),"Inbound Call")</f>
        <v>Inbound Call</v>
      </c>
      <c r="Y1904" s="124"/>
      <c r="Z1904" s="124">
        <f>IFERROR(__xludf.DUMMYFUNCTION("""COMPUTED_VALUE"""),5.0)</f>
        <v>5</v>
      </c>
      <c r="AA1904" s="124" t="str">
        <f>IFERROR(__xludf.DUMMYFUNCTION("""COMPUTED_VALUE"""),"Cold")</f>
        <v>Cold</v>
      </c>
      <c r="AB1904" s="124"/>
    </row>
    <row r="1905">
      <c r="A1905" s="126">
        <f>IFERROR(__xludf.DUMMYFUNCTION("""COMPUTED_VALUE"""),46109.0)</f>
        <v>46109</v>
      </c>
      <c r="B1905" s="124" t="str">
        <f>IFERROR(__xludf.DUMMYFUNCTION("""COMPUTED_VALUE"""),"Walkin")</f>
        <v>Walkin</v>
      </c>
      <c r="C1905" s="124" t="str">
        <f>IFERROR(__xludf.DUMMYFUNCTION("""COMPUTED_VALUE"""),"Prayagraj")</f>
        <v>Prayagraj</v>
      </c>
      <c r="D1905" s="124" t="str">
        <f>IFERROR(__xludf.DUMMYFUNCTION("""COMPUTED_VALUE"""),"Primary_Walkin")</f>
        <v>Primary_Walkin</v>
      </c>
      <c r="E1905" s="124">
        <f>IFERROR(__xludf.DUMMYFUNCTION("""COMPUTED_VALUE"""),1.0)</f>
        <v>1</v>
      </c>
      <c r="F1905" s="124" t="str">
        <f>IFERROR(__xludf.DUMMYFUNCTION("""COMPUTED_VALUE"""),"Interested")</f>
        <v>Interested</v>
      </c>
      <c r="G1905" s="124" t="str">
        <f>IFERROR(__xludf.DUMMYFUNCTION("""COMPUTED_VALUE"""),"Mentorship")</f>
        <v>Mentorship</v>
      </c>
      <c r="K1905" s="124"/>
      <c r="L1905" s="124"/>
      <c r="M1905" s="124"/>
      <c r="N1905" s="124"/>
      <c r="O1905" s="124"/>
      <c r="T1905" s="126">
        <f>IFERROR(__xludf.DUMMYFUNCTION("""COMPUTED_VALUE"""),46063.0)</f>
        <v>46063</v>
      </c>
      <c r="U1905" s="124" t="str">
        <f>IFERROR(__xludf.DUMMYFUNCTION("""COMPUTED_VALUE"""),"Telephony")</f>
        <v>Telephony</v>
      </c>
      <c r="V1905" s="124" t="str">
        <f>IFERROR(__xludf.DUMMYFUNCTION("""COMPUTED_VALUE"""),"Inbound Call")</f>
        <v>Inbound Call</v>
      </c>
      <c r="W1905" s="124" t="str">
        <f>IFERROR(__xludf.DUMMYFUNCTION("""COMPUTED_VALUE"""),"Inbound Call")</f>
        <v>Inbound Call</v>
      </c>
      <c r="X1905" s="124" t="str">
        <f>IFERROR(__xludf.DUMMYFUNCTION("""COMPUTED_VALUE"""),"Inbound Call")</f>
        <v>Inbound Call</v>
      </c>
      <c r="Y1905" s="124"/>
      <c r="Z1905" s="124">
        <f>IFERROR(__xludf.DUMMYFUNCTION("""COMPUTED_VALUE"""),1.0)</f>
        <v>1</v>
      </c>
      <c r="AA1905" s="124" t="str">
        <f>IFERROR(__xludf.DUMMYFUNCTION("""COMPUTED_VALUE"""),"Cold")</f>
        <v>Cold</v>
      </c>
      <c r="AB1905" s="124" t="str">
        <f>IFERROR(__xludf.DUMMYFUNCTION("""COMPUTED_VALUE"""),"IGP UPPSC")</f>
        <v>IGP UPPSC</v>
      </c>
    </row>
    <row r="1906">
      <c r="A1906" s="126">
        <f>IFERROR(__xludf.DUMMYFUNCTION("""COMPUTED_VALUE"""),46093.0)</f>
        <v>46093</v>
      </c>
      <c r="B1906" s="124" t="str">
        <f>IFERROR(__xludf.DUMMYFUNCTION("""COMPUTED_VALUE"""),"Facebook")</f>
        <v>Facebook</v>
      </c>
      <c r="C1906" s="124" t="str">
        <f>IFERROR(__xludf.DUMMYFUNCTION("""COMPUTED_VALUE"""),"Prayagraj")</f>
        <v>Prayagraj</v>
      </c>
      <c r="D1906" s="124" t="str">
        <f>IFERROR(__xludf.DUMMYFUNCTION("""COMPUTED_VALUE"""),"Secondary_Walkin")</f>
        <v>Secondary_Walkin</v>
      </c>
      <c r="E1906" s="124">
        <f>IFERROR(__xludf.DUMMYFUNCTION("""COMPUTED_VALUE"""),1.0)</f>
        <v>1</v>
      </c>
      <c r="F1906" s="124" t="str">
        <f>IFERROR(__xludf.DUMMYFUNCTION("""COMPUTED_VALUE"""),"Cold")</f>
        <v>Cold</v>
      </c>
      <c r="G1906" s="124" t="str">
        <f>IFERROR(__xludf.DUMMYFUNCTION("""COMPUTED_VALUE"""),"Mentorship")</f>
        <v>Mentorship</v>
      </c>
      <c r="K1906" s="124"/>
      <c r="L1906" s="124"/>
      <c r="M1906" s="124"/>
      <c r="N1906" s="124"/>
      <c r="O1906" s="124"/>
      <c r="T1906" s="126">
        <f>IFERROR(__xludf.DUMMYFUNCTION("""COMPUTED_VALUE"""),46087.0)</f>
        <v>46087</v>
      </c>
      <c r="U1906" s="124" t="str">
        <f>IFERROR(__xludf.DUMMYFUNCTION("""COMPUTED_VALUE"""),"Telephony")</f>
        <v>Telephony</v>
      </c>
      <c r="V1906" s="124" t="str">
        <f>IFERROR(__xludf.DUMMYFUNCTION("""COMPUTED_VALUE"""),"Inbound Call")</f>
        <v>Inbound Call</v>
      </c>
      <c r="W1906" s="124" t="str">
        <f>IFERROR(__xludf.DUMMYFUNCTION("""COMPUTED_VALUE"""),"Inbound Call")</f>
        <v>Inbound Call</v>
      </c>
      <c r="X1906" s="124" t="str">
        <f>IFERROR(__xludf.DUMMYFUNCTION("""COMPUTED_VALUE"""),"Inbound Call")</f>
        <v>Inbound Call</v>
      </c>
      <c r="Y1906" s="124" t="str">
        <f>IFERROR(__xludf.DUMMYFUNCTION("""COMPUTED_VALUE"""),"Indore")</f>
        <v>Indore</v>
      </c>
      <c r="Z1906" s="124">
        <f>IFERROR(__xludf.DUMMYFUNCTION("""COMPUTED_VALUE"""),1.0)</f>
        <v>1</v>
      </c>
      <c r="AA1906" s="124" t="str">
        <f>IFERROR(__xludf.DUMMYFUNCTION("""COMPUTED_VALUE"""),"Warm")</f>
        <v>Warm</v>
      </c>
      <c r="AB1906" s="124"/>
    </row>
    <row r="1907">
      <c r="A1907" s="126">
        <f>IFERROR(__xludf.DUMMYFUNCTION("""COMPUTED_VALUE"""),46053.0)</f>
        <v>46053</v>
      </c>
      <c r="B1907" s="124" t="str">
        <f>IFERROR(__xludf.DUMMYFUNCTION("""COMPUTED_VALUE"""),"Walk-In")</f>
        <v>Walk-In</v>
      </c>
      <c r="C1907" s="124" t="str">
        <f>IFERROR(__xludf.DUMMYFUNCTION("""COMPUTED_VALUE"""),"Prayagraj")</f>
        <v>Prayagraj</v>
      </c>
      <c r="D1907" s="124" t="str">
        <f>IFERROR(__xludf.DUMMYFUNCTION("""COMPUTED_VALUE"""),"Primary_Walkin")</f>
        <v>Primary_Walkin</v>
      </c>
      <c r="E1907" s="124">
        <f>IFERROR(__xludf.DUMMYFUNCTION("""COMPUTED_VALUE"""),1.0)</f>
        <v>1</v>
      </c>
      <c r="F1907" s="124" t="str">
        <f>IFERROR(__xludf.DUMMYFUNCTION("""COMPUTED_VALUE"""),"Cold")</f>
        <v>Cold</v>
      </c>
      <c r="G1907" s="124" t="str">
        <f>IFERROR(__xludf.DUMMYFUNCTION("""COMPUTED_VALUE"""),"GS Foundation")</f>
        <v>GS Foundation</v>
      </c>
      <c r="K1907" s="124"/>
      <c r="L1907" s="124"/>
      <c r="M1907" s="124"/>
      <c r="N1907" s="124"/>
      <c r="O1907" s="124"/>
      <c r="T1907" s="126">
        <f>IFERROR(__xludf.DUMMYFUNCTION("""COMPUTED_VALUE"""),46104.0)</f>
        <v>46104</v>
      </c>
      <c r="U1907" s="124" t="str">
        <f>IFERROR(__xludf.DUMMYFUNCTION("""COMPUTED_VALUE"""),"Telephony")</f>
        <v>Telephony</v>
      </c>
      <c r="V1907" s="124" t="str">
        <f>IFERROR(__xludf.DUMMYFUNCTION("""COMPUTED_VALUE"""),"Inbound Call")</f>
        <v>Inbound Call</v>
      </c>
      <c r="W1907" s="124">
        <f>IFERROR(__xludf.DUMMYFUNCTION("""COMPUTED_VALUE"""),9.18047861634E11)</f>
        <v>918047861634</v>
      </c>
      <c r="X1907" s="124" t="str">
        <f>IFERROR(__xludf.DUMMYFUNCTION("""COMPUTED_VALUE"""),"Inbound Call")</f>
        <v>Inbound Call</v>
      </c>
      <c r="Y1907" s="124"/>
      <c r="Z1907" s="124">
        <f>IFERROR(__xludf.DUMMYFUNCTION("""COMPUTED_VALUE"""),1.0)</f>
        <v>1</v>
      </c>
      <c r="AA1907" s="124" t="str">
        <f>IFERROR(__xludf.DUMMYFUNCTION("""COMPUTED_VALUE"""),"Not Interested")</f>
        <v>Not Interested</v>
      </c>
      <c r="AB1907" s="124"/>
    </row>
    <row r="1908">
      <c r="A1908" s="126">
        <f>IFERROR(__xludf.DUMMYFUNCTION("""COMPUTED_VALUE"""),46103.0)</f>
        <v>46103</v>
      </c>
      <c r="B1908" s="124" t="str">
        <f>IFERROR(__xludf.DUMMYFUNCTION("""COMPUTED_VALUE"""),"Walkin")</f>
        <v>Walkin</v>
      </c>
      <c r="C1908" s="124" t="str">
        <f>IFERROR(__xludf.DUMMYFUNCTION("""COMPUTED_VALUE"""),"Prayagraj")</f>
        <v>Prayagraj</v>
      </c>
      <c r="D1908" s="124" t="str">
        <f>IFERROR(__xludf.DUMMYFUNCTION("""COMPUTED_VALUE"""),"Primary_Walkin")</f>
        <v>Primary_Walkin</v>
      </c>
      <c r="E1908" s="124">
        <f>IFERROR(__xludf.DUMMYFUNCTION("""COMPUTED_VALUE"""),1.0)</f>
        <v>1</v>
      </c>
      <c r="F1908" s="124" t="str">
        <f>IFERROR(__xludf.DUMMYFUNCTION("""COMPUTED_VALUE"""),"Cold")</f>
        <v>Cold</v>
      </c>
      <c r="G1908" s="124" t="str">
        <f>IFERROR(__xludf.DUMMYFUNCTION("""COMPUTED_VALUE"""),"Other")</f>
        <v>Other</v>
      </c>
      <c r="K1908" s="124"/>
      <c r="L1908" s="124"/>
      <c r="M1908" s="124"/>
      <c r="N1908" s="124"/>
      <c r="O1908" s="124"/>
      <c r="T1908" s="129">
        <f>IFERROR(__xludf.DUMMYFUNCTION("""COMPUTED_VALUE"""),46068.0)</f>
        <v>46068</v>
      </c>
      <c r="U1908" s="124" t="str">
        <f>IFERROR(__xludf.DUMMYFUNCTION("""COMPUTED_VALUE"""),"Telephony")</f>
        <v>Telephony</v>
      </c>
      <c r="V1908" s="124" t="str">
        <f>IFERROR(__xludf.DUMMYFUNCTION("""COMPUTED_VALUE"""),"Inbound Call")</f>
        <v>Inbound Call</v>
      </c>
      <c r="W1908" s="124">
        <f>IFERROR(__xludf.DUMMYFUNCTION("""COMPUTED_VALUE"""),9.18047861663E11)</f>
        <v>918047861663</v>
      </c>
      <c r="X1908" s="124" t="str">
        <f>IFERROR(__xludf.DUMMYFUNCTION("""COMPUTED_VALUE"""),"Inbound Call")</f>
        <v>Inbound Call</v>
      </c>
      <c r="Y1908" s="124"/>
      <c r="Z1908" s="124">
        <f>IFERROR(__xludf.DUMMYFUNCTION("""COMPUTED_VALUE"""),1.0)</f>
        <v>1</v>
      </c>
      <c r="AA1908" s="124" t="str">
        <f>IFERROR(__xludf.DUMMYFUNCTION("""COMPUTED_VALUE"""),"Not Interested")</f>
        <v>Not Interested</v>
      </c>
      <c r="AB1908" s="124"/>
    </row>
    <row r="1909">
      <c r="A1909" s="126">
        <f>IFERROR(__xludf.DUMMYFUNCTION("""COMPUTED_VALUE"""),46052.0)</f>
        <v>46052</v>
      </c>
      <c r="B1909" s="124" t="str">
        <f>IFERROR(__xludf.DUMMYFUNCTION("""COMPUTED_VALUE"""),"Walk-In")</f>
        <v>Walk-In</v>
      </c>
      <c r="C1909" s="124" t="str">
        <f>IFERROR(__xludf.DUMMYFUNCTION("""COMPUTED_VALUE"""),"Prayagraj")</f>
        <v>Prayagraj</v>
      </c>
      <c r="D1909" s="124" t="str">
        <f>IFERROR(__xludf.DUMMYFUNCTION("""COMPUTED_VALUE"""),"Primary_Walkin")</f>
        <v>Primary_Walkin</v>
      </c>
      <c r="E1909" s="124">
        <f>IFERROR(__xludf.DUMMYFUNCTION("""COMPUTED_VALUE"""),1.0)</f>
        <v>1</v>
      </c>
      <c r="F1909" s="124" t="str">
        <f>IFERROR(__xludf.DUMMYFUNCTION("""COMPUTED_VALUE"""),"Future Prospects")</f>
        <v>Future Prospects</v>
      </c>
      <c r="G1909" s="124" t="str">
        <f>IFERROR(__xludf.DUMMYFUNCTION("""COMPUTED_VALUE"""),"GS Foundation")</f>
        <v>GS Foundation</v>
      </c>
      <c r="K1909" s="124"/>
      <c r="L1909" s="124"/>
      <c r="M1909" s="124"/>
      <c r="N1909" s="124"/>
      <c r="O1909" s="124"/>
      <c r="T1909" s="129">
        <f>IFERROR(__xludf.DUMMYFUNCTION("""COMPUTED_VALUE"""),46070.0)</f>
        <v>46070</v>
      </c>
      <c r="U1909" s="124" t="str">
        <f>IFERROR(__xludf.DUMMYFUNCTION("""COMPUTED_VALUE"""),"Telephony")</f>
        <v>Telephony</v>
      </c>
      <c r="V1909" s="124" t="str">
        <f>IFERROR(__xludf.DUMMYFUNCTION("""COMPUTED_VALUE"""),"Inbound Call")</f>
        <v>Inbound Call</v>
      </c>
      <c r="W1909" s="124" t="str">
        <f>IFERROR(__xludf.DUMMYFUNCTION("""COMPUTED_VALUE"""),"Inbound Call")</f>
        <v>Inbound Call</v>
      </c>
      <c r="X1909" s="124" t="str">
        <f>IFERROR(__xludf.DUMMYFUNCTION("""COMPUTED_VALUE"""),"Inbound Call")</f>
        <v>Inbound Call</v>
      </c>
      <c r="Y1909" s="124"/>
      <c r="Z1909" s="124">
        <f>IFERROR(__xludf.DUMMYFUNCTION("""COMPUTED_VALUE"""),1.0)</f>
        <v>1</v>
      </c>
      <c r="AA1909" s="124" t="str">
        <f>IFERROR(__xludf.DUMMYFUNCTION("""COMPUTED_VALUE"""),"Cold")</f>
        <v>Cold</v>
      </c>
      <c r="AB1909" s="124"/>
    </row>
    <row r="1910">
      <c r="A1910" s="126">
        <f>IFERROR(__xludf.DUMMYFUNCTION("""COMPUTED_VALUE"""),46070.0)</f>
        <v>46070</v>
      </c>
      <c r="B1910" s="124" t="str">
        <f>IFERROR(__xludf.DUMMYFUNCTION("""COMPUTED_VALUE"""),"Walkin")</f>
        <v>Walkin</v>
      </c>
      <c r="C1910" s="124" t="str">
        <f>IFERROR(__xludf.DUMMYFUNCTION("""COMPUTED_VALUE"""),"Prayagraj")</f>
        <v>Prayagraj</v>
      </c>
      <c r="D1910" s="124" t="str">
        <f>IFERROR(__xludf.DUMMYFUNCTION("""COMPUTED_VALUE"""),"Primary_Walkin")</f>
        <v>Primary_Walkin</v>
      </c>
      <c r="E1910" s="124">
        <f>IFERROR(__xludf.DUMMYFUNCTION("""COMPUTED_VALUE"""),1.0)</f>
        <v>1</v>
      </c>
      <c r="F1910" s="124" t="str">
        <f>IFERROR(__xludf.DUMMYFUNCTION("""COMPUTED_VALUE"""),"Warm")</f>
        <v>Warm</v>
      </c>
      <c r="G1910" s="124" t="str">
        <f>IFERROR(__xludf.DUMMYFUNCTION("""COMPUTED_VALUE"""),"GS Foundation")</f>
        <v>GS Foundation</v>
      </c>
      <c r="K1910" s="124"/>
      <c r="L1910" s="124"/>
      <c r="M1910" s="124"/>
      <c r="N1910" s="124"/>
      <c r="O1910" s="124"/>
      <c r="T1910" s="126">
        <f>IFERROR(__xludf.DUMMYFUNCTION("""COMPUTED_VALUE"""),46080.0)</f>
        <v>46080</v>
      </c>
      <c r="U1910" s="124" t="str">
        <f>IFERROR(__xludf.DUMMYFUNCTION("""COMPUTED_VALUE"""),"Telephony")</f>
        <v>Telephony</v>
      </c>
      <c r="V1910" s="124" t="str">
        <f>IFERROR(__xludf.DUMMYFUNCTION("""COMPUTED_VALUE"""),"Inbound Call")</f>
        <v>Inbound Call</v>
      </c>
      <c r="W1910" s="124" t="str">
        <f>IFERROR(__xludf.DUMMYFUNCTION("""COMPUTED_VALUE"""),"Inbound Call")</f>
        <v>Inbound Call</v>
      </c>
      <c r="X1910" s="124" t="str">
        <f>IFERROR(__xludf.DUMMYFUNCTION("""COMPUTED_VALUE"""),"Inbound Call")</f>
        <v>Inbound Call</v>
      </c>
      <c r="Y1910" s="124" t="str">
        <f>IFERROR(__xludf.DUMMYFUNCTION("""COMPUTED_VALUE"""),"Delhi")</f>
        <v>Delhi</v>
      </c>
      <c r="Z1910" s="124">
        <f>IFERROR(__xludf.DUMMYFUNCTION("""COMPUTED_VALUE"""),4.0)</f>
        <v>4</v>
      </c>
      <c r="AA1910" s="124" t="str">
        <f>IFERROR(__xludf.DUMMYFUNCTION("""COMPUTED_VALUE"""),"Cold")</f>
        <v>Cold</v>
      </c>
      <c r="AB1910" s="124"/>
    </row>
    <row r="1911">
      <c r="A1911" s="126">
        <f>IFERROR(__xludf.DUMMYFUNCTION("""COMPUTED_VALUE"""),46052.0)</f>
        <v>46052</v>
      </c>
      <c r="B1911" s="124" t="str">
        <f>IFERROR(__xludf.DUMMYFUNCTION("""COMPUTED_VALUE"""),"Walkin")</f>
        <v>Walkin</v>
      </c>
      <c r="C1911" s="124" t="str">
        <f>IFERROR(__xludf.DUMMYFUNCTION("""COMPUTED_VALUE"""),"Prayagraj")</f>
        <v>Prayagraj</v>
      </c>
      <c r="D1911" s="124" t="str">
        <f>IFERROR(__xludf.DUMMYFUNCTION("""COMPUTED_VALUE"""),"Primary_Walkin")</f>
        <v>Primary_Walkin</v>
      </c>
      <c r="E1911" s="124">
        <f>IFERROR(__xludf.DUMMYFUNCTION("""COMPUTED_VALUE"""),2.0)</f>
        <v>2</v>
      </c>
      <c r="F1911" s="124" t="str">
        <f>IFERROR(__xludf.DUMMYFUNCTION("""COMPUTED_VALUE"""),"Cold")</f>
        <v>Cold</v>
      </c>
      <c r="G1911" s="124" t="str">
        <f>IFERROR(__xludf.DUMMYFUNCTION("""COMPUTED_VALUE"""),"State PCS")</f>
        <v>State PCS</v>
      </c>
      <c r="K1911" s="124"/>
      <c r="L1911" s="124"/>
      <c r="M1911" s="124"/>
      <c r="N1911" s="124"/>
      <c r="O1911" s="124"/>
      <c r="T1911" s="126">
        <f>IFERROR(__xludf.DUMMYFUNCTION("""COMPUTED_VALUE"""),46051.0)</f>
        <v>46051</v>
      </c>
      <c r="U1911" s="124" t="str">
        <f>IFERROR(__xludf.DUMMYFUNCTION("""COMPUTED_VALUE"""),"Telephony")</f>
        <v>Telephony</v>
      </c>
      <c r="V1911" s="124" t="str">
        <f>IFERROR(__xludf.DUMMYFUNCTION("""COMPUTED_VALUE"""),"Inbound Call")</f>
        <v>Inbound Call</v>
      </c>
      <c r="W1911" s="124">
        <f>IFERROR(__xludf.DUMMYFUNCTION("""COMPUTED_VALUE"""),9.18047861635E11)</f>
        <v>918047861635</v>
      </c>
      <c r="X1911" s="124" t="str">
        <f>IFERROR(__xludf.DUMMYFUNCTION("""COMPUTED_VALUE"""),"Inbound Call")</f>
        <v>Inbound Call</v>
      </c>
      <c r="Y1911" s="124"/>
      <c r="Z1911" s="124">
        <f>IFERROR(__xludf.DUMMYFUNCTION("""COMPUTED_VALUE"""),1.0)</f>
        <v>1</v>
      </c>
      <c r="AA1911" s="124" t="str">
        <f>IFERROR(__xludf.DUMMYFUNCTION("""COMPUTED_VALUE"""),"Not Interested")</f>
        <v>Not Interested</v>
      </c>
      <c r="AB1911" s="124"/>
    </row>
    <row r="1912">
      <c r="A1912" s="126">
        <f>IFERROR(__xludf.DUMMYFUNCTION("""COMPUTED_VALUE"""),46072.0)</f>
        <v>46072</v>
      </c>
      <c r="B1912" s="124" t="str">
        <f>IFERROR(__xludf.DUMMYFUNCTION("""COMPUTED_VALUE"""),"Facebook")</f>
        <v>Facebook</v>
      </c>
      <c r="C1912" s="124" t="str">
        <f>IFERROR(__xludf.DUMMYFUNCTION("""COMPUTED_VALUE"""),"Prayagraj")</f>
        <v>Prayagraj</v>
      </c>
      <c r="D1912" s="124" t="str">
        <f>IFERROR(__xludf.DUMMYFUNCTION("""COMPUTED_VALUE"""),"Secondary_Walkin")</f>
        <v>Secondary_Walkin</v>
      </c>
      <c r="E1912" s="124">
        <f>IFERROR(__xludf.DUMMYFUNCTION("""COMPUTED_VALUE"""),1.0)</f>
        <v>1</v>
      </c>
      <c r="F1912" s="124" t="str">
        <f>IFERROR(__xludf.DUMMYFUNCTION("""COMPUTED_VALUE"""),"Cold")</f>
        <v>Cold</v>
      </c>
      <c r="G1912" s="124" t="str">
        <f>IFERROR(__xludf.DUMMYFUNCTION("""COMPUTED_VALUE"""),"State PCS")</f>
        <v>State PCS</v>
      </c>
      <c r="K1912" s="124"/>
      <c r="L1912" s="124"/>
      <c r="M1912" s="124"/>
      <c r="N1912" s="124"/>
      <c r="O1912" s="124"/>
      <c r="T1912" s="126">
        <f>IFERROR(__xludf.DUMMYFUNCTION("""COMPUTED_VALUE"""),46045.0)</f>
        <v>46045</v>
      </c>
      <c r="U1912" s="124" t="str">
        <f>IFERROR(__xludf.DUMMYFUNCTION("""COMPUTED_VALUE"""),"Telephony")</f>
        <v>Telephony</v>
      </c>
      <c r="V1912" s="124" t="str">
        <f>IFERROR(__xludf.DUMMYFUNCTION("""COMPUTED_VALUE"""),"Inbound Call")</f>
        <v>Inbound Call</v>
      </c>
      <c r="W1912" s="124" t="str">
        <f>IFERROR(__xludf.DUMMYFUNCTION("""COMPUTED_VALUE"""),"Inbound Call")</f>
        <v>Inbound Call</v>
      </c>
      <c r="X1912" s="124" t="str">
        <f>IFERROR(__xludf.DUMMYFUNCTION("""COMPUTED_VALUE"""),"Inbound Call")</f>
        <v>Inbound Call</v>
      </c>
      <c r="Y1912" s="124"/>
      <c r="Z1912" s="124">
        <f>IFERROR(__xludf.DUMMYFUNCTION("""COMPUTED_VALUE"""),1.0)</f>
        <v>1</v>
      </c>
      <c r="AA1912" s="124" t="str">
        <f>IFERROR(__xludf.DUMMYFUNCTION("""COMPUTED_VALUE"""),"Not Interested")</f>
        <v>Not Interested</v>
      </c>
      <c r="AB1912" s="124"/>
    </row>
    <row r="1913">
      <c r="A1913" s="126">
        <f>IFERROR(__xludf.DUMMYFUNCTION("""COMPUTED_VALUE"""),46075.0)</f>
        <v>46075</v>
      </c>
      <c r="B1913" s="124" t="str">
        <f>IFERROR(__xludf.DUMMYFUNCTION("""COMPUTED_VALUE"""),"Walkin")</f>
        <v>Walkin</v>
      </c>
      <c r="C1913" s="124" t="str">
        <f>IFERROR(__xludf.DUMMYFUNCTION("""COMPUTED_VALUE"""),"Prayagraj")</f>
        <v>Prayagraj</v>
      </c>
      <c r="D1913" s="124" t="str">
        <f>IFERROR(__xludf.DUMMYFUNCTION("""COMPUTED_VALUE"""),"Primary_Walkin")</f>
        <v>Primary_Walkin</v>
      </c>
      <c r="E1913" s="124">
        <f>IFERROR(__xludf.DUMMYFUNCTION("""COMPUTED_VALUE"""),1.0)</f>
        <v>1</v>
      </c>
      <c r="F1913" s="124" t="str">
        <f>IFERROR(__xludf.DUMMYFUNCTION("""COMPUTED_VALUE"""),"Future Prospects")</f>
        <v>Future Prospects</v>
      </c>
      <c r="G1913" s="124" t="str">
        <f>IFERROR(__xludf.DUMMYFUNCTION("""COMPUTED_VALUE"""),"State PCS")</f>
        <v>State PCS</v>
      </c>
      <c r="K1913" s="124"/>
      <c r="L1913" s="124"/>
      <c r="M1913" s="124"/>
      <c r="N1913" s="124"/>
      <c r="O1913" s="124"/>
      <c r="T1913" s="126">
        <f>IFERROR(__xludf.DUMMYFUNCTION("""COMPUTED_VALUE"""),46110.0)</f>
        <v>46110</v>
      </c>
      <c r="U1913" s="124" t="str">
        <f>IFERROR(__xludf.DUMMYFUNCTION("""COMPUTED_VALUE"""),"Paid Ads")</f>
        <v>Paid Ads</v>
      </c>
      <c r="V1913" s="124" t="str">
        <f>IFERROR(__xludf.DUMMYFUNCTION("""COMPUTED_VALUE"""),"Facebook")</f>
        <v>Facebook</v>
      </c>
      <c r="W1913" s="124" t="str">
        <f>IFERROR(__xludf.DUMMYFUNCTION("""COMPUTED_VALUE"""),"LeadAd")</f>
        <v>LeadAd</v>
      </c>
      <c r="X1913" s="124" t="str">
        <f>IFERROR(__xludf.DUMMYFUNCTION("""COMPUTED_VALUE"""),"Upsc_offline_925_Video_lead_FB_Deeksha")</f>
        <v>Upsc_offline_925_Video_lead_FB_Deeksha</v>
      </c>
      <c r="Y1913" s="124" t="str">
        <f>IFERROR(__xludf.DUMMYFUNCTION("""COMPUTED_VALUE"""),"Delhi")</f>
        <v>Delhi</v>
      </c>
      <c r="Z1913" s="124">
        <f>IFERROR(__xludf.DUMMYFUNCTION("""COMPUTED_VALUE"""),10.0)</f>
        <v>10</v>
      </c>
      <c r="AA1913" s="124"/>
      <c r="AB1913" s="124"/>
    </row>
    <row r="1914">
      <c r="A1914" s="126">
        <f>IFERROR(__xludf.DUMMYFUNCTION("""COMPUTED_VALUE"""),46053.0)</f>
        <v>46053</v>
      </c>
      <c r="B1914" s="124" t="str">
        <f>IFERROR(__xludf.DUMMYFUNCTION("""COMPUTED_VALUE"""),"Walkin")</f>
        <v>Walkin</v>
      </c>
      <c r="C1914" s="124" t="str">
        <f>IFERROR(__xludf.DUMMYFUNCTION("""COMPUTED_VALUE"""),"Prayagraj")</f>
        <v>Prayagraj</v>
      </c>
      <c r="D1914" s="124" t="str">
        <f>IFERROR(__xludf.DUMMYFUNCTION("""COMPUTED_VALUE"""),"Primary_Walkin")</f>
        <v>Primary_Walkin</v>
      </c>
      <c r="E1914" s="124">
        <f>IFERROR(__xludf.DUMMYFUNCTION("""COMPUTED_VALUE"""),1.0)</f>
        <v>1</v>
      </c>
      <c r="F1914" s="124" t="str">
        <f>IFERROR(__xludf.DUMMYFUNCTION("""COMPUTED_VALUE"""),"Future Prospects")</f>
        <v>Future Prospects</v>
      </c>
      <c r="G1914" s="124" t="str">
        <f>IFERROR(__xludf.DUMMYFUNCTION("""COMPUTED_VALUE"""),"GS Foundation")</f>
        <v>GS Foundation</v>
      </c>
      <c r="K1914" s="124"/>
      <c r="L1914" s="124"/>
      <c r="M1914" s="124"/>
      <c r="N1914" s="124"/>
      <c r="O1914" s="124"/>
      <c r="T1914" s="129">
        <f>IFERROR(__xludf.DUMMYFUNCTION("""COMPUTED_VALUE"""),46111.0)</f>
        <v>46111</v>
      </c>
      <c r="U1914" s="124" t="str">
        <f>IFERROR(__xludf.DUMMYFUNCTION("""COMPUTED_VALUE"""),"Telephony")</f>
        <v>Telephony</v>
      </c>
      <c r="V1914" s="124" t="str">
        <f>IFERROR(__xludf.DUMMYFUNCTION("""COMPUTED_VALUE"""),"Inbound Call")</f>
        <v>Inbound Call</v>
      </c>
      <c r="W1914" s="124">
        <f>IFERROR(__xludf.DUMMYFUNCTION("""COMPUTED_VALUE"""),9.18047861663E11)</f>
        <v>918047861663</v>
      </c>
      <c r="X1914" s="124" t="str">
        <f>IFERROR(__xludf.DUMMYFUNCTION("""COMPUTED_VALUE"""),"Inbound Call")</f>
        <v>Inbound Call</v>
      </c>
      <c r="Y1914" s="124" t="str">
        <f>IFERROR(__xludf.DUMMYFUNCTION("""COMPUTED_VALUE"""),"Delhi")</f>
        <v>Delhi</v>
      </c>
      <c r="Z1914" s="124">
        <f>IFERROR(__xludf.DUMMYFUNCTION("""COMPUTED_VALUE"""),2.0)</f>
        <v>2</v>
      </c>
      <c r="AA1914" s="124" t="str">
        <f>IFERROR(__xludf.DUMMYFUNCTION("""COMPUTED_VALUE"""),"Not Interested")</f>
        <v>Not Interested</v>
      </c>
      <c r="AB1914" s="124"/>
    </row>
    <row r="1915">
      <c r="A1915" s="129">
        <f>IFERROR(__xludf.DUMMYFUNCTION("""COMPUTED_VALUE"""),46088.0)</f>
        <v>46088</v>
      </c>
      <c r="B1915" s="124" t="str">
        <f>IFERROR(__xludf.DUMMYFUNCTION("""COMPUTED_VALUE"""),"Walkin")</f>
        <v>Walkin</v>
      </c>
      <c r="C1915" s="124" t="str">
        <f>IFERROR(__xludf.DUMMYFUNCTION("""COMPUTED_VALUE"""),"Prayagraj")</f>
        <v>Prayagraj</v>
      </c>
      <c r="D1915" s="124" t="str">
        <f>IFERROR(__xludf.DUMMYFUNCTION("""COMPUTED_VALUE"""),"Primary_Walkin")</f>
        <v>Primary_Walkin</v>
      </c>
      <c r="E1915" s="124">
        <f>IFERROR(__xludf.DUMMYFUNCTION("""COMPUTED_VALUE"""),1.0)</f>
        <v>1</v>
      </c>
      <c r="F1915" s="124" t="str">
        <f>IFERROR(__xludf.DUMMYFUNCTION("""COMPUTED_VALUE"""),"Warm")</f>
        <v>Warm</v>
      </c>
      <c r="G1915" s="124" t="str">
        <f>IFERROR(__xludf.DUMMYFUNCTION("""COMPUTED_VALUE"""),"State PCS")</f>
        <v>State PCS</v>
      </c>
      <c r="K1915" s="124"/>
      <c r="L1915" s="124"/>
      <c r="M1915" s="124"/>
      <c r="N1915" s="124"/>
      <c r="O1915" s="124"/>
      <c r="T1915" s="129">
        <f>IFERROR(__xludf.DUMMYFUNCTION("""COMPUTED_VALUE"""),46049.0)</f>
        <v>46049</v>
      </c>
      <c r="U1915" s="124" t="str">
        <f>IFERROR(__xludf.DUMMYFUNCTION("""COMPUTED_VALUE"""),"Telephony")</f>
        <v>Telephony</v>
      </c>
      <c r="V1915" s="124" t="str">
        <f>IFERROR(__xludf.DUMMYFUNCTION("""COMPUTED_VALUE"""),"Inbound Call")</f>
        <v>Inbound Call</v>
      </c>
      <c r="W1915" s="124">
        <f>IFERROR(__xludf.DUMMYFUNCTION("""COMPUTED_VALUE"""),9.18047861635E11)</f>
        <v>918047861635</v>
      </c>
      <c r="X1915" s="124" t="str">
        <f>IFERROR(__xludf.DUMMYFUNCTION("""COMPUTED_VALUE"""),"Inbound Call")</f>
        <v>Inbound Call</v>
      </c>
      <c r="Y1915" s="124"/>
      <c r="Z1915" s="124">
        <f>IFERROR(__xludf.DUMMYFUNCTION("""COMPUTED_VALUE"""),2.0)</f>
        <v>2</v>
      </c>
      <c r="AA1915" s="124" t="str">
        <f>IFERROR(__xludf.DUMMYFUNCTION("""COMPUTED_VALUE"""),"Cold")</f>
        <v>Cold</v>
      </c>
      <c r="AB1915" s="124"/>
    </row>
    <row r="1916">
      <c r="A1916" s="126">
        <f>IFERROR(__xludf.DUMMYFUNCTION("""COMPUTED_VALUE"""),46063.0)</f>
        <v>46063</v>
      </c>
      <c r="B1916" s="124" t="str">
        <f>IFERROR(__xludf.DUMMYFUNCTION("""COMPUTED_VALUE"""),"Walkin")</f>
        <v>Walkin</v>
      </c>
      <c r="C1916" s="124" t="str">
        <f>IFERROR(__xludf.DUMMYFUNCTION("""COMPUTED_VALUE"""),"Prayagraj")</f>
        <v>Prayagraj</v>
      </c>
      <c r="D1916" s="124" t="str">
        <f>IFERROR(__xludf.DUMMYFUNCTION("""COMPUTED_VALUE"""),"Primary_Walkin")</f>
        <v>Primary_Walkin</v>
      </c>
      <c r="E1916" s="124">
        <f>IFERROR(__xludf.DUMMYFUNCTION("""COMPUTED_VALUE"""),1.0)</f>
        <v>1</v>
      </c>
      <c r="F1916" s="124" t="str">
        <f>IFERROR(__xludf.DUMMYFUNCTION("""COMPUTED_VALUE"""),"Not Interested")</f>
        <v>Not Interested</v>
      </c>
      <c r="G1916" s="124" t="str">
        <f>IFERROR(__xludf.DUMMYFUNCTION("""COMPUTED_VALUE"""),"State PCS")</f>
        <v>State PCS</v>
      </c>
      <c r="K1916" s="124"/>
      <c r="L1916" s="124"/>
      <c r="M1916" s="124"/>
      <c r="N1916" s="124"/>
      <c r="O1916" s="124"/>
      <c r="T1916" s="126">
        <f>IFERROR(__xludf.DUMMYFUNCTION("""COMPUTED_VALUE"""),46077.0)</f>
        <v>46077</v>
      </c>
      <c r="U1916" s="124" t="str">
        <f>IFERROR(__xludf.DUMMYFUNCTION("""COMPUTED_VALUE"""),"Telephony")</f>
        <v>Telephony</v>
      </c>
      <c r="V1916" s="124" t="str">
        <f>IFERROR(__xludf.DUMMYFUNCTION("""COMPUTED_VALUE"""),"Inbound Call")</f>
        <v>Inbound Call</v>
      </c>
      <c r="W1916" s="124">
        <f>IFERROR(__xludf.DUMMYFUNCTION("""COMPUTED_VALUE"""),9.18047861635E11)</f>
        <v>918047861635</v>
      </c>
      <c r="X1916" s="124" t="str">
        <f>IFERROR(__xludf.DUMMYFUNCTION("""COMPUTED_VALUE"""),"Inbound Call")</f>
        <v>Inbound Call</v>
      </c>
      <c r="Y1916" s="124" t="str">
        <f>IFERROR(__xludf.DUMMYFUNCTION("""COMPUTED_VALUE"""),"Indore")</f>
        <v>Indore</v>
      </c>
      <c r="Z1916" s="124">
        <f>IFERROR(__xludf.DUMMYFUNCTION("""COMPUTED_VALUE"""),1.0)</f>
        <v>1</v>
      </c>
      <c r="AA1916" s="124" t="str">
        <f>IFERROR(__xludf.DUMMYFUNCTION("""COMPUTED_VALUE"""),"Enrolled")</f>
        <v>Enrolled</v>
      </c>
      <c r="AB1916" s="124" t="str">
        <f>IFERROR(__xludf.DUMMYFUNCTION("""COMPUTED_VALUE"""),"Other")</f>
        <v>Other</v>
      </c>
    </row>
    <row r="1917">
      <c r="A1917" s="126">
        <f>IFERROR(__xludf.DUMMYFUNCTION("""COMPUTED_VALUE"""),46046.0)</f>
        <v>46046</v>
      </c>
      <c r="B1917" s="124" t="str">
        <f>IFERROR(__xludf.DUMMYFUNCTION("""COMPUTED_VALUE"""),"Walkin")</f>
        <v>Walkin</v>
      </c>
      <c r="C1917" s="124" t="str">
        <f>IFERROR(__xludf.DUMMYFUNCTION("""COMPUTED_VALUE"""),"Prayagraj")</f>
        <v>Prayagraj</v>
      </c>
      <c r="D1917" s="124" t="str">
        <f>IFERROR(__xludf.DUMMYFUNCTION("""COMPUTED_VALUE"""),"Primary_Walkin")</f>
        <v>Primary_Walkin</v>
      </c>
      <c r="E1917" s="124">
        <f>IFERROR(__xludf.DUMMYFUNCTION("""COMPUTED_VALUE"""),1.0)</f>
        <v>1</v>
      </c>
      <c r="F1917" s="124" t="str">
        <f>IFERROR(__xludf.DUMMYFUNCTION("""COMPUTED_VALUE"""),"Fake Lead")</f>
        <v>Fake Lead</v>
      </c>
      <c r="G1917" s="124" t="str">
        <f>IFERROR(__xludf.DUMMYFUNCTION("""COMPUTED_VALUE"""),"Other")</f>
        <v>Other</v>
      </c>
      <c r="K1917" s="124"/>
      <c r="L1917" s="124"/>
      <c r="M1917" s="124"/>
      <c r="N1917" s="124"/>
      <c r="O1917" s="124"/>
      <c r="T1917" s="126">
        <f>IFERROR(__xludf.DUMMYFUNCTION("""COMPUTED_VALUE"""),46088.0)</f>
        <v>46088</v>
      </c>
      <c r="U1917" s="124" t="str">
        <f>IFERROR(__xludf.DUMMYFUNCTION("""COMPUTED_VALUE"""),"Telephony")</f>
        <v>Telephony</v>
      </c>
      <c r="V1917" s="124" t="str">
        <f>IFERROR(__xludf.DUMMYFUNCTION("""COMPUTED_VALUE"""),"Inbound Call")</f>
        <v>Inbound Call</v>
      </c>
      <c r="W1917" s="124">
        <f>IFERROR(__xludf.DUMMYFUNCTION("""COMPUTED_VALUE"""),9.18047861663E11)</f>
        <v>918047861663</v>
      </c>
      <c r="X1917" s="124" t="str">
        <f>IFERROR(__xludf.DUMMYFUNCTION("""COMPUTED_VALUE"""),"Inbound Call")</f>
        <v>Inbound Call</v>
      </c>
      <c r="Y1917" s="124" t="str">
        <f>IFERROR(__xludf.DUMMYFUNCTION("""COMPUTED_VALUE"""),"Delhi")</f>
        <v>Delhi</v>
      </c>
      <c r="Z1917" s="124">
        <f>IFERROR(__xludf.DUMMYFUNCTION("""COMPUTED_VALUE"""),1.0)</f>
        <v>1</v>
      </c>
      <c r="AA1917" s="124" t="str">
        <f>IFERROR(__xludf.DUMMYFUNCTION("""COMPUTED_VALUE"""),"Not Interested")</f>
        <v>Not Interested</v>
      </c>
      <c r="AB1917" s="124" t="str">
        <f>IFERROR(__xludf.DUMMYFUNCTION("""COMPUTED_VALUE"""),"GS Foundation")</f>
        <v>GS Foundation</v>
      </c>
    </row>
    <row r="1918">
      <c r="A1918" s="126">
        <f>IFERROR(__xludf.DUMMYFUNCTION("""COMPUTED_VALUE"""),46046.0)</f>
        <v>46046</v>
      </c>
      <c r="B1918" s="124" t="str">
        <f>IFERROR(__xludf.DUMMYFUNCTION("""COMPUTED_VALUE"""),"Facebook")</f>
        <v>Facebook</v>
      </c>
      <c r="C1918" s="124" t="str">
        <f>IFERROR(__xludf.DUMMYFUNCTION("""COMPUTED_VALUE"""),"Prayagraj")</f>
        <v>Prayagraj</v>
      </c>
      <c r="D1918" s="124" t="str">
        <f>IFERROR(__xludf.DUMMYFUNCTION("""COMPUTED_VALUE"""),"Secondary_Walkin")</f>
        <v>Secondary_Walkin</v>
      </c>
      <c r="E1918" s="124">
        <f>IFERROR(__xludf.DUMMYFUNCTION("""COMPUTED_VALUE"""),1.0)</f>
        <v>1</v>
      </c>
      <c r="F1918" s="124" t="str">
        <f>IFERROR(__xludf.DUMMYFUNCTION("""COMPUTED_VALUE"""),"Cold")</f>
        <v>Cold</v>
      </c>
      <c r="G1918" s="124" t="str">
        <f>IFERROR(__xludf.DUMMYFUNCTION("""COMPUTED_VALUE"""),"GS Foundation")</f>
        <v>GS Foundation</v>
      </c>
      <c r="K1918" s="124"/>
      <c r="L1918" s="124"/>
      <c r="M1918" s="124"/>
      <c r="N1918" s="124"/>
      <c r="O1918" s="124"/>
      <c r="T1918" s="126">
        <f>IFERROR(__xludf.DUMMYFUNCTION("""COMPUTED_VALUE"""),46070.0)</f>
        <v>46070</v>
      </c>
      <c r="U1918" s="124" t="str">
        <f>IFERROR(__xludf.DUMMYFUNCTION("""COMPUTED_VALUE"""),"Telephony")</f>
        <v>Telephony</v>
      </c>
      <c r="V1918" s="124" t="str">
        <f>IFERROR(__xludf.DUMMYFUNCTION("""COMPUTED_VALUE"""),"Inbound Call")</f>
        <v>Inbound Call</v>
      </c>
      <c r="W1918" s="124" t="str">
        <f>IFERROR(__xludf.DUMMYFUNCTION("""COMPUTED_VALUE"""),"Inbound Call")</f>
        <v>Inbound Call</v>
      </c>
      <c r="X1918" s="124" t="str">
        <f>IFERROR(__xludf.DUMMYFUNCTION("""COMPUTED_VALUE"""),"Inbound Call")</f>
        <v>Inbound Call</v>
      </c>
      <c r="Y1918" s="124"/>
      <c r="Z1918" s="124">
        <f>IFERROR(__xludf.DUMMYFUNCTION("""COMPUTED_VALUE"""),1.0)</f>
        <v>1</v>
      </c>
      <c r="AA1918" s="124" t="str">
        <f>IFERROR(__xludf.DUMMYFUNCTION("""COMPUTED_VALUE"""),"Cold")</f>
        <v>Cold</v>
      </c>
      <c r="AB1918" s="124" t="str">
        <f>IFERROR(__xludf.DUMMYFUNCTION("""COMPUTED_VALUE"""),"State PCS")</f>
        <v>State PCS</v>
      </c>
    </row>
    <row r="1919">
      <c r="A1919" s="126">
        <f>IFERROR(__xludf.DUMMYFUNCTION("""COMPUTED_VALUE"""),46044.0)</f>
        <v>46044</v>
      </c>
      <c r="B1919" s="124" t="str">
        <f>IFERROR(__xludf.DUMMYFUNCTION("""COMPUTED_VALUE"""),"Walk-In")</f>
        <v>Walk-In</v>
      </c>
      <c r="C1919" s="124" t="str">
        <f>IFERROR(__xludf.DUMMYFUNCTION("""COMPUTED_VALUE"""),"Prayagraj")</f>
        <v>Prayagraj</v>
      </c>
      <c r="D1919" s="124" t="str">
        <f>IFERROR(__xludf.DUMMYFUNCTION("""COMPUTED_VALUE"""),"Primary_Walkin")</f>
        <v>Primary_Walkin</v>
      </c>
      <c r="E1919" s="124">
        <f>IFERROR(__xludf.DUMMYFUNCTION("""COMPUTED_VALUE"""),1.0)</f>
        <v>1</v>
      </c>
      <c r="F1919" s="124" t="str">
        <f>IFERROR(__xludf.DUMMYFUNCTION("""COMPUTED_VALUE"""),"Warm")</f>
        <v>Warm</v>
      </c>
      <c r="G1919" s="124" t="str">
        <f>IFERROR(__xludf.DUMMYFUNCTION("""COMPUTED_VALUE"""),"GS Foundation")</f>
        <v>GS Foundation</v>
      </c>
      <c r="K1919" s="124"/>
      <c r="L1919" s="124"/>
      <c r="M1919" s="124"/>
      <c r="N1919" s="124"/>
      <c r="O1919" s="124"/>
      <c r="T1919" s="126">
        <f>IFERROR(__xludf.DUMMYFUNCTION("""COMPUTED_VALUE"""),46045.0)</f>
        <v>46045</v>
      </c>
      <c r="U1919" s="124" t="str">
        <f>IFERROR(__xludf.DUMMYFUNCTION("""COMPUTED_VALUE"""),"Telephony")</f>
        <v>Telephony</v>
      </c>
      <c r="V1919" s="124" t="str">
        <f>IFERROR(__xludf.DUMMYFUNCTION("""COMPUTED_VALUE"""),"Inbound Call")</f>
        <v>Inbound Call</v>
      </c>
      <c r="W1919" s="124" t="str">
        <f>IFERROR(__xludf.DUMMYFUNCTION("""COMPUTED_VALUE"""),"Inbound Call")</f>
        <v>Inbound Call</v>
      </c>
      <c r="X1919" s="124" t="str">
        <f>IFERROR(__xludf.DUMMYFUNCTION("""COMPUTED_VALUE"""),"Inbound Call")</f>
        <v>Inbound Call</v>
      </c>
      <c r="Y1919" s="124"/>
      <c r="Z1919" s="124">
        <f>IFERROR(__xludf.DUMMYFUNCTION("""COMPUTED_VALUE"""),1.0)</f>
        <v>1</v>
      </c>
      <c r="AA1919" s="124" t="str">
        <f>IFERROR(__xludf.DUMMYFUNCTION("""COMPUTED_VALUE"""),"Fake Lead")</f>
        <v>Fake Lead</v>
      </c>
      <c r="AB1919" s="124"/>
    </row>
    <row r="1920">
      <c r="A1920" s="126">
        <f>IFERROR(__xludf.DUMMYFUNCTION("""COMPUTED_VALUE"""),46107.0)</f>
        <v>46107</v>
      </c>
      <c r="B1920" s="124" t="str">
        <f>IFERROR(__xludf.DUMMYFUNCTION("""COMPUTED_VALUE"""),"Walkin")</f>
        <v>Walkin</v>
      </c>
      <c r="C1920" s="124" t="str">
        <f>IFERROR(__xludf.DUMMYFUNCTION("""COMPUTED_VALUE"""),"Prayagraj")</f>
        <v>Prayagraj</v>
      </c>
      <c r="D1920" s="124" t="str">
        <f>IFERROR(__xludf.DUMMYFUNCTION("""COMPUTED_VALUE"""),"Primary_Walkin")</f>
        <v>Primary_Walkin</v>
      </c>
      <c r="E1920" s="124">
        <f>IFERROR(__xludf.DUMMYFUNCTION("""COMPUTED_VALUE"""),1.0)</f>
        <v>1</v>
      </c>
      <c r="F1920" s="124" t="str">
        <f>IFERROR(__xludf.DUMMYFUNCTION("""COMPUTED_VALUE"""),"Enrolled")</f>
        <v>Enrolled</v>
      </c>
      <c r="G1920" s="124" t="str">
        <f>IFERROR(__xludf.DUMMYFUNCTION("""COMPUTED_VALUE"""),"State PCS")</f>
        <v>State PCS</v>
      </c>
      <c r="K1920" s="124"/>
      <c r="L1920" s="124"/>
      <c r="M1920" s="124"/>
      <c r="N1920" s="124"/>
      <c r="O1920" s="124"/>
      <c r="T1920" s="126">
        <f>IFERROR(__xludf.DUMMYFUNCTION("""COMPUTED_VALUE"""),46105.0)</f>
        <v>46105</v>
      </c>
      <c r="U1920" s="124" t="str">
        <f>IFERROR(__xludf.DUMMYFUNCTION("""COMPUTED_VALUE"""),"Telephony")</f>
        <v>Telephony</v>
      </c>
      <c r="V1920" s="124" t="str">
        <f>IFERROR(__xludf.DUMMYFUNCTION("""COMPUTED_VALUE"""),"Inbound Call")</f>
        <v>Inbound Call</v>
      </c>
      <c r="W1920" s="124">
        <f>IFERROR(__xludf.DUMMYFUNCTION("""COMPUTED_VALUE"""),9.18047861633E11)</f>
        <v>918047861633</v>
      </c>
      <c r="X1920" s="124" t="str">
        <f>IFERROR(__xludf.DUMMYFUNCTION("""COMPUTED_VALUE"""),"Inbound Call")</f>
        <v>Inbound Call</v>
      </c>
      <c r="Y1920" s="124"/>
      <c r="Z1920" s="124">
        <f>IFERROR(__xludf.DUMMYFUNCTION("""COMPUTED_VALUE"""),1.0)</f>
        <v>1</v>
      </c>
      <c r="AA1920" s="124" t="str">
        <f>IFERROR(__xludf.DUMMYFUNCTION("""COMPUTED_VALUE"""),"Engaged")</f>
        <v>Engaged</v>
      </c>
      <c r="AB1920" s="124"/>
    </row>
    <row r="1921">
      <c r="A1921" s="126">
        <f>IFERROR(__xludf.DUMMYFUNCTION("""COMPUTED_VALUE"""),46045.0)</f>
        <v>46045</v>
      </c>
      <c r="B1921" s="124" t="str">
        <f>IFERROR(__xludf.DUMMYFUNCTION("""COMPUTED_VALUE"""),"Walkin")</f>
        <v>Walkin</v>
      </c>
      <c r="C1921" s="124" t="str">
        <f>IFERROR(__xludf.DUMMYFUNCTION("""COMPUTED_VALUE"""),"Prayagraj")</f>
        <v>Prayagraj</v>
      </c>
      <c r="D1921" s="124" t="str">
        <f>IFERROR(__xludf.DUMMYFUNCTION("""COMPUTED_VALUE"""),"Primary_Walkin")</f>
        <v>Primary_Walkin</v>
      </c>
      <c r="E1921" s="124">
        <f>IFERROR(__xludf.DUMMYFUNCTION("""COMPUTED_VALUE"""),1.0)</f>
        <v>1</v>
      </c>
      <c r="F1921" s="124" t="str">
        <f>IFERROR(__xludf.DUMMYFUNCTION("""COMPUTED_VALUE"""),"Not Interested")</f>
        <v>Not Interested</v>
      </c>
      <c r="G1921" s="124" t="str">
        <f>IFERROR(__xludf.DUMMYFUNCTION("""COMPUTED_VALUE"""),"GS Foundation")</f>
        <v>GS Foundation</v>
      </c>
      <c r="K1921" s="124"/>
      <c r="L1921" s="124"/>
      <c r="M1921" s="124"/>
      <c r="N1921" s="124"/>
      <c r="O1921" s="124"/>
      <c r="T1921" s="126">
        <f>IFERROR(__xludf.DUMMYFUNCTION("""COMPUTED_VALUE"""),46079.0)</f>
        <v>46079</v>
      </c>
      <c r="U1921" s="124" t="str">
        <f>IFERROR(__xludf.DUMMYFUNCTION("""COMPUTED_VALUE"""),"Telephony")</f>
        <v>Telephony</v>
      </c>
      <c r="V1921" s="124" t="str">
        <f>IFERROR(__xludf.DUMMYFUNCTION("""COMPUTED_VALUE"""),"Inbound Call")</f>
        <v>Inbound Call</v>
      </c>
      <c r="W1921" s="124">
        <f>IFERROR(__xludf.DUMMYFUNCTION("""COMPUTED_VALUE"""),9.18047861635E11)</f>
        <v>918047861635</v>
      </c>
      <c r="X1921" s="124" t="str">
        <f>IFERROR(__xludf.DUMMYFUNCTION("""COMPUTED_VALUE"""),"Inbound Call")</f>
        <v>Inbound Call</v>
      </c>
      <c r="Y1921" s="124" t="str">
        <f>IFERROR(__xludf.DUMMYFUNCTION("""COMPUTED_VALUE"""),"Indore")</f>
        <v>Indore</v>
      </c>
      <c r="Z1921" s="124">
        <f>IFERROR(__xludf.DUMMYFUNCTION("""COMPUTED_VALUE"""),1.0)</f>
        <v>1</v>
      </c>
      <c r="AA1921" s="124" t="str">
        <f>IFERROR(__xludf.DUMMYFUNCTION("""COMPUTED_VALUE"""),"Future Prospects")</f>
        <v>Future Prospects</v>
      </c>
      <c r="AB1921" s="124" t="str">
        <f>IFERROR(__xludf.DUMMYFUNCTION("""COMPUTED_VALUE"""),"Mentorship")</f>
        <v>Mentorship</v>
      </c>
    </row>
    <row r="1922">
      <c r="A1922" s="126">
        <f>IFERROR(__xludf.DUMMYFUNCTION("""COMPUTED_VALUE"""),46053.0)</f>
        <v>46053</v>
      </c>
      <c r="B1922" s="124" t="str">
        <f>IFERROR(__xludf.DUMMYFUNCTION("""COMPUTED_VALUE"""),"Walkin")</f>
        <v>Walkin</v>
      </c>
      <c r="C1922" s="124" t="str">
        <f>IFERROR(__xludf.DUMMYFUNCTION("""COMPUTED_VALUE"""),"Prayagraj")</f>
        <v>Prayagraj</v>
      </c>
      <c r="D1922" s="124" t="str">
        <f>IFERROR(__xludf.DUMMYFUNCTION("""COMPUTED_VALUE"""),"Primary_Walkin")</f>
        <v>Primary_Walkin</v>
      </c>
      <c r="E1922" s="124">
        <f>IFERROR(__xludf.DUMMYFUNCTION("""COMPUTED_VALUE"""),1.0)</f>
        <v>1</v>
      </c>
      <c r="F1922" s="124" t="str">
        <f>IFERROR(__xludf.DUMMYFUNCTION("""COMPUTED_VALUE"""),"Enrolled")</f>
        <v>Enrolled</v>
      </c>
      <c r="G1922" s="124" t="str">
        <f>IFERROR(__xludf.DUMMYFUNCTION("""COMPUTED_VALUE"""),"GS Foundation")</f>
        <v>GS Foundation</v>
      </c>
      <c r="K1922" s="124"/>
      <c r="L1922" s="124"/>
      <c r="M1922" s="124"/>
      <c r="N1922" s="124"/>
      <c r="O1922" s="124"/>
      <c r="T1922" s="129">
        <f>IFERROR(__xludf.DUMMYFUNCTION("""COMPUTED_VALUE"""),46055.0)</f>
        <v>46055</v>
      </c>
      <c r="U1922" s="124" t="str">
        <f>IFERROR(__xludf.DUMMYFUNCTION("""COMPUTED_VALUE"""),"Telephony")</f>
        <v>Telephony</v>
      </c>
      <c r="V1922" s="124" t="str">
        <f>IFERROR(__xludf.DUMMYFUNCTION("""COMPUTED_VALUE"""),"Inbound Call")</f>
        <v>Inbound Call</v>
      </c>
      <c r="W1922" s="124">
        <f>IFERROR(__xludf.DUMMYFUNCTION("""COMPUTED_VALUE"""),9.18047861635E11)</f>
        <v>918047861635</v>
      </c>
      <c r="X1922" s="124" t="str">
        <f>IFERROR(__xludf.DUMMYFUNCTION("""COMPUTED_VALUE"""),"Inbound Call")</f>
        <v>Inbound Call</v>
      </c>
      <c r="Y1922" s="124" t="str">
        <f>IFERROR(__xludf.DUMMYFUNCTION("""COMPUTED_VALUE"""),"Indore")</f>
        <v>Indore</v>
      </c>
      <c r="Z1922" s="124">
        <f>IFERROR(__xludf.DUMMYFUNCTION("""COMPUTED_VALUE"""),1.0)</f>
        <v>1</v>
      </c>
      <c r="AA1922" s="124" t="str">
        <f>IFERROR(__xludf.DUMMYFUNCTION("""COMPUTED_VALUE"""),"Cold")</f>
        <v>Cold</v>
      </c>
      <c r="AB1922" s="124"/>
    </row>
    <row r="1923">
      <c r="A1923" s="126">
        <f>IFERROR(__xludf.DUMMYFUNCTION("""COMPUTED_VALUE"""),46098.0)</f>
        <v>46098</v>
      </c>
      <c r="B1923" s="124" t="str">
        <f>IFERROR(__xludf.DUMMYFUNCTION("""COMPUTED_VALUE"""),"Walkin")</f>
        <v>Walkin</v>
      </c>
      <c r="C1923" s="124" t="str">
        <f>IFERROR(__xludf.DUMMYFUNCTION("""COMPUTED_VALUE"""),"Prayagraj")</f>
        <v>Prayagraj</v>
      </c>
      <c r="D1923" s="124" t="str">
        <f>IFERROR(__xludf.DUMMYFUNCTION("""COMPUTED_VALUE"""),"Primary_Walkin")</f>
        <v>Primary_Walkin</v>
      </c>
      <c r="E1923" s="124">
        <f>IFERROR(__xludf.DUMMYFUNCTION("""COMPUTED_VALUE"""),1.0)</f>
        <v>1</v>
      </c>
      <c r="F1923" s="124" t="str">
        <f>IFERROR(__xludf.DUMMYFUNCTION("""COMPUTED_VALUE"""),"Warm")</f>
        <v>Warm</v>
      </c>
      <c r="G1923" s="124" t="str">
        <f>IFERROR(__xludf.DUMMYFUNCTION("""COMPUTED_VALUE"""),"GS Foundation")</f>
        <v>GS Foundation</v>
      </c>
      <c r="K1923" s="124"/>
      <c r="L1923" s="124"/>
      <c r="M1923" s="124"/>
      <c r="N1923" s="124"/>
      <c r="O1923" s="124"/>
      <c r="T1923" s="129">
        <f>IFERROR(__xludf.DUMMYFUNCTION("""COMPUTED_VALUE"""),46110.0)</f>
        <v>46110</v>
      </c>
      <c r="U1923" s="124" t="str">
        <f>IFERROR(__xludf.DUMMYFUNCTION("""COMPUTED_VALUE"""),"Telephony")</f>
        <v>Telephony</v>
      </c>
      <c r="V1923" s="124" t="str">
        <f>IFERROR(__xludf.DUMMYFUNCTION("""COMPUTED_VALUE"""),"Inbound Call")</f>
        <v>Inbound Call</v>
      </c>
      <c r="W1923" s="124">
        <f>IFERROR(__xludf.DUMMYFUNCTION("""COMPUTED_VALUE"""),9.18047861631E11)</f>
        <v>918047861631</v>
      </c>
      <c r="X1923" s="124" t="str">
        <f>IFERROR(__xludf.DUMMYFUNCTION("""COMPUTED_VALUE"""),"Inbound Call")</f>
        <v>Inbound Call</v>
      </c>
      <c r="Y1923" s="124"/>
      <c r="Z1923" s="124">
        <f>IFERROR(__xludf.DUMMYFUNCTION("""COMPUTED_VALUE"""),1.0)</f>
        <v>1</v>
      </c>
      <c r="AA1923" s="124" t="str">
        <f>IFERROR(__xludf.DUMMYFUNCTION("""COMPUTED_VALUE"""),"Fake Lead")</f>
        <v>Fake Lead</v>
      </c>
      <c r="AB1923" s="124"/>
    </row>
    <row r="1924">
      <c r="A1924" s="126">
        <f>IFERROR(__xludf.DUMMYFUNCTION("""COMPUTED_VALUE"""),46107.0)</f>
        <v>46107</v>
      </c>
      <c r="B1924" s="124" t="str">
        <f>IFERROR(__xludf.DUMMYFUNCTION("""COMPUTED_VALUE"""),"Walkin")</f>
        <v>Walkin</v>
      </c>
      <c r="C1924" s="124" t="str">
        <f>IFERROR(__xludf.DUMMYFUNCTION("""COMPUTED_VALUE"""),"Prayagraj")</f>
        <v>Prayagraj</v>
      </c>
      <c r="D1924" s="124" t="str">
        <f>IFERROR(__xludf.DUMMYFUNCTION("""COMPUTED_VALUE"""),"Primary_Walkin")</f>
        <v>Primary_Walkin</v>
      </c>
      <c r="E1924" s="124">
        <f>IFERROR(__xludf.DUMMYFUNCTION("""COMPUTED_VALUE"""),1.0)</f>
        <v>1</v>
      </c>
      <c r="F1924" s="124" t="str">
        <f>IFERROR(__xludf.DUMMYFUNCTION("""COMPUTED_VALUE"""),"Cold")</f>
        <v>Cold</v>
      </c>
      <c r="G1924" s="124" t="str">
        <f>IFERROR(__xludf.DUMMYFUNCTION("""COMPUTED_VALUE"""),"Mentorship")</f>
        <v>Mentorship</v>
      </c>
      <c r="K1924" s="124"/>
      <c r="L1924" s="124"/>
      <c r="M1924" s="124"/>
      <c r="N1924" s="124"/>
      <c r="O1924" s="124"/>
      <c r="T1924" s="126">
        <f>IFERROR(__xludf.DUMMYFUNCTION("""COMPUTED_VALUE"""),46099.0)</f>
        <v>46099</v>
      </c>
      <c r="U1924" s="124" t="str">
        <f>IFERROR(__xludf.DUMMYFUNCTION("""COMPUTED_VALUE"""),"Telephony")</f>
        <v>Telephony</v>
      </c>
      <c r="V1924" s="124" t="str">
        <f>IFERROR(__xludf.DUMMYFUNCTION("""COMPUTED_VALUE"""),"Inbound Call")</f>
        <v>Inbound Call</v>
      </c>
      <c r="W1924" s="124">
        <f>IFERROR(__xludf.DUMMYFUNCTION("""COMPUTED_VALUE"""),9.18047861635E11)</f>
        <v>918047861635</v>
      </c>
      <c r="X1924" s="124" t="str">
        <f>IFERROR(__xludf.DUMMYFUNCTION("""COMPUTED_VALUE"""),"Inbound Call")</f>
        <v>Inbound Call</v>
      </c>
      <c r="Y1924" s="124" t="str">
        <f>IFERROR(__xludf.DUMMYFUNCTION("""COMPUTED_VALUE"""),"Indore")</f>
        <v>Indore</v>
      </c>
      <c r="Z1924" s="124">
        <f>IFERROR(__xludf.DUMMYFUNCTION("""COMPUTED_VALUE"""),1.0)</f>
        <v>1</v>
      </c>
      <c r="AA1924" s="124" t="str">
        <f>IFERROR(__xludf.DUMMYFUNCTION("""COMPUTED_VALUE"""),"Future Prospects")</f>
        <v>Future Prospects</v>
      </c>
      <c r="AB1924" s="124" t="str">
        <f>IFERROR(__xludf.DUMMYFUNCTION("""COMPUTED_VALUE"""),"GS Foundation")</f>
        <v>GS Foundation</v>
      </c>
    </row>
    <row r="1925">
      <c r="A1925" s="126">
        <f>IFERROR(__xludf.DUMMYFUNCTION("""COMPUTED_VALUE"""),46073.0)</f>
        <v>46073</v>
      </c>
      <c r="B1925" s="124" t="str">
        <f>IFERROR(__xludf.DUMMYFUNCTION("""COMPUTED_VALUE"""),"Walkin")</f>
        <v>Walkin</v>
      </c>
      <c r="C1925" s="124" t="str">
        <f>IFERROR(__xludf.DUMMYFUNCTION("""COMPUTED_VALUE"""),"Prayagraj")</f>
        <v>Prayagraj</v>
      </c>
      <c r="D1925" s="124" t="str">
        <f>IFERROR(__xludf.DUMMYFUNCTION("""COMPUTED_VALUE"""),"Primary_Walkin")</f>
        <v>Primary_Walkin</v>
      </c>
      <c r="E1925" s="124">
        <f>IFERROR(__xludf.DUMMYFUNCTION("""COMPUTED_VALUE"""),1.0)</f>
        <v>1</v>
      </c>
      <c r="F1925" s="124" t="str">
        <f>IFERROR(__xludf.DUMMYFUNCTION("""COMPUTED_VALUE"""),"Warm")</f>
        <v>Warm</v>
      </c>
      <c r="G1925" s="124" t="str">
        <f>IFERROR(__xludf.DUMMYFUNCTION("""COMPUTED_VALUE"""),"State PCS")</f>
        <v>State PCS</v>
      </c>
      <c r="K1925" s="124"/>
      <c r="L1925" s="124"/>
      <c r="M1925" s="124"/>
      <c r="N1925" s="124"/>
      <c r="O1925" s="124"/>
      <c r="T1925" s="126">
        <f>IFERROR(__xludf.DUMMYFUNCTION("""COMPUTED_VALUE"""),46049.0)</f>
        <v>46049</v>
      </c>
      <c r="U1925" s="124" t="str">
        <f>IFERROR(__xludf.DUMMYFUNCTION("""COMPUTED_VALUE"""),"Telephony")</f>
        <v>Telephony</v>
      </c>
      <c r="V1925" s="124" t="str">
        <f>IFERROR(__xludf.DUMMYFUNCTION("""COMPUTED_VALUE"""),"Inbound Call")</f>
        <v>Inbound Call</v>
      </c>
      <c r="W1925" s="124" t="str">
        <f>IFERROR(__xludf.DUMMYFUNCTION("""COMPUTED_VALUE"""),"Inbound Call")</f>
        <v>Inbound Call</v>
      </c>
      <c r="X1925" s="124" t="str">
        <f>IFERROR(__xludf.DUMMYFUNCTION("""COMPUTED_VALUE"""),"Inbound Call")</f>
        <v>Inbound Call</v>
      </c>
      <c r="Y1925" s="124" t="str">
        <f>IFERROR(__xludf.DUMMYFUNCTION("""COMPUTED_VALUE"""),"Indore")</f>
        <v>Indore</v>
      </c>
      <c r="Z1925" s="124">
        <f>IFERROR(__xludf.DUMMYFUNCTION("""COMPUTED_VALUE"""),1.0)</f>
        <v>1</v>
      </c>
      <c r="AA1925" s="124" t="str">
        <f>IFERROR(__xludf.DUMMYFUNCTION("""COMPUTED_VALUE"""),"Cold")</f>
        <v>Cold</v>
      </c>
      <c r="AB1925" s="124" t="str">
        <f>IFERROR(__xludf.DUMMYFUNCTION("""COMPUTED_VALUE"""),"CSAT")</f>
        <v>CSAT</v>
      </c>
    </row>
    <row r="1926">
      <c r="A1926" s="126">
        <f>IFERROR(__xludf.DUMMYFUNCTION("""COMPUTED_VALUE"""),46046.0)</f>
        <v>46046</v>
      </c>
      <c r="B1926" s="124" t="str">
        <f>IFERROR(__xludf.DUMMYFUNCTION("""COMPUTED_VALUE"""),"events")</f>
        <v>events</v>
      </c>
      <c r="C1926" s="124" t="str">
        <f>IFERROR(__xludf.DUMMYFUNCTION("""COMPUTED_VALUE"""),"Prayagraj")</f>
        <v>Prayagraj</v>
      </c>
      <c r="D1926" s="124" t="str">
        <f>IFERROR(__xludf.DUMMYFUNCTION("""COMPUTED_VALUE"""),"Secondary_Walkin")</f>
        <v>Secondary_Walkin</v>
      </c>
      <c r="E1926" s="124">
        <f>IFERROR(__xludf.DUMMYFUNCTION("""COMPUTED_VALUE"""),1.0)</f>
        <v>1</v>
      </c>
      <c r="F1926" s="124" t="str">
        <f>IFERROR(__xludf.DUMMYFUNCTION("""COMPUTED_VALUE"""),"Cold")</f>
        <v>Cold</v>
      </c>
      <c r="G1926" s="124" t="str">
        <f>IFERROR(__xludf.DUMMYFUNCTION("""COMPUTED_VALUE"""),"GS Foundation")</f>
        <v>GS Foundation</v>
      </c>
      <c r="K1926" s="124"/>
      <c r="L1926" s="124"/>
      <c r="M1926" s="124"/>
      <c r="N1926" s="124"/>
      <c r="O1926" s="124"/>
      <c r="T1926" s="129">
        <f>IFERROR(__xludf.DUMMYFUNCTION("""COMPUTED_VALUE"""),46057.0)</f>
        <v>46057</v>
      </c>
      <c r="U1926" s="124" t="str">
        <f>IFERROR(__xludf.DUMMYFUNCTION("""COMPUTED_VALUE"""),"Telephony")</f>
        <v>Telephony</v>
      </c>
      <c r="V1926" s="124" t="str">
        <f>IFERROR(__xludf.DUMMYFUNCTION("""COMPUTED_VALUE"""),"Inbound Call")</f>
        <v>Inbound Call</v>
      </c>
      <c r="W1926" s="124">
        <f>IFERROR(__xludf.DUMMYFUNCTION("""COMPUTED_VALUE"""),9.18047861663E11)</f>
        <v>918047861663</v>
      </c>
      <c r="X1926" s="124" t="str">
        <f>IFERROR(__xludf.DUMMYFUNCTION("""COMPUTED_VALUE"""),"Inbound Call")</f>
        <v>Inbound Call</v>
      </c>
      <c r="Y1926" s="124"/>
      <c r="Z1926" s="124">
        <f>IFERROR(__xludf.DUMMYFUNCTION("""COMPUTED_VALUE"""),5.0)</f>
        <v>5</v>
      </c>
      <c r="AA1926" s="124" t="str">
        <f>IFERROR(__xludf.DUMMYFUNCTION("""COMPUTED_VALUE"""),"Cold")</f>
        <v>Cold</v>
      </c>
      <c r="AB1926" s="124"/>
    </row>
    <row r="1927">
      <c r="A1927" s="129">
        <f>IFERROR(__xludf.DUMMYFUNCTION("""COMPUTED_VALUE"""),46057.0)</f>
        <v>46057</v>
      </c>
      <c r="B1927" s="124" t="str">
        <f>IFERROR(__xludf.DUMMYFUNCTION("""COMPUTED_VALUE"""),"Walkin")</f>
        <v>Walkin</v>
      </c>
      <c r="C1927" s="124" t="str">
        <f>IFERROR(__xludf.DUMMYFUNCTION("""COMPUTED_VALUE"""),"Prayagraj")</f>
        <v>Prayagraj</v>
      </c>
      <c r="D1927" s="124" t="str">
        <f>IFERROR(__xludf.DUMMYFUNCTION("""COMPUTED_VALUE"""),"Primary_Walkin")</f>
        <v>Primary_Walkin</v>
      </c>
      <c r="E1927" s="124">
        <f>IFERROR(__xludf.DUMMYFUNCTION("""COMPUTED_VALUE"""),1.0)</f>
        <v>1</v>
      </c>
      <c r="F1927" s="124" t="str">
        <f>IFERROR(__xludf.DUMMYFUNCTION("""COMPUTED_VALUE"""),"Future Prospects")</f>
        <v>Future Prospects</v>
      </c>
      <c r="G1927" s="124" t="str">
        <f>IFERROR(__xludf.DUMMYFUNCTION("""COMPUTED_VALUE"""),"GS Foundation")</f>
        <v>GS Foundation</v>
      </c>
      <c r="K1927" s="124"/>
      <c r="L1927" s="124"/>
      <c r="M1927" s="124"/>
      <c r="N1927" s="124"/>
      <c r="O1927" s="124"/>
      <c r="T1927" s="126">
        <f>IFERROR(__xludf.DUMMYFUNCTION("""COMPUTED_VALUE"""),46053.0)</f>
        <v>46053</v>
      </c>
      <c r="U1927" s="124" t="str">
        <f>IFERROR(__xludf.DUMMYFUNCTION("""COMPUTED_VALUE"""),"Telephony")</f>
        <v>Telephony</v>
      </c>
      <c r="V1927" s="124" t="str">
        <f>IFERROR(__xludf.DUMMYFUNCTION("""COMPUTED_VALUE"""),"Inbound Call")</f>
        <v>Inbound Call</v>
      </c>
      <c r="W1927" s="124" t="str">
        <f>IFERROR(__xludf.DUMMYFUNCTION("""COMPUTED_VALUE"""),"Inbound Call")</f>
        <v>Inbound Call</v>
      </c>
      <c r="X1927" s="124" t="str">
        <f>IFERROR(__xludf.DUMMYFUNCTION("""COMPUTED_VALUE"""),"Inbound Call")</f>
        <v>Inbound Call</v>
      </c>
      <c r="Y1927" s="124"/>
      <c r="Z1927" s="124">
        <f>IFERROR(__xludf.DUMMYFUNCTION("""COMPUTED_VALUE"""),1.0)</f>
        <v>1</v>
      </c>
      <c r="AA1927" s="124" t="str">
        <f>IFERROR(__xludf.DUMMYFUNCTION("""COMPUTED_VALUE"""),"Cold")</f>
        <v>Cold</v>
      </c>
      <c r="AB1927" s="124"/>
    </row>
    <row r="1928">
      <c r="A1928" s="126">
        <f>IFERROR(__xludf.DUMMYFUNCTION("""COMPUTED_VALUE"""),46100.0)</f>
        <v>46100</v>
      </c>
      <c r="B1928" s="124" t="str">
        <f>IFERROR(__xludf.DUMMYFUNCTION("""COMPUTED_VALUE"""),"Facebook")</f>
        <v>Facebook</v>
      </c>
      <c r="C1928" s="124" t="str">
        <f>IFERROR(__xludf.DUMMYFUNCTION("""COMPUTED_VALUE"""),"Prayagraj")</f>
        <v>Prayagraj</v>
      </c>
      <c r="D1928" s="124" t="str">
        <f>IFERROR(__xludf.DUMMYFUNCTION("""COMPUTED_VALUE"""),"Secondary_Walkin")</f>
        <v>Secondary_Walkin</v>
      </c>
      <c r="E1928" s="124">
        <f>IFERROR(__xludf.DUMMYFUNCTION("""COMPUTED_VALUE"""),1.0)</f>
        <v>1</v>
      </c>
      <c r="F1928" s="124" t="str">
        <f>IFERROR(__xludf.DUMMYFUNCTION("""COMPUTED_VALUE"""),"Cold")</f>
        <v>Cold</v>
      </c>
      <c r="G1928" s="124" t="str">
        <f>IFERROR(__xludf.DUMMYFUNCTION("""COMPUTED_VALUE"""),"GS Foundation")</f>
        <v>GS Foundation</v>
      </c>
      <c r="K1928" s="124"/>
      <c r="L1928" s="124"/>
      <c r="M1928" s="124"/>
      <c r="N1928" s="124"/>
      <c r="O1928" s="124"/>
      <c r="T1928" s="126">
        <f>IFERROR(__xludf.DUMMYFUNCTION("""COMPUTED_VALUE"""),46083.0)</f>
        <v>46083</v>
      </c>
      <c r="U1928" s="124" t="str">
        <f>IFERROR(__xludf.DUMMYFUNCTION("""COMPUTED_VALUE"""),"Telephony")</f>
        <v>Telephony</v>
      </c>
      <c r="V1928" s="124" t="str">
        <f>IFERROR(__xludf.DUMMYFUNCTION("""COMPUTED_VALUE"""),"Inbound Call")</f>
        <v>Inbound Call</v>
      </c>
      <c r="W1928" s="124">
        <f>IFERROR(__xludf.DUMMYFUNCTION("""COMPUTED_VALUE"""),9.18047861631E11)</f>
        <v>918047861631</v>
      </c>
      <c r="X1928" s="124" t="str">
        <f>IFERROR(__xludf.DUMMYFUNCTION("""COMPUTED_VALUE"""),"Inbound Call")</f>
        <v>Inbound Call</v>
      </c>
      <c r="Y1928" s="124"/>
      <c r="Z1928" s="124">
        <f>IFERROR(__xludf.DUMMYFUNCTION("""COMPUTED_VALUE"""),3.0)</f>
        <v>3</v>
      </c>
      <c r="AA1928" s="124" t="str">
        <f>IFERROR(__xludf.DUMMYFUNCTION("""COMPUTED_VALUE"""),"Fake Lead")</f>
        <v>Fake Lead</v>
      </c>
      <c r="AB1928" s="124"/>
    </row>
    <row r="1929">
      <c r="A1929" s="126">
        <f>IFERROR(__xludf.DUMMYFUNCTION("""COMPUTED_VALUE"""),46074.0)</f>
        <v>46074</v>
      </c>
      <c r="B1929" s="124" t="str">
        <f>IFERROR(__xludf.DUMMYFUNCTION("""COMPUTED_VALUE"""),"Walkin")</f>
        <v>Walkin</v>
      </c>
      <c r="C1929" s="124" t="str">
        <f>IFERROR(__xludf.DUMMYFUNCTION("""COMPUTED_VALUE"""),"Prayagraj")</f>
        <v>Prayagraj</v>
      </c>
      <c r="D1929" s="124" t="str">
        <f>IFERROR(__xludf.DUMMYFUNCTION("""COMPUTED_VALUE"""),"Primary_Walkin")</f>
        <v>Primary_Walkin</v>
      </c>
      <c r="E1929" s="124">
        <f>IFERROR(__xludf.DUMMYFUNCTION("""COMPUTED_VALUE"""),1.0)</f>
        <v>1</v>
      </c>
      <c r="F1929" s="124" t="str">
        <f>IFERROR(__xludf.DUMMYFUNCTION("""COMPUTED_VALUE"""),"Future Prospects")</f>
        <v>Future Prospects</v>
      </c>
      <c r="G1929" s="124" t="str">
        <f>IFERROR(__xludf.DUMMYFUNCTION("""COMPUTED_VALUE"""),"GS Foundation")</f>
        <v>GS Foundation</v>
      </c>
      <c r="K1929" s="124"/>
      <c r="L1929" s="124"/>
      <c r="M1929" s="124"/>
      <c r="N1929" s="124"/>
      <c r="O1929" s="124"/>
      <c r="T1929" s="126">
        <f>IFERROR(__xludf.DUMMYFUNCTION("""COMPUTED_VALUE"""),46078.0)</f>
        <v>46078</v>
      </c>
      <c r="U1929" s="124" t="str">
        <f>IFERROR(__xludf.DUMMYFUNCTION("""COMPUTED_VALUE"""),"Telephony")</f>
        <v>Telephony</v>
      </c>
      <c r="V1929" s="124" t="str">
        <f>IFERROR(__xludf.DUMMYFUNCTION("""COMPUTED_VALUE"""),"Inbound Call")</f>
        <v>Inbound Call</v>
      </c>
      <c r="W1929" s="124">
        <f>IFERROR(__xludf.DUMMYFUNCTION("""COMPUTED_VALUE"""),9.18047861663E11)</f>
        <v>918047861663</v>
      </c>
      <c r="X1929" s="124" t="str">
        <f>IFERROR(__xludf.DUMMYFUNCTION("""COMPUTED_VALUE"""),"Inbound Call")</f>
        <v>Inbound Call</v>
      </c>
      <c r="Y1929" s="124"/>
      <c r="Z1929" s="124">
        <f>IFERROR(__xludf.DUMMYFUNCTION("""COMPUTED_VALUE"""),1.0)</f>
        <v>1</v>
      </c>
      <c r="AA1929" s="124" t="str">
        <f>IFERROR(__xludf.DUMMYFUNCTION("""COMPUTED_VALUE"""),"Not Interested")</f>
        <v>Not Interested</v>
      </c>
      <c r="AB1929" s="124"/>
    </row>
    <row r="1930">
      <c r="A1930" s="126">
        <f>IFERROR(__xludf.DUMMYFUNCTION("""COMPUTED_VALUE"""),46068.0)</f>
        <v>46068</v>
      </c>
      <c r="B1930" s="124" t="str">
        <f>IFERROR(__xludf.DUMMYFUNCTION("""COMPUTED_VALUE"""),"Walkin")</f>
        <v>Walkin</v>
      </c>
      <c r="C1930" s="124" t="str">
        <f>IFERROR(__xludf.DUMMYFUNCTION("""COMPUTED_VALUE"""),"Prayagraj")</f>
        <v>Prayagraj</v>
      </c>
      <c r="D1930" s="124" t="str">
        <f>IFERROR(__xludf.DUMMYFUNCTION("""COMPUTED_VALUE"""),"Primary_Walkin")</f>
        <v>Primary_Walkin</v>
      </c>
      <c r="E1930" s="124">
        <f>IFERROR(__xludf.DUMMYFUNCTION("""COMPUTED_VALUE"""),1.0)</f>
        <v>1</v>
      </c>
      <c r="F1930" s="124" t="str">
        <f>IFERROR(__xludf.DUMMYFUNCTION("""COMPUTED_VALUE"""),"Cold")</f>
        <v>Cold</v>
      </c>
      <c r="G1930" s="124" t="str">
        <f>IFERROR(__xludf.DUMMYFUNCTION("""COMPUTED_VALUE"""),"Mentorship")</f>
        <v>Mentorship</v>
      </c>
      <c r="K1930" s="124"/>
      <c r="L1930" s="124"/>
      <c r="M1930" s="124"/>
      <c r="N1930" s="124"/>
      <c r="O1930" s="124"/>
      <c r="T1930" s="129">
        <f>IFERROR(__xludf.DUMMYFUNCTION("""COMPUTED_VALUE"""),46077.0)</f>
        <v>46077</v>
      </c>
      <c r="U1930" s="124" t="str">
        <f>IFERROR(__xludf.DUMMYFUNCTION("""COMPUTED_VALUE"""),"Telephony")</f>
        <v>Telephony</v>
      </c>
      <c r="V1930" s="124" t="str">
        <f>IFERROR(__xludf.DUMMYFUNCTION("""COMPUTED_VALUE"""),"Inbound Call")</f>
        <v>Inbound Call</v>
      </c>
      <c r="W1930" s="124">
        <f>IFERROR(__xludf.DUMMYFUNCTION("""COMPUTED_VALUE"""),9.18047861663E11)</f>
        <v>918047861663</v>
      </c>
      <c r="X1930" s="124" t="str">
        <f>IFERROR(__xludf.DUMMYFUNCTION("""COMPUTED_VALUE"""),"Inbound Call")</f>
        <v>Inbound Call</v>
      </c>
      <c r="Y1930" s="124"/>
      <c r="Z1930" s="124">
        <f>IFERROR(__xludf.DUMMYFUNCTION("""COMPUTED_VALUE"""),4.0)</f>
        <v>4</v>
      </c>
      <c r="AA1930" s="124" t="str">
        <f>IFERROR(__xludf.DUMMYFUNCTION("""COMPUTED_VALUE"""),"Cold")</f>
        <v>Cold</v>
      </c>
      <c r="AB1930" s="124"/>
    </row>
    <row r="1931">
      <c r="A1931" s="126">
        <f>IFERROR(__xludf.DUMMYFUNCTION("""COMPUTED_VALUE"""),46081.0)</f>
        <v>46081</v>
      </c>
      <c r="B1931" s="124" t="str">
        <f>IFERROR(__xludf.DUMMYFUNCTION("""COMPUTED_VALUE"""),"Walkin")</f>
        <v>Walkin</v>
      </c>
      <c r="C1931" s="124" t="str">
        <f>IFERROR(__xludf.DUMMYFUNCTION("""COMPUTED_VALUE"""),"Delhi")</f>
        <v>Delhi</v>
      </c>
      <c r="D1931" s="124" t="str">
        <f>IFERROR(__xludf.DUMMYFUNCTION("""COMPUTED_VALUE"""),"Primary_Walkin")</f>
        <v>Primary_Walkin</v>
      </c>
      <c r="E1931" s="124">
        <f>IFERROR(__xludf.DUMMYFUNCTION("""COMPUTED_VALUE"""),1.0)</f>
        <v>1</v>
      </c>
      <c r="F1931" s="124" t="str">
        <f>IFERROR(__xludf.DUMMYFUNCTION("""COMPUTED_VALUE"""),"Not Interested")</f>
        <v>Not Interested</v>
      </c>
      <c r="G1931" s="124" t="str">
        <f>IFERROR(__xludf.DUMMYFUNCTION("""COMPUTED_VALUE"""),"Optionals")</f>
        <v>Optionals</v>
      </c>
      <c r="K1931" s="124"/>
      <c r="L1931" s="124"/>
      <c r="M1931" s="124"/>
      <c r="N1931" s="124"/>
      <c r="O1931" s="124"/>
      <c r="T1931" s="126">
        <f>IFERROR(__xludf.DUMMYFUNCTION("""COMPUTED_VALUE"""),46097.0)</f>
        <v>46097</v>
      </c>
      <c r="U1931" s="124" t="str">
        <f>IFERROR(__xludf.DUMMYFUNCTION("""COMPUTED_VALUE"""),"Telephony")</f>
        <v>Telephony</v>
      </c>
      <c r="V1931" s="124" t="str">
        <f>IFERROR(__xludf.DUMMYFUNCTION("""COMPUTED_VALUE"""),"Inbound Call")</f>
        <v>Inbound Call</v>
      </c>
      <c r="W1931" s="124">
        <f>IFERROR(__xludf.DUMMYFUNCTION("""COMPUTED_VALUE"""),9.18047861632E11)</f>
        <v>918047861632</v>
      </c>
      <c r="X1931" s="124" t="str">
        <f>IFERROR(__xludf.DUMMYFUNCTION("""COMPUTED_VALUE"""),"Inbound Call")</f>
        <v>Inbound Call</v>
      </c>
      <c r="Y1931" s="124" t="str">
        <f>IFERROR(__xludf.DUMMYFUNCTION("""COMPUTED_VALUE"""),"Prayagraj")</f>
        <v>Prayagraj</v>
      </c>
      <c r="Z1931" s="124">
        <f>IFERROR(__xludf.DUMMYFUNCTION("""COMPUTED_VALUE"""),1.0)</f>
        <v>1</v>
      </c>
      <c r="AA1931" s="124" t="str">
        <f>IFERROR(__xludf.DUMMYFUNCTION("""COMPUTED_VALUE"""),"Cold")</f>
        <v>Cold</v>
      </c>
      <c r="AB1931" s="124" t="str">
        <f>IFERROR(__xludf.DUMMYFUNCTION("""COMPUTED_VALUE"""),"GS Foundation")</f>
        <v>GS Foundation</v>
      </c>
    </row>
    <row r="1932">
      <c r="A1932" s="126">
        <f>IFERROR(__xludf.DUMMYFUNCTION("""COMPUTED_VALUE"""),46109.0)</f>
        <v>46109</v>
      </c>
      <c r="B1932" s="124" t="str">
        <f>IFERROR(__xludf.DUMMYFUNCTION("""COMPUTED_VALUE"""),"Walkin")</f>
        <v>Walkin</v>
      </c>
      <c r="C1932" s="124" t="str">
        <f>IFERROR(__xludf.DUMMYFUNCTION("""COMPUTED_VALUE"""),"Delhi")</f>
        <v>Delhi</v>
      </c>
      <c r="D1932" s="124" t="str">
        <f>IFERROR(__xludf.DUMMYFUNCTION("""COMPUTED_VALUE"""),"Primary_Walkin")</f>
        <v>Primary_Walkin</v>
      </c>
      <c r="E1932" s="124">
        <f>IFERROR(__xludf.DUMMYFUNCTION("""COMPUTED_VALUE"""),1.0)</f>
        <v>1</v>
      </c>
      <c r="F1932" s="124" t="str">
        <f>IFERROR(__xludf.DUMMYFUNCTION("""COMPUTED_VALUE"""),"Interested")</f>
        <v>Interested</v>
      </c>
      <c r="G1932" s="124" t="str">
        <f>IFERROR(__xludf.DUMMYFUNCTION("""COMPUTED_VALUE"""),"GS Foundation")</f>
        <v>GS Foundation</v>
      </c>
      <c r="K1932" s="124"/>
      <c r="L1932" s="124"/>
      <c r="M1932" s="124"/>
      <c r="N1932" s="124"/>
      <c r="O1932" s="124"/>
      <c r="T1932" s="129">
        <f>IFERROR(__xludf.DUMMYFUNCTION("""COMPUTED_VALUE"""),46080.0)</f>
        <v>46080</v>
      </c>
      <c r="U1932" s="124" t="str">
        <f>IFERROR(__xludf.DUMMYFUNCTION("""COMPUTED_VALUE"""),"Telephony")</f>
        <v>Telephony</v>
      </c>
      <c r="V1932" s="124" t="str">
        <f>IFERROR(__xludf.DUMMYFUNCTION("""COMPUTED_VALUE"""),"Inbound Call")</f>
        <v>Inbound Call</v>
      </c>
      <c r="W1932" s="124">
        <f>IFERROR(__xludf.DUMMYFUNCTION("""COMPUTED_VALUE"""),9.18047861663E11)</f>
        <v>918047861663</v>
      </c>
      <c r="X1932" s="124" t="str">
        <f>IFERROR(__xludf.DUMMYFUNCTION("""COMPUTED_VALUE"""),"Inbound Call")</f>
        <v>Inbound Call</v>
      </c>
      <c r="Y1932" s="124" t="str">
        <f>IFERROR(__xludf.DUMMYFUNCTION("""COMPUTED_VALUE"""),"Delhi")</f>
        <v>Delhi</v>
      </c>
      <c r="Z1932" s="124">
        <f>IFERROR(__xludf.DUMMYFUNCTION("""COMPUTED_VALUE"""),1.0)</f>
        <v>1</v>
      </c>
      <c r="AA1932" s="124" t="str">
        <f>IFERROR(__xludf.DUMMYFUNCTION("""COMPUTED_VALUE"""),"Not Interested")</f>
        <v>Not Interested</v>
      </c>
      <c r="AB1932" s="124" t="str">
        <f>IFERROR(__xludf.DUMMYFUNCTION("""COMPUTED_VALUE"""),"GS Foundation")</f>
        <v>GS Foundation</v>
      </c>
    </row>
    <row r="1933">
      <c r="A1933" s="126">
        <f>IFERROR(__xludf.DUMMYFUNCTION("""COMPUTED_VALUE"""),46046.0)</f>
        <v>46046</v>
      </c>
      <c r="B1933" s="124" t="str">
        <f>IFERROR(__xludf.DUMMYFUNCTION("""COMPUTED_VALUE"""),"Walkin")</f>
        <v>Walkin</v>
      </c>
      <c r="C1933" s="124" t="str">
        <f>IFERROR(__xludf.DUMMYFUNCTION("""COMPUTED_VALUE"""),"Delhi")</f>
        <v>Delhi</v>
      </c>
      <c r="D1933" s="124" t="str">
        <f>IFERROR(__xludf.DUMMYFUNCTION("""COMPUTED_VALUE"""),"Primary_Walkin")</f>
        <v>Primary_Walkin</v>
      </c>
      <c r="E1933" s="124">
        <f>IFERROR(__xludf.DUMMYFUNCTION("""COMPUTED_VALUE"""),1.0)</f>
        <v>1</v>
      </c>
      <c r="F1933" s="124" t="str">
        <f>IFERROR(__xludf.DUMMYFUNCTION("""COMPUTED_VALUE"""),"Not Interested")</f>
        <v>Not Interested</v>
      </c>
      <c r="G1933" s="124" t="str">
        <f>IFERROR(__xludf.DUMMYFUNCTION("""COMPUTED_VALUE"""),"SIP Offline")</f>
        <v>SIP Offline</v>
      </c>
      <c r="K1933" s="124"/>
      <c r="L1933" s="124"/>
      <c r="M1933" s="124"/>
      <c r="N1933" s="124"/>
      <c r="O1933" s="124"/>
      <c r="T1933" s="126">
        <f>IFERROR(__xludf.DUMMYFUNCTION("""COMPUTED_VALUE"""),46056.0)</f>
        <v>46056</v>
      </c>
      <c r="U1933" s="124" t="str">
        <f>IFERROR(__xludf.DUMMYFUNCTION("""COMPUTED_VALUE"""),"Telephony")</f>
        <v>Telephony</v>
      </c>
      <c r="V1933" s="124" t="str">
        <f>IFERROR(__xludf.DUMMYFUNCTION("""COMPUTED_VALUE"""),"Inbound Call")</f>
        <v>Inbound Call</v>
      </c>
      <c r="W1933" s="124">
        <f>IFERROR(__xludf.DUMMYFUNCTION("""COMPUTED_VALUE"""),9.18047861633E11)</f>
        <v>918047861633</v>
      </c>
      <c r="X1933" s="124" t="str">
        <f>IFERROR(__xludf.DUMMYFUNCTION("""COMPUTED_VALUE"""),"Inbound Call")</f>
        <v>Inbound Call</v>
      </c>
      <c r="Y1933" s="124"/>
      <c r="Z1933" s="124">
        <f>IFERROR(__xludf.DUMMYFUNCTION("""COMPUTED_VALUE"""),1.0)</f>
        <v>1</v>
      </c>
      <c r="AA1933" s="124" t="str">
        <f>IFERROR(__xludf.DUMMYFUNCTION("""COMPUTED_VALUE"""),"Cold")</f>
        <v>Cold</v>
      </c>
      <c r="AB1933" s="124"/>
    </row>
    <row r="1934">
      <c r="A1934" s="126">
        <f>IFERROR(__xludf.DUMMYFUNCTION("""COMPUTED_VALUE"""),46080.0)</f>
        <v>46080</v>
      </c>
      <c r="B1934" s="124" t="str">
        <f>IFERROR(__xludf.DUMMYFUNCTION("""COMPUTED_VALUE"""),"external leads")</f>
        <v>external leads</v>
      </c>
      <c r="C1934" s="124" t="str">
        <f>IFERROR(__xludf.DUMMYFUNCTION("""COMPUTED_VALUE"""),"Delhi")</f>
        <v>Delhi</v>
      </c>
      <c r="D1934" s="124" t="str">
        <f>IFERROR(__xludf.DUMMYFUNCTION("""COMPUTED_VALUE"""),"Secondary_Walkin")</f>
        <v>Secondary_Walkin</v>
      </c>
      <c r="E1934" s="124">
        <f>IFERROR(__xludf.DUMMYFUNCTION("""COMPUTED_VALUE"""),1.0)</f>
        <v>1</v>
      </c>
      <c r="F1934" s="124" t="str">
        <f>IFERROR(__xludf.DUMMYFUNCTION("""COMPUTED_VALUE"""),"Not Interested")</f>
        <v>Not Interested</v>
      </c>
      <c r="G1934" s="124" t="str">
        <f>IFERROR(__xludf.DUMMYFUNCTION("""COMPUTED_VALUE"""),"GS Foundation")</f>
        <v>GS Foundation</v>
      </c>
      <c r="K1934" s="124"/>
      <c r="L1934" s="124"/>
      <c r="M1934" s="124"/>
      <c r="N1934" s="124"/>
      <c r="O1934" s="124"/>
      <c r="T1934" s="129">
        <f>IFERROR(__xludf.DUMMYFUNCTION("""COMPUTED_VALUE"""),46111.0)</f>
        <v>46111</v>
      </c>
      <c r="U1934" s="124" t="str">
        <f>IFERROR(__xludf.DUMMYFUNCTION("""COMPUTED_VALUE"""),"Telephony")</f>
        <v>Telephony</v>
      </c>
      <c r="V1934" s="124" t="str">
        <f>IFERROR(__xludf.DUMMYFUNCTION("""COMPUTED_VALUE"""),"Inbound Call")</f>
        <v>Inbound Call</v>
      </c>
      <c r="W1934" s="124">
        <f>IFERROR(__xludf.DUMMYFUNCTION("""COMPUTED_VALUE"""),9.18047861635E11)</f>
        <v>918047861635</v>
      </c>
      <c r="X1934" s="124" t="str">
        <f>IFERROR(__xludf.DUMMYFUNCTION("""COMPUTED_VALUE"""),"Inbound Call")</f>
        <v>Inbound Call</v>
      </c>
      <c r="Y1934" s="124" t="str">
        <f>IFERROR(__xludf.DUMMYFUNCTION("""COMPUTED_VALUE"""),"Indore")</f>
        <v>Indore</v>
      </c>
      <c r="Z1934" s="124">
        <f>IFERROR(__xludf.DUMMYFUNCTION("""COMPUTED_VALUE"""),1.0)</f>
        <v>1</v>
      </c>
      <c r="AA1934" s="124" t="str">
        <f>IFERROR(__xludf.DUMMYFUNCTION("""COMPUTED_VALUE"""),"Cold")</f>
        <v>Cold</v>
      </c>
      <c r="AB1934" s="124"/>
    </row>
    <row r="1935">
      <c r="A1935" s="129">
        <f>IFERROR(__xludf.DUMMYFUNCTION("""COMPUTED_VALUE"""),46061.0)</f>
        <v>46061</v>
      </c>
      <c r="B1935" s="124" t="str">
        <f>IFERROR(__xludf.DUMMYFUNCTION("""COMPUTED_VALUE"""),"Walk-In")</f>
        <v>Walk-In</v>
      </c>
      <c r="C1935" s="124" t="str">
        <f>IFERROR(__xludf.DUMMYFUNCTION("""COMPUTED_VALUE"""),"Delhi")</f>
        <v>Delhi</v>
      </c>
      <c r="D1935" s="124" t="str">
        <f>IFERROR(__xludf.DUMMYFUNCTION("""COMPUTED_VALUE"""),"Primary_Walkin")</f>
        <v>Primary_Walkin</v>
      </c>
      <c r="E1935" s="124">
        <f>IFERROR(__xludf.DUMMYFUNCTION("""COMPUTED_VALUE"""),1.0)</f>
        <v>1</v>
      </c>
      <c r="F1935" s="124" t="str">
        <f>IFERROR(__xludf.DUMMYFUNCTION("""COMPUTED_VALUE"""),"Fake Lead")</f>
        <v>Fake Lead</v>
      </c>
      <c r="G1935" s="124" t="str">
        <f>IFERROR(__xludf.DUMMYFUNCTION("""COMPUTED_VALUE"""),"SIP Offline")</f>
        <v>SIP Offline</v>
      </c>
      <c r="K1935" s="124"/>
      <c r="L1935" s="124"/>
      <c r="M1935" s="124"/>
      <c r="N1935" s="124"/>
      <c r="O1935" s="124"/>
      <c r="T1935" s="129">
        <f>IFERROR(__xludf.DUMMYFUNCTION("""COMPUTED_VALUE"""),46073.0)</f>
        <v>46073</v>
      </c>
      <c r="U1935" s="124" t="str">
        <f>IFERROR(__xludf.DUMMYFUNCTION("""COMPUTED_VALUE"""),"Telephony")</f>
        <v>Telephony</v>
      </c>
      <c r="V1935" s="124" t="str">
        <f>IFERROR(__xludf.DUMMYFUNCTION("""COMPUTED_VALUE"""),"Inbound Call")</f>
        <v>Inbound Call</v>
      </c>
      <c r="W1935" s="124">
        <f>IFERROR(__xludf.DUMMYFUNCTION("""COMPUTED_VALUE"""),9.18047861635E11)</f>
        <v>918047861635</v>
      </c>
      <c r="X1935" s="124" t="str">
        <f>IFERROR(__xludf.DUMMYFUNCTION("""COMPUTED_VALUE"""),"Inbound Call")</f>
        <v>Inbound Call</v>
      </c>
      <c r="Y1935" s="124" t="str">
        <f>IFERROR(__xludf.DUMMYFUNCTION("""COMPUTED_VALUE"""),"Indore")</f>
        <v>Indore</v>
      </c>
      <c r="Z1935" s="124">
        <f>IFERROR(__xludf.DUMMYFUNCTION("""COMPUTED_VALUE"""),1.0)</f>
        <v>1</v>
      </c>
      <c r="AA1935" s="124" t="str">
        <f>IFERROR(__xludf.DUMMYFUNCTION("""COMPUTED_VALUE"""),"Cold")</f>
        <v>Cold</v>
      </c>
      <c r="AB1935" s="124" t="str">
        <f>IFERROR(__xludf.DUMMYFUNCTION("""COMPUTED_VALUE"""),"GS Foundation")</f>
        <v>GS Foundation</v>
      </c>
    </row>
    <row r="1936">
      <c r="A1936" s="126">
        <f>IFERROR(__xludf.DUMMYFUNCTION("""COMPUTED_VALUE"""),46071.0)</f>
        <v>46071</v>
      </c>
      <c r="B1936" s="124" t="str">
        <f>IFERROR(__xludf.DUMMYFUNCTION("""COMPUTED_VALUE"""),"Walkin")</f>
        <v>Walkin</v>
      </c>
      <c r="C1936" s="124" t="str">
        <f>IFERROR(__xludf.DUMMYFUNCTION("""COMPUTED_VALUE"""),"Delhi")</f>
        <v>Delhi</v>
      </c>
      <c r="D1936" s="124" t="str">
        <f>IFERROR(__xludf.DUMMYFUNCTION("""COMPUTED_VALUE"""),"Primary_Walkin")</f>
        <v>Primary_Walkin</v>
      </c>
      <c r="E1936" s="124">
        <f>IFERROR(__xludf.DUMMYFUNCTION("""COMPUTED_VALUE"""),1.0)</f>
        <v>1</v>
      </c>
      <c r="F1936" s="124" t="str">
        <f>IFERROR(__xludf.DUMMYFUNCTION("""COMPUTED_VALUE"""),"Cold")</f>
        <v>Cold</v>
      </c>
      <c r="G1936" s="124" t="str">
        <f>IFERROR(__xludf.DUMMYFUNCTION("""COMPUTED_VALUE"""),"GS Foundation")</f>
        <v>GS Foundation</v>
      </c>
      <c r="K1936" s="124"/>
      <c r="L1936" s="124"/>
      <c r="M1936" s="124"/>
      <c r="N1936" s="124"/>
      <c r="O1936" s="124"/>
      <c r="T1936" s="129">
        <f>IFERROR(__xludf.DUMMYFUNCTION("""COMPUTED_VALUE"""),46080.0)</f>
        <v>46080</v>
      </c>
      <c r="U1936" s="124" t="str">
        <f>IFERROR(__xludf.DUMMYFUNCTION("""COMPUTED_VALUE"""),"Telephony")</f>
        <v>Telephony</v>
      </c>
      <c r="V1936" s="124" t="str">
        <f>IFERROR(__xludf.DUMMYFUNCTION("""COMPUTED_VALUE"""),"Inbound Call")</f>
        <v>Inbound Call</v>
      </c>
      <c r="W1936" s="124" t="str">
        <f>IFERROR(__xludf.DUMMYFUNCTION("""COMPUTED_VALUE"""),"Inbound Call")</f>
        <v>Inbound Call</v>
      </c>
      <c r="X1936" s="124" t="str">
        <f>IFERROR(__xludf.DUMMYFUNCTION("""COMPUTED_VALUE"""),"Inbound Call")</f>
        <v>Inbound Call</v>
      </c>
      <c r="Y1936" s="124"/>
      <c r="Z1936" s="124">
        <f>IFERROR(__xludf.DUMMYFUNCTION("""COMPUTED_VALUE"""),1.0)</f>
        <v>1</v>
      </c>
      <c r="AA1936" s="124" t="str">
        <f>IFERROR(__xludf.DUMMYFUNCTION("""COMPUTED_VALUE"""),"Cold")</f>
        <v>Cold</v>
      </c>
      <c r="AB1936" s="124"/>
    </row>
    <row r="1937">
      <c r="A1937" s="126">
        <f>IFERROR(__xludf.DUMMYFUNCTION("""COMPUTED_VALUE"""),46106.0)</f>
        <v>46106</v>
      </c>
      <c r="B1937" s="124" t="str">
        <f>IFERROR(__xludf.DUMMYFUNCTION("""COMPUTED_VALUE"""),"Walkin")</f>
        <v>Walkin</v>
      </c>
      <c r="C1937" s="124" t="str">
        <f>IFERROR(__xludf.DUMMYFUNCTION("""COMPUTED_VALUE"""),"Delhi")</f>
        <v>Delhi</v>
      </c>
      <c r="D1937" s="124" t="str">
        <f>IFERROR(__xludf.DUMMYFUNCTION("""COMPUTED_VALUE"""),"Primary_Walkin")</f>
        <v>Primary_Walkin</v>
      </c>
      <c r="E1937" s="124">
        <f>IFERROR(__xludf.DUMMYFUNCTION("""COMPUTED_VALUE"""),1.0)</f>
        <v>1</v>
      </c>
      <c r="F1937" s="124" t="str">
        <f>IFERROR(__xludf.DUMMYFUNCTION("""COMPUTED_VALUE"""),"Not Interested")</f>
        <v>Not Interested</v>
      </c>
      <c r="G1937" s="124" t="str">
        <f>IFERROR(__xludf.DUMMYFUNCTION("""COMPUTED_VALUE"""),"Optionals")</f>
        <v>Optionals</v>
      </c>
      <c r="K1937" s="124"/>
      <c r="L1937" s="124"/>
      <c r="M1937" s="124"/>
      <c r="N1937" s="124"/>
      <c r="O1937" s="124"/>
      <c r="T1937" s="126">
        <f>IFERROR(__xludf.DUMMYFUNCTION("""COMPUTED_VALUE"""),46095.0)</f>
        <v>46095</v>
      </c>
      <c r="U1937" s="124" t="str">
        <f>IFERROR(__xludf.DUMMYFUNCTION("""COMPUTED_VALUE"""),"Telephony")</f>
        <v>Telephony</v>
      </c>
      <c r="V1937" s="124" t="str">
        <f>IFERROR(__xludf.DUMMYFUNCTION("""COMPUTED_VALUE"""),"Inbound Call")</f>
        <v>Inbound Call</v>
      </c>
      <c r="W1937" s="124">
        <f>IFERROR(__xludf.DUMMYFUNCTION("""COMPUTED_VALUE"""),9.18047861631E11)</f>
        <v>918047861631</v>
      </c>
      <c r="X1937" s="124" t="str">
        <f>IFERROR(__xludf.DUMMYFUNCTION("""COMPUTED_VALUE"""),"Inbound Call")</f>
        <v>Inbound Call</v>
      </c>
      <c r="Y1937" s="124" t="str">
        <f>IFERROR(__xludf.DUMMYFUNCTION("""COMPUTED_VALUE"""),"Delhi")</f>
        <v>Delhi</v>
      </c>
      <c r="Z1937" s="124">
        <f>IFERROR(__xludf.DUMMYFUNCTION("""COMPUTED_VALUE"""),1.0)</f>
        <v>1</v>
      </c>
      <c r="AA1937" s="124" t="str">
        <f>IFERROR(__xludf.DUMMYFUNCTION("""COMPUTED_VALUE"""),"Cold")</f>
        <v>Cold</v>
      </c>
      <c r="AB1937" s="124"/>
    </row>
    <row r="1938">
      <c r="A1938" s="126">
        <f>IFERROR(__xludf.DUMMYFUNCTION("""COMPUTED_VALUE"""),46053.0)</f>
        <v>46053</v>
      </c>
      <c r="B1938" s="124" t="str">
        <f>IFERROR(__xludf.DUMMYFUNCTION("""COMPUTED_VALUE"""),"Walkin")</f>
        <v>Walkin</v>
      </c>
      <c r="C1938" s="124" t="str">
        <f>IFERROR(__xludf.DUMMYFUNCTION("""COMPUTED_VALUE"""),"Delhi")</f>
        <v>Delhi</v>
      </c>
      <c r="D1938" s="124" t="str">
        <f>IFERROR(__xludf.DUMMYFUNCTION("""COMPUTED_VALUE"""),"Primary_Walkin")</f>
        <v>Primary_Walkin</v>
      </c>
      <c r="E1938" s="124">
        <f>IFERROR(__xludf.DUMMYFUNCTION("""COMPUTED_VALUE"""),1.0)</f>
        <v>1</v>
      </c>
      <c r="F1938" s="124" t="str">
        <f>IFERROR(__xludf.DUMMYFUNCTION("""COMPUTED_VALUE"""),"Not Interested")</f>
        <v>Not Interested</v>
      </c>
      <c r="G1938" s="124" t="str">
        <f>IFERROR(__xludf.DUMMYFUNCTION("""COMPUTED_VALUE"""),"Mentorship")</f>
        <v>Mentorship</v>
      </c>
      <c r="K1938" s="124"/>
      <c r="L1938" s="124"/>
      <c r="M1938" s="124"/>
      <c r="N1938" s="124"/>
      <c r="O1938" s="124"/>
      <c r="T1938" s="126">
        <f>IFERROR(__xludf.DUMMYFUNCTION("""COMPUTED_VALUE"""),46045.0)</f>
        <v>46045</v>
      </c>
      <c r="U1938" s="124" t="str">
        <f>IFERROR(__xludf.DUMMYFUNCTION("""COMPUTED_VALUE"""),"Telephony")</f>
        <v>Telephony</v>
      </c>
      <c r="V1938" s="124" t="str">
        <f>IFERROR(__xludf.DUMMYFUNCTION("""COMPUTED_VALUE"""),"Inbound Call")</f>
        <v>Inbound Call</v>
      </c>
      <c r="W1938" s="124">
        <f>IFERROR(__xludf.DUMMYFUNCTION("""COMPUTED_VALUE"""),9.18047861663E11)</f>
        <v>918047861663</v>
      </c>
      <c r="X1938" s="124" t="str">
        <f>IFERROR(__xludf.DUMMYFUNCTION("""COMPUTED_VALUE"""),"Inbound Call")</f>
        <v>Inbound Call</v>
      </c>
      <c r="Y1938" s="124"/>
      <c r="Z1938" s="124">
        <f>IFERROR(__xludf.DUMMYFUNCTION("""COMPUTED_VALUE"""),4.0)</f>
        <v>4</v>
      </c>
      <c r="AA1938" s="124" t="str">
        <f>IFERROR(__xludf.DUMMYFUNCTION("""COMPUTED_VALUE"""),"Cold")</f>
        <v>Cold</v>
      </c>
      <c r="AB1938" s="124"/>
    </row>
    <row r="1939">
      <c r="A1939" s="126">
        <f>IFERROR(__xludf.DUMMYFUNCTION("""COMPUTED_VALUE"""),46100.0)</f>
        <v>46100</v>
      </c>
      <c r="B1939" s="124" t="str">
        <f>IFERROR(__xludf.DUMMYFUNCTION("""COMPUTED_VALUE"""),"Walkin")</f>
        <v>Walkin</v>
      </c>
      <c r="C1939" s="124" t="str">
        <f>IFERROR(__xludf.DUMMYFUNCTION("""COMPUTED_VALUE"""),"Delhi")</f>
        <v>Delhi</v>
      </c>
      <c r="D1939" s="124" t="str">
        <f>IFERROR(__xludf.DUMMYFUNCTION("""COMPUTED_VALUE"""),"Primary_Walkin")</f>
        <v>Primary_Walkin</v>
      </c>
      <c r="E1939" s="124">
        <f>IFERROR(__xludf.DUMMYFUNCTION("""COMPUTED_VALUE"""),3.0)</f>
        <v>3</v>
      </c>
      <c r="F1939" s="124" t="str">
        <f>IFERROR(__xludf.DUMMYFUNCTION("""COMPUTED_VALUE"""),"Not Interested")</f>
        <v>Not Interested</v>
      </c>
      <c r="G1939" s="124" t="str">
        <f>IFERROR(__xludf.DUMMYFUNCTION("""COMPUTED_VALUE"""),"GS Foundation")</f>
        <v>GS Foundation</v>
      </c>
      <c r="K1939" s="124"/>
      <c r="L1939" s="124"/>
      <c r="M1939" s="124"/>
      <c r="N1939" s="124"/>
      <c r="O1939" s="124"/>
      <c r="T1939" s="126">
        <f>IFERROR(__xludf.DUMMYFUNCTION("""COMPUTED_VALUE"""),46070.0)</f>
        <v>46070</v>
      </c>
      <c r="U1939" s="124" t="str">
        <f>IFERROR(__xludf.DUMMYFUNCTION("""COMPUTED_VALUE"""),"Telephony")</f>
        <v>Telephony</v>
      </c>
      <c r="V1939" s="124" t="str">
        <f>IFERROR(__xludf.DUMMYFUNCTION("""COMPUTED_VALUE"""),"Inbound Call")</f>
        <v>Inbound Call</v>
      </c>
      <c r="W1939" s="124">
        <f>IFERROR(__xludf.DUMMYFUNCTION("""COMPUTED_VALUE"""),9.18047861632E11)</f>
        <v>918047861632</v>
      </c>
      <c r="X1939" s="124" t="str">
        <f>IFERROR(__xludf.DUMMYFUNCTION("""COMPUTED_VALUE"""),"Inbound Call")</f>
        <v>Inbound Call</v>
      </c>
      <c r="Y1939" s="124"/>
      <c r="Z1939" s="124">
        <f>IFERROR(__xludf.DUMMYFUNCTION("""COMPUTED_VALUE"""),2.0)</f>
        <v>2</v>
      </c>
      <c r="AA1939" s="124" t="str">
        <f>IFERROR(__xludf.DUMMYFUNCTION("""COMPUTED_VALUE"""),"Cold")</f>
        <v>Cold</v>
      </c>
      <c r="AB1939" s="124"/>
    </row>
    <row r="1940">
      <c r="A1940" s="129">
        <f>IFERROR(__xludf.DUMMYFUNCTION("""COMPUTED_VALUE"""),46054.0)</f>
        <v>46054</v>
      </c>
      <c r="B1940" s="124" t="str">
        <f>IFERROR(__xludf.DUMMYFUNCTION("""COMPUTED_VALUE"""),"Walkin")</f>
        <v>Walkin</v>
      </c>
      <c r="C1940" s="124" t="str">
        <f>IFERROR(__xludf.DUMMYFUNCTION("""COMPUTED_VALUE"""),"Delhi")</f>
        <v>Delhi</v>
      </c>
      <c r="D1940" s="124" t="str">
        <f>IFERROR(__xludf.DUMMYFUNCTION("""COMPUTED_VALUE"""),"Primary_Walkin")</f>
        <v>Primary_Walkin</v>
      </c>
      <c r="E1940" s="124">
        <f>IFERROR(__xludf.DUMMYFUNCTION("""COMPUTED_VALUE"""),1.0)</f>
        <v>1</v>
      </c>
      <c r="F1940" s="124" t="str">
        <f>IFERROR(__xludf.DUMMYFUNCTION("""COMPUTED_VALUE"""),"Enrolled")</f>
        <v>Enrolled</v>
      </c>
      <c r="G1940" s="124" t="str">
        <f>IFERROR(__xludf.DUMMYFUNCTION("""COMPUTED_VALUE"""),"GS Foundation")</f>
        <v>GS Foundation</v>
      </c>
      <c r="K1940" s="124"/>
      <c r="L1940" s="124"/>
      <c r="M1940" s="124"/>
      <c r="N1940" s="124"/>
      <c r="O1940" s="124"/>
      <c r="T1940" s="129">
        <f>IFERROR(__xludf.DUMMYFUNCTION("""COMPUTED_VALUE"""),46082.0)</f>
        <v>46082</v>
      </c>
      <c r="U1940" s="124" t="str">
        <f>IFERROR(__xludf.DUMMYFUNCTION("""COMPUTED_VALUE"""),"Telephony")</f>
        <v>Telephony</v>
      </c>
      <c r="V1940" s="124" t="str">
        <f>IFERROR(__xludf.DUMMYFUNCTION("""COMPUTED_VALUE"""),"Inbound Call")</f>
        <v>Inbound Call</v>
      </c>
      <c r="W1940" s="124">
        <f>IFERROR(__xludf.DUMMYFUNCTION("""COMPUTED_VALUE"""),9.18047861631E11)</f>
        <v>918047861631</v>
      </c>
      <c r="X1940" s="124" t="str">
        <f>IFERROR(__xludf.DUMMYFUNCTION("""COMPUTED_VALUE"""),"Inbound Call")</f>
        <v>Inbound Call</v>
      </c>
      <c r="Y1940" s="124"/>
      <c r="Z1940" s="124">
        <f>IFERROR(__xludf.DUMMYFUNCTION("""COMPUTED_VALUE"""),1.0)</f>
        <v>1</v>
      </c>
      <c r="AA1940" s="124" t="str">
        <f>IFERROR(__xludf.DUMMYFUNCTION("""COMPUTED_VALUE"""),"Cold")</f>
        <v>Cold</v>
      </c>
      <c r="AB1940" s="124"/>
    </row>
    <row r="1941">
      <c r="A1941" s="129">
        <f>IFERROR(__xludf.DUMMYFUNCTION("""COMPUTED_VALUE"""),46055.0)</f>
        <v>46055</v>
      </c>
      <c r="B1941" s="124" t="str">
        <f>IFERROR(__xludf.DUMMYFUNCTION("""COMPUTED_VALUE"""),"Walk-In")</f>
        <v>Walk-In</v>
      </c>
      <c r="C1941" s="124" t="str">
        <f>IFERROR(__xludf.DUMMYFUNCTION("""COMPUTED_VALUE"""),"Delhi")</f>
        <v>Delhi</v>
      </c>
      <c r="D1941" s="124" t="str">
        <f>IFERROR(__xludf.DUMMYFUNCTION("""COMPUTED_VALUE"""),"Primary_Walkin")</f>
        <v>Primary_Walkin</v>
      </c>
      <c r="E1941" s="124">
        <f>IFERROR(__xludf.DUMMYFUNCTION("""COMPUTED_VALUE"""),2.0)</f>
        <v>2</v>
      </c>
      <c r="F1941" s="124" t="str">
        <f>IFERROR(__xludf.DUMMYFUNCTION("""COMPUTED_VALUE"""),"Cold")</f>
        <v>Cold</v>
      </c>
      <c r="G1941" s="124" t="str">
        <f>IFERROR(__xludf.DUMMYFUNCTION("""COMPUTED_VALUE"""),"GS Foundation")</f>
        <v>GS Foundation</v>
      </c>
      <c r="K1941" s="124"/>
      <c r="L1941" s="124"/>
      <c r="M1941" s="124"/>
      <c r="N1941" s="124"/>
      <c r="O1941" s="124"/>
      <c r="T1941" s="126">
        <f>IFERROR(__xludf.DUMMYFUNCTION("""COMPUTED_VALUE"""),46112.0)</f>
        <v>46112</v>
      </c>
      <c r="U1941" s="124" t="str">
        <f>IFERROR(__xludf.DUMMYFUNCTION("""COMPUTED_VALUE"""),"Telephony")</f>
        <v>Telephony</v>
      </c>
      <c r="V1941" s="124" t="str">
        <f>IFERROR(__xludf.DUMMYFUNCTION("""COMPUTED_VALUE"""),"Inbound Call")</f>
        <v>Inbound Call</v>
      </c>
      <c r="W1941" s="124" t="str">
        <f>IFERROR(__xludf.DUMMYFUNCTION("""COMPUTED_VALUE"""),"Inbound Call")</f>
        <v>Inbound Call</v>
      </c>
      <c r="X1941" s="124" t="str">
        <f>IFERROR(__xludf.DUMMYFUNCTION("""COMPUTED_VALUE"""),"Inbound Call")</f>
        <v>Inbound Call</v>
      </c>
      <c r="Y1941" s="124" t="str">
        <f>IFERROR(__xludf.DUMMYFUNCTION("""COMPUTED_VALUE"""),"Indore")</f>
        <v>Indore</v>
      </c>
      <c r="Z1941" s="124">
        <f>IFERROR(__xludf.DUMMYFUNCTION("""COMPUTED_VALUE"""),1.0)</f>
        <v>1</v>
      </c>
      <c r="AA1941" s="124" t="str">
        <f>IFERROR(__xludf.DUMMYFUNCTION("""COMPUTED_VALUE"""),"Interested")</f>
        <v>Interested</v>
      </c>
      <c r="AB1941" s="124" t="str">
        <f>IFERROR(__xludf.DUMMYFUNCTION("""COMPUTED_VALUE"""),"State PCS")</f>
        <v>State PCS</v>
      </c>
    </row>
    <row r="1942">
      <c r="A1942" s="129">
        <f>IFERROR(__xludf.DUMMYFUNCTION("""COMPUTED_VALUE"""),46059.0)</f>
        <v>46059</v>
      </c>
      <c r="B1942" s="124" t="str">
        <f>IFERROR(__xludf.DUMMYFUNCTION("""COMPUTED_VALUE"""),"Walk-In")</f>
        <v>Walk-In</v>
      </c>
      <c r="C1942" s="124" t="str">
        <f>IFERROR(__xludf.DUMMYFUNCTION("""COMPUTED_VALUE"""),"Delhi")</f>
        <v>Delhi</v>
      </c>
      <c r="D1942" s="124" t="str">
        <f>IFERROR(__xludf.DUMMYFUNCTION("""COMPUTED_VALUE"""),"Primary_Walkin")</f>
        <v>Primary_Walkin</v>
      </c>
      <c r="E1942" s="124">
        <f>IFERROR(__xludf.DUMMYFUNCTION("""COMPUTED_VALUE"""),1.0)</f>
        <v>1</v>
      </c>
      <c r="F1942" s="124" t="str">
        <f>IFERROR(__xludf.DUMMYFUNCTION("""COMPUTED_VALUE"""),"Fake Lead")</f>
        <v>Fake Lead</v>
      </c>
      <c r="G1942" s="124" t="str">
        <f>IFERROR(__xludf.DUMMYFUNCTION("""COMPUTED_VALUE"""),"GS Foundation")</f>
        <v>GS Foundation</v>
      </c>
      <c r="K1942" s="124"/>
      <c r="L1942" s="124"/>
      <c r="M1942" s="124"/>
      <c r="N1942" s="124"/>
      <c r="O1942" s="124"/>
      <c r="T1942" s="126">
        <f>IFERROR(__xludf.DUMMYFUNCTION("""COMPUTED_VALUE"""),46071.0)</f>
        <v>46071</v>
      </c>
      <c r="U1942" s="124" t="str">
        <f>IFERROR(__xludf.DUMMYFUNCTION("""COMPUTED_VALUE"""),"Telephony")</f>
        <v>Telephony</v>
      </c>
      <c r="V1942" s="124" t="str">
        <f>IFERROR(__xludf.DUMMYFUNCTION("""COMPUTED_VALUE"""),"Inbound Call")</f>
        <v>Inbound Call</v>
      </c>
      <c r="W1942" s="124">
        <f>IFERROR(__xludf.DUMMYFUNCTION("""COMPUTED_VALUE"""),9.18047861635E11)</f>
        <v>918047861635</v>
      </c>
      <c r="X1942" s="124" t="str">
        <f>IFERROR(__xludf.DUMMYFUNCTION("""COMPUTED_VALUE"""),"Inbound Call")</f>
        <v>Inbound Call</v>
      </c>
      <c r="Y1942" s="124" t="str">
        <f>IFERROR(__xludf.DUMMYFUNCTION("""COMPUTED_VALUE"""),"Indore")</f>
        <v>Indore</v>
      </c>
      <c r="Z1942" s="124">
        <f>IFERROR(__xludf.DUMMYFUNCTION("""COMPUTED_VALUE"""),1.0)</f>
        <v>1</v>
      </c>
      <c r="AA1942" s="124" t="str">
        <f>IFERROR(__xludf.DUMMYFUNCTION("""COMPUTED_VALUE"""),"Cold")</f>
        <v>Cold</v>
      </c>
      <c r="AB1942" s="124" t="str">
        <f>IFERROR(__xludf.DUMMYFUNCTION("""COMPUTED_VALUE"""),"Other")</f>
        <v>Other</v>
      </c>
    </row>
    <row r="1943">
      <c r="A1943" s="126">
        <f>IFERROR(__xludf.DUMMYFUNCTION("""COMPUTED_VALUE"""),46064.0)</f>
        <v>46064</v>
      </c>
      <c r="B1943" s="124" t="str">
        <f>IFERROR(__xludf.DUMMYFUNCTION("""COMPUTED_VALUE"""),"Inbound Call")</f>
        <v>Inbound Call</v>
      </c>
      <c r="C1943" s="124" t="str">
        <f>IFERROR(__xludf.DUMMYFUNCTION("""COMPUTED_VALUE"""),"Delhi")</f>
        <v>Delhi</v>
      </c>
      <c r="D1943" s="124" t="str">
        <f>IFERROR(__xludf.DUMMYFUNCTION("""COMPUTED_VALUE"""),"Secondary_Walkin")</f>
        <v>Secondary_Walkin</v>
      </c>
      <c r="E1943" s="124">
        <f>IFERROR(__xludf.DUMMYFUNCTION("""COMPUTED_VALUE"""),1.0)</f>
        <v>1</v>
      </c>
      <c r="F1943" s="124" t="str">
        <f>IFERROR(__xludf.DUMMYFUNCTION("""COMPUTED_VALUE"""),"Cold")</f>
        <v>Cold</v>
      </c>
      <c r="G1943" s="124" t="str">
        <f>IFERROR(__xludf.DUMMYFUNCTION("""COMPUTED_VALUE"""),"GS Foundation")</f>
        <v>GS Foundation</v>
      </c>
      <c r="K1943" s="124"/>
      <c r="L1943" s="124"/>
      <c r="M1943" s="124"/>
      <c r="N1943" s="124"/>
      <c r="O1943" s="124"/>
      <c r="T1943" s="126">
        <f>IFERROR(__xludf.DUMMYFUNCTION("""COMPUTED_VALUE"""),46081.0)</f>
        <v>46081</v>
      </c>
      <c r="U1943" s="124" t="str">
        <f>IFERROR(__xludf.DUMMYFUNCTION("""COMPUTED_VALUE"""),"Telephony")</f>
        <v>Telephony</v>
      </c>
      <c r="V1943" s="124" t="str">
        <f>IFERROR(__xludf.DUMMYFUNCTION("""COMPUTED_VALUE"""),"Inbound Call")</f>
        <v>Inbound Call</v>
      </c>
      <c r="W1943" s="124" t="str">
        <f>IFERROR(__xludf.DUMMYFUNCTION("""COMPUTED_VALUE"""),"Inbound Call")</f>
        <v>Inbound Call</v>
      </c>
      <c r="X1943" s="124" t="str">
        <f>IFERROR(__xludf.DUMMYFUNCTION("""COMPUTED_VALUE"""),"Inbound Call")</f>
        <v>Inbound Call</v>
      </c>
      <c r="Y1943" s="124"/>
      <c r="Z1943" s="124">
        <f>IFERROR(__xludf.DUMMYFUNCTION("""COMPUTED_VALUE"""),1.0)</f>
        <v>1</v>
      </c>
      <c r="AA1943" s="124" t="str">
        <f>IFERROR(__xludf.DUMMYFUNCTION("""COMPUTED_VALUE"""),"Cold")</f>
        <v>Cold</v>
      </c>
      <c r="AB1943" s="124"/>
    </row>
    <row r="1944">
      <c r="A1944" s="126">
        <f>IFERROR(__xludf.DUMMYFUNCTION("""COMPUTED_VALUE"""),46046.0)</f>
        <v>46046</v>
      </c>
      <c r="B1944" s="124" t="str">
        <f>IFERROR(__xludf.DUMMYFUNCTION("""COMPUTED_VALUE"""),"Walkin")</f>
        <v>Walkin</v>
      </c>
      <c r="C1944" s="124" t="str">
        <f>IFERROR(__xludf.DUMMYFUNCTION("""COMPUTED_VALUE"""),"Delhi")</f>
        <v>Delhi</v>
      </c>
      <c r="D1944" s="124" t="str">
        <f>IFERROR(__xludf.DUMMYFUNCTION("""COMPUTED_VALUE"""),"Primary_Walkin")</f>
        <v>Primary_Walkin</v>
      </c>
      <c r="E1944" s="124">
        <f>IFERROR(__xludf.DUMMYFUNCTION("""COMPUTED_VALUE"""),2.0)</f>
        <v>2</v>
      </c>
      <c r="F1944" s="124" t="str">
        <f>IFERROR(__xludf.DUMMYFUNCTION("""COMPUTED_VALUE"""),"Future Prospects")</f>
        <v>Future Prospects</v>
      </c>
      <c r="G1944" s="124" t="str">
        <f>IFERROR(__xludf.DUMMYFUNCTION("""COMPUTED_VALUE"""),"GS Foundation")</f>
        <v>GS Foundation</v>
      </c>
      <c r="K1944" s="124"/>
      <c r="L1944" s="124"/>
      <c r="M1944" s="124"/>
      <c r="N1944" s="124"/>
      <c r="O1944" s="124"/>
      <c r="T1944" s="126">
        <f>IFERROR(__xludf.DUMMYFUNCTION("""COMPUTED_VALUE"""),46060.0)</f>
        <v>46060</v>
      </c>
      <c r="U1944" s="124" t="str">
        <f>IFERROR(__xludf.DUMMYFUNCTION("""COMPUTED_VALUE"""),"Telephony")</f>
        <v>Telephony</v>
      </c>
      <c r="V1944" s="124" t="str">
        <f>IFERROR(__xludf.DUMMYFUNCTION("""COMPUTED_VALUE"""),"Inbound Call")</f>
        <v>Inbound Call</v>
      </c>
      <c r="W1944" s="124" t="str">
        <f>IFERROR(__xludf.DUMMYFUNCTION("""COMPUTED_VALUE"""),"Inbound Call")</f>
        <v>Inbound Call</v>
      </c>
      <c r="X1944" s="124" t="str">
        <f>IFERROR(__xludf.DUMMYFUNCTION("""COMPUTED_VALUE"""),"Inbound Call")</f>
        <v>Inbound Call</v>
      </c>
      <c r="Y1944" s="124" t="str">
        <f>IFERROR(__xludf.DUMMYFUNCTION("""COMPUTED_VALUE"""),"Indore")</f>
        <v>Indore</v>
      </c>
      <c r="Z1944" s="124">
        <f>IFERROR(__xludf.DUMMYFUNCTION("""COMPUTED_VALUE"""),1.0)</f>
        <v>1</v>
      </c>
      <c r="AA1944" s="124" t="str">
        <f>IFERROR(__xludf.DUMMYFUNCTION("""COMPUTED_VALUE"""),"Fake Lead")</f>
        <v>Fake Lead</v>
      </c>
      <c r="AB1944" s="124" t="str">
        <f>IFERROR(__xludf.DUMMYFUNCTION("""COMPUTED_VALUE"""),"Other")</f>
        <v>Other</v>
      </c>
    </row>
    <row r="1945">
      <c r="A1945" s="126">
        <f>IFERROR(__xludf.DUMMYFUNCTION("""COMPUTED_VALUE"""),46063.0)</f>
        <v>46063</v>
      </c>
      <c r="B1945" s="124" t="str">
        <f>IFERROR(__xludf.DUMMYFUNCTION("""COMPUTED_VALUE"""),"Walk-In")</f>
        <v>Walk-In</v>
      </c>
      <c r="C1945" s="124" t="str">
        <f>IFERROR(__xludf.DUMMYFUNCTION("""COMPUTED_VALUE"""),"Delhi")</f>
        <v>Delhi</v>
      </c>
      <c r="D1945" s="124" t="str">
        <f>IFERROR(__xludf.DUMMYFUNCTION("""COMPUTED_VALUE"""),"Primary_Walkin")</f>
        <v>Primary_Walkin</v>
      </c>
      <c r="E1945" s="124">
        <f>IFERROR(__xludf.DUMMYFUNCTION("""COMPUTED_VALUE"""),1.0)</f>
        <v>1</v>
      </c>
      <c r="F1945" s="124" t="str">
        <f>IFERROR(__xludf.DUMMYFUNCTION("""COMPUTED_VALUE"""),"Fake Lead")</f>
        <v>Fake Lead</v>
      </c>
      <c r="G1945" s="124" t="str">
        <f>IFERROR(__xludf.DUMMYFUNCTION("""COMPUTED_VALUE"""),"GS Foundation")</f>
        <v>GS Foundation</v>
      </c>
      <c r="K1945" s="124"/>
      <c r="L1945" s="124"/>
      <c r="M1945" s="124"/>
      <c r="N1945" s="124"/>
      <c r="O1945" s="124"/>
      <c r="T1945" s="126">
        <f>IFERROR(__xludf.DUMMYFUNCTION("""COMPUTED_VALUE"""),46055.0)</f>
        <v>46055</v>
      </c>
      <c r="U1945" s="124" t="str">
        <f>IFERROR(__xludf.DUMMYFUNCTION("""COMPUTED_VALUE"""),"Telephony")</f>
        <v>Telephony</v>
      </c>
      <c r="V1945" s="124" t="str">
        <f>IFERROR(__xludf.DUMMYFUNCTION("""COMPUTED_VALUE"""),"Inbound Call")</f>
        <v>Inbound Call</v>
      </c>
      <c r="W1945" s="124" t="str">
        <f>IFERROR(__xludf.DUMMYFUNCTION("""COMPUTED_VALUE"""),"Inbound Call")</f>
        <v>Inbound Call</v>
      </c>
      <c r="X1945" s="124" t="str">
        <f>IFERROR(__xludf.DUMMYFUNCTION("""COMPUTED_VALUE"""),"Inbound Call")</f>
        <v>Inbound Call</v>
      </c>
      <c r="Y1945" s="124" t="str">
        <f>IFERROR(__xludf.DUMMYFUNCTION("""COMPUTED_VALUE"""),"Delhi")</f>
        <v>Delhi</v>
      </c>
      <c r="Z1945" s="124">
        <f>IFERROR(__xludf.DUMMYFUNCTION("""COMPUTED_VALUE"""),1.0)</f>
        <v>1</v>
      </c>
      <c r="AA1945" s="124" t="str">
        <f>IFERROR(__xludf.DUMMYFUNCTION("""COMPUTED_VALUE"""),"Cold")</f>
        <v>Cold</v>
      </c>
      <c r="AB1945" s="124"/>
    </row>
    <row r="1946">
      <c r="A1946" s="126">
        <f>IFERROR(__xludf.DUMMYFUNCTION("""COMPUTED_VALUE"""),46104.0)</f>
        <v>46104</v>
      </c>
      <c r="B1946" s="124" t="str">
        <f>IFERROR(__xludf.DUMMYFUNCTION("""COMPUTED_VALUE"""),"Walk-In")</f>
        <v>Walk-In</v>
      </c>
      <c r="C1946" s="124" t="str">
        <f>IFERROR(__xludf.DUMMYFUNCTION("""COMPUTED_VALUE"""),"Delhi")</f>
        <v>Delhi</v>
      </c>
      <c r="D1946" s="124" t="str">
        <f>IFERROR(__xludf.DUMMYFUNCTION("""COMPUTED_VALUE"""),"Primary_Walkin")</f>
        <v>Primary_Walkin</v>
      </c>
      <c r="E1946" s="124">
        <f>IFERROR(__xludf.DUMMYFUNCTION("""COMPUTED_VALUE"""),1.0)</f>
        <v>1</v>
      </c>
      <c r="F1946" s="124" t="str">
        <f>IFERROR(__xludf.DUMMYFUNCTION("""COMPUTED_VALUE"""),"Not Interested")</f>
        <v>Not Interested</v>
      </c>
      <c r="G1946" s="124" t="str">
        <f>IFERROR(__xludf.DUMMYFUNCTION("""COMPUTED_VALUE"""),"GS Foundation")</f>
        <v>GS Foundation</v>
      </c>
      <c r="K1946" s="124"/>
      <c r="L1946" s="124"/>
      <c r="M1946" s="124"/>
      <c r="N1946" s="124"/>
      <c r="O1946" s="124"/>
      <c r="T1946" s="129">
        <f>IFERROR(__xludf.DUMMYFUNCTION("""COMPUTED_VALUE"""),46065.0)</f>
        <v>46065</v>
      </c>
      <c r="U1946" s="124" t="str">
        <f>IFERROR(__xludf.DUMMYFUNCTION("""COMPUTED_VALUE"""),"Telephony")</f>
        <v>Telephony</v>
      </c>
      <c r="V1946" s="124" t="str">
        <f>IFERROR(__xludf.DUMMYFUNCTION("""COMPUTED_VALUE"""),"Inbound Call")</f>
        <v>Inbound Call</v>
      </c>
      <c r="W1946" s="124">
        <f>IFERROR(__xludf.DUMMYFUNCTION("""COMPUTED_VALUE"""),9.18047861634E11)</f>
        <v>918047861634</v>
      </c>
      <c r="X1946" s="124" t="str">
        <f>IFERROR(__xludf.DUMMYFUNCTION("""COMPUTED_VALUE"""),"Inbound Call")</f>
        <v>Inbound Call</v>
      </c>
      <c r="Y1946" s="124"/>
      <c r="Z1946" s="124">
        <f>IFERROR(__xludf.DUMMYFUNCTION("""COMPUTED_VALUE"""),1.0)</f>
        <v>1</v>
      </c>
      <c r="AA1946" s="124" t="str">
        <f>IFERROR(__xludf.DUMMYFUNCTION("""COMPUTED_VALUE"""),"Fake Lead")</f>
        <v>Fake Lead</v>
      </c>
      <c r="AB1946" s="124"/>
    </row>
    <row r="1947">
      <c r="A1947" s="126">
        <f>IFERROR(__xludf.DUMMYFUNCTION("""COMPUTED_VALUE"""),46066.0)</f>
        <v>46066</v>
      </c>
      <c r="B1947" s="124" t="str">
        <f>IFERROR(__xludf.DUMMYFUNCTION("""COMPUTED_VALUE"""),"Walk-In")</f>
        <v>Walk-In</v>
      </c>
      <c r="C1947" s="124" t="str">
        <f>IFERROR(__xludf.DUMMYFUNCTION("""COMPUTED_VALUE"""),"Delhi")</f>
        <v>Delhi</v>
      </c>
      <c r="D1947" s="124" t="str">
        <f>IFERROR(__xludf.DUMMYFUNCTION("""COMPUTED_VALUE"""),"Primary_Walkin")</f>
        <v>Primary_Walkin</v>
      </c>
      <c r="E1947" s="124">
        <f>IFERROR(__xludf.DUMMYFUNCTION("""COMPUTED_VALUE"""),1.0)</f>
        <v>1</v>
      </c>
      <c r="F1947" s="124" t="str">
        <f>IFERROR(__xludf.DUMMYFUNCTION("""COMPUTED_VALUE"""),"Not Interested")</f>
        <v>Not Interested</v>
      </c>
      <c r="G1947" s="124" t="str">
        <f>IFERROR(__xludf.DUMMYFUNCTION("""COMPUTED_VALUE"""),"GS Foundation")</f>
        <v>GS Foundation</v>
      </c>
      <c r="K1947" s="124"/>
      <c r="L1947" s="124"/>
      <c r="M1947" s="124"/>
      <c r="N1947" s="124"/>
      <c r="O1947" s="124"/>
      <c r="T1947" s="129">
        <f>IFERROR(__xludf.DUMMYFUNCTION("""COMPUTED_VALUE"""),46045.0)</f>
        <v>46045</v>
      </c>
      <c r="U1947" s="124" t="str">
        <f>IFERROR(__xludf.DUMMYFUNCTION("""COMPUTED_VALUE"""),"Telephony")</f>
        <v>Telephony</v>
      </c>
      <c r="V1947" s="124" t="str">
        <f>IFERROR(__xludf.DUMMYFUNCTION("""COMPUTED_VALUE"""),"Inbound Call")</f>
        <v>Inbound Call</v>
      </c>
      <c r="W1947" s="124">
        <f>IFERROR(__xludf.DUMMYFUNCTION("""COMPUTED_VALUE"""),9.18047861634E11)</f>
        <v>918047861634</v>
      </c>
      <c r="X1947" s="124" t="str">
        <f>IFERROR(__xludf.DUMMYFUNCTION("""COMPUTED_VALUE"""),"Inbound Call")</f>
        <v>Inbound Call</v>
      </c>
      <c r="Y1947" s="124"/>
      <c r="Z1947" s="124">
        <f>IFERROR(__xludf.DUMMYFUNCTION("""COMPUTED_VALUE"""),4.0)</f>
        <v>4</v>
      </c>
      <c r="AA1947" s="124" t="str">
        <f>IFERROR(__xludf.DUMMYFUNCTION("""COMPUTED_VALUE"""),"Fake Lead")</f>
        <v>Fake Lead</v>
      </c>
      <c r="AB1947" s="124"/>
    </row>
    <row r="1948">
      <c r="A1948" s="126">
        <f>IFERROR(__xludf.DUMMYFUNCTION("""COMPUTED_VALUE"""),46079.0)</f>
        <v>46079</v>
      </c>
      <c r="B1948" s="124" t="str">
        <f>IFERROR(__xludf.DUMMYFUNCTION("""COMPUTED_VALUE"""),"Walk-In")</f>
        <v>Walk-In</v>
      </c>
      <c r="C1948" s="124" t="str">
        <f>IFERROR(__xludf.DUMMYFUNCTION("""COMPUTED_VALUE"""),"Delhi")</f>
        <v>Delhi</v>
      </c>
      <c r="D1948" s="124" t="str">
        <f>IFERROR(__xludf.DUMMYFUNCTION("""COMPUTED_VALUE"""),"Primary_Walkin")</f>
        <v>Primary_Walkin</v>
      </c>
      <c r="E1948" s="124">
        <f>IFERROR(__xludf.DUMMYFUNCTION("""COMPUTED_VALUE"""),2.0)</f>
        <v>2</v>
      </c>
      <c r="F1948" s="124" t="str">
        <f>IFERROR(__xludf.DUMMYFUNCTION("""COMPUTED_VALUE"""),"Future Prospects")</f>
        <v>Future Prospects</v>
      </c>
      <c r="G1948" s="124" t="str">
        <f>IFERROR(__xludf.DUMMYFUNCTION("""COMPUTED_VALUE"""),"GS Foundation")</f>
        <v>GS Foundation</v>
      </c>
      <c r="K1948" s="124"/>
      <c r="L1948" s="124"/>
      <c r="M1948" s="124"/>
      <c r="N1948" s="124"/>
      <c r="O1948" s="124"/>
      <c r="T1948" s="129">
        <f>IFERROR(__xludf.DUMMYFUNCTION("""COMPUTED_VALUE"""),46076.0)</f>
        <v>46076</v>
      </c>
      <c r="U1948" s="124" t="str">
        <f>IFERROR(__xludf.DUMMYFUNCTION("""COMPUTED_VALUE"""),"Telephony")</f>
        <v>Telephony</v>
      </c>
      <c r="V1948" s="124" t="str">
        <f>IFERROR(__xludf.DUMMYFUNCTION("""COMPUTED_VALUE"""),"Inbound Call")</f>
        <v>Inbound Call</v>
      </c>
      <c r="W1948" s="124" t="str">
        <f>IFERROR(__xludf.DUMMYFUNCTION("""COMPUTED_VALUE"""),"Inbound Call")</f>
        <v>Inbound Call</v>
      </c>
      <c r="X1948" s="124" t="str">
        <f>IFERROR(__xludf.DUMMYFUNCTION("""COMPUTED_VALUE"""),"Inbound Call")</f>
        <v>Inbound Call</v>
      </c>
      <c r="Y1948" s="124"/>
      <c r="Z1948" s="124">
        <f>IFERROR(__xludf.DUMMYFUNCTION("""COMPUTED_VALUE"""),1.0)</f>
        <v>1</v>
      </c>
      <c r="AA1948" s="124" t="str">
        <f>IFERROR(__xludf.DUMMYFUNCTION("""COMPUTED_VALUE"""),"Cold")</f>
        <v>Cold</v>
      </c>
      <c r="AB1948" s="124" t="str">
        <f>IFERROR(__xludf.DUMMYFUNCTION("""COMPUTED_VALUE"""),"IGP UPPSC")</f>
        <v>IGP UPPSC</v>
      </c>
    </row>
    <row r="1949">
      <c r="A1949" s="126">
        <f>IFERROR(__xludf.DUMMYFUNCTION("""COMPUTED_VALUE"""),46081.0)</f>
        <v>46081</v>
      </c>
      <c r="B1949" s="124" t="str">
        <f>IFERROR(__xludf.DUMMYFUNCTION("""COMPUTED_VALUE"""),"external leads")</f>
        <v>external leads</v>
      </c>
      <c r="C1949" s="124" t="str">
        <f>IFERROR(__xludf.DUMMYFUNCTION("""COMPUTED_VALUE"""),"Delhi")</f>
        <v>Delhi</v>
      </c>
      <c r="D1949" s="124" t="str">
        <f>IFERROR(__xludf.DUMMYFUNCTION("""COMPUTED_VALUE"""),"Secondary_Walkin")</f>
        <v>Secondary_Walkin</v>
      </c>
      <c r="E1949" s="124">
        <f>IFERROR(__xludf.DUMMYFUNCTION("""COMPUTED_VALUE"""),1.0)</f>
        <v>1</v>
      </c>
      <c r="F1949" s="124" t="str">
        <f>IFERROR(__xludf.DUMMYFUNCTION("""COMPUTED_VALUE"""),"Warm")</f>
        <v>Warm</v>
      </c>
      <c r="G1949" s="124" t="str">
        <f>IFERROR(__xludf.DUMMYFUNCTION("""COMPUTED_VALUE"""),"GS Foundation")</f>
        <v>GS Foundation</v>
      </c>
      <c r="K1949" s="124"/>
      <c r="L1949" s="124"/>
      <c r="M1949" s="124"/>
      <c r="N1949" s="124"/>
      <c r="O1949" s="124"/>
      <c r="T1949" s="126">
        <f>IFERROR(__xludf.DUMMYFUNCTION("""COMPUTED_VALUE"""),46069.0)</f>
        <v>46069</v>
      </c>
      <c r="U1949" s="124" t="str">
        <f>IFERROR(__xludf.DUMMYFUNCTION("""COMPUTED_VALUE"""),"Telephony")</f>
        <v>Telephony</v>
      </c>
      <c r="V1949" s="124" t="str">
        <f>IFERROR(__xludf.DUMMYFUNCTION("""COMPUTED_VALUE"""),"Inbound Call")</f>
        <v>Inbound Call</v>
      </c>
      <c r="W1949" s="124">
        <f>IFERROR(__xludf.DUMMYFUNCTION("""COMPUTED_VALUE"""),9.18047861631E11)</f>
        <v>918047861631</v>
      </c>
      <c r="X1949" s="124" t="str">
        <f>IFERROR(__xludf.DUMMYFUNCTION("""COMPUTED_VALUE"""),"Inbound Call")</f>
        <v>Inbound Call</v>
      </c>
      <c r="Y1949" s="124"/>
      <c r="Z1949" s="124">
        <f>IFERROR(__xludf.DUMMYFUNCTION("""COMPUTED_VALUE"""),2.0)</f>
        <v>2</v>
      </c>
      <c r="AA1949" s="124" t="str">
        <f>IFERROR(__xludf.DUMMYFUNCTION("""COMPUTED_VALUE"""),"Fake Lead")</f>
        <v>Fake Lead</v>
      </c>
      <c r="AB1949" s="124"/>
    </row>
    <row r="1950">
      <c r="A1950" s="126">
        <f>IFERROR(__xludf.DUMMYFUNCTION("""COMPUTED_VALUE"""),46099.0)</f>
        <v>46099</v>
      </c>
      <c r="B1950" s="124" t="str">
        <f>IFERROR(__xludf.DUMMYFUNCTION("""COMPUTED_VALUE"""),"Walkin")</f>
        <v>Walkin</v>
      </c>
      <c r="C1950" s="124" t="str">
        <f>IFERROR(__xludf.DUMMYFUNCTION("""COMPUTED_VALUE"""),"Delhi")</f>
        <v>Delhi</v>
      </c>
      <c r="D1950" s="124" t="str">
        <f>IFERROR(__xludf.DUMMYFUNCTION("""COMPUTED_VALUE"""),"Primary_Walkin")</f>
        <v>Primary_Walkin</v>
      </c>
      <c r="E1950" s="124">
        <f>IFERROR(__xludf.DUMMYFUNCTION("""COMPUTED_VALUE"""),1.0)</f>
        <v>1</v>
      </c>
      <c r="F1950" s="124" t="str">
        <f>IFERROR(__xludf.DUMMYFUNCTION("""COMPUTED_VALUE"""),"Not Interested")</f>
        <v>Not Interested</v>
      </c>
      <c r="G1950" s="124" t="str">
        <f>IFERROR(__xludf.DUMMYFUNCTION("""COMPUTED_VALUE"""),"Mentorship")</f>
        <v>Mentorship</v>
      </c>
      <c r="K1950" s="124"/>
      <c r="L1950" s="124"/>
      <c r="M1950" s="124"/>
      <c r="N1950" s="124"/>
      <c r="O1950" s="124"/>
      <c r="T1950" s="126">
        <f>IFERROR(__xludf.DUMMYFUNCTION("""COMPUTED_VALUE"""),46060.0)</f>
        <v>46060</v>
      </c>
      <c r="U1950" s="124" t="str">
        <f>IFERROR(__xludf.DUMMYFUNCTION("""COMPUTED_VALUE"""),"Telephony")</f>
        <v>Telephony</v>
      </c>
      <c r="V1950" s="124" t="str">
        <f>IFERROR(__xludf.DUMMYFUNCTION("""COMPUTED_VALUE"""),"Inbound Call")</f>
        <v>Inbound Call</v>
      </c>
      <c r="W1950" s="124" t="str">
        <f>IFERROR(__xludf.DUMMYFUNCTION("""COMPUTED_VALUE"""),"Inbound Call")</f>
        <v>Inbound Call</v>
      </c>
      <c r="X1950" s="124" t="str">
        <f>IFERROR(__xludf.DUMMYFUNCTION("""COMPUTED_VALUE"""),"Inbound Call")</f>
        <v>Inbound Call</v>
      </c>
      <c r="Y1950" s="124"/>
      <c r="Z1950" s="124">
        <f>IFERROR(__xludf.DUMMYFUNCTION("""COMPUTED_VALUE"""),1.0)</f>
        <v>1</v>
      </c>
      <c r="AA1950" s="124" t="str">
        <f>IFERROR(__xludf.DUMMYFUNCTION("""COMPUTED_VALUE"""),"Cold")</f>
        <v>Cold</v>
      </c>
      <c r="AB1950" s="124" t="str">
        <f>IFERROR(__xludf.DUMMYFUNCTION("""COMPUTED_VALUE"""),"IGP UPPSC")</f>
        <v>IGP UPPSC</v>
      </c>
    </row>
    <row r="1951">
      <c r="A1951" s="126">
        <f>IFERROR(__xludf.DUMMYFUNCTION("""COMPUTED_VALUE"""),46051.0)</f>
        <v>46051</v>
      </c>
      <c r="B1951" s="124" t="str">
        <f>IFERROR(__xludf.DUMMYFUNCTION("""COMPUTED_VALUE"""),"Walk-In")</f>
        <v>Walk-In</v>
      </c>
      <c r="C1951" s="124" t="str">
        <f>IFERROR(__xludf.DUMMYFUNCTION("""COMPUTED_VALUE"""),"Delhi")</f>
        <v>Delhi</v>
      </c>
      <c r="D1951" s="124" t="str">
        <f>IFERROR(__xludf.DUMMYFUNCTION("""COMPUTED_VALUE"""),"Primary_Walkin")</f>
        <v>Primary_Walkin</v>
      </c>
      <c r="E1951" s="124">
        <f>IFERROR(__xludf.DUMMYFUNCTION("""COMPUTED_VALUE"""),1.0)</f>
        <v>1</v>
      </c>
      <c r="F1951" s="124" t="str">
        <f>IFERROR(__xludf.DUMMYFUNCTION("""COMPUTED_VALUE"""),"Warm")</f>
        <v>Warm</v>
      </c>
      <c r="G1951" s="124" t="str">
        <f>IFERROR(__xludf.DUMMYFUNCTION("""COMPUTED_VALUE"""),"GS Foundation")</f>
        <v>GS Foundation</v>
      </c>
      <c r="K1951" s="124"/>
      <c r="L1951" s="124"/>
      <c r="M1951" s="124"/>
      <c r="N1951" s="124"/>
      <c r="O1951" s="124"/>
      <c r="T1951" s="126">
        <f>IFERROR(__xludf.DUMMYFUNCTION("""COMPUTED_VALUE"""),46083.0)</f>
        <v>46083</v>
      </c>
      <c r="U1951" s="124" t="str">
        <f>IFERROR(__xludf.DUMMYFUNCTION("""COMPUTED_VALUE"""),"Telephony")</f>
        <v>Telephony</v>
      </c>
      <c r="V1951" s="124" t="str">
        <f>IFERROR(__xludf.DUMMYFUNCTION("""COMPUTED_VALUE"""),"Inbound Call")</f>
        <v>Inbound Call</v>
      </c>
      <c r="W1951" s="124" t="str">
        <f>IFERROR(__xludf.DUMMYFUNCTION("""COMPUTED_VALUE"""),"Inbound Call")</f>
        <v>Inbound Call</v>
      </c>
      <c r="X1951" s="124" t="str">
        <f>IFERROR(__xludf.DUMMYFUNCTION("""COMPUTED_VALUE"""),"Inbound Call")</f>
        <v>Inbound Call</v>
      </c>
      <c r="Y1951" s="124" t="str">
        <f>IFERROR(__xludf.DUMMYFUNCTION("""COMPUTED_VALUE"""),"Delhi")</f>
        <v>Delhi</v>
      </c>
      <c r="Z1951" s="124">
        <f>IFERROR(__xludf.DUMMYFUNCTION("""COMPUTED_VALUE"""),4.0)</f>
        <v>4</v>
      </c>
      <c r="AA1951" s="124" t="str">
        <f>IFERROR(__xludf.DUMMYFUNCTION("""COMPUTED_VALUE"""),"Cold")</f>
        <v>Cold</v>
      </c>
      <c r="AB1951" s="124"/>
    </row>
    <row r="1952">
      <c r="A1952" s="126">
        <f>IFERROR(__xludf.DUMMYFUNCTION("""COMPUTED_VALUE"""),46072.0)</f>
        <v>46072</v>
      </c>
      <c r="B1952" s="124" t="str">
        <f>IFERROR(__xludf.DUMMYFUNCTION("""COMPUTED_VALUE"""),"Walkin")</f>
        <v>Walkin</v>
      </c>
      <c r="C1952" s="124" t="str">
        <f>IFERROR(__xludf.DUMMYFUNCTION("""COMPUTED_VALUE"""),"Delhi")</f>
        <v>Delhi</v>
      </c>
      <c r="D1952" s="124" t="str">
        <f>IFERROR(__xludf.DUMMYFUNCTION("""COMPUTED_VALUE"""),"Primary_Walkin")</f>
        <v>Primary_Walkin</v>
      </c>
      <c r="E1952" s="124">
        <f>IFERROR(__xludf.DUMMYFUNCTION("""COMPUTED_VALUE"""),1.0)</f>
        <v>1</v>
      </c>
      <c r="F1952" s="124" t="str">
        <f>IFERROR(__xludf.DUMMYFUNCTION("""COMPUTED_VALUE"""),"Warm")</f>
        <v>Warm</v>
      </c>
      <c r="G1952" s="124" t="str">
        <f>IFERROR(__xludf.DUMMYFUNCTION("""COMPUTED_VALUE"""),"GS Foundation")</f>
        <v>GS Foundation</v>
      </c>
      <c r="K1952" s="124"/>
      <c r="L1952" s="124"/>
      <c r="M1952" s="124"/>
      <c r="N1952" s="124"/>
      <c r="O1952" s="124"/>
      <c r="T1952" s="126">
        <f>IFERROR(__xludf.DUMMYFUNCTION("""COMPUTED_VALUE"""),46072.0)</f>
        <v>46072</v>
      </c>
      <c r="U1952" s="124" t="str">
        <f>IFERROR(__xludf.DUMMYFUNCTION("""COMPUTED_VALUE"""),"Telephony")</f>
        <v>Telephony</v>
      </c>
      <c r="V1952" s="124" t="str">
        <f>IFERROR(__xludf.DUMMYFUNCTION("""COMPUTED_VALUE"""),"Inbound Call")</f>
        <v>Inbound Call</v>
      </c>
      <c r="W1952" s="124" t="str">
        <f>IFERROR(__xludf.DUMMYFUNCTION("""COMPUTED_VALUE"""),"Inbound Call")</f>
        <v>Inbound Call</v>
      </c>
      <c r="X1952" s="124" t="str">
        <f>IFERROR(__xludf.DUMMYFUNCTION("""COMPUTED_VALUE"""),"Inbound Call")</f>
        <v>Inbound Call</v>
      </c>
      <c r="Y1952" s="124"/>
      <c r="Z1952" s="124">
        <f>IFERROR(__xludf.DUMMYFUNCTION("""COMPUTED_VALUE"""),1.0)</f>
        <v>1</v>
      </c>
      <c r="AA1952" s="124" t="str">
        <f>IFERROR(__xludf.DUMMYFUNCTION("""COMPUTED_VALUE"""),"Cold")</f>
        <v>Cold</v>
      </c>
      <c r="AB1952" s="124" t="str">
        <f>IFERROR(__xludf.DUMMYFUNCTION("""COMPUTED_VALUE"""),"State PCS")</f>
        <v>State PCS</v>
      </c>
    </row>
    <row r="1953">
      <c r="A1953" s="126">
        <f>IFERROR(__xludf.DUMMYFUNCTION("""COMPUTED_VALUE"""),46064.0)</f>
        <v>46064</v>
      </c>
      <c r="B1953" s="124" t="str">
        <f>IFERROR(__xludf.DUMMYFUNCTION("""COMPUTED_VALUE"""),"Walkin")</f>
        <v>Walkin</v>
      </c>
      <c r="C1953" s="124" t="str">
        <f>IFERROR(__xludf.DUMMYFUNCTION("""COMPUTED_VALUE"""),"Delhi")</f>
        <v>Delhi</v>
      </c>
      <c r="D1953" s="124" t="str">
        <f>IFERROR(__xludf.DUMMYFUNCTION("""COMPUTED_VALUE"""),"Primary_Walkin")</f>
        <v>Primary_Walkin</v>
      </c>
      <c r="E1953" s="124">
        <f>IFERROR(__xludf.DUMMYFUNCTION("""COMPUTED_VALUE"""),1.0)</f>
        <v>1</v>
      </c>
      <c r="F1953" s="124" t="str">
        <f>IFERROR(__xludf.DUMMYFUNCTION("""COMPUTED_VALUE"""),"Future Prospects")</f>
        <v>Future Prospects</v>
      </c>
      <c r="G1953" s="124" t="str">
        <f>IFERROR(__xludf.DUMMYFUNCTION("""COMPUTED_VALUE"""),"Optionals")</f>
        <v>Optionals</v>
      </c>
      <c r="K1953" s="124"/>
      <c r="L1953" s="124"/>
      <c r="M1953" s="124"/>
      <c r="N1953" s="124"/>
      <c r="O1953" s="124"/>
      <c r="T1953" s="126">
        <f>IFERROR(__xludf.DUMMYFUNCTION("""COMPUTED_VALUE"""),46107.0)</f>
        <v>46107</v>
      </c>
      <c r="U1953" s="124" t="str">
        <f>IFERROR(__xludf.DUMMYFUNCTION("""COMPUTED_VALUE"""),"Telephony")</f>
        <v>Telephony</v>
      </c>
      <c r="V1953" s="124" t="str">
        <f>IFERROR(__xludf.DUMMYFUNCTION("""COMPUTED_VALUE"""),"Inbound Call")</f>
        <v>Inbound Call</v>
      </c>
      <c r="W1953" s="124">
        <f>IFERROR(__xludf.DUMMYFUNCTION("""COMPUTED_VALUE"""),9.18047861635E11)</f>
        <v>918047861635</v>
      </c>
      <c r="X1953" s="124" t="str">
        <f>IFERROR(__xludf.DUMMYFUNCTION("""COMPUTED_VALUE"""),"Inbound Call")</f>
        <v>Inbound Call</v>
      </c>
      <c r="Y1953" s="124" t="str">
        <f>IFERROR(__xludf.DUMMYFUNCTION("""COMPUTED_VALUE"""),"Indore")</f>
        <v>Indore</v>
      </c>
      <c r="Z1953" s="124">
        <f>IFERROR(__xludf.DUMMYFUNCTION("""COMPUTED_VALUE"""),1.0)</f>
        <v>1</v>
      </c>
      <c r="AA1953" s="124" t="str">
        <f>IFERROR(__xludf.DUMMYFUNCTION("""COMPUTED_VALUE"""),"Cold")</f>
        <v>Cold</v>
      </c>
      <c r="AB1953" s="124" t="str">
        <f>IFERROR(__xludf.DUMMYFUNCTION("""COMPUTED_VALUE"""),"Other")</f>
        <v>Other</v>
      </c>
    </row>
    <row r="1954">
      <c r="A1954" s="126">
        <f>IFERROR(__xludf.DUMMYFUNCTION("""COMPUTED_VALUE"""),46080.0)</f>
        <v>46080</v>
      </c>
      <c r="B1954" s="124" t="str">
        <f>IFERROR(__xludf.DUMMYFUNCTION("""COMPUTED_VALUE"""),"Walkin")</f>
        <v>Walkin</v>
      </c>
      <c r="C1954" s="124" t="str">
        <f>IFERROR(__xludf.DUMMYFUNCTION("""COMPUTED_VALUE"""),"Delhi")</f>
        <v>Delhi</v>
      </c>
      <c r="D1954" s="124" t="str">
        <f>IFERROR(__xludf.DUMMYFUNCTION("""COMPUTED_VALUE"""),"Primary_Walkin")</f>
        <v>Primary_Walkin</v>
      </c>
      <c r="E1954" s="124">
        <f>IFERROR(__xludf.DUMMYFUNCTION("""COMPUTED_VALUE"""),1.0)</f>
        <v>1</v>
      </c>
      <c r="F1954" s="124" t="str">
        <f>IFERROR(__xludf.DUMMYFUNCTION("""COMPUTED_VALUE"""),"Enrolled")</f>
        <v>Enrolled</v>
      </c>
      <c r="G1954" s="124" t="str">
        <f>IFERROR(__xludf.DUMMYFUNCTION("""COMPUTED_VALUE"""),"GS Foundation")</f>
        <v>GS Foundation</v>
      </c>
      <c r="K1954" s="124"/>
      <c r="L1954" s="124"/>
      <c r="M1954" s="124"/>
      <c r="N1954" s="124"/>
      <c r="O1954" s="124"/>
      <c r="T1954" s="129">
        <f>IFERROR(__xludf.DUMMYFUNCTION("""COMPUTED_VALUE"""),46104.0)</f>
        <v>46104</v>
      </c>
      <c r="U1954" s="124" t="str">
        <f>IFERROR(__xludf.DUMMYFUNCTION("""COMPUTED_VALUE"""),"Telephony")</f>
        <v>Telephony</v>
      </c>
      <c r="V1954" s="124" t="str">
        <f>IFERROR(__xludf.DUMMYFUNCTION("""COMPUTED_VALUE"""),"Inbound Call")</f>
        <v>Inbound Call</v>
      </c>
      <c r="W1954" s="124">
        <f>IFERROR(__xludf.DUMMYFUNCTION("""COMPUTED_VALUE"""),9.18047861631E11)</f>
        <v>918047861631</v>
      </c>
      <c r="X1954" s="124" t="str">
        <f>IFERROR(__xludf.DUMMYFUNCTION("""COMPUTED_VALUE"""),"Inbound Call")</f>
        <v>Inbound Call</v>
      </c>
      <c r="Y1954" s="124" t="str">
        <f>IFERROR(__xludf.DUMMYFUNCTION("""COMPUTED_VALUE"""),"Delhi")</f>
        <v>Delhi</v>
      </c>
      <c r="Z1954" s="124">
        <f>IFERROR(__xludf.DUMMYFUNCTION("""COMPUTED_VALUE"""),1.0)</f>
        <v>1</v>
      </c>
      <c r="AA1954" s="124" t="str">
        <f>IFERROR(__xludf.DUMMYFUNCTION("""COMPUTED_VALUE"""),"Fake Lead")</f>
        <v>Fake Lead</v>
      </c>
      <c r="AB1954" s="124"/>
    </row>
    <row r="1955">
      <c r="A1955" s="126">
        <f>IFERROR(__xludf.DUMMYFUNCTION("""COMPUTED_VALUE"""),46101.0)</f>
        <v>46101</v>
      </c>
      <c r="B1955" s="124" t="str">
        <f>IFERROR(__xludf.DUMMYFUNCTION("""COMPUTED_VALUE"""),"Walkin")</f>
        <v>Walkin</v>
      </c>
      <c r="C1955" s="124" t="str">
        <f>IFERROR(__xludf.DUMMYFUNCTION("""COMPUTED_VALUE"""),"Delhi")</f>
        <v>Delhi</v>
      </c>
      <c r="D1955" s="124" t="str">
        <f>IFERROR(__xludf.DUMMYFUNCTION("""COMPUTED_VALUE"""),"Primary_Walkin")</f>
        <v>Primary_Walkin</v>
      </c>
      <c r="E1955" s="124">
        <f>IFERROR(__xludf.DUMMYFUNCTION("""COMPUTED_VALUE"""),1.0)</f>
        <v>1</v>
      </c>
      <c r="F1955" s="124" t="str">
        <f>IFERROR(__xludf.DUMMYFUNCTION("""COMPUTED_VALUE"""),"Interested")</f>
        <v>Interested</v>
      </c>
      <c r="G1955" s="124" t="str">
        <f>IFERROR(__xludf.DUMMYFUNCTION("""COMPUTED_VALUE"""),"GS Foundation")</f>
        <v>GS Foundation</v>
      </c>
      <c r="K1955" s="124"/>
      <c r="L1955" s="124"/>
      <c r="M1955" s="124"/>
      <c r="N1955" s="124"/>
      <c r="O1955" s="124"/>
      <c r="T1955" s="126">
        <f>IFERROR(__xludf.DUMMYFUNCTION("""COMPUTED_VALUE"""),46064.0)</f>
        <v>46064</v>
      </c>
      <c r="U1955" s="124" t="str">
        <f>IFERROR(__xludf.DUMMYFUNCTION("""COMPUTED_VALUE"""),"Telephony")</f>
        <v>Telephony</v>
      </c>
      <c r="V1955" s="124" t="str">
        <f>IFERROR(__xludf.DUMMYFUNCTION("""COMPUTED_VALUE"""),"Inbound Call")</f>
        <v>Inbound Call</v>
      </c>
      <c r="W1955" s="124">
        <f>IFERROR(__xludf.DUMMYFUNCTION("""COMPUTED_VALUE"""),9.18047861631E11)</f>
        <v>918047861631</v>
      </c>
      <c r="X1955" s="124" t="str">
        <f>IFERROR(__xludf.DUMMYFUNCTION("""COMPUTED_VALUE"""),"Inbound Call")</f>
        <v>Inbound Call</v>
      </c>
      <c r="Y1955" s="124"/>
      <c r="Z1955" s="124">
        <f>IFERROR(__xludf.DUMMYFUNCTION("""COMPUTED_VALUE"""),3.0)</f>
        <v>3</v>
      </c>
      <c r="AA1955" s="124" t="str">
        <f>IFERROR(__xludf.DUMMYFUNCTION("""COMPUTED_VALUE"""),"Cold")</f>
        <v>Cold</v>
      </c>
      <c r="AB1955" s="124"/>
    </row>
    <row r="1956">
      <c r="A1956" s="129">
        <f>IFERROR(__xludf.DUMMYFUNCTION("""COMPUTED_VALUE"""),46062.0)</f>
        <v>46062</v>
      </c>
      <c r="B1956" s="124" t="str">
        <f>IFERROR(__xludf.DUMMYFUNCTION("""COMPUTED_VALUE"""),"Walkin")</f>
        <v>Walkin</v>
      </c>
      <c r="C1956" s="124" t="str">
        <f>IFERROR(__xludf.DUMMYFUNCTION("""COMPUTED_VALUE"""),"Delhi")</f>
        <v>Delhi</v>
      </c>
      <c r="D1956" s="124" t="str">
        <f>IFERROR(__xludf.DUMMYFUNCTION("""COMPUTED_VALUE"""),"Primary_Walkin")</f>
        <v>Primary_Walkin</v>
      </c>
      <c r="E1956" s="124">
        <f>IFERROR(__xludf.DUMMYFUNCTION("""COMPUTED_VALUE"""),1.0)</f>
        <v>1</v>
      </c>
      <c r="F1956" s="124" t="str">
        <f>IFERROR(__xludf.DUMMYFUNCTION("""COMPUTED_VALUE"""),"Enrolled")</f>
        <v>Enrolled</v>
      </c>
      <c r="G1956" s="124" t="str">
        <f>IFERROR(__xludf.DUMMYFUNCTION("""COMPUTED_VALUE"""),"GS Foundation")</f>
        <v>GS Foundation</v>
      </c>
      <c r="K1956" s="124"/>
      <c r="L1956" s="124"/>
      <c r="M1956" s="124"/>
      <c r="N1956" s="124"/>
      <c r="O1956" s="124"/>
      <c r="T1956" s="129">
        <f>IFERROR(__xludf.DUMMYFUNCTION("""COMPUTED_VALUE"""),46059.0)</f>
        <v>46059</v>
      </c>
      <c r="U1956" s="124" t="str">
        <f>IFERROR(__xludf.DUMMYFUNCTION("""COMPUTED_VALUE"""),"Paid Ads")</f>
        <v>Paid Ads</v>
      </c>
      <c r="V1956" s="124" t="str">
        <f>IFERROR(__xludf.DUMMYFUNCTION("""COMPUTED_VALUE"""),"facebook")</f>
        <v>facebook</v>
      </c>
      <c r="W1956" s="124" t="str">
        <f>IFERROR(__xludf.DUMMYFUNCTION("""COMPUTED_VALUE"""),"delhi")</f>
        <v>delhi</v>
      </c>
      <c r="X1956" s="124" t="str">
        <f>IFERROR(__xludf.DUMMYFUNCTION("""COMPUTED_VALUE"""),"fbleads")</f>
        <v>fbleads</v>
      </c>
      <c r="Y1956" s="124" t="str">
        <f>IFERROR(__xludf.DUMMYFUNCTION("""COMPUTED_VALUE"""),"Delhi")</f>
        <v>Delhi</v>
      </c>
      <c r="Z1956" s="124">
        <f>IFERROR(__xludf.DUMMYFUNCTION("""COMPUTED_VALUE"""),4.0)</f>
        <v>4</v>
      </c>
      <c r="AA1956" s="124" t="str">
        <f>IFERROR(__xludf.DUMMYFUNCTION("""COMPUTED_VALUE"""),"Fake Lead")</f>
        <v>Fake Lead</v>
      </c>
      <c r="AB1956" s="124"/>
    </row>
    <row r="1957">
      <c r="A1957" s="126">
        <f>IFERROR(__xludf.DUMMYFUNCTION("""COMPUTED_VALUE"""),46063.0)</f>
        <v>46063</v>
      </c>
      <c r="B1957" s="124" t="str">
        <f>IFERROR(__xludf.DUMMYFUNCTION("""COMPUTED_VALUE"""),"Walkin")</f>
        <v>Walkin</v>
      </c>
      <c r="C1957" s="124" t="str">
        <f>IFERROR(__xludf.DUMMYFUNCTION("""COMPUTED_VALUE"""),"Delhi")</f>
        <v>Delhi</v>
      </c>
      <c r="D1957" s="124" t="str">
        <f>IFERROR(__xludf.DUMMYFUNCTION("""COMPUTED_VALUE"""),"Primary_Walkin")</f>
        <v>Primary_Walkin</v>
      </c>
      <c r="E1957" s="124">
        <f>IFERROR(__xludf.DUMMYFUNCTION("""COMPUTED_VALUE"""),1.0)</f>
        <v>1</v>
      </c>
      <c r="F1957" s="124" t="str">
        <f>IFERROR(__xludf.DUMMYFUNCTION("""COMPUTED_VALUE"""),"Future Prospects")</f>
        <v>Future Prospects</v>
      </c>
      <c r="G1957" s="124" t="str">
        <f>IFERROR(__xludf.DUMMYFUNCTION("""COMPUTED_VALUE"""),"GS Foundation")</f>
        <v>GS Foundation</v>
      </c>
      <c r="K1957" s="124"/>
      <c r="L1957" s="124"/>
      <c r="M1957" s="124"/>
      <c r="N1957" s="124"/>
      <c r="O1957" s="124"/>
      <c r="T1957" s="126">
        <f>IFERROR(__xludf.DUMMYFUNCTION("""COMPUTED_VALUE"""),46055.0)</f>
        <v>46055</v>
      </c>
      <c r="U1957" s="124" t="str">
        <f>IFERROR(__xludf.DUMMYFUNCTION("""COMPUTED_VALUE"""),"Telephony")</f>
        <v>Telephony</v>
      </c>
      <c r="V1957" s="124" t="str">
        <f>IFERROR(__xludf.DUMMYFUNCTION("""COMPUTED_VALUE"""),"Inbound Call")</f>
        <v>Inbound Call</v>
      </c>
      <c r="W1957" s="124" t="str">
        <f>IFERROR(__xludf.DUMMYFUNCTION("""COMPUTED_VALUE"""),"Inbound Call")</f>
        <v>Inbound Call</v>
      </c>
      <c r="X1957" s="124" t="str">
        <f>IFERROR(__xludf.DUMMYFUNCTION("""COMPUTED_VALUE"""),"Inbound Call")</f>
        <v>Inbound Call</v>
      </c>
      <c r="Y1957" s="124"/>
      <c r="Z1957" s="124">
        <f>IFERROR(__xludf.DUMMYFUNCTION("""COMPUTED_VALUE"""),3.0)</f>
        <v>3</v>
      </c>
      <c r="AA1957" s="124" t="str">
        <f>IFERROR(__xludf.DUMMYFUNCTION("""COMPUTED_VALUE"""),"Cold")</f>
        <v>Cold</v>
      </c>
      <c r="AB1957" s="124"/>
    </row>
    <row r="1958">
      <c r="A1958" s="129">
        <f>IFERROR(__xludf.DUMMYFUNCTION("""COMPUTED_VALUE"""),46090.0)</f>
        <v>46090</v>
      </c>
      <c r="B1958" s="124" t="str">
        <f>IFERROR(__xludf.DUMMYFUNCTION("""COMPUTED_VALUE"""),"Walkin")</f>
        <v>Walkin</v>
      </c>
      <c r="C1958" s="124" t="str">
        <f>IFERROR(__xludf.DUMMYFUNCTION("""COMPUTED_VALUE"""),"Delhi")</f>
        <v>Delhi</v>
      </c>
      <c r="D1958" s="124" t="str">
        <f>IFERROR(__xludf.DUMMYFUNCTION("""COMPUTED_VALUE"""),"Primary_Walkin")</f>
        <v>Primary_Walkin</v>
      </c>
      <c r="E1958" s="124">
        <f>IFERROR(__xludf.DUMMYFUNCTION("""COMPUTED_VALUE"""),1.0)</f>
        <v>1</v>
      </c>
      <c r="F1958" s="124" t="str">
        <f>IFERROR(__xludf.DUMMYFUNCTION("""COMPUTED_VALUE"""),"Enrolled")</f>
        <v>Enrolled</v>
      </c>
      <c r="G1958" s="124" t="str">
        <f>IFERROR(__xludf.DUMMYFUNCTION("""COMPUTED_VALUE"""),"Optionals")</f>
        <v>Optionals</v>
      </c>
      <c r="K1958" s="124"/>
      <c r="L1958" s="124"/>
      <c r="M1958" s="124"/>
      <c r="N1958" s="124"/>
      <c r="O1958" s="124"/>
      <c r="T1958" s="126">
        <f>IFERROR(__xludf.DUMMYFUNCTION("""COMPUTED_VALUE"""),46059.0)</f>
        <v>46059</v>
      </c>
      <c r="U1958" s="124" t="str">
        <f>IFERROR(__xludf.DUMMYFUNCTION("""COMPUTED_VALUE"""),"Paid Ads")</f>
        <v>Paid Ads</v>
      </c>
      <c r="V1958" s="124" t="str">
        <f>IFERROR(__xludf.DUMMYFUNCTION("""COMPUTED_VALUE"""),"facebook")</f>
        <v>facebook</v>
      </c>
      <c r="W1958" s="124" t="str">
        <f>IFERROR(__xludf.DUMMYFUNCTION("""COMPUTED_VALUE"""),"delhi")</f>
        <v>delhi</v>
      </c>
      <c r="X1958" s="124" t="str">
        <f>IFERROR(__xludf.DUMMYFUNCTION("""COMPUTED_VALUE"""),"fbleads")</f>
        <v>fbleads</v>
      </c>
      <c r="Y1958" s="124" t="str">
        <f>IFERROR(__xludf.DUMMYFUNCTION("""COMPUTED_VALUE"""),"Delhi")</f>
        <v>Delhi</v>
      </c>
      <c r="Z1958" s="124">
        <f>IFERROR(__xludf.DUMMYFUNCTION("""COMPUTED_VALUE"""),1.0)</f>
        <v>1</v>
      </c>
      <c r="AA1958" s="124" t="str">
        <f>IFERROR(__xludf.DUMMYFUNCTION("""COMPUTED_VALUE"""),"Cold")</f>
        <v>Cold</v>
      </c>
      <c r="AB1958" s="124" t="str">
        <f>IFERROR(__xludf.DUMMYFUNCTION("""COMPUTED_VALUE"""),"GS Foundation")</f>
        <v>GS Foundation</v>
      </c>
    </row>
    <row r="1959">
      <c r="A1959" s="126">
        <f>IFERROR(__xludf.DUMMYFUNCTION("""COMPUTED_VALUE"""),46070.0)</f>
        <v>46070</v>
      </c>
      <c r="B1959" s="124" t="str">
        <f>IFERROR(__xludf.DUMMYFUNCTION("""COMPUTED_VALUE"""),"Walk-In")</f>
        <v>Walk-In</v>
      </c>
      <c r="C1959" s="124" t="str">
        <f>IFERROR(__xludf.DUMMYFUNCTION("""COMPUTED_VALUE"""),"Delhi")</f>
        <v>Delhi</v>
      </c>
      <c r="D1959" s="124" t="str">
        <f>IFERROR(__xludf.DUMMYFUNCTION("""COMPUTED_VALUE"""),"Primary_Walkin")</f>
        <v>Primary_Walkin</v>
      </c>
      <c r="E1959" s="124">
        <f>IFERROR(__xludf.DUMMYFUNCTION("""COMPUTED_VALUE"""),1.0)</f>
        <v>1</v>
      </c>
      <c r="F1959" s="124" t="str">
        <f>IFERROR(__xludf.DUMMYFUNCTION("""COMPUTED_VALUE"""),"Not Interested")</f>
        <v>Not Interested</v>
      </c>
      <c r="G1959" s="124" t="str">
        <f>IFERROR(__xludf.DUMMYFUNCTION("""COMPUTED_VALUE"""),"GS Foundation")</f>
        <v>GS Foundation</v>
      </c>
      <c r="K1959" s="124"/>
      <c r="L1959" s="124"/>
      <c r="M1959" s="124"/>
      <c r="N1959" s="124"/>
      <c r="O1959" s="124"/>
      <c r="T1959" s="126">
        <f>IFERROR(__xludf.DUMMYFUNCTION("""COMPUTED_VALUE"""),46068.0)</f>
        <v>46068</v>
      </c>
      <c r="U1959" s="124" t="str">
        <f>IFERROR(__xludf.DUMMYFUNCTION("""COMPUTED_VALUE"""),"Telephony")</f>
        <v>Telephony</v>
      </c>
      <c r="V1959" s="124" t="str">
        <f>IFERROR(__xludf.DUMMYFUNCTION("""COMPUTED_VALUE"""),"Inbound Call")</f>
        <v>Inbound Call</v>
      </c>
      <c r="W1959" s="124" t="str">
        <f>IFERROR(__xludf.DUMMYFUNCTION("""COMPUTED_VALUE"""),"Inbound Call")</f>
        <v>Inbound Call</v>
      </c>
      <c r="X1959" s="124" t="str">
        <f>IFERROR(__xludf.DUMMYFUNCTION("""COMPUTED_VALUE"""),"Inbound Call")</f>
        <v>Inbound Call</v>
      </c>
      <c r="Y1959" s="124"/>
      <c r="Z1959" s="124">
        <f>IFERROR(__xludf.DUMMYFUNCTION("""COMPUTED_VALUE"""),2.0)</f>
        <v>2</v>
      </c>
      <c r="AA1959" s="124" t="str">
        <f>IFERROR(__xludf.DUMMYFUNCTION("""COMPUTED_VALUE"""),"Fake Lead")</f>
        <v>Fake Lead</v>
      </c>
      <c r="AB1959" s="124"/>
    </row>
    <row r="1960">
      <c r="A1960" s="126">
        <f>IFERROR(__xludf.DUMMYFUNCTION("""COMPUTED_VALUE"""),46106.0)</f>
        <v>46106</v>
      </c>
      <c r="B1960" s="124" t="str">
        <f>IFERROR(__xludf.DUMMYFUNCTION("""COMPUTED_VALUE"""),"Walk-In")</f>
        <v>Walk-In</v>
      </c>
      <c r="C1960" s="124" t="str">
        <f>IFERROR(__xludf.DUMMYFUNCTION("""COMPUTED_VALUE"""),"Delhi")</f>
        <v>Delhi</v>
      </c>
      <c r="D1960" s="124" t="str">
        <f>IFERROR(__xludf.DUMMYFUNCTION("""COMPUTED_VALUE"""),"Primary_Walkin")</f>
        <v>Primary_Walkin</v>
      </c>
      <c r="E1960" s="124">
        <f>IFERROR(__xludf.DUMMYFUNCTION("""COMPUTED_VALUE"""),1.0)</f>
        <v>1</v>
      </c>
      <c r="F1960" s="124" t="str">
        <f>IFERROR(__xludf.DUMMYFUNCTION("""COMPUTED_VALUE"""),"Not Interested")</f>
        <v>Not Interested</v>
      </c>
      <c r="G1960" s="124" t="str">
        <f>IFERROR(__xludf.DUMMYFUNCTION("""COMPUTED_VALUE"""),"GS Foundation")</f>
        <v>GS Foundation</v>
      </c>
      <c r="K1960" s="124"/>
      <c r="L1960" s="124"/>
      <c r="M1960" s="124"/>
      <c r="N1960" s="124"/>
      <c r="O1960" s="124"/>
      <c r="T1960" s="129">
        <f>IFERROR(__xludf.DUMMYFUNCTION("""COMPUTED_VALUE"""),46051.0)</f>
        <v>46051</v>
      </c>
      <c r="U1960" s="124" t="str">
        <f>IFERROR(__xludf.DUMMYFUNCTION("""COMPUTED_VALUE"""),"Telephony")</f>
        <v>Telephony</v>
      </c>
      <c r="V1960" s="124" t="str">
        <f>IFERROR(__xludf.DUMMYFUNCTION("""COMPUTED_VALUE"""),"Inbound Call")</f>
        <v>Inbound Call</v>
      </c>
      <c r="W1960" s="124">
        <f>IFERROR(__xludf.DUMMYFUNCTION("""COMPUTED_VALUE"""),9.18047861663E11)</f>
        <v>918047861663</v>
      </c>
      <c r="X1960" s="124" t="str">
        <f>IFERROR(__xludf.DUMMYFUNCTION("""COMPUTED_VALUE"""),"Inbound Call")</f>
        <v>Inbound Call</v>
      </c>
      <c r="Y1960" s="124"/>
      <c r="Z1960" s="124">
        <f>IFERROR(__xludf.DUMMYFUNCTION("""COMPUTED_VALUE"""),3.0)</f>
        <v>3</v>
      </c>
      <c r="AA1960" s="124" t="str">
        <f>IFERROR(__xludf.DUMMYFUNCTION("""COMPUTED_VALUE"""),"Fake Lead")</f>
        <v>Fake Lead</v>
      </c>
      <c r="AB1960" s="124"/>
    </row>
    <row r="1961">
      <c r="A1961" s="126">
        <f>IFERROR(__xludf.DUMMYFUNCTION("""COMPUTED_VALUE"""),46099.0)</f>
        <v>46099</v>
      </c>
      <c r="B1961" s="124" t="str">
        <f>IFERROR(__xludf.DUMMYFUNCTION("""COMPUTED_VALUE"""),"Walkin")</f>
        <v>Walkin</v>
      </c>
      <c r="C1961" s="124" t="str">
        <f>IFERROR(__xludf.DUMMYFUNCTION("""COMPUTED_VALUE"""),"Delhi")</f>
        <v>Delhi</v>
      </c>
      <c r="D1961" s="124" t="str">
        <f>IFERROR(__xludf.DUMMYFUNCTION("""COMPUTED_VALUE"""),"Primary_Walkin")</f>
        <v>Primary_Walkin</v>
      </c>
      <c r="E1961" s="124">
        <f>IFERROR(__xludf.DUMMYFUNCTION("""COMPUTED_VALUE"""),1.0)</f>
        <v>1</v>
      </c>
      <c r="F1961" s="124" t="str">
        <f>IFERROR(__xludf.DUMMYFUNCTION("""COMPUTED_VALUE"""),"Future Prospects")</f>
        <v>Future Prospects</v>
      </c>
      <c r="G1961" s="124" t="str">
        <f>IFERROR(__xludf.DUMMYFUNCTION("""COMPUTED_VALUE"""),"GS Advanced")</f>
        <v>GS Advanced</v>
      </c>
      <c r="K1961" s="124"/>
      <c r="L1961" s="124"/>
      <c r="M1961" s="124"/>
      <c r="N1961" s="124"/>
      <c r="O1961" s="124"/>
      <c r="T1961" s="129">
        <f>IFERROR(__xludf.DUMMYFUNCTION("""COMPUTED_VALUE"""),46062.0)</f>
        <v>46062</v>
      </c>
      <c r="U1961" s="124" t="str">
        <f>IFERROR(__xludf.DUMMYFUNCTION("""COMPUTED_VALUE"""),"Telephony")</f>
        <v>Telephony</v>
      </c>
      <c r="V1961" s="124" t="str">
        <f>IFERROR(__xludf.DUMMYFUNCTION("""COMPUTED_VALUE"""),"Inbound Call")</f>
        <v>Inbound Call</v>
      </c>
      <c r="W1961" s="124" t="str">
        <f>IFERROR(__xludf.DUMMYFUNCTION("""COMPUTED_VALUE"""),"Inbound Call")</f>
        <v>Inbound Call</v>
      </c>
      <c r="X1961" s="124" t="str">
        <f>IFERROR(__xludf.DUMMYFUNCTION("""COMPUTED_VALUE"""),"Inbound Call")</f>
        <v>Inbound Call</v>
      </c>
      <c r="Y1961" s="124" t="str">
        <f>IFERROR(__xludf.DUMMYFUNCTION("""COMPUTED_VALUE"""),"Indore")</f>
        <v>Indore</v>
      </c>
      <c r="Z1961" s="124">
        <f>IFERROR(__xludf.DUMMYFUNCTION("""COMPUTED_VALUE"""),1.0)</f>
        <v>1</v>
      </c>
      <c r="AA1961" s="124" t="str">
        <f>IFERROR(__xludf.DUMMYFUNCTION("""COMPUTED_VALUE"""),"Not Interested")</f>
        <v>Not Interested</v>
      </c>
      <c r="AB1961" s="124" t="str">
        <f>IFERROR(__xludf.DUMMYFUNCTION("""COMPUTED_VALUE"""),"Mentorship")</f>
        <v>Mentorship</v>
      </c>
    </row>
    <row r="1962">
      <c r="A1962" s="126">
        <f>IFERROR(__xludf.DUMMYFUNCTION("""COMPUTED_VALUE"""),46099.0)</f>
        <v>46099</v>
      </c>
      <c r="B1962" s="124" t="str">
        <f>IFERROR(__xludf.DUMMYFUNCTION("""COMPUTED_VALUE"""),"Walkin")</f>
        <v>Walkin</v>
      </c>
      <c r="C1962" s="124" t="str">
        <f>IFERROR(__xludf.DUMMYFUNCTION("""COMPUTED_VALUE"""),"Delhi")</f>
        <v>Delhi</v>
      </c>
      <c r="D1962" s="124" t="str">
        <f>IFERROR(__xludf.DUMMYFUNCTION("""COMPUTED_VALUE"""),"Primary_Walkin")</f>
        <v>Primary_Walkin</v>
      </c>
      <c r="E1962" s="124">
        <f>IFERROR(__xludf.DUMMYFUNCTION("""COMPUTED_VALUE"""),2.0)</f>
        <v>2</v>
      </c>
      <c r="F1962" s="124" t="str">
        <f>IFERROR(__xludf.DUMMYFUNCTION("""COMPUTED_VALUE"""),"Warm")</f>
        <v>Warm</v>
      </c>
      <c r="G1962" s="124" t="str">
        <f>IFERROR(__xludf.DUMMYFUNCTION("""COMPUTED_VALUE"""),"GS Foundation")</f>
        <v>GS Foundation</v>
      </c>
      <c r="K1962" s="124"/>
      <c r="L1962" s="124"/>
      <c r="M1962" s="124"/>
      <c r="N1962" s="124"/>
      <c r="O1962" s="124"/>
      <c r="T1962" s="126">
        <f>IFERROR(__xludf.DUMMYFUNCTION("""COMPUTED_VALUE"""),46056.0)</f>
        <v>46056</v>
      </c>
      <c r="U1962" s="124" t="str">
        <f>IFERROR(__xludf.DUMMYFUNCTION("""COMPUTED_VALUE"""),"Telephony")</f>
        <v>Telephony</v>
      </c>
      <c r="V1962" s="124" t="str">
        <f>IFERROR(__xludf.DUMMYFUNCTION("""COMPUTED_VALUE"""),"Inbound Call")</f>
        <v>Inbound Call</v>
      </c>
      <c r="W1962" s="124">
        <f>IFERROR(__xludf.DUMMYFUNCTION("""COMPUTED_VALUE"""),9.18047861631E11)</f>
        <v>918047861631</v>
      </c>
      <c r="X1962" s="124" t="str">
        <f>IFERROR(__xludf.DUMMYFUNCTION("""COMPUTED_VALUE"""),"Inbound Call")</f>
        <v>Inbound Call</v>
      </c>
      <c r="Y1962" s="124"/>
      <c r="Z1962" s="124">
        <f>IFERROR(__xludf.DUMMYFUNCTION("""COMPUTED_VALUE"""),2.0)</f>
        <v>2</v>
      </c>
      <c r="AA1962" s="124" t="str">
        <f>IFERROR(__xludf.DUMMYFUNCTION("""COMPUTED_VALUE"""),"Fake Lead")</f>
        <v>Fake Lead</v>
      </c>
      <c r="AB1962" s="124"/>
    </row>
    <row r="1963">
      <c r="A1963" s="129">
        <f>IFERROR(__xludf.DUMMYFUNCTION("""COMPUTED_VALUE"""),46057.0)</f>
        <v>46057</v>
      </c>
      <c r="B1963" s="124" t="str">
        <f>IFERROR(__xludf.DUMMYFUNCTION("""COMPUTED_VALUE"""),"Walk-In")</f>
        <v>Walk-In</v>
      </c>
      <c r="C1963" s="124" t="str">
        <f>IFERROR(__xludf.DUMMYFUNCTION("""COMPUTED_VALUE"""),"Delhi")</f>
        <v>Delhi</v>
      </c>
      <c r="D1963" s="124" t="str">
        <f>IFERROR(__xludf.DUMMYFUNCTION("""COMPUTED_VALUE"""),"Primary_Walkin")</f>
        <v>Primary_Walkin</v>
      </c>
      <c r="E1963" s="124">
        <f>IFERROR(__xludf.DUMMYFUNCTION("""COMPUTED_VALUE"""),1.0)</f>
        <v>1</v>
      </c>
      <c r="F1963" s="124" t="str">
        <f>IFERROR(__xludf.DUMMYFUNCTION("""COMPUTED_VALUE"""),"Cold")</f>
        <v>Cold</v>
      </c>
      <c r="G1963" s="124" t="str">
        <f>IFERROR(__xludf.DUMMYFUNCTION("""COMPUTED_VALUE"""),"GS Foundation")</f>
        <v>GS Foundation</v>
      </c>
      <c r="K1963" s="124"/>
      <c r="L1963" s="124"/>
      <c r="M1963" s="124"/>
      <c r="N1963" s="124"/>
      <c r="O1963" s="124"/>
      <c r="T1963" s="129">
        <f>IFERROR(__xludf.DUMMYFUNCTION("""COMPUTED_VALUE"""),46099.0)</f>
        <v>46099</v>
      </c>
      <c r="U1963" s="124" t="str">
        <f>IFERROR(__xludf.DUMMYFUNCTION("""COMPUTED_VALUE"""),"Telephony")</f>
        <v>Telephony</v>
      </c>
      <c r="V1963" s="124" t="str">
        <f>IFERROR(__xludf.DUMMYFUNCTION("""COMPUTED_VALUE"""),"Inbound Call")</f>
        <v>Inbound Call</v>
      </c>
      <c r="W1963" s="124">
        <f>IFERROR(__xludf.DUMMYFUNCTION("""COMPUTED_VALUE"""),9.18047861635E11)</f>
        <v>918047861635</v>
      </c>
      <c r="X1963" s="124" t="str">
        <f>IFERROR(__xludf.DUMMYFUNCTION("""COMPUTED_VALUE"""),"Inbound Call")</f>
        <v>Inbound Call</v>
      </c>
      <c r="Y1963" s="124" t="str">
        <f>IFERROR(__xludf.DUMMYFUNCTION("""COMPUTED_VALUE"""),"Indore")</f>
        <v>Indore</v>
      </c>
      <c r="Z1963" s="124">
        <f>IFERROR(__xludf.DUMMYFUNCTION("""COMPUTED_VALUE"""),1.0)</f>
        <v>1</v>
      </c>
      <c r="AA1963" s="124" t="str">
        <f>IFERROR(__xludf.DUMMYFUNCTION("""COMPUTED_VALUE"""),"Cold")</f>
        <v>Cold</v>
      </c>
      <c r="AB1963" s="124"/>
    </row>
    <row r="1964">
      <c r="A1964" s="126">
        <f>IFERROR(__xludf.DUMMYFUNCTION("""COMPUTED_VALUE"""),46107.0)</f>
        <v>46107</v>
      </c>
      <c r="B1964" s="124" t="str">
        <f>IFERROR(__xludf.DUMMYFUNCTION("""COMPUTED_VALUE"""),"Walkin")</f>
        <v>Walkin</v>
      </c>
      <c r="C1964" s="124" t="str">
        <f>IFERROR(__xludf.DUMMYFUNCTION("""COMPUTED_VALUE"""),"Delhi")</f>
        <v>Delhi</v>
      </c>
      <c r="D1964" s="124" t="str">
        <f>IFERROR(__xludf.DUMMYFUNCTION("""COMPUTED_VALUE"""),"Primary_Walkin")</f>
        <v>Primary_Walkin</v>
      </c>
      <c r="E1964" s="124">
        <f>IFERROR(__xludf.DUMMYFUNCTION("""COMPUTED_VALUE"""),1.0)</f>
        <v>1</v>
      </c>
      <c r="F1964" s="124" t="str">
        <f>IFERROR(__xludf.DUMMYFUNCTION("""COMPUTED_VALUE"""),"Interested")</f>
        <v>Interested</v>
      </c>
      <c r="G1964" s="124" t="str">
        <f>IFERROR(__xludf.DUMMYFUNCTION("""COMPUTED_VALUE"""),"GS Foundation")</f>
        <v>GS Foundation</v>
      </c>
      <c r="K1964" s="124"/>
      <c r="L1964" s="124"/>
      <c r="M1964" s="124"/>
      <c r="N1964" s="124"/>
      <c r="O1964" s="124"/>
      <c r="T1964" s="129">
        <f>IFERROR(__xludf.DUMMYFUNCTION("""COMPUTED_VALUE"""),46046.0)</f>
        <v>46046</v>
      </c>
      <c r="U1964" s="124" t="str">
        <f>IFERROR(__xludf.DUMMYFUNCTION("""COMPUTED_VALUE"""),"Telephony")</f>
        <v>Telephony</v>
      </c>
      <c r="V1964" s="124" t="str">
        <f>IFERROR(__xludf.DUMMYFUNCTION("""COMPUTED_VALUE"""),"Inbound Call")</f>
        <v>Inbound Call</v>
      </c>
      <c r="W1964" s="124">
        <f>IFERROR(__xludf.DUMMYFUNCTION("""COMPUTED_VALUE"""),9.18047861635E11)</f>
        <v>918047861635</v>
      </c>
      <c r="X1964" s="124" t="str">
        <f>IFERROR(__xludf.DUMMYFUNCTION("""COMPUTED_VALUE"""),"Inbound Call")</f>
        <v>Inbound Call</v>
      </c>
      <c r="Y1964" s="124"/>
      <c r="Z1964" s="124">
        <f>IFERROR(__xludf.DUMMYFUNCTION("""COMPUTED_VALUE"""),1.0)</f>
        <v>1</v>
      </c>
      <c r="AA1964" s="124" t="str">
        <f>IFERROR(__xludf.DUMMYFUNCTION("""COMPUTED_VALUE"""),"Not Interested")</f>
        <v>Not Interested</v>
      </c>
      <c r="AB1964" s="124"/>
    </row>
    <row r="1965">
      <c r="A1965" s="126">
        <f>IFERROR(__xludf.DUMMYFUNCTION("""COMPUTED_VALUE"""),46069.0)</f>
        <v>46069</v>
      </c>
      <c r="B1965" s="124" t="str">
        <f>IFERROR(__xludf.DUMMYFUNCTION("""COMPUTED_VALUE"""),"Walkin")</f>
        <v>Walkin</v>
      </c>
      <c r="C1965" s="124" t="str">
        <f>IFERROR(__xludf.DUMMYFUNCTION("""COMPUTED_VALUE"""),"Delhi")</f>
        <v>Delhi</v>
      </c>
      <c r="D1965" s="124" t="str">
        <f>IFERROR(__xludf.DUMMYFUNCTION("""COMPUTED_VALUE"""),"Primary_Walkin")</f>
        <v>Primary_Walkin</v>
      </c>
      <c r="E1965" s="124">
        <f>IFERROR(__xludf.DUMMYFUNCTION("""COMPUTED_VALUE"""),2.0)</f>
        <v>2</v>
      </c>
      <c r="F1965" s="124" t="str">
        <f>IFERROR(__xludf.DUMMYFUNCTION("""COMPUTED_VALUE"""),"Not Interested")</f>
        <v>Not Interested</v>
      </c>
      <c r="G1965" s="124" t="str">
        <f>IFERROR(__xludf.DUMMYFUNCTION("""COMPUTED_VALUE"""),"GS Foundation")</f>
        <v>GS Foundation</v>
      </c>
      <c r="K1965" s="124"/>
      <c r="L1965" s="124"/>
      <c r="M1965" s="124"/>
      <c r="N1965" s="124"/>
      <c r="O1965" s="124"/>
      <c r="T1965" s="126">
        <f>IFERROR(__xludf.DUMMYFUNCTION("""COMPUTED_VALUE"""),46074.0)</f>
        <v>46074</v>
      </c>
      <c r="U1965" s="124" t="str">
        <f>IFERROR(__xludf.DUMMYFUNCTION("""COMPUTED_VALUE"""),"Telephony")</f>
        <v>Telephony</v>
      </c>
      <c r="V1965" s="124" t="str">
        <f>IFERROR(__xludf.DUMMYFUNCTION("""COMPUTED_VALUE"""),"Inbound Call")</f>
        <v>Inbound Call</v>
      </c>
      <c r="W1965" s="124">
        <f>IFERROR(__xludf.DUMMYFUNCTION("""COMPUTED_VALUE"""),9.18047861632E11)</f>
        <v>918047861632</v>
      </c>
      <c r="X1965" s="124" t="str">
        <f>IFERROR(__xludf.DUMMYFUNCTION("""COMPUTED_VALUE"""),"Inbound Call")</f>
        <v>Inbound Call</v>
      </c>
      <c r="Y1965" s="124"/>
      <c r="Z1965" s="124">
        <f>IFERROR(__xludf.DUMMYFUNCTION("""COMPUTED_VALUE"""),1.0)</f>
        <v>1</v>
      </c>
      <c r="AA1965" s="124" t="str">
        <f>IFERROR(__xludf.DUMMYFUNCTION("""COMPUTED_VALUE"""),"Not Interested")</f>
        <v>Not Interested</v>
      </c>
      <c r="AB1965" s="124"/>
    </row>
    <row r="1966">
      <c r="A1966" s="126">
        <f>IFERROR(__xludf.DUMMYFUNCTION("""COMPUTED_VALUE"""),46071.0)</f>
        <v>46071</v>
      </c>
      <c r="B1966" s="124" t="str">
        <f>IFERROR(__xludf.DUMMYFUNCTION("""COMPUTED_VALUE"""),"Walk-In")</f>
        <v>Walk-In</v>
      </c>
      <c r="C1966" s="124" t="str">
        <f>IFERROR(__xludf.DUMMYFUNCTION("""COMPUTED_VALUE"""),"Delhi")</f>
        <v>Delhi</v>
      </c>
      <c r="D1966" s="124" t="str">
        <f>IFERROR(__xludf.DUMMYFUNCTION("""COMPUTED_VALUE"""),"Primary_Walkin")</f>
        <v>Primary_Walkin</v>
      </c>
      <c r="E1966" s="124">
        <f>IFERROR(__xludf.DUMMYFUNCTION("""COMPUTED_VALUE"""),1.0)</f>
        <v>1</v>
      </c>
      <c r="F1966" s="124" t="str">
        <f>IFERROR(__xludf.DUMMYFUNCTION("""COMPUTED_VALUE"""),"Fake Lead")</f>
        <v>Fake Lead</v>
      </c>
      <c r="G1966" s="124" t="str">
        <f>IFERROR(__xludf.DUMMYFUNCTION("""COMPUTED_VALUE"""),"GS Foundation")</f>
        <v>GS Foundation</v>
      </c>
      <c r="K1966" s="124"/>
      <c r="L1966" s="124"/>
      <c r="M1966" s="124"/>
      <c r="N1966" s="124"/>
      <c r="O1966" s="124"/>
      <c r="T1966" s="126">
        <f>IFERROR(__xludf.DUMMYFUNCTION("""COMPUTED_VALUE"""),46077.0)</f>
        <v>46077</v>
      </c>
      <c r="U1966" s="124" t="str">
        <f>IFERROR(__xludf.DUMMYFUNCTION("""COMPUTED_VALUE"""),"Telephony")</f>
        <v>Telephony</v>
      </c>
      <c r="V1966" s="124" t="str">
        <f>IFERROR(__xludf.DUMMYFUNCTION("""COMPUTED_VALUE"""),"Inbound Call")</f>
        <v>Inbound Call</v>
      </c>
      <c r="W1966" s="124">
        <f>IFERROR(__xludf.DUMMYFUNCTION("""COMPUTED_VALUE"""),9.18047861631E11)</f>
        <v>918047861631</v>
      </c>
      <c r="X1966" s="124" t="str">
        <f>IFERROR(__xludf.DUMMYFUNCTION("""COMPUTED_VALUE"""),"Inbound Call")</f>
        <v>Inbound Call</v>
      </c>
      <c r="Y1966" s="124" t="str">
        <f>IFERROR(__xludf.DUMMYFUNCTION("""COMPUTED_VALUE"""),"Delhi")</f>
        <v>Delhi</v>
      </c>
      <c r="Z1966" s="124">
        <f>IFERROR(__xludf.DUMMYFUNCTION("""COMPUTED_VALUE"""),2.0)</f>
        <v>2</v>
      </c>
      <c r="AA1966" s="124" t="str">
        <f>IFERROR(__xludf.DUMMYFUNCTION("""COMPUTED_VALUE"""),"Cold")</f>
        <v>Cold</v>
      </c>
      <c r="AB1966" s="124"/>
    </row>
    <row r="1967">
      <c r="A1967" s="126">
        <f>IFERROR(__xludf.DUMMYFUNCTION("""COMPUTED_VALUE"""),46079.0)</f>
        <v>46079</v>
      </c>
      <c r="B1967" s="124" t="str">
        <f>IFERROR(__xludf.DUMMYFUNCTION("""COMPUTED_VALUE"""),"Walkin")</f>
        <v>Walkin</v>
      </c>
      <c r="C1967" s="124" t="str">
        <f>IFERROR(__xludf.DUMMYFUNCTION("""COMPUTED_VALUE"""),"Delhi")</f>
        <v>Delhi</v>
      </c>
      <c r="D1967" s="124" t="str">
        <f>IFERROR(__xludf.DUMMYFUNCTION("""COMPUTED_VALUE"""),"Primary_Walkin")</f>
        <v>Primary_Walkin</v>
      </c>
      <c r="E1967" s="124">
        <f>IFERROR(__xludf.DUMMYFUNCTION("""COMPUTED_VALUE"""),3.0)</f>
        <v>3</v>
      </c>
      <c r="F1967" s="124" t="str">
        <f>IFERROR(__xludf.DUMMYFUNCTION("""COMPUTED_VALUE"""),"Cold")</f>
        <v>Cold</v>
      </c>
      <c r="G1967" s="124" t="str">
        <f>IFERROR(__xludf.DUMMYFUNCTION("""COMPUTED_VALUE"""),"GS Foundation")</f>
        <v>GS Foundation</v>
      </c>
      <c r="K1967" s="124"/>
      <c r="L1967" s="124"/>
      <c r="M1967" s="124"/>
      <c r="N1967" s="124"/>
      <c r="O1967" s="124"/>
      <c r="T1967" s="126">
        <f>IFERROR(__xludf.DUMMYFUNCTION("""COMPUTED_VALUE"""),46049.0)</f>
        <v>46049</v>
      </c>
      <c r="U1967" s="124" t="str">
        <f>IFERROR(__xludf.DUMMYFUNCTION("""COMPUTED_VALUE"""),"Telephony")</f>
        <v>Telephony</v>
      </c>
      <c r="V1967" s="124" t="str">
        <f>IFERROR(__xludf.DUMMYFUNCTION("""COMPUTED_VALUE"""),"Inbound Call")</f>
        <v>Inbound Call</v>
      </c>
      <c r="W1967" s="124">
        <f>IFERROR(__xludf.DUMMYFUNCTION("""COMPUTED_VALUE"""),9.18047861663E11)</f>
        <v>918047861663</v>
      </c>
      <c r="X1967" s="124" t="str">
        <f>IFERROR(__xludf.DUMMYFUNCTION("""COMPUTED_VALUE"""),"Inbound Call")</f>
        <v>Inbound Call</v>
      </c>
      <c r="Y1967" s="124" t="str">
        <f>IFERROR(__xludf.DUMMYFUNCTION("""COMPUTED_VALUE"""),"Delhi")</f>
        <v>Delhi</v>
      </c>
      <c r="Z1967" s="124">
        <f>IFERROR(__xludf.DUMMYFUNCTION("""COMPUTED_VALUE"""),2.0)</f>
        <v>2</v>
      </c>
      <c r="AA1967" s="124" t="str">
        <f>IFERROR(__xludf.DUMMYFUNCTION("""COMPUTED_VALUE"""),"Cold")</f>
        <v>Cold</v>
      </c>
      <c r="AB1967" s="124"/>
    </row>
    <row r="1968">
      <c r="A1968" s="129">
        <f>IFERROR(__xludf.DUMMYFUNCTION("""COMPUTED_VALUE"""),46090.0)</f>
        <v>46090</v>
      </c>
      <c r="B1968" s="124" t="str">
        <f>IFERROR(__xludf.DUMMYFUNCTION("""COMPUTED_VALUE"""),"external leads")</f>
        <v>external leads</v>
      </c>
      <c r="C1968" s="124" t="str">
        <f>IFERROR(__xludf.DUMMYFUNCTION("""COMPUTED_VALUE"""),"Delhi")</f>
        <v>Delhi</v>
      </c>
      <c r="D1968" s="124" t="str">
        <f>IFERROR(__xludf.DUMMYFUNCTION("""COMPUTED_VALUE"""),"Secondary_Walkin")</f>
        <v>Secondary_Walkin</v>
      </c>
      <c r="E1968" s="124">
        <f>IFERROR(__xludf.DUMMYFUNCTION("""COMPUTED_VALUE"""),1.0)</f>
        <v>1</v>
      </c>
      <c r="F1968" s="124" t="str">
        <f>IFERROR(__xludf.DUMMYFUNCTION("""COMPUTED_VALUE"""),"Not Interested")</f>
        <v>Not Interested</v>
      </c>
      <c r="G1968" s="124" t="str">
        <f>IFERROR(__xludf.DUMMYFUNCTION("""COMPUTED_VALUE"""),"GS Foundation")</f>
        <v>GS Foundation</v>
      </c>
      <c r="K1968" s="124"/>
      <c r="L1968" s="124"/>
      <c r="M1968" s="124"/>
      <c r="N1968" s="124"/>
      <c r="O1968" s="124"/>
      <c r="T1968" s="126">
        <f>IFERROR(__xludf.DUMMYFUNCTION("""COMPUTED_VALUE"""),46100.0)</f>
        <v>46100</v>
      </c>
      <c r="U1968" s="124" t="str">
        <f>IFERROR(__xludf.DUMMYFUNCTION("""COMPUTED_VALUE"""),"Telephony")</f>
        <v>Telephony</v>
      </c>
      <c r="V1968" s="124" t="str">
        <f>IFERROR(__xludf.DUMMYFUNCTION("""COMPUTED_VALUE"""),"Inbound Call")</f>
        <v>Inbound Call</v>
      </c>
      <c r="W1968" s="124">
        <f>IFERROR(__xludf.DUMMYFUNCTION("""COMPUTED_VALUE"""),9.18047861635E11)</f>
        <v>918047861635</v>
      </c>
      <c r="X1968" s="124" t="str">
        <f>IFERROR(__xludf.DUMMYFUNCTION("""COMPUTED_VALUE"""),"Inbound Call")</f>
        <v>Inbound Call</v>
      </c>
      <c r="Y1968" s="124" t="str">
        <f>IFERROR(__xludf.DUMMYFUNCTION("""COMPUTED_VALUE"""),"Indore")</f>
        <v>Indore</v>
      </c>
      <c r="Z1968" s="124">
        <f>IFERROR(__xludf.DUMMYFUNCTION("""COMPUTED_VALUE"""),1.0)</f>
        <v>1</v>
      </c>
      <c r="AA1968" s="124" t="str">
        <f>IFERROR(__xludf.DUMMYFUNCTION("""COMPUTED_VALUE"""),"Warm")</f>
        <v>Warm</v>
      </c>
      <c r="AB1968" s="124" t="str">
        <f>IFERROR(__xludf.DUMMYFUNCTION("""COMPUTED_VALUE"""),"Test Series")</f>
        <v>Test Series</v>
      </c>
    </row>
    <row r="1969">
      <c r="A1969" s="126">
        <f>IFERROR(__xludf.DUMMYFUNCTION("""COMPUTED_VALUE"""),46093.0)</f>
        <v>46093</v>
      </c>
      <c r="B1969" s="124" t="str">
        <f>IFERROR(__xludf.DUMMYFUNCTION("""COMPUTED_VALUE"""),"Walkin")</f>
        <v>Walkin</v>
      </c>
      <c r="C1969" s="124" t="str">
        <f>IFERROR(__xludf.DUMMYFUNCTION("""COMPUTED_VALUE"""),"Delhi")</f>
        <v>Delhi</v>
      </c>
      <c r="D1969" s="124" t="str">
        <f>IFERROR(__xludf.DUMMYFUNCTION("""COMPUTED_VALUE"""),"Primary_Walkin")</f>
        <v>Primary_Walkin</v>
      </c>
      <c r="E1969" s="124">
        <f>IFERROR(__xludf.DUMMYFUNCTION("""COMPUTED_VALUE"""),1.0)</f>
        <v>1</v>
      </c>
      <c r="F1969" s="124" t="str">
        <f>IFERROR(__xludf.DUMMYFUNCTION("""COMPUTED_VALUE"""),"Not Interested")</f>
        <v>Not Interested</v>
      </c>
      <c r="G1969" s="124" t="str">
        <f>IFERROR(__xludf.DUMMYFUNCTION("""COMPUTED_VALUE"""),"GS Foundation")</f>
        <v>GS Foundation</v>
      </c>
      <c r="K1969" s="124"/>
      <c r="L1969" s="124"/>
      <c r="M1969" s="124"/>
      <c r="N1969" s="124"/>
      <c r="O1969" s="124"/>
      <c r="T1969" s="126">
        <f>IFERROR(__xludf.DUMMYFUNCTION("""COMPUTED_VALUE"""),46081.0)</f>
        <v>46081</v>
      </c>
      <c r="U1969" s="124" t="str">
        <f>IFERROR(__xludf.DUMMYFUNCTION("""COMPUTED_VALUE"""),"Telephony")</f>
        <v>Telephony</v>
      </c>
      <c r="V1969" s="124" t="str">
        <f>IFERROR(__xludf.DUMMYFUNCTION("""COMPUTED_VALUE"""),"Inbound Call")</f>
        <v>Inbound Call</v>
      </c>
      <c r="W1969" s="124">
        <f>IFERROR(__xludf.DUMMYFUNCTION("""COMPUTED_VALUE"""),9.18047861663E11)</f>
        <v>918047861663</v>
      </c>
      <c r="X1969" s="124" t="str">
        <f>IFERROR(__xludf.DUMMYFUNCTION("""COMPUTED_VALUE"""),"Inbound Call")</f>
        <v>Inbound Call</v>
      </c>
      <c r="Y1969" s="124"/>
      <c r="Z1969" s="124">
        <f>IFERROR(__xludf.DUMMYFUNCTION("""COMPUTED_VALUE"""),1.0)</f>
        <v>1</v>
      </c>
      <c r="AA1969" s="124" t="str">
        <f>IFERROR(__xludf.DUMMYFUNCTION("""COMPUTED_VALUE"""),"Cold")</f>
        <v>Cold</v>
      </c>
      <c r="AB1969" s="124"/>
    </row>
    <row r="1970">
      <c r="A1970" s="129">
        <f>IFERROR(__xludf.DUMMYFUNCTION("""COMPUTED_VALUE"""),46057.0)</f>
        <v>46057</v>
      </c>
      <c r="B1970" s="124" t="str">
        <f>IFERROR(__xludf.DUMMYFUNCTION("""COMPUTED_VALUE"""),"Walkin")</f>
        <v>Walkin</v>
      </c>
      <c r="C1970" s="124" t="str">
        <f>IFERROR(__xludf.DUMMYFUNCTION("""COMPUTED_VALUE"""),"Delhi")</f>
        <v>Delhi</v>
      </c>
      <c r="D1970" s="124" t="str">
        <f>IFERROR(__xludf.DUMMYFUNCTION("""COMPUTED_VALUE"""),"Primary_Walkin")</f>
        <v>Primary_Walkin</v>
      </c>
      <c r="E1970" s="124">
        <f>IFERROR(__xludf.DUMMYFUNCTION("""COMPUTED_VALUE"""),1.0)</f>
        <v>1</v>
      </c>
      <c r="F1970" s="124" t="str">
        <f>IFERROR(__xludf.DUMMYFUNCTION("""COMPUTED_VALUE"""),"Cold")</f>
        <v>Cold</v>
      </c>
      <c r="G1970" s="124" t="str">
        <f>IFERROR(__xludf.DUMMYFUNCTION("""COMPUTED_VALUE"""),"SIP Offline")</f>
        <v>SIP Offline</v>
      </c>
      <c r="K1970" s="124"/>
      <c r="L1970" s="124"/>
      <c r="M1970" s="124"/>
      <c r="N1970" s="124"/>
      <c r="O1970" s="124"/>
      <c r="T1970" s="126">
        <f>IFERROR(__xludf.DUMMYFUNCTION("""COMPUTED_VALUE"""),46060.0)</f>
        <v>46060</v>
      </c>
      <c r="U1970" s="124" t="str">
        <f>IFERROR(__xludf.DUMMYFUNCTION("""COMPUTED_VALUE"""),"Telephony")</f>
        <v>Telephony</v>
      </c>
      <c r="V1970" s="124" t="str">
        <f>IFERROR(__xludf.DUMMYFUNCTION("""COMPUTED_VALUE"""),"Inbound Call")</f>
        <v>Inbound Call</v>
      </c>
      <c r="W1970" s="124">
        <f>IFERROR(__xludf.DUMMYFUNCTION("""COMPUTED_VALUE"""),9.18047861631E11)</f>
        <v>918047861631</v>
      </c>
      <c r="X1970" s="124" t="str">
        <f>IFERROR(__xludf.DUMMYFUNCTION("""COMPUTED_VALUE"""),"Inbound Call")</f>
        <v>Inbound Call</v>
      </c>
      <c r="Y1970" s="124"/>
      <c r="Z1970" s="124">
        <f>IFERROR(__xludf.DUMMYFUNCTION("""COMPUTED_VALUE"""),4.0)</f>
        <v>4</v>
      </c>
      <c r="AA1970" s="124" t="str">
        <f>IFERROR(__xludf.DUMMYFUNCTION("""COMPUTED_VALUE"""),"Cold")</f>
        <v>Cold</v>
      </c>
      <c r="AB1970" s="124"/>
    </row>
    <row r="1971">
      <c r="A1971" s="126">
        <f>IFERROR(__xludf.DUMMYFUNCTION("""COMPUTED_VALUE"""),46077.0)</f>
        <v>46077</v>
      </c>
      <c r="B1971" s="124" t="str">
        <f>IFERROR(__xludf.DUMMYFUNCTION("""COMPUTED_VALUE"""),"Inbound Call")</f>
        <v>Inbound Call</v>
      </c>
      <c r="C1971" s="124" t="str">
        <f>IFERROR(__xludf.DUMMYFUNCTION("""COMPUTED_VALUE"""),"Delhi")</f>
        <v>Delhi</v>
      </c>
      <c r="D1971" s="124" t="str">
        <f>IFERROR(__xludf.DUMMYFUNCTION("""COMPUTED_VALUE"""),"Secondary_Walkin")</f>
        <v>Secondary_Walkin</v>
      </c>
      <c r="E1971" s="124">
        <f>IFERROR(__xludf.DUMMYFUNCTION("""COMPUTED_VALUE"""),1.0)</f>
        <v>1</v>
      </c>
      <c r="F1971" s="124" t="str">
        <f>IFERROR(__xludf.DUMMYFUNCTION("""COMPUTED_VALUE"""),"Warm")</f>
        <v>Warm</v>
      </c>
      <c r="G1971" s="124" t="str">
        <f>IFERROR(__xludf.DUMMYFUNCTION("""COMPUTED_VALUE"""),"GS Foundation")</f>
        <v>GS Foundation</v>
      </c>
      <c r="K1971" s="124"/>
      <c r="L1971" s="124"/>
      <c r="M1971" s="124"/>
      <c r="N1971" s="124"/>
      <c r="O1971" s="124"/>
      <c r="T1971" s="126">
        <f>IFERROR(__xludf.DUMMYFUNCTION("""COMPUTED_VALUE"""),46099.0)</f>
        <v>46099</v>
      </c>
      <c r="U1971" s="124" t="str">
        <f>IFERROR(__xludf.DUMMYFUNCTION("""COMPUTED_VALUE"""),"Telephony")</f>
        <v>Telephony</v>
      </c>
      <c r="V1971" s="124" t="str">
        <f>IFERROR(__xludf.DUMMYFUNCTION("""COMPUTED_VALUE"""),"Inbound Call")</f>
        <v>Inbound Call</v>
      </c>
      <c r="W1971" s="124">
        <f>IFERROR(__xludf.DUMMYFUNCTION("""COMPUTED_VALUE"""),9.18047861634E11)</f>
        <v>918047861634</v>
      </c>
      <c r="X1971" s="124" t="str">
        <f>IFERROR(__xludf.DUMMYFUNCTION("""COMPUTED_VALUE"""),"Inbound Call")</f>
        <v>Inbound Call</v>
      </c>
      <c r="Y1971" s="124"/>
      <c r="Z1971" s="124">
        <f>IFERROR(__xludf.DUMMYFUNCTION("""COMPUTED_VALUE"""),1.0)</f>
        <v>1</v>
      </c>
      <c r="AA1971" s="124" t="str">
        <f>IFERROR(__xludf.DUMMYFUNCTION("""COMPUTED_VALUE"""),"Cold")</f>
        <v>Cold</v>
      </c>
      <c r="AB1971" s="124"/>
    </row>
    <row r="1972">
      <c r="A1972" s="126">
        <f>IFERROR(__xludf.DUMMYFUNCTION("""COMPUTED_VALUE"""),46079.0)</f>
        <v>46079</v>
      </c>
      <c r="B1972" s="124" t="str">
        <f>IFERROR(__xludf.DUMMYFUNCTION("""COMPUTED_VALUE"""),"Walkin")</f>
        <v>Walkin</v>
      </c>
      <c r="C1972" s="124" t="str">
        <f>IFERROR(__xludf.DUMMYFUNCTION("""COMPUTED_VALUE"""),"Indore")</f>
        <v>Indore</v>
      </c>
      <c r="D1972" s="124" t="str">
        <f>IFERROR(__xludf.DUMMYFUNCTION("""COMPUTED_VALUE"""),"Primary_Walkin")</f>
        <v>Primary_Walkin</v>
      </c>
      <c r="E1972" s="124">
        <f>IFERROR(__xludf.DUMMYFUNCTION("""COMPUTED_VALUE"""),1.0)</f>
        <v>1</v>
      </c>
      <c r="F1972" s="124" t="str">
        <f>IFERROR(__xludf.DUMMYFUNCTION("""COMPUTED_VALUE"""),"Cold")</f>
        <v>Cold</v>
      </c>
      <c r="G1972" s="124" t="str">
        <f>IFERROR(__xludf.DUMMYFUNCTION("""COMPUTED_VALUE"""),"State PCS")</f>
        <v>State PCS</v>
      </c>
      <c r="K1972" s="124"/>
      <c r="L1972" s="124"/>
      <c r="M1972" s="124"/>
      <c r="N1972" s="124"/>
      <c r="O1972" s="124"/>
      <c r="T1972" s="126">
        <f>IFERROR(__xludf.DUMMYFUNCTION("""COMPUTED_VALUE"""),46072.0)</f>
        <v>46072</v>
      </c>
      <c r="U1972" s="124" t="str">
        <f>IFERROR(__xludf.DUMMYFUNCTION("""COMPUTED_VALUE"""),"Telephony")</f>
        <v>Telephony</v>
      </c>
      <c r="V1972" s="124" t="str">
        <f>IFERROR(__xludf.DUMMYFUNCTION("""COMPUTED_VALUE"""),"Inbound Call")</f>
        <v>Inbound Call</v>
      </c>
      <c r="W1972" s="124" t="str">
        <f>IFERROR(__xludf.DUMMYFUNCTION("""COMPUTED_VALUE"""),"Inbound Call")</f>
        <v>Inbound Call</v>
      </c>
      <c r="X1972" s="124" t="str">
        <f>IFERROR(__xludf.DUMMYFUNCTION("""COMPUTED_VALUE"""),"Inbound Call")</f>
        <v>Inbound Call</v>
      </c>
      <c r="Y1972" s="124"/>
      <c r="Z1972" s="124">
        <f>IFERROR(__xludf.DUMMYFUNCTION("""COMPUTED_VALUE"""),1.0)</f>
        <v>1</v>
      </c>
      <c r="AA1972" s="124" t="str">
        <f>IFERROR(__xludf.DUMMYFUNCTION("""COMPUTED_VALUE"""),"Cold")</f>
        <v>Cold</v>
      </c>
      <c r="AB1972" s="124"/>
    </row>
    <row r="1973">
      <c r="A1973" s="129">
        <f>IFERROR(__xludf.DUMMYFUNCTION("""COMPUTED_VALUE"""),46082.0)</f>
        <v>46082</v>
      </c>
      <c r="B1973" s="124" t="str">
        <f>IFERROR(__xludf.DUMMYFUNCTION("""COMPUTED_VALUE"""),"Walkin")</f>
        <v>Walkin</v>
      </c>
      <c r="C1973" s="124" t="str">
        <f>IFERROR(__xludf.DUMMYFUNCTION("""COMPUTED_VALUE"""),"Indore")</f>
        <v>Indore</v>
      </c>
      <c r="D1973" s="124" t="str">
        <f>IFERROR(__xludf.DUMMYFUNCTION("""COMPUTED_VALUE"""),"Primary_Walkin")</f>
        <v>Primary_Walkin</v>
      </c>
      <c r="E1973" s="124">
        <f>IFERROR(__xludf.DUMMYFUNCTION("""COMPUTED_VALUE"""),1.0)</f>
        <v>1</v>
      </c>
      <c r="F1973" s="124" t="str">
        <f>IFERROR(__xludf.DUMMYFUNCTION("""COMPUTED_VALUE"""),"Enrolled")</f>
        <v>Enrolled</v>
      </c>
      <c r="G1973" s="124" t="str">
        <f>IFERROR(__xludf.DUMMYFUNCTION("""COMPUTED_VALUE"""),"GS Foundation")</f>
        <v>GS Foundation</v>
      </c>
      <c r="K1973" s="124"/>
      <c r="L1973" s="124"/>
      <c r="M1973" s="124"/>
      <c r="N1973" s="124"/>
      <c r="O1973" s="124"/>
      <c r="T1973" s="126">
        <f>IFERROR(__xludf.DUMMYFUNCTION("""COMPUTED_VALUE"""),46058.0)</f>
        <v>46058</v>
      </c>
      <c r="U1973" s="124" t="str">
        <f>IFERROR(__xludf.DUMMYFUNCTION("""COMPUTED_VALUE"""),"Telephony")</f>
        <v>Telephony</v>
      </c>
      <c r="V1973" s="124" t="str">
        <f>IFERROR(__xludf.DUMMYFUNCTION("""COMPUTED_VALUE"""),"Inbound Call")</f>
        <v>Inbound Call</v>
      </c>
      <c r="W1973" s="124" t="str">
        <f>IFERROR(__xludf.DUMMYFUNCTION("""COMPUTED_VALUE"""),"Inbound Call")</f>
        <v>Inbound Call</v>
      </c>
      <c r="X1973" s="124" t="str">
        <f>IFERROR(__xludf.DUMMYFUNCTION("""COMPUTED_VALUE"""),"Inbound Call")</f>
        <v>Inbound Call</v>
      </c>
      <c r="Y1973" s="124"/>
      <c r="Z1973" s="124">
        <f>IFERROR(__xludf.DUMMYFUNCTION("""COMPUTED_VALUE"""),2.0)</f>
        <v>2</v>
      </c>
      <c r="AA1973" s="124" t="str">
        <f>IFERROR(__xludf.DUMMYFUNCTION("""COMPUTED_VALUE"""),"Fake Lead")</f>
        <v>Fake Lead</v>
      </c>
      <c r="AB1973" s="124"/>
    </row>
    <row r="1974">
      <c r="A1974" s="126">
        <f>IFERROR(__xludf.DUMMYFUNCTION("""COMPUTED_VALUE"""),46111.0)</f>
        <v>46111</v>
      </c>
      <c r="B1974" s="124" t="str">
        <f>IFERROR(__xludf.DUMMYFUNCTION("""COMPUTED_VALUE"""),"external leads")</f>
        <v>external leads</v>
      </c>
      <c r="C1974" s="124" t="str">
        <f>IFERROR(__xludf.DUMMYFUNCTION("""COMPUTED_VALUE"""),"Indore")</f>
        <v>Indore</v>
      </c>
      <c r="D1974" s="124" t="str">
        <f>IFERROR(__xludf.DUMMYFUNCTION("""COMPUTED_VALUE"""),"Secondary_Walkin")</f>
        <v>Secondary_Walkin</v>
      </c>
      <c r="E1974" s="124">
        <f>IFERROR(__xludf.DUMMYFUNCTION("""COMPUTED_VALUE"""),1.0)</f>
        <v>1</v>
      </c>
      <c r="F1974" s="124" t="str">
        <f>IFERROR(__xludf.DUMMYFUNCTION("""COMPUTED_VALUE"""),"Warm")</f>
        <v>Warm</v>
      </c>
      <c r="G1974" s="124" t="str">
        <f>IFERROR(__xludf.DUMMYFUNCTION("""COMPUTED_VALUE"""),"Mentorship")</f>
        <v>Mentorship</v>
      </c>
      <c r="K1974" s="124"/>
      <c r="L1974" s="124"/>
      <c r="M1974" s="124"/>
      <c r="N1974" s="124"/>
      <c r="O1974" s="124"/>
      <c r="T1974" s="129">
        <f>IFERROR(__xludf.DUMMYFUNCTION("""COMPUTED_VALUE"""),46083.0)</f>
        <v>46083</v>
      </c>
      <c r="U1974" s="124" t="str">
        <f>IFERROR(__xludf.DUMMYFUNCTION("""COMPUTED_VALUE"""),"Telephony")</f>
        <v>Telephony</v>
      </c>
      <c r="V1974" s="124" t="str">
        <f>IFERROR(__xludf.DUMMYFUNCTION("""COMPUTED_VALUE"""),"Inbound Call")</f>
        <v>Inbound Call</v>
      </c>
      <c r="W1974" s="124" t="str">
        <f>IFERROR(__xludf.DUMMYFUNCTION("""COMPUTED_VALUE"""),"Inbound Call")</f>
        <v>Inbound Call</v>
      </c>
      <c r="X1974" s="124" t="str">
        <f>IFERROR(__xludf.DUMMYFUNCTION("""COMPUTED_VALUE"""),"Inbound Call")</f>
        <v>Inbound Call</v>
      </c>
      <c r="Y1974" s="124"/>
      <c r="Z1974" s="124">
        <f>IFERROR(__xludf.DUMMYFUNCTION("""COMPUTED_VALUE"""),1.0)</f>
        <v>1</v>
      </c>
      <c r="AA1974" s="124" t="str">
        <f>IFERROR(__xludf.DUMMYFUNCTION("""COMPUTED_VALUE"""),"Cold")</f>
        <v>Cold</v>
      </c>
      <c r="AB1974" s="124"/>
    </row>
    <row r="1975">
      <c r="A1975" s="126">
        <f>IFERROR(__xludf.DUMMYFUNCTION("""COMPUTED_VALUE"""),46093.0)</f>
        <v>46093</v>
      </c>
      <c r="B1975" s="124" t="str">
        <f>IFERROR(__xludf.DUMMYFUNCTION("""COMPUTED_VALUE"""),"Walkin")</f>
        <v>Walkin</v>
      </c>
      <c r="C1975" s="124" t="str">
        <f>IFERROR(__xludf.DUMMYFUNCTION("""COMPUTED_VALUE"""),"Indore")</f>
        <v>Indore</v>
      </c>
      <c r="D1975" s="124" t="str">
        <f>IFERROR(__xludf.DUMMYFUNCTION("""COMPUTED_VALUE"""),"Primary_Walkin")</f>
        <v>Primary_Walkin</v>
      </c>
      <c r="E1975" s="124">
        <f>IFERROR(__xludf.DUMMYFUNCTION("""COMPUTED_VALUE"""),1.0)</f>
        <v>1</v>
      </c>
      <c r="F1975" s="124" t="str">
        <f>IFERROR(__xludf.DUMMYFUNCTION("""COMPUTED_VALUE"""),"Cold")</f>
        <v>Cold</v>
      </c>
      <c r="G1975" s="124" t="str">
        <f>IFERROR(__xludf.DUMMYFUNCTION("""COMPUTED_VALUE"""),"GS Foundation")</f>
        <v>GS Foundation</v>
      </c>
      <c r="K1975" s="124"/>
      <c r="L1975" s="124"/>
      <c r="M1975" s="124"/>
      <c r="N1975" s="124"/>
      <c r="O1975" s="124"/>
      <c r="T1975" s="129">
        <f>IFERROR(__xludf.DUMMYFUNCTION("""COMPUTED_VALUE"""),46061.0)</f>
        <v>46061</v>
      </c>
      <c r="U1975" s="124" t="str">
        <f>IFERROR(__xludf.DUMMYFUNCTION("""COMPUTED_VALUE"""),"Telephony")</f>
        <v>Telephony</v>
      </c>
      <c r="V1975" s="124" t="str">
        <f>IFERROR(__xludf.DUMMYFUNCTION("""COMPUTED_VALUE"""),"Inbound Call")</f>
        <v>Inbound Call</v>
      </c>
      <c r="W1975" s="124">
        <f>IFERROR(__xludf.DUMMYFUNCTION("""COMPUTED_VALUE"""),9.18047861631E11)</f>
        <v>918047861631</v>
      </c>
      <c r="X1975" s="124" t="str">
        <f>IFERROR(__xludf.DUMMYFUNCTION("""COMPUTED_VALUE"""),"Inbound Call")</f>
        <v>Inbound Call</v>
      </c>
      <c r="Y1975" s="124"/>
      <c r="Z1975" s="124">
        <f>IFERROR(__xludf.DUMMYFUNCTION("""COMPUTED_VALUE"""),1.0)</f>
        <v>1</v>
      </c>
      <c r="AA1975" s="124" t="str">
        <f>IFERROR(__xludf.DUMMYFUNCTION("""COMPUTED_VALUE"""),"Fake Lead")</f>
        <v>Fake Lead</v>
      </c>
      <c r="AB1975" s="124"/>
    </row>
    <row r="1976">
      <c r="A1976" s="129">
        <f>IFERROR(__xludf.DUMMYFUNCTION("""COMPUTED_VALUE"""),46061.0)</f>
        <v>46061</v>
      </c>
      <c r="B1976" s="124" t="str">
        <f>IFERROR(__xludf.DUMMYFUNCTION("""COMPUTED_VALUE"""),"Walkin")</f>
        <v>Walkin</v>
      </c>
      <c r="C1976" s="124" t="str">
        <f>IFERROR(__xludf.DUMMYFUNCTION("""COMPUTED_VALUE"""),"Lucknow")</f>
        <v>Lucknow</v>
      </c>
      <c r="D1976" s="124" t="str">
        <f>IFERROR(__xludf.DUMMYFUNCTION("""COMPUTED_VALUE"""),"Primary_Walkin")</f>
        <v>Primary_Walkin</v>
      </c>
      <c r="E1976" s="124">
        <f>IFERROR(__xludf.DUMMYFUNCTION("""COMPUTED_VALUE"""),1.0)</f>
        <v>1</v>
      </c>
      <c r="F1976" s="124" t="str">
        <f>IFERROR(__xludf.DUMMYFUNCTION("""COMPUTED_VALUE"""),"Cold")</f>
        <v>Cold</v>
      </c>
      <c r="G1976" s="124" t="str">
        <f>IFERROR(__xludf.DUMMYFUNCTION("""COMPUTED_VALUE"""),"IGP UPPSC")</f>
        <v>IGP UPPSC</v>
      </c>
      <c r="K1976" s="124"/>
      <c r="L1976" s="124"/>
      <c r="M1976" s="124"/>
      <c r="N1976" s="124"/>
      <c r="O1976" s="124"/>
      <c r="T1976" s="126">
        <f>IFERROR(__xludf.DUMMYFUNCTION("""COMPUTED_VALUE"""),46101.0)</f>
        <v>46101</v>
      </c>
      <c r="U1976" s="124" t="str">
        <f>IFERROR(__xludf.DUMMYFUNCTION("""COMPUTED_VALUE"""),"Telephony")</f>
        <v>Telephony</v>
      </c>
      <c r="V1976" s="124" t="str">
        <f>IFERROR(__xludf.DUMMYFUNCTION("""COMPUTED_VALUE"""),"Inbound Call")</f>
        <v>Inbound Call</v>
      </c>
      <c r="W1976" s="124">
        <f>IFERROR(__xludf.DUMMYFUNCTION("""COMPUTED_VALUE"""),9.18047861635E11)</f>
        <v>918047861635</v>
      </c>
      <c r="X1976" s="124" t="str">
        <f>IFERROR(__xludf.DUMMYFUNCTION("""COMPUTED_VALUE"""),"Inbound Call")</f>
        <v>Inbound Call</v>
      </c>
      <c r="Y1976" s="124" t="str">
        <f>IFERROR(__xludf.DUMMYFUNCTION("""COMPUTED_VALUE"""),"Indore")</f>
        <v>Indore</v>
      </c>
      <c r="Z1976" s="124">
        <f>IFERROR(__xludf.DUMMYFUNCTION("""COMPUTED_VALUE"""),1.0)</f>
        <v>1</v>
      </c>
      <c r="AA1976" s="124" t="str">
        <f>IFERROR(__xludf.DUMMYFUNCTION("""COMPUTED_VALUE"""),"Cold")</f>
        <v>Cold</v>
      </c>
      <c r="AB1976" s="124"/>
    </row>
    <row r="1977">
      <c r="A1977" s="126">
        <f>IFERROR(__xludf.DUMMYFUNCTION("""COMPUTED_VALUE"""),46107.0)</f>
        <v>46107</v>
      </c>
      <c r="B1977" s="124" t="str">
        <f>IFERROR(__xludf.DUMMYFUNCTION("""COMPUTED_VALUE"""),"external leads")</f>
        <v>external leads</v>
      </c>
      <c r="C1977" s="124" t="str">
        <f>IFERROR(__xludf.DUMMYFUNCTION("""COMPUTED_VALUE"""),"Lucknow")</f>
        <v>Lucknow</v>
      </c>
      <c r="D1977" s="124" t="str">
        <f>IFERROR(__xludf.DUMMYFUNCTION("""COMPUTED_VALUE"""),"Secondary_Walkin")</f>
        <v>Secondary_Walkin</v>
      </c>
      <c r="E1977" s="124">
        <f>IFERROR(__xludf.DUMMYFUNCTION("""COMPUTED_VALUE"""),1.0)</f>
        <v>1</v>
      </c>
      <c r="F1977" s="124" t="str">
        <f>IFERROR(__xludf.DUMMYFUNCTION("""COMPUTED_VALUE"""),"Enrolled")</f>
        <v>Enrolled</v>
      </c>
      <c r="G1977" s="124" t="str">
        <f>IFERROR(__xludf.DUMMYFUNCTION("""COMPUTED_VALUE"""),"GS Foundation")</f>
        <v>GS Foundation</v>
      </c>
      <c r="K1977" s="124"/>
      <c r="L1977" s="124"/>
      <c r="M1977" s="124"/>
      <c r="N1977" s="124"/>
      <c r="O1977" s="124"/>
      <c r="T1977" s="126">
        <f>IFERROR(__xludf.DUMMYFUNCTION("""COMPUTED_VALUE"""),46051.0)</f>
        <v>46051</v>
      </c>
      <c r="U1977" s="124" t="str">
        <f>IFERROR(__xludf.DUMMYFUNCTION("""COMPUTED_VALUE"""),"Telephony")</f>
        <v>Telephony</v>
      </c>
      <c r="V1977" s="124" t="str">
        <f>IFERROR(__xludf.DUMMYFUNCTION("""COMPUTED_VALUE"""),"Inbound Call")</f>
        <v>Inbound Call</v>
      </c>
      <c r="W1977" s="124">
        <f>IFERROR(__xludf.DUMMYFUNCTION("""COMPUTED_VALUE"""),9.18047861663E11)</f>
        <v>918047861663</v>
      </c>
      <c r="X1977" s="124" t="str">
        <f>IFERROR(__xludf.DUMMYFUNCTION("""COMPUTED_VALUE"""),"Inbound Call")</f>
        <v>Inbound Call</v>
      </c>
      <c r="Y1977" s="124"/>
      <c r="Z1977" s="124">
        <f>IFERROR(__xludf.DUMMYFUNCTION("""COMPUTED_VALUE"""),3.0)</f>
        <v>3</v>
      </c>
      <c r="AA1977" s="124" t="str">
        <f>IFERROR(__xludf.DUMMYFUNCTION("""COMPUTED_VALUE"""),"Cold")</f>
        <v>Cold</v>
      </c>
      <c r="AB1977" s="124"/>
    </row>
    <row r="1978">
      <c r="A1978" s="129">
        <f>IFERROR(__xludf.DUMMYFUNCTION("""COMPUTED_VALUE"""),46088.0)</f>
        <v>46088</v>
      </c>
      <c r="B1978" s="124" t="str">
        <f>IFERROR(__xludf.DUMMYFUNCTION("""COMPUTED_VALUE"""),"Walkin")</f>
        <v>Walkin</v>
      </c>
      <c r="C1978" s="124" t="str">
        <f>IFERROR(__xludf.DUMMYFUNCTION("""COMPUTED_VALUE"""),"Indore")</f>
        <v>Indore</v>
      </c>
      <c r="D1978" s="124" t="str">
        <f>IFERROR(__xludf.DUMMYFUNCTION("""COMPUTED_VALUE"""),"Primary_Walkin")</f>
        <v>Primary_Walkin</v>
      </c>
      <c r="E1978" s="124">
        <f>IFERROR(__xludf.DUMMYFUNCTION("""COMPUTED_VALUE"""),1.0)</f>
        <v>1</v>
      </c>
      <c r="F1978" s="124" t="str">
        <f>IFERROR(__xludf.DUMMYFUNCTION("""COMPUTED_VALUE"""),"Not Interested")</f>
        <v>Not Interested</v>
      </c>
      <c r="G1978" s="124" t="str">
        <f>IFERROR(__xludf.DUMMYFUNCTION("""COMPUTED_VALUE"""),"State PCS")</f>
        <v>State PCS</v>
      </c>
      <c r="K1978" s="124"/>
      <c r="L1978" s="124"/>
      <c r="M1978" s="124"/>
      <c r="N1978" s="124"/>
      <c r="O1978" s="124"/>
      <c r="T1978" s="126">
        <f>IFERROR(__xludf.DUMMYFUNCTION("""COMPUTED_VALUE"""),46080.0)</f>
        <v>46080</v>
      </c>
      <c r="U1978" s="124" t="str">
        <f>IFERROR(__xludf.DUMMYFUNCTION("""COMPUTED_VALUE"""),"Walk-Ins")</f>
        <v>Walk-Ins</v>
      </c>
      <c r="V1978" s="124" t="str">
        <f>IFERROR(__xludf.DUMMYFUNCTION("""COMPUTED_VALUE"""),"Walk-In")</f>
        <v>Walk-In</v>
      </c>
      <c r="W1978" s="124" t="str">
        <f>IFERROR(__xludf.DUMMYFUNCTION("""COMPUTED_VALUE"""),"Delhi")</f>
        <v>Delhi</v>
      </c>
      <c r="X1978" s="124" t="str">
        <f>IFERROR(__xludf.DUMMYFUNCTION("""COMPUTED_VALUE"""),"Ayush")</f>
        <v>Ayush</v>
      </c>
      <c r="Y1978" s="124" t="str">
        <f>IFERROR(__xludf.DUMMYFUNCTION("""COMPUTED_VALUE"""),"Delhi")</f>
        <v>Delhi</v>
      </c>
      <c r="Z1978" s="124">
        <f>IFERROR(__xludf.DUMMYFUNCTION("""COMPUTED_VALUE"""),1.0)</f>
        <v>1</v>
      </c>
      <c r="AA1978" s="124" t="str">
        <f>IFERROR(__xludf.DUMMYFUNCTION("""COMPUTED_VALUE"""),"Not Interested")</f>
        <v>Not Interested</v>
      </c>
      <c r="AB1978" s="124" t="str">
        <f>IFERROR(__xludf.DUMMYFUNCTION("""COMPUTED_VALUE"""),"GS Foundation")</f>
        <v>GS Foundation</v>
      </c>
    </row>
    <row r="1979">
      <c r="A1979" s="126">
        <f>IFERROR(__xludf.DUMMYFUNCTION("""COMPUTED_VALUE"""),46076.0)</f>
        <v>46076</v>
      </c>
      <c r="B1979" s="124" t="str">
        <f>IFERROR(__xludf.DUMMYFUNCTION("""COMPUTED_VALUE"""),"Facebook")</f>
        <v>Facebook</v>
      </c>
      <c r="C1979" s="124" t="str">
        <f>IFERROR(__xludf.DUMMYFUNCTION("""COMPUTED_VALUE"""),"Lucknow")</f>
        <v>Lucknow</v>
      </c>
      <c r="D1979" s="124" t="str">
        <f>IFERROR(__xludf.DUMMYFUNCTION("""COMPUTED_VALUE"""),"Secondary_Walkin")</f>
        <v>Secondary_Walkin</v>
      </c>
      <c r="E1979" s="124">
        <f>IFERROR(__xludf.DUMMYFUNCTION("""COMPUTED_VALUE"""),1.0)</f>
        <v>1</v>
      </c>
      <c r="F1979" s="124" t="str">
        <f>IFERROR(__xludf.DUMMYFUNCTION("""COMPUTED_VALUE"""),"Cold")</f>
        <v>Cold</v>
      </c>
      <c r="G1979" s="124" t="str">
        <f>IFERROR(__xludf.DUMMYFUNCTION("""COMPUTED_VALUE"""),"State PCS")</f>
        <v>State PCS</v>
      </c>
      <c r="K1979" s="124"/>
      <c r="L1979" s="124"/>
      <c r="M1979" s="124"/>
      <c r="N1979" s="124"/>
      <c r="O1979" s="124"/>
      <c r="T1979" s="126">
        <f>IFERROR(__xludf.DUMMYFUNCTION("""COMPUTED_VALUE"""),46051.0)</f>
        <v>46051</v>
      </c>
      <c r="U1979" s="124" t="str">
        <f>IFERROR(__xludf.DUMMYFUNCTION("""COMPUTED_VALUE"""),"Walk-Ins")</f>
        <v>Walk-Ins</v>
      </c>
      <c r="V1979" s="124" t="str">
        <f>IFERROR(__xludf.DUMMYFUNCTION("""COMPUTED_VALUE"""),"Walk-In")</f>
        <v>Walk-In</v>
      </c>
      <c r="W1979" s="124" t="str">
        <f>IFERROR(__xludf.DUMMYFUNCTION("""COMPUTED_VALUE"""),"Delhi")</f>
        <v>Delhi</v>
      </c>
      <c r="X1979" s="124" t="str">
        <f>IFERROR(__xludf.DUMMYFUNCTION("""COMPUTED_VALUE"""),"Ayush")</f>
        <v>Ayush</v>
      </c>
      <c r="Y1979" s="124"/>
      <c r="Z1979" s="124">
        <f>IFERROR(__xludf.DUMMYFUNCTION("""COMPUTED_VALUE"""),1.0)</f>
        <v>1</v>
      </c>
      <c r="AA1979" s="124" t="str">
        <f>IFERROR(__xludf.DUMMYFUNCTION("""COMPUTED_VALUE"""),"Cold")</f>
        <v>Cold</v>
      </c>
      <c r="AB1979" s="124" t="str">
        <f>IFERROR(__xludf.DUMMYFUNCTION("""COMPUTED_VALUE"""),"Optionals")</f>
        <v>Optionals</v>
      </c>
    </row>
    <row r="1980">
      <c r="A1980" s="126">
        <f>IFERROR(__xludf.DUMMYFUNCTION("""COMPUTED_VALUE"""),46094.0)</f>
        <v>46094</v>
      </c>
      <c r="B1980" s="124" t="str">
        <f>IFERROR(__xludf.DUMMYFUNCTION("""COMPUTED_VALUE"""),"Inbound Call")</f>
        <v>Inbound Call</v>
      </c>
      <c r="C1980" s="124" t="str">
        <f>IFERROR(__xludf.DUMMYFUNCTION("""COMPUTED_VALUE"""),"Indore")</f>
        <v>Indore</v>
      </c>
      <c r="D1980" s="124" t="str">
        <f>IFERROR(__xludf.DUMMYFUNCTION("""COMPUTED_VALUE"""),"Secondary_Walkin")</f>
        <v>Secondary_Walkin</v>
      </c>
      <c r="E1980" s="124">
        <f>IFERROR(__xludf.DUMMYFUNCTION("""COMPUTED_VALUE"""),1.0)</f>
        <v>1</v>
      </c>
      <c r="F1980" s="124" t="str">
        <f>IFERROR(__xludf.DUMMYFUNCTION("""COMPUTED_VALUE"""),"Future Prospects")</f>
        <v>Future Prospects</v>
      </c>
      <c r="G1980" s="124" t="str">
        <f>IFERROR(__xludf.DUMMYFUNCTION("""COMPUTED_VALUE"""),"GS Foundation")</f>
        <v>GS Foundation</v>
      </c>
      <c r="K1980" s="124"/>
      <c r="L1980" s="124"/>
      <c r="M1980" s="124"/>
      <c r="N1980" s="124"/>
      <c r="O1980" s="124"/>
      <c r="T1980" s="126">
        <f>IFERROR(__xludf.DUMMYFUNCTION("""COMPUTED_VALUE"""),46104.0)</f>
        <v>46104</v>
      </c>
      <c r="U1980" s="124" t="str">
        <f>IFERROR(__xludf.DUMMYFUNCTION("""COMPUTED_VALUE"""),"Paid Ads")</f>
        <v>Paid Ads</v>
      </c>
      <c r="V1980" s="124" t="str">
        <f>IFERROR(__xludf.DUMMYFUNCTION("""COMPUTED_VALUE"""),"Facebook")</f>
        <v>Facebook</v>
      </c>
      <c r="W1980" s="124" t="str">
        <f>IFERROR(__xludf.DUMMYFUNCTION("""COMPUTED_VALUE"""),"LeadAd")</f>
        <v>LeadAd</v>
      </c>
      <c r="X1980" s="124" t="str">
        <f>IFERROR(__xludf.DUMMYFUNCTION("""COMPUTED_VALUE"""),"Upsc_Offline_925_Video_Lead_FB")</f>
        <v>Upsc_Offline_925_Video_Lead_FB</v>
      </c>
      <c r="Y1980" s="124" t="str">
        <f>IFERROR(__xludf.DUMMYFUNCTION("""COMPUTED_VALUE"""),"Delhi")</f>
        <v>Delhi</v>
      </c>
      <c r="Z1980" s="124">
        <f>IFERROR(__xludf.DUMMYFUNCTION("""COMPUTED_VALUE"""),4.0)</f>
        <v>4</v>
      </c>
      <c r="AA1980" s="124"/>
      <c r="AB1980" s="124"/>
    </row>
    <row r="1981">
      <c r="A1981" s="126">
        <f>IFERROR(__xludf.DUMMYFUNCTION("""COMPUTED_VALUE"""),46076.0)</f>
        <v>46076</v>
      </c>
      <c r="B1981" s="124" t="str">
        <f>IFERROR(__xludf.DUMMYFUNCTION("""COMPUTED_VALUE"""),"Walkin")</f>
        <v>Walkin</v>
      </c>
      <c r="C1981" s="124" t="str">
        <f>IFERROR(__xludf.DUMMYFUNCTION("""COMPUTED_VALUE"""),"Lucknow")</f>
        <v>Lucknow</v>
      </c>
      <c r="D1981" s="124" t="str">
        <f>IFERROR(__xludf.DUMMYFUNCTION("""COMPUTED_VALUE"""),"Primary_Walkin")</f>
        <v>Primary_Walkin</v>
      </c>
      <c r="E1981" s="124">
        <f>IFERROR(__xludf.DUMMYFUNCTION("""COMPUTED_VALUE"""),1.0)</f>
        <v>1</v>
      </c>
      <c r="F1981" s="124" t="str">
        <f>IFERROR(__xludf.DUMMYFUNCTION("""COMPUTED_VALUE"""),"Cold")</f>
        <v>Cold</v>
      </c>
      <c r="G1981" s="124" t="str">
        <f>IFERROR(__xludf.DUMMYFUNCTION("""COMPUTED_VALUE"""),"Hybrid")</f>
        <v>Hybrid</v>
      </c>
      <c r="K1981" s="124"/>
      <c r="L1981" s="124"/>
      <c r="M1981" s="124"/>
      <c r="N1981" s="124"/>
      <c r="O1981" s="124"/>
      <c r="T1981" s="129">
        <f>IFERROR(__xludf.DUMMYFUNCTION("""COMPUTED_VALUE"""),46055.0)</f>
        <v>46055</v>
      </c>
      <c r="U1981" s="124" t="str">
        <f>IFERROR(__xludf.DUMMYFUNCTION("""COMPUTED_VALUE"""),"Telephony")</f>
        <v>Telephony</v>
      </c>
      <c r="V1981" s="124" t="str">
        <f>IFERROR(__xludf.DUMMYFUNCTION("""COMPUTED_VALUE"""),"Inbound")</f>
        <v>Inbound</v>
      </c>
      <c r="W1981" s="124" t="str">
        <f>IFERROR(__xludf.DUMMYFUNCTION("""COMPUTED_VALUE"""),"Inbound")</f>
        <v>Inbound</v>
      </c>
      <c r="X1981" s="124" t="str">
        <f>IFERROR(__xludf.DUMMYFUNCTION("""COMPUTED_VALUE"""),"Inbound")</f>
        <v>Inbound</v>
      </c>
      <c r="Y1981" s="124" t="str">
        <f>IFERROR(__xludf.DUMMYFUNCTION("""COMPUTED_VALUE"""),"Delhi")</f>
        <v>Delhi</v>
      </c>
      <c r="Z1981" s="124">
        <f>IFERROR(__xludf.DUMMYFUNCTION("""COMPUTED_VALUE"""),1.0)</f>
        <v>1</v>
      </c>
      <c r="AA1981" s="124" t="str">
        <f>IFERROR(__xludf.DUMMYFUNCTION("""COMPUTED_VALUE"""),"Enrolled")</f>
        <v>Enrolled</v>
      </c>
      <c r="AB1981" s="124" t="str">
        <f>IFERROR(__xludf.DUMMYFUNCTION("""COMPUTED_VALUE"""),"GS Foundation")</f>
        <v>GS Foundation</v>
      </c>
    </row>
    <row r="1982">
      <c r="A1982" s="126">
        <f>IFERROR(__xludf.DUMMYFUNCTION("""COMPUTED_VALUE"""),46066.0)</f>
        <v>46066</v>
      </c>
      <c r="B1982" s="124" t="str">
        <f>IFERROR(__xludf.DUMMYFUNCTION("""COMPUTED_VALUE"""),"Walkin")</f>
        <v>Walkin</v>
      </c>
      <c r="C1982" s="124" t="str">
        <f>IFERROR(__xludf.DUMMYFUNCTION("""COMPUTED_VALUE"""),"Indore")</f>
        <v>Indore</v>
      </c>
      <c r="D1982" s="124" t="str">
        <f>IFERROR(__xludf.DUMMYFUNCTION("""COMPUTED_VALUE"""),"Primary_Walkin")</f>
        <v>Primary_Walkin</v>
      </c>
      <c r="E1982" s="124">
        <f>IFERROR(__xludf.DUMMYFUNCTION("""COMPUTED_VALUE"""),1.0)</f>
        <v>1</v>
      </c>
      <c r="F1982" s="124" t="str">
        <f>IFERROR(__xludf.DUMMYFUNCTION("""COMPUTED_VALUE"""),"Future Prospects")</f>
        <v>Future Prospects</v>
      </c>
      <c r="G1982" s="124" t="str">
        <f>IFERROR(__xludf.DUMMYFUNCTION("""COMPUTED_VALUE"""),"Mentorship")</f>
        <v>Mentorship</v>
      </c>
      <c r="K1982" s="124"/>
      <c r="L1982" s="124"/>
      <c r="M1982" s="124"/>
      <c r="N1982" s="124"/>
      <c r="O1982" s="124"/>
      <c r="T1982" s="126">
        <f>IFERROR(__xludf.DUMMYFUNCTION("""COMPUTED_VALUE"""),46108.0)</f>
        <v>46108</v>
      </c>
      <c r="U1982" s="124" t="str">
        <f>IFERROR(__xludf.DUMMYFUNCTION("""COMPUTED_VALUE"""),"Paid Ads")</f>
        <v>Paid Ads</v>
      </c>
      <c r="V1982" s="124" t="str">
        <f>IFERROR(__xludf.DUMMYFUNCTION("""COMPUTED_VALUE"""),"Facebook")</f>
        <v>Facebook</v>
      </c>
      <c r="W1982" s="124" t="str">
        <f>IFERROR(__xludf.DUMMYFUNCTION("""COMPUTED_VALUE"""),"LeadAd")</f>
        <v>LeadAd</v>
      </c>
      <c r="X1982" s="124" t="str">
        <f>IFERROR(__xludf.DUMMYFUNCTION("""COMPUTED_VALUE"""),"Upsc_Offline_925_Video_Lead_FB")</f>
        <v>Upsc_Offline_925_Video_Lead_FB</v>
      </c>
      <c r="Y1982" s="124" t="str">
        <f>IFERROR(__xludf.DUMMYFUNCTION("""COMPUTED_VALUE"""),"Delhi")</f>
        <v>Delhi</v>
      </c>
      <c r="Z1982" s="124">
        <f>IFERROR(__xludf.DUMMYFUNCTION("""COMPUTED_VALUE"""),7.0)</f>
        <v>7</v>
      </c>
      <c r="AA1982" s="124" t="str">
        <f>IFERROR(__xludf.DUMMYFUNCTION("""COMPUTED_VALUE"""),"Cold")</f>
        <v>Cold</v>
      </c>
      <c r="AB1982" s="124"/>
    </row>
    <row r="1983">
      <c r="A1983" s="126">
        <f>IFERROR(__xludf.DUMMYFUNCTION("""COMPUTED_VALUE"""),46049.0)</f>
        <v>46049</v>
      </c>
      <c r="B1983" s="124" t="str">
        <f>IFERROR(__xludf.DUMMYFUNCTION("""COMPUTED_VALUE"""),"Walkin")</f>
        <v>Walkin</v>
      </c>
      <c r="C1983" s="124" t="str">
        <f>IFERROR(__xludf.DUMMYFUNCTION("""COMPUTED_VALUE"""),"Indore")</f>
        <v>Indore</v>
      </c>
      <c r="D1983" s="124" t="str">
        <f>IFERROR(__xludf.DUMMYFUNCTION("""COMPUTED_VALUE"""),"Primary_Walkin")</f>
        <v>Primary_Walkin</v>
      </c>
      <c r="E1983" s="124">
        <f>IFERROR(__xludf.DUMMYFUNCTION("""COMPUTED_VALUE"""),1.0)</f>
        <v>1</v>
      </c>
      <c r="F1983" s="124" t="str">
        <f>IFERROR(__xludf.DUMMYFUNCTION("""COMPUTED_VALUE"""),"Warm")</f>
        <v>Warm</v>
      </c>
      <c r="G1983" s="124" t="str">
        <f>IFERROR(__xludf.DUMMYFUNCTION("""COMPUTED_VALUE"""),"Test Series")</f>
        <v>Test Series</v>
      </c>
      <c r="K1983" s="124"/>
      <c r="L1983" s="124"/>
      <c r="M1983" s="124"/>
      <c r="N1983" s="124"/>
      <c r="O1983" s="124"/>
      <c r="T1983" s="126">
        <f>IFERROR(__xludf.DUMMYFUNCTION("""COMPUTED_VALUE"""),46087.0)</f>
        <v>46087</v>
      </c>
      <c r="U1983" s="124" t="str">
        <f>IFERROR(__xludf.DUMMYFUNCTION("""COMPUTED_VALUE"""),"External Leads")</f>
        <v>External Leads</v>
      </c>
      <c r="V1983" s="124" t="str">
        <f>IFERROR(__xludf.DUMMYFUNCTION("""COMPUTED_VALUE"""),"external leads")</f>
        <v>external leads</v>
      </c>
      <c r="W1983" s="124" t="str">
        <f>IFERROR(__xludf.DUMMYFUNCTION("""COMPUTED_VALUE"""),"indore")</f>
        <v>indore</v>
      </c>
      <c r="X1983" s="124" t="str">
        <f>IFERROR(__xludf.DUMMYFUNCTION("""COMPUTED_VALUE"""),"vaishnavcollege")</f>
        <v>vaishnavcollege</v>
      </c>
      <c r="Y1983" s="124" t="str">
        <f>IFERROR(__xludf.DUMMYFUNCTION("""COMPUTED_VALUE"""),"Indore")</f>
        <v>Indore</v>
      </c>
      <c r="Z1983" s="124">
        <f>IFERROR(__xludf.DUMMYFUNCTION("""COMPUTED_VALUE"""),1.0)</f>
        <v>1</v>
      </c>
      <c r="AA1983" s="124" t="str">
        <f>IFERROR(__xludf.DUMMYFUNCTION("""COMPUTED_VALUE"""),"Future Prospects")</f>
        <v>Future Prospects</v>
      </c>
      <c r="AB1983" s="124" t="str">
        <f>IFERROR(__xludf.DUMMYFUNCTION("""COMPUTED_VALUE"""),"GS Foundation")</f>
        <v>GS Foundation</v>
      </c>
    </row>
    <row r="1984">
      <c r="A1984" s="126">
        <f>IFERROR(__xludf.DUMMYFUNCTION("""COMPUTED_VALUE"""),46072.0)</f>
        <v>46072</v>
      </c>
      <c r="B1984" s="124" t="str">
        <f>IFERROR(__xludf.DUMMYFUNCTION("""COMPUTED_VALUE"""),"Walkin")</f>
        <v>Walkin</v>
      </c>
      <c r="C1984" s="124" t="str">
        <f>IFERROR(__xludf.DUMMYFUNCTION("""COMPUTED_VALUE"""),"Indore")</f>
        <v>Indore</v>
      </c>
      <c r="D1984" s="124" t="str">
        <f>IFERROR(__xludf.DUMMYFUNCTION("""COMPUTED_VALUE"""),"Primary_Walkin")</f>
        <v>Primary_Walkin</v>
      </c>
      <c r="E1984" s="124">
        <f>IFERROR(__xludf.DUMMYFUNCTION("""COMPUTED_VALUE"""),1.0)</f>
        <v>1</v>
      </c>
      <c r="F1984" s="124" t="str">
        <f>IFERROR(__xludf.DUMMYFUNCTION("""COMPUTED_VALUE"""),"Fake Lead")</f>
        <v>Fake Lead</v>
      </c>
      <c r="G1984" s="124" t="str">
        <f>IFERROR(__xludf.DUMMYFUNCTION("""COMPUTED_VALUE"""),"State PCS")</f>
        <v>State PCS</v>
      </c>
      <c r="K1984" s="124"/>
      <c r="L1984" s="124"/>
      <c r="M1984" s="124"/>
      <c r="N1984" s="124"/>
      <c r="O1984" s="124"/>
      <c r="T1984" s="126">
        <f>IFERROR(__xludf.DUMMYFUNCTION("""COMPUTED_VALUE"""),46111.0)</f>
        <v>46111</v>
      </c>
      <c r="U1984" s="124" t="str">
        <f>IFERROR(__xludf.DUMMYFUNCTION("""COMPUTED_VALUE"""),"Paid Ads")</f>
        <v>Paid Ads</v>
      </c>
      <c r="V1984" s="124" t="str">
        <f>IFERROR(__xludf.DUMMYFUNCTION("""COMPUTED_VALUE"""),"Facebook")</f>
        <v>Facebook</v>
      </c>
      <c r="W1984" s="124" t="str">
        <f>IFERROR(__xludf.DUMMYFUNCTION("""COMPUTED_VALUE"""),"LeadAd")</f>
        <v>LeadAd</v>
      </c>
      <c r="X1984" s="124" t="str">
        <f>IFERROR(__xludf.DUMMYFUNCTION("""COMPUTED_VALUE"""),"Upsc_Offline_925_Video_Lead_FB")</f>
        <v>Upsc_Offline_925_Video_Lead_FB</v>
      </c>
      <c r="Y1984" s="124" t="str">
        <f>IFERROR(__xludf.DUMMYFUNCTION("""COMPUTED_VALUE"""),"Delhi")</f>
        <v>Delhi</v>
      </c>
      <c r="Z1984" s="124">
        <f>IFERROR(__xludf.DUMMYFUNCTION("""COMPUTED_VALUE"""),5.0)</f>
        <v>5</v>
      </c>
      <c r="AA1984" s="124" t="str">
        <f>IFERROR(__xludf.DUMMYFUNCTION("""COMPUTED_VALUE"""),"Fake Lead")</f>
        <v>Fake Lead</v>
      </c>
      <c r="AB1984" s="124"/>
    </row>
    <row r="1985">
      <c r="A1985" s="126">
        <f>IFERROR(__xludf.DUMMYFUNCTION("""COMPUTED_VALUE"""),46108.0)</f>
        <v>46108</v>
      </c>
      <c r="B1985" s="124" t="str">
        <f>IFERROR(__xludf.DUMMYFUNCTION("""COMPUTED_VALUE"""),"Walkin")</f>
        <v>Walkin</v>
      </c>
      <c r="C1985" s="124" t="str">
        <f>IFERROR(__xludf.DUMMYFUNCTION("""COMPUTED_VALUE"""),"Indore")</f>
        <v>Indore</v>
      </c>
      <c r="D1985" s="124" t="str">
        <f>IFERROR(__xludf.DUMMYFUNCTION("""COMPUTED_VALUE"""),"Primary_Walkin")</f>
        <v>Primary_Walkin</v>
      </c>
      <c r="E1985" s="124">
        <f>IFERROR(__xludf.DUMMYFUNCTION("""COMPUTED_VALUE"""),1.0)</f>
        <v>1</v>
      </c>
      <c r="F1985" s="124" t="str">
        <f>IFERROR(__xludf.DUMMYFUNCTION("""COMPUTED_VALUE"""),"Cold")</f>
        <v>Cold</v>
      </c>
      <c r="G1985" s="124" t="str">
        <f>IFERROR(__xludf.DUMMYFUNCTION("""COMPUTED_VALUE"""),"Test Series")</f>
        <v>Test Series</v>
      </c>
      <c r="K1985" s="124"/>
      <c r="L1985" s="124"/>
      <c r="M1985" s="124"/>
      <c r="N1985" s="124"/>
      <c r="O1985" s="124"/>
      <c r="T1985" s="129">
        <f>IFERROR(__xludf.DUMMYFUNCTION("""COMPUTED_VALUE"""),46057.0)</f>
        <v>46057</v>
      </c>
      <c r="U1985" s="124" t="str">
        <f>IFERROR(__xludf.DUMMYFUNCTION("""COMPUTED_VALUE"""),"Telephony")</f>
        <v>Telephony</v>
      </c>
      <c r="V1985" s="124" t="str">
        <f>IFERROR(__xludf.DUMMYFUNCTION("""COMPUTED_VALUE"""),"Inbound")</f>
        <v>Inbound</v>
      </c>
      <c r="W1985" s="124" t="str">
        <f>IFERROR(__xludf.DUMMYFUNCTION("""COMPUTED_VALUE"""),"Inbound")</f>
        <v>Inbound</v>
      </c>
      <c r="X1985" s="124" t="str">
        <f>IFERROR(__xludf.DUMMYFUNCTION("""COMPUTED_VALUE"""),"Inbound")</f>
        <v>Inbound</v>
      </c>
      <c r="Y1985" s="124" t="str">
        <f>IFERROR(__xludf.DUMMYFUNCTION("""COMPUTED_VALUE"""),"Delhi")</f>
        <v>Delhi</v>
      </c>
      <c r="Z1985" s="124">
        <f>IFERROR(__xludf.DUMMYFUNCTION("""COMPUTED_VALUE"""),1.0)</f>
        <v>1</v>
      </c>
      <c r="AA1985" s="124" t="str">
        <f>IFERROR(__xludf.DUMMYFUNCTION("""COMPUTED_VALUE"""),"Enrolled")</f>
        <v>Enrolled</v>
      </c>
      <c r="AB1985" s="124" t="str">
        <f>IFERROR(__xludf.DUMMYFUNCTION("""COMPUTED_VALUE"""),"Mentorship")</f>
        <v>Mentorship</v>
      </c>
    </row>
    <row r="1986">
      <c r="A1986" s="129">
        <f>IFERROR(__xludf.DUMMYFUNCTION("""COMPUTED_VALUE"""),46055.0)</f>
        <v>46055</v>
      </c>
      <c r="B1986" s="124" t="str">
        <f>IFERROR(__xludf.DUMMYFUNCTION("""COMPUTED_VALUE"""),"Walk-In")</f>
        <v>Walk-In</v>
      </c>
      <c r="C1986" s="124" t="str">
        <f>IFERROR(__xludf.DUMMYFUNCTION("""COMPUTED_VALUE"""),"Lucknow")</f>
        <v>Lucknow</v>
      </c>
      <c r="D1986" s="124" t="str">
        <f>IFERROR(__xludf.DUMMYFUNCTION("""COMPUTED_VALUE"""),"Primary_Walkin")</f>
        <v>Primary_Walkin</v>
      </c>
      <c r="E1986" s="124">
        <f>IFERROR(__xludf.DUMMYFUNCTION("""COMPUTED_VALUE"""),1.0)</f>
        <v>1</v>
      </c>
      <c r="F1986" s="124" t="str">
        <f>IFERROR(__xludf.DUMMYFUNCTION("""COMPUTED_VALUE"""),"Cold")</f>
        <v>Cold</v>
      </c>
      <c r="G1986" s="124" t="str">
        <f>IFERROR(__xludf.DUMMYFUNCTION("""COMPUTED_VALUE"""),"GS Foundation")</f>
        <v>GS Foundation</v>
      </c>
      <c r="K1986" s="124"/>
      <c r="L1986" s="124"/>
      <c r="M1986" s="124"/>
      <c r="N1986" s="124"/>
      <c r="O1986" s="124"/>
      <c r="T1986" s="126">
        <f>IFERROR(__xludf.DUMMYFUNCTION("""COMPUTED_VALUE"""),46102.0)</f>
        <v>46102</v>
      </c>
      <c r="U1986" s="124" t="str">
        <f>IFERROR(__xludf.DUMMYFUNCTION("""COMPUTED_VALUE"""),"Paid Ads")</f>
        <v>Paid Ads</v>
      </c>
      <c r="V1986" s="124" t="str">
        <f>IFERROR(__xludf.DUMMYFUNCTION("""COMPUTED_VALUE"""),"Facebook")</f>
        <v>Facebook</v>
      </c>
      <c r="W1986" s="124" t="str">
        <f>IFERROR(__xludf.DUMMYFUNCTION("""COMPUTED_VALUE"""),"LeadAd")</f>
        <v>LeadAd</v>
      </c>
      <c r="X1986" s="124" t="str">
        <f>IFERROR(__xludf.DUMMYFUNCTION("""COMPUTED_VALUE"""),"Upsc_Offline_925_Video_Lead_FB")</f>
        <v>Upsc_Offline_925_Video_Lead_FB</v>
      </c>
      <c r="Y1986" s="124" t="str">
        <f>IFERROR(__xludf.DUMMYFUNCTION("""COMPUTED_VALUE"""),"Delhi")</f>
        <v>Delhi</v>
      </c>
      <c r="Z1986" s="124">
        <f>IFERROR(__xludf.DUMMYFUNCTION("""COMPUTED_VALUE"""),2.0)</f>
        <v>2</v>
      </c>
      <c r="AA1986" s="124" t="str">
        <f>IFERROR(__xludf.DUMMYFUNCTION("""COMPUTED_VALUE"""),"Fake Lead")</f>
        <v>Fake Lead</v>
      </c>
      <c r="AB1986" s="124"/>
    </row>
    <row r="1987">
      <c r="A1987" s="126">
        <f>IFERROR(__xludf.DUMMYFUNCTION("""COMPUTED_VALUE"""),46112.0)</f>
        <v>46112</v>
      </c>
      <c r="B1987" s="124" t="str">
        <f>IFERROR(__xludf.DUMMYFUNCTION("""COMPUTED_VALUE"""),"Online Leads")</f>
        <v>Online Leads</v>
      </c>
      <c r="C1987" s="124" t="str">
        <f>IFERROR(__xludf.DUMMYFUNCTION("""COMPUTED_VALUE"""),"Lucknow")</f>
        <v>Lucknow</v>
      </c>
      <c r="D1987" s="124" t="str">
        <f>IFERROR(__xludf.DUMMYFUNCTION("""COMPUTED_VALUE"""),"Secondary_Walkin")</f>
        <v>Secondary_Walkin</v>
      </c>
      <c r="E1987" s="124">
        <f>IFERROR(__xludf.DUMMYFUNCTION("""COMPUTED_VALUE"""),1.0)</f>
        <v>1</v>
      </c>
      <c r="F1987" s="124" t="str">
        <f>IFERROR(__xludf.DUMMYFUNCTION("""COMPUTED_VALUE"""),"Enrolled")</f>
        <v>Enrolled</v>
      </c>
      <c r="G1987" s="124" t="str">
        <f>IFERROR(__xludf.DUMMYFUNCTION("""COMPUTED_VALUE"""),"State PCS")</f>
        <v>State PCS</v>
      </c>
      <c r="K1987" s="124"/>
      <c r="L1987" s="124"/>
      <c r="M1987" s="124"/>
      <c r="N1987" s="124"/>
      <c r="O1987" s="124"/>
      <c r="T1987" s="129">
        <f>IFERROR(__xludf.DUMMYFUNCTION("""COMPUTED_VALUE"""),46044.0)</f>
        <v>46044</v>
      </c>
      <c r="U1987" s="124" t="str">
        <f>IFERROR(__xludf.DUMMYFUNCTION("""COMPUTED_VALUE"""),"Telephony")</f>
        <v>Telephony</v>
      </c>
      <c r="V1987" s="124" t="str">
        <f>IFERROR(__xludf.DUMMYFUNCTION("""COMPUTED_VALUE"""),"Inbound")</f>
        <v>Inbound</v>
      </c>
      <c r="W1987" s="124" t="str">
        <f>IFERROR(__xludf.DUMMYFUNCTION("""COMPUTED_VALUE"""),"Inbound")</f>
        <v>Inbound</v>
      </c>
      <c r="X1987" s="124" t="str">
        <f>IFERROR(__xludf.DUMMYFUNCTION("""COMPUTED_VALUE"""),"Inbound")</f>
        <v>Inbound</v>
      </c>
      <c r="Y1987" s="124" t="str">
        <f>IFERROR(__xludf.DUMMYFUNCTION("""COMPUTED_VALUE"""),"Delhi")</f>
        <v>Delhi</v>
      </c>
      <c r="Z1987" s="124">
        <f>IFERROR(__xludf.DUMMYFUNCTION("""COMPUTED_VALUE"""),1.0)</f>
        <v>1</v>
      </c>
      <c r="AA1987" s="124" t="str">
        <f>IFERROR(__xludf.DUMMYFUNCTION("""COMPUTED_VALUE"""),"Enrolled")</f>
        <v>Enrolled</v>
      </c>
      <c r="AB1987" s="124" t="str">
        <f>IFERROR(__xludf.DUMMYFUNCTION("""COMPUTED_VALUE"""),"SIP Offline")</f>
        <v>SIP Offline</v>
      </c>
    </row>
    <row r="1988">
      <c r="A1988" s="126">
        <f>IFERROR(__xludf.DUMMYFUNCTION("""COMPUTED_VALUE"""),46107.0)</f>
        <v>46107</v>
      </c>
      <c r="B1988" s="124" t="str">
        <f>IFERROR(__xludf.DUMMYFUNCTION("""COMPUTED_VALUE"""),"Walkin")</f>
        <v>Walkin</v>
      </c>
      <c r="C1988" s="124" t="str">
        <f>IFERROR(__xludf.DUMMYFUNCTION("""COMPUTED_VALUE"""),"Indore")</f>
        <v>Indore</v>
      </c>
      <c r="D1988" s="124" t="str">
        <f>IFERROR(__xludf.DUMMYFUNCTION("""COMPUTED_VALUE"""),"Primary_Walkin")</f>
        <v>Primary_Walkin</v>
      </c>
      <c r="E1988" s="124">
        <f>IFERROR(__xludf.DUMMYFUNCTION("""COMPUTED_VALUE"""),1.0)</f>
        <v>1</v>
      </c>
      <c r="F1988" s="124" t="str">
        <f>IFERROR(__xludf.DUMMYFUNCTION("""COMPUTED_VALUE"""),"Cold")</f>
        <v>Cold</v>
      </c>
      <c r="G1988" s="124" t="str">
        <f>IFERROR(__xludf.DUMMYFUNCTION("""COMPUTED_VALUE"""),"Other")</f>
        <v>Other</v>
      </c>
      <c r="K1988" s="124"/>
      <c r="L1988" s="124"/>
      <c r="M1988" s="124"/>
      <c r="N1988" s="124"/>
      <c r="O1988" s="124"/>
      <c r="T1988" s="129">
        <f>IFERROR(__xludf.DUMMYFUNCTION("""COMPUTED_VALUE"""),46072.0)</f>
        <v>46072</v>
      </c>
      <c r="U1988" s="124" t="str">
        <f>IFERROR(__xludf.DUMMYFUNCTION("""COMPUTED_VALUE"""),"Walk-Ins")</f>
        <v>Walk-Ins</v>
      </c>
      <c r="V1988" s="124" t="str">
        <f>IFERROR(__xludf.DUMMYFUNCTION("""COMPUTED_VALUE"""),"Walk-In")</f>
        <v>Walk-In</v>
      </c>
      <c r="W1988" s="124" t="str">
        <f>IFERROR(__xludf.DUMMYFUNCTION("""COMPUTED_VALUE"""),"Lucknow")</f>
        <v>Lucknow</v>
      </c>
      <c r="X1988" s="124" t="str">
        <f>IFERROR(__xludf.DUMMYFUNCTION("""COMPUTED_VALUE"""),"Lucknow")</f>
        <v>Lucknow</v>
      </c>
      <c r="Y1988" s="124" t="str">
        <f>IFERROR(__xludf.DUMMYFUNCTION("""COMPUTED_VALUE"""),"Lucknow")</f>
        <v>Lucknow</v>
      </c>
      <c r="Z1988" s="124">
        <f>IFERROR(__xludf.DUMMYFUNCTION("""COMPUTED_VALUE"""),1.0)</f>
        <v>1</v>
      </c>
      <c r="AA1988" s="124" t="str">
        <f>IFERROR(__xludf.DUMMYFUNCTION("""COMPUTED_VALUE"""),"Cold")</f>
        <v>Cold</v>
      </c>
      <c r="AB1988" s="124" t="str">
        <f>IFERROR(__xludf.DUMMYFUNCTION("""COMPUTED_VALUE"""),"State PCS")</f>
        <v>State PCS</v>
      </c>
    </row>
    <row r="1989">
      <c r="A1989" s="126">
        <f>IFERROR(__xludf.DUMMYFUNCTION("""COMPUTED_VALUE"""),46098.0)</f>
        <v>46098</v>
      </c>
      <c r="B1989" s="124" t="str">
        <f>IFERROR(__xludf.DUMMYFUNCTION("""COMPUTED_VALUE"""),"Walkin")</f>
        <v>Walkin</v>
      </c>
      <c r="C1989" s="124" t="str">
        <f>IFERROR(__xludf.DUMMYFUNCTION("""COMPUTED_VALUE"""),"Indore")</f>
        <v>Indore</v>
      </c>
      <c r="D1989" s="124" t="str">
        <f>IFERROR(__xludf.DUMMYFUNCTION("""COMPUTED_VALUE"""),"Primary_Walkin")</f>
        <v>Primary_Walkin</v>
      </c>
      <c r="E1989" s="124">
        <f>IFERROR(__xludf.DUMMYFUNCTION("""COMPUTED_VALUE"""),1.0)</f>
        <v>1</v>
      </c>
      <c r="F1989" s="124" t="str">
        <f>IFERROR(__xludf.DUMMYFUNCTION("""COMPUTED_VALUE"""),"Warm")</f>
        <v>Warm</v>
      </c>
      <c r="G1989" s="124" t="str">
        <f>IFERROR(__xludf.DUMMYFUNCTION("""COMPUTED_VALUE"""),"State PCS")</f>
        <v>State PCS</v>
      </c>
      <c r="K1989" s="124"/>
      <c r="L1989" s="124"/>
      <c r="M1989" s="124"/>
      <c r="N1989" s="124"/>
      <c r="O1989" s="124"/>
      <c r="T1989" s="126">
        <f>IFERROR(__xludf.DUMMYFUNCTION("""COMPUTED_VALUE"""),46060.0)</f>
        <v>46060</v>
      </c>
      <c r="U1989" s="124" t="str">
        <f>IFERROR(__xludf.DUMMYFUNCTION("""COMPUTED_VALUE"""),"Publisher Campaign")</f>
        <v>Publisher Campaign</v>
      </c>
      <c r="V1989" s="124" t="str">
        <f>IFERROR(__xludf.DUMMYFUNCTION("""COMPUTED_VALUE"""),"Webinar")</f>
        <v>Webinar</v>
      </c>
      <c r="W1989" s="124"/>
      <c r="X1989" s="124"/>
      <c r="Y1989" s="124" t="str">
        <f>IFERROR(__xludf.DUMMYFUNCTION("""COMPUTED_VALUE"""),"Delhi")</f>
        <v>Delhi</v>
      </c>
      <c r="Z1989" s="124">
        <f>IFERROR(__xludf.DUMMYFUNCTION("""COMPUTED_VALUE"""),2.0)</f>
        <v>2</v>
      </c>
      <c r="AA1989" s="124" t="str">
        <f>IFERROR(__xludf.DUMMYFUNCTION("""COMPUTED_VALUE"""),"Not Interested")</f>
        <v>Not Interested</v>
      </c>
      <c r="AB1989" s="124" t="str">
        <f>IFERROR(__xludf.DUMMYFUNCTION("""COMPUTED_VALUE"""),"Test Series")</f>
        <v>Test Series</v>
      </c>
    </row>
    <row r="1990">
      <c r="A1990" s="126">
        <f>IFERROR(__xludf.DUMMYFUNCTION("""COMPUTED_VALUE"""),46097.0)</f>
        <v>46097</v>
      </c>
      <c r="B1990" s="124" t="str">
        <f>IFERROR(__xludf.DUMMYFUNCTION("""COMPUTED_VALUE"""),"Walkin")</f>
        <v>Walkin</v>
      </c>
      <c r="C1990" s="124" t="str">
        <f>IFERROR(__xludf.DUMMYFUNCTION("""COMPUTED_VALUE"""),"Indore")</f>
        <v>Indore</v>
      </c>
      <c r="D1990" s="124" t="str">
        <f>IFERROR(__xludf.DUMMYFUNCTION("""COMPUTED_VALUE"""),"Primary_Walkin")</f>
        <v>Primary_Walkin</v>
      </c>
      <c r="E1990" s="124">
        <f>IFERROR(__xludf.DUMMYFUNCTION("""COMPUTED_VALUE"""),1.0)</f>
        <v>1</v>
      </c>
      <c r="F1990" s="124" t="str">
        <f>IFERROR(__xludf.DUMMYFUNCTION("""COMPUTED_VALUE"""),"Not Interested")</f>
        <v>Not Interested</v>
      </c>
      <c r="G1990" s="124" t="str">
        <f>IFERROR(__xludf.DUMMYFUNCTION("""COMPUTED_VALUE"""),"State PCS")</f>
        <v>State PCS</v>
      </c>
      <c r="K1990" s="124"/>
      <c r="L1990" s="124"/>
      <c r="M1990" s="124"/>
      <c r="N1990" s="124"/>
      <c r="O1990" s="124"/>
      <c r="T1990" s="129">
        <f>IFERROR(__xludf.DUMMYFUNCTION("""COMPUTED_VALUE"""),46099.0)</f>
        <v>46099</v>
      </c>
      <c r="U1990" s="124" t="str">
        <f>IFERROR(__xludf.DUMMYFUNCTION("""COMPUTED_VALUE"""),"Libraries")</f>
        <v>Libraries</v>
      </c>
      <c r="V1990" s="124" t="str">
        <f>IFERROR(__xludf.DUMMYFUNCTION("""COMPUTED_VALUE"""),"Libraries")</f>
        <v>Libraries</v>
      </c>
      <c r="W1990" s="124"/>
      <c r="X1990" s="124"/>
      <c r="Y1990" s="124" t="str">
        <f>IFERROR(__xludf.DUMMYFUNCTION("""COMPUTED_VALUE"""),"Prayagraj")</f>
        <v>Prayagraj</v>
      </c>
      <c r="Z1990" s="124">
        <f>IFERROR(__xludf.DUMMYFUNCTION("""COMPUTED_VALUE"""),1.0)</f>
        <v>1</v>
      </c>
      <c r="AA1990" s="124"/>
      <c r="AB1990" s="124" t="str">
        <f>IFERROR(__xludf.DUMMYFUNCTION("""COMPUTED_VALUE"""),"GS Foundation")</f>
        <v>GS Foundation</v>
      </c>
    </row>
    <row r="1991">
      <c r="A1991" s="126">
        <f>IFERROR(__xludf.DUMMYFUNCTION("""COMPUTED_VALUE"""),46076.0)</f>
        <v>46076</v>
      </c>
      <c r="B1991" s="124" t="str">
        <f>IFERROR(__xludf.DUMMYFUNCTION("""COMPUTED_VALUE"""),"Feeder Cities")</f>
        <v>Feeder Cities</v>
      </c>
      <c r="C1991" s="124" t="str">
        <f>IFERROR(__xludf.DUMMYFUNCTION("""COMPUTED_VALUE"""),"Indore")</f>
        <v>Indore</v>
      </c>
      <c r="D1991" s="124" t="str">
        <f>IFERROR(__xludf.DUMMYFUNCTION("""COMPUTED_VALUE"""),"Secondary_Walkin")</f>
        <v>Secondary_Walkin</v>
      </c>
      <c r="E1991" s="124">
        <f>IFERROR(__xludf.DUMMYFUNCTION("""COMPUTED_VALUE"""),1.0)</f>
        <v>1</v>
      </c>
      <c r="F1991" s="124" t="str">
        <f>IFERROR(__xludf.DUMMYFUNCTION("""COMPUTED_VALUE"""),"Warm")</f>
        <v>Warm</v>
      </c>
      <c r="G1991" s="124" t="str">
        <f>IFERROR(__xludf.DUMMYFUNCTION("""COMPUTED_VALUE"""),"State PCS")</f>
        <v>State PCS</v>
      </c>
      <c r="K1991" s="124"/>
      <c r="L1991" s="124"/>
      <c r="M1991" s="124"/>
      <c r="N1991" s="124"/>
      <c r="O1991" s="124"/>
      <c r="T1991" s="129">
        <f>IFERROR(__xludf.DUMMYFUNCTION("""COMPUTED_VALUE"""),46092.0)</f>
        <v>46092</v>
      </c>
      <c r="U1991" s="124" t="str">
        <f>IFERROR(__xludf.DUMMYFUNCTION("""COMPUTED_VALUE"""),"Publisher Campaign")</f>
        <v>Publisher Campaign</v>
      </c>
      <c r="V1991" s="124" t="str">
        <f>IFERROR(__xludf.DUMMYFUNCTION("""COMPUTED_VALUE"""),"DM - Meta")</f>
        <v>DM - Meta</v>
      </c>
      <c r="W1991" s="124"/>
      <c r="X1991" s="124"/>
      <c r="Y1991" s="124" t="str">
        <f>IFERROR(__xludf.DUMMYFUNCTION("""COMPUTED_VALUE"""),"Prayagraj")</f>
        <v>Prayagraj</v>
      </c>
      <c r="Z1991" s="124">
        <f>IFERROR(__xludf.DUMMYFUNCTION("""COMPUTED_VALUE"""),1.0)</f>
        <v>1</v>
      </c>
      <c r="AA1991" s="124" t="str">
        <f>IFERROR(__xludf.DUMMYFUNCTION("""COMPUTED_VALUE"""),"Future Prospects")</f>
        <v>Future Prospects</v>
      </c>
      <c r="AB1991" s="124" t="str">
        <f>IFERROR(__xludf.DUMMYFUNCTION("""COMPUTED_VALUE"""),"GS Foundation")</f>
        <v>GS Foundation</v>
      </c>
    </row>
    <row r="1992">
      <c r="A1992" s="126">
        <f>IFERROR(__xludf.DUMMYFUNCTION("""COMPUTED_VALUE"""),46102.0)</f>
        <v>46102</v>
      </c>
      <c r="B1992" s="124" t="str">
        <f>IFERROR(__xludf.DUMMYFUNCTION("""COMPUTED_VALUE"""),"Inbound Call")</f>
        <v>Inbound Call</v>
      </c>
      <c r="C1992" s="124" t="str">
        <f>IFERROR(__xludf.DUMMYFUNCTION("""COMPUTED_VALUE"""),"Indore")</f>
        <v>Indore</v>
      </c>
      <c r="D1992" s="124" t="str">
        <f>IFERROR(__xludf.DUMMYFUNCTION("""COMPUTED_VALUE"""),"Secondary_Walkin")</f>
        <v>Secondary_Walkin</v>
      </c>
      <c r="E1992" s="124">
        <f>IFERROR(__xludf.DUMMYFUNCTION("""COMPUTED_VALUE"""),1.0)</f>
        <v>1</v>
      </c>
      <c r="F1992" s="124" t="str">
        <f>IFERROR(__xludf.DUMMYFUNCTION("""COMPUTED_VALUE"""),"Future Prospects")</f>
        <v>Future Prospects</v>
      </c>
      <c r="G1992" s="124" t="str">
        <f>IFERROR(__xludf.DUMMYFUNCTION("""COMPUTED_VALUE"""),"State PCS")</f>
        <v>State PCS</v>
      </c>
      <c r="K1992" s="124"/>
      <c r="L1992" s="124"/>
      <c r="M1992" s="124"/>
      <c r="N1992" s="124"/>
      <c r="O1992" s="124"/>
      <c r="T1992" s="126">
        <f>IFERROR(__xludf.DUMMYFUNCTION("""COMPUTED_VALUE"""),46049.0)</f>
        <v>46049</v>
      </c>
      <c r="U1992" s="124" t="str">
        <f>IFERROR(__xludf.DUMMYFUNCTION("""COMPUTED_VALUE"""),"External Leads")</f>
        <v>External Leads</v>
      </c>
      <c r="V1992" s="124" t="str">
        <f>IFERROR(__xludf.DUMMYFUNCTION("""COMPUTED_VALUE"""),"external leads")</f>
        <v>external leads</v>
      </c>
      <c r="W1992" s="124"/>
      <c r="X1992" s="124"/>
      <c r="Y1992" s="124" t="str">
        <f>IFERROR(__xludf.DUMMYFUNCTION("""COMPUTED_VALUE"""),"Delhi")</f>
        <v>Delhi</v>
      </c>
      <c r="Z1992" s="124">
        <f>IFERROR(__xludf.DUMMYFUNCTION("""COMPUTED_VALUE"""),1.0)</f>
        <v>1</v>
      </c>
      <c r="AA1992" s="124" t="str">
        <f>IFERROR(__xludf.DUMMYFUNCTION("""COMPUTED_VALUE"""),"Future Prospects")</f>
        <v>Future Prospects</v>
      </c>
      <c r="AB1992" s="124"/>
    </row>
    <row r="1993">
      <c r="A1993" s="126">
        <f>IFERROR(__xludf.DUMMYFUNCTION("""COMPUTED_VALUE"""),46094.0)</f>
        <v>46094</v>
      </c>
      <c r="B1993" s="124" t="str">
        <f>IFERROR(__xludf.DUMMYFUNCTION("""COMPUTED_VALUE"""),"external leads")</f>
        <v>external leads</v>
      </c>
      <c r="C1993" s="124" t="str">
        <f>IFERROR(__xludf.DUMMYFUNCTION("""COMPUTED_VALUE"""),"Indore")</f>
        <v>Indore</v>
      </c>
      <c r="D1993" s="124" t="str">
        <f>IFERROR(__xludf.DUMMYFUNCTION("""COMPUTED_VALUE"""),"Secondary_Walkin")</f>
        <v>Secondary_Walkin</v>
      </c>
      <c r="E1993" s="124">
        <f>IFERROR(__xludf.DUMMYFUNCTION("""COMPUTED_VALUE"""),1.0)</f>
        <v>1</v>
      </c>
      <c r="F1993" s="124" t="str">
        <f>IFERROR(__xludf.DUMMYFUNCTION("""COMPUTED_VALUE"""),"Cold")</f>
        <v>Cold</v>
      </c>
      <c r="G1993" s="124" t="str">
        <f>IFERROR(__xludf.DUMMYFUNCTION("""COMPUTED_VALUE"""),"Test Series")</f>
        <v>Test Series</v>
      </c>
      <c r="K1993" s="124"/>
      <c r="L1993" s="124"/>
      <c r="M1993" s="124"/>
      <c r="N1993" s="124"/>
      <c r="O1993" s="124"/>
      <c r="T1993" s="126">
        <f>IFERROR(__xludf.DUMMYFUNCTION("""COMPUTED_VALUE"""),46055.0)</f>
        <v>46055</v>
      </c>
      <c r="U1993" s="124" t="str">
        <f>IFERROR(__xludf.DUMMYFUNCTION("""COMPUTED_VALUE"""),"Paid Ads")</f>
        <v>Paid Ads</v>
      </c>
      <c r="V1993" s="124" t="str">
        <f>IFERROR(__xludf.DUMMYFUNCTION("""COMPUTED_VALUE"""),"google")</f>
        <v>google</v>
      </c>
      <c r="W1993" s="124" t="str">
        <f>IFERROR(__xludf.DUMMYFUNCTION("""COMPUTED_VALUE"""),"cpc")</f>
        <v>cpc</v>
      </c>
      <c r="X1993" s="124">
        <f>IFERROR(__xludf.DUMMYFUNCTION("""COMPUTED_VALUE"""),2.288825581E10)</f>
        <v>22888255810</v>
      </c>
      <c r="Y1993" s="124" t="str">
        <f>IFERROR(__xludf.DUMMYFUNCTION("""COMPUTED_VALUE"""),"Indore")</f>
        <v>Indore</v>
      </c>
      <c r="Z1993" s="124">
        <f>IFERROR(__xludf.DUMMYFUNCTION("""COMPUTED_VALUE"""),1.0)</f>
        <v>1</v>
      </c>
      <c r="AA1993" s="124" t="str">
        <f>IFERROR(__xludf.DUMMYFUNCTION("""COMPUTED_VALUE"""),"Cold")</f>
        <v>Cold</v>
      </c>
      <c r="AB1993" s="124" t="str">
        <f>IFERROR(__xludf.DUMMYFUNCTION("""COMPUTED_VALUE"""),"GS Foundation")</f>
        <v>GS Foundation</v>
      </c>
    </row>
    <row r="1994">
      <c r="A1994" s="126">
        <f>IFERROR(__xludf.DUMMYFUNCTION("""COMPUTED_VALUE"""),46080.0)</f>
        <v>46080</v>
      </c>
      <c r="B1994" s="124" t="str">
        <f>IFERROR(__xludf.DUMMYFUNCTION("""COMPUTED_VALUE"""),"Walkin")</f>
        <v>Walkin</v>
      </c>
      <c r="C1994" s="124" t="str">
        <f>IFERROR(__xludf.DUMMYFUNCTION("""COMPUTED_VALUE"""),"Indore")</f>
        <v>Indore</v>
      </c>
      <c r="D1994" s="124" t="str">
        <f>IFERROR(__xludf.DUMMYFUNCTION("""COMPUTED_VALUE"""),"Primary_Walkin")</f>
        <v>Primary_Walkin</v>
      </c>
      <c r="E1994" s="124">
        <f>IFERROR(__xludf.DUMMYFUNCTION("""COMPUTED_VALUE"""),1.0)</f>
        <v>1</v>
      </c>
      <c r="F1994" s="124" t="str">
        <f>IFERROR(__xludf.DUMMYFUNCTION("""COMPUTED_VALUE"""),"Enrolled")</f>
        <v>Enrolled</v>
      </c>
      <c r="G1994" s="124" t="str">
        <f>IFERROR(__xludf.DUMMYFUNCTION("""COMPUTED_VALUE"""),"GS Foundation")</f>
        <v>GS Foundation</v>
      </c>
      <c r="K1994" s="124"/>
      <c r="L1994" s="124"/>
      <c r="M1994" s="124"/>
      <c r="N1994" s="124"/>
      <c r="O1994" s="124"/>
      <c r="T1994" s="126">
        <f>IFERROR(__xludf.DUMMYFUNCTION("""COMPUTED_VALUE"""),46043.0)</f>
        <v>46043</v>
      </c>
      <c r="U1994" s="124" t="str">
        <f>IFERROR(__xludf.DUMMYFUNCTION("""COMPUTED_VALUE"""),"External Leads")</f>
        <v>External Leads</v>
      </c>
      <c r="V1994" s="124" t="str">
        <f>IFERROR(__xludf.DUMMYFUNCTION("""COMPUTED_VALUE"""),"external leads")</f>
        <v>external leads</v>
      </c>
      <c r="W1994" s="124"/>
      <c r="X1994" s="124"/>
      <c r="Y1994" s="124"/>
      <c r="Z1994" s="124">
        <f>IFERROR(__xludf.DUMMYFUNCTION("""COMPUTED_VALUE"""),2.0)</f>
        <v>2</v>
      </c>
      <c r="AA1994" s="124" t="str">
        <f>IFERROR(__xludf.DUMMYFUNCTION("""COMPUTED_VALUE"""),"Engaged")</f>
        <v>Engaged</v>
      </c>
      <c r="AB1994" s="124"/>
    </row>
    <row r="1995">
      <c r="A1995" s="129">
        <f>IFERROR(__xludf.DUMMYFUNCTION("""COMPUTED_VALUE"""),46060.0)</f>
        <v>46060</v>
      </c>
      <c r="B1995" s="124" t="str">
        <f>IFERROR(__xludf.DUMMYFUNCTION("""COMPUTED_VALUE"""),"Walkin")</f>
        <v>Walkin</v>
      </c>
      <c r="C1995" s="124" t="str">
        <f>IFERROR(__xludf.DUMMYFUNCTION("""COMPUTED_VALUE"""),"Indore")</f>
        <v>Indore</v>
      </c>
      <c r="D1995" s="124" t="str">
        <f>IFERROR(__xludf.DUMMYFUNCTION("""COMPUTED_VALUE"""),"Primary_Walkin")</f>
        <v>Primary_Walkin</v>
      </c>
      <c r="E1995" s="124">
        <f>IFERROR(__xludf.DUMMYFUNCTION("""COMPUTED_VALUE"""),1.0)</f>
        <v>1</v>
      </c>
      <c r="F1995" s="124" t="str">
        <f>IFERROR(__xludf.DUMMYFUNCTION("""COMPUTED_VALUE"""),"Enrolled")</f>
        <v>Enrolled</v>
      </c>
      <c r="G1995" s="124" t="str">
        <f>IFERROR(__xludf.DUMMYFUNCTION("""COMPUTED_VALUE"""),"Other")</f>
        <v>Other</v>
      </c>
      <c r="K1995" s="124"/>
      <c r="L1995" s="124"/>
      <c r="M1995" s="124"/>
      <c r="N1995" s="124"/>
      <c r="O1995" s="124"/>
      <c r="T1995" s="126">
        <f>IFERROR(__xludf.DUMMYFUNCTION("""COMPUTED_VALUE"""),46066.0)</f>
        <v>46066</v>
      </c>
      <c r="U1995" s="124" t="str">
        <f>IFERROR(__xludf.DUMMYFUNCTION("""COMPUTED_VALUE"""),"Libraries")</f>
        <v>Libraries</v>
      </c>
      <c r="V1995" s="124" t="str">
        <f>IFERROR(__xludf.DUMMYFUNCTION("""COMPUTED_VALUE"""),"Libraries")</f>
        <v>Libraries</v>
      </c>
      <c r="W1995" s="124"/>
      <c r="X1995" s="124"/>
      <c r="Y1995" s="124" t="str">
        <f>IFERROR(__xludf.DUMMYFUNCTION("""COMPUTED_VALUE"""),"Prayagraj")</f>
        <v>Prayagraj</v>
      </c>
      <c r="Z1995" s="124">
        <f>IFERROR(__xludf.DUMMYFUNCTION("""COMPUTED_VALUE"""),1.0)</f>
        <v>1</v>
      </c>
      <c r="AA1995" s="124" t="str">
        <f>IFERROR(__xludf.DUMMYFUNCTION("""COMPUTED_VALUE"""),"Enrolled")</f>
        <v>Enrolled</v>
      </c>
      <c r="AB1995" s="124" t="str">
        <f>IFERROR(__xludf.DUMMYFUNCTION("""COMPUTED_VALUE"""),"State PCS")</f>
        <v>State PCS</v>
      </c>
    </row>
    <row r="1996">
      <c r="A1996" s="126">
        <f>IFERROR(__xludf.DUMMYFUNCTION("""COMPUTED_VALUE"""),46049.0)</f>
        <v>46049</v>
      </c>
      <c r="B1996" s="124" t="str">
        <f>IFERROR(__xludf.DUMMYFUNCTION("""COMPUTED_VALUE"""),"Walkin")</f>
        <v>Walkin</v>
      </c>
      <c r="C1996" s="124" t="str">
        <f>IFERROR(__xludf.DUMMYFUNCTION("""COMPUTED_VALUE"""),"Indore")</f>
        <v>Indore</v>
      </c>
      <c r="D1996" s="124" t="str">
        <f>IFERROR(__xludf.DUMMYFUNCTION("""COMPUTED_VALUE"""),"Primary_Walkin")</f>
        <v>Primary_Walkin</v>
      </c>
      <c r="E1996" s="124">
        <f>IFERROR(__xludf.DUMMYFUNCTION("""COMPUTED_VALUE"""),1.0)</f>
        <v>1</v>
      </c>
      <c r="F1996" s="124" t="str">
        <f>IFERROR(__xludf.DUMMYFUNCTION("""COMPUTED_VALUE"""),"Future Prospects")</f>
        <v>Future Prospects</v>
      </c>
      <c r="G1996" s="124" t="str">
        <f>IFERROR(__xludf.DUMMYFUNCTION("""COMPUTED_VALUE"""),"State PCS")</f>
        <v>State PCS</v>
      </c>
      <c r="K1996" s="124"/>
      <c r="L1996" s="124"/>
      <c r="M1996" s="124"/>
      <c r="N1996" s="124"/>
      <c r="O1996" s="124"/>
      <c r="T1996" s="129">
        <f>IFERROR(__xludf.DUMMYFUNCTION("""COMPUTED_VALUE"""),46088.0)</f>
        <v>46088</v>
      </c>
      <c r="U1996" s="124" t="str">
        <f>IFERROR(__xludf.DUMMYFUNCTION("""COMPUTED_VALUE"""),"Publisher Campaign")</f>
        <v>Publisher Campaign</v>
      </c>
      <c r="V1996" s="124" t="str">
        <f>IFERROR(__xludf.DUMMYFUNCTION("""COMPUTED_VALUE"""),"Webinar")</f>
        <v>Webinar</v>
      </c>
      <c r="W1996" s="124"/>
      <c r="X1996" s="124"/>
      <c r="Y1996" s="124" t="str">
        <f>IFERROR(__xludf.DUMMYFUNCTION("""COMPUTED_VALUE"""),"Delhi")</f>
        <v>Delhi</v>
      </c>
      <c r="Z1996" s="124">
        <f>IFERROR(__xludf.DUMMYFUNCTION("""COMPUTED_VALUE"""),3.0)</f>
        <v>3</v>
      </c>
      <c r="AA1996" s="124" t="str">
        <f>IFERROR(__xludf.DUMMYFUNCTION("""COMPUTED_VALUE"""),"Not Interested")</f>
        <v>Not Interested</v>
      </c>
      <c r="AB1996" s="124" t="str">
        <f>IFERROR(__xludf.DUMMYFUNCTION("""COMPUTED_VALUE"""),"Other")</f>
        <v>Other</v>
      </c>
    </row>
    <row r="1997">
      <c r="A1997" s="126">
        <f>IFERROR(__xludf.DUMMYFUNCTION("""COMPUTED_VALUE"""),46071.0)</f>
        <v>46071</v>
      </c>
      <c r="B1997" s="124" t="str">
        <f>IFERROR(__xludf.DUMMYFUNCTION("""COMPUTED_VALUE"""),"events")</f>
        <v>events</v>
      </c>
      <c r="C1997" s="124" t="str">
        <f>IFERROR(__xludf.DUMMYFUNCTION("""COMPUTED_VALUE"""),"Lucknow")</f>
        <v>Lucknow</v>
      </c>
      <c r="D1997" s="124" t="str">
        <f>IFERROR(__xludf.DUMMYFUNCTION("""COMPUTED_VALUE"""),"Secondary_Walkin")</f>
        <v>Secondary_Walkin</v>
      </c>
      <c r="E1997" s="124">
        <f>IFERROR(__xludf.DUMMYFUNCTION("""COMPUTED_VALUE"""),1.0)</f>
        <v>1</v>
      </c>
      <c r="F1997" s="124" t="str">
        <f>IFERROR(__xludf.DUMMYFUNCTION("""COMPUTED_VALUE"""),"Not Interested")</f>
        <v>Not Interested</v>
      </c>
      <c r="G1997" s="124" t="str">
        <f>IFERROR(__xludf.DUMMYFUNCTION("""COMPUTED_VALUE"""),"GS Foundation")</f>
        <v>GS Foundation</v>
      </c>
      <c r="K1997" s="124"/>
      <c r="L1997" s="124"/>
      <c r="M1997" s="124"/>
      <c r="N1997" s="124"/>
      <c r="O1997" s="124"/>
      <c r="T1997" s="129">
        <f>IFERROR(__xludf.DUMMYFUNCTION("""COMPUTED_VALUE"""),46078.0)</f>
        <v>46078</v>
      </c>
      <c r="U1997" s="124" t="str">
        <f>IFERROR(__xludf.DUMMYFUNCTION("""COMPUTED_VALUE"""),"Publisher Campaign")</f>
        <v>Publisher Campaign</v>
      </c>
      <c r="V1997" s="124" t="str">
        <f>IFERROR(__xludf.DUMMYFUNCTION("""COMPUTED_VALUE"""),"Webinar")</f>
        <v>Webinar</v>
      </c>
      <c r="W1997" s="124"/>
      <c r="X1997" s="124"/>
      <c r="Y1997" s="124" t="str">
        <f>IFERROR(__xludf.DUMMYFUNCTION("""COMPUTED_VALUE"""),"Delhi")</f>
        <v>Delhi</v>
      </c>
      <c r="Z1997" s="124">
        <f>IFERROR(__xludf.DUMMYFUNCTION("""COMPUTED_VALUE"""),1.0)</f>
        <v>1</v>
      </c>
      <c r="AA1997" s="124" t="str">
        <f>IFERROR(__xludf.DUMMYFUNCTION("""COMPUTED_VALUE"""),"Cold")</f>
        <v>Cold</v>
      </c>
      <c r="AB1997" s="124" t="str">
        <f>IFERROR(__xludf.DUMMYFUNCTION("""COMPUTED_VALUE"""),"Mentorship")</f>
        <v>Mentorship</v>
      </c>
    </row>
    <row r="1998">
      <c r="A1998" s="126">
        <f>IFERROR(__xludf.DUMMYFUNCTION("""COMPUTED_VALUE"""),46109.0)</f>
        <v>46109</v>
      </c>
      <c r="B1998" s="124" t="str">
        <f>IFERROR(__xludf.DUMMYFUNCTION("""COMPUTED_VALUE"""),"Walkin")</f>
        <v>Walkin</v>
      </c>
      <c r="C1998" s="124" t="str">
        <f>IFERROR(__xludf.DUMMYFUNCTION("""COMPUTED_VALUE"""),"Indore")</f>
        <v>Indore</v>
      </c>
      <c r="D1998" s="124" t="str">
        <f>IFERROR(__xludf.DUMMYFUNCTION("""COMPUTED_VALUE"""),"Primary_Walkin")</f>
        <v>Primary_Walkin</v>
      </c>
      <c r="E1998" s="124">
        <f>IFERROR(__xludf.DUMMYFUNCTION("""COMPUTED_VALUE"""),1.0)</f>
        <v>1</v>
      </c>
      <c r="F1998" s="124" t="str">
        <f>IFERROR(__xludf.DUMMYFUNCTION("""COMPUTED_VALUE"""),"Interested")</f>
        <v>Interested</v>
      </c>
      <c r="G1998" s="124" t="str">
        <f>IFERROR(__xludf.DUMMYFUNCTION("""COMPUTED_VALUE"""),"GS Foundation")</f>
        <v>GS Foundation</v>
      </c>
      <c r="K1998" s="124"/>
      <c r="L1998" s="124"/>
      <c r="M1998" s="124"/>
      <c r="N1998" s="124"/>
      <c r="O1998" s="124"/>
      <c r="T1998" s="126">
        <f>IFERROR(__xludf.DUMMYFUNCTION("""COMPUTED_VALUE"""),46072.0)</f>
        <v>46072</v>
      </c>
      <c r="U1998" s="124" t="str">
        <f>IFERROR(__xludf.DUMMYFUNCTION("""COMPUTED_VALUE"""),"Publisher Campaign")</f>
        <v>Publisher Campaign</v>
      </c>
      <c r="V1998" s="124" t="str">
        <f>IFERROR(__xludf.DUMMYFUNCTION("""COMPUTED_VALUE"""),"BTL Activities")</f>
        <v>BTL Activities</v>
      </c>
      <c r="W1998" s="124"/>
      <c r="X1998" s="124"/>
      <c r="Y1998" s="124" t="str">
        <f>IFERROR(__xludf.DUMMYFUNCTION("""COMPUTED_VALUE"""),"Prayagraj")</f>
        <v>Prayagraj</v>
      </c>
      <c r="Z1998" s="124">
        <f>IFERROR(__xludf.DUMMYFUNCTION("""COMPUTED_VALUE"""),1.0)</f>
        <v>1</v>
      </c>
      <c r="AA1998" s="124" t="str">
        <f>IFERROR(__xludf.DUMMYFUNCTION("""COMPUTED_VALUE"""),"Cold")</f>
        <v>Cold</v>
      </c>
      <c r="AB1998" s="124" t="str">
        <f>IFERROR(__xludf.DUMMYFUNCTION("""COMPUTED_VALUE"""),"GS Foundation")</f>
        <v>GS Foundation</v>
      </c>
    </row>
    <row r="1999">
      <c r="A1999" s="126">
        <f>IFERROR(__xludf.DUMMYFUNCTION("""COMPUTED_VALUE"""),46106.0)</f>
        <v>46106</v>
      </c>
      <c r="B1999" s="124" t="str">
        <f>IFERROR(__xludf.DUMMYFUNCTION("""COMPUTED_VALUE"""),"Walkin")</f>
        <v>Walkin</v>
      </c>
      <c r="C1999" s="124" t="str">
        <f>IFERROR(__xludf.DUMMYFUNCTION("""COMPUTED_VALUE"""),"Lucknow")</f>
        <v>Lucknow</v>
      </c>
      <c r="D1999" s="124" t="str">
        <f>IFERROR(__xludf.DUMMYFUNCTION("""COMPUTED_VALUE"""),"Primary_Walkin")</f>
        <v>Primary_Walkin</v>
      </c>
      <c r="E1999" s="124">
        <f>IFERROR(__xludf.DUMMYFUNCTION("""COMPUTED_VALUE"""),1.0)</f>
        <v>1</v>
      </c>
      <c r="F1999" s="124" t="str">
        <f>IFERROR(__xludf.DUMMYFUNCTION("""COMPUTED_VALUE"""),"Warm")</f>
        <v>Warm</v>
      </c>
      <c r="G1999" s="124" t="str">
        <f>IFERROR(__xludf.DUMMYFUNCTION("""COMPUTED_VALUE"""),"GS Foundation")</f>
        <v>GS Foundation</v>
      </c>
      <c r="K1999" s="124"/>
      <c r="L1999" s="124"/>
      <c r="M1999" s="124"/>
      <c r="N1999" s="124"/>
      <c r="O1999" s="124"/>
      <c r="T1999" s="126">
        <f>IFERROR(__xludf.DUMMYFUNCTION("""COMPUTED_VALUE"""),46062.0)</f>
        <v>46062</v>
      </c>
      <c r="U1999" s="124" t="str">
        <f>IFERROR(__xludf.DUMMYFUNCTION("""COMPUTED_VALUE"""),"Publisher Campaign")</f>
        <v>Publisher Campaign</v>
      </c>
      <c r="V1999" s="124" t="str">
        <f>IFERROR(__xludf.DUMMYFUNCTION("""COMPUTED_VALUE"""),"BTL Activities")</f>
        <v>BTL Activities</v>
      </c>
      <c r="W1999" s="124"/>
      <c r="X1999" s="124"/>
      <c r="Y1999" s="124" t="str">
        <f>IFERROR(__xludf.DUMMYFUNCTION("""COMPUTED_VALUE"""),"Indore")</f>
        <v>Indore</v>
      </c>
      <c r="Z1999" s="124">
        <f>IFERROR(__xludf.DUMMYFUNCTION("""COMPUTED_VALUE"""),1.0)</f>
        <v>1</v>
      </c>
      <c r="AA1999" s="124" t="str">
        <f>IFERROR(__xludf.DUMMYFUNCTION("""COMPUTED_VALUE"""),"Enrolled")</f>
        <v>Enrolled</v>
      </c>
      <c r="AB1999" s="124" t="str">
        <f>IFERROR(__xludf.DUMMYFUNCTION("""COMPUTED_VALUE"""),"GS Foundation")</f>
        <v>GS Foundation</v>
      </c>
    </row>
    <row r="2000">
      <c r="A2000" s="126">
        <f>IFERROR(__xludf.DUMMYFUNCTION("""COMPUTED_VALUE"""),46078.0)</f>
        <v>46078</v>
      </c>
      <c r="B2000" s="124" t="str">
        <f>IFERROR(__xludf.DUMMYFUNCTION("""COMPUTED_VALUE"""),"Walkin")</f>
        <v>Walkin</v>
      </c>
      <c r="C2000" s="124" t="str">
        <f>IFERROR(__xludf.DUMMYFUNCTION("""COMPUTED_VALUE"""),"Indore")</f>
        <v>Indore</v>
      </c>
      <c r="D2000" s="124" t="str">
        <f>IFERROR(__xludf.DUMMYFUNCTION("""COMPUTED_VALUE"""),"Primary_Walkin")</f>
        <v>Primary_Walkin</v>
      </c>
      <c r="E2000" s="124">
        <f>IFERROR(__xludf.DUMMYFUNCTION("""COMPUTED_VALUE"""),1.0)</f>
        <v>1</v>
      </c>
      <c r="F2000" s="124" t="str">
        <f>IFERROR(__xludf.DUMMYFUNCTION("""COMPUTED_VALUE"""),"Future Prospects")</f>
        <v>Future Prospects</v>
      </c>
      <c r="G2000" s="124" t="str">
        <f>IFERROR(__xludf.DUMMYFUNCTION("""COMPUTED_VALUE"""),"State PCS")</f>
        <v>State PCS</v>
      </c>
      <c r="K2000" s="124"/>
      <c r="L2000" s="124"/>
      <c r="M2000" s="124"/>
      <c r="N2000" s="124"/>
      <c r="O2000" s="124"/>
      <c r="T2000" s="126">
        <f>IFERROR(__xludf.DUMMYFUNCTION("""COMPUTED_VALUE"""),46047.0)</f>
        <v>46047</v>
      </c>
      <c r="U2000" s="124" t="str">
        <f>IFERROR(__xludf.DUMMYFUNCTION("""COMPUTED_VALUE"""),"External Leads")</f>
        <v>External Leads</v>
      </c>
      <c r="V2000" s="124" t="str">
        <f>IFERROR(__xludf.DUMMYFUNCTION("""COMPUTED_VALUE"""),"external leads")</f>
        <v>external leads</v>
      </c>
      <c r="W2000" s="124" t="str">
        <f>IFERROR(__xludf.DUMMYFUNCTION("""COMPUTED_VALUE"""),"indore")</f>
        <v>indore</v>
      </c>
      <c r="X2000" s="124" t="str">
        <f>IFERROR(__xludf.DUMMYFUNCTION("""COMPUTED_VALUE"""),"unacademy")</f>
        <v>unacademy</v>
      </c>
      <c r="Y2000" s="124" t="str">
        <f>IFERROR(__xludf.DUMMYFUNCTION("""COMPUTED_VALUE"""),"Indore")</f>
        <v>Indore</v>
      </c>
      <c r="Z2000" s="124">
        <f>IFERROR(__xludf.DUMMYFUNCTION("""COMPUTED_VALUE"""),2.0)</f>
        <v>2</v>
      </c>
      <c r="AA2000" s="124" t="str">
        <f>IFERROR(__xludf.DUMMYFUNCTION("""COMPUTED_VALUE"""),"Not Interested")</f>
        <v>Not Interested</v>
      </c>
      <c r="AB2000" s="124" t="str">
        <f>IFERROR(__xludf.DUMMYFUNCTION("""COMPUTED_VALUE"""),"State PCS")</f>
        <v>State PCS</v>
      </c>
    </row>
    <row r="2001">
      <c r="A2001" s="126">
        <f>IFERROR(__xludf.DUMMYFUNCTION("""COMPUTED_VALUE"""),46096.0)</f>
        <v>46096</v>
      </c>
      <c r="B2001" s="124" t="str">
        <f>IFERROR(__xludf.DUMMYFUNCTION("""COMPUTED_VALUE"""),"Walkin")</f>
        <v>Walkin</v>
      </c>
      <c r="C2001" s="124" t="str">
        <f>IFERROR(__xludf.DUMMYFUNCTION("""COMPUTED_VALUE"""),"Indore")</f>
        <v>Indore</v>
      </c>
      <c r="D2001" s="124" t="str">
        <f>IFERROR(__xludf.DUMMYFUNCTION("""COMPUTED_VALUE"""),"Primary_Walkin")</f>
        <v>Primary_Walkin</v>
      </c>
      <c r="E2001" s="124">
        <f>IFERROR(__xludf.DUMMYFUNCTION("""COMPUTED_VALUE"""),1.0)</f>
        <v>1</v>
      </c>
      <c r="F2001" s="124" t="str">
        <f>IFERROR(__xludf.DUMMYFUNCTION("""COMPUTED_VALUE"""),"Enrolled")</f>
        <v>Enrolled</v>
      </c>
      <c r="G2001" s="124" t="str">
        <f>IFERROR(__xludf.DUMMYFUNCTION("""COMPUTED_VALUE"""),"Optionals")</f>
        <v>Optionals</v>
      </c>
      <c r="K2001" s="124"/>
      <c r="L2001" s="124"/>
      <c r="M2001" s="124"/>
      <c r="N2001" s="124"/>
      <c r="O2001" s="124"/>
      <c r="T2001" s="126">
        <f>IFERROR(__xludf.DUMMYFUNCTION("""COMPUTED_VALUE"""),46080.0)</f>
        <v>46080</v>
      </c>
      <c r="U2001" s="124" t="str">
        <f>IFERROR(__xludf.DUMMYFUNCTION("""COMPUTED_VALUE"""),"Publisher Campaign")</f>
        <v>Publisher Campaign</v>
      </c>
      <c r="V2001" s="124" t="str">
        <f>IFERROR(__xludf.DUMMYFUNCTION("""COMPUTED_VALUE"""),"Webinar")</f>
        <v>Webinar</v>
      </c>
      <c r="W2001" s="124"/>
      <c r="X2001" s="124"/>
      <c r="Y2001" s="124" t="str">
        <f>IFERROR(__xludf.DUMMYFUNCTION("""COMPUTED_VALUE"""),"Delhi")</f>
        <v>Delhi</v>
      </c>
      <c r="Z2001" s="124">
        <f>IFERROR(__xludf.DUMMYFUNCTION("""COMPUTED_VALUE"""),3.0)</f>
        <v>3</v>
      </c>
      <c r="AA2001" s="124" t="str">
        <f>IFERROR(__xludf.DUMMYFUNCTION("""COMPUTED_VALUE"""),"Cold")</f>
        <v>Cold</v>
      </c>
      <c r="AB2001" s="124" t="str">
        <f>IFERROR(__xludf.DUMMYFUNCTION("""COMPUTED_VALUE"""),"CSAT")</f>
        <v>CSAT</v>
      </c>
    </row>
    <row r="2002">
      <c r="A2002" s="126">
        <f>IFERROR(__xludf.DUMMYFUNCTION("""COMPUTED_VALUE"""),46079.0)</f>
        <v>46079</v>
      </c>
      <c r="B2002" s="124" t="str">
        <f>IFERROR(__xludf.DUMMYFUNCTION("""COMPUTED_VALUE"""),"Walkin")</f>
        <v>Walkin</v>
      </c>
      <c r="C2002" s="124" t="str">
        <f>IFERROR(__xludf.DUMMYFUNCTION("""COMPUTED_VALUE"""),"Indore")</f>
        <v>Indore</v>
      </c>
      <c r="D2002" s="124" t="str">
        <f>IFERROR(__xludf.DUMMYFUNCTION("""COMPUTED_VALUE"""),"Primary_Walkin")</f>
        <v>Primary_Walkin</v>
      </c>
      <c r="E2002" s="124">
        <f>IFERROR(__xludf.DUMMYFUNCTION("""COMPUTED_VALUE"""),1.0)</f>
        <v>1</v>
      </c>
      <c r="F2002" s="124" t="str">
        <f>IFERROR(__xludf.DUMMYFUNCTION("""COMPUTED_VALUE"""),"Future Prospects")</f>
        <v>Future Prospects</v>
      </c>
      <c r="G2002" s="124" t="str">
        <f>IFERROR(__xludf.DUMMYFUNCTION("""COMPUTED_VALUE"""),"GS Foundation")</f>
        <v>GS Foundation</v>
      </c>
      <c r="K2002" s="124"/>
      <c r="L2002" s="124"/>
      <c r="M2002" s="124"/>
      <c r="N2002" s="124"/>
      <c r="O2002" s="124"/>
      <c r="T2002" s="126">
        <f>IFERROR(__xludf.DUMMYFUNCTION("""COMPUTED_VALUE"""),46075.0)</f>
        <v>46075</v>
      </c>
      <c r="U2002" s="124" t="str">
        <f>IFERROR(__xludf.DUMMYFUNCTION("""COMPUTED_VALUE"""),"Publisher Campaign")</f>
        <v>Publisher Campaign</v>
      </c>
      <c r="V2002" s="124" t="str">
        <f>IFERROR(__xludf.DUMMYFUNCTION("""COMPUTED_VALUE"""),"Webinar")</f>
        <v>Webinar</v>
      </c>
      <c r="W2002" s="124"/>
      <c r="X2002" s="124"/>
      <c r="Y2002" s="124" t="str">
        <f>IFERROR(__xludf.DUMMYFUNCTION("""COMPUTED_VALUE"""),"Delhi")</f>
        <v>Delhi</v>
      </c>
      <c r="Z2002" s="124">
        <f>IFERROR(__xludf.DUMMYFUNCTION("""COMPUTED_VALUE"""),1.0)</f>
        <v>1</v>
      </c>
      <c r="AA2002" s="124" t="str">
        <f>IFERROR(__xludf.DUMMYFUNCTION("""COMPUTED_VALUE"""),"Cold")</f>
        <v>Cold</v>
      </c>
      <c r="AB2002" s="124" t="str">
        <f>IFERROR(__xludf.DUMMYFUNCTION("""COMPUTED_VALUE"""),"Test Series")</f>
        <v>Test Series</v>
      </c>
    </row>
    <row r="2003">
      <c r="A2003" s="126">
        <f>IFERROR(__xludf.DUMMYFUNCTION("""COMPUTED_VALUE"""),46073.0)</f>
        <v>46073</v>
      </c>
      <c r="B2003" s="124" t="str">
        <f>IFERROR(__xludf.DUMMYFUNCTION("""COMPUTED_VALUE"""),"Inbound Call")</f>
        <v>Inbound Call</v>
      </c>
      <c r="C2003" s="124" t="str">
        <f>IFERROR(__xludf.DUMMYFUNCTION("""COMPUTED_VALUE"""),"Lucknow")</f>
        <v>Lucknow</v>
      </c>
      <c r="D2003" s="124" t="str">
        <f>IFERROR(__xludf.DUMMYFUNCTION("""COMPUTED_VALUE"""),"Secondary_Walkin")</f>
        <v>Secondary_Walkin</v>
      </c>
      <c r="E2003" s="124">
        <f>IFERROR(__xludf.DUMMYFUNCTION("""COMPUTED_VALUE"""),1.0)</f>
        <v>1</v>
      </c>
      <c r="F2003" s="124" t="str">
        <f>IFERROR(__xludf.DUMMYFUNCTION("""COMPUTED_VALUE"""),"Not Interested")</f>
        <v>Not Interested</v>
      </c>
      <c r="G2003" s="124" t="str">
        <f>IFERROR(__xludf.DUMMYFUNCTION("""COMPUTED_VALUE"""),"State PCS")</f>
        <v>State PCS</v>
      </c>
      <c r="K2003" s="124"/>
      <c r="L2003" s="124"/>
      <c r="M2003" s="124"/>
      <c r="N2003" s="124"/>
      <c r="O2003" s="124"/>
      <c r="T2003" s="129">
        <f>IFERROR(__xludf.DUMMYFUNCTION("""COMPUTED_VALUE"""),46070.0)</f>
        <v>46070</v>
      </c>
      <c r="U2003" s="124" t="str">
        <f>IFERROR(__xludf.DUMMYFUNCTION("""COMPUTED_VALUE"""),"Publisher Campaign")</f>
        <v>Publisher Campaign</v>
      </c>
      <c r="V2003" s="124" t="str">
        <f>IFERROR(__xludf.DUMMYFUNCTION("""COMPUTED_VALUE"""),"Feeder Cities")</f>
        <v>Feeder Cities</v>
      </c>
      <c r="W2003" s="124"/>
      <c r="X2003" s="124"/>
      <c r="Y2003" s="124" t="str">
        <f>IFERROR(__xludf.DUMMYFUNCTION("""COMPUTED_VALUE"""),"Indore")</f>
        <v>Indore</v>
      </c>
      <c r="Z2003" s="124">
        <f>IFERROR(__xludf.DUMMYFUNCTION("""COMPUTED_VALUE"""),4.0)</f>
        <v>4</v>
      </c>
      <c r="AA2003" s="124" t="str">
        <f>IFERROR(__xludf.DUMMYFUNCTION("""COMPUTED_VALUE"""),"Cold")</f>
        <v>Cold</v>
      </c>
      <c r="AB2003" s="124" t="str">
        <f>IFERROR(__xludf.DUMMYFUNCTION("""COMPUTED_VALUE"""),"State PCS")</f>
        <v>State PCS</v>
      </c>
    </row>
    <row r="2004">
      <c r="A2004" s="126">
        <f>IFERROR(__xludf.DUMMYFUNCTION("""COMPUTED_VALUE"""),46108.0)</f>
        <v>46108</v>
      </c>
      <c r="B2004" s="124" t="str">
        <f>IFERROR(__xludf.DUMMYFUNCTION("""COMPUTED_VALUE"""),"Walkin")</f>
        <v>Walkin</v>
      </c>
      <c r="C2004" s="124" t="str">
        <f>IFERROR(__xludf.DUMMYFUNCTION("""COMPUTED_VALUE"""),"Lucknow")</f>
        <v>Lucknow</v>
      </c>
      <c r="D2004" s="124" t="str">
        <f>IFERROR(__xludf.DUMMYFUNCTION("""COMPUTED_VALUE"""),"Primary_Walkin")</f>
        <v>Primary_Walkin</v>
      </c>
      <c r="E2004" s="124">
        <f>IFERROR(__xludf.DUMMYFUNCTION("""COMPUTED_VALUE"""),1.0)</f>
        <v>1</v>
      </c>
      <c r="F2004" s="124" t="str">
        <f>IFERROR(__xludf.DUMMYFUNCTION("""COMPUTED_VALUE"""),"Warm")</f>
        <v>Warm</v>
      </c>
      <c r="G2004" s="124" t="str">
        <f>IFERROR(__xludf.DUMMYFUNCTION("""COMPUTED_VALUE"""),"Hybrid")</f>
        <v>Hybrid</v>
      </c>
      <c r="K2004" s="124"/>
      <c r="L2004" s="124"/>
      <c r="M2004" s="124"/>
      <c r="N2004" s="124"/>
      <c r="O2004" s="124"/>
      <c r="T2004" s="126">
        <f>IFERROR(__xludf.DUMMYFUNCTION("""COMPUTED_VALUE"""),46052.0)</f>
        <v>46052</v>
      </c>
      <c r="U2004" s="124" t="str">
        <f>IFERROR(__xludf.DUMMYFUNCTION("""COMPUTED_VALUE"""),"External Leads")</f>
        <v>External Leads</v>
      </c>
      <c r="V2004" s="124" t="str">
        <f>IFERROR(__xludf.DUMMYFUNCTION("""COMPUTED_VALUE"""),"external leads")</f>
        <v>external leads</v>
      </c>
      <c r="W2004" s="124"/>
      <c r="X2004" s="124"/>
      <c r="Y2004" s="124" t="str">
        <f>IFERROR(__xludf.DUMMYFUNCTION("""COMPUTED_VALUE"""),"Delhi")</f>
        <v>Delhi</v>
      </c>
      <c r="Z2004" s="124">
        <f>IFERROR(__xludf.DUMMYFUNCTION("""COMPUTED_VALUE"""),1.0)</f>
        <v>1</v>
      </c>
      <c r="AA2004" s="124" t="str">
        <f>IFERROR(__xludf.DUMMYFUNCTION("""COMPUTED_VALUE"""),"Future Prospects")</f>
        <v>Future Prospects</v>
      </c>
      <c r="AB2004" s="124" t="str">
        <f>IFERROR(__xludf.DUMMYFUNCTION("""COMPUTED_VALUE"""),"GS Foundation")</f>
        <v>GS Foundation</v>
      </c>
    </row>
    <row r="2005">
      <c r="A2005" s="126">
        <f>IFERROR(__xludf.DUMMYFUNCTION("""COMPUTED_VALUE"""),46097.0)</f>
        <v>46097</v>
      </c>
      <c r="B2005" s="124" t="str">
        <f>IFERROR(__xludf.DUMMYFUNCTION("""COMPUTED_VALUE"""),"Walkin")</f>
        <v>Walkin</v>
      </c>
      <c r="C2005" s="124" t="str">
        <f>IFERROR(__xludf.DUMMYFUNCTION("""COMPUTED_VALUE"""),"Indore")</f>
        <v>Indore</v>
      </c>
      <c r="D2005" s="124" t="str">
        <f>IFERROR(__xludf.DUMMYFUNCTION("""COMPUTED_VALUE"""),"Primary_Walkin")</f>
        <v>Primary_Walkin</v>
      </c>
      <c r="E2005" s="124">
        <f>IFERROR(__xludf.DUMMYFUNCTION("""COMPUTED_VALUE"""),1.0)</f>
        <v>1</v>
      </c>
      <c r="F2005" s="124" t="str">
        <f>IFERROR(__xludf.DUMMYFUNCTION("""COMPUTED_VALUE"""),"Enrolled")</f>
        <v>Enrolled</v>
      </c>
      <c r="G2005" s="124" t="str">
        <f>IFERROR(__xludf.DUMMYFUNCTION("""COMPUTED_VALUE"""),"State PCS")</f>
        <v>State PCS</v>
      </c>
      <c r="K2005" s="124"/>
      <c r="L2005" s="124"/>
      <c r="M2005" s="124"/>
      <c r="N2005" s="124"/>
      <c r="O2005" s="124"/>
      <c r="T2005" s="126">
        <f>IFERROR(__xludf.DUMMYFUNCTION("""COMPUTED_VALUE"""),46087.0)</f>
        <v>46087</v>
      </c>
      <c r="U2005" s="124" t="str">
        <f>IFERROR(__xludf.DUMMYFUNCTION("""COMPUTED_VALUE"""),"Publisher Campaign")</f>
        <v>Publisher Campaign</v>
      </c>
      <c r="V2005" s="124" t="str">
        <f>IFERROR(__xludf.DUMMYFUNCTION("""COMPUTED_VALUE"""),"Webinar")</f>
        <v>Webinar</v>
      </c>
      <c r="W2005" s="124"/>
      <c r="X2005" s="124"/>
      <c r="Y2005" s="124" t="str">
        <f>IFERROR(__xludf.DUMMYFUNCTION("""COMPUTED_VALUE"""),"Delhi")</f>
        <v>Delhi</v>
      </c>
      <c r="Z2005" s="124">
        <f>IFERROR(__xludf.DUMMYFUNCTION("""COMPUTED_VALUE"""),2.0)</f>
        <v>2</v>
      </c>
      <c r="AA2005" s="124" t="str">
        <f>IFERROR(__xludf.DUMMYFUNCTION("""COMPUTED_VALUE"""),"Not Interested")</f>
        <v>Not Interested</v>
      </c>
      <c r="AB2005" s="124" t="str">
        <f>IFERROR(__xludf.DUMMYFUNCTION("""COMPUTED_VALUE"""),"CSAT")</f>
        <v>CSAT</v>
      </c>
    </row>
    <row r="2006">
      <c r="A2006" s="126">
        <f>IFERROR(__xludf.DUMMYFUNCTION("""COMPUTED_VALUE"""),46095.0)</f>
        <v>46095</v>
      </c>
      <c r="B2006" s="124" t="str">
        <f>IFERROR(__xludf.DUMMYFUNCTION("""COMPUTED_VALUE"""),"Walkin")</f>
        <v>Walkin</v>
      </c>
      <c r="C2006" s="124" t="str">
        <f>IFERROR(__xludf.DUMMYFUNCTION("""COMPUTED_VALUE"""),"Indore")</f>
        <v>Indore</v>
      </c>
      <c r="D2006" s="124" t="str">
        <f>IFERROR(__xludf.DUMMYFUNCTION("""COMPUTED_VALUE"""),"Primary_Walkin")</f>
        <v>Primary_Walkin</v>
      </c>
      <c r="E2006" s="124">
        <f>IFERROR(__xludf.DUMMYFUNCTION("""COMPUTED_VALUE"""),1.0)</f>
        <v>1</v>
      </c>
      <c r="F2006" s="124" t="str">
        <f>IFERROR(__xludf.DUMMYFUNCTION("""COMPUTED_VALUE"""),"Warm")</f>
        <v>Warm</v>
      </c>
      <c r="G2006" s="124" t="str">
        <f>IFERROR(__xludf.DUMMYFUNCTION("""COMPUTED_VALUE"""),"State PCS")</f>
        <v>State PCS</v>
      </c>
      <c r="K2006" s="124"/>
      <c r="L2006" s="124"/>
      <c r="M2006" s="124"/>
      <c r="N2006" s="124"/>
      <c r="O2006" s="124"/>
      <c r="T2006" s="126">
        <f>IFERROR(__xludf.DUMMYFUNCTION("""COMPUTED_VALUE"""),46067.0)</f>
        <v>46067</v>
      </c>
      <c r="U2006" s="124" t="str">
        <f>IFERROR(__xludf.DUMMYFUNCTION("""COMPUTED_VALUE"""),"Publisher Campaign")</f>
        <v>Publisher Campaign</v>
      </c>
      <c r="V2006" s="124" t="str">
        <f>IFERROR(__xludf.DUMMYFUNCTION("""COMPUTED_VALUE"""),"Webinar")</f>
        <v>Webinar</v>
      </c>
      <c r="W2006" s="124"/>
      <c r="X2006" s="124"/>
      <c r="Y2006" s="124" t="str">
        <f>IFERROR(__xludf.DUMMYFUNCTION("""COMPUTED_VALUE"""),"Delhi")</f>
        <v>Delhi</v>
      </c>
      <c r="Z2006" s="124">
        <f>IFERROR(__xludf.DUMMYFUNCTION("""COMPUTED_VALUE"""),2.0)</f>
        <v>2</v>
      </c>
      <c r="AA2006" s="124" t="str">
        <f>IFERROR(__xludf.DUMMYFUNCTION("""COMPUTED_VALUE"""),"Fake Lead")</f>
        <v>Fake Lead</v>
      </c>
      <c r="AB2006" s="124" t="str">
        <f>IFERROR(__xludf.DUMMYFUNCTION("""COMPUTED_VALUE"""),"GS Foundation")</f>
        <v>GS Foundation</v>
      </c>
    </row>
    <row r="2007">
      <c r="A2007" s="126">
        <f>IFERROR(__xludf.DUMMYFUNCTION("""COMPUTED_VALUE"""),46063.0)</f>
        <v>46063</v>
      </c>
      <c r="B2007" s="124" t="str">
        <f>IFERROR(__xludf.DUMMYFUNCTION("""COMPUTED_VALUE"""),"Walkin")</f>
        <v>Walkin</v>
      </c>
      <c r="C2007" s="124" t="str">
        <f>IFERROR(__xludf.DUMMYFUNCTION("""COMPUTED_VALUE"""),"Indore")</f>
        <v>Indore</v>
      </c>
      <c r="D2007" s="124" t="str">
        <f>IFERROR(__xludf.DUMMYFUNCTION("""COMPUTED_VALUE"""),"Primary_Walkin")</f>
        <v>Primary_Walkin</v>
      </c>
      <c r="E2007" s="124">
        <f>IFERROR(__xludf.DUMMYFUNCTION("""COMPUTED_VALUE"""),1.0)</f>
        <v>1</v>
      </c>
      <c r="F2007" s="124" t="str">
        <f>IFERROR(__xludf.DUMMYFUNCTION("""COMPUTED_VALUE"""),"Enrolled")</f>
        <v>Enrolled</v>
      </c>
      <c r="G2007" s="124" t="str">
        <f>IFERROR(__xludf.DUMMYFUNCTION("""COMPUTED_VALUE"""),"State PCS")</f>
        <v>State PCS</v>
      </c>
      <c r="K2007" s="124"/>
      <c r="L2007" s="124"/>
      <c r="M2007" s="124"/>
      <c r="N2007" s="124"/>
      <c r="O2007" s="124"/>
      <c r="T2007" s="126">
        <f>IFERROR(__xludf.DUMMYFUNCTION("""COMPUTED_VALUE"""),46052.0)</f>
        <v>46052</v>
      </c>
      <c r="U2007" s="124" t="str">
        <f>IFERROR(__xludf.DUMMYFUNCTION("""COMPUTED_VALUE"""),"Other Marketing Channels")</f>
        <v>Other Marketing Channels</v>
      </c>
      <c r="V2007" s="124" t="str">
        <f>IFERROR(__xludf.DUMMYFUNCTION("""COMPUTED_VALUE"""),"Referrals")</f>
        <v>Referrals</v>
      </c>
      <c r="W2007" s="124" t="str">
        <f>IFERROR(__xludf.DUMMYFUNCTION("""COMPUTED_VALUE"""),"Lucknow")</f>
        <v>Lucknow</v>
      </c>
      <c r="X2007" s="124" t="str">
        <f>IFERROR(__xludf.DUMMYFUNCTION("""COMPUTED_VALUE"""),"Lucknow")</f>
        <v>Lucknow</v>
      </c>
      <c r="Y2007" s="124" t="str">
        <f>IFERROR(__xludf.DUMMYFUNCTION("""COMPUTED_VALUE"""),"Lucknow")</f>
        <v>Lucknow</v>
      </c>
      <c r="Z2007" s="124">
        <f>IFERROR(__xludf.DUMMYFUNCTION("""COMPUTED_VALUE"""),1.0)</f>
        <v>1</v>
      </c>
      <c r="AA2007" s="124" t="str">
        <f>IFERROR(__xludf.DUMMYFUNCTION("""COMPUTED_VALUE"""),"Enrolled")</f>
        <v>Enrolled</v>
      </c>
      <c r="AB2007" s="124" t="str">
        <f>IFERROR(__xludf.DUMMYFUNCTION("""COMPUTED_VALUE"""),"Mentorship")</f>
        <v>Mentorship</v>
      </c>
    </row>
    <row r="2008">
      <c r="A2008" s="126">
        <f>IFERROR(__xludf.DUMMYFUNCTION("""COMPUTED_VALUE"""),46091.0)</f>
        <v>46091</v>
      </c>
      <c r="B2008" s="124" t="str">
        <f>IFERROR(__xludf.DUMMYFUNCTION("""COMPUTED_VALUE"""),"Walkin")</f>
        <v>Walkin</v>
      </c>
      <c r="C2008" s="124" t="str">
        <f>IFERROR(__xludf.DUMMYFUNCTION("""COMPUTED_VALUE"""),"Lucknow")</f>
        <v>Lucknow</v>
      </c>
      <c r="D2008" s="124" t="str">
        <f>IFERROR(__xludf.DUMMYFUNCTION("""COMPUTED_VALUE"""),"Primary_Walkin")</f>
        <v>Primary_Walkin</v>
      </c>
      <c r="E2008" s="124">
        <f>IFERROR(__xludf.DUMMYFUNCTION("""COMPUTED_VALUE"""),1.0)</f>
        <v>1</v>
      </c>
      <c r="F2008" s="124" t="str">
        <f>IFERROR(__xludf.DUMMYFUNCTION("""COMPUTED_VALUE"""),"Future Prospects")</f>
        <v>Future Prospects</v>
      </c>
      <c r="G2008" s="124" t="str">
        <f>IFERROR(__xludf.DUMMYFUNCTION("""COMPUTED_VALUE"""),"GS Foundation")</f>
        <v>GS Foundation</v>
      </c>
      <c r="K2008" s="124"/>
      <c r="L2008" s="124"/>
      <c r="M2008" s="124"/>
      <c r="N2008" s="124"/>
      <c r="O2008" s="124"/>
      <c r="T2008" s="126">
        <f>IFERROR(__xludf.DUMMYFUNCTION("""COMPUTED_VALUE"""),46052.0)</f>
        <v>46052</v>
      </c>
      <c r="U2008" s="124" t="str">
        <f>IFERROR(__xludf.DUMMYFUNCTION("""COMPUTED_VALUE"""),"External Leads")</f>
        <v>External Leads</v>
      </c>
      <c r="V2008" s="124" t="str">
        <f>IFERROR(__xludf.DUMMYFUNCTION("""COMPUTED_VALUE"""),"external leads")</f>
        <v>external leads</v>
      </c>
      <c r="W2008" s="124"/>
      <c r="X2008" s="124"/>
      <c r="Y2008" s="124" t="str">
        <f>IFERROR(__xludf.DUMMYFUNCTION("""COMPUTED_VALUE"""),"Delhi")</f>
        <v>Delhi</v>
      </c>
      <c r="Z2008" s="124">
        <f>IFERROR(__xludf.DUMMYFUNCTION("""COMPUTED_VALUE"""),3.0)</f>
        <v>3</v>
      </c>
      <c r="AA2008" s="124" t="str">
        <f>IFERROR(__xludf.DUMMYFUNCTION("""COMPUTED_VALUE"""),"Future Prospects")</f>
        <v>Future Prospects</v>
      </c>
      <c r="AB2008" s="124"/>
    </row>
    <row r="2009">
      <c r="A2009" s="129">
        <f>IFERROR(__xludf.DUMMYFUNCTION("""COMPUTED_VALUE"""),46086.0)</f>
        <v>46086</v>
      </c>
      <c r="B2009" s="124" t="str">
        <f>IFERROR(__xludf.DUMMYFUNCTION("""COMPUTED_VALUE"""),"Walk-In")</f>
        <v>Walk-In</v>
      </c>
      <c r="C2009" s="124" t="str">
        <f>IFERROR(__xludf.DUMMYFUNCTION("""COMPUTED_VALUE"""),"Lucknow")</f>
        <v>Lucknow</v>
      </c>
      <c r="D2009" s="124" t="str">
        <f>IFERROR(__xludf.DUMMYFUNCTION("""COMPUTED_VALUE"""),"Primary_Walkin")</f>
        <v>Primary_Walkin</v>
      </c>
      <c r="E2009" s="124">
        <f>IFERROR(__xludf.DUMMYFUNCTION("""COMPUTED_VALUE"""),1.0)</f>
        <v>1</v>
      </c>
      <c r="F2009" s="124" t="str">
        <f>IFERROR(__xludf.DUMMYFUNCTION("""COMPUTED_VALUE"""),"Enrolled")</f>
        <v>Enrolled</v>
      </c>
      <c r="G2009" s="124" t="str">
        <f>IFERROR(__xludf.DUMMYFUNCTION("""COMPUTED_VALUE"""),"GS Foundation")</f>
        <v>GS Foundation</v>
      </c>
      <c r="K2009" s="124"/>
      <c r="L2009" s="124"/>
      <c r="M2009" s="124"/>
      <c r="N2009" s="124"/>
      <c r="O2009" s="124"/>
      <c r="T2009" s="129">
        <f>IFERROR(__xludf.DUMMYFUNCTION("""COMPUTED_VALUE"""),46091.0)</f>
        <v>46091</v>
      </c>
      <c r="U2009" s="124" t="str">
        <f>IFERROR(__xludf.DUMMYFUNCTION("""COMPUTED_VALUE"""),"Publisher Campaign")</f>
        <v>Publisher Campaign</v>
      </c>
      <c r="V2009" s="124" t="str">
        <f>IFERROR(__xludf.DUMMYFUNCTION("""COMPUTED_VALUE"""),"Webinar")</f>
        <v>Webinar</v>
      </c>
      <c r="W2009" s="124"/>
      <c r="X2009" s="124"/>
      <c r="Y2009" s="124" t="str">
        <f>IFERROR(__xludf.DUMMYFUNCTION("""COMPUTED_VALUE"""),"Delhi")</f>
        <v>Delhi</v>
      </c>
      <c r="Z2009" s="124">
        <f>IFERROR(__xludf.DUMMYFUNCTION("""COMPUTED_VALUE"""),2.0)</f>
        <v>2</v>
      </c>
      <c r="AA2009" s="124" t="str">
        <f>IFERROR(__xludf.DUMMYFUNCTION("""COMPUTED_VALUE"""),"Fake Lead")</f>
        <v>Fake Lead</v>
      </c>
      <c r="AB2009" s="124" t="str">
        <f>IFERROR(__xludf.DUMMYFUNCTION("""COMPUTED_VALUE"""),"GS Foundation")</f>
        <v>GS Foundation</v>
      </c>
    </row>
    <row r="2010">
      <c r="A2010" s="129">
        <f>IFERROR(__xludf.DUMMYFUNCTION("""COMPUTED_VALUE"""),46055.0)</f>
        <v>46055</v>
      </c>
      <c r="B2010" s="124" t="str">
        <f>IFERROR(__xludf.DUMMYFUNCTION("""COMPUTED_VALUE"""),"Walkin")</f>
        <v>Walkin</v>
      </c>
      <c r="C2010" s="124" t="str">
        <f>IFERROR(__xludf.DUMMYFUNCTION("""COMPUTED_VALUE"""),"Indore")</f>
        <v>Indore</v>
      </c>
      <c r="D2010" s="124" t="str">
        <f>IFERROR(__xludf.DUMMYFUNCTION("""COMPUTED_VALUE"""),"Primary_Walkin")</f>
        <v>Primary_Walkin</v>
      </c>
      <c r="E2010" s="124">
        <f>IFERROR(__xludf.DUMMYFUNCTION("""COMPUTED_VALUE"""),1.0)</f>
        <v>1</v>
      </c>
      <c r="F2010" s="124" t="str">
        <f>IFERROR(__xludf.DUMMYFUNCTION("""COMPUTED_VALUE"""),"Cold")</f>
        <v>Cold</v>
      </c>
      <c r="G2010" s="124" t="str">
        <f>IFERROR(__xludf.DUMMYFUNCTION("""COMPUTED_VALUE"""),"State PCS")</f>
        <v>State PCS</v>
      </c>
      <c r="K2010" s="124"/>
      <c r="L2010" s="124"/>
      <c r="M2010" s="124"/>
      <c r="N2010" s="124"/>
      <c r="O2010" s="124"/>
      <c r="T2010" s="126">
        <f>IFERROR(__xludf.DUMMYFUNCTION("""COMPUTED_VALUE"""),46046.0)</f>
        <v>46046</v>
      </c>
      <c r="U2010" s="124" t="str">
        <f>IFERROR(__xludf.DUMMYFUNCTION("""COMPUTED_VALUE"""),"External Leads")</f>
        <v>External Leads</v>
      </c>
      <c r="V2010" s="124" t="str">
        <f>IFERROR(__xludf.DUMMYFUNCTION("""COMPUTED_VALUE"""),"external leads")</f>
        <v>external leads</v>
      </c>
      <c r="W2010" s="124"/>
      <c r="X2010" s="124"/>
      <c r="Y2010" s="124" t="str">
        <f>IFERROR(__xludf.DUMMYFUNCTION("""COMPUTED_VALUE"""),"Delhi")</f>
        <v>Delhi</v>
      </c>
      <c r="Z2010" s="124">
        <f>IFERROR(__xludf.DUMMYFUNCTION("""COMPUTED_VALUE"""),1.0)</f>
        <v>1</v>
      </c>
      <c r="AA2010" s="124" t="str">
        <f>IFERROR(__xludf.DUMMYFUNCTION("""COMPUTED_VALUE"""),"Engaged")</f>
        <v>Engaged</v>
      </c>
      <c r="AB2010" s="124" t="str">
        <f>IFERROR(__xludf.DUMMYFUNCTION("""COMPUTED_VALUE"""),"GS Foundation")</f>
        <v>GS Foundation</v>
      </c>
    </row>
    <row r="2011">
      <c r="A2011" s="126">
        <f>IFERROR(__xludf.DUMMYFUNCTION("""COMPUTED_VALUE"""),46066.0)</f>
        <v>46066</v>
      </c>
      <c r="B2011" s="124" t="str">
        <f>IFERROR(__xludf.DUMMYFUNCTION("""COMPUTED_VALUE"""),"external leads")</f>
        <v>external leads</v>
      </c>
      <c r="C2011" s="124" t="str">
        <f>IFERROR(__xludf.DUMMYFUNCTION("""COMPUTED_VALUE"""),"Lucknow")</f>
        <v>Lucknow</v>
      </c>
      <c r="D2011" s="124" t="str">
        <f>IFERROR(__xludf.DUMMYFUNCTION("""COMPUTED_VALUE"""),"Secondary_Walkin")</f>
        <v>Secondary_Walkin</v>
      </c>
      <c r="E2011" s="124">
        <f>IFERROR(__xludf.DUMMYFUNCTION("""COMPUTED_VALUE"""),1.0)</f>
        <v>1</v>
      </c>
      <c r="F2011" s="124" t="str">
        <f>IFERROR(__xludf.DUMMYFUNCTION("""COMPUTED_VALUE"""),"Cold")</f>
        <v>Cold</v>
      </c>
      <c r="G2011" s="124" t="str">
        <f>IFERROR(__xludf.DUMMYFUNCTION("""COMPUTED_VALUE"""),"Test Series")</f>
        <v>Test Series</v>
      </c>
      <c r="K2011" s="124"/>
      <c r="L2011" s="124"/>
      <c r="M2011" s="124"/>
      <c r="N2011" s="124"/>
      <c r="O2011" s="124"/>
      <c r="T2011" s="126">
        <f>IFERROR(__xludf.DUMMYFUNCTION("""COMPUTED_VALUE"""),46061.0)</f>
        <v>46061</v>
      </c>
      <c r="U2011" s="124" t="str">
        <f>IFERROR(__xludf.DUMMYFUNCTION("""COMPUTED_VALUE"""),"Publisher Campaign")</f>
        <v>Publisher Campaign</v>
      </c>
      <c r="V2011" s="124" t="str">
        <f>IFERROR(__xludf.DUMMYFUNCTION("""COMPUTED_VALUE"""),"Feeder Cities")</f>
        <v>Feeder Cities</v>
      </c>
      <c r="W2011" s="124"/>
      <c r="X2011" s="124"/>
      <c r="Y2011" s="124" t="str">
        <f>IFERROR(__xludf.DUMMYFUNCTION("""COMPUTED_VALUE"""),"Indore")</f>
        <v>Indore</v>
      </c>
      <c r="Z2011" s="124">
        <f>IFERROR(__xludf.DUMMYFUNCTION("""COMPUTED_VALUE"""),1.0)</f>
        <v>1</v>
      </c>
      <c r="AA2011" s="124" t="str">
        <f>IFERROR(__xludf.DUMMYFUNCTION("""COMPUTED_VALUE"""),"Cold")</f>
        <v>Cold</v>
      </c>
      <c r="AB2011" s="124" t="str">
        <f>IFERROR(__xludf.DUMMYFUNCTION("""COMPUTED_VALUE"""),"Mentorship")</f>
        <v>Mentorship</v>
      </c>
    </row>
    <row r="2012">
      <c r="A2012" s="126">
        <f>IFERROR(__xludf.DUMMYFUNCTION("""COMPUTED_VALUE"""),46049.0)</f>
        <v>46049</v>
      </c>
      <c r="B2012" s="124" t="str">
        <f>IFERROR(__xludf.DUMMYFUNCTION("""COMPUTED_VALUE"""),"Walkin")</f>
        <v>Walkin</v>
      </c>
      <c r="C2012" s="124" t="str">
        <f>IFERROR(__xludf.DUMMYFUNCTION("""COMPUTED_VALUE"""),"Lucknow")</f>
        <v>Lucknow</v>
      </c>
      <c r="D2012" s="124" t="str">
        <f>IFERROR(__xludf.DUMMYFUNCTION("""COMPUTED_VALUE"""),"Primary_Walkin")</f>
        <v>Primary_Walkin</v>
      </c>
      <c r="E2012" s="124">
        <f>IFERROR(__xludf.DUMMYFUNCTION("""COMPUTED_VALUE"""),2.0)</f>
        <v>2</v>
      </c>
      <c r="F2012" s="124" t="str">
        <f>IFERROR(__xludf.DUMMYFUNCTION("""COMPUTED_VALUE"""),"Cold")</f>
        <v>Cold</v>
      </c>
      <c r="G2012" s="124" t="str">
        <f>IFERROR(__xludf.DUMMYFUNCTION("""COMPUTED_VALUE"""),"GS Foundation")</f>
        <v>GS Foundation</v>
      </c>
      <c r="K2012" s="124"/>
      <c r="L2012" s="124"/>
      <c r="M2012" s="124"/>
      <c r="N2012" s="124"/>
      <c r="O2012" s="124"/>
      <c r="T2012" s="129">
        <f>IFERROR(__xludf.DUMMYFUNCTION("""COMPUTED_VALUE"""),46087.0)</f>
        <v>46087</v>
      </c>
      <c r="U2012" s="124" t="str">
        <f>IFERROR(__xludf.DUMMYFUNCTION("""COMPUTED_VALUE"""),"Publisher Campaign")</f>
        <v>Publisher Campaign</v>
      </c>
      <c r="V2012" s="124" t="str">
        <f>IFERROR(__xludf.DUMMYFUNCTION("""COMPUTED_VALUE"""),"Webinar")</f>
        <v>Webinar</v>
      </c>
      <c r="W2012" s="124"/>
      <c r="X2012" s="124"/>
      <c r="Y2012" s="124" t="str">
        <f>IFERROR(__xludf.DUMMYFUNCTION("""COMPUTED_VALUE"""),"Delhi")</f>
        <v>Delhi</v>
      </c>
      <c r="Z2012" s="124">
        <f>IFERROR(__xludf.DUMMYFUNCTION("""COMPUTED_VALUE"""),3.0)</f>
        <v>3</v>
      </c>
      <c r="AA2012" s="124" t="str">
        <f>IFERROR(__xludf.DUMMYFUNCTION("""COMPUTED_VALUE"""),"Cold")</f>
        <v>Cold</v>
      </c>
      <c r="AB2012" s="124" t="str">
        <f>IFERROR(__xludf.DUMMYFUNCTION("""COMPUTED_VALUE"""),"Prelims Crash Course - SIP")</f>
        <v>Prelims Crash Course - SIP</v>
      </c>
    </row>
    <row r="2013">
      <c r="A2013" s="126">
        <f>IFERROR(__xludf.DUMMYFUNCTION("""COMPUTED_VALUE"""),46103.0)</f>
        <v>46103</v>
      </c>
      <c r="B2013" s="124" t="str">
        <f>IFERROR(__xludf.DUMMYFUNCTION("""COMPUTED_VALUE"""),"Walkin")</f>
        <v>Walkin</v>
      </c>
      <c r="C2013" s="124" t="str">
        <f>IFERROR(__xludf.DUMMYFUNCTION("""COMPUTED_VALUE"""),"Indore")</f>
        <v>Indore</v>
      </c>
      <c r="D2013" s="124" t="str">
        <f>IFERROR(__xludf.DUMMYFUNCTION("""COMPUTED_VALUE"""),"Primary_Walkin")</f>
        <v>Primary_Walkin</v>
      </c>
      <c r="E2013" s="124">
        <f>IFERROR(__xludf.DUMMYFUNCTION("""COMPUTED_VALUE"""),1.0)</f>
        <v>1</v>
      </c>
      <c r="F2013" s="124" t="str">
        <f>IFERROR(__xludf.DUMMYFUNCTION("""COMPUTED_VALUE"""),"Enrolled")</f>
        <v>Enrolled</v>
      </c>
      <c r="G2013" s="124" t="str">
        <f>IFERROR(__xludf.DUMMYFUNCTION("""COMPUTED_VALUE"""),"GS Foundation")</f>
        <v>GS Foundation</v>
      </c>
      <c r="K2013" s="124"/>
      <c r="L2013" s="124"/>
      <c r="M2013" s="124"/>
      <c r="N2013" s="124"/>
      <c r="O2013" s="124"/>
      <c r="T2013" s="129">
        <f>IFERROR(__xludf.DUMMYFUNCTION("""COMPUTED_VALUE"""),46092.0)</f>
        <v>46092</v>
      </c>
      <c r="U2013" s="124" t="str">
        <f>IFERROR(__xludf.DUMMYFUNCTION("""COMPUTED_VALUE"""),"Publisher Campaign")</f>
        <v>Publisher Campaign</v>
      </c>
      <c r="V2013" s="124" t="str">
        <f>IFERROR(__xludf.DUMMYFUNCTION("""COMPUTED_VALUE"""),"Webinar")</f>
        <v>Webinar</v>
      </c>
      <c r="W2013" s="124"/>
      <c r="X2013" s="124"/>
      <c r="Y2013" s="124" t="str">
        <f>IFERROR(__xludf.DUMMYFUNCTION("""COMPUTED_VALUE"""),"Delhi")</f>
        <v>Delhi</v>
      </c>
      <c r="Z2013" s="124">
        <f>IFERROR(__xludf.DUMMYFUNCTION("""COMPUTED_VALUE"""),1.0)</f>
        <v>1</v>
      </c>
      <c r="AA2013" s="124" t="str">
        <f>IFERROR(__xludf.DUMMYFUNCTION("""COMPUTED_VALUE"""),"Cold")</f>
        <v>Cold</v>
      </c>
      <c r="AB2013" s="124" t="str">
        <f>IFERROR(__xludf.DUMMYFUNCTION("""COMPUTED_VALUE"""),"Mentorship")</f>
        <v>Mentorship</v>
      </c>
    </row>
    <row r="2014">
      <c r="A2014" s="126">
        <f>IFERROR(__xludf.DUMMYFUNCTION("""COMPUTED_VALUE"""),46063.0)</f>
        <v>46063</v>
      </c>
      <c r="B2014" s="124" t="str">
        <f>IFERROR(__xludf.DUMMYFUNCTION("""COMPUTED_VALUE"""),"Walkin")</f>
        <v>Walkin</v>
      </c>
      <c r="C2014" s="124" t="str">
        <f>IFERROR(__xludf.DUMMYFUNCTION("""COMPUTED_VALUE"""),"Lucknow")</f>
        <v>Lucknow</v>
      </c>
      <c r="D2014" s="124" t="str">
        <f>IFERROR(__xludf.DUMMYFUNCTION("""COMPUTED_VALUE"""),"Primary_Walkin")</f>
        <v>Primary_Walkin</v>
      </c>
      <c r="E2014" s="124">
        <f>IFERROR(__xludf.DUMMYFUNCTION("""COMPUTED_VALUE"""),1.0)</f>
        <v>1</v>
      </c>
      <c r="F2014" s="124" t="str">
        <f>IFERROR(__xludf.DUMMYFUNCTION("""COMPUTED_VALUE"""),"Cold")</f>
        <v>Cold</v>
      </c>
      <c r="G2014" s="124" t="str">
        <f>IFERROR(__xludf.DUMMYFUNCTION("""COMPUTED_VALUE"""),"IGP UPPSC")</f>
        <v>IGP UPPSC</v>
      </c>
      <c r="K2014" s="124"/>
      <c r="L2014" s="124"/>
      <c r="M2014" s="124"/>
      <c r="N2014" s="124"/>
      <c r="O2014" s="124"/>
      <c r="T2014" s="129">
        <f>IFERROR(__xludf.DUMMYFUNCTION("""COMPUTED_VALUE"""),46067.0)</f>
        <v>46067</v>
      </c>
      <c r="U2014" s="124" t="str">
        <f>IFERROR(__xludf.DUMMYFUNCTION("""COMPUTED_VALUE"""),"Publisher Campaign")</f>
        <v>Publisher Campaign</v>
      </c>
      <c r="V2014" s="124" t="str">
        <f>IFERROR(__xludf.DUMMYFUNCTION("""COMPUTED_VALUE"""),"Webinar")</f>
        <v>Webinar</v>
      </c>
      <c r="W2014" s="124"/>
      <c r="X2014" s="124"/>
      <c r="Y2014" s="124" t="str">
        <f>IFERROR(__xludf.DUMMYFUNCTION("""COMPUTED_VALUE"""),"Delhi")</f>
        <v>Delhi</v>
      </c>
      <c r="Z2014" s="124">
        <f>IFERROR(__xludf.DUMMYFUNCTION("""COMPUTED_VALUE"""),2.0)</f>
        <v>2</v>
      </c>
      <c r="AA2014" s="124" t="str">
        <f>IFERROR(__xludf.DUMMYFUNCTION("""COMPUTED_VALUE"""),"Cold")</f>
        <v>Cold</v>
      </c>
      <c r="AB2014" s="124" t="str">
        <f>IFERROR(__xludf.DUMMYFUNCTION("""COMPUTED_VALUE"""),"State PCS")</f>
        <v>State PCS</v>
      </c>
    </row>
    <row r="2015">
      <c r="A2015" s="129">
        <f>IFERROR(__xludf.DUMMYFUNCTION("""COMPUTED_VALUE"""),46088.0)</f>
        <v>46088</v>
      </c>
      <c r="B2015" s="124" t="str">
        <f>IFERROR(__xludf.DUMMYFUNCTION("""COMPUTED_VALUE"""),"Walkin")</f>
        <v>Walkin</v>
      </c>
      <c r="C2015" s="124" t="str">
        <f>IFERROR(__xludf.DUMMYFUNCTION("""COMPUTED_VALUE"""),"Patna")</f>
        <v>Patna</v>
      </c>
      <c r="D2015" s="124" t="str">
        <f>IFERROR(__xludf.DUMMYFUNCTION("""COMPUTED_VALUE"""),"Primary_Walkin")</f>
        <v>Primary_Walkin</v>
      </c>
      <c r="E2015" s="124">
        <f>IFERROR(__xludf.DUMMYFUNCTION("""COMPUTED_VALUE"""),1.0)</f>
        <v>1</v>
      </c>
      <c r="F2015" s="124" t="str">
        <f>IFERROR(__xludf.DUMMYFUNCTION("""COMPUTED_VALUE"""),"Not Interested")</f>
        <v>Not Interested</v>
      </c>
      <c r="G2015" s="124" t="str">
        <f>IFERROR(__xludf.DUMMYFUNCTION("""COMPUTED_VALUE"""),"GS Foundation")</f>
        <v>GS Foundation</v>
      </c>
      <c r="K2015" s="124"/>
      <c r="L2015" s="124"/>
      <c r="M2015" s="124"/>
      <c r="N2015" s="124"/>
      <c r="O2015" s="124"/>
      <c r="T2015" s="129">
        <f>IFERROR(__xludf.DUMMYFUNCTION("""COMPUTED_VALUE"""),46062.0)</f>
        <v>46062</v>
      </c>
      <c r="U2015" s="124" t="str">
        <f>IFERROR(__xludf.DUMMYFUNCTION("""COMPUTED_VALUE"""),"Publisher Campaign")</f>
        <v>Publisher Campaign</v>
      </c>
      <c r="V2015" s="124" t="str">
        <f>IFERROR(__xludf.DUMMYFUNCTION("""COMPUTED_VALUE"""),"Webinar")</f>
        <v>Webinar</v>
      </c>
      <c r="W2015" s="124"/>
      <c r="X2015" s="124"/>
      <c r="Y2015" s="124" t="str">
        <f>IFERROR(__xludf.DUMMYFUNCTION("""COMPUTED_VALUE"""),"Delhi")</f>
        <v>Delhi</v>
      </c>
      <c r="Z2015" s="124">
        <f>IFERROR(__xludf.DUMMYFUNCTION("""COMPUTED_VALUE"""),4.0)</f>
        <v>4</v>
      </c>
      <c r="AA2015" s="124" t="str">
        <f>IFERROR(__xludf.DUMMYFUNCTION("""COMPUTED_VALUE"""),"Cold")</f>
        <v>Cold</v>
      </c>
      <c r="AB2015" s="124" t="str">
        <f>IFERROR(__xludf.DUMMYFUNCTION("""COMPUTED_VALUE"""),"GS Foundation")</f>
        <v>GS Foundation</v>
      </c>
    </row>
    <row r="2016">
      <c r="A2016" s="126">
        <f>IFERROR(__xludf.DUMMYFUNCTION("""COMPUTED_VALUE"""),46065.0)</f>
        <v>46065</v>
      </c>
      <c r="B2016" s="124" t="str">
        <f>IFERROR(__xludf.DUMMYFUNCTION("""COMPUTED_VALUE"""),"Walk-In")</f>
        <v>Walk-In</v>
      </c>
      <c r="C2016" s="124" t="str">
        <f>IFERROR(__xludf.DUMMYFUNCTION("""COMPUTED_VALUE"""),"Patna")</f>
        <v>Patna</v>
      </c>
      <c r="D2016" s="124" t="str">
        <f>IFERROR(__xludf.DUMMYFUNCTION("""COMPUTED_VALUE"""),"Primary_Walkin")</f>
        <v>Primary_Walkin</v>
      </c>
      <c r="E2016" s="124">
        <f>IFERROR(__xludf.DUMMYFUNCTION("""COMPUTED_VALUE"""),1.0)</f>
        <v>1</v>
      </c>
      <c r="F2016" s="124" t="str">
        <f>IFERROR(__xludf.DUMMYFUNCTION("""COMPUTED_VALUE"""),"Enrolled")</f>
        <v>Enrolled</v>
      </c>
      <c r="G2016" s="124" t="str">
        <f>IFERROR(__xludf.DUMMYFUNCTION("""COMPUTED_VALUE"""),"GS Foundation")</f>
        <v>GS Foundation</v>
      </c>
      <c r="K2016" s="124"/>
      <c r="L2016" s="124"/>
      <c r="M2016" s="124"/>
      <c r="N2016" s="124"/>
      <c r="O2016" s="124"/>
      <c r="T2016" s="129">
        <f>IFERROR(__xludf.DUMMYFUNCTION("""COMPUTED_VALUE"""),46052.0)</f>
        <v>46052</v>
      </c>
      <c r="U2016" s="124" t="str">
        <f>IFERROR(__xludf.DUMMYFUNCTION("""COMPUTED_VALUE"""),"External Leads")</f>
        <v>External Leads</v>
      </c>
      <c r="V2016" s="124" t="str">
        <f>IFERROR(__xludf.DUMMYFUNCTION("""COMPUTED_VALUE"""),"external leads")</f>
        <v>external leads</v>
      </c>
      <c r="W2016" s="124"/>
      <c r="X2016" s="124"/>
      <c r="Y2016" s="124"/>
      <c r="Z2016" s="124">
        <f>IFERROR(__xludf.DUMMYFUNCTION("""COMPUTED_VALUE"""),3.0)</f>
        <v>3</v>
      </c>
      <c r="AA2016" s="124" t="str">
        <f>IFERROR(__xludf.DUMMYFUNCTION("""COMPUTED_VALUE"""),"Engaged")</f>
        <v>Engaged</v>
      </c>
      <c r="AB2016" s="124"/>
    </row>
    <row r="2017">
      <c r="A2017" s="126">
        <f>IFERROR(__xludf.DUMMYFUNCTION("""COMPUTED_VALUE"""),46109.0)</f>
        <v>46109</v>
      </c>
      <c r="B2017" s="124" t="str">
        <f>IFERROR(__xludf.DUMMYFUNCTION("""COMPUTED_VALUE"""),"Walkin")</f>
        <v>Walkin</v>
      </c>
      <c r="C2017" s="124" t="str">
        <f>IFERROR(__xludf.DUMMYFUNCTION("""COMPUTED_VALUE"""),"Patna")</f>
        <v>Patna</v>
      </c>
      <c r="D2017" s="124" t="str">
        <f>IFERROR(__xludf.DUMMYFUNCTION("""COMPUTED_VALUE"""),"Primary_Walkin")</f>
        <v>Primary_Walkin</v>
      </c>
      <c r="E2017" s="124">
        <f>IFERROR(__xludf.DUMMYFUNCTION("""COMPUTED_VALUE"""),1.0)</f>
        <v>1</v>
      </c>
      <c r="F2017" s="124" t="str">
        <f>IFERROR(__xludf.DUMMYFUNCTION("""COMPUTED_VALUE"""),"Cold")</f>
        <v>Cold</v>
      </c>
      <c r="G2017" s="124" t="str">
        <f>IFERROR(__xludf.DUMMYFUNCTION("""COMPUTED_VALUE"""),"GS Foundation")</f>
        <v>GS Foundation</v>
      </c>
      <c r="K2017" s="124"/>
      <c r="L2017" s="124"/>
      <c r="M2017" s="124"/>
      <c r="N2017" s="124"/>
      <c r="O2017" s="124"/>
      <c r="T2017" s="126">
        <f>IFERROR(__xludf.DUMMYFUNCTION("""COMPUTED_VALUE"""),46052.0)</f>
        <v>46052</v>
      </c>
      <c r="U2017" s="124" t="str">
        <f>IFERROR(__xludf.DUMMYFUNCTION("""COMPUTED_VALUE"""),"External Leads")</f>
        <v>External Leads</v>
      </c>
      <c r="V2017" s="124" t="str">
        <f>IFERROR(__xludf.DUMMYFUNCTION("""COMPUTED_VALUE"""),"external leads")</f>
        <v>external leads</v>
      </c>
      <c r="W2017" s="124"/>
      <c r="X2017" s="124"/>
      <c r="Y2017" s="124" t="str">
        <f>IFERROR(__xludf.DUMMYFUNCTION("""COMPUTED_VALUE"""),"Delhi")</f>
        <v>Delhi</v>
      </c>
      <c r="Z2017" s="124">
        <f>IFERROR(__xludf.DUMMYFUNCTION("""COMPUTED_VALUE"""),1.0)</f>
        <v>1</v>
      </c>
      <c r="AA2017" s="124" t="str">
        <f>IFERROR(__xludf.DUMMYFUNCTION("""COMPUTED_VALUE"""),"Engaged")</f>
        <v>Engaged</v>
      </c>
      <c r="AB2017" s="124" t="str">
        <f>IFERROR(__xludf.DUMMYFUNCTION("""COMPUTED_VALUE"""),"GS Foundation")</f>
        <v>GS Foundation</v>
      </c>
    </row>
    <row r="2018">
      <c r="A2018" s="129">
        <f>IFERROR(__xludf.DUMMYFUNCTION("""COMPUTED_VALUE"""),46061.0)</f>
        <v>46061</v>
      </c>
      <c r="B2018" s="124" t="str">
        <f>IFERROR(__xludf.DUMMYFUNCTION("""COMPUTED_VALUE"""),"Walkin")</f>
        <v>Walkin</v>
      </c>
      <c r="C2018" s="124" t="str">
        <f>IFERROR(__xludf.DUMMYFUNCTION("""COMPUTED_VALUE"""),"Patna")</f>
        <v>Patna</v>
      </c>
      <c r="D2018" s="124" t="str">
        <f>IFERROR(__xludf.DUMMYFUNCTION("""COMPUTED_VALUE"""),"Primary_Walkin")</f>
        <v>Primary_Walkin</v>
      </c>
      <c r="E2018" s="124">
        <f>IFERROR(__xludf.DUMMYFUNCTION("""COMPUTED_VALUE"""),1.0)</f>
        <v>1</v>
      </c>
      <c r="F2018" s="124" t="str">
        <f>IFERROR(__xludf.DUMMYFUNCTION("""COMPUTED_VALUE"""),"Cold")</f>
        <v>Cold</v>
      </c>
      <c r="G2018" s="124" t="str">
        <f>IFERROR(__xludf.DUMMYFUNCTION("""COMPUTED_VALUE"""),"GS Foundation")</f>
        <v>GS Foundation</v>
      </c>
      <c r="K2018" s="124"/>
      <c r="L2018" s="124"/>
      <c r="M2018" s="124"/>
      <c r="N2018" s="124"/>
      <c r="O2018" s="124"/>
      <c r="T2018" s="126">
        <f>IFERROR(__xludf.DUMMYFUNCTION("""COMPUTED_VALUE"""),46091.0)</f>
        <v>46091</v>
      </c>
      <c r="U2018" s="124" t="str">
        <f>IFERROR(__xludf.DUMMYFUNCTION("""COMPUTED_VALUE"""),"Publisher Campaign")</f>
        <v>Publisher Campaign</v>
      </c>
      <c r="V2018" s="124" t="str">
        <f>IFERROR(__xludf.DUMMYFUNCTION("""COMPUTED_VALUE"""),"Webinar")</f>
        <v>Webinar</v>
      </c>
      <c r="W2018" s="124"/>
      <c r="X2018" s="124"/>
      <c r="Y2018" s="124" t="str">
        <f>IFERROR(__xludf.DUMMYFUNCTION("""COMPUTED_VALUE"""),"Delhi")</f>
        <v>Delhi</v>
      </c>
      <c r="Z2018" s="124">
        <f>IFERROR(__xludf.DUMMYFUNCTION("""COMPUTED_VALUE"""),12.0)</f>
        <v>12</v>
      </c>
      <c r="AA2018" s="124" t="str">
        <f>IFERROR(__xludf.DUMMYFUNCTION("""COMPUTED_VALUE"""),"Not Interested")</f>
        <v>Not Interested</v>
      </c>
      <c r="AB2018" s="124" t="str">
        <f>IFERROR(__xludf.DUMMYFUNCTION("""COMPUTED_VALUE"""),"CSAT")</f>
        <v>CSAT</v>
      </c>
    </row>
    <row r="2019">
      <c r="A2019" s="126">
        <f>IFERROR(__xludf.DUMMYFUNCTION("""COMPUTED_VALUE"""),46073.0)</f>
        <v>46073</v>
      </c>
      <c r="B2019" s="124" t="str">
        <f>IFERROR(__xludf.DUMMYFUNCTION("""COMPUTED_VALUE"""),"Walkin")</f>
        <v>Walkin</v>
      </c>
      <c r="C2019" s="124" t="str">
        <f>IFERROR(__xludf.DUMMYFUNCTION("""COMPUTED_VALUE"""),"Patna")</f>
        <v>Patna</v>
      </c>
      <c r="D2019" s="124" t="str">
        <f>IFERROR(__xludf.DUMMYFUNCTION("""COMPUTED_VALUE"""),"Primary_Walkin")</f>
        <v>Primary_Walkin</v>
      </c>
      <c r="E2019" s="124">
        <f>IFERROR(__xludf.DUMMYFUNCTION("""COMPUTED_VALUE"""),1.0)</f>
        <v>1</v>
      </c>
      <c r="F2019" s="124" t="str">
        <f>IFERROR(__xludf.DUMMYFUNCTION("""COMPUTED_VALUE"""),"Future Prospects")</f>
        <v>Future Prospects</v>
      </c>
      <c r="G2019" s="124" t="str">
        <f>IFERROR(__xludf.DUMMYFUNCTION("""COMPUTED_VALUE"""),"State PCS")</f>
        <v>State PCS</v>
      </c>
      <c r="K2019" s="124"/>
      <c r="L2019" s="124"/>
      <c r="M2019" s="124"/>
      <c r="N2019" s="124"/>
      <c r="O2019" s="124"/>
      <c r="T2019" s="126">
        <f>IFERROR(__xludf.DUMMYFUNCTION("""COMPUTED_VALUE"""),46098.0)</f>
        <v>46098</v>
      </c>
      <c r="U2019" s="124" t="str">
        <f>IFERROR(__xludf.DUMMYFUNCTION("""COMPUTED_VALUE"""),"Libraries")</f>
        <v>Libraries</v>
      </c>
      <c r="V2019" s="124" t="str">
        <f>IFERROR(__xludf.DUMMYFUNCTION("""COMPUTED_VALUE"""),"Libraries")</f>
        <v>Libraries</v>
      </c>
      <c r="W2019" s="124"/>
      <c r="X2019" s="124"/>
      <c r="Y2019" s="124" t="str">
        <f>IFERROR(__xludf.DUMMYFUNCTION("""COMPUTED_VALUE"""),"Prayagraj")</f>
        <v>Prayagraj</v>
      </c>
      <c r="Z2019" s="124">
        <f>IFERROR(__xludf.DUMMYFUNCTION("""COMPUTED_VALUE"""),2.0)</f>
        <v>2</v>
      </c>
      <c r="AA2019" s="124" t="str">
        <f>IFERROR(__xludf.DUMMYFUNCTION("""COMPUTED_VALUE"""),"Engaged")</f>
        <v>Engaged</v>
      </c>
      <c r="AB2019" s="124" t="str">
        <f>IFERROR(__xludf.DUMMYFUNCTION("""COMPUTED_VALUE"""),"CSAT")</f>
        <v>CSAT</v>
      </c>
    </row>
    <row r="2020">
      <c r="A2020" s="126">
        <f>IFERROR(__xludf.DUMMYFUNCTION("""COMPUTED_VALUE"""),46091.0)</f>
        <v>46091</v>
      </c>
      <c r="B2020" s="124" t="str">
        <f>IFERROR(__xludf.DUMMYFUNCTION("""COMPUTED_VALUE"""),"Walkin")</f>
        <v>Walkin</v>
      </c>
      <c r="C2020" s="124" t="str">
        <f>IFERROR(__xludf.DUMMYFUNCTION("""COMPUTED_VALUE"""),"Patna")</f>
        <v>Patna</v>
      </c>
      <c r="D2020" s="124" t="str">
        <f>IFERROR(__xludf.DUMMYFUNCTION("""COMPUTED_VALUE"""),"Primary_Walkin")</f>
        <v>Primary_Walkin</v>
      </c>
      <c r="E2020" s="124">
        <f>IFERROR(__xludf.DUMMYFUNCTION("""COMPUTED_VALUE"""),1.0)</f>
        <v>1</v>
      </c>
      <c r="F2020" s="124" t="str">
        <f>IFERROR(__xludf.DUMMYFUNCTION("""COMPUTED_VALUE"""),"Future Prospects")</f>
        <v>Future Prospects</v>
      </c>
      <c r="G2020" s="124" t="str">
        <f>IFERROR(__xludf.DUMMYFUNCTION("""COMPUTED_VALUE"""),"State PCS")</f>
        <v>State PCS</v>
      </c>
      <c r="K2020" s="124"/>
      <c r="L2020" s="124"/>
      <c r="M2020" s="124"/>
      <c r="N2020" s="124"/>
      <c r="O2020" s="124"/>
      <c r="T2020" s="126">
        <f>IFERROR(__xludf.DUMMYFUNCTION("""COMPUTED_VALUE"""),46047.0)</f>
        <v>46047</v>
      </c>
      <c r="U2020" s="124" t="str">
        <f>IFERROR(__xludf.DUMMYFUNCTION("""COMPUTED_VALUE"""),"External Leads")</f>
        <v>External Leads</v>
      </c>
      <c r="V2020" s="124" t="str">
        <f>IFERROR(__xludf.DUMMYFUNCTION("""COMPUTED_VALUE"""),"external leads")</f>
        <v>external leads</v>
      </c>
      <c r="W2020" s="124" t="str">
        <f>IFERROR(__xludf.DUMMYFUNCTION("""COMPUTED_VALUE"""),"indore")</f>
        <v>indore</v>
      </c>
      <c r="X2020" s="124" t="str">
        <f>IFERROR(__xludf.DUMMYFUNCTION("""COMPUTED_VALUE"""),"unacademy")</f>
        <v>unacademy</v>
      </c>
      <c r="Y2020" s="124" t="str">
        <f>IFERROR(__xludf.DUMMYFUNCTION("""COMPUTED_VALUE"""),"Indore")</f>
        <v>Indore</v>
      </c>
      <c r="Z2020" s="124">
        <f>IFERROR(__xludf.DUMMYFUNCTION("""COMPUTED_VALUE"""),1.0)</f>
        <v>1</v>
      </c>
      <c r="AA2020" s="124" t="str">
        <f>IFERROR(__xludf.DUMMYFUNCTION("""COMPUTED_VALUE"""),"Fake Lead")</f>
        <v>Fake Lead</v>
      </c>
      <c r="AB2020" s="124"/>
    </row>
    <row r="2021">
      <c r="A2021" s="126">
        <f>IFERROR(__xludf.DUMMYFUNCTION("""COMPUTED_VALUE"""),46092.0)</f>
        <v>46092</v>
      </c>
      <c r="B2021" s="124" t="str">
        <f>IFERROR(__xludf.DUMMYFUNCTION("""COMPUTED_VALUE"""),"Walk-In")</f>
        <v>Walk-In</v>
      </c>
      <c r="C2021" s="124" t="str">
        <f>IFERROR(__xludf.DUMMYFUNCTION("""COMPUTED_VALUE"""),"Patna")</f>
        <v>Patna</v>
      </c>
      <c r="D2021" s="124" t="str">
        <f>IFERROR(__xludf.DUMMYFUNCTION("""COMPUTED_VALUE"""),"Primary_Walkin")</f>
        <v>Primary_Walkin</v>
      </c>
      <c r="E2021" s="124">
        <f>IFERROR(__xludf.DUMMYFUNCTION("""COMPUTED_VALUE"""),1.0)</f>
        <v>1</v>
      </c>
      <c r="F2021" s="124" t="str">
        <f>IFERROR(__xludf.DUMMYFUNCTION("""COMPUTED_VALUE"""),"Warm")</f>
        <v>Warm</v>
      </c>
      <c r="G2021" s="124" t="str">
        <f>IFERROR(__xludf.DUMMYFUNCTION("""COMPUTED_VALUE"""),"Test Series")</f>
        <v>Test Series</v>
      </c>
      <c r="K2021" s="124"/>
      <c r="L2021" s="124"/>
      <c r="M2021" s="124"/>
      <c r="N2021" s="124"/>
      <c r="O2021" s="124"/>
      <c r="T2021" s="126">
        <f>IFERROR(__xludf.DUMMYFUNCTION("""COMPUTED_VALUE"""),46061.0)</f>
        <v>46061</v>
      </c>
      <c r="U2021" s="124" t="str">
        <f>IFERROR(__xludf.DUMMYFUNCTION("""COMPUTED_VALUE"""),"Publisher Campaign")</f>
        <v>Publisher Campaign</v>
      </c>
      <c r="V2021" s="124" t="str">
        <f>IFERROR(__xludf.DUMMYFUNCTION("""COMPUTED_VALUE"""),"Webinar")</f>
        <v>Webinar</v>
      </c>
      <c r="W2021" s="124"/>
      <c r="X2021" s="124"/>
      <c r="Y2021" s="124" t="str">
        <f>IFERROR(__xludf.DUMMYFUNCTION("""COMPUTED_VALUE"""),"Delhi")</f>
        <v>Delhi</v>
      </c>
      <c r="Z2021" s="124">
        <f>IFERROR(__xludf.DUMMYFUNCTION("""COMPUTED_VALUE"""),2.0)</f>
        <v>2</v>
      </c>
      <c r="AA2021" s="124" t="str">
        <f>IFERROR(__xludf.DUMMYFUNCTION("""COMPUTED_VALUE"""),"Not Interested")</f>
        <v>Not Interested</v>
      </c>
      <c r="AB2021" s="124" t="str">
        <f>IFERROR(__xludf.DUMMYFUNCTION("""COMPUTED_VALUE"""),"GS Foundation")</f>
        <v>GS Foundation</v>
      </c>
    </row>
    <row r="2022">
      <c r="A2022" s="126">
        <f>IFERROR(__xludf.DUMMYFUNCTION("""COMPUTED_VALUE"""),46066.0)</f>
        <v>46066</v>
      </c>
      <c r="B2022" s="124" t="str">
        <f>IFERROR(__xludf.DUMMYFUNCTION("""COMPUTED_VALUE"""),"Facebook")</f>
        <v>Facebook</v>
      </c>
      <c r="C2022" s="124" t="str">
        <f>IFERROR(__xludf.DUMMYFUNCTION("""COMPUTED_VALUE"""),"Patna")</f>
        <v>Patna</v>
      </c>
      <c r="D2022" s="124" t="str">
        <f>IFERROR(__xludf.DUMMYFUNCTION("""COMPUTED_VALUE"""),"Secondary_Walkin")</f>
        <v>Secondary_Walkin</v>
      </c>
      <c r="E2022" s="124">
        <f>IFERROR(__xludf.DUMMYFUNCTION("""COMPUTED_VALUE"""),1.0)</f>
        <v>1</v>
      </c>
      <c r="F2022" s="124" t="str">
        <f>IFERROR(__xludf.DUMMYFUNCTION("""COMPUTED_VALUE"""),"Not Interested")</f>
        <v>Not Interested</v>
      </c>
      <c r="G2022" s="124" t="str">
        <f>IFERROR(__xludf.DUMMYFUNCTION("""COMPUTED_VALUE"""),"State PCS")</f>
        <v>State PCS</v>
      </c>
      <c r="K2022" s="124"/>
      <c r="L2022" s="124"/>
      <c r="M2022" s="124"/>
      <c r="N2022" s="124"/>
      <c r="O2022" s="124"/>
      <c r="T2022" s="126">
        <f>IFERROR(__xludf.DUMMYFUNCTION("""COMPUTED_VALUE"""),46089.0)</f>
        <v>46089</v>
      </c>
      <c r="U2022" s="124" t="str">
        <f>IFERROR(__xludf.DUMMYFUNCTION("""COMPUTED_VALUE"""),"Publisher Campaign")</f>
        <v>Publisher Campaign</v>
      </c>
      <c r="V2022" s="124" t="str">
        <f>IFERROR(__xludf.DUMMYFUNCTION("""COMPUTED_VALUE"""),"Webinar")</f>
        <v>Webinar</v>
      </c>
      <c r="W2022" s="124"/>
      <c r="X2022" s="124"/>
      <c r="Y2022" s="124" t="str">
        <f>IFERROR(__xludf.DUMMYFUNCTION("""COMPUTED_VALUE"""),"Delhi")</f>
        <v>Delhi</v>
      </c>
      <c r="Z2022" s="124">
        <f>IFERROR(__xludf.DUMMYFUNCTION("""COMPUTED_VALUE"""),2.0)</f>
        <v>2</v>
      </c>
      <c r="AA2022" s="124" t="str">
        <f>IFERROR(__xludf.DUMMYFUNCTION("""COMPUTED_VALUE"""),"Engaged")</f>
        <v>Engaged</v>
      </c>
      <c r="AB2022" s="124" t="str">
        <f>IFERROR(__xludf.DUMMYFUNCTION("""COMPUTED_VALUE"""),"GS Foundation")</f>
        <v>GS Foundation</v>
      </c>
    </row>
    <row r="2023">
      <c r="A2023" s="126">
        <f>IFERROR(__xludf.DUMMYFUNCTION("""COMPUTED_VALUE"""),46050.0)</f>
        <v>46050</v>
      </c>
      <c r="B2023" s="124" t="str">
        <f>IFERROR(__xludf.DUMMYFUNCTION("""COMPUTED_VALUE"""),"Walk-In")</f>
        <v>Walk-In</v>
      </c>
      <c r="C2023" s="124" t="str">
        <f>IFERROR(__xludf.DUMMYFUNCTION("""COMPUTED_VALUE"""),"Patna")</f>
        <v>Patna</v>
      </c>
      <c r="D2023" s="124" t="str">
        <f>IFERROR(__xludf.DUMMYFUNCTION("""COMPUTED_VALUE"""),"Primary_Walkin")</f>
        <v>Primary_Walkin</v>
      </c>
      <c r="E2023" s="124">
        <f>IFERROR(__xludf.DUMMYFUNCTION("""COMPUTED_VALUE"""),1.0)</f>
        <v>1</v>
      </c>
      <c r="F2023" s="124" t="str">
        <f>IFERROR(__xludf.DUMMYFUNCTION("""COMPUTED_VALUE"""),"Cold")</f>
        <v>Cold</v>
      </c>
      <c r="G2023" s="124" t="str">
        <f>IFERROR(__xludf.DUMMYFUNCTION("""COMPUTED_VALUE"""),"State PCS")</f>
        <v>State PCS</v>
      </c>
      <c r="K2023" s="124"/>
      <c r="L2023" s="124"/>
      <c r="M2023" s="124"/>
      <c r="N2023" s="124"/>
      <c r="O2023" s="124"/>
      <c r="T2023" s="126">
        <f>IFERROR(__xludf.DUMMYFUNCTION("""COMPUTED_VALUE"""),46068.0)</f>
        <v>46068</v>
      </c>
      <c r="U2023" s="124" t="str">
        <f>IFERROR(__xludf.DUMMYFUNCTION("""COMPUTED_VALUE"""),"Publisher Campaign")</f>
        <v>Publisher Campaign</v>
      </c>
      <c r="V2023" s="124" t="str">
        <f>IFERROR(__xludf.DUMMYFUNCTION("""COMPUTED_VALUE"""),"Webinar")</f>
        <v>Webinar</v>
      </c>
      <c r="W2023" s="124"/>
      <c r="X2023" s="124"/>
      <c r="Y2023" s="124" t="str">
        <f>IFERROR(__xludf.DUMMYFUNCTION("""COMPUTED_VALUE"""),"Delhi")</f>
        <v>Delhi</v>
      </c>
      <c r="Z2023" s="124">
        <f>IFERROR(__xludf.DUMMYFUNCTION("""COMPUTED_VALUE"""),4.0)</f>
        <v>4</v>
      </c>
      <c r="AA2023" s="124" t="str">
        <f>IFERROR(__xludf.DUMMYFUNCTION("""COMPUTED_VALUE"""),"Cold")</f>
        <v>Cold</v>
      </c>
      <c r="AB2023" s="124" t="str">
        <f>IFERROR(__xludf.DUMMYFUNCTION("""COMPUTED_VALUE"""),"Hybrid")</f>
        <v>Hybrid</v>
      </c>
    </row>
    <row r="2024">
      <c r="A2024" s="126">
        <f>IFERROR(__xludf.DUMMYFUNCTION("""COMPUTED_VALUE"""),46065.0)</f>
        <v>46065</v>
      </c>
      <c r="B2024" s="124" t="str">
        <f>IFERROR(__xludf.DUMMYFUNCTION("""COMPUTED_VALUE"""),"Walk-In")</f>
        <v>Walk-In</v>
      </c>
      <c r="C2024" s="124" t="str">
        <f>IFERROR(__xludf.DUMMYFUNCTION("""COMPUTED_VALUE"""),"Patna")</f>
        <v>Patna</v>
      </c>
      <c r="D2024" s="124" t="str">
        <f>IFERROR(__xludf.DUMMYFUNCTION("""COMPUTED_VALUE"""),"Primary_Walkin")</f>
        <v>Primary_Walkin</v>
      </c>
      <c r="E2024" s="124">
        <f>IFERROR(__xludf.DUMMYFUNCTION("""COMPUTED_VALUE"""),1.0)</f>
        <v>1</v>
      </c>
      <c r="F2024" s="124" t="str">
        <f>IFERROR(__xludf.DUMMYFUNCTION("""COMPUTED_VALUE"""),"Warm")</f>
        <v>Warm</v>
      </c>
      <c r="G2024" s="124" t="str">
        <f>IFERROR(__xludf.DUMMYFUNCTION("""COMPUTED_VALUE"""),"Mentorship")</f>
        <v>Mentorship</v>
      </c>
      <c r="K2024" s="124"/>
      <c r="L2024" s="124"/>
      <c r="M2024" s="124"/>
      <c r="N2024" s="124"/>
      <c r="O2024" s="124"/>
      <c r="T2024" s="126">
        <f>IFERROR(__xludf.DUMMYFUNCTION("""COMPUTED_VALUE"""),46076.0)</f>
        <v>46076</v>
      </c>
      <c r="U2024" s="124" t="str">
        <f>IFERROR(__xludf.DUMMYFUNCTION("""COMPUTED_VALUE"""),"Publisher Campaign")</f>
        <v>Publisher Campaign</v>
      </c>
      <c r="V2024" s="124" t="str">
        <f>IFERROR(__xludf.DUMMYFUNCTION("""COMPUTED_VALUE"""),"Webinar")</f>
        <v>Webinar</v>
      </c>
      <c r="W2024" s="124"/>
      <c r="X2024" s="124"/>
      <c r="Y2024" s="124" t="str">
        <f>IFERROR(__xludf.DUMMYFUNCTION("""COMPUTED_VALUE"""),"Delhi")</f>
        <v>Delhi</v>
      </c>
      <c r="Z2024" s="124">
        <f>IFERROR(__xludf.DUMMYFUNCTION("""COMPUTED_VALUE"""),1.0)</f>
        <v>1</v>
      </c>
      <c r="AA2024" s="124" t="str">
        <f>IFERROR(__xludf.DUMMYFUNCTION("""COMPUTED_VALUE"""),"Cold")</f>
        <v>Cold</v>
      </c>
      <c r="AB2024" s="124" t="str">
        <f>IFERROR(__xludf.DUMMYFUNCTION("""COMPUTED_VALUE"""),"IGP UPPSC")</f>
        <v>IGP UPPSC</v>
      </c>
    </row>
    <row r="2025">
      <c r="A2025" s="126">
        <f>IFERROR(__xludf.DUMMYFUNCTION("""COMPUTED_VALUE"""),46093.0)</f>
        <v>46093</v>
      </c>
      <c r="B2025" s="124" t="str">
        <f>IFERROR(__xludf.DUMMYFUNCTION("""COMPUTED_VALUE"""),"Walkin")</f>
        <v>Walkin</v>
      </c>
      <c r="C2025" s="124" t="str">
        <f>IFERROR(__xludf.DUMMYFUNCTION("""COMPUTED_VALUE"""),"Patna")</f>
        <v>Patna</v>
      </c>
      <c r="D2025" s="124" t="str">
        <f>IFERROR(__xludf.DUMMYFUNCTION("""COMPUTED_VALUE"""),"Primary_Walkin")</f>
        <v>Primary_Walkin</v>
      </c>
      <c r="E2025" s="124">
        <f>IFERROR(__xludf.DUMMYFUNCTION("""COMPUTED_VALUE"""),1.0)</f>
        <v>1</v>
      </c>
      <c r="F2025" s="124" t="str">
        <f>IFERROR(__xludf.DUMMYFUNCTION("""COMPUTED_VALUE"""),"Warm")</f>
        <v>Warm</v>
      </c>
      <c r="G2025" s="124" t="str">
        <f>IFERROR(__xludf.DUMMYFUNCTION("""COMPUTED_VALUE"""),"GS Foundation")</f>
        <v>GS Foundation</v>
      </c>
      <c r="K2025" s="124"/>
      <c r="L2025" s="124"/>
      <c r="M2025" s="124"/>
      <c r="N2025" s="124"/>
      <c r="O2025" s="124"/>
      <c r="T2025" s="129">
        <f>IFERROR(__xludf.DUMMYFUNCTION("""COMPUTED_VALUE"""),46079.0)</f>
        <v>46079</v>
      </c>
      <c r="U2025" s="124" t="str">
        <f>IFERROR(__xludf.DUMMYFUNCTION("""COMPUTED_VALUE"""),"Publisher Campaign")</f>
        <v>Publisher Campaign</v>
      </c>
      <c r="V2025" s="124" t="str">
        <f>IFERROR(__xludf.DUMMYFUNCTION("""COMPUTED_VALUE"""),"Webinar")</f>
        <v>Webinar</v>
      </c>
      <c r="W2025" s="124"/>
      <c r="X2025" s="124"/>
      <c r="Y2025" s="124" t="str">
        <f>IFERROR(__xludf.DUMMYFUNCTION("""COMPUTED_VALUE"""),"Indore")</f>
        <v>Indore</v>
      </c>
      <c r="Z2025" s="124">
        <f>IFERROR(__xludf.DUMMYFUNCTION("""COMPUTED_VALUE"""),1.0)</f>
        <v>1</v>
      </c>
      <c r="AA2025" s="124"/>
      <c r="AB2025" s="124" t="str">
        <f>IFERROR(__xludf.DUMMYFUNCTION("""COMPUTED_VALUE"""),"Hybrid")</f>
        <v>Hybrid</v>
      </c>
    </row>
    <row r="2026">
      <c r="A2026" s="126">
        <f>IFERROR(__xludf.DUMMYFUNCTION("""COMPUTED_VALUE"""),46081.0)</f>
        <v>46081</v>
      </c>
      <c r="B2026" s="124" t="str">
        <f>IFERROR(__xludf.DUMMYFUNCTION("""COMPUTED_VALUE"""),"Walkin")</f>
        <v>Walkin</v>
      </c>
      <c r="C2026" s="124" t="str">
        <f>IFERROR(__xludf.DUMMYFUNCTION("""COMPUTED_VALUE"""),"Patna")</f>
        <v>Patna</v>
      </c>
      <c r="D2026" s="124" t="str">
        <f>IFERROR(__xludf.DUMMYFUNCTION("""COMPUTED_VALUE"""),"Primary_Walkin")</f>
        <v>Primary_Walkin</v>
      </c>
      <c r="E2026" s="124">
        <f>IFERROR(__xludf.DUMMYFUNCTION("""COMPUTED_VALUE"""),1.0)</f>
        <v>1</v>
      </c>
      <c r="F2026" s="124" t="str">
        <f>IFERROR(__xludf.DUMMYFUNCTION("""COMPUTED_VALUE"""),"Future Prospects")</f>
        <v>Future Prospects</v>
      </c>
      <c r="G2026" s="124" t="str">
        <f>IFERROR(__xludf.DUMMYFUNCTION("""COMPUTED_VALUE"""),"State PCS")</f>
        <v>State PCS</v>
      </c>
      <c r="K2026" s="124"/>
      <c r="L2026" s="124"/>
      <c r="M2026" s="124"/>
      <c r="N2026" s="124"/>
      <c r="O2026" s="124"/>
      <c r="T2026" s="126">
        <f>IFERROR(__xludf.DUMMYFUNCTION("""COMPUTED_VALUE"""),46084.0)</f>
        <v>46084</v>
      </c>
      <c r="U2026" s="124" t="str">
        <f>IFERROR(__xludf.DUMMYFUNCTION("""COMPUTED_VALUE"""),"Paid Ads")</f>
        <v>Paid Ads</v>
      </c>
      <c r="V2026" s="124" t="str">
        <f>IFERROR(__xludf.DUMMYFUNCTION("""COMPUTED_VALUE"""),"YouTube")</f>
        <v>YouTube</v>
      </c>
      <c r="W2026" s="124"/>
      <c r="X2026" s="124"/>
      <c r="Y2026" s="124" t="str">
        <f>IFERROR(__xludf.DUMMYFUNCTION("""COMPUTED_VALUE"""),"Patna")</f>
        <v>Patna</v>
      </c>
      <c r="Z2026" s="124">
        <f>IFERROR(__xludf.DUMMYFUNCTION("""COMPUTED_VALUE"""),1.0)</f>
        <v>1</v>
      </c>
      <c r="AA2026" s="124" t="str">
        <f>IFERROR(__xludf.DUMMYFUNCTION("""COMPUTED_VALUE"""),"Warm")</f>
        <v>Warm</v>
      </c>
      <c r="AB2026" s="124" t="str">
        <f>IFERROR(__xludf.DUMMYFUNCTION("""COMPUTED_VALUE"""),"State PCS")</f>
        <v>State PCS</v>
      </c>
    </row>
    <row r="2027">
      <c r="A2027" s="126">
        <f>IFERROR(__xludf.DUMMYFUNCTION("""COMPUTED_VALUE"""),46108.0)</f>
        <v>46108</v>
      </c>
      <c r="B2027" s="124" t="str">
        <f>IFERROR(__xludf.DUMMYFUNCTION("""COMPUTED_VALUE"""),"Walkin")</f>
        <v>Walkin</v>
      </c>
      <c r="C2027" s="124" t="str">
        <f>IFERROR(__xludf.DUMMYFUNCTION("""COMPUTED_VALUE"""),"Patna")</f>
        <v>Patna</v>
      </c>
      <c r="D2027" s="124" t="str">
        <f>IFERROR(__xludf.DUMMYFUNCTION("""COMPUTED_VALUE"""),"Primary_Walkin")</f>
        <v>Primary_Walkin</v>
      </c>
      <c r="E2027" s="124">
        <f>IFERROR(__xludf.DUMMYFUNCTION("""COMPUTED_VALUE"""),1.0)</f>
        <v>1</v>
      </c>
      <c r="F2027" s="124" t="str">
        <f>IFERROR(__xludf.DUMMYFUNCTION("""COMPUTED_VALUE"""),"Warm")</f>
        <v>Warm</v>
      </c>
      <c r="G2027" s="124" t="str">
        <f>IFERROR(__xludf.DUMMYFUNCTION("""COMPUTED_VALUE"""),"State PCS")</f>
        <v>State PCS</v>
      </c>
      <c r="K2027" s="124"/>
      <c r="L2027" s="124"/>
      <c r="M2027" s="124"/>
      <c r="N2027" s="124"/>
      <c r="O2027" s="124"/>
      <c r="T2027" s="126">
        <f>IFERROR(__xludf.DUMMYFUNCTION("""COMPUTED_VALUE"""),46068.0)</f>
        <v>46068</v>
      </c>
      <c r="U2027" s="124" t="str">
        <f>IFERROR(__xludf.DUMMYFUNCTION("""COMPUTED_VALUE"""),"Publisher Campaign")</f>
        <v>Publisher Campaign</v>
      </c>
      <c r="V2027" s="124" t="str">
        <f>IFERROR(__xludf.DUMMYFUNCTION("""COMPUTED_VALUE"""),"Webinar")</f>
        <v>Webinar</v>
      </c>
      <c r="W2027" s="124"/>
      <c r="X2027" s="124"/>
      <c r="Y2027" s="124" t="str">
        <f>IFERROR(__xludf.DUMMYFUNCTION("""COMPUTED_VALUE"""),"Delhi")</f>
        <v>Delhi</v>
      </c>
      <c r="Z2027" s="124">
        <f>IFERROR(__xludf.DUMMYFUNCTION("""COMPUTED_VALUE"""),2.0)</f>
        <v>2</v>
      </c>
      <c r="AA2027" s="124" t="str">
        <f>IFERROR(__xludf.DUMMYFUNCTION("""COMPUTED_VALUE"""),"Cold")</f>
        <v>Cold</v>
      </c>
      <c r="AB2027" s="124" t="str">
        <f>IFERROR(__xludf.DUMMYFUNCTION("""COMPUTED_VALUE"""),"Optionals")</f>
        <v>Optionals</v>
      </c>
    </row>
    <row r="2028">
      <c r="A2028" s="126">
        <f>IFERROR(__xludf.DUMMYFUNCTION("""COMPUTED_VALUE"""),46092.0)</f>
        <v>46092</v>
      </c>
      <c r="B2028" s="124" t="str">
        <f>IFERROR(__xludf.DUMMYFUNCTION("""COMPUTED_VALUE"""),"external leads")</f>
        <v>external leads</v>
      </c>
      <c r="C2028" s="124" t="str">
        <f>IFERROR(__xludf.DUMMYFUNCTION("""COMPUTED_VALUE"""),"Patna")</f>
        <v>Patna</v>
      </c>
      <c r="D2028" s="124" t="str">
        <f>IFERROR(__xludf.DUMMYFUNCTION("""COMPUTED_VALUE"""),"Secondary_Walkin")</f>
        <v>Secondary_Walkin</v>
      </c>
      <c r="E2028" s="124">
        <f>IFERROR(__xludf.DUMMYFUNCTION("""COMPUTED_VALUE"""),1.0)</f>
        <v>1</v>
      </c>
      <c r="F2028" s="124" t="str">
        <f>IFERROR(__xludf.DUMMYFUNCTION("""COMPUTED_VALUE"""),"Cold")</f>
        <v>Cold</v>
      </c>
      <c r="G2028" s="124" t="str">
        <f>IFERROR(__xludf.DUMMYFUNCTION("""COMPUTED_VALUE"""),"State PCS")</f>
        <v>State PCS</v>
      </c>
      <c r="K2028" s="124"/>
      <c r="L2028" s="124"/>
      <c r="M2028" s="124"/>
      <c r="N2028" s="124"/>
      <c r="O2028" s="124"/>
      <c r="T2028" s="126">
        <f>IFERROR(__xludf.DUMMYFUNCTION("""COMPUTED_VALUE"""),46086.0)</f>
        <v>46086</v>
      </c>
      <c r="U2028" s="124" t="str">
        <f>IFERROR(__xludf.DUMMYFUNCTION("""COMPUTED_VALUE"""),"Paid Ads")</f>
        <v>Paid Ads</v>
      </c>
      <c r="V2028" s="124" t="str">
        <f>IFERROR(__xludf.DUMMYFUNCTION("""COMPUTED_VALUE"""),"YouTube")</f>
        <v>YouTube</v>
      </c>
      <c r="W2028" s="124"/>
      <c r="X2028" s="124"/>
      <c r="Y2028" s="124" t="str">
        <f>IFERROR(__xludf.DUMMYFUNCTION("""COMPUTED_VALUE"""),"Lucknow")</f>
        <v>Lucknow</v>
      </c>
      <c r="Z2028" s="124">
        <f>IFERROR(__xludf.DUMMYFUNCTION("""COMPUTED_VALUE"""),1.0)</f>
        <v>1</v>
      </c>
      <c r="AA2028" s="124" t="str">
        <f>IFERROR(__xludf.DUMMYFUNCTION("""COMPUTED_VALUE"""),"Warm")</f>
        <v>Warm</v>
      </c>
      <c r="AB2028" s="124" t="str">
        <f>IFERROR(__xludf.DUMMYFUNCTION("""COMPUTED_VALUE"""),"State PCS")</f>
        <v>State PCS</v>
      </c>
    </row>
    <row r="2029">
      <c r="A2029" s="129">
        <f>IFERROR(__xludf.DUMMYFUNCTION("""COMPUTED_VALUE"""),46060.0)</f>
        <v>46060</v>
      </c>
      <c r="B2029" s="124" t="str">
        <f>IFERROR(__xludf.DUMMYFUNCTION("""COMPUTED_VALUE"""),"Walkin")</f>
        <v>Walkin</v>
      </c>
      <c r="C2029" s="124" t="str">
        <f>IFERROR(__xludf.DUMMYFUNCTION("""COMPUTED_VALUE"""),"Patna")</f>
        <v>Patna</v>
      </c>
      <c r="D2029" s="124" t="str">
        <f>IFERROR(__xludf.DUMMYFUNCTION("""COMPUTED_VALUE"""),"Primary_Walkin")</f>
        <v>Primary_Walkin</v>
      </c>
      <c r="E2029" s="124">
        <f>IFERROR(__xludf.DUMMYFUNCTION("""COMPUTED_VALUE"""),2.0)</f>
        <v>2</v>
      </c>
      <c r="F2029" s="124" t="str">
        <f>IFERROR(__xludf.DUMMYFUNCTION("""COMPUTED_VALUE"""),"Not Interested")</f>
        <v>Not Interested</v>
      </c>
      <c r="G2029" s="124" t="str">
        <f>IFERROR(__xludf.DUMMYFUNCTION("""COMPUTED_VALUE"""),"GS Foundation")</f>
        <v>GS Foundation</v>
      </c>
      <c r="K2029" s="124"/>
      <c r="L2029" s="124"/>
      <c r="M2029" s="124"/>
      <c r="N2029" s="124"/>
      <c r="O2029" s="124"/>
      <c r="T2029" s="129">
        <f>IFERROR(__xludf.DUMMYFUNCTION("""COMPUTED_VALUE"""),46076.0)</f>
        <v>46076</v>
      </c>
      <c r="U2029" s="124" t="str">
        <f>IFERROR(__xludf.DUMMYFUNCTION("""COMPUTED_VALUE"""),"Publisher Campaign")</f>
        <v>Publisher Campaign</v>
      </c>
      <c r="V2029" s="124" t="str">
        <f>IFERROR(__xludf.DUMMYFUNCTION("""COMPUTED_VALUE"""),"Webinar")</f>
        <v>Webinar</v>
      </c>
      <c r="W2029" s="124"/>
      <c r="X2029" s="124"/>
      <c r="Y2029" s="124" t="str">
        <f>IFERROR(__xludf.DUMMYFUNCTION("""COMPUTED_VALUE"""),"Delhi")</f>
        <v>Delhi</v>
      </c>
      <c r="Z2029" s="124">
        <f>IFERROR(__xludf.DUMMYFUNCTION("""COMPUTED_VALUE"""),2.0)</f>
        <v>2</v>
      </c>
      <c r="AA2029" s="124" t="str">
        <f>IFERROR(__xludf.DUMMYFUNCTION("""COMPUTED_VALUE"""),"Engaged")</f>
        <v>Engaged</v>
      </c>
      <c r="AB2029" s="124" t="str">
        <f>IFERROR(__xludf.DUMMYFUNCTION("""COMPUTED_VALUE"""),"CSAT")</f>
        <v>CSAT</v>
      </c>
    </row>
    <row r="2030">
      <c r="A2030" s="126">
        <f>IFERROR(__xludf.DUMMYFUNCTION("""COMPUTED_VALUE"""),46110.0)</f>
        <v>46110</v>
      </c>
      <c r="B2030" s="124" t="str">
        <f>IFERROR(__xludf.DUMMYFUNCTION("""COMPUTED_VALUE"""),"Walkin")</f>
        <v>Walkin</v>
      </c>
      <c r="C2030" s="124" t="str">
        <f>IFERROR(__xludf.DUMMYFUNCTION("""COMPUTED_VALUE"""),"Patna")</f>
        <v>Patna</v>
      </c>
      <c r="D2030" s="124" t="str">
        <f>IFERROR(__xludf.DUMMYFUNCTION("""COMPUTED_VALUE"""),"Primary_Walkin")</f>
        <v>Primary_Walkin</v>
      </c>
      <c r="E2030" s="124">
        <f>IFERROR(__xludf.DUMMYFUNCTION("""COMPUTED_VALUE"""),1.0)</f>
        <v>1</v>
      </c>
      <c r="F2030" s="124" t="str">
        <f>IFERROR(__xludf.DUMMYFUNCTION("""COMPUTED_VALUE"""),"Enrolled")</f>
        <v>Enrolled</v>
      </c>
      <c r="G2030" s="124" t="str">
        <f>IFERROR(__xludf.DUMMYFUNCTION("""COMPUTED_VALUE"""),"State PCS")</f>
        <v>State PCS</v>
      </c>
      <c r="K2030" s="124"/>
      <c r="L2030" s="124"/>
      <c r="M2030" s="124"/>
      <c r="N2030" s="124"/>
      <c r="O2030" s="124"/>
      <c r="T2030" s="126">
        <f>IFERROR(__xludf.DUMMYFUNCTION("""COMPUTED_VALUE"""),46086.0)</f>
        <v>46086</v>
      </c>
      <c r="U2030" s="124" t="str">
        <f>IFERROR(__xludf.DUMMYFUNCTION("""COMPUTED_VALUE"""),"Publisher Campaign")</f>
        <v>Publisher Campaign</v>
      </c>
      <c r="V2030" s="124" t="str">
        <f>IFERROR(__xludf.DUMMYFUNCTION("""COMPUTED_VALUE"""),"Webinar")</f>
        <v>Webinar</v>
      </c>
      <c r="W2030" s="124"/>
      <c r="X2030" s="124"/>
      <c r="Y2030" s="124" t="str">
        <f>IFERROR(__xludf.DUMMYFUNCTION("""COMPUTED_VALUE"""),"Delhi")</f>
        <v>Delhi</v>
      </c>
      <c r="Z2030" s="124">
        <f>IFERROR(__xludf.DUMMYFUNCTION("""COMPUTED_VALUE"""),1.0)</f>
        <v>1</v>
      </c>
      <c r="AA2030" s="124" t="str">
        <f>IFERROR(__xludf.DUMMYFUNCTION("""COMPUTED_VALUE"""),"Cold")</f>
        <v>Cold</v>
      </c>
      <c r="AB2030" s="124" t="str">
        <f>IFERROR(__xludf.DUMMYFUNCTION("""COMPUTED_VALUE"""),"CSAT")</f>
        <v>CSAT</v>
      </c>
    </row>
    <row r="2031">
      <c r="A2031" s="126">
        <f>IFERROR(__xludf.DUMMYFUNCTION("""COMPUTED_VALUE"""),46109.0)</f>
        <v>46109</v>
      </c>
      <c r="B2031" s="124" t="str">
        <f>IFERROR(__xludf.DUMMYFUNCTION("""COMPUTED_VALUE"""),"Walk-In")</f>
        <v>Walk-In</v>
      </c>
      <c r="C2031" s="124" t="str">
        <f>IFERROR(__xludf.DUMMYFUNCTION("""COMPUTED_VALUE"""),"Patna")</f>
        <v>Patna</v>
      </c>
      <c r="D2031" s="124" t="str">
        <f>IFERROR(__xludf.DUMMYFUNCTION("""COMPUTED_VALUE"""),"Primary_Walkin")</f>
        <v>Primary_Walkin</v>
      </c>
      <c r="E2031" s="124">
        <f>IFERROR(__xludf.DUMMYFUNCTION("""COMPUTED_VALUE"""),1.0)</f>
        <v>1</v>
      </c>
      <c r="F2031" s="124" t="str">
        <f>IFERROR(__xludf.DUMMYFUNCTION("""COMPUTED_VALUE"""),"Enrolled")</f>
        <v>Enrolled</v>
      </c>
      <c r="G2031" s="124" t="str">
        <f>IFERROR(__xludf.DUMMYFUNCTION("""COMPUTED_VALUE"""),"GS Foundation")</f>
        <v>GS Foundation</v>
      </c>
      <c r="K2031" s="124"/>
      <c r="L2031" s="124"/>
      <c r="M2031" s="124"/>
      <c r="N2031" s="124"/>
      <c r="O2031" s="124"/>
      <c r="T2031" s="126">
        <f>IFERROR(__xludf.DUMMYFUNCTION("""COMPUTED_VALUE"""),46091.0)</f>
        <v>46091</v>
      </c>
      <c r="U2031" s="124" t="str">
        <f>IFERROR(__xludf.DUMMYFUNCTION("""COMPUTED_VALUE"""),"Publisher Campaign")</f>
        <v>Publisher Campaign</v>
      </c>
      <c r="V2031" s="124" t="str">
        <f>IFERROR(__xludf.DUMMYFUNCTION("""COMPUTED_VALUE"""),"Webinar")</f>
        <v>Webinar</v>
      </c>
      <c r="W2031" s="124"/>
      <c r="X2031" s="124"/>
      <c r="Y2031" s="124" t="str">
        <f>IFERROR(__xludf.DUMMYFUNCTION("""COMPUTED_VALUE"""),"Delhi")</f>
        <v>Delhi</v>
      </c>
      <c r="Z2031" s="124">
        <f>IFERROR(__xludf.DUMMYFUNCTION("""COMPUTED_VALUE"""),2.0)</f>
        <v>2</v>
      </c>
      <c r="AA2031" s="124" t="str">
        <f>IFERROR(__xludf.DUMMYFUNCTION("""COMPUTED_VALUE"""),"Cold")</f>
        <v>Cold</v>
      </c>
      <c r="AB2031" s="124" t="str">
        <f>IFERROR(__xludf.DUMMYFUNCTION("""COMPUTED_VALUE"""),"Test Series")</f>
        <v>Test Series</v>
      </c>
    </row>
    <row r="2032">
      <c r="A2032" s="129">
        <f>IFERROR(__xludf.DUMMYFUNCTION("""COMPUTED_VALUE"""),46054.0)</f>
        <v>46054</v>
      </c>
      <c r="B2032" s="124" t="str">
        <f>IFERROR(__xludf.DUMMYFUNCTION("""COMPUTED_VALUE"""),"Walk-In")</f>
        <v>Walk-In</v>
      </c>
      <c r="C2032" s="124" t="str">
        <f>IFERROR(__xludf.DUMMYFUNCTION("""COMPUTED_VALUE"""),"Patna")</f>
        <v>Patna</v>
      </c>
      <c r="D2032" s="124" t="str">
        <f>IFERROR(__xludf.DUMMYFUNCTION("""COMPUTED_VALUE"""),"Primary_Walkin")</f>
        <v>Primary_Walkin</v>
      </c>
      <c r="E2032" s="124">
        <f>IFERROR(__xludf.DUMMYFUNCTION("""COMPUTED_VALUE"""),1.0)</f>
        <v>1</v>
      </c>
      <c r="F2032" s="124" t="str">
        <f>IFERROR(__xludf.DUMMYFUNCTION("""COMPUTED_VALUE"""),"Not Interested")</f>
        <v>Not Interested</v>
      </c>
      <c r="G2032" s="124" t="str">
        <f>IFERROR(__xludf.DUMMYFUNCTION("""COMPUTED_VALUE"""),"GS Foundation")</f>
        <v>GS Foundation</v>
      </c>
      <c r="K2032" s="124"/>
      <c r="L2032" s="124"/>
      <c r="M2032" s="124"/>
      <c r="N2032" s="124"/>
      <c r="O2032" s="124"/>
      <c r="T2032" s="126">
        <f>IFERROR(__xludf.DUMMYFUNCTION("""COMPUTED_VALUE"""),46093.0)</f>
        <v>46093</v>
      </c>
      <c r="U2032" s="124" t="str">
        <f>IFERROR(__xludf.DUMMYFUNCTION("""COMPUTED_VALUE"""),"Publisher Campaign")</f>
        <v>Publisher Campaign</v>
      </c>
      <c r="V2032" s="124" t="str">
        <f>IFERROR(__xludf.DUMMYFUNCTION("""COMPUTED_VALUE"""),"BTL Activities")</f>
        <v>BTL Activities</v>
      </c>
      <c r="W2032" s="124"/>
      <c r="X2032" s="124"/>
      <c r="Y2032" s="124" t="str">
        <f>IFERROR(__xludf.DUMMYFUNCTION("""COMPUTED_VALUE"""),"Indore")</f>
        <v>Indore</v>
      </c>
      <c r="Z2032" s="124">
        <f>IFERROR(__xludf.DUMMYFUNCTION("""COMPUTED_VALUE"""),14.0)</f>
        <v>14</v>
      </c>
      <c r="AA2032" s="124" t="str">
        <f>IFERROR(__xludf.DUMMYFUNCTION("""COMPUTED_VALUE"""),"Cold")</f>
        <v>Cold</v>
      </c>
      <c r="AB2032" s="124" t="str">
        <f>IFERROR(__xludf.DUMMYFUNCTION("""COMPUTED_VALUE"""),"GS Foundation")</f>
        <v>GS Foundation</v>
      </c>
    </row>
    <row r="2033">
      <c r="A2033" s="126">
        <f>IFERROR(__xludf.DUMMYFUNCTION("""COMPUTED_VALUE"""),46111.0)</f>
        <v>46111</v>
      </c>
      <c r="B2033" s="124" t="str">
        <f>IFERROR(__xludf.DUMMYFUNCTION("""COMPUTED_VALUE"""),"Walkin")</f>
        <v>Walkin</v>
      </c>
      <c r="C2033" s="124" t="str">
        <f>IFERROR(__xludf.DUMMYFUNCTION("""COMPUTED_VALUE"""),"Patna")</f>
        <v>Patna</v>
      </c>
      <c r="D2033" s="124" t="str">
        <f>IFERROR(__xludf.DUMMYFUNCTION("""COMPUTED_VALUE"""),"Primary_Walkin")</f>
        <v>Primary_Walkin</v>
      </c>
      <c r="E2033" s="124">
        <f>IFERROR(__xludf.DUMMYFUNCTION("""COMPUTED_VALUE"""),1.0)</f>
        <v>1</v>
      </c>
      <c r="F2033" s="124" t="str">
        <f>IFERROR(__xludf.DUMMYFUNCTION("""COMPUTED_VALUE"""),"Warm")</f>
        <v>Warm</v>
      </c>
      <c r="G2033" s="124" t="str">
        <f>IFERROR(__xludf.DUMMYFUNCTION("""COMPUTED_VALUE"""),"GS Foundation")</f>
        <v>GS Foundation</v>
      </c>
      <c r="K2033" s="124"/>
      <c r="L2033" s="124"/>
      <c r="M2033" s="124"/>
      <c r="N2033" s="124"/>
      <c r="O2033" s="124"/>
      <c r="T2033" s="126">
        <f>IFERROR(__xludf.DUMMYFUNCTION("""COMPUTED_VALUE"""),46078.0)</f>
        <v>46078</v>
      </c>
      <c r="U2033" s="124" t="str">
        <f>IFERROR(__xludf.DUMMYFUNCTION("""COMPUTED_VALUE"""),"Publisher Campaign")</f>
        <v>Publisher Campaign</v>
      </c>
      <c r="V2033" s="124" t="str">
        <f>IFERROR(__xludf.DUMMYFUNCTION("""COMPUTED_VALUE"""),"Webinar")</f>
        <v>Webinar</v>
      </c>
      <c r="W2033" s="124"/>
      <c r="X2033" s="124"/>
      <c r="Y2033" s="124" t="str">
        <f>IFERROR(__xludf.DUMMYFUNCTION("""COMPUTED_VALUE"""),"Delhi")</f>
        <v>Delhi</v>
      </c>
      <c r="Z2033" s="124">
        <f>IFERROR(__xludf.DUMMYFUNCTION("""COMPUTED_VALUE"""),1.0)</f>
        <v>1</v>
      </c>
      <c r="AA2033" s="124" t="str">
        <f>IFERROR(__xludf.DUMMYFUNCTION("""COMPUTED_VALUE"""),"Warm")</f>
        <v>Warm</v>
      </c>
      <c r="AB2033" s="124" t="str">
        <f>IFERROR(__xludf.DUMMYFUNCTION("""COMPUTED_VALUE"""),"Prelims Crash Course - SIP")</f>
        <v>Prelims Crash Course - SIP</v>
      </c>
    </row>
    <row r="2034">
      <c r="A2034" s="129">
        <f>IFERROR(__xludf.DUMMYFUNCTION("""COMPUTED_VALUE"""),46090.0)</f>
        <v>46090</v>
      </c>
      <c r="B2034" s="124" t="str">
        <f>IFERROR(__xludf.DUMMYFUNCTION("""COMPUTED_VALUE"""),"Walkin")</f>
        <v>Walkin</v>
      </c>
      <c r="C2034" s="124" t="str">
        <f>IFERROR(__xludf.DUMMYFUNCTION("""COMPUTED_VALUE"""),"Patna")</f>
        <v>Patna</v>
      </c>
      <c r="D2034" s="124" t="str">
        <f>IFERROR(__xludf.DUMMYFUNCTION("""COMPUTED_VALUE"""),"Primary_Walkin")</f>
        <v>Primary_Walkin</v>
      </c>
      <c r="E2034" s="124">
        <f>IFERROR(__xludf.DUMMYFUNCTION("""COMPUTED_VALUE"""),1.0)</f>
        <v>1</v>
      </c>
      <c r="F2034" s="124" t="str">
        <f>IFERROR(__xludf.DUMMYFUNCTION("""COMPUTED_VALUE"""),"Not Interested")</f>
        <v>Not Interested</v>
      </c>
      <c r="G2034" s="124" t="str">
        <f>IFERROR(__xludf.DUMMYFUNCTION("""COMPUTED_VALUE"""),"Test Series")</f>
        <v>Test Series</v>
      </c>
      <c r="K2034" s="124"/>
      <c r="L2034" s="124"/>
      <c r="M2034" s="124"/>
      <c r="N2034" s="124"/>
      <c r="O2034" s="124"/>
      <c r="T2034" s="126">
        <f>IFERROR(__xludf.DUMMYFUNCTION("""COMPUTED_VALUE"""),46076.0)</f>
        <v>46076</v>
      </c>
      <c r="U2034" s="124" t="str">
        <f>IFERROR(__xludf.DUMMYFUNCTION("""COMPUTED_VALUE"""),"Other Marketing Channels")</f>
        <v>Other Marketing Channels</v>
      </c>
      <c r="V2034" s="124" t="str">
        <f>IFERROR(__xludf.DUMMYFUNCTION("""COMPUTED_VALUE"""),"Referrals")</f>
        <v>Referrals</v>
      </c>
      <c r="W2034" s="124" t="str">
        <f>IFERROR(__xludf.DUMMYFUNCTION("""COMPUTED_VALUE"""),"Lucknow")</f>
        <v>Lucknow</v>
      </c>
      <c r="X2034" s="124" t="str">
        <f>IFERROR(__xludf.DUMMYFUNCTION("""COMPUTED_VALUE"""),"Lucknow")</f>
        <v>Lucknow</v>
      </c>
      <c r="Y2034" s="124" t="str">
        <f>IFERROR(__xludf.DUMMYFUNCTION("""COMPUTED_VALUE"""),"Lucknow")</f>
        <v>Lucknow</v>
      </c>
      <c r="Z2034" s="124">
        <f>IFERROR(__xludf.DUMMYFUNCTION("""COMPUTED_VALUE"""),1.0)</f>
        <v>1</v>
      </c>
      <c r="AA2034" s="124" t="str">
        <f>IFERROR(__xludf.DUMMYFUNCTION("""COMPUTED_VALUE"""),"Enrolled")</f>
        <v>Enrolled</v>
      </c>
      <c r="AB2034" s="124" t="str">
        <f>IFERROR(__xludf.DUMMYFUNCTION("""COMPUTED_VALUE"""),"State PCS")</f>
        <v>State PCS</v>
      </c>
    </row>
    <row r="2035">
      <c r="A2035" s="126">
        <f>IFERROR(__xludf.DUMMYFUNCTION("""COMPUTED_VALUE"""),46109.0)</f>
        <v>46109</v>
      </c>
      <c r="B2035" s="124" t="str">
        <f>IFERROR(__xludf.DUMMYFUNCTION("""COMPUTED_VALUE"""),"Walkin")</f>
        <v>Walkin</v>
      </c>
      <c r="C2035" s="124" t="str">
        <f>IFERROR(__xludf.DUMMYFUNCTION("""COMPUTED_VALUE"""),"Patna")</f>
        <v>Patna</v>
      </c>
      <c r="D2035" s="124" t="str">
        <f>IFERROR(__xludf.DUMMYFUNCTION("""COMPUTED_VALUE"""),"Primary_Walkin")</f>
        <v>Primary_Walkin</v>
      </c>
      <c r="E2035" s="124">
        <f>IFERROR(__xludf.DUMMYFUNCTION("""COMPUTED_VALUE"""),1.0)</f>
        <v>1</v>
      </c>
      <c r="F2035" s="124" t="str">
        <f>IFERROR(__xludf.DUMMYFUNCTION("""COMPUTED_VALUE"""),"Cold")</f>
        <v>Cold</v>
      </c>
      <c r="G2035" s="124" t="str">
        <f>IFERROR(__xludf.DUMMYFUNCTION("""COMPUTED_VALUE"""),"Other")</f>
        <v>Other</v>
      </c>
      <c r="K2035" s="124"/>
      <c r="L2035" s="124"/>
      <c r="M2035" s="124"/>
      <c r="N2035" s="124"/>
      <c r="O2035" s="124"/>
      <c r="T2035" s="126">
        <f>IFERROR(__xludf.DUMMYFUNCTION("""COMPUTED_VALUE"""),46091.0)</f>
        <v>46091</v>
      </c>
      <c r="U2035" s="124" t="str">
        <f>IFERROR(__xludf.DUMMYFUNCTION("""COMPUTED_VALUE"""),"Walk-Ins")</f>
        <v>Walk-Ins</v>
      </c>
      <c r="V2035" s="124" t="str">
        <f>IFERROR(__xludf.DUMMYFUNCTION("""COMPUTED_VALUE"""),"Walkin")</f>
        <v>Walkin</v>
      </c>
      <c r="W2035" s="124"/>
      <c r="X2035" s="124"/>
      <c r="Y2035" s="124" t="str">
        <f>IFERROR(__xludf.DUMMYFUNCTION("""COMPUTED_VALUE"""),"Delhi")</f>
        <v>Delhi</v>
      </c>
      <c r="Z2035" s="124">
        <f>IFERROR(__xludf.DUMMYFUNCTION("""COMPUTED_VALUE"""),1.0)</f>
        <v>1</v>
      </c>
      <c r="AA2035" s="124" t="str">
        <f>IFERROR(__xludf.DUMMYFUNCTION("""COMPUTED_VALUE"""),"Enrolled")</f>
        <v>Enrolled</v>
      </c>
      <c r="AB2035" s="124" t="str">
        <f>IFERROR(__xludf.DUMMYFUNCTION("""COMPUTED_VALUE"""),"GS Foundation")</f>
        <v>GS Foundation</v>
      </c>
    </row>
    <row r="2036">
      <c r="A2036" s="126">
        <f>IFERROR(__xludf.DUMMYFUNCTION("""COMPUTED_VALUE"""),46107.0)</f>
        <v>46107</v>
      </c>
      <c r="B2036" s="124" t="str">
        <f>IFERROR(__xludf.DUMMYFUNCTION("""COMPUTED_VALUE"""),"Walkin")</f>
        <v>Walkin</v>
      </c>
      <c r="C2036" s="124" t="str">
        <f>IFERROR(__xludf.DUMMYFUNCTION("""COMPUTED_VALUE"""),"Patna")</f>
        <v>Patna</v>
      </c>
      <c r="D2036" s="124" t="str">
        <f>IFERROR(__xludf.DUMMYFUNCTION("""COMPUTED_VALUE"""),"Primary_Walkin")</f>
        <v>Primary_Walkin</v>
      </c>
      <c r="E2036" s="124">
        <f>IFERROR(__xludf.DUMMYFUNCTION("""COMPUTED_VALUE"""),1.0)</f>
        <v>1</v>
      </c>
      <c r="F2036" s="124" t="str">
        <f>IFERROR(__xludf.DUMMYFUNCTION("""COMPUTED_VALUE"""),"Cold")</f>
        <v>Cold</v>
      </c>
      <c r="G2036" s="124" t="str">
        <f>IFERROR(__xludf.DUMMYFUNCTION("""COMPUTED_VALUE"""),"GS Foundation")</f>
        <v>GS Foundation</v>
      </c>
      <c r="K2036" s="124"/>
      <c r="L2036" s="124"/>
      <c r="M2036" s="124"/>
      <c r="N2036" s="124"/>
      <c r="O2036" s="124"/>
      <c r="T2036" s="129">
        <f>IFERROR(__xludf.DUMMYFUNCTION("""COMPUTED_VALUE"""),46078.0)</f>
        <v>46078</v>
      </c>
      <c r="U2036" s="124" t="str">
        <f>IFERROR(__xludf.DUMMYFUNCTION("""COMPUTED_VALUE"""),"Publisher Campaign")</f>
        <v>Publisher Campaign</v>
      </c>
      <c r="V2036" s="124" t="str">
        <f>IFERROR(__xludf.DUMMYFUNCTION("""COMPUTED_VALUE"""),"Webinar")</f>
        <v>Webinar</v>
      </c>
      <c r="W2036" s="124"/>
      <c r="X2036" s="124"/>
      <c r="Y2036" s="124" t="str">
        <f>IFERROR(__xludf.DUMMYFUNCTION("""COMPUTED_VALUE"""),"Delhi")</f>
        <v>Delhi</v>
      </c>
      <c r="Z2036" s="124">
        <f>IFERROR(__xludf.DUMMYFUNCTION("""COMPUTED_VALUE"""),3.0)</f>
        <v>3</v>
      </c>
      <c r="AA2036" s="124" t="str">
        <f>IFERROR(__xludf.DUMMYFUNCTION("""COMPUTED_VALUE"""),"Warm")</f>
        <v>Warm</v>
      </c>
      <c r="AB2036" s="124" t="str">
        <f>IFERROR(__xludf.DUMMYFUNCTION("""COMPUTED_VALUE"""),"Optionals")</f>
        <v>Optionals</v>
      </c>
    </row>
    <row r="2037">
      <c r="A2037" s="126">
        <f>IFERROR(__xludf.DUMMYFUNCTION("""COMPUTED_VALUE"""),46098.0)</f>
        <v>46098</v>
      </c>
      <c r="B2037" s="124" t="str">
        <f>IFERROR(__xludf.DUMMYFUNCTION("""COMPUTED_VALUE"""),"Walkin")</f>
        <v>Walkin</v>
      </c>
      <c r="C2037" s="124" t="str">
        <f>IFERROR(__xludf.DUMMYFUNCTION("""COMPUTED_VALUE"""),"Patna")</f>
        <v>Patna</v>
      </c>
      <c r="D2037" s="124" t="str">
        <f>IFERROR(__xludf.DUMMYFUNCTION("""COMPUTED_VALUE"""),"Primary_Walkin")</f>
        <v>Primary_Walkin</v>
      </c>
      <c r="E2037" s="124">
        <f>IFERROR(__xludf.DUMMYFUNCTION("""COMPUTED_VALUE"""),1.0)</f>
        <v>1</v>
      </c>
      <c r="F2037" s="124" t="str">
        <f>IFERROR(__xludf.DUMMYFUNCTION("""COMPUTED_VALUE"""),"Future Prospects")</f>
        <v>Future Prospects</v>
      </c>
      <c r="G2037" s="124" t="str">
        <f>IFERROR(__xludf.DUMMYFUNCTION("""COMPUTED_VALUE"""),"GS Foundation")</f>
        <v>GS Foundation</v>
      </c>
      <c r="K2037" s="124"/>
      <c r="L2037" s="124"/>
      <c r="M2037" s="124"/>
      <c r="N2037" s="124"/>
      <c r="O2037" s="124"/>
      <c r="T2037" s="126">
        <f>IFERROR(__xludf.DUMMYFUNCTION("""COMPUTED_VALUE"""),46061.0)</f>
        <v>46061</v>
      </c>
      <c r="U2037" s="124" t="str">
        <f>IFERROR(__xludf.DUMMYFUNCTION("""COMPUTED_VALUE"""),"Publisher Campaign")</f>
        <v>Publisher Campaign</v>
      </c>
      <c r="V2037" s="124" t="str">
        <f>IFERROR(__xludf.DUMMYFUNCTION("""COMPUTED_VALUE"""),"Webinar")</f>
        <v>Webinar</v>
      </c>
      <c r="W2037" s="124"/>
      <c r="X2037" s="124"/>
      <c r="Y2037" s="124" t="str">
        <f>IFERROR(__xludf.DUMMYFUNCTION("""COMPUTED_VALUE"""),"Delhi")</f>
        <v>Delhi</v>
      </c>
      <c r="Z2037" s="124">
        <f>IFERROR(__xludf.DUMMYFUNCTION("""COMPUTED_VALUE"""),1.0)</f>
        <v>1</v>
      </c>
      <c r="AA2037" s="124" t="str">
        <f>IFERROR(__xludf.DUMMYFUNCTION("""COMPUTED_VALUE"""),"Fake Lead")</f>
        <v>Fake Lead</v>
      </c>
      <c r="AB2037" s="124" t="str">
        <f>IFERROR(__xludf.DUMMYFUNCTION("""COMPUTED_VALUE"""),"GS Advanced")</f>
        <v>GS Advanced</v>
      </c>
    </row>
    <row r="2038">
      <c r="A2038" s="126">
        <f>IFERROR(__xludf.DUMMYFUNCTION("""COMPUTED_VALUE"""),46065.0)</f>
        <v>46065</v>
      </c>
      <c r="B2038" s="124" t="str">
        <f>IFERROR(__xludf.DUMMYFUNCTION("""COMPUTED_VALUE"""),"Walk-In")</f>
        <v>Walk-In</v>
      </c>
      <c r="C2038" s="124" t="str">
        <f>IFERROR(__xludf.DUMMYFUNCTION("""COMPUTED_VALUE"""),"Patna")</f>
        <v>Patna</v>
      </c>
      <c r="D2038" s="124" t="str">
        <f>IFERROR(__xludf.DUMMYFUNCTION("""COMPUTED_VALUE"""),"Primary_Walkin")</f>
        <v>Primary_Walkin</v>
      </c>
      <c r="E2038" s="124">
        <f>IFERROR(__xludf.DUMMYFUNCTION("""COMPUTED_VALUE"""),2.0)</f>
        <v>2</v>
      </c>
      <c r="F2038" s="124" t="str">
        <f>IFERROR(__xludf.DUMMYFUNCTION("""COMPUTED_VALUE"""),"Cold")</f>
        <v>Cold</v>
      </c>
      <c r="G2038" s="124" t="str">
        <f>IFERROR(__xludf.DUMMYFUNCTION("""COMPUTED_VALUE"""),"GS Foundation")</f>
        <v>GS Foundation</v>
      </c>
      <c r="K2038" s="124"/>
      <c r="L2038" s="124"/>
      <c r="M2038" s="124"/>
      <c r="N2038" s="124"/>
      <c r="O2038" s="124"/>
      <c r="T2038" s="126">
        <f>IFERROR(__xludf.DUMMYFUNCTION("""COMPUTED_VALUE"""),46051.0)</f>
        <v>46051</v>
      </c>
      <c r="U2038" s="124" t="str">
        <f>IFERROR(__xludf.DUMMYFUNCTION("""COMPUTED_VALUE"""),"Walk-Ins")</f>
        <v>Walk-Ins</v>
      </c>
      <c r="V2038" s="124" t="str">
        <f>IFERROR(__xludf.DUMMYFUNCTION("""COMPUTED_VALUE"""),"Walkin")</f>
        <v>Walkin</v>
      </c>
      <c r="W2038" s="124" t="str">
        <f>IFERROR(__xludf.DUMMYFUNCTION("""COMPUTED_VALUE"""),"Delhi")</f>
        <v>Delhi</v>
      </c>
      <c r="X2038" s="124" t="str">
        <f>IFERROR(__xludf.DUMMYFUNCTION("""COMPUTED_VALUE"""),"walkin")</f>
        <v>walkin</v>
      </c>
      <c r="Y2038" s="124" t="str">
        <f>IFERROR(__xludf.DUMMYFUNCTION("""COMPUTED_VALUE"""),"Delhi")</f>
        <v>Delhi</v>
      </c>
      <c r="Z2038" s="124">
        <f>IFERROR(__xludf.DUMMYFUNCTION("""COMPUTED_VALUE"""),4.0)</f>
        <v>4</v>
      </c>
      <c r="AA2038" s="124" t="str">
        <f>IFERROR(__xludf.DUMMYFUNCTION("""COMPUTED_VALUE"""),"Cold")</f>
        <v>Cold</v>
      </c>
      <c r="AB2038" s="124" t="str">
        <f>IFERROR(__xludf.DUMMYFUNCTION("""COMPUTED_VALUE"""),"GS Foundation")</f>
        <v>GS Foundation</v>
      </c>
    </row>
    <row r="2039">
      <c r="A2039" s="126">
        <f>IFERROR(__xludf.DUMMYFUNCTION("""COMPUTED_VALUE"""),46102.0)</f>
        <v>46102</v>
      </c>
      <c r="B2039" s="124" t="str">
        <f>IFERROR(__xludf.DUMMYFUNCTION("""COMPUTED_VALUE"""),"Walkin")</f>
        <v>Walkin</v>
      </c>
      <c r="C2039" s="124" t="str">
        <f>IFERROR(__xludf.DUMMYFUNCTION("""COMPUTED_VALUE"""),"Patna")</f>
        <v>Patna</v>
      </c>
      <c r="D2039" s="124" t="str">
        <f>IFERROR(__xludf.DUMMYFUNCTION("""COMPUTED_VALUE"""),"Primary_Walkin")</f>
        <v>Primary_Walkin</v>
      </c>
      <c r="E2039" s="124">
        <f>IFERROR(__xludf.DUMMYFUNCTION("""COMPUTED_VALUE"""),1.0)</f>
        <v>1</v>
      </c>
      <c r="F2039" s="124" t="str">
        <f>IFERROR(__xludf.DUMMYFUNCTION("""COMPUTED_VALUE"""),"Cold")</f>
        <v>Cold</v>
      </c>
      <c r="G2039" s="124" t="str">
        <f>IFERROR(__xludf.DUMMYFUNCTION("""COMPUTED_VALUE"""),"Test Series")</f>
        <v>Test Series</v>
      </c>
      <c r="K2039" s="124"/>
      <c r="L2039" s="124"/>
      <c r="M2039" s="124"/>
      <c r="N2039" s="124"/>
      <c r="O2039" s="124"/>
      <c r="T2039" s="129">
        <f>IFERROR(__xludf.DUMMYFUNCTION("""COMPUTED_VALUE"""),46083.0)</f>
        <v>46083</v>
      </c>
      <c r="U2039" s="124" t="str">
        <f>IFERROR(__xludf.DUMMYFUNCTION("""COMPUTED_VALUE"""),"Walk-Ins")</f>
        <v>Walk-Ins</v>
      </c>
      <c r="V2039" s="124" t="str">
        <f>IFERROR(__xludf.DUMMYFUNCTION("""COMPUTED_VALUE"""),"Walk-In")</f>
        <v>Walk-In</v>
      </c>
      <c r="W2039" s="124" t="str">
        <f>IFERROR(__xludf.DUMMYFUNCTION("""COMPUTED_VALUE"""),"Delhi")</f>
        <v>Delhi</v>
      </c>
      <c r="X2039" s="124" t="str">
        <f>IFERROR(__xludf.DUMMYFUNCTION("""COMPUTED_VALUE"""),"walkin")</f>
        <v>walkin</v>
      </c>
      <c r="Y2039" s="124" t="str">
        <f>IFERROR(__xludf.DUMMYFUNCTION("""COMPUTED_VALUE"""),"Delhi")</f>
        <v>Delhi</v>
      </c>
      <c r="Z2039" s="124">
        <f>IFERROR(__xludf.DUMMYFUNCTION("""COMPUTED_VALUE"""),1.0)</f>
        <v>1</v>
      </c>
      <c r="AA2039" s="124" t="str">
        <f>IFERROR(__xludf.DUMMYFUNCTION("""COMPUTED_VALUE"""),"Enrolled")</f>
        <v>Enrolled</v>
      </c>
      <c r="AB2039" s="124" t="str">
        <f>IFERROR(__xludf.DUMMYFUNCTION("""COMPUTED_VALUE"""),"Optionals")</f>
        <v>Optionals</v>
      </c>
    </row>
    <row r="2040">
      <c r="A2040" s="126">
        <f>IFERROR(__xludf.DUMMYFUNCTION("""COMPUTED_VALUE"""),46067.0)</f>
        <v>46067</v>
      </c>
      <c r="B2040" s="124" t="str">
        <f>IFERROR(__xludf.DUMMYFUNCTION("""COMPUTED_VALUE"""),"Walkin")</f>
        <v>Walkin</v>
      </c>
      <c r="C2040" s="124" t="str">
        <f>IFERROR(__xludf.DUMMYFUNCTION("""COMPUTED_VALUE"""),"Patna")</f>
        <v>Patna</v>
      </c>
      <c r="D2040" s="124" t="str">
        <f>IFERROR(__xludf.DUMMYFUNCTION("""COMPUTED_VALUE"""),"Primary_Walkin")</f>
        <v>Primary_Walkin</v>
      </c>
      <c r="E2040" s="124">
        <f>IFERROR(__xludf.DUMMYFUNCTION("""COMPUTED_VALUE"""),1.0)</f>
        <v>1</v>
      </c>
      <c r="F2040" s="124" t="str">
        <f>IFERROR(__xludf.DUMMYFUNCTION("""COMPUTED_VALUE"""),"Fake Lead")</f>
        <v>Fake Lead</v>
      </c>
      <c r="G2040" s="124" t="str">
        <f>IFERROR(__xludf.DUMMYFUNCTION("""COMPUTED_VALUE"""),"State PCS")</f>
        <v>State PCS</v>
      </c>
      <c r="K2040" s="124"/>
      <c r="L2040" s="124"/>
      <c r="M2040" s="124"/>
      <c r="N2040" s="124"/>
      <c r="O2040" s="124"/>
      <c r="T2040" s="129">
        <f>IFERROR(__xludf.DUMMYFUNCTION("""COMPUTED_VALUE"""),46086.0)</f>
        <v>46086</v>
      </c>
      <c r="U2040" s="124" t="str">
        <f>IFERROR(__xludf.DUMMYFUNCTION("""COMPUTED_VALUE"""),"Walk-Ins")</f>
        <v>Walk-Ins</v>
      </c>
      <c r="V2040" s="124" t="str">
        <f>IFERROR(__xludf.DUMMYFUNCTION("""COMPUTED_VALUE"""),"Walkin")</f>
        <v>Walkin</v>
      </c>
      <c r="W2040" s="124" t="str">
        <f>IFERROR(__xludf.DUMMYFUNCTION("""COMPUTED_VALUE"""),"Delhi")</f>
        <v>Delhi</v>
      </c>
      <c r="X2040" s="124" t="str">
        <f>IFERROR(__xludf.DUMMYFUNCTION("""COMPUTED_VALUE"""),"walkin")</f>
        <v>walkin</v>
      </c>
      <c r="Y2040" s="124" t="str">
        <f>IFERROR(__xludf.DUMMYFUNCTION("""COMPUTED_VALUE"""),"Delhi")</f>
        <v>Delhi</v>
      </c>
      <c r="Z2040" s="124">
        <f>IFERROR(__xludf.DUMMYFUNCTION("""COMPUTED_VALUE"""),1.0)</f>
        <v>1</v>
      </c>
      <c r="AA2040" s="124" t="str">
        <f>IFERROR(__xludf.DUMMYFUNCTION("""COMPUTED_VALUE"""),"Warm")</f>
        <v>Warm</v>
      </c>
      <c r="AB2040" s="124" t="str">
        <f>IFERROR(__xludf.DUMMYFUNCTION("""COMPUTED_VALUE"""),"GS Foundation")</f>
        <v>GS Foundation</v>
      </c>
    </row>
    <row r="2041">
      <c r="A2041" s="126">
        <f>IFERROR(__xludf.DUMMYFUNCTION("""COMPUTED_VALUE"""),46100.0)</f>
        <v>46100</v>
      </c>
      <c r="B2041" s="124" t="str">
        <f>IFERROR(__xludf.DUMMYFUNCTION("""COMPUTED_VALUE"""),"Walkin")</f>
        <v>Walkin</v>
      </c>
      <c r="C2041" s="124" t="str">
        <f>IFERROR(__xludf.DUMMYFUNCTION("""COMPUTED_VALUE"""),"Patna")</f>
        <v>Patna</v>
      </c>
      <c r="D2041" s="124" t="str">
        <f>IFERROR(__xludf.DUMMYFUNCTION("""COMPUTED_VALUE"""),"Primary_Walkin")</f>
        <v>Primary_Walkin</v>
      </c>
      <c r="E2041" s="124">
        <f>IFERROR(__xludf.DUMMYFUNCTION("""COMPUTED_VALUE"""),1.0)</f>
        <v>1</v>
      </c>
      <c r="F2041" s="124" t="str">
        <f>IFERROR(__xludf.DUMMYFUNCTION("""COMPUTED_VALUE"""),"Future Prospects")</f>
        <v>Future Prospects</v>
      </c>
      <c r="G2041" s="124" t="str">
        <f>IFERROR(__xludf.DUMMYFUNCTION("""COMPUTED_VALUE"""),"GS Foundation")</f>
        <v>GS Foundation</v>
      </c>
      <c r="K2041" s="124"/>
      <c r="L2041" s="124"/>
      <c r="M2041" s="124"/>
      <c r="N2041" s="124"/>
      <c r="O2041" s="124"/>
      <c r="T2041" s="126">
        <f>IFERROR(__xludf.DUMMYFUNCTION("""COMPUTED_VALUE"""),46078.0)</f>
        <v>46078</v>
      </c>
      <c r="U2041" s="124" t="str">
        <f>IFERROR(__xludf.DUMMYFUNCTION("""COMPUTED_VALUE"""),"Walk-Ins")</f>
        <v>Walk-Ins</v>
      </c>
      <c r="V2041" s="124" t="str">
        <f>IFERROR(__xludf.DUMMYFUNCTION("""COMPUTED_VALUE"""),"Walkin")</f>
        <v>Walkin</v>
      </c>
      <c r="W2041" s="124" t="str">
        <f>IFERROR(__xludf.DUMMYFUNCTION("""COMPUTED_VALUE"""),"Delhi")</f>
        <v>Delhi</v>
      </c>
      <c r="X2041" s="124" t="str">
        <f>IFERROR(__xludf.DUMMYFUNCTION("""COMPUTED_VALUE"""),"walkin")</f>
        <v>walkin</v>
      </c>
      <c r="Y2041" s="124" t="str">
        <f>IFERROR(__xludf.DUMMYFUNCTION("""COMPUTED_VALUE"""),"Delhi")</f>
        <v>Delhi</v>
      </c>
      <c r="Z2041" s="124">
        <f>IFERROR(__xludf.DUMMYFUNCTION("""COMPUTED_VALUE"""),5.0)</f>
        <v>5</v>
      </c>
      <c r="AA2041" s="124" t="str">
        <f>IFERROR(__xludf.DUMMYFUNCTION("""COMPUTED_VALUE"""),"Cold")</f>
        <v>Cold</v>
      </c>
      <c r="AB2041" s="124" t="str">
        <f>IFERROR(__xludf.DUMMYFUNCTION("""COMPUTED_VALUE"""),"GS Foundation")</f>
        <v>GS Foundation</v>
      </c>
    </row>
    <row r="2042">
      <c r="A2042" s="126">
        <f>IFERROR(__xludf.DUMMYFUNCTION("""COMPUTED_VALUE"""),46104.0)</f>
        <v>46104</v>
      </c>
      <c r="B2042" s="124" t="str">
        <f>IFERROR(__xludf.DUMMYFUNCTION("""COMPUTED_VALUE"""),"Walkin")</f>
        <v>Walkin</v>
      </c>
      <c r="C2042" s="124" t="str">
        <f>IFERROR(__xludf.DUMMYFUNCTION("""COMPUTED_VALUE"""),"Patna")</f>
        <v>Patna</v>
      </c>
      <c r="D2042" s="124" t="str">
        <f>IFERROR(__xludf.DUMMYFUNCTION("""COMPUTED_VALUE"""),"Primary_Walkin")</f>
        <v>Primary_Walkin</v>
      </c>
      <c r="E2042" s="124">
        <f>IFERROR(__xludf.DUMMYFUNCTION("""COMPUTED_VALUE"""),1.0)</f>
        <v>1</v>
      </c>
      <c r="F2042" s="124" t="str">
        <f>IFERROR(__xludf.DUMMYFUNCTION("""COMPUTED_VALUE"""),"Future Prospects")</f>
        <v>Future Prospects</v>
      </c>
      <c r="G2042" s="124" t="str">
        <f>IFERROR(__xludf.DUMMYFUNCTION("""COMPUTED_VALUE"""),"State PCS")</f>
        <v>State PCS</v>
      </c>
      <c r="K2042" s="124"/>
      <c r="L2042" s="124"/>
      <c r="M2042" s="124"/>
      <c r="N2042" s="124"/>
      <c r="O2042" s="124"/>
      <c r="T2042" s="126">
        <f>IFERROR(__xludf.DUMMYFUNCTION("""COMPUTED_VALUE"""),46054.0)</f>
        <v>46054</v>
      </c>
      <c r="U2042" s="124" t="str">
        <f>IFERROR(__xludf.DUMMYFUNCTION("""COMPUTED_VALUE"""),"Walk-Ins")</f>
        <v>Walk-Ins</v>
      </c>
      <c r="V2042" s="124" t="str">
        <f>IFERROR(__xludf.DUMMYFUNCTION("""COMPUTED_VALUE"""),"Walk-In")</f>
        <v>Walk-In</v>
      </c>
      <c r="W2042" s="124" t="str">
        <f>IFERROR(__xludf.DUMMYFUNCTION("""COMPUTED_VALUE"""),"Prayagraj")</f>
        <v>Prayagraj</v>
      </c>
      <c r="X2042" s="124" t="str">
        <f>IFERROR(__xludf.DUMMYFUNCTION("""COMPUTED_VALUE"""),"Aditi")</f>
        <v>Aditi</v>
      </c>
      <c r="Y2042" s="124"/>
      <c r="Z2042" s="124">
        <f>IFERROR(__xludf.DUMMYFUNCTION("""COMPUTED_VALUE"""),1.0)</f>
        <v>1</v>
      </c>
      <c r="AA2042" s="124" t="str">
        <f>IFERROR(__xludf.DUMMYFUNCTION("""COMPUTED_VALUE"""),"Cold")</f>
        <v>Cold</v>
      </c>
      <c r="AB2042" s="124" t="str">
        <f>IFERROR(__xludf.DUMMYFUNCTION("""COMPUTED_VALUE"""),"Test Series")</f>
        <v>Test Series</v>
      </c>
    </row>
    <row r="2043">
      <c r="A2043" s="126">
        <f>IFERROR(__xludf.DUMMYFUNCTION("""COMPUTED_VALUE"""),46065.0)</f>
        <v>46065</v>
      </c>
      <c r="B2043" s="124" t="str">
        <f>IFERROR(__xludf.DUMMYFUNCTION("""COMPUTED_VALUE"""),"Walkin")</f>
        <v>Walkin</v>
      </c>
      <c r="C2043" s="124" t="str">
        <f>IFERROR(__xludf.DUMMYFUNCTION("""COMPUTED_VALUE"""),"Patna")</f>
        <v>Patna</v>
      </c>
      <c r="D2043" s="124" t="str">
        <f>IFERROR(__xludf.DUMMYFUNCTION("""COMPUTED_VALUE"""),"Primary_Walkin")</f>
        <v>Primary_Walkin</v>
      </c>
      <c r="E2043" s="124">
        <f>IFERROR(__xludf.DUMMYFUNCTION("""COMPUTED_VALUE"""),1.0)</f>
        <v>1</v>
      </c>
      <c r="F2043" s="124" t="str">
        <f>IFERROR(__xludf.DUMMYFUNCTION("""COMPUTED_VALUE"""),"Warm")</f>
        <v>Warm</v>
      </c>
      <c r="G2043" s="124" t="str">
        <f>IFERROR(__xludf.DUMMYFUNCTION("""COMPUTED_VALUE"""),"State PCS")</f>
        <v>State PCS</v>
      </c>
      <c r="K2043" s="124"/>
      <c r="L2043" s="124"/>
      <c r="M2043" s="124"/>
      <c r="N2043" s="124"/>
      <c r="O2043" s="124"/>
      <c r="T2043" s="126">
        <f>IFERROR(__xludf.DUMMYFUNCTION("""COMPUTED_VALUE"""),46080.0)</f>
        <v>46080</v>
      </c>
      <c r="U2043" s="124" t="str">
        <f>IFERROR(__xludf.DUMMYFUNCTION("""COMPUTED_VALUE"""),"Walk-Ins")</f>
        <v>Walk-Ins</v>
      </c>
      <c r="V2043" s="124" t="str">
        <f>IFERROR(__xludf.DUMMYFUNCTION("""COMPUTED_VALUE"""),"Walkin")</f>
        <v>Walkin</v>
      </c>
      <c r="W2043" s="124" t="str">
        <f>IFERROR(__xludf.DUMMYFUNCTION("""COMPUTED_VALUE"""),"Delhi")</f>
        <v>Delhi</v>
      </c>
      <c r="X2043" s="124" t="str">
        <f>IFERROR(__xludf.DUMMYFUNCTION("""COMPUTED_VALUE"""),"walkin")</f>
        <v>walkin</v>
      </c>
      <c r="Y2043" s="124" t="str">
        <f>IFERROR(__xludf.DUMMYFUNCTION("""COMPUTED_VALUE"""),"Delhi")</f>
        <v>Delhi</v>
      </c>
      <c r="Z2043" s="124">
        <f>IFERROR(__xludf.DUMMYFUNCTION("""COMPUTED_VALUE"""),1.0)</f>
        <v>1</v>
      </c>
      <c r="AA2043" s="124" t="str">
        <f>IFERROR(__xludf.DUMMYFUNCTION("""COMPUTED_VALUE"""),"Warm")</f>
        <v>Warm</v>
      </c>
      <c r="AB2043" s="124" t="str">
        <f>IFERROR(__xludf.DUMMYFUNCTION("""COMPUTED_VALUE"""),"GS Foundation")</f>
        <v>GS Foundation</v>
      </c>
    </row>
    <row r="2044">
      <c r="A2044" s="126">
        <f>IFERROR(__xludf.DUMMYFUNCTION("""COMPUTED_VALUE"""),46050.0)</f>
        <v>46050</v>
      </c>
      <c r="B2044" s="124" t="str">
        <f>IFERROR(__xludf.DUMMYFUNCTION("""COMPUTED_VALUE"""),"Walkin")</f>
        <v>Walkin</v>
      </c>
      <c r="C2044" s="124" t="str">
        <f>IFERROR(__xludf.DUMMYFUNCTION("""COMPUTED_VALUE"""),"Patna")</f>
        <v>Patna</v>
      </c>
      <c r="D2044" s="124" t="str">
        <f>IFERROR(__xludf.DUMMYFUNCTION("""COMPUTED_VALUE"""),"Primary_Walkin")</f>
        <v>Primary_Walkin</v>
      </c>
      <c r="E2044" s="124">
        <f>IFERROR(__xludf.DUMMYFUNCTION("""COMPUTED_VALUE"""),1.0)</f>
        <v>1</v>
      </c>
      <c r="F2044" s="124" t="str">
        <f>IFERROR(__xludf.DUMMYFUNCTION("""COMPUTED_VALUE"""),"Future Prospects")</f>
        <v>Future Prospects</v>
      </c>
      <c r="G2044" s="124" t="str">
        <f>IFERROR(__xludf.DUMMYFUNCTION("""COMPUTED_VALUE"""),"State PCS")</f>
        <v>State PCS</v>
      </c>
      <c r="K2044" s="124"/>
      <c r="L2044" s="124"/>
      <c r="M2044" s="124"/>
      <c r="N2044" s="124"/>
      <c r="O2044" s="124"/>
      <c r="T2044" s="126">
        <f>IFERROR(__xludf.DUMMYFUNCTION("""COMPUTED_VALUE"""),46049.0)</f>
        <v>46049</v>
      </c>
      <c r="U2044" s="124" t="str">
        <f>IFERROR(__xludf.DUMMYFUNCTION("""COMPUTED_VALUE"""),"External Leads")</f>
        <v>External Leads</v>
      </c>
      <c r="V2044" s="124" t="str">
        <f>IFERROR(__xludf.DUMMYFUNCTION("""COMPUTED_VALUE"""),"external leads")</f>
        <v>external leads</v>
      </c>
      <c r="W2044" s="124" t="str">
        <f>IFERROR(__xludf.DUMMYFUNCTION("""COMPUTED_VALUE"""),"prayagraj")</f>
        <v>prayagraj</v>
      </c>
      <c r="X2044" s="124" t="str">
        <f>IFERROR(__xludf.DUMMYFUNCTION("""COMPUTED_VALUE"""),"piyushunacademy")</f>
        <v>piyushunacademy</v>
      </c>
      <c r="Y2044" s="124" t="str">
        <f>IFERROR(__xludf.DUMMYFUNCTION("""COMPUTED_VALUE"""),"Prayagraj")</f>
        <v>Prayagraj</v>
      </c>
      <c r="Z2044" s="124">
        <f>IFERROR(__xludf.DUMMYFUNCTION("""COMPUTED_VALUE"""),2.0)</f>
        <v>2</v>
      </c>
      <c r="AA2044" s="124"/>
      <c r="AB2044" s="124" t="str">
        <f>IFERROR(__xludf.DUMMYFUNCTION("""COMPUTED_VALUE"""),"Test Series")</f>
        <v>Test Series</v>
      </c>
    </row>
    <row r="2045">
      <c r="A2045" s="126">
        <f>IFERROR(__xludf.DUMMYFUNCTION("""COMPUTED_VALUE"""),46071.0)</f>
        <v>46071</v>
      </c>
      <c r="B2045" s="124" t="str">
        <f>IFERROR(__xludf.DUMMYFUNCTION("""COMPUTED_VALUE"""),"Walkin")</f>
        <v>Walkin</v>
      </c>
      <c r="C2045" s="124" t="str">
        <f>IFERROR(__xludf.DUMMYFUNCTION("""COMPUTED_VALUE"""),"Patna")</f>
        <v>Patna</v>
      </c>
      <c r="D2045" s="124" t="str">
        <f>IFERROR(__xludf.DUMMYFUNCTION("""COMPUTED_VALUE"""),"Primary_Walkin")</f>
        <v>Primary_Walkin</v>
      </c>
      <c r="E2045" s="124">
        <f>IFERROR(__xludf.DUMMYFUNCTION("""COMPUTED_VALUE"""),1.0)</f>
        <v>1</v>
      </c>
      <c r="F2045" s="124" t="str">
        <f>IFERROR(__xludf.DUMMYFUNCTION("""COMPUTED_VALUE"""),"Fake Lead")</f>
        <v>Fake Lead</v>
      </c>
      <c r="G2045" s="124" t="str">
        <f>IFERROR(__xludf.DUMMYFUNCTION("""COMPUTED_VALUE"""),"State PCS")</f>
        <v>State PCS</v>
      </c>
      <c r="K2045" s="124"/>
      <c r="L2045" s="124"/>
      <c r="M2045" s="124"/>
      <c r="N2045" s="124"/>
      <c r="O2045" s="124"/>
      <c r="T2045" s="129">
        <f>IFERROR(__xludf.DUMMYFUNCTION("""COMPUTED_VALUE"""),46100.0)</f>
        <v>46100</v>
      </c>
      <c r="U2045" s="124" t="str">
        <f>IFERROR(__xludf.DUMMYFUNCTION("""COMPUTED_VALUE"""),"Walk-Ins")</f>
        <v>Walk-Ins</v>
      </c>
      <c r="V2045" s="124" t="str">
        <f>IFERROR(__xludf.DUMMYFUNCTION("""COMPUTED_VALUE"""),"Walkin")</f>
        <v>Walkin</v>
      </c>
      <c r="W2045" s="124" t="str">
        <f>IFERROR(__xludf.DUMMYFUNCTION("""COMPUTED_VALUE"""),"Delhi")</f>
        <v>Delhi</v>
      </c>
      <c r="X2045" s="124" t="str">
        <f>IFERROR(__xludf.DUMMYFUNCTION("""COMPUTED_VALUE"""),"walkin")</f>
        <v>walkin</v>
      </c>
      <c r="Y2045" s="124" t="str">
        <f>IFERROR(__xludf.DUMMYFUNCTION("""COMPUTED_VALUE"""),"Delhi")</f>
        <v>Delhi</v>
      </c>
      <c r="Z2045" s="124">
        <f>IFERROR(__xludf.DUMMYFUNCTION("""COMPUTED_VALUE"""),2.0)</f>
        <v>2</v>
      </c>
      <c r="AA2045" s="124" t="str">
        <f>IFERROR(__xludf.DUMMYFUNCTION("""COMPUTED_VALUE"""),"Cold")</f>
        <v>Cold</v>
      </c>
      <c r="AB2045" s="124" t="str">
        <f>IFERROR(__xludf.DUMMYFUNCTION("""COMPUTED_VALUE"""),"GS Foundation")</f>
        <v>GS Foundation</v>
      </c>
    </row>
    <row r="2046">
      <c r="A2046" s="129">
        <f>IFERROR(__xludf.DUMMYFUNCTION("""COMPUTED_VALUE"""),46087.0)</f>
        <v>46087</v>
      </c>
      <c r="B2046" s="124" t="str">
        <f>IFERROR(__xludf.DUMMYFUNCTION("""COMPUTED_VALUE"""),"Walkin")</f>
        <v>Walkin</v>
      </c>
      <c r="C2046" s="124" t="str">
        <f>IFERROR(__xludf.DUMMYFUNCTION("""COMPUTED_VALUE"""),"Patna")</f>
        <v>Patna</v>
      </c>
      <c r="D2046" s="124" t="str">
        <f>IFERROR(__xludf.DUMMYFUNCTION("""COMPUTED_VALUE"""),"Primary_Walkin")</f>
        <v>Primary_Walkin</v>
      </c>
      <c r="E2046" s="124">
        <f>IFERROR(__xludf.DUMMYFUNCTION("""COMPUTED_VALUE"""),1.0)</f>
        <v>1</v>
      </c>
      <c r="F2046" s="124" t="str">
        <f>IFERROR(__xludf.DUMMYFUNCTION("""COMPUTED_VALUE"""),"Enrolled")</f>
        <v>Enrolled</v>
      </c>
      <c r="G2046" s="124" t="str">
        <f>IFERROR(__xludf.DUMMYFUNCTION("""COMPUTED_VALUE"""),"State PCS")</f>
        <v>State PCS</v>
      </c>
      <c r="K2046" s="124"/>
      <c r="L2046" s="124"/>
      <c r="M2046" s="124"/>
      <c r="N2046" s="124"/>
      <c r="O2046" s="124"/>
      <c r="T2046" s="126">
        <f>IFERROR(__xludf.DUMMYFUNCTION("""COMPUTED_VALUE"""),46096.0)</f>
        <v>46096</v>
      </c>
      <c r="U2046" s="124" t="str">
        <f>IFERROR(__xludf.DUMMYFUNCTION("""COMPUTED_VALUE"""),"Walk-Ins")</f>
        <v>Walk-Ins</v>
      </c>
      <c r="V2046" s="124" t="str">
        <f>IFERROR(__xludf.DUMMYFUNCTION("""COMPUTED_VALUE"""),"Walkin")</f>
        <v>Walkin</v>
      </c>
      <c r="W2046" s="124" t="str">
        <f>IFERROR(__xludf.DUMMYFUNCTION("""COMPUTED_VALUE"""),"Delhi")</f>
        <v>Delhi</v>
      </c>
      <c r="X2046" s="124" t="str">
        <f>IFERROR(__xludf.DUMMYFUNCTION("""COMPUTED_VALUE"""),"walkin")</f>
        <v>walkin</v>
      </c>
      <c r="Y2046" s="124" t="str">
        <f>IFERROR(__xludf.DUMMYFUNCTION("""COMPUTED_VALUE"""),"Delhi")</f>
        <v>Delhi</v>
      </c>
      <c r="Z2046" s="124">
        <f>IFERROR(__xludf.DUMMYFUNCTION("""COMPUTED_VALUE"""),3.0)</f>
        <v>3</v>
      </c>
      <c r="AA2046" s="124" t="str">
        <f>IFERROR(__xludf.DUMMYFUNCTION("""COMPUTED_VALUE"""),"Warm")</f>
        <v>Warm</v>
      </c>
      <c r="AB2046" s="124" t="str">
        <f>IFERROR(__xludf.DUMMYFUNCTION("""COMPUTED_VALUE"""),"GS Foundation")</f>
        <v>GS Foundation</v>
      </c>
    </row>
    <row r="2047">
      <c r="A2047" s="129">
        <f>IFERROR(__xludf.DUMMYFUNCTION("""COMPUTED_VALUE"""),46090.0)</f>
        <v>46090</v>
      </c>
      <c r="B2047" s="124" t="str">
        <f>IFERROR(__xludf.DUMMYFUNCTION("""COMPUTED_VALUE"""),"Walkin")</f>
        <v>Walkin</v>
      </c>
      <c r="C2047" s="124" t="str">
        <f>IFERROR(__xludf.DUMMYFUNCTION("""COMPUTED_VALUE"""),"Patna")</f>
        <v>Patna</v>
      </c>
      <c r="D2047" s="124" t="str">
        <f>IFERROR(__xludf.DUMMYFUNCTION("""COMPUTED_VALUE"""),"Primary_Walkin")</f>
        <v>Primary_Walkin</v>
      </c>
      <c r="E2047" s="124">
        <f>IFERROR(__xludf.DUMMYFUNCTION("""COMPUTED_VALUE"""),1.0)</f>
        <v>1</v>
      </c>
      <c r="F2047" s="124" t="str">
        <f>IFERROR(__xludf.DUMMYFUNCTION("""COMPUTED_VALUE"""),"Warm")</f>
        <v>Warm</v>
      </c>
      <c r="G2047" s="124" t="str">
        <f>IFERROR(__xludf.DUMMYFUNCTION("""COMPUTED_VALUE"""),"GS Foundation")</f>
        <v>GS Foundation</v>
      </c>
      <c r="K2047" s="124"/>
      <c r="L2047" s="124"/>
      <c r="M2047" s="124"/>
      <c r="N2047" s="124"/>
      <c r="O2047" s="124"/>
      <c r="T2047" s="126">
        <f>IFERROR(__xludf.DUMMYFUNCTION("""COMPUTED_VALUE"""),46058.0)</f>
        <v>46058</v>
      </c>
      <c r="U2047" s="124" t="str">
        <f>IFERROR(__xludf.DUMMYFUNCTION("""COMPUTED_VALUE"""),"Walk-Ins")</f>
        <v>Walk-Ins</v>
      </c>
      <c r="V2047" s="124" t="str">
        <f>IFERROR(__xludf.DUMMYFUNCTION("""COMPUTED_VALUE"""),"Walkin")</f>
        <v>Walkin</v>
      </c>
      <c r="W2047" s="124" t="str">
        <f>IFERROR(__xludf.DUMMYFUNCTION("""COMPUTED_VALUE"""),"Delhi")</f>
        <v>Delhi</v>
      </c>
      <c r="X2047" s="124" t="str">
        <f>IFERROR(__xludf.DUMMYFUNCTION("""COMPUTED_VALUE"""),"walkin")</f>
        <v>walkin</v>
      </c>
      <c r="Y2047" s="124" t="str">
        <f>IFERROR(__xludf.DUMMYFUNCTION("""COMPUTED_VALUE"""),"Delhi")</f>
        <v>Delhi</v>
      </c>
      <c r="Z2047" s="124">
        <f>IFERROR(__xludf.DUMMYFUNCTION("""COMPUTED_VALUE"""),6.0)</f>
        <v>6</v>
      </c>
      <c r="AA2047" s="124" t="str">
        <f>IFERROR(__xludf.DUMMYFUNCTION("""COMPUTED_VALUE"""),"Cold")</f>
        <v>Cold</v>
      </c>
      <c r="AB2047" s="124" t="str">
        <f>IFERROR(__xludf.DUMMYFUNCTION("""COMPUTED_VALUE"""),"GS Foundation")</f>
        <v>GS Foundation</v>
      </c>
    </row>
    <row r="2048">
      <c r="A2048" s="126">
        <f>IFERROR(__xludf.DUMMYFUNCTION("""COMPUTED_VALUE"""),46077.0)</f>
        <v>46077</v>
      </c>
      <c r="B2048" s="124" t="str">
        <f>IFERROR(__xludf.DUMMYFUNCTION("""COMPUTED_VALUE"""),"Walkin")</f>
        <v>Walkin</v>
      </c>
      <c r="C2048" s="124" t="str">
        <f>IFERROR(__xludf.DUMMYFUNCTION("""COMPUTED_VALUE"""),"Patna")</f>
        <v>Patna</v>
      </c>
      <c r="D2048" s="124" t="str">
        <f>IFERROR(__xludf.DUMMYFUNCTION("""COMPUTED_VALUE"""),"Primary_Walkin")</f>
        <v>Primary_Walkin</v>
      </c>
      <c r="E2048" s="124">
        <f>IFERROR(__xludf.DUMMYFUNCTION("""COMPUTED_VALUE"""),1.0)</f>
        <v>1</v>
      </c>
      <c r="F2048" s="124" t="str">
        <f>IFERROR(__xludf.DUMMYFUNCTION("""COMPUTED_VALUE"""),"Cold")</f>
        <v>Cold</v>
      </c>
      <c r="G2048" s="124" t="str">
        <f>IFERROR(__xludf.DUMMYFUNCTION("""COMPUTED_VALUE"""),"State PCS")</f>
        <v>State PCS</v>
      </c>
      <c r="K2048" s="124"/>
      <c r="L2048" s="124"/>
      <c r="M2048" s="124"/>
      <c r="N2048" s="124"/>
      <c r="O2048" s="124"/>
      <c r="T2048" s="126">
        <f>IFERROR(__xludf.DUMMYFUNCTION("""COMPUTED_VALUE"""),46043.0)</f>
        <v>46043</v>
      </c>
      <c r="U2048" s="124" t="str">
        <f>IFERROR(__xludf.DUMMYFUNCTION("""COMPUTED_VALUE"""),"Walk-Ins")</f>
        <v>Walk-Ins</v>
      </c>
      <c r="V2048" s="124" t="str">
        <f>IFERROR(__xludf.DUMMYFUNCTION("""COMPUTED_VALUE"""),"Walkin")</f>
        <v>Walkin</v>
      </c>
      <c r="W2048" s="124" t="str">
        <f>IFERROR(__xludf.DUMMYFUNCTION("""COMPUTED_VALUE"""),"Delhi")</f>
        <v>Delhi</v>
      </c>
      <c r="X2048" s="124" t="str">
        <f>IFERROR(__xludf.DUMMYFUNCTION("""COMPUTED_VALUE"""),"walkin")</f>
        <v>walkin</v>
      </c>
      <c r="Y2048" s="124" t="str">
        <f>IFERROR(__xludf.DUMMYFUNCTION("""COMPUTED_VALUE"""),"Delhi")</f>
        <v>Delhi</v>
      </c>
      <c r="Z2048" s="124">
        <f>IFERROR(__xludf.DUMMYFUNCTION("""COMPUTED_VALUE"""),3.0)</f>
        <v>3</v>
      </c>
      <c r="AA2048" s="124" t="str">
        <f>IFERROR(__xludf.DUMMYFUNCTION("""COMPUTED_VALUE"""),"Not Interested")</f>
        <v>Not Interested</v>
      </c>
      <c r="AB2048" s="124" t="str">
        <f>IFERROR(__xludf.DUMMYFUNCTION("""COMPUTED_VALUE"""),"GS Foundation")</f>
        <v>GS Foundation</v>
      </c>
    </row>
    <row r="2049">
      <c r="A2049" s="126">
        <f>IFERROR(__xludf.DUMMYFUNCTION("""COMPUTED_VALUE"""),46051.0)</f>
        <v>46051</v>
      </c>
      <c r="B2049" s="124" t="str">
        <f>IFERROR(__xludf.DUMMYFUNCTION("""COMPUTED_VALUE"""),"Walkin")</f>
        <v>Walkin</v>
      </c>
      <c r="C2049" s="124" t="str">
        <f>IFERROR(__xludf.DUMMYFUNCTION("""COMPUTED_VALUE"""),"Patna")</f>
        <v>Patna</v>
      </c>
      <c r="D2049" s="124" t="str">
        <f>IFERROR(__xludf.DUMMYFUNCTION("""COMPUTED_VALUE"""),"Primary_Walkin")</f>
        <v>Primary_Walkin</v>
      </c>
      <c r="E2049" s="124">
        <f>IFERROR(__xludf.DUMMYFUNCTION("""COMPUTED_VALUE"""),1.0)</f>
        <v>1</v>
      </c>
      <c r="F2049" s="124" t="str">
        <f>IFERROR(__xludf.DUMMYFUNCTION("""COMPUTED_VALUE"""),"Enrolled")</f>
        <v>Enrolled</v>
      </c>
      <c r="G2049" s="124" t="str">
        <f>IFERROR(__xludf.DUMMYFUNCTION("""COMPUTED_VALUE"""),"GS Foundation")</f>
        <v>GS Foundation</v>
      </c>
      <c r="K2049" s="124"/>
      <c r="L2049" s="124"/>
      <c r="M2049" s="124"/>
      <c r="N2049" s="124"/>
      <c r="O2049" s="124"/>
      <c r="T2049" s="126">
        <f>IFERROR(__xludf.DUMMYFUNCTION("""COMPUTED_VALUE"""),46049.0)</f>
        <v>46049</v>
      </c>
      <c r="U2049" s="124" t="str">
        <f>IFERROR(__xludf.DUMMYFUNCTION("""COMPUTED_VALUE"""),"External Leads")</f>
        <v>External Leads</v>
      </c>
      <c r="V2049" s="124" t="str">
        <f>IFERROR(__xludf.DUMMYFUNCTION("""COMPUTED_VALUE"""),"external leads")</f>
        <v>external leads</v>
      </c>
      <c r="W2049" s="124" t="str">
        <f>IFERROR(__xludf.DUMMYFUNCTION("""COMPUTED_VALUE"""),"patna")</f>
        <v>patna</v>
      </c>
      <c r="X2049" s="124" t="str">
        <f>IFERROR(__xludf.DUMMYFUNCTION("""COMPUTED_VALUE"""),"piyushunacademy")</f>
        <v>piyushunacademy</v>
      </c>
      <c r="Y2049" s="124" t="str">
        <f>IFERROR(__xludf.DUMMYFUNCTION("""COMPUTED_VALUE"""),"Patna")</f>
        <v>Patna</v>
      </c>
      <c r="Z2049" s="124">
        <f>IFERROR(__xludf.DUMMYFUNCTION("""COMPUTED_VALUE"""),1.0)</f>
        <v>1</v>
      </c>
      <c r="AA2049" s="124" t="str">
        <f>IFERROR(__xludf.DUMMYFUNCTION("""COMPUTED_VALUE"""),"Enrolled")</f>
        <v>Enrolled</v>
      </c>
      <c r="AB2049" s="124" t="str">
        <f>IFERROR(__xludf.DUMMYFUNCTION("""COMPUTED_VALUE"""),"GS Foundation")</f>
        <v>GS Foundation</v>
      </c>
    </row>
    <row r="2050">
      <c r="A2050" s="126">
        <f>IFERROR(__xludf.DUMMYFUNCTION("""COMPUTED_VALUE"""),46102.0)</f>
        <v>46102</v>
      </c>
      <c r="B2050" s="124" t="str">
        <f>IFERROR(__xludf.DUMMYFUNCTION("""COMPUTED_VALUE"""),"Walkin")</f>
        <v>Walkin</v>
      </c>
      <c r="C2050" s="124" t="str">
        <f>IFERROR(__xludf.DUMMYFUNCTION("""COMPUTED_VALUE"""),"Patna")</f>
        <v>Patna</v>
      </c>
      <c r="D2050" s="124" t="str">
        <f>IFERROR(__xludf.DUMMYFUNCTION("""COMPUTED_VALUE"""),"Primary_Walkin")</f>
        <v>Primary_Walkin</v>
      </c>
      <c r="E2050" s="124">
        <f>IFERROR(__xludf.DUMMYFUNCTION("""COMPUTED_VALUE"""),1.0)</f>
        <v>1</v>
      </c>
      <c r="F2050" s="124" t="str">
        <f>IFERROR(__xludf.DUMMYFUNCTION("""COMPUTED_VALUE"""),"Cold")</f>
        <v>Cold</v>
      </c>
      <c r="G2050" s="124" t="str">
        <f>IFERROR(__xludf.DUMMYFUNCTION("""COMPUTED_VALUE"""),"State PCS")</f>
        <v>State PCS</v>
      </c>
      <c r="K2050" s="124"/>
      <c r="L2050" s="124"/>
      <c r="M2050" s="124"/>
      <c r="N2050" s="124"/>
      <c r="O2050" s="124"/>
      <c r="T2050" s="129">
        <f>IFERROR(__xludf.DUMMYFUNCTION("""COMPUTED_VALUE"""),46052.0)</f>
        <v>46052</v>
      </c>
      <c r="U2050" s="124" t="str">
        <f>IFERROR(__xludf.DUMMYFUNCTION("""COMPUTED_VALUE"""),"External Leads")</f>
        <v>External Leads</v>
      </c>
      <c r="V2050" s="124" t="str">
        <f>IFERROR(__xludf.DUMMYFUNCTION("""COMPUTED_VALUE"""),"direct")</f>
        <v>direct</v>
      </c>
      <c r="W2050" s="124" t="str">
        <f>IFERROR(__xludf.DUMMYFUNCTION("""COMPUTED_VALUE"""),"direct")</f>
        <v>direct</v>
      </c>
      <c r="X2050" s="124" t="str">
        <f>IFERROR(__xludf.DUMMYFUNCTION("""COMPUTED_VALUE"""),"direct")</f>
        <v>direct</v>
      </c>
      <c r="Y2050" s="124"/>
      <c r="Z2050" s="124">
        <f>IFERROR(__xludf.DUMMYFUNCTION("""COMPUTED_VALUE"""),3.0)</f>
        <v>3</v>
      </c>
      <c r="AA2050" s="124" t="str">
        <f>IFERROR(__xludf.DUMMYFUNCTION("""COMPUTED_VALUE"""),"Cold")</f>
        <v>Cold</v>
      </c>
      <c r="AB2050" s="124"/>
    </row>
    <row r="2051">
      <c r="A2051" s="129">
        <f>IFERROR(__xludf.DUMMYFUNCTION("""COMPUTED_VALUE"""),46089.0)</f>
        <v>46089</v>
      </c>
      <c r="B2051" s="124" t="str">
        <f>IFERROR(__xludf.DUMMYFUNCTION("""COMPUTED_VALUE"""),"Walkin")</f>
        <v>Walkin</v>
      </c>
      <c r="C2051" s="124" t="str">
        <f>IFERROR(__xludf.DUMMYFUNCTION("""COMPUTED_VALUE"""),"Patna")</f>
        <v>Patna</v>
      </c>
      <c r="D2051" s="124" t="str">
        <f>IFERROR(__xludf.DUMMYFUNCTION("""COMPUTED_VALUE"""),"Primary_Walkin")</f>
        <v>Primary_Walkin</v>
      </c>
      <c r="E2051" s="124">
        <f>IFERROR(__xludf.DUMMYFUNCTION("""COMPUTED_VALUE"""),1.0)</f>
        <v>1</v>
      </c>
      <c r="F2051" s="124" t="str">
        <f>IFERROR(__xludf.DUMMYFUNCTION("""COMPUTED_VALUE"""),"Cold")</f>
        <v>Cold</v>
      </c>
      <c r="G2051" s="124" t="str">
        <f>IFERROR(__xludf.DUMMYFUNCTION("""COMPUTED_VALUE"""),"GS Foundation")</f>
        <v>GS Foundation</v>
      </c>
      <c r="K2051" s="124"/>
      <c r="L2051" s="124"/>
      <c r="M2051" s="124"/>
      <c r="N2051" s="124"/>
      <c r="O2051" s="124"/>
      <c r="T2051" s="126">
        <f>IFERROR(__xludf.DUMMYFUNCTION("""COMPUTED_VALUE"""),46065.0)</f>
        <v>46065</v>
      </c>
      <c r="U2051" s="124" t="str">
        <f>IFERROR(__xludf.DUMMYFUNCTION("""COMPUTED_VALUE"""),"Walk-Ins")</f>
        <v>Walk-Ins</v>
      </c>
      <c r="V2051" s="124" t="str">
        <f>IFERROR(__xludf.DUMMYFUNCTION("""COMPUTED_VALUE"""),"Walkin")</f>
        <v>Walkin</v>
      </c>
      <c r="W2051" s="124" t="str">
        <f>IFERROR(__xludf.DUMMYFUNCTION("""COMPUTED_VALUE"""),"Delhi")</f>
        <v>Delhi</v>
      </c>
      <c r="X2051" s="124" t="str">
        <f>IFERROR(__xludf.DUMMYFUNCTION("""COMPUTED_VALUE"""),"walkin")</f>
        <v>walkin</v>
      </c>
      <c r="Y2051" s="124" t="str">
        <f>IFERROR(__xludf.DUMMYFUNCTION("""COMPUTED_VALUE"""),"Delhi")</f>
        <v>Delhi</v>
      </c>
      <c r="Z2051" s="124">
        <f>IFERROR(__xludf.DUMMYFUNCTION("""COMPUTED_VALUE"""),2.0)</f>
        <v>2</v>
      </c>
      <c r="AA2051" s="124" t="str">
        <f>IFERROR(__xludf.DUMMYFUNCTION("""COMPUTED_VALUE"""),"Enrolled")</f>
        <v>Enrolled</v>
      </c>
      <c r="AB2051" s="124" t="str">
        <f>IFERROR(__xludf.DUMMYFUNCTION("""COMPUTED_VALUE"""),"Optionals")</f>
        <v>Optionals</v>
      </c>
    </row>
    <row r="2052">
      <c r="A2052" s="126">
        <f>IFERROR(__xludf.DUMMYFUNCTION("""COMPUTED_VALUE"""),46075.0)</f>
        <v>46075</v>
      </c>
      <c r="B2052" s="124" t="str">
        <f>IFERROR(__xludf.DUMMYFUNCTION("""COMPUTED_VALUE"""),"external leads")</f>
        <v>external leads</v>
      </c>
      <c r="C2052" s="124" t="str">
        <f>IFERROR(__xludf.DUMMYFUNCTION("""COMPUTED_VALUE"""),"Patna")</f>
        <v>Patna</v>
      </c>
      <c r="D2052" s="124" t="str">
        <f>IFERROR(__xludf.DUMMYFUNCTION("""COMPUTED_VALUE"""),"Secondary_Walkin")</f>
        <v>Secondary_Walkin</v>
      </c>
      <c r="E2052" s="124">
        <f>IFERROR(__xludf.DUMMYFUNCTION("""COMPUTED_VALUE"""),1.0)</f>
        <v>1</v>
      </c>
      <c r="F2052" s="124" t="str">
        <f>IFERROR(__xludf.DUMMYFUNCTION("""COMPUTED_VALUE"""),"Cold")</f>
        <v>Cold</v>
      </c>
      <c r="G2052" s="124" t="str">
        <f>IFERROR(__xludf.DUMMYFUNCTION("""COMPUTED_VALUE"""),"Other")</f>
        <v>Other</v>
      </c>
      <c r="K2052" s="124"/>
      <c r="L2052" s="124"/>
      <c r="M2052" s="124"/>
      <c r="N2052" s="124"/>
      <c r="O2052" s="124"/>
      <c r="T2052" s="126">
        <f>IFERROR(__xludf.DUMMYFUNCTION("""COMPUTED_VALUE"""),46086.0)</f>
        <v>46086</v>
      </c>
      <c r="U2052" s="124" t="str">
        <f>IFERROR(__xludf.DUMMYFUNCTION("""COMPUTED_VALUE"""),"Walk-Ins")</f>
        <v>Walk-Ins</v>
      </c>
      <c r="V2052" s="124" t="str">
        <f>IFERROR(__xludf.DUMMYFUNCTION("""COMPUTED_VALUE"""),"Walkin")</f>
        <v>Walkin</v>
      </c>
      <c r="W2052" s="124" t="str">
        <f>IFERROR(__xludf.DUMMYFUNCTION("""COMPUTED_VALUE"""),"Delhi")</f>
        <v>Delhi</v>
      </c>
      <c r="X2052" s="124" t="str">
        <f>IFERROR(__xludf.DUMMYFUNCTION("""COMPUTED_VALUE"""),"walkin")</f>
        <v>walkin</v>
      </c>
      <c r="Y2052" s="124" t="str">
        <f>IFERROR(__xludf.DUMMYFUNCTION("""COMPUTED_VALUE"""),"Delhi")</f>
        <v>Delhi</v>
      </c>
      <c r="Z2052" s="124">
        <f>IFERROR(__xludf.DUMMYFUNCTION("""COMPUTED_VALUE"""),5.0)</f>
        <v>5</v>
      </c>
      <c r="AA2052" s="124" t="str">
        <f>IFERROR(__xludf.DUMMYFUNCTION("""COMPUTED_VALUE"""),"Cold")</f>
        <v>Cold</v>
      </c>
      <c r="AB2052" s="124" t="str">
        <f>IFERROR(__xludf.DUMMYFUNCTION("""COMPUTED_VALUE"""),"GS Foundation")</f>
        <v>GS Foundation</v>
      </c>
    </row>
    <row r="2053">
      <c r="A2053" s="129">
        <f>IFERROR(__xludf.DUMMYFUNCTION("""COMPUTED_VALUE"""),46088.0)</f>
        <v>46088</v>
      </c>
      <c r="B2053" s="124" t="str">
        <f>IFERROR(__xludf.DUMMYFUNCTION("""COMPUTED_VALUE"""),"Walkin")</f>
        <v>Walkin</v>
      </c>
      <c r="C2053" s="124" t="str">
        <f>IFERROR(__xludf.DUMMYFUNCTION("""COMPUTED_VALUE"""),"Patna")</f>
        <v>Patna</v>
      </c>
      <c r="D2053" s="124" t="str">
        <f>IFERROR(__xludf.DUMMYFUNCTION("""COMPUTED_VALUE"""),"Primary_Walkin")</f>
        <v>Primary_Walkin</v>
      </c>
      <c r="E2053" s="124">
        <f>IFERROR(__xludf.DUMMYFUNCTION("""COMPUTED_VALUE"""),1.0)</f>
        <v>1</v>
      </c>
      <c r="F2053" s="124" t="str">
        <f>IFERROR(__xludf.DUMMYFUNCTION("""COMPUTED_VALUE"""),"Not Interested")</f>
        <v>Not Interested</v>
      </c>
      <c r="G2053" s="124" t="str">
        <f>IFERROR(__xludf.DUMMYFUNCTION("""COMPUTED_VALUE"""),"State PCS")</f>
        <v>State PCS</v>
      </c>
      <c r="K2053" s="124"/>
      <c r="L2053" s="124"/>
      <c r="M2053" s="124"/>
      <c r="N2053" s="124"/>
      <c r="O2053" s="124"/>
      <c r="T2053" s="126">
        <f>IFERROR(__xludf.DUMMYFUNCTION("""COMPUTED_VALUE"""),46046.0)</f>
        <v>46046</v>
      </c>
      <c r="U2053" s="124" t="str">
        <f>IFERROR(__xludf.DUMMYFUNCTION("""COMPUTED_VALUE"""),"Walk-Ins")</f>
        <v>Walk-Ins</v>
      </c>
      <c r="V2053" s="124" t="str">
        <f>IFERROR(__xludf.DUMMYFUNCTION("""COMPUTED_VALUE"""),"Walkin")</f>
        <v>Walkin</v>
      </c>
      <c r="W2053" s="124" t="str">
        <f>IFERROR(__xludf.DUMMYFUNCTION("""COMPUTED_VALUE"""),"Delhi")</f>
        <v>Delhi</v>
      </c>
      <c r="X2053" s="124" t="str">
        <f>IFERROR(__xludf.DUMMYFUNCTION("""COMPUTED_VALUE"""),"walkin")</f>
        <v>walkin</v>
      </c>
      <c r="Y2053" s="124" t="str">
        <f>IFERROR(__xludf.DUMMYFUNCTION("""COMPUTED_VALUE"""),"Delhi")</f>
        <v>Delhi</v>
      </c>
      <c r="Z2053" s="124">
        <f>IFERROR(__xludf.DUMMYFUNCTION("""COMPUTED_VALUE"""),2.0)</f>
        <v>2</v>
      </c>
      <c r="AA2053" s="124" t="str">
        <f>IFERROR(__xludf.DUMMYFUNCTION("""COMPUTED_VALUE"""),"Fake Lead")</f>
        <v>Fake Lead</v>
      </c>
      <c r="AB2053" s="124" t="str">
        <f>IFERROR(__xludf.DUMMYFUNCTION("""COMPUTED_VALUE"""),"GS Foundation")</f>
        <v>GS Foundation</v>
      </c>
    </row>
    <row r="2054">
      <c r="A2054" s="126">
        <f>IFERROR(__xludf.DUMMYFUNCTION("""COMPUTED_VALUE"""),46078.0)</f>
        <v>46078</v>
      </c>
      <c r="B2054" s="124" t="str">
        <f>IFERROR(__xludf.DUMMYFUNCTION("""COMPUTED_VALUE"""),"Walk-In")</f>
        <v>Walk-In</v>
      </c>
      <c r="C2054" s="124" t="str">
        <f>IFERROR(__xludf.DUMMYFUNCTION("""COMPUTED_VALUE"""),"Patna")</f>
        <v>Patna</v>
      </c>
      <c r="D2054" s="124" t="str">
        <f>IFERROR(__xludf.DUMMYFUNCTION("""COMPUTED_VALUE"""),"Primary_Walkin")</f>
        <v>Primary_Walkin</v>
      </c>
      <c r="E2054" s="124">
        <f>IFERROR(__xludf.DUMMYFUNCTION("""COMPUTED_VALUE"""),1.0)</f>
        <v>1</v>
      </c>
      <c r="F2054" s="124" t="str">
        <f>IFERROR(__xludf.DUMMYFUNCTION("""COMPUTED_VALUE"""),"Cold")</f>
        <v>Cold</v>
      </c>
      <c r="G2054" s="124" t="str">
        <f>IFERROR(__xludf.DUMMYFUNCTION("""COMPUTED_VALUE"""),"GS Foundation")</f>
        <v>GS Foundation</v>
      </c>
      <c r="K2054" s="124"/>
      <c r="L2054" s="124"/>
      <c r="M2054" s="124"/>
      <c r="N2054" s="124"/>
      <c r="O2054" s="124"/>
      <c r="T2054" s="129">
        <f>IFERROR(__xludf.DUMMYFUNCTION("""COMPUTED_VALUE"""),46107.0)</f>
        <v>46107</v>
      </c>
      <c r="U2054" s="124" t="str">
        <f>IFERROR(__xludf.DUMMYFUNCTION("""COMPUTED_VALUE"""),"Walk-Ins")</f>
        <v>Walk-Ins</v>
      </c>
      <c r="V2054" s="124" t="str">
        <f>IFERROR(__xludf.DUMMYFUNCTION("""COMPUTED_VALUE"""),"Walkin")</f>
        <v>Walkin</v>
      </c>
      <c r="W2054" s="124" t="str">
        <f>IFERROR(__xludf.DUMMYFUNCTION("""COMPUTED_VALUE"""),"Delhi")</f>
        <v>Delhi</v>
      </c>
      <c r="X2054" s="124" t="str">
        <f>IFERROR(__xludf.DUMMYFUNCTION("""COMPUTED_VALUE"""),"walkin")</f>
        <v>walkin</v>
      </c>
      <c r="Y2054" s="124" t="str">
        <f>IFERROR(__xludf.DUMMYFUNCTION("""COMPUTED_VALUE"""),"Delhi")</f>
        <v>Delhi</v>
      </c>
      <c r="Z2054" s="124">
        <f>IFERROR(__xludf.DUMMYFUNCTION("""COMPUTED_VALUE"""),2.0)</f>
        <v>2</v>
      </c>
      <c r="AA2054" s="124" t="str">
        <f>IFERROR(__xludf.DUMMYFUNCTION("""COMPUTED_VALUE"""),"Warm")</f>
        <v>Warm</v>
      </c>
      <c r="AB2054" s="124" t="str">
        <f>IFERROR(__xludf.DUMMYFUNCTION("""COMPUTED_VALUE"""),"GS Foundation")</f>
        <v>GS Foundation</v>
      </c>
    </row>
    <row r="2055">
      <c r="A2055" s="129">
        <f>IFERROR(__xludf.DUMMYFUNCTION("""COMPUTED_VALUE"""),46057.0)</f>
        <v>46057</v>
      </c>
      <c r="B2055" s="124" t="str">
        <f>IFERROR(__xludf.DUMMYFUNCTION("""COMPUTED_VALUE"""),"Walk-In")</f>
        <v>Walk-In</v>
      </c>
      <c r="C2055" s="124"/>
      <c r="D2055" s="124" t="str">
        <f>IFERROR(__xludf.DUMMYFUNCTION("""COMPUTED_VALUE"""),"Primary_Walkin")</f>
        <v>Primary_Walkin</v>
      </c>
      <c r="E2055" s="124">
        <f>IFERROR(__xludf.DUMMYFUNCTION("""COMPUTED_VALUE"""),1.0)</f>
        <v>1</v>
      </c>
      <c r="F2055" s="124" t="str">
        <f>IFERROR(__xludf.DUMMYFUNCTION("""COMPUTED_VALUE"""),"Warm")</f>
        <v>Warm</v>
      </c>
      <c r="G2055" s="124" t="str">
        <f>IFERROR(__xludf.DUMMYFUNCTION("""COMPUTED_VALUE"""),"GS Foundation")</f>
        <v>GS Foundation</v>
      </c>
      <c r="K2055" s="124"/>
      <c r="L2055" s="124"/>
      <c r="M2055" s="124"/>
      <c r="N2055" s="124"/>
      <c r="O2055" s="124"/>
      <c r="T2055" s="126">
        <f>IFERROR(__xludf.DUMMYFUNCTION("""COMPUTED_VALUE"""),46088.0)</f>
        <v>46088</v>
      </c>
      <c r="U2055" s="124" t="str">
        <f>IFERROR(__xludf.DUMMYFUNCTION("""COMPUTED_VALUE"""),"Walk-Ins")</f>
        <v>Walk-Ins</v>
      </c>
      <c r="V2055" s="124" t="str">
        <f>IFERROR(__xludf.DUMMYFUNCTION("""COMPUTED_VALUE"""),"Walkin")</f>
        <v>Walkin</v>
      </c>
      <c r="W2055" s="124" t="str">
        <f>IFERROR(__xludf.DUMMYFUNCTION("""COMPUTED_VALUE"""),"Delhi")</f>
        <v>Delhi</v>
      </c>
      <c r="X2055" s="124" t="str">
        <f>IFERROR(__xludf.DUMMYFUNCTION("""COMPUTED_VALUE"""),"walkin")</f>
        <v>walkin</v>
      </c>
      <c r="Y2055" s="124" t="str">
        <f>IFERROR(__xludf.DUMMYFUNCTION("""COMPUTED_VALUE"""),"Delhi")</f>
        <v>Delhi</v>
      </c>
      <c r="Z2055" s="124">
        <f>IFERROR(__xludf.DUMMYFUNCTION("""COMPUTED_VALUE"""),1.0)</f>
        <v>1</v>
      </c>
      <c r="AA2055" s="124" t="str">
        <f>IFERROR(__xludf.DUMMYFUNCTION("""COMPUTED_VALUE"""),"Warm")</f>
        <v>Warm</v>
      </c>
      <c r="AB2055" s="124" t="str">
        <f>IFERROR(__xludf.DUMMYFUNCTION("""COMPUTED_VALUE"""),"GS Foundation")</f>
        <v>GS Foundation</v>
      </c>
    </row>
    <row r="2056">
      <c r="A2056" s="126">
        <f>IFERROR(__xludf.DUMMYFUNCTION("""COMPUTED_VALUE"""),46096.0)</f>
        <v>46096</v>
      </c>
      <c r="B2056" s="124" t="str">
        <f>IFERROR(__xludf.DUMMYFUNCTION("""COMPUTED_VALUE"""),"Walk-In")</f>
        <v>Walk-In</v>
      </c>
      <c r="C2056" s="124"/>
      <c r="D2056" s="124" t="str">
        <f>IFERROR(__xludf.DUMMYFUNCTION("""COMPUTED_VALUE"""),"Primary_Walkin")</f>
        <v>Primary_Walkin</v>
      </c>
      <c r="E2056" s="124">
        <f>IFERROR(__xludf.DUMMYFUNCTION("""COMPUTED_VALUE"""),1.0)</f>
        <v>1</v>
      </c>
      <c r="F2056" s="124" t="str">
        <f>IFERROR(__xludf.DUMMYFUNCTION("""COMPUTED_VALUE"""),"Warm")</f>
        <v>Warm</v>
      </c>
      <c r="G2056" s="124" t="str">
        <f>IFERROR(__xludf.DUMMYFUNCTION("""COMPUTED_VALUE"""),"GS Foundation")</f>
        <v>GS Foundation</v>
      </c>
      <c r="K2056" s="124"/>
      <c r="L2056" s="124"/>
      <c r="M2056" s="124"/>
      <c r="N2056" s="124"/>
      <c r="O2056" s="124"/>
      <c r="T2056" s="126">
        <f>IFERROR(__xludf.DUMMYFUNCTION("""COMPUTED_VALUE"""),46045.0)</f>
        <v>46045</v>
      </c>
      <c r="U2056" s="124" t="str">
        <f>IFERROR(__xludf.DUMMYFUNCTION("""COMPUTED_VALUE"""),"Walk-Ins")</f>
        <v>Walk-Ins</v>
      </c>
      <c r="V2056" s="124" t="str">
        <f>IFERROR(__xludf.DUMMYFUNCTION("""COMPUTED_VALUE"""),"Walkin")</f>
        <v>Walkin</v>
      </c>
      <c r="W2056" s="124" t="str">
        <f>IFERROR(__xludf.DUMMYFUNCTION("""COMPUTED_VALUE"""),"Delhi")</f>
        <v>Delhi</v>
      </c>
      <c r="X2056" s="124" t="str">
        <f>IFERROR(__xludf.DUMMYFUNCTION("""COMPUTED_VALUE"""),"walkin")</f>
        <v>walkin</v>
      </c>
      <c r="Y2056" s="124" t="str">
        <f>IFERROR(__xludf.DUMMYFUNCTION("""COMPUTED_VALUE"""),"Delhi")</f>
        <v>Delhi</v>
      </c>
      <c r="Z2056" s="124">
        <f>IFERROR(__xludf.DUMMYFUNCTION("""COMPUTED_VALUE"""),2.0)</f>
        <v>2</v>
      </c>
      <c r="AA2056" s="124" t="str">
        <f>IFERROR(__xludf.DUMMYFUNCTION("""COMPUTED_VALUE"""),"Future Prospects")</f>
        <v>Future Prospects</v>
      </c>
      <c r="AB2056" s="124" t="str">
        <f>IFERROR(__xludf.DUMMYFUNCTION("""COMPUTED_VALUE"""),"GS Foundation")</f>
        <v>GS Foundation</v>
      </c>
    </row>
    <row r="2057">
      <c r="A2057" s="126">
        <f>IFERROR(__xludf.DUMMYFUNCTION("""COMPUTED_VALUE"""),46049.0)</f>
        <v>46049</v>
      </c>
      <c r="B2057" s="124" t="str">
        <f>IFERROR(__xludf.DUMMYFUNCTION("""COMPUTED_VALUE"""),"Walk-In")</f>
        <v>Walk-In</v>
      </c>
      <c r="C2057" s="124"/>
      <c r="D2057" s="124" t="str">
        <f>IFERROR(__xludf.DUMMYFUNCTION("""COMPUTED_VALUE"""),"Primary_Walkin")</f>
        <v>Primary_Walkin</v>
      </c>
      <c r="E2057" s="124">
        <f>IFERROR(__xludf.DUMMYFUNCTION("""COMPUTED_VALUE"""),1.0)</f>
        <v>1</v>
      </c>
      <c r="F2057" s="124" t="str">
        <f>IFERROR(__xludf.DUMMYFUNCTION("""COMPUTED_VALUE"""),"Fake Lead")</f>
        <v>Fake Lead</v>
      </c>
      <c r="G2057" s="124" t="str">
        <f>IFERROR(__xludf.DUMMYFUNCTION("""COMPUTED_VALUE"""),"GS Foundation")</f>
        <v>GS Foundation</v>
      </c>
      <c r="K2057" s="124"/>
      <c r="L2057" s="124"/>
      <c r="M2057" s="124"/>
      <c r="N2057" s="124"/>
      <c r="O2057" s="124"/>
      <c r="T2057" s="126">
        <f>IFERROR(__xludf.DUMMYFUNCTION("""COMPUTED_VALUE"""),46087.0)</f>
        <v>46087</v>
      </c>
      <c r="U2057" s="124" t="str">
        <f>IFERROR(__xludf.DUMMYFUNCTION("""COMPUTED_VALUE"""),"Walk-Ins")</f>
        <v>Walk-Ins</v>
      </c>
      <c r="V2057" s="124" t="str">
        <f>IFERROR(__xludf.DUMMYFUNCTION("""COMPUTED_VALUE"""),"Walkin")</f>
        <v>Walkin</v>
      </c>
      <c r="W2057" s="124" t="str">
        <f>IFERROR(__xludf.DUMMYFUNCTION("""COMPUTED_VALUE"""),"Delhi")</f>
        <v>Delhi</v>
      </c>
      <c r="X2057" s="124" t="str">
        <f>IFERROR(__xludf.DUMMYFUNCTION("""COMPUTED_VALUE"""),"walkin")</f>
        <v>walkin</v>
      </c>
      <c r="Y2057" s="124" t="str">
        <f>IFERROR(__xludf.DUMMYFUNCTION("""COMPUTED_VALUE"""),"Delhi")</f>
        <v>Delhi</v>
      </c>
      <c r="Z2057" s="124">
        <f>IFERROR(__xludf.DUMMYFUNCTION("""COMPUTED_VALUE"""),4.0)</f>
        <v>4</v>
      </c>
      <c r="AA2057" s="124" t="str">
        <f>IFERROR(__xludf.DUMMYFUNCTION("""COMPUTED_VALUE"""),"Future Prospects")</f>
        <v>Future Prospects</v>
      </c>
      <c r="AB2057" s="124" t="str">
        <f>IFERROR(__xludf.DUMMYFUNCTION("""COMPUTED_VALUE"""),"GS Foundation")</f>
        <v>GS Foundation</v>
      </c>
    </row>
    <row r="2058">
      <c r="A2058" s="126">
        <f>IFERROR(__xludf.DUMMYFUNCTION("""COMPUTED_VALUE"""),46047.0)</f>
        <v>46047</v>
      </c>
      <c r="B2058" s="124" t="str">
        <f>IFERROR(__xludf.DUMMYFUNCTION("""COMPUTED_VALUE"""),"Walk-In")</f>
        <v>Walk-In</v>
      </c>
      <c r="C2058" s="124"/>
      <c r="D2058" s="124" t="str">
        <f>IFERROR(__xludf.DUMMYFUNCTION("""COMPUTED_VALUE"""),"Primary_Walkin")</f>
        <v>Primary_Walkin</v>
      </c>
      <c r="E2058" s="124">
        <f>IFERROR(__xludf.DUMMYFUNCTION("""COMPUTED_VALUE"""),1.0)</f>
        <v>1</v>
      </c>
      <c r="F2058" s="124" t="str">
        <f>IFERROR(__xludf.DUMMYFUNCTION("""COMPUTED_VALUE"""),"Future Prospects")</f>
        <v>Future Prospects</v>
      </c>
      <c r="G2058" s="124" t="str">
        <f>IFERROR(__xludf.DUMMYFUNCTION("""COMPUTED_VALUE"""),"Mentorship")</f>
        <v>Mentorship</v>
      </c>
      <c r="K2058" s="124"/>
      <c r="L2058" s="124"/>
      <c r="M2058" s="124"/>
      <c r="N2058" s="124"/>
      <c r="O2058" s="124"/>
      <c r="T2058" s="126">
        <f>IFERROR(__xludf.DUMMYFUNCTION("""COMPUTED_VALUE"""),46070.0)</f>
        <v>46070</v>
      </c>
      <c r="U2058" s="124" t="str">
        <f>IFERROR(__xludf.DUMMYFUNCTION("""COMPUTED_VALUE"""),"Walk-Ins")</f>
        <v>Walk-Ins</v>
      </c>
      <c r="V2058" s="124" t="str">
        <f>IFERROR(__xludf.DUMMYFUNCTION("""COMPUTED_VALUE"""),"Walkin")</f>
        <v>Walkin</v>
      </c>
      <c r="W2058" s="124" t="str">
        <f>IFERROR(__xludf.DUMMYFUNCTION("""COMPUTED_VALUE"""),"Delhi")</f>
        <v>Delhi</v>
      </c>
      <c r="X2058" s="124" t="str">
        <f>IFERROR(__xludf.DUMMYFUNCTION("""COMPUTED_VALUE"""),"walkin")</f>
        <v>walkin</v>
      </c>
      <c r="Y2058" s="124" t="str">
        <f>IFERROR(__xludf.DUMMYFUNCTION("""COMPUTED_VALUE"""),"Delhi")</f>
        <v>Delhi</v>
      </c>
      <c r="Z2058" s="124">
        <f>IFERROR(__xludf.DUMMYFUNCTION("""COMPUTED_VALUE"""),3.0)</f>
        <v>3</v>
      </c>
      <c r="AA2058" s="124" t="str">
        <f>IFERROR(__xludf.DUMMYFUNCTION("""COMPUTED_VALUE"""),"Enrolled")</f>
        <v>Enrolled</v>
      </c>
      <c r="AB2058" s="124" t="str">
        <f>IFERROR(__xludf.DUMMYFUNCTION("""COMPUTED_VALUE"""),"GS Foundation")</f>
        <v>GS Foundation</v>
      </c>
    </row>
    <row r="2059">
      <c r="A2059" s="129">
        <f>IFERROR(__xludf.DUMMYFUNCTION("""COMPUTED_VALUE"""),46055.0)</f>
        <v>46055</v>
      </c>
      <c r="B2059" s="124" t="str">
        <f>IFERROR(__xludf.DUMMYFUNCTION("""COMPUTED_VALUE"""),"Walkin")</f>
        <v>Walkin</v>
      </c>
      <c r="C2059" s="124" t="str">
        <f>IFERROR(__xludf.DUMMYFUNCTION("""COMPUTED_VALUE"""),"Prayagraj")</f>
        <v>Prayagraj</v>
      </c>
      <c r="D2059" s="124" t="str">
        <f>IFERROR(__xludf.DUMMYFUNCTION("""COMPUTED_VALUE"""),"Primary_Walkin")</f>
        <v>Primary_Walkin</v>
      </c>
      <c r="E2059" s="124">
        <f>IFERROR(__xludf.DUMMYFUNCTION("""COMPUTED_VALUE"""),1.0)</f>
        <v>1</v>
      </c>
      <c r="F2059" s="124" t="str">
        <f>IFERROR(__xludf.DUMMYFUNCTION("""COMPUTED_VALUE"""),"Enrolled")</f>
        <v>Enrolled</v>
      </c>
      <c r="G2059" s="124" t="str">
        <f>IFERROR(__xludf.DUMMYFUNCTION("""COMPUTED_VALUE"""),"GS Foundation")</f>
        <v>GS Foundation</v>
      </c>
      <c r="K2059" s="124"/>
      <c r="L2059" s="124"/>
      <c r="M2059" s="124"/>
      <c r="N2059" s="124"/>
      <c r="O2059" s="124"/>
      <c r="T2059" s="129">
        <f>IFERROR(__xludf.DUMMYFUNCTION("""COMPUTED_VALUE"""),46049.0)</f>
        <v>46049</v>
      </c>
      <c r="U2059" s="124" t="str">
        <f>IFERROR(__xludf.DUMMYFUNCTION("""COMPUTED_VALUE"""),"External Leads")</f>
        <v>External Leads</v>
      </c>
      <c r="V2059" s="124" t="str">
        <f>IFERROR(__xludf.DUMMYFUNCTION("""COMPUTED_VALUE"""),"external leads")</f>
        <v>external leads</v>
      </c>
      <c r="W2059" s="124" t="str">
        <f>IFERROR(__xludf.DUMMYFUNCTION("""COMPUTED_VALUE"""),"patna")</f>
        <v>patna</v>
      </c>
      <c r="X2059" s="124" t="str">
        <f>IFERROR(__xludf.DUMMYFUNCTION("""COMPUTED_VALUE"""),"piyushunacademy")</f>
        <v>piyushunacademy</v>
      </c>
      <c r="Y2059" s="124" t="str">
        <f>IFERROR(__xludf.DUMMYFUNCTION("""COMPUTED_VALUE"""),"Delhi")</f>
        <v>Delhi</v>
      </c>
      <c r="Z2059" s="124">
        <f>IFERROR(__xludf.DUMMYFUNCTION("""COMPUTED_VALUE"""),1.0)</f>
        <v>1</v>
      </c>
      <c r="AA2059" s="124" t="str">
        <f>IFERROR(__xludf.DUMMYFUNCTION("""COMPUTED_VALUE"""),"Enrolled")</f>
        <v>Enrolled</v>
      </c>
      <c r="AB2059" s="124" t="str">
        <f>IFERROR(__xludf.DUMMYFUNCTION("""COMPUTED_VALUE"""),"GS Foundation")</f>
        <v>GS Foundation</v>
      </c>
    </row>
    <row r="2060">
      <c r="A2060" s="126">
        <f>IFERROR(__xludf.DUMMYFUNCTION("""COMPUTED_VALUE"""),46094.0)</f>
        <v>46094</v>
      </c>
      <c r="B2060" s="124" t="str">
        <f>IFERROR(__xludf.DUMMYFUNCTION("""COMPUTED_VALUE"""),"Walkin")</f>
        <v>Walkin</v>
      </c>
      <c r="C2060" s="124" t="str">
        <f>IFERROR(__xludf.DUMMYFUNCTION("""COMPUTED_VALUE"""),"Prayagraj")</f>
        <v>Prayagraj</v>
      </c>
      <c r="D2060" s="124" t="str">
        <f>IFERROR(__xludf.DUMMYFUNCTION("""COMPUTED_VALUE"""),"Primary_Walkin")</f>
        <v>Primary_Walkin</v>
      </c>
      <c r="E2060" s="124">
        <f>IFERROR(__xludf.DUMMYFUNCTION("""COMPUTED_VALUE"""),1.0)</f>
        <v>1</v>
      </c>
      <c r="F2060" s="124" t="str">
        <f>IFERROR(__xludf.DUMMYFUNCTION("""COMPUTED_VALUE"""),"Cold")</f>
        <v>Cold</v>
      </c>
      <c r="G2060" s="124" t="str">
        <f>IFERROR(__xludf.DUMMYFUNCTION("""COMPUTED_VALUE"""),"Mentorship")</f>
        <v>Mentorship</v>
      </c>
      <c r="K2060" s="124"/>
      <c r="L2060" s="124"/>
      <c r="M2060" s="124"/>
      <c r="N2060" s="124"/>
      <c r="O2060" s="124"/>
      <c r="T2060" s="126">
        <f>IFERROR(__xludf.DUMMYFUNCTION("""COMPUTED_VALUE"""),46081.0)</f>
        <v>46081</v>
      </c>
      <c r="U2060" s="124" t="str">
        <f>IFERROR(__xludf.DUMMYFUNCTION("""COMPUTED_VALUE"""),"Walk-Ins")</f>
        <v>Walk-Ins</v>
      </c>
      <c r="V2060" s="124" t="str">
        <f>IFERROR(__xludf.DUMMYFUNCTION("""COMPUTED_VALUE"""),"Walkin")</f>
        <v>Walkin</v>
      </c>
      <c r="W2060" s="124" t="str">
        <f>IFERROR(__xludf.DUMMYFUNCTION("""COMPUTED_VALUE"""),"Delhi")</f>
        <v>Delhi</v>
      </c>
      <c r="X2060" s="124" t="str">
        <f>IFERROR(__xludf.DUMMYFUNCTION("""COMPUTED_VALUE"""),"walkin")</f>
        <v>walkin</v>
      </c>
      <c r="Y2060" s="124" t="str">
        <f>IFERROR(__xludf.DUMMYFUNCTION("""COMPUTED_VALUE"""),"Delhi")</f>
        <v>Delhi</v>
      </c>
      <c r="Z2060" s="124">
        <f>IFERROR(__xludf.DUMMYFUNCTION("""COMPUTED_VALUE"""),1.0)</f>
        <v>1</v>
      </c>
      <c r="AA2060" s="124" t="str">
        <f>IFERROR(__xludf.DUMMYFUNCTION("""COMPUTED_VALUE"""),"Not Interested")</f>
        <v>Not Interested</v>
      </c>
      <c r="AB2060" s="124" t="str">
        <f>IFERROR(__xludf.DUMMYFUNCTION("""COMPUTED_VALUE"""),"SIP Offline")</f>
        <v>SIP Offline</v>
      </c>
    </row>
    <row r="2061">
      <c r="A2061" s="129">
        <f>IFERROR(__xludf.DUMMYFUNCTION("""COMPUTED_VALUE"""),46062.0)</f>
        <v>46062</v>
      </c>
      <c r="B2061" s="124" t="str">
        <f>IFERROR(__xludf.DUMMYFUNCTION("""COMPUTED_VALUE"""),"external leads")</f>
        <v>external leads</v>
      </c>
      <c r="C2061" s="124" t="str">
        <f>IFERROR(__xludf.DUMMYFUNCTION("""COMPUTED_VALUE"""),"Prayagraj")</f>
        <v>Prayagraj</v>
      </c>
      <c r="D2061" s="124" t="str">
        <f>IFERROR(__xludf.DUMMYFUNCTION("""COMPUTED_VALUE"""),"Secondary_Walkin")</f>
        <v>Secondary_Walkin</v>
      </c>
      <c r="E2061" s="124">
        <f>IFERROR(__xludf.DUMMYFUNCTION("""COMPUTED_VALUE"""),1.0)</f>
        <v>1</v>
      </c>
      <c r="F2061" s="124" t="str">
        <f>IFERROR(__xludf.DUMMYFUNCTION("""COMPUTED_VALUE"""),"Cold")</f>
        <v>Cold</v>
      </c>
      <c r="G2061" s="124" t="str">
        <f>IFERROR(__xludf.DUMMYFUNCTION("""COMPUTED_VALUE"""),"GS Foundation")</f>
        <v>GS Foundation</v>
      </c>
      <c r="K2061" s="124"/>
      <c r="L2061" s="124"/>
      <c r="M2061" s="124"/>
      <c r="N2061" s="124"/>
      <c r="O2061" s="124"/>
      <c r="T2061" s="126">
        <f>IFERROR(__xludf.DUMMYFUNCTION("""COMPUTED_VALUE"""),46101.0)</f>
        <v>46101</v>
      </c>
      <c r="U2061" s="124" t="str">
        <f>IFERROR(__xludf.DUMMYFUNCTION("""COMPUTED_VALUE"""),"Walk-Ins")</f>
        <v>Walk-Ins</v>
      </c>
      <c r="V2061" s="124" t="str">
        <f>IFERROR(__xludf.DUMMYFUNCTION("""COMPUTED_VALUE"""),"Walkin")</f>
        <v>Walkin</v>
      </c>
      <c r="W2061" s="124" t="str">
        <f>IFERROR(__xludf.DUMMYFUNCTION("""COMPUTED_VALUE"""),"Delhi")</f>
        <v>Delhi</v>
      </c>
      <c r="X2061" s="124" t="str">
        <f>IFERROR(__xludf.DUMMYFUNCTION("""COMPUTED_VALUE"""),"walkin")</f>
        <v>walkin</v>
      </c>
      <c r="Y2061" s="124" t="str">
        <f>IFERROR(__xludf.DUMMYFUNCTION("""COMPUTED_VALUE"""),"Delhi")</f>
        <v>Delhi</v>
      </c>
      <c r="Z2061" s="124">
        <f>IFERROR(__xludf.DUMMYFUNCTION("""COMPUTED_VALUE"""),2.0)</f>
        <v>2</v>
      </c>
      <c r="AA2061" s="124" t="str">
        <f>IFERROR(__xludf.DUMMYFUNCTION("""COMPUTED_VALUE"""),"Warm")</f>
        <v>Warm</v>
      </c>
      <c r="AB2061" s="124" t="str">
        <f>IFERROR(__xludf.DUMMYFUNCTION("""COMPUTED_VALUE"""),"GS Foundation")</f>
        <v>GS Foundation</v>
      </c>
    </row>
    <row r="2062">
      <c r="A2062" s="126">
        <f>IFERROR(__xludf.DUMMYFUNCTION("""COMPUTED_VALUE"""),46050.0)</f>
        <v>46050</v>
      </c>
      <c r="B2062" s="124" t="str">
        <f>IFERROR(__xludf.DUMMYFUNCTION("""COMPUTED_VALUE"""),"Walkin")</f>
        <v>Walkin</v>
      </c>
      <c r="C2062" s="124" t="str">
        <f>IFERROR(__xludf.DUMMYFUNCTION("""COMPUTED_VALUE"""),"Prayagraj")</f>
        <v>Prayagraj</v>
      </c>
      <c r="D2062" s="124" t="str">
        <f>IFERROR(__xludf.DUMMYFUNCTION("""COMPUTED_VALUE"""),"Primary_Walkin")</f>
        <v>Primary_Walkin</v>
      </c>
      <c r="E2062" s="124">
        <f>IFERROR(__xludf.DUMMYFUNCTION("""COMPUTED_VALUE"""),1.0)</f>
        <v>1</v>
      </c>
      <c r="F2062" s="124" t="str">
        <f>IFERROR(__xludf.DUMMYFUNCTION("""COMPUTED_VALUE"""),"Future Prospects")</f>
        <v>Future Prospects</v>
      </c>
      <c r="G2062" s="124" t="str">
        <f>IFERROR(__xludf.DUMMYFUNCTION("""COMPUTED_VALUE"""),"GS Foundation")</f>
        <v>GS Foundation</v>
      </c>
      <c r="K2062" s="124"/>
      <c r="L2062" s="124"/>
      <c r="M2062" s="124"/>
      <c r="N2062" s="124"/>
      <c r="O2062" s="124"/>
      <c r="T2062" s="126">
        <f>IFERROR(__xludf.DUMMYFUNCTION("""COMPUTED_VALUE"""),46079.0)</f>
        <v>46079</v>
      </c>
      <c r="U2062" s="124" t="str">
        <f>IFERROR(__xludf.DUMMYFUNCTION("""COMPUTED_VALUE"""),"Walk-Ins")</f>
        <v>Walk-Ins</v>
      </c>
      <c r="V2062" s="124" t="str">
        <f>IFERROR(__xludf.DUMMYFUNCTION("""COMPUTED_VALUE"""),"Walkin")</f>
        <v>Walkin</v>
      </c>
      <c r="W2062" s="124" t="str">
        <f>IFERROR(__xludf.DUMMYFUNCTION("""COMPUTED_VALUE"""),"Delhi")</f>
        <v>Delhi</v>
      </c>
      <c r="X2062" s="124" t="str">
        <f>IFERROR(__xludf.DUMMYFUNCTION("""COMPUTED_VALUE"""),"walkin")</f>
        <v>walkin</v>
      </c>
      <c r="Y2062" s="124" t="str">
        <f>IFERROR(__xludf.DUMMYFUNCTION("""COMPUTED_VALUE"""),"Delhi")</f>
        <v>Delhi</v>
      </c>
      <c r="Z2062" s="124">
        <f>IFERROR(__xludf.DUMMYFUNCTION("""COMPUTED_VALUE"""),1.0)</f>
        <v>1</v>
      </c>
      <c r="AA2062" s="124" t="str">
        <f>IFERROR(__xludf.DUMMYFUNCTION("""COMPUTED_VALUE"""),"Fake Lead")</f>
        <v>Fake Lead</v>
      </c>
      <c r="AB2062" s="124" t="str">
        <f>IFERROR(__xludf.DUMMYFUNCTION("""COMPUTED_VALUE"""),"Optionals")</f>
        <v>Optionals</v>
      </c>
    </row>
    <row r="2063">
      <c r="A2063" s="126">
        <f>IFERROR(__xludf.DUMMYFUNCTION("""COMPUTED_VALUE"""),46067.0)</f>
        <v>46067</v>
      </c>
      <c r="B2063" s="124" t="str">
        <f>IFERROR(__xludf.DUMMYFUNCTION("""COMPUTED_VALUE"""),"Walk-In")</f>
        <v>Walk-In</v>
      </c>
      <c r="C2063" s="124" t="str">
        <f>IFERROR(__xludf.DUMMYFUNCTION("""COMPUTED_VALUE"""),"Prayagraj")</f>
        <v>Prayagraj</v>
      </c>
      <c r="D2063" s="124" t="str">
        <f>IFERROR(__xludf.DUMMYFUNCTION("""COMPUTED_VALUE"""),"Primary_Walkin")</f>
        <v>Primary_Walkin</v>
      </c>
      <c r="E2063" s="124">
        <f>IFERROR(__xludf.DUMMYFUNCTION("""COMPUTED_VALUE"""),1.0)</f>
        <v>1</v>
      </c>
      <c r="F2063" s="124" t="str">
        <f>IFERROR(__xludf.DUMMYFUNCTION("""COMPUTED_VALUE"""),"Future Prospects")</f>
        <v>Future Prospects</v>
      </c>
      <c r="G2063" s="124" t="str">
        <f>IFERROR(__xludf.DUMMYFUNCTION("""COMPUTED_VALUE"""),"GS Foundation")</f>
        <v>GS Foundation</v>
      </c>
      <c r="K2063" s="124"/>
      <c r="L2063" s="124"/>
      <c r="M2063" s="124"/>
      <c r="N2063" s="124"/>
      <c r="O2063" s="124"/>
      <c r="T2063" s="129">
        <f>IFERROR(__xludf.DUMMYFUNCTION("""COMPUTED_VALUE"""),46075.0)</f>
        <v>46075</v>
      </c>
      <c r="U2063" s="124" t="str">
        <f>IFERROR(__xludf.DUMMYFUNCTION("""COMPUTED_VALUE"""),"Walk-Ins")</f>
        <v>Walk-Ins</v>
      </c>
      <c r="V2063" s="124" t="str">
        <f>IFERROR(__xludf.DUMMYFUNCTION("""COMPUTED_VALUE"""),"Walkin")</f>
        <v>Walkin</v>
      </c>
      <c r="W2063" s="124" t="str">
        <f>IFERROR(__xludf.DUMMYFUNCTION("""COMPUTED_VALUE"""),"Delhi")</f>
        <v>Delhi</v>
      </c>
      <c r="X2063" s="124" t="str">
        <f>IFERROR(__xludf.DUMMYFUNCTION("""COMPUTED_VALUE"""),"walkin")</f>
        <v>walkin</v>
      </c>
      <c r="Y2063" s="124" t="str">
        <f>IFERROR(__xludf.DUMMYFUNCTION("""COMPUTED_VALUE"""),"Delhi")</f>
        <v>Delhi</v>
      </c>
      <c r="Z2063" s="124">
        <f>IFERROR(__xludf.DUMMYFUNCTION("""COMPUTED_VALUE"""),1.0)</f>
        <v>1</v>
      </c>
      <c r="AA2063" s="124" t="str">
        <f>IFERROR(__xludf.DUMMYFUNCTION("""COMPUTED_VALUE"""),"Cold")</f>
        <v>Cold</v>
      </c>
      <c r="AB2063" s="124" t="str">
        <f>IFERROR(__xludf.DUMMYFUNCTION("""COMPUTED_VALUE"""),"Optionals")</f>
        <v>Optionals</v>
      </c>
    </row>
    <row r="2064">
      <c r="A2064" s="126">
        <f>IFERROR(__xludf.DUMMYFUNCTION("""COMPUTED_VALUE"""),46104.0)</f>
        <v>46104</v>
      </c>
      <c r="B2064" s="124" t="str">
        <f>IFERROR(__xludf.DUMMYFUNCTION("""COMPUTED_VALUE"""),"Walkin")</f>
        <v>Walkin</v>
      </c>
      <c r="C2064" s="124" t="str">
        <f>IFERROR(__xludf.DUMMYFUNCTION("""COMPUTED_VALUE"""),"Prayagraj")</f>
        <v>Prayagraj</v>
      </c>
      <c r="D2064" s="124" t="str">
        <f>IFERROR(__xludf.DUMMYFUNCTION("""COMPUTED_VALUE"""),"Primary_Walkin")</f>
        <v>Primary_Walkin</v>
      </c>
      <c r="E2064" s="124">
        <f>IFERROR(__xludf.DUMMYFUNCTION("""COMPUTED_VALUE"""),4.0)</f>
        <v>4</v>
      </c>
      <c r="F2064" s="124" t="str">
        <f>IFERROR(__xludf.DUMMYFUNCTION("""COMPUTED_VALUE"""),"Warm")</f>
        <v>Warm</v>
      </c>
      <c r="G2064" s="124" t="str">
        <f>IFERROR(__xludf.DUMMYFUNCTION("""COMPUTED_VALUE"""),"State PCS")</f>
        <v>State PCS</v>
      </c>
      <c r="K2064" s="124"/>
      <c r="L2064" s="124"/>
      <c r="M2064" s="124"/>
      <c r="N2064" s="124"/>
      <c r="O2064" s="124"/>
      <c r="T2064" s="126">
        <f>IFERROR(__xludf.DUMMYFUNCTION("""COMPUTED_VALUE"""),46049.0)</f>
        <v>46049</v>
      </c>
      <c r="U2064" s="124" t="str">
        <f>IFERROR(__xludf.DUMMYFUNCTION("""COMPUTED_VALUE"""),"Paid Ads")</f>
        <v>Paid Ads</v>
      </c>
      <c r="V2064" s="124" t="str">
        <f>IFERROR(__xludf.DUMMYFUNCTION("""COMPUTED_VALUE"""),"Facebook")</f>
        <v>Facebook</v>
      </c>
      <c r="W2064" s="124" t="str">
        <f>IFERROR(__xludf.DUMMYFUNCTION("""COMPUTED_VALUE"""),"LeadAd")</f>
        <v>LeadAd</v>
      </c>
      <c r="X2064" s="124" t="str">
        <f>IFERROR(__xludf.DUMMYFUNCTION("""COMPUTED_VALUE"""),"Upsc_Offline_Lead_26_Patna_FB_Creatives")</f>
        <v>Upsc_Offline_Lead_26_Patna_FB_Creatives</v>
      </c>
      <c r="Y2064" s="124" t="str">
        <f>IFERROR(__xludf.DUMMYFUNCTION("""COMPUTED_VALUE"""),"Patna")</f>
        <v>Patna</v>
      </c>
      <c r="Z2064" s="124">
        <f>IFERROR(__xludf.DUMMYFUNCTION("""COMPUTED_VALUE"""),1.0)</f>
        <v>1</v>
      </c>
      <c r="AA2064" s="124" t="str">
        <f>IFERROR(__xludf.DUMMYFUNCTION("""COMPUTED_VALUE"""),"Fake Lead")</f>
        <v>Fake Lead</v>
      </c>
      <c r="AB2064" s="124"/>
    </row>
    <row r="2065">
      <c r="A2065" s="129">
        <f>IFERROR(__xludf.DUMMYFUNCTION("""COMPUTED_VALUE"""),46089.0)</f>
        <v>46089</v>
      </c>
      <c r="B2065" s="124" t="str">
        <f>IFERROR(__xludf.DUMMYFUNCTION("""COMPUTED_VALUE"""),"Walkin")</f>
        <v>Walkin</v>
      </c>
      <c r="C2065" s="124" t="str">
        <f>IFERROR(__xludf.DUMMYFUNCTION("""COMPUTED_VALUE"""),"Prayagraj")</f>
        <v>Prayagraj</v>
      </c>
      <c r="D2065" s="124" t="str">
        <f>IFERROR(__xludf.DUMMYFUNCTION("""COMPUTED_VALUE"""),"Primary_Walkin")</f>
        <v>Primary_Walkin</v>
      </c>
      <c r="E2065" s="124">
        <f>IFERROR(__xludf.DUMMYFUNCTION("""COMPUTED_VALUE"""),1.0)</f>
        <v>1</v>
      </c>
      <c r="F2065" s="124" t="str">
        <f>IFERROR(__xludf.DUMMYFUNCTION("""COMPUTED_VALUE"""),"Cold")</f>
        <v>Cold</v>
      </c>
      <c r="G2065" s="124" t="str">
        <f>IFERROR(__xludf.DUMMYFUNCTION("""COMPUTED_VALUE"""),"GS Foundation")</f>
        <v>GS Foundation</v>
      </c>
      <c r="K2065" s="124"/>
      <c r="L2065" s="124"/>
      <c r="M2065" s="124"/>
      <c r="N2065" s="124"/>
      <c r="O2065" s="124"/>
      <c r="T2065" s="129">
        <f>IFERROR(__xludf.DUMMYFUNCTION("""COMPUTED_VALUE"""),46054.0)</f>
        <v>46054</v>
      </c>
      <c r="U2065" s="124" t="str">
        <f>IFERROR(__xludf.DUMMYFUNCTION("""COMPUTED_VALUE"""),"Walk-Ins")</f>
        <v>Walk-Ins</v>
      </c>
      <c r="V2065" s="124" t="str">
        <f>IFERROR(__xludf.DUMMYFUNCTION("""COMPUTED_VALUE"""),"Walk-In")</f>
        <v>Walk-In</v>
      </c>
      <c r="W2065" s="124" t="str">
        <f>IFERROR(__xludf.DUMMYFUNCTION("""COMPUTED_VALUE"""),"Delhi")</f>
        <v>Delhi</v>
      </c>
      <c r="X2065" s="124" t="str">
        <f>IFERROR(__xludf.DUMMYFUNCTION("""COMPUTED_VALUE"""),"walkin")</f>
        <v>walkin</v>
      </c>
      <c r="Y2065" s="124" t="str">
        <f>IFERROR(__xludf.DUMMYFUNCTION("""COMPUTED_VALUE"""),"Delhi")</f>
        <v>Delhi</v>
      </c>
      <c r="Z2065" s="124">
        <f>IFERROR(__xludf.DUMMYFUNCTION("""COMPUTED_VALUE"""),1.0)</f>
        <v>1</v>
      </c>
      <c r="AA2065" s="124" t="str">
        <f>IFERROR(__xludf.DUMMYFUNCTION("""COMPUTED_VALUE"""),"Cold")</f>
        <v>Cold</v>
      </c>
      <c r="AB2065" s="124" t="str">
        <f>IFERROR(__xludf.DUMMYFUNCTION("""COMPUTED_VALUE"""),"GS Foundation")</f>
        <v>GS Foundation</v>
      </c>
    </row>
    <row r="2066">
      <c r="A2066" s="129">
        <f>IFERROR(__xludf.DUMMYFUNCTION("""COMPUTED_VALUE"""),46090.0)</f>
        <v>46090</v>
      </c>
      <c r="B2066" s="124" t="str">
        <f>IFERROR(__xludf.DUMMYFUNCTION("""COMPUTED_VALUE"""),"Walkin")</f>
        <v>Walkin</v>
      </c>
      <c r="C2066" s="124" t="str">
        <f>IFERROR(__xludf.DUMMYFUNCTION("""COMPUTED_VALUE"""),"Prayagraj")</f>
        <v>Prayagraj</v>
      </c>
      <c r="D2066" s="124" t="str">
        <f>IFERROR(__xludf.DUMMYFUNCTION("""COMPUTED_VALUE"""),"Primary_Walkin")</f>
        <v>Primary_Walkin</v>
      </c>
      <c r="E2066" s="124">
        <f>IFERROR(__xludf.DUMMYFUNCTION("""COMPUTED_VALUE"""),1.0)</f>
        <v>1</v>
      </c>
      <c r="F2066" s="124" t="str">
        <f>IFERROR(__xludf.DUMMYFUNCTION("""COMPUTED_VALUE"""),"Not Interested")</f>
        <v>Not Interested</v>
      </c>
      <c r="G2066" s="124" t="str">
        <f>IFERROR(__xludf.DUMMYFUNCTION("""COMPUTED_VALUE"""),"State PCS")</f>
        <v>State PCS</v>
      </c>
      <c r="K2066" s="124"/>
      <c r="L2066" s="124"/>
      <c r="M2066" s="124"/>
      <c r="N2066" s="124"/>
      <c r="O2066" s="124"/>
      <c r="T2066" s="129">
        <f>IFERROR(__xludf.DUMMYFUNCTION("""COMPUTED_VALUE"""),46044.0)</f>
        <v>46044</v>
      </c>
      <c r="U2066" s="124" t="str">
        <f>IFERROR(__xludf.DUMMYFUNCTION("""COMPUTED_VALUE"""),"Walk-Ins")</f>
        <v>Walk-Ins</v>
      </c>
      <c r="V2066" s="124" t="str">
        <f>IFERROR(__xludf.DUMMYFUNCTION("""COMPUTED_VALUE"""),"Walkin")</f>
        <v>Walkin</v>
      </c>
      <c r="W2066" s="124" t="str">
        <f>IFERROR(__xludf.DUMMYFUNCTION("""COMPUTED_VALUE"""),"Delhi")</f>
        <v>Delhi</v>
      </c>
      <c r="X2066" s="124" t="str">
        <f>IFERROR(__xludf.DUMMYFUNCTION("""COMPUTED_VALUE"""),"walkin")</f>
        <v>walkin</v>
      </c>
      <c r="Y2066" s="124" t="str">
        <f>IFERROR(__xludf.DUMMYFUNCTION("""COMPUTED_VALUE"""),"Delhi")</f>
        <v>Delhi</v>
      </c>
      <c r="Z2066" s="124">
        <f>IFERROR(__xludf.DUMMYFUNCTION("""COMPUTED_VALUE"""),2.0)</f>
        <v>2</v>
      </c>
      <c r="AA2066" s="124" t="str">
        <f>IFERROR(__xludf.DUMMYFUNCTION("""COMPUTED_VALUE"""),"Cold")</f>
        <v>Cold</v>
      </c>
      <c r="AB2066" s="124" t="str">
        <f>IFERROR(__xludf.DUMMYFUNCTION("""COMPUTED_VALUE"""),"GS Foundation")</f>
        <v>GS Foundation</v>
      </c>
    </row>
    <row r="2067">
      <c r="A2067" s="126">
        <f>IFERROR(__xludf.DUMMYFUNCTION("""COMPUTED_VALUE"""),46052.0)</f>
        <v>46052</v>
      </c>
      <c r="B2067" s="124" t="str">
        <f>IFERROR(__xludf.DUMMYFUNCTION("""COMPUTED_VALUE"""),"external leads")</f>
        <v>external leads</v>
      </c>
      <c r="C2067" s="124" t="str">
        <f>IFERROR(__xludf.DUMMYFUNCTION("""COMPUTED_VALUE"""),"Prayagraj")</f>
        <v>Prayagraj</v>
      </c>
      <c r="D2067" s="124" t="str">
        <f>IFERROR(__xludf.DUMMYFUNCTION("""COMPUTED_VALUE"""),"Secondary_Walkin")</f>
        <v>Secondary_Walkin</v>
      </c>
      <c r="E2067" s="124">
        <f>IFERROR(__xludf.DUMMYFUNCTION("""COMPUTED_VALUE"""),1.0)</f>
        <v>1</v>
      </c>
      <c r="F2067" s="124" t="str">
        <f>IFERROR(__xludf.DUMMYFUNCTION("""COMPUTED_VALUE"""),"Cold")</f>
        <v>Cold</v>
      </c>
      <c r="G2067" s="124" t="str">
        <f>IFERROR(__xludf.DUMMYFUNCTION("""COMPUTED_VALUE"""),"GS Foundation")</f>
        <v>GS Foundation</v>
      </c>
      <c r="K2067" s="124"/>
      <c r="L2067" s="124"/>
      <c r="M2067" s="124"/>
      <c r="N2067" s="124"/>
      <c r="O2067" s="124"/>
      <c r="T2067" s="129">
        <f>IFERROR(__xludf.DUMMYFUNCTION("""COMPUTED_VALUE"""),46102.0)</f>
        <v>46102</v>
      </c>
      <c r="U2067" s="124" t="str">
        <f>IFERROR(__xludf.DUMMYFUNCTION("""COMPUTED_VALUE"""),"Walk-Ins")</f>
        <v>Walk-Ins</v>
      </c>
      <c r="V2067" s="124" t="str">
        <f>IFERROR(__xludf.DUMMYFUNCTION("""COMPUTED_VALUE"""),"walk-in")</f>
        <v>walk-in</v>
      </c>
      <c r="W2067" s="124" t="str">
        <f>IFERROR(__xludf.DUMMYFUNCTION("""COMPUTED_VALUE"""),"indore")</f>
        <v>indore</v>
      </c>
      <c r="X2067" s="124" t="str">
        <f>IFERROR(__xludf.DUMMYFUNCTION("""COMPUTED_VALUE"""),"suraj sharma")</f>
        <v>suraj sharma</v>
      </c>
      <c r="Y2067" s="124"/>
      <c r="Z2067" s="124">
        <f>IFERROR(__xludf.DUMMYFUNCTION("""COMPUTED_VALUE"""),1.0)</f>
        <v>1</v>
      </c>
      <c r="AA2067" s="124" t="str">
        <f>IFERROR(__xludf.DUMMYFUNCTION("""COMPUTED_VALUE"""),"Enrolled")</f>
        <v>Enrolled</v>
      </c>
      <c r="AB2067" s="124" t="str">
        <f>IFERROR(__xludf.DUMMYFUNCTION("""COMPUTED_VALUE"""),"State PCS")</f>
        <v>State PCS</v>
      </c>
    </row>
    <row r="2068">
      <c r="A2068" s="126">
        <f>IFERROR(__xludf.DUMMYFUNCTION("""COMPUTED_VALUE"""),46045.0)</f>
        <v>46045</v>
      </c>
      <c r="B2068" s="124" t="str">
        <f>IFERROR(__xludf.DUMMYFUNCTION("""COMPUTED_VALUE"""),"Walkin")</f>
        <v>Walkin</v>
      </c>
      <c r="C2068" s="124" t="str">
        <f>IFERROR(__xludf.DUMMYFUNCTION("""COMPUTED_VALUE"""),"Prayagraj")</f>
        <v>Prayagraj</v>
      </c>
      <c r="D2068" s="124" t="str">
        <f>IFERROR(__xludf.DUMMYFUNCTION("""COMPUTED_VALUE"""),"Primary_Walkin")</f>
        <v>Primary_Walkin</v>
      </c>
      <c r="E2068" s="124">
        <f>IFERROR(__xludf.DUMMYFUNCTION("""COMPUTED_VALUE"""),1.0)</f>
        <v>1</v>
      </c>
      <c r="F2068" s="124" t="str">
        <f>IFERROR(__xludf.DUMMYFUNCTION("""COMPUTED_VALUE"""),"Not Interested")</f>
        <v>Not Interested</v>
      </c>
      <c r="G2068" s="124" t="str">
        <f>IFERROR(__xludf.DUMMYFUNCTION("""COMPUTED_VALUE"""),"State PCS")</f>
        <v>State PCS</v>
      </c>
      <c r="K2068" s="124"/>
      <c r="L2068" s="124"/>
      <c r="M2068" s="124"/>
      <c r="N2068" s="124"/>
      <c r="O2068" s="124"/>
      <c r="T2068" s="126">
        <f>IFERROR(__xludf.DUMMYFUNCTION("""COMPUTED_VALUE"""),46079.0)</f>
        <v>46079</v>
      </c>
      <c r="U2068" s="124" t="str">
        <f>IFERROR(__xludf.DUMMYFUNCTION("""COMPUTED_VALUE"""),"Walk-Ins")</f>
        <v>Walk-Ins</v>
      </c>
      <c r="V2068" s="124" t="str">
        <f>IFERROR(__xludf.DUMMYFUNCTION("""COMPUTED_VALUE"""),"Walkin")</f>
        <v>Walkin</v>
      </c>
      <c r="W2068" s="124" t="str">
        <f>IFERROR(__xludf.DUMMYFUNCTION("""COMPUTED_VALUE"""),"Delhi")</f>
        <v>Delhi</v>
      </c>
      <c r="X2068" s="124" t="str">
        <f>IFERROR(__xludf.DUMMYFUNCTION("""COMPUTED_VALUE"""),"walkin")</f>
        <v>walkin</v>
      </c>
      <c r="Y2068" s="124" t="str">
        <f>IFERROR(__xludf.DUMMYFUNCTION("""COMPUTED_VALUE"""),"Delhi")</f>
        <v>Delhi</v>
      </c>
      <c r="Z2068" s="124">
        <f>IFERROR(__xludf.DUMMYFUNCTION("""COMPUTED_VALUE"""),3.0)</f>
        <v>3</v>
      </c>
      <c r="AA2068" s="124" t="str">
        <f>IFERROR(__xludf.DUMMYFUNCTION("""COMPUTED_VALUE"""),"Not Interested")</f>
        <v>Not Interested</v>
      </c>
      <c r="AB2068" s="124" t="str">
        <f>IFERROR(__xludf.DUMMYFUNCTION("""COMPUTED_VALUE"""),"GS Foundation")</f>
        <v>GS Foundation</v>
      </c>
    </row>
    <row r="2069">
      <c r="A2069" s="126">
        <f>IFERROR(__xludf.DUMMYFUNCTION("""COMPUTED_VALUE"""),46096.0)</f>
        <v>46096</v>
      </c>
      <c r="B2069" s="124" t="str">
        <f>IFERROR(__xludf.DUMMYFUNCTION("""COMPUTED_VALUE"""),"Walkin")</f>
        <v>Walkin</v>
      </c>
      <c r="C2069" s="124" t="str">
        <f>IFERROR(__xludf.DUMMYFUNCTION("""COMPUTED_VALUE"""),"Prayagraj")</f>
        <v>Prayagraj</v>
      </c>
      <c r="D2069" s="124" t="str">
        <f>IFERROR(__xludf.DUMMYFUNCTION("""COMPUTED_VALUE"""),"Primary_Walkin")</f>
        <v>Primary_Walkin</v>
      </c>
      <c r="E2069" s="124">
        <f>IFERROR(__xludf.DUMMYFUNCTION("""COMPUTED_VALUE"""),1.0)</f>
        <v>1</v>
      </c>
      <c r="F2069" s="124" t="str">
        <f>IFERROR(__xludf.DUMMYFUNCTION("""COMPUTED_VALUE"""),"Interested")</f>
        <v>Interested</v>
      </c>
      <c r="G2069" s="124" t="str">
        <f>IFERROR(__xludf.DUMMYFUNCTION("""COMPUTED_VALUE"""),"GS Foundation")</f>
        <v>GS Foundation</v>
      </c>
      <c r="K2069" s="124"/>
      <c r="L2069" s="124"/>
      <c r="M2069" s="124"/>
      <c r="N2069" s="124"/>
      <c r="O2069" s="124"/>
      <c r="T2069" s="126">
        <f>IFERROR(__xludf.DUMMYFUNCTION("""COMPUTED_VALUE"""),46098.0)</f>
        <v>46098</v>
      </c>
      <c r="U2069" s="124" t="str">
        <f>IFERROR(__xludf.DUMMYFUNCTION("""COMPUTED_VALUE"""),"Walk-Ins")</f>
        <v>Walk-Ins</v>
      </c>
      <c r="V2069" s="124" t="str">
        <f>IFERROR(__xludf.DUMMYFUNCTION("""COMPUTED_VALUE"""),"Walkin")</f>
        <v>Walkin</v>
      </c>
      <c r="W2069" s="124" t="str">
        <f>IFERROR(__xludf.DUMMYFUNCTION("""COMPUTED_VALUE"""),"Delhi")</f>
        <v>Delhi</v>
      </c>
      <c r="X2069" s="124" t="str">
        <f>IFERROR(__xludf.DUMMYFUNCTION("""COMPUTED_VALUE"""),"walkin")</f>
        <v>walkin</v>
      </c>
      <c r="Y2069" s="124" t="str">
        <f>IFERROR(__xludf.DUMMYFUNCTION("""COMPUTED_VALUE"""),"Delhi")</f>
        <v>Delhi</v>
      </c>
      <c r="Z2069" s="124">
        <f>IFERROR(__xludf.DUMMYFUNCTION("""COMPUTED_VALUE"""),1.0)</f>
        <v>1</v>
      </c>
      <c r="AA2069" s="124" t="str">
        <f>IFERROR(__xludf.DUMMYFUNCTION("""COMPUTED_VALUE"""),"Future Prospects")</f>
        <v>Future Prospects</v>
      </c>
      <c r="AB2069" s="124" t="str">
        <f>IFERROR(__xludf.DUMMYFUNCTION("""COMPUTED_VALUE"""),"Mentorship")</f>
        <v>Mentorship</v>
      </c>
    </row>
    <row r="2070">
      <c r="A2070" s="126">
        <f>IFERROR(__xludf.DUMMYFUNCTION("""COMPUTED_VALUE"""),46108.0)</f>
        <v>46108</v>
      </c>
      <c r="B2070" s="124" t="str">
        <f>IFERROR(__xludf.DUMMYFUNCTION("""COMPUTED_VALUE"""),"events")</f>
        <v>events</v>
      </c>
      <c r="C2070" s="124" t="str">
        <f>IFERROR(__xludf.DUMMYFUNCTION("""COMPUTED_VALUE"""),"Prayagraj")</f>
        <v>Prayagraj</v>
      </c>
      <c r="D2070" s="124" t="str">
        <f>IFERROR(__xludf.DUMMYFUNCTION("""COMPUTED_VALUE"""),"Secondary_Walkin")</f>
        <v>Secondary_Walkin</v>
      </c>
      <c r="E2070" s="124">
        <f>IFERROR(__xludf.DUMMYFUNCTION("""COMPUTED_VALUE"""),1.0)</f>
        <v>1</v>
      </c>
      <c r="F2070" s="124" t="str">
        <f>IFERROR(__xludf.DUMMYFUNCTION("""COMPUTED_VALUE"""),"Cold")</f>
        <v>Cold</v>
      </c>
      <c r="G2070" s="124" t="str">
        <f>IFERROR(__xludf.DUMMYFUNCTION("""COMPUTED_VALUE"""),"GS Foundation")</f>
        <v>GS Foundation</v>
      </c>
      <c r="K2070" s="124"/>
      <c r="L2070" s="124"/>
      <c r="M2070" s="124"/>
      <c r="N2070" s="124"/>
      <c r="O2070" s="124"/>
      <c r="T2070" s="126">
        <f>IFERROR(__xludf.DUMMYFUNCTION("""COMPUTED_VALUE"""),46046.0)</f>
        <v>46046</v>
      </c>
      <c r="U2070" s="124" t="str">
        <f>IFERROR(__xludf.DUMMYFUNCTION("""COMPUTED_VALUE"""),"Walk-Ins")</f>
        <v>Walk-Ins</v>
      </c>
      <c r="V2070" s="124" t="str">
        <f>IFERROR(__xludf.DUMMYFUNCTION("""COMPUTED_VALUE"""),"Walkin")</f>
        <v>Walkin</v>
      </c>
      <c r="W2070" s="124" t="str">
        <f>IFERROR(__xludf.DUMMYFUNCTION("""COMPUTED_VALUE"""),"Delhi")</f>
        <v>Delhi</v>
      </c>
      <c r="X2070" s="124" t="str">
        <f>IFERROR(__xludf.DUMMYFUNCTION("""COMPUTED_VALUE"""),"walkin")</f>
        <v>walkin</v>
      </c>
      <c r="Y2070" s="124" t="str">
        <f>IFERROR(__xludf.DUMMYFUNCTION("""COMPUTED_VALUE"""),"Delhi")</f>
        <v>Delhi</v>
      </c>
      <c r="Z2070" s="124">
        <f>IFERROR(__xludf.DUMMYFUNCTION("""COMPUTED_VALUE"""),1.0)</f>
        <v>1</v>
      </c>
      <c r="AA2070" s="124" t="str">
        <f>IFERROR(__xludf.DUMMYFUNCTION("""COMPUTED_VALUE"""),"Enrolled")</f>
        <v>Enrolled</v>
      </c>
      <c r="AB2070" s="124" t="str">
        <f>IFERROR(__xludf.DUMMYFUNCTION("""COMPUTED_VALUE"""),"GS Foundation")</f>
        <v>GS Foundation</v>
      </c>
    </row>
    <row r="2071">
      <c r="A2071" s="126">
        <f>IFERROR(__xludf.DUMMYFUNCTION("""COMPUTED_VALUE"""),46079.0)</f>
        <v>46079</v>
      </c>
      <c r="B2071" s="124" t="str">
        <f>IFERROR(__xludf.DUMMYFUNCTION("""COMPUTED_VALUE"""),"Walkin")</f>
        <v>Walkin</v>
      </c>
      <c r="C2071" s="124" t="str">
        <f>IFERROR(__xludf.DUMMYFUNCTION("""COMPUTED_VALUE"""),"Prayagraj")</f>
        <v>Prayagraj</v>
      </c>
      <c r="D2071" s="124" t="str">
        <f>IFERROR(__xludf.DUMMYFUNCTION("""COMPUTED_VALUE"""),"Primary_Walkin")</f>
        <v>Primary_Walkin</v>
      </c>
      <c r="E2071" s="124">
        <f>IFERROR(__xludf.DUMMYFUNCTION("""COMPUTED_VALUE"""),1.0)</f>
        <v>1</v>
      </c>
      <c r="F2071" s="124" t="str">
        <f>IFERROR(__xludf.DUMMYFUNCTION("""COMPUTED_VALUE"""),"Future Prospects")</f>
        <v>Future Prospects</v>
      </c>
      <c r="G2071" s="124" t="str">
        <f>IFERROR(__xludf.DUMMYFUNCTION("""COMPUTED_VALUE"""),"State PCS")</f>
        <v>State PCS</v>
      </c>
      <c r="K2071" s="124"/>
      <c r="L2071" s="124"/>
      <c r="M2071" s="124"/>
      <c r="N2071" s="124"/>
      <c r="O2071" s="124"/>
      <c r="T2071" s="126">
        <f>IFERROR(__xludf.DUMMYFUNCTION("""COMPUTED_VALUE"""),46050.0)</f>
        <v>46050</v>
      </c>
      <c r="U2071" s="124" t="str">
        <f>IFERROR(__xludf.DUMMYFUNCTION("""COMPUTED_VALUE"""),"Walk-Ins")</f>
        <v>Walk-Ins</v>
      </c>
      <c r="V2071" s="124" t="str">
        <f>IFERROR(__xludf.DUMMYFUNCTION("""COMPUTED_VALUE"""),"Walkin")</f>
        <v>Walkin</v>
      </c>
      <c r="W2071" s="124" t="str">
        <f>IFERROR(__xludf.DUMMYFUNCTION("""COMPUTED_VALUE"""),"Delhi")</f>
        <v>Delhi</v>
      </c>
      <c r="X2071" s="124" t="str">
        <f>IFERROR(__xludf.DUMMYFUNCTION("""COMPUTED_VALUE"""),"walkin")</f>
        <v>walkin</v>
      </c>
      <c r="Y2071" s="124" t="str">
        <f>IFERROR(__xludf.DUMMYFUNCTION("""COMPUTED_VALUE"""),"Delhi")</f>
        <v>Delhi</v>
      </c>
      <c r="Z2071" s="124">
        <f>IFERROR(__xludf.DUMMYFUNCTION("""COMPUTED_VALUE"""),5.0)</f>
        <v>5</v>
      </c>
      <c r="AA2071" s="124" t="str">
        <f>IFERROR(__xludf.DUMMYFUNCTION("""COMPUTED_VALUE"""),"Enrolled")</f>
        <v>Enrolled</v>
      </c>
      <c r="AB2071" s="124" t="str">
        <f>IFERROR(__xludf.DUMMYFUNCTION("""COMPUTED_VALUE"""),"GS Foundation")</f>
        <v>GS Foundation</v>
      </c>
    </row>
    <row r="2072">
      <c r="A2072" s="126">
        <f>IFERROR(__xludf.DUMMYFUNCTION("""COMPUTED_VALUE"""),46099.0)</f>
        <v>46099</v>
      </c>
      <c r="B2072" s="124" t="str">
        <f>IFERROR(__xludf.DUMMYFUNCTION("""COMPUTED_VALUE"""),"events")</f>
        <v>events</v>
      </c>
      <c r="C2072" s="124" t="str">
        <f>IFERROR(__xludf.DUMMYFUNCTION("""COMPUTED_VALUE"""),"Prayagraj")</f>
        <v>Prayagraj</v>
      </c>
      <c r="D2072" s="124" t="str">
        <f>IFERROR(__xludf.DUMMYFUNCTION("""COMPUTED_VALUE"""),"Secondary_Walkin")</f>
        <v>Secondary_Walkin</v>
      </c>
      <c r="E2072" s="124">
        <f>IFERROR(__xludf.DUMMYFUNCTION("""COMPUTED_VALUE"""),1.0)</f>
        <v>1</v>
      </c>
      <c r="F2072" s="124" t="str">
        <f>IFERROR(__xludf.DUMMYFUNCTION("""COMPUTED_VALUE"""),"Cold")</f>
        <v>Cold</v>
      </c>
      <c r="G2072" s="124" t="str">
        <f>IFERROR(__xludf.DUMMYFUNCTION("""COMPUTED_VALUE"""),"GS Foundation")</f>
        <v>GS Foundation</v>
      </c>
      <c r="K2072" s="124"/>
      <c r="L2072" s="124"/>
      <c r="M2072" s="124"/>
      <c r="N2072" s="124"/>
      <c r="O2072" s="124"/>
      <c r="T2072" s="129">
        <f>IFERROR(__xludf.DUMMYFUNCTION("""COMPUTED_VALUE"""),46043.0)</f>
        <v>46043</v>
      </c>
      <c r="U2072" s="124" t="str">
        <f>IFERROR(__xludf.DUMMYFUNCTION("""COMPUTED_VALUE"""),"External Leads")</f>
        <v>External Leads</v>
      </c>
      <c r="V2072" s="124" t="str">
        <f>IFERROR(__xludf.DUMMYFUNCTION("""COMPUTED_VALUE"""),"external leads")</f>
        <v>external leads</v>
      </c>
      <c r="W2072" s="124" t="str">
        <f>IFERROR(__xludf.DUMMYFUNCTION("""COMPUTED_VALUE"""),"lucknow")</f>
        <v>lucknow</v>
      </c>
      <c r="X2072" s="124" t="str">
        <f>IFERROR(__xludf.DUMMYFUNCTION("""COMPUTED_VALUE"""),"university")</f>
        <v>university</v>
      </c>
      <c r="Y2072" s="124" t="str">
        <f>IFERROR(__xludf.DUMMYFUNCTION("""COMPUTED_VALUE"""),"Lucknow")</f>
        <v>Lucknow</v>
      </c>
      <c r="Z2072" s="124">
        <f>IFERROR(__xludf.DUMMYFUNCTION("""COMPUTED_VALUE"""),1.0)</f>
        <v>1</v>
      </c>
      <c r="AA2072" s="124" t="str">
        <f>IFERROR(__xludf.DUMMYFUNCTION("""COMPUTED_VALUE"""),"Fake Lead")</f>
        <v>Fake Lead</v>
      </c>
      <c r="AB2072" s="124"/>
    </row>
    <row r="2073">
      <c r="A2073" s="126">
        <f>IFERROR(__xludf.DUMMYFUNCTION("""COMPUTED_VALUE"""),46049.0)</f>
        <v>46049</v>
      </c>
      <c r="B2073" s="124" t="str">
        <f>IFERROR(__xludf.DUMMYFUNCTION("""COMPUTED_VALUE"""),"Walkin")</f>
        <v>Walkin</v>
      </c>
      <c r="C2073" s="124" t="str">
        <f>IFERROR(__xludf.DUMMYFUNCTION("""COMPUTED_VALUE"""),"Prayagraj")</f>
        <v>Prayagraj</v>
      </c>
      <c r="D2073" s="124" t="str">
        <f>IFERROR(__xludf.DUMMYFUNCTION("""COMPUTED_VALUE"""),"Primary_Walkin")</f>
        <v>Primary_Walkin</v>
      </c>
      <c r="E2073" s="124">
        <f>IFERROR(__xludf.DUMMYFUNCTION("""COMPUTED_VALUE"""),1.0)</f>
        <v>1</v>
      </c>
      <c r="F2073" s="124" t="str">
        <f>IFERROR(__xludf.DUMMYFUNCTION("""COMPUTED_VALUE"""),"Not Interested")</f>
        <v>Not Interested</v>
      </c>
      <c r="G2073" s="124" t="str">
        <f>IFERROR(__xludf.DUMMYFUNCTION("""COMPUTED_VALUE"""),"State PCS")</f>
        <v>State PCS</v>
      </c>
      <c r="K2073" s="124"/>
      <c r="L2073" s="124"/>
      <c r="M2073" s="124"/>
      <c r="N2073" s="124"/>
      <c r="O2073" s="124"/>
      <c r="T2073" s="126">
        <f>IFERROR(__xludf.DUMMYFUNCTION("""COMPUTED_VALUE"""),46049.0)</f>
        <v>46049</v>
      </c>
      <c r="U2073" s="124" t="str">
        <f>IFERROR(__xludf.DUMMYFUNCTION("""COMPUTED_VALUE"""),"Paid Ads")</f>
        <v>Paid Ads</v>
      </c>
      <c r="V2073" s="124" t="str">
        <f>IFERROR(__xludf.DUMMYFUNCTION("""COMPUTED_VALUE"""),"Facebook")</f>
        <v>Facebook</v>
      </c>
      <c r="W2073" s="124" t="str">
        <f>IFERROR(__xludf.DUMMYFUNCTION("""COMPUTED_VALUE"""),"LeadAd")</f>
        <v>LeadAd</v>
      </c>
      <c r="X2073" s="124" t="str">
        <f>IFERROR(__xludf.DUMMYFUNCTION("""COMPUTED_VALUE"""),"Upsc_Offline_Lead_26_Patna_FB_Creatives")</f>
        <v>Upsc_Offline_Lead_26_Patna_FB_Creatives</v>
      </c>
      <c r="Y2073" s="124" t="str">
        <f>IFERROR(__xludf.DUMMYFUNCTION("""COMPUTED_VALUE"""),"Patna")</f>
        <v>Patna</v>
      </c>
      <c r="Z2073" s="124">
        <f>IFERROR(__xludf.DUMMYFUNCTION("""COMPUTED_VALUE"""),2.0)</f>
        <v>2</v>
      </c>
      <c r="AA2073" s="124" t="str">
        <f>IFERROR(__xludf.DUMMYFUNCTION("""COMPUTED_VALUE"""),"Cold")</f>
        <v>Cold</v>
      </c>
      <c r="AB2073" s="124"/>
    </row>
    <row r="2074">
      <c r="A2074" s="126">
        <f>IFERROR(__xludf.DUMMYFUNCTION("""COMPUTED_VALUE"""),46091.0)</f>
        <v>46091</v>
      </c>
      <c r="B2074" s="124" t="str">
        <f>IFERROR(__xludf.DUMMYFUNCTION("""COMPUTED_VALUE"""),"Walkin")</f>
        <v>Walkin</v>
      </c>
      <c r="C2074" s="124" t="str">
        <f>IFERROR(__xludf.DUMMYFUNCTION("""COMPUTED_VALUE"""),"Prayagraj")</f>
        <v>Prayagraj</v>
      </c>
      <c r="D2074" s="124" t="str">
        <f>IFERROR(__xludf.DUMMYFUNCTION("""COMPUTED_VALUE"""),"Primary_Walkin")</f>
        <v>Primary_Walkin</v>
      </c>
      <c r="E2074" s="124">
        <f>IFERROR(__xludf.DUMMYFUNCTION("""COMPUTED_VALUE"""),2.0)</f>
        <v>2</v>
      </c>
      <c r="F2074" s="124" t="str">
        <f>IFERROR(__xludf.DUMMYFUNCTION("""COMPUTED_VALUE"""),"Not Interested")</f>
        <v>Not Interested</v>
      </c>
      <c r="G2074" s="124" t="str">
        <f>IFERROR(__xludf.DUMMYFUNCTION("""COMPUTED_VALUE"""),"GS Foundation")</f>
        <v>GS Foundation</v>
      </c>
      <c r="K2074" s="124"/>
      <c r="L2074" s="124"/>
      <c r="M2074" s="124"/>
      <c r="N2074" s="124"/>
      <c r="O2074" s="124"/>
      <c r="T2074" s="129">
        <f>IFERROR(__xludf.DUMMYFUNCTION("""COMPUTED_VALUE"""),46050.0)</f>
        <v>46050</v>
      </c>
      <c r="U2074" s="124" t="str">
        <f>IFERROR(__xludf.DUMMYFUNCTION("""COMPUTED_VALUE"""),"External Leads")</f>
        <v>External Leads</v>
      </c>
      <c r="V2074" s="124" t="str">
        <f>IFERROR(__xludf.DUMMYFUNCTION("""COMPUTED_VALUE"""),"external leads")</f>
        <v>external leads</v>
      </c>
      <c r="W2074" s="124" t="str">
        <f>IFERROR(__xludf.DUMMYFUNCTION("""COMPUTED_VALUE"""),"delhi")</f>
        <v>delhi</v>
      </c>
      <c r="X2074" s="124" t="str">
        <f>IFERROR(__xludf.DUMMYFUNCTION("""COMPUTED_VALUE"""),"piyushunacademy")</f>
        <v>piyushunacademy</v>
      </c>
      <c r="Y2074" s="124" t="str">
        <f>IFERROR(__xludf.DUMMYFUNCTION("""COMPUTED_VALUE"""),"Delhi")</f>
        <v>Delhi</v>
      </c>
      <c r="Z2074" s="124">
        <f>IFERROR(__xludf.DUMMYFUNCTION("""COMPUTED_VALUE"""),4.0)</f>
        <v>4</v>
      </c>
      <c r="AA2074" s="124"/>
      <c r="AB2074" s="124" t="str">
        <f>IFERROR(__xludf.DUMMYFUNCTION("""COMPUTED_VALUE"""),"GS Foundation")</f>
        <v>GS Foundation</v>
      </c>
    </row>
    <row r="2075">
      <c r="A2075" s="126">
        <f>IFERROR(__xludf.DUMMYFUNCTION("""COMPUTED_VALUE"""),46108.0)</f>
        <v>46108</v>
      </c>
      <c r="B2075" s="124" t="str">
        <f>IFERROR(__xludf.DUMMYFUNCTION("""COMPUTED_VALUE"""),"Walk-In")</f>
        <v>Walk-In</v>
      </c>
      <c r="C2075" s="124" t="str">
        <f>IFERROR(__xludf.DUMMYFUNCTION("""COMPUTED_VALUE"""),"Prayagraj")</f>
        <v>Prayagraj</v>
      </c>
      <c r="D2075" s="124" t="str">
        <f>IFERROR(__xludf.DUMMYFUNCTION("""COMPUTED_VALUE"""),"Primary_Walkin")</f>
        <v>Primary_Walkin</v>
      </c>
      <c r="E2075" s="124">
        <f>IFERROR(__xludf.DUMMYFUNCTION("""COMPUTED_VALUE"""),1.0)</f>
        <v>1</v>
      </c>
      <c r="F2075" s="124" t="str">
        <f>IFERROR(__xludf.DUMMYFUNCTION("""COMPUTED_VALUE"""),"Cold")</f>
        <v>Cold</v>
      </c>
      <c r="G2075" s="124" t="str">
        <f>IFERROR(__xludf.DUMMYFUNCTION("""COMPUTED_VALUE"""),"Optionals")</f>
        <v>Optionals</v>
      </c>
      <c r="K2075" s="124"/>
      <c r="L2075" s="124"/>
      <c r="M2075" s="124"/>
      <c r="N2075" s="124"/>
      <c r="O2075" s="124"/>
      <c r="T2075" s="126">
        <f>IFERROR(__xludf.DUMMYFUNCTION("""COMPUTED_VALUE"""),46105.0)</f>
        <v>46105</v>
      </c>
      <c r="U2075" s="124" t="str">
        <f>IFERROR(__xludf.DUMMYFUNCTION("""COMPUTED_VALUE"""),"Walk-Ins")</f>
        <v>Walk-Ins</v>
      </c>
      <c r="V2075" s="124" t="str">
        <f>IFERROR(__xludf.DUMMYFUNCTION("""COMPUTED_VALUE"""),"Walkin")</f>
        <v>Walkin</v>
      </c>
      <c r="W2075" s="124" t="str">
        <f>IFERROR(__xludf.DUMMYFUNCTION("""COMPUTED_VALUE"""),"Delhi")</f>
        <v>Delhi</v>
      </c>
      <c r="X2075" s="124" t="str">
        <f>IFERROR(__xludf.DUMMYFUNCTION("""COMPUTED_VALUE"""),"walkin")</f>
        <v>walkin</v>
      </c>
      <c r="Y2075" s="124" t="str">
        <f>IFERROR(__xludf.DUMMYFUNCTION("""COMPUTED_VALUE"""),"Delhi")</f>
        <v>Delhi</v>
      </c>
      <c r="Z2075" s="124">
        <f>IFERROR(__xludf.DUMMYFUNCTION("""COMPUTED_VALUE"""),2.0)</f>
        <v>2</v>
      </c>
      <c r="AA2075" s="124" t="str">
        <f>IFERROR(__xludf.DUMMYFUNCTION("""COMPUTED_VALUE"""),"Enrolled")</f>
        <v>Enrolled</v>
      </c>
      <c r="AB2075" s="124" t="str">
        <f>IFERROR(__xludf.DUMMYFUNCTION("""COMPUTED_VALUE"""),"GS Foundation")</f>
        <v>GS Foundation</v>
      </c>
    </row>
    <row r="2076">
      <c r="A2076" s="126">
        <f>IFERROR(__xludf.DUMMYFUNCTION("""COMPUTED_VALUE"""),46105.0)</f>
        <v>46105</v>
      </c>
      <c r="B2076" s="124" t="str">
        <f>IFERROR(__xludf.DUMMYFUNCTION("""COMPUTED_VALUE"""),"Events")</f>
        <v>Events</v>
      </c>
      <c r="C2076" s="124" t="str">
        <f>IFERROR(__xludf.DUMMYFUNCTION("""COMPUTED_VALUE"""),"Prayagraj")</f>
        <v>Prayagraj</v>
      </c>
      <c r="D2076" s="124" t="str">
        <f>IFERROR(__xludf.DUMMYFUNCTION("""COMPUTED_VALUE"""),"Secondary_Walkin")</f>
        <v>Secondary_Walkin</v>
      </c>
      <c r="E2076" s="124">
        <f>IFERROR(__xludf.DUMMYFUNCTION("""COMPUTED_VALUE"""),1.0)</f>
        <v>1</v>
      </c>
      <c r="F2076" s="124" t="str">
        <f>IFERROR(__xludf.DUMMYFUNCTION("""COMPUTED_VALUE"""),"Interested")</f>
        <v>Interested</v>
      </c>
      <c r="G2076" s="124" t="str">
        <f>IFERROR(__xludf.DUMMYFUNCTION("""COMPUTED_VALUE"""),"GS Foundation")</f>
        <v>GS Foundation</v>
      </c>
      <c r="K2076" s="124"/>
      <c r="L2076" s="124"/>
      <c r="M2076" s="124"/>
      <c r="N2076" s="124"/>
      <c r="O2076" s="124"/>
      <c r="T2076" s="126">
        <f>IFERROR(__xludf.DUMMYFUNCTION("""COMPUTED_VALUE"""),46063.0)</f>
        <v>46063</v>
      </c>
      <c r="U2076" s="124" t="str">
        <f>IFERROR(__xludf.DUMMYFUNCTION("""COMPUTED_VALUE"""),"Walk-Ins")</f>
        <v>Walk-Ins</v>
      </c>
      <c r="V2076" s="124" t="str">
        <f>IFERROR(__xludf.DUMMYFUNCTION("""COMPUTED_VALUE"""),"Walkin")</f>
        <v>Walkin</v>
      </c>
      <c r="W2076" s="124" t="str">
        <f>IFERROR(__xludf.DUMMYFUNCTION("""COMPUTED_VALUE"""),"Delhi")</f>
        <v>Delhi</v>
      </c>
      <c r="X2076" s="124" t="str">
        <f>IFERROR(__xludf.DUMMYFUNCTION("""COMPUTED_VALUE"""),"walkin")</f>
        <v>walkin</v>
      </c>
      <c r="Y2076" s="124" t="str">
        <f>IFERROR(__xludf.DUMMYFUNCTION("""COMPUTED_VALUE"""),"Delhi")</f>
        <v>Delhi</v>
      </c>
      <c r="Z2076" s="124">
        <f>IFERROR(__xludf.DUMMYFUNCTION("""COMPUTED_VALUE"""),3.0)</f>
        <v>3</v>
      </c>
      <c r="AA2076" s="124" t="str">
        <f>IFERROR(__xludf.DUMMYFUNCTION("""COMPUTED_VALUE"""),"Warm")</f>
        <v>Warm</v>
      </c>
      <c r="AB2076" s="124" t="str">
        <f>IFERROR(__xludf.DUMMYFUNCTION("""COMPUTED_VALUE"""),"GS Foundation")</f>
        <v>GS Foundation</v>
      </c>
    </row>
    <row r="2077">
      <c r="A2077" s="129">
        <f>IFERROR(__xludf.DUMMYFUNCTION("""COMPUTED_VALUE"""),46058.0)</f>
        <v>46058</v>
      </c>
      <c r="B2077" s="124" t="str">
        <f>IFERROR(__xludf.DUMMYFUNCTION("""COMPUTED_VALUE"""),"Walkin")</f>
        <v>Walkin</v>
      </c>
      <c r="C2077" s="124" t="str">
        <f>IFERROR(__xludf.DUMMYFUNCTION("""COMPUTED_VALUE"""),"Prayagraj")</f>
        <v>Prayagraj</v>
      </c>
      <c r="D2077" s="124" t="str">
        <f>IFERROR(__xludf.DUMMYFUNCTION("""COMPUTED_VALUE"""),"Primary_Walkin")</f>
        <v>Primary_Walkin</v>
      </c>
      <c r="E2077" s="124">
        <f>IFERROR(__xludf.DUMMYFUNCTION("""COMPUTED_VALUE"""),1.0)</f>
        <v>1</v>
      </c>
      <c r="F2077" s="124" t="str">
        <f>IFERROR(__xludf.DUMMYFUNCTION("""COMPUTED_VALUE"""),"Cold")</f>
        <v>Cold</v>
      </c>
      <c r="G2077" s="124" t="str">
        <f>IFERROR(__xludf.DUMMYFUNCTION("""COMPUTED_VALUE"""),"GS Foundation")</f>
        <v>GS Foundation</v>
      </c>
      <c r="K2077" s="124"/>
      <c r="L2077" s="124"/>
      <c r="M2077" s="124"/>
      <c r="N2077" s="124"/>
      <c r="O2077" s="124"/>
      <c r="T2077" s="126">
        <f>IFERROR(__xludf.DUMMYFUNCTION("""COMPUTED_VALUE"""),46097.0)</f>
        <v>46097</v>
      </c>
      <c r="U2077" s="124" t="str">
        <f>IFERROR(__xludf.DUMMYFUNCTION("""COMPUTED_VALUE"""),"Walk-Ins")</f>
        <v>Walk-Ins</v>
      </c>
      <c r="V2077" s="124" t="str">
        <f>IFERROR(__xludf.DUMMYFUNCTION("""COMPUTED_VALUE"""),"Walkin")</f>
        <v>Walkin</v>
      </c>
      <c r="W2077" s="124" t="str">
        <f>IFERROR(__xludf.DUMMYFUNCTION("""COMPUTED_VALUE"""),"Delhi")</f>
        <v>Delhi</v>
      </c>
      <c r="X2077" s="124" t="str">
        <f>IFERROR(__xludf.DUMMYFUNCTION("""COMPUTED_VALUE"""),"walkin")</f>
        <v>walkin</v>
      </c>
      <c r="Y2077" s="124" t="str">
        <f>IFERROR(__xludf.DUMMYFUNCTION("""COMPUTED_VALUE"""),"Delhi")</f>
        <v>Delhi</v>
      </c>
      <c r="Z2077" s="124">
        <f>IFERROR(__xludf.DUMMYFUNCTION("""COMPUTED_VALUE"""),1.0)</f>
        <v>1</v>
      </c>
      <c r="AA2077" s="124" t="str">
        <f>IFERROR(__xludf.DUMMYFUNCTION("""COMPUTED_VALUE"""),"Warm")</f>
        <v>Warm</v>
      </c>
      <c r="AB2077" s="124" t="str">
        <f>IFERROR(__xludf.DUMMYFUNCTION("""COMPUTED_VALUE"""),"GS Foundation")</f>
        <v>GS Foundation</v>
      </c>
    </row>
    <row r="2078">
      <c r="A2078" s="126">
        <f>IFERROR(__xludf.DUMMYFUNCTION("""COMPUTED_VALUE"""),46112.0)</f>
        <v>46112</v>
      </c>
      <c r="B2078" s="124" t="str">
        <f>IFERROR(__xludf.DUMMYFUNCTION("""COMPUTED_VALUE"""),"Walk-In")</f>
        <v>Walk-In</v>
      </c>
      <c r="C2078" s="124" t="str">
        <f>IFERROR(__xludf.DUMMYFUNCTION("""COMPUTED_VALUE"""),"Prayagraj")</f>
        <v>Prayagraj</v>
      </c>
      <c r="D2078" s="124" t="str">
        <f>IFERROR(__xludf.DUMMYFUNCTION("""COMPUTED_VALUE"""),"Primary_Walkin")</f>
        <v>Primary_Walkin</v>
      </c>
      <c r="E2078" s="124">
        <f>IFERROR(__xludf.DUMMYFUNCTION("""COMPUTED_VALUE"""),1.0)</f>
        <v>1</v>
      </c>
      <c r="F2078" s="124" t="str">
        <f>IFERROR(__xludf.DUMMYFUNCTION("""COMPUTED_VALUE"""),"Cold")</f>
        <v>Cold</v>
      </c>
      <c r="G2078" s="124" t="str">
        <f>IFERROR(__xludf.DUMMYFUNCTION("""COMPUTED_VALUE"""),"Test Series")</f>
        <v>Test Series</v>
      </c>
      <c r="K2078" s="124"/>
      <c r="L2078" s="124"/>
      <c r="M2078" s="124"/>
      <c r="N2078" s="124"/>
      <c r="O2078" s="124"/>
      <c r="T2078" s="126">
        <f>IFERROR(__xludf.DUMMYFUNCTION("""COMPUTED_VALUE"""),46094.0)</f>
        <v>46094</v>
      </c>
      <c r="U2078" s="124" t="str">
        <f>IFERROR(__xludf.DUMMYFUNCTION("""COMPUTED_VALUE"""),"Walk-Ins")</f>
        <v>Walk-Ins</v>
      </c>
      <c r="V2078" s="124" t="str">
        <f>IFERROR(__xludf.DUMMYFUNCTION("""COMPUTED_VALUE"""),"Walkin")</f>
        <v>Walkin</v>
      </c>
      <c r="W2078" s="124" t="str">
        <f>IFERROR(__xludf.DUMMYFUNCTION("""COMPUTED_VALUE"""),"Delhi")</f>
        <v>Delhi</v>
      </c>
      <c r="X2078" s="124" t="str">
        <f>IFERROR(__xludf.DUMMYFUNCTION("""COMPUTED_VALUE"""),"walkin")</f>
        <v>walkin</v>
      </c>
      <c r="Y2078" s="124" t="str">
        <f>IFERROR(__xludf.DUMMYFUNCTION("""COMPUTED_VALUE"""),"Delhi")</f>
        <v>Delhi</v>
      </c>
      <c r="Z2078" s="124">
        <f>IFERROR(__xludf.DUMMYFUNCTION("""COMPUTED_VALUE"""),1.0)</f>
        <v>1</v>
      </c>
      <c r="AA2078" s="124"/>
      <c r="AB2078" s="124" t="str">
        <f>IFERROR(__xludf.DUMMYFUNCTION("""COMPUTED_VALUE"""),"GS Foundation")</f>
        <v>GS Foundation</v>
      </c>
    </row>
    <row r="2079">
      <c r="A2079" s="126">
        <f>IFERROR(__xludf.DUMMYFUNCTION("""COMPUTED_VALUE"""),46096.0)</f>
        <v>46096</v>
      </c>
      <c r="B2079" s="124" t="str">
        <f>IFERROR(__xludf.DUMMYFUNCTION("""COMPUTED_VALUE"""),"Walk-In")</f>
        <v>Walk-In</v>
      </c>
      <c r="C2079" s="124" t="str">
        <f>IFERROR(__xludf.DUMMYFUNCTION("""COMPUTED_VALUE"""),"Prayagraj")</f>
        <v>Prayagraj</v>
      </c>
      <c r="D2079" s="124" t="str">
        <f>IFERROR(__xludf.DUMMYFUNCTION("""COMPUTED_VALUE"""),"Primary_Walkin")</f>
        <v>Primary_Walkin</v>
      </c>
      <c r="E2079" s="124">
        <f>IFERROR(__xludf.DUMMYFUNCTION("""COMPUTED_VALUE"""),2.0)</f>
        <v>2</v>
      </c>
      <c r="F2079" s="124" t="str">
        <f>IFERROR(__xludf.DUMMYFUNCTION("""COMPUTED_VALUE"""),"Future Prospects")</f>
        <v>Future Prospects</v>
      </c>
      <c r="G2079" s="124" t="str">
        <f>IFERROR(__xludf.DUMMYFUNCTION("""COMPUTED_VALUE"""),"GS Foundation")</f>
        <v>GS Foundation</v>
      </c>
      <c r="K2079" s="124"/>
      <c r="L2079" s="124"/>
      <c r="M2079" s="124"/>
      <c r="N2079" s="124"/>
      <c r="O2079" s="124"/>
      <c r="T2079" s="126">
        <f>IFERROR(__xludf.DUMMYFUNCTION("""COMPUTED_VALUE"""),46074.0)</f>
        <v>46074</v>
      </c>
      <c r="U2079" s="124" t="str">
        <f>IFERROR(__xludf.DUMMYFUNCTION("""COMPUTED_VALUE"""),"Walk-Ins")</f>
        <v>Walk-Ins</v>
      </c>
      <c r="V2079" s="124" t="str">
        <f>IFERROR(__xludf.DUMMYFUNCTION("""COMPUTED_VALUE"""),"Walkin")</f>
        <v>Walkin</v>
      </c>
      <c r="W2079" s="124" t="str">
        <f>IFERROR(__xludf.DUMMYFUNCTION("""COMPUTED_VALUE"""),"Delhi")</f>
        <v>Delhi</v>
      </c>
      <c r="X2079" s="124" t="str">
        <f>IFERROR(__xludf.DUMMYFUNCTION("""COMPUTED_VALUE"""),"walkin")</f>
        <v>walkin</v>
      </c>
      <c r="Y2079" s="124" t="str">
        <f>IFERROR(__xludf.DUMMYFUNCTION("""COMPUTED_VALUE"""),"Delhi")</f>
        <v>Delhi</v>
      </c>
      <c r="Z2079" s="124">
        <f>IFERROR(__xludf.DUMMYFUNCTION("""COMPUTED_VALUE"""),1.0)</f>
        <v>1</v>
      </c>
      <c r="AA2079" s="124" t="str">
        <f>IFERROR(__xludf.DUMMYFUNCTION("""COMPUTED_VALUE"""),"Not Interested")</f>
        <v>Not Interested</v>
      </c>
      <c r="AB2079" s="124" t="str">
        <f>IFERROR(__xludf.DUMMYFUNCTION("""COMPUTED_VALUE"""),"SIP Offline")</f>
        <v>SIP Offline</v>
      </c>
    </row>
    <row r="2080">
      <c r="A2080" s="129">
        <f>IFERROR(__xludf.DUMMYFUNCTION("""COMPUTED_VALUE"""),46082.0)</f>
        <v>46082</v>
      </c>
      <c r="B2080" s="124" t="str">
        <f>IFERROR(__xludf.DUMMYFUNCTION("""COMPUTED_VALUE"""),"Walkin")</f>
        <v>Walkin</v>
      </c>
      <c r="C2080" s="124" t="str">
        <f>IFERROR(__xludf.DUMMYFUNCTION("""COMPUTED_VALUE"""),"Prayagraj")</f>
        <v>Prayagraj</v>
      </c>
      <c r="D2080" s="124" t="str">
        <f>IFERROR(__xludf.DUMMYFUNCTION("""COMPUTED_VALUE"""),"Primary_Walkin")</f>
        <v>Primary_Walkin</v>
      </c>
      <c r="E2080" s="124">
        <f>IFERROR(__xludf.DUMMYFUNCTION("""COMPUTED_VALUE"""),1.0)</f>
        <v>1</v>
      </c>
      <c r="F2080" s="124" t="str">
        <f>IFERROR(__xludf.DUMMYFUNCTION("""COMPUTED_VALUE"""),"Not Interested")</f>
        <v>Not Interested</v>
      </c>
      <c r="G2080" s="124" t="str">
        <f>IFERROR(__xludf.DUMMYFUNCTION("""COMPUTED_VALUE"""),"GS Foundation")</f>
        <v>GS Foundation</v>
      </c>
      <c r="K2080" s="124"/>
      <c r="L2080" s="124"/>
      <c r="M2080" s="124"/>
      <c r="N2080" s="124"/>
      <c r="O2080" s="124"/>
      <c r="T2080" s="126">
        <f>IFERROR(__xludf.DUMMYFUNCTION("""COMPUTED_VALUE"""),46094.0)</f>
        <v>46094</v>
      </c>
      <c r="U2080" s="124" t="str">
        <f>IFERROR(__xludf.DUMMYFUNCTION("""COMPUTED_VALUE"""),"Walk-Ins")</f>
        <v>Walk-Ins</v>
      </c>
      <c r="V2080" s="124" t="str">
        <f>IFERROR(__xludf.DUMMYFUNCTION("""COMPUTED_VALUE"""),"Walkin")</f>
        <v>Walkin</v>
      </c>
      <c r="W2080" s="124" t="str">
        <f>IFERROR(__xludf.DUMMYFUNCTION("""COMPUTED_VALUE"""),"Delhi")</f>
        <v>Delhi</v>
      </c>
      <c r="X2080" s="124" t="str">
        <f>IFERROR(__xludf.DUMMYFUNCTION("""COMPUTED_VALUE"""),"walkin")</f>
        <v>walkin</v>
      </c>
      <c r="Y2080" s="124" t="str">
        <f>IFERROR(__xludf.DUMMYFUNCTION("""COMPUTED_VALUE"""),"Delhi")</f>
        <v>Delhi</v>
      </c>
      <c r="Z2080" s="124">
        <f>IFERROR(__xludf.DUMMYFUNCTION("""COMPUTED_VALUE"""),1.0)</f>
        <v>1</v>
      </c>
      <c r="AA2080" s="124" t="str">
        <f>IFERROR(__xludf.DUMMYFUNCTION("""COMPUTED_VALUE"""),"Warm")</f>
        <v>Warm</v>
      </c>
      <c r="AB2080" s="124" t="str">
        <f>IFERROR(__xludf.DUMMYFUNCTION("""COMPUTED_VALUE"""),"GS Foundation")</f>
        <v>GS Foundation</v>
      </c>
    </row>
    <row r="2081">
      <c r="A2081" s="126">
        <f>IFERROR(__xludf.DUMMYFUNCTION("""COMPUTED_VALUE"""),46102.0)</f>
        <v>46102</v>
      </c>
      <c r="B2081" s="124" t="str">
        <f>IFERROR(__xludf.DUMMYFUNCTION("""COMPUTED_VALUE"""),"Walkin")</f>
        <v>Walkin</v>
      </c>
      <c r="C2081" s="124" t="str">
        <f>IFERROR(__xludf.DUMMYFUNCTION("""COMPUTED_VALUE"""),"Prayagraj")</f>
        <v>Prayagraj</v>
      </c>
      <c r="D2081" s="124" t="str">
        <f>IFERROR(__xludf.DUMMYFUNCTION("""COMPUTED_VALUE"""),"Primary_Walkin")</f>
        <v>Primary_Walkin</v>
      </c>
      <c r="E2081" s="124">
        <f>IFERROR(__xludf.DUMMYFUNCTION("""COMPUTED_VALUE"""),1.0)</f>
        <v>1</v>
      </c>
      <c r="F2081" s="124" t="str">
        <f>IFERROR(__xludf.DUMMYFUNCTION("""COMPUTED_VALUE"""),"Future Prospects")</f>
        <v>Future Prospects</v>
      </c>
      <c r="G2081" s="124" t="str">
        <f>IFERROR(__xludf.DUMMYFUNCTION("""COMPUTED_VALUE"""),"GS Foundation")</f>
        <v>GS Foundation</v>
      </c>
      <c r="K2081" s="124"/>
      <c r="L2081" s="124"/>
      <c r="M2081" s="124"/>
      <c r="N2081" s="124"/>
      <c r="O2081" s="124"/>
      <c r="T2081" s="129">
        <f>IFERROR(__xludf.DUMMYFUNCTION("""COMPUTED_VALUE"""),46071.0)</f>
        <v>46071</v>
      </c>
      <c r="U2081" s="124" t="str">
        <f>IFERROR(__xludf.DUMMYFUNCTION("""COMPUTED_VALUE"""),"Walk-Ins")</f>
        <v>Walk-Ins</v>
      </c>
      <c r="V2081" s="124" t="str">
        <f>IFERROR(__xludf.DUMMYFUNCTION("""COMPUTED_VALUE"""),"Walkin")</f>
        <v>Walkin</v>
      </c>
      <c r="W2081" s="124" t="str">
        <f>IFERROR(__xludf.DUMMYFUNCTION("""COMPUTED_VALUE"""),"Delhi")</f>
        <v>Delhi</v>
      </c>
      <c r="X2081" s="124" t="str">
        <f>IFERROR(__xludf.DUMMYFUNCTION("""COMPUTED_VALUE"""),"walkin")</f>
        <v>walkin</v>
      </c>
      <c r="Y2081" s="124" t="str">
        <f>IFERROR(__xludf.DUMMYFUNCTION("""COMPUTED_VALUE"""),"Delhi")</f>
        <v>Delhi</v>
      </c>
      <c r="Z2081" s="124">
        <f>IFERROR(__xludf.DUMMYFUNCTION("""COMPUTED_VALUE"""),3.0)</f>
        <v>3</v>
      </c>
      <c r="AA2081" s="124" t="str">
        <f>IFERROR(__xludf.DUMMYFUNCTION("""COMPUTED_VALUE"""),"Not Interested")</f>
        <v>Not Interested</v>
      </c>
      <c r="AB2081" s="124" t="str">
        <f>IFERROR(__xludf.DUMMYFUNCTION("""COMPUTED_VALUE"""),"GS Foundation")</f>
        <v>GS Foundation</v>
      </c>
    </row>
    <row r="2082">
      <c r="A2082" s="126">
        <f>IFERROR(__xludf.DUMMYFUNCTION("""COMPUTED_VALUE"""),46094.0)</f>
        <v>46094</v>
      </c>
      <c r="B2082" s="124" t="str">
        <f>IFERROR(__xludf.DUMMYFUNCTION("""COMPUTED_VALUE"""),"Walkin")</f>
        <v>Walkin</v>
      </c>
      <c r="C2082" s="124" t="str">
        <f>IFERROR(__xludf.DUMMYFUNCTION("""COMPUTED_VALUE"""),"Prayagraj")</f>
        <v>Prayagraj</v>
      </c>
      <c r="D2082" s="124" t="str">
        <f>IFERROR(__xludf.DUMMYFUNCTION("""COMPUTED_VALUE"""),"Primary_Walkin")</f>
        <v>Primary_Walkin</v>
      </c>
      <c r="E2082" s="124">
        <f>IFERROR(__xludf.DUMMYFUNCTION("""COMPUTED_VALUE"""),1.0)</f>
        <v>1</v>
      </c>
      <c r="F2082" s="124" t="str">
        <f>IFERROR(__xludf.DUMMYFUNCTION("""COMPUTED_VALUE"""),"Warm")</f>
        <v>Warm</v>
      </c>
      <c r="G2082" s="124" t="str">
        <f>IFERROR(__xludf.DUMMYFUNCTION("""COMPUTED_VALUE"""),"GS Foundation")</f>
        <v>GS Foundation</v>
      </c>
      <c r="K2082" s="124"/>
      <c r="L2082" s="124"/>
      <c r="M2082" s="124"/>
      <c r="N2082" s="124"/>
      <c r="O2082" s="124"/>
      <c r="T2082" s="129">
        <f>IFERROR(__xludf.DUMMYFUNCTION("""COMPUTED_VALUE"""),46043.0)</f>
        <v>46043</v>
      </c>
      <c r="U2082" s="124" t="str">
        <f>IFERROR(__xludf.DUMMYFUNCTION("""COMPUTED_VALUE"""),"Walk-Ins")</f>
        <v>Walk-Ins</v>
      </c>
      <c r="V2082" s="124" t="str">
        <f>IFERROR(__xludf.DUMMYFUNCTION("""COMPUTED_VALUE"""),"Walkin")</f>
        <v>Walkin</v>
      </c>
      <c r="W2082" s="124" t="str">
        <f>IFERROR(__xludf.DUMMYFUNCTION("""COMPUTED_VALUE"""),"Delhi")</f>
        <v>Delhi</v>
      </c>
      <c r="X2082" s="124" t="str">
        <f>IFERROR(__xludf.DUMMYFUNCTION("""COMPUTED_VALUE"""),"walkin")</f>
        <v>walkin</v>
      </c>
      <c r="Y2082" s="124" t="str">
        <f>IFERROR(__xludf.DUMMYFUNCTION("""COMPUTED_VALUE"""),"Delhi")</f>
        <v>Delhi</v>
      </c>
      <c r="Z2082" s="124">
        <f>IFERROR(__xludf.DUMMYFUNCTION("""COMPUTED_VALUE"""),6.0)</f>
        <v>6</v>
      </c>
      <c r="AA2082" s="124" t="str">
        <f>IFERROR(__xludf.DUMMYFUNCTION("""COMPUTED_VALUE"""),"Cold")</f>
        <v>Cold</v>
      </c>
      <c r="AB2082" s="124" t="str">
        <f>IFERROR(__xludf.DUMMYFUNCTION("""COMPUTED_VALUE"""),"GS Foundation")</f>
        <v>GS Foundation</v>
      </c>
    </row>
    <row r="2083">
      <c r="A2083" s="126">
        <f>IFERROR(__xludf.DUMMYFUNCTION("""COMPUTED_VALUE"""),46043.0)</f>
        <v>46043</v>
      </c>
      <c r="B2083" s="124" t="str">
        <f>IFERROR(__xludf.DUMMYFUNCTION("""COMPUTED_VALUE"""),"Walk-In")</f>
        <v>Walk-In</v>
      </c>
      <c r="C2083" s="124" t="str">
        <f>IFERROR(__xludf.DUMMYFUNCTION("""COMPUTED_VALUE"""),"Prayagraj")</f>
        <v>Prayagraj</v>
      </c>
      <c r="D2083" s="124" t="str">
        <f>IFERROR(__xludf.DUMMYFUNCTION("""COMPUTED_VALUE"""),"Primary_Walkin")</f>
        <v>Primary_Walkin</v>
      </c>
      <c r="E2083" s="124">
        <f>IFERROR(__xludf.DUMMYFUNCTION("""COMPUTED_VALUE"""),1.0)</f>
        <v>1</v>
      </c>
      <c r="F2083" s="124" t="str">
        <f>IFERROR(__xludf.DUMMYFUNCTION("""COMPUTED_VALUE"""),"Not Interested")</f>
        <v>Not Interested</v>
      </c>
      <c r="G2083" s="124" t="str">
        <f>IFERROR(__xludf.DUMMYFUNCTION("""COMPUTED_VALUE"""),"GS Foundation")</f>
        <v>GS Foundation</v>
      </c>
      <c r="K2083" s="124"/>
      <c r="L2083" s="124"/>
      <c r="M2083" s="124"/>
      <c r="N2083" s="124"/>
      <c r="O2083" s="124"/>
      <c r="T2083" s="126">
        <f>IFERROR(__xludf.DUMMYFUNCTION("""COMPUTED_VALUE"""),46099.0)</f>
        <v>46099</v>
      </c>
      <c r="U2083" s="124" t="str">
        <f>IFERROR(__xludf.DUMMYFUNCTION("""COMPUTED_VALUE"""),"Walk-Ins")</f>
        <v>Walk-Ins</v>
      </c>
      <c r="V2083" s="124" t="str">
        <f>IFERROR(__xludf.DUMMYFUNCTION("""COMPUTED_VALUE"""),"Walkin")</f>
        <v>Walkin</v>
      </c>
      <c r="W2083" s="124" t="str">
        <f>IFERROR(__xludf.DUMMYFUNCTION("""COMPUTED_VALUE"""),"Delhi")</f>
        <v>Delhi</v>
      </c>
      <c r="X2083" s="124" t="str">
        <f>IFERROR(__xludf.DUMMYFUNCTION("""COMPUTED_VALUE"""),"walkin")</f>
        <v>walkin</v>
      </c>
      <c r="Y2083" s="124" t="str">
        <f>IFERROR(__xludf.DUMMYFUNCTION("""COMPUTED_VALUE"""),"Delhi")</f>
        <v>Delhi</v>
      </c>
      <c r="Z2083" s="124">
        <f>IFERROR(__xludf.DUMMYFUNCTION("""COMPUTED_VALUE"""),2.0)</f>
        <v>2</v>
      </c>
      <c r="AA2083" s="124" t="str">
        <f>IFERROR(__xludf.DUMMYFUNCTION("""COMPUTED_VALUE"""),"Future Prospects")</f>
        <v>Future Prospects</v>
      </c>
      <c r="AB2083" s="124" t="str">
        <f>IFERROR(__xludf.DUMMYFUNCTION("""COMPUTED_VALUE"""),"GS Foundation")</f>
        <v>GS Foundation</v>
      </c>
    </row>
    <row r="2084">
      <c r="A2084" s="126">
        <f>IFERROR(__xludf.DUMMYFUNCTION("""COMPUTED_VALUE"""),46080.0)</f>
        <v>46080</v>
      </c>
      <c r="B2084" s="124" t="str">
        <f>IFERROR(__xludf.DUMMYFUNCTION("""COMPUTED_VALUE"""),"Walkin")</f>
        <v>Walkin</v>
      </c>
      <c r="C2084" s="124" t="str">
        <f>IFERROR(__xludf.DUMMYFUNCTION("""COMPUTED_VALUE"""),"Prayagraj")</f>
        <v>Prayagraj</v>
      </c>
      <c r="D2084" s="124" t="str">
        <f>IFERROR(__xludf.DUMMYFUNCTION("""COMPUTED_VALUE"""),"Primary_Walkin")</f>
        <v>Primary_Walkin</v>
      </c>
      <c r="E2084" s="124">
        <f>IFERROR(__xludf.DUMMYFUNCTION("""COMPUTED_VALUE"""),1.0)</f>
        <v>1</v>
      </c>
      <c r="F2084" s="124" t="str">
        <f>IFERROR(__xludf.DUMMYFUNCTION("""COMPUTED_VALUE"""),"Not Interested")</f>
        <v>Not Interested</v>
      </c>
      <c r="G2084" s="124" t="str">
        <f>IFERROR(__xludf.DUMMYFUNCTION("""COMPUTED_VALUE"""),"Mentorship")</f>
        <v>Mentorship</v>
      </c>
      <c r="K2084" s="124"/>
      <c r="L2084" s="124"/>
      <c r="M2084" s="124"/>
      <c r="N2084" s="124"/>
      <c r="O2084" s="124"/>
      <c r="T2084" s="126">
        <f>IFERROR(__xludf.DUMMYFUNCTION("""COMPUTED_VALUE"""),46103.0)</f>
        <v>46103</v>
      </c>
      <c r="U2084" s="124" t="str">
        <f>IFERROR(__xludf.DUMMYFUNCTION("""COMPUTED_VALUE"""),"Walk-Ins")</f>
        <v>Walk-Ins</v>
      </c>
      <c r="V2084" s="124" t="str">
        <f>IFERROR(__xludf.DUMMYFUNCTION("""COMPUTED_VALUE"""),"Walkin")</f>
        <v>Walkin</v>
      </c>
      <c r="W2084" s="124" t="str">
        <f>IFERROR(__xludf.DUMMYFUNCTION("""COMPUTED_VALUE"""),"Delhi")</f>
        <v>Delhi</v>
      </c>
      <c r="X2084" s="124" t="str">
        <f>IFERROR(__xludf.DUMMYFUNCTION("""COMPUTED_VALUE"""),"walkin")</f>
        <v>walkin</v>
      </c>
      <c r="Y2084" s="124" t="str">
        <f>IFERROR(__xludf.DUMMYFUNCTION("""COMPUTED_VALUE"""),"Delhi")</f>
        <v>Delhi</v>
      </c>
      <c r="Z2084" s="124">
        <f>IFERROR(__xludf.DUMMYFUNCTION("""COMPUTED_VALUE"""),1.0)</f>
        <v>1</v>
      </c>
      <c r="AA2084" s="124" t="str">
        <f>IFERROR(__xludf.DUMMYFUNCTION("""COMPUTED_VALUE"""),"Future Prospects")</f>
        <v>Future Prospects</v>
      </c>
      <c r="AB2084" s="124" t="str">
        <f>IFERROR(__xludf.DUMMYFUNCTION("""COMPUTED_VALUE"""),"Mentorship")</f>
        <v>Mentorship</v>
      </c>
    </row>
    <row r="2085">
      <c r="A2085" s="126">
        <f>IFERROR(__xludf.DUMMYFUNCTION("""COMPUTED_VALUE"""),46093.0)</f>
        <v>46093</v>
      </c>
      <c r="B2085" s="124" t="str">
        <f>IFERROR(__xludf.DUMMYFUNCTION("""COMPUTED_VALUE"""),"Walkin")</f>
        <v>Walkin</v>
      </c>
      <c r="C2085" s="124" t="str">
        <f>IFERROR(__xludf.DUMMYFUNCTION("""COMPUTED_VALUE"""),"Prayagraj")</f>
        <v>Prayagraj</v>
      </c>
      <c r="D2085" s="124" t="str">
        <f>IFERROR(__xludf.DUMMYFUNCTION("""COMPUTED_VALUE"""),"Primary_Walkin")</f>
        <v>Primary_Walkin</v>
      </c>
      <c r="E2085" s="124">
        <f>IFERROR(__xludf.DUMMYFUNCTION("""COMPUTED_VALUE"""),1.0)</f>
        <v>1</v>
      </c>
      <c r="F2085" s="124" t="str">
        <f>IFERROR(__xludf.DUMMYFUNCTION("""COMPUTED_VALUE"""),"Warm")</f>
        <v>Warm</v>
      </c>
      <c r="G2085" s="124" t="str">
        <f>IFERROR(__xludf.DUMMYFUNCTION("""COMPUTED_VALUE"""),"GS Foundation")</f>
        <v>GS Foundation</v>
      </c>
      <c r="K2085" s="124"/>
      <c r="L2085" s="124"/>
      <c r="M2085" s="124"/>
      <c r="N2085" s="124"/>
      <c r="O2085" s="124"/>
      <c r="T2085" s="129">
        <f>IFERROR(__xludf.DUMMYFUNCTION("""COMPUTED_VALUE"""),46043.0)</f>
        <v>46043</v>
      </c>
      <c r="U2085" s="124" t="str">
        <f>IFERROR(__xludf.DUMMYFUNCTION("""COMPUTED_VALUE"""),"Walk-Ins")</f>
        <v>Walk-Ins</v>
      </c>
      <c r="V2085" s="124" t="str">
        <f>IFERROR(__xludf.DUMMYFUNCTION("""COMPUTED_VALUE"""),"Walkin")</f>
        <v>Walkin</v>
      </c>
      <c r="W2085" s="124" t="str">
        <f>IFERROR(__xludf.DUMMYFUNCTION("""COMPUTED_VALUE"""),"Delhi")</f>
        <v>Delhi</v>
      </c>
      <c r="X2085" s="124" t="str">
        <f>IFERROR(__xludf.DUMMYFUNCTION("""COMPUTED_VALUE"""),"walkin")</f>
        <v>walkin</v>
      </c>
      <c r="Y2085" s="124" t="str">
        <f>IFERROR(__xludf.DUMMYFUNCTION("""COMPUTED_VALUE"""),"Delhi")</f>
        <v>Delhi</v>
      </c>
      <c r="Z2085" s="124">
        <f>IFERROR(__xludf.DUMMYFUNCTION("""COMPUTED_VALUE"""),1.0)</f>
        <v>1</v>
      </c>
      <c r="AA2085" s="124" t="str">
        <f>IFERROR(__xludf.DUMMYFUNCTION("""COMPUTED_VALUE"""),"Not Interested")</f>
        <v>Not Interested</v>
      </c>
      <c r="AB2085" s="124" t="str">
        <f>IFERROR(__xludf.DUMMYFUNCTION("""COMPUTED_VALUE"""),"Prelims Crash Course - SIP")</f>
        <v>Prelims Crash Course - SIP</v>
      </c>
    </row>
    <row r="2086">
      <c r="A2086" s="126">
        <f>IFERROR(__xludf.DUMMYFUNCTION("""COMPUTED_VALUE"""),46097.0)</f>
        <v>46097</v>
      </c>
      <c r="B2086" s="124" t="str">
        <f>IFERROR(__xludf.DUMMYFUNCTION("""COMPUTED_VALUE"""),"Walk-In")</f>
        <v>Walk-In</v>
      </c>
      <c r="C2086" s="124" t="str">
        <f>IFERROR(__xludf.DUMMYFUNCTION("""COMPUTED_VALUE"""),"Prayagraj")</f>
        <v>Prayagraj</v>
      </c>
      <c r="D2086" s="124" t="str">
        <f>IFERROR(__xludf.DUMMYFUNCTION("""COMPUTED_VALUE"""),"Primary_Walkin")</f>
        <v>Primary_Walkin</v>
      </c>
      <c r="E2086" s="124">
        <f>IFERROR(__xludf.DUMMYFUNCTION("""COMPUTED_VALUE"""),1.0)</f>
        <v>1</v>
      </c>
      <c r="F2086" s="124" t="str">
        <f>IFERROR(__xludf.DUMMYFUNCTION("""COMPUTED_VALUE"""),"Cold")</f>
        <v>Cold</v>
      </c>
      <c r="G2086" s="124" t="str">
        <f>IFERROR(__xludf.DUMMYFUNCTION("""COMPUTED_VALUE"""),"GS Foundation")</f>
        <v>GS Foundation</v>
      </c>
      <c r="K2086" s="124"/>
      <c r="L2086" s="124"/>
      <c r="M2086" s="124"/>
      <c r="N2086" s="124"/>
      <c r="O2086" s="124"/>
      <c r="T2086" s="126">
        <f>IFERROR(__xludf.DUMMYFUNCTION("""COMPUTED_VALUE"""),46047.0)</f>
        <v>46047</v>
      </c>
      <c r="U2086" s="124" t="str">
        <f>IFERROR(__xludf.DUMMYFUNCTION("""COMPUTED_VALUE"""),"Walk-Ins")</f>
        <v>Walk-Ins</v>
      </c>
      <c r="V2086" s="124" t="str">
        <f>IFERROR(__xludf.DUMMYFUNCTION("""COMPUTED_VALUE"""),"Walk-In")</f>
        <v>Walk-In</v>
      </c>
      <c r="W2086" s="124" t="str">
        <f>IFERROR(__xludf.DUMMYFUNCTION("""COMPUTED_VALUE"""),"Delhi")</f>
        <v>Delhi</v>
      </c>
      <c r="X2086" s="124" t="str">
        <f>IFERROR(__xludf.DUMMYFUNCTION("""COMPUTED_VALUE"""),"walkin")</f>
        <v>walkin</v>
      </c>
      <c r="Y2086" s="124"/>
      <c r="Z2086" s="124">
        <f>IFERROR(__xludf.DUMMYFUNCTION("""COMPUTED_VALUE"""),1.0)</f>
        <v>1</v>
      </c>
      <c r="AA2086" s="124" t="str">
        <f>IFERROR(__xludf.DUMMYFUNCTION("""COMPUTED_VALUE"""),"Cold")</f>
        <v>Cold</v>
      </c>
      <c r="AB2086" s="124" t="str">
        <f>IFERROR(__xludf.DUMMYFUNCTION("""COMPUTED_VALUE"""),"GS Foundation")</f>
        <v>GS Foundation</v>
      </c>
    </row>
    <row r="2087">
      <c r="A2087" s="126">
        <f>IFERROR(__xludf.DUMMYFUNCTION("""COMPUTED_VALUE"""),46105.0)</f>
        <v>46105</v>
      </c>
      <c r="B2087" s="124" t="str">
        <f>IFERROR(__xludf.DUMMYFUNCTION("""COMPUTED_VALUE"""),"events")</f>
        <v>events</v>
      </c>
      <c r="C2087" s="124" t="str">
        <f>IFERROR(__xludf.DUMMYFUNCTION("""COMPUTED_VALUE"""),"Prayagraj")</f>
        <v>Prayagraj</v>
      </c>
      <c r="D2087" s="124" t="str">
        <f>IFERROR(__xludf.DUMMYFUNCTION("""COMPUTED_VALUE"""),"Secondary_Walkin")</f>
        <v>Secondary_Walkin</v>
      </c>
      <c r="E2087" s="124">
        <f>IFERROR(__xludf.DUMMYFUNCTION("""COMPUTED_VALUE"""),1.0)</f>
        <v>1</v>
      </c>
      <c r="F2087" s="124" t="str">
        <f>IFERROR(__xludf.DUMMYFUNCTION("""COMPUTED_VALUE"""),"Enrolled")</f>
        <v>Enrolled</v>
      </c>
      <c r="G2087" s="124" t="str">
        <f>IFERROR(__xludf.DUMMYFUNCTION("""COMPUTED_VALUE"""),"GS Foundation")</f>
        <v>GS Foundation</v>
      </c>
      <c r="K2087" s="124"/>
      <c r="L2087" s="124"/>
      <c r="M2087" s="124"/>
      <c r="N2087" s="124"/>
      <c r="O2087" s="124"/>
      <c r="T2087" s="126">
        <f>IFERROR(__xludf.DUMMYFUNCTION("""COMPUTED_VALUE"""),46083.0)</f>
        <v>46083</v>
      </c>
      <c r="U2087" s="124" t="str">
        <f>IFERROR(__xludf.DUMMYFUNCTION("""COMPUTED_VALUE"""),"External Leads")</f>
        <v>External Leads</v>
      </c>
      <c r="V2087" s="124" t="str">
        <f>IFERROR(__xludf.DUMMYFUNCTION("""COMPUTED_VALUE"""),"external leads")</f>
        <v>external leads</v>
      </c>
      <c r="W2087" s="124" t="str">
        <f>IFERROR(__xludf.DUMMYFUNCTION("""COMPUTED_VALUE"""),"delhi")</f>
        <v>delhi</v>
      </c>
      <c r="X2087" s="124" t="str">
        <f>IFERROR(__xludf.DUMMYFUNCTION("""COMPUTED_VALUE"""),"unacademyretargeting")</f>
        <v>unacademyretargeting</v>
      </c>
      <c r="Y2087" s="124" t="str">
        <f>IFERROR(__xludf.DUMMYFUNCTION("""COMPUTED_VALUE"""),"Delhi")</f>
        <v>Delhi</v>
      </c>
      <c r="Z2087" s="124">
        <f>IFERROR(__xludf.DUMMYFUNCTION("""COMPUTED_VALUE"""),1.0)</f>
        <v>1</v>
      </c>
      <c r="AA2087" s="124" t="str">
        <f>IFERROR(__xludf.DUMMYFUNCTION("""COMPUTED_VALUE"""),"Fake Lead")</f>
        <v>Fake Lead</v>
      </c>
      <c r="AB2087" s="124"/>
    </row>
    <row r="2088">
      <c r="A2088" s="126">
        <f>IFERROR(__xludf.DUMMYFUNCTION("""COMPUTED_VALUE"""),46091.0)</f>
        <v>46091</v>
      </c>
      <c r="B2088" s="124" t="str">
        <f>IFERROR(__xludf.DUMMYFUNCTION("""COMPUTED_VALUE"""),"Walkin")</f>
        <v>Walkin</v>
      </c>
      <c r="C2088" s="124" t="str">
        <f>IFERROR(__xludf.DUMMYFUNCTION("""COMPUTED_VALUE"""),"Prayagraj")</f>
        <v>Prayagraj</v>
      </c>
      <c r="D2088" s="124" t="str">
        <f>IFERROR(__xludf.DUMMYFUNCTION("""COMPUTED_VALUE"""),"Primary_Walkin")</f>
        <v>Primary_Walkin</v>
      </c>
      <c r="E2088" s="124">
        <f>IFERROR(__xludf.DUMMYFUNCTION("""COMPUTED_VALUE"""),1.0)</f>
        <v>1</v>
      </c>
      <c r="F2088" s="124" t="str">
        <f>IFERROR(__xludf.DUMMYFUNCTION("""COMPUTED_VALUE"""),"Cold")</f>
        <v>Cold</v>
      </c>
      <c r="G2088" s="124" t="str">
        <f>IFERROR(__xludf.DUMMYFUNCTION("""COMPUTED_VALUE"""),"State PCS")</f>
        <v>State PCS</v>
      </c>
      <c r="K2088" s="124"/>
      <c r="L2088" s="124"/>
      <c r="M2088" s="124"/>
      <c r="N2088" s="124"/>
      <c r="O2088" s="124"/>
      <c r="T2088" s="126">
        <f>IFERROR(__xludf.DUMMYFUNCTION("""COMPUTED_VALUE"""),46100.0)</f>
        <v>46100</v>
      </c>
      <c r="U2088" s="124" t="str">
        <f>IFERROR(__xludf.DUMMYFUNCTION("""COMPUTED_VALUE"""),"Walk-Ins")</f>
        <v>Walk-Ins</v>
      </c>
      <c r="V2088" s="124" t="str">
        <f>IFERROR(__xludf.DUMMYFUNCTION("""COMPUTED_VALUE"""),"Walk-In")</f>
        <v>Walk-In</v>
      </c>
      <c r="W2088" s="124" t="str">
        <f>IFERROR(__xludf.DUMMYFUNCTION("""COMPUTED_VALUE"""),"Delhi")</f>
        <v>Delhi</v>
      </c>
      <c r="X2088" s="124" t="str">
        <f>IFERROR(__xludf.DUMMYFUNCTION("""COMPUTED_VALUE"""),"walkin")</f>
        <v>walkin</v>
      </c>
      <c r="Y2088" s="124" t="str">
        <f>IFERROR(__xludf.DUMMYFUNCTION("""COMPUTED_VALUE"""),"Delhi")</f>
        <v>Delhi</v>
      </c>
      <c r="Z2088" s="124">
        <f>IFERROR(__xludf.DUMMYFUNCTION("""COMPUTED_VALUE"""),2.0)</f>
        <v>2</v>
      </c>
      <c r="AA2088" s="124" t="str">
        <f>IFERROR(__xludf.DUMMYFUNCTION("""COMPUTED_VALUE"""),"Cold")</f>
        <v>Cold</v>
      </c>
      <c r="AB2088" s="124" t="str">
        <f>IFERROR(__xludf.DUMMYFUNCTION("""COMPUTED_VALUE"""),"GS Advanced")</f>
        <v>GS Advanced</v>
      </c>
    </row>
    <row r="2089">
      <c r="A2089" s="126">
        <f>IFERROR(__xludf.DUMMYFUNCTION("""COMPUTED_VALUE"""),46071.0)</f>
        <v>46071</v>
      </c>
      <c r="B2089" s="124" t="str">
        <f>IFERROR(__xludf.DUMMYFUNCTION("""COMPUTED_VALUE"""),"Walkin")</f>
        <v>Walkin</v>
      </c>
      <c r="C2089" s="124" t="str">
        <f>IFERROR(__xludf.DUMMYFUNCTION("""COMPUTED_VALUE"""),"Prayagraj")</f>
        <v>Prayagraj</v>
      </c>
      <c r="D2089" s="124" t="str">
        <f>IFERROR(__xludf.DUMMYFUNCTION("""COMPUTED_VALUE"""),"Primary_Walkin")</f>
        <v>Primary_Walkin</v>
      </c>
      <c r="E2089" s="124">
        <f>IFERROR(__xludf.DUMMYFUNCTION("""COMPUTED_VALUE"""),2.0)</f>
        <v>2</v>
      </c>
      <c r="F2089" s="124" t="str">
        <f>IFERROR(__xludf.DUMMYFUNCTION("""COMPUTED_VALUE"""),"Enrolled")</f>
        <v>Enrolled</v>
      </c>
      <c r="G2089" s="124" t="str">
        <f>IFERROR(__xludf.DUMMYFUNCTION("""COMPUTED_VALUE"""),"GS Foundation")</f>
        <v>GS Foundation</v>
      </c>
      <c r="K2089" s="124"/>
      <c r="L2089" s="124"/>
      <c r="M2089" s="124"/>
      <c r="N2089" s="124"/>
      <c r="O2089" s="124"/>
      <c r="T2089" s="126">
        <f>IFERROR(__xludf.DUMMYFUNCTION("""COMPUTED_VALUE"""),46099.0)</f>
        <v>46099</v>
      </c>
      <c r="U2089" s="124" t="str">
        <f>IFERROR(__xludf.DUMMYFUNCTION("""COMPUTED_VALUE"""),"Event")</f>
        <v>Event</v>
      </c>
      <c r="V2089" s="124" t="str">
        <f>IFERROR(__xludf.DUMMYFUNCTION("""COMPUTED_VALUE"""),"whatsapp")</f>
        <v>whatsapp</v>
      </c>
      <c r="W2089" s="124" t="str">
        <f>IFERROR(__xludf.DUMMYFUNCTION("""COMPUTED_VALUE"""),"api")</f>
        <v>api</v>
      </c>
      <c r="X2089" s="124" t="str">
        <f>IFERROR(__xludf.DUMMYFUNCTION("""COMPUTED_VALUE"""),"reply")</f>
        <v>reply</v>
      </c>
      <c r="Y2089" s="124" t="str">
        <f>IFERROR(__xludf.DUMMYFUNCTION("""COMPUTED_VALUE"""),"Delhi")</f>
        <v>Delhi</v>
      </c>
      <c r="Z2089" s="124">
        <f>IFERROR(__xludf.DUMMYFUNCTION("""COMPUTED_VALUE"""),1.0)</f>
        <v>1</v>
      </c>
      <c r="AA2089" s="124" t="str">
        <f>IFERROR(__xludf.DUMMYFUNCTION("""COMPUTED_VALUE"""),"Cold")</f>
        <v>Cold</v>
      </c>
      <c r="AB2089" s="124"/>
    </row>
    <row r="2090">
      <c r="A2090" s="126">
        <f>IFERROR(__xludf.DUMMYFUNCTION("""COMPUTED_VALUE"""),46071.0)</f>
        <v>46071</v>
      </c>
      <c r="B2090" s="124" t="str">
        <f>IFERROR(__xludf.DUMMYFUNCTION("""COMPUTED_VALUE"""),"Walkin")</f>
        <v>Walkin</v>
      </c>
      <c r="C2090" s="124" t="str">
        <f>IFERROR(__xludf.DUMMYFUNCTION("""COMPUTED_VALUE"""),"Prayagraj")</f>
        <v>Prayagraj</v>
      </c>
      <c r="D2090" s="124" t="str">
        <f>IFERROR(__xludf.DUMMYFUNCTION("""COMPUTED_VALUE"""),"Primary_Walkin")</f>
        <v>Primary_Walkin</v>
      </c>
      <c r="E2090" s="124">
        <f>IFERROR(__xludf.DUMMYFUNCTION("""COMPUTED_VALUE"""),1.0)</f>
        <v>1</v>
      </c>
      <c r="F2090" s="124" t="str">
        <f>IFERROR(__xludf.DUMMYFUNCTION("""COMPUTED_VALUE"""),"Not Interested")</f>
        <v>Not Interested</v>
      </c>
      <c r="G2090" s="124" t="str">
        <f>IFERROR(__xludf.DUMMYFUNCTION("""COMPUTED_VALUE"""),"State PCS")</f>
        <v>State PCS</v>
      </c>
      <c r="K2090" s="124"/>
      <c r="L2090" s="124"/>
      <c r="M2090" s="124"/>
      <c r="N2090" s="124"/>
      <c r="O2090" s="124"/>
      <c r="T2090" s="126">
        <f>IFERROR(__xludf.DUMMYFUNCTION("""COMPUTED_VALUE"""),46043.0)</f>
        <v>46043</v>
      </c>
      <c r="U2090" s="124" t="str">
        <f>IFERROR(__xludf.DUMMYFUNCTION("""COMPUTED_VALUE"""),"Event")</f>
        <v>Event</v>
      </c>
      <c r="V2090" s="124" t="str">
        <f>IFERROR(__xludf.DUMMYFUNCTION("""COMPUTED_VALUE"""),"whatsapp")</f>
        <v>whatsapp</v>
      </c>
      <c r="W2090" s="124" t="str">
        <f>IFERROR(__xludf.DUMMYFUNCTION("""COMPUTED_VALUE"""),"api")</f>
        <v>api</v>
      </c>
      <c r="X2090" s="124" t="str">
        <f>IFERROR(__xludf.DUMMYFUNCTION("""COMPUTED_VALUE"""),"reply")</f>
        <v>reply</v>
      </c>
      <c r="Y2090" s="124"/>
      <c r="Z2090" s="124">
        <f>IFERROR(__xludf.DUMMYFUNCTION("""COMPUTED_VALUE"""),1.0)</f>
        <v>1</v>
      </c>
      <c r="AA2090" s="124" t="str">
        <f>IFERROR(__xludf.DUMMYFUNCTION("""COMPUTED_VALUE"""),"Cold")</f>
        <v>Cold</v>
      </c>
      <c r="AB2090" s="124"/>
    </row>
    <row r="2091">
      <c r="A2091" s="126">
        <f>IFERROR(__xludf.DUMMYFUNCTION("""COMPUTED_VALUE"""),46079.0)</f>
        <v>46079</v>
      </c>
      <c r="B2091" s="124" t="str">
        <f>IFERROR(__xludf.DUMMYFUNCTION("""COMPUTED_VALUE"""),"Walkin")</f>
        <v>Walkin</v>
      </c>
      <c r="C2091" s="124" t="str">
        <f>IFERROR(__xludf.DUMMYFUNCTION("""COMPUTED_VALUE"""),"Prayagraj")</f>
        <v>Prayagraj</v>
      </c>
      <c r="D2091" s="124" t="str">
        <f>IFERROR(__xludf.DUMMYFUNCTION("""COMPUTED_VALUE"""),"Primary_Walkin")</f>
        <v>Primary_Walkin</v>
      </c>
      <c r="E2091" s="124">
        <f>IFERROR(__xludf.DUMMYFUNCTION("""COMPUTED_VALUE"""),3.0)</f>
        <v>3</v>
      </c>
      <c r="F2091" s="124" t="str">
        <f>IFERROR(__xludf.DUMMYFUNCTION("""COMPUTED_VALUE"""),"Future Prospects")</f>
        <v>Future Prospects</v>
      </c>
      <c r="G2091" s="124" t="str">
        <f>IFERROR(__xludf.DUMMYFUNCTION("""COMPUTED_VALUE"""),"GS Foundation")</f>
        <v>GS Foundation</v>
      </c>
      <c r="K2091" s="124"/>
      <c r="L2091" s="124"/>
      <c r="M2091" s="124"/>
      <c r="N2091" s="124"/>
      <c r="O2091" s="124"/>
      <c r="T2091" s="129">
        <f>IFERROR(__xludf.DUMMYFUNCTION("""COMPUTED_VALUE"""),46067.0)</f>
        <v>46067</v>
      </c>
      <c r="U2091" s="124" t="str">
        <f>IFERROR(__xludf.DUMMYFUNCTION("""COMPUTED_VALUE"""),"Event")</f>
        <v>Event</v>
      </c>
      <c r="V2091" s="124" t="str">
        <f>IFERROR(__xludf.DUMMYFUNCTION("""COMPUTED_VALUE"""),"whatsapp")</f>
        <v>whatsapp</v>
      </c>
      <c r="W2091" s="124" t="str">
        <f>IFERROR(__xludf.DUMMYFUNCTION("""COMPUTED_VALUE"""),"api")</f>
        <v>api</v>
      </c>
      <c r="X2091" s="124" t="str">
        <f>IFERROR(__xludf.DUMMYFUNCTION("""COMPUTED_VALUE"""),"reply")</f>
        <v>reply</v>
      </c>
      <c r="Y2091" s="124"/>
      <c r="Z2091" s="124">
        <f>IFERROR(__xludf.DUMMYFUNCTION("""COMPUTED_VALUE"""),3.0)</f>
        <v>3</v>
      </c>
      <c r="AA2091" s="124" t="str">
        <f>IFERROR(__xludf.DUMMYFUNCTION("""COMPUTED_VALUE"""),"Cold")</f>
        <v>Cold</v>
      </c>
      <c r="AB2091" s="124"/>
    </row>
    <row r="2092">
      <c r="A2092" s="129">
        <f>IFERROR(__xludf.DUMMYFUNCTION("""COMPUTED_VALUE"""),46057.0)</f>
        <v>46057</v>
      </c>
      <c r="B2092" s="124" t="str">
        <f>IFERROR(__xludf.DUMMYFUNCTION("""COMPUTED_VALUE"""),"Walkin")</f>
        <v>Walkin</v>
      </c>
      <c r="C2092" s="124" t="str">
        <f>IFERROR(__xludf.DUMMYFUNCTION("""COMPUTED_VALUE"""),"Prayagraj")</f>
        <v>Prayagraj</v>
      </c>
      <c r="D2092" s="124" t="str">
        <f>IFERROR(__xludf.DUMMYFUNCTION("""COMPUTED_VALUE"""),"Primary_Walkin")</f>
        <v>Primary_Walkin</v>
      </c>
      <c r="E2092" s="124">
        <f>IFERROR(__xludf.DUMMYFUNCTION("""COMPUTED_VALUE"""),1.0)</f>
        <v>1</v>
      </c>
      <c r="F2092" s="124" t="str">
        <f>IFERROR(__xludf.DUMMYFUNCTION("""COMPUTED_VALUE"""),"Warm")</f>
        <v>Warm</v>
      </c>
      <c r="G2092" s="124" t="str">
        <f>IFERROR(__xludf.DUMMYFUNCTION("""COMPUTED_VALUE"""),"GS Foundation")</f>
        <v>GS Foundation</v>
      </c>
      <c r="K2092" s="124"/>
      <c r="L2092" s="124"/>
      <c r="M2092" s="124"/>
      <c r="N2092" s="124"/>
      <c r="O2092" s="124"/>
      <c r="T2092" s="129">
        <f>IFERROR(__xludf.DUMMYFUNCTION("""COMPUTED_VALUE"""),46091.0)</f>
        <v>46091</v>
      </c>
      <c r="U2092" s="124" t="str">
        <f>IFERROR(__xludf.DUMMYFUNCTION("""COMPUTED_VALUE"""),"Event")</f>
        <v>Event</v>
      </c>
      <c r="V2092" s="124" t="str">
        <f>IFERROR(__xludf.DUMMYFUNCTION("""COMPUTED_VALUE"""),"whatsapp")</f>
        <v>whatsapp</v>
      </c>
      <c r="W2092" s="124" t="str">
        <f>IFERROR(__xludf.DUMMYFUNCTION("""COMPUTED_VALUE"""),"api")</f>
        <v>api</v>
      </c>
      <c r="X2092" s="124" t="str">
        <f>IFERROR(__xludf.DUMMYFUNCTION("""COMPUTED_VALUE"""),"reply")</f>
        <v>reply</v>
      </c>
      <c r="Y2092" s="124"/>
      <c r="Z2092" s="124">
        <f>IFERROR(__xludf.DUMMYFUNCTION("""COMPUTED_VALUE"""),1.0)</f>
        <v>1</v>
      </c>
      <c r="AA2092" s="124" t="str">
        <f>IFERROR(__xludf.DUMMYFUNCTION("""COMPUTED_VALUE"""),"Cold")</f>
        <v>Cold</v>
      </c>
      <c r="AB2092" s="124" t="str">
        <f>IFERROR(__xludf.DUMMYFUNCTION("""COMPUTED_VALUE"""),"State PCS")</f>
        <v>State PCS</v>
      </c>
    </row>
    <row r="2093">
      <c r="A2093" s="126">
        <f>IFERROR(__xludf.DUMMYFUNCTION("""COMPUTED_VALUE"""),46103.0)</f>
        <v>46103</v>
      </c>
      <c r="B2093" s="124" t="str">
        <f>IFERROR(__xludf.DUMMYFUNCTION("""COMPUTED_VALUE"""),"Walk-In")</f>
        <v>Walk-In</v>
      </c>
      <c r="C2093" s="124" t="str">
        <f>IFERROR(__xludf.DUMMYFUNCTION("""COMPUTED_VALUE"""),"Prayagraj")</f>
        <v>Prayagraj</v>
      </c>
      <c r="D2093" s="124" t="str">
        <f>IFERROR(__xludf.DUMMYFUNCTION("""COMPUTED_VALUE"""),"Primary_Walkin")</f>
        <v>Primary_Walkin</v>
      </c>
      <c r="E2093" s="124">
        <f>IFERROR(__xludf.DUMMYFUNCTION("""COMPUTED_VALUE"""),1.0)</f>
        <v>1</v>
      </c>
      <c r="F2093" s="124" t="str">
        <f>IFERROR(__xludf.DUMMYFUNCTION("""COMPUTED_VALUE"""),"Cold")</f>
        <v>Cold</v>
      </c>
      <c r="G2093" s="124" t="str">
        <f>IFERROR(__xludf.DUMMYFUNCTION("""COMPUTED_VALUE"""),"Mentorship")</f>
        <v>Mentorship</v>
      </c>
      <c r="K2093" s="124"/>
      <c r="L2093" s="124"/>
      <c r="M2093" s="124"/>
      <c r="N2093" s="124"/>
      <c r="O2093" s="124"/>
      <c r="T2093" s="126">
        <f>IFERROR(__xludf.DUMMYFUNCTION("""COMPUTED_VALUE"""),46102.0)</f>
        <v>46102</v>
      </c>
      <c r="U2093" s="124" t="str">
        <f>IFERROR(__xludf.DUMMYFUNCTION("""COMPUTED_VALUE"""),"Paid Ads")</f>
        <v>Paid Ads</v>
      </c>
      <c r="V2093" s="124" t="str">
        <f>IFERROR(__xludf.DUMMYFUNCTION("""COMPUTED_VALUE"""),"Facebook")</f>
        <v>Facebook</v>
      </c>
      <c r="W2093" s="124" t="str">
        <f>IFERROR(__xludf.DUMMYFUNCTION("""COMPUTED_VALUE"""),"LeadAd")</f>
        <v>LeadAd</v>
      </c>
      <c r="X2093" s="124" t="str">
        <f>IFERROR(__xludf.DUMMYFUNCTION("""COMPUTED_VALUE"""),"Upsc_Lead_English_South_FB_Video")</f>
        <v>Upsc_Lead_English_South_FB_Video</v>
      </c>
      <c r="Y2093" s="124"/>
      <c r="Z2093" s="124">
        <f>IFERROR(__xludf.DUMMYFUNCTION("""COMPUTED_VALUE"""),1.0)</f>
        <v>1</v>
      </c>
      <c r="AA2093" s="124" t="str">
        <f>IFERROR(__xludf.DUMMYFUNCTION("""COMPUTED_VALUE"""),"Fake Lead")</f>
        <v>Fake Lead</v>
      </c>
      <c r="AB2093" s="124"/>
    </row>
    <row r="2094">
      <c r="A2094" s="129">
        <f>IFERROR(__xludf.DUMMYFUNCTION("""COMPUTED_VALUE"""),46090.0)</f>
        <v>46090</v>
      </c>
      <c r="B2094" s="124" t="str">
        <f>IFERROR(__xludf.DUMMYFUNCTION("""COMPUTED_VALUE"""),"Walk-In")</f>
        <v>Walk-In</v>
      </c>
      <c r="C2094" s="124" t="str">
        <f>IFERROR(__xludf.DUMMYFUNCTION("""COMPUTED_VALUE"""),"Prayagraj")</f>
        <v>Prayagraj</v>
      </c>
      <c r="D2094" s="124" t="str">
        <f>IFERROR(__xludf.DUMMYFUNCTION("""COMPUTED_VALUE"""),"Primary_Walkin")</f>
        <v>Primary_Walkin</v>
      </c>
      <c r="E2094" s="124">
        <f>IFERROR(__xludf.DUMMYFUNCTION("""COMPUTED_VALUE"""),1.0)</f>
        <v>1</v>
      </c>
      <c r="F2094" s="124" t="str">
        <f>IFERROR(__xludf.DUMMYFUNCTION("""COMPUTED_VALUE"""),"Future Prospects")</f>
        <v>Future Prospects</v>
      </c>
      <c r="G2094" s="124" t="str">
        <f>IFERROR(__xludf.DUMMYFUNCTION("""COMPUTED_VALUE"""),"GS Foundation")</f>
        <v>GS Foundation</v>
      </c>
      <c r="K2094" s="124"/>
      <c r="L2094" s="124"/>
      <c r="M2094" s="124"/>
      <c r="N2094" s="124"/>
      <c r="O2094" s="124"/>
      <c r="T2094" s="126">
        <f>IFERROR(__xludf.DUMMYFUNCTION("""COMPUTED_VALUE"""),46048.0)</f>
        <v>46048</v>
      </c>
      <c r="U2094" s="124" t="str">
        <f>IFERROR(__xludf.DUMMYFUNCTION("""COMPUTED_VALUE"""),"Event")</f>
        <v>Event</v>
      </c>
      <c r="V2094" s="124" t="str">
        <f>IFERROR(__xludf.DUMMYFUNCTION("""COMPUTED_VALUE"""),"whatsapp")</f>
        <v>whatsapp</v>
      </c>
      <c r="W2094" s="124" t="str">
        <f>IFERROR(__xludf.DUMMYFUNCTION("""COMPUTED_VALUE"""),"api")</f>
        <v>api</v>
      </c>
      <c r="X2094" s="124" t="str">
        <f>IFERROR(__xludf.DUMMYFUNCTION("""COMPUTED_VALUE"""),"reply")</f>
        <v>reply</v>
      </c>
      <c r="Y2094" s="124"/>
      <c r="Z2094" s="124">
        <f>IFERROR(__xludf.DUMMYFUNCTION("""COMPUTED_VALUE"""),1.0)</f>
        <v>1</v>
      </c>
      <c r="AA2094" s="124" t="str">
        <f>IFERROR(__xludf.DUMMYFUNCTION("""COMPUTED_VALUE"""),"Fake Lead")</f>
        <v>Fake Lead</v>
      </c>
      <c r="AB2094" s="124"/>
    </row>
    <row r="2095">
      <c r="A2095" s="126">
        <f>IFERROR(__xludf.DUMMYFUNCTION("""COMPUTED_VALUE"""),46110.0)</f>
        <v>46110</v>
      </c>
      <c r="B2095" s="124" t="str">
        <f>IFERROR(__xludf.DUMMYFUNCTION("""COMPUTED_VALUE"""),"Walkin")</f>
        <v>Walkin</v>
      </c>
      <c r="C2095" s="124" t="str">
        <f>IFERROR(__xludf.DUMMYFUNCTION("""COMPUTED_VALUE"""),"Prayagraj")</f>
        <v>Prayagraj</v>
      </c>
      <c r="D2095" s="124" t="str">
        <f>IFERROR(__xludf.DUMMYFUNCTION("""COMPUTED_VALUE"""),"Primary_Walkin")</f>
        <v>Primary_Walkin</v>
      </c>
      <c r="E2095" s="124">
        <f>IFERROR(__xludf.DUMMYFUNCTION("""COMPUTED_VALUE"""),1.0)</f>
        <v>1</v>
      </c>
      <c r="F2095" s="124" t="str">
        <f>IFERROR(__xludf.DUMMYFUNCTION("""COMPUTED_VALUE"""),"Interested")</f>
        <v>Interested</v>
      </c>
      <c r="G2095" s="124" t="str">
        <f>IFERROR(__xludf.DUMMYFUNCTION("""COMPUTED_VALUE"""),"State PCS")</f>
        <v>State PCS</v>
      </c>
      <c r="K2095" s="124"/>
      <c r="L2095" s="124"/>
      <c r="M2095" s="124"/>
      <c r="N2095" s="124"/>
      <c r="O2095" s="124"/>
      <c r="T2095" s="126">
        <f>IFERROR(__xludf.DUMMYFUNCTION("""COMPUTED_VALUE"""),46043.0)</f>
        <v>46043</v>
      </c>
      <c r="U2095" s="124" t="str">
        <f>IFERROR(__xludf.DUMMYFUNCTION("""COMPUTED_VALUE"""),"Event")</f>
        <v>Event</v>
      </c>
      <c r="V2095" s="124" t="str">
        <f>IFERROR(__xludf.DUMMYFUNCTION("""COMPUTED_VALUE"""),"whatsapp")</f>
        <v>whatsapp</v>
      </c>
      <c r="W2095" s="124" t="str">
        <f>IFERROR(__xludf.DUMMYFUNCTION("""COMPUTED_VALUE"""),"api")</f>
        <v>api</v>
      </c>
      <c r="X2095" s="124" t="str">
        <f>IFERROR(__xludf.DUMMYFUNCTION("""COMPUTED_VALUE"""),"reply")</f>
        <v>reply</v>
      </c>
      <c r="Y2095" s="124"/>
      <c r="Z2095" s="124">
        <f>IFERROR(__xludf.DUMMYFUNCTION("""COMPUTED_VALUE"""),1.0)</f>
        <v>1</v>
      </c>
      <c r="AA2095" s="124" t="str">
        <f>IFERROR(__xludf.DUMMYFUNCTION("""COMPUTED_VALUE"""),"Not Interested")</f>
        <v>Not Interested</v>
      </c>
      <c r="AB2095" s="124"/>
    </row>
    <row r="2096">
      <c r="A2096" s="126">
        <f>IFERROR(__xludf.DUMMYFUNCTION("""COMPUTED_VALUE"""),46077.0)</f>
        <v>46077</v>
      </c>
      <c r="B2096" s="124" t="str">
        <f>IFERROR(__xludf.DUMMYFUNCTION("""COMPUTED_VALUE"""),"Facebook")</f>
        <v>Facebook</v>
      </c>
      <c r="C2096" s="124" t="str">
        <f>IFERROR(__xludf.DUMMYFUNCTION("""COMPUTED_VALUE"""),"Prayagraj")</f>
        <v>Prayagraj</v>
      </c>
      <c r="D2096" s="124" t="str">
        <f>IFERROR(__xludf.DUMMYFUNCTION("""COMPUTED_VALUE"""),"Secondary_Walkin")</f>
        <v>Secondary_Walkin</v>
      </c>
      <c r="E2096" s="124">
        <f>IFERROR(__xludf.DUMMYFUNCTION("""COMPUTED_VALUE"""),1.0)</f>
        <v>1</v>
      </c>
      <c r="F2096" s="124" t="str">
        <f>IFERROR(__xludf.DUMMYFUNCTION("""COMPUTED_VALUE"""),"Future Prospects")</f>
        <v>Future Prospects</v>
      </c>
      <c r="G2096" s="124" t="str">
        <f>IFERROR(__xludf.DUMMYFUNCTION("""COMPUTED_VALUE"""),"GS Foundation")</f>
        <v>GS Foundation</v>
      </c>
      <c r="K2096" s="124"/>
      <c r="L2096" s="124"/>
      <c r="M2096" s="124"/>
      <c r="N2096" s="124"/>
      <c r="O2096" s="124"/>
      <c r="T2096" s="126">
        <f>IFERROR(__xludf.DUMMYFUNCTION("""COMPUTED_VALUE"""),46100.0)</f>
        <v>46100</v>
      </c>
      <c r="U2096" s="124" t="str">
        <f>IFERROR(__xludf.DUMMYFUNCTION("""COMPUTED_VALUE"""),"External Leads")</f>
        <v>External Leads</v>
      </c>
      <c r="V2096" s="124" t="str">
        <f>IFERROR(__xludf.DUMMYFUNCTION("""COMPUTED_VALUE"""),"Outbound Call")</f>
        <v>Outbound Call</v>
      </c>
      <c r="W2096" s="124" t="str">
        <f>IFERROR(__xludf.DUMMYFUNCTION("""COMPUTED_VALUE"""),"Outbound Call")</f>
        <v>Outbound Call</v>
      </c>
      <c r="X2096" s="124" t="str">
        <f>IFERROR(__xludf.DUMMYFUNCTION("""COMPUTED_VALUE"""),"Outbound Call")</f>
        <v>Outbound Call</v>
      </c>
      <c r="Y2096" s="124"/>
      <c r="Z2096" s="124">
        <f>IFERROR(__xludf.DUMMYFUNCTION("""COMPUTED_VALUE"""),6.0)</f>
        <v>6</v>
      </c>
      <c r="AA2096" s="124"/>
      <c r="AB2096" s="124"/>
    </row>
    <row r="2097">
      <c r="A2097" s="129">
        <f>IFERROR(__xludf.DUMMYFUNCTION("""COMPUTED_VALUE"""),46082.0)</f>
        <v>46082</v>
      </c>
      <c r="B2097" s="124" t="str">
        <f>IFERROR(__xludf.DUMMYFUNCTION("""COMPUTED_VALUE"""),"Walkin")</f>
        <v>Walkin</v>
      </c>
      <c r="C2097" s="124" t="str">
        <f>IFERROR(__xludf.DUMMYFUNCTION("""COMPUTED_VALUE"""),"Prayagraj")</f>
        <v>Prayagraj</v>
      </c>
      <c r="D2097" s="124" t="str">
        <f>IFERROR(__xludf.DUMMYFUNCTION("""COMPUTED_VALUE"""),"Primary_Walkin")</f>
        <v>Primary_Walkin</v>
      </c>
      <c r="E2097" s="124">
        <f>IFERROR(__xludf.DUMMYFUNCTION("""COMPUTED_VALUE"""),1.0)</f>
        <v>1</v>
      </c>
      <c r="F2097" s="124" t="str">
        <f>IFERROR(__xludf.DUMMYFUNCTION("""COMPUTED_VALUE"""),"Enrolled")</f>
        <v>Enrolled</v>
      </c>
      <c r="G2097" s="124" t="str">
        <f>IFERROR(__xludf.DUMMYFUNCTION("""COMPUTED_VALUE"""),"GS Foundation")</f>
        <v>GS Foundation</v>
      </c>
      <c r="K2097" s="124"/>
      <c r="L2097" s="124"/>
      <c r="M2097" s="124"/>
      <c r="N2097" s="124"/>
      <c r="O2097" s="124"/>
      <c r="T2097" s="126">
        <f>IFERROR(__xludf.DUMMYFUNCTION("""COMPUTED_VALUE"""),46093.0)</f>
        <v>46093</v>
      </c>
      <c r="U2097" s="124" t="str">
        <f>IFERROR(__xludf.DUMMYFUNCTION("""COMPUTED_VALUE"""),"External Leads")</f>
        <v>External Leads</v>
      </c>
      <c r="V2097" s="124" t="str">
        <f>IFERROR(__xludf.DUMMYFUNCTION("""COMPUTED_VALUE"""),"Outbound Call")</f>
        <v>Outbound Call</v>
      </c>
      <c r="W2097" s="124" t="str">
        <f>IFERROR(__xludf.DUMMYFUNCTION("""COMPUTED_VALUE"""),"Outbound Call")</f>
        <v>Outbound Call</v>
      </c>
      <c r="X2097" s="124" t="str">
        <f>IFERROR(__xludf.DUMMYFUNCTION("""COMPUTED_VALUE"""),"Outbound Call")</f>
        <v>Outbound Call</v>
      </c>
      <c r="Y2097" s="124" t="str">
        <f>IFERROR(__xludf.DUMMYFUNCTION("""COMPUTED_VALUE"""),"Prayagraj")</f>
        <v>Prayagraj</v>
      </c>
      <c r="Z2097" s="124">
        <f>IFERROR(__xludf.DUMMYFUNCTION("""COMPUTED_VALUE"""),1.0)</f>
        <v>1</v>
      </c>
      <c r="AA2097" s="124" t="str">
        <f>IFERROR(__xludf.DUMMYFUNCTION("""COMPUTED_VALUE"""),"Enrolled")</f>
        <v>Enrolled</v>
      </c>
      <c r="AB2097" s="124" t="str">
        <f>IFERROR(__xludf.DUMMYFUNCTION("""COMPUTED_VALUE"""),"GS Foundation")</f>
        <v>GS Foundation</v>
      </c>
    </row>
    <row r="2098">
      <c r="A2098" s="126">
        <f>IFERROR(__xludf.DUMMYFUNCTION("""COMPUTED_VALUE"""),46067.0)</f>
        <v>46067</v>
      </c>
      <c r="B2098" s="124" t="str">
        <f>IFERROR(__xludf.DUMMYFUNCTION("""COMPUTED_VALUE"""),"Walkin")</f>
        <v>Walkin</v>
      </c>
      <c r="C2098" s="124" t="str">
        <f>IFERROR(__xludf.DUMMYFUNCTION("""COMPUTED_VALUE"""),"Prayagraj")</f>
        <v>Prayagraj</v>
      </c>
      <c r="D2098" s="124" t="str">
        <f>IFERROR(__xludf.DUMMYFUNCTION("""COMPUTED_VALUE"""),"Primary_Walkin")</f>
        <v>Primary_Walkin</v>
      </c>
      <c r="E2098" s="124">
        <f>IFERROR(__xludf.DUMMYFUNCTION("""COMPUTED_VALUE"""),2.0)</f>
        <v>2</v>
      </c>
      <c r="F2098" s="124" t="str">
        <f>IFERROR(__xludf.DUMMYFUNCTION("""COMPUTED_VALUE"""),"Cold")</f>
        <v>Cold</v>
      </c>
      <c r="G2098" s="124" t="str">
        <f>IFERROR(__xludf.DUMMYFUNCTION("""COMPUTED_VALUE"""),"State PCS")</f>
        <v>State PCS</v>
      </c>
      <c r="K2098" s="124"/>
      <c r="L2098" s="124"/>
      <c r="M2098" s="124"/>
      <c r="N2098" s="124"/>
      <c r="O2098" s="124"/>
      <c r="T2098" s="126">
        <f>IFERROR(__xludf.DUMMYFUNCTION("""COMPUTED_VALUE"""),46112.0)</f>
        <v>46112</v>
      </c>
      <c r="U2098" s="124" t="str">
        <f>IFERROR(__xludf.DUMMYFUNCTION("""COMPUTED_VALUE"""),"Event")</f>
        <v>Event</v>
      </c>
      <c r="V2098" s="124" t="str">
        <f>IFERROR(__xludf.DUMMYFUNCTION("""COMPUTED_VALUE"""),"Events")</f>
        <v>Events</v>
      </c>
      <c r="W2098" s="124" t="str">
        <f>IFERROR(__xludf.DUMMYFUNCTION("""COMPUTED_VALUE"""),"All Centre")</f>
        <v>All Centre</v>
      </c>
      <c r="X2098" s="124" t="str">
        <f>IFERROR(__xludf.DUMMYFUNCTION("""COMPUTED_VALUE"""),"Generic")</f>
        <v>Generic</v>
      </c>
      <c r="Y2098" s="124" t="str">
        <f>IFERROR(__xludf.DUMMYFUNCTION("""COMPUTED_VALUE"""),"Delhi")</f>
        <v>Delhi</v>
      </c>
      <c r="Z2098" s="124">
        <f>IFERROR(__xludf.DUMMYFUNCTION("""COMPUTED_VALUE"""),2.0)</f>
        <v>2</v>
      </c>
      <c r="AA2098" s="124" t="str">
        <f>IFERROR(__xludf.DUMMYFUNCTION("""COMPUTED_VALUE"""),"Interested")</f>
        <v>Interested</v>
      </c>
      <c r="AB2098" s="124" t="str">
        <f>IFERROR(__xludf.DUMMYFUNCTION("""COMPUTED_VALUE"""),"GS Foundation")</f>
        <v>GS Foundation</v>
      </c>
    </row>
    <row r="2099">
      <c r="A2099" s="129">
        <f>IFERROR(__xludf.DUMMYFUNCTION("""COMPUTED_VALUE"""),46060.0)</f>
        <v>46060</v>
      </c>
      <c r="B2099" s="124" t="str">
        <f>IFERROR(__xludf.DUMMYFUNCTION("""COMPUTED_VALUE"""),"Walkin")</f>
        <v>Walkin</v>
      </c>
      <c r="C2099" s="124" t="str">
        <f>IFERROR(__xludf.DUMMYFUNCTION("""COMPUTED_VALUE"""),"Prayagraj")</f>
        <v>Prayagraj</v>
      </c>
      <c r="D2099" s="124" t="str">
        <f>IFERROR(__xludf.DUMMYFUNCTION("""COMPUTED_VALUE"""),"Primary_Walkin")</f>
        <v>Primary_Walkin</v>
      </c>
      <c r="E2099" s="124">
        <f>IFERROR(__xludf.DUMMYFUNCTION("""COMPUTED_VALUE"""),1.0)</f>
        <v>1</v>
      </c>
      <c r="F2099" s="124" t="str">
        <f>IFERROR(__xludf.DUMMYFUNCTION("""COMPUTED_VALUE"""),"Future Prospects")</f>
        <v>Future Prospects</v>
      </c>
      <c r="G2099" s="124" t="str">
        <f>IFERROR(__xludf.DUMMYFUNCTION("""COMPUTED_VALUE"""),"State PCS")</f>
        <v>State PCS</v>
      </c>
      <c r="K2099" s="124"/>
      <c r="L2099" s="124"/>
      <c r="M2099" s="124"/>
      <c r="N2099" s="124"/>
      <c r="O2099" s="124"/>
      <c r="T2099" s="126">
        <f>IFERROR(__xludf.DUMMYFUNCTION("""COMPUTED_VALUE"""),46052.0)</f>
        <v>46052</v>
      </c>
      <c r="U2099" s="124" t="str">
        <f>IFERROR(__xludf.DUMMYFUNCTION("""COMPUTED_VALUE"""),"Walk-Ins")</f>
        <v>Walk-Ins</v>
      </c>
      <c r="V2099" s="124" t="str">
        <f>IFERROR(__xludf.DUMMYFUNCTION("""COMPUTED_VALUE"""),"Walk-In")</f>
        <v>Walk-In</v>
      </c>
      <c r="W2099" s="124" t="str">
        <f>IFERROR(__xludf.DUMMYFUNCTION("""COMPUTED_VALUE"""),"Patna")</f>
        <v>Patna</v>
      </c>
      <c r="X2099" s="124" t="str">
        <f>IFERROR(__xludf.DUMMYFUNCTION("""COMPUTED_VALUE"""),"Akash")</f>
        <v>Akash</v>
      </c>
      <c r="Y2099" s="124"/>
      <c r="Z2099" s="124">
        <f>IFERROR(__xludf.DUMMYFUNCTION("""COMPUTED_VALUE"""),2.0)</f>
        <v>2</v>
      </c>
      <c r="AA2099" s="124" t="str">
        <f>IFERROR(__xludf.DUMMYFUNCTION("""COMPUTED_VALUE"""),"Cold")</f>
        <v>Cold</v>
      </c>
      <c r="AB2099" s="124" t="str">
        <f>IFERROR(__xludf.DUMMYFUNCTION("""COMPUTED_VALUE"""),"GS Foundation")</f>
        <v>GS Foundation</v>
      </c>
    </row>
    <row r="2100">
      <c r="A2100" s="126">
        <f>IFERROR(__xludf.DUMMYFUNCTION("""COMPUTED_VALUE"""),46097.0)</f>
        <v>46097</v>
      </c>
      <c r="B2100" s="124" t="str">
        <f>IFERROR(__xludf.DUMMYFUNCTION("""COMPUTED_VALUE"""),"Walk-In")</f>
        <v>Walk-In</v>
      </c>
      <c r="C2100" s="124" t="str">
        <f>IFERROR(__xludf.DUMMYFUNCTION("""COMPUTED_VALUE"""),"Prayagraj")</f>
        <v>Prayagraj</v>
      </c>
      <c r="D2100" s="124" t="str">
        <f>IFERROR(__xludf.DUMMYFUNCTION("""COMPUTED_VALUE"""),"Primary_Walkin")</f>
        <v>Primary_Walkin</v>
      </c>
      <c r="E2100" s="124">
        <f>IFERROR(__xludf.DUMMYFUNCTION("""COMPUTED_VALUE"""),2.0)</f>
        <v>2</v>
      </c>
      <c r="F2100" s="124" t="str">
        <f>IFERROR(__xludf.DUMMYFUNCTION("""COMPUTED_VALUE"""),"Cold")</f>
        <v>Cold</v>
      </c>
      <c r="G2100" s="124" t="str">
        <f>IFERROR(__xludf.DUMMYFUNCTION("""COMPUTED_VALUE"""),"State PCS")</f>
        <v>State PCS</v>
      </c>
      <c r="K2100" s="124"/>
      <c r="L2100" s="124"/>
      <c r="M2100" s="124"/>
      <c r="N2100" s="124"/>
      <c r="O2100" s="124"/>
      <c r="T2100" s="126">
        <f>IFERROR(__xludf.DUMMYFUNCTION("""COMPUTED_VALUE"""),46047.0)</f>
        <v>46047</v>
      </c>
      <c r="U2100" s="124" t="str">
        <f>IFERROR(__xludf.DUMMYFUNCTION("""COMPUTED_VALUE"""),"Event")</f>
        <v>Event</v>
      </c>
      <c r="V2100" s="124" t="str">
        <f>IFERROR(__xludf.DUMMYFUNCTION("""COMPUTED_VALUE"""),"Events")</f>
        <v>Events</v>
      </c>
      <c r="W2100" s="124" t="str">
        <f>IFERROR(__xludf.DUMMYFUNCTION("""COMPUTED_VALUE"""),"Delhi")</f>
        <v>Delhi</v>
      </c>
      <c r="X2100" s="124" t="str">
        <f>IFERROR(__xludf.DUMMYFUNCTION("""COMPUTED_VALUE"""),"DRCSEMINAR(CTC)")</f>
        <v>DRCSEMINAR(CTC)</v>
      </c>
      <c r="Y2100" s="124" t="str">
        <f>IFERROR(__xludf.DUMMYFUNCTION("""COMPUTED_VALUE"""),"Delhi")</f>
        <v>Delhi</v>
      </c>
      <c r="Z2100" s="124">
        <f>IFERROR(__xludf.DUMMYFUNCTION("""COMPUTED_VALUE"""),1.0)</f>
        <v>1</v>
      </c>
      <c r="AA2100" s="124" t="str">
        <f>IFERROR(__xludf.DUMMYFUNCTION("""COMPUTED_VALUE"""),"Cold")</f>
        <v>Cold</v>
      </c>
      <c r="AB2100" s="124" t="str">
        <f>IFERROR(__xludf.DUMMYFUNCTION("""COMPUTED_VALUE"""),"Optionals")</f>
        <v>Optionals</v>
      </c>
    </row>
    <row r="2101">
      <c r="A2101" s="126">
        <f>IFERROR(__xludf.DUMMYFUNCTION("""COMPUTED_VALUE"""),46052.0)</f>
        <v>46052</v>
      </c>
      <c r="B2101" s="124" t="str">
        <f>IFERROR(__xludf.DUMMYFUNCTION("""COMPUTED_VALUE"""),"Walk-In")</f>
        <v>Walk-In</v>
      </c>
      <c r="C2101" s="124" t="str">
        <f>IFERROR(__xludf.DUMMYFUNCTION("""COMPUTED_VALUE"""),"Prayagraj")</f>
        <v>Prayagraj</v>
      </c>
      <c r="D2101" s="124" t="str">
        <f>IFERROR(__xludf.DUMMYFUNCTION("""COMPUTED_VALUE"""),"Primary_Walkin")</f>
        <v>Primary_Walkin</v>
      </c>
      <c r="E2101" s="124">
        <f>IFERROR(__xludf.DUMMYFUNCTION("""COMPUTED_VALUE"""),1.0)</f>
        <v>1</v>
      </c>
      <c r="F2101" s="124" t="str">
        <f>IFERROR(__xludf.DUMMYFUNCTION("""COMPUTED_VALUE"""),"Cold")</f>
        <v>Cold</v>
      </c>
      <c r="G2101" s="124" t="str">
        <f>IFERROR(__xludf.DUMMYFUNCTION("""COMPUTED_VALUE"""),"GS Foundation")</f>
        <v>GS Foundation</v>
      </c>
      <c r="K2101" s="124"/>
      <c r="L2101" s="124"/>
      <c r="M2101" s="124"/>
      <c r="N2101" s="124"/>
      <c r="O2101" s="124"/>
      <c r="T2101" s="126">
        <f>IFERROR(__xludf.DUMMYFUNCTION("""COMPUTED_VALUE"""),46057.0)</f>
        <v>46057</v>
      </c>
      <c r="U2101" s="124" t="str">
        <f>IFERROR(__xludf.DUMMYFUNCTION("""COMPUTED_VALUE"""),"Event")</f>
        <v>Event</v>
      </c>
      <c r="V2101" s="124" t="str">
        <f>IFERROR(__xludf.DUMMYFUNCTION("""COMPUTED_VALUE"""),"Events")</f>
        <v>Events</v>
      </c>
      <c r="W2101" s="124" t="str">
        <f>IFERROR(__xludf.DUMMYFUNCTION("""COMPUTED_VALUE"""),"All Centre")</f>
        <v>All Centre</v>
      </c>
      <c r="X2101" s="124" t="str">
        <f>IFERROR(__xludf.DUMMYFUNCTION("""COMPUTED_VALUE"""),"Generic")</f>
        <v>Generic</v>
      </c>
      <c r="Y2101" s="124" t="str">
        <f>IFERROR(__xludf.DUMMYFUNCTION("""COMPUTED_VALUE"""),"Delhi")</f>
        <v>Delhi</v>
      </c>
      <c r="Z2101" s="124">
        <f>IFERROR(__xludf.DUMMYFUNCTION("""COMPUTED_VALUE"""),1.0)</f>
        <v>1</v>
      </c>
      <c r="AA2101" s="124" t="str">
        <f>IFERROR(__xludf.DUMMYFUNCTION("""COMPUTED_VALUE"""),"Cold")</f>
        <v>Cold</v>
      </c>
      <c r="AB2101" s="124" t="str">
        <f>IFERROR(__xludf.DUMMYFUNCTION("""COMPUTED_VALUE"""),"Optionals")</f>
        <v>Optionals</v>
      </c>
    </row>
    <row r="2102">
      <c r="A2102" s="126">
        <f>IFERROR(__xludf.DUMMYFUNCTION("""COMPUTED_VALUE"""),46070.0)</f>
        <v>46070</v>
      </c>
      <c r="B2102" s="124" t="str">
        <f>IFERROR(__xludf.DUMMYFUNCTION("""COMPUTED_VALUE"""),"Walk-In")</f>
        <v>Walk-In</v>
      </c>
      <c r="C2102" s="124" t="str">
        <f>IFERROR(__xludf.DUMMYFUNCTION("""COMPUTED_VALUE"""),"Prayagraj")</f>
        <v>Prayagraj</v>
      </c>
      <c r="D2102" s="124" t="str">
        <f>IFERROR(__xludf.DUMMYFUNCTION("""COMPUTED_VALUE"""),"Primary_Walkin")</f>
        <v>Primary_Walkin</v>
      </c>
      <c r="E2102" s="124">
        <f>IFERROR(__xludf.DUMMYFUNCTION("""COMPUTED_VALUE"""),1.0)</f>
        <v>1</v>
      </c>
      <c r="F2102" s="124" t="str">
        <f>IFERROR(__xludf.DUMMYFUNCTION("""COMPUTED_VALUE"""),"Enrolled")</f>
        <v>Enrolled</v>
      </c>
      <c r="G2102" s="124" t="str">
        <f>IFERROR(__xludf.DUMMYFUNCTION("""COMPUTED_VALUE"""),"State PCS")</f>
        <v>State PCS</v>
      </c>
      <c r="K2102" s="124"/>
      <c r="L2102" s="124"/>
      <c r="M2102" s="124"/>
      <c r="N2102" s="124"/>
      <c r="O2102" s="124"/>
      <c r="T2102" s="126">
        <f>IFERROR(__xludf.DUMMYFUNCTION("""COMPUTED_VALUE"""),46078.0)</f>
        <v>46078</v>
      </c>
      <c r="U2102" s="124" t="str">
        <f>IFERROR(__xludf.DUMMYFUNCTION("""COMPUTED_VALUE"""),"Event")</f>
        <v>Event</v>
      </c>
      <c r="V2102" s="124" t="str">
        <f>IFERROR(__xludf.DUMMYFUNCTION("""COMPUTED_VALUE"""),"Events")</f>
        <v>Events</v>
      </c>
      <c r="W2102" s="124" t="str">
        <f>IFERROR(__xludf.DUMMYFUNCTION("""COMPUTED_VALUE"""),"All Centre")</f>
        <v>All Centre</v>
      </c>
      <c r="X2102" s="124" t="str">
        <f>IFERROR(__xludf.DUMMYFUNCTION("""COMPUTED_VALUE"""),"Generic")</f>
        <v>Generic</v>
      </c>
      <c r="Y2102" s="124" t="str">
        <f>IFERROR(__xludf.DUMMYFUNCTION("""COMPUTED_VALUE"""),"Delhi")</f>
        <v>Delhi</v>
      </c>
      <c r="Z2102" s="124">
        <f>IFERROR(__xludf.DUMMYFUNCTION("""COMPUTED_VALUE"""),4.0)</f>
        <v>4</v>
      </c>
      <c r="AA2102" s="124" t="str">
        <f>IFERROR(__xludf.DUMMYFUNCTION("""COMPUTED_VALUE"""),"Cold")</f>
        <v>Cold</v>
      </c>
      <c r="AB2102" s="124" t="str">
        <f>IFERROR(__xludf.DUMMYFUNCTION("""COMPUTED_VALUE"""),"Other")</f>
        <v>Other</v>
      </c>
    </row>
    <row r="2103">
      <c r="A2103" s="126">
        <f>IFERROR(__xludf.DUMMYFUNCTION("""COMPUTED_VALUE"""),46104.0)</f>
        <v>46104</v>
      </c>
      <c r="B2103" s="124" t="str">
        <f>IFERROR(__xludf.DUMMYFUNCTION("""COMPUTED_VALUE"""),"Walk-In")</f>
        <v>Walk-In</v>
      </c>
      <c r="C2103" s="124" t="str">
        <f>IFERROR(__xludf.DUMMYFUNCTION("""COMPUTED_VALUE"""),"Prayagraj")</f>
        <v>Prayagraj</v>
      </c>
      <c r="D2103" s="124" t="str">
        <f>IFERROR(__xludf.DUMMYFUNCTION("""COMPUTED_VALUE"""),"Primary_Walkin")</f>
        <v>Primary_Walkin</v>
      </c>
      <c r="E2103" s="124">
        <f>IFERROR(__xludf.DUMMYFUNCTION("""COMPUTED_VALUE"""),1.0)</f>
        <v>1</v>
      </c>
      <c r="F2103" s="124" t="str">
        <f>IFERROR(__xludf.DUMMYFUNCTION("""COMPUTED_VALUE"""),"Interested")</f>
        <v>Interested</v>
      </c>
      <c r="G2103" s="124" t="str">
        <f>IFERROR(__xludf.DUMMYFUNCTION("""COMPUTED_VALUE"""),"State PCS")</f>
        <v>State PCS</v>
      </c>
      <c r="K2103" s="124"/>
      <c r="L2103" s="124"/>
      <c r="M2103" s="124"/>
      <c r="N2103" s="124"/>
      <c r="O2103" s="124"/>
      <c r="T2103" s="126">
        <f>IFERROR(__xludf.DUMMYFUNCTION("""COMPUTED_VALUE"""),46077.0)</f>
        <v>46077</v>
      </c>
      <c r="U2103" s="124" t="str">
        <f>IFERROR(__xludf.DUMMYFUNCTION("""COMPUTED_VALUE"""),"Event")</f>
        <v>Event</v>
      </c>
      <c r="V2103" s="124" t="str">
        <f>IFERROR(__xludf.DUMMYFUNCTION("""COMPUTED_VALUE"""),"Events")</f>
        <v>Events</v>
      </c>
      <c r="W2103" s="124" t="str">
        <f>IFERROR(__xludf.DUMMYFUNCTION("""COMPUTED_VALUE"""),"All Centre")</f>
        <v>All Centre</v>
      </c>
      <c r="X2103" s="124" t="str">
        <f>IFERROR(__xludf.DUMMYFUNCTION("""COMPUTED_VALUE"""),"Generic")</f>
        <v>Generic</v>
      </c>
      <c r="Y2103" s="124" t="str">
        <f>IFERROR(__xludf.DUMMYFUNCTION("""COMPUTED_VALUE"""),"Delhi")</f>
        <v>Delhi</v>
      </c>
      <c r="Z2103" s="124">
        <f>IFERROR(__xludf.DUMMYFUNCTION("""COMPUTED_VALUE"""),1.0)</f>
        <v>1</v>
      </c>
      <c r="AA2103" s="124" t="str">
        <f>IFERROR(__xludf.DUMMYFUNCTION("""COMPUTED_VALUE"""),"Not Interested")</f>
        <v>Not Interested</v>
      </c>
      <c r="AB2103" s="124" t="str">
        <f>IFERROR(__xludf.DUMMYFUNCTION("""COMPUTED_VALUE"""),"IGP UPPSC")</f>
        <v>IGP UPPSC</v>
      </c>
    </row>
    <row r="2104">
      <c r="A2104" s="126">
        <f>IFERROR(__xludf.DUMMYFUNCTION("""COMPUTED_VALUE"""),46111.0)</f>
        <v>46111</v>
      </c>
      <c r="B2104" s="124" t="str">
        <f>IFERROR(__xludf.DUMMYFUNCTION("""COMPUTED_VALUE"""),"Walkin")</f>
        <v>Walkin</v>
      </c>
      <c r="C2104" s="124" t="str">
        <f>IFERROR(__xludf.DUMMYFUNCTION("""COMPUTED_VALUE"""),"Prayagraj")</f>
        <v>Prayagraj</v>
      </c>
      <c r="D2104" s="124" t="str">
        <f>IFERROR(__xludf.DUMMYFUNCTION("""COMPUTED_VALUE"""),"Primary_Walkin")</f>
        <v>Primary_Walkin</v>
      </c>
      <c r="E2104" s="124">
        <f>IFERROR(__xludf.DUMMYFUNCTION("""COMPUTED_VALUE"""),1.0)</f>
        <v>1</v>
      </c>
      <c r="F2104" s="124" t="str">
        <f>IFERROR(__xludf.DUMMYFUNCTION("""COMPUTED_VALUE"""),"Enrolled")</f>
        <v>Enrolled</v>
      </c>
      <c r="G2104" s="124" t="str">
        <f>IFERROR(__xludf.DUMMYFUNCTION("""COMPUTED_VALUE"""),"Mentorship")</f>
        <v>Mentorship</v>
      </c>
      <c r="K2104" s="124"/>
      <c r="L2104" s="124"/>
      <c r="M2104" s="124"/>
      <c r="N2104" s="124"/>
      <c r="O2104" s="124"/>
      <c r="T2104" s="126">
        <f>IFERROR(__xludf.DUMMYFUNCTION("""COMPUTED_VALUE"""),46078.0)</f>
        <v>46078</v>
      </c>
      <c r="U2104" s="124" t="str">
        <f>IFERROR(__xludf.DUMMYFUNCTION("""COMPUTED_VALUE"""),"Event")</f>
        <v>Event</v>
      </c>
      <c r="V2104" s="124" t="str">
        <f>IFERROR(__xludf.DUMMYFUNCTION("""COMPUTED_VALUE"""),"Events")</f>
        <v>Events</v>
      </c>
      <c r="W2104" s="124" t="str">
        <f>IFERROR(__xludf.DUMMYFUNCTION("""COMPUTED_VALUE"""),"All Centre")</f>
        <v>All Centre</v>
      </c>
      <c r="X2104" s="124" t="str">
        <f>IFERROR(__xludf.DUMMYFUNCTION("""COMPUTED_VALUE"""),"Generic")</f>
        <v>Generic</v>
      </c>
      <c r="Y2104" s="124" t="str">
        <f>IFERROR(__xludf.DUMMYFUNCTION("""COMPUTED_VALUE"""),"Guwahati")</f>
        <v>Guwahati</v>
      </c>
      <c r="Z2104" s="124">
        <f>IFERROR(__xludf.DUMMYFUNCTION("""COMPUTED_VALUE"""),1.0)</f>
        <v>1</v>
      </c>
      <c r="AA2104" s="124"/>
      <c r="AB2104" s="124" t="str">
        <f>IFERROR(__xludf.DUMMYFUNCTION("""COMPUTED_VALUE"""),"GS Foundation")</f>
        <v>GS Foundation</v>
      </c>
    </row>
    <row r="2105">
      <c r="A2105" s="129">
        <f>IFERROR(__xludf.DUMMYFUNCTION("""COMPUTED_VALUE"""),46058.0)</f>
        <v>46058</v>
      </c>
      <c r="B2105" s="124" t="str">
        <f>IFERROR(__xludf.DUMMYFUNCTION("""COMPUTED_VALUE"""),"Walk-In")</f>
        <v>Walk-In</v>
      </c>
      <c r="C2105" s="124" t="str">
        <f>IFERROR(__xludf.DUMMYFUNCTION("""COMPUTED_VALUE"""),"Prayagraj")</f>
        <v>Prayagraj</v>
      </c>
      <c r="D2105" s="124" t="str">
        <f>IFERROR(__xludf.DUMMYFUNCTION("""COMPUTED_VALUE"""),"Primary_Walkin")</f>
        <v>Primary_Walkin</v>
      </c>
      <c r="E2105" s="124">
        <f>IFERROR(__xludf.DUMMYFUNCTION("""COMPUTED_VALUE"""),1.0)</f>
        <v>1</v>
      </c>
      <c r="F2105" s="124" t="str">
        <f>IFERROR(__xludf.DUMMYFUNCTION("""COMPUTED_VALUE"""),"Enrolled")</f>
        <v>Enrolled</v>
      </c>
      <c r="G2105" s="124" t="str">
        <f>IFERROR(__xludf.DUMMYFUNCTION("""COMPUTED_VALUE"""),"Mentorship")</f>
        <v>Mentorship</v>
      </c>
      <c r="K2105" s="124"/>
      <c r="L2105" s="124"/>
      <c r="M2105" s="124"/>
      <c r="N2105" s="124"/>
      <c r="O2105" s="124"/>
      <c r="T2105" s="129">
        <f>IFERROR(__xludf.DUMMYFUNCTION("""COMPUTED_VALUE"""),46101.0)</f>
        <v>46101</v>
      </c>
      <c r="U2105" s="124" t="str">
        <f>IFERROR(__xludf.DUMMYFUNCTION("""COMPUTED_VALUE"""),"Walk-Ins")</f>
        <v>Walk-Ins</v>
      </c>
      <c r="V2105" s="124" t="str">
        <f>IFERROR(__xludf.DUMMYFUNCTION("""COMPUTED_VALUE"""),"Walk-In")</f>
        <v>Walk-In</v>
      </c>
      <c r="W2105" s="124" t="str">
        <f>IFERROR(__xludf.DUMMYFUNCTION("""COMPUTED_VALUE"""),"Patna")</f>
        <v>Patna</v>
      </c>
      <c r="X2105" s="124" t="str">
        <f>IFERROR(__xludf.DUMMYFUNCTION("""COMPUTED_VALUE"""),"Akash")</f>
        <v>Akash</v>
      </c>
      <c r="Y2105" s="124"/>
      <c r="Z2105" s="124">
        <f>IFERROR(__xludf.DUMMYFUNCTION("""COMPUTED_VALUE"""),1.0)</f>
        <v>1</v>
      </c>
      <c r="AA2105" s="124" t="str">
        <f>IFERROR(__xludf.DUMMYFUNCTION("""COMPUTED_VALUE"""),"Enrolled")</f>
        <v>Enrolled</v>
      </c>
      <c r="AB2105" s="124" t="str">
        <f>IFERROR(__xludf.DUMMYFUNCTION("""COMPUTED_VALUE"""),"State PCS")</f>
        <v>State PCS</v>
      </c>
    </row>
    <row r="2106">
      <c r="A2106" s="129">
        <f>IFERROR(__xludf.DUMMYFUNCTION("""COMPUTED_VALUE"""),46090.0)</f>
        <v>46090</v>
      </c>
      <c r="B2106" s="124" t="str">
        <f>IFERROR(__xludf.DUMMYFUNCTION("""COMPUTED_VALUE"""),"Walk-In")</f>
        <v>Walk-In</v>
      </c>
      <c r="C2106" s="124" t="str">
        <f>IFERROR(__xludf.DUMMYFUNCTION("""COMPUTED_VALUE"""),"Prayagraj")</f>
        <v>Prayagraj</v>
      </c>
      <c r="D2106" s="124" t="str">
        <f>IFERROR(__xludf.DUMMYFUNCTION("""COMPUTED_VALUE"""),"Primary_Walkin")</f>
        <v>Primary_Walkin</v>
      </c>
      <c r="E2106" s="124">
        <f>IFERROR(__xludf.DUMMYFUNCTION("""COMPUTED_VALUE"""),1.0)</f>
        <v>1</v>
      </c>
      <c r="F2106" s="124" t="str">
        <f>IFERROR(__xludf.DUMMYFUNCTION("""COMPUTED_VALUE"""),"Interested")</f>
        <v>Interested</v>
      </c>
      <c r="G2106" s="124" t="str">
        <f>IFERROR(__xludf.DUMMYFUNCTION("""COMPUTED_VALUE"""),"GS Foundation")</f>
        <v>GS Foundation</v>
      </c>
      <c r="K2106" s="124"/>
      <c r="L2106" s="124"/>
      <c r="M2106" s="124"/>
      <c r="N2106" s="124"/>
      <c r="O2106" s="124"/>
      <c r="T2106" s="126">
        <f>IFERROR(__xludf.DUMMYFUNCTION("""COMPUTED_VALUE"""),46063.0)</f>
        <v>46063</v>
      </c>
      <c r="U2106" s="124" t="str">
        <f>IFERROR(__xludf.DUMMYFUNCTION("""COMPUTED_VALUE"""),"Event")</f>
        <v>Event</v>
      </c>
      <c r="V2106" s="124" t="str">
        <f>IFERROR(__xludf.DUMMYFUNCTION("""COMPUTED_VALUE"""),"Events")</f>
        <v>Events</v>
      </c>
      <c r="W2106" s="124" t="str">
        <f>IFERROR(__xludf.DUMMYFUNCTION("""COMPUTED_VALUE"""),"All Centre")</f>
        <v>All Centre</v>
      </c>
      <c r="X2106" s="124" t="str">
        <f>IFERROR(__xludf.DUMMYFUNCTION("""COMPUTED_VALUE"""),"Generic")</f>
        <v>Generic</v>
      </c>
      <c r="Y2106" s="124" t="str">
        <f>IFERROR(__xludf.DUMMYFUNCTION("""COMPUTED_VALUE"""),"Delhi")</f>
        <v>Delhi</v>
      </c>
      <c r="Z2106" s="124">
        <f>IFERROR(__xludf.DUMMYFUNCTION("""COMPUTED_VALUE"""),3.0)</f>
        <v>3</v>
      </c>
      <c r="AA2106" s="124" t="str">
        <f>IFERROR(__xludf.DUMMYFUNCTION("""COMPUTED_VALUE"""),"Cold")</f>
        <v>Cold</v>
      </c>
      <c r="AB2106" s="124" t="str">
        <f>IFERROR(__xludf.DUMMYFUNCTION("""COMPUTED_VALUE"""),"CSAT")</f>
        <v>CSAT</v>
      </c>
    </row>
    <row r="2107">
      <c r="A2107" s="126">
        <f>IFERROR(__xludf.DUMMYFUNCTION("""COMPUTED_VALUE"""),46100.0)</f>
        <v>46100</v>
      </c>
      <c r="B2107" s="124" t="str">
        <f>IFERROR(__xludf.DUMMYFUNCTION("""COMPUTED_VALUE"""),"Walk-In")</f>
        <v>Walk-In</v>
      </c>
      <c r="C2107" s="124" t="str">
        <f>IFERROR(__xludf.DUMMYFUNCTION("""COMPUTED_VALUE"""),"Prayagraj")</f>
        <v>Prayagraj</v>
      </c>
      <c r="D2107" s="124" t="str">
        <f>IFERROR(__xludf.DUMMYFUNCTION("""COMPUTED_VALUE"""),"Primary_Walkin")</f>
        <v>Primary_Walkin</v>
      </c>
      <c r="E2107" s="124">
        <f>IFERROR(__xludf.DUMMYFUNCTION("""COMPUTED_VALUE"""),1.0)</f>
        <v>1</v>
      </c>
      <c r="F2107" s="124" t="str">
        <f>IFERROR(__xludf.DUMMYFUNCTION("""COMPUTED_VALUE"""),"Enrolled")</f>
        <v>Enrolled</v>
      </c>
      <c r="G2107" s="124" t="str">
        <f>IFERROR(__xludf.DUMMYFUNCTION("""COMPUTED_VALUE"""),"GS Foundation")</f>
        <v>GS Foundation</v>
      </c>
      <c r="K2107" s="124"/>
      <c r="L2107" s="124"/>
      <c r="M2107" s="124"/>
      <c r="N2107" s="124"/>
      <c r="O2107" s="124"/>
      <c r="T2107" s="126">
        <f>IFERROR(__xludf.DUMMYFUNCTION("""COMPUTED_VALUE"""),46077.0)</f>
        <v>46077</v>
      </c>
      <c r="U2107" s="124" t="str">
        <f>IFERROR(__xludf.DUMMYFUNCTION("""COMPUTED_VALUE"""),"Event")</f>
        <v>Event</v>
      </c>
      <c r="V2107" s="124" t="str">
        <f>IFERROR(__xludf.DUMMYFUNCTION("""COMPUTED_VALUE"""),"Events")</f>
        <v>Events</v>
      </c>
      <c r="W2107" s="124" t="str">
        <f>IFERROR(__xludf.DUMMYFUNCTION("""COMPUTED_VALUE"""),"All Centre")</f>
        <v>All Centre</v>
      </c>
      <c r="X2107" s="124" t="str">
        <f>IFERROR(__xludf.DUMMYFUNCTION("""COMPUTED_VALUE"""),"Generic")</f>
        <v>Generic</v>
      </c>
      <c r="Y2107" s="124" t="str">
        <f>IFERROR(__xludf.DUMMYFUNCTION("""COMPUTED_VALUE"""),"Delhi")</f>
        <v>Delhi</v>
      </c>
      <c r="Z2107" s="124">
        <f>IFERROR(__xludf.DUMMYFUNCTION("""COMPUTED_VALUE"""),3.0)</f>
        <v>3</v>
      </c>
      <c r="AA2107" s="124" t="str">
        <f>IFERROR(__xludf.DUMMYFUNCTION("""COMPUTED_VALUE"""),"Engaged")</f>
        <v>Engaged</v>
      </c>
      <c r="AB2107" s="124" t="str">
        <f>IFERROR(__xludf.DUMMYFUNCTION("""COMPUTED_VALUE"""),"CSAT")</f>
        <v>CSAT</v>
      </c>
    </row>
    <row r="2108">
      <c r="A2108" s="129">
        <f>IFERROR(__xludf.DUMMYFUNCTION("""COMPUTED_VALUE"""),46083.0)</f>
        <v>46083</v>
      </c>
      <c r="B2108" s="124" t="str">
        <f>IFERROR(__xludf.DUMMYFUNCTION("""COMPUTED_VALUE"""),"Walk-In")</f>
        <v>Walk-In</v>
      </c>
      <c r="C2108" s="124" t="str">
        <f>IFERROR(__xludf.DUMMYFUNCTION("""COMPUTED_VALUE"""),"Prayagraj")</f>
        <v>Prayagraj</v>
      </c>
      <c r="D2108" s="124" t="str">
        <f>IFERROR(__xludf.DUMMYFUNCTION("""COMPUTED_VALUE"""),"Primary_Walkin")</f>
        <v>Primary_Walkin</v>
      </c>
      <c r="E2108" s="124">
        <f>IFERROR(__xludf.DUMMYFUNCTION("""COMPUTED_VALUE"""),1.0)</f>
        <v>1</v>
      </c>
      <c r="F2108" s="124" t="str">
        <f>IFERROR(__xludf.DUMMYFUNCTION("""COMPUTED_VALUE"""),"Warm")</f>
        <v>Warm</v>
      </c>
      <c r="G2108" s="124" t="str">
        <f>IFERROR(__xludf.DUMMYFUNCTION("""COMPUTED_VALUE"""),"GS Foundation")</f>
        <v>GS Foundation</v>
      </c>
      <c r="K2108" s="124"/>
      <c r="L2108" s="124"/>
      <c r="M2108" s="124"/>
      <c r="N2108" s="124"/>
      <c r="O2108" s="124"/>
      <c r="T2108" s="126">
        <f>IFERROR(__xludf.DUMMYFUNCTION("""COMPUTED_VALUE"""),46056.0)</f>
        <v>46056</v>
      </c>
      <c r="U2108" s="124" t="str">
        <f>IFERROR(__xludf.DUMMYFUNCTION("""COMPUTED_VALUE"""),"Event")</f>
        <v>Event</v>
      </c>
      <c r="V2108" s="124" t="str">
        <f>IFERROR(__xludf.DUMMYFUNCTION("""COMPUTED_VALUE"""),"Events")</f>
        <v>Events</v>
      </c>
      <c r="W2108" s="124" t="str">
        <f>IFERROR(__xludf.DUMMYFUNCTION("""COMPUTED_VALUE"""),"All Centre")</f>
        <v>All Centre</v>
      </c>
      <c r="X2108" s="124" t="str">
        <f>IFERROR(__xludf.DUMMYFUNCTION("""COMPUTED_VALUE"""),"Generic")</f>
        <v>Generic</v>
      </c>
      <c r="Y2108" s="124" t="str">
        <f>IFERROR(__xludf.DUMMYFUNCTION("""COMPUTED_VALUE"""),"Delhi")</f>
        <v>Delhi</v>
      </c>
      <c r="Z2108" s="124">
        <f>IFERROR(__xludf.DUMMYFUNCTION("""COMPUTED_VALUE"""),2.0)</f>
        <v>2</v>
      </c>
      <c r="AA2108" s="124" t="str">
        <f>IFERROR(__xludf.DUMMYFUNCTION("""COMPUTED_VALUE"""),"Cold")</f>
        <v>Cold</v>
      </c>
      <c r="AB2108" s="124" t="str">
        <f>IFERROR(__xludf.DUMMYFUNCTION("""COMPUTED_VALUE"""),"Optionals")</f>
        <v>Optionals</v>
      </c>
    </row>
    <row r="2109">
      <c r="A2109" s="126">
        <f>IFERROR(__xludf.DUMMYFUNCTION("""COMPUTED_VALUE"""),46051.0)</f>
        <v>46051</v>
      </c>
      <c r="B2109" s="124" t="str">
        <f>IFERROR(__xludf.DUMMYFUNCTION("""COMPUTED_VALUE"""),"Walkin")</f>
        <v>Walkin</v>
      </c>
      <c r="C2109" s="124" t="str">
        <f>IFERROR(__xludf.DUMMYFUNCTION("""COMPUTED_VALUE"""),"Delhi")</f>
        <v>Delhi</v>
      </c>
      <c r="D2109" s="124" t="str">
        <f>IFERROR(__xludf.DUMMYFUNCTION("""COMPUTED_VALUE"""),"Primary_Walkin")</f>
        <v>Primary_Walkin</v>
      </c>
      <c r="E2109" s="124">
        <f>IFERROR(__xludf.DUMMYFUNCTION("""COMPUTED_VALUE"""),1.0)</f>
        <v>1</v>
      </c>
      <c r="F2109" s="124" t="str">
        <f>IFERROR(__xludf.DUMMYFUNCTION("""COMPUTED_VALUE"""),"Fake Lead")</f>
        <v>Fake Lead</v>
      </c>
      <c r="G2109" s="124" t="str">
        <f>IFERROR(__xludf.DUMMYFUNCTION("""COMPUTED_VALUE"""),"Other")</f>
        <v>Other</v>
      </c>
      <c r="K2109" s="124"/>
      <c r="L2109" s="124"/>
      <c r="M2109" s="124"/>
      <c r="N2109" s="124"/>
      <c r="O2109" s="124"/>
      <c r="T2109" s="126">
        <f>IFERROR(__xludf.DUMMYFUNCTION("""COMPUTED_VALUE"""),46057.0)</f>
        <v>46057</v>
      </c>
      <c r="U2109" s="124" t="str">
        <f>IFERROR(__xludf.DUMMYFUNCTION("""COMPUTED_VALUE"""),"Event")</f>
        <v>Event</v>
      </c>
      <c r="V2109" s="124" t="str">
        <f>IFERROR(__xludf.DUMMYFUNCTION("""COMPUTED_VALUE"""),"Events")</f>
        <v>Events</v>
      </c>
      <c r="W2109" s="124" t="str">
        <f>IFERROR(__xludf.DUMMYFUNCTION("""COMPUTED_VALUE"""),"All Centre")</f>
        <v>All Centre</v>
      </c>
      <c r="X2109" s="124" t="str">
        <f>IFERROR(__xludf.DUMMYFUNCTION("""COMPUTED_VALUE"""),"Generic")</f>
        <v>Generic</v>
      </c>
      <c r="Y2109" s="124" t="str">
        <f>IFERROR(__xludf.DUMMYFUNCTION("""COMPUTED_VALUE"""),"Delhi")</f>
        <v>Delhi</v>
      </c>
      <c r="Z2109" s="124">
        <f>IFERROR(__xludf.DUMMYFUNCTION("""COMPUTED_VALUE"""),1.0)</f>
        <v>1</v>
      </c>
      <c r="AA2109" s="124" t="str">
        <f>IFERROR(__xludf.DUMMYFUNCTION("""COMPUTED_VALUE"""),"Future Prospects")</f>
        <v>Future Prospects</v>
      </c>
      <c r="AB2109" s="124" t="str">
        <f>IFERROR(__xludf.DUMMYFUNCTION("""COMPUTED_VALUE"""),"State PCS")</f>
        <v>State PCS</v>
      </c>
    </row>
    <row r="2110">
      <c r="A2110" s="126">
        <f>IFERROR(__xludf.DUMMYFUNCTION("""COMPUTED_VALUE"""),46049.0)</f>
        <v>46049</v>
      </c>
      <c r="B2110" s="124" t="str">
        <f>IFERROR(__xludf.DUMMYFUNCTION("""COMPUTED_VALUE"""),"Walkin")</f>
        <v>Walkin</v>
      </c>
      <c r="C2110" s="124" t="str">
        <f>IFERROR(__xludf.DUMMYFUNCTION("""COMPUTED_VALUE"""),"Delhi")</f>
        <v>Delhi</v>
      </c>
      <c r="D2110" s="124" t="str">
        <f>IFERROR(__xludf.DUMMYFUNCTION("""COMPUTED_VALUE"""),"Primary_Walkin")</f>
        <v>Primary_Walkin</v>
      </c>
      <c r="E2110" s="124">
        <f>IFERROR(__xludf.DUMMYFUNCTION("""COMPUTED_VALUE"""),1.0)</f>
        <v>1</v>
      </c>
      <c r="F2110" s="124" t="str">
        <f>IFERROR(__xludf.DUMMYFUNCTION("""COMPUTED_VALUE"""),"Cold")</f>
        <v>Cold</v>
      </c>
      <c r="G2110" s="124" t="str">
        <f>IFERROR(__xludf.DUMMYFUNCTION("""COMPUTED_VALUE"""),"SIP Offline")</f>
        <v>SIP Offline</v>
      </c>
      <c r="K2110" s="124"/>
      <c r="L2110" s="124"/>
      <c r="M2110" s="124"/>
      <c r="N2110" s="124"/>
      <c r="O2110" s="124"/>
      <c r="T2110" s="126">
        <f>IFERROR(__xludf.DUMMYFUNCTION("""COMPUTED_VALUE"""),46078.0)</f>
        <v>46078</v>
      </c>
      <c r="U2110" s="124" t="str">
        <f>IFERROR(__xludf.DUMMYFUNCTION("""COMPUTED_VALUE"""),"Event")</f>
        <v>Event</v>
      </c>
      <c r="V2110" s="124" t="str">
        <f>IFERROR(__xludf.DUMMYFUNCTION("""COMPUTED_VALUE"""),"Events")</f>
        <v>Events</v>
      </c>
      <c r="W2110" s="124" t="str">
        <f>IFERROR(__xludf.DUMMYFUNCTION("""COMPUTED_VALUE"""),"All Centre")</f>
        <v>All Centre</v>
      </c>
      <c r="X2110" s="124" t="str">
        <f>IFERROR(__xludf.DUMMYFUNCTION("""COMPUTED_VALUE"""),"Generic")</f>
        <v>Generic</v>
      </c>
      <c r="Y2110" s="124" t="str">
        <f>IFERROR(__xludf.DUMMYFUNCTION("""COMPUTED_VALUE"""),"Delhi")</f>
        <v>Delhi</v>
      </c>
      <c r="Z2110" s="124">
        <f>IFERROR(__xludf.DUMMYFUNCTION("""COMPUTED_VALUE"""),6.0)</f>
        <v>6</v>
      </c>
      <c r="AA2110" s="124" t="str">
        <f>IFERROR(__xludf.DUMMYFUNCTION("""COMPUTED_VALUE"""),"Warm")</f>
        <v>Warm</v>
      </c>
      <c r="AB2110" s="124" t="str">
        <f>IFERROR(__xludf.DUMMYFUNCTION("""COMPUTED_VALUE"""),"Mentorship")</f>
        <v>Mentorship</v>
      </c>
    </row>
    <row r="2111">
      <c r="A2111" s="129">
        <f>IFERROR(__xludf.DUMMYFUNCTION("""COMPUTED_VALUE"""),46056.0)</f>
        <v>46056</v>
      </c>
      <c r="B2111" s="124" t="str">
        <f>IFERROR(__xludf.DUMMYFUNCTION("""COMPUTED_VALUE"""),"Inbound")</f>
        <v>Inbound</v>
      </c>
      <c r="C2111" s="124" t="str">
        <f>IFERROR(__xludf.DUMMYFUNCTION("""COMPUTED_VALUE"""),"Delhi")</f>
        <v>Delhi</v>
      </c>
      <c r="D2111" s="124" t="str">
        <f>IFERROR(__xludf.DUMMYFUNCTION("""COMPUTED_VALUE"""),"Secondary_Walkin")</f>
        <v>Secondary_Walkin</v>
      </c>
      <c r="E2111" s="124">
        <f>IFERROR(__xludf.DUMMYFUNCTION("""COMPUTED_VALUE"""),1.0)</f>
        <v>1</v>
      </c>
      <c r="F2111" s="124" t="str">
        <f>IFERROR(__xludf.DUMMYFUNCTION("""COMPUTED_VALUE"""),"Enrolled")</f>
        <v>Enrolled</v>
      </c>
      <c r="G2111" s="124" t="str">
        <f>IFERROR(__xludf.DUMMYFUNCTION("""COMPUTED_VALUE"""),"GS Foundation")</f>
        <v>GS Foundation</v>
      </c>
      <c r="K2111" s="124"/>
      <c r="L2111" s="124"/>
      <c r="M2111" s="124"/>
      <c r="N2111" s="124"/>
      <c r="O2111" s="124"/>
      <c r="T2111" s="126">
        <f>IFERROR(__xludf.DUMMYFUNCTION("""COMPUTED_VALUE"""),46057.0)</f>
        <v>46057</v>
      </c>
      <c r="U2111" s="124" t="str">
        <f>IFERROR(__xludf.DUMMYFUNCTION("""COMPUTED_VALUE"""),"Event")</f>
        <v>Event</v>
      </c>
      <c r="V2111" s="124" t="str">
        <f>IFERROR(__xludf.DUMMYFUNCTION("""COMPUTED_VALUE"""),"Events")</f>
        <v>Events</v>
      </c>
      <c r="W2111" s="124" t="str">
        <f>IFERROR(__xludf.DUMMYFUNCTION("""COMPUTED_VALUE"""),"All Centre")</f>
        <v>All Centre</v>
      </c>
      <c r="X2111" s="124" t="str">
        <f>IFERROR(__xludf.DUMMYFUNCTION("""COMPUTED_VALUE"""),"Generic")</f>
        <v>Generic</v>
      </c>
      <c r="Y2111" s="124" t="str">
        <f>IFERROR(__xludf.DUMMYFUNCTION("""COMPUTED_VALUE"""),"Delhi")</f>
        <v>Delhi</v>
      </c>
      <c r="Z2111" s="124">
        <f>IFERROR(__xludf.DUMMYFUNCTION("""COMPUTED_VALUE"""),2.0)</f>
        <v>2</v>
      </c>
      <c r="AA2111" s="124" t="str">
        <f>IFERROR(__xludf.DUMMYFUNCTION("""COMPUTED_VALUE"""),"Not Interested")</f>
        <v>Not Interested</v>
      </c>
      <c r="AB2111" s="124" t="str">
        <f>IFERROR(__xludf.DUMMYFUNCTION("""COMPUTED_VALUE"""),"GS Foundation")</f>
        <v>GS Foundation</v>
      </c>
    </row>
    <row r="2112">
      <c r="A2112" s="126">
        <f>IFERROR(__xludf.DUMMYFUNCTION("""COMPUTED_VALUE"""),46077.0)</f>
        <v>46077</v>
      </c>
      <c r="B2112" s="124" t="str">
        <f>IFERROR(__xludf.DUMMYFUNCTION("""COMPUTED_VALUE"""),"Walkin")</f>
        <v>Walkin</v>
      </c>
      <c r="C2112" s="124" t="str">
        <f>IFERROR(__xludf.DUMMYFUNCTION("""COMPUTED_VALUE"""),"Delhi")</f>
        <v>Delhi</v>
      </c>
      <c r="D2112" s="124" t="str">
        <f>IFERROR(__xludf.DUMMYFUNCTION("""COMPUTED_VALUE"""),"Primary_Walkin")</f>
        <v>Primary_Walkin</v>
      </c>
      <c r="E2112" s="124">
        <f>IFERROR(__xludf.DUMMYFUNCTION("""COMPUTED_VALUE"""),1.0)</f>
        <v>1</v>
      </c>
      <c r="F2112" s="124" t="str">
        <f>IFERROR(__xludf.DUMMYFUNCTION("""COMPUTED_VALUE"""),"Cold")</f>
        <v>Cold</v>
      </c>
      <c r="G2112" s="124" t="str">
        <f>IFERROR(__xludf.DUMMYFUNCTION("""COMPUTED_VALUE"""),"Other")</f>
        <v>Other</v>
      </c>
      <c r="K2112" s="124"/>
      <c r="L2112" s="124"/>
      <c r="M2112" s="124"/>
      <c r="N2112" s="124"/>
      <c r="O2112" s="124"/>
      <c r="T2112" s="126">
        <f>IFERROR(__xludf.DUMMYFUNCTION("""COMPUTED_VALUE"""),46101.0)</f>
        <v>46101</v>
      </c>
      <c r="U2112" s="124" t="str">
        <f>IFERROR(__xludf.DUMMYFUNCTION("""COMPUTED_VALUE"""),"Event")</f>
        <v>Event</v>
      </c>
      <c r="V2112" s="124" t="str">
        <f>IFERROR(__xludf.DUMMYFUNCTION("""COMPUTED_VALUE"""),"Events")</f>
        <v>Events</v>
      </c>
      <c r="W2112" s="124" t="str">
        <f>IFERROR(__xludf.DUMMYFUNCTION("""COMPUTED_VALUE"""),"All Centre")</f>
        <v>All Centre</v>
      </c>
      <c r="X2112" s="124" t="str">
        <f>IFERROR(__xludf.DUMMYFUNCTION("""COMPUTED_VALUE"""),"Generic")</f>
        <v>Generic</v>
      </c>
      <c r="Y2112" s="124" t="str">
        <f>IFERROR(__xludf.DUMMYFUNCTION("""COMPUTED_VALUE"""),"Delhi")</f>
        <v>Delhi</v>
      </c>
      <c r="Z2112" s="124">
        <f>IFERROR(__xludf.DUMMYFUNCTION("""COMPUTED_VALUE"""),1.0)</f>
        <v>1</v>
      </c>
      <c r="AA2112" s="124" t="str">
        <f>IFERROR(__xludf.DUMMYFUNCTION("""COMPUTED_VALUE"""),"Future Prospects")</f>
        <v>Future Prospects</v>
      </c>
      <c r="AB2112" s="124" t="str">
        <f>IFERROR(__xludf.DUMMYFUNCTION("""COMPUTED_VALUE"""),"GS Foundation")</f>
        <v>GS Foundation</v>
      </c>
    </row>
    <row r="2113">
      <c r="A2113" s="126">
        <f>IFERROR(__xludf.DUMMYFUNCTION("""COMPUTED_VALUE"""),46081.0)</f>
        <v>46081</v>
      </c>
      <c r="B2113" s="124" t="str">
        <f>IFERROR(__xludf.DUMMYFUNCTION("""COMPUTED_VALUE"""),"Walk-In")</f>
        <v>Walk-In</v>
      </c>
      <c r="C2113" s="124" t="str">
        <f>IFERROR(__xludf.DUMMYFUNCTION("""COMPUTED_VALUE"""),"Delhi")</f>
        <v>Delhi</v>
      </c>
      <c r="D2113" s="124" t="str">
        <f>IFERROR(__xludf.DUMMYFUNCTION("""COMPUTED_VALUE"""),"Primary_Walkin")</f>
        <v>Primary_Walkin</v>
      </c>
      <c r="E2113" s="124">
        <f>IFERROR(__xludf.DUMMYFUNCTION("""COMPUTED_VALUE"""),1.0)</f>
        <v>1</v>
      </c>
      <c r="F2113" s="124" t="str">
        <f>IFERROR(__xludf.DUMMYFUNCTION("""COMPUTED_VALUE"""),"Cold")</f>
        <v>Cold</v>
      </c>
      <c r="G2113" s="124" t="str">
        <f>IFERROR(__xludf.DUMMYFUNCTION("""COMPUTED_VALUE"""),"GS Foundation")</f>
        <v>GS Foundation</v>
      </c>
      <c r="K2113" s="124"/>
      <c r="L2113" s="124"/>
      <c r="M2113" s="124"/>
      <c r="N2113" s="124"/>
      <c r="O2113" s="124"/>
      <c r="T2113" s="126">
        <f>IFERROR(__xludf.DUMMYFUNCTION("""COMPUTED_VALUE"""),46047.0)</f>
        <v>46047</v>
      </c>
      <c r="U2113" s="124" t="str">
        <f>IFERROR(__xludf.DUMMYFUNCTION("""COMPUTED_VALUE"""),"Event")</f>
        <v>Event</v>
      </c>
      <c r="V2113" s="124" t="str">
        <f>IFERROR(__xludf.DUMMYFUNCTION("""COMPUTED_VALUE"""),"Events")</f>
        <v>Events</v>
      </c>
      <c r="W2113" s="124" t="str">
        <f>IFERROR(__xludf.DUMMYFUNCTION("""COMPUTED_VALUE"""),"Delhi")</f>
        <v>Delhi</v>
      </c>
      <c r="X2113" s="124" t="str">
        <f>IFERROR(__xludf.DUMMYFUNCTION("""COMPUTED_VALUE"""),"DRCSEMINAR(CTC)")</f>
        <v>DRCSEMINAR(CTC)</v>
      </c>
      <c r="Y2113" s="124" t="str">
        <f>IFERROR(__xludf.DUMMYFUNCTION("""COMPUTED_VALUE"""),"Delhi")</f>
        <v>Delhi</v>
      </c>
      <c r="Z2113" s="124">
        <f>IFERROR(__xludf.DUMMYFUNCTION("""COMPUTED_VALUE"""),1.0)</f>
        <v>1</v>
      </c>
      <c r="AA2113" s="124" t="str">
        <f>IFERROR(__xludf.DUMMYFUNCTION("""COMPUTED_VALUE"""),"Cold")</f>
        <v>Cold</v>
      </c>
      <c r="AB2113" s="124" t="str">
        <f>IFERROR(__xludf.DUMMYFUNCTION("""COMPUTED_VALUE"""),"CSAT")</f>
        <v>CSAT</v>
      </c>
    </row>
    <row r="2114">
      <c r="A2114" s="126">
        <f>IFERROR(__xludf.DUMMYFUNCTION("""COMPUTED_VALUE"""),46098.0)</f>
        <v>46098</v>
      </c>
      <c r="B2114" s="124" t="str">
        <f>IFERROR(__xludf.DUMMYFUNCTION("""COMPUTED_VALUE"""),"Walkin")</f>
        <v>Walkin</v>
      </c>
      <c r="C2114" s="124" t="str">
        <f>IFERROR(__xludf.DUMMYFUNCTION("""COMPUTED_VALUE"""),"Delhi")</f>
        <v>Delhi</v>
      </c>
      <c r="D2114" s="124" t="str">
        <f>IFERROR(__xludf.DUMMYFUNCTION("""COMPUTED_VALUE"""),"Primary_Walkin")</f>
        <v>Primary_Walkin</v>
      </c>
      <c r="E2114" s="124">
        <f>IFERROR(__xludf.DUMMYFUNCTION("""COMPUTED_VALUE"""),1.0)</f>
        <v>1</v>
      </c>
      <c r="F2114" s="124" t="str">
        <f>IFERROR(__xludf.DUMMYFUNCTION("""COMPUTED_VALUE"""),"Not Interested")</f>
        <v>Not Interested</v>
      </c>
      <c r="G2114" s="124" t="str">
        <f>IFERROR(__xludf.DUMMYFUNCTION("""COMPUTED_VALUE"""),"Mentorship")</f>
        <v>Mentorship</v>
      </c>
      <c r="K2114" s="124"/>
      <c r="L2114" s="124"/>
      <c r="M2114" s="124"/>
      <c r="N2114" s="124"/>
      <c r="O2114" s="124"/>
      <c r="T2114" s="126">
        <f>IFERROR(__xludf.DUMMYFUNCTION("""COMPUTED_VALUE"""),46065.0)</f>
        <v>46065</v>
      </c>
      <c r="U2114" s="124" t="str">
        <f>IFERROR(__xludf.DUMMYFUNCTION("""COMPUTED_VALUE"""),"Event")</f>
        <v>Event</v>
      </c>
      <c r="V2114" s="124" t="str">
        <f>IFERROR(__xludf.DUMMYFUNCTION("""COMPUTED_VALUE"""),"Events")</f>
        <v>Events</v>
      </c>
      <c r="W2114" s="124" t="str">
        <f>IFERROR(__xludf.DUMMYFUNCTION("""COMPUTED_VALUE"""),"All Centre")</f>
        <v>All Centre</v>
      </c>
      <c r="X2114" s="124" t="str">
        <f>IFERROR(__xludf.DUMMYFUNCTION("""COMPUTED_VALUE"""),"Generic")</f>
        <v>Generic</v>
      </c>
      <c r="Y2114" s="124" t="str">
        <f>IFERROR(__xludf.DUMMYFUNCTION("""COMPUTED_VALUE"""),"Delhi")</f>
        <v>Delhi</v>
      </c>
      <c r="Z2114" s="124">
        <f>IFERROR(__xludf.DUMMYFUNCTION("""COMPUTED_VALUE"""),1.0)</f>
        <v>1</v>
      </c>
      <c r="AA2114" s="124" t="str">
        <f>IFERROR(__xludf.DUMMYFUNCTION("""COMPUTED_VALUE"""),"Not Interested")</f>
        <v>Not Interested</v>
      </c>
      <c r="AB2114" s="124" t="str">
        <f>IFERROR(__xludf.DUMMYFUNCTION("""COMPUTED_VALUE"""),"Test Series")</f>
        <v>Test Series</v>
      </c>
    </row>
    <row r="2115">
      <c r="A2115" s="126">
        <f>IFERROR(__xludf.DUMMYFUNCTION("""COMPUTED_VALUE"""),46077.0)</f>
        <v>46077</v>
      </c>
      <c r="B2115" s="124" t="str">
        <f>IFERROR(__xludf.DUMMYFUNCTION("""COMPUTED_VALUE"""),"Walkin")</f>
        <v>Walkin</v>
      </c>
      <c r="C2115" s="124" t="str">
        <f>IFERROR(__xludf.DUMMYFUNCTION("""COMPUTED_VALUE"""),"Delhi")</f>
        <v>Delhi</v>
      </c>
      <c r="D2115" s="124" t="str">
        <f>IFERROR(__xludf.DUMMYFUNCTION("""COMPUTED_VALUE"""),"Primary_Walkin")</f>
        <v>Primary_Walkin</v>
      </c>
      <c r="E2115" s="124">
        <f>IFERROR(__xludf.DUMMYFUNCTION("""COMPUTED_VALUE"""),1.0)</f>
        <v>1</v>
      </c>
      <c r="F2115" s="124" t="str">
        <f>IFERROR(__xludf.DUMMYFUNCTION("""COMPUTED_VALUE"""),"Enrolled")</f>
        <v>Enrolled</v>
      </c>
      <c r="G2115" s="124" t="str">
        <f>IFERROR(__xludf.DUMMYFUNCTION("""COMPUTED_VALUE"""),"GS Foundation")</f>
        <v>GS Foundation</v>
      </c>
      <c r="K2115" s="124"/>
      <c r="L2115" s="124"/>
      <c r="M2115" s="124"/>
      <c r="N2115" s="124"/>
      <c r="O2115" s="124"/>
      <c r="T2115" s="126">
        <f>IFERROR(__xludf.DUMMYFUNCTION("""COMPUTED_VALUE"""),46077.0)</f>
        <v>46077</v>
      </c>
      <c r="U2115" s="124" t="str">
        <f>IFERROR(__xludf.DUMMYFUNCTION("""COMPUTED_VALUE"""),"Event")</f>
        <v>Event</v>
      </c>
      <c r="V2115" s="124" t="str">
        <f>IFERROR(__xludf.DUMMYFUNCTION("""COMPUTED_VALUE"""),"Events")</f>
        <v>Events</v>
      </c>
      <c r="W2115" s="124" t="str">
        <f>IFERROR(__xludf.DUMMYFUNCTION("""COMPUTED_VALUE"""),"All Centre")</f>
        <v>All Centre</v>
      </c>
      <c r="X2115" s="124" t="str">
        <f>IFERROR(__xludf.DUMMYFUNCTION("""COMPUTED_VALUE"""),"Generic")</f>
        <v>Generic</v>
      </c>
      <c r="Y2115" s="124" t="str">
        <f>IFERROR(__xludf.DUMMYFUNCTION("""COMPUTED_VALUE"""),"Delhi")</f>
        <v>Delhi</v>
      </c>
      <c r="Z2115" s="124">
        <f>IFERROR(__xludf.DUMMYFUNCTION("""COMPUTED_VALUE"""),1.0)</f>
        <v>1</v>
      </c>
      <c r="AA2115" s="124" t="str">
        <f>IFERROR(__xludf.DUMMYFUNCTION("""COMPUTED_VALUE"""),"Future Prospects")</f>
        <v>Future Prospects</v>
      </c>
      <c r="AB2115" s="124" t="str">
        <f>IFERROR(__xludf.DUMMYFUNCTION("""COMPUTED_VALUE"""),"SIP Offline")</f>
        <v>SIP Offline</v>
      </c>
    </row>
    <row r="2116">
      <c r="A2116" s="126">
        <f>IFERROR(__xludf.DUMMYFUNCTION("""COMPUTED_VALUE"""),46069.0)</f>
        <v>46069</v>
      </c>
      <c r="B2116" s="124" t="str">
        <f>IFERROR(__xludf.DUMMYFUNCTION("""COMPUTED_VALUE"""),"Walkin")</f>
        <v>Walkin</v>
      </c>
      <c r="C2116" s="124" t="str">
        <f>IFERROR(__xludf.DUMMYFUNCTION("""COMPUTED_VALUE"""),"Delhi")</f>
        <v>Delhi</v>
      </c>
      <c r="D2116" s="124" t="str">
        <f>IFERROR(__xludf.DUMMYFUNCTION("""COMPUTED_VALUE"""),"Primary_Walkin")</f>
        <v>Primary_Walkin</v>
      </c>
      <c r="E2116" s="124">
        <f>IFERROR(__xludf.DUMMYFUNCTION("""COMPUTED_VALUE"""),1.0)</f>
        <v>1</v>
      </c>
      <c r="F2116" s="124" t="str">
        <f>IFERROR(__xludf.DUMMYFUNCTION("""COMPUTED_VALUE"""),"Not Interested")</f>
        <v>Not Interested</v>
      </c>
      <c r="G2116" s="124" t="str">
        <f>IFERROR(__xludf.DUMMYFUNCTION("""COMPUTED_VALUE"""),"State PCS")</f>
        <v>State PCS</v>
      </c>
      <c r="K2116" s="124"/>
      <c r="L2116" s="124"/>
      <c r="M2116" s="124"/>
      <c r="N2116" s="124"/>
      <c r="O2116" s="124"/>
      <c r="T2116" s="126">
        <f>IFERROR(__xludf.DUMMYFUNCTION("""COMPUTED_VALUE"""),46065.0)</f>
        <v>46065</v>
      </c>
      <c r="U2116" s="124" t="str">
        <f>IFERROR(__xludf.DUMMYFUNCTION("""COMPUTED_VALUE"""),"Event")</f>
        <v>Event</v>
      </c>
      <c r="V2116" s="124" t="str">
        <f>IFERROR(__xludf.DUMMYFUNCTION("""COMPUTED_VALUE"""),"Events")</f>
        <v>Events</v>
      </c>
      <c r="W2116" s="124" t="str">
        <f>IFERROR(__xludf.DUMMYFUNCTION("""COMPUTED_VALUE"""),"All Centre")</f>
        <v>All Centre</v>
      </c>
      <c r="X2116" s="124" t="str">
        <f>IFERROR(__xludf.DUMMYFUNCTION("""COMPUTED_VALUE"""),"Generic")</f>
        <v>Generic</v>
      </c>
      <c r="Y2116" s="124" t="str">
        <f>IFERROR(__xludf.DUMMYFUNCTION("""COMPUTED_VALUE"""),"Delhi")</f>
        <v>Delhi</v>
      </c>
      <c r="Z2116" s="124">
        <f>IFERROR(__xludf.DUMMYFUNCTION("""COMPUTED_VALUE"""),7.0)</f>
        <v>7</v>
      </c>
      <c r="AA2116" s="124" t="str">
        <f>IFERROR(__xludf.DUMMYFUNCTION("""COMPUTED_VALUE"""),"Cold")</f>
        <v>Cold</v>
      </c>
      <c r="AB2116" s="124" t="str">
        <f>IFERROR(__xludf.DUMMYFUNCTION("""COMPUTED_VALUE"""),"Optionals")</f>
        <v>Optionals</v>
      </c>
    </row>
    <row r="2117">
      <c r="A2117" s="126">
        <f>IFERROR(__xludf.DUMMYFUNCTION("""COMPUTED_VALUE"""),46064.0)</f>
        <v>46064</v>
      </c>
      <c r="B2117" s="124" t="str">
        <f>IFERROR(__xludf.DUMMYFUNCTION("""COMPUTED_VALUE"""),"external leads")</f>
        <v>external leads</v>
      </c>
      <c r="C2117" s="124" t="str">
        <f>IFERROR(__xludf.DUMMYFUNCTION("""COMPUTED_VALUE"""),"Delhi")</f>
        <v>Delhi</v>
      </c>
      <c r="D2117" s="124" t="str">
        <f>IFERROR(__xludf.DUMMYFUNCTION("""COMPUTED_VALUE"""),"Secondary_Walkin")</f>
        <v>Secondary_Walkin</v>
      </c>
      <c r="E2117" s="124">
        <f>IFERROR(__xludf.DUMMYFUNCTION("""COMPUTED_VALUE"""),1.0)</f>
        <v>1</v>
      </c>
      <c r="F2117" s="124" t="str">
        <f>IFERROR(__xludf.DUMMYFUNCTION("""COMPUTED_VALUE"""),"Engaged")</f>
        <v>Engaged</v>
      </c>
      <c r="G2117" s="124" t="str">
        <f>IFERROR(__xludf.DUMMYFUNCTION("""COMPUTED_VALUE"""),"GS Foundation")</f>
        <v>GS Foundation</v>
      </c>
      <c r="K2117" s="124"/>
      <c r="L2117" s="124"/>
      <c r="M2117" s="124"/>
      <c r="N2117" s="124"/>
      <c r="O2117" s="124"/>
      <c r="T2117" s="129">
        <f>IFERROR(__xludf.DUMMYFUNCTION("""COMPUTED_VALUE"""),46078.0)</f>
        <v>46078</v>
      </c>
      <c r="U2117" s="124" t="str">
        <f>IFERROR(__xludf.DUMMYFUNCTION("""COMPUTED_VALUE"""),"Event")</f>
        <v>Event</v>
      </c>
      <c r="V2117" s="124" t="str">
        <f>IFERROR(__xludf.DUMMYFUNCTION("""COMPUTED_VALUE"""),"Events")</f>
        <v>Events</v>
      </c>
      <c r="W2117" s="124" t="str">
        <f>IFERROR(__xludf.DUMMYFUNCTION("""COMPUTED_VALUE"""),"All Centre")</f>
        <v>All Centre</v>
      </c>
      <c r="X2117" s="124" t="str">
        <f>IFERROR(__xludf.DUMMYFUNCTION("""COMPUTED_VALUE"""),"Generic")</f>
        <v>Generic</v>
      </c>
      <c r="Y2117" s="124" t="str">
        <f>IFERROR(__xludf.DUMMYFUNCTION("""COMPUTED_VALUE"""),"Delhi")</f>
        <v>Delhi</v>
      </c>
      <c r="Z2117" s="124">
        <f>IFERROR(__xludf.DUMMYFUNCTION("""COMPUTED_VALUE"""),3.0)</f>
        <v>3</v>
      </c>
      <c r="AA2117" s="124" t="str">
        <f>IFERROR(__xludf.DUMMYFUNCTION("""COMPUTED_VALUE"""),"Cold")</f>
        <v>Cold</v>
      </c>
      <c r="AB2117" s="124" t="str">
        <f>IFERROR(__xludf.DUMMYFUNCTION("""COMPUTED_VALUE"""),"State PCS")</f>
        <v>State PCS</v>
      </c>
    </row>
    <row r="2118">
      <c r="A2118" s="126">
        <f>IFERROR(__xludf.DUMMYFUNCTION("""COMPUTED_VALUE"""),46080.0)</f>
        <v>46080</v>
      </c>
      <c r="B2118" s="124" t="str">
        <f>IFERROR(__xludf.DUMMYFUNCTION("""COMPUTED_VALUE"""),"Walkin")</f>
        <v>Walkin</v>
      </c>
      <c r="C2118" s="124" t="str">
        <f>IFERROR(__xludf.DUMMYFUNCTION("""COMPUTED_VALUE"""),"Delhi")</f>
        <v>Delhi</v>
      </c>
      <c r="D2118" s="124" t="str">
        <f>IFERROR(__xludf.DUMMYFUNCTION("""COMPUTED_VALUE"""),"Primary_Walkin")</f>
        <v>Primary_Walkin</v>
      </c>
      <c r="E2118" s="124">
        <f>IFERROR(__xludf.DUMMYFUNCTION("""COMPUTED_VALUE"""),1.0)</f>
        <v>1</v>
      </c>
      <c r="F2118" s="124" t="str">
        <f>IFERROR(__xludf.DUMMYFUNCTION("""COMPUTED_VALUE"""),"Future Prospects")</f>
        <v>Future Prospects</v>
      </c>
      <c r="G2118" s="124" t="str">
        <f>IFERROR(__xludf.DUMMYFUNCTION("""COMPUTED_VALUE"""),"GS Foundation")</f>
        <v>GS Foundation</v>
      </c>
      <c r="K2118" s="124"/>
      <c r="L2118" s="124"/>
      <c r="M2118" s="124"/>
      <c r="N2118" s="124"/>
      <c r="O2118" s="124"/>
      <c r="T2118" s="126">
        <f>IFERROR(__xludf.DUMMYFUNCTION("""COMPUTED_VALUE"""),46065.0)</f>
        <v>46065</v>
      </c>
      <c r="U2118" s="124" t="str">
        <f>IFERROR(__xludf.DUMMYFUNCTION("""COMPUTED_VALUE"""),"Event")</f>
        <v>Event</v>
      </c>
      <c r="V2118" s="124" t="str">
        <f>IFERROR(__xludf.DUMMYFUNCTION("""COMPUTED_VALUE"""),"Events")</f>
        <v>Events</v>
      </c>
      <c r="W2118" s="124" t="str">
        <f>IFERROR(__xludf.DUMMYFUNCTION("""COMPUTED_VALUE"""),"All Centre")</f>
        <v>All Centre</v>
      </c>
      <c r="X2118" s="124" t="str">
        <f>IFERROR(__xludf.DUMMYFUNCTION("""COMPUTED_VALUE"""),"Generic")</f>
        <v>Generic</v>
      </c>
      <c r="Y2118" s="124" t="str">
        <f>IFERROR(__xludf.DUMMYFUNCTION("""COMPUTED_VALUE"""),"Indore")</f>
        <v>Indore</v>
      </c>
      <c r="Z2118" s="124">
        <f>IFERROR(__xludf.DUMMYFUNCTION("""COMPUTED_VALUE"""),1.0)</f>
        <v>1</v>
      </c>
      <c r="AA2118" s="124" t="str">
        <f>IFERROR(__xludf.DUMMYFUNCTION("""COMPUTED_VALUE"""),"Cold")</f>
        <v>Cold</v>
      </c>
      <c r="AB2118" s="124" t="str">
        <f>IFERROR(__xludf.DUMMYFUNCTION("""COMPUTED_VALUE"""),"IGP UPPSC")</f>
        <v>IGP UPPSC</v>
      </c>
    </row>
    <row r="2119">
      <c r="A2119" s="126">
        <f>IFERROR(__xludf.DUMMYFUNCTION("""COMPUTED_VALUE"""),46051.0)</f>
        <v>46051</v>
      </c>
      <c r="B2119" s="124" t="str">
        <f>IFERROR(__xludf.DUMMYFUNCTION("""COMPUTED_VALUE"""),"external leads")</f>
        <v>external leads</v>
      </c>
      <c r="C2119" s="124" t="str">
        <f>IFERROR(__xludf.DUMMYFUNCTION("""COMPUTED_VALUE"""),"Delhi")</f>
        <v>Delhi</v>
      </c>
      <c r="D2119" s="124" t="str">
        <f>IFERROR(__xludf.DUMMYFUNCTION("""COMPUTED_VALUE"""),"Secondary_Walkin")</f>
        <v>Secondary_Walkin</v>
      </c>
      <c r="E2119" s="124">
        <f>IFERROR(__xludf.DUMMYFUNCTION("""COMPUTED_VALUE"""),1.0)</f>
        <v>1</v>
      </c>
      <c r="F2119" s="124" t="str">
        <f>IFERROR(__xludf.DUMMYFUNCTION("""COMPUTED_VALUE"""),"Enrolled")</f>
        <v>Enrolled</v>
      </c>
      <c r="G2119" s="124" t="str">
        <f>IFERROR(__xludf.DUMMYFUNCTION("""COMPUTED_VALUE"""),"GS Foundation")</f>
        <v>GS Foundation</v>
      </c>
      <c r="K2119" s="124"/>
      <c r="L2119" s="124"/>
      <c r="M2119" s="124"/>
      <c r="N2119" s="124"/>
      <c r="O2119" s="124"/>
      <c r="T2119" s="126">
        <f>IFERROR(__xludf.DUMMYFUNCTION("""COMPUTED_VALUE"""),46052.0)</f>
        <v>46052</v>
      </c>
      <c r="U2119" s="124" t="str">
        <f>IFERROR(__xludf.DUMMYFUNCTION("""COMPUTED_VALUE"""),"Event")</f>
        <v>Event</v>
      </c>
      <c r="V2119" s="124" t="str">
        <f>IFERROR(__xludf.DUMMYFUNCTION("""COMPUTED_VALUE"""),"Events")</f>
        <v>Events</v>
      </c>
      <c r="W2119" s="124" t="str">
        <f>IFERROR(__xludf.DUMMYFUNCTION("""COMPUTED_VALUE"""),"Delhi")</f>
        <v>Delhi</v>
      </c>
      <c r="X2119" s="124" t="str">
        <f>IFERROR(__xludf.DUMMYFUNCTION("""COMPUTED_VALUE"""),"DRCSEMINAR(CTC)")</f>
        <v>DRCSEMINAR(CTC)</v>
      </c>
      <c r="Y2119" s="124"/>
      <c r="Z2119" s="124">
        <f>IFERROR(__xludf.DUMMYFUNCTION("""COMPUTED_VALUE"""),2.0)</f>
        <v>2</v>
      </c>
      <c r="AA2119" s="124" t="str">
        <f>IFERROR(__xludf.DUMMYFUNCTION("""COMPUTED_VALUE"""),"Fake Lead")</f>
        <v>Fake Lead</v>
      </c>
      <c r="AB2119" s="124"/>
    </row>
    <row r="2120">
      <c r="A2120" s="126">
        <f>IFERROR(__xludf.DUMMYFUNCTION("""COMPUTED_VALUE"""),46096.0)</f>
        <v>46096</v>
      </c>
      <c r="B2120" s="124" t="str">
        <f>IFERROR(__xludf.DUMMYFUNCTION("""COMPUTED_VALUE"""),"Walkin")</f>
        <v>Walkin</v>
      </c>
      <c r="C2120" s="124" t="str">
        <f>IFERROR(__xludf.DUMMYFUNCTION("""COMPUTED_VALUE"""),"Delhi")</f>
        <v>Delhi</v>
      </c>
      <c r="D2120" s="124" t="str">
        <f>IFERROR(__xludf.DUMMYFUNCTION("""COMPUTED_VALUE"""),"Primary_Walkin")</f>
        <v>Primary_Walkin</v>
      </c>
      <c r="E2120" s="124">
        <f>IFERROR(__xludf.DUMMYFUNCTION("""COMPUTED_VALUE"""),3.0)</f>
        <v>3</v>
      </c>
      <c r="F2120" s="124" t="str">
        <f>IFERROR(__xludf.DUMMYFUNCTION("""COMPUTED_VALUE"""),"Cold")</f>
        <v>Cold</v>
      </c>
      <c r="G2120" s="124" t="str">
        <f>IFERROR(__xludf.DUMMYFUNCTION("""COMPUTED_VALUE"""),"GS Foundation")</f>
        <v>GS Foundation</v>
      </c>
      <c r="K2120" s="124"/>
      <c r="L2120" s="124"/>
      <c r="M2120" s="124"/>
      <c r="N2120" s="124"/>
      <c r="O2120" s="124"/>
      <c r="T2120" s="126">
        <f>IFERROR(__xludf.DUMMYFUNCTION("""COMPUTED_VALUE"""),46056.0)</f>
        <v>46056</v>
      </c>
      <c r="U2120" s="124" t="str">
        <f>IFERROR(__xludf.DUMMYFUNCTION("""COMPUTED_VALUE"""),"Event")</f>
        <v>Event</v>
      </c>
      <c r="V2120" s="124" t="str">
        <f>IFERROR(__xludf.DUMMYFUNCTION("""COMPUTED_VALUE"""),"Events")</f>
        <v>Events</v>
      </c>
      <c r="W2120" s="124" t="str">
        <f>IFERROR(__xludf.DUMMYFUNCTION("""COMPUTED_VALUE"""),"All Centre")</f>
        <v>All Centre</v>
      </c>
      <c r="X2120" s="124" t="str">
        <f>IFERROR(__xludf.DUMMYFUNCTION("""COMPUTED_VALUE"""),"Generic")</f>
        <v>Generic</v>
      </c>
      <c r="Y2120" s="124" t="str">
        <f>IFERROR(__xludf.DUMMYFUNCTION("""COMPUTED_VALUE"""),"Delhi")</f>
        <v>Delhi</v>
      </c>
      <c r="Z2120" s="124">
        <f>IFERROR(__xludf.DUMMYFUNCTION("""COMPUTED_VALUE"""),1.0)</f>
        <v>1</v>
      </c>
      <c r="AA2120" s="124" t="str">
        <f>IFERROR(__xludf.DUMMYFUNCTION("""COMPUTED_VALUE"""),"Engaged")</f>
        <v>Engaged</v>
      </c>
      <c r="AB2120" s="124" t="str">
        <f>IFERROR(__xludf.DUMMYFUNCTION("""COMPUTED_VALUE"""),"Prelims Crash Course - SIP")</f>
        <v>Prelims Crash Course - SIP</v>
      </c>
    </row>
    <row r="2121">
      <c r="A2121" s="129">
        <f>IFERROR(__xludf.DUMMYFUNCTION("""COMPUTED_VALUE"""),46060.0)</f>
        <v>46060</v>
      </c>
      <c r="B2121" s="124" t="str">
        <f>IFERROR(__xludf.DUMMYFUNCTION("""COMPUTED_VALUE"""),"Walkin")</f>
        <v>Walkin</v>
      </c>
      <c r="C2121" s="124" t="str">
        <f>IFERROR(__xludf.DUMMYFUNCTION("""COMPUTED_VALUE"""),"Delhi")</f>
        <v>Delhi</v>
      </c>
      <c r="D2121" s="124" t="str">
        <f>IFERROR(__xludf.DUMMYFUNCTION("""COMPUTED_VALUE"""),"Primary_Walkin")</f>
        <v>Primary_Walkin</v>
      </c>
      <c r="E2121" s="124">
        <f>IFERROR(__xludf.DUMMYFUNCTION("""COMPUTED_VALUE"""),1.0)</f>
        <v>1</v>
      </c>
      <c r="F2121" s="124" t="str">
        <f>IFERROR(__xludf.DUMMYFUNCTION("""COMPUTED_VALUE"""),"Cold")</f>
        <v>Cold</v>
      </c>
      <c r="G2121" s="124" t="str">
        <f>IFERROR(__xludf.DUMMYFUNCTION("""COMPUTED_VALUE"""),"Test Series")</f>
        <v>Test Series</v>
      </c>
      <c r="K2121" s="124"/>
      <c r="L2121" s="124"/>
      <c r="M2121" s="124"/>
      <c r="N2121" s="124"/>
      <c r="O2121" s="124"/>
      <c r="T2121" s="126">
        <f>IFERROR(__xludf.DUMMYFUNCTION("""COMPUTED_VALUE"""),46057.0)</f>
        <v>46057</v>
      </c>
      <c r="U2121" s="124" t="str">
        <f>IFERROR(__xludf.DUMMYFUNCTION("""COMPUTED_VALUE"""),"Event")</f>
        <v>Event</v>
      </c>
      <c r="V2121" s="124" t="str">
        <f>IFERROR(__xludf.DUMMYFUNCTION("""COMPUTED_VALUE"""),"Events")</f>
        <v>Events</v>
      </c>
      <c r="W2121" s="124" t="str">
        <f>IFERROR(__xludf.DUMMYFUNCTION("""COMPUTED_VALUE"""),"All Centre")</f>
        <v>All Centre</v>
      </c>
      <c r="X2121" s="124" t="str">
        <f>IFERROR(__xludf.DUMMYFUNCTION("""COMPUTED_VALUE"""),"Generic")</f>
        <v>Generic</v>
      </c>
      <c r="Y2121" s="124" t="str">
        <f>IFERROR(__xludf.DUMMYFUNCTION("""COMPUTED_VALUE"""),"Delhi")</f>
        <v>Delhi</v>
      </c>
      <c r="Z2121" s="124">
        <f>IFERROR(__xludf.DUMMYFUNCTION("""COMPUTED_VALUE"""),1.0)</f>
        <v>1</v>
      </c>
      <c r="AA2121" s="124" t="str">
        <f>IFERROR(__xludf.DUMMYFUNCTION("""COMPUTED_VALUE"""),"Not Interested")</f>
        <v>Not Interested</v>
      </c>
      <c r="AB2121" s="124" t="str">
        <f>IFERROR(__xludf.DUMMYFUNCTION("""COMPUTED_VALUE"""),"Prelims Crash Course - SIP")</f>
        <v>Prelims Crash Course - SIP</v>
      </c>
    </row>
    <row r="2122">
      <c r="A2122" s="126">
        <f>IFERROR(__xludf.DUMMYFUNCTION("""COMPUTED_VALUE"""),46102.0)</f>
        <v>46102</v>
      </c>
      <c r="B2122" s="124" t="str">
        <f>IFERROR(__xludf.DUMMYFUNCTION("""COMPUTED_VALUE"""),"Walkin")</f>
        <v>Walkin</v>
      </c>
      <c r="C2122" s="124" t="str">
        <f>IFERROR(__xludf.DUMMYFUNCTION("""COMPUTED_VALUE"""),"Delhi")</f>
        <v>Delhi</v>
      </c>
      <c r="D2122" s="124" t="str">
        <f>IFERROR(__xludf.DUMMYFUNCTION("""COMPUTED_VALUE"""),"Primary_Walkin")</f>
        <v>Primary_Walkin</v>
      </c>
      <c r="E2122" s="124">
        <f>IFERROR(__xludf.DUMMYFUNCTION("""COMPUTED_VALUE"""),1.0)</f>
        <v>1</v>
      </c>
      <c r="F2122" s="124" t="str">
        <f>IFERROR(__xludf.DUMMYFUNCTION("""COMPUTED_VALUE"""),"Cold")</f>
        <v>Cold</v>
      </c>
      <c r="G2122" s="124" t="str">
        <f>IFERROR(__xludf.DUMMYFUNCTION("""COMPUTED_VALUE"""),"Optionals")</f>
        <v>Optionals</v>
      </c>
      <c r="K2122" s="124"/>
      <c r="L2122" s="124"/>
      <c r="M2122" s="124"/>
      <c r="N2122" s="124"/>
      <c r="O2122" s="124"/>
      <c r="T2122" s="126">
        <f>IFERROR(__xludf.DUMMYFUNCTION("""COMPUTED_VALUE"""),46059.0)</f>
        <v>46059</v>
      </c>
      <c r="U2122" s="124" t="str">
        <f>IFERROR(__xludf.DUMMYFUNCTION("""COMPUTED_VALUE"""),"External Leads")</f>
        <v>External Leads</v>
      </c>
      <c r="V2122" s="124" t="str">
        <f>IFERROR(__xludf.DUMMYFUNCTION("""COMPUTED_VALUE"""),"external leads")</f>
        <v>external leads</v>
      </c>
      <c r="W2122" s="124" t="str">
        <f>IFERROR(__xludf.DUMMYFUNCTION("""COMPUTED_VALUE"""),"lucknow")</f>
        <v>lucknow</v>
      </c>
      <c r="X2122" s="124" t="str">
        <f>IFERROR(__xludf.DUMMYFUNCTION("""COMPUTED_VALUE"""),"library")</f>
        <v>library</v>
      </c>
      <c r="Y2122" s="124" t="str">
        <f>IFERROR(__xludf.DUMMYFUNCTION("""COMPUTED_VALUE"""),"Lucknow")</f>
        <v>Lucknow</v>
      </c>
      <c r="Z2122" s="124">
        <f>IFERROR(__xludf.DUMMYFUNCTION("""COMPUTED_VALUE"""),14.0)</f>
        <v>14</v>
      </c>
      <c r="AA2122" s="124" t="str">
        <f>IFERROR(__xludf.DUMMYFUNCTION("""COMPUTED_VALUE"""),"Fake Lead")</f>
        <v>Fake Lead</v>
      </c>
      <c r="AB2122" s="124"/>
    </row>
    <row r="2123">
      <c r="A2123" s="126">
        <f>IFERROR(__xludf.DUMMYFUNCTION("""COMPUTED_VALUE"""),46098.0)</f>
        <v>46098</v>
      </c>
      <c r="B2123" s="124" t="str">
        <f>IFERROR(__xludf.DUMMYFUNCTION("""COMPUTED_VALUE"""),"external leads")</f>
        <v>external leads</v>
      </c>
      <c r="C2123" s="124" t="str">
        <f>IFERROR(__xludf.DUMMYFUNCTION("""COMPUTED_VALUE"""),"Delhi")</f>
        <v>Delhi</v>
      </c>
      <c r="D2123" s="124" t="str">
        <f>IFERROR(__xludf.DUMMYFUNCTION("""COMPUTED_VALUE"""),"Secondary_Walkin")</f>
        <v>Secondary_Walkin</v>
      </c>
      <c r="E2123" s="124">
        <f>IFERROR(__xludf.DUMMYFUNCTION("""COMPUTED_VALUE"""),1.0)</f>
        <v>1</v>
      </c>
      <c r="F2123" s="124"/>
      <c r="G2123" s="124" t="str">
        <f>IFERROR(__xludf.DUMMYFUNCTION("""COMPUTED_VALUE"""),"GS Foundation")</f>
        <v>GS Foundation</v>
      </c>
      <c r="K2123" s="124"/>
      <c r="L2123" s="124"/>
      <c r="M2123" s="124"/>
      <c r="N2123" s="124"/>
      <c r="O2123" s="124"/>
      <c r="T2123" s="126">
        <f>IFERROR(__xludf.DUMMYFUNCTION("""COMPUTED_VALUE"""),46062.0)</f>
        <v>46062</v>
      </c>
      <c r="U2123" s="124" t="str">
        <f>IFERROR(__xludf.DUMMYFUNCTION("""COMPUTED_VALUE"""),"Event")</f>
        <v>Event</v>
      </c>
      <c r="V2123" s="124" t="str">
        <f>IFERROR(__xludf.DUMMYFUNCTION("""COMPUTED_VALUE"""),"Events")</f>
        <v>Events</v>
      </c>
      <c r="W2123" s="124" t="str">
        <f>IFERROR(__xludf.DUMMYFUNCTION("""COMPUTED_VALUE"""),"All Centre")</f>
        <v>All Centre</v>
      </c>
      <c r="X2123" s="124" t="str">
        <f>IFERROR(__xludf.DUMMYFUNCTION("""COMPUTED_VALUE"""),"Generic")</f>
        <v>Generic</v>
      </c>
      <c r="Y2123" s="124" t="str">
        <f>IFERROR(__xludf.DUMMYFUNCTION("""COMPUTED_VALUE"""),"Delhi")</f>
        <v>Delhi</v>
      </c>
      <c r="Z2123" s="124">
        <f>IFERROR(__xludf.DUMMYFUNCTION("""COMPUTED_VALUE"""),1.0)</f>
        <v>1</v>
      </c>
      <c r="AA2123" s="124" t="str">
        <f>IFERROR(__xludf.DUMMYFUNCTION("""COMPUTED_VALUE"""),"Not Interested")</f>
        <v>Not Interested</v>
      </c>
      <c r="AB2123" s="124" t="str">
        <f>IFERROR(__xludf.DUMMYFUNCTION("""COMPUTED_VALUE"""),"State PCS")</f>
        <v>State PCS</v>
      </c>
    </row>
    <row r="2124">
      <c r="A2124" s="126">
        <f>IFERROR(__xludf.DUMMYFUNCTION("""COMPUTED_VALUE"""),46065.0)</f>
        <v>46065</v>
      </c>
      <c r="B2124" s="124" t="str">
        <f>IFERROR(__xludf.DUMMYFUNCTION("""COMPUTED_VALUE"""),"Walkin")</f>
        <v>Walkin</v>
      </c>
      <c r="C2124" s="124" t="str">
        <f>IFERROR(__xludf.DUMMYFUNCTION("""COMPUTED_VALUE"""),"Delhi")</f>
        <v>Delhi</v>
      </c>
      <c r="D2124" s="124" t="str">
        <f>IFERROR(__xludf.DUMMYFUNCTION("""COMPUTED_VALUE"""),"Primary_Walkin")</f>
        <v>Primary_Walkin</v>
      </c>
      <c r="E2124" s="124">
        <f>IFERROR(__xludf.DUMMYFUNCTION("""COMPUTED_VALUE"""),1.0)</f>
        <v>1</v>
      </c>
      <c r="F2124" s="124" t="str">
        <f>IFERROR(__xludf.DUMMYFUNCTION("""COMPUTED_VALUE"""),"Not Interested")</f>
        <v>Not Interested</v>
      </c>
      <c r="G2124" s="124" t="str">
        <f>IFERROR(__xludf.DUMMYFUNCTION("""COMPUTED_VALUE"""),"Test Series")</f>
        <v>Test Series</v>
      </c>
      <c r="K2124" s="124"/>
      <c r="L2124" s="124"/>
      <c r="M2124" s="124"/>
      <c r="N2124" s="124"/>
      <c r="O2124" s="124"/>
      <c r="T2124" s="126">
        <f>IFERROR(__xludf.DUMMYFUNCTION("""COMPUTED_VALUE"""),46107.0)</f>
        <v>46107</v>
      </c>
      <c r="U2124" s="124" t="str">
        <f>IFERROR(__xludf.DUMMYFUNCTION("""COMPUTED_VALUE"""),"Event")</f>
        <v>Event</v>
      </c>
      <c r="V2124" s="124" t="str">
        <f>IFERROR(__xludf.DUMMYFUNCTION("""COMPUTED_VALUE"""),"Events")</f>
        <v>Events</v>
      </c>
      <c r="W2124" s="124" t="str">
        <f>IFERROR(__xludf.DUMMYFUNCTION("""COMPUTED_VALUE"""),"All Centre")</f>
        <v>All Centre</v>
      </c>
      <c r="X2124" s="124" t="str">
        <f>IFERROR(__xludf.DUMMYFUNCTION("""COMPUTED_VALUE"""),"Generic")</f>
        <v>Generic</v>
      </c>
      <c r="Y2124" s="124" t="str">
        <f>IFERROR(__xludf.DUMMYFUNCTION("""COMPUTED_VALUE"""),"Delhi")</f>
        <v>Delhi</v>
      </c>
      <c r="Z2124" s="124">
        <f>IFERROR(__xludf.DUMMYFUNCTION("""COMPUTED_VALUE"""),1.0)</f>
        <v>1</v>
      </c>
      <c r="AA2124" s="124" t="str">
        <f>IFERROR(__xludf.DUMMYFUNCTION("""COMPUTED_VALUE"""),"Warm")</f>
        <v>Warm</v>
      </c>
      <c r="AB2124" s="124" t="str">
        <f>IFERROR(__xludf.DUMMYFUNCTION("""COMPUTED_VALUE"""),"GS Foundation")</f>
        <v>GS Foundation</v>
      </c>
    </row>
    <row r="2125">
      <c r="A2125" s="126">
        <f>IFERROR(__xludf.DUMMYFUNCTION("""COMPUTED_VALUE"""),46095.0)</f>
        <v>46095</v>
      </c>
      <c r="B2125" s="124" t="str">
        <f>IFERROR(__xludf.DUMMYFUNCTION("""COMPUTED_VALUE"""),"Walkin")</f>
        <v>Walkin</v>
      </c>
      <c r="C2125" s="124" t="str">
        <f>IFERROR(__xludf.DUMMYFUNCTION("""COMPUTED_VALUE"""),"Delhi")</f>
        <v>Delhi</v>
      </c>
      <c r="D2125" s="124" t="str">
        <f>IFERROR(__xludf.DUMMYFUNCTION("""COMPUTED_VALUE"""),"Primary_Walkin")</f>
        <v>Primary_Walkin</v>
      </c>
      <c r="E2125" s="124">
        <f>IFERROR(__xludf.DUMMYFUNCTION("""COMPUTED_VALUE"""),1.0)</f>
        <v>1</v>
      </c>
      <c r="F2125" s="124" t="str">
        <f>IFERROR(__xludf.DUMMYFUNCTION("""COMPUTED_VALUE"""),"Enrolled")</f>
        <v>Enrolled</v>
      </c>
      <c r="G2125" s="124" t="str">
        <f>IFERROR(__xludf.DUMMYFUNCTION("""COMPUTED_VALUE"""),"Optionals")</f>
        <v>Optionals</v>
      </c>
      <c r="K2125" s="124"/>
      <c r="L2125" s="124"/>
      <c r="M2125" s="124"/>
      <c r="N2125" s="124"/>
      <c r="O2125" s="124"/>
      <c r="T2125" s="129">
        <f>IFERROR(__xludf.DUMMYFUNCTION("""COMPUTED_VALUE"""),46056.0)</f>
        <v>46056</v>
      </c>
      <c r="U2125" s="124" t="str">
        <f>IFERROR(__xludf.DUMMYFUNCTION("""COMPUTED_VALUE"""),"Event")</f>
        <v>Event</v>
      </c>
      <c r="V2125" s="124" t="str">
        <f>IFERROR(__xludf.DUMMYFUNCTION("""COMPUTED_VALUE"""),"Events")</f>
        <v>Events</v>
      </c>
      <c r="W2125" s="124" t="str">
        <f>IFERROR(__xludf.DUMMYFUNCTION("""COMPUTED_VALUE"""),"All Centre")</f>
        <v>All Centre</v>
      </c>
      <c r="X2125" s="124" t="str">
        <f>IFERROR(__xludf.DUMMYFUNCTION("""COMPUTED_VALUE"""),"Generic")</f>
        <v>Generic</v>
      </c>
      <c r="Y2125" s="124" t="str">
        <f>IFERROR(__xludf.DUMMYFUNCTION("""COMPUTED_VALUE"""),"Delhi")</f>
        <v>Delhi</v>
      </c>
      <c r="Z2125" s="124">
        <f>IFERROR(__xludf.DUMMYFUNCTION("""COMPUTED_VALUE"""),3.0)</f>
        <v>3</v>
      </c>
      <c r="AA2125" s="124" t="str">
        <f>IFERROR(__xludf.DUMMYFUNCTION("""COMPUTED_VALUE"""),"Cold")</f>
        <v>Cold</v>
      </c>
      <c r="AB2125" s="124" t="str">
        <f>IFERROR(__xludf.DUMMYFUNCTION("""COMPUTED_VALUE"""),"Hybrid")</f>
        <v>Hybrid</v>
      </c>
    </row>
    <row r="2126">
      <c r="A2126" s="126">
        <f>IFERROR(__xludf.DUMMYFUNCTION("""COMPUTED_VALUE"""),46046.0)</f>
        <v>46046</v>
      </c>
      <c r="B2126" s="124" t="str">
        <f>IFERROR(__xludf.DUMMYFUNCTION("""COMPUTED_VALUE"""),"Walkin")</f>
        <v>Walkin</v>
      </c>
      <c r="C2126" s="124" t="str">
        <f>IFERROR(__xludf.DUMMYFUNCTION("""COMPUTED_VALUE"""),"Delhi")</f>
        <v>Delhi</v>
      </c>
      <c r="D2126" s="124" t="str">
        <f>IFERROR(__xludf.DUMMYFUNCTION("""COMPUTED_VALUE"""),"Primary_Walkin")</f>
        <v>Primary_Walkin</v>
      </c>
      <c r="E2126" s="124">
        <f>IFERROR(__xludf.DUMMYFUNCTION("""COMPUTED_VALUE"""),1.0)</f>
        <v>1</v>
      </c>
      <c r="F2126" s="124" t="str">
        <f>IFERROR(__xludf.DUMMYFUNCTION("""COMPUTED_VALUE"""),"Not Interested")</f>
        <v>Not Interested</v>
      </c>
      <c r="G2126" s="124" t="str">
        <f>IFERROR(__xludf.DUMMYFUNCTION("""COMPUTED_VALUE"""),"Other")</f>
        <v>Other</v>
      </c>
      <c r="K2126" s="124"/>
      <c r="L2126" s="124"/>
      <c r="M2126" s="124"/>
      <c r="N2126" s="124"/>
      <c r="O2126" s="124"/>
      <c r="T2126" s="129">
        <f>IFERROR(__xludf.DUMMYFUNCTION("""COMPUTED_VALUE"""),46050.0)</f>
        <v>46050</v>
      </c>
      <c r="U2126" s="124" t="str">
        <f>IFERROR(__xludf.DUMMYFUNCTION("""COMPUTED_VALUE"""),"Paid Ads")</f>
        <v>Paid Ads</v>
      </c>
      <c r="V2126" s="124" t="str">
        <f>IFERROR(__xludf.DUMMYFUNCTION("""COMPUTED_VALUE"""),"Facebook")</f>
        <v>Facebook</v>
      </c>
      <c r="W2126" s="124" t="str">
        <f>IFERROR(__xludf.DUMMYFUNCTION("""COMPUTED_VALUE"""),"LeadAd")</f>
        <v>LeadAd</v>
      </c>
      <c r="X2126" s="124" t="str">
        <f>IFERROR(__xludf.DUMMYFUNCTION("""COMPUTED_VALUE"""),"Upsc_Offline_26_Prygrj_FB_Creatives")</f>
        <v>Upsc_Offline_26_Prygrj_FB_Creatives</v>
      </c>
      <c r="Y2126" s="124" t="str">
        <f>IFERROR(__xludf.DUMMYFUNCTION("""COMPUTED_VALUE"""),"Prayagraj")</f>
        <v>Prayagraj</v>
      </c>
      <c r="Z2126" s="124">
        <f>IFERROR(__xludf.DUMMYFUNCTION("""COMPUTED_VALUE"""),2.0)</f>
        <v>2</v>
      </c>
      <c r="AA2126" s="124" t="str">
        <f>IFERROR(__xludf.DUMMYFUNCTION("""COMPUTED_VALUE"""),"Cold")</f>
        <v>Cold</v>
      </c>
      <c r="AB2126" s="124"/>
    </row>
    <row r="2127">
      <c r="A2127" s="126">
        <f>IFERROR(__xludf.DUMMYFUNCTION("""COMPUTED_VALUE"""),46091.0)</f>
        <v>46091</v>
      </c>
      <c r="B2127" s="124" t="str">
        <f>IFERROR(__xludf.DUMMYFUNCTION("""COMPUTED_VALUE"""),"Walkin")</f>
        <v>Walkin</v>
      </c>
      <c r="C2127" s="124" t="str">
        <f>IFERROR(__xludf.DUMMYFUNCTION("""COMPUTED_VALUE"""),"Delhi")</f>
        <v>Delhi</v>
      </c>
      <c r="D2127" s="124" t="str">
        <f>IFERROR(__xludf.DUMMYFUNCTION("""COMPUTED_VALUE"""),"Primary_Walkin")</f>
        <v>Primary_Walkin</v>
      </c>
      <c r="E2127" s="124">
        <f>IFERROR(__xludf.DUMMYFUNCTION("""COMPUTED_VALUE"""),1.0)</f>
        <v>1</v>
      </c>
      <c r="F2127" s="124" t="str">
        <f>IFERROR(__xludf.DUMMYFUNCTION("""COMPUTED_VALUE"""),"Cold")</f>
        <v>Cold</v>
      </c>
      <c r="G2127" s="124" t="str">
        <f>IFERROR(__xludf.DUMMYFUNCTION("""COMPUTED_VALUE"""),"GS Foundation")</f>
        <v>GS Foundation</v>
      </c>
      <c r="K2127" s="124"/>
      <c r="L2127" s="124"/>
      <c r="M2127" s="124"/>
      <c r="N2127" s="124"/>
      <c r="O2127" s="124"/>
      <c r="T2127" s="126">
        <f>IFERROR(__xludf.DUMMYFUNCTION("""COMPUTED_VALUE"""),46095.0)</f>
        <v>46095</v>
      </c>
      <c r="U2127" s="124" t="str">
        <f>IFERROR(__xludf.DUMMYFUNCTION("""COMPUTED_VALUE"""),"Walk-Ins")</f>
        <v>Walk-Ins</v>
      </c>
      <c r="V2127" s="124" t="str">
        <f>IFERROR(__xludf.DUMMYFUNCTION("""COMPUTED_VALUE"""),"Walk-In")</f>
        <v>Walk-In</v>
      </c>
      <c r="W2127" s="124" t="str">
        <f>IFERROR(__xludf.DUMMYFUNCTION("""COMPUTED_VALUE"""),"Delhi")</f>
        <v>Delhi</v>
      </c>
      <c r="X2127" s="124" t="str">
        <f>IFERROR(__xludf.DUMMYFUNCTION("""COMPUTED_VALUE"""),"Netri")</f>
        <v>Netri</v>
      </c>
      <c r="Y2127" s="124" t="str">
        <f>IFERROR(__xludf.DUMMYFUNCTION("""COMPUTED_VALUE"""),"Delhi")</f>
        <v>Delhi</v>
      </c>
      <c r="Z2127" s="124">
        <f>IFERROR(__xludf.DUMMYFUNCTION("""COMPUTED_VALUE"""),1.0)</f>
        <v>1</v>
      </c>
      <c r="AA2127" s="124" t="str">
        <f>IFERROR(__xludf.DUMMYFUNCTION("""COMPUTED_VALUE"""),"Fake Lead")</f>
        <v>Fake Lead</v>
      </c>
      <c r="AB2127" s="124" t="str">
        <f>IFERROR(__xludf.DUMMYFUNCTION("""COMPUTED_VALUE"""),"GS Foundation")</f>
        <v>GS Foundation</v>
      </c>
    </row>
    <row r="2128">
      <c r="A2128" s="126">
        <f>IFERROR(__xludf.DUMMYFUNCTION("""COMPUTED_VALUE"""),46046.0)</f>
        <v>46046</v>
      </c>
      <c r="B2128" s="124" t="str">
        <f>IFERROR(__xludf.DUMMYFUNCTION("""COMPUTED_VALUE"""),"Walk-In")</f>
        <v>Walk-In</v>
      </c>
      <c r="C2128" s="124" t="str">
        <f>IFERROR(__xludf.DUMMYFUNCTION("""COMPUTED_VALUE"""),"Delhi")</f>
        <v>Delhi</v>
      </c>
      <c r="D2128" s="124" t="str">
        <f>IFERROR(__xludf.DUMMYFUNCTION("""COMPUTED_VALUE"""),"Primary_Walkin")</f>
        <v>Primary_Walkin</v>
      </c>
      <c r="E2128" s="124">
        <f>IFERROR(__xludf.DUMMYFUNCTION("""COMPUTED_VALUE"""),1.0)</f>
        <v>1</v>
      </c>
      <c r="F2128" s="124" t="str">
        <f>IFERROR(__xludf.DUMMYFUNCTION("""COMPUTED_VALUE"""),"Not Interested")</f>
        <v>Not Interested</v>
      </c>
      <c r="G2128" s="124" t="str">
        <f>IFERROR(__xludf.DUMMYFUNCTION("""COMPUTED_VALUE"""),"IGP UPPSC")</f>
        <v>IGP UPPSC</v>
      </c>
      <c r="K2128" s="124"/>
      <c r="L2128" s="124"/>
      <c r="M2128" s="124"/>
      <c r="N2128" s="124"/>
      <c r="O2128" s="124"/>
      <c r="T2128" s="126">
        <f>IFERROR(__xludf.DUMMYFUNCTION("""COMPUTED_VALUE"""),46048.0)</f>
        <v>46048</v>
      </c>
      <c r="U2128" s="124" t="str">
        <f>IFERROR(__xludf.DUMMYFUNCTION("""COMPUTED_VALUE"""),"Paid Ads")</f>
        <v>Paid Ads</v>
      </c>
      <c r="V2128" s="124" t="str">
        <f>IFERROR(__xludf.DUMMYFUNCTION("""COMPUTED_VALUE"""),"Facebook")</f>
        <v>Facebook</v>
      </c>
      <c r="W2128" s="124" t="str">
        <f>IFERROR(__xludf.DUMMYFUNCTION("""COMPUTED_VALUE"""),"LeadAd")</f>
        <v>LeadAd</v>
      </c>
      <c r="X2128" s="124" t="str">
        <f>IFERROR(__xludf.DUMMYFUNCTION("""COMPUTED_VALUE"""),"Upsc_offline_26_delhi_FB_Creatives")</f>
        <v>Upsc_offline_26_delhi_FB_Creatives</v>
      </c>
      <c r="Y2128" s="124" t="str">
        <f>IFERROR(__xludf.DUMMYFUNCTION("""COMPUTED_VALUE"""),"Delhi")</f>
        <v>Delhi</v>
      </c>
      <c r="Z2128" s="124">
        <f>IFERROR(__xludf.DUMMYFUNCTION("""COMPUTED_VALUE"""),4.0)</f>
        <v>4</v>
      </c>
      <c r="AA2128" s="124" t="str">
        <f>IFERROR(__xludf.DUMMYFUNCTION("""COMPUTED_VALUE"""),"Cold")</f>
        <v>Cold</v>
      </c>
      <c r="AB2128" s="124"/>
    </row>
    <row r="2129">
      <c r="A2129" s="126">
        <f>IFERROR(__xludf.DUMMYFUNCTION("""COMPUTED_VALUE"""),46096.0)</f>
        <v>46096</v>
      </c>
      <c r="B2129" s="124" t="str">
        <f>IFERROR(__xludf.DUMMYFUNCTION("""COMPUTED_VALUE"""),"Walkin")</f>
        <v>Walkin</v>
      </c>
      <c r="C2129" s="124" t="str">
        <f>IFERROR(__xludf.DUMMYFUNCTION("""COMPUTED_VALUE"""),"Delhi")</f>
        <v>Delhi</v>
      </c>
      <c r="D2129" s="124" t="str">
        <f>IFERROR(__xludf.DUMMYFUNCTION("""COMPUTED_VALUE"""),"Primary_Walkin")</f>
        <v>Primary_Walkin</v>
      </c>
      <c r="E2129" s="124">
        <f>IFERROR(__xludf.DUMMYFUNCTION("""COMPUTED_VALUE"""),1.0)</f>
        <v>1</v>
      </c>
      <c r="F2129" s="124" t="str">
        <f>IFERROR(__xludf.DUMMYFUNCTION("""COMPUTED_VALUE"""),"Future Prospects")</f>
        <v>Future Prospects</v>
      </c>
      <c r="G2129" s="124" t="str">
        <f>IFERROR(__xludf.DUMMYFUNCTION("""COMPUTED_VALUE"""),"GS Advanced")</f>
        <v>GS Advanced</v>
      </c>
      <c r="K2129" s="124"/>
      <c r="L2129" s="124"/>
      <c r="M2129" s="124"/>
      <c r="N2129" s="124"/>
      <c r="O2129" s="124"/>
      <c r="T2129" s="129">
        <f>IFERROR(__xludf.DUMMYFUNCTION("""COMPUTED_VALUE"""),46107.0)</f>
        <v>46107</v>
      </c>
      <c r="U2129" s="124" t="str">
        <f>IFERROR(__xludf.DUMMYFUNCTION("""COMPUTED_VALUE"""),"Walk-Ins")</f>
        <v>Walk-Ins</v>
      </c>
      <c r="V2129" s="124" t="str">
        <f>IFERROR(__xludf.DUMMYFUNCTION("""COMPUTED_VALUE"""),"Walk-In")</f>
        <v>Walk-In</v>
      </c>
      <c r="W2129" s="124" t="str">
        <f>IFERROR(__xludf.DUMMYFUNCTION("""COMPUTED_VALUE"""),"Patna")</f>
        <v>Patna</v>
      </c>
      <c r="X2129" s="124" t="str">
        <f>IFERROR(__xludf.DUMMYFUNCTION("""COMPUTED_VALUE"""),"Tejaswi")</f>
        <v>Tejaswi</v>
      </c>
      <c r="Y2129" s="124"/>
      <c r="Z2129" s="124">
        <f>IFERROR(__xludf.DUMMYFUNCTION("""COMPUTED_VALUE"""),2.0)</f>
        <v>2</v>
      </c>
      <c r="AA2129" s="124" t="str">
        <f>IFERROR(__xludf.DUMMYFUNCTION("""COMPUTED_VALUE"""),"Fake Lead")</f>
        <v>Fake Lead</v>
      </c>
      <c r="AB2129" s="124" t="str">
        <f>IFERROR(__xludf.DUMMYFUNCTION("""COMPUTED_VALUE"""),"State PCS")</f>
        <v>State PCS</v>
      </c>
    </row>
    <row r="2130">
      <c r="A2130" s="126">
        <f>IFERROR(__xludf.DUMMYFUNCTION("""COMPUTED_VALUE"""),46074.0)</f>
        <v>46074</v>
      </c>
      <c r="B2130" s="124" t="str">
        <f>IFERROR(__xludf.DUMMYFUNCTION("""COMPUTED_VALUE"""),"Events")</f>
        <v>Events</v>
      </c>
      <c r="C2130" s="124" t="str">
        <f>IFERROR(__xludf.DUMMYFUNCTION("""COMPUTED_VALUE"""),"Delhi")</f>
        <v>Delhi</v>
      </c>
      <c r="D2130" s="124" t="str">
        <f>IFERROR(__xludf.DUMMYFUNCTION("""COMPUTED_VALUE"""),"Secondary_Walkin")</f>
        <v>Secondary_Walkin</v>
      </c>
      <c r="E2130" s="124">
        <f>IFERROR(__xludf.DUMMYFUNCTION("""COMPUTED_VALUE"""),1.0)</f>
        <v>1</v>
      </c>
      <c r="F2130" s="124" t="str">
        <f>IFERROR(__xludf.DUMMYFUNCTION("""COMPUTED_VALUE"""),"Not Interested")</f>
        <v>Not Interested</v>
      </c>
      <c r="G2130" s="124" t="str">
        <f>IFERROR(__xludf.DUMMYFUNCTION("""COMPUTED_VALUE"""),"Prelims Crash Course - SIP")</f>
        <v>Prelims Crash Course - SIP</v>
      </c>
      <c r="K2130" s="124"/>
      <c r="L2130" s="124"/>
      <c r="M2130" s="124"/>
      <c r="N2130" s="124"/>
      <c r="O2130" s="124"/>
      <c r="T2130" s="126">
        <f>IFERROR(__xludf.DUMMYFUNCTION("""COMPUTED_VALUE"""),46045.0)</f>
        <v>46045</v>
      </c>
      <c r="U2130" s="124" t="str">
        <f>IFERROR(__xludf.DUMMYFUNCTION("""COMPUTED_VALUE"""),"Walk-Ins")</f>
        <v>Walk-Ins</v>
      </c>
      <c r="V2130" s="124" t="str">
        <f>IFERROR(__xludf.DUMMYFUNCTION("""COMPUTED_VALUE"""),"Walk-In")</f>
        <v>Walk-In</v>
      </c>
      <c r="W2130" s="124" t="str">
        <f>IFERROR(__xludf.DUMMYFUNCTION("""COMPUTED_VALUE"""),"Patna")</f>
        <v>Patna</v>
      </c>
      <c r="X2130" s="124" t="str">
        <f>IFERROR(__xludf.DUMMYFUNCTION("""COMPUTED_VALUE"""),"Tejaswi")</f>
        <v>Tejaswi</v>
      </c>
      <c r="Y2130" s="124"/>
      <c r="Z2130" s="124">
        <f>IFERROR(__xludf.DUMMYFUNCTION("""COMPUTED_VALUE"""),1.0)</f>
        <v>1</v>
      </c>
      <c r="AA2130" s="124" t="str">
        <f>IFERROR(__xludf.DUMMYFUNCTION("""COMPUTED_VALUE"""),"Enrolled")</f>
        <v>Enrolled</v>
      </c>
      <c r="AB2130" s="124" t="str">
        <f>IFERROR(__xludf.DUMMYFUNCTION("""COMPUTED_VALUE"""),"State PCS")</f>
        <v>State PCS</v>
      </c>
    </row>
    <row r="2131">
      <c r="A2131" s="126">
        <f>IFERROR(__xludf.DUMMYFUNCTION("""COMPUTED_VALUE"""),46079.0)</f>
        <v>46079</v>
      </c>
      <c r="B2131" s="124" t="str">
        <f>IFERROR(__xludf.DUMMYFUNCTION("""COMPUTED_VALUE"""),"Walkin")</f>
        <v>Walkin</v>
      </c>
      <c r="C2131" s="124" t="str">
        <f>IFERROR(__xludf.DUMMYFUNCTION("""COMPUTED_VALUE"""),"Delhi")</f>
        <v>Delhi</v>
      </c>
      <c r="D2131" s="124" t="str">
        <f>IFERROR(__xludf.DUMMYFUNCTION("""COMPUTED_VALUE"""),"Primary_Walkin")</f>
        <v>Primary_Walkin</v>
      </c>
      <c r="E2131" s="124">
        <f>IFERROR(__xludf.DUMMYFUNCTION("""COMPUTED_VALUE"""),1.0)</f>
        <v>1</v>
      </c>
      <c r="F2131" s="124" t="str">
        <f>IFERROR(__xludf.DUMMYFUNCTION("""COMPUTED_VALUE"""),"Enrolled")</f>
        <v>Enrolled</v>
      </c>
      <c r="G2131" s="124" t="str">
        <f>IFERROR(__xludf.DUMMYFUNCTION("""COMPUTED_VALUE"""),"GS Foundation")</f>
        <v>GS Foundation</v>
      </c>
      <c r="K2131" s="124"/>
      <c r="L2131" s="124"/>
      <c r="M2131" s="124"/>
      <c r="N2131" s="124"/>
      <c r="O2131" s="124"/>
      <c r="T2131" s="129">
        <f>IFERROR(__xludf.DUMMYFUNCTION("""COMPUTED_VALUE"""),46050.0)</f>
        <v>46050</v>
      </c>
      <c r="U2131" s="124" t="str">
        <f>IFERROR(__xludf.DUMMYFUNCTION("""COMPUTED_VALUE"""),"Walk-Ins")</f>
        <v>Walk-Ins</v>
      </c>
      <c r="V2131" s="124" t="str">
        <f>IFERROR(__xludf.DUMMYFUNCTION("""COMPUTED_VALUE"""),"Walk-In")</f>
        <v>Walk-In</v>
      </c>
      <c r="W2131" s="124" t="str">
        <f>IFERROR(__xludf.DUMMYFUNCTION("""COMPUTED_VALUE"""),"Prayagraj")</f>
        <v>Prayagraj</v>
      </c>
      <c r="X2131" s="124" t="str">
        <f>IFERROR(__xludf.DUMMYFUNCTION("""COMPUTED_VALUE"""),"Abhinandan")</f>
        <v>Abhinandan</v>
      </c>
      <c r="Y2131" s="124"/>
      <c r="Z2131" s="124">
        <f>IFERROR(__xludf.DUMMYFUNCTION("""COMPUTED_VALUE"""),1.0)</f>
        <v>1</v>
      </c>
      <c r="AA2131" s="124" t="str">
        <f>IFERROR(__xludf.DUMMYFUNCTION("""COMPUTED_VALUE"""),"Enrolled")</f>
        <v>Enrolled</v>
      </c>
      <c r="AB2131" s="124" t="str">
        <f>IFERROR(__xludf.DUMMYFUNCTION("""COMPUTED_VALUE"""),"GS Foundation")</f>
        <v>GS Foundation</v>
      </c>
    </row>
    <row r="2132">
      <c r="A2132" s="126">
        <f>IFERROR(__xludf.DUMMYFUNCTION("""COMPUTED_VALUE"""),46078.0)</f>
        <v>46078</v>
      </c>
      <c r="B2132" s="124" t="str">
        <f>IFERROR(__xludf.DUMMYFUNCTION("""COMPUTED_VALUE"""),"Walk-In")</f>
        <v>Walk-In</v>
      </c>
      <c r="C2132" s="124" t="str">
        <f>IFERROR(__xludf.DUMMYFUNCTION("""COMPUTED_VALUE"""),"Delhi")</f>
        <v>Delhi</v>
      </c>
      <c r="D2132" s="124" t="str">
        <f>IFERROR(__xludf.DUMMYFUNCTION("""COMPUTED_VALUE"""),"Primary_Walkin")</f>
        <v>Primary_Walkin</v>
      </c>
      <c r="E2132" s="124">
        <f>IFERROR(__xludf.DUMMYFUNCTION("""COMPUTED_VALUE"""),1.0)</f>
        <v>1</v>
      </c>
      <c r="F2132" s="124" t="str">
        <f>IFERROR(__xludf.DUMMYFUNCTION("""COMPUTED_VALUE"""),"Cold")</f>
        <v>Cold</v>
      </c>
      <c r="G2132" s="124" t="str">
        <f>IFERROR(__xludf.DUMMYFUNCTION("""COMPUTED_VALUE"""),"Optionals")</f>
        <v>Optionals</v>
      </c>
      <c r="K2132" s="124"/>
      <c r="L2132" s="124"/>
      <c r="M2132" s="124"/>
      <c r="N2132" s="124"/>
      <c r="O2132" s="124"/>
      <c r="T2132" s="126">
        <f>IFERROR(__xludf.DUMMYFUNCTION("""COMPUTED_VALUE"""),46044.0)</f>
        <v>46044</v>
      </c>
      <c r="U2132" s="124" t="str">
        <f>IFERROR(__xludf.DUMMYFUNCTION("""COMPUTED_VALUE"""),"External Leads")</f>
        <v>External Leads</v>
      </c>
      <c r="V2132" s="124" t="str">
        <f>IFERROR(__xludf.DUMMYFUNCTION("""COMPUTED_VALUE"""),"external leads")</f>
        <v>external leads</v>
      </c>
      <c r="W2132" s="124" t="str">
        <f>IFERROR(__xludf.DUMMYFUNCTION("""COMPUTED_VALUE"""),"patna")</f>
        <v>patna</v>
      </c>
      <c r="X2132" s="124" t="str">
        <f>IFERROR(__xludf.DUMMYFUNCTION("""COMPUTED_VALUE"""),"perfectionias")</f>
        <v>perfectionias</v>
      </c>
      <c r="Y2132" s="124" t="str">
        <f>IFERROR(__xludf.DUMMYFUNCTION("""COMPUTED_VALUE"""),"Patna")</f>
        <v>Patna</v>
      </c>
      <c r="Z2132" s="124">
        <f>IFERROR(__xludf.DUMMYFUNCTION("""COMPUTED_VALUE"""),1.0)</f>
        <v>1</v>
      </c>
      <c r="AA2132" s="124" t="str">
        <f>IFERROR(__xludf.DUMMYFUNCTION("""COMPUTED_VALUE"""),"Fake Lead")</f>
        <v>Fake Lead</v>
      </c>
      <c r="AB2132" s="124"/>
    </row>
    <row r="2133">
      <c r="A2133" s="126">
        <f>IFERROR(__xludf.DUMMYFUNCTION("""COMPUTED_VALUE"""),46076.0)</f>
        <v>46076</v>
      </c>
      <c r="B2133" s="124" t="str">
        <f>IFERROR(__xludf.DUMMYFUNCTION("""COMPUTED_VALUE"""),"Walkin")</f>
        <v>Walkin</v>
      </c>
      <c r="C2133" s="124" t="str">
        <f>IFERROR(__xludf.DUMMYFUNCTION("""COMPUTED_VALUE"""),"Delhi")</f>
        <v>Delhi</v>
      </c>
      <c r="D2133" s="124" t="str">
        <f>IFERROR(__xludf.DUMMYFUNCTION("""COMPUTED_VALUE"""),"Primary_Walkin")</f>
        <v>Primary_Walkin</v>
      </c>
      <c r="E2133" s="124">
        <f>IFERROR(__xludf.DUMMYFUNCTION("""COMPUTED_VALUE"""),1.0)</f>
        <v>1</v>
      </c>
      <c r="F2133" s="124" t="str">
        <f>IFERROR(__xludf.DUMMYFUNCTION("""COMPUTED_VALUE"""),"Enrolled")</f>
        <v>Enrolled</v>
      </c>
      <c r="G2133" s="124" t="str">
        <f>IFERROR(__xludf.DUMMYFUNCTION("""COMPUTED_VALUE"""),"GS Foundation")</f>
        <v>GS Foundation</v>
      </c>
      <c r="K2133" s="124"/>
      <c r="L2133" s="124"/>
      <c r="M2133" s="124"/>
      <c r="N2133" s="124"/>
      <c r="O2133" s="124"/>
      <c r="T2133" s="129">
        <f>IFERROR(__xludf.DUMMYFUNCTION("""COMPUTED_VALUE"""),46072.0)</f>
        <v>46072</v>
      </c>
      <c r="U2133" s="124" t="str">
        <f>IFERROR(__xludf.DUMMYFUNCTION("""COMPUTED_VALUE"""),"Walk-Ins")</f>
        <v>Walk-Ins</v>
      </c>
      <c r="V2133" s="124" t="str">
        <f>IFERROR(__xludf.DUMMYFUNCTION("""COMPUTED_VALUE"""),"Walk-In")</f>
        <v>Walk-In</v>
      </c>
      <c r="W2133" s="124" t="str">
        <f>IFERROR(__xludf.DUMMYFUNCTION("""COMPUTED_VALUE"""),"New Delhi")</f>
        <v>New Delhi</v>
      </c>
      <c r="X2133" s="124" t="str">
        <f>IFERROR(__xludf.DUMMYFUNCTION("""COMPUTED_VALUE"""),"New Delhi")</f>
        <v>New Delhi</v>
      </c>
      <c r="Y2133" s="124" t="str">
        <f>IFERROR(__xludf.DUMMYFUNCTION("""COMPUTED_VALUE"""),"Delhi")</f>
        <v>Delhi</v>
      </c>
      <c r="Z2133" s="124">
        <f>IFERROR(__xludf.DUMMYFUNCTION("""COMPUTED_VALUE"""),1.0)</f>
        <v>1</v>
      </c>
      <c r="AA2133" s="124" t="str">
        <f>IFERROR(__xludf.DUMMYFUNCTION("""COMPUTED_VALUE"""),"Not Interested")</f>
        <v>Not Interested</v>
      </c>
      <c r="AB2133" s="124" t="str">
        <f>IFERROR(__xludf.DUMMYFUNCTION("""COMPUTED_VALUE"""),"GS Foundation")</f>
        <v>GS Foundation</v>
      </c>
    </row>
    <row r="2134">
      <c r="A2134" s="126">
        <f>IFERROR(__xludf.DUMMYFUNCTION("""COMPUTED_VALUE"""),46102.0)</f>
        <v>46102</v>
      </c>
      <c r="B2134" s="124" t="str">
        <f>IFERROR(__xludf.DUMMYFUNCTION("""COMPUTED_VALUE"""),"Walkin")</f>
        <v>Walkin</v>
      </c>
      <c r="C2134" s="124" t="str">
        <f>IFERROR(__xludf.DUMMYFUNCTION("""COMPUTED_VALUE"""),"Delhi")</f>
        <v>Delhi</v>
      </c>
      <c r="D2134" s="124" t="str">
        <f>IFERROR(__xludf.DUMMYFUNCTION("""COMPUTED_VALUE"""),"Primary_Walkin")</f>
        <v>Primary_Walkin</v>
      </c>
      <c r="E2134" s="124">
        <f>IFERROR(__xludf.DUMMYFUNCTION("""COMPUTED_VALUE"""),1.0)</f>
        <v>1</v>
      </c>
      <c r="F2134" s="124" t="str">
        <f>IFERROR(__xludf.DUMMYFUNCTION("""COMPUTED_VALUE"""),"Interested")</f>
        <v>Interested</v>
      </c>
      <c r="G2134" s="124" t="str">
        <f>IFERROR(__xludf.DUMMYFUNCTION("""COMPUTED_VALUE"""),"GS Foundation")</f>
        <v>GS Foundation</v>
      </c>
      <c r="K2134" s="124"/>
      <c r="L2134" s="124"/>
      <c r="M2134" s="124"/>
      <c r="N2134" s="124"/>
      <c r="O2134" s="124"/>
      <c r="T2134" s="126">
        <f>IFERROR(__xludf.DUMMYFUNCTION("""COMPUTED_VALUE"""),46047.0)</f>
        <v>46047</v>
      </c>
      <c r="U2134" s="124" t="str">
        <f>IFERROR(__xludf.DUMMYFUNCTION("""COMPUTED_VALUE"""),"Walk-Ins")</f>
        <v>Walk-Ins</v>
      </c>
      <c r="V2134" s="124" t="str">
        <f>IFERROR(__xludf.DUMMYFUNCTION("""COMPUTED_VALUE"""),"Walk-In")</f>
        <v>Walk-In</v>
      </c>
      <c r="W2134" s="124" t="str">
        <f>IFERROR(__xludf.DUMMYFUNCTION("""COMPUTED_VALUE"""),"Delhi")</f>
        <v>Delhi</v>
      </c>
      <c r="X2134" s="124" t="str">
        <f>IFERROR(__xludf.DUMMYFUNCTION("""COMPUTED_VALUE"""),"Bijender")</f>
        <v>Bijender</v>
      </c>
      <c r="Y2134" s="124" t="str">
        <f>IFERROR(__xludf.DUMMYFUNCTION("""COMPUTED_VALUE"""),"Delhi")</f>
        <v>Delhi</v>
      </c>
      <c r="Z2134" s="124">
        <f>IFERROR(__xludf.DUMMYFUNCTION("""COMPUTED_VALUE"""),1.0)</f>
        <v>1</v>
      </c>
      <c r="AA2134" s="124" t="str">
        <f>IFERROR(__xludf.DUMMYFUNCTION("""COMPUTED_VALUE"""),"Cold")</f>
        <v>Cold</v>
      </c>
      <c r="AB2134" s="124" t="str">
        <f>IFERROR(__xludf.DUMMYFUNCTION("""COMPUTED_VALUE"""),"GS Foundation")</f>
        <v>GS Foundation</v>
      </c>
    </row>
    <row r="2135">
      <c r="A2135" s="126">
        <f>IFERROR(__xludf.DUMMYFUNCTION("""COMPUTED_VALUE"""),46046.0)</f>
        <v>46046</v>
      </c>
      <c r="B2135" s="124" t="str">
        <f>IFERROR(__xludf.DUMMYFUNCTION("""COMPUTED_VALUE"""),"Walkin")</f>
        <v>Walkin</v>
      </c>
      <c r="C2135" s="124" t="str">
        <f>IFERROR(__xludf.DUMMYFUNCTION("""COMPUTED_VALUE"""),"Delhi")</f>
        <v>Delhi</v>
      </c>
      <c r="D2135" s="124" t="str">
        <f>IFERROR(__xludf.DUMMYFUNCTION("""COMPUTED_VALUE"""),"Primary_Walkin")</f>
        <v>Primary_Walkin</v>
      </c>
      <c r="E2135" s="124">
        <f>IFERROR(__xludf.DUMMYFUNCTION("""COMPUTED_VALUE"""),1.0)</f>
        <v>1</v>
      </c>
      <c r="F2135" s="124" t="str">
        <f>IFERROR(__xludf.DUMMYFUNCTION("""COMPUTED_VALUE"""),"Future Prospects")</f>
        <v>Future Prospects</v>
      </c>
      <c r="G2135" s="124" t="str">
        <f>IFERROR(__xludf.DUMMYFUNCTION("""COMPUTED_VALUE"""),"Optionals")</f>
        <v>Optionals</v>
      </c>
      <c r="K2135" s="124"/>
      <c r="L2135" s="124"/>
      <c r="M2135" s="124"/>
      <c r="N2135" s="124"/>
      <c r="O2135" s="124"/>
      <c r="T2135" s="129">
        <f>IFERROR(__xludf.DUMMYFUNCTION("""COMPUTED_VALUE"""),46063.0)</f>
        <v>46063</v>
      </c>
      <c r="U2135" s="124" t="str">
        <f>IFERROR(__xludf.DUMMYFUNCTION("""COMPUTED_VALUE"""),"Walk-Ins")</f>
        <v>Walk-Ins</v>
      </c>
      <c r="V2135" s="124" t="str">
        <f>IFERROR(__xludf.DUMMYFUNCTION("""COMPUTED_VALUE"""),"Walk-In")</f>
        <v>Walk-In</v>
      </c>
      <c r="W2135" s="124" t="str">
        <f>IFERROR(__xludf.DUMMYFUNCTION("""COMPUTED_VALUE"""),"New Delhi")</f>
        <v>New Delhi</v>
      </c>
      <c r="X2135" s="124" t="str">
        <f>IFERROR(__xludf.DUMMYFUNCTION("""COMPUTED_VALUE"""),"New Delhi")</f>
        <v>New Delhi</v>
      </c>
      <c r="Y2135" s="124" t="str">
        <f>IFERROR(__xludf.DUMMYFUNCTION("""COMPUTED_VALUE"""),"Delhi")</f>
        <v>Delhi</v>
      </c>
      <c r="Z2135" s="124">
        <f>IFERROR(__xludf.DUMMYFUNCTION("""COMPUTED_VALUE"""),1.0)</f>
        <v>1</v>
      </c>
      <c r="AA2135" s="124" t="str">
        <f>IFERROR(__xludf.DUMMYFUNCTION("""COMPUTED_VALUE"""),"Cold")</f>
        <v>Cold</v>
      </c>
      <c r="AB2135" s="124" t="str">
        <f>IFERROR(__xludf.DUMMYFUNCTION("""COMPUTED_VALUE"""),"GS Foundation")</f>
        <v>GS Foundation</v>
      </c>
    </row>
    <row r="2136">
      <c r="A2136" s="126">
        <f>IFERROR(__xludf.DUMMYFUNCTION("""COMPUTED_VALUE"""),46073.0)</f>
        <v>46073</v>
      </c>
      <c r="B2136" s="124" t="str">
        <f>IFERROR(__xludf.DUMMYFUNCTION("""COMPUTED_VALUE"""),"Walkin")</f>
        <v>Walkin</v>
      </c>
      <c r="C2136" s="124" t="str">
        <f>IFERROR(__xludf.DUMMYFUNCTION("""COMPUTED_VALUE"""),"Delhi")</f>
        <v>Delhi</v>
      </c>
      <c r="D2136" s="124" t="str">
        <f>IFERROR(__xludf.DUMMYFUNCTION("""COMPUTED_VALUE"""),"Primary_Walkin")</f>
        <v>Primary_Walkin</v>
      </c>
      <c r="E2136" s="124">
        <f>IFERROR(__xludf.DUMMYFUNCTION("""COMPUTED_VALUE"""),2.0)</f>
        <v>2</v>
      </c>
      <c r="F2136" s="124" t="str">
        <f>IFERROR(__xludf.DUMMYFUNCTION("""COMPUTED_VALUE"""),"Future Prospects")</f>
        <v>Future Prospects</v>
      </c>
      <c r="G2136" s="124" t="str">
        <f>IFERROR(__xludf.DUMMYFUNCTION("""COMPUTED_VALUE"""),"GS Foundation")</f>
        <v>GS Foundation</v>
      </c>
      <c r="K2136" s="124"/>
      <c r="L2136" s="124"/>
      <c r="M2136" s="124"/>
      <c r="N2136" s="124"/>
      <c r="O2136" s="124"/>
      <c r="T2136" s="129">
        <f>IFERROR(__xludf.DUMMYFUNCTION("""COMPUTED_VALUE"""),46076.0)</f>
        <v>46076</v>
      </c>
      <c r="U2136" s="124" t="str">
        <f>IFERROR(__xludf.DUMMYFUNCTION("""COMPUTED_VALUE"""),"Walk-Ins")</f>
        <v>Walk-Ins</v>
      </c>
      <c r="V2136" s="124" t="str">
        <f>IFERROR(__xludf.DUMMYFUNCTION("""COMPUTED_VALUE"""),"Walk-In")</f>
        <v>Walk-In</v>
      </c>
      <c r="W2136" s="124" t="str">
        <f>IFERROR(__xludf.DUMMYFUNCTION("""COMPUTED_VALUE"""),"New Delhi")</f>
        <v>New Delhi</v>
      </c>
      <c r="X2136" s="124" t="str">
        <f>IFERROR(__xludf.DUMMYFUNCTION("""COMPUTED_VALUE"""),"New Delhi")</f>
        <v>New Delhi</v>
      </c>
      <c r="Y2136" s="124" t="str">
        <f>IFERROR(__xludf.DUMMYFUNCTION("""COMPUTED_VALUE"""),"Delhi")</f>
        <v>Delhi</v>
      </c>
      <c r="Z2136" s="124">
        <f>IFERROR(__xludf.DUMMYFUNCTION("""COMPUTED_VALUE"""),1.0)</f>
        <v>1</v>
      </c>
      <c r="AA2136" s="124" t="str">
        <f>IFERROR(__xludf.DUMMYFUNCTION("""COMPUTED_VALUE"""),"Not Interested")</f>
        <v>Not Interested</v>
      </c>
      <c r="AB2136" s="124" t="str">
        <f>IFERROR(__xludf.DUMMYFUNCTION("""COMPUTED_VALUE"""),"Other")</f>
        <v>Other</v>
      </c>
    </row>
    <row r="2137">
      <c r="A2137" s="129">
        <f>IFERROR(__xludf.DUMMYFUNCTION("""COMPUTED_VALUE"""),46089.0)</f>
        <v>46089</v>
      </c>
      <c r="B2137" s="124" t="str">
        <f>IFERROR(__xludf.DUMMYFUNCTION("""COMPUTED_VALUE"""),"Walkin")</f>
        <v>Walkin</v>
      </c>
      <c r="C2137" s="124" t="str">
        <f>IFERROR(__xludf.DUMMYFUNCTION("""COMPUTED_VALUE"""),"Delhi")</f>
        <v>Delhi</v>
      </c>
      <c r="D2137" s="124" t="str">
        <f>IFERROR(__xludf.DUMMYFUNCTION("""COMPUTED_VALUE"""),"Primary_Walkin")</f>
        <v>Primary_Walkin</v>
      </c>
      <c r="E2137" s="124">
        <f>IFERROR(__xludf.DUMMYFUNCTION("""COMPUTED_VALUE"""),1.0)</f>
        <v>1</v>
      </c>
      <c r="F2137" s="124" t="str">
        <f>IFERROR(__xludf.DUMMYFUNCTION("""COMPUTED_VALUE"""),"Future Prospects")</f>
        <v>Future Prospects</v>
      </c>
      <c r="G2137" s="124" t="str">
        <f>IFERROR(__xludf.DUMMYFUNCTION("""COMPUTED_VALUE"""),"GS Foundation")</f>
        <v>GS Foundation</v>
      </c>
      <c r="K2137" s="124"/>
      <c r="L2137" s="124"/>
      <c r="M2137" s="124"/>
      <c r="N2137" s="124"/>
      <c r="O2137" s="124"/>
      <c r="T2137" s="129">
        <f>IFERROR(__xludf.DUMMYFUNCTION("""COMPUTED_VALUE"""),46087.0)</f>
        <v>46087</v>
      </c>
      <c r="U2137" s="124" t="str">
        <f>IFERROR(__xludf.DUMMYFUNCTION("""COMPUTED_VALUE"""),"Paid Ads")</f>
        <v>Paid Ads</v>
      </c>
      <c r="V2137" s="124" t="str">
        <f>IFERROR(__xludf.DUMMYFUNCTION("""COMPUTED_VALUE"""),"facebook")</f>
        <v>facebook</v>
      </c>
      <c r="W2137" s="124" t="str">
        <f>IFERROR(__xludf.DUMMYFUNCTION("""COMPUTED_VALUE"""),"lucknow")</f>
        <v>lucknow</v>
      </c>
      <c r="X2137" s="124" t="str">
        <f>IFERROR(__xludf.DUMMYFUNCTION("""COMPUTED_VALUE"""),"metaleads")</f>
        <v>metaleads</v>
      </c>
      <c r="Y2137" s="124" t="str">
        <f>IFERROR(__xludf.DUMMYFUNCTION("""COMPUTED_VALUE"""),"Lucknow")</f>
        <v>Lucknow</v>
      </c>
      <c r="Z2137" s="124">
        <f>IFERROR(__xludf.DUMMYFUNCTION("""COMPUTED_VALUE"""),9.0)</f>
        <v>9</v>
      </c>
      <c r="AA2137" s="124" t="str">
        <f>IFERROR(__xludf.DUMMYFUNCTION("""COMPUTED_VALUE"""),"Cold")</f>
        <v>Cold</v>
      </c>
      <c r="AB2137" s="124"/>
    </row>
    <row r="2138">
      <c r="A2138" s="129">
        <f>IFERROR(__xludf.DUMMYFUNCTION("""COMPUTED_VALUE"""),46088.0)</f>
        <v>46088</v>
      </c>
      <c r="B2138" s="124" t="str">
        <f>IFERROR(__xludf.DUMMYFUNCTION("""COMPUTED_VALUE"""),"Walkin")</f>
        <v>Walkin</v>
      </c>
      <c r="C2138" s="124" t="str">
        <f>IFERROR(__xludf.DUMMYFUNCTION("""COMPUTED_VALUE"""),"Delhi")</f>
        <v>Delhi</v>
      </c>
      <c r="D2138" s="124" t="str">
        <f>IFERROR(__xludf.DUMMYFUNCTION("""COMPUTED_VALUE"""),"Primary_Walkin")</f>
        <v>Primary_Walkin</v>
      </c>
      <c r="E2138" s="124">
        <f>IFERROR(__xludf.DUMMYFUNCTION("""COMPUTED_VALUE"""),1.0)</f>
        <v>1</v>
      </c>
      <c r="F2138" s="124" t="str">
        <f>IFERROR(__xludf.DUMMYFUNCTION("""COMPUTED_VALUE"""),"Cold")</f>
        <v>Cold</v>
      </c>
      <c r="G2138" s="124" t="str">
        <f>IFERROR(__xludf.DUMMYFUNCTION("""COMPUTED_VALUE"""),"GS Foundation")</f>
        <v>GS Foundation</v>
      </c>
      <c r="K2138" s="124"/>
      <c r="L2138" s="124"/>
      <c r="M2138" s="124"/>
      <c r="N2138" s="124"/>
      <c r="O2138" s="124"/>
      <c r="T2138" s="126">
        <f>IFERROR(__xludf.DUMMYFUNCTION("""COMPUTED_VALUE"""),46065.0)</f>
        <v>46065</v>
      </c>
      <c r="U2138" s="124" t="str">
        <f>IFERROR(__xludf.DUMMYFUNCTION("""COMPUTED_VALUE"""),"Walk-Ins")</f>
        <v>Walk-Ins</v>
      </c>
      <c r="V2138" s="124" t="str">
        <f>IFERROR(__xludf.DUMMYFUNCTION("""COMPUTED_VALUE"""),"Walk-In")</f>
        <v>Walk-In</v>
      </c>
      <c r="W2138" s="124" t="str">
        <f>IFERROR(__xludf.DUMMYFUNCTION("""COMPUTED_VALUE"""),"New Delhi")</f>
        <v>New Delhi</v>
      </c>
      <c r="X2138" s="124" t="str">
        <f>IFERROR(__xludf.DUMMYFUNCTION("""COMPUTED_VALUE"""),"New Delhi")</f>
        <v>New Delhi</v>
      </c>
      <c r="Y2138" s="124" t="str">
        <f>IFERROR(__xludf.DUMMYFUNCTION("""COMPUTED_VALUE"""),"Delhi")</f>
        <v>Delhi</v>
      </c>
      <c r="Z2138" s="124">
        <f>IFERROR(__xludf.DUMMYFUNCTION("""COMPUTED_VALUE"""),2.0)</f>
        <v>2</v>
      </c>
      <c r="AA2138" s="124" t="str">
        <f>IFERROR(__xludf.DUMMYFUNCTION("""COMPUTED_VALUE"""),"Cold")</f>
        <v>Cold</v>
      </c>
      <c r="AB2138" s="124" t="str">
        <f>IFERROR(__xludf.DUMMYFUNCTION("""COMPUTED_VALUE"""),"IGP UPPSC")</f>
        <v>IGP UPPSC</v>
      </c>
    </row>
    <row r="2139">
      <c r="A2139" s="129">
        <f>IFERROR(__xludf.DUMMYFUNCTION("""COMPUTED_VALUE"""),46056.0)</f>
        <v>46056</v>
      </c>
      <c r="B2139" s="124" t="str">
        <f>IFERROR(__xludf.DUMMYFUNCTION("""COMPUTED_VALUE"""),"walk-in")</f>
        <v>walk-in</v>
      </c>
      <c r="C2139" s="124" t="str">
        <f>IFERROR(__xludf.DUMMYFUNCTION("""COMPUTED_VALUE"""),"Delhi")</f>
        <v>Delhi</v>
      </c>
      <c r="D2139" s="124" t="str">
        <f>IFERROR(__xludf.DUMMYFUNCTION("""COMPUTED_VALUE"""),"Primary_Walkin")</f>
        <v>Primary_Walkin</v>
      </c>
      <c r="E2139" s="124">
        <f>IFERROR(__xludf.DUMMYFUNCTION("""COMPUTED_VALUE"""),1.0)</f>
        <v>1</v>
      </c>
      <c r="F2139" s="124" t="str">
        <f>IFERROR(__xludf.DUMMYFUNCTION("""COMPUTED_VALUE"""),"Not Interested")</f>
        <v>Not Interested</v>
      </c>
      <c r="G2139" s="124" t="str">
        <f>IFERROR(__xludf.DUMMYFUNCTION("""COMPUTED_VALUE"""),"GS Foundation")</f>
        <v>GS Foundation</v>
      </c>
      <c r="K2139" s="124"/>
      <c r="L2139" s="124"/>
      <c r="M2139" s="124"/>
      <c r="N2139" s="124"/>
      <c r="O2139" s="124"/>
      <c r="T2139" s="126">
        <f>IFERROR(__xludf.DUMMYFUNCTION("""COMPUTED_VALUE"""),46068.0)</f>
        <v>46068</v>
      </c>
      <c r="U2139" s="124" t="str">
        <f>IFERROR(__xludf.DUMMYFUNCTION("""COMPUTED_VALUE"""),"Walk-Ins")</f>
        <v>Walk-Ins</v>
      </c>
      <c r="V2139" s="124" t="str">
        <f>IFERROR(__xludf.DUMMYFUNCTION("""COMPUTED_VALUE"""),"Walk-In")</f>
        <v>Walk-In</v>
      </c>
      <c r="W2139" s="124" t="str">
        <f>IFERROR(__xludf.DUMMYFUNCTION("""COMPUTED_VALUE"""),"New Delhi")</f>
        <v>New Delhi</v>
      </c>
      <c r="X2139" s="124" t="str">
        <f>IFERROR(__xludf.DUMMYFUNCTION("""COMPUTED_VALUE"""),"New Delhi")</f>
        <v>New Delhi</v>
      </c>
      <c r="Y2139" s="124" t="str">
        <f>IFERROR(__xludf.DUMMYFUNCTION("""COMPUTED_VALUE"""),"Delhi")</f>
        <v>Delhi</v>
      </c>
      <c r="Z2139" s="124">
        <f>IFERROR(__xludf.DUMMYFUNCTION("""COMPUTED_VALUE"""),1.0)</f>
        <v>1</v>
      </c>
      <c r="AA2139" s="124" t="str">
        <f>IFERROR(__xludf.DUMMYFUNCTION("""COMPUTED_VALUE"""),"Cold")</f>
        <v>Cold</v>
      </c>
      <c r="AB2139" s="124" t="str">
        <f>IFERROR(__xludf.DUMMYFUNCTION("""COMPUTED_VALUE"""),"Other")</f>
        <v>Other</v>
      </c>
    </row>
    <row r="2140">
      <c r="A2140" s="126">
        <f>IFERROR(__xludf.DUMMYFUNCTION("""COMPUTED_VALUE"""),46112.0)</f>
        <v>46112</v>
      </c>
      <c r="B2140" s="124" t="str">
        <f>IFERROR(__xludf.DUMMYFUNCTION("""COMPUTED_VALUE"""),"Walkin")</f>
        <v>Walkin</v>
      </c>
      <c r="C2140" s="124" t="str">
        <f>IFERROR(__xludf.DUMMYFUNCTION("""COMPUTED_VALUE"""),"Delhi")</f>
        <v>Delhi</v>
      </c>
      <c r="D2140" s="124" t="str">
        <f>IFERROR(__xludf.DUMMYFUNCTION("""COMPUTED_VALUE"""),"Primary_Walkin")</f>
        <v>Primary_Walkin</v>
      </c>
      <c r="E2140" s="124">
        <f>IFERROR(__xludf.DUMMYFUNCTION("""COMPUTED_VALUE"""),1.0)</f>
        <v>1</v>
      </c>
      <c r="F2140" s="124" t="str">
        <f>IFERROR(__xludf.DUMMYFUNCTION("""COMPUTED_VALUE"""),"Cold")</f>
        <v>Cold</v>
      </c>
      <c r="G2140" s="124" t="str">
        <f>IFERROR(__xludf.DUMMYFUNCTION("""COMPUTED_VALUE"""),"GS Foundation")</f>
        <v>GS Foundation</v>
      </c>
      <c r="K2140" s="124"/>
      <c r="L2140" s="124"/>
      <c r="M2140" s="124"/>
      <c r="N2140" s="124"/>
      <c r="O2140" s="124"/>
      <c r="T2140" s="126">
        <f>IFERROR(__xludf.DUMMYFUNCTION("""COMPUTED_VALUE"""),46071.0)</f>
        <v>46071</v>
      </c>
      <c r="U2140" s="124" t="str">
        <f>IFERROR(__xludf.DUMMYFUNCTION("""COMPUTED_VALUE"""),"Walk-Ins")</f>
        <v>Walk-Ins</v>
      </c>
      <c r="V2140" s="124" t="str">
        <f>IFERROR(__xludf.DUMMYFUNCTION("""COMPUTED_VALUE"""),"Walk-In")</f>
        <v>Walk-In</v>
      </c>
      <c r="W2140" s="124" t="str">
        <f>IFERROR(__xludf.DUMMYFUNCTION("""COMPUTED_VALUE"""),"New Delhi")</f>
        <v>New Delhi</v>
      </c>
      <c r="X2140" s="124" t="str">
        <f>IFERROR(__xludf.DUMMYFUNCTION("""COMPUTED_VALUE"""),"New Delhi")</f>
        <v>New Delhi</v>
      </c>
      <c r="Y2140" s="124" t="str">
        <f>IFERROR(__xludf.DUMMYFUNCTION("""COMPUTED_VALUE"""),"Delhi")</f>
        <v>Delhi</v>
      </c>
      <c r="Z2140" s="124">
        <f>IFERROR(__xludf.DUMMYFUNCTION("""COMPUTED_VALUE"""),1.0)</f>
        <v>1</v>
      </c>
      <c r="AA2140" s="124" t="str">
        <f>IFERROR(__xludf.DUMMYFUNCTION("""COMPUTED_VALUE"""),"Not Interested")</f>
        <v>Not Interested</v>
      </c>
      <c r="AB2140" s="124" t="str">
        <f>IFERROR(__xludf.DUMMYFUNCTION("""COMPUTED_VALUE"""),"SIP Offline")</f>
        <v>SIP Offline</v>
      </c>
    </row>
    <row r="2141">
      <c r="A2141" s="126">
        <f>IFERROR(__xludf.DUMMYFUNCTION("""COMPUTED_VALUE"""),46100.0)</f>
        <v>46100</v>
      </c>
      <c r="B2141" s="124" t="str">
        <f>IFERROR(__xludf.DUMMYFUNCTION("""COMPUTED_VALUE"""),"Events")</f>
        <v>Events</v>
      </c>
      <c r="C2141" s="124" t="str">
        <f>IFERROR(__xludf.DUMMYFUNCTION("""COMPUTED_VALUE"""),"Delhi")</f>
        <v>Delhi</v>
      </c>
      <c r="D2141" s="124" t="str">
        <f>IFERROR(__xludf.DUMMYFUNCTION("""COMPUTED_VALUE"""),"Secondary_Walkin")</f>
        <v>Secondary_Walkin</v>
      </c>
      <c r="E2141" s="124">
        <f>IFERROR(__xludf.DUMMYFUNCTION("""COMPUTED_VALUE"""),1.0)</f>
        <v>1</v>
      </c>
      <c r="F2141" s="124" t="str">
        <f>IFERROR(__xludf.DUMMYFUNCTION("""COMPUTED_VALUE"""),"Future Prospects")</f>
        <v>Future Prospects</v>
      </c>
      <c r="G2141" s="124" t="str">
        <f>IFERROR(__xludf.DUMMYFUNCTION("""COMPUTED_VALUE"""),"GS Foundation")</f>
        <v>GS Foundation</v>
      </c>
      <c r="K2141" s="124"/>
      <c r="L2141" s="124"/>
      <c r="M2141" s="124"/>
      <c r="N2141" s="124"/>
      <c r="O2141" s="124"/>
      <c r="T2141" s="126">
        <f>IFERROR(__xludf.DUMMYFUNCTION("""COMPUTED_VALUE"""),46070.0)</f>
        <v>46070</v>
      </c>
      <c r="U2141" s="124" t="str">
        <f>IFERROR(__xludf.DUMMYFUNCTION("""COMPUTED_VALUE"""),"Paid Ads")</f>
        <v>Paid Ads</v>
      </c>
      <c r="V2141" s="124" t="str">
        <f>IFERROR(__xludf.DUMMYFUNCTION("""COMPUTED_VALUE"""),"facebook")</f>
        <v>facebook</v>
      </c>
      <c r="W2141" s="124" t="str">
        <f>IFERROR(__xludf.DUMMYFUNCTION("""COMPUTED_VALUE"""),"lucknow")</f>
        <v>lucknow</v>
      </c>
      <c r="X2141" s="124" t="str">
        <f>IFERROR(__xludf.DUMMYFUNCTION("""COMPUTED_VALUE"""),"metaleads")</f>
        <v>metaleads</v>
      </c>
      <c r="Y2141" s="124" t="str">
        <f>IFERROR(__xludf.DUMMYFUNCTION("""COMPUTED_VALUE"""),"Lucknow")</f>
        <v>Lucknow</v>
      </c>
      <c r="Z2141" s="124">
        <f>IFERROR(__xludf.DUMMYFUNCTION("""COMPUTED_VALUE"""),3.0)</f>
        <v>3</v>
      </c>
      <c r="AA2141" s="124" t="str">
        <f>IFERROR(__xludf.DUMMYFUNCTION("""COMPUTED_VALUE"""),"Fake Lead")</f>
        <v>Fake Lead</v>
      </c>
      <c r="AB2141" s="124"/>
    </row>
    <row r="2142">
      <c r="A2142" s="126">
        <f>IFERROR(__xludf.DUMMYFUNCTION("""COMPUTED_VALUE"""),46069.0)</f>
        <v>46069</v>
      </c>
      <c r="B2142" s="124" t="str">
        <f>IFERROR(__xludf.DUMMYFUNCTION("""COMPUTED_VALUE"""),"Walkin")</f>
        <v>Walkin</v>
      </c>
      <c r="C2142" s="124" t="str">
        <f>IFERROR(__xludf.DUMMYFUNCTION("""COMPUTED_VALUE"""),"Delhi")</f>
        <v>Delhi</v>
      </c>
      <c r="D2142" s="124" t="str">
        <f>IFERROR(__xludf.DUMMYFUNCTION("""COMPUTED_VALUE"""),"Primary_Walkin")</f>
        <v>Primary_Walkin</v>
      </c>
      <c r="E2142" s="124">
        <f>IFERROR(__xludf.DUMMYFUNCTION("""COMPUTED_VALUE"""),1.0)</f>
        <v>1</v>
      </c>
      <c r="F2142" s="124" t="str">
        <f>IFERROR(__xludf.DUMMYFUNCTION("""COMPUTED_VALUE"""),"Not Interested")</f>
        <v>Not Interested</v>
      </c>
      <c r="G2142" s="124" t="str">
        <f>IFERROR(__xludf.DUMMYFUNCTION("""COMPUTED_VALUE"""),"Optionals")</f>
        <v>Optionals</v>
      </c>
      <c r="K2142" s="124"/>
      <c r="L2142" s="124"/>
      <c r="M2142" s="124"/>
      <c r="N2142" s="124"/>
      <c r="O2142" s="124"/>
      <c r="T2142" s="126">
        <f>IFERROR(__xludf.DUMMYFUNCTION("""COMPUTED_VALUE"""),46090.0)</f>
        <v>46090</v>
      </c>
      <c r="U2142" s="124" t="str">
        <f>IFERROR(__xludf.DUMMYFUNCTION("""COMPUTED_VALUE"""),"Paid Ads")</f>
        <v>Paid Ads</v>
      </c>
      <c r="V2142" s="124" t="str">
        <f>IFERROR(__xludf.DUMMYFUNCTION("""COMPUTED_VALUE"""),"facebook")</f>
        <v>facebook</v>
      </c>
      <c r="W2142" s="124" t="str">
        <f>IFERROR(__xludf.DUMMYFUNCTION("""COMPUTED_VALUE"""),"lucknow")</f>
        <v>lucknow</v>
      </c>
      <c r="X2142" s="124" t="str">
        <f>IFERROR(__xludf.DUMMYFUNCTION("""COMPUTED_VALUE"""),"metaleads")</f>
        <v>metaleads</v>
      </c>
      <c r="Y2142" s="124" t="str">
        <f>IFERROR(__xludf.DUMMYFUNCTION("""COMPUTED_VALUE"""),"Lucknow")</f>
        <v>Lucknow</v>
      </c>
      <c r="Z2142" s="124">
        <f>IFERROR(__xludf.DUMMYFUNCTION("""COMPUTED_VALUE"""),5.0)</f>
        <v>5</v>
      </c>
      <c r="AA2142" s="124" t="str">
        <f>IFERROR(__xludf.DUMMYFUNCTION("""COMPUTED_VALUE"""),"Fake Lead")</f>
        <v>Fake Lead</v>
      </c>
      <c r="AB2142" s="124"/>
    </row>
    <row r="2143">
      <c r="A2143" s="126">
        <f>IFERROR(__xludf.DUMMYFUNCTION("""COMPUTED_VALUE"""),46099.0)</f>
        <v>46099</v>
      </c>
      <c r="B2143" s="124" t="str">
        <f>IFERROR(__xludf.DUMMYFUNCTION("""COMPUTED_VALUE"""),"Walk-In")</f>
        <v>Walk-In</v>
      </c>
      <c r="C2143" s="124" t="str">
        <f>IFERROR(__xludf.DUMMYFUNCTION("""COMPUTED_VALUE"""),"Delhi")</f>
        <v>Delhi</v>
      </c>
      <c r="D2143" s="124" t="str">
        <f>IFERROR(__xludf.DUMMYFUNCTION("""COMPUTED_VALUE"""),"Primary_Walkin")</f>
        <v>Primary_Walkin</v>
      </c>
      <c r="E2143" s="124">
        <f>IFERROR(__xludf.DUMMYFUNCTION("""COMPUTED_VALUE"""),1.0)</f>
        <v>1</v>
      </c>
      <c r="F2143" s="124" t="str">
        <f>IFERROR(__xludf.DUMMYFUNCTION("""COMPUTED_VALUE"""),"Future Prospects")</f>
        <v>Future Prospects</v>
      </c>
      <c r="G2143" s="124" t="str">
        <f>IFERROR(__xludf.DUMMYFUNCTION("""COMPUTED_VALUE"""),"GS Foundation")</f>
        <v>GS Foundation</v>
      </c>
      <c r="K2143" s="124"/>
      <c r="L2143" s="124"/>
      <c r="M2143" s="124"/>
      <c r="N2143" s="124"/>
      <c r="O2143" s="124"/>
      <c r="T2143" s="129">
        <f>IFERROR(__xludf.DUMMYFUNCTION("""COMPUTED_VALUE"""),46111.0)</f>
        <v>46111</v>
      </c>
      <c r="U2143" s="124" t="str">
        <f>IFERROR(__xludf.DUMMYFUNCTION("""COMPUTED_VALUE"""),"Event")</f>
        <v>Event</v>
      </c>
      <c r="V2143" s="124" t="str">
        <f>IFERROR(__xludf.DUMMYFUNCTION("""COMPUTED_VALUE"""),"events")</f>
        <v>events</v>
      </c>
      <c r="W2143" s="124" t="str">
        <f>IFERROR(__xludf.DUMMYFUNCTION("""COMPUTED_VALUE"""),"patna")</f>
        <v>patna</v>
      </c>
      <c r="X2143" s="124" t="str">
        <f>IFERROR(__xludf.DUMMYFUNCTION("""COMPUTED_VALUE"""),"seminar")</f>
        <v>seminar</v>
      </c>
      <c r="Y2143" s="124" t="str">
        <f>IFERROR(__xludf.DUMMYFUNCTION("""COMPUTED_VALUE"""),"Patna")</f>
        <v>Patna</v>
      </c>
      <c r="Z2143" s="124">
        <f>IFERROR(__xludf.DUMMYFUNCTION("""COMPUTED_VALUE"""),2.0)</f>
        <v>2</v>
      </c>
      <c r="AA2143" s="124" t="str">
        <f>IFERROR(__xludf.DUMMYFUNCTION("""COMPUTED_VALUE"""),"Cold")</f>
        <v>Cold</v>
      </c>
      <c r="AB2143" s="124"/>
    </row>
    <row r="2144">
      <c r="A2144" s="126">
        <f>IFERROR(__xludf.DUMMYFUNCTION("""COMPUTED_VALUE"""),46065.0)</f>
        <v>46065</v>
      </c>
      <c r="B2144" s="124" t="str">
        <f>IFERROR(__xludf.DUMMYFUNCTION("""COMPUTED_VALUE"""),"walk-in")</f>
        <v>walk-in</v>
      </c>
      <c r="C2144" s="124" t="str">
        <f>IFERROR(__xludf.DUMMYFUNCTION("""COMPUTED_VALUE"""),"Delhi")</f>
        <v>Delhi</v>
      </c>
      <c r="D2144" s="124" t="str">
        <f>IFERROR(__xludf.DUMMYFUNCTION("""COMPUTED_VALUE"""),"Primary_Walkin")</f>
        <v>Primary_Walkin</v>
      </c>
      <c r="E2144" s="124">
        <f>IFERROR(__xludf.DUMMYFUNCTION("""COMPUTED_VALUE"""),1.0)</f>
        <v>1</v>
      </c>
      <c r="F2144" s="124" t="str">
        <f>IFERROR(__xludf.DUMMYFUNCTION("""COMPUTED_VALUE"""),"Cold")</f>
        <v>Cold</v>
      </c>
      <c r="G2144" s="124" t="str">
        <f>IFERROR(__xludf.DUMMYFUNCTION("""COMPUTED_VALUE"""),"GS Foundation")</f>
        <v>GS Foundation</v>
      </c>
      <c r="K2144" s="124"/>
      <c r="L2144" s="124"/>
      <c r="M2144" s="124"/>
      <c r="N2144" s="124"/>
      <c r="O2144" s="124"/>
      <c r="T2144" s="129">
        <f>IFERROR(__xludf.DUMMYFUNCTION("""COMPUTED_VALUE"""),46050.0)</f>
        <v>46050</v>
      </c>
      <c r="U2144" s="124" t="str">
        <f>IFERROR(__xludf.DUMMYFUNCTION("""COMPUTED_VALUE"""),"Paid Ads")</f>
        <v>Paid Ads</v>
      </c>
      <c r="V2144" s="124" t="str">
        <f>IFERROR(__xludf.DUMMYFUNCTION("""COMPUTED_VALUE"""),"google")</f>
        <v>google</v>
      </c>
      <c r="W2144" s="124" t="str">
        <f>IFERROR(__xludf.DUMMYFUNCTION("""COMPUTED_VALUE"""),"cpc")</f>
        <v>cpc</v>
      </c>
      <c r="X2144" s="124">
        <f>IFERROR(__xludf.DUMMYFUNCTION("""COMPUTED_VALUE"""),2.2758016291E10)</f>
        <v>22758016291</v>
      </c>
      <c r="Y2144" s="124" t="str">
        <f>IFERROR(__xludf.DUMMYFUNCTION("""COMPUTED_VALUE"""),"Delhi")</f>
        <v>Delhi</v>
      </c>
      <c r="Z2144" s="124">
        <f>IFERROR(__xludf.DUMMYFUNCTION("""COMPUTED_VALUE"""),2.0)</f>
        <v>2</v>
      </c>
      <c r="AA2144" s="124" t="str">
        <f>IFERROR(__xludf.DUMMYFUNCTION("""COMPUTED_VALUE"""),"Cold")</f>
        <v>Cold</v>
      </c>
      <c r="AB2144" s="124" t="str">
        <f>IFERROR(__xludf.DUMMYFUNCTION("""COMPUTED_VALUE"""),"SIM")</f>
        <v>SIM</v>
      </c>
    </row>
    <row r="2145">
      <c r="A2145" s="126">
        <f>IFERROR(__xludf.DUMMYFUNCTION("""COMPUTED_VALUE"""),46095.0)</f>
        <v>46095</v>
      </c>
      <c r="B2145" s="124" t="str">
        <f>IFERROR(__xludf.DUMMYFUNCTION("""COMPUTED_VALUE"""),"Walk-In")</f>
        <v>Walk-In</v>
      </c>
      <c r="C2145" s="124" t="str">
        <f>IFERROR(__xludf.DUMMYFUNCTION("""COMPUTED_VALUE"""),"Delhi")</f>
        <v>Delhi</v>
      </c>
      <c r="D2145" s="124" t="str">
        <f>IFERROR(__xludf.DUMMYFUNCTION("""COMPUTED_VALUE"""),"Primary_Walkin")</f>
        <v>Primary_Walkin</v>
      </c>
      <c r="E2145" s="124">
        <f>IFERROR(__xludf.DUMMYFUNCTION("""COMPUTED_VALUE"""),1.0)</f>
        <v>1</v>
      </c>
      <c r="F2145" s="124" t="str">
        <f>IFERROR(__xludf.DUMMYFUNCTION("""COMPUTED_VALUE"""),"Future Prospects")</f>
        <v>Future Prospects</v>
      </c>
      <c r="G2145" s="124" t="str">
        <f>IFERROR(__xludf.DUMMYFUNCTION("""COMPUTED_VALUE"""),"Optionals")</f>
        <v>Optionals</v>
      </c>
      <c r="K2145" s="124"/>
      <c r="L2145" s="124"/>
      <c r="M2145" s="124"/>
      <c r="N2145" s="124"/>
      <c r="O2145" s="124"/>
      <c r="T2145" s="126">
        <f>IFERROR(__xludf.DUMMYFUNCTION("""COMPUTED_VALUE"""),46055.0)</f>
        <v>46055</v>
      </c>
      <c r="U2145" s="124" t="str">
        <f>IFERROR(__xludf.DUMMYFUNCTION("""COMPUTED_VALUE"""),"Walk-Ins")</f>
        <v>Walk-Ins</v>
      </c>
      <c r="V2145" s="124" t="str">
        <f>IFERROR(__xludf.DUMMYFUNCTION("""COMPUTED_VALUE"""),"Walk-In")</f>
        <v>Walk-In</v>
      </c>
      <c r="W2145" s="124" t="str">
        <f>IFERROR(__xludf.DUMMYFUNCTION("""COMPUTED_VALUE"""),"Patna")</f>
        <v>Patna</v>
      </c>
      <c r="X2145" s="124" t="str">
        <f>IFERROR(__xludf.DUMMYFUNCTION("""COMPUTED_VALUE"""),"Patna")</f>
        <v>Patna</v>
      </c>
      <c r="Y2145" s="124" t="str">
        <f>IFERROR(__xludf.DUMMYFUNCTION("""COMPUTED_VALUE"""),"Patna")</f>
        <v>Patna</v>
      </c>
      <c r="Z2145" s="124">
        <f>IFERROR(__xludf.DUMMYFUNCTION("""COMPUTED_VALUE"""),1.0)</f>
        <v>1</v>
      </c>
      <c r="AA2145" s="124" t="str">
        <f>IFERROR(__xludf.DUMMYFUNCTION("""COMPUTED_VALUE"""),"Not Interested")</f>
        <v>Not Interested</v>
      </c>
      <c r="AB2145" s="124" t="str">
        <f>IFERROR(__xludf.DUMMYFUNCTION("""COMPUTED_VALUE"""),"GS Foundation")</f>
        <v>GS Foundation</v>
      </c>
    </row>
    <row r="2146">
      <c r="A2146" s="126">
        <f>IFERROR(__xludf.DUMMYFUNCTION("""COMPUTED_VALUE"""),46075.0)</f>
        <v>46075</v>
      </c>
      <c r="B2146" s="124" t="str">
        <f>IFERROR(__xludf.DUMMYFUNCTION("""COMPUTED_VALUE"""),"walk-in")</f>
        <v>walk-in</v>
      </c>
      <c r="C2146" s="124" t="str">
        <f>IFERROR(__xludf.DUMMYFUNCTION("""COMPUTED_VALUE"""),"Delhi")</f>
        <v>Delhi</v>
      </c>
      <c r="D2146" s="124" t="str">
        <f>IFERROR(__xludf.DUMMYFUNCTION("""COMPUTED_VALUE"""),"Primary_Walkin")</f>
        <v>Primary_Walkin</v>
      </c>
      <c r="E2146" s="124">
        <f>IFERROR(__xludf.DUMMYFUNCTION("""COMPUTED_VALUE"""),1.0)</f>
        <v>1</v>
      </c>
      <c r="F2146" s="124" t="str">
        <f>IFERROR(__xludf.DUMMYFUNCTION("""COMPUTED_VALUE"""),"Cold")</f>
        <v>Cold</v>
      </c>
      <c r="G2146" s="124" t="str">
        <f>IFERROR(__xludf.DUMMYFUNCTION("""COMPUTED_VALUE"""),"GS Foundation")</f>
        <v>GS Foundation</v>
      </c>
      <c r="K2146" s="124"/>
      <c r="L2146" s="124"/>
      <c r="M2146" s="124"/>
      <c r="N2146" s="124"/>
      <c r="O2146" s="124"/>
      <c r="T2146" s="126">
        <f>IFERROR(__xludf.DUMMYFUNCTION("""COMPUTED_VALUE"""),46066.0)</f>
        <v>46066</v>
      </c>
      <c r="U2146" s="124" t="str">
        <f>IFERROR(__xludf.DUMMYFUNCTION("""COMPUTED_VALUE"""),"Paid Ads")</f>
        <v>Paid Ads</v>
      </c>
      <c r="V2146" s="124" t="str">
        <f>IFERROR(__xludf.DUMMYFUNCTION("""COMPUTED_VALUE"""),"google")</f>
        <v>google</v>
      </c>
      <c r="W2146" s="124" t="str">
        <f>IFERROR(__xludf.DUMMYFUNCTION("""COMPUTED_VALUE"""),"cpc")</f>
        <v>cpc</v>
      </c>
      <c r="X2146" s="124">
        <f>IFERROR(__xludf.DUMMYFUNCTION("""COMPUTED_VALUE"""),2.2758016291E10)</f>
        <v>22758016291</v>
      </c>
      <c r="Y2146" s="124" t="str">
        <f>IFERROR(__xludf.DUMMYFUNCTION("""COMPUTED_VALUE"""),"Delhi")</f>
        <v>Delhi</v>
      </c>
      <c r="Z2146" s="124">
        <f>IFERROR(__xludf.DUMMYFUNCTION("""COMPUTED_VALUE"""),1.0)</f>
        <v>1</v>
      </c>
      <c r="AA2146" s="124" t="str">
        <f>IFERROR(__xludf.DUMMYFUNCTION("""COMPUTED_VALUE"""),"Cold")</f>
        <v>Cold</v>
      </c>
      <c r="AB2146" s="124" t="str">
        <f>IFERROR(__xludf.DUMMYFUNCTION("""COMPUTED_VALUE"""),"Other")</f>
        <v>Other</v>
      </c>
    </row>
    <row r="2147">
      <c r="A2147" s="129">
        <f>IFERROR(__xludf.DUMMYFUNCTION("""COMPUTED_VALUE"""),46083.0)</f>
        <v>46083</v>
      </c>
      <c r="B2147" s="124" t="str">
        <f>IFERROR(__xludf.DUMMYFUNCTION("""COMPUTED_VALUE"""),"Walkin")</f>
        <v>Walkin</v>
      </c>
      <c r="C2147" s="124" t="str">
        <f>IFERROR(__xludf.DUMMYFUNCTION("""COMPUTED_VALUE"""),"Delhi")</f>
        <v>Delhi</v>
      </c>
      <c r="D2147" s="124" t="str">
        <f>IFERROR(__xludf.DUMMYFUNCTION("""COMPUTED_VALUE"""),"Primary_Walkin")</f>
        <v>Primary_Walkin</v>
      </c>
      <c r="E2147" s="124">
        <f>IFERROR(__xludf.DUMMYFUNCTION("""COMPUTED_VALUE"""),1.0)</f>
        <v>1</v>
      </c>
      <c r="F2147" s="124" t="str">
        <f>IFERROR(__xludf.DUMMYFUNCTION("""COMPUTED_VALUE"""),"Warm")</f>
        <v>Warm</v>
      </c>
      <c r="G2147" s="124" t="str">
        <f>IFERROR(__xludf.DUMMYFUNCTION("""COMPUTED_VALUE"""),"GS Foundation")</f>
        <v>GS Foundation</v>
      </c>
      <c r="K2147" s="124"/>
      <c r="L2147" s="124"/>
      <c r="M2147" s="124"/>
      <c r="N2147" s="124"/>
      <c r="O2147" s="124"/>
      <c r="T2147" s="126">
        <f>IFERROR(__xludf.DUMMYFUNCTION("""COMPUTED_VALUE"""),46045.0)</f>
        <v>46045</v>
      </c>
      <c r="U2147" s="124" t="str">
        <f>IFERROR(__xludf.DUMMYFUNCTION("""COMPUTED_VALUE"""),"Paid Ads")</f>
        <v>Paid Ads</v>
      </c>
      <c r="V2147" s="124" t="str">
        <f>IFERROR(__xludf.DUMMYFUNCTION("""COMPUTED_VALUE"""),"Facebook")</f>
        <v>Facebook</v>
      </c>
      <c r="W2147" s="124" t="str">
        <f>IFERROR(__xludf.DUMMYFUNCTION("""COMPUTED_VALUE"""),"LeadAd")</f>
        <v>LeadAd</v>
      </c>
      <c r="X2147" s="124" t="str">
        <f>IFERROR(__xludf.DUMMYFUNCTION("""COMPUTED_VALUE"""),"Upsc_offline_26_Lucknow_FB_Video")</f>
        <v>Upsc_offline_26_Lucknow_FB_Video</v>
      </c>
      <c r="Y2147" s="124" t="str">
        <f>IFERROR(__xludf.DUMMYFUNCTION("""COMPUTED_VALUE"""),"Lucknow")</f>
        <v>Lucknow</v>
      </c>
      <c r="Z2147" s="124">
        <f>IFERROR(__xludf.DUMMYFUNCTION("""COMPUTED_VALUE"""),1.0)</f>
        <v>1</v>
      </c>
      <c r="AA2147" s="124" t="str">
        <f>IFERROR(__xludf.DUMMYFUNCTION("""COMPUTED_VALUE"""),"Not Interested")</f>
        <v>Not Interested</v>
      </c>
      <c r="AB2147" s="124"/>
    </row>
    <row r="2148">
      <c r="A2148" s="126">
        <f>IFERROR(__xludf.DUMMYFUNCTION("""COMPUTED_VALUE"""),46092.0)</f>
        <v>46092</v>
      </c>
      <c r="B2148" s="124" t="str">
        <f>IFERROR(__xludf.DUMMYFUNCTION("""COMPUTED_VALUE"""),"Walk-In")</f>
        <v>Walk-In</v>
      </c>
      <c r="C2148" s="124" t="str">
        <f>IFERROR(__xludf.DUMMYFUNCTION("""COMPUTED_VALUE"""),"Delhi")</f>
        <v>Delhi</v>
      </c>
      <c r="D2148" s="124" t="str">
        <f>IFERROR(__xludf.DUMMYFUNCTION("""COMPUTED_VALUE"""),"Primary_Walkin")</f>
        <v>Primary_Walkin</v>
      </c>
      <c r="E2148" s="124">
        <f>IFERROR(__xludf.DUMMYFUNCTION("""COMPUTED_VALUE"""),1.0)</f>
        <v>1</v>
      </c>
      <c r="F2148" s="124" t="str">
        <f>IFERROR(__xludf.DUMMYFUNCTION("""COMPUTED_VALUE"""),"Fake Lead")</f>
        <v>Fake Lead</v>
      </c>
      <c r="G2148" s="124" t="str">
        <f>IFERROR(__xludf.DUMMYFUNCTION("""COMPUTED_VALUE"""),"GS Foundation")</f>
        <v>GS Foundation</v>
      </c>
      <c r="K2148" s="124"/>
      <c r="L2148" s="124"/>
      <c r="M2148" s="124"/>
      <c r="N2148" s="124"/>
      <c r="O2148" s="124"/>
      <c r="T2148" s="129">
        <f>IFERROR(__xludf.DUMMYFUNCTION("""COMPUTED_VALUE"""),46111.0)</f>
        <v>46111</v>
      </c>
      <c r="U2148" s="124" t="str">
        <f>IFERROR(__xludf.DUMMYFUNCTION("""COMPUTED_VALUE"""),"Event")</f>
        <v>Event</v>
      </c>
      <c r="V2148" s="124" t="str">
        <f>IFERROR(__xludf.DUMMYFUNCTION("""COMPUTED_VALUE"""),"events")</f>
        <v>events</v>
      </c>
      <c r="W2148" s="124" t="str">
        <f>IFERROR(__xludf.DUMMYFUNCTION("""COMPUTED_VALUE"""),"patna")</f>
        <v>patna</v>
      </c>
      <c r="X2148" s="124" t="str">
        <f>IFERROR(__xludf.DUMMYFUNCTION("""COMPUTED_VALUE"""),"seminar")</f>
        <v>seminar</v>
      </c>
      <c r="Y2148" s="124" t="str">
        <f>IFERROR(__xludf.DUMMYFUNCTION("""COMPUTED_VALUE"""),"Patna")</f>
        <v>Patna</v>
      </c>
      <c r="Z2148" s="124">
        <f>IFERROR(__xludf.DUMMYFUNCTION("""COMPUTED_VALUE"""),3.0)</f>
        <v>3</v>
      </c>
      <c r="AA2148" s="124" t="str">
        <f>IFERROR(__xludf.DUMMYFUNCTION("""COMPUTED_VALUE"""),"Cold")</f>
        <v>Cold</v>
      </c>
      <c r="AB2148" s="124"/>
    </row>
    <row r="2149">
      <c r="A2149" s="126">
        <f>IFERROR(__xludf.DUMMYFUNCTION("""COMPUTED_VALUE"""),46072.0)</f>
        <v>46072</v>
      </c>
      <c r="B2149" s="124" t="str">
        <f>IFERROR(__xludf.DUMMYFUNCTION("""COMPUTED_VALUE"""),"Walkin")</f>
        <v>Walkin</v>
      </c>
      <c r="C2149" s="124" t="str">
        <f>IFERROR(__xludf.DUMMYFUNCTION("""COMPUTED_VALUE"""),"Delhi")</f>
        <v>Delhi</v>
      </c>
      <c r="D2149" s="124" t="str">
        <f>IFERROR(__xludf.DUMMYFUNCTION("""COMPUTED_VALUE"""),"Primary_Walkin")</f>
        <v>Primary_Walkin</v>
      </c>
      <c r="E2149" s="124">
        <f>IFERROR(__xludf.DUMMYFUNCTION("""COMPUTED_VALUE"""),1.0)</f>
        <v>1</v>
      </c>
      <c r="F2149" s="124" t="str">
        <f>IFERROR(__xludf.DUMMYFUNCTION("""COMPUTED_VALUE"""),"Enrolled")</f>
        <v>Enrolled</v>
      </c>
      <c r="G2149" s="124" t="str">
        <f>IFERROR(__xludf.DUMMYFUNCTION("""COMPUTED_VALUE"""),"GS Foundation")</f>
        <v>GS Foundation</v>
      </c>
      <c r="K2149" s="124"/>
      <c r="L2149" s="124"/>
      <c r="M2149" s="124"/>
      <c r="N2149" s="124"/>
      <c r="O2149" s="124"/>
      <c r="T2149" s="129">
        <f>IFERROR(__xludf.DUMMYFUNCTION("""COMPUTED_VALUE"""),46047.0)</f>
        <v>46047</v>
      </c>
      <c r="U2149" s="124" t="str">
        <f>IFERROR(__xludf.DUMMYFUNCTION("""COMPUTED_VALUE"""),"Paid Ads")</f>
        <v>Paid Ads</v>
      </c>
      <c r="V2149" s="124" t="str">
        <f>IFERROR(__xludf.DUMMYFUNCTION("""COMPUTED_VALUE"""),"google")</f>
        <v>google</v>
      </c>
      <c r="W2149" s="124" t="str">
        <f>IFERROR(__xludf.DUMMYFUNCTION("""COMPUTED_VALUE"""),"cpc")</f>
        <v>cpc</v>
      </c>
      <c r="X2149" s="124">
        <f>IFERROR(__xludf.DUMMYFUNCTION("""COMPUTED_VALUE"""),2.2758016291E10)</f>
        <v>22758016291</v>
      </c>
      <c r="Y2149" s="124" t="str">
        <f>IFERROR(__xludf.DUMMYFUNCTION("""COMPUTED_VALUE"""),"Delhi")</f>
        <v>Delhi</v>
      </c>
      <c r="Z2149" s="124">
        <f>IFERROR(__xludf.DUMMYFUNCTION("""COMPUTED_VALUE"""),2.0)</f>
        <v>2</v>
      </c>
      <c r="AA2149" s="124" t="str">
        <f>IFERROR(__xludf.DUMMYFUNCTION("""COMPUTED_VALUE"""),"Fake Lead")</f>
        <v>Fake Lead</v>
      </c>
      <c r="AB2149" s="124" t="str">
        <f>IFERROR(__xludf.DUMMYFUNCTION("""COMPUTED_VALUE"""),"SIM")</f>
        <v>SIM</v>
      </c>
    </row>
    <row r="2150">
      <c r="A2150" s="126">
        <f>IFERROR(__xludf.DUMMYFUNCTION("""COMPUTED_VALUE"""),46104.0)</f>
        <v>46104</v>
      </c>
      <c r="B2150" s="124" t="str">
        <f>IFERROR(__xludf.DUMMYFUNCTION("""COMPUTED_VALUE"""),"Events")</f>
        <v>Events</v>
      </c>
      <c r="C2150" s="124" t="str">
        <f>IFERROR(__xludf.DUMMYFUNCTION("""COMPUTED_VALUE"""),"Delhi")</f>
        <v>Delhi</v>
      </c>
      <c r="D2150" s="124" t="str">
        <f>IFERROR(__xludf.DUMMYFUNCTION("""COMPUTED_VALUE"""),"Secondary_Walkin")</f>
        <v>Secondary_Walkin</v>
      </c>
      <c r="E2150" s="124">
        <f>IFERROR(__xludf.DUMMYFUNCTION("""COMPUTED_VALUE"""),1.0)</f>
        <v>1</v>
      </c>
      <c r="F2150" s="124" t="str">
        <f>IFERROR(__xludf.DUMMYFUNCTION("""COMPUTED_VALUE"""),"Future Prospects")</f>
        <v>Future Prospects</v>
      </c>
      <c r="G2150" s="124" t="str">
        <f>IFERROR(__xludf.DUMMYFUNCTION("""COMPUTED_VALUE"""),"GS Foundation")</f>
        <v>GS Foundation</v>
      </c>
      <c r="K2150" s="124"/>
      <c r="L2150" s="124"/>
      <c r="M2150" s="124"/>
      <c r="N2150" s="124"/>
      <c r="O2150" s="124"/>
      <c r="T2150" s="129">
        <f>IFERROR(__xludf.DUMMYFUNCTION("""COMPUTED_VALUE"""),46106.0)</f>
        <v>46106</v>
      </c>
      <c r="U2150" s="124" t="str">
        <f>IFERROR(__xludf.DUMMYFUNCTION("""COMPUTED_VALUE"""),"Event")</f>
        <v>Event</v>
      </c>
      <c r="V2150" s="124" t="str">
        <f>IFERROR(__xludf.DUMMYFUNCTION("""COMPUTED_VALUE"""),"events")</f>
        <v>events</v>
      </c>
      <c r="W2150" s="124" t="str">
        <f>IFERROR(__xludf.DUMMYFUNCTION("""COMPUTED_VALUE"""),"prayagraj")</f>
        <v>prayagraj</v>
      </c>
      <c r="X2150" s="124" t="str">
        <f>IFERROR(__xludf.DUMMYFUNCTION("""COMPUTED_VALUE"""),"seminar")</f>
        <v>seminar</v>
      </c>
      <c r="Y2150" s="124" t="str">
        <f>IFERROR(__xludf.DUMMYFUNCTION("""COMPUTED_VALUE"""),"Prayagraj")</f>
        <v>Prayagraj</v>
      </c>
      <c r="Z2150" s="124">
        <f>IFERROR(__xludf.DUMMYFUNCTION("""COMPUTED_VALUE"""),4.0)</f>
        <v>4</v>
      </c>
      <c r="AA2150" s="124" t="str">
        <f>IFERROR(__xludf.DUMMYFUNCTION("""COMPUTED_VALUE"""),"Engaged")</f>
        <v>Engaged</v>
      </c>
      <c r="AB2150" s="124"/>
    </row>
    <row r="2151">
      <c r="A2151" s="126">
        <f>IFERROR(__xludf.DUMMYFUNCTION("""COMPUTED_VALUE"""),46049.0)</f>
        <v>46049</v>
      </c>
      <c r="B2151" s="124" t="str">
        <f>IFERROR(__xludf.DUMMYFUNCTION("""COMPUTED_VALUE"""),"Walkin")</f>
        <v>Walkin</v>
      </c>
      <c r="C2151" s="124" t="str">
        <f>IFERROR(__xludf.DUMMYFUNCTION("""COMPUTED_VALUE"""),"Delhi")</f>
        <v>Delhi</v>
      </c>
      <c r="D2151" s="124" t="str">
        <f>IFERROR(__xludf.DUMMYFUNCTION("""COMPUTED_VALUE"""),"Primary_Walkin")</f>
        <v>Primary_Walkin</v>
      </c>
      <c r="E2151" s="124">
        <f>IFERROR(__xludf.DUMMYFUNCTION("""COMPUTED_VALUE"""),1.0)</f>
        <v>1</v>
      </c>
      <c r="F2151" s="124" t="str">
        <f>IFERROR(__xludf.DUMMYFUNCTION("""COMPUTED_VALUE"""),"Not Interested")</f>
        <v>Not Interested</v>
      </c>
      <c r="G2151" s="124" t="str">
        <f>IFERROR(__xludf.DUMMYFUNCTION("""COMPUTED_VALUE"""),"Test Series")</f>
        <v>Test Series</v>
      </c>
      <c r="K2151" s="124"/>
      <c r="L2151" s="124"/>
      <c r="M2151" s="124"/>
      <c r="N2151" s="124"/>
      <c r="O2151" s="124"/>
      <c r="T2151" s="129">
        <f>IFERROR(__xludf.DUMMYFUNCTION("""COMPUTED_VALUE"""),46046.0)</f>
        <v>46046</v>
      </c>
      <c r="U2151" s="124" t="str">
        <f>IFERROR(__xludf.DUMMYFUNCTION("""COMPUTED_VALUE"""),"Paid Ads")</f>
        <v>Paid Ads</v>
      </c>
      <c r="V2151" s="124" t="str">
        <f>IFERROR(__xludf.DUMMYFUNCTION("""COMPUTED_VALUE"""),"google")</f>
        <v>google</v>
      </c>
      <c r="W2151" s="124" t="str">
        <f>IFERROR(__xludf.DUMMYFUNCTION("""COMPUTED_VALUE"""),"cpc")</f>
        <v>cpc</v>
      </c>
      <c r="X2151" s="124">
        <f>IFERROR(__xludf.DUMMYFUNCTION("""COMPUTED_VALUE"""),2.2758016291E10)</f>
        <v>22758016291</v>
      </c>
      <c r="Y2151" s="124" t="str">
        <f>IFERROR(__xludf.DUMMYFUNCTION("""COMPUTED_VALUE"""),"Lucknow")</f>
        <v>Lucknow</v>
      </c>
      <c r="Z2151" s="124">
        <f>IFERROR(__xludf.DUMMYFUNCTION("""COMPUTED_VALUE"""),1.0)</f>
        <v>1</v>
      </c>
      <c r="AA2151" s="124" t="str">
        <f>IFERROR(__xludf.DUMMYFUNCTION("""COMPUTED_VALUE"""),"Fake Lead")</f>
        <v>Fake Lead</v>
      </c>
      <c r="AB2151" s="124" t="str">
        <f>IFERROR(__xludf.DUMMYFUNCTION("""COMPUTED_VALUE"""),"Other")</f>
        <v>Other</v>
      </c>
    </row>
    <row r="2152">
      <c r="A2152" s="129">
        <f>IFERROR(__xludf.DUMMYFUNCTION("""COMPUTED_VALUE"""),46086.0)</f>
        <v>46086</v>
      </c>
      <c r="B2152" s="124" t="str">
        <f>IFERROR(__xludf.DUMMYFUNCTION("""COMPUTED_VALUE"""),"Walkin")</f>
        <v>Walkin</v>
      </c>
      <c r="C2152" s="124" t="str">
        <f>IFERROR(__xludf.DUMMYFUNCTION("""COMPUTED_VALUE"""),"Delhi")</f>
        <v>Delhi</v>
      </c>
      <c r="D2152" s="124" t="str">
        <f>IFERROR(__xludf.DUMMYFUNCTION("""COMPUTED_VALUE"""),"Primary_Walkin")</f>
        <v>Primary_Walkin</v>
      </c>
      <c r="E2152" s="124">
        <f>IFERROR(__xludf.DUMMYFUNCTION("""COMPUTED_VALUE"""),1.0)</f>
        <v>1</v>
      </c>
      <c r="F2152" s="124" t="str">
        <f>IFERROR(__xludf.DUMMYFUNCTION("""COMPUTED_VALUE"""),"Not Interested")</f>
        <v>Not Interested</v>
      </c>
      <c r="G2152" s="124" t="str">
        <f>IFERROR(__xludf.DUMMYFUNCTION("""COMPUTED_VALUE"""),"GS Foundation")</f>
        <v>GS Foundation</v>
      </c>
      <c r="K2152" s="124"/>
      <c r="L2152" s="124"/>
      <c r="M2152" s="124"/>
      <c r="N2152" s="124"/>
      <c r="O2152" s="124"/>
      <c r="T2152" s="126">
        <f>IFERROR(__xludf.DUMMYFUNCTION("""COMPUTED_VALUE"""),46050.0)</f>
        <v>46050</v>
      </c>
      <c r="U2152" s="124" t="str">
        <f>IFERROR(__xludf.DUMMYFUNCTION("""COMPUTED_VALUE"""),"Paid Ads")</f>
        <v>Paid Ads</v>
      </c>
      <c r="V2152" s="124" t="str">
        <f>IFERROR(__xludf.DUMMYFUNCTION("""COMPUTED_VALUE"""),"google")</f>
        <v>google</v>
      </c>
      <c r="W2152" s="124" t="str">
        <f>IFERROR(__xludf.DUMMYFUNCTION("""COMPUTED_VALUE"""),"cpc")</f>
        <v>cpc</v>
      </c>
      <c r="X2152" s="124">
        <f>IFERROR(__xludf.DUMMYFUNCTION("""COMPUTED_VALUE"""),2.2758016291E10)</f>
        <v>22758016291</v>
      </c>
      <c r="Y2152" s="124" t="str">
        <f>IFERROR(__xludf.DUMMYFUNCTION("""COMPUTED_VALUE"""),"Delhi")</f>
        <v>Delhi</v>
      </c>
      <c r="Z2152" s="124">
        <f>IFERROR(__xludf.DUMMYFUNCTION("""COMPUTED_VALUE"""),2.0)</f>
        <v>2</v>
      </c>
      <c r="AA2152" s="124" t="str">
        <f>IFERROR(__xludf.DUMMYFUNCTION("""COMPUTED_VALUE"""),"Cold")</f>
        <v>Cold</v>
      </c>
      <c r="AB2152" s="124" t="str">
        <f>IFERROR(__xludf.DUMMYFUNCTION("""COMPUTED_VALUE"""),"CSAT")</f>
        <v>CSAT</v>
      </c>
    </row>
    <row r="2153">
      <c r="A2153" s="126">
        <f>IFERROR(__xludf.DUMMYFUNCTION("""COMPUTED_VALUE"""),46063.0)</f>
        <v>46063</v>
      </c>
      <c r="B2153" s="124" t="str">
        <f>IFERROR(__xludf.DUMMYFUNCTION("""COMPUTED_VALUE"""),"Walkin")</f>
        <v>Walkin</v>
      </c>
      <c r="C2153" s="124" t="str">
        <f>IFERROR(__xludf.DUMMYFUNCTION("""COMPUTED_VALUE"""),"Delhi")</f>
        <v>Delhi</v>
      </c>
      <c r="D2153" s="124" t="str">
        <f>IFERROR(__xludf.DUMMYFUNCTION("""COMPUTED_VALUE"""),"Primary_Walkin")</f>
        <v>Primary_Walkin</v>
      </c>
      <c r="E2153" s="124">
        <f>IFERROR(__xludf.DUMMYFUNCTION("""COMPUTED_VALUE"""),1.0)</f>
        <v>1</v>
      </c>
      <c r="F2153" s="124" t="str">
        <f>IFERROR(__xludf.DUMMYFUNCTION("""COMPUTED_VALUE"""),"Cold")</f>
        <v>Cold</v>
      </c>
      <c r="G2153" s="124" t="str">
        <f>IFERROR(__xludf.DUMMYFUNCTION("""COMPUTED_VALUE"""),"State PCS")</f>
        <v>State PCS</v>
      </c>
      <c r="K2153" s="124"/>
      <c r="L2153" s="124"/>
      <c r="M2153" s="124"/>
      <c r="N2153" s="124"/>
      <c r="O2153" s="124"/>
      <c r="T2153" s="129">
        <f>IFERROR(__xludf.DUMMYFUNCTION("""COMPUTED_VALUE"""),46097.0)</f>
        <v>46097</v>
      </c>
      <c r="U2153" s="124" t="str">
        <f>IFERROR(__xludf.DUMMYFUNCTION("""COMPUTED_VALUE"""),"Event")</f>
        <v>Event</v>
      </c>
      <c r="V2153" s="124" t="str">
        <f>IFERROR(__xludf.DUMMYFUNCTION("""COMPUTED_VALUE"""),"events")</f>
        <v>events</v>
      </c>
      <c r="W2153" s="124" t="str">
        <f>IFERROR(__xludf.DUMMYFUNCTION("""COMPUTED_VALUE"""),"prayagraj")</f>
        <v>prayagraj</v>
      </c>
      <c r="X2153" s="124" t="str">
        <f>IFERROR(__xludf.DUMMYFUNCTION("""COMPUTED_VALUE"""),"seminar")</f>
        <v>seminar</v>
      </c>
      <c r="Y2153" s="124" t="str">
        <f>IFERROR(__xludf.DUMMYFUNCTION("""COMPUTED_VALUE"""),"Prayagraj")</f>
        <v>Prayagraj</v>
      </c>
      <c r="Z2153" s="124">
        <f>IFERROR(__xludf.DUMMYFUNCTION("""COMPUTED_VALUE"""),1.0)</f>
        <v>1</v>
      </c>
      <c r="AA2153" s="124" t="str">
        <f>IFERROR(__xludf.DUMMYFUNCTION("""COMPUTED_VALUE"""),"Future Prospects")</f>
        <v>Future Prospects</v>
      </c>
      <c r="AB2153" s="124"/>
    </row>
    <row r="2154">
      <c r="A2154" s="126">
        <f>IFERROR(__xludf.DUMMYFUNCTION("""COMPUTED_VALUE"""),46093.0)</f>
        <v>46093</v>
      </c>
      <c r="B2154" s="124" t="str">
        <f>IFERROR(__xludf.DUMMYFUNCTION("""COMPUTED_VALUE"""),"Walk-In")</f>
        <v>Walk-In</v>
      </c>
      <c r="C2154" s="124" t="str">
        <f>IFERROR(__xludf.DUMMYFUNCTION("""COMPUTED_VALUE"""),"Delhi")</f>
        <v>Delhi</v>
      </c>
      <c r="D2154" s="124" t="str">
        <f>IFERROR(__xludf.DUMMYFUNCTION("""COMPUTED_VALUE"""),"Primary_Walkin")</f>
        <v>Primary_Walkin</v>
      </c>
      <c r="E2154" s="124">
        <f>IFERROR(__xludf.DUMMYFUNCTION("""COMPUTED_VALUE"""),1.0)</f>
        <v>1</v>
      </c>
      <c r="F2154" s="124" t="str">
        <f>IFERROR(__xludf.DUMMYFUNCTION("""COMPUTED_VALUE"""),"Enrolled")</f>
        <v>Enrolled</v>
      </c>
      <c r="G2154" s="124" t="str">
        <f>IFERROR(__xludf.DUMMYFUNCTION("""COMPUTED_VALUE"""),"GS Foundation")</f>
        <v>GS Foundation</v>
      </c>
      <c r="K2154" s="124"/>
      <c r="L2154" s="124"/>
      <c r="M2154" s="124"/>
      <c r="N2154" s="124"/>
      <c r="O2154" s="124"/>
      <c r="T2154" s="126">
        <f>IFERROR(__xludf.DUMMYFUNCTION("""COMPUTED_VALUE"""),46045.0)</f>
        <v>46045</v>
      </c>
      <c r="U2154" s="124" t="str">
        <f>IFERROR(__xludf.DUMMYFUNCTION("""COMPUTED_VALUE"""),"Paid Ads")</f>
        <v>Paid Ads</v>
      </c>
      <c r="V2154" s="124" t="str">
        <f>IFERROR(__xludf.DUMMYFUNCTION("""COMPUTED_VALUE"""),"Facebook")</f>
        <v>Facebook</v>
      </c>
      <c r="W2154" s="124" t="str">
        <f>IFERROR(__xludf.DUMMYFUNCTION("""COMPUTED_VALUE"""),"LeadAd")</f>
        <v>LeadAd</v>
      </c>
      <c r="X2154" s="124" t="str">
        <f>IFERROR(__xludf.DUMMYFUNCTION("""COMPUTED_VALUE"""),"Upsc_offline_26_Lucknow_FB_Video")</f>
        <v>Upsc_offline_26_Lucknow_FB_Video</v>
      </c>
      <c r="Y2154" s="124" t="str">
        <f>IFERROR(__xludf.DUMMYFUNCTION("""COMPUTED_VALUE"""),"Lucknow")</f>
        <v>Lucknow</v>
      </c>
      <c r="Z2154" s="124">
        <f>IFERROR(__xludf.DUMMYFUNCTION("""COMPUTED_VALUE"""),2.0)</f>
        <v>2</v>
      </c>
      <c r="AA2154" s="124" t="str">
        <f>IFERROR(__xludf.DUMMYFUNCTION("""COMPUTED_VALUE"""),"Fake Lead")</f>
        <v>Fake Lead</v>
      </c>
      <c r="AB2154" s="124"/>
    </row>
    <row r="2155">
      <c r="A2155" s="126">
        <f>IFERROR(__xludf.DUMMYFUNCTION("""COMPUTED_VALUE"""),46100.0)</f>
        <v>46100</v>
      </c>
      <c r="B2155" s="124" t="str">
        <f>IFERROR(__xludf.DUMMYFUNCTION("""COMPUTED_VALUE"""),"Walkin")</f>
        <v>Walkin</v>
      </c>
      <c r="C2155" s="124" t="str">
        <f>IFERROR(__xludf.DUMMYFUNCTION("""COMPUTED_VALUE"""),"Delhi")</f>
        <v>Delhi</v>
      </c>
      <c r="D2155" s="124" t="str">
        <f>IFERROR(__xludf.DUMMYFUNCTION("""COMPUTED_VALUE"""),"Primary_Walkin")</f>
        <v>Primary_Walkin</v>
      </c>
      <c r="E2155" s="124">
        <f>IFERROR(__xludf.DUMMYFUNCTION("""COMPUTED_VALUE"""),1.0)</f>
        <v>1</v>
      </c>
      <c r="F2155" s="124" t="str">
        <f>IFERROR(__xludf.DUMMYFUNCTION("""COMPUTED_VALUE"""),"Interested")</f>
        <v>Interested</v>
      </c>
      <c r="G2155" s="124" t="str">
        <f>IFERROR(__xludf.DUMMYFUNCTION("""COMPUTED_VALUE"""),"GS Foundation")</f>
        <v>GS Foundation</v>
      </c>
      <c r="K2155" s="124"/>
      <c r="L2155" s="124"/>
      <c r="M2155" s="124"/>
      <c r="N2155" s="124"/>
      <c r="O2155" s="124"/>
      <c r="T2155" s="126">
        <f>IFERROR(__xludf.DUMMYFUNCTION("""COMPUTED_VALUE"""),46074.0)</f>
        <v>46074</v>
      </c>
      <c r="U2155" s="124" t="str">
        <f>IFERROR(__xludf.DUMMYFUNCTION("""COMPUTED_VALUE"""),"Walk-Ins")</f>
        <v>Walk-Ins</v>
      </c>
      <c r="V2155" s="124" t="str">
        <f>IFERROR(__xludf.DUMMYFUNCTION("""COMPUTED_VALUE"""),"Walk-In")</f>
        <v>Walk-In</v>
      </c>
      <c r="W2155" s="124" t="str">
        <f>IFERROR(__xludf.DUMMYFUNCTION("""COMPUTED_VALUE"""),"Patna")</f>
        <v>Patna</v>
      </c>
      <c r="X2155" s="124" t="str">
        <f>IFERROR(__xludf.DUMMYFUNCTION("""COMPUTED_VALUE"""),"Patna")</f>
        <v>Patna</v>
      </c>
      <c r="Y2155" s="124"/>
      <c r="Z2155" s="124">
        <f>IFERROR(__xludf.DUMMYFUNCTION("""COMPUTED_VALUE"""),1.0)</f>
        <v>1</v>
      </c>
      <c r="AA2155" s="124" t="str">
        <f>IFERROR(__xludf.DUMMYFUNCTION("""COMPUTED_VALUE"""),"Not Interested")</f>
        <v>Not Interested</v>
      </c>
      <c r="AB2155" s="124" t="str">
        <f>IFERROR(__xludf.DUMMYFUNCTION("""COMPUTED_VALUE"""),"State PCS")</f>
        <v>State PCS</v>
      </c>
    </row>
    <row r="2156">
      <c r="A2156" s="129">
        <f>IFERROR(__xludf.DUMMYFUNCTION("""COMPUTED_VALUE"""),46058.0)</f>
        <v>46058</v>
      </c>
      <c r="B2156" s="124" t="str">
        <f>IFERROR(__xludf.DUMMYFUNCTION("""COMPUTED_VALUE"""),"Walkin")</f>
        <v>Walkin</v>
      </c>
      <c r="C2156" s="124" t="str">
        <f>IFERROR(__xludf.DUMMYFUNCTION("""COMPUTED_VALUE"""),"Delhi")</f>
        <v>Delhi</v>
      </c>
      <c r="D2156" s="124" t="str">
        <f>IFERROR(__xludf.DUMMYFUNCTION("""COMPUTED_VALUE"""),"Primary_Walkin")</f>
        <v>Primary_Walkin</v>
      </c>
      <c r="E2156" s="124">
        <f>IFERROR(__xludf.DUMMYFUNCTION("""COMPUTED_VALUE"""),1.0)</f>
        <v>1</v>
      </c>
      <c r="F2156" s="124" t="str">
        <f>IFERROR(__xludf.DUMMYFUNCTION("""COMPUTED_VALUE"""),"Future Prospects")</f>
        <v>Future Prospects</v>
      </c>
      <c r="G2156" s="124" t="str">
        <f>IFERROR(__xludf.DUMMYFUNCTION("""COMPUTED_VALUE"""),"Other")</f>
        <v>Other</v>
      </c>
      <c r="K2156" s="124"/>
      <c r="L2156" s="124"/>
      <c r="M2156" s="124"/>
      <c r="N2156" s="124"/>
      <c r="O2156" s="124"/>
      <c r="T2156" s="126">
        <f>IFERROR(__xludf.DUMMYFUNCTION("""COMPUTED_VALUE"""),46050.0)</f>
        <v>46050</v>
      </c>
      <c r="U2156" s="124" t="str">
        <f>IFERROR(__xludf.DUMMYFUNCTION("""COMPUTED_VALUE"""),"Paid Ads")</f>
        <v>Paid Ads</v>
      </c>
      <c r="V2156" s="124" t="str">
        <f>IFERROR(__xludf.DUMMYFUNCTION("""COMPUTED_VALUE"""),"google")</f>
        <v>google</v>
      </c>
      <c r="W2156" s="124" t="str">
        <f>IFERROR(__xludf.DUMMYFUNCTION("""COMPUTED_VALUE"""),"cpc")</f>
        <v>cpc</v>
      </c>
      <c r="X2156" s="124">
        <f>IFERROR(__xludf.DUMMYFUNCTION("""COMPUTED_VALUE"""),2.2758016291E10)</f>
        <v>22758016291</v>
      </c>
      <c r="Y2156" s="124" t="str">
        <f>IFERROR(__xludf.DUMMYFUNCTION("""COMPUTED_VALUE"""),"Delhi")</f>
        <v>Delhi</v>
      </c>
      <c r="Z2156" s="124">
        <f>IFERROR(__xludf.DUMMYFUNCTION("""COMPUTED_VALUE"""),1.0)</f>
        <v>1</v>
      </c>
      <c r="AA2156" s="124" t="str">
        <f>IFERROR(__xludf.DUMMYFUNCTION("""COMPUTED_VALUE"""),"Not Interested")</f>
        <v>Not Interested</v>
      </c>
      <c r="AB2156" s="124" t="str">
        <f>IFERROR(__xludf.DUMMYFUNCTION("""COMPUTED_VALUE"""),"CSAT")</f>
        <v>CSAT</v>
      </c>
    </row>
    <row r="2157">
      <c r="A2157" s="126">
        <f>IFERROR(__xludf.DUMMYFUNCTION("""COMPUTED_VALUE"""),46101.0)</f>
        <v>46101</v>
      </c>
      <c r="B2157" s="124" t="str">
        <f>IFERROR(__xludf.DUMMYFUNCTION("""COMPUTED_VALUE"""),"external leads")</f>
        <v>external leads</v>
      </c>
      <c r="C2157" s="124" t="str">
        <f>IFERROR(__xludf.DUMMYFUNCTION("""COMPUTED_VALUE"""),"Lucknow")</f>
        <v>Lucknow</v>
      </c>
      <c r="D2157" s="124" t="str">
        <f>IFERROR(__xludf.DUMMYFUNCTION("""COMPUTED_VALUE"""),"Secondary_Walkin")</f>
        <v>Secondary_Walkin</v>
      </c>
      <c r="E2157" s="124">
        <f>IFERROR(__xludf.DUMMYFUNCTION("""COMPUTED_VALUE"""),1.0)</f>
        <v>1</v>
      </c>
      <c r="F2157" s="124" t="str">
        <f>IFERROR(__xludf.DUMMYFUNCTION("""COMPUTED_VALUE"""),"Enrolled")</f>
        <v>Enrolled</v>
      </c>
      <c r="G2157" s="124" t="str">
        <f>IFERROR(__xludf.DUMMYFUNCTION("""COMPUTED_VALUE"""),"State PCS")</f>
        <v>State PCS</v>
      </c>
      <c r="K2157" s="124"/>
      <c r="L2157" s="124"/>
      <c r="M2157" s="124"/>
      <c r="N2157" s="124"/>
      <c r="O2157" s="124"/>
      <c r="T2157" s="126">
        <f>IFERROR(__xludf.DUMMYFUNCTION("""COMPUTED_VALUE"""),46097.0)</f>
        <v>46097</v>
      </c>
      <c r="U2157" s="124" t="str">
        <f>IFERROR(__xludf.DUMMYFUNCTION("""COMPUTED_VALUE"""),"Event")</f>
        <v>Event</v>
      </c>
      <c r="V2157" s="124" t="str">
        <f>IFERROR(__xludf.DUMMYFUNCTION("""COMPUTED_VALUE"""),"events")</f>
        <v>events</v>
      </c>
      <c r="W2157" s="124" t="str">
        <f>IFERROR(__xludf.DUMMYFUNCTION("""COMPUTED_VALUE"""),"prayagraj")</f>
        <v>prayagraj</v>
      </c>
      <c r="X2157" s="124" t="str">
        <f>IFERROR(__xludf.DUMMYFUNCTION("""COMPUTED_VALUE"""),"seminar")</f>
        <v>seminar</v>
      </c>
      <c r="Y2157" s="124" t="str">
        <f>IFERROR(__xludf.DUMMYFUNCTION("""COMPUTED_VALUE"""),"Prayagraj")</f>
        <v>Prayagraj</v>
      </c>
      <c r="Z2157" s="124">
        <f>IFERROR(__xludf.DUMMYFUNCTION("""COMPUTED_VALUE"""),1.0)</f>
        <v>1</v>
      </c>
      <c r="AA2157" s="124" t="str">
        <f>IFERROR(__xludf.DUMMYFUNCTION("""COMPUTED_VALUE"""),"Warm")</f>
        <v>Warm</v>
      </c>
      <c r="AB2157" s="124" t="str">
        <f>IFERROR(__xludf.DUMMYFUNCTION("""COMPUTED_VALUE"""),"GS Foundation")</f>
        <v>GS Foundation</v>
      </c>
    </row>
    <row r="2158">
      <c r="A2158" s="126">
        <f>IFERROR(__xludf.DUMMYFUNCTION("""COMPUTED_VALUE"""),46046.0)</f>
        <v>46046</v>
      </c>
      <c r="B2158" s="124" t="str">
        <f>IFERROR(__xludf.DUMMYFUNCTION("""COMPUTED_VALUE"""),"walk-in")</f>
        <v>walk-in</v>
      </c>
      <c r="C2158" s="124" t="str">
        <f>IFERROR(__xludf.DUMMYFUNCTION("""COMPUTED_VALUE"""),"Indore")</f>
        <v>Indore</v>
      </c>
      <c r="D2158" s="124" t="str">
        <f>IFERROR(__xludf.DUMMYFUNCTION("""COMPUTED_VALUE"""),"Primary_Walkin")</f>
        <v>Primary_Walkin</v>
      </c>
      <c r="E2158" s="124">
        <f>IFERROR(__xludf.DUMMYFUNCTION("""COMPUTED_VALUE"""),1.0)</f>
        <v>1</v>
      </c>
      <c r="F2158" s="124" t="str">
        <f>IFERROR(__xludf.DUMMYFUNCTION("""COMPUTED_VALUE"""),"Not Interested")</f>
        <v>Not Interested</v>
      </c>
      <c r="G2158" s="124" t="str">
        <f>IFERROR(__xludf.DUMMYFUNCTION("""COMPUTED_VALUE"""),"GS Foundation")</f>
        <v>GS Foundation</v>
      </c>
      <c r="K2158" s="124"/>
      <c r="L2158" s="124"/>
      <c r="M2158" s="124"/>
      <c r="N2158" s="124"/>
      <c r="O2158" s="124"/>
      <c r="T2158" s="126">
        <f>IFERROR(__xludf.DUMMYFUNCTION("""COMPUTED_VALUE"""),46055.0)</f>
        <v>46055</v>
      </c>
      <c r="U2158" s="124" t="str">
        <f>IFERROR(__xludf.DUMMYFUNCTION("""COMPUTED_VALUE"""),"Walk-Ins")</f>
        <v>Walk-Ins</v>
      </c>
      <c r="V2158" s="124" t="str">
        <f>IFERROR(__xludf.DUMMYFUNCTION("""COMPUTED_VALUE"""),"Walk-In")</f>
        <v>Walk-In</v>
      </c>
      <c r="W2158" s="124" t="str">
        <f>IFERROR(__xludf.DUMMYFUNCTION("""COMPUTED_VALUE"""),"Patna")</f>
        <v>Patna</v>
      </c>
      <c r="X2158" s="124" t="str">
        <f>IFERROR(__xludf.DUMMYFUNCTION("""COMPUTED_VALUE"""),"Patna")</f>
        <v>Patna</v>
      </c>
      <c r="Y2158" s="124"/>
      <c r="Z2158" s="124">
        <f>IFERROR(__xludf.DUMMYFUNCTION("""COMPUTED_VALUE"""),1.0)</f>
        <v>1</v>
      </c>
      <c r="AA2158" s="124" t="str">
        <f>IFERROR(__xludf.DUMMYFUNCTION("""COMPUTED_VALUE"""),"Cold")</f>
        <v>Cold</v>
      </c>
      <c r="AB2158" s="124" t="str">
        <f>IFERROR(__xludf.DUMMYFUNCTION("""COMPUTED_VALUE"""),"State PCS")</f>
        <v>State PCS</v>
      </c>
    </row>
    <row r="2159">
      <c r="A2159" s="126">
        <f>IFERROR(__xludf.DUMMYFUNCTION("""COMPUTED_VALUE"""),46053.0)</f>
        <v>46053</v>
      </c>
      <c r="B2159" s="124" t="str">
        <f>IFERROR(__xludf.DUMMYFUNCTION("""COMPUTED_VALUE"""),"Walkin")</f>
        <v>Walkin</v>
      </c>
      <c r="C2159" s="124" t="str">
        <f>IFERROR(__xludf.DUMMYFUNCTION("""COMPUTED_VALUE"""),"Indore")</f>
        <v>Indore</v>
      </c>
      <c r="D2159" s="124" t="str">
        <f>IFERROR(__xludf.DUMMYFUNCTION("""COMPUTED_VALUE"""),"Primary_Walkin")</f>
        <v>Primary_Walkin</v>
      </c>
      <c r="E2159" s="124">
        <f>IFERROR(__xludf.DUMMYFUNCTION("""COMPUTED_VALUE"""),1.0)</f>
        <v>1</v>
      </c>
      <c r="F2159" s="124" t="str">
        <f>IFERROR(__xludf.DUMMYFUNCTION("""COMPUTED_VALUE"""),"Future Prospects")</f>
        <v>Future Prospects</v>
      </c>
      <c r="G2159" s="124" t="str">
        <f>IFERROR(__xludf.DUMMYFUNCTION("""COMPUTED_VALUE"""),"State PCS")</f>
        <v>State PCS</v>
      </c>
      <c r="K2159" s="124"/>
      <c r="L2159" s="124"/>
      <c r="M2159" s="124"/>
      <c r="N2159" s="124"/>
      <c r="O2159" s="124"/>
      <c r="T2159" s="129">
        <f>IFERROR(__xludf.DUMMYFUNCTION("""COMPUTED_VALUE"""),46052.0)</f>
        <v>46052</v>
      </c>
      <c r="U2159" s="124" t="str">
        <f>IFERROR(__xludf.DUMMYFUNCTION("""COMPUTED_VALUE"""),"Other Marketing Channels")</f>
        <v>Other Marketing Channels</v>
      </c>
      <c r="V2159" s="124" t="str">
        <f>IFERROR(__xludf.DUMMYFUNCTION("""COMPUTED_VALUE"""),"Referrals")</f>
        <v>Referrals</v>
      </c>
      <c r="W2159" s="124" t="str">
        <f>IFERROR(__xludf.DUMMYFUNCTION("""COMPUTED_VALUE"""),"Patna")</f>
        <v>Patna</v>
      </c>
      <c r="X2159" s="124" t="str">
        <f>IFERROR(__xludf.DUMMYFUNCTION("""COMPUTED_VALUE"""),"Patna")</f>
        <v>Patna</v>
      </c>
      <c r="Y2159" s="124"/>
      <c r="Z2159" s="124">
        <f>IFERROR(__xludf.DUMMYFUNCTION("""COMPUTED_VALUE"""),1.0)</f>
        <v>1</v>
      </c>
      <c r="AA2159" s="124" t="str">
        <f>IFERROR(__xludf.DUMMYFUNCTION("""COMPUTED_VALUE"""),"Cold")</f>
        <v>Cold</v>
      </c>
      <c r="AB2159" s="124" t="str">
        <f>IFERROR(__xludf.DUMMYFUNCTION("""COMPUTED_VALUE"""),"State PCS")</f>
        <v>State PCS</v>
      </c>
    </row>
    <row r="2160">
      <c r="A2160" s="126">
        <f>IFERROR(__xludf.DUMMYFUNCTION("""COMPUTED_VALUE"""),46078.0)</f>
        <v>46078</v>
      </c>
      <c r="B2160" s="124" t="str">
        <f>IFERROR(__xludf.DUMMYFUNCTION("""COMPUTED_VALUE"""),"external leads")</f>
        <v>external leads</v>
      </c>
      <c r="C2160" s="124" t="str">
        <f>IFERROR(__xludf.DUMMYFUNCTION("""COMPUTED_VALUE"""),"Lucknow")</f>
        <v>Lucknow</v>
      </c>
      <c r="D2160" s="124" t="str">
        <f>IFERROR(__xludf.DUMMYFUNCTION("""COMPUTED_VALUE"""),"Secondary_Walkin")</f>
        <v>Secondary_Walkin</v>
      </c>
      <c r="E2160" s="124">
        <f>IFERROR(__xludf.DUMMYFUNCTION("""COMPUTED_VALUE"""),1.0)</f>
        <v>1</v>
      </c>
      <c r="F2160" s="124" t="str">
        <f>IFERROR(__xludf.DUMMYFUNCTION("""COMPUTED_VALUE"""),"Future Prospects")</f>
        <v>Future Prospects</v>
      </c>
      <c r="G2160" s="124" t="str">
        <f>IFERROR(__xludf.DUMMYFUNCTION("""COMPUTED_VALUE"""),"GS Foundation")</f>
        <v>GS Foundation</v>
      </c>
      <c r="K2160" s="124"/>
      <c r="L2160" s="124"/>
      <c r="M2160" s="124"/>
      <c r="N2160" s="124"/>
      <c r="O2160" s="124"/>
      <c r="T2160" s="129">
        <f>IFERROR(__xludf.DUMMYFUNCTION("""COMPUTED_VALUE"""),46047.0)</f>
        <v>46047</v>
      </c>
      <c r="U2160" s="124" t="str">
        <f>IFERROR(__xludf.DUMMYFUNCTION("""COMPUTED_VALUE"""),"Paid Ads")</f>
        <v>Paid Ads</v>
      </c>
      <c r="V2160" s="124" t="str">
        <f>IFERROR(__xludf.DUMMYFUNCTION("""COMPUTED_VALUE"""),"google")</f>
        <v>google</v>
      </c>
      <c r="W2160" s="124" t="str">
        <f>IFERROR(__xludf.DUMMYFUNCTION("""COMPUTED_VALUE"""),"cpc")</f>
        <v>cpc</v>
      </c>
      <c r="X2160" s="124">
        <f>IFERROR(__xludf.DUMMYFUNCTION("""COMPUTED_VALUE"""),2.2758016291E10)</f>
        <v>22758016291</v>
      </c>
      <c r="Y2160" s="124" t="str">
        <f>IFERROR(__xludf.DUMMYFUNCTION("""COMPUTED_VALUE"""),"Guwahati")</f>
        <v>Guwahati</v>
      </c>
      <c r="Z2160" s="124">
        <f>IFERROR(__xludf.DUMMYFUNCTION("""COMPUTED_VALUE"""),1.0)</f>
        <v>1</v>
      </c>
      <c r="AA2160" s="124" t="str">
        <f>IFERROR(__xludf.DUMMYFUNCTION("""COMPUTED_VALUE"""),"Fake Lead")</f>
        <v>Fake Lead</v>
      </c>
      <c r="AB2160" s="124" t="str">
        <f>IFERROR(__xludf.DUMMYFUNCTION("""COMPUTED_VALUE"""),"Mentorship")</f>
        <v>Mentorship</v>
      </c>
    </row>
    <row r="2161">
      <c r="A2161" s="126">
        <f>IFERROR(__xludf.DUMMYFUNCTION("""COMPUTED_VALUE"""),46063.0)</f>
        <v>46063</v>
      </c>
      <c r="B2161" s="124" t="str">
        <f>IFERROR(__xludf.DUMMYFUNCTION("""COMPUTED_VALUE"""),"Walkin")</f>
        <v>Walkin</v>
      </c>
      <c r="C2161" s="124" t="str">
        <f>IFERROR(__xludf.DUMMYFUNCTION("""COMPUTED_VALUE"""),"Lucknow")</f>
        <v>Lucknow</v>
      </c>
      <c r="D2161" s="124" t="str">
        <f>IFERROR(__xludf.DUMMYFUNCTION("""COMPUTED_VALUE"""),"Primary_Walkin")</f>
        <v>Primary_Walkin</v>
      </c>
      <c r="E2161" s="124">
        <f>IFERROR(__xludf.DUMMYFUNCTION("""COMPUTED_VALUE"""),2.0)</f>
        <v>2</v>
      </c>
      <c r="F2161" s="124" t="str">
        <f>IFERROR(__xludf.DUMMYFUNCTION("""COMPUTED_VALUE"""),"Cold")</f>
        <v>Cold</v>
      </c>
      <c r="G2161" s="124" t="str">
        <f>IFERROR(__xludf.DUMMYFUNCTION("""COMPUTED_VALUE"""),"State PCS")</f>
        <v>State PCS</v>
      </c>
      <c r="K2161" s="124"/>
      <c r="L2161" s="124"/>
      <c r="M2161" s="124"/>
      <c r="N2161" s="124"/>
      <c r="O2161" s="124"/>
      <c r="T2161" s="126">
        <f>IFERROR(__xludf.DUMMYFUNCTION("""COMPUTED_VALUE"""),46049.0)</f>
        <v>46049</v>
      </c>
      <c r="U2161" s="124" t="str">
        <f>IFERROR(__xludf.DUMMYFUNCTION("""COMPUTED_VALUE"""),"Paid Ads")</f>
        <v>Paid Ads</v>
      </c>
      <c r="V2161" s="124" t="str">
        <f>IFERROR(__xludf.DUMMYFUNCTION("""COMPUTED_VALUE"""),"google")</f>
        <v>google</v>
      </c>
      <c r="W2161" s="124" t="str">
        <f>IFERROR(__xludf.DUMMYFUNCTION("""COMPUTED_VALUE"""),"cpc")</f>
        <v>cpc</v>
      </c>
      <c r="X2161" s="124">
        <f>IFERROR(__xludf.DUMMYFUNCTION("""COMPUTED_VALUE"""),2.2758016291E10)</f>
        <v>22758016291</v>
      </c>
      <c r="Y2161" s="124" t="str">
        <f>IFERROR(__xludf.DUMMYFUNCTION("""COMPUTED_VALUE"""),"Delhi")</f>
        <v>Delhi</v>
      </c>
      <c r="Z2161" s="124">
        <f>IFERROR(__xludf.DUMMYFUNCTION("""COMPUTED_VALUE"""),1.0)</f>
        <v>1</v>
      </c>
      <c r="AA2161" s="124" t="str">
        <f>IFERROR(__xludf.DUMMYFUNCTION("""COMPUTED_VALUE"""),"Cold")</f>
        <v>Cold</v>
      </c>
      <c r="AB2161" s="124" t="str">
        <f>IFERROR(__xludf.DUMMYFUNCTION("""COMPUTED_VALUE"""),"Hybrid")</f>
        <v>Hybrid</v>
      </c>
    </row>
    <row r="2162">
      <c r="A2162" s="129">
        <f>IFERROR(__xludf.DUMMYFUNCTION("""COMPUTED_VALUE"""),46055.0)</f>
        <v>46055</v>
      </c>
      <c r="B2162" s="124" t="str">
        <f>IFERROR(__xludf.DUMMYFUNCTION("""COMPUTED_VALUE"""),"events")</f>
        <v>events</v>
      </c>
      <c r="C2162" s="124" t="str">
        <f>IFERROR(__xludf.DUMMYFUNCTION("""COMPUTED_VALUE"""),"Indore")</f>
        <v>Indore</v>
      </c>
      <c r="D2162" s="124" t="str">
        <f>IFERROR(__xludf.DUMMYFUNCTION("""COMPUTED_VALUE"""),"Secondary_Walkin")</f>
        <v>Secondary_Walkin</v>
      </c>
      <c r="E2162" s="124">
        <f>IFERROR(__xludf.DUMMYFUNCTION("""COMPUTED_VALUE"""),1.0)</f>
        <v>1</v>
      </c>
      <c r="F2162" s="124" t="str">
        <f>IFERROR(__xludf.DUMMYFUNCTION("""COMPUTED_VALUE"""),"Not Interested")</f>
        <v>Not Interested</v>
      </c>
      <c r="G2162" s="124" t="str">
        <f>IFERROR(__xludf.DUMMYFUNCTION("""COMPUTED_VALUE"""),"State PCS")</f>
        <v>State PCS</v>
      </c>
      <c r="K2162" s="124"/>
      <c r="L2162" s="124"/>
      <c r="M2162" s="124"/>
      <c r="N2162" s="124"/>
      <c r="O2162" s="124"/>
      <c r="T2162" s="126">
        <f>IFERROR(__xludf.DUMMYFUNCTION("""COMPUTED_VALUE"""),46047.0)</f>
        <v>46047</v>
      </c>
      <c r="U2162" s="124" t="str">
        <f>IFERROR(__xludf.DUMMYFUNCTION("""COMPUTED_VALUE"""),"Walk-Ins")</f>
        <v>Walk-Ins</v>
      </c>
      <c r="V2162" s="124" t="str">
        <f>IFERROR(__xludf.DUMMYFUNCTION("""COMPUTED_VALUE"""),"Walkin")</f>
        <v>Walkin</v>
      </c>
      <c r="W2162" s="124" t="str">
        <f>IFERROR(__xludf.DUMMYFUNCTION("""COMPUTED_VALUE"""),"Prayagraj")</f>
        <v>Prayagraj</v>
      </c>
      <c r="X2162" s="124" t="str">
        <f>IFERROR(__xludf.DUMMYFUNCTION("""COMPUTED_VALUE"""),"Walkin")</f>
        <v>Walkin</v>
      </c>
      <c r="Y2162" s="124" t="str">
        <f>IFERROR(__xludf.DUMMYFUNCTION("""COMPUTED_VALUE"""),"Prayagraj")</f>
        <v>Prayagraj</v>
      </c>
      <c r="Z2162" s="124">
        <f>IFERROR(__xludf.DUMMYFUNCTION("""COMPUTED_VALUE"""),3.0)</f>
        <v>3</v>
      </c>
      <c r="AA2162" s="124" t="str">
        <f>IFERROR(__xludf.DUMMYFUNCTION("""COMPUTED_VALUE"""),"Cold")</f>
        <v>Cold</v>
      </c>
      <c r="AB2162" s="124" t="str">
        <f>IFERROR(__xludf.DUMMYFUNCTION("""COMPUTED_VALUE"""),"Mentorship")</f>
        <v>Mentorship</v>
      </c>
    </row>
    <row r="2163">
      <c r="A2163" s="126">
        <f>IFERROR(__xludf.DUMMYFUNCTION("""COMPUTED_VALUE"""),46096.0)</f>
        <v>46096</v>
      </c>
      <c r="B2163" s="124" t="str">
        <f>IFERROR(__xludf.DUMMYFUNCTION("""COMPUTED_VALUE"""),"Walkin")</f>
        <v>Walkin</v>
      </c>
      <c r="C2163" s="124" t="str">
        <f>IFERROR(__xludf.DUMMYFUNCTION("""COMPUTED_VALUE"""),"Lucknow")</f>
        <v>Lucknow</v>
      </c>
      <c r="D2163" s="124" t="str">
        <f>IFERROR(__xludf.DUMMYFUNCTION("""COMPUTED_VALUE"""),"Primary_Walkin")</f>
        <v>Primary_Walkin</v>
      </c>
      <c r="E2163" s="124">
        <f>IFERROR(__xludf.DUMMYFUNCTION("""COMPUTED_VALUE"""),1.0)</f>
        <v>1</v>
      </c>
      <c r="F2163" s="124" t="str">
        <f>IFERROR(__xludf.DUMMYFUNCTION("""COMPUTED_VALUE"""),"Enrolled")</f>
        <v>Enrolled</v>
      </c>
      <c r="G2163" s="124" t="str">
        <f>IFERROR(__xludf.DUMMYFUNCTION("""COMPUTED_VALUE"""),"GS Foundation")</f>
        <v>GS Foundation</v>
      </c>
      <c r="K2163" s="124"/>
      <c r="L2163" s="124"/>
      <c r="M2163" s="124"/>
      <c r="N2163" s="124"/>
      <c r="O2163" s="124"/>
      <c r="T2163" s="126">
        <f>IFERROR(__xludf.DUMMYFUNCTION("""COMPUTED_VALUE"""),46108.0)</f>
        <v>46108</v>
      </c>
      <c r="U2163" s="124" t="str">
        <f>IFERROR(__xludf.DUMMYFUNCTION("""COMPUTED_VALUE"""),"Walk-Ins")</f>
        <v>Walk-Ins</v>
      </c>
      <c r="V2163" s="124" t="str">
        <f>IFERROR(__xludf.DUMMYFUNCTION("""COMPUTED_VALUE"""),"Walkin")</f>
        <v>Walkin</v>
      </c>
      <c r="W2163" s="124" t="str">
        <f>IFERROR(__xludf.DUMMYFUNCTION("""COMPUTED_VALUE"""),"Patna")</f>
        <v>Patna</v>
      </c>
      <c r="X2163" s="124" t="str">
        <f>IFERROR(__xludf.DUMMYFUNCTION("""COMPUTED_VALUE"""),"Walkin")</f>
        <v>Walkin</v>
      </c>
      <c r="Y2163" s="124" t="str">
        <f>IFERROR(__xludf.DUMMYFUNCTION("""COMPUTED_VALUE"""),"Patna")</f>
        <v>Patna</v>
      </c>
      <c r="Z2163" s="124">
        <f>IFERROR(__xludf.DUMMYFUNCTION("""COMPUTED_VALUE"""),2.0)</f>
        <v>2</v>
      </c>
      <c r="AA2163" s="124" t="str">
        <f>IFERROR(__xludf.DUMMYFUNCTION("""COMPUTED_VALUE"""),"Future Prospects")</f>
        <v>Future Prospects</v>
      </c>
      <c r="AB2163" s="124" t="str">
        <f>IFERROR(__xludf.DUMMYFUNCTION("""COMPUTED_VALUE"""),"State PCS")</f>
        <v>State PCS</v>
      </c>
    </row>
    <row r="2164">
      <c r="A2164" s="126">
        <f>IFERROR(__xludf.DUMMYFUNCTION("""COMPUTED_VALUE"""),46073.0)</f>
        <v>46073</v>
      </c>
      <c r="B2164" s="124" t="str">
        <f>IFERROR(__xludf.DUMMYFUNCTION("""COMPUTED_VALUE"""),"Walkin")</f>
        <v>Walkin</v>
      </c>
      <c r="C2164" s="124" t="str">
        <f>IFERROR(__xludf.DUMMYFUNCTION("""COMPUTED_VALUE"""),"Indore")</f>
        <v>Indore</v>
      </c>
      <c r="D2164" s="124" t="str">
        <f>IFERROR(__xludf.DUMMYFUNCTION("""COMPUTED_VALUE"""),"Primary_Walkin")</f>
        <v>Primary_Walkin</v>
      </c>
      <c r="E2164" s="124">
        <f>IFERROR(__xludf.DUMMYFUNCTION("""COMPUTED_VALUE"""),1.0)</f>
        <v>1</v>
      </c>
      <c r="F2164" s="124" t="str">
        <f>IFERROR(__xludf.DUMMYFUNCTION("""COMPUTED_VALUE"""),"Not Interested")</f>
        <v>Not Interested</v>
      </c>
      <c r="G2164" s="124" t="str">
        <f>IFERROR(__xludf.DUMMYFUNCTION("""COMPUTED_VALUE"""),"Other")</f>
        <v>Other</v>
      </c>
      <c r="K2164" s="124"/>
      <c r="L2164" s="124"/>
      <c r="M2164" s="124"/>
      <c r="N2164" s="124"/>
      <c r="O2164" s="124"/>
      <c r="T2164" s="126">
        <f>IFERROR(__xludf.DUMMYFUNCTION("""COMPUTED_VALUE"""),46105.0)</f>
        <v>46105</v>
      </c>
      <c r="U2164" s="124" t="str">
        <f>IFERROR(__xludf.DUMMYFUNCTION("""COMPUTED_VALUE"""),"Walk-Ins")</f>
        <v>Walk-Ins</v>
      </c>
      <c r="V2164" s="124" t="str">
        <f>IFERROR(__xludf.DUMMYFUNCTION("""COMPUTED_VALUE"""),"Walkin")</f>
        <v>Walkin</v>
      </c>
      <c r="W2164" s="124" t="str">
        <f>IFERROR(__xludf.DUMMYFUNCTION("""COMPUTED_VALUE"""),"Prayagraj")</f>
        <v>Prayagraj</v>
      </c>
      <c r="X2164" s="124" t="str">
        <f>IFERROR(__xludf.DUMMYFUNCTION("""COMPUTED_VALUE"""),"Walkin")</f>
        <v>Walkin</v>
      </c>
      <c r="Y2164" s="124" t="str">
        <f>IFERROR(__xludf.DUMMYFUNCTION("""COMPUTED_VALUE"""),"Prayagraj")</f>
        <v>Prayagraj</v>
      </c>
      <c r="Z2164" s="124">
        <f>IFERROR(__xludf.DUMMYFUNCTION("""COMPUTED_VALUE"""),1.0)</f>
        <v>1</v>
      </c>
      <c r="AA2164" s="124" t="str">
        <f>IFERROR(__xludf.DUMMYFUNCTION("""COMPUTED_VALUE"""),"Enrolled")</f>
        <v>Enrolled</v>
      </c>
      <c r="AB2164" s="124" t="str">
        <f>IFERROR(__xludf.DUMMYFUNCTION("""COMPUTED_VALUE"""),"State PCS")</f>
        <v>State PCS</v>
      </c>
    </row>
    <row r="2165">
      <c r="A2165" s="126">
        <f>IFERROR(__xludf.DUMMYFUNCTION("""COMPUTED_VALUE"""),46047.0)</f>
        <v>46047</v>
      </c>
      <c r="B2165" s="124" t="str">
        <f>IFERROR(__xludf.DUMMYFUNCTION("""COMPUTED_VALUE"""),"Walkin")</f>
        <v>Walkin</v>
      </c>
      <c r="C2165" s="124" t="str">
        <f>IFERROR(__xludf.DUMMYFUNCTION("""COMPUTED_VALUE"""),"Indore")</f>
        <v>Indore</v>
      </c>
      <c r="D2165" s="124" t="str">
        <f>IFERROR(__xludf.DUMMYFUNCTION("""COMPUTED_VALUE"""),"Primary_Walkin")</f>
        <v>Primary_Walkin</v>
      </c>
      <c r="E2165" s="124">
        <f>IFERROR(__xludf.DUMMYFUNCTION("""COMPUTED_VALUE"""),1.0)</f>
        <v>1</v>
      </c>
      <c r="F2165" s="124" t="str">
        <f>IFERROR(__xludf.DUMMYFUNCTION("""COMPUTED_VALUE"""),"Warm")</f>
        <v>Warm</v>
      </c>
      <c r="G2165" s="124" t="str">
        <f>IFERROR(__xludf.DUMMYFUNCTION("""COMPUTED_VALUE"""),"Test Series")</f>
        <v>Test Series</v>
      </c>
      <c r="K2165" s="124"/>
      <c r="L2165" s="124"/>
      <c r="M2165" s="124"/>
      <c r="N2165" s="124"/>
      <c r="O2165" s="124"/>
      <c r="T2165" s="129">
        <f>IFERROR(__xludf.DUMMYFUNCTION("""COMPUTED_VALUE"""),46073.0)</f>
        <v>46073</v>
      </c>
      <c r="U2165" s="124" t="str">
        <f>IFERROR(__xludf.DUMMYFUNCTION("""COMPUTED_VALUE"""),"Walk-Ins")</f>
        <v>Walk-Ins</v>
      </c>
      <c r="V2165" s="124" t="str">
        <f>IFERROR(__xludf.DUMMYFUNCTION("""COMPUTED_VALUE"""),"Walkin")</f>
        <v>Walkin</v>
      </c>
      <c r="W2165" s="124" t="str">
        <f>IFERROR(__xludf.DUMMYFUNCTION("""COMPUTED_VALUE"""),"Patna")</f>
        <v>Patna</v>
      </c>
      <c r="X2165" s="124" t="str">
        <f>IFERROR(__xludf.DUMMYFUNCTION("""COMPUTED_VALUE"""),"Walkin")</f>
        <v>Walkin</v>
      </c>
      <c r="Y2165" s="124" t="str">
        <f>IFERROR(__xludf.DUMMYFUNCTION("""COMPUTED_VALUE"""),"Patna")</f>
        <v>Patna</v>
      </c>
      <c r="Z2165" s="124">
        <f>IFERROR(__xludf.DUMMYFUNCTION("""COMPUTED_VALUE"""),3.0)</f>
        <v>3</v>
      </c>
      <c r="AA2165" s="124" t="str">
        <f>IFERROR(__xludf.DUMMYFUNCTION("""COMPUTED_VALUE"""),"Warm")</f>
        <v>Warm</v>
      </c>
      <c r="AB2165" s="124" t="str">
        <f>IFERROR(__xludf.DUMMYFUNCTION("""COMPUTED_VALUE"""),"GS Foundation")</f>
        <v>GS Foundation</v>
      </c>
    </row>
    <row r="2166">
      <c r="A2166" s="126">
        <f>IFERROR(__xludf.DUMMYFUNCTION("""COMPUTED_VALUE"""),46098.0)</f>
        <v>46098</v>
      </c>
      <c r="B2166" s="124" t="str">
        <f>IFERROR(__xludf.DUMMYFUNCTION("""COMPUTED_VALUE"""),"facebook")</f>
        <v>facebook</v>
      </c>
      <c r="C2166" s="124" t="str">
        <f>IFERROR(__xludf.DUMMYFUNCTION("""COMPUTED_VALUE"""),"Lucknow")</f>
        <v>Lucknow</v>
      </c>
      <c r="D2166" s="124" t="str">
        <f>IFERROR(__xludf.DUMMYFUNCTION("""COMPUTED_VALUE"""),"Secondary_Walkin")</f>
        <v>Secondary_Walkin</v>
      </c>
      <c r="E2166" s="124">
        <f>IFERROR(__xludf.DUMMYFUNCTION("""COMPUTED_VALUE"""),1.0)</f>
        <v>1</v>
      </c>
      <c r="F2166" s="124" t="str">
        <f>IFERROR(__xludf.DUMMYFUNCTION("""COMPUTED_VALUE"""),"Enrolled")</f>
        <v>Enrolled</v>
      </c>
      <c r="G2166" s="124" t="str">
        <f>IFERROR(__xludf.DUMMYFUNCTION("""COMPUTED_VALUE"""),"GS Foundation")</f>
        <v>GS Foundation</v>
      </c>
      <c r="K2166" s="124"/>
      <c r="L2166" s="124"/>
      <c r="M2166" s="124"/>
      <c r="N2166" s="124"/>
      <c r="O2166" s="124"/>
      <c r="T2166" s="126">
        <f>IFERROR(__xludf.DUMMYFUNCTION("""COMPUTED_VALUE"""),46043.0)</f>
        <v>46043</v>
      </c>
      <c r="U2166" s="124" t="str">
        <f>IFERROR(__xludf.DUMMYFUNCTION("""COMPUTED_VALUE"""),"Walk-Ins")</f>
        <v>Walk-Ins</v>
      </c>
      <c r="V2166" s="124" t="str">
        <f>IFERROR(__xludf.DUMMYFUNCTION("""COMPUTED_VALUE"""),"Walkin")</f>
        <v>Walkin</v>
      </c>
      <c r="W2166" s="124" t="str">
        <f>IFERROR(__xludf.DUMMYFUNCTION("""COMPUTED_VALUE"""),"Patna")</f>
        <v>Patna</v>
      </c>
      <c r="X2166" s="124" t="str">
        <f>IFERROR(__xludf.DUMMYFUNCTION("""COMPUTED_VALUE"""),"Walkin")</f>
        <v>Walkin</v>
      </c>
      <c r="Y2166" s="124" t="str">
        <f>IFERROR(__xludf.DUMMYFUNCTION("""COMPUTED_VALUE"""),"Patna")</f>
        <v>Patna</v>
      </c>
      <c r="Z2166" s="124">
        <f>IFERROR(__xludf.DUMMYFUNCTION("""COMPUTED_VALUE"""),4.0)</f>
        <v>4</v>
      </c>
      <c r="AA2166" s="124" t="str">
        <f>IFERROR(__xludf.DUMMYFUNCTION("""COMPUTED_VALUE"""),"Cold")</f>
        <v>Cold</v>
      </c>
      <c r="AB2166" s="124" t="str">
        <f>IFERROR(__xludf.DUMMYFUNCTION("""COMPUTED_VALUE"""),"GS Foundation")</f>
        <v>GS Foundation</v>
      </c>
    </row>
    <row r="2167">
      <c r="A2167" s="126">
        <f>IFERROR(__xludf.DUMMYFUNCTION("""COMPUTED_VALUE"""),46098.0)</f>
        <v>46098</v>
      </c>
      <c r="B2167" s="124" t="str">
        <f>IFERROR(__xludf.DUMMYFUNCTION("""COMPUTED_VALUE"""),"Inbound Call")</f>
        <v>Inbound Call</v>
      </c>
      <c r="C2167" s="124" t="str">
        <f>IFERROR(__xludf.DUMMYFUNCTION("""COMPUTED_VALUE"""),"Indore")</f>
        <v>Indore</v>
      </c>
      <c r="D2167" s="124" t="str">
        <f>IFERROR(__xludf.DUMMYFUNCTION("""COMPUTED_VALUE"""),"Secondary_Walkin")</f>
        <v>Secondary_Walkin</v>
      </c>
      <c r="E2167" s="124">
        <f>IFERROR(__xludf.DUMMYFUNCTION("""COMPUTED_VALUE"""),1.0)</f>
        <v>1</v>
      </c>
      <c r="F2167" s="124" t="str">
        <f>IFERROR(__xludf.DUMMYFUNCTION("""COMPUTED_VALUE"""),"Future Prospects")</f>
        <v>Future Prospects</v>
      </c>
      <c r="G2167" s="124" t="str">
        <f>IFERROR(__xludf.DUMMYFUNCTION("""COMPUTED_VALUE"""),"GS Foundation")</f>
        <v>GS Foundation</v>
      </c>
      <c r="K2167" s="124"/>
      <c r="L2167" s="124"/>
      <c r="M2167" s="124"/>
      <c r="N2167" s="124"/>
      <c r="O2167" s="124"/>
      <c r="T2167" s="126">
        <f>IFERROR(__xludf.DUMMYFUNCTION("""COMPUTED_VALUE"""),46104.0)</f>
        <v>46104</v>
      </c>
      <c r="U2167" s="124" t="str">
        <f>IFERROR(__xludf.DUMMYFUNCTION("""COMPUTED_VALUE"""),"Walk-Ins")</f>
        <v>Walk-Ins</v>
      </c>
      <c r="V2167" s="124" t="str">
        <f>IFERROR(__xludf.DUMMYFUNCTION("""COMPUTED_VALUE"""),"Walkin")</f>
        <v>Walkin</v>
      </c>
      <c r="W2167" s="124" t="str">
        <f>IFERROR(__xludf.DUMMYFUNCTION("""COMPUTED_VALUE"""),"Indore")</f>
        <v>Indore</v>
      </c>
      <c r="X2167" s="124" t="str">
        <f>IFERROR(__xludf.DUMMYFUNCTION("""COMPUTED_VALUE"""),"Walkin")</f>
        <v>Walkin</v>
      </c>
      <c r="Y2167" s="124" t="str">
        <f>IFERROR(__xludf.DUMMYFUNCTION("""COMPUTED_VALUE"""),"Indore")</f>
        <v>Indore</v>
      </c>
      <c r="Z2167" s="124">
        <f>IFERROR(__xludf.DUMMYFUNCTION("""COMPUTED_VALUE"""),1.0)</f>
        <v>1</v>
      </c>
      <c r="AA2167" s="124" t="str">
        <f>IFERROR(__xludf.DUMMYFUNCTION("""COMPUTED_VALUE"""),"Enrolled")</f>
        <v>Enrolled</v>
      </c>
      <c r="AB2167" s="124" t="str">
        <f>IFERROR(__xludf.DUMMYFUNCTION("""COMPUTED_VALUE"""),"State PCS")</f>
        <v>State PCS</v>
      </c>
    </row>
    <row r="2168">
      <c r="A2168" s="126">
        <f>IFERROR(__xludf.DUMMYFUNCTION("""COMPUTED_VALUE"""),46091.0)</f>
        <v>46091</v>
      </c>
      <c r="B2168" s="124" t="str">
        <f>IFERROR(__xludf.DUMMYFUNCTION("""COMPUTED_VALUE"""),"Walkin")</f>
        <v>Walkin</v>
      </c>
      <c r="C2168" s="124" t="str">
        <f>IFERROR(__xludf.DUMMYFUNCTION("""COMPUTED_VALUE"""),"Indore")</f>
        <v>Indore</v>
      </c>
      <c r="D2168" s="124" t="str">
        <f>IFERROR(__xludf.DUMMYFUNCTION("""COMPUTED_VALUE"""),"Primary_Walkin")</f>
        <v>Primary_Walkin</v>
      </c>
      <c r="E2168" s="124">
        <f>IFERROR(__xludf.DUMMYFUNCTION("""COMPUTED_VALUE"""),1.0)</f>
        <v>1</v>
      </c>
      <c r="F2168" s="124" t="str">
        <f>IFERROR(__xludf.DUMMYFUNCTION("""COMPUTED_VALUE"""),"Enrolled")</f>
        <v>Enrolled</v>
      </c>
      <c r="G2168" s="124" t="str">
        <f>IFERROR(__xludf.DUMMYFUNCTION("""COMPUTED_VALUE"""),"GS Foundation")</f>
        <v>GS Foundation</v>
      </c>
      <c r="K2168" s="124"/>
      <c r="L2168" s="124"/>
      <c r="M2168" s="124"/>
      <c r="N2168" s="124"/>
      <c r="O2168" s="124"/>
      <c r="T2168" s="129">
        <f>IFERROR(__xludf.DUMMYFUNCTION("""COMPUTED_VALUE"""),46105.0)</f>
        <v>46105</v>
      </c>
      <c r="U2168" s="124" t="str">
        <f>IFERROR(__xludf.DUMMYFUNCTION("""COMPUTED_VALUE"""),"Walk-Ins")</f>
        <v>Walk-Ins</v>
      </c>
      <c r="V2168" s="124" t="str">
        <f>IFERROR(__xludf.DUMMYFUNCTION("""COMPUTED_VALUE"""),"Walkin")</f>
        <v>Walkin</v>
      </c>
      <c r="W2168" s="124" t="str">
        <f>IFERROR(__xludf.DUMMYFUNCTION("""COMPUTED_VALUE"""),"Patna")</f>
        <v>Patna</v>
      </c>
      <c r="X2168" s="124" t="str">
        <f>IFERROR(__xludf.DUMMYFUNCTION("""COMPUTED_VALUE"""),"Walkin")</f>
        <v>Walkin</v>
      </c>
      <c r="Y2168" s="124" t="str">
        <f>IFERROR(__xludf.DUMMYFUNCTION("""COMPUTED_VALUE"""),"Patna")</f>
        <v>Patna</v>
      </c>
      <c r="Z2168" s="124">
        <f>IFERROR(__xludf.DUMMYFUNCTION("""COMPUTED_VALUE"""),1.0)</f>
        <v>1</v>
      </c>
      <c r="AA2168" s="124" t="str">
        <f>IFERROR(__xludf.DUMMYFUNCTION("""COMPUTED_VALUE"""),"Future Prospects")</f>
        <v>Future Prospects</v>
      </c>
      <c r="AB2168" s="124" t="str">
        <f>IFERROR(__xludf.DUMMYFUNCTION("""COMPUTED_VALUE"""),"State PCS")</f>
        <v>State PCS</v>
      </c>
    </row>
    <row r="2169">
      <c r="A2169" s="129">
        <f>IFERROR(__xludf.DUMMYFUNCTION("""COMPUTED_VALUE"""),46088.0)</f>
        <v>46088</v>
      </c>
      <c r="B2169" s="124" t="str">
        <f>IFERROR(__xludf.DUMMYFUNCTION("""COMPUTED_VALUE"""),"events")</f>
        <v>events</v>
      </c>
      <c r="C2169" s="124" t="str">
        <f>IFERROR(__xludf.DUMMYFUNCTION("""COMPUTED_VALUE"""),"Indore")</f>
        <v>Indore</v>
      </c>
      <c r="D2169" s="124" t="str">
        <f>IFERROR(__xludf.DUMMYFUNCTION("""COMPUTED_VALUE"""),"Secondary_Walkin")</f>
        <v>Secondary_Walkin</v>
      </c>
      <c r="E2169" s="124">
        <f>IFERROR(__xludf.DUMMYFUNCTION("""COMPUTED_VALUE"""),1.0)</f>
        <v>1</v>
      </c>
      <c r="F2169" s="124" t="str">
        <f>IFERROR(__xludf.DUMMYFUNCTION("""COMPUTED_VALUE"""),"Cold")</f>
        <v>Cold</v>
      </c>
      <c r="G2169" s="124" t="str">
        <f>IFERROR(__xludf.DUMMYFUNCTION("""COMPUTED_VALUE"""),"Test Series")</f>
        <v>Test Series</v>
      </c>
      <c r="K2169" s="124"/>
      <c r="L2169" s="124"/>
      <c r="M2169" s="124"/>
      <c r="N2169" s="124"/>
      <c r="O2169" s="124"/>
      <c r="T2169" s="129">
        <f>IFERROR(__xludf.DUMMYFUNCTION("""COMPUTED_VALUE"""),46067.0)</f>
        <v>46067</v>
      </c>
      <c r="U2169" s="124" t="str">
        <f>IFERROR(__xludf.DUMMYFUNCTION("""COMPUTED_VALUE"""),"Walk-Ins")</f>
        <v>Walk-Ins</v>
      </c>
      <c r="V2169" s="124" t="str">
        <f>IFERROR(__xludf.DUMMYFUNCTION("""COMPUTED_VALUE"""),"Walkin")</f>
        <v>Walkin</v>
      </c>
      <c r="W2169" s="124" t="str">
        <f>IFERROR(__xludf.DUMMYFUNCTION("""COMPUTED_VALUE"""),"Indore")</f>
        <v>Indore</v>
      </c>
      <c r="X2169" s="124" t="str">
        <f>IFERROR(__xludf.DUMMYFUNCTION("""COMPUTED_VALUE"""),"Walkin")</f>
        <v>Walkin</v>
      </c>
      <c r="Y2169" s="124" t="str">
        <f>IFERROR(__xludf.DUMMYFUNCTION("""COMPUTED_VALUE"""),"Indore")</f>
        <v>Indore</v>
      </c>
      <c r="Z2169" s="124">
        <f>IFERROR(__xludf.DUMMYFUNCTION("""COMPUTED_VALUE"""),1.0)</f>
        <v>1</v>
      </c>
      <c r="AA2169" s="124" t="str">
        <f>IFERROR(__xludf.DUMMYFUNCTION("""COMPUTED_VALUE"""),"Enrolled")</f>
        <v>Enrolled</v>
      </c>
      <c r="AB2169" s="124" t="str">
        <f>IFERROR(__xludf.DUMMYFUNCTION("""COMPUTED_VALUE"""),"Other")</f>
        <v>Other</v>
      </c>
    </row>
    <row r="2170">
      <c r="A2170" s="126">
        <f>IFERROR(__xludf.DUMMYFUNCTION("""COMPUTED_VALUE"""),46111.0)</f>
        <v>46111</v>
      </c>
      <c r="B2170" s="124" t="str">
        <f>IFERROR(__xludf.DUMMYFUNCTION("""COMPUTED_VALUE"""),"IST - Inbound")</f>
        <v>IST - Inbound</v>
      </c>
      <c r="C2170" s="124" t="str">
        <f>IFERROR(__xludf.DUMMYFUNCTION("""COMPUTED_VALUE"""),"Lucknow")</f>
        <v>Lucknow</v>
      </c>
      <c r="D2170" s="124" t="str">
        <f>IFERROR(__xludf.DUMMYFUNCTION("""COMPUTED_VALUE"""),"Secondary_Walkin")</f>
        <v>Secondary_Walkin</v>
      </c>
      <c r="E2170" s="124">
        <f>IFERROR(__xludf.DUMMYFUNCTION("""COMPUTED_VALUE"""),1.0)</f>
        <v>1</v>
      </c>
      <c r="F2170" s="124" t="str">
        <f>IFERROR(__xludf.DUMMYFUNCTION("""COMPUTED_VALUE"""),"Enrolled")</f>
        <v>Enrolled</v>
      </c>
      <c r="G2170" s="124" t="str">
        <f>IFERROR(__xludf.DUMMYFUNCTION("""COMPUTED_VALUE"""),"State PCS")</f>
        <v>State PCS</v>
      </c>
      <c r="K2170" s="124"/>
      <c r="L2170" s="124"/>
      <c r="M2170" s="124"/>
      <c r="N2170" s="124"/>
      <c r="O2170" s="124"/>
      <c r="T2170" s="129">
        <f>IFERROR(__xludf.DUMMYFUNCTION("""COMPUTED_VALUE"""),46071.0)</f>
        <v>46071</v>
      </c>
      <c r="U2170" s="124" t="str">
        <f>IFERROR(__xludf.DUMMYFUNCTION("""COMPUTED_VALUE"""),"Walk-Ins")</f>
        <v>Walk-Ins</v>
      </c>
      <c r="V2170" s="124" t="str">
        <f>IFERROR(__xludf.DUMMYFUNCTION("""COMPUTED_VALUE"""),"Walkin")</f>
        <v>Walkin</v>
      </c>
      <c r="W2170" s="124" t="str">
        <f>IFERROR(__xludf.DUMMYFUNCTION("""COMPUTED_VALUE"""),"Prayagraj")</f>
        <v>Prayagraj</v>
      </c>
      <c r="X2170" s="124" t="str">
        <f>IFERROR(__xludf.DUMMYFUNCTION("""COMPUTED_VALUE"""),"Walkin")</f>
        <v>Walkin</v>
      </c>
      <c r="Y2170" s="124" t="str">
        <f>IFERROR(__xludf.DUMMYFUNCTION("""COMPUTED_VALUE"""),"Prayagraj")</f>
        <v>Prayagraj</v>
      </c>
      <c r="Z2170" s="124">
        <f>IFERROR(__xludf.DUMMYFUNCTION("""COMPUTED_VALUE"""),1.0)</f>
        <v>1</v>
      </c>
      <c r="AA2170" s="124" t="str">
        <f>IFERROR(__xludf.DUMMYFUNCTION("""COMPUTED_VALUE"""),"Interested")</f>
        <v>Interested</v>
      </c>
      <c r="AB2170" s="124" t="str">
        <f>IFERROR(__xludf.DUMMYFUNCTION("""COMPUTED_VALUE"""),"GS Foundation")</f>
        <v>GS Foundation</v>
      </c>
    </row>
    <row r="2171">
      <c r="A2171" s="129">
        <f>IFERROR(__xludf.DUMMYFUNCTION("""COMPUTED_VALUE"""),46058.0)</f>
        <v>46058</v>
      </c>
      <c r="B2171" s="124" t="str">
        <f>IFERROR(__xludf.DUMMYFUNCTION("""COMPUTED_VALUE"""),"Outbound Call")</f>
        <v>Outbound Call</v>
      </c>
      <c r="C2171" s="124" t="str">
        <f>IFERROR(__xludf.DUMMYFUNCTION("""COMPUTED_VALUE"""),"Indore")</f>
        <v>Indore</v>
      </c>
      <c r="D2171" s="124" t="str">
        <f>IFERROR(__xludf.DUMMYFUNCTION("""COMPUTED_VALUE"""),"Secondary_Walkin")</f>
        <v>Secondary_Walkin</v>
      </c>
      <c r="E2171" s="124">
        <f>IFERROR(__xludf.DUMMYFUNCTION("""COMPUTED_VALUE"""),1.0)</f>
        <v>1</v>
      </c>
      <c r="F2171" s="124" t="str">
        <f>IFERROR(__xludf.DUMMYFUNCTION("""COMPUTED_VALUE"""),"Cold")</f>
        <v>Cold</v>
      </c>
      <c r="G2171" s="124" t="str">
        <f>IFERROR(__xludf.DUMMYFUNCTION("""COMPUTED_VALUE"""),"State PCS")</f>
        <v>State PCS</v>
      </c>
      <c r="K2171" s="124"/>
      <c r="L2171" s="124"/>
      <c r="M2171" s="124"/>
      <c r="N2171" s="124"/>
      <c r="O2171" s="124"/>
      <c r="T2171" s="126">
        <f>IFERROR(__xludf.DUMMYFUNCTION("""COMPUTED_VALUE"""),46079.0)</f>
        <v>46079</v>
      </c>
      <c r="U2171" s="124" t="str">
        <f>IFERROR(__xludf.DUMMYFUNCTION("""COMPUTED_VALUE"""),"Walk-Ins")</f>
        <v>Walk-Ins</v>
      </c>
      <c r="V2171" s="124" t="str">
        <f>IFERROR(__xludf.DUMMYFUNCTION("""COMPUTED_VALUE"""),"Walkin")</f>
        <v>Walkin</v>
      </c>
      <c r="W2171" s="124" t="str">
        <f>IFERROR(__xludf.DUMMYFUNCTION("""COMPUTED_VALUE"""),"Lucknow")</f>
        <v>Lucknow</v>
      </c>
      <c r="X2171" s="124" t="str">
        <f>IFERROR(__xludf.DUMMYFUNCTION("""COMPUTED_VALUE"""),"Walkin")</f>
        <v>Walkin</v>
      </c>
      <c r="Y2171" s="124" t="str">
        <f>IFERROR(__xludf.DUMMYFUNCTION("""COMPUTED_VALUE"""),"Lucknow")</f>
        <v>Lucknow</v>
      </c>
      <c r="Z2171" s="124">
        <f>IFERROR(__xludf.DUMMYFUNCTION("""COMPUTED_VALUE"""),1.0)</f>
        <v>1</v>
      </c>
      <c r="AA2171" s="124" t="str">
        <f>IFERROR(__xludf.DUMMYFUNCTION("""COMPUTED_VALUE"""),"Not Interested")</f>
        <v>Not Interested</v>
      </c>
      <c r="AB2171" s="124" t="str">
        <f>IFERROR(__xludf.DUMMYFUNCTION("""COMPUTED_VALUE"""),"GS Foundation")</f>
        <v>GS Foundation</v>
      </c>
    </row>
    <row r="2172">
      <c r="A2172" s="126">
        <f>IFERROR(__xludf.DUMMYFUNCTION("""COMPUTED_VALUE"""),46051.0)</f>
        <v>46051</v>
      </c>
      <c r="B2172" s="124" t="str">
        <f>IFERROR(__xludf.DUMMYFUNCTION("""COMPUTED_VALUE"""),"Walkin")</f>
        <v>Walkin</v>
      </c>
      <c r="C2172" s="124" t="str">
        <f>IFERROR(__xludf.DUMMYFUNCTION("""COMPUTED_VALUE"""),"Lucknow")</f>
        <v>Lucknow</v>
      </c>
      <c r="D2172" s="124" t="str">
        <f>IFERROR(__xludf.DUMMYFUNCTION("""COMPUTED_VALUE"""),"Primary_Walkin")</f>
        <v>Primary_Walkin</v>
      </c>
      <c r="E2172" s="124">
        <f>IFERROR(__xludf.DUMMYFUNCTION("""COMPUTED_VALUE"""),1.0)</f>
        <v>1</v>
      </c>
      <c r="F2172" s="124" t="str">
        <f>IFERROR(__xludf.DUMMYFUNCTION("""COMPUTED_VALUE"""),"Enrolled")</f>
        <v>Enrolled</v>
      </c>
      <c r="G2172" s="124" t="str">
        <f>IFERROR(__xludf.DUMMYFUNCTION("""COMPUTED_VALUE"""),"State PCS")</f>
        <v>State PCS</v>
      </c>
      <c r="K2172" s="124"/>
      <c r="L2172" s="124"/>
      <c r="M2172" s="124"/>
      <c r="N2172" s="124"/>
      <c r="O2172" s="124"/>
      <c r="T2172" s="126">
        <f>IFERROR(__xludf.DUMMYFUNCTION("""COMPUTED_VALUE"""),46073.0)</f>
        <v>46073</v>
      </c>
      <c r="U2172" s="124" t="str">
        <f>IFERROR(__xludf.DUMMYFUNCTION("""COMPUTED_VALUE"""),"Walk-Ins")</f>
        <v>Walk-Ins</v>
      </c>
      <c r="V2172" s="124" t="str">
        <f>IFERROR(__xludf.DUMMYFUNCTION("""COMPUTED_VALUE"""),"Walkin")</f>
        <v>Walkin</v>
      </c>
      <c r="W2172" s="124" t="str">
        <f>IFERROR(__xludf.DUMMYFUNCTION("""COMPUTED_VALUE"""),"Patna")</f>
        <v>Patna</v>
      </c>
      <c r="X2172" s="124" t="str">
        <f>IFERROR(__xludf.DUMMYFUNCTION("""COMPUTED_VALUE"""),"Walkin")</f>
        <v>Walkin</v>
      </c>
      <c r="Y2172" s="124" t="str">
        <f>IFERROR(__xludf.DUMMYFUNCTION("""COMPUTED_VALUE"""),"Patna")</f>
        <v>Patna</v>
      </c>
      <c r="Z2172" s="124">
        <f>IFERROR(__xludf.DUMMYFUNCTION("""COMPUTED_VALUE"""),1.0)</f>
        <v>1</v>
      </c>
      <c r="AA2172" s="124" t="str">
        <f>IFERROR(__xludf.DUMMYFUNCTION("""COMPUTED_VALUE"""),"Cold")</f>
        <v>Cold</v>
      </c>
      <c r="AB2172" s="124" t="str">
        <f>IFERROR(__xludf.DUMMYFUNCTION("""COMPUTED_VALUE"""),"Test Series")</f>
        <v>Test Series</v>
      </c>
    </row>
    <row r="2173">
      <c r="A2173" s="126">
        <f>IFERROR(__xludf.DUMMYFUNCTION("""COMPUTED_VALUE"""),46046.0)</f>
        <v>46046</v>
      </c>
      <c r="B2173" s="124" t="str">
        <f>IFERROR(__xludf.DUMMYFUNCTION("""COMPUTED_VALUE"""),"Walkin")</f>
        <v>Walkin</v>
      </c>
      <c r="C2173" s="124" t="str">
        <f>IFERROR(__xludf.DUMMYFUNCTION("""COMPUTED_VALUE"""),"Indore")</f>
        <v>Indore</v>
      </c>
      <c r="D2173" s="124" t="str">
        <f>IFERROR(__xludf.DUMMYFUNCTION("""COMPUTED_VALUE"""),"Primary_Walkin")</f>
        <v>Primary_Walkin</v>
      </c>
      <c r="E2173" s="124">
        <f>IFERROR(__xludf.DUMMYFUNCTION("""COMPUTED_VALUE"""),1.0)</f>
        <v>1</v>
      </c>
      <c r="F2173" s="124" t="str">
        <f>IFERROR(__xludf.DUMMYFUNCTION("""COMPUTED_VALUE"""),"Enrolled")</f>
        <v>Enrolled</v>
      </c>
      <c r="G2173" s="124" t="str">
        <f>IFERROR(__xludf.DUMMYFUNCTION("""COMPUTED_VALUE"""),"State PCS")</f>
        <v>State PCS</v>
      </c>
      <c r="K2173" s="124"/>
      <c r="L2173" s="124"/>
      <c r="M2173" s="124"/>
      <c r="N2173" s="124"/>
      <c r="O2173" s="124"/>
      <c r="T2173" s="126">
        <f>IFERROR(__xludf.DUMMYFUNCTION("""COMPUTED_VALUE"""),46098.0)</f>
        <v>46098</v>
      </c>
      <c r="U2173" s="124" t="str">
        <f>IFERROR(__xludf.DUMMYFUNCTION("""COMPUTED_VALUE"""),"Walk-Ins")</f>
        <v>Walk-Ins</v>
      </c>
      <c r="V2173" s="124" t="str">
        <f>IFERROR(__xludf.DUMMYFUNCTION("""COMPUTED_VALUE"""),"Walkin")</f>
        <v>Walkin</v>
      </c>
      <c r="W2173" s="124" t="str">
        <f>IFERROR(__xludf.DUMMYFUNCTION("""COMPUTED_VALUE"""),"Prayagraj")</f>
        <v>Prayagraj</v>
      </c>
      <c r="X2173" s="124" t="str">
        <f>IFERROR(__xludf.DUMMYFUNCTION("""COMPUTED_VALUE"""),"Walkin")</f>
        <v>Walkin</v>
      </c>
      <c r="Y2173" s="124" t="str">
        <f>IFERROR(__xludf.DUMMYFUNCTION("""COMPUTED_VALUE"""),"Prayagraj")</f>
        <v>Prayagraj</v>
      </c>
      <c r="Z2173" s="124">
        <f>IFERROR(__xludf.DUMMYFUNCTION("""COMPUTED_VALUE"""),1.0)</f>
        <v>1</v>
      </c>
      <c r="AA2173" s="124" t="str">
        <f>IFERROR(__xludf.DUMMYFUNCTION("""COMPUTED_VALUE"""),"Enrolled")</f>
        <v>Enrolled</v>
      </c>
      <c r="AB2173" s="124" t="str">
        <f>IFERROR(__xludf.DUMMYFUNCTION("""COMPUTED_VALUE"""),"GS Foundation")</f>
        <v>GS Foundation</v>
      </c>
    </row>
    <row r="2174">
      <c r="A2174" s="126">
        <f>IFERROR(__xludf.DUMMYFUNCTION("""COMPUTED_VALUE"""),46067.0)</f>
        <v>46067</v>
      </c>
      <c r="B2174" s="124" t="str">
        <f>IFERROR(__xludf.DUMMYFUNCTION("""COMPUTED_VALUE"""),"Walkin")</f>
        <v>Walkin</v>
      </c>
      <c r="C2174" s="124" t="str">
        <f>IFERROR(__xludf.DUMMYFUNCTION("""COMPUTED_VALUE"""),"Lucknow")</f>
        <v>Lucknow</v>
      </c>
      <c r="D2174" s="124" t="str">
        <f>IFERROR(__xludf.DUMMYFUNCTION("""COMPUTED_VALUE"""),"Primary_Walkin")</f>
        <v>Primary_Walkin</v>
      </c>
      <c r="E2174" s="124">
        <f>IFERROR(__xludf.DUMMYFUNCTION("""COMPUTED_VALUE"""),1.0)</f>
        <v>1</v>
      </c>
      <c r="F2174" s="124" t="str">
        <f>IFERROR(__xludf.DUMMYFUNCTION("""COMPUTED_VALUE"""),"Engaged")</f>
        <v>Engaged</v>
      </c>
      <c r="G2174" s="124" t="str">
        <f>IFERROR(__xludf.DUMMYFUNCTION("""COMPUTED_VALUE"""),"GS Foundation")</f>
        <v>GS Foundation</v>
      </c>
      <c r="K2174" s="124"/>
      <c r="L2174" s="124"/>
      <c r="M2174" s="124"/>
      <c r="N2174" s="124"/>
      <c r="O2174" s="124"/>
      <c r="T2174" s="129">
        <f>IFERROR(__xludf.DUMMYFUNCTION("""COMPUTED_VALUE"""),46104.0)</f>
        <v>46104</v>
      </c>
      <c r="U2174" s="124" t="str">
        <f>IFERROR(__xludf.DUMMYFUNCTION("""COMPUTED_VALUE"""),"Walk-Ins")</f>
        <v>Walk-Ins</v>
      </c>
      <c r="V2174" s="124" t="str">
        <f>IFERROR(__xludf.DUMMYFUNCTION("""COMPUTED_VALUE"""),"Walkin")</f>
        <v>Walkin</v>
      </c>
      <c r="W2174" s="124" t="str">
        <f>IFERROR(__xludf.DUMMYFUNCTION("""COMPUTED_VALUE"""),"Patna")</f>
        <v>Patna</v>
      </c>
      <c r="X2174" s="124" t="str">
        <f>IFERROR(__xludf.DUMMYFUNCTION("""COMPUTED_VALUE"""),"Walkin")</f>
        <v>Walkin</v>
      </c>
      <c r="Y2174" s="124" t="str">
        <f>IFERROR(__xludf.DUMMYFUNCTION("""COMPUTED_VALUE"""),"Patna")</f>
        <v>Patna</v>
      </c>
      <c r="Z2174" s="124">
        <f>IFERROR(__xludf.DUMMYFUNCTION("""COMPUTED_VALUE"""),1.0)</f>
        <v>1</v>
      </c>
      <c r="AA2174" s="124" t="str">
        <f>IFERROR(__xludf.DUMMYFUNCTION("""COMPUTED_VALUE"""),"Cold")</f>
        <v>Cold</v>
      </c>
      <c r="AB2174" s="124" t="str">
        <f>IFERROR(__xludf.DUMMYFUNCTION("""COMPUTED_VALUE"""),"Test Series")</f>
        <v>Test Series</v>
      </c>
    </row>
    <row r="2175">
      <c r="A2175" s="126">
        <f>IFERROR(__xludf.DUMMYFUNCTION("""COMPUTED_VALUE"""),46074.0)</f>
        <v>46074</v>
      </c>
      <c r="B2175" s="124" t="str">
        <f>IFERROR(__xludf.DUMMYFUNCTION("""COMPUTED_VALUE"""),"Walkin")</f>
        <v>Walkin</v>
      </c>
      <c r="C2175" s="124" t="str">
        <f>IFERROR(__xludf.DUMMYFUNCTION("""COMPUTED_VALUE"""),"Indore")</f>
        <v>Indore</v>
      </c>
      <c r="D2175" s="124" t="str">
        <f>IFERROR(__xludf.DUMMYFUNCTION("""COMPUTED_VALUE"""),"Primary_Walkin")</f>
        <v>Primary_Walkin</v>
      </c>
      <c r="E2175" s="124">
        <f>IFERROR(__xludf.DUMMYFUNCTION("""COMPUTED_VALUE"""),1.0)</f>
        <v>1</v>
      </c>
      <c r="F2175" s="124" t="str">
        <f>IFERROR(__xludf.DUMMYFUNCTION("""COMPUTED_VALUE"""),"Not Interested")</f>
        <v>Not Interested</v>
      </c>
      <c r="G2175" s="124" t="str">
        <f>IFERROR(__xludf.DUMMYFUNCTION("""COMPUTED_VALUE"""),"Optionals")</f>
        <v>Optionals</v>
      </c>
      <c r="K2175" s="124"/>
      <c r="L2175" s="124"/>
      <c r="M2175" s="124"/>
      <c r="N2175" s="124"/>
      <c r="O2175" s="124"/>
      <c r="T2175" s="126">
        <f>IFERROR(__xludf.DUMMYFUNCTION("""COMPUTED_VALUE"""),46101.0)</f>
        <v>46101</v>
      </c>
      <c r="U2175" s="124" t="str">
        <f>IFERROR(__xludf.DUMMYFUNCTION("""COMPUTED_VALUE"""),"Walk-Ins")</f>
        <v>Walk-Ins</v>
      </c>
      <c r="V2175" s="124" t="str">
        <f>IFERROR(__xludf.DUMMYFUNCTION("""COMPUTED_VALUE"""),"Walkin")</f>
        <v>Walkin</v>
      </c>
      <c r="W2175" s="124" t="str">
        <f>IFERROR(__xludf.DUMMYFUNCTION("""COMPUTED_VALUE"""),"Patna")</f>
        <v>Patna</v>
      </c>
      <c r="X2175" s="124" t="str">
        <f>IFERROR(__xludf.DUMMYFUNCTION("""COMPUTED_VALUE"""),"Walkin")</f>
        <v>Walkin</v>
      </c>
      <c r="Y2175" s="124" t="str">
        <f>IFERROR(__xludf.DUMMYFUNCTION("""COMPUTED_VALUE"""),"Patna")</f>
        <v>Patna</v>
      </c>
      <c r="Z2175" s="124">
        <f>IFERROR(__xludf.DUMMYFUNCTION("""COMPUTED_VALUE"""),3.0)</f>
        <v>3</v>
      </c>
      <c r="AA2175" s="124" t="str">
        <f>IFERROR(__xludf.DUMMYFUNCTION("""COMPUTED_VALUE"""),"Future Prospects")</f>
        <v>Future Prospects</v>
      </c>
      <c r="AB2175" s="124" t="str">
        <f>IFERROR(__xludf.DUMMYFUNCTION("""COMPUTED_VALUE"""),"State PCS")</f>
        <v>State PCS</v>
      </c>
    </row>
    <row r="2176">
      <c r="A2176" s="126">
        <f>IFERROR(__xludf.DUMMYFUNCTION("""COMPUTED_VALUE"""),46112.0)</f>
        <v>46112</v>
      </c>
      <c r="B2176" s="124" t="str">
        <f>IFERROR(__xludf.DUMMYFUNCTION("""COMPUTED_VALUE"""),"Walkin")</f>
        <v>Walkin</v>
      </c>
      <c r="C2176" s="124" t="str">
        <f>IFERROR(__xludf.DUMMYFUNCTION("""COMPUTED_VALUE"""),"Indore")</f>
        <v>Indore</v>
      </c>
      <c r="D2176" s="124" t="str">
        <f>IFERROR(__xludf.DUMMYFUNCTION("""COMPUTED_VALUE"""),"Primary_Walkin")</f>
        <v>Primary_Walkin</v>
      </c>
      <c r="E2176" s="124">
        <f>IFERROR(__xludf.DUMMYFUNCTION("""COMPUTED_VALUE"""),1.0)</f>
        <v>1</v>
      </c>
      <c r="F2176" s="124" t="str">
        <f>IFERROR(__xludf.DUMMYFUNCTION("""COMPUTED_VALUE"""),"Future Prospects")</f>
        <v>Future Prospects</v>
      </c>
      <c r="G2176" s="124" t="str">
        <f>IFERROR(__xludf.DUMMYFUNCTION("""COMPUTED_VALUE"""),"Other")</f>
        <v>Other</v>
      </c>
      <c r="K2176" s="124"/>
      <c r="L2176" s="124"/>
      <c r="M2176" s="124"/>
      <c r="N2176" s="124"/>
      <c r="O2176" s="124"/>
      <c r="T2176" s="129">
        <f>IFERROR(__xludf.DUMMYFUNCTION("""COMPUTED_VALUE"""),46044.0)</f>
        <v>46044</v>
      </c>
      <c r="U2176" s="124" t="str">
        <f>IFERROR(__xludf.DUMMYFUNCTION("""COMPUTED_VALUE"""),"Walk-Ins")</f>
        <v>Walk-Ins</v>
      </c>
      <c r="V2176" s="124" t="str">
        <f>IFERROR(__xludf.DUMMYFUNCTION("""COMPUTED_VALUE"""),"Walkin")</f>
        <v>Walkin</v>
      </c>
      <c r="W2176" s="124" t="str">
        <f>IFERROR(__xludf.DUMMYFUNCTION("""COMPUTED_VALUE"""),"Patna")</f>
        <v>Patna</v>
      </c>
      <c r="X2176" s="124" t="str">
        <f>IFERROR(__xludf.DUMMYFUNCTION("""COMPUTED_VALUE"""),"Walkin")</f>
        <v>Walkin</v>
      </c>
      <c r="Y2176" s="124" t="str">
        <f>IFERROR(__xludf.DUMMYFUNCTION("""COMPUTED_VALUE"""),"Patna")</f>
        <v>Patna</v>
      </c>
      <c r="Z2176" s="124">
        <f>IFERROR(__xludf.DUMMYFUNCTION("""COMPUTED_VALUE"""),2.0)</f>
        <v>2</v>
      </c>
      <c r="AA2176" s="124" t="str">
        <f>IFERROR(__xludf.DUMMYFUNCTION("""COMPUTED_VALUE"""),"Enrolled")</f>
        <v>Enrolled</v>
      </c>
      <c r="AB2176" s="124" t="str">
        <f>IFERROR(__xludf.DUMMYFUNCTION("""COMPUTED_VALUE"""),"State PCS")</f>
        <v>State PCS</v>
      </c>
    </row>
    <row r="2177">
      <c r="A2177" s="129">
        <f>IFERROR(__xludf.DUMMYFUNCTION("""COMPUTED_VALUE"""),46084.0)</f>
        <v>46084</v>
      </c>
      <c r="B2177" s="124" t="str">
        <f>IFERROR(__xludf.DUMMYFUNCTION("""COMPUTED_VALUE"""),"events")</f>
        <v>events</v>
      </c>
      <c r="C2177" s="124" t="str">
        <f>IFERROR(__xludf.DUMMYFUNCTION("""COMPUTED_VALUE"""),"Indore")</f>
        <v>Indore</v>
      </c>
      <c r="D2177" s="124" t="str">
        <f>IFERROR(__xludf.DUMMYFUNCTION("""COMPUTED_VALUE"""),"Secondary_Walkin")</f>
        <v>Secondary_Walkin</v>
      </c>
      <c r="E2177" s="124">
        <f>IFERROR(__xludf.DUMMYFUNCTION("""COMPUTED_VALUE"""),1.0)</f>
        <v>1</v>
      </c>
      <c r="F2177" s="124" t="str">
        <f>IFERROR(__xludf.DUMMYFUNCTION("""COMPUTED_VALUE"""),"Future Prospects")</f>
        <v>Future Prospects</v>
      </c>
      <c r="G2177" s="124" t="str">
        <f>IFERROR(__xludf.DUMMYFUNCTION("""COMPUTED_VALUE"""),"State PCS")</f>
        <v>State PCS</v>
      </c>
      <c r="K2177" s="124"/>
      <c r="L2177" s="124"/>
      <c r="M2177" s="124"/>
      <c r="N2177" s="124"/>
      <c r="O2177" s="124"/>
      <c r="T2177" s="126">
        <f>IFERROR(__xludf.DUMMYFUNCTION("""COMPUTED_VALUE"""),46059.0)</f>
        <v>46059</v>
      </c>
      <c r="U2177" s="124" t="str">
        <f>IFERROR(__xludf.DUMMYFUNCTION("""COMPUTED_VALUE"""),"Walk-Ins")</f>
        <v>Walk-Ins</v>
      </c>
      <c r="V2177" s="124" t="str">
        <f>IFERROR(__xludf.DUMMYFUNCTION("""COMPUTED_VALUE"""),"Walk-In")</f>
        <v>Walk-In</v>
      </c>
      <c r="W2177" s="124" t="str">
        <f>IFERROR(__xludf.DUMMYFUNCTION("""COMPUTED_VALUE"""),"Patna")</f>
        <v>Patna</v>
      </c>
      <c r="X2177" s="124" t="str">
        <f>IFERROR(__xludf.DUMMYFUNCTION("""COMPUTED_VALUE"""),"Others")</f>
        <v>Others</v>
      </c>
      <c r="Y2177" s="124" t="str">
        <f>IFERROR(__xludf.DUMMYFUNCTION("""COMPUTED_VALUE"""),"Patna")</f>
        <v>Patna</v>
      </c>
      <c r="Z2177" s="124">
        <f>IFERROR(__xludf.DUMMYFUNCTION("""COMPUTED_VALUE"""),1.0)</f>
        <v>1</v>
      </c>
      <c r="AA2177" s="124" t="str">
        <f>IFERROR(__xludf.DUMMYFUNCTION("""COMPUTED_VALUE"""),"Future Prospects")</f>
        <v>Future Prospects</v>
      </c>
      <c r="AB2177" s="124" t="str">
        <f>IFERROR(__xludf.DUMMYFUNCTION("""COMPUTED_VALUE"""),"State PCS")</f>
        <v>State PCS</v>
      </c>
    </row>
    <row r="2178">
      <c r="A2178" s="126">
        <f>IFERROR(__xludf.DUMMYFUNCTION("""COMPUTED_VALUE"""),46095.0)</f>
        <v>46095</v>
      </c>
      <c r="B2178" s="124" t="str">
        <f>IFERROR(__xludf.DUMMYFUNCTION("""COMPUTED_VALUE"""),"walk-in")</f>
        <v>walk-in</v>
      </c>
      <c r="C2178" s="124" t="str">
        <f>IFERROR(__xludf.DUMMYFUNCTION("""COMPUTED_VALUE"""),"Indore")</f>
        <v>Indore</v>
      </c>
      <c r="D2178" s="124" t="str">
        <f>IFERROR(__xludf.DUMMYFUNCTION("""COMPUTED_VALUE"""),"Primary_Walkin")</f>
        <v>Primary_Walkin</v>
      </c>
      <c r="E2178" s="124">
        <f>IFERROR(__xludf.DUMMYFUNCTION("""COMPUTED_VALUE"""),1.0)</f>
        <v>1</v>
      </c>
      <c r="F2178" s="124" t="str">
        <f>IFERROR(__xludf.DUMMYFUNCTION("""COMPUTED_VALUE"""),"Future Prospects")</f>
        <v>Future Prospects</v>
      </c>
      <c r="G2178" s="124" t="str">
        <f>IFERROR(__xludf.DUMMYFUNCTION("""COMPUTED_VALUE"""),"State PCS")</f>
        <v>State PCS</v>
      </c>
      <c r="K2178" s="124"/>
      <c r="L2178" s="124"/>
      <c r="M2178" s="124"/>
      <c r="N2178" s="124"/>
      <c r="O2178" s="124"/>
      <c r="T2178" s="126">
        <f>IFERROR(__xludf.DUMMYFUNCTION("""COMPUTED_VALUE"""),46112.0)</f>
        <v>46112</v>
      </c>
      <c r="U2178" s="124" t="str">
        <f>IFERROR(__xludf.DUMMYFUNCTION("""COMPUTED_VALUE"""),"Walk-Ins")</f>
        <v>Walk-Ins</v>
      </c>
      <c r="V2178" s="124" t="str">
        <f>IFERROR(__xludf.DUMMYFUNCTION("""COMPUTED_VALUE"""),"Walkin")</f>
        <v>Walkin</v>
      </c>
      <c r="W2178" s="124" t="str">
        <f>IFERROR(__xludf.DUMMYFUNCTION("""COMPUTED_VALUE"""),"Prayagraj")</f>
        <v>Prayagraj</v>
      </c>
      <c r="X2178" s="124" t="str">
        <f>IFERROR(__xludf.DUMMYFUNCTION("""COMPUTED_VALUE"""),"Walkin")</f>
        <v>Walkin</v>
      </c>
      <c r="Y2178" s="124" t="str">
        <f>IFERROR(__xludf.DUMMYFUNCTION("""COMPUTED_VALUE"""),"Prayagraj")</f>
        <v>Prayagraj</v>
      </c>
      <c r="Z2178" s="124">
        <f>IFERROR(__xludf.DUMMYFUNCTION("""COMPUTED_VALUE"""),2.0)</f>
        <v>2</v>
      </c>
      <c r="AA2178" s="124" t="str">
        <f>IFERROR(__xludf.DUMMYFUNCTION("""COMPUTED_VALUE"""),"Interested")</f>
        <v>Interested</v>
      </c>
      <c r="AB2178" s="124" t="str">
        <f>IFERROR(__xludf.DUMMYFUNCTION("""COMPUTED_VALUE"""),"GS Foundation")</f>
        <v>GS Foundation</v>
      </c>
    </row>
    <row r="2179">
      <c r="A2179" s="126">
        <f>IFERROR(__xludf.DUMMYFUNCTION("""COMPUTED_VALUE"""),46106.0)</f>
        <v>46106</v>
      </c>
      <c r="B2179" s="124" t="str">
        <f>IFERROR(__xludf.DUMMYFUNCTION("""COMPUTED_VALUE"""),"Walkin")</f>
        <v>Walkin</v>
      </c>
      <c r="C2179" s="124" t="str">
        <f>IFERROR(__xludf.DUMMYFUNCTION("""COMPUTED_VALUE"""),"Lucknow")</f>
        <v>Lucknow</v>
      </c>
      <c r="D2179" s="124" t="str">
        <f>IFERROR(__xludf.DUMMYFUNCTION("""COMPUTED_VALUE"""),"Primary_Walkin")</f>
        <v>Primary_Walkin</v>
      </c>
      <c r="E2179" s="124">
        <f>IFERROR(__xludf.DUMMYFUNCTION("""COMPUTED_VALUE"""),1.0)</f>
        <v>1</v>
      </c>
      <c r="F2179" s="124" t="str">
        <f>IFERROR(__xludf.DUMMYFUNCTION("""COMPUTED_VALUE"""),"Enrolled")</f>
        <v>Enrolled</v>
      </c>
      <c r="G2179" s="124" t="str">
        <f>IFERROR(__xludf.DUMMYFUNCTION("""COMPUTED_VALUE"""),"State PCS")</f>
        <v>State PCS</v>
      </c>
      <c r="K2179" s="124"/>
      <c r="L2179" s="124"/>
      <c r="M2179" s="124"/>
      <c r="N2179" s="124"/>
      <c r="O2179" s="124"/>
      <c r="T2179" s="126">
        <f>IFERROR(__xludf.DUMMYFUNCTION("""COMPUTED_VALUE"""),46088.0)</f>
        <v>46088</v>
      </c>
      <c r="U2179" s="124" t="str">
        <f>IFERROR(__xludf.DUMMYFUNCTION("""COMPUTED_VALUE"""),"Walk-Ins")</f>
        <v>Walk-Ins</v>
      </c>
      <c r="V2179" s="124" t="str">
        <f>IFERROR(__xludf.DUMMYFUNCTION("""COMPUTED_VALUE"""),"Walkin")</f>
        <v>Walkin</v>
      </c>
      <c r="W2179" s="124" t="str">
        <f>IFERROR(__xludf.DUMMYFUNCTION("""COMPUTED_VALUE"""),"Prayagraj")</f>
        <v>Prayagraj</v>
      </c>
      <c r="X2179" s="124" t="str">
        <f>IFERROR(__xludf.DUMMYFUNCTION("""COMPUTED_VALUE"""),"Walkin")</f>
        <v>Walkin</v>
      </c>
      <c r="Y2179" s="124" t="str">
        <f>IFERROR(__xludf.DUMMYFUNCTION("""COMPUTED_VALUE"""),"Prayagraj")</f>
        <v>Prayagraj</v>
      </c>
      <c r="Z2179" s="124">
        <f>IFERROR(__xludf.DUMMYFUNCTION("""COMPUTED_VALUE"""),3.0)</f>
        <v>3</v>
      </c>
      <c r="AA2179" s="124" t="str">
        <f>IFERROR(__xludf.DUMMYFUNCTION("""COMPUTED_VALUE"""),"Future Prospects")</f>
        <v>Future Prospects</v>
      </c>
      <c r="AB2179" s="124" t="str">
        <f>IFERROR(__xludf.DUMMYFUNCTION("""COMPUTED_VALUE"""),"GS Foundation")</f>
        <v>GS Foundation</v>
      </c>
    </row>
    <row r="2180">
      <c r="A2180" s="129">
        <f>IFERROR(__xludf.DUMMYFUNCTION("""COMPUTED_VALUE"""),46082.0)</f>
        <v>46082</v>
      </c>
      <c r="B2180" s="124" t="str">
        <f>IFERROR(__xludf.DUMMYFUNCTION("""COMPUTED_VALUE"""),"Walkin")</f>
        <v>Walkin</v>
      </c>
      <c r="C2180" s="124" t="str">
        <f>IFERROR(__xludf.DUMMYFUNCTION("""COMPUTED_VALUE"""),"Indore")</f>
        <v>Indore</v>
      </c>
      <c r="D2180" s="124" t="str">
        <f>IFERROR(__xludf.DUMMYFUNCTION("""COMPUTED_VALUE"""),"Primary_Walkin")</f>
        <v>Primary_Walkin</v>
      </c>
      <c r="E2180" s="124">
        <f>IFERROR(__xludf.DUMMYFUNCTION("""COMPUTED_VALUE"""),1.0)</f>
        <v>1</v>
      </c>
      <c r="F2180" s="124" t="str">
        <f>IFERROR(__xludf.DUMMYFUNCTION("""COMPUTED_VALUE"""),"Future Prospects")</f>
        <v>Future Prospects</v>
      </c>
      <c r="G2180" s="124" t="str">
        <f>IFERROR(__xludf.DUMMYFUNCTION("""COMPUTED_VALUE"""),"GS Foundation")</f>
        <v>GS Foundation</v>
      </c>
      <c r="K2180" s="124"/>
      <c r="L2180" s="124"/>
      <c r="M2180" s="124"/>
      <c r="N2180" s="124"/>
      <c r="O2180" s="124"/>
      <c r="T2180" s="126">
        <f>IFERROR(__xludf.DUMMYFUNCTION("""COMPUTED_VALUE"""),46067.0)</f>
        <v>46067</v>
      </c>
      <c r="U2180" s="124" t="str">
        <f>IFERROR(__xludf.DUMMYFUNCTION("""COMPUTED_VALUE"""),"Walk-Ins")</f>
        <v>Walk-Ins</v>
      </c>
      <c r="V2180" s="124" t="str">
        <f>IFERROR(__xludf.DUMMYFUNCTION("""COMPUTED_VALUE"""),"Walkin")</f>
        <v>Walkin</v>
      </c>
      <c r="W2180" s="124" t="str">
        <f>IFERROR(__xludf.DUMMYFUNCTION("""COMPUTED_VALUE"""),"Indore")</f>
        <v>Indore</v>
      </c>
      <c r="X2180" s="124" t="str">
        <f>IFERROR(__xludf.DUMMYFUNCTION("""COMPUTED_VALUE"""),"Walkin")</f>
        <v>Walkin</v>
      </c>
      <c r="Y2180" s="124" t="str">
        <f>IFERROR(__xludf.DUMMYFUNCTION("""COMPUTED_VALUE"""),"Indore")</f>
        <v>Indore</v>
      </c>
      <c r="Z2180" s="124">
        <f>IFERROR(__xludf.DUMMYFUNCTION("""COMPUTED_VALUE"""),1.0)</f>
        <v>1</v>
      </c>
      <c r="AA2180" s="124" t="str">
        <f>IFERROR(__xludf.DUMMYFUNCTION("""COMPUTED_VALUE"""),"Not Interested")</f>
        <v>Not Interested</v>
      </c>
      <c r="AB2180" s="124" t="str">
        <f>IFERROR(__xludf.DUMMYFUNCTION("""COMPUTED_VALUE"""),"GS Foundation")</f>
        <v>GS Foundation</v>
      </c>
    </row>
    <row r="2181">
      <c r="A2181" s="126">
        <f>IFERROR(__xludf.DUMMYFUNCTION("""COMPUTED_VALUE"""),46065.0)</f>
        <v>46065</v>
      </c>
      <c r="B2181" s="124" t="str">
        <f>IFERROR(__xludf.DUMMYFUNCTION("""COMPUTED_VALUE"""),"Walkin")</f>
        <v>Walkin</v>
      </c>
      <c r="C2181" s="124" t="str">
        <f>IFERROR(__xludf.DUMMYFUNCTION("""COMPUTED_VALUE"""),"Indore")</f>
        <v>Indore</v>
      </c>
      <c r="D2181" s="124" t="str">
        <f>IFERROR(__xludf.DUMMYFUNCTION("""COMPUTED_VALUE"""),"Primary_Walkin")</f>
        <v>Primary_Walkin</v>
      </c>
      <c r="E2181" s="124">
        <f>IFERROR(__xludf.DUMMYFUNCTION("""COMPUTED_VALUE"""),1.0)</f>
        <v>1</v>
      </c>
      <c r="F2181" s="124" t="str">
        <f>IFERROR(__xludf.DUMMYFUNCTION("""COMPUTED_VALUE"""),"Enrolled")</f>
        <v>Enrolled</v>
      </c>
      <c r="G2181" s="124" t="str">
        <f>IFERROR(__xludf.DUMMYFUNCTION("""COMPUTED_VALUE"""),"State PCS")</f>
        <v>State PCS</v>
      </c>
      <c r="K2181" s="124"/>
      <c r="L2181" s="124"/>
      <c r="M2181" s="124"/>
      <c r="N2181" s="124"/>
      <c r="O2181" s="124"/>
      <c r="T2181" s="126">
        <f>IFERROR(__xludf.DUMMYFUNCTION("""COMPUTED_VALUE"""),46105.0)</f>
        <v>46105</v>
      </c>
      <c r="U2181" s="124" t="str">
        <f>IFERROR(__xludf.DUMMYFUNCTION("""COMPUTED_VALUE"""),"Walk-Ins")</f>
        <v>Walk-Ins</v>
      </c>
      <c r="V2181" s="124" t="str">
        <f>IFERROR(__xludf.DUMMYFUNCTION("""COMPUTED_VALUE"""),"Walk-In")</f>
        <v>Walk-In</v>
      </c>
      <c r="W2181" s="124" t="str">
        <f>IFERROR(__xludf.DUMMYFUNCTION("""COMPUTED_VALUE"""),"Prayagraj")</f>
        <v>Prayagraj</v>
      </c>
      <c r="X2181" s="124" t="str">
        <f>IFERROR(__xludf.DUMMYFUNCTION("""COMPUTED_VALUE"""),"Others")</f>
        <v>Others</v>
      </c>
      <c r="Y2181" s="124"/>
      <c r="Z2181" s="124">
        <f>IFERROR(__xludf.DUMMYFUNCTION("""COMPUTED_VALUE"""),1.0)</f>
        <v>1</v>
      </c>
      <c r="AA2181" s="124" t="str">
        <f>IFERROR(__xludf.DUMMYFUNCTION("""COMPUTED_VALUE"""),"Enrolled")</f>
        <v>Enrolled</v>
      </c>
      <c r="AB2181" s="124" t="str">
        <f>IFERROR(__xludf.DUMMYFUNCTION("""COMPUTED_VALUE"""),"GS Foundation")</f>
        <v>GS Foundation</v>
      </c>
    </row>
    <row r="2182">
      <c r="A2182" s="126">
        <f>IFERROR(__xludf.DUMMYFUNCTION("""COMPUTED_VALUE"""),46093.0)</f>
        <v>46093</v>
      </c>
      <c r="B2182" s="124" t="str">
        <f>IFERROR(__xludf.DUMMYFUNCTION("""COMPUTED_VALUE"""),"walk-in")</f>
        <v>walk-in</v>
      </c>
      <c r="C2182" s="124" t="str">
        <f>IFERROR(__xludf.DUMMYFUNCTION("""COMPUTED_VALUE"""),"Lucknow")</f>
        <v>Lucknow</v>
      </c>
      <c r="D2182" s="124" t="str">
        <f>IFERROR(__xludf.DUMMYFUNCTION("""COMPUTED_VALUE"""),"Primary_Walkin")</f>
        <v>Primary_Walkin</v>
      </c>
      <c r="E2182" s="124">
        <f>IFERROR(__xludf.DUMMYFUNCTION("""COMPUTED_VALUE"""),1.0)</f>
        <v>1</v>
      </c>
      <c r="F2182" s="124" t="str">
        <f>IFERROR(__xludf.DUMMYFUNCTION("""COMPUTED_VALUE"""),"Engaged")</f>
        <v>Engaged</v>
      </c>
      <c r="G2182" s="124" t="str">
        <f>IFERROR(__xludf.DUMMYFUNCTION("""COMPUTED_VALUE"""),"Mentorship")</f>
        <v>Mentorship</v>
      </c>
      <c r="K2182" s="124"/>
      <c r="L2182" s="124"/>
      <c r="M2182" s="124"/>
      <c r="N2182" s="124"/>
      <c r="O2182" s="124"/>
      <c r="T2182" s="126">
        <f>IFERROR(__xludf.DUMMYFUNCTION("""COMPUTED_VALUE"""),46057.0)</f>
        <v>46057</v>
      </c>
      <c r="U2182" s="124" t="str">
        <f>IFERROR(__xludf.DUMMYFUNCTION("""COMPUTED_VALUE"""),"Walk-Ins")</f>
        <v>Walk-Ins</v>
      </c>
      <c r="V2182" s="124" t="str">
        <f>IFERROR(__xludf.DUMMYFUNCTION("""COMPUTED_VALUE"""),"Walk-In")</f>
        <v>Walk-In</v>
      </c>
      <c r="W2182" s="124" t="str">
        <f>IFERROR(__xludf.DUMMYFUNCTION("""COMPUTED_VALUE"""),"Patna")</f>
        <v>Patna</v>
      </c>
      <c r="X2182" s="124" t="str">
        <f>IFERROR(__xludf.DUMMYFUNCTION("""COMPUTED_VALUE"""),"Others")</f>
        <v>Others</v>
      </c>
      <c r="Y2182" s="124"/>
      <c r="Z2182" s="124">
        <f>IFERROR(__xludf.DUMMYFUNCTION("""COMPUTED_VALUE"""),1.0)</f>
        <v>1</v>
      </c>
      <c r="AA2182" s="124" t="str">
        <f>IFERROR(__xludf.DUMMYFUNCTION("""COMPUTED_VALUE"""),"Not Interested")</f>
        <v>Not Interested</v>
      </c>
      <c r="AB2182" s="124" t="str">
        <f>IFERROR(__xludf.DUMMYFUNCTION("""COMPUTED_VALUE"""),"GS Foundation")</f>
        <v>GS Foundation</v>
      </c>
    </row>
    <row r="2183">
      <c r="A2183" s="126">
        <f>IFERROR(__xludf.DUMMYFUNCTION("""COMPUTED_VALUE"""),46109.0)</f>
        <v>46109</v>
      </c>
      <c r="B2183" s="124" t="str">
        <f>IFERROR(__xludf.DUMMYFUNCTION("""COMPUTED_VALUE"""),"Walkin")</f>
        <v>Walkin</v>
      </c>
      <c r="C2183" s="124" t="str">
        <f>IFERROR(__xludf.DUMMYFUNCTION("""COMPUTED_VALUE"""),"Lucknow")</f>
        <v>Lucknow</v>
      </c>
      <c r="D2183" s="124" t="str">
        <f>IFERROR(__xludf.DUMMYFUNCTION("""COMPUTED_VALUE"""),"Primary_Walkin")</f>
        <v>Primary_Walkin</v>
      </c>
      <c r="E2183" s="124">
        <f>IFERROR(__xludf.DUMMYFUNCTION("""COMPUTED_VALUE"""),1.0)</f>
        <v>1</v>
      </c>
      <c r="F2183" s="124" t="str">
        <f>IFERROR(__xludf.DUMMYFUNCTION("""COMPUTED_VALUE"""),"Enrolled")</f>
        <v>Enrolled</v>
      </c>
      <c r="G2183" s="124" t="str">
        <f>IFERROR(__xludf.DUMMYFUNCTION("""COMPUTED_VALUE"""),"GS Foundation")</f>
        <v>GS Foundation</v>
      </c>
      <c r="K2183" s="124"/>
      <c r="L2183" s="124"/>
      <c r="M2183" s="124"/>
      <c r="N2183" s="124"/>
      <c r="O2183" s="124"/>
      <c r="T2183" s="126">
        <f>IFERROR(__xludf.DUMMYFUNCTION("""COMPUTED_VALUE"""),46069.0)</f>
        <v>46069</v>
      </c>
      <c r="U2183" s="124" t="str">
        <f>IFERROR(__xludf.DUMMYFUNCTION("""COMPUTED_VALUE"""),"Walk-Ins")</f>
        <v>Walk-Ins</v>
      </c>
      <c r="V2183" s="124" t="str">
        <f>IFERROR(__xludf.DUMMYFUNCTION("""COMPUTED_VALUE"""),"Walkin")</f>
        <v>Walkin</v>
      </c>
      <c r="W2183" s="124" t="str">
        <f>IFERROR(__xludf.DUMMYFUNCTION("""COMPUTED_VALUE"""),"Patna")</f>
        <v>Patna</v>
      </c>
      <c r="X2183" s="124" t="str">
        <f>IFERROR(__xludf.DUMMYFUNCTION("""COMPUTED_VALUE"""),"Walkin")</f>
        <v>Walkin</v>
      </c>
      <c r="Y2183" s="124" t="str">
        <f>IFERROR(__xludf.DUMMYFUNCTION("""COMPUTED_VALUE"""),"Patna")</f>
        <v>Patna</v>
      </c>
      <c r="Z2183" s="124">
        <f>IFERROR(__xludf.DUMMYFUNCTION("""COMPUTED_VALUE"""),3.0)</f>
        <v>3</v>
      </c>
      <c r="AA2183" s="124" t="str">
        <f>IFERROR(__xludf.DUMMYFUNCTION("""COMPUTED_VALUE"""),"Future Prospects")</f>
        <v>Future Prospects</v>
      </c>
      <c r="AB2183" s="124" t="str">
        <f>IFERROR(__xludf.DUMMYFUNCTION("""COMPUTED_VALUE"""),"GS Foundation")</f>
        <v>GS Foundation</v>
      </c>
    </row>
    <row r="2184">
      <c r="A2184" s="126">
        <f>IFERROR(__xludf.DUMMYFUNCTION("""COMPUTED_VALUE"""),46073.0)</f>
        <v>46073</v>
      </c>
      <c r="B2184" s="124" t="str">
        <f>IFERROR(__xludf.DUMMYFUNCTION("""COMPUTED_VALUE"""),"Walkin")</f>
        <v>Walkin</v>
      </c>
      <c r="C2184" s="124" t="str">
        <f>IFERROR(__xludf.DUMMYFUNCTION("""COMPUTED_VALUE"""),"Indore")</f>
        <v>Indore</v>
      </c>
      <c r="D2184" s="124" t="str">
        <f>IFERROR(__xludf.DUMMYFUNCTION("""COMPUTED_VALUE"""),"Primary_Walkin")</f>
        <v>Primary_Walkin</v>
      </c>
      <c r="E2184" s="124">
        <f>IFERROR(__xludf.DUMMYFUNCTION("""COMPUTED_VALUE"""),1.0)</f>
        <v>1</v>
      </c>
      <c r="F2184" s="124" t="str">
        <f>IFERROR(__xludf.DUMMYFUNCTION("""COMPUTED_VALUE"""),"Fake Lead")</f>
        <v>Fake Lead</v>
      </c>
      <c r="G2184" s="124" t="str">
        <f>IFERROR(__xludf.DUMMYFUNCTION("""COMPUTED_VALUE"""),"State PCS")</f>
        <v>State PCS</v>
      </c>
      <c r="K2184" s="124"/>
      <c r="L2184" s="124"/>
      <c r="M2184" s="124"/>
      <c r="N2184" s="124"/>
      <c r="O2184" s="124"/>
      <c r="T2184" s="126">
        <f>IFERROR(__xludf.DUMMYFUNCTION("""COMPUTED_VALUE"""),46093.0)</f>
        <v>46093</v>
      </c>
      <c r="U2184" s="124" t="str">
        <f>IFERROR(__xludf.DUMMYFUNCTION("""COMPUTED_VALUE"""),"Walk-Ins")</f>
        <v>Walk-Ins</v>
      </c>
      <c r="V2184" s="124" t="str">
        <f>IFERROR(__xludf.DUMMYFUNCTION("""COMPUTED_VALUE"""),"Walkin")</f>
        <v>Walkin</v>
      </c>
      <c r="W2184" s="124" t="str">
        <f>IFERROR(__xludf.DUMMYFUNCTION("""COMPUTED_VALUE"""),"Indore")</f>
        <v>Indore</v>
      </c>
      <c r="X2184" s="124" t="str">
        <f>IFERROR(__xludf.DUMMYFUNCTION("""COMPUTED_VALUE"""),"Walkin")</f>
        <v>Walkin</v>
      </c>
      <c r="Y2184" s="124" t="str">
        <f>IFERROR(__xludf.DUMMYFUNCTION("""COMPUTED_VALUE"""),"Indore")</f>
        <v>Indore</v>
      </c>
      <c r="Z2184" s="124">
        <f>IFERROR(__xludf.DUMMYFUNCTION("""COMPUTED_VALUE"""),1.0)</f>
        <v>1</v>
      </c>
      <c r="AA2184" s="124" t="str">
        <f>IFERROR(__xludf.DUMMYFUNCTION("""COMPUTED_VALUE"""),"Not Interested")</f>
        <v>Not Interested</v>
      </c>
      <c r="AB2184" s="124" t="str">
        <f>IFERROR(__xludf.DUMMYFUNCTION("""COMPUTED_VALUE"""),"GS Foundation")</f>
        <v>GS Foundation</v>
      </c>
    </row>
    <row r="2185">
      <c r="A2185" s="126">
        <f>IFERROR(__xludf.DUMMYFUNCTION("""COMPUTED_VALUE"""),46069.0)</f>
        <v>46069</v>
      </c>
      <c r="B2185" s="124" t="str">
        <f>IFERROR(__xludf.DUMMYFUNCTION("""COMPUTED_VALUE"""),"Walkin")</f>
        <v>Walkin</v>
      </c>
      <c r="C2185" s="124" t="str">
        <f>IFERROR(__xludf.DUMMYFUNCTION("""COMPUTED_VALUE"""),"Indore")</f>
        <v>Indore</v>
      </c>
      <c r="D2185" s="124" t="str">
        <f>IFERROR(__xludf.DUMMYFUNCTION("""COMPUTED_VALUE"""),"Primary_Walkin")</f>
        <v>Primary_Walkin</v>
      </c>
      <c r="E2185" s="124">
        <f>IFERROR(__xludf.DUMMYFUNCTION("""COMPUTED_VALUE"""),1.0)</f>
        <v>1</v>
      </c>
      <c r="F2185" s="124" t="str">
        <f>IFERROR(__xludf.DUMMYFUNCTION("""COMPUTED_VALUE"""),"Cold")</f>
        <v>Cold</v>
      </c>
      <c r="G2185" s="124" t="str">
        <f>IFERROR(__xludf.DUMMYFUNCTION("""COMPUTED_VALUE"""),"Mentorship")</f>
        <v>Mentorship</v>
      </c>
      <c r="K2185" s="124"/>
      <c r="L2185" s="124"/>
      <c r="M2185" s="124"/>
      <c r="N2185" s="124"/>
      <c r="O2185" s="124"/>
      <c r="T2185" s="126">
        <f>IFERROR(__xludf.DUMMYFUNCTION("""COMPUTED_VALUE"""),46044.0)</f>
        <v>46044</v>
      </c>
      <c r="U2185" s="124" t="str">
        <f>IFERROR(__xludf.DUMMYFUNCTION("""COMPUTED_VALUE"""),"Walk-Ins")</f>
        <v>Walk-Ins</v>
      </c>
      <c r="V2185" s="124" t="str">
        <f>IFERROR(__xludf.DUMMYFUNCTION("""COMPUTED_VALUE"""),"Walk-In")</f>
        <v>Walk-In</v>
      </c>
      <c r="W2185" s="124" t="str">
        <f>IFERROR(__xludf.DUMMYFUNCTION("""COMPUTED_VALUE"""),"Lucknow")</f>
        <v>Lucknow</v>
      </c>
      <c r="X2185" s="124" t="str">
        <f>IFERROR(__xludf.DUMMYFUNCTION("""COMPUTED_VALUE"""),"Others")</f>
        <v>Others</v>
      </c>
      <c r="Y2185" s="124" t="str">
        <f>IFERROR(__xludf.DUMMYFUNCTION("""COMPUTED_VALUE"""),"Lucknow")</f>
        <v>Lucknow</v>
      </c>
      <c r="Z2185" s="124">
        <f>IFERROR(__xludf.DUMMYFUNCTION("""COMPUTED_VALUE"""),1.0)</f>
        <v>1</v>
      </c>
      <c r="AA2185" s="124" t="str">
        <f>IFERROR(__xludf.DUMMYFUNCTION("""COMPUTED_VALUE"""),"Not Interested")</f>
        <v>Not Interested</v>
      </c>
      <c r="AB2185" s="124" t="str">
        <f>IFERROR(__xludf.DUMMYFUNCTION("""COMPUTED_VALUE"""),"GS Foundation")</f>
        <v>GS Foundation</v>
      </c>
    </row>
    <row r="2186">
      <c r="A2186" s="129">
        <f>IFERROR(__xludf.DUMMYFUNCTION("""COMPUTED_VALUE"""),46062.0)</f>
        <v>46062</v>
      </c>
      <c r="B2186" s="124" t="str">
        <f>IFERROR(__xludf.DUMMYFUNCTION("""COMPUTED_VALUE"""),"Walkin")</f>
        <v>Walkin</v>
      </c>
      <c r="C2186" s="124" t="str">
        <f>IFERROR(__xludf.DUMMYFUNCTION("""COMPUTED_VALUE"""),"Lucknow")</f>
        <v>Lucknow</v>
      </c>
      <c r="D2186" s="124" t="str">
        <f>IFERROR(__xludf.DUMMYFUNCTION("""COMPUTED_VALUE"""),"Primary_Walkin")</f>
        <v>Primary_Walkin</v>
      </c>
      <c r="E2186" s="124">
        <f>IFERROR(__xludf.DUMMYFUNCTION("""COMPUTED_VALUE"""),1.0)</f>
        <v>1</v>
      </c>
      <c r="F2186" s="124" t="str">
        <f>IFERROR(__xludf.DUMMYFUNCTION("""COMPUTED_VALUE"""),"Cold")</f>
        <v>Cold</v>
      </c>
      <c r="G2186" s="124" t="str">
        <f>IFERROR(__xludf.DUMMYFUNCTION("""COMPUTED_VALUE"""),"State PCS")</f>
        <v>State PCS</v>
      </c>
      <c r="K2186" s="124"/>
      <c r="L2186" s="124"/>
      <c r="M2186" s="124"/>
      <c r="N2186" s="124"/>
      <c r="O2186" s="124"/>
      <c r="T2186" s="126">
        <f>IFERROR(__xludf.DUMMYFUNCTION("""COMPUTED_VALUE"""),46065.0)</f>
        <v>46065</v>
      </c>
      <c r="U2186" s="124" t="str">
        <f>IFERROR(__xludf.DUMMYFUNCTION("""COMPUTED_VALUE"""),"Walk-Ins")</f>
        <v>Walk-Ins</v>
      </c>
      <c r="V2186" s="124" t="str">
        <f>IFERROR(__xludf.DUMMYFUNCTION("""COMPUTED_VALUE"""),"Walkin")</f>
        <v>Walkin</v>
      </c>
      <c r="W2186" s="124" t="str">
        <f>IFERROR(__xludf.DUMMYFUNCTION("""COMPUTED_VALUE"""),"Patna")</f>
        <v>Patna</v>
      </c>
      <c r="X2186" s="124" t="str">
        <f>IFERROR(__xludf.DUMMYFUNCTION("""COMPUTED_VALUE"""),"Walkin")</f>
        <v>Walkin</v>
      </c>
      <c r="Y2186" s="124" t="str">
        <f>IFERROR(__xludf.DUMMYFUNCTION("""COMPUTED_VALUE"""),"Patna")</f>
        <v>Patna</v>
      </c>
      <c r="Z2186" s="124">
        <f>IFERROR(__xludf.DUMMYFUNCTION("""COMPUTED_VALUE"""),1.0)</f>
        <v>1</v>
      </c>
      <c r="AA2186" s="124" t="str">
        <f>IFERROR(__xludf.DUMMYFUNCTION("""COMPUTED_VALUE"""),"Cold")</f>
        <v>Cold</v>
      </c>
      <c r="AB2186" s="124" t="str">
        <f>IFERROR(__xludf.DUMMYFUNCTION("""COMPUTED_VALUE"""),"Optionals")</f>
        <v>Optionals</v>
      </c>
    </row>
    <row r="2187">
      <c r="A2187" s="129">
        <f>IFERROR(__xludf.DUMMYFUNCTION("""COMPUTED_VALUE"""),46090.0)</f>
        <v>46090</v>
      </c>
      <c r="B2187" s="124" t="str">
        <f>IFERROR(__xludf.DUMMYFUNCTION("""COMPUTED_VALUE"""),"Events")</f>
        <v>Events</v>
      </c>
      <c r="C2187" s="124" t="str">
        <f>IFERROR(__xludf.DUMMYFUNCTION("""COMPUTED_VALUE"""),"Indore")</f>
        <v>Indore</v>
      </c>
      <c r="D2187" s="124" t="str">
        <f>IFERROR(__xludf.DUMMYFUNCTION("""COMPUTED_VALUE"""),"Secondary_Walkin")</f>
        <v>Secondary_Walkin</v>
      </c>
      <c r="E2187" s="124">
        <f>IFERROR(__xludf.DUMMYFUNCTION("""COMPUTED_VALUE"""),1.0)</f>
        <v>1</v>
      </c>
      <c r="F2187" s="124" t="str">
        <f>IFERROR(__xludf.DUMMYFUNCTION("""COMPUTED_VALUE"""),"Not Interested")</f>
        <v>Not Interested</v>
      </c>
      <c r="G2187" s="124" t="str">
        <f>IFERROR(__xludf.DUMMYFUNCTION("""COMPUTED_VALUE"""),"Mentorship")</f>
        <v>Mentorship</v>
      </c>
      <c r="K2187" s="124"/>
      <c r="L2187" s="124"/>
      <c r="M2187" s="124"/>
      <c r="N2187" s="124"/>
      <c r="O2187" s="124"/>
      <c r="T2187" s="126">
        <f>IFERROR(__xludf.DUMMYFUNCTION("""COMPUTED_VALUE"""),46077.0)</f>
        <v>46077</v>
      </c>
      <c r="U2187" s="124" t="str">
        <f>IFERROR(__xludf.DUMMYFUNCTION("""COMPUTED_VALUE"""),"Walk-Ins")</f>
        <v>Walk-Ins</v>
      </c>
      <c r="V2187" s="124" t="str">
        <f>IFERROR(__xludf.DUMMYFUNCTION("""COMPUTED_VALUE"""),"Walkin")</f>
        <v>Walkin</v>
      </c>
      <c r="W2187" s="124" t="str">
        <f>IFERROR(__xludf.DUMMYFUNCTION("""COMPUTED_VALUE"""),"Indore")</f>
        <v>Indore</v>
      </c>
      <c r="X2187" s="124" t="str">
        <f>IFERROR(__xludf.DUMMYFUNCTION("""COMPUTED_VALUE"""),"Walkin")</f>
        <v>Walkin</v>
      </c>
      <c r="Y2187" s="124" t="str">
        <f>IFERROR(__xludf.DUMMYFUNCTION("""COMPUTED_VALUE"""),"Indore")</f>
        <v>Indore</v>
      </c>
      <c r="Z2187" s="124">
        <f>IFERROR(__xludf.DUMMYFUNCTION("""COMPUTED_VALUE"""),1.0)</f>
        <v>1</v>
      </c>
      <c r="AA2187" s="124" t="str">
        <f>IFERROR(__xludf.DUMMYFUNCTION("""COMPUTED_VALUE"""),"Future Prospects")</f>
        <v>Future Prospects</v>
      </c>
      <c r="AB2187" s="124" t="str">
        <f>IFERROR(__xludf.DUMMYFUNCTION("""COMPUTED_VALUE"""),"State PCS")</f>
        <v>State PCS</v>
      </c>
    </row>
    <row r="2188">
      <c r="A2188" s="126">
        <f>IFERROR(__xludf.DUMMYFUNCTION("""COMPUTED_VALUE"""),46112.0)</f>
        <v>46112</v>
      </c>
      <c r="B2188" s="124" t="str">
        <f>IFERROR(__xludf.DUMMYFUNCTION("""COMPUTED_VALUE"""),"Walkin")</f>
        <v>Walkin</v>
      </c>
      <c r="C2188" s="124" t="str">
        <f>IFERROR(__xludf.DUMMYFUNCTION("""COMPUTED_VALUE"""),"Lucknow")</f>
        <v>Lucknow</v>
      </c>
      <c r="D2188" s="124" t="str">
        <f>IFERROR(__xludf.DUMMYFUNCTION("""COMPUTED_VALUE"""),"Primary_Walkin")</f>
        <v>Primary_Walkin</v>
      </c>
      <c r="E2188" s="124">
        <f>IFERROR(__xludf.DUMMYFUNCTION("""COMPUTED_VALUE"""),1.0)</f>
        <v>1</v>
      </c>
      <c r="F2188" s="124" t="str">
        <f>IFERROR(__xludf.DUMMYFUNCTION("""COMPUTED_VALUE"""),"Enrolled")</f>
        <v>Enrolled</v>
      </c>
      <c r="G2188" s="124" t="str">
        <f>IFERROR(__xludf.DUMMYFUNCTION("""COMPUTED_VALUE"""),"GS Foundation")</f>
        <v>GS Foundation</v>
      </c>
      <c r="K2188" s="124"/>
      <c r="L2188" s="124"/>
      <c r="M2188" s="124"/>
      <c r="N2188" s="124"/>
      <c r="O2188" s="124"/>
      <c r="T2188" s="129">
        <f>IFERROR(__xludf.DUMMYFUNCTION("""COMPUTED_VALUE"""),46090.0)</f>
        <v>46090</v>
      </c>
      <c r="U2188" s="124" t="str">
        <f>IFERROR(__xludf.DUMMYFUNCTION("""COMPUTED_VALUE"""),"Walk-Ins")</f>
        <v>Walk-Ins</v>
      </c>
      <c r="V2188" s="124" t="str">
        <f>IFERROR(__xludf.DUMMYFUNCTION("""COMPUTED_VALUE"""),"Walkin")</f>
        <v>Walkin</v>
      </c>
      <c r="W2188" s="124" t="str">
        <f>IFERROR(__xludf.DUMMYFUNCTION("""COMPUTED_VALUE"""),"Indore")</f>
        <v>Indore</v>
      </c>
      <c r="X2188" s="124" t="str">
        <f>IFERROR(__xludf.DUMMYFUNCTION("""COMPUTED_VALUE"""),"Walkin")</f>
        <v>Walkin</v>
      </c>
      <c r="Y2188" s="124" t="str">
        <f>IFERROR(__xludf.DUMMYFUNCTION("""COMPUTED_VALUE"""),"Indore")</f>
        <v>Indore</v>
      </c>
      <c r="Z2188" s="124">
        <f>IFERROR(__xludf.DUMMYFUNCTION("""COMPUTED_VALUE"""),2.0)</f>
        <v>2</v>
      </c>
      <c r="AA2188" s="124" t="str">
        <f>IFERROR(__xludf.DUMMYFUNCTION("""COMPUTED_VALUE"""),"Cold")</f>
        <v>Cold</v>
      </c>
      <c r="AB2188" s="124" t="str">
        <f>IFERROR(__xludf.DUMMYFUNCTION("""COMPUTED_VALUE"""),"State PCS")</f>
        <v>State PCS</v>
      </c>
    </row>
    <row r="2189">
      <c r="A2189" s="126">
        <f>IFERROR(__xludf.DUMMYFUNCTION("""COMPUTED_VALUE"""),46101.0)</f>
        <v>46101</v>
      </c>
      <c r="B2189" s="124" t="str">
        <f>IFERROR(__xludf.DUMMYFUNCTION("""COMPUTED_VALUE"""),"Walkin")</f>
        <v>Walkin</v>
      </c>
      <c r="C2189" s="124" t="str">
        <f>IFERROR(__xludf.DUMMYFUNCTION("""COMPUTED_VALUE"""),"Indore")</f>
        <v>Indore</v>
      </c>
      <c r="D2189" s="124" t="str">
        <f>IFERROR(__xludf.DUMMYFUNCTION("""COMPUTED_VALUE"""),"Primary_Walkin")</f>
        <v>Primary_Walkin</v>
      </c>
      <c r="E2189" s="124">
        <f>IFERROR(__xludf.DUMMYFUNCTION("""COMPUTED_VALUE"""),1.0)</f>
        <v>1</v>
      </c>
      <c r="F2189" s="124" t="str">
        <f>IFERROR(__xludf.DUMMYFUNCTION("""COMPUTED_VALUE"""),"Future Prospects")</f>
        <v>Future Prospects</v>
      </c>
      <c r="G2189" s="124" t="str">
        <f>IFERROR(__xludf.DUMMYFUNCTION("""COMPUTED_VALUE"""),"GS Foundation")</f>
        <v>GS Foundation</v>
      </c>
      <c r="K2189" s="124"/>
      <c r="L2189" s="124"/>
      <c r="M2189" s="124"/>
      <c r="N2189" s="124"/>
      <c r="O2189" s="124"/>
      <c r="T2189" s="126">
        <f>IFERROR(__xludf.DUMMYFUNCTION("""COMPUTED_VALUE"""),46059.0)</f>
        <v>46059</v>
      </c>
      <c r="U2189" s="124" t="str">
        <f>IFERROR(__xludf.DUMMYFUNCTION("""COMPUTED_VALUE"""),"Walk-Ins")</f>
        <v>Walk-Ins</v>
      </c>
      <c r="V2189" s="124" t="str">
        <f>IFERROR(__xludf.DUMMYFUNCTION("""COMPUTED_VALUE"""),"Walkin")</f>
        <v>Walkin</v>
      </c>
      <c r="W2189" s="124" t="str">
        <f>IFERROR(__xludf.DUMMYFUNCTION("""COMPUTED_VALUE"""),"Indore")</f>
        <v>Indore</v>
      </c>
      <c r="X2189" s="124" t="str">
        <f>IFERROR(__xludf.DUMMYFUNCTION("""COMPUTED_VALUE"""),"Walkin")</f>
        <v>Walkin</v>
      </c>
      <c r="Y2189" s="124" t="str">
        <f>IFERROR(__xludf.DUMMYFUNCTION("""COMPUTED_VALUE"""),"Indore")</f>
        <v>Indore</v>
      </c>
      <c r="Z2189" s="124">
        <f>IFERROR(__xludf.DUMMYFUNCTION("""COMPUTED_VALUE"""),1.0)</f>
        <v>1</v>
      </c>
      <c r="AA2189" s="124" t="str">
        <f>IFERROR(__xludf.DUMMYFUNCTION("""COMPUTED_VALUE"""),"Cold")</f>
        <v>Cold</v>
      </c>
      <c r="AB2189" s="124" t="str">
        <f>IFERROR(__xludf.DUMMYFUNCTION("""COMPUTED_VALUE"""),"Test Series")</f>
        <v>Test Series</v>
      </c>
    </row>
    <row r="2190">
      <c r="A2190" s="126">
        <f>IFERROR(__xludf.DUMMYFUNCTION("""COMPUTED_VALUE"""),46094.0)</f>
        <v>46094</v>
      </c>
      <c r="B2190" s="124" t="str">
        <f>IFERROR(__xludf.DUMMYFUNCTION("""COMPUTED_VALUE"""),"Walkin")</f>
        <v>Walkin</v>
      </c>
      <c r="C2190" s="124" t="str">
        <f>IFERROR(__xludf.DUMMYFUNCTION("""COMPUTED_VALUE"""),"Indore")</f>
        <v>Indore</v>
      </c>
      <c r="D2190" s="124" t="str">
        <f>IFERROR(__xludf.DUMMYFUNCTION("""COMPUTED_VALUE"""),"Primary_Walkin")</f>
        <v>Primary_Walkin</v>
      </c>
      <c r="E2190" s="124">
        <f>IFERROR(__xludf.DUMMYFUNCTION("""COMPUTED_VALUE"""),1.0)</f>
        <v>1</v>
      </c>
      <c r="F2190" s="124" t="str">
        <f>IFERROR(__xludf.DUMMYFUNCTION("""COMPUTED_VALUE"""),"Enrolled")</f>
        <v>Enrolled</v>
      </c>
      <c r="G2190" s="124" t="str">
        <f>IFERROR(__xludf.DUMMYFUNCTION("""COMPUTED_VALUE"""),"GS Foundation")</f>
        <v>GS Foundation</v>
      </c>
      <c r="K2190" s="124"/>
      <c r="L2190" s="124"/>
      <c r="M2190" s="124"/>
      <c r="N2190" s="124"/>
      <c r="O2190" s="124"/>
      <c r="T2190" s="126">
        <f>IFERROR(__xludf.DUMMYFUNCTION("""COMPUTED_VALUE"""),46093.0)</f>
        <v>46093</v>
      </c>
      <c r="U2190" s="124" t="str">
        <f>IFERROR(__xludf.DUMMYFUNCTION("""COMPUTED_VALUE"""),"Walk-Ins")</f>
        <v>Walk-Ins</v>
      </c>
      <c r="V2190" s="124" t="str">
        <f>IFERROR(__xludf.DUMMYFUNCTION("""COMPUTED_VALUE"""),"Walkin")</f>
        <v>Walkin</v>
      </c>
      <c r="W2190" s="124" t="str">
        <f>IFERROR(__xludf.DUMMYFUNCTION("""COMPUTED_VALUE"""),"Patna")</f>
        <v>Patna</v>
      </c>
      <c r="X2190" s="124" t="str">
        <f>IFERROR(__xludf.DUMMYFUNCTION("""COMPUTED_VALUE"""),"Walkin")</f>
        <v>Walkin</v>
      </c>
      <c r="Y2190" s="124" t="str">
        <f>IFERROR(__xludf.DUMMYFUNCTION("""COMPUTED_VALUE"""),"Patna")</f>
        <v>Patna</v>
      </c>
      <c r="Z2190" s="124">
        <f>IFERROR(__xludf.DUMMYFUNCTION("""COMPUTED_VALUE"""),2.0)</f>
        <v>2</v>
      </c>
      <c r="AA2190" s="124" t="str">
        <f>IFERROR(__xludf.DUMMYFUNCTION("""COMPUTED_VALUE"""),"Future Prospects")</f>
        <v>Future Prospects</v>
      </c>
      <c r="AB2190" s="124" t="str">
        <f>IFERROR(__xludf.DUMMYFUNCTION("""COMPUTED_VALUE"""),"GS Foundation")</f>
        <v>GS Foundation</v>
      </c>
    </row>
    <row r="2191">
      <c r="A2191" s="126">
        <f>IFERROR(__xludf.DUMMYFUNCTION("""COMPUTED_VALUE"""),46092.0)</f>
        <v>46092</v>
      </c>
      <c r="B2191" s="124" t="str">
        <f>IFERROR(__xludf.DUMMYFUNCTION("""COMPUTED_VALUE"""),"Walkin")</f>
        <v>Walkin</v>
      </c>
      <c r="C2191" s="124" t="str">
        <f>IFERROR(__xludf.DUMMYFUNCTION("""COMPUTED_VALUE"""),"Lucknow")</f>
        <v>Lucknow</v>
      </c>
      <c r="D2191" s="124" t="str">
        <f>IFERROR(__xludf.DUMMYFUNCTION("""COMPUTED_VALUE"""),"Primary_Walkin")</f>
        <v>Primary_Walkin</v>
      </c>
      <c r="E2191" s="124">
        <f>IFERROR(__xludf.DUMMYFUNCTION("""COMPUTED_VALUE"""),2.0)</f>
        <v>2</v>
      </c>
      <c r="F2191" s="124" t="str">
        <f>IFERROR(__xludf.DUMMYFUNCTION("""COMPUTED_VALUE"""),"Cold")</f>
        <v>Cold</v>
      </c>
      <c r="G2191" s="124" t="str">
        <f>IFERROR(__xludf.DUMMYFUNCTION("""COMPUTED_VALUE"""),"GS Foundation")</f>
        <v>GS Foundation</v>
      </c>
      <c r="K2191" s="124"/>
      <c r="L2191" s="124"/>
      <c r="M2191" s="124"/>
      <c r="N2191" s="124"/>
      <c r="O2191" s="124"/>
      <c r="T2191" s="126">
        <f>IFERROR(__xludf.DUMMYFUNCTION("""COMPUTED_VALUE"""),46074.0)</f>
        <v>46074</v>
      </c>
      <c r="U2191" s="124" t="str">
        <f>IFERROR(__xludf.DUMMYFUNCTION("""COMPUTED_VALUE"""),"Walk-Ins")</f>
        <v>Walk-Ins</v>
      </c>
      <c r="V2191" s="124" t="str">
        <f>IFERROR(__xludf.DUMMYFUNCTION("""COMPUTED_VALUE"""),"Walkin")</f>
        <v>Walkin</v>
      </c>
      <c r="W2191" s="124" t="str">
        <f>IFERROR(__xludf.DUMMYFUNCTION("""COMPUTED_VALUE"""),"Lucknow")</f>
        <v>Lucknow</v>
      </c>
      <c r="X2191" s="124" t="str">
        <f>IFERROR(__xludf.DUMMYFUNCTION("""COMPUTED_VALUE"""),"Walkin")</f>
        <v>Walkin</v>
      </c>
      <c r="Y2191" s="124" t="str">
        <f>IFERROR(__xludf.DUMMYFUNCTION("""COMPUTED_VALUE"""),"Lucknow")</f>
        <v>Lucknow</v>
      </c>
      <c r="Z2191" s="124">
        <f>IFERROR(__xludf.DUMMYFUNCTION("""COMPUTED_VALUE"""),1.0)</f>
        <v>1</v>
      </c>
      <c r="AA2191" s="124" t="str">
        <f>IFERROR(__xludf.DUMMYFUNCTION("""COMPUTED_VALUE"""),"Cold")</f>
        <v>Cold</v>
      </c>
      <c r="AB2191" s="124" t="str">
        <f>IFERROR(__xludf.DUMMYFUNCTION("""COMPUTED_VALUE"""),"GS Foundation")</f>
        <v>GS Foundation</v>
      </c>
    </row>
    <row r="2192">
      <c r="A2192" s="126">
        <f>IFERROR(__xludf.DUMMYFUNCTION("""COMPUTED_VALUE"""),46100.0)</f>
        <v>46100</v>
      </c>
      <c r="B2192" s="124" t="str">
        <f>IFERROR(__xludf.DUMMYFUNCTION("""COMPUTED_VALUE"""),"events")</f>
        <v>events</v>
      </c>
      <c r="C2192" s="124" t="str">
        <f>IFERROR(__xludf.DUMMYFUNCTION("""COMPUTED_VALUE"""),"Lucknow")</f>
        <v>Lucknow</v>
      </c>
      <c r="D2192" s="124" t="str">
        <f>IFERROR(__xludf.DUMMYFUNCTION("""COMPUTED_VALUE"""),"Secondary_Walkin")</f>
        <v>Secondary_Walkin</v>
      </c>
      <c r="E2192" s="124">
        <f>IFERROR(__xludf.DUMMYFUNCTION("""COMPUTED_VALUE"""),1.0)</f>
        <v>1</v>
      </c>
      <c r="F2192" s="124" t="str">
        <f>IFERROR(__xludf.DUMMYFUNCTION("""COMPUTED_VALUE"""),"Future Prospects")</f>
        <v>Future Prospects</v>
      </c>
      <c r="G2192" s="124" t="str">
        <f>IFERROR(__xludf.DUMMYFUNCTION("""COMPUTED_VALUE"""),"State PCS")</f>
        <v>State PCS</v>
      </c>
      <c r="K2192" s="124"/>
      <c r="L2192" s="124"/>
      <c r="M2192" s="124"/>
      <c r="N2192" s="124"/>
      <c r="O2192" s="124"/>
      <c r="T2192" s="126">
        <f>IFERROR(__xludf.DUMMYFUNCTION("""COMPUTED_VALUE"""),46075.0)</f>
        <v>46075</v>
      </c>
      <c r="U2192" s="124" t="str">
        <f>IFERROR(__xludf.DUMMYFUNCTION("""COMPUTED_VALUE"""),"Walk-Ins")</f>
        <v>Walk-Ins</v>
      </c>
      <c r="V2192" s="124" t="str">
        <f>IFERROR(__xludf.DUMMYFUNCTION("""COMPUTED_VALUE"""),"Walkin")</f>
        <v>Walkin</v>
      </c>
      <c r="W2192" s="124" t="str">
        <f>IFERROR(__xludf.DUMMYFUNCTION("""COMPUTED_VALUE"""),"Indore")</f>
        <v>Indore</v>
      </c>
      <c r="X2192" s="124" t="str">
        <f>IFERROR(__xludf.DUMMYFUNCTION("""COMPUTED_VALUE"""),"Walkin")</f>
        <v>Walkin</v>
      </c>
      <c r="Y2192" s="124" t="str">
        <f>IFERROR(__xludf.DUMMYFUNCTION("""COMPUTED_VALUE"""),"Indore")</f>
        <v>Indore</v>
      </c>
      <c r="Z2192" s="124">
        <f>IFERROR(__xludf.DUMMYFUNCTION("""COMPUTED_VALUE"""),1.0)</f>
        <v>1</v>
      </c>
      <c r="AA2192" s="124" t="str">
        <f>IFERROR(__xludf.DUMMYFUNCTION("""COMPUTED_VALUE"""),"Not Interested")</f>
        <v>Not Interested</v>
      </c>
      <c r="AB2192" s="124" t="str">
        <f>IFERROR(__xludf.DUMMYFUNCTION("""COMPUTED_VALUE"""),"State PCS")</f>
        <v>State PCS</v>
      </c>
    </row>
    <row r="2193">
      <c r="A2193" s="129">
        <f>IFERROR(__xludf.DUMMYFUNCTION("""COMPUTED_VALUE"""),46058.0)</f>
        <v>46058</v>
      </c>
      <c r="B2193" s="124" t="str">
        <f>IFERROR(__xludf.DUMMYFUNCTION("""COMPUTED_VALUE"""),"Walkin")</f>
        <v>Walkin</v>
      </c>
      <c r="C2193" s="124" t="str">
        <f>IFERROR(__xludf.DUMMYFUNCTION("""COMPUTED_VALUE"""),"Indore")</f>
        <v>Indore</v>
      </c>
      <c r="D2193" s="124" t="str">
        <f>IFERROR(__xludf.DUMMYFUNCTION("""COMPUTED_VALUE"""),"Primary_Walkin")</f>
        <v>Primary_Walkin</v>
      </c>
      <c r="E2193" s="124">
        <f>IFERROR(__xludf.DUMMYFUNCTION("""COMPUTED_VALUE"""),1.0)</f>
        <v>1</v>
      </c>
      <c r="F2193" s="124" t="str">
        <f>IFERROR(__xludf.DUMMYFUNCTION("""COMPUTED_VALUE"""),"Cold")</f>
        <v>Cold</v>
      </c>
      <c r="G2193" s="124" t="str">
        <f>IFERROR(__xludf.DUMMYFUNCTION("""COMPUTED_VALUE"""),"Test Series")</f>
        <v>Test Series</v>
      </c>
      <c r="K2193" s="124"/>
      <c r="L2193" s="124"/>
      <c r="M2193" s="124"/>
      <c r="N2193" s="124"/>
      <c r="O2193" s="124"/>
      <c r="T2193" s="126">
        <f>IFERROR(__xludf.DUMMYFUNCTION("""COMPUTED_VALUE"""),46096.0)</f>
        <v>46096</v>
      </c>
      <c r="U2193" s="124" t="str">
        <f>IFERROR(__xludf.DUMMYFUNCTION("""COMPUTED_VALUE"""),"Walk-Ins")</f>
        <v>Walk-Ins</v>
      </c>
      <c r="V2193" s="124" t="str">
        <f>IFERROR(__xludf.DUMMYFUNCTION("""COMPUTED_VALUE"""),"Walkin")</f>
        <v>Walkin</v>
      </c>
      <c r="W2193" s="124" t="str">
        <f>IFERROR(__xludf.DUMMYFUNCTION("""COMPUTED_VALUE"""),"Prayagraj")</f>
        <v>Prayagraj</v>
      </c>
      <c r="X2193" s="124" t="str">
        <f>IFERROR(__xludf.DUMMYFUNCTION("""COMPUTED_VALUE"""),"Walkin")</f>
        <v>Walkin</v>
      </c>
      <c r="Y2193" s="124" t="str">
        <f>IFERROR(__xludf.DUMMYFUNCTION("""COMPUTED_VALUE"""),"Prayagraj")</f>
        <v>Prayagraj</v>
      </c>
      <c r="Z2193" s="124">
        <f>IFERROR(__xludf.DUMMYFUNCTION("""COMPUTED_VALUE"""),1.0)</f>
        <v>1</v>
      </c>
      <c r="AA2193" s="124" t="str">
        <f>IFERROR(__xludf.DUMMYFUNCTION("""COMPUTED_VALUE"""),"Interested")</f>
        <v>Interested</v>
      </c>
      <c r="AB2193" s="124" t="str">
        <f>IFERROR(__xludf.DUMMYFUNCTION("""COMPUTED_VALUE"""),"State PCS")</f>
        <v>State PCS</v>
      </c>
    </row>
    <row r="2194">
      <c r="A2194" s="129">
        <f>IFERROR(__xludf.DUMMYFUNCTION("""COMPUTED_VALUE"""),46055.0)</f>
        <v>46055</v>
      </c>
      <c r="B2194" s="124" t="str">
        <f>IFERROR(__xludf.DUMMYFUNCTION("""COMPUTED_VALUE"""),"Walkin")</f>
        <v>Walkin</v>
      </c>
      <c r="C2194" s="124" t="str">
        <f>IFERROR(__xludf.DUMMYFUNCTION("""COMPUTED_VALUE"""),"Lucknow")</f>
        <v>Lucknow</v>
      </c>
      <c r="D2194" s="124" t="str">
        <f>IFERROR(__xludf.DUMMYFUNCTION("""COMPUTED_VALUE"""),"Primary_Walkin")</f>
        <v>Primary_Walkin</v>
      </c>
      <c r="E2194" s="124">
        <f>IFERROR(__xludf.DUMMYFUNCTION("""COMPUTED_VALUE"""),1.0)</f>
        <v>1</v>
      </c>
      <c r="F2194" s="124" t="str">
        <f>IFERROR(__xludf.DUMMYFUNCTION("""COMPUTED_VALUE"""),"Enrolled")</f>
        <v>Enrolled</v>
      </c>
      <c r="G2194" s="124" t="str">
        <f>IFERROR(__xludf.DUMMYFUNCTION("""COMPUTED_VALUE"""),"GS Foundation")</f>
        <v>GS Foundation</v>
      </c>
      <c r="K2194" s="124"/>
      <c r="L2194" s="124"/>
      <c r="M2194" s="124"/>
      <c r="N2194" s="124"/>
      <c r="O2194" s="124"/>
      <c r="T2194" s="129">
        <f>IFERROR(__xludf.DUMMYFUNCTION("""COMPUTED_VALUE"""),46076.0)</f>
        <v>46076</v>
      </c>
      <c r="U2194" s="124" t="str">
        <f>IFERROR(__xludf.DUMMYFUNCTION("""COMPUTED_VALUE"""),"Walk-Ins")</f>
        <v>Walk-Ins</v>
      </c>
      <c r="V2194" s="124" t="str">
        <f>IFERROR(__xludf.DUMMYFUNCTION("""COMPUTED_VALUE"""),"Walkin")</f>
        <v>Walkin</v>
      </c>
      <c r="W2194" s="124" t="str">
        <f>IFERROR(__xludf.DUMMYFUNCTION("""COMPUTED_VALUE"""),"Patna")</f>
        <v>Patna</v>
      </c>
      <c r="X2194" s="124" t="str">
        <f>IFERROR(__xludf.DUMMYFUNCTION("""COMPUTED_VALUE"""),"Walkin")</f>
        <v>Walkin</v>
      </c>
      <c r="Y2194" s="124" t="str">
        <f>IFERROR(__xludf.DUMMYFUNCTION("""COMPUTED_VALUE"""),"Patna")</f>
        <v>Patna</v>
      </c>
      <c r="Z2194" s="124">
        <f>IFERROR(__xludf.DUMMYFUNCTION("""COMPUTED_VALUE"""),3.0)</f>
        <v>3</v>
      </c>
      <c r="AA2194" s="124" t="str">
        <f>IFERROR(__xludf.DUMMYFUNCTION("""COMPUTED_VALUE"""),"Fake Lead")</f>
        <v>Fake Lead</v>
      </c>
      <c r="AB2194" s="124" t="str">
        <f>IFERROR(__xludf.DUMMYFUNCTION("""COMPUTED_VALUE"""),"State PCS")</f>
        <v>State PCS</v>
      </c>
    </row>
    <row r="2195">
      <c r="A2195" s="129">
        <f>IFERROR(__xludf.DUMMYFUNCTION("""COMPUTED_VALUE"""),46059.0)</f>
        <v>46059</v>
      </c>
      <c r="B2195" s="124" t="str">
        <f>IFERROR(__xludf.DUMMYFUNCTION("""COMPUTED_VALUE"""),"Inbound Call")</f>
        <v>Inbound Call</v>
      </c>
      <c r="C2195" s="124" t="str">
        <f>IFERROR(__xludf.DUMMYFUNCTION("""COMPUTED_VALUE"""),"Indore")</f>
        <v>Indore</v>
      </c>
      <c r="D2195" s="124" t="str">
        <f>IFERROR(__xludf.DUMMYFUNCTION("""COMPUTED_VALUE"""),"Secondary_Walkin")</f>
        <v>Secondary_Walkin</v>
      </c>
      <c r="E2195" s="124">
        <f>IFERROR(__xludf.DUMMYFUNCTION("""COMPUTED_VALUE"""),1.0)</f>
        <v>1</v>
      </c>
      <c r="F2195" s="124" t="str">
        <f>IFERROR(__xludf.DUMMYFUNCTION("""COMPUTED_VALUE"""),"Cold")</f>
        <v>Cold</v>
      </c>
      <c r="G2195" s="124" t="str">
        <f>IFERROR(__xludf.DUMMYFUNCTION("""COMPUTED_VALUE"""),"GS Foundation")</f>
        <v>GS Foundation</v>
      </c>
      <c r="K2195" s="124"/>
      <c r="L2195" s="124"/>
      <c r="M2195" s="124"/>
      <c r="N2195" s="124"/>
      <c r="O2195" s="124"/>
      <c r="T2195" s="129">
        <f>IFERROR(__xludf.DUMMYFUNCTION("""COMPUTED_VALUE"""),46063.0)</f>
        <v>46063</v>
      </c>
      <c r="U2195" s="124" t="str">
        <f>IFERROR(__xludf.DUMMYFUNCTION("""COMPUTED_VALUE"""),"Walk-Ins")</f>
        <v>Walk-Ins</v>
      </c>
      <c r="V2195" s="124" t="str">
        <f>IFERROR(__xludf.DUMMYFUNCTION("""COMPUTED_VALUE"""),"Walkin")</f>
        <v>Walkin</v>
      </c>
      <c r="W2195" s="124" t="str">
        <f>IFERROR(__xludf.DUMMYFUNCTION("""COMPUTED_VALUE"""),"Indore")</f>
        <v>Indore</v>
      </c>
      <c r="X2195" s="124" t="str">
        <f>IFERROR(__xludf.DUMMYFUNCTION("""COMPUTED_VALUE"""),"Walkin")</f>
        <v>Walkin</v>
      </c>
      <c r="Y2195" s="124" t="str">
        <f>IFERROR(__xludf.DUMMYFUNCTION("""COMPUTED_VALUE"""),"Indore")</f>
        <v>Indore</v>
      </c>
      <c r="Z2195" s="124">
        <f>IFERROR(__xludf.DUMMYFUNCTION("""COMPUTED_VALUE"""),1.0)</f>
        <v>1</v>
      </c>
      <c r="AA2195" s="124" t="str">
        <f>IFERROR(__xludf.DUMMYFUNCTION("""COMPUTED_VALUE"""),"Cold")</f>
        <v>Cold</v>
      </c>
      <c r="AB2195" s="124" t="str">
        <f>IFERROR(__xludf.DUMMYFUNCTION("""COMPUTED_VALUE"""),"GS Foundation")</f>
        <v>GS Foundation</v>
      </c>
    </row>
    <row r="2196">
      <c r="A2196" s="129">
        <f>IFERROR(__xludf.DUMMYFUNCTION("""COMPUTED_VALUE"""),46090.0)</f>
        <v>46090</v>
      </c>
      <c r="B2196" s="124" t="str">
        <f>IFERROR(__xludf.DUMMYFUNCTION("""COMPUTED_VALUE"""),"Walkin")</f>
        <v>Walkin</v>
      </c>
      <c r="C2196" s="124" t="str">
        <f>IFERROR(__xludf.DUMMYFUNCTION("""COMPUTED_VALUE"""),"Lucknow")</f>
        <v>Lucknow</v>
      </c>
      <c r="D2196" s="124" t="str">
        <f>IFERROR(__xludf.DUMMYFUNCTION("""COMPUTED_VALUE"""),"Primary_Walkin")</f>
        <v>Primary_Walkin</v>
      </c>
      <c r="E2196" s="124">
        <f>IFERROR(__xludf.DUMMYFUNCTION("""COMPUTED_VALUE"""),1.0)</f>
        <v>1</v>
      </c>
      <c r="F2196" s="124" t="str">
        <f>IFERROR(__xludf.DUMMYFUNCTION("""COMPUTED_VALUE"""),"Cold")</f>
        <v>Cold</v>
      </c>
      <c r="G2196" s="124" t="str">
        <f>IFERROR(__xludf.DUMMYFUNCTION("""COMPUTED_VALUE"""),"GS Foundation")</f>
        <v>GS Foundation</v>
      </c>
      <c r="K2196" s="124"/>
      <c r="L2196" s="124"/>
      <c r="M2196" s="124"/>
      <c r="N2196" s="124"/>
      <c r="O2196" s="124"/>
      <c r="T2196" s="126">
        <f>IFERROR(__xludf.DUMMYFUNCTION("""COMPUTED_VALUE"""),46076.0)</f>
        <v>46076</v>
      </c>
      <c r="U2196" s="124" t="str">
        <f>IFERROR(__xludf.DUMMYFUNCTION("""COMPUTED_VALUE"""),"Walk-Ins")</f>
        <v>Walk-Ins</v>
      </c>
      <c r="V2196" s="124" t="str">
        <f>IFERROR(__xludf.DUMMYFUNCTION("""COMPUTED_VALUE"""),"Walkin")</f>
        <v>Walkin</v>
      </c>
      <c r="W2196" s="124" t="str">
        <f>IFERROR(__xludf.DUMMYFUNCTION("""COMPUTED_VALUE"""),"Lucknow")</f>
        <v>Lucknow</v>
      </c>
      <c r="X2196" s="124" t="str">
        <f>IFERROR(__xludf.DUMMYFUNCTION("""COMPUTED_VALUE"""),"Walkin")</f>
        <v>Walkin</v>
      </c>
      <c r="Y2196" s="124" t="str">
        <f>IFERROR(__xludf.DUMMYFUNCTION("""COMPUTED_VALUE"""),"Lucknow")</f>
        <v>Lucknow</v>
      </c>
      <c r="Z2196" s="124">
        <f>IFERROR(__xludf.DUMMYFUNCTION("""COMPUTED_VALUE"""),1.0)</f>
        <v>1</v>
      </c>
      <c r="AA2196" s="124" t="str">
        <f>IFERROR(__xludf.DUMMYFUNCTION("""COMPUTED_VALUE"""),"Cold")</f>
        <v>Cold</v>
      </c>
      <c r="AB2196" s="124" t="str">
        <f>IFERROR(__xludf.DUMMYFUNCTION("""COMPUTED_VALUE"""),"State PCS")</f>
        <v>State PCS</v>
      </c>
    </row>
    <row r="2197">
      <c r="A2197" s="126">
        <f>IFERROR(__xludf.DUMMYFUNCTION("""COMPUTED_VALUE"""),46094.0)</f>
        <v>46094</v>
      </c>
      <c r="B2197" s="124" t="str">
        <f>IFERROR(__xludf.DUMMYFUNCTION("""COMPUTED_VALUE"""),"Inbound Call")</f>
        <v>Inbound Call</v>
      </c>
      <c r="C2197" s="124" t="str">
        <f>IFERROR(__xludf.DUMMYFUNCTION("""COMPUTED_VALUE"""),"Indore")</f>
        <v>Indore</v>
      </c>
      <c r="D2197" s="124" t="str">
        <f>IFERROR(__xludf.DUMMYFUNCTION("""COMPUTED_VALUE"""),"Secondary_Walkin")</f>
        <v>Secondary_Walkin</v>
      </c>
      <c r="E2197" s="124">
        <f>IFERROR(__xludf.DUMMYFUNCTION("""COMPUTED_VALUE"""),1.0)</f>
        <v>1</v>
      </c>
      <c r="F2197" s="124" t="str">
        <f>IFERROR(__xludf.DUMMYFUNCTION("""COMPUTED_VALUE"""),"Enrolled")</f>
        <v>Enrolled</v>
      </c>
      <c r="G2197" s="124" t="str">
        <f>IFERROR(__xludf.DUMMYFUNCTION("""COMPUTED_VALUE"""),"Other")</f>
        <v>Other</v>
      </c>
      <c r="K2197" s="124"/>
      <c r="L2197" s="124"/>
      <c r="M2197" s="124"/>
      <c r="N2197" s="124"/>
      <c r="O2197" s="124"/>
      <c r="T2197" s="126">
        <f>IFERROR(__xludf.DUMMYFUNCTION("""COMPUTED_VALUE"""),46098.0)</f>
        <v>46098</v>
      </c>
      <c r="U2197" s="124" t="str">
        <f>IFERROR(__xludf.DUMMYFUNCTION("""COMPUTED_VALUE"""),"Walk-Ins")</f>
        <v>Walk-Ins</v>
      </c>
      <c r="V2197" s="124" t="str">
        <f>IFERROR(__xludf.DUMMYFUNCTION("""COMPUTED_VALUE"""),"Walkin")</f>
        <v>Walkin</v>
      </c>
      <c r="W2197" s="124" t="str">
        <f>IFERROR(__xludf.DUMMYFUNCTION("""COMPUTED_VALUE"""),"Lucknow")</f>
        <v>Lucknow</v>
      </c>
      <c r="X2197" s="124" t="str">
        <f>IFERROR(__xludf.DUMMYFUNCTION("""COMPUTED_VALUE"""),"Walkin")</f>
        <v>Walkin</v>
      </c>
      <c r="Y2197" s="124" t="str">
        <f>IFERROR(__xludf.DUMMYFUNCTION("""COMPUTED_VALUE"""),"Lucknow")</f>
        <v>Lucknow</v>
      </c>
      <c r="Z2197" s="124">
        <f>IFERROR(__xludf.DUMMYFUNCTION("""COMPUTED_VALUE"""),1.0)</f>
        <v>1</v>
      </c>
      <c r="AA2197" s="124" t="str">
        <f>IFERROR(__xludf.DUMMYFUNCTION("""COMPUTED_VALUE"""),"Cold")</f>
        <v>Cold</v>
      </c>
      <c r="AB2197" s="124" t="str">
        <f>IFERROR(__xludf.DUMMYFUNCTION("""COMPUTED_VALUE"""),"State PCS")</f>
        <v>State PCS</v>
      </c>
    </row>
    <row r="2198">
      <c r="A2198" s="126">
        <f>IFERROR(__xludf.DUMMYFUNCTION("""COMPUTED_VALUE"""),46107.0)</f>
        <v>46107</v>
      </c>
      <c r="B2198" s="124" t="str">
        <f>IFERROR(__xludf.DUMMYFUNCTION("""COMPUTED_VALUE"""),"Walkin")</f>
        <v>Walkin</v>
      </c>
      <c r="C2198" s="124" t="str">
        <f>IFERROR(__xludf.DUMMYFUNCTION("""COMPUTED_VALUE"""),"Indore")</f>
        <v>Indore</v>
      </c>
      <c r="D2198" s="124" t="str">
        <f>IFERROR(__xludf.DUMMYFUNCTION("""COMPUTED_VALUE"""),"Primary_Walkin")</f>
        <v>Primary_Walkin</v>
      </c>
      <c r="E2198" s="124">
        <f>IFERROR(__xludf.DUMMYFUNCTION("""COMPUTED_VALUE"""),1.0)</f>
        <v>1</v>
      </c>
      <c r="F2198" s="124" t="str">
        <f>IFERROR(__xludf.DUMMYFUNCTION("""COMPUTED_VALUE"""),"Enrolled")</f>
        <v>Enrolled</v>
      </c>
      <c r="G2198" s="124" t="str">
        <f>IFERROR(__xludf.DUMMYFUNCTION("""COMPUTED_VALUE"""),"GS Foundation")</f>
        <v>GS Foundation</v>
      </c>
      <c r="K2198" s="124"/>
      <c r="L2198" s="124"/>
      <c r="M2198" s="124"/>
      <c r="N2198" s="124"/>
      <c r="O2198" s="124"/>
      <c r="T2198" s="126">
        <f>IFERROR(__xludf.DUMMYFUNCTION("""COMPUTED_VALUE"""),46052.0)</f>
        <v>46052</v>
      </c>
      <c r="U2198" s="124" t="str">
        <f>IFERROR(__xludf.DUMMYFUNCTION("""COMPUTED_VALUE"""),"Walk-Ins")</f>
        <v>Walk-Ins</v>
      </c>
      <c r="V2198" s="124" t="str">
        <f>IFERROR(__xludf.DUMMYFUNCTION("""COMPUTED_VALUE"""),"Walkin")</f>
        <v>Walkin</v>
      </c>
      <c r="W2198" s="124" t="str">
        <f>IFERROR(__xludf.DUMMYFUNCTION("""COMPUTED_VALUE"""),"Patna")</f>
        <v>Patna</v>
      </c>
      <c r="X2198" s="124" t="str">
        <f>IFERROR(__xludf.DUMMYFUNCTION("""COMPUTED_VALUE"""),"Walkin")</f>
        <v>Walkin</v>
      </c>
      <c r="Y2198" s="124" t="str">
        <f>IFERROR(__xludf.DUMMYFUNCTION("""COMPUTED_VALUE"""),"Patna")</f>
        <v>Patna</v>
      </c>
      <c r="Z2198" s="124">
        <f>IFERROR(__xludf.DUMMYFUNCTION("""COMPUTED_VALUE"""),2.0)</f>
        <v>2</v>
      </c>
      <c r="AA2198" s="124" t="str">
        <f>IFERROR(__xludf.DUMMYFUNCTION("""COMPUTED_VALUE"""),"Fake Lead")</f>
        <v>Fake Lead</v>
      </c>
      <c r="AB2198" s="124" t="str">
        <f>IFERROR(__xludf.DUMMYFUNCTION("""COMPUTED_VALUE"""),"State PCS")</f>
        <v>State PCS</v>
      </c>
    </row>
    <row r="2199">
      <c r="A2199" s="129">
        <f>IFERROR(__xludf.DUMMYFUNCTION("""COMPUTED_VALUE"""),46055.0)</f>
        <v>46055</v>
      </c>
      <c r="B2199" s="124" t="str">
        <f>IFERROR(__xludf.DUMMYFUNCTION("""COMPUTED_VALUE"""),"Walkin")</f>
        <v>Walkin</v>
      </c>
      <c r="C2199" s="124" t="str">
        <f>IFERROR(__xludf.DUMMYFUNCTION("""COMPUTED_VALUE"""),"Lucknow")</f>
        <v>Lucknow</v>
      </c>
      <c r="D2199" s="124" t="str">
        <f>IFERROR(__xludf.DUMMYFUNCTION("""COMPUTED_VALUE"""),"Primary_Walkin")</f>
        <v>Primary_Walkin</v>
      </c>
      <c r="E2199" s="124">
        <f>IFERROR(__xludf.DUMMYFUNCTION("""COMPUTED_VALUE"""),1.0)</f>
        <v>1</v>
      </c>
      <c r="F2199" s="124" t="str">
        <f>IFERROR(__xludf.DUMMYFUNCTION("""COMPUTED_VALUE"""),"Cold")</f>
        <v>Cold</v>
      </c>
      <c r="G2199" s="124" t="str">
        <f>IFERROR(__xludf.DUMMYFUNCTION("""COMPUTED_VALUE"""),"State PCS")</f>
        <v>State PCS</v>
      </c>
      <c r="K2199" s="124"/>
      <c r="L2199" s="124"/>
      <c r="M2199" s="124"/>
      <c r="N2199" s="124"/>
      <c r="O2199" s="124"/>
      <c r="T2199" s="129">
        <f>IFERROR(__xludf.DUMMYFUNCTION("""COMPUTED_VALUE"""),46058.0)</f>
        <v>46058</v>
      </c>
      <c r="U2199" s="124" t="str">
        <f>IFERROR(__xludf.DUMMYFUNCTION("""COMPUTED_VALUE"""),"Walk-Ins")</f>
        <v>Walk-Ins</v>
      </c>
      <c r="V2199" s="124" t="str">
        <f>IFERROR(__xludf.DUMMYFUNCTION("""COMPUTED_VALUE"""),"Walkin")</f>
        <v>Walkin</v>
      </c>
      <c r="W2199" s="124" t="str">
        <f>IFERROR(__xludf.DUMMYFUNCTION("""COMPUTED_VALUE"""),"Prayagraj")</f>
        <v>Prayagraj</v>
      </c>
      <c r="X2199" s="124" t="str">
        <f>IFERROR(__xludf.DUMMYFUNCTION("""COMPUTED_VALUE"""),"Walkin")</f>
        <v>Walkin</v>
      </c>
      <c r="Y2199" s="124" t="str">
        <f>IFERROR(__xludf.DUMMYFUNCTION("""COMPUTED_VALUE"""),"Prayagraj")</f>
        <v>Prayagraj</v>
      </c>
      <c r="Z2199" s="124">
        <f>IFERROR(__xludf.DUMMYFUNCTION("""COMPUTED_VALUE"""),1.0)</f>
        <v>1</v>
      </c>
      <c r="AA2199" s="124" t="str">
        <f>IFERROR(__xludf.DUMMYFUNCTION("""COMPUTED_VALUE"""),"Future Prospects")</f>
        <v>Future Prospects</v>
      </c>
      <c r="AB2199" s="124" t="str">
        <f>IFERROR(__xludf.DUMMYFUNCTION("""COMPUTED_VALUE"""),"GS Foundation")</f>
        <v>GS Foundation</v>
      </c>
    </row>
    <row r="2200">
      <c r="A2200" s="126">
        <f>IFERROR(__xludf.DUMMYFUNCTION("""COMPUTED_VALUE"""),46051.0)</f>
        <v>46051</v>
      </c>
      <c r="B2200" s="124" t="str">
        <f>IFERROR(__xludf.DUMMYFUNCTION("""COMPUTED_VALUE"""),"Walkin")</f>
        <v>Walkin</v>
      </c>
      <c r="C2200" s="124" t="str">
        <f>IFERROR(__xludf.DUMMYFUNCTION("""COMPUTED_VALUE"""),"Lucknow")</f>
        <v>Lucknow</v>
      </c>
      <c r="D2200" s="124" t="str">
        <f>IFERROR(__xludf.DUMMYFUNCTION("""COMPUTED_VALUE"""),"Primary_Walkin")</f>
        <v>Primary_Walkin</v>
      </c>
      <c r="E2200" s="124">
        <f>IFERROR(__xludf.DUMMYFUNCTION("""COMPUTED_VALUE"""),1.0)</f>
        <v>1</v>
      </c>
      <c r="F2200" s="124" t="str">
        <f>IFERROR(__xludf.DUMMYFUNCTION("""COMPUTED_VALUE"""),"Cold")</f>
        <v>Cold</v>
      </c>
      <c r="G2200" s="124" t="str">
        <f>IFERROR(__xludf.DUMMYFUNCTION("""COMPUTED_VALUE"""),"Hybrid")</f>
        <v>Hybrid</v>
      </c>
      <c r="K2200" s="124"/>
      <c r="L2200" s="124"/>
      <c r="M2200" s="124"/>
      <c r="N2200" s="124"/>
      <c r="O2200" s="124"/>
      <c r="T2200" s="129">
        <f>IFERROR(__xludf.DUMMYFUNCTION("""COMPUTED_VALUE"""),46080.0)</f>
        <v>46080</v>
      </c>
      <c r="U2200" s="124" t="str">
        <f>IFERROR(__xludf.DUMMYFUNCTION("""COMPUTED_VALUE"""),"Walk-Ins")</f>
        <v>Walk-Ins</v>
      </c>
      <c r="V2200" s="124" t="str">
        <f>IFERROR(__xludf.DUMMYFUNCTION("""COMPUTED_VALUE"""),"Walkin")</f>
        <v>Walkin</v>
      </c>
      <c r="W2200" s="124" t="str">
        <f>IFERROR(__xludf.DUMMYFUNCTION("""COMPUTED_VALUE"""),"Prayagraj")</f>
        <v>Prayagraj</v>
      </c>
      <c r="X2200" s="124" t="str">
        <f>IFERROR(__xludf.DUMMYFUNCTION("""COMPUTED_VALUE"""),"Walkin")</f>
        <v>Walkin</v>
      </c>
      <c r="Y2200" s="124" t="str">
        <f>IFERROR(__xludf.DUMMYFUNCTION("""COMPUTED_VALUE"""),"Prayagraj")</f>
        <v>Prayagraj</v>
      </c>
      <c r="Z2200" s="124">
        <f>IFERROR(__xludf.DUMMYFUNCTION("""COMPUTED_VALUE"""),2.0)</f>
        <v>2</v>
      </c>
      <c r="AA2200" s="124" t="str">
        <f>IFERROR(__xludf.DUMMYFUNCTION("""COMPUTED_VALUE"""),"Cold")</f>
        <v>Cold</v>
      </c>
      <c r="AB2200" s="124" t="str">
        <f>IFERROR(__xludf.DUMMYFUNCTION("""COMPUTED_VALUE"""),"GS Foundation")</f>
        <v>GS Foundation</v>
      </c>
    </row>
    <row r="2201">
      <c r="A2201" s="126">
        <f>IFERROR(__xludf.DUMMYFUNCTION("""COMPUTED_VALUE"""),46049.0)</f>
        <v>46049</v>
      </c>
      <c r="B2201" s="124" t="str">
        <f>IFERROR(__xludf.DUMMYFUNCTION("""COMPUTED_VALUE"""),"Walk-In")</f>
        <v>Walk-In</v>
      </c>
      <c r="C2201" s="124" t="str">
        <f>IFERROR(__xludf.DUMMYFUNCTION("""COMPUTED_VALUE"""),"Patna")</f>
        <v>Patna</v>
      </c>
      <c r="D2201" s="124" t="str">
        <f>IFERROR(__xludf.DUMMYFUNCTION("""COMPUTED_VALUE"""),"Primary_Walkin")</f>
        <v>Primary_Walkin</v>
      </c>
      <c r="E2201" s="124">
        <f>IFERROR(__xludf.DUMMYFUNCTION("""COMPUTED_VALUE"""),1.0)</f>
        <v>1</v>
      </c>
      <c r="F2201" s="124" t="str">
        <f>IFERROR(__xludf.DUMMYFUNCTION("""COMPUTED_VALUE"""),"Cold")</f>
        <v>Cold</v>
      </c>
      <c r="G2201" s="124" t="str">
        <f>IFERROR(__xludf.DUMMYFUNCTION("""COMPUTED_VALUE"""),"State PCS")</f>
        <v>State PCS</v>
      </c>
      <c r="K2201" s="124"/>
      <c r="L2201" s="124"/>
      <c r="M2201" s="124"/>
      <c r="N2201" s="124"/>
      <c r="O2201" s="124"/>
      <c r="T2201" s="126">
        <f>IFERROR(__xludf.DUMMYFUNCTION("""COMPUTED_VALUE"""),46051.0)</f>
        <v>46051</v>
      </c>
      <c r="U2201" s="124" t="str">
        <f>IFERROR(__xludf.DUMMYFUNCTION("""COMPUTED_VALUE"""),"Walk-Ins")</f>
        <v>Walk-Ins</v>
      </c>
      <c r="V2201" s="124" t="str">
        <f>IFERROR(__xludf.DUMMYFUNCTION("""COMPUTED_VALUE"""),"Walkin")</f>
        <v>Walkin</v>
      </c>
      <c r="W2201" s="124" t="str">
        <f>IFERROR(__xludf.DUMMYFUNCTION("""COMPUTED_VALUE"""),"Prayagraj")</f>
        <v>Prayagraj</v>
      </c>
      <c r="X2201" s="124" t="str">
        <f>IFERROR(__xludf.DUMMYFUNCTION("""COMPUTED_VALUE"""),"Walkin")</f>
        <v>Walkin</v>
      </c>
      <c r="Y2201" s="124" t="str">
        <f>IFERROR(__xludf.DUMMYFUNCTION("""COMPUTED_VALUE"""),"Prayagraj")</f>
        <v>Prayagraj</v>
      </c>
      <c r="Z2201" s="124">
        <f>IFERROR(__xludf.DUMMYFUNCTION("""COMPUTED_VALUE"""),2.0)</f>
        <v>2</v>
      </c>
      <c r="AA2201" s="124" t="str">
        <f>IFERROR(__xludf.DUMMYFUNCTION("""COMPUTED_VALUE"""),"Not Interested")</f>
        <v>Not Interested</v>
      </c>
      <c r="AB2201" s="124" t="str">
        <f>IFERROR(__xludf.DUMMYFUNCTION("""COMPUTED_VALUE"""),"GS Foundation")</f>
        <v>GS Foundation</v>
      </c>
    </row>
    <row r="2202">
      <c r="A2202" s="126">
        <f>IFERROR(__xludf.DUMMYFUNCTION("""COMPUTED_VALUE"""),46102.0)</f>
        <v>46102</v>
      </c>
      <c r="B2202" s="124" t="str">
        <f>IFERROR(__xludf.DUMMYFUNCTION("""COMPUTED_VALUE"""),"Walkin")</f>
        <v>Walkin</v>
      </c>
      <c r="C2202" s="124" t="str">
        <f>IFERROR(__xludf.DUMMYFUNCTION("""COMPUTED_VALUE"""),"Patna")</f>
        <v>Patna</v>
      </c>
      <c r="D2202" s="124" t="str">
        <f>IFERROR(__xludf.DUMMYFUNCTION("""COMPUTED_VALUE"""),"Primary_Walkin")</f>
        <v>Primary_Walkin</v>
      </c>
      <c r="E2202" s="124">
        <f>IFERROR(__xludf.DUMMYFUNCTION("""COMPUTED_VALUE"""),1.0)</f>
        <v>1</v>
      </c>
      <c r="F2202" s="124" t="str">
        <f>IFERROR(__xludf.DUMMYFUNCTION("""COMPUTED_VALUE"""),"Fake Lead")</f>
        <v>Fake Lead</v>
      </c>
      <c r="G2202" s="124" t="str">
        <f>IFERROR(__xludf.DUMMYFUNCTION("""COMPUTED_VALUE"""),"GS Foundation")</f>
        <v>GS Foundation</v>
      </c>
      <c r="K2202" s="124"/>
      <c r="L2202" s="124"/>
      <c r="M2202" s="124"/>
      <c r="N2202" s="124"/>
      <c r="O2202" s="124"/>
      <c r="T2202" s="129">
        <f>IFERROR(__xludf.DUMMYFUNCTION("""COMPUTED_VALUE"""),46060.0)</f>
        <v>46060</v>
      </c>
      <c r="U2202" s="124" t="str">
        <f>IFERROR(__xludf.DUMMYFUNCTION("""COMPUTED_VALUE"""),"Walk-Ins")</f>
        <v>Walk-Ins</v>
      </c>
      <c r="V2202" s="124" t="str">
        <f>IFERROR(__xludf.DUMMYFUNCTION("""COMPUTED_VALUE"""),"Walkin")</f>
        <v>Walkin</v>
      </c>
      <c r="W2202" s="124" t="str">
        <f>IFERROR(__xludf.DUMMYFUNCTION("""COMPUTED_VALUE"""),"Patna")</f>
        <v>Patna</v>
      </c>
      <c r="X2202" s="124" t="str">
        <f>IFERROR(__xludf.DUMMYFUNCTION("""COMPUTED_VALUE"""),"Walkin")</f>
        <v>Walkin</v>
      </c>
      <c r="Y2202" s="124" t="str">
        <f>IFERROR(__xludf.DUMMYFUNCTION("""COMPUTED_VALUE"""),"Patna")</f>
        <v>Patna</v>
      </c>
      <c r="Z2202" s="124">
        <f>IFERROR(__xludf.DUMMYFUNCTION("""COMPUTED_VALUE"""),1.0)</f>
        <v>1</v>
      </c>
      <c r="AA2202" s="124" t="str">
        <f>IFERROR(__xludf.DUMMYFUNCTION("""COMPUTED_VALUE"""),"Not Interested")</f>
        <v>Not Interested</v>
      </c>
      <c r="AB2202" s="124" t="str">
        <f>IFERROR(__xludf.DUMMYFUNCTION("""COMPUTED_VALUE"""),"Test Series")</f>
        <v>Test Series</v>
      </c>
    </row>
    <row r="2203">
      <c r="A2203" s="126">
        <f>IFERROR(__xludf.DUMMYFUNCTION("""COMPUTED_VALUE"""),46070.0)</f>
        <v>46070</v>
      </c>
      <c r="B2203" s="124" t="str">
        <f>IFERROR(__xludf.DUMMYFUNCTION("""COMPUTED_VALUE"""),"Walkin")</f>
        <v>Walkin</v>
      </c>
      <c r="C2203" s="124" t="str">
        <f>IFERROR(__xludf.DUMMYFUNCTION("""COMPUTED_VALUE"""),"Patna")</f>
        <v>Patna</v>
      </c>
      <c r="D2203" s="124" t="str">
        <f>IFERROR(__xludf.DUMMYFUNCTION("""COMPUTED_VALUE"""),"Primary_Walkin")</f>
        <v>Primary_Walkin</v>
      </c>
      <c r="E2203" s="124">
        <f>IFERROR(__xludf.DUMMYFUNCTION("""COMPUTED_VALUE"""),1.0)</f>
        <v>1</v>
      </c>
      <c r="F2203" s="124" t="str">
        <f>IFERROR(__xludf.DUMMYFUNCTION("""COMPUTED_VALUE"""),"Future Prospects")</f>
        <v>Future Prospects</v>
      </c>
      <c r="G2203" s="124" t="str">
        <f>IFERROR(__xludf.DUMMYFUNCTION("""COMPUTED_VALUE"""),"GS Foundation")</f>
        <v>GS Foundation</v>
      </c>
      <c r="K2203" s="124"/>
      <c r="L2203" s="124"/>
      <c r="M2203" s="124"/>
      <c r="N2203" s="124"/>
      <c r="O2203" s="124"/>
      <c r="T2203" s="126">
        <f>IFERROR(__xludf.DUMMYFUNCTION("""COMPUTED_VALUE"""),46045.0)</f>
        <v>46045</v>
      </c>
      <c r="U2203" s="124" t="str">
        <f>IFERROR(__xludf.DUMMYFUNCTION("""COMPUTED_VALUE"""),"Walk-Ins")</f>
        <v>Walk-Ins</v>
      </c>
      <c r="V2203" s="124" t="str">
        <f>IFERROR(__xludf.DUMMYFUNCTION("""COMPUTED_VALUE"""),"Walkin")</f>
        <v>Walkin</v>
      </c>
      <c r="W2203" s="124" t="str">
        <f>IFERROR(__xludf.DUMMYFUNCTION("""COMPUTED_VALUE"""),"Patna")</f>
        <v>Patna</v>
      </c>
      <c r="X2203" s="124" t="str">
        <f>IFERROR(__xludf.DUMMYFUNCTION("""COMPUTED_VALUE"""),"Walkin")</f>
        <v>Walkin</v>
      </c>
      <c r="Y2203" s="124" t="str">
        <f>IFERROR(__xludf.DUMMYFUNCTION("""COMPUTED_VALUE"""),"Patna")</f>
        <v>Patna</v>
      </c>
      <c r="Z2203" s="124">
        <f>IFERROR(__xludf.DUMMYFUNCTION("""COMPUTED_VALUE"""),1.0)</f>
        <v>1</v>
      </c>
      <c r="AA2203" s="124" t="str">
        <f>IFERROR(__xludf.DUMMYFUNCTION("""COMPUTED_VALUE"""),"Enrolled")</f>
        <v>Enrolled</v>
      </c>
      <c r="AB2203" s="124" t="str">
        <f>IFERROR(__xludf.DUMMYFUNCTION("""COMPUTED_VALUE"""),"Optionals")</f>
        <v>Optionals</v>
      </c>
    </row>
    <row r="2204">
      <c r="A2204" s="126">
        <f>IFERROR(__xludf.DUMMYFUNCTION("""COMPUTED_VALUE"""),46075.0)</f>
        <v>46075</v>
      </c>
      <c r="B2204" s="124" t="str">
        <f>IFERROR(__xludf.DUMMYFUNCTION("""COMPUTED_VALUE"""),"Walkin")</f>
        <v>Walkin</v>
      </c>
      <c r="C2204" s="124" t="str">
        <f>IFERROR(__xludf.DUMMYFUNCTION("""COMPUTED_VALUE"""),"Patna")</f>
        <v>Patna</v>
      </c>
      <c r="D2204" s="124" t="str">
        <f>IFERROR(__xludf.DUMMYFUNCTION("""COMPUTED_VALUE"""),"Primary_Walkin")</f>
        <v>Primary_Walkin</v>
      </c>
      <c r="E2204" s="124">
        <f>IFERROR(__xludf.DUMMYFUNCTION("""COMPUTED_VALUE"""),1.0)</f>
        <v>1</v>
      </c>
      <c r="F2204" s="124" t="str">
        <f>IFERROR(__xludf.DUMMYFUNCTION("""COMPUTED_VALUE"""),"Cold")</f>
        <v>Cold</v>
      </c>
      <c r="G2204" s="124" t="str">
        <f>IFERROR(__xludf.DUMMYFUNCTION("""COMPUTED_VALUE"""),"Test Series")</f>
        <v>Test Series</v>
      </c>
      <c r="K2204" s="124"/>
      <c r="L2204" s="124"/>
      <c r="M2204" s="124"/>
      <c r="N2204" s="124"/>
      <c r="O2204" s="124"/>
      <c r="T2204" s="129">
        <f>IFERROR(__xludf.DUMMYFUNCTION("""COMPUTED_VALUE"""),46110.0)</f>
        <v>46110</v>
      </c>
      <c r="U2204" s="124" t="str">
        <f>IFERROR(__xludf.DUMMYFUNCTION("""COMPUTED_VALUE"""),"Walk-Ins")</f>
        <v>Walk-Ins</v>
      </c>
      <c r="V2204" s="124" t="str">
        <f>IFERROR(__xludf.DUMMYFUNCTION("""COMPUTED_VALUE"""),"Walkin")</f>
        <v>Walkin</v>
      </c>
      <c r="W2204" s="124" t="str">
        <f>IFERROR(__xludf.DUMMYFUNCTION("""COMPUTED_VALUE"""),"Prayagraj")</f>
        <v>Prayagraj</v>
      </c>
      <c r="X2204" s="124" t="str">
        <f>IFERROR(__xludf.DUMMYFUNCTION("""COMPUTED_VALUE"""),"Walkin")</f>
        <v>Walkin</v>
      </c>
      <c r="Y2204" s="124" t="str">
        <f>IFERROR(__xludf.DUMMYFUNCTION("""COMPUTED_VALUE"""),"Prayagraj")</f>
        <v>Prayagraj</v>
      </c>
      <c r="Z2204" s="124">
        <f>IFERROR(__xludf.DUMMYFUNCTION("""COMPUTED_VALUE"""),2.0)</f>
        <v>2</v>
      </c>
      <c r="AA2204" s="124" t="str">
        <f>IFERROR(__xludf.DUMMYFUNCTION("""COMPUTED_VALUE"""),"Warm")</f>
        <v>Warm</v>
      </c>
      <c r="AB2204" s="124" t="str">
        <f>IFERROR(__xludf.DUMMYFUNCTION("""COMPUTED_VALUE"""),"GS Foundation")</f>
        <v>GS Foundation</v>
      </c>
    </row>
    <row r="2205">
      <c r="A2205" s="126">
        <f>IFERROR(__xludf.DUMMYFUNCTION("""COMPUTED_VALUE"""),46050.0)</f>
        <v>46050</v>
      </c>
      <c r="B2205" s="124" t="str">
        <f>IFERROR(__xludf.DUMMYFUNCTION("""COMPUTED_VALUE"""),"Facebook")</f>
        <v>Facebook</v>
      </c>
      <c r="C2205" s="124" t="str">
        <f>IFERROR(__xludf.DUMMYFUNCTION("""COMPUTED_VALUE"""),"Patna")</f>
        <v>Patna</v>
      </c>
      <c r="D2205" s="124" t="str">
        <f>IFERROR(__xludf.DUMMYFUNCTION("""COMPUTED_VALUE"""),"Secondary_Walkin")</f>
        <v>Secondary_Walkin</v>
      </c>
      <c r="E2205" s="124">
        <f>IFERROR(__xludf.DUMMYFUNCTION("""COMPUTED_VALUE"""),1.0)</f>
        <v>1</v>
      </c>
      <c r="F2205" s="124" t="str">
        <f>IFERROR(__xludf.DUMMYFUNCTION("""COMPUTED_VALUE"""),"Cold")</f>
        <v>Cold</v>
      </c>
      <c r="G2205" s="124" t="str">
        <f>IFERROR(__xludf.DUMMYFUNCTION("""COMPUTED_VALUE"""),"State PCS")</f>
        <v>State PCS</v>
      </c>
      <c r="K2205" s="124"/>
      <c r="L2205" s="124"/>
      <c r="M2205" s="124"/>
      <c r="N2205" s="124"/>
      <c r="O2205" s="124"/>
      <c r="T2205" s="126">
        <f>IFERROR(__xludf.DUMMYFUNCTION("""COMPUTED_VALUE"""),46076.0)</f>
        <v>46076</v>
      </c>
      <c r="U2205" s="124" t="str">
        <f>IFERROR(__xludf.DUMMYFUNCTION("""COMPUTED_VALUE"""),"Walk-Ins")</f>
        <v>Walk-Ins</v>
      </c>
      <c r="V2205" s="124" t="str">
        <f>IFERROR(__xludf.DUMMYFUNCTION("""COMPUTED_VALUE"""),"Walkin")</f>
        <v>Walkin</v>
      </c>
      <c r="W2205" s="124" t="str">
        <f>IFERROR(__xludf.DUMMYFUNCTION("""COMPUTED_VALUE"""),"Lucknow")</f>
        <v>Lucknow</v>
      </c>
      <c r="X2205" s="124" t="str">
        <f>IFERROR(__xludf.DUMMYFUNCTION("""COMPUTED_VALUE"""),"Walkin")</f>
        <v>Walkin</v>
      </c>
      <c r="Y2205" s="124" t="str">
        <f>IFERROR(__xludf.DUMMYFUNCTION("""COMPUTED_VALUE"""),"Lucknow")</f>
        <v>Lucknow</v>
      </c>
      <c r="Z2205" s="124">
        <f>IFERROR(__xludf.DUMMYFUNCTION("""COMPUTED_VALUE"""),2.0)</f>
        <v>2</v>
      </c>
      <c r="AA2205" s="124" t="str">
        <f>IFERROR(__xludf.DUMMYFUNCTION("""COMPUTED_VALUE"""),"Future Prospects")</f>
        <v>Future Prospects</v>
      </c>
      <c r="AB2205" s="124" t="str">
        <f>IFERROR(__xludf.DUMMYFUNCTION("""COMPUTED_VALUE"""),"GS Foundation")</f>
        <v>GS Foundation</v>
      </c>
    </row>
    <row r="2206">
      <c r="A2206" s="129">
        <f>IFERROR(__xludf.DUMMYFUNCTION("""COMPUTED_VALUE"""),46061.0)</f>
        <v>46061</v>
      </c>
      <c r="B2206" s="124" t="str">
        <f>IFERROR(__xludf.DUMMYFUNCTION("""COMPUTED_VALUE"""),"Walkin")</f>
        <v>Walkin</v>
      </c>
      <c r="C2206" s="124" t="str">
        <f>IFERROR(__xludf.DUMMYFUNCTION("""COMPUTED_VALUE"""),"Patna")</f>
        <v>Patna</v>
      </c>
      <c r="D2206" s="124" t="str">
        <f>IFERROR(__xludf.DUMMYFUNCTION("""COMPUTED_VALUE"""),"Primary_Walkin")</f>
        <v>Primary_Walkin</v>
      </c>
      <c r="E2206" s="124">
        <f>IFERROR(__xludf.DUMMYFUNCTION("""COMPUTED_VALUE"""),1.0)</f>
        <v>1</v>
      </c>
      <c r="F2206" s="124" t="str">
        <f>IFERROR(__xludf.DUMMYFUNCTION("""COMPUTED_VALUE"""),"Warm")</f>
        <v>Warm</v>
      </c>
      <c r="G2206" s="124" t="str">
        <f>IFERROR(__xludf.DUMMYFUNCTION("""COMPUTED_VALUE"""),"State PCS")</f>
        <v>State PCS</v>
      </c>
      <c r="K2206" s="124"/>
      <c r="L2206" s="124"/>
      <c r="M2206" s="124"/>
      <c r="N2206" s="124"/>
      <c r="O2206" s="124"/>
      <c r="T2206" s="129">
        <f>IFERROR(__xludf.DUMMYFUNCTION("""COMPUTED_VALUE"""),46073.0)</f>
        <v>46073</v>
      </c>
      <c r="U2206" s="124" t="str">
        <f>IFERROR(__xludf.DUMMYFUNCTION("""COMPUTED_VALUE"""),"Walk-Ins")</f>
        <v>Walk-Ins</v>
      </c>
      <c r="V2206" s="124" t="str">
        <f>IFERROR(__xludf.DUMMYFUNCTION("""COMPUTED_VALUE"""),"Walkin")</f>
        <v>Walkin</v>
      </c>
      <c r="W2206" s="124" t="str">
        <f>IFERROR(__xludf.DUMMYFUNCTION("""COMPUTED_VALUE"""),"Indore")</f>
        <v>Indore</v>
      </c>
      <c r="X2206" s="124" t="str">
        <f>IFERROR(__xludf.DUMMYFUNCTION("""COMPUTED_VALUE"""),"Walkin")</f>
        <v>Walkin</v>
      </c>
      <c r="Y2206" s="124" t="str">
        <f>IFERROR(__xludf.DUMMYFUNCTION("""COMPUTED_VALUE"""),"Indore")</f>
        <v>Indore</v>
      </c>
      <c r="Z2206" s="124">
        <f>IFERROR(__xludf.DUMMYFUNCTION("""COMPUTED_VALUE"""),1.0)</f>
        <v>1</v>
      </c>
      <c r="AA2206" s="124" t="str">
        <f>IFERROR(__xludf.DUMMYFUNCTION("""COMPUTED_VALUE"""),"Not Interested")</f>
        <v>Not Interested</v>
      </c>
      <c r="AB2206" s="124" t="str">
        <f>IFERROR(__xludf.DUMMYFUNCTION("""COMPUTED_VALUE"""),"GS Foundation")</f>
        <v>GS Foundation</v>
      </c>
    </row>
    <row r="2207">
      <c r="A2207" s="126">
        <f>IFERROR(__xludf.DUMMYFUNCTION("""COMPUTED_VALUE"""),46095.0)</f>
        <v>46095</v>
      </c>
      <c r="B2207" s="124" t="str">
        <f>IFERROR(__xludf.DUMMYFUNCTION("""COMPUTED_VALUE"""),"Walkin")</f>
        <v>Walkin</v>
      </c>
      <c r="C2207" s="124" t="str">
        <f>IFERROR(__xludf.DUMMYFUNCTION("""COMPUTED_VALUE"""),"Patna")</f>
        <v>Patna</v>
      </c>
      <c r="D2207" s="124" t="str">
        <f>IFERROR(__xludf.DUMMYFUNCTION("""COMPUTED_VALUE"""),"Primary_Walkin")</f>
        <v>Primary_Walkin</v>
      </c>
      <c r="E2207" s="124">
        <f>IFERROR(__xludf.DUMMYFUNCTION("""COMPUTED_VALUE"""),1.0)</f>
        <v>1</v>
      </c>
      <c r="F2207" s="124" t="str">
        <f>IFERROR(__xludf.DUMMYFUNCTION("""COMPUTED_VALUE"""),"Future Prospects")</f>
        <v>Future Prospects</v>
      </c>
      <c r="G2207" s="124" t="str">
        <f>IFERROR(__xludf.DUMMYFUNCTION("""COMPUTED_VALUE"""),"Prelims Crash Course - SIP")</f>
        <v>Prelims Crash Course - SIP</v>
      </c>
      <c r="K2207" s="124"/>
      <c r="L2207" s="124"/>
      <c r="M2207" s="124"/>
      <c r="N2207" s="124"/>
      <c r="O2207" s="124"/>
      <c r="T2207" s="126">
        <f>IFERROR(__xludf.DUMMYFUNCTION("""COMPUTED_VALUE"""),46105.0)</f>
        <v>46105</v>
      </c>
      <c r="U2207" s="124" t="str">
        <f>IFERROR(__xludf.DUMMYFUNCTION("""COMPUTED_VALUE"""),"Walk-Ins")</f>
        <v>Walk-Ins</v>
      </c>
      <c r="V2207" s="124" t="str">
        <f>IFERROR(__xludf.DUMMYFUNCTION("""COMPUTED_VALUE"""),"Walkin")</f>
        <v>Walkin</v>
      </c>
      <c r="W2207" s="124" t="str">
        <f>IFERROR(__xludf.DUMMYFUNCTION("""COMPUTED_VALUE"""),"Lucknow")</f>
        <v>Lucknow</v>
      </c>
      <c r="X2207" s="124" t="str">
        <f>IFERROR(__xludf.DUMMYFUNCTION("""COMPUTED_VALUE"""),"Walkin")</f>
        <v>Walkin</v>
      </c>
      <c r="Y2207" s="124" t="str">
        <f>IFERROR(__xludf.DUMMYFUNCTION("""COMPUTED_VALUE"""),"Lucknow")</f>
        <v>Lucknow</v>
      </c>
      <c r="Z2207" s="124">
        <f>IFERROR(__xludf.DUMMYFUNCTION("""COMPUTED_VALUE"""),1.0)</f>
        <v>1</v>
      </c>
      <c r="AA2207" s="124" t="str">
        <f>IFERROR(__xludf.DUMMYFUNCTION("""COMPUTED_VALUE"""),"Not Interested")</f>
        <v>Not Interested</v>
      </c>
      <c r="AB2207" s="124" t="str">
        <f>IFERROR(__xludf.DUMMYFUNCTION("""COMPUTED_VALUE"""),"GS Foundation")</f>
        <v>GS Foundation</v>
      </c>
    </row>
    <row r="2208">
      <c r="A2208" s="129">
        <f>IFERROR(__xludf.DUMMYFUNCTION("""COMPUTED_VALUE"""),46062.0)</f>
        <v>46062</v>
      </c>
      <c r="B2208" s="124" t="str">
        <f>IFERROR(__xludf.DUMMYFUNCTION("""COMPUTED_VALUE"""),"Walk-In")</f>
        <v>Walk-In</v>
      </c>
      <c r="C2208" s="124" t="str">
        <f>IFERROR(__xludf.DUMMYFUNCTION("""COMPUTED_VALUE"""),"Patna")</f>
        <v>Patna</v>
      </c>
      <c r="D2208" s="124" t="str">
        <f>IFERROR(__xludf.DUMMYFUNCTION("""COMPUTED_VALUE"""),"Primary_Walkin")</f>
        <v>Primary_Walkin</v>
      </c>
      <c r="E2208" s="124">
        <f>IFERROR(__xludf.DUMMYFUNCTION("""COMPUTED_VALUE"""),1.0)</f>
        <v>1</v>
      </c>
      <c r="F2208" s="124" t="str">
        <f>IFERROR(__xludf.DUMMYFUNCTION("""COMPUTED_VALUE"""),"Not Interested")</f>
        <v>Not Interested</v>
      </c>
      <c r="G2208" s="124" t="str">
        <f>IFERROR(__xludf.DUMMYFUNCTION("""COMPUTED_VALUE"""),"State PCS")</f>
        <v>State PCS</v>
      </c>
      <c r="K2208" s="124"/>
      <c r="L2208" s="124"/>
      <c r="M2208" s="124"/>
      <c r="N2208" s="124"/>
      <c r="O2208" s="124"/>
      <c r="T2208" s="126">
        <f>IFERROR(__xludf.DUMMYFUNCTION("""COMPUTED_VALUE"""),46111.0)</f>
        <v>46111</v>
      </c>
      <c r="U2208" s="124" t="str">
        <f>IFERROR(__xludf.DUMMYFUNCTION("""COMPUTED_VALUE"""),"Walk-Ins")</f>
        <v>Walk-Ins</v>
      </c>
      <c r="V2208" s="124" t="str">
        <f>IFERROR(__xludf.DUMMYFUNCTION("""COMPUTED_VALUE"""),"Walkin")</f>
        <v>Walkin</v>
      </c>
      <c r="W2208" s="124" t="str">
        <f>IFERROR(__xludf.DUMMYFUNCTION("""COMPUTED_VALUE"""),"Indore")</f>
        <v>Indore</v>
      </c>
      <c r="X2208" s="124" t="str">
        <f>IFERROR(__xludf.DUMMYFUNCTION("""COMPUTED_VALUE"""),"Walkin")</f>
        <v>Walkin</v>
      </c>
      <c r="Y2208" s="124" t="str">
        <f>IFERROR(__xludf.DUMMYFUNCTION("""COMPUTED_VALUE"""),"Indore")</f>
        <v>Indore</v>
      </c>
      <c r="Z2208" s="124">
        <f>IFERROR(__xludf.DUMMYFUNCTION("""COMPUTED_VALUE"""),1.0)</f>
        <v>1</v>
      </c>
      <c r="AA2208" s="124" t="str">
        <f>IFERROR(__xludf.DUMMYFUNCTION("""COMPUTED_VALUE"""),"Interested")</f>
        <v>Interested</v>
      </c>
      <c r="AB2208" s="124" t="str">
        <f>IFERROR(__xludf.DUMMYFUNCTION("""COMPUTED_VALUE"""),"GS Foundation")</f>
        <v>GS Foundation</v>
      </c>
    </row>
    <row r="2209">
      <c r="A2209" s="129">
        <f>IFERROR(__xludf.DUMMYFUNCTION("""COMPUTED_VALUE"""),46057.0)</f>
        <v>46057</v>
      </c>
      <c r="B2209" s="124" t="str">
        <f>IFERROR(__xludf.DUMMYFUNCTION("""COMPUTED_VALUE"""),"Walk-In")</f>
        <v>Walk-In</v>
      </c>
      <c r="C2209" s="124" t="str">
        <f>IFERROR(__xludf.DUMMYFUNCTION("""COMPUTED_VALUE"""),"Patna")</f>
        <v>Patna</v>
      </c>
      <c r="D2209" s="124" t="str">
        <f>IFERROR(__xludf.DUMMYFUNCTION("""COMPUTED_VALUE"""),"Primary_Walkin")</f>
        <v>Primary_Walkin</v>
      </c>
      <c r="E2209" s="124">
        <f>IFERROR(__xludf.DUMMYFUNCTION("""COMPUTED_VALUE"""),1.0)</f>
        <v>1</v>
      </c>
      <c r="F2209" s="124" t="str">
        <f>IFERROR(__xludf.DUMMYFUNCTION("""COMPUTED_VALUE"""),"Cold")</f>
        <v>Cold</v>
      </c>
      <c r="G2209" s="124" t="str">
        <f>IFERROR(__xludf.DUMMYFUNCTION("""COMPUTED_VALUE"""),"GS Foundation")</f>
        <v>GS Foundation</v>
      </c>
      <c r="K2209" s="124"/>
      <c r="L2209" s="124"/>
      <c r="M2209" s="124"/>
      <c r="N2209" s="124"/>
      <c r="O2209" s="124"/>
      <c r="T2209" s="129">
        <f>IFERROR(__xludf.DUMMYFUNCTION("""COMPUTED_VALUE"""),46054.0)</f>
        <v>46054</v>
      </c>
      <c r="U2209" s="124" t="str">
        <f>IFERROR(__xludf.DUMMYFUNCTION("""COMPUTED_VALUE"""),"Walk-Ins")</f>
        <v>Walk-Ins</v>
      </c>
      <c r="V2209" s="124" t="str">
        <f>IFERROR(__xludf.DUMMYFUNCTION("""COMPUTED_VALUE"""),"Walkin")</f>
        <v>Walkin</v>
      </c>
      <c r="W2209" s="124" t="str">
        <f>IFERROR(__xludf.DUMMYFUNCTION("""COMPUTED_VALUE"""),"Prayagraj")</f>
        <v>Prayagraj</v>
      </c>
      <c r="X2209" s="124" t="str">
        <f>IFERROR(__xludf.DUMMYFUNCTION("""COMPUTED_VALUE"""),"Walkin")</f>
        <v>Walkin</v>
      </c>
      <c r="Y2209" s="124" t="str">
        <f>IFERROR(__xludf.DUMMYFUNCTION("""COMPUTED_VALUE"""),"Prayagraj")</f>
        <v>Prayagraj</v>
      </c>
      <c r="Z2209" s="124">
        <f>IFERROR(__xludf.DUMMYFUNCTION("""COMPUTED_VALUE"""),3.0)</f>
        <v>3</v>
      </c>
      <c r="AA2209" s="124" t="str">
        <f>IFERROR(__xludf.DUMMYFUNCTION("""COMPUTED_VALUE"""),"Cold")</f>
        <v>Cold</v>
      </c>
      <c r="AB2209" s="124" t="str">
        <f>IFERROR(__xludf.DUMMYFUNCTION("""COMPUTED_VALUE"""),"GS Foundation")</f>
        <v>GS Foundation</v>
      </c>
    </row>
    <row r="2210">
      <c r="A2210" s="126">
        <f>IFERROR(__xludf.DUMMYFUNCTION("""COMPUTED_VALUE"""),46046.0)</f>
        <v>46046</v>
      </c>
      <c r="B2210" s="124" t="str">
        <f>IFERROR(__xludf.DUMMYFUNCTION("""COMPUTED_VALUE"""),"Walk-In")</f>
        <v>Walk-In</v>
      </c>
      <c r="C2210" s="124" t="str">
        <f>IFERROR(__xludf.DUMMYFUNCTION("""COMPUTED_VALUE"""),"Patna")</f>
        <v>Patna</v>
      </c>
      <c r="D2210" s="124" t="str">
        <f>IFERROR(__xludf.DUMMYFUNCTION("""COMPUTED_VALUE"""),"Primary_Walkin")</f>
        <v>Primary_Walkin</v>
      </c>
      <c r="E2210" s="124">
        <f>IFERROR(__xludf.DUMMYFUNCTION("""COMPUTED_VALUE"""),1.0)</f>
        <v>1</v>
      </c>
      <c r="F2210" s="124" t="str">
        <f>IFERROR(__xludf.DUMMYFUNCTION("""COMPUTED_VALUE"""),"Not Interested")</f>
        <v>Not Interested</v>
      </c>
      <c r="G2210" s="124" t="str">
        <f>IFERROR(__xludf.DUMMYFUNCTION("""COMPUTED_VALUE"""),"State PCS")</f>
        <v>State PCS</v>
      </c>
      <c r="K2210" s="124"/>
      <c r="L2210" s="124"/>
      <c r="M2210" s="124"/>
      <c r="N2210" s="124"/>
      <c r="O2210" s="124"/>
      <c r="T2210" s="126">
        <f>IFERROR(__xludf.DUMMYFUNCTION("""COMPUTED_VALUE"""),46060.0)</f>
        <v>46060</v>
      </c>
      <c r="U2210" s="124" t="str">
        <f>IFERROR(__xludf.DUMMYFUNCTION("""COMPUTED_VALUE"""),"Walk-Ins")</f>
        <v>Walk-Ins</v>
      </c>
      <c r="V2210" s="124" t="str">
        <f>IFERROR(__xludf.DUMMYFUNCTION("""COMPUTED_VALUE"""),"Walkin")</f>
        <v>Walkin</v>
      </c>
      <c r="W2210" s="124" t="str">
        <f>IFERROR(__xludf.DUMMYFUNCTION("""COMPUTED_VALUE"""),"Indore")</f>
        <v>Indore</v>
      </c>
      <c r="X2210" s="124" t="str">
        <f>IFERROR(__xludf.DUMMYFUNCTION("""COMPUTED_VALUE"""),"Walkin")</f>
        <v>Walkin</v>
      </c>
      <c r="Y2210" s="124" t="str">
        <f>IFERROR(__xludf.DUMMYFUNCTION("""COMPUTED_VALUE"""),"Indore")</f>
        <v>Indore</v>
      </c>
      <c r="Z2210" s="124">
        <f>IFERROR(__xludf.DUMMYFUNCTION("""COMPUTED_VALUE"""),1.0)</f>
        <v>1</v>
      </c>
      <c r="AA2210" s="124" t="str">
        <f>IFERROR(__xludf.DUMMYFUNCTION("""COMPUTED_VALUE"""),"Not Interested")</f>
        <v>Not Interested</v>
      </c>
      <c r="AB2210" s="124" t="str">
        <f>IFERROR(__xludf.DUMMYFUNCTION("""COMPUTED_VALUE"""),"GS Foundation")</f>
        <v>GS Foundation</v>
      </c>
    </row>
    <row r="2211">
      <c r="A2211" s="126">
        <f>IFERROR(__xludf.DUMMYFUNCTION("""COMPUTED_VALUE"""),46073.0)</f>
        <v>46073</v>
      </c>
      <c r="B2211" s="124" t="str">
        <f>IFERROR(__xludf.DUMMYFUNCTION("""COMPUTED_VALUE"""),"Walk-In")</f>
        <v>Walk-In</v>
      </c>
      <c r="C2211" s="124" t="str">
        <f>IFERROR(__xludf.DUMMYFUNCTION("""COMPUTED_VALUE"""),"Patna")</f>
        <v>Patna</v>
      </c>
      <c r="D2211" s="124" t="str">
        <f>IFERROR(__xludf.DUMMYFUNCTION("""COMPUTED_VALUE"""),"Primary_Walkin")</f>
        <v>Primary_Walkin</v>
      </c>
      <c r="E2211" s="124">
        <f>IFERROR(__xludf.DUMMYFUNCTION("""COMPUTED_VALUE"""),1.0)</f>
        <v>1</v>
      </c>
      <c r="F2211" s="124" t="str">
        <f>IFERROR(__xludf.DUMMYFUNCTION("""COMPUTED_VALUE"""),"Not Interested")</f>
        <v>Not Interested</v>
      </c>
      <c r="G2211" s="124" t="str">
        <f>IFERROR(__xludf.DUMMYFUNCTION("""COMPUTED_VALUE"""),"State PCS")</f>
        <v>State PCS</v>
      </c>
      <c r="K2211" s="124"/>
      <c r="L2211" s="124"/>
      <c r="M2211" s="124"/>
      <c r="N2211" s="124"/>
      <c r="O2211" s="124"/>
      <c r="T2211" s="129">
        <f>IFERROR(__xludf.DUMMYFUNCTION("""COMPUTED_VALUE"""),46091.0)</f>
        <v>46091</v>
      </c>
      <c r="U2211" s="124" t="str">
        <f>IFERROR(__xludf.DUMMYFUNCTION("""COMPUTED_VALUE"""),"Walk-Ins")</f>
        <v>Walk-Ins</v>
      </c>
      <c r="V2211" s="124" t="str">
        <f>IFERROR(__xludf.DUMMYFUNCTION("""COMPUTED_VALUE"""),"Walkin")</f>
        <v>Walkin</v>
      </c>
      <c r="W2211" s="124" t="str">
        <f>IFERROR(__xludf.DUMMYFUNCTION("""COMPUTED_VALUE"""),"Indore")</f>
        <v>Indore</v>
      </c>
      <c r="X2211" s="124" t="str">
        <f>IFERROR(__xludf.DUMMYFUNCTION("""COMPUTED_VALUE"""),"Walkin")</f>
        <v>Walkin</v>
      </c>
      <c r="Y2211" s="124" t="str">
        <f>IFERROR(__xludf.DUMMYFUNCTION("""COMPUTED_VALUE"""),"Indore")</f>
        <v>Indore</v>
      </c>
      <c r="Z2211" s="124">
        <f>IFERROR(__xludf.DUMMYFUNCTION("""COMPUTED_VALUE"""),3.0)</f>
        <v>3</v>
      </c>
      <c r="AA2211" s="124" t="str">
        <f>IFERROR(__xludf.DUMMYFUNCTION("""COMPUTED_VALUE"""),"Cold")</f>
        <v>Cold</v>
      </c>
      <c r="AB2211" s="124" t="str">
        <f>IFERROR(__xludf.DUMMYFUNCTION("""COMPUTED_VALUE"""),"Test Series")</f>
        <v>Test Series</v>
      </c>
    </row>
    <row r="2212">
      <c r="A2212" s="126">
        <f>IFERROR(__xludf.DUMMYFUNCTION("""COMPUTED_VALUE"""),46078.0)</f>
        <v>46078</v>
      </c>
      <c r="B2212" s="124" t="str">
        <f>IFERROR(__xludf.DUMMYFUNCTION("""COMPUTED_VALUE"""),"Walkin")</f>
        <v>Walkin</v>
      </c>
      <c r="C2212" s="124" t="str">
        <f>IFERROR(__xludf.DUMMYFUNCTION("""COMPUTED_VALUE"""),"Patna")</f>
        <v>Patna</v>
      </c>
      <c r="D2212" s="124" t="str">
        <f>IFERROR(__xludf.DUMMYFUNCTION("""COMPUTED_VALUE"""),"Primary_Walkin")</f>
        <v>Primary_Walkin</v>
      </c>
      <c r="E2212" s="124">
        <f>IFERROR(__xludf.DUMMYFUNCTION("""COMPUTED_VALUE"""),1.0)</f>
        <v>1</v>
      </c>
      <c r="F2212" s="124" t="str">
        <f>IFERROR(__xludf.DUMMYFUNCTION("""COMPUTED_VALUE"""),"Warm")</f>
        <v>Warm</v>
      </c>
      <c r="G2212" s="124" t="str">
        <f>IFERROR(__xludf.DUMMYFUNCTION("""COMPUTED_VALUE"""),"GS Foundation")</f>
        <v>GS Foundation</v>
      </c>
      <c r="K2212" s="124"/>
      <c r="L2212" s="124"/>
      <c r="M2212" s="124"/>
      <c r="N2212" s="124"/>
      <c r="O2212" s="124"/>
      <c r="T2212" s="126">
        <f>IFERROR(__xludf.DUMMYFUNCTION("""COMPUTED_VALUE"""),46071.0)</f>
        <v>46071</v>
      </c>
      <c r="U2212" s="124" t="str">
        <f>IFERROR(__xludf.DUMMYFUNCTION("""COMPUTED_VALUE"""),"Walk-Ins")</f>
        <v>Walk-Ins</v>
      </c>
      <c r="V2212" s="124" t="str">
        <f>IFERROR(__xludf.DUMMYFUNCTION("""COMPUTED_VALUE"""),"Walkin")</f>
        <v>Walkin</v>
      </c>
      <c r="W2212" s="124" t="str">
        <f>IFERROR(__xludf.DUMMYFUNCTION("""COMPUTED_VALUE"""),"Prayagraj")</f>
        <v>Prayagraj</v>
      </c>
      <c r="X2212" s="124" t="str">
        <f>IFERROR(__xludf.DUMMYFUNCTION("""COMPUTED_VALUE"""),"Walkin")</f>
        <v>Walkin</v>
      </c>
      <c r="Y2212" s="124" t="str">
        <f>IFERROR(__xludf.DUMMYFUNCTION("""COMPUTED_VALUE"""),"Prayagraj")</f>
        <v>Prayagraj</v>
      </c>
      <c r="Z2212" s="124">
        <f>IFERROR(__xludf.DUMMYFUNCTION("""COMPUTED_VALUE"""),2.0)</f>
        <v>2</v>
      </c>
      <c r="AA2212" s="124" t="str">
        <f>IFERROR(__xludf.DUMMYFUNCTION("""COMPUTED_VALUE"""),"Future Prospects")</f>
        <v>Future Prospects</v>
      </c>
      <c r="AB2212" s="124" t="str">
        <f>IFERROR(__xludf.DUMMYFUNCTION("""COMPUTED_VALUE"""),"State PCS")</f>
        <v>State PCS</v>
      </c>
    </row>
    <row r="2213">
      <c r="A2213" s="126">
        <f>IFERROR(__xludf.DUMMYFUNCTION("""COMPUTED_VALUE"""),46112.0)</f>
        <v>46112</v>
      </c>
      <c r="B2213" s="124" t="str">
        <f>IFERROR(__xludf.DUMMYFUNCTION("""COMPUTED_VALUE"""),"Walkin")</f>
        <v>Walkin</v>
      </c>
      <c r="C2213" s="124" t="str">
        <f>IFERROR(__xludf.DUMMYFUNCTION("""COMPUTED_VALUE"""),"Patna")</f>
        <v>Patna</v>
      </c>
      <c r="D2213" s="124" t="str">
        <f>IFERROR(__xludf.DUMMYFUNCTION("""COMPUTED_VALUE"""),"Primary_Walkin")</f>
        <v>Primary_Walkin</v>
      </c>
      <c r="E2213" s="124">
        <f>IFERROR(__xludf.DUMMYFUNCTION("""COMPUTED_VALUE"""),1.0)</f>
        <v>1</v>
      </c>
      <c r="F2213" s="124" t="str">
        <f>IFERROR(__xludf.DUMMYFUNCTION("""COMPUTED_VALUE"""),"Enrolled")</f>
        <v>Enrolled</v>
      </c>
      <c r="G2213" s="124" t="str">
        <f>IFERROR(__xludf.DUMMYFUNCTION("""COMPUTED_VALUE"""),"GS Foundation")</f>
        <v>GS Foundation</v>
      </c>
      <c r="K2213" s="124"/>
      <c r="L2213" s="124"/>
      <c r="M2213" s="124"/>
      <c r="N2213" s="124"/>
      <c r="O2213" s="124"/>
      <c r="T2213" s="129">
        <f>IFERROR(__xludf.DUMMYFUNCTION("""COMPUTED_VALUE"""),46044.0)</f>
        <v>46044</v>
      </c>
      <c r="U2213" s="124" t="str">
        <f>IFERROR(__xludf.DUMMYFUNCTION("""COMPUTED_VALUE"""),"Walk-Ins")</f>
        <v>Walk-Ins</v>
      </c>
      <c r="V2213" s="124" t="str">
        <f>IFERROR(__xludf.DUMMYFUNCTION("""COMPUTED_VALUE"""),"Walkin")</f>
        <v>Walkin</v>
      </c>
      <c r="W2213" s="124" t="str">
        <f>IFERROR(__xludf.DUMMYFUNCTION("""COMPUTED_VALUE"""),"Indore")</f>
        <v>Indore</v>
      </c>
      <c r="X2213" s="124" t="str">
        <f>IFERROR(__xludf.DUMMYFUNCTION("""COMPUTED_VALUE"""),"Walkin")</f>
        <v>Walkin</v>
      </c>
      <c r="Y2213" s="124" t="str">
        <f>IFERROR(__xludf.DUMMYFUNCTION("""COMPUTED_VALUE"""),"Indore")</f>
        <v>Indore</v>
      </c>
      <c r="Z2213" s="124">
        <f>IFERROR(__xludf.DUMMYFUNCTION("""COMPUTED_VALUE"""),1.0)</f>
        <v>1</v>
      </c>
      <c r="AA2213" s="124" t="str">
        <f>IFERROR(__xludf.DUMMYFUNCTION("""COMPUTED_VALUE"""),"Cold")</f>
        <v>Cold</v>
      </c>
      <c r="AB2213" s="124" t="str">
        <f>IFERROR(__xludf.DUMMYFUNCTION("""COMPUTED_VALUE"""),"State PCS")</f>
        <v>State PCS</v>
      </c>
    </row>
    <row r="2214">
      <c r="A2214" s="126">
        <f>IFERROR(__xludf.DUMMYFUNCTION("""COMPUTED_VALUE"""),46064.0)</f>
        <v>46064</v>
      </c>
      <c r="B2214" s="124" t="str">
        <f>IFERROR(__xludf.DUMMYFUNCTION("""COMPUTED_VALUE"""),"Walkin")</f>
        <v>Walkin</v>
      </c>
      <c r="C2214" s="124" t="str">
        <f>IFERROR(__xludf.DUMMYFUNCTION("""COMPUTED_VALUE"""),"Patna")</f>
        <v>Patna</v>
      </c>
      <c r="D2214" s="124" t="str">
        <f>IFERROR(__xludf.DUMMYFUNCTION("""COMPUTED_VALUE"""),"Primary_Walkin")</f>
        <v>Primary_Walkin</v>
      </c>
      <c r="E2214" s="124">
        <f>IFERROR(__xludf.DUMMYFUNCTION("""COMPUTED_VALUE"""),1.0)</f>
        <v>1</v>
      </c>
      <c r="F2214" s="124" t="str">
        <f>IFERROR(__xludf.DUMMYFUNCTION("""COMPUTED_VALUE"""),"Fake Lead")</f>
        <v>Fake Lead</v>
      </c>
      <c r="G2214" s="124" t="str">
        <f>IFERROR(__xludf.DUMMYFUNCTION("""COMPUTED_VALUE"""),"State PCS")</f>
        <v>State PCS</v>
      </c>
      <c r="K2214" s="124"/>
      <c r="L2214" s="124"/>
      <c r="M2214" s="124"/>
      <c r="N2214" s="124"/>
      <c r="O2214" s="124"/>
      <c r="T2214" s="126">
        <f>IFERROR(__xludf.DUMMYFUNCTION("""COMPUTED_VALUE"""),46090.0)</f>
        <v>46090</v>
      </c>
      <c r="U2214" s="124" t="str">
        <f>IFERROR(__xludf.DUMMYFUNCTION("""COMPUTED_VALUE"""),"Walk-Ins")</f>
        <v>Walk-Ins</v>
      </c>
      <c r="V2214" s="124" t="str">
        <f>IFERROR(__xludf.DUMMYFUNCTION("""COMPUTED_VALUE"""),"Walkin")</f>
        <v>Walkin</v>
      </c>
      <c r="W2214" s="124" t="str">
        <f>IFERROR(__xludf.DUMMYFUNCTION("""COMPUTED_VALUE"""),"Patna")</f>
        <v>Patna</v>
      </c>
      <c r="X2214" s="124" t="str">
        <f>IFERROR(__xludf.DUMMYFUNCTION("""COMPUTED_VALUE"""),"Walkin")</f>
        <v>Walkin</v>
      </c>
      <c r="Y2214" s="124" t="str">
        <f>IFERROR(__xludf.DUMMYFUNCTION("""COMPUTED_VALUE"""),"Patna")</f>
        <v>Patna</v>
      </c>
      <c r="Z2214" s="124">
        <f>IFERROR(__xludf.DUMMYFUNCTION("""COMPUTED_VALUE"""),1.0)</f>
        <v>1</v>
      </c>
      <c r="AA2214" s="124" t="str">
        <f>IFERROR(__xludf.DUMMYFUNCTION("""COMPUTED_VALUE"""),"Enrolled")</f>
        <v>Enrolled</v>
      </c>
      <c r="AB2214" s="124" t="str">
        <f>IFERROR(__xludf.DUMMYFUNCTION("""COMPUTED_VALUE"""),"Test Series")</f>
        <v>Test Series</v>
      </c>
    </row>
    <row r="2215">
      <c r="A2215" s="126">
        <f>IFERROR(__xludf.DUMMYFUNCTION("""COMPUTED_VALUE"""),46080.0)</f>
        <v>46080</v>
      </c>
      <c r="B2215" s="124" t="str">
        <f>IFERROR(__xludf.DUMMYFUNCTION("""COMPUTED_VALUE"""),"Walkin")</f>
        <v>Walkin</v>
      </c>
      <c r="C2215" s="124" t="str">
        <f>IFERROR(__xludf.DUMMYFUNCTION("""COMPUTED_VALUE"""),"Patna")</f>
        <v>Patna</v>
      </c>
      <c r="D2215" s="124" t="str">
        <f>IFERROR(__xludf.DUMMYFUNCTION("""COMPUTED_VALUE"""),"Primary_Walkin")</f>
        <v>Primary_Walkin</v>
      </c>
      <c r="E2215" s="124">
        <f>IFERROR(__xludf.DUMMYFUNCTION("""COMPUTED_VALUE"""),1.0)</f>
        <v>1</v>
      </c>
      <c r="F2215" s="124" t="str">
        <f>IFERROR(__xludf.DUMMYFUNCTION("""COMPUTED_VALUE"""),"Fake Lead")</f>
        <v>Fake Lead</v>
      </c>
      <c r="G2215" s="124" t="str">
        <f>IFERROR(__xludf.DUMMYFUNCTION("""COMPUTED_VALUE"""),"State PCS")</f>
        <v>State PCS</v>
      </c>
      <c r="K2215" s="124"/>
      <c r="L2215" s="124"/>
      <c r="M2215" s="124"/>
      <c r="N2215" s="124"/>
      <c r="O2215" s="124"/>
      <c r="T2215" s="129">
        <f>IFERROR(__xludf.DUMMYFUNCTION("""COMPUTED_VALUE"""),46108.0)</f>
        <v>46108</v>
      </c>
      <c r="U2215" s="124" t="str">
        <f>IFERROR(__xludf.DUMMYFUNCTION("""COMPUTED_VALUE"""),"Walk-Ins")</f>
        <v>Walk-Ins</v>
      </c>
      <c r="V2215" s="124" t="str">
        <f>IFERROR(__xludf.DUMMYFUNCTION("""COMPUTED_VALUE"""),"Walkin")</f>
        <v>Walkin</v>
      </c>
      <c r="W2215" s="124" t="str">
        <f>IFERROR(__xludf.DUMMYFUNCTION("""COMPUTED_VALUE"""),"Indore")</f>
        <v>Indore</v>
      </c>
      <c r="X2215" s="124" t="str">
        <f>IFERROR(__xludf.DUMMYFUNCTION("""COMPUTED_VALUE"""),"Walkin")</f>
        <v>Walkin</v>
      </c>
      <c r="Y2215" s="124" t="str">
        <f>IFERROR(__xludf.DUMMYFUNCTION("""COMPUTED_VALUE"""),"Indore")</f>
        <v>Indore</v>
      </c>
      <c r="Z2215" s="124">
        <f>IFERROR(__xludf.DUMMYFUNCTION("""COMPUTED_VALUE"""),2.0)</f>
        <v>2</v>
      </c>
      <c r="AA2215" s="124" t="str">
        <f>IFERROR(__xludf.DUMMYFUNCTION("""COMPUTED_VALUE"""),"Not Interested")</f>
        <v>Not Interested</v>
      </c>
      <c r="AB2215" s="124" t="str">
        <f>IFERROR(__xludf.DUMMYFUNCTION("""COMPUTED_VALUE"""),"State PCS")</f>
        <v>State PCS</v>
      </c>
    </row>
    <row r="2216">
      <c r="A2216" s="126">
        <f>IFERROR(__xludf.DUMMYFUNCTION("""COMPUTED_VALUE"""),46068.0)</f>
        <v>46068</v>
      </c>
      <c r="B2216" s="124" t="str">
        <f>IFERROR(__xludf.DUMMYFUNCTION("""COMPUTED_VALUE"""),"Walk-In")</f>
        <v>Walk-In</v>
      </c>
      <c r="C2216" s="124" t="str">
        <f>IFERROR(__xludf.DUMMYFUNCTION("""COMPUTED_VALUE"""),"Patna")</f>
        <v>Patna</v>
      </c>
      <c r="D2216" s="124" t="str">
        <f>IFERROR(__xludf.DUMMYFUNCTION("""COMPUTED_VALUE"""),"Primary_Walkin")</f>
        <v>Primary_Walkin</v>
      </c>
      <c r="E2216" s="124">
        <f>IFERROR(__xludf.DUMMYFUNCTION("""COMPUTED_VALUE"""),1.0)</f>
        <v>1</v>
      </c>
      <c r="F2216" s="124" t="str">
        <f>IFERROR(__xludf.DUMMYFUNCTION("""COMPUTED_VALUE"""),"Cold")</f>
        <v>Cold</v>
      </c>
      <c r="G2216" s="124" t="str">
        <f>IFERROR(__xludf.DUMMYFUNCTION("""COMPUTED_VALUE"""),"Test Series")</f>
        <v>Test Series</v>
      </c>
      <c r="K2216" s="124"/>
      <c r="L2216" s="124"/>
      <c r="M2216" s="124"/>
      <c r="N2216" s="124"/>
      <c r="O2216" s="124"/>
      <c r="T2216" s="129">
        <f>IFERROR(__xludf.DUMMYFUNCTION("""COMPUTED_VALUE"""),46064.0)</f>
        <v>46064</v>
      </c>
      <c r="U2216" s="124" t="str">
        <f>IFERROR(__xludf.DUMMYFUNCTION("""COMPUTED_VALUE"""),"Walk-Ins")</f>
        <v>Walk-Ins</v>
      </c>
      <c r="V2216" s="124" t="str">
        <f>IFERROR(__xludf.DUMMYFUNCTION("""COMPUTED_VALUE"""),"Walkin")</f>
        <v>Walkin</v>
      </c>
      <c r="W2216" s="124" t="str">
        <f>IFERROR(__xludf.DUMMYFUNCTION("""COMPUTED_VALUE"""),"Indore")</f>
        <v>Indore</v>
      </c>
      <c r="X2216" s="124" t="str">
        <f>IFERROR(__xludf.DUMMYFUNCTION("""COMPUTED_VALUE"""),"Walkin")</f>
        <v>Walkin</v>
      </c>
      <c r="Y2216" s="124" t="str">
        <f>IFERROR(__xludf.DUMMYFUNCTION("""COMPUTED_VALUE"""),"Indore")</f>
        <v>Indore</v>
      </c>
      <c r="Z2216" s="124">
        <f>IFERROR(__xludf.DUMMYFUNCTION("""COMPUTED_VALUE"""),2.0)</f>
        <v>2</v>
      </c>
      <c r="AA2216" s="124" t="str">
        <f>IFERROR(__xludf.DUMMYFUNCTION("""COMPUTED_VALUE"""),"Warm")</f>
        <v>Warm</v>
      </c>
      <c r="AB2216" s="124" t="str">
        <f>IFERROR(__xludf.DUMMYFUNCTION("""COMPUTED_VALUE"""),"Other")</f>
        <v>Other</v>
      </c>
    </row>
    <row r="2217">
      <c r="A2217" s="126">
        <f>IFERROR(__xludf.DUMMYFUNCTION("""COMPUTED_VALUE"""),46104.0)</f>
        <v>46104</v>
      </c>
      <c r="B2217" s="124" t="str">
        <f>IFERROR(__xludf.DUMMYFUNCTION("""COMPUTED_VALUE"""),"Walk-In")</f>
        <v>Walk-In</v>
      </c>
      <c r="C2217" s="124" t="str">
        <f>IFERROR(__xludf.DUMMYFUNCTION("""COMPUTED_VALUE"""),"Patna")</f>
        <v>Patna</v>
      </c>
      <c r="D2217" s="124" t="str">
        <f>IFERROR(__xludf.DUMMYFUNCTION("""COMPUTED_VALUE"""),"Primary_Walkin")</f>
        <v>Primary_Walkin</v>
      </c>
      <c r="E2217" s="124">
        <f>IFERROR(__xludf.DUMMYFUNCTION("""COMPUTED_VALUE"""),1.0)</f>
        <v>1</v>
      </c>
      <c r="F2217" s="124" t="str">
        <f>IFERROR(__xludf.DUMMYFUNCTION("""COMPUTED_VALUE"""),"Not Interested")</f>
        <v>Not Interested</v>
      </c>
      <c r="G2217" s="124" t="str">
        <f>IFERROR(__xludf.DUMMYFUNCTION("""COMPUTED_VALUE"""),"State PCS")</f>
        <v>State PCS</v>
      </c>
      <c r="K2217" s="124"/>
      <c r="L2217" s="124"/>
      <c r="M2217" s="124"/>
      <c r="N2217" s="124"/>
      <c r="O2217" s="124"/>
      <c r="T2217" s="129">
        <f>IFERROR(__xludf.DUMMYFUNCTION("""COMPUTED_VALUE"""),46091.0)</f>
        <v>46091</v>
      </c>
      <c r="U2217" s="124" t="str">
        <f>IFERROR(__xludf.DUMMYFUNCTION("""COMPUTED_VALUE"""),"Walk-Ins")</f>
        <v>Walk-Ins</v>
      </c>
      <c r="V2217" s="124" t="str">
        <f>IFERROR(__xludf.DUMMYFUNCTION("""COMPUTED_VALUE"""),"Walkin")</f>
        <v>Walkin</v>
      </c>
      <c r="W2217" s="124" t="str">
        <f>IFERROR(__xludf.DUMMYFUNCTION("""COMPUTED_VALUE"""),"Patna")</f>
        <v>Patna</v>
      </c>
      <c r="X2217" s="124" t="str">
        <f>IFERROR(__xludf.DUMMYFUNCTION("""COMPUTED_VALUE"""),"Walkin")</f>
        <v>Walkin</v>
      </c>
      <c r="Y2217" s="124" t="str">
        <f>IFERROR(__xludf.DUMMYFUNCTION("""COMPUTED_VALUE"""),"Patna")</f>
        <v>Patna</v>
      </c>
      <c r="Z2217" s="124">
        <f>IFERROR(__xludf.DUMMYFUNCTION("""COMPUTED_VALUE"""),4.0)</f>
        <v>4</v>
      </c>
      <c r="AA2217" s="124" t="str">
        <f>IFERROR(__xludf.DUMMYFUNCTION("""COMPUTED_VALUE"""),"Fake Lead")</f>
        <v>Fake Lead</v>
      </c>
      <c r="AB2217" s="124" t="str">
        <f>IFERROR(__xludf.DUMMYFUNCTION("""COMPUTED_VALUE"""),"State PCS")</f>
        <v>State PCS</v>
      </c>
    </row>
    <row r="2218">
      <c r="A2218" s="126">
        <f>IFERROR(__xludf.DUMMYFUNCTION("""COMPUTED_VALUE"""),46051.0)</f>
        <v>46051</v>
      </c>
      <c r="B2218" s="124" t="str">
        <f>IFERROR(__xludf.DUMMYFUNCTION("""COMPUTED_VALUE"""),"Walkin")</f>
        <v>Walkin</v>
      </c>
      <c r="C2218" s="124" t="str">
        <f>IFERROR(__xludf.DUMMYFUNCTION("""COMPUTED_VALUE"""),"Patna")</f>
        <v>Patna</v>
      </c>
      <c r="D2218" s="124" t="str">
        <f>IFERROR(__xludf.DUMMYFUNCTION("""COMPUTED_VALUE"""),"Primary_Walkin")</f>
        <v>Primary_Walkin</v>
      </c>
      <c r="E2218" s="124">
        <f>IFERROR(__xludf.DUMMYFUNCTION("""COMPUTED_VALUE"""),1.0)</f>
        <v>1</v>
      </c>
      <c r="F2218" s="124" t="str">
        <f>IFERROR(__xludf.DUMMYFUNCTION("""COMPUTED_VALUE"""),"Enrolled")</f>
        <v>Enrolled</v>
      </c>
      <c r="G2218" s="124" t="str">
        <f>IFERROR(__xludf.DUMMYFUNCTION("""COMPUTED_VALUE"""),"State PCS")</f>
        <v>State PCS</v>
      </c>
      <c r="K2218" s="124"/>
      <c r="L2218" s="124"/>
      <c r="M2218" s="124"/>
      <c r="N2218" s="124"/>
      <c r="O2218" s="124"/>
      <c r="T2218" s="126">
        <f>IFERROR(__xludf.DUMMYFUNCTION("""COMPUTED_VALUE"""),46105.0)</f>
        <v>46105</v>
      </c>
      <c r="U2218" s="124" t="str">
        <f>IFERROR(__xludf.DUMMYFUNCTION("""COMPUTED_VALUE"""),"Walk-Ins")</f>
        <v>Walk-Ins</v>
      </c>
      <c r="V2218" s="124" t="str">
        <f>IFERROR(__xludf.DUMMYFUNCTION("""COMPUTED_VALUE"""),"Walkin")</f>
        <v>Walkin</v>
      </c>
      <c r="W2218" s="124" t="str">
        <f>IFERROR(__xludf.DUMMYFUNCTION("""COMPUTED_VALUE"""),"Indore")</f>
        <v>Indore</v>
      </c>
      <c r="X2218" s="124" t="str">
        <f>IFERROR(__xludf.DUMMYFUNCTION("""COMPUTED_VALUE"""),"Walkin")</f>
        <v>Walkin</v>
      </c>
      <c r="Y2218" s="124" t="str">
        <f>IFERROR(__xludf.DUMMYFUNCTION("""COMPUTED_VALUE"""),"Indore")</f>
        <v>Indore</v>
      </c>
      <c r="Z2218" s="124">
        <f>IFERROR(__xludf.DUMMYFUNCTION("""COMPUTED_VALUE"""),3.0)</f>
        <v>3</v>
      </c>
      <c r="AA2218" s="124" t="str">
        <f>IFERROR(__xludf.DUMMYFUNCTION("""COMPUTED_VALUE"""),"Not Interested")</f>
        <v>Not Interested</v>
      </c>
      <c r="AB2218" s="124" t="str">
        <f>IFERROR(__xludf.DUMMYFUNCTION("""COMPUTED_VALUE"""),"State PCS")</f>
        <v>State PCS</v>
      </c>
    </row>
    <row r="2219">
      <c r="A2219" s="126">
        <f>IFERROR(__xludf.DUMMYFUNCTION("""COMPUTED_VALUE"""),46094.0)</f>
        <v>46094</v>
      </c>
      <c r="B2219" s="124" t="str">
        <f>IFERROR(__xludf.DUMMYFUNCTION("""COMPUTED_VALUE"""),"Walkin")</f>
        <v>Walkin</v>
      </c>
      <c r="C2219" s="124" t="str">
        <f>IFERROR(__xludf.DUMMYFUNCTION("""COMPUTED_VALUE"""),"Patna")</f>
        <v>Patna</v>
      </c>
      <c r="D2219" s="124" t="str">
        <f>IFERROR(__xludf.DUMMYFUNCTION("""COMPUTED_VALUE"""),"Primary_Walkin")</f>
        <v>Primary_Walkin</v>
      </c>
      <c r="E2219" s="124">
        <f>IFERROR(__xludf.DUMMYFUNCTION("""COMPUTED_VALUE"""),1.0)</f>
        <v>1</v>
      </c>
      <c r="F2219" s="124" t="str">
        <f>IFERROR(__xludf.DUMMYFUNCTION("""COMPUTED_VALUE"""),"Enrolled")</f>
        <v>Enrolled</v>
      </c>
      <c r="G2219" s="124" t="str">
        <f>IFERROR(__xludf.DUMMYFUNCTION("""COMPUTED_VALUE"""),"State PCS")</f>
        <v>State PCS</v>
      </c>
      <c r="K2219" s="124"/>
      <c r="L2219" s="124"/>
      <c r="M2219" s="124"/>
      <c r="N2219" s="124"/>
      <c r="O2219" s="124"/>
      <c r="T2219" s="126">
        <f>IFERROR(__xludf.DUMMYFUNCTION("""COMPUTED_VALUE"""),46089.0)</f>
        <v>46089</v>
      </c>
      <c r="U2219" s="124" t="str">
        <f>IFERROR(__xludf.DUMMYFUNCTION("""COMPUTED_VALUE"""),"Walk-Ins")</f>
        <v>Walk-Ins</v>
      </c>
      <c r="V2219" s="124" t="str">
        <f>IFERROR(__xludf.DUMMYFUNCTION("""COMPUTED_VALUE"""),"Walk-In")</f>
        <v>Walk-In</v>
      </c>
      <c r="W2219" s="124" t="str">
        <f>IFERROR(__xludf.DUMMYFUNCTION("""COMPUTED_VALUE"""),"Patna")</f>
        <v>Patna</v>
      </c>
      <c r="X2219" s="124" t="str">
        <f>IFERROR(__xludf.DUMMYFUNCTION("""COMPUTED_VALUE"""),"Others")</f>
        <v>Others</v>
      </c>
      <c r="Y2219" s="124" t="str">
        <f>IFERROR(__xludf.DUMMYFUNCTION("""COMPUTED_VALUE"""),"Patna")</f>
        <v>Patna</v>
      </c>
      <c r="Z2219" s="124">
        <f>IFERROR(__xludf.DUMMYFUNCTION("""COMPUTED_VALUE"""),1.0)</f>
        <v>1</v>
      </c>
      <c r="AA2219" s="124" t="str">
        <f>IFERROR(__xludf.DUMMYFUNCTION("""COMPUTED_VALUE"""),"Fake Lead")</f>
        <v>Fake Lead</v>
      </c>
      <c r="AB2219" s="124" t="str">
        <f>IFERROR(__xludf.DUMMYFUNCTION("""COMPUTED_VALUE"""),"GS Advanced")</f>
        <v>GS Advanced</v>
      </c>
    </row>
    <row r="2220">
      <c r="A2220" s="126">
        <f>IFERROR(__xludf.DUMMYFUNCTION("""COMPUTED_VALUE"""),46091.0)</f>
        <v>46091</v>
      </c>
      <c r="B2220" s="124" t="str">
        <f>IFERROR(__xludf.DUMMYFUNCTION("""COMPUTED_VALUE"""),"Walkin")</f>
        <v>Walkin</v>
      </c>
      <c r="C2220" s="124" t="str">
        <f>IFERROR(__xludf.DUMMYFUNCTION("""COMPUTED_VALUE"""),"Patna")</f>
        <v>Patna</v>
      </c>
      <c r="D2220" s="124" t="str">
        <f>IFERROR(__xludf.DUMMYFUNCTION("""COMPUTED_VALUE"""),"Primary_Walkin")</f>
        <v>Primary_Walkin</v>
      </c>
      <c r="E2220" s="124">
        <f>IFERROR(__xludf.DUMMYFUNCTION("""COMPUTED_VALUE"""),1.0)</f>
        <v>1</v>
      </c>
      <c r="F2220" s="124" t="str">
        <f>IFERROR(__xludf.DUMMYFUNCTION("""COMPUTED_VALUE"""),"Not Interested")</f>
        <v>Not Interested</v>
      </c>
      <c r="G2220" s="124" t="str">
        <f>IFERROR(__xludf.DUMMYFUNCTION("""COMPUTED_VALUE"""),"State PCS")</f>
        <v>State PCS</v>
      </c>
      <c r="K2220" s="124"/>
      <c r="L2220" s="124"/>
      <c r="M2220" s="124"/>
      <c r="N2220" s="124"/>
      <c r="O2220" s="124"/>
      <c r="T2220" s="126">
        <f>IFERROR(__xludf.DUMMYFUNCTION("""COMPUTED_VALUE"""),46106.0)</f>
        <v>46106</v>
      </c>
      <c r="U2220" s="124" t="str">
        <f>IFERROR(__xludf.DUMMYFUNCTION("""COMPUTED_VALUE"""),"Walk-Ins")</f>
        <v>Walk-Ins</v>
      </c>
      <c r="V2220" s="124" t="str">
        <f>IFERROR(__xludf.DUMMYFUNCTION("""COMPUTED_VALUE"""),"Walkin")</f>
        <v>Walkin</v>
      </c>
      <c r="W2220" s="124" t="str">
        <f>IFERROR(__xludf.DUMMYFUNCTION("""COMPUTED_VALUE"""),"Patna")</f>
        <v>Patna</v>
      </c>
      <c r="X2220" s="124" t="str">
        <f>IFERROR(__xludf.DUMMYFUNCTION("""COMPUTED_VALUE"""),"Walkin")</f>
        <v>Walkin</v>
      </c>
      <c r="Y2220" s="124" t="str">
        <f>IFERROR(__xludf.DUMMYFUNCTION("""COMPUTED_VALUE"""),"Patna")</f>
        <v>Patna</v>
      </c>
      <c r="Z2220" s="124">
        <f>IFERROR(__xludf.DUMMYFUNCTION("""COMPUTED_VALUE"""),3.0)</f>
        <v>3</v>
      </c>
      <c r="AA2220" s="124" t="str">
        <f>IFERROR(__xludf.DUMMYFUNCTION("""COMPUTED_VALUE"""),"Warm")</f>
        <v>Warm</v>
      </c>
      <c r="AB2220" s="124" t="str">
        <f>IFERROR(__xludf.DUMMYFUNCTION("""COMPUTED_VALUE"""),"State PCS")</f>
        <v>State PCS</v>
      </c>
    </row>
    <row r="2221">
      <c r="A2221" s="126">
        <f>IFERROR(__xludf.DUMMYFUNCTION("""COMPUTED_VALUE"""),46098.0)</f>
        <v>46098</v>
      </c>
      <c r="B2221" s="124" t="str">
        <f>IFERROR(__xludf.DUMMYFUNCTION("""COMPUTED_VALUE"""),"Walkin")</f>
        <v>Walkin</v>
      </c>
      <c r="C2221" s="124" t="str">
        <f>IFERROR(__xludf.DUMMYFUNCTION("""COMPUTED_VALUE"""),"Patna")</f>
        <v>Patna</v>
      </c>
      <c r="D2221" s="124" t="str">
        <f>IFERROR(__xludf.DUMMYFUNCTION("""COMPUTED_VALUE"""),"Primary_Walkin")</f>
        <v>Primary_Walkin</v>
      </c>
      <c r="E2221" s="124">
        <f>IFERROR(__xludf.DUMMYFUNCTION("""COMPUTED_VALUE"""),1.0)</f>
        <v>1</v>
      </c>
      <c r="F2221" s="124" t="str">
        <f>IFERROR(__xludf.DUMMYFUNCTION("""COMPUTED_VALUE"""),"Warm")</f>
        <v>Warm</v>
      </c>
      <c r="G2221" s="124" t="str">
        <f>IFERROR(__xludf.DUMMYFUNCTION("""COMPUTED_VALUE"""),"GS Foundation")</f>
        <v>GS Foundation</v>
      </c>
      <c r="K2221" s="124"/>
      <c r="L2221" s="124"/>
      <c r="M2221" s="124"/>
      <c r="N2221" s="124"/>
      <c r="O2221" s="124"/>
      <c r="T2221" s="129">
        <f>IFERROR(__xludf.DUMMYFUNCTION("""COMPUTED_VALUE"""),46098.0)</f>
        <v>46098</v>
      </c>
      <c r="U2221" s="124" t="str">
        <f>IFERROR(__xludf.DUMMYFUNCTION("""COMPUTED_VALUE"""),"Walk-Ins")</f>
        <v>Walk-Ins</v>
      </c>
      <c r="V2221" s="124" t="str">
        <f>IFERROR(__xludf.DUMMYFUNCTION("""COMPUTED_VALUE"""),"Walkin")</f>
        <v>Walkin</v>
      </c>
      <c r="W2221" s="124" t="str">
        <f>IFERROR(__xludf.DUMMYFUNCTION("""COMPUTED_VALUE"""),"Indore")</f>
        <v>Indore</v>
      </c>
      <c r="X2221" s="124" t="str">
        <f>IFERROR(__xludf.DUMMYFUNCTION("""COMPUTED_VALUE"""),"Walkin")</f>
        <v>Walkin</v>
      </c>
      <c r="Y2221" s="124" t="str">
        <f>IFERROR(__xludf.DUMMYFUNCTION("""COMPUTED_VALUE"""),"Indore")</f>
        <v>Indore</v>
      </c>
      <c r="Z2221" s="124">
        <f>IFERROR(__xludf.DUMMYFUNCTION("""COMPUTED_VALUE"""),3.0)</f>
        <v>3</v>
      </c>
      <c r="AA2221" s="124" t="str">
        <f>IFERROR(__xludf.DUMMYFUNCTION("""COMPUTED_VALUE"""),"Cold")</f>
        <v>Cold</v>
      </c>
      <c r="AB2221" s="124" t="str">
        <f>IFERROR(__xludf.DUMMYFUNCTION("""COMPUTED_VALUE"""),"State PCS")</f>
        <v>State PCS</v>
      </c>
    </row>
    <row r="2222">
      <c r="A2222" s="126">
        <f>IFERROR(__xludf.DUMMYFUNCTION("""COMPUTED_VALUE"""),46093.0)</f>
        <v>46093</v>
      </c>
      <c r="B2222" s="124" t="str">
        <f>IFERROR(__xludf.DUMMYFUNCTION("""COMPUTED_VALUE"""),"Walkin")</f>
        <v>Walkin</v>
      </c>
      <c r="C2222" s="124" t="str">
        <f>IFERROR(__xludf.DUMMYFUNCTION("""COMPUTED_VALUE"""),"Patna")</f>
        <v>Patna</v>
      </c>
      <c r="D2222" s="124" t="str">
        <f>IFERROR(__xludf.DUMMYFUNCTION("""COMPUTED_VALUE"""),"Primary_Walkin")</f>
        <v>Primary_Walkin</v>
      </c>
      <c r="E2222" s="124">
        <f>IFERROR(__xludf.DUMMYFUNCTION("""COMPUTED_VALUE"""),1.0)</f>
        <v>1</v>
      </c>
      <c r="F2222" s="124" t="str">
        <f>IFERROR(__xludf.DUMMYFUNCTION("""COMPUTED_VALUE"""),"Future Prospects")</f>
        <v>Future Prospects</v>
      </c>
      <c r="G2222" s="124" t="str">
        <f>IFERROR(__xludf.DUMMYFUNCTION("""COMPUTED_VALUE"""),"GS Advanced")</f>
        <v>GS Advanced</v>
      </c>
      <c r="K2222" s="124"/>
      <c r="L2222" s="124"/>
      <c r="M2222" s="124"/>
      <c r="N2222" s="124"/>
      <c r="O2222" s="124"/>
      <c r="T2222" s="126">
        <f>IFERROR(__xludf.DUMMYFUNCTION("""COMPUTED_VALUE"""),46105.0)</f>
        <v>46105</v>
      </c>
      <c r="U2222" s="124" t="str">
        <f>IFERROR(__xludf.DUMMYFUNCTION("""COMPUTED_VALUE"""),"Walk-Ins")</f>
        <v>Walk-Ins</v>
      </c>
      <c r="V2222" s="124" t="str">
        <f>IFERROR(__xludf.DUMMYFUNCTION("""COMPUTED_VALUE"""),"Walkin")</f>
        <v>Walkin</v>
      </c>
      <c r="W2222" s="124" t="str">
        <f>IFERROR(__xludf.DUMMYFUNCTION("""COMPUTED_VALUE"""),"Prayagraj")</f>
        <v>Prayagraj</v>
      </c>
      <c r="X2222" s="124" t="str">
        <f>IFERROR(__xludf.DUMMYFUNCTION("""COMPUTED_VALUE"""),"Walkin")</f>
        <v>Walkin</v>
      </c>
      <c r="Y2222" s="124" t="str">
        <f>IFERROR(__xludf.DUMMYFUNCTION("""COMPUTED_VALUE"""),"Prayagraj")</f>
        <v>Prayagraj</v>
      </c>
      <c r="Z2222" s="124">
        <f>IFERROR(__xludf.DUMMYFUNCTION("""COMPUTED_VALUE"""),2.0)</f>
        <v>2</v>
      </c>
      <c r="AA2222" s="124" t="str">
        <f>IFERROR(__xludf.DUMMYFUNCTION("""COMPUTED_VALUE"""),"Cold")</f>
        <v>Cold</v>
      </c>
      <c r="AB2222" s="124" t="str">
        <f>IFERROR(__xludf.DUMMYFUNCTION("""COMPUTED_VALUE"""),"State PCS")</f>
        <v>State PCS</v>
      </c>
    </row>
    <row r="2223">
      <c r="A2223" s="126">
        <f>IFERROR(__xludf.DUMMYFUNCTION("""COMPUTED_VALUE"""),46065.0)</f>
        <v>46065</v>
      </c>
      <c r="B2223" s="124" t="str">
        <f>IFERROR(__xludf.DUMMYFUNCTION("""COMPUTED_VALUE"""),"external leads")</f>
        <v>external leads</v>
      </c>
      <c r="C2223" s="124" t="str">
        <f>IFERROR(__xludf.DUMMYFUNCTION("""COMPUTED_VALUE"""),"Patna")</f>
        <v>Patna</v>
      </c>
      <c r="D2223" s="124" t="str">
        <f>IFERROR(__xludf.DUMMYFUNCTION("""COMPUTED_VALUE"""),"Secondary_Walkin")</f>
        <v>Secondary_Walkin</v>
      </c>
      <c r="E2223" s="124">
        <f>IFERROR(__xludf.DUMMYFUNCTION("""COMPUTED_VALUE"""),1.0)</f>
        <v>1</v>
      </c>
      <c r="F2223" s="124" t="str">
        <f>IFERROR(__xludf.DUMMYFUNCTION("""COMPUTED_VALUE"""),"Not Interested")</f>
        <v>Not Interested</v>
      </c>
      <c r="G2223" s="124" t="str">
        <f>IFERROR(__xludf.DUMMYFUNCTION("""COMPUTED_VALUE"""),"State PCS")</f>
        <v>State PCS</v>
      </c>
      <c r="K2223" s="124"/>
      <c r="L2223" s="124"/>
      <c r="M2223" s="124"/>
      <c r="N2223" s="124"/>
      <c r="O2223" s="124"/>
      <c r="T2223" s="126">
        <f>IFERROR(__xludf.DUMMYFUNCTION("""COMPUTED_VALUE"""),46088.0)</f>
        <v>46088</v>
      </c>
      <c r="U2223" s="124" t="str">
        <f>IFERROR(__xludf.DUMMYFUNCTION("""COMPUTED_VALUE"""),"Walk-Ins")</f>
        <v>Walk-Ins</v>
      </c>
      <c r="V2223" s="124" t="str">
        <f>IFERROR(__xludf.DUMMYFUNCTION("""COMPUTED_VALUE"""),"Walkin")</f>
        <v>Walkin</v>
      </c>
      <c r="W2223" s="124" t="str">
        <f>IFERROR(__xludf.DUMMYFUNCTION("""COMPUTED_VALUE"""),"Indore")</f>
        <v>Indore</v>
      </c>
      <c r="X2223" s="124" t="str">
        <f>IFERROR(__xludf.DUMMYFUNCTION("""COMPUTED_VALUE"""),"Walkin")</f>
        <v>Walkin</v>
      </c>
      <c r="Y2223" s="124" t="str">
        <f>IFERROR(__xludf.DUMMYFUNCTION("""COMPUTED_VALUE"""),"Indore")</f>
        <v>Indore</v>
      </c>
      <c r="Z2223" s="124">
        <f>IFERROR(__xludf.DUMMYFUNCTION("""COMPUTED_VALUE"""),1.0)</f>
        <v>1</v>
      </c>
      <c r="AA2223" s="124" t="str">
        <f>IFERROR(__xludf.DUMMYFUNCTION("""COMPUTED_VALUE"""),"Interested")</f>
        <v>Interested</v>
      </c>
      <c r="AB2223" s="124" t="str">
        <f>IFERROR(__xludf.DUMMYFUNCTION("""COMPUTED_VALUE"""),"GS Foundation")</f>
        <v>GS Foundation</v>
      </c>
    </row>
    <row r="2224">
      <c r="A2224" s="129">
        <f>IFERROR(__xludf.DUMMYFUNCTION("""COMPUTED_VALUE"""),46054.0)</f>
        <v>46054</v>
      </c>
      <c r="B2224" s="124" t="str">
        <f>IFERROR(__xludf.DUMMYFUNCTION("""COMPUTED_VALUE"""),"Walk-In")</f>
        <v>Walk-In</v>
      </c>
      <c r="C2224" s="124" t="str">
        <f>IFERROR(__xludf.DUMMYFUNCTION("""COMPUTED_VALUE"""),"Patna")</f>
        <v>Patna</v>
      </c>
      <c r="D2224" s="124" t="str">
        <f>IFERROR(__xludf.DUMMYFUNCTION("""COMPUTED_VALUE"""),"Primary_Walkin")</f>
        <v>Primary_Walkin</v>
      </c>
      <c r="E2224" s="124">
        <f>IFERROR(__xludf.DUMMYFUNCTION("""COMPUTED_VALUE"""),1.0)</f>
        <v>1</v>
      </c>
      <c r="F2224" s="124" t="str">
        <f>IFERROR(__xludf.DUMMYFUNCTION("""COMPUTED_VALUE"""),"Warm")</f>
        <v>Warm</v>
      </c>
      <c r="G2224" s="124" t="str">
        <f>IFERROR(__xludf.DUMMYFUNCTION("""COMPUTED_VALUE"""),"GS Foundation")</f>
        <v>GS Foundation</v>
      </c>
      <c r="K2224" s="124"/>
      <c r="L2224" s="124"/>
      <c r="M2224" s="124"/>
      <c r="N2224" s="124"/>
      <c r="O2224" s="124"/>
      <c r="T2224" s="126">
        <f>IFERROR(__xludf.DUMMYFUNCTION("""COMPUTED_VALUE"""),46063.0)</f>
        <v>46063</v>
      </c>
      <c r="U2224" s="124" t="str">
        <f>IFERROR(__xludf.DUMMYFUNCTION("""COMPUTED_VALUE"""),"Walk-Ins")</f>
        <v>Walk-Ins</v>
      </c>
      <c r="V2224" s="124" t="str">
        <f>IFERROR(__xludf.DUMMYFUNCTION("""COMPUTED_VALUE"""),"Walkin")</f>
        <v>Walkin</v>
      </c>
      <c r="W2224" s="124" t="str">
        <f>IFERROR(__xludf.DUMMYFUNCTION("""COMPUTED_VALUE"""),"Patna")</f>
        <v>Patna</v>
      </c>
      <c r="X2224" s="124" t="str">
        <f>IFERROR(__xludf.DUMMYFUNCTION("""COMPUTED_VALUE"""),"Walkin")</f>
        <v>Walkin</v>
      </c>
      <c r="Y2224" s="124" t="str">
        <f>IFERROR(__xludf.DUMMYFUNCTION("""COMPUTED_VALUE"""),"Patna")</f>
        <v>Patna</v>
      </c>
      <c r="Z2224" s="124">
        <f>IFERROR(__xludf.DUMMYFUNCTION("""COMPUTED_VALUE"""),3.0)</f>
        <v>3</v>
      </c>
      <c r="AA2224" s="124" t="str">
        <f>IFERROR(__xludf.DUMMYFUNCTION("""COMPUTED_VALUE"""),"Cold")</f>
        <v>Cold</v>
      </c>
      <c r="AB2224" s="124" t="str">
        <f>IFERROR(__xludf.DUMMYFUNCTION("""COMPUTED_VALUE"""),"State PCS")</f>
        <v>State PCS</v>
      </c>
    </row>
    <row r="2225">
      <c r="A2225" s="126">
        <f>IFERROR(__xludf.DUMMYFUNCTION("""COMPUTED_VALUE"""),46091.0)</f>
        <v>46091</v>
      </c>
      <c r="B2225" s="124" t="str">
        <f>IFERROR(__xludf.DUMMYFUNCTION("""COMPUTED_VALUE"""),"Walkin")</f>
        <v>Walkin</v>
      </c>
      <c r="C2225" s="124" t="str">
        <f>IFERROR(__xludf.DUMMYFUNCTION("""COMPUTED_VALUE"""),"Patna")</f>
        <v>Patna</v>
      </c>
      <c r="D2225" s="124" t="str">
        <f>IFERROR(__xludf.DUMMYFUNCTION("""COMPUTED_VALUE"""),"Primary_Walkin")</f>
        <v>Primary_Walkin</v>
      </c>
      <c r="E2225" s="124">
        <f>IFERROR(__xludf.DUMMYFUNCTION("""COMPUTED_VALUE"""),1.0)</f>
        <v>1</v>
      </c>
      <c r="F2225" s="124" t="str">
        <f>IFERROR(__xludf.DUMMYFUNCTION("""COMPUTED_VALUE"""),"Enrolled")</f>
        <v>Enrolled</v>
      </c>
      <c r="G2225" s="124" t="str">
        <f>IFERROR(__xludf.DUMMYFUNCTION("""COMPUTED_VALUE"""),"Hybrid")</f>
        <v>Hybrid</v>
      </c>
      <c r="K2225" s="124"/>
      <c r="L2225" s="124"/>
      <c r="M2225" s="124"/>
      <c r="N2225" s="124"/>
      <c r="O2225" s="124"/>
      <c r="T2225" s="126">
        <f>IFERROR(__xludf.DUMMYFUNCTION("""COMPUTED_VALUE"""),46081.0)</f>
        <v>46081</v>
      </c>
      <c r="U2225" s="124" t="str">
        <f>IFERROR(__xludf.DUMMYFUNCTION("""COMPUTED_VALUE"""),"Walk-Ins")</f>
        <v>Walk-Ins</v>
      </c>
      <c r="V2225" s="124" t="str">
        <f>IFERROR(__xludf.DUMMYFUNCTION("""COMPUTED_VALUE"""),"Walk-In")</f>
        <v>Walk-In</v>
      </c>
      <c r="W2225" s="124" t="str">
        <f>IFERROR(__xludf.DUMMYFUNCTION("""COMPUTED_VALUE"""),"Patna")</f>
        <v>Patna</v>
      </c>
      <c r="X2225" s="124" t="str">
        <f>IFERROR(__xludf.DUMMYFUNCTION("""COMPUTED_VALUE"""),"Others")</f>
        <v>Others</v>
      </c>
      <c r="Y2225" s="124"/>
      <c r="Z2225" s="124">
        <f>IFERROR(__xludf.DUMMYFUNCTION("""COMPUTED_VALUE"""),1.0)</f>
        <v>1</v>
      </c>
      <c r="AA2225" s="124" t="str">
        <f>IFERROR(__xludf.DUMMYFUNCTION("""COMPUTED_VALUE"""),"Enrolled")</f>
        <v>Enrolled</v>
      </c>
      <c r="AB2225" s="124" t="str">
        <f>IFERROR(__xludf.DUMMYFUNCTION("""COMPUTED_VALUE"""),"GS Foundation")</f>
        <v>GS Foundation</v>
      </c>
    </row>
    <row r="2226">
      <c r="A2226" s="129">
        <f>IFERROR(__xludf.DUMMYFUNCTION("""COMPUTED_VALUE"""),46055.0)</f>
        <v>46055</v>
      </c>
      <c r="B2226" s="124" t="str">
        <f>IFERROR(__xludf.DUMMYFUNCTION("""COMPUTED_VALUE"""),"Walkin")</f>
        <v>Walkin</v>
      </c>
      <c r="C2226" s="124" t="str">
        <f>IFERROR(__xludf.DUMMYFUNCTION("""COMPUTED_VALUE"""),"Patna")</f>
        <v>Patna</v>
      </c>
      <c r="D2226" s="124" t="str">
        <f>IFERROR(__xludf.DUMMYFUNCTION("""COMPUTED_VALUE"""),"Primary_Walkin")</f>
        <v>Primary_Walkin</v>
      </c>
      <c r="E2226" s="124">
        <f>IFERROR(__xludf.DUMMYFUNCTION("""COMPUTED_VALUE"""),1.0)</f>
        <v>1</v>
      </c>
      <c r="F2226" s="124" t="str">
        <f>IFERROR(__xludf.DUMMYFUNCTION("""COMPUTED_VALUE"""),"Enrolled")</f>
        <v>Enrolled</v>
      </c>
      <c r="G2226" s="124" t="str">
        <f>IFERROR(__xludf.DUMMYFUNCTION("""COMPUTED_VALUE"""),"GS Advanced")</f>
        <v>GS Advanced</v>
      </c>
      <c r="K2226" s="124"/>
      <c r="L2226" s="124"/>
      <c r="M2226" s="124"/>
      <c r="N2226" s="124"/>
      <c r="O2226" s="124"/>
      <c r="T2226" s="126">
        <f>IFERROR(__xludf.DUMMYFUNCTION("""COMPUTED_VALUE"""),46080.0)</f>
        <v>46080</v>
      </c>
      <c r="U2226" s="124" t="str">
        <f>IFERROR(__xludf.DUMMYFUNCTION("""COMPUTED_VALUE"""),"Walk-Ins")</f>
        <v>Walk-Ins</v>
      </c>
      <c r="V2226" s="124" t="str">
        <f>IFERROR(__xludf.DUMMYFUNCTION("""COMPUTED_VALUE"""),"Walkin")</f>
        <v>Walkin</v>
      </c>
      <c r="W2226" s="124" t="str">
        <f>IFERROR(__xludf.DUMMYFUNCTION("""COMPUTED_VALUE"""),"Prayagraj")</f>
        <v>Prayagraj</v>
      </c>
      <c r="X2226" s="124" t="str">
        <f>IFERROR(__xludf.DUMMYFUNCTION("""COMPUTED_VALUE"""),"Walkin")</f>
        <v>Walkin</v>
      </c>
      <c r="Y2226" s="124" t="str">
        <f>IFERROR(__xludf.DUMMYFUNCTION("""COMPUTED_VALUE"""),"Prayagraj")</f>
        <v>Prayagraj</v>
      </c>
      <c r="Z2226" s="124">
        <f>IFERROR(__xludf.DUMMYFUNCTION("""COMPUTED_VALUE"""),1.0)</f>
        <v>1</v>
      </c>
      <c r="AA2226" s="124" t="str">
        <f>IFERROR(__xludf.DUMMYFUNCTION("""COMPUTED_VALUE"""),"Future Prospects")</f>
        <v>Future Prospects</v>
      </c>
      <c r="AB2226" s="124" t="str">
        <f>IFERROR(__xludf.DUMMYFUNCTION("""COMPUTED_VALUE"""),"GS Foundation")</f>
        <v>GS Foundation</v>
      </c>
    </row>
    <row r="2227">
      <c r="A2227" s="126">
        <f>IFERROR(__xludf.DUMMYFUNCTION("""COMPUTED_VALUE"""),46071.0)</f>
        <v>46071</v>
      </c>
      <c r="B2227" s="124" t="str">
        <f>IFERROR(__xludf.DUMMYFUNCTION("""COMPUTED_VALUE"""),"Walkin")</f>
        <v>Walkin</v>
      </c>
      <c r="C2227" s="124" t="str">
        <f>IFERROR(__xludf.DUMMYFUNCTION("""COMPUTED_VALUE"""),"Patna")</f>
        <v>Patna</v>
      </c>
      <c r="D2227" s="124" t="str">
        <f>IFERROR(__xludf.DUMMYFUNCTION("""COMPUTED_VALUE"""),"Primary_Walkin")</f>
        <v>Primary_Walkin</v>
      </c>
      <c r="E2227" s="124">
        <f>IFERROR(__xludf.DUMMYFUNCTION("""COMPUTED_VALUE"""),1.0)</f>
        <v>1</v>
      </c>
      <c r="F2227" s="124" t="str">
        <f>IFERROR(__xludf.DUMMYFUNCTION("""COMPUTED_VALUE"""),"Future Prospects")</f>
        <v>Future Prospects</v>
      </c>
      <c r="G2227" s="124" t="str">
        <f>IFERROR(__xludf.DUMMYFUNCTION("""COMPUTED_VALUE"""),"GS Foundation")</f>
        <v>GS Foundation</v>
      </c>
      <c r="K2227" s="124"/>
      <c r="L2227" s="124"/>
      <c r="M2227" s="124"/>
      <c r="N2227" s="124"/>
      <c r="O2227" s="124"/>
      <c r="T2227" s="126">
        <f>IFERROR(__xludf.DUMMYFUNCTION("""COMPUTED_VALUE"""),46094.0)</f>
        <v>46094</v>
      </c>
      <c r="U2227" s="124" t="str">
        <f>IFERROR(__xludf.DUMMYFUNCTION("""COMPUTED_VALUE"""),"Walk-Ins")</f>
        <v>Walk-Ins</v>
      </c>
      <c r="V2227" s="124" t="str">
        <f>IFERROR(__xludf.DUMMYFUNCTION("""COMPUTED_VALUE"""),"Walkin")</f>
        <v>Walkin</v>
      </c>
      <c r="W2227" s="124" t="str">
        <f>IFERROR(__xludf.DUMMYFUNCTION("""COMPUTED_VALUE"""),"Patna")</f>
        <v>Patna</v>
      </c>
      <c r="X2227" s="124" t="str">
        <f>IFERROR(__xludf.DUMMYFUNCTION("""COMPUTED_VALUE"""),"Walkin")</f>
        <v>Walkin</v>
      </c>
      <c r="Y2227" s="124" t="str">
        <f>IFERROR(__xludf.DUMMYFUNCTION("""COMPUTED_VALUE"""),"Patna")</f>
        <v>Patna</v>
      </c>
      <c r="Z2227" s="124">
        <f>IFERROR(__xludf.DUMMYFUNCTION("""COMPUTED_VALUE"""),3.0)</f>
        <v>3</v>
      </c>
      <c r="AA2227" s="124" t="str">
        <f>IFERROR(__xludf.DUMMYFUNCTION("""COMPUTED_VALUE"""),"Cold")</f>
        <v>Cold</v>
      </c>
      <c r="AB2227" s="124" t="str">
        <f>IFERROR(__xludf.DUMMYFUNCTION("""COMPUTED_VALUE"""),"State PCS")</f>
        <v>State PCS</v>
      </c>
    </row>
    <row r="2228">
      <c r="A2228" s="126">
        <f>IFERROR(__xludf.DUMMYFUNCTION("""COMPUTED_VALUE"""),46049.0)</f>
        <v>46049</v>
      </c>
      <c r="B2228" s="124" t="str">
        <f>IFERROR(__xludf.DUMMYFUNCTION("""COMPUTED_VALUE"""),"Inbound Call")</f>
        <v>Inbound Call</v>
      </c>
      <c r="C2228" s="124" t="str">
        <f>IFERROR(__xludf.DUMMYFUNCTION("""COMPUTED_VALUE"""),"Patna")</f>
        <v>Patna</v>
      </c>
      <c r="D2228" s="124" t="str">
        <f>IFERROR(__xludf.DUMMYFUNCTION("""COMPUTED_VALUE"""),"Secondary_Walkin")</f>
        <v>Secondary_Walkin</v>
      </c>
      <c r="E2228" s="124">
        <f>IFERROR(__xludf.DUMMYFUNCTION("""COMPUTED_VALUE"""),1.0)</f>
        <v>1</v>
      </c>
      <c r="F2228" s="124" t="str">
        <f>IFERROR(__xludf.DUMMYFUNCTION("""COMPUTED_VALUE"""),"Cold")</f>
        <v>Cold</v>
      </c>
      <c r="G2228" s="124" t="str">
        <f>IFERROR(__xludf.DUMMYFUNCTION("""COMPUTED_VALUE"""),"GS Foundation")</f>
        <v>GS Foundation</v>
      </c>
      <c r="K2228" s="124"/>
      <c r="L2228" s="124"/>
      <c r="M2228" s="124"/>
      <c r="N2228" s="124"/>
      <c r="O2228" s="124"/>
      <c r="T2228" s="126">
        <f>IFERROR(__xludf.DUMMYFUNCTION("""COMPUTED_VALUE"""),46074.0)</f>
        <v>46074</v>
      </c>
      <c r="U2228" s="124" t="str">
        <f>IFERROR(__xludf.DUMMYFUNCTION("""COMPUTED_VALUE"""),"Walk-Ins")</f>
        <v>Walk-Ins</v>
      </c>
      <c r="V2228" s="124" t="str">
        <f>IFERROR(__xludf.DUMMYFUNCTION("""COMPUTED_VALUE"""),"Walkin")</f>
        <v>Walkin</v>
      </c>
      <c r="W2228" s="124" t="str">
        <f>IFERROR(__xludf.DUMMYFUNCTION("""COMPUTED_VALUE"""),"Patna")</f>
        <v>Patna</v>
      </c>
      <c r="X2228" s="124" t="str">
        <f>IFERROR(__xludf.DUMMYFUNCTION("""COMPUTED_VALUE"""),"Walkin")</f>
        <v>Walkin</v>
      </c>
      <c r="Y2228" s="124" t="str">
        <f>IFERROR(__xludf.DUMMYFUNCTION("""COMPUTED_VALUE"""),"Patna")</f>
        <v>Patna</v>
      </c>
      <c r="Z2228" s="124">
        <f>IFERROR(__xludf.DUMMYFUNCTION("""COMPUTED_VALUE"""),1.0)</f>
        <v>1</v>
      </c>
      <c r="AA2228" s="124" t="str">
        <f>IFERROR(__xludf.DUMMYFUNCTION("""COMPUTED_VALUE"""),"Fake Lead")</f>
        <v>Fake Lead</v>
      </c>
      <c r="AB2228" s="124" t="str">
        <f>IFERROR(__xludf.DUMMYFUNCTION("""COMPUTED_VALUE"""),"State PCS")</f>
        <v>State PCS</v>
      </c>
    </row>
    <row r="2229">
      <c r="A2229" s="126">
        <f>IFERROR(__xludf.DUMMYFUNCTION("""COMPUTED_VALUE"""),46107.0)</f>
        <v>46107</v>
      </c>
      <c r="B2229" s="124" t="str">
        <f>IFERROR(__xludf.DUMMYFUNCTION("""COMPUTED_VALUE"""),"Walkin")</f>
        <v>Walkin</v>
      </c>
      <c r="C2229" s="124" t="str">
        <f>IFERROR(__xludf.DUMMYFUNCTION("""COMPUTED_VALUE"""),"Patna")</f>
        <v>Patna</v>
      </c>
      <c r="D2229" s="124" t="str">
        <f>IFERROR(__xludf.DUMMYFUNCTION("""COMPUTED_VALUE"""),"Primary_Walkin")</f>
        <v>Primary_Walkin</v>
      </c>
      <c r="E2229" s="124">
        <f>IFERROR(__xludf.DUMMYFUNCTION("""COMPUTED_VALUE"""),1.0)</f>
        <v>1</v>
      </c>
      <c r="F2229" s="124" t="str">
        <f>IFERROR(__xludf.DUMMYFUNCTION("""COMPUTED_VALUE"""),"Future Prospects")</f>
        <v>Future Prospects</v>
      </c>
      <c r="G2229" s="124" t="str">
        <f>IFERROR(__xludf.DUMMYFUNCTION("""COMPUTED_VALUE"""),"State PCS")</f>
        <v>State PCS</v>
      </c>
      <c r="K2229" s="124"/>
      <c r="L2229" s="124"/>
      <c r="M2229" s="124"/>
      <c r="N2229" s="124"/>
      <c r="O2229" s="124"/>
      <c r="T2229" s="126">
        <f>IFERROR(__xludf.DUMMYFUNCTION("""COMPUTED_VALUE"""),46083.0)</f>
        <v>46083</v>
      </c>
      <c r="U2229" s="124" t="str">
        <f>IFERROR(__xludf.DUMMYFUNCTION("""COMPUTED_VALUE"""),"Walk-Ins")</f>
        <v>Walk-Ins</v>
      </c>
      <c r="V2229" s="124" t="str">
        <f>IFERROR(__xludf.DUMMYFUNCTION("""COMPUTED_VALUE"""),"Walkin")</f>
        <v>Walkin</v>
      </c>
      <c r="W2229" s="124" t="str">
        <f>IFERROR(__xludf.DUMMYFUNCTION("""COMPUTED_VALUE"""),"Indore")</f>
        <v>Indore</v>
      </c>
      <c r="X2229" s="124" t="str">
        <f>IFERROR(__xludf.DUMMYFUNCTION("""COMPUTED_VALUE"""),"Walkin")</f>
        <v>Walkin</v>
      </c>
      <c r="Y2229" s="124" t="str">
        <f>IFERROR(__xludf.DUMMYFUNCTION("""COMPUTED_VALUE"""),"Indore")</f>
        <v>Indore</v>
      </c>
      <c r="Z2229" s="124">
        <f>IFERROR(__xludf.DUMMYFUNCTION("""COMPUTED_VALUE"""),1.0)</f>
        <v>1</v>
      </c>
      <c r="AA2229" s="124" t="str">
        <f>IFERROR(__xludf.DUMMYFUNCTION("""COMPUTED_VALUE"""),"Warm")</f>
        <v>Warm</v>
      </c>
      <c r="AB2229" s="124" t="str">
        <f>IFERROR(__xludf.DUMMYFUNCTION("""COMPUTED_VALUE"""),"Test Series")</f>
        <v>Test Series</v>
      </c>
    </row>
    <row r="2230">
      <c r="A2230" s="129">
        <f>IFERROR(__xludf.DUMMYFUNCTION("""COMPUTED_VALUE"""),46058.0)</f>
        <v>46058</v>
      </c>
      <c r="B2230" s="124" t="str">
        <f>IFERROR(__xludf.DUMMYFUNCTION("""COMPUTED_VALUE"""),"Walkin")</f>
        <v>Walkin</v>
      </c>
      <c r="C2230" s="124" t="str">
        <f>IFERROR(__xludf.DUMMYFUNCTION("""COMPUTED_VALUE"""),"Patna")</f>
        <v>Patna</v>
      </c>
      <c r="D2230" s="124" t="str">
        <f>IFERROR(__xludf.DUMMYFUNCTION("""COMPUTED_VALUE"""),"Primary_Walkin")</f>
        <v>Primary_Walkin</v>
      </c>
      <c r="E2230" s="124">
        <f>IFERROR(__xludf.DUMMYFUNCTION("""COMPUTED_VALUE"""),1.0)</f>
        <v>1</v>
      </c>
      <c r="F2230" s="124" t="str">
        <f>IFERROR(__xludf.DUMMYFUNCTION("""COMPUTED_VALUE"""),"Future Prospects")</f>
        <v>Future Prospects</v>
      </c>
      <c r="G2230" s="124" t="str">
        <f>IFERROR(__xludf.DUMMYFUNCTION("""COMPUTED_VALUE"""),"GS Foundation")</f>
        <v>GS Foundation</v>
      </c>
      <c r="K2230" s="124"/>
      <c r="L2230" s="124"/>
      <c r="M2230" s="124"/>
      <c r="N2230" s="124"/>
      <c r="O2230" s="124"/>
      <c r="T2230" s="126">
        <f>IFERROR(__xludf.DUMMYFUNCTION("""COMPUTED_VALUE"""),46069.0)</f>
        <v>46069</v>
      </c>
      <c r="U2230" s="124" t="str">
        <f>IFERROR(__xludf.DUMMYFUNCTION("""COMPUTED_VALUE"""),"Walk-Ins")</f>
        <v>Walk-Ins</v>
      </c>
      <c r="V2230" s="124" t="str">
        <f>IFERROR(__xludf.DUMMYFUNCTION("""COMPUTED_VALUE"""),"Walkin")</f>
        <v>Walkin</v>
      </c>
      <c r="W2230" s="124" t="str">
        <f>IFERROR(__xludf.DUMMYFUNCTION("""COMPUTED_VALUE"""),"Indore")</f>
        <v>Indore</v>
      </c>
      <c r="X2230" s="124" t="str">
        <f>IFERROR(__xludf.DUMMYFUNCTION("""COMPUTED_VALUE"""),"Walkin")</f>
        <v>Walkin</v>
      </c>
      <c r="Y2230" s="124" t="str">
        <f>IFERROR(__xludf.DUMMYFUNCTION("""COMPUTED_VALUE"""),"Indore")</f>
        <v>Indore</v>
      </c>
      <c r="Z2230" s="124">
        <f>IFERROR(__xludf.DUMMYFUNCTION("""COMPUTED_VALUE"""),1.0)</f>
        <v>1</v>
      </c>
      <c r="AA2230" s="124" t="str">
        <f>IFERROR(__xludf.DUMMYFUNCTION("""COMPUTED_VALUE"""),"Not Interested")</f>
        <v>Not Interested</v>
      </c>
      <c r="AB2230" s="124" t="str">
        <f>IFERROR(__xludf.DUMMYFUNCTION("""COMPUTED_VALUE"""),"Mentorship")</f>
        <v>Mentorship</v>
      </c>
    </row>
    <row r="2231">
      <c r="A2231" s="126">
        <f>IFERROR(__xludf.DUMMYFUNCTION("""COMPUTED_VALUE"""),46044.0)</f>
        <v>46044</v>
      </c>
      <c r="B2231" s="124" t="str">
        <f>IFERROR(__xludf.DUMMYFUNCTION("""COMPUTED_VALUE"""),"Walkin")</f>
        <v>Walkin</v>
      </c>
      <c r="C2231" s="124" t="str">
        <f>IFERROR(__xludf.DUMMYFUNCTION("""COMPUTED_VALUE"""),"Patna")</f>
        <v>Patna</v>
      </c>
      <c r="D2231" s="124" t="str">
        <f>IFERROR(__xludf.DUMMYFUNCTION("""COMPUTED_VALUE"""),"Primary_Walkin")</f>
        <v>Primary_Walkin</v>
      </c>
      <c r="E2231" s="124">
        <f>IFERROR(__xludf.DUMMYFUNCTION("""COMPUTED_VALUE"""),1.0)</f>
        <v>1</v>
      </c>
      <c r="F2231" s="124" t="str">
        <f>IFERROR(__xludf.DUMMYFUNCTION("""COMPUTED_VALUE"""),"Warm")</f>
        <v>Warm</v>
      </c>
      <c r="G2231" s="124" t="str">
        <f>IFERROR(__xludf.DUMMYFUNCTION("""COMPUTED_VALUE"""),"State PCS")</f>
        <v>State PCS</v>
      </c>
      <c r="K2231" s="124"/>
      <c r="L2231" s="124"/>
      <c r="M2231" s="124"/>
      <c r="N2231" s="124"/>
      <c r="O2231" s="124"/>
      <c r="T2231" s="126">
        <f>IFERROR(__xludf.DUMMYFUNCTION("""COMPUTED_VALUE"""),46099.0)</f>
        <v>46099</v>
      </c>
      <c r="U2231" s="124" t="str">
        <f>IFERROR(__xludf.DUMMYFUNCTION("""COMPUTED_VALUE"""),"Paid Ads")</f>
        <v>Paid Ads</v>
      </c>
      <c r="V2231" s="124" t="str">
        <f>IFERROR(__xludf.DUMMYFUNCTION("""COMPUTED_VALUE"""),"Facebook")</f>
        <v>Facebook</v>
      </c>
      <c r="W2231" s="124" t="str">
        <f>IFERROR(__xludf.DUMMYFUNCTION("""COMPUTED_VALUE"""),"LeadAd")</f>
        <v>LeadAd</v>
      </c>
      <c r="X2231" s="124" t="str">
        <f>IFERROR(__xludf.DUMMYFUNCTION("""COMPUTED_VALUE"""),"meta")</f>
        <v>meta</v>
      </c>
      <c r="Y2231" s="124" t="str">
        <f>IFERROR(__xludf.DUMMYFUNCTION("""COMPUTED_VALUE"""),"Indore")</f>
        <v>Indore</v>
      </c>
      <c r="Z2231" s="124">
        <f>IFERROR(__xludf.DUMMYFUNCTION("""COMPUTED_VALUE"""),1.0)</f>
        <v>1</v>
      </c>
      <c r="AA2231" s="124" t="str">
        <f>IFERROR(__xludf.DUMMYFUNCTION("""COMPUTED_VALUE"""),"Not Interested")</f>
        <v>Not Interested</v>
      </c>
      <c r="AB2231" s="124"/>
    </row>
    <row r="2232">
      <c r="A2232" s="126">
        <f>IFERROR(__xludf.DUMMYFUNCTION("""COMPUTED_VALUE"""),46049.0)</f>
        <v>46049</v>
      </c>
      <c r="B2232" s="124" t="str">
        <f>IFERROR(__xludf.DUMMYFUNCTION("""COMPUTED_VALUE"""),"Walk-In")</f>
        <v>Walk-In</v>
      </c>
      <c r="C2232" s="124" t="str">
        <f>IFERROR(__xludf.DUMMYFUNCTION("""COMPUTED_VALUE"""),"Patna")</f>
        <v>Patna</v>
      </c>
      <c r="D2232" s="124" t="str">
        <f>IFERROR(__xludf.DUMMYFUNCTION("""COMPUTED_VALUE"""),"Primary_Walkin")</f>
        <v>Primary_Walkin</v>
      </c>
      <c r="E2232" s="124">
        <f>IFERROR(__xludf.DUMMYFUNCTION("""COMPUTED_VALUE"""),2.0)</f>
        <v>2</v>
      </c>
      <c r="F2232" s="124" t="str">
        <f>IFERROR(__xludf.DUMMYFUNCTION("""COMPUTED_VALUE"""),"Not Interested")</f>
        <v>Not Interested</v>
      </c>
      <c r="G2232" s="124" t="str">
        <f>IFERROR(__xludf.DUMMYFUNCTION("""COMPUTED_VALUE"""),"GS Foundation")</f>
        <v>GS Foundation</v>
      </c>
      <c r="K2232" s="124"/>
      <c r="L2232" s="124"/>
      <c r="M2232" s="124"/>
      <c r="N2232" s="124"/>
      <c r="O2232" s="124"/>
      <c r="T2232" s="126">
        <f>IFERROR(__xludf.DUMMYFUNCTION("""COMPUTED_VALUE"""),46051.0)</f>
        <v>46051</v>
      </c>
      <c r="U2232" s="124" t="str">
        <f>IFERROR(__xludf.DUMMYFUNCTION("""COMPUTED_VALUE"""),"Walk-Ins")</f>
        <v>Walk-Ins</v>
      </c>
      <c r="V2232" s="124" t="str">
        <f>IFERROR(__xludf.DUMMYFUNCTION("""COMPUTED_VALUE"""),"Walkin")</f>
        <v>Walkin</v>
      </c>
      <c r="W2232" s="124" t="str">
        <f>IFERROR(__xludf.DUMMYFUNCTION("""COMPUTED_VALUE"""),"Prayagraj")</f>
        <v>Prayagraj</v>
      </c>
      <c r="X2232" s="124" t="str">
        <f>IFERROR(__xludf.DUMMYFUNCTION("""COMPUTED_VALUE"""),"Walkin")</f>
        <v>Walkin</v>
      </c>
      <c r="Y2232" s="124" t="str">
        <f>IFERROR(__xludf.DUMMYFUNCTION("""COMPUTED_VALUE"""),"Prayagraj")</f>
        <v>Prayagraj</v>
      </c>
      <c r="Z2232" s="124">
        <f>IFERROR(__xludf.DUMMYFUNCTION("""COMPUTED_VALUE"""),1.0)</f>
        <v>1</v>
      </c>
      <c r="AA2232" s="124" t="str">
        <f>IFERROR(__xludf.DUMMYFUNCTION("""COMPUTED_VALUE"""),"Not Interested")</f>
        <v>Not Interested</v>
      </c>
      <c r="AB2232" s="124" t="str">
        <f>IFERROR(__xludf.DUMMYFUNCTION("""COMPUTED_VALUE"""),"Mentorship")</f>
        <v>Mentorship</v>
      </c>
    </row>
    <row r="2233">
      <c r="A2233" s="129">
        <f>IFERROR(__xludf.DUMMYFUNCTION("""COMPUTED_VALUE"""),46089.0)</f>
        <v>46089</v>
      </c>
      <c r="B2233" s="124" t="str">
        <f>IFERROR(__xludf.DUMMYFUNCTION("""COMPUTED_VALUE"""),"Walkin")</f>
        <v>Walkin</v>
      </c>
      <c r="C2233" s="124" t="str">
        <f>IFERROR(__xludf.DUMMYFUNCTION("""COMPUTED_VALUE"""),"Patna")</f>
        <v>Patna</v>
      </c>
      <c r="D2233" s="124" t="str">
        <f>IFERROR(__xludf.DUMMYFUNCTION("""COMPUTED_VALUE"""),"Primary_Walkin")</f>
        <v>Primary_Walkin</v>
      </c>
      <c r="E2233" s="124">
        <f>IFERROR(__xludf.DUMMYFUNCTION("""COMPUTED_VALUE"""),1.0)</f>
        <v>1</v>
      </c>
      <c r="F2233" s="124" t="str">
        <f>IFERROR(__xludf.DUMMYFUNCTION("""COMPUTED_VALUE"""),"Cold")</f>
        <v>Cold</v>
      </c>
      <c r="G2233" s="124" t="str">
        <f>IFERROR(__xludf.DUMMYFUNCTION("""COMPUTED_VALUE"""),"Test Series")</f>
        <v>Test Series</v>
      </c>
      <c r="K2233" s="124"/>
      <c r="L2233" s="124"/>
      <c r="M2233" s="124"/>
      <c r="N2233" s="124"/>
      <c r="O2233" s="124"/>
      <c r="T2233" s="126">
        <f>IFERROR(__xludf.DUMMYFUNCTION("""COMPUTED_VALUE"""),46108.0)</f>
        <v>46108</v>
      </c>
      <c r="U2233" s="124" t="str">
        <f>IFERROR(__xludf.DUMMYFUNCTION("""COMPUTED_VALUE"""),"Walk-Ins")</f>
        <v>Walk-Ins</v>
      </c>
      <c r="V2233" s="124" t="str">
        <f>IFERROR(__xludf.DUMMYFUNCTION("""COMPUTED_VALUE"""),"Walkin")</f>
        <v>Walkin</v>
      </c>
      <c r="W2233" s="124" t="str">
        <f>IFERROR(__xludf.DUMMYFUNCTION("""COMPUTED_VALUE"""),"Prayagraj")</f>
        <v>Prayagraj</v>
      </c>
      <c r="X2233" s="124" t="str">
        <f>IFERROR(__xludf.DUMMYFUNCTION("""COMPUTED_VALUE"""),"Walkin")</f>
        <v>Walkin</v>
      </c>
      <c r="Y2233" s="124" t="str">
        <f>IFERROR(__xludf.DUMMYFUNCTION("""COMPUTED_VALUE"""),"Prayagraj")</f>
        <v>Prayagraj</v>
      </c>
      <c r="Z2233" s="124">
        <f>IFERROR(__xludf.DUMMYFUNCTION("""COMPUTED_VALUE"""),2.0)</f>
        <v>2</v>
      </c>
      <c r="AA2233" s="124" t="str">
        <f>IFERROR(__xludf.DUMMYFUNCTION("""COMPUTED_VALUE"""),"Enrolled")</f>
        <v>Enrolled</v>
      </c>
      <c r="AB2233" s="124" t="str">
        <f>IFERROR(__xludf.DUMMYFUNCTION("""COMPUTED_VALUE"""),"GS Foundation")</f>
        <v>GS Foundation</v>
      </c>
    </row>
    <row r="2234">
      <c r="A2234" s="129">
        <f>IFERROR(__xludf.DUMMYFUNCTION("""COMPUTED_VALUE"""),46082.0)</f>
        <v>46082</v>
      </c>
      <c r="B2234" s="124" t="str">
        <f>IFERROR(__xludf.DUMMYFUNCTION("""COMPUTED_VALUE"""),"Walkin")</f>
        <v>Walkin</v>
      </c>
      <c r="C2234" s="124" t="str">
        <f>IFERROR(__xludf.DUMMYFUNCTION("""COMPUTED_VALUE"""),"Patna")</f>
        <v>Patna</v>
      </c>
      <c r="D2234" s="124" t="str">
        <f>IFERROR(__xludf.DUMMYFUNCTION("""COMPUTED_VALUE"""),"Primary_Walkin")</f>
        <v>Primary_Walkin</v>
      </c>
      <c r="E2234" s="124">
        <f>IFERROR(__xludf.DUMMYFUNCTION("""COMPUTED_VALUE"""),1.0)</f>
        <v>1</v>
      </c>
      <c r="F2234" s="124" t="str">
        <f>IFERROR(__xludf.DUMMYFUNCTION("""COMPUTED_VALUE"""),"Not Interested")</f>
        <v>Not Interested</v>
      </c>
      <c r="G2234" s="124" t="str">
        <f>IFERROR(__xludf.DUMMYFUNCTION("""COMPUTED_VALUE"""),"State PCS")</f>
        <v>State PCS</v>
      </c>
      <c r="K2234" s="124"/>
      <c r="L2234" s="124"/>
      <c r="M2234" s="124"/>
      <c r="N2234" s="124"/>
      <c r="O2234" s="124"/>
      <c r="T2234" s="126">
        <f>IFERROR(__xludf.DUMMYFUNCTION("""COMPUTED_VALUE"""),46052.0)</f>
        <v>46052</v>
      </c>
      <c r="U2234" s="124" t="str">
        <f>IFERROR(__xludf.DUMMYFUNCTION("""COMPUTED_VALUE"""),"Walk-Ins")</f>
        <v>Walk-Ins</v>
      </c>
      <c r="V2234" s="124" t="str">
        <f>IFERROR(__xludf.DUMMYFUNCTION("""COMPUTED_VALUE"""),"Walkin")</f>
        <v>Walkin</v>
      </c>
      <c r="W2234" s="124" t="str">
        <f>IFERROR(__xludf.DUMMYFUNCTION("""COMPUTED_VALUE"""),"Indore")</f>
        <v>Indore</v>
      </c>
      <c r="X2234" s="124" t="str">
        <f>IFERROR(__xludf.DUMMYFUNCTION("""COMPUTED_VALUE"""),"Walkin")</f>
        <v>Walkin</v>
      </c>
      <c r="Y2234" s="124" t="str">
        <f>IFERROR(__xludf.DUMMYFUNCTION("""COMPUTED_VALUE"""),"Indore")</f>
        <v>Indore</v>
      </c>
      <c r="Z2234" s="124">
        <f>IFERROR(__xludf.DUMMYFUNCTION("""COMPUTED_VALUE"""),1.0)</f>
        <v>1</v>
      </c>
      <c r="AA2234" s="124" t="str">
        <f>IFERROR(__xludf.DUMMYFUNCTION("""COMPUTED_VALUE"""),"Future Prospects")</f>
        <v>Future Prospects</v>
      </c>
      <c r="AB2234" s="124" t="str">
        <f>IFERROR(__xludf.DUMMYFUNCTION("""COMPUTED_VALUE"""),"GS Foundation")</f>
        <v>GS Foundation</v>
      </c>
    </row>
    <row r="2235">
      <c r="A2235" s="126">
        <f>IFERROR(__xludf.DUMMYFUNCTION("""COMPUTED_VALUE"""),46093.0)</f>
        <v>46093</v>
      </c>
      <c r="B2235" s="124" t="str">
        <f>IFERROR(__xludf.DUMMYFUNCTION("""COMPUTED_VALUE"""),"Facebook")</f>
        <v>Facebook</v>
      </c>
      <c r="C2235" s="124" t="str">
        <f>IFERROR(__xludf.DUMMYFUNCTION("""COMPUTED_VALUE"""),"Patna")</f>
        <v>Patna</v>
      </c>
      <c r="D2235" s="124" t="str">
        <f>IFERROR(__xludf.DUMMYFUNCTION("""COMPUTED_VALUE"""),"Secondary_Walkin")</f>
        <v>Secondary_Walkin</v>
      </c>
      <c r="E2235" s="124">
        <f>IFERROR(__xludf.DUMMYFUNCTION("""COMPUTED_VALUE"""),1.0)</f>
        <v>1</v>
      </c>
      <c r="F2235" s="124" t="str">
        <f>IFERROR(__xludf.DUMMYFUNCTION("""COMPUTED_VALUE"""),"Cold")</f>
        <v>Cold</v>
      </c>
      <c r="G2235" s="124" t="str">
        <f>IFERROR(__xludf.DUMMYFUNCTION("""COMPUTED_VALUE"""),"GS Advanced")</f>
        <v>GS Advanced</v>
      </c>
      <c r="K2235" s="124"/>
      <c r="L2235" s="124"/>
      <c r="M2235" s="124"/>
      <c r="N2235" s="124"/>
      <c r="O2235" s="124"/>
      <c r="T2235" s="126">
        <f>IFERROR(__xludf.DUMMYFUNCTION("""COMPUTED_VALUE"""),46111.0)</f>
        <v>46111</v>
      </c>
      <c r="U2235" s="124" t="str">
        <f>IFERROR(__xludf.DUMMYFUNCTION("""COMPUTED_VALUE"""),"Walk-Ins")</f>
        <v>Walk-Ins</v>
      </c>
      <c r="V2235" s="124" t="str">
        <f>IFERROR(__xludf.DUMMYFUNCTION("""COMPUTED_VALUE"""),"Walkin")</f>
        <v>Walkin</v>
      </c>
      <c r="W2235" s="124" t="str">
        <f>IFERROR(__xludf.DUMMYFUNCTION("""COMPUTED_VALUE"""),"Prayagraj")</f>
        <v>Prayagraj</v>
      </c>
      <c r="X2235" s="124" t="str">
        <f>IFERROR(__xludf.DUMMYFUNCTION("""COMPUTED_VALUE"""),"Walkin")</f>
        <v>Walkin</v>
      </c>
      <c r="Y2235" s="124" t="str">
        <f>IFERROR(__xludf.DUMMYFUNCTION("""COMPUTED_VALUE"""),"Prayagraj")</f>
        <v>Prayagraj</v>
      </c>
      <c r="Z2235" s="124">
        <f>IFERROR(__xludf.DUMMYFUNCTION("""COMPUTED_VALUE"""),1.0)</f>
        <v>1</v>
      </c>
      <c r="AA2235" s="124" t="str">
        <f>IFERROR(__xludf.DUMMYFUNCTION("""COMPUTED_VALUE"""),"Interested")</f>
        <v>Interested</v>
      </c>
      <c r="AB2235" s="124" t="str">
        <f>IFERROR(__xludf.DUMMYFUNCTION("""COMPUTED_VALUE"""),"GS Foundation")</f>
        <v>GS Foundation</v>
      </c>
    </row>
    <row r="2236">
      <c r="A2236" s="126">
        <f>IFERROR(__xludf.DUMMYFUNCTION("""COMPUTED_VALUE"""),46050.0)</f>
        <v>46050</v>
      </c>
      <c r="B2236" s="124" t="str">
        <f>IFERROR(__xludf.DUMMYFUNCTION("""COMPUTED_VALUE"""),"Walk-In")</f>
        <v>Walk-In</v>
      </c>
      <c r="C2236" s="124" t="str">
        <f>IFERROR(__xludf.DUMMYFUNCTION("""COMPUTED_VALUE"""),"Patna")</f>
        <v>Patna</v>
      </c>
      <c r="D2236" s="124" t="str">
        <f>IFERROR(__xludf.DUMMYFUNCTION("""COMPUTED_VALUE"""),"Primary_Walkin")</f>
        <v>Primary_Walkin</v>
      </c>
      <c r="E2236" s="124">
        <f>IFERROR(__xludf.DUMMYFUNCTION("""COMPUTED_VALUE"""),1.0)</f>
        <v>1</v>
      </c>
      <c r="F2236" s="124" t="str">
        <f>IFERROR(__xludf.DUMMYFUNCTION("""COMPUTED_VALUE"""),"Enrolled")</f>
        <v>Enrolled</v>
      </c>
      <c r="G2236" s="124" t="str">
        <f>IFERROR(__xludf.DUMMYFUNCTION("""COMPUTED_VALUE"""),"State PCS")</f>
        <v>State PCS</v>
      </c>
      <c r="K2236" s="124"/>
      <c r="L2236" s="124"/>
      <c r="M2236" s="124"/>
      <c r="N2236" s="124"/>
      <c r="O2236" s="124"/>
      <c r="T2236" s="126">
        <f>IFERROR(__xludf.DUMMYFUNCTION("""COMPUTED_VALUE"""),46094.0)</f>
        <v>46094</v>
      </c>
      <c r="U2236" s="124" t="str">
        <f>IFERROR(__xludf.DUMMYFUNCTION("""COMPUTED_VALUE"""),"Walk-Ins")</f>
        <v>Walk-Ins</v>
      </c>
      <c r="V2236" s="124" t="str">
        <f>IFERROR(__xludf.DUMMYFUNCTION("""COMPUTED_VALUE"""),"Walkin")</f>
        <v>Walkin</v>
      </c>
      <c r="W2236" s="124" t="str">
        <f>IFERROR(__xludf.DUMMYFUNCTION("""COMPUTED_VALUE"""),"Lucknow")</f>
        <v>Lucknow</v>
      </c>
      <c r="X2236" s="124" t="str">
        <f>IFERROR(__xludf.DUMMYFUNCTION("""COMPUTED_VALUE"""),"Walkin")</f>
        <v>Walkin</v>
      </c>
      <c r="Y2236" s="124" t="str">
        <f>IFERROR(__xludf.DUMMYFUNCTION("""COMPUTED_VALUE"""),"Lucknow")</f>
        <v>Lucknow</v>
      </c>
      <c r="Z2236" s="124">
        <f>IFERROR(__xludf.DUMMYFUNCTION("""COMPUTED_VALUE"""),1.0)</f>
        <v>1</v>
      </c>
      <c r="AA2236" s="124" t="str">
        <f>IFERROR(__xludf.DUMMYFUNCTION("""COMPUTED_VALUE"""),"Cold")</f>
        <v>Cold</v>
      </c>
      <c r="AB2236" s="124" t="str">
        <f>IFERROR(__xludf.DUMMYFUNCTION("""COMPUTED_VALUE"""),"GS Foundation")</f>
        <v>GS Foundation</v>
      </c>
    </row>
    <row r="2237">
      <c r="A2237" s="126">
        <f>IFERROR(__xludf.DUMMYFUNCTION("""COMPUTED_VALUE"""),46099.0)</f>
        <v>46099</v>
      </c>
      <c r="B2237" s="124" t="str">
        <f>IFERROR(__xludf.DUMMYFUNCTION("""COMPUTED_VALUE"""),"Walkin")</f>
        <v>Walkin</v>
      </c>
      <c r="C2237" s="124" t="str">
        <f>IFERROR(__xludf.DUMMYFUNCTION("""COMPUTED_VALUE"""),"Patna")</f>
        <v>Patna</v>
      </c>
      <c r="D2237" s="124" t="str">
        <f>IFERROR(__xludf.DUMMYFUNCTION("""COMPUTED_VALUE"""),"Primary_Walkin")</f>
        <v>Primary_Walkin</v>
      </c>
      <c r="E2237" s="124">
        <f>IFERROR(__xludf.DUMMYFUNCTION("""COMPUTED_VALUE"""),1.0)</f>
        <v>1</v>
      </c>
      <c r="F2237" s="124" t="str">
        <f>IFERROR(__xludf.DUMMYFUNCTION("""COMPUTED_VALUE"""),"Future Prospects")</f>
        <v>Future Prospects</v>
      </c>
      <c r="G2237" s="124" t="str">
        <f>IFERROR(__xludf.DUMMYFUNCTION("""COMPUTED_VALUE"""),"GS Foundation")</f>
        <v>GS Foundation</v>
      </c>
      <c r="K2237" s="124"/>
      <c r="L2237" s="124"/>
      <c r="M2237" s="124"/>
      <c r="N2237" s="124"/>
      <c r="O2237" s="124"/>
      <c r="T2237" s="126">
        <f>IFERROR(__xludf.DUMMYFUNCTION("""COMPUTED_VALUE"""),46101.0)</f>
        <v>46101</v>
      </c>
      <c r="U2237" s="124" t="str">
        <f>IFERROR(__xludf.DUMMYFUNCTION("""COMPUTED_VALUE"""),"Walk-Ins")</f>
        <v>Walk-Ins</v>
      </c>
      <c r="V2237" s="124" t="str">
        <f>IFERROR(__xludf.DUMMYFUNCTION("""COMPUTED_VALUE"""),"Walkin")</f>
        <v>Walkin</v>
      </c>
      <c r="W2237" s="124" t="str">
        <f>IFERROR(__xludf.DUMMYFUNCTION("""COMPUTED_VALUE"""),"Patna")</f>
        <v>Patna</v>
      </c>
      <c r="X2237" s="124" t="str">
        <f>IFERROR(__xludf.DUMMYFUNCTION("""COMPUTED_VALUE"""),"Walkin")</f>
        <v>Walkin</v>
      </c>
      <c r="Y2237" s="124" t="str">
        <f>IFERROR(__xludf.DUMMYFUNCTION("""COMPUTED_VALUE"""),"Patna")</f>
        <v>Patna</v>
      </c>
      <c r="Z2237" s="124">
        <f>IFERROR(__xludf.DUMMYFUNCTION("""COMPUTED_VALUE"""),2.0)</f>
        <v>2</v>
      </c>
      <c r="AA2237" s="124" t="str">
        <f>IFERROR(__xludf.DUMMYFUNCTION("""COMPUTED_VALUE"""),"Warm")</f>
        <v>Warm</v>
      </c>
      <c r="AB2237" s="124" t="str">
        <f>IFERROR(__xludf.DUMMYFUNCTION("""COMPUTED_VALUE"""),"State PCS")</f>
        <v>State PCS</v>
      </c>
    </row>
    <row r="2238">
      <c r="A2238" s="126">
        <f>IFERROR(__xludf.DUMMYFUNCTION("""COMPUTED_VALUE"""),46066.0)</f>
        <v>46066</v>
      </c>
      <c r="B2238" s="124" t="str">
        <f>IFERROR(__xludf.DUMMYFUNCTION("""COMPUTED_VALUE"""),"Walk-In")</f>
        <v>Walk-In</v>
      </c>
      <c r="C2238" s="124"/>
      <c r="D2238" s="124" t="str">
        <f>IFERROR(__xludf.DUMMYFUNCTION("""COMPUTED_VALUE"""),"Primary_Walkin")</f>
        <v>Primary_Walkin</v>
      </c>
      <c r="E2238" s="124">
        <f>IFERROR(__xludf.DUMMYFUNCTION("""COMPUTED_VALUE"""),1.0)</f>
        <v>1</v>
      </c>
      <c r="F2238" s="124" t="str">
        <f>IFERROR(__xludf.DUMMYFUNCTION("""COMPUTED_VALUE"""),"Future Prospects")</f>
        <v>Future Prospects</v>
      </c>
      <c r="G2238" s="124" t="str">
        <f>IFERROR(__xludf.DUMMYFUNCTION("""COMPUTED_VALUE"""),"State PCS")</f>
        <v>State PCS</v>
      </c>
      <c r="K2238" s="124"/>
      <c r="L2238" s="124"/>
      <c r="M2238" s="124"/>
      <c r="N2238" s="124"/>
      <c r="O2238" s="124"/>
      <c r="T2238" s="126">
        <f>IFERROR(__xludf.DUMMYFUNCTION("""COMPUTED_VALUE"""),46099.0)</f>
        <v>46099</v>
      </c>
      <c r="U2238" s="124" t="str">
        <f>IFERROR(__xludf.DUMMYFUNCTION("""COMPUTED_VALUE"""),"Walk-Ins")</f>
        <v>Walk-Ins</v>
      </c>
      <c r="V2238" s="124" t="str">
        <f>IFERROR(__xludf.DUMMYFUNCTION("""COMPUTED_VALUE"""),"Walkin")</f>
        <v>Walkin</v>
      </c>
      <c r="W2238" s="124" t="str">
        <f>IFERROR(__xludf.DUMMYFUNCTION("""COMPUTED_VALUE"""),"Prayagraj")</f>
        <v>Prayagraj</v>
      </c>
      <c r="X2238" s="124" t="str">
        <f>IFERROR(__xludf.DUMMYFUNCTION("""COMPUTED_VALUE"""),"Walkin")</f>
        <v>Walkin</v>
      </c>
      <c r="Y2238" s="124" t="str">
        <f>IFERROR(__xludf.DUMMYFUNCTION("""COMPUTED_VALUE"""),"Prayagraj")</f>
        <v>Prayagraj</v>
      </c>
      <c r="Z2238" s="124">
        <f>IFERROR(__xludf.DUMMYFUNCTION("""COMPUTED_VALUE"""),1.0)</f>
        <v>1</v>
      </c>
      <c r="AA2238" s="124" t="str">
        <f>IFERROR(__xludf.DUMMYFUNCTION("""COMPUTED_VALUE"""),"Cold")</f>
        <v>Cold</v>
      </c>
      <c r="AB2238" s="124" t="str">
        <f>IFERROR(__xludf.DUMMYFUNCTION("""COMPUTED_VALUE"""),"State PCS")</f>
        <v>State PCS</v>
      </c>
    </row>
    <row r="2239">
      <c r="A2239" s="126">
        <f>IFERROR(__xludf.DUMMYFUNCTION("""COMPUTED_VALUE"""),46044.0)</f>
        <v>46044</v>
      </c>
      <c r="B2239" s="124" t="str">
        <f>IFERROR(__xludf.DUMMYFUNCTION("""COMPUTED_VALUE"""),"Walk-In")</f>
        <v>Walk-In</v>
      </c>
      <c r="C2239" s="124"/>
      <c r="D2239" s="124" t="str">
        <f>IFERROR(__xludf.DUMMYFUNCTION("""COMPUTED_VALUE"""),"Primary_Walkin")</f>
        <v>Primary_Walkin</v>
      </c>
      <c r="E2239" s="124">
        <f>IFERROR(__xludf.DUMMYFUNCTION("""COMPUTED_VALUE"""),1.0)</f>
        <v>1</v>
      </c>
      <c r="F2239" s="124" t="str">
        <f>IFERROR(__xludf.DUMMYFUNCTION("""COMPUTED_VALUE"""),"Enrolled")</f>
        <v>Enrolled</v>
      </c>
      <c r="G2239" s="124" t="str">
        <f>IFERROR(__xludf.DUMMYFUNCTION("""COMPUTED_VALUE"""),"GS Foundation")</f>
        <v>GS Foundation</v>
      </c>
      <c r="K2239" s="124"/>
      <c r="L2239" s="124"/>
      <c r="M2239" s="124"/>
      <c r="N2239" s="124"/>
      <c r="O2239" s="124"/>
      <c r="T2239" s="126">
        <f>IFERROR(__xludf.DUMMYFUNCTION("""COMPUTED_VALUE"""),46088.0)</f>
        <v>46088</v>
      </c>
      <c r="U2239" s="124" t="str">
        <f>IFERROR(__xludf.DUMMYFUNCTION("""COMPUTED_VALUE"""),"Walk-Ins")</f>
        <v>Walk-Ins</v>
      </c>
      <c r="V2239" s="124" t="str">
        <f>IFERROR(__xludf.DUMMYFUNCTION("""COMPUTED_VALUE"""),"Walkin")</f>
        <v>Walkin</v>
      </c>
      <c r="W2239" s="124" t="str">
        <f>IFERROR(__xludf.DUMMYFUNCTION("""COMPUTED_VALUE"""),"Prayagraj")</f>
        <v>Prayagraj</v>
      </c>
      <c r="X2239" s="124" t="str">
        <f>IFERROR(__xludf.DUMMYFUNCTION("""COMPUTED_VALUE"""),"Walkin")</f>
        <v>Walkin</v>
      </c>
      <c r="Y2239" s="124" t="str">
        <f>IFERROR(__xludf.DUMMYFUNCTION("""COMPUTED_VALUE"""),"Prayagraj")</f>
        <v>Prayagraj</v>
      </c>
      <c r="Z2239" s="124">
        <f>IFERROR(__xludf.DUMMYFUNCTION("""COMPUTED_VALUE"""),1.0)</f>
        <v>1</v>
      </c>
      <c r="AA2239" s="124" t="str">
        <f>IFERROR(__xludf.DUMMYFUNCTION("""COMPUTED_VALUE"""),"Future Prospects")</f>
        <v>Future Prospects</v>
      </c>
      <c r="AB2239" s="124" t="str">
        <f>IFERROR(__xludf.DUMMYFUNCTION("""COMPUTED_VALUE"""),"State PCS")</f>
        <v>State PCS</v>
      </c>
    </row>
    <row r="2240">
      <c r="A2240" s="126">
        <f>IFERROR(__xludf.DUMMYFUNCTION("""COMPUTED_VALUE"""),46063.0)</f>
        <v>46063</v>
      </c>
      <c r="B2240" s="124" t="str">
        <f>IFERROR(__xludf.DUMMYFUNCTION("""COMPUTED_VALUE"""),"Walkin")</f>
        <v>Walkin</v>
      </c>
      <c r="C2240" s="124" t="str">
        <f>IFERROR(__xludf.DUMMYFUNCTION("""COMPUTED_VALUE"""),"Prayagraj")</f>
        <v>Prayagraj</v>
      </c>
      <c r="D2240" s="124" t="str">
        <f>IFERROR(__xludf.DUMMYFUNCTION("""COMPUTED_VALUE"""),"Primary_Walkin")</f>
        <v>Primary_Walkin</v>
      </c>
      <c r="E2240" s="124">
        <f>IFERROR(__xludf.DUMMYFUNCTION("""COMPUTED_VALUE"""),2.0)</f>
        <v>2</v>
      </c>
      <c r="F2240" s="124" t="str">
        <f>IFERROR(__xludf.DUMMYFUNCTION("""COMPUTED_VALUE"""),"Not Interested")</f>
        <v>Not Interested</v>
      </c>
      <c r="G2240" s="124" t="str">
        <f>IFERROR(__xludf.DUMMYFUNCTION("""COMPUTED_VALUE"""),"GS Foundation")</f>
        <v>GS Foundation</v>
      </c>
      <c r="K2240" s="124"/>
      <c r="L2240" s="124"/>
      <c r="M2240" s="124"/>
      <c r="N2240" s="124"/>
      <c r="O2240" s="124"/>
      <c r="T2240" s="129">
        <f>IFERROR(__xludf.DUMMYFUNCTION("""COMPUTED_VALUE"""),46072.0)</f>
        <v>46072</v>
      </c>
      <c r="U2240" s="124" t="str">
        <f>IFERROR(__xludf.DUMMYFUNCTION("""COMPUTED_VALUE"""),"Walk-Ins")</f>
        <v>Walk-Ins</v>
      </c>
      <c r="V2240" s="124" t="str">
        <f>IFERROR(__xludf.DUMMYFUNCTION("""COMPUTED_VALUE"""),"Walkin")</f>
        <v>Walkin</v>
      </c>
      <c r="W2240" s="124" t="str">
        <f>IFERROR(__xludf.DUMMYFUNCTION("""COMPUTED_VALUE"""),"Prayagraj")</f>
        <v>Prayagraj</v>
      </c>
      <c r="X2240" s="124" t="str">
        <f>IFERROR(__xludf.DUMMYFUNCTION("""COMPUTED_VALUE"""),"Walkin")</f>
        <v>Walkin</v>
      </c>
      <c r="Y2240" s="124" t="str">
        <f>IFERROR(__xludf.DUMMYFUNCTION("""COMPUTED_VALUE"""),"Prayagraj")</f>
        <v>Prayagraj</v>
      </c>
      <c r="Z2240" s="124">
        <f>IFERROR(__xludf.DUMMYFUNCTION("""COMPUTED_VALUE"""),1.0)</f>
        <v>1</v>
      </c>
      <c r="AA2240" s="124" t="str">
        <f>IFERROR(__xludf.DUMMYFUNCTION("""COMPUTED_VALUE"""),"Not Interested")</f>
        <v>Not Interested</v>
      </c>
      <c r="AB2240" s="124" t="str">
        <f>IFERROR(__xludf.DUMMYFUNCTION("""COMPUTED_VALUE"""),"State PCS")</f>
        <v>State PCS</v>
      </c>
    </row>
    <row r="2241">
      <c r="A2241" s="129">
        <f>IFERROR(__xludf.DUMMYFUNCTION("""COMPUTED_VALUE"""),46082.0)</f>
        <v>46082</v>
      </c>
      <c r="B2241" s="124" t="str">
        <f>IFERROR(__xludf.DUMMYFUNCTION("""COMPUTED_VALUE"""),"DM - Meta")</f>
        <v>DM - Meta</v>
      </c>
      <c r="C2241" s="124" t="str">
        <f>IFERROR(__xludf.DUMMYFUNCTION("""COMPUTED_VALUE"""),"Prayagraj")</f>
        <v>Prayagraj</v>
      </c>
      <c r="D2241" s="124" t="str">
        <f>IFERROR(__xludf.DUMMYFUNCTION("""COMPUTED_VALUE"""),"Secondary_Walkin")</f>
        <v>Secondary_Walkin</v>
      </c>
      <c r="E2241" s="124">
        <f>IFERROR(__xludf.DUMMYFUNCTION("""COMPUTED_VALUE"""),1.0)</f>
        <v>1</v>
      </c>
      <c r="F2241" s="124" t="str">
        <f>IFERROR(__xludf.DUMMYFUNCTION("""COMPUTED_VALUE"""),"Warm")</f>
        <v>Warm</v>
      </c>
      <c r="G2241" s="124" t="str">
        <f>IFERROR(__xludf.DUMMYFUNCTION("""COMPUTED_VALUE"""),"Mentorship")</f>
        <v>Mentorship</v>
      </c>
      <c r="K2241" s="124"/>
      <c r="L2241" s="124"/>
      <c r="M2241" s="124"/>
      <c r="N2241" s="124"/>
      <c r="O2241" s="124"/>
      <c r="T2241" s="129">
        <f>IFERROR(__xludf.DUMMYFUNCTION("""COMPUTED_VALUE"""),46051.0)</f>
        <v>46051</v>
      </c>
      <c r="U2241" s="124" t="str">
        <f>IFERROR(__xludf.DUMMYFUNCTION("""COMPUTED_VALUE"""),"Walk-Ins")</f>
        <v>Walk-Ins</v>
      </c>
      <c r="V2241" s="124" t="str">
        <f>IFERROR(__xludf.DUMMYFUNCTION("""COMPUTED_VALUE"""),"Walkin")</f>
        <v>Walkin</v>
      </c>
      <c r="W2241" s="124" t="str">
        <f>IFERROR(__xludf.DUMMYFUNCTION("""COMPUTED_VALUE"""),"Patna")</f>
        <v>Patna</v>
      </c>
      <c r="X2241" s="124" t="str">
        <f>IFERROR(__xludf.DUMMYFUNCTION("""COMPUTED_VALUE"""),"Walkin")</f>
        <v>Walkin</v>
      </c>
      <c r="Y2241" s="124" t="str">
        <f>IFERROR(__xludf.DUMMYFUNCTION("""COMPUTED_VALUE"""),"Patna")</f>
        <v>Patna</v>
      </c>
      <c r="Z2241" s="124">
        <f>IFERROR(__xludf.DUMMYFUNCTION("""COMPUTED_VALUE"""),2.0)</f>
        <v>2</v>
      </c>
      <c r="AA2241" s="124" t="str">
        <f>IFERROR(__xludf.DUMMYFUNCTION("""COMPUTED_VALUE"""),"Not Interested")</f>
        <v>Not Interested</v>
      </c>
      <c r="AB2241" s="124" t="str">
        <f>IFERROR(__xludf.DUMMYFUNCTION("""COMPUTED_VALUE"""),"State PCS")</f>
        <v>State PCS</v>
      </c>
    </row>
    <row r="2242">
      <c r="A2242" s="126">
        <f>IFERROR(__xludf.DUMMYFUNCTION("""COMPUTED_VALUE"""),46112.0)</f>
        <v>46112</v>
      </c>
      <c r="B2242" s="124" t="str">
        <f>IFERROR(__xludf.DUMMYFUNCTION("""COMPUTED_VALUE"""),"Walkin")</f>
        <v>Walkin</v>
      </c>
      <c r="C2242" s="124" t="str">
        <f>IFERROR(__xludf.DUMMYFUNCTION("""COMPUTED_VALUE"""),"Prayagraj")</f>
        <v>Prayagraj</v>
      </c>
      <c r="D2242" s="124" t="str">
        <f>IFERROR(__xludf.DUMMYFUNCTION("""COMPUTED_VALUE"""),"Primary_Walkin")</f>
        <v>Primary_Walkin</v>
      </c>
      <c r="E2242" s="124">
        <f>IFERROR(__xludf.DUMMYFUNCTION("""COMPUTED_VALUE"""),3.0)</f>
        <v>3</v>
      </c>
      <c r="F2242" s="124" t="str">
        <f>IFERROR(__xludf.DUMMYFUNCTION("""COMPUTED_VALUE"""),"Warm")</f>
        <v>Warm</v>
      </c>
      <c r="G2242" s="124" t="str">
        <f>IFERROR(__xludf.DUMMYFUNCTION("""COMPUTED_VALUE"""),"State PCS")</f>
        <v>State PCS</v>
      </c>
      <c r="K2242" s="124"/>
      <c r="L2242" s="124"/>
      <c r="M2242" s="124"/>
      <c r="N2242" s="124"/>
      <c r="O2242" s="124"/>
      <c r="T2242" s="129">
        <f>IFERROR(__xludf.DUMMYFUNCTION("""COMPUTED_VALUE"""),46107.0)</f>
        <v>46107</v>
      </c>
      <c r="U2242" s="124" t="str">
        <f>IFERROR(__xludf.DUMMYFUNCTION("""COMPUTED_VALUE"""),"Walk-Ins")</f>
        <v>Walk-Ins</v>
      </c>
      <c r="V2242" s="124" t="str">
        <f>IFERROR(__xludf.DUMMYFUNCTION("""COMPUTED_VALUE"""),"Walkin")</f>
        <v>Walkin</v>
      </c>
      <c r="W2242" s="124" t="str">
        <f>IFERROR(__xludf.DUMMYFUNCTION("""COMPUTED_VALUE"""),"Patna")</f>
        <v>Patna</v>
      </c>
      <c r="X2242" s="124" t="str">
        <f>IFERROR(__xludf.DUMMYFUNCTION("""COMPUTED_VALUE"""),"Walkin")</f>
        <v>Walkin</v>
      </c>
      <c r="Y2242" s="124" t="str">
        <f>IFERROR(__xludf.DUMMYFUNCTION("""COMPUTED_VALUE"""),"Patna")</f>
        <v>Patna</v>
      </c>
      <c r="Z2242" s="124">
        <f>IFERROR(__xludf.DUMMYFUNCTION("""COMPUTED_VALUE"""),4.0)</f>
        <v>4</v>
      </c>
      <c r="AA2242" s="124" t="str">
        <f>IFERROR(__xludf.DUMMYFUNCTION("""COMPUTED_VALUE"""),"Cold")</f>
        <v>Cold</v>
      </c>
      <c r="AB2242" s="124" t="str">
        <f>IFERROR(__xludf.DUMMYFUNCTION("""COMPUTED_VALUE"""),"State PCS")</f>
        <v>State PCS</v>
      </c>
    </row>
    <row r="2243">
      <c r="A2243" s="126">
        <f>IFERROR(__xludf.DUMMYFUNCTION("""COMPUTED_VALUE"""),46108.0)</f>
        <v>46108</v>
      </c>
      <c r="B2243" s="124" t="str">
        <f>IFERROR(__xludf.DUMMYFUNCTION("""COMPUTED_VALUE"""),"Walkin")</f>
        <v>Walkin</v>
      </c>
      <c r="C2243" s="124" t="str">
        <f>IFERROR(__xludf.DUMMYFUNCTION("""COMPUTED_VALUE"""),"Prayagraj")</f>
        <v>Prayagraj</v>
      </c>
      <c r="D2243" s="124" t="str">
        <f>IFERROR(__xludf.DUMMYFUNCTION("""COMPUTED_VALUE"""),"Primary_Walkin")</f>
        <v>Primary_Walkin</v>
      </c>
      <c r="E2243" s="124">
        <f>IFERROR(__xludf.DUMMYFUNCTION("""COMPUTED_VALUE"""),1.0)</f>
        <v>1</v>
      </c>
      <c r="F2243" s="124" t="str">
        <f>IFERROR(__xludf.DUMMYFUNCTION("""COMPUTED_VALUE"""),"Interested")</f>
        <v>Interested</v>
      </c>
      <c r="G2243" s="124" t="str">
        <f>IFERROR(__xludf.DUMMYFUNCTION("""COMPUTED_VALUE"""),"State PCS")</f>
        <v>State PCS</v>
      </c>
      <c r="K2243" s="124"/>
      <c r="L2243" s="124"/>
      <c r="M2243" s="124"/>
      <c r="N2243" s="124"/>
      <c r="O2243" s="124"/>
      <c r="T2243" s="129">
        <f>IFERROR(__xludf.DUMMYFUNCTION("""COMPUTED_VALUE"""),46054.0)</f>
        <v>46054</v>
      </c>
      <c r="U2243" s="124" t="str">
        <f>IFERROR(__xludf.DUMMYFUNCTION("""COMPUTED_VALUE"""),"Walk-Ins")</f>
        <v>Walk-Ins</v>
      </c>
      <c r="V2243" s="124" t="str">
        <f>IFERROR(__xludf.DUMMYFUNCTION("""COMPUTED_VALUE"""),"Walkin")</f>
        <v>Walkin</v>
      </c>
      <c r="W2243" s="124" t="str">
        <f>IFERROR(__xludf.DUMMYFUNCTION("""COMPUTED_VALUE"""),"Indore")</f>
        <v>Indore</v>
      </c>
      <c r="X2243" s="124" t="str">
        <f>IFERROR(__xludf.DUMMYFUNCTION("""COMPUTED_VALUE"""),"Walkin")</f>
        <v>Walkin</v>
      </c>
      <c r="Y2243" s="124" t="str">
        <f>IFERROR(__xludf.DUMMYFUNCTION("""COMPUTED_VALUE"""),"Indore")</f>
        <v>Indore</v>
      </c>
      <c r="Z2243" s="124">
        <f>IFERROR(__xludf.DUMMYFUNCTION("""COMPUTED_VALUE"""),1.0)</f>
        <v>1</v>
      </c>
      <c r="AA2243" s="124" t="str">
        <f>IFERROR(__xludf.DUMMYFUNCTION("""COMPUTED_VALUE"""),"Warm")</f>
        <v>Warm</v>
      </c>
      <c r="AB2243" s="124" t="str">
        <f>IFERROR(__xludf.DUMMYFUNCTION("""COMPUTED_VALUE"""),"Test Series")</f>
        <v>Test Series</v>
      </c>
    </row>
    <row r="2244">
      <c r="A2244" s="126">
        <f>IFERROR(__xludf.DUMMYFUNCTION("""COMPUTED_VALUE"""),46099.0)</f>
        <v>46099</v>
      </c>
      <c r="B2244" s="124" t="str">
        <f>IFERROR(__xludf.DUMMYFUNCTION("""COMPUTED_VALUE"""),"Walk-In")</f>
        <v>Walk-In</v>
      </c>
      <c r="C2244" s="124" t="str">
        <f>IFERROR(__xludf.DUMMYFUNCTION("""COMPUTED_VALUE"""),"Prayagraj")</f>
        <v>Prayagraj</v>
      </c>
      <c r="D2244" s="124" t="str">
        <f>IFERROR(__xludf.DUMMYFUNCTION("""COMPUTED_VALUE"""),"Primary_Walkin")</f>
        <v>Primary_Walkin</v>
      </c>
      <c r="E2244" s="124">
        <f>IFERROR(__xludf.DUMMYFUNCTION("""COMPUTED_VALUE"""),1.0)</f>
        <v>1</v>
      </c>
      <c r="F2244" s="124" t="str">
        <f>IFERROR(__xludf.DUMMYFUNCTION("""COMPUTED_VALUE"""),"Cold")</f>
        <v>Cold</v>
      </c>
      <c r="G2244" s="124" t="str">
        <f>IFERROR(__xludf.DUMMYFUNCTION("""COMPUTED_VALUE"""),"Test Series")</f>
        <v>Test Series</v>
      </c>
      <c r="K2244" s="124"/>
      <c r="L2244" s="124"/>
      <c r="M2244" s="124"/>
      <c r="N2244" s="124"/>
      <c r="O2244" s="124"/>
      <c r="T2244" s="126">
        <f>IFERROR(__xludf.DUMMYFUNCTION("""COMPUTED_VALUE"""),46059.0)</f>
        <v>46059</v>
      </c>
      <c r="U2244" s="124" t="str">
        <f>IFERROR(__xludf.DUMMYFUNCTION("""COMPUTED_VALUE"""),"Walk-Ins")</f>
        <v>Walk-Ins</v>
      </c>
      <c r="V2244" s="124" t="str">
        <f>IFERROR(__xludf.DUMMYFUNCTION("""COMPUTED_VALUE"""),"Walkin")</f>
        <v>Walkin</v>
      </c>
      <c r="W2244" s="124" t="str">
        <f>IFERROR(__xludf.DUMMYFUNCTION("""COMPUTED_VALUE"""),"Indore")</f>
        <v>Indore</v>
      </c>
      <c r="X2244" s="124" t="str">
        <f>IFERROR(__xludf.DUMMYFUNCTION("""COMPUTED_VALUE"""),"Walkin")</f>
        <v>Walkin</v>
      </c>
      <c r="Y2244" s="124" t="str">
        <f>IFERROR(__xludf.DUMMYFUNCTION("""COMPUTED_VALUE"""),"Indore")</f>
        <v>Indore</v>
      </c>
      <c r="Z2244" s="124">
        <f>IFERROR(__xludf.DUMMYFUNCTION("""COMPUTED_VALUE"""),1.0)</f>
        <v>1</v>
      </c>
      <c r="AA2244" s="124" t="str">
        <f>IFERROR(__xludf.DUMMYFUNCTION("""COMPUTED_VALUE"""),"Fake Lead")</f>
        <v>Fake Lead</v>
      </c>
      <c r="AB2244" s="124" t="str">
        <f>IFERROR(__xludf.DUMMYFUNCTION("""COMPUTED_VALUE"""),"GS Foundation")</f>
        <v>GS Foundation</v>
      </c>
    </row>
    <row r="2245">
      <c r="A2245" s="126">
        <f>IFERROR(__xludf.DUMMYFUNCTION("""COMPUTED_VALUE"""),46073.0)</f>
        <v>46073</v>
      </c>
      <c r="B2245" s="124" t="str">
        <f>IFERROR(__xludf.DUMMYFUNCTION("""COMPUTED_VALUE"""),"external leads")</f>
        <v>external leads</v>
      </c>
      <c r="C2245" s="124" t="str">
        <f>IFERROR(__xludf.DUMMYFUNCTION("""COMPUTED_VALUE"""),"Prayagraj")</f>
        <v>Prayagraj</v>
      </c>
      <c r="D2245" s="124" t="str">
        <f>IFERROR(__xludf.DUMMYFUNCTION("""COMPUTED_VALUE"""),"Secondary_Walkin")</f>
        <v>Secondary_Walkin</v>
      </c>
      <c r="E2245" s="124">
        <f>IFERROR(__xludf.DUMMYFUNCTION("""COMPUTED_VALUE"""),1.0)</f>
        <v>1</v>
      </c>
      <c r="F2245" s="124" t="str">
        <f>IFERROR(__xludf.DUMMYFUNCTION("""COMPUTED_VALUE"""),"Cold")</f>
        <v>Cold</v>
      </c>
      <c r="G2245" s="124" t="str">
        <f>IFERROR(__xludf.DUMMYFUNCTION("""COMPUTED_VALUE"""),"State PCS")</f>
        <v>State PCS</v>
      </c>
      <c r="K2245" s="124"/>
      <c r="L2245" s="124"/>
      <c r="M2245" s="124"/>
      <c r="N2245" s="124"/>
      <c r="O2245" s="124"/>
      <c r="T2245" s="129">
        <f>IFERROR(__xludf.DUMMYFUNCTION("""COMPUTED_VALUE"""),46072.0)</f>
        <v>46072</v>
      </c>
      <c r="U2245" s="124" t="str">
        <f>IFERROR(__xludf.DUMMYFUNCTION("""COMPUTED_VALUE"""),"Walk-Ins")</f>
        <v>Walk-Ins</v>
      </c>
      <c r="V2245" s="124" t="str">
        <f>IFERROR(__xludf.DUMMYFUNCTION("""COMPUTED_VALUE"""),"Walkin")</f>
        <v>Walkin</v>
      </c>
      <c r="W2245" s="124" t="str">
        <f>IFERROR(__xludf.DUMMYFUNCTION("""COMPUTED_VALUE"""),"Prayagraj")</f>
        <v>Prayagraj</v>
      </c>
      <c r="X2245" s="124" t="str">
        <f>IFERROR(__xludf.DUMMYFUNCTION("""COMPUTED_VALUE"""),"Walkin")</f>
        <v>Walkin</v>
      </c>
      <c r="Y2245" s="124" t="str">
        <f>IFERROR(__xludf.DUMMYFUNCTION("""COMPUTED_VALUE"""),"Prayagraj")</f>
        <v>Prayagraj</v>
      </c>
      <c r="Z2245" s="124">
        <f>IFERROR(__xludf.DUMMYFUNCTION("""COMPUTED_VALUE"""),1.0)</f>
        <v>1</v>
      </c>
      <c r="AA2245" s="124" t="str">
        <f>IFERROR(__xludf.DUMMYFUNCTION("""COMPUTED_VALUE"""),"Cold")</f>
        <v>Cold</v>
      </c>
      <c r="AB2245" s="124" t="str">
        <f>IFERROR(__xludf.DUMMYFUNCTION("""COMPUTED_VALUE"""),"CSAT")</f>
        <v>CSAT</v>
      </c>
    </row>
    <row r="2246">
      <c r="A2246" s="129">
        <f>IFERROR(__xludf.DUMMYFUNCTION("""COMPUTED_VALUE"""),46056.0)</f>
        <v>46056</v>
      </c>
      <c r="B2246" s="124" t="str">
        <f>IFERROR(__xludf.DUMMYFUNCTION("""COMPUTED_VALUE"""),"Walkin")</f>
        <v>Walkin</v>
      </c>
      <c r="C2246" s="124" t="str">
        <f>IFERROR(__xludf.DUMMYFUNCTION("""COMPUTED_VALUE"""),"Prayagraj")</f>
        <v>Prayagraj</v>
      </c>
      <c r="D2246" s="124" t="str">
        <f>IFERROR(__xludf.DUMMYFUNCTION("""COMPUTED_VALUE"""),"Primary_Walkin")</f>
        <v>Primary_Walkin</v>
      </c>
      <c r="E2246" s="124">
        <f>IFERROR(__xludf.DUMMYFUNCTION("""COMPUTED_VALUE"""),1.0)</f>
        <v>1</v>
      </c>
      <c r="F2246" s="124" t="str">
        <f>IFERROR(__xludf.DUMMYFUNCTION("""COMPUTED_VALUE"""),"Cold")</f>
        <v>Cold</v>
      </c>
      <c r="G2246" s="124" t="str">
        <f>IFERROR(__xludf.DUMMYFUNCTION("""COMPUTED_VALUE"""),"Other")</f>
        <v>Other</v>
      </c>
      <c r="K2246" s="124"/>
      <c r="L2246" s="124"/>
      <c r="M2246" s="124"/>
      <c r="N2246" s="124"/>
      <c r="O2246" s="124"/>
      <c r="T2246" s="129">
        <f>IFERROR(__xludf.DUMMYFUNCTION("""COMPUTED_VALUE"""),46108.0)</f>
        <v>46108</v>
      </c>
      <c r="U2246" s="124" t="str">
        <f>IFERROR(__xludf.DUMMYFUNCTION("""COMPUTED_VALUE"""),"Walk-Ins")</f>
        <v>Walk-Ins</v>
      </c>
      <c r="V2246" s="124" t="str">
        <f>IFERROR(__xludf.DUMMYFUNCTION("""COMPUTED_VALUE"""),"Walkin")</f>
        <v>Walkin</v>
      </c>
      <c r="W2246" s="124" t="str">
        <f>IFERROR(__xludf.DUMMYFUNCTION("""COMPUTED_VALUE"""),"Prayagraj")</f>
        <v>Prayagraj</v>
      </c>
      <c r="X2246" s="124" t="str">
        <f>IFERROR(__xludf.DUMMYFUNCTION("""COMPUTED_VALUE"""),"Walkin")</f>
        <v>Walkin</v>
      </c>
      <c r="Y2246" s="124" t="str">
        <f>IFERROR(__xludf.DUMMYFUNCTION("""COMPUTED_VALUE"""),"Prayagraj")</f>
        <v>Prayagraj</v>
      </c>
      <c r="Z2246" s="124">
        <f>IFERROR(__xludf.DUMMYFUNCTION("""COMPUTED_VALUE"""),1.0)</f>
        <v>1</v>
      </c>
      <c r="AA2246" s="124" t="str">
        <f>IFERROR(__xludf.DUMMYFUNCTION("""COMPUTED_VALUE"""),"Interested")</f>
        <v>Interested</v>
      </c>
      <c r="AB2246" s="124" t="str">
        <f>IFERROR(__xludf.DUMMYFUNCTION("""COMPUTED_VALUE"""),"GS Foundation")</f>
        <v>GS Foundation</v>
      </c>
    </row>
    <row r="2247">
      <c r="A2247" s="129">
        <f>IFERROR(__xludf.DUMMYFUNCTION("""COMPUTED_VALUE"""),46090.0)</f>
        <v>46090</v>
      </c>
      <c r="B2247" s="124" t="str">
        <f>IFERROR(__xludf.DUMMYFUNCTION("""COMPUTED_VALUE"""),"Walkin")</f>
        <v>Walkin</v>
      </c>
      <c r="C2247" s="124" t="str">
        <f>IFERROR(__xludf.DUMMYFUNCTION("""COMPUTED_VALUE"""),"Prayagraj")</f>
        <v>Prayagraj</v>
      </c>
      <c r="D2247" s="124" t="str">
        <f>IFERROR(__xludf.DUMMYFUNCTION("""COMPUTED_VALUE"""),"Primary_Walkin")</f>
        <v>Primary_Walkin</v>
      </c>
      <c r="E2247" s="124">
        <f>IFERROR(__xludf.DUMMYFUNCTION("""COMPUTED_VALUE"""),1.0)</f>
        <v>1</v>
      </c>
      <c r="F2247" s="124" t="str">
        <f>IFERROR(__xludf.DUMMYFUNCTION("""COMPUTED_VALUE"""),"Cold")</f>
        <v>Cold</v>
      </c>
      <c r="G2247" s="124" t="str">
        <f>IFERROR(__xludf.DUMMYFUNCTION("""COMPUTED_VALUE"""),"Test Series")</f>
        <v>Test Series</v>
      </c>
      <c r="K2247" s="124"/>
      <c r="L2247" s="124"/>
      <c r="M2247" s="124"/>
      <c r="N2247" s="124"/>
      <c r="O2247" s="124"/>
      <c r="T2247" s="126">
        <f>IFERROR(__xludf.DUMMYFUNCTION("""COMPUTED_VALUE"""),46099.0)</f>
        <v>46099</v>
      </c>
      <c r="U2247" s="124" t="str">
        <f>IFERROR(__xludf.DUMMYFUNCTION("""COMPUTED_VALUE"""),"Walk-Ins")</f>
        <v>Walk-Ins</v>
      </c>
      <c r="V2247" s="124" t="str">
        <f>IFERROR(__xludf.DUMMYFUNCTION("""COMPUTED_VALUE"""),"Walkin")</f>
        <v>Walkin</v>
      </c>
      <c r="W2247" s="124" t="str">
        <f>IFERROR(__xludf.DUMMYFUNCTION("""COMPUTED_VALUE"""),"Prayagraj")</f>
        <v>Prayagraj</v>
      </c>
      <c r="X2247" s="124" t="str">
        <f>IFERROR(__xludf.DUMMYFUNCTION("""COMPUTED_VALUE"""),"Walkin")</f>
        <v>Walkin</v>
      </c>
      <c r="Y2247" s="124" t="str">
        <f>IFERROR(__xludf.DUMMYFUNCTION("""COMPUTED_VALUE"""),"Prayagraj")</f>
        <v>Prayagraj</v>
      </c>
      <c r="Z2247" s="124">
        <f>IFERROR(__xludf.DUMMYFUNCTION("""COMPUTED_VALUE"""),1.0)</f>
        <v>1</v>
      </c>
      <c r="AA2247" s="124" t="str">
        <f>IFERROR(__xludf.DUMMYFUNCTION("""COMPUTED_VALUE"""),"Warm")</f>
        <v>Warm</v>
      </c>
      <c r="AB2247" s="124" t="str">
        <f>IFERROR(__xludf.DUMMYFUNCTION("""COMPUTED_VALUE"""),"GS Foundation")</f>
        <v>GS Foundation</v>
      </c>
    </row>
    <row r="2248">
      <c r="A2248" s="126">
        <f>IFERROR(__xludf.DUMMYFUNCTION("""COMPUTED_VALUE"""),46073.0)</f>
        <v>46073</v>
      </c>
      <c r="B2248" s="124" t="str">
        <f>IFERROR(__xludf.DUMMYFUNCTION("""COMPUTED_VALUE"""),"Walkin")</f>
        <v>Walkin</v>
      </c>
      <c r="C2248" s="124" t="str">
        <f>IFERROR(__xludf.DUMMYFUNCTION("""COMPUTED_VALUE"""),"Prayagraj")</f>
        <v>Prayagraj</v>
      </c>
      <c r="D2248" s="124" t="str">
        <f>IFERROR(__xludf.DUMMYFUNCTION("""COMPUTED_VALUE"""),"Primary_Walkin")</f>
        <v>Primary_Walkin</v>
      </c>
      <c r="E2248" s="124">
        <f>IFERROR(__xludf.DUMMYFUNCTION("""COMPUTED_VALUE"""),1.0)</f>
        <v>1</v>
      </c>
      <c r="F2248" s="124" t="str">
        <f>IFERROR(__xludf.DUMMYFUNCTION("""COMPUTED_VALUE"""),"Not Interested")</f>
        <v>Not Interested</v>
      </c>
      <c r="G2248" s="124" t="str">
        <f>IFERROR(__xludf.DUMMYFUNCTION("""COMPUTED_VALUE"""),"GS Foundation")</f>
        <v>GS Foundation</v>
      </c>
      <c r="K2248" s="124"/>
      <c r="L2248" s="124"/>
      <c r="M2248" s="124"/>
      <c r="N2248" s="124"/>
      <c r="O2248" s="124"/>
      <c r="T2248" s="126">
        <f>IFERROR(__xludf.DUMMYFUNCTION("""COMPUTED_VALUE"""),46060.0)</f>
        <v>46060</v>
      </c>
      <c r="U2248" s="124" t="str">
        <f>IFERROR(__xludf.DUMMYFUNCTION("""COMPUTED_VALUE"""),"Walk-Ins")</f>
        <v>Walk-Ins</v>
      </c>
      <c r="V2248" s="124" t="str">
        <f>IFERROR(__xludf.DUMMYFUNCTION("""COMPUTED_VALUE"""),"Walkin")</f>
        <v>Walkin</v>
      </c>
      <c r="W2248" s="124" t="str">
        <f>IFERROR(__xludf.DUMMYFUNCTION("""COMPUTED_VALUE"""),"Indore")</f>
        <v>Indore</v>
      </c>
      <c r="X2248" s="124" t="str">
        <f>IFERROR(__xludf.DUMMYFUNCTION("""COMPUTED_VALUE"""),"Walkin")</f>
        <v>Walkin</v>
      </c>
      <c r="Y2248" s="124" t="str">
        <f>IFERROR(__xludf.DUMMYFUNCTION("""COMPUTED_VALUE"""),"Indore")</f>
        <v>Indore</v>
      </c>
      <c r="Z2248" s="124">
        <f>IFERROR(__xludf.DUMMYFUNCTION("""COMPUTED_VALUE"""),2.0)</f>
        <v>2</v>
      </c>
      <c r="AA2248" s="124" t="str">
        <f>IFERROR(__xludf.DUMMYFUNCTION("""COMPUTED_VALUE"""),"Not Interested")</f>
        <v>Not Interested</v>
      </c>
      <c r="AB2248" s="124" t="str">
        <f>IFERROR(__xludf.DUMMYFUNCTION("""COMPUTED_VALUE"""),"Test Series")</f>
        <v>Test Series</v>
      </c>
    </row>
    <row r="2249">
      <c r="A2249" s="126">
        <f>IFERROR(__xludf.DUMMYFUNCTION("""COMPUTED_VALUE"""),46108.0)</f>
        <v>46108</v>
      </c>
      <c r="B2249" s="124" t="str">
        <f>IFERROR(__xludf.DUMMYFUNCTION("""COMPUTED_VALUE"""),"external leads")</f>
        <v>external leads</v>
      </c>
      <c r="C2249" s="124" t="str">
        <f>IFERROR(__xludf.DUMMYFUNCTION("""COMPUTED_VALUE"""),"Prayagraj")</f>
        <v>Prayagraj</v>
      </c>
      <c r="D2249" s="124" t="str">
        <f>IFERROR(__xludf.DUMMYFUNCTION("""COMPUTED_VALUE"""),"Secondary_Walkin")</f>
        <v>Secondary_Walkin</v>
      </c>
      <c r="E2249" s="124">
        <f>IFERROR(__xludf.DUMMYFUNCTION("""COMPUTED_VALUE"""),1.0)</f>
        <v>1</v>
      </c>
      <c r="F2249" s="124" t="str">
        <f>IFERROR(__xludf.DUMMYFUNCTION("""COMPUTED_VALUE"""),"Warm")</f>
        <v>Warm</v>
      </c>
      <c r="G2249" s="124" t="str">
        <f>IFERROR(__xludf.DUMMYFUNCTION("""COMPUTED_VALUE"""),"GS Foundation")</f>
        <v>GS Foundation</v>
      </c>
      <c r="K2249" s="124"/>
      <c r="L2249" s="124"/>
      <c r="M2249" s="124"/>
      <c r="N2249" s="124"/>
      <c r="O2249" s="124"/>
      <c r="T2249" s="129">
        <f>IFERROR(__xludf.DUMMYFUNCTION("""COMPUTED_VALUE"""),46051.0)</f>
        <v>46051</v>
      </c>
      <c r="U2249" s="124" t="str">
        <f>IFERROR(__xludf.DUMMYFUNCTION("""COMPUTED_VALUE"""),"Walk-Ins")</f>
        <v>Walk-Ins</v>
      </c>
      <c r="V2249" s="124" t="str">
        <f>IFERROR(__xludf.DUMMYFUNCTION("""COMPUTED_VALUE"""),"Walkin")</f>
        <v>Walkin</v>
      </c>
      <c r="W2249" s="124" t="str">
        <f>IFERROR(__xludf.DUMMYFUNCTION("""COMPUTED_VALUE"""),"Prayagraj")</f>
        <v>Prayagraj</v>
      </c>
      <c r="X2249" s="124" t="str">
        <f>IFERROR(__xludf.DUMMYFUNCTION("""COMPUTED_VALUE"""),"Walkin")</f>
        <v>Walkin</v>
      </c>
      <c r="Y2249" s="124" t="str">
        <f>IFERROR(__xludf.DUMMYFUNCTION("""COMPUTED_VALUE"""),"Prayagraj")</f>
        <v>Prayagraj</v>
      </c>
      <c r="Z2249" s="124">
        <f>IFERROR(__xludf.DUMMYFUNCTION("""COMPUTED_VALUE"""),1.0)</f>
        <v>1</v>
      </c>
      <c r="AA2249" s="124" t="str">
        <f>IFERROR(__xludf.DUMMYFUNCTION("""COMPUTED_VALUE"""),"Enrolled")</f>
        <v>Enrolled</v>
      </c>
      <c r="AB2249" s="124" t="str">
        <f>IFERROR(__xludf.DUMMYFUNCTION("""COMPUTED_VALUE"""),"Other")</f>
        <v>Other</v>
      </c>
    </row>
    <row r="2250">
      <c r="A2250" s="126">
        <f>IFERROR(__xludf.DUMMYFUNCTION("""COMPUTED_VALUE"""),46099.0)</f>
        <v>46099</v>
      </c>
      <c r="B2250" s="124" t="str">
        <f>IFERROR(__xludf.DUMMYFUNCTION("""COMPUTED_VALUE"""),"Walkin")</f>
        <v>Walkin</v>
      </c>
      <c r="C2250" s="124" t="str">
        <f>IFERROR(__xludf.DUMMYFUNCTION("""COMPUTED_VALUE"""),"Prayagraj")</f>
        <v>Prayagraj</v>
      </c>
      <c r="D2250" s="124" t="str">
        <f>IFERROR(__xludf.DUMMYFUNCTION("""COMPUTED_VALUE"""),"Primary_Walkin")</f>
        <v>Primary_Walkin</v>
      </c>
      <c r="E2250" s="124">
        <f>IFERROR(__xludf.DUMMYFUNCTION("""COMPUTED_VALUE"""),2.0)</f>
        <v>2</v>
      </c>
      <c r="F2250" s="124" t="str">
        <f>IFERROR(__xludf.DUMMYFUNCTION("""COMPUTED_VALUE"""),"Future Prospects")</f>
        <v>Future Prospects</v>
      </c>
      <c r="G2250" s="124" t="str">
        <f>IFERROR(__xludf.DUMMYFUNCTION("""COMPUTED_VALUE"""),"GS Foundation")</f>
        <v>GS Foundation</v>
      </c>
      <c r="K2250" s="124"/>
      <c r="L2250" s="124"/>
      <c r="M2250" s="124"/>
      <c r="N2250" s="124"/>
      <c r="O2250" s="124"/>
      <c r="T2250" s="126">
        <f>IFERROR(__xludf.DUMMYFUNCTION("""COMPUTED_VALUE"""),46075.0)</f>
        <v>46075</v>
      </c>
      <c r="U2250" s="124" t="str">
        <f>IFERROR(__xludf.DUMMYFUNCTION("""COMPUTED_VALUE"""),"Walk-Ins")</f>
        <v>Walk-Ins</v>
      </c>
      <c r="V2250" s="124" t="str">
        <f>IFERROR(__xludf.DUMMYFUNCTION("""COMPUTED_VALUE"""),"Walkin")</f>
        <v>Walkin</v>
      </c>
      <c r="W2250" s="124" t="str">
        <f>IFERROR(__xludf.DUMMYFUNCTION("""COMPUTED_VALUE"""),"Prayagraj")</f>
        <v>Prayagraj</v>
      </c>
      <c r="X2250" s="124" t="str">
        <f>IFERROR(__xludf.DUMMYFUNCTION("""COMPUTED_VALUE"""),"Walkin")</f>
        <v>Walkin</v>
      </c>
      <c r="Y2250" s="124" t="str">
        <f>IFERROR(__xludf.DUMMYFUNCTION("""COMPUTED_VALUE"""),"Prayagraj")</f>
        <v>Prayagraj</v>
      </c>
      <c r="Z2250" s="124">
        <f>IFERROR(__xludf.DUMMYFUNCTION("""COMPUTED_VALUE"""),1.0)</f>
        <v>1</v>
      </c>
      <c r="AA2250" s="124" t="str">
        <f>IFERROR(__xludf.DUMMYFUNCTION("""COMPUTED_VALUE"""),"Enrolled")</f>
        <v>Enrolled</v>
      </c>
      <c r="AB2250" s="124" t="str">
        <f>IFERROR(__xludf.DUMMYFUNCTION("""COMPUTED_VALUE"""),"GS Foundation")</f>
        <v>GS Foundation</v>
      </c>
    </row>
    <row r="2251">
      <c r="A2251" s="126">
        <f>IFERROR(__xludf.DUMMYFUNCTION("""COMPUTED_VALUE"""),46052.0)</f>
        <v>46052</v>
      </c>
      <c r="B2251" s="124" t="str">
        <f>IFERROR(__xludf.DUMMYFUNCTION("""COMPUTED_VALUE"""),"Walkin")</f>
        <v>Walkin</v>
      </c>
      <c r="C2251" s="124" t="str">
        <f>IFERROR(__xludf.DUMMYFUNCTION("""COMPUTED_VALUE"""),"Prayagraj")</f>
        <v>Prayagraj</v>
      </c>
      <c r="D2251" s="124" t="str">
        <f>IFERROR(__xludf.DUMMYFUNCTION("""COMPUTED_VALUE"""),"Primary_Walkin")</f>
        <v>Primary_Walkin</v>
      </c>
      <c r="E2251" s="124">
        <f>IFERROR(__xludf.DUMMYFUNCTION("""COMPUTED_VALUE"""),1.0)</f>
        <v>1</v>
      </c>
      <c r="F2251" s="124" t="str">
        <f>IFERROR(__xludf.DUMMYFUNCTION("""COMPUTED_VALUE"""),"Enrolled")</f>
        <v>Enrolled</v>
      </c>
      <c r="G2251" s="124" t="str">
        <f>IFERROR(__xludf.DUMMYFUNCTION("""COMPUTED_VALUE"""),"Other")</f>
        <v>Other</v>
      </c>
      <c r="K2251" s="124"/>
      <c r="L2251" s="124"/>
      <c r="M2251" s="124"/>
      <c r="N2251" s="124"/>
      <c r="O2251" s="124"/>
      <c r="T2251" s="129">
        <f>IFERROR(__xludf.DUMMYFUNCTION("""COMPUTED_VALUE"""),46077.0)</f>
        <v>46077</v>
      </c>
      <c r="U2251" s="124" t="str">
        <f>IFERROR(__xludf.DUMMYFUNCTION("""COMPUTED_VALUE"""),"Walk-Ins")</f>
        <v>Walk-Ins</v>
      </c>
      <c r="V2251" s="124" t="str">
        <f>IFERROR(__xludf.DUMMYFUNCTION("""COMPUTED_VALUE"""),"Walkin")</f>
        <v>Walkin</v>
      </c>
      <c r="W2251" s="124" t="str">
        <f>IFERROR(__xludf.DUMMYFUNCTION("""COMPUTED_VALUE"""),"Prayagraj")</f>
        <v>Prayagraj</v>
      </c>
      <c r="X2251" s="124" t="str">
        <f>IFERROR(__xludf.DUMMYFUNCTION("""COMPUTED_VALUE"""),"Walkin")</f>
        <v>Walkin</v>
      </c>
      <c r="Y2251" s="124" t="str">
        <f>IFERROR(__xludf.DUMMYFUNCTION("""COMPUTED_VALUE"""),"Prayagraj")</f>
        <v>Prayagraj</v>
      </c>
      <c r="Z2251" s="124">
        <f>IFERROR(__xludf.DUMMYFUNCTION("""COMPUTED_VALUE"""),1.0)</f>
        <v>1</v>
      </c>
      <c r="AA2251" s="124" t="str">
        <f>IFERROR(__xludf.DUMMYFUNCTION("""COMPUTED_VALUE"""),"Interested")</f>
        <v>Interested</v>
      </c>
      <c r="AB2251" s="124" t="str">
        <f>IFERROR(__xludf.DUMMYFUNCTION("""COMPUTED_VALUE"""),"GS Foundation")</f>
        <v>GS Foundation</v>
      </c>
    </row>
    <row r="2252">
      <c r="A2252" s="126">
        <f>IFERROR(__xludf.DUMMYFUNCTION("""COMPUTED_VALUE"""),46052.0)</f>
        <v>46052</v>
      </c>
      <c r="B2252" s="124" t="str">
        <f>IFERROR(__xludf.DUMMYFUNCTION("""COMPUTED_VALUE"""),"Walk-In")</f>
        <v>Walk-In</v>
      </c>
      <c r="C2252" s="124" t="str">
        <f>IFERROR(__xludf.DUMMYFUNCTION("""COMPUTED_VALUE"""),"Prayagraj")</f>
        <v>Prayagraj</v>
      </c>
      <c r="D2252" s="124" t="str">
        <f>IFERROR(__xludf.DUMMYFUNCTION("""COMPUTED_VALUE"""),"Primary_Walkin")</f>
        <v>Primary_Walkin</v>
      </c>
      <c r="E2252" s="124">
        <f>IFERROR(__xludf.DUMMYFUNCTION("""COMPUTED_VALUE"""),1.0)</f>
        <v>1</v>
      </c>
      <c r="F2252" s="124" t="str">
        <f>IFERROR(__xludf.DUMMYFUNCTION("""COMPUTED_VALUE"""),"Not Interested")</f>
        <v>Not Interested</v>
      </c>
      <c r="G2252" s="124" t="str">
        <f>IFERROR(__xludf.DUMMYFUNCTION("""COMPUTED_VALUE"""),"State PCS")</f>
        <v>State PCS</v>
      </c>
      <c r="K2252" s="124"/>
      <c r="L2252" s="124"/>
      <c r="M2252" s="124"/>
      <c r="N2252" s="124"/>
      <c r="O2252" s="124"/>
      <c r="T2252" s="126">
        <f>IFERROR(__xludf.DUMMYFUNCTION("""COMPUTED_VALUE"""),46108.0)</f>
        <v>46108</v>
      </c>
      <c r="U2252" s="124" t="str">
        <f>IFERROR(__xludf.DUMMYFUNCTION("""COMPUTED_VALUE"""),"Walk-Ins")</f>
        <v>Walk-Ins</v>
      </c>
      <c r="V2252" s="124" t="str">
        <f>IFERROR(__xludf.DUMMYFUNCTION("""COMPUTED_VALUE"""),"Walkin")</f>
        <v>Walkin</v>
      </c>
      <c r="W2252" s="124" t="str">
        <f>IFERROR(__xludf.DUMMYFUNCTION("""COMPUTED_VALUE"""),"Prayagraj")</f>
        <v>Prayagraj</v>
      </c>
      <c r="X2252" s="124" t="str">
        <f>IFERROR(__xludf.DUMMYFUNCTION("""COMPUTED_VALUE"""),"Walkin")</f>
        <v>Walkin</v>
      </c>
      <c r="Y2252" s="124" t="str">
        <f>IFERROR(__xludf.DUMMYFUNCTION("""COMPUTED_VALUE"""),"Prayagraj")</f>
        <v>Prayagraj</v>
      </c>
      <c r="Z2252" s="124">
        <f>IFERROR(__xludf.DUMMYFUNCTION("""COMPUTED_VALUE"""),1.0)</f>
        <v>1</v>
      </c>
      <c r="AA2252" s="124" t="str">
        <f>IFERROR(__xludf.DUMMYFUNCTION("""COMPUTED_VALUE"""),"Warm")</f>
        <v>Warm</v>
      </c>
      <c r="AB2252" s="124" t="str">
        <f>IFERROR(__xludf.DUMMYFUNCTION("""COMPUTED_VALUE"""),"State PCS")</f>
        <v>State PCS</v>
      </c>
    </row>
    <row r="2253">
      <c r="A2253" s="126">
        <f>IFERROR(__xludf.DUMMYFUNCTION("""COMPUTED_VALUE"""),46098.0)</f>
        <v>46098</v>
      </c>
      <c r="B2253" s="124" t="str">
        <f>IFERROR(__xludf.DUMMYFUNCTION("""COMPUTED_VALUE"""),"Walk-In")</f>
        <v>Walk-In</v>
      </c>
      <c r="C2253" s="124" t="str">
        <f>IFERROR(__xludf.DUMMYFUNCTION("""COMPUTED_VALUE"""),"Prayagraj")</f>
        <v>Prayagraj</v>
      </c>
      <c r="D2253" s="124" t="str">
        <f>IFERROR(__xludf.DUMMYFUNCTION("""COMPUTED_VALUE"""),"Primary_Walkin")</f>
        <v>Primary_Walkin</v>
      </c>
      <c r="E2253" s="124">
        <f>IFERROR(__xludf.DUMMYFUNCTION("""COMPUTED_VALUE"""),1.0)</f>
        <v>1</v>
      </c>
      <c r="F2253" s="124" t="str">
        <f>IFERROR(__xludf.DUMMYFUNCTION("""COMPUTED_VALUE"""),"Cold")</f>
        <v>Cold</v>
      </c>
      <c r="G2253" s="124" t="str">
        <f>IFERROR(__xludf.DUMMYFUNCTION("""COMPUTED_VALUE"""),"Test Series")</f>
        <v>Test Series</v>
      </c>
      <c r="K2253" s="124"/>
      <c r="L2253" s="124"/>
      <c r="M2253" s="124"/>
      <c r="N2253" s="124"/>
      <c r="O2253" s="124"/>
      <c r="T2253" s="126">
        <f>IFERROR(__xludf.DUMMYFUNCTION("""COMPUTED_VALUE"""),46067.0)</f>
        <v>46067</v>
      </c>
      <c r="U2253" s="124" t="str">
        <f>IFERROR(__xludf.DUMMYFUNCTION("""COMPUTED_VALUE"""),"Walk-Ins")</f>
        <v>Walk-Ins</v>
      </c>
      <c r="V2253" s="124" t="str">
        <f>IFERROR(__xludf.DUMMYFUNCTION("""COMPUTED_VALUE"""),"Walkin")</f>
        <v>Walkin</v>
      </c>
      <c r="W2253" s="124" t="str">
        <f>IFERROR(__xludf.DUMMYFUNCTION("""COMPUTED_VALUE"""),"Lucknow")</f>
        <v>Lucknow</v>
      </c>
      <c r="X2253" s="124" t="str">
        <f>IFERROR(__xludf.DUMMYFUNCTION("""COMPUTED_VALUE"""),"Walkin")</f>
        <v>Walkin</v>
      </c>
      <c r="Y2253" s="124" t="str">
        <f>IFERROR(__xludf.DUMMYFUNCTION("""COMPUTED_VALUE"""),"Lucknow")</f>
        <v>Lucknow</v>
      </c>
      <c r="Z2253" s="124">
        <f>IFERROR(__xludf.DUMMYFUNCTION("""COMPUTED_VALUE"""),2.0)</f>
        <v>2</v>
      </c>
      <c r="AA2253" s="124" t="str">
        <f>IFERROR(__xludf.DUMMYFUNCTION("""COMPUTED_VALUE"""),"Cold")</f>
        <v>Cold</v>
      </c>
      <c r="AB2253" s="124" t="str">
        <f>IFERROR(__xludf.DUMMYFUNCTION("""COMPUTED_VALUE"""),"GS Foundation")</f>
        <v>GS Foundation</v>
      </c>
    </row>
    <row r="2254">
      <c r="A2254" s="126">
        <f>IFERROR(__xludf.DUMMYFUNCTION("""COMPUTED_VALUE"""),46080.0)</f>
        <v>46080</v>
      </c>
      <c r="B2254" s="124" t="str">
        <f>IFERROR(__xludf.DUMMYFUNCTION("""COMPUTED_VALUE"""),"Walkin")</f>
        <v>Walkin</v>
      </c>
      <c r="C2254" s="124" t="str">
        <f>IFERROR(__xludf.DUMMYFUNCTION("""COMPUTED_VALUE"""),"Prayagraj")</f>
        <v>Prayagraj</v>
      </c>
      <c r="D2254" s="124" t="str">
        <f>IFERROR(__xludf.DUMMYFUNCTION("""COMPUTED_VALUE"""),"Primary_Walkin")</f>
        <v>Primary_Walkin</v>
      </c>
      <c r="E2254" s="124">
        <f>IFERROR(__xludf.DUMMYFUNCTION("""COMPUTED_VALUE"""),1.0)</f>
        <v>1</v>
      </c>
      <c r="F2254" s="124" t="str">
        <f>IFERROR(__xludf.DUMMYFUNCTION("""COMPUTED_VALUE"""),"Warm")</f>
        <v>Warm</v>
      </c>
      <c r="G2254" s="124" t="str">
        <f>IFERROR(__xludf.DUMMYFUNCTION("""COMPUTED_VALUE"""),"Mentorship")</f>
        <v>Mentorship</v>
      </c>
      <c r="K2254" s="124"/>
      <c r="L2254" s="124"/>
      <c r="M2254" s="124"/>
      <c r="N2254" s="124"/>
      <c r="O2254" s="124"/>
      <c r="T2254" s="129">
        <f>IFERROR(__xludf.DUMMYFUNCTION("""COMPUTED_VALUE"""),46067.0)</f>
        <v>46067</v>
      </c>
      <c r="U2254" s="124" t="str">
        <f>IFERROR(__xludf.DUMMYFUNCTION("""COMPUTED_VALUE"""),"Walk-Ins")</f>
        <v>Walk-Ins</v>
      </c>
      <c r="V2254" s="124" t="str">
        <f>IFERROR(__xludf.DUMMYFUNCTION("""COMPUTED_VALUE"""),"Walkin")</f>
        <v>Walkin</v>
      </c>
      <c r="W2254" s="124" t="str">
        <f>IFERROR(__xludf.DUMMYFUNCTION("""COMPUTED_VALUE"""),"Prayagraj")</f>
        <v>Prayagraj</v>
      </c>
      <c r="X2254" s="124" t="str">
        <f>IFERROR(__xludf.DUMMYFUNCTION("""COMPUTED_VALUE"""),"Walkin")</f>
        <v>Walkin</v>
      </c>
      <c r="Y2254" s="124" t="str">
        <f>IFERROR(__xludf.DUMMYFUNCTION("""COMPUTED_VALUE"""),"Prayagraj")</f>
        <v>Prayagraj</v>
      </c>
      <c r="Z2254" s="124">
        <f>IFERROR(__xludf.DUMMYFUNCTION("""COMPUTED_VALUE"""),1.0)</f>
        <v>1</v>
      </c>
      <c r="AA2254" s="124" t="str">
        <f>IFERROR(__xludf.DUMMYFUNCTION("""COMPUTED_VALUE"""),"Enrolled")</f>
        <v>Enrolled</v>
      </c>
      <c r="AB2254" s="124" t="str">
        <f>IFERROR(__xludf.DUMMYFUNCTION("""COMPUTED_VALUE"""),"Mentorship")</f>
        <v>Mentorship</v>
      </c>
    </row>
    <row r="2255">
      <c r="A2255" s="126">
        <f>IFERROR(__xludf.DUMMYFUNCTION("""COMPUTED_VALUE"""),46046.0)</f>
        <v>46046</v>
      </c>
      <c r="B2255" s="124" t="str">
        <f>IFERROR(__xludf.DUMMYFUNCTION("""COMPUTED_VALUE"""),"external leads")</f>
        <v>external leads</v>
      </c>
      <c r="C2255" s="124" t="str">
        <f>IFERROR(__xludf.DUMMYFUNCTION("""COMPUTED_VALUE"""),"Prayagraj")</f>
        <v>Prayagraj</v>
      </c>
      <c r="D2255" s="124" t="str">
        <f>IFERROR(__xludf.DUMMYFUNCTION("""COMPUTED_VALUE"""),"Secondary_Walkin")</f>
        <v>Secondary_Walkin</v>
      </c>
      <c r="E2255" s="124">
        <f>IFERROR(__xludf.DUMMYFUNCTION("""COMPUTED_VALUE"""),1.0)</f>
        <v>1</v>
      </c>
      <c r="F2255" s="124" t="str">
        <f>IFERROR(__xludf.DUMMYFUNCTION("""COMPUTED_VALUE"""),"Cold")</f>
        <v>Cold</v>
      </c>
      <c r="G2255" s="124" t="str">
        <f>IFERROR(__xludf.DUMMYFUNCTION("""COMPUTED_VALUE"""),"Mentorship")</f>
        <v>Mentorship</v>
      </c>
      <c r="K2255" s="124"/>
      <c r="L2255" s="124"/>
      <c r="M2255" s="124"/>
      <c r="N2255" s="124"/>
      <c r="O2255" s="124"/>
      <c r="T2255" s="129">
        <f>IFERROR(__xludf.DUMMYFUNCTION("""COMPUTED_VALUE"""),46111.0)</f>
        <v>46111</v>
      </c>
      <c r="U2255" s="124" t="str">
        <f>IFERROR(__xludf.DUMMYFUNCTION("""COMPUTED_VALUE"""),"Walk-Ins")</f>
        <v>Walk-Ins</v>
      </c>
      <c r="V2255" s="124" t="str">
        <f>IFERROR(__xludf.DUMMYFUNCTION("""COMPUTED_VALUE"""),"Walkin")</f>
        <v>Walkin</v>
      </c>
      <c r="W2255" s="124" t="str">
        <f>IFERROR(__xludf.DUMMYFUNCTION("""COMPUTED_VALUE"""),"Indore")</f>
        <v>Indore</v>
      </c>
      <c r="X2255" s="124" t="str">
        <f>IFERROR(__xludf.DUMMYFUNCTION("""COMPUTED_VALUE"""),"Walkin")</f>
        <v>Walkin</v>
      </c>
      <c r="Y2255" s="124" t="str">
        <f>IFERROR(__xludf.DUMMYFUNCTION("""COMPUTED_VALUE"""),"Indore")</f>
        <v>Indore</v>
      </c>
      <c r="Z2255" s="124">
        <f>IFERROR(__xludf.DUMMYFUNCTION("""COMPUTED_VALUE"""),2.0)</f>
        <v>2</v>
      </c>
      <c r="AA2255" s="124" t="str">
        <f>IFERROR(__xludf.DUMMYFUNCTION("""COMPUTED_VALUE"""),"Warm")</f>
        <v>Warm</v>
      </c>
      <c r="AB2255" s="124" t="str">
        <f>IFERROR(__xludf.DUMMYFUNCTION("""COMPUTED_VALUE"""),"State PCS")</f>
        <v>State PCS</v>
      </c>
    </row>
    <row r="2256">
      <c r="A2256" s="126">
        <f>IFERROR(__xludf.DUMMYFUNCTION("""COMPUTED_VALUE"""),46096.0)</f>
        <v>46096</v>
      </c>
      <c r="B2256" s="124" t="str">
        <f>IFERROR(__xludf.DUMMYFUNCTION("""COMPUTED_VALUE"""),"Walkin")</f>
        <v>Walkin</v>
      </c>
      <c r="C2256" s="124" t="str">
        <f>IFERROR(__xludf.DUMMYFUNCTION("""COMPUTED_VALUE"""),"Prayagraj")</f>
        <v>Prayagraj</v>
      </c>
      <c r="D2256" s="124" t="str">
        <f>IFERROR(__xludf.DUMMYFUNCTION("""COMPUTED_VALUE"""),"Primary_Walkin")</f>
        <v>Primary_Walkin</v>
      </c>
      <c r="E2256" s="124">
        <f>IFERROR(__xludf.DUMMYFUNCTION("""COMPUTED_VALUE"""),1.0)</f>
        <v>1</v>
      </c>
      <c r="F2256" s="124" t="str">
        <f>IFERROR(__xludf.DUMMYFUNCTION("""COMPUTED_VALUE"""),"Cold")</f>
        <v>Cold</v>
      </c>
      <c r="G2256" s="124" t="str">
        <f>IFERROR(__xludf.DUMMYFUNCTION("""COMPUTED_VALUE"""),"Optionals")</f>
        <v>Optionals</v>
      </c>
      <c r="K2256" s="124"/>
      <c r="L2256" s="124"/>
      <c r="M2256" s="124"/>
      <c r="N2256" s="124"/>
      <c r="O2256" s="124"/>
      <c r="T2256" s="126">
        <f>IFERROR(__xludf.DUMMYFUNCTION("""COMPUTED_VALUE"""),46077.0)</f>
        <v>46077</v>
      </c>
      <c r="U2256" s="124" t="str">
        <f>IFERROR(__xludf.DUMMYFUNCTION("""COMPUTED_VALUE"""),"Walk-Ins")</f>
        <v>Walk-Ins</v>
      </c>
      <c r="V2256" s="124" t="str">
        <f>IFERROR(__xludf.DUMMYFUNCTION("""COMPUTED_VALUE"""),"Walkin")</f>
        <v>Walkin</v>
      </c>
      <c r="W2256" s="124" t="str">
        <f>IFERROR(__xludf.DUMMYFUNCTION("""COMPUTED_VALUE"""),"Indore")</f>
        <v>Indore</v>
      </c>
      <c r="X2256" s="124" t="str">
        <f>IFERROR(__xludf.DUMMYFUNCTION("""COMPUTED_VALUE"""),"Walkin")</f>
        <v>Walkin</v>
      </c>
      <c r="Y2256" s="124" t="str">
        <f>IFERROR(__xludf.DUMMYFUNCTION("""COMPUTED_VALUE"""),"Indore")</f>
        <v>Indore</v>
      </c>
      <c r="Z2256" s="124">
        <f>IFERROR(__xludf.DUMMYFUNCTION("""COMPUTED_VALUE"""),1.0)</f>
        <v>1</v>
      </c>
      <c r="AA2256" s="124" t="str">
        <f>IFERROR(__xludf.DUMMYFUNCTION("""COMPUTED_VALUE"""),"Not Interested")</f>
        <v>Not Interested</v>
      </c>
      <c r="AB2256" s="124" t="str">
        <f>IFERROR(__xludf.DUMMYFUNCTION("""COMPUTED_VALUE"""),"GS Foundation")</f>
        <v>GS Foundation</v>
      </c>
    </row>
    <row r="2257">
      <c r="A2257" s="126">
        <f>IFERROR(__xludf.DUMMYFUNCTION("""COMPUTED_VALUE"""),46095.0)</f>
        <v>46095</v>
      </c>
      <c r="B2257" s="124" t="str">
        <f>IFERROR(__xludf.DUMMYFUNCTION("""COMPUTED_VALUE"""),"Events")</f>
        <v>Events</v>
      </c>
      <c r="C2257" s="124" t="str">
        <f>IFERROR(__xludf.DUMMYFUNCTION("""COMPUTED_VALUE"""),"Prayagraj")</f>
        <v>Prayagraj</v>
      </c>
      <c r="D2257" s="124" t="str">
        <f>IFERROR(__xludf.DUMMYFUNCTION("""COMPUTED_VALUE"""),"Secondary_Walkin")</f>
        <v>Secondary_Walkin</v>
      </c>
      <c r="E2257" s="124">
        <f>IFERROR(__xludf.DUMMYFUNCTION("""COMPUTED_VALUE"""),1.0)</f>
        <v>1</v>
      </c>
      <c r="F2257" s="124" t="str">
        <f>IFERROR(__xludf.DUMMYFUNCTION("""COMPUTED_VALUE"""),"Enrolled")</f>
        <v>Enrolled</v>
      </c>
      <c r="G2257" s="124" t="str">
        <f>IFERROR(__xludf.DUMMYFUNCTION("""COMPUTED_VALUE"""),"GS Foundation")</f>
        <v>GS Foundation</v>
      </c>
      <c r="K2257" s="124"/>
      <c r="L2257" s="124"/>
      <c r="M2257" s="124"/>
      <c r="N2257" s="124"/>
      <c r="O2257" s="124"/>
      <c r="T2257" s="126">
        <f>IFERROR(__xludf.DUMMYFUNCTION("""COMPUTED_VALUE"""),46061.0)</f>
        <v>46061</v>
      </c>
      <c r="U2257" s="124" t="str">
        <f>IFERROR(__xludf.DUMMYFUNCTION("""COMPUTED_VALUE"""),"Walk-Ins")</f>
        <v>Walk-Ins</v>
      </c>
      <c r="V2257" s="124" t="str">
        <f>IFERROR(__xludf.DUMMYFUNCTION("""COMPUTED_VALUE"""),"Walkin")</f>
        <v>Walkin</v>
      </c>
      <c r="W2257" s="124" t="str">
        <f>IFERROR(__xludf.DUMMYFUNCTION("""COMPUTED_VALUE"""),"Indore")</f>
        <v>Indore</v>
      </c>
      <c r="X2257" s="124" t="str">
        <f>IFERROR(__xludf.DUMMYFUNCTION("""COMPUTED_VALUE"""),"Walkin")</f>
        <v>Walkin</v>
      </c>
      <c r="Y2257" s="124" t="str">
        <f>IFERROR(__xludf.DUMMYFUNCTION("""COMPUTED_VALUE"""),"Indore")</f>
        <v>Indore</v>
      </c>
      <c r="Z2257" s="124">
        <f>IFERROR(__xludf.DUMMYFUNCTION("""COMPUTED_VALUE"""),1.0)</f>
        <v>1</v>
      </c>
      <c r="AA2257" s="124" t="str">
        <f>IFERROR(__xludf.DUMMYFUNCTION("""COMPUTED_VALUE"""),"Future Prospects")</f>
        <v>Future Prospects</v>
      </c>
      <c r="AB2257" s="124" t="str">
        <f>IFERROR(__xludf.DUMMYFUNCTION("""COMPUTED_VALUE"""),"State PCS")</f>
        <v>State PCS</v>
      </c>
    </row>
    <row r="2258">
      <c r="A2258" s="126">
        <f>IFERROR(__xludf.DUMMYFUNCTION("""COMPUTED_VALUE"""),46046.0)</f>
        <v>46046</v>
      </c>
      <c r="B2258" s="124" t="str">
        <f>IFERROR(__xludf.DUMMYFUNCTION("""COMPUTED_VALUE"""),"Walkin")</f>
        <v>Walkin</v>
      </c>
      <c r="C2258" s="124" t="str">
        <f>IFERROR(__xludf.DUMMYFUNCTION("""COMPUTED_VALUE"""),"Prayagraj")</f>
        <v>Prayagraj</v>
      </c>
      <c r="D2258" s="124" t="str">
        <f>IFERROR(__xludf.DUMMYFUNCTION("""COMPUTED_VALUE"""),"Primary_Walkin")</f>
        <v>Primary_Walkin</v>
      </c>
      <c r="E2258" s="124">
        <f>IFERROR(__xludf.DUMMYFUNCTION("""COMPUTED_VALUE"""),1.0)</f>
        <v>1</v>
      </c>
      <c r="F2258" s="124" t="str">
        <f>IFERROR(__xludf.DUMMYFUNCTION("""COMPUTED_VALUE"""),"Not Interested")</f>
        <v>Not Interested</v>
      </c>
      <c r="G2258" s="124" t="str">
        <f>IFERROR(__xludf.DUMMYFUNCTION("""COMPUTED_VALUE"""),"GS Foundation")</f>
        <v>GS Foundation</v>
      </c>
      <c r="K2258" s="124"/>
      <c r="L2258" s="124"/>
      <c r="M2258" s="124"/>
      <c r="N2258" s="124"/>
      <c r="O2258" s="124"/>
      <c r="T2258" s="126">
        <f>IFERROR(__xludf.DUMMYFUNCTION("""COMPUTED_VALUE"""),46046.0)</f>
        <v>46046</v>
      </c>
      <c r="U2258" s="124" t="str">
        <f>IFERROR(__xludf.DUMMYFUNCTION("""COMPUTED_VALUE"""),"Walk-Ins")</f>
        <v>Walk-Ins</v>
      </c>
      <c r="V2258" s="124" t="str">
        <f>IFERROR(__xludf.DUMMYFUNCTION("""COMPUTED_VALUE"""),"Walkin")</f>
        <v>Walkin</v>
      </c>
      <c r="W2258" s="124" t="str">
        <f>IFERROR(__xludf.DUMMYFUNCTION("""COMPUTED_VALUE"""),"Indore")</f>
        <v>Indore</v>
      </c>
      <c r="X2258" s="124" t="str">
        <f>IFERROR(__xludf.DUMMYFUNCTION("""COMPUTED_VALUE"""),"Walkin")</f>
        <v>Walkin</v>
      </c>
      <c r="Y2258" s="124" t="str">
        <f>IFERROR(__xludf.DUMMYFUNCTION("""COMPUTED_VALUE"""),"Indore")</f>
        <v>Indore</v>
      </c>
      <c r="Z2258" s="124">
        <f>IFERROR(__xludf.DUMMYFUNCTION("""COMPUTED_VALUE"""),1.0)</f>
        <v>1</v>
      </c>
      <c r="AA2258" s="124" t="str">
        <f>IFERROR(__xludf.DUMMYFUNCTION("""COMPUTED_VALUE"""),"Cold")</f>
        <v>Cold</v>
      </c>
      <c r="AB2258" s="124" t="str">
        <f>IFERROR(__xludf.DUMMYFUNCTION("""COMPUTED_VALUE"""),"Prelims Crash Course - SIP")</f>
        <v>Prelims Crash Course - SIP</v>
      </c>
    </row>
    <row r="2259">
      <c r="A2259" s="126">
        <f>IFERROR(__xludf.DUMMYFUNCTION("""COMPUTED_VALUE"""),46105.0)</f>
        <v>46105</v>
      </c>
      <c r="B2259" s="124" t="str">
        <f>IFERROR(__xludf.DUMMYFUNCTION("""COMPUTED_VALUE"""),"Libraries")</f>
        <v>Libraries</v>
      </c>
      <c r="C2259" s="124" t="str">
        <f>IFERROR(__xludf.DUMMYFUNCTION("""COMPUTED_VALUE"""),"Prayagraj")</f>
        <v>Prayagraj</v>
      </c>
      <c r="D2259" s="124" t="str">
        <f>IFERROR(__xludf.DUMMYFUNCTION("""COMPUTED_VALUE"""),"Secondary_Walkin")</f>
        <v>Secondary_Walkin</v>
      </c>
      <c r="E2259" s="124">
        <f>IFERROR(__xludf.DUMMYFUNCTION("""COMPUTED_VALUE"""),1.0)</f>
        <v>1</v>
      </c>
      <c r="F2259" s="124" t="str">
        <f>IFERROR(__xludf.DUMMYFUNCTION("""COMPUTED_VALUE"""),"Interested")</f>
        <v>Interested</v>
      </c>
      <c r="G2259" s="124" t="str">
        <f>IFERROR(__xludf.DUMMYFUNCTION("""COMPUTED_VALUE"""),"GS Foundation")</f>
        <v>GS Foundation</v>
      </c>
      <c r="K2259" s="124"/>
      <c r="L2259" s="124"/>
      <c r="M2259" s="124"/>
      <c r="N2259" s="124"/>
      <c r="O2259" s="124"/>
      <c r="T2259" s="126">
        <f>IFERROR(__xludf.DUMMYFUNCTION("""COMPUTED_VALUE"""),46049.0)</f>
        <v>46049</v>
      </c>
      <c r="U2259" s="124" t="str">
        <f>IFERROR(__xludf.DUMMYFUNCTION("""COMPUTED_VALUE"""),"Walk-Ins")</f>
        <v>Walk-Ins</v>
      </c>
      <c r="V2259" s="124" t="str">
        <f>IFERROR(__xludf.DUMMYFUNCTION("""COMPUTED_VALUE"""),"Walk-In")</f>
        <v>Walk-In</v>
      </c>
      <c r="W2259" s="124" t="str">
        <f>IFERROR(__xludf.DUMMYFUNCTION("""COMPUTED_VALUE"""),"Patna")</f>
        <v>Patna</v>
      </c>
      <c r="X2259" s="124" t="str">
        <f>IFERROR(__xludf.DUMMYFUNCTION("""COMPUTED_VALUE"""),"Others")</f>
        <v>Others</v>
      </c>
      <c r="Y2259" s="124"/>
      <c r="Z2259" s="124">
        <f>IFERROR(__xludf.DUMMYFUNCTION("""COMPUTED_VALUE"""),1.0)</f>
        <v>1</v>
      </c>
      <c r="AA2259" s="124" t="str">
        <f>IFERROR(__xludf.DUMMYFUNCTION("""COMPUTED_VALUE"""),"Cold")</f>
        <v>Cold</v>
      </c>
      <c r="AB2259" s="124" t="str">
        <f>IFERROR(__xludf.DUMMYFUNCTION("""COMPUTED_VALUE"""),"GS Foundation")</f>
        <v>GS Foundation</v>
      </c>
    </row>
    <row r="2260">
      <c r="A2260" s="126">
        <f>IFERROR(__xludf.DUMMYFUNCTION("""COMPUTED_VALUE"""),46063.0)</f>
        <v>46063</v>
      </c>
      <c r="B2260" s="124" t="str">
        <f>IFERROR(__xludf.DUMMYFUNCTION("""COMPUTED_VALUE"""),"Walk-In")</f>
        <v>Walk-In</v>
      </c>
      <c r="C2260" s="124" t="str">
        <f>IFERROR(__xludf.DUMMYFUNCTION("""COMPUTED_VALUE"""),"Prayagraj")</f>
        <v>Prayagraj</v>
      </c>
      <c r="D2260" s="124" t="str">
        <f>IFERROR(__xludf.DUMMYFUNCTION("""COMPUTED_VALUE"""),"Primary_Walkin")</f>
        <v>Primary_Walkin</v>
      </c>
      <c r="E2260" s="124">
        <f>IFERROR(__xludf.DUMMYFUNCTION("""COMPUTED_VALUE"""),1.0)</f>
        <v>1</v>
      </c>
      <c r="F2260" s="124" t="str">
        <f>IFERROR(__xludf.DUMMYFUNCTION("""COMPUTED_VALUE"""),"Cold")</f>
        <v>Cold</v>
      </c>
      <c r="G2260" s="124" t="str">
        <f>IFERROR(__xludf.DUMMYFUNCTION("""COMPUTED_VALUE"""),"Other")</f>
        <v>Other</v>
      </c>
      <c r="K2260" s="124"/>
      <c r="L2260" s="124"/>
      <c r="M2260" s="124"/>
      <c r="N2260" s="124"/>
      <c r="O2260" s="124"/>
      <c r="T2260" s="126">
        <f>IFERROR(__xludf.DUMMYFUNCTION("""COMPUTED_VALUE"""),46089.0)</f>
        <v>46089</v>
      </c>
      <c r="U2260" s="124" t="str">
        <f>IFERROR(__xludf.DUMMYFUNCTION("""COMPUTED_VALUE"""),"Walk-Ins")</f>
        <v>Walk-Ins</v>
      </c>
      <c r="V2260" s="124" t="str">
        <f>IFERROR(__xludf.DUMMYFUNCTION("""COMPUTED_VALUE"""),"Walkin")</f>
        <v>Walkin</v>
      </c>
      <c r="W2260" s="124" t="str">
        <f>IFERROR(__xludf.DUMMYFUNCTION("""COMPUTED_VALUE"""),"Prayagraj")</f>
        <v>Prayagraj</v>
      </c>
      <c r="X2260" s="124" t="str">
        <f>IFERROR(__xludf.DUMMYFUNCTION("""COMPUTED_VALUE"""),"Walkin")</f>
        <v>Walkin</v>
      </c>
      <c r="Y2260" s="124" t="str">
        <f>IFERROR(__xludf.DUMMYFUNCTION("""COMPUTED_VALUE"""),"Prayagraj")</f>
        <v>Prayagraj</v>
      </c>
      <c r="Z2260" s="124">
        <f>IFERROR(__xludf.DUMMYFUNCTION("""COMPUTED_VALUE"""),1.0)</f>
        <v>1</v>
      </c>
      <c r="AA2260" s="124" t="str">
        <f>IFERROR(__xludf.DUMMYFUNCTION("""COMPUTED_VALUE"""),"Warm")</f>
        <v>Warm</v>
      </c>
      <c r="AB2260" s="124" t="str">
        <f>IFERROR(__xludf.DUMMYFUNCTION("""COMPUTED_VALUE"""),"Mentorship")</f>
        <v>Mentorship</v>
      </c>
    </row>
    <row r="2261">
      <c r="A2261" s="126">
        <f>IFERROR(__xludf.DUMMYFUNCTION("""COMPUTED_VALUE"""),46112.0)</f>
        <v>46112</v>
      </c>
      <c r="B2261" s="124" t="str">
        <f>IFERROR(__xludf.DUMMYFUNCTION("""COMPUTED_VALUE"""),"Walk-In")</f>
        <v>Walk-In</v>
      </c>
      <c r="C2261" s="124" t="str">
        <f>IFERROR(__xludf.DUMMYFUNCTION("""COMPUTED_VALUE"""),"Prayagraj")</f>
        <v>Prayagraj</v>
      </c>
      <c r="D2261" s="124" t="str">
        <f>IFERROR(__xludf.DUMMYFUNCTION("""COMPUTED_VALUE"""),"Primary_Walkin")</f>
        <v>Primary_Walkin</v>
      </c>
      <c r="E2261" s="124">
        <f>IFERROR(__xludf.DUMMYFUNCTION("""COMPUTED_VALUE"""),1.0)</f>
        <v>1</v>
      </c>
      <c r="F2261" s="124" t="str">
        <f>IFERROR(__xludf.DUMMYFUNCTION("""COMPUTED_VALUE"""),"Cold")</f>
        <v>Cold</v>
      </c>
      <c r="G2261" s="124" t="str">
        <f>IFERROR(__xludf.DUMMYFUNCTION("""COMPUTED_VALUE"""),"GS Foundation")</f>
        <v>GS Foundation</v>
      </c>
      <c r="K2261" s="124"/>
      <c r="L2261" s="124"/>
      <c r="M2261" s="124"/>
      <c r="N2261" s="124"/>
      <c r="O2261" s="124"/>
      <c r="T2261" s="126">
        <f>IFERROR(__xludf.DUMMYFUNCTION("""COMPUTED_VALUE"""),46087.0)</f>
        <v>46087</v>
      </c>
      <c r="U2261" s="124" t="str">
        <f>IFERROR(__xludf.DUMMYFUNCTION("""COMPUTED_VALUE"""),"Walk-Ins")</f>
        <v>Walk-Ins</v>
      </c>
      <c r="V2261" s="124" t="str">
        <f>IFERROR(__xludf.DUMMYFUNCTION("""COMPUTED_VALUE"""),"Walkin")</f>
        <v>Walkin</v>
      </c>
      <c r="W2261" s="124" t="str">
        <f>IFERROR(__xludf.DUMMYFUNCTION("""COMPUTED_VALUE"""),"Prayagraj")</f>
        <v>Prayagraj</v>
      </c>
      <c r="X2261" s="124" t="str">
        <f>IFERROR(__xludf.DUMMYFUNCTION("""COMPUTED_VALUE"""),"Walkin")</f>
        <v>Walkin</v>
      </c>
      <c r="Y2261" s="124" t="str">
        <f>IFERROR(__xludf.DUMMYFUNCTION("""COMPUTED_VALUE"""),"Prayagraj")</f>
        <v>Prayagraj</v>
      </c>
      <c r="Z2261" s="124">
        <f>IFERROR(__xludf.DUMMYFUNCTION("""COMPUTED_VALUE"""),1.0)</f>
        <v>1</v>
      </c>
      <c r="AA2261" s="124" t="str">
        <f>IFERROR(__xludf.DUMMYFUNCTION("""COMPUTED_VALUE"""),"Enrolled")</f>
        <v>Enrolled</v>
      </c>
      <c r="AB2261" s="124" t="str">
        <f>IFERROR(__xludf.DUMMYFUNCTION("""COMPUTED_VALUE"""),"Mentorship")</f>
        <v>Mentorship</v>
      </c>
    </row>
    <row r="2262">
      <c r="A2262" s="126">
        <f>IFERROR(__xludf.DUMMYFUNCTION("""COMPUTED_VALUE"""),46093.0)</f>
        <v>46093</v>
      </c>
      <c r="B2262" s="124" t="str">
        <f>IFERROR(__xludf.DUMMYFUNCTION("""COMPUTED_VALUE"""),"Walkin")</f>
        <v>Walkin</v>
      </c>
      <c r="C2262" s="124" t="str">
        <f>IFERROR(__xludf.DUMMYFUNCTION("""COMPUTED_VALUE"""),"Prayagraj")</f>
        <v>Prayagraj</v>
      </c>
      <c r="D2262" s="124" t="str">
        <f>IFERROR(__xludf.DUMMYFUNCTION("""COMPUTED_VALUE"""),"Primary_Walkin")</f>
        <v>Primary_Walkin</v>
      </c>
      <c r="E2262" s="124">
        <f>IFERROR(__xludf.DUMMYFUNCTION("""COMPUTED_VALUE"""),1.0)</f>
        <v>1</v>
      </c>
      <c r="F2262" s="124" t="str">
        <f>IFERROR(__xludf.DUMMYFUNCTION("""COMPUTED_VALUE"""),"Cold")</f>
        <v>Cold</v>
      </c>
      <c r="G2262" s="124" t="str">
        <f>IFERROR(__xludf.DUMMYFUNCTION("""COMPUTED_VALUE"""),"State PCS")</f>
        <v>State PCS</v>
      </c>
      <c r="K2262" s="124"/>
      <c r="L2262" s="124"/>
      <c r="M2262" s="124"/>
      <c r="N2262" s="124"/>
      <c r="O2262" s="124"/>
      <c r="T2262" s="126">
        <f>IFERROR(__xludf.DUMMYFUNCTION("""COMPUTED_VALUE"""),46052.0)</f>
        <v>46052</v>
      </c>
      <c r="U2262" s="124" t="str">
        <f>IFERROR(__xludf.DUMMYFUNCTION("""COMPUTED_VALUE"""),"Walk-Ins")</f>
        <v>Walk-Ins</v>
      </c>
      <c r="V2262" s="124" t="str">
        <f>IFERROR(__xludf.DUMMYFUNCTION("""COMPUTED_VALUE"""),"Walkin")</f>
        <v>Walkin</v>
      </c>
      <c r="W2262" s="124" t="str">
        <f>IFERROR(__xludf.DUMMYFUNCTION("""COMPUTED_VALUE"""),"Indore")</f>
        <v>Indore</v>
      </c>
      <c r="X2262" s="124" t="str">
        <f>IFERROR(__xludf.DUMMYFUNCTION("""COMPUTED_VALUE"""),"Walkin")</f>
        <v>Walkin</v>
      </c>
      <c r="Y2262" s="124" t="str">
        <f>IFERROR(__xludf.DUMMYFUNCTION("""COMPUTED_VALUE"""),"Indore")</f>
        <v>Indore</v>
      </c>
      <c r="Z2262" s="124">
        <f>IFERROR(__xludf.DUMMYFUNCTION("""COMPUTED_VALUE"""),2.0)</f>
        <v>2</v>
      </c>
      <c r="AA2262" s="124" t="str">
        <f>IFERROR(__xludf.DUMMYFUNCTION("""COMPUTED_VALUE"""),"Cold")</f>
        <v>Cold</v>
      </c>
      <c r="AB2262" s="124" t="str">
        <f>IFERROR(__xludf.DUMMYFUNCTION("""COMPUTED_VALUE"""),"GS Foundation")</f>
        <v>GS Foundation</v>
      </c>
    </row>
    <row r="2263">
      <c r="A2263" s="126">
        <f>IFERROR(__xludf.DUMMYFUNCTION("""COMPUTED_VALUE"""),46053.0)</f>
        <v>46053</v>
      </c>
      <c r="B2263" s="124" t="str">
        <f>IFERROR(__xludf.DUMMYFUNCTION("""COMPUTED_VALUE"""),"Walk-In")</f>
        <v>Walk-In</v>
      </c>
      <c r="C2263" s="124" t="str">
        <f>IFERROR(__xludf.DUMMYFUNCTION("""COMPUTED_VALUE"""),"Prayagraj")</f>
        <v>Prayagraj</v>
      </c>
      <c r="D2263" s="124" t="str">
        <f>IFERROR(__xludf.DUMMYFUNCTION("""COMPUTED_VALUE"""),"Primary_Walkin")</f>
        <v>Primary_Walkin</v>
      </c>
      <c r="E2263" s="124">
        <f>IFERROR(__xludf.DUMMYFUNCTION("""COMPUTED_VALUE"""),1.0)</f>
        <v>1</v>
      </c>
      <c r="F2263" s="124" t="str">
        <f>IFERROR(__xludf.DUMMYFUNCTION("""COMPUTED_VALUE"""),"Enrolled")</f>
        <v>Enrolled</v>
      </c>
      <c r="G2263" s="124" t="str">
        <f>IFERROR(__xludf.DUMMYFUNCTION("""COMPUTED_VALUE"""),"GS Foundation")</f>
        <v>GS Foundation</v>
      </c>
      <c r="K2263" s="124"/>
      <c r="L2263" s="124"/>
      <c r="M2263" s="124"/>
      <c r="N2263" s="124"/>
      <c r="O2263" s="124"/>
      <c r="T2263" s="129">
        <f>IFERROR(__xludf.DUMMYFUNCTION("""COMPUTED_VALUE"""),46111.0)</f>
        <v>46111</v>
      </c>
      <c r="U2263" s="124" t="str">
        <f>IFERROR(__xludf.DUMMYFUNCTION("""COMPUTED_VALUE"""),"Walk-Ins")</f>
        <v>Walk-Ins</v>
      </c>
      <c r="V2263" s="124" t="str">
        <f>IFERROR(__xludf.DUMMYFUNCTION("""COMPUTED_VALUE"""),"Walkin")</f>
        <v>Walkin</v>
      </c>
      <c r="W2263" s="124" t="str">
        <f>IFERROR(__xludf.DUMMYFUNCTION("""COMPUTED_VALUE"""),"Prayagraj")</f>
        <v>Prayagraj</v>
      </c>
      <c r="X2263" s="124" t="str">
        <f>IFERROR(__xludf.DUMMYFUNCTION("""COMPUTED_VALUE"""),"Walkin")</f>
        <v>Walkin</v>
      </c>
      <c r="Y2263" s="124" t="str">
        <f>IFERROR(__xludf.DUMMYFUNCTION("""COMPUTED_VALUE"""),"Prayagraj")</f>
        <v>Prayagraj</v>
      </c>
      <c r="Z2263" s="124">
        <f>IFERROR(__xludf.DUMMYFUNCTION("""COMPUTED_VALUE"""),2.0)</f>
        <v>2</v>
      </c>
      <c r="AA2263" s="124" t="str">
        <f>IFERROR(__xludf.DUMMYFUNCTION("""COMPUTED_VALUE"""),"Enrolled")</f>
        <v>Enrolled</v>
      </c>
      <c r="AB2263" s="124" t="str">
        <f>IFERROR(__xludf.DUMMYFUNCTION("""COMPUTED_VALUE"""),"GS Foundation")</f>
        <v>GS Foundation</v>
      </c>
    </row>
    <row r="2264">
      <c r="A2264" s="126">
        <f>IFERROR(__xludf.DUMMYFUNCTION("""COMPUTED_VALUE"""),46066.0)</f>
        <v>46066</v>
      </c>
      <c r="B2264" s="124" t="str">
        <f>IFERROR(__xludf.DUMMYFUNCTION("""COMPUTED_VALUE"""),"Walkin")</f>
        <v>Walkin</v>
      </c>
      <c r="C2264" s="124" t="str">
        <f>IFERROR(__xludf.DUMMYFUNCTION("""COMPUTED_VALUE"""),"Prayagraj")</f>
        <v>Prayagraj</v>
      </c>
      <c r="D2264" s="124" t="str">
        <f>IFERROR(__xludf.DUMMYFUNCTION("""COMPUTED_VALUE"""),"Primary_Walkin")</f>
        <v>Primary_Walkin</v>
      </c>
      <c r="E2264" s="124">
        <f>IFERROR(__xludf.DUMMYFUNCTION("""COMPUTED_VALUE"""),1.0)</f>
        <v>1</v>
      </c>
      <c r="F2264" s="124" t="str">
        <f>IFERROR(__xludf.DUMMYFUNCTION("""COMPUTED_VALUE"""),"Cold")</f>
        <v>Cold</v>
      </c>
      <c r="G2264" s="124" t="str">
        <f>IFERROR(__xludf.DUMMYFUNCTION("""COMPUTED_VALUE"""),"GS Foundation")</f>
        <v>GS Foundation</v>
      </c>
      <c r="K2264" s="124"/>
      <c r="L2264" s="124"/>
      <c r="M2264" s="124"/>
      <c r="N2264" s="124"/>
      <c r="O2264" s="124"/>
      <c r="T2264" s="126">
        <f>IFERROR(__xludf.DUMMYFUNCTION("""COMPUTED_VALUE"""),46046.0)</f>
        <v>46046</v>
      </c>
      <c r="U2264" s="124" t="str">
        <f>IFERROR(__xludf.DUMMYFUNCTION("""COMPUTED_VALUE"""),"Walk-Ins")</f>
        <v>Walk-Ins</v>
      </c>
      <c r="V2264" s="124" t="str">
        <f>IFERROR(__xludf.DUMMYFUNCTION("""COMPUTED_VALUE"""),"Walkin")</f>
        <v>Walkin</v>
      </c>
      <c r="W2264" s="124" t="str">
        <f>IFERROR(__xludf.DUMMYFUNCTION("""COMPUTED_VALUE"""),"Indore")</f>
        <v>Indore</v>
      </c>
      <c r="X2264" s="124" t="str">
        <f>IFERROR(__xludf.DUMMYFUNCTION("""COMPUTED_VALUE"""),"Walkin")</f>
        <v>Walkin</v>
      </c>
      <c r="Y2264" s="124" t="str">
        <f>IFERROR(__xludf.DUMMYFUNCTION("""COMPUTED_VALUE"""),"Indore")</f>
        <v>Indore</v>
      </c>
      <c r="Z2264" s="124">
        <f>IFERROR(__xludf.DUMMYFUNCTION("""COMPUTED_VALUE"""),4.0)</f>
        <v>4</v>
      </c>
      <c r="AA2264" s="124" t="str">
        <f>IFERROR(__xludf.DUMMYFUNCTION("""COMPUTED_VALUE"""),"Enrolled")</f>
        <v>Enrolled</v>
      </c>
      <c r="AB2264" s="124" t="str">
        <f>IFERROR(__xludf.DUMMYFUNCTION("""COMPUTED_VALUE"""),"GS Foundation")</f>
        <v>GS Foundation</v>
      </c>
    </row>
    <row r="2265">
      <c r="A2265" s="126">
        <f>IFERROR(__xludf.DUMMYFUNCTION("""COMPUTED_VALUE"""),46077.0)</f>
        <v>46077</v>
      </c>
      <c r="B2265" s="124" t="str">
        <f>IFERROR(__xludf.DUMMYFUNCTION("""COMPUTED_VALUE"""),"Walkin")</f>
        <v>Walkin</v>
      </c>
      <c r="C2265" s="124" t="str">
        <f>IFERROR(__xludf.DUMMYFUNCTION("""COMPUTED_VALUE"""),"Prayagraj")</f>
        <v>Prayagraj</v>
      </c>
      <c r="D2265" s="124" t="str">
        <f>IFERROR(__xludf.DUMMYFUNCTION("""COMPUTED_VALUE"""),"Primary_Walkin")</f>
        <v>Primary_Walkin</v>
      </c>
      <c r="E2265" s="124">
        <f>IFERROR(__xludf.DUMMYFUNCTION("""COMPUTED_VALUE"""),1.0)</f>
        <v>1</v>
      </c>
      <c r="F2265" s="124" t="str">
        <f>IFERROR(__xludf.DUMMYFUNCTION("""COMPUTED_VALUE"""),"Warm")</f>
        <v>Warm</v>
      </c>
      <c r="G2265" s="124" t="str">
        <f>IFERROR(__xludf.DUMMYFUNCTION("""COMPUTED_VALUE"""),"GS Foundation")</f>
        <v>GS Foundation</v>
      </c>
      <c r="K2265" s="124"/>
      <c r="L2265" s="124"/>
      <c r="M2265" s="124"/>
      <c r="N2265" s="124"/>
      <c r="O2265" s="124"/>
      <c r="T2265" s="129">
        <f>IFERROR(__xludf.DUMMYFUNCTION("""COMPUTED_VALUE"""),46050.0)</f>
        <v>46050</v>
      </c>
      <c r="U2265" s="124" t="str">
        <f>IFERROR(__xludf.DUMMYFUNCTION("""COMPUTED_VALUE"""),"Walk-Ins")</f>
        <v>Walk-Ins</v>
      </c>
      <c r="V2265" s="124" t="str">
        <f>IFERROR(__xludf.DUMMYFUNCTION("""COMPUTED_VALUE"""),"Walk-In")</f>
        <v>Walk-In</v>
      </c>
      <c r="W2265" s="124" t="str">
        <f>IFERROR(__xludf.DUMMYFUNCTION("""COMPUTED_VALUE"""),"Patna")</f>
        <v>Patna</v>
      </c>
      <c r="X2265" s="124" t="str">
        <f>IFERROR(__xludf.DUMMYFUNCTION("""COMPUTED_VALUE"""),"Others")</f>
        <v>Others</v>
      </c>
      <c r="Y2265" s="124" t="str">
        <f>IFERROR(__xludf.DUMMYFUNCTION("""COMPUTED_VALUE"""),"Patna")</f>
        <v>Patna</v>
      </c>
      <c r="Z2265" s="124">
        <f>IFERROR(__xludf.DUMMYFUNCTION("""COMPUTED_VALUE"""),1.0)</f>
        <v>1</v>
      </c>
      <c r="AA2265" s="124" t="str">
        <f>IFERROR(__xludf.DUMMYFUNCTION("""COMPUTED_VALUE"""),"Cold")</f>
        <v>Cold</v>
      </c>
      <c r="AB2265" s="124" t="str">
        <f>IFERROR(__xludf.DUMMYFUNCTION("""COMPUTED_VALUE"""),"Test Series")</f>
        <v>Test Series</v>
      </c>
    </row>
    <row r="2266">
      <c r="A2266" s="129">
        <f>IFERROR(__xludf.DUMMYFUNCTION("""COMPUTED_VALUE"""),46060.0)</f>
        <v>46060</v>
      </c>
      <c r="B2266" s="124" t="str">
        <f>IFERROR(__xludf.DUMMYFUNCTION("""COMPUTED_VALUE"""),"events")</f>
        <v>events</v>
      </c>
      <c r="C2266" s="124" t="str">
        <f>IFERROR(__xludf.DUMMYFUNCTION("""COMPUTED_VALUE"""),"Prayagraj")</f>
        <v>Prayagraj</v>
      </c>
      <c r="D2266" s="124" t="str">
        <f>IFERROR(__xludf.DUMMYFUNCTION("""COMPUTED_VALUE"""),"Secondary_Walkin")</f>
        <v>Secondary_Walkin</v>
      </c>
      <c r="E2266" s="124">
        <f>IFERROR(__xludf.DUMMYFUNCTION("""COMPUTED_VALUE"""),1.0)</f>
        <v>1</v>
      </c>
      <c r="F2266" s="124" t="str">
        <f>IFERROR(__xludf.DUMMYFUNCTION("""COMPUTED_VALUE"""),"Cold")</f>
        <v>Cold</v>
      </c>
      <c r="G2266" s="124" t="str">
        <f>IFERROR(__xludf.DUMMYFUNCTION("""COMPUTED_VALUE"""),"GS Foundation")</f>
        <v>GS Foundation</v>
      </c>
      <c r="K2266" s="124"/>
      <c r="L2266" s="124"/>
      <c r="M2266" s="124"/>
      <c r="N2266" s="124"/>
      <c r="O2266" s="124"/>
      <c r="T2266" s="129">
        <f>IFERROR(__xludf.DUMMYFUNCTION("""COMPUTED_VALUE"""),46073.0)</f>
        <v>46073</v>
      </c>
      <c r="U2266" s="124" t="str">
        <f>IFERROR(__xludf.DUMMYFUNCTION("""COMPUTED_VALUE"""),"Walk-Ins")</f>
        <v>Walk-Ins</v>
      </c>
      <c r="V2266" s="124" t="str">
        <f>IFERROR(__xludf.DUMMYFUNCTION("""COMPUTED_VALUE"""),"Walkin")</f>
        <v>Walkin</v>
      </c>
      <c r="W2266" s="124" t="str">
        <f>IFERROR(__xludf.DUMMYFUNCTION("""COMPUTED_VALUE"""),"Prayagraj")</f>
        <v>Prayagraj</v>
      </c>
      <c r="X2266" s="124" t="str">
        <f>IFERROR(__xludf.DUMMYFUNCTION("""COMPUTED_VALUE"""),"Walkin")</f>
        <v>Walkin</v>
      </c>
      <c r="Y2266" s="124" t="str">
        <f>IFERROR(__xludf.DUMMYFUNCTION("""COMPUTED_VALUE"""),"Prayagraj")</f>
        <v>Prayagraj</v>
      </c>
      <c r="Z2266" s="124">
        <f>IFERROR(__xludf.DUMMYFUNCTION("""COMPUTED_VALUE"""),6.0)</f>
        <v>6</v>
      </c>
      <c r="AA2266" s="124" t="str">
        <f>IFERROR(__xludf.DUMMYFUNCTION("""COMPUTED_VALUE"""),"Cold")</f>
        <v>Cold</v>
      </c>
      <c r="AB2266" s="124" t="str">
        <f>IFERROR(__xludf.DUMMYFUNCTION("""COMPUTED_VALUE"""),"GS Foundation")</f>
        <v>GS Foundation</v>
      </c>
    </row>
    <row r="2267">
      <c r="A2267" s="126">
        <f>IFERROR(__xludf.DUMMYFUNCTION("""COMPUTED_VALUE"""),46049.0)</f>
        <v>46049</v>
      </c>
      <c r="B2267" s="124" t="str">
        <f>IFERROR(__xludf.DUMMYFUNCTION("""COMPUTED_VALUE"""),"Walkin")</f>
        <v>Walkin</v>
      </c>
      <c r="C2267" s="124" t="str">
        <f>IFERROR(__xludf.DUMMYFUNCTION("""COMPUTED_VALUE"""),"Prayagraj")</f>
        <v>Prayagraj</v>
      </c>
      <c r="D2267" s="124" t="str">
        <f>IFERROR(__xludf.DUMMYFUNCTION("""COMPUTED_VALUE"""),"Primary_Walkin")</f>
        <v>Primary_Walkin</v>
      </c>
      <c r="E2267" s="124">
        <f>IFERROR(__xludf.DUMMYFUNCTION("""COMPUTED_VALUE"""),1.0)</f>
        <v>1</v>
      </c>
      <c r="F2267" s="124" t="str">
        <f>IFERROR(__xludf.DUMMYFUNCTION("""COMPUTED_VALUE"""),"Enrolled")</f>
        <v>Enrolled</v>
      </c>
      <c r="G2267" s="124" t="str">
        <f>IFERROR(__xludf.DUMMYFUNCTION("""COMPUTED_VALUE"""),"GS Foundation")</f>
        <v>GS Foundation</v>
      </c>
      <c r="K2267" s="124"/>
      <c r="L2267" s="124"/>
      <c r="M2267" s="124"/>
      <c r="N2267" s="124"/>
      <c r="O2267" s="124"/>
      <c r="T2267" s="126">
        <f>IFERROR(__xludf.DUMMYFUNCTION("""COMPUTED_VALUE"""),46081.0)</f>
        <v>46081</v>
      </c>
      <c r="U2267" s="124" t="str">
        <f>IFERROR(__xludf.DUMMYFUNCTION("""COMPUTED_VALUE"""),"Walk-Ins")</f>
        <v>Walk-Ins</v>
      </c>
      <c r="V2267" s="124" t="str">
        <f>IFERROR(__xludf.DUMMYFUNCTION("""COMPUTED_VALUE"""),"Walkin")</f>
        <v>Walkin</v>
      </c>
      <c r="W2267" s="124" t="str">
        <f>IFERROR(__xludf.DUMMYFUNCTION("""COMPUTED_VALUE"""),"Prayagraj")</f>
        <v>Prayagraj</v>
      </c>
      <c r="X2267" s="124" t="str">
        <f>IFERROR(__xludf.DUMMYFUNCTION("""COMPUTED_VALUE"""),"Walkin")</f>
        <v>Walkin</v>
      </c>
      <c r="Y2267" s="124" t="str">
        <f>IFERROR(__xludf.DUMMYFUNCTION("""COMPUTED_VALUE"""),"Prayagraj")</f>
        <v>Prayagraj</v>
      </c>
      <c r="Z2267" s="124">
        <f>IFERROR(__xludf.DUMMYFUNCTION("""COMPUTED_VALUE"""),2.0)</f>
        <v>2</v>
      </c>
      <c r="AA2267" s="124" t="str">
        <f>IFERROR(__xludf.DUMMYFUNCTION("""COMPUTED_VALUE"""),"Warm")</f>
        <v>Warm</v>
      </c>
      <c r="AB2267" s="124" t="str">
        <f>IFERROR(__xludf.DUMMYFUNCTION("""COMPUTED_VALUE"""),"GS Foundation")</f>
        <v>GS Foundation</v>
      </c>
    </row>
    <row r="2268">
      <c r="A2268" s="126">
        <f>IFERROR(__xludf.DUMMYFUNCTION("""COMPUTED_VALUE"""),46108.0)</f>
        <v>46108</v>
      </c>
      <c r="B2268" s="124" t="str">
        <f>IFERROR(__xludf.DUMMYFUNCTION("""COMPUTED_VALUE"""),"external leads")</f>
        <v>external leads</v>
      </c>
      <c r="C2268" s="124" t="str">
        <f>IFERROR(__xludf.DUMMYFUNCTION("""COMPUTED_VALUE"""),"Prayagraj")</f>
        <v>Prayagraj</v>
      </c>
      <c r="D2268" s="124" t="str">
        <f>IFERROR(__xludf.DUMMYFUNCTION("""COMPUTED_VALUE"""),"Secondary_Walkin")</f>
        <v>Secondary_Walkin</v>
      </c>
      <c r="E2268" s="124">
        <f>IFERROR(__xludf.DUMMYFUNCTION("""COMPUTED_VALUE"""),2.0)</f>
        <v>2</v>
      </c>
      <c r="F2268" s="124" t="str">
        <f>IFERROR(__xludf.DUMMYFUNCTION("""COMPUTED_VALUE"""),"Enrolled")</f>
        <v>Enrolled</v>
      </c>
      <c r="G2268" s="124" t="str">
        <f>IFERROR(__xludf.DUMMYFUNCTION("""COMPUTED_VALUE"""),"GS Foundation")</f>
        <v>GS Foundation</v>
      </c>
      <c r="K2268" s="124"/>
      <c r="L2268" s="124"/>
      <c r="M2268" s="124"/>
      <c r="N2268" s="124"/>
      <c r="O2268" s="124"/>
      <c r="T2268" s="129">
        <f>IFERROR(__xludf.DUMMYFUNCTION("""COMPUTED_VALUE"""),46082.0)</f>
        <v>46082</v>
      </c>
      <c r="U2268" s="124" t="str">
        <f>IFERROR(__xludf.DUMMYFUNCTION("""COMPUTED_VALUE"""),"Walk-Ins")</f>
        <v>Walk-Ins</v>
      </c>
      <c r="V2268" s="124" t="str">
        <f>IFERROR(__xludf.DUMMYFUNCTION("""COMPUTED_VALUE"""),"Walkin")</f>
        <v>Walkin</v>
      </c>
      <c r="W2268" s="124" t="str">
        <f>IFERROR(__xludf.DUMMYFUNCTION("""COMPUTED_VALUE"""),"Patna")</f>
        <v>Patna</v>
      </c>
      <c r="X2268" s="124" t="str">
        <f>IFERROR(__xludf.DUMMYFUNCTION("""COMPUTED_VALUE"""),"Walkin")</f>
        <v>Walkin</v>
      </c>
      <c r="Y2268" s="124" t="str">
        <f>IFERROR(__xludf.DUMMYFUNCTION("""COMPUTED_VALUE"""),"Patna")</f>
        <v>Patna</v>
      </c>
      <c r="Z2268" s="124">
        <f>IFERROR(__xludf.DUMMYFUNCTION("""COMPUTED_VALUE"""),1.0)</f>
        <v>1</v>
      </c>
      <c r="AA2268" s="124" t="str">
        <f>IFERROR(__xludf.DUMMYFUNCTION("""COMPUTED_VALUE"""),"Warm")</f>
        <v>Warm</v>
      </c>
      <c r="AB2268" s="124" t="str">
        <f>IFERROR(__xludf.DUMMYFUNCTION("""COMPUTED_VALUE"""),"GS Foundation")</f>
        <v>GS Foundation</v>
      </c>
    </row>
    <row r="2269">
      <c r="A2269" s="126">
        <f>IFERROR(__xludf.DUMMYFUNCTION("""COMPUTED_VALUE"""),46069.0)</f>
        <v>46069</v>
      </c>
      <c r="B2269" s="124" t="str">
        <f>IFERROR(__xludf.DUMMYFUNCTION("""COMPUTED_VALUE"""),"Walkin")</f>
        <v>Walkin</v>
      </c>
      <c r="C2269" s="124" t="str">
        <f>IFERROR(__xludf.DUMMYFUNCTION("""COMPUTED_VALUE"""),"Prayagraj")</f>
        <v>Prayagraj</v>
      </c>
      <c r="D2269" s="124" t="str">
        <f>IFERROR(__xludf.DUMMYFUNCTION("""COMPUTED_VALUE"""),"Primary_Walkin")</f>
        <v>Primary_Walkin</v>
      </c>
      <c r="E2269" s="124">
        <f>IFERROR(__xludf.DUMMYFUNCTION("""COMPUTED_VALUE"""),1.0)</f>
        <v>1</v>
      </c>
      <c r="F2269" s="124" t="str">
        <f>IFERROR(__xludf.DUMMYFUNCTION("""COMPUTED_VALUE"""),"Warm")</f>
        <v>Warm</v>
      </c>
      <c r="G2269" s="124" t="str">
        <f>IFERROR(__xludf.DUMMYFUNCTION("""COMPUTED_VALUE"""),"GS Foundation")</f>
        <v>GS Foundation</v>
      </c>
      <c r="K2269" s="124"/>
      <c r="L2269" s="124"/>
      <c r="M2269" s="124"/>
      <c r="N2269" s="124"/>
      <c r="O2269" s="124"/>
      <c r="T2269" s="126">
        <f>IFERROR(__xludf.DUMMYFUNCTION("""COMPUTED_VALUE"""),46087.0)</f>
        <v>46087</v>
      </c>
      <c r="U2269" s="124" t="str">
        <f>IFERROR(__xludf.DUMMYFUNCTION("""COMPUTED_VALUE"""),"Walk-Ins")</f>
        <v>Walk-Ins</v>
      </c>
      <c r="V2269" s="124" t="str">
        <f>IFERROR(__xludf.DUMMYFUNCTION("""COMPUTED_VALUE"""),"Walkin")</f>
        <v>Walkin</v>
      </c>
      <c r="W2269" s="124" t="str">
        <f>IFERROR(__xludf.DUMMYFUNCTION("""COMPUTED_VALUE"""),"Prayagraj")</f>
        <v>Prayagraj</v>
      </c>
      <c r="X2269" s="124" t="str">
        <f>IFERROR(__xludf.DUMMYFUNCTION("""COMPUTED_VALUE"""),"Walkin")</f>
        <v>Walkin</v>
      </c>
      <c r="Y2269" s="124" t="str">
        <f>IFERROR(__xludf.DUMMYFUNCTION("""COMPUTED_VALUE"""),"Prayagraj")</f>
        <v>Prayagraj</v>
      </c>
      <c r="Z2269" s="124">
        <f>IFERROR(__xludf.DUMMYFUNCTION("""COMPUTED_VALUE"""),1.0)</f>
        <v>1</v>
      </c>
      <c r="AA2269" s="124" t="str">
        <f>IFERROR(__xludf.DUMMYFUNCTION("""COMPUTED_VALUE"""),"Cold")</f>
        <v>Cold</v>
      </c>
      <c r="AB2269" s="124" t="str">
        <f>IFERROR(__xludf.DUMMYFUNCTION("""COMPUTED_VALUE"""),"Test Series")</f>
        <v>Test Series</v>
      </c>
    </row>
    <row r="2270">
      <c r="A2270" s="126">
        <f>IFERROR(__xludf.DUMMYFUNCTION("""COMPUTED_VALUE"""),46043.0)</f>
        <v>46043</v>
      </c>
      <c r="B2270" s="124" t="str">
        <f>IFERROR(__xludf.DUMMYFUNCTION("""COMPUTED_VALUE"""),"Walk-In")</f>
        <v>Walk-In</v>
      </c>
      <c r="C2270" s="124" t="str">
        <f>IFERROR(__xludf.DUMMYFUNCTION("""COMPUTED_VALUE"""),"Prayagraj")</f>
        <v>Prayagraj</v>
      </c>
      <c r="D2270" s="124" t="str">
        <f>IFERROR(__xludf.DUMMYFUNCTION("""COMPUTED_VALUE"""),"Primary_Walkin")</f>
        <v>Primary_Walkin</v>
      </c>
      <c r="E2270" s="124">
        <f>IFERROR(__xludf.DUMMYFUNCTION("""COMPUTED_VALUE"""),1.0)</f>
        <v>1</v>
      </c>
      <c r="F2270" s="124" t="str">
        <f>IFERROR(__xludf.DUMMYFUNCTION("""COMPUTED_VALUE"""),"Future Prospects")</f>
        <v>Future Prospects</v>
      </c>
      <c r="G2270" s="124" t="str">
        <f>IFERROR(__xludf.DUMMYFUNCTION("""COMPUTED_VALUE"""),"Mentorship")</f>
        <v>Mentorship</v>
      </c>
      <c r="K2270" s="124"/>
      <c r="L2270" s="124"/>
      <c r="M2270" s="124"/>
      <c r="N2270" s="124"/>
      <c r="O2270" s="124"/>
      <c r="T2270" s="129">
        <f>IFERROR(__xludf.DUMMYFUNCTION("""COMPUTED_VALUE"""),46105.0)</f>
        <v>46105</v>
      </c>
      <c r="U2270" s="124" t="str">
        <f>IFERROR(__xludf.DUMMYFUNCTION("""COMPUTED_VALUE"""),"Walk-Ins")</f>
        <v>Walk-Ins</v>
      </c>
      <c r="V2270" s="124" t="str">
        <f>IFERROR(__xludf.DUMMYFUNCTION("""COMPUTED_VALUE"""),"Walkin")</f>
        <v>Walkin</v>
      </c>
      <c r="W2270" s="124" t="str">
        <f>IFERROR(__xludf.DUMMYFUNCTION("""COMPUTED_VALUE"""),"Prayagraj")</f>
        <v>Prayagraj</v>
      </c>
      <c r="X2270" s="124" t="str">
        <f>IFERROR(__xludf.DUMMYFUNCTION("""COMPUTED_VALUE"""),"Walkin")</f>
        <v>Walkin</v>
      </c>
      <c r="Y2270" s="124" t="str">
        <f>IFERROR(__xludf.DUMMYFUNCTION("""COMPUTED_VALUE"""),"Prayagraj")</f>
        <v>Prayagraj</v>
      </c>
      <c r="Z2270" s="124">
        <f>IFERROR(__xludf.DUMMYFUNCTION("""COMPUTED_VALUE"""),3.0)</f>
        <v>3</v>
      </c>
      <c r="AA2270" s="124" t="str">
        <f>IFERROR(__xludf.DUMMYFUNCTION("""COMPUTED_VALUE"""),"Future Prospects")</f>
        <v>Future Prospects</v>
      </c>
      <c r="AB2270" s="124" t="str">
        <f>IFERROR(__xludf.DUMMYFUNCTION("""COMPUTED_VALUE"""),"Mentorship")</f>
        <v>Mentorship</v>
      </c>
    </row>
    <row r="2271">
      <c r="A2271" s="126">
        <f>IFERROR(__xludf.DUMMYFUNCTION("""COMPUTED_VALUE"""),46095.0)</f>
        <v>46095</v>
      </c>
      <c r="B2271" s="124" t="str">
        <f>IFERROR(__xludf.DUMMYFUNCTION("""COMPUTED_VALUE"""),"Walkin")</f>
        <v>Walkin</v>
      </c>
      <c r="C2271" s="124" t="str">
        <f>IFERROR(__xludf.DUMMYFUNCTION("""COMPUTED_VALUE"""),"Prayagraj")</f>
        <v>Prayagraj</v>
      </c>
      <c r="D2271" s="124" t="str">
        <f>IFERROR(__xludf.DUMMYFUNCTION("""COMPUTED_VALUE"""),"Primary_Walkin")</f>
        <v>Primary_Walkin</v>
      </c>
      <c r="E2271" s="124">
        <f>IFERROR(__xludf.DUMMYFUNCTION("""COMPUTED_VALUE"""),1.0)</f>
        <v>1</v>
      </c>
      <c r="F2271" s="124" t="str">
        <f>IFERROR(__xludf.DUMMYFUNCTION("""COMPUTED_VALUE"""),"Not Interested")</f>
        <v>Not Interested</v>
      </c>
      <c r="G2271" s="124" t="str">
        <f>IFERROR(__xludf.DUMMYFUNCTION("""COMPUTED_VALUE"""),"Hybrid")</f>
        <v>Hybrid</v>
      </c>
      <c r="K2271" s="124"/>
      <c r="L2271" s="124"/>
      <c r="M2271" s="124"/>
      <c r="N2271" s="124"/>
      <c r="O2271" s="124"/>
      <c r="T2271" s="126">
        <f>IFERROR(__xludf.DUMMYFUNCTION("""COMPUTED_VALUE"""),46061.0)</f>
        <v>46061</v>
      </c>
      <c r="U2271" s="124" t="str">
        <f>IFERROR(__xludf.DUMMYFUNCTION("""COMPUTED_VALUE"""),"Walk-Ins")</f>
        <v>Walk-Ins</v>
      </c>
      <c r="V2271" s="124" t="str">
        <f>IFERROR(__xludf.DUMMYFUNCTION("""COMPUTED_VALUE"""),"Walkin")</f>
        <v>Walkin</v>
      </c>
      <c r="W2271" s="124" t="str">
        <f>IFERROR(__xludf.DUMMYFUNCTION("""COMPUTED_VALUE"""),"Patna")</f>
        <v>Patna</v>
      </c>
      <c r="X2271" s="124" t="str">
        <f>IFERROR(__xludf.DUMMYFUNCTION("""COMPUTED_VALUE"""),"Walkin")</f>
        <v>Walkin</v>
      </c>
      <c r="Y2271" s="124" t="str">
        <f>IFERROR(__xludf.DUMMYFUNCTION("""COMPUTED_VALUE"""),"Patna")</f>
        <v>Patna</v>
      </c>
      <c r="Z2271" s="124">
        <f>IFERROR(__xludf.DUMMYFUNCTION("""COMPUTED_VALUE"""),2.0)</f>
        <v>2</v>
      </c>
      <c r="AA2271" s="124" t="str">
        <f>IFERROR(__xludf.DUMMYFUNCTION("""COMPUTED_VALUE"""),"Cold")</f>
        <v>Cold</v>
      </c>
      <c r="AB2271" s="124" t="str">
        <f>IFERROR(__xludf.DUMMYFUNCTION("""COMPUTED_VALUE"""),"State PCS")</f>
        <v>State PCS</v>
      </c>
    </row>
    <row r="2272">
      <c r="A2272" s="129">
        <f>IFERROR(__xludf.DUMMYFUNCTION("""COMPUTED_VALUE"""),46083.0)</f>
        <v>46083</v>
      </c>
      <c r="B2272" s="124" t="str">
        <f>IFERROR(__xludf.DUMMYFUNCTION("""COMPUTED_VALUE"""),"Walkin")</f>
        <v>Walkin</v>
      </c>
      <c r="C2272" s="124" t="str">
        <f>IFERROR(__xludf.DUMMYFUNCTION("""COMPUTED_VALUE"""),"Prayagraj")</f>
        <v>Prayagraj</v>
      </c>
      <c r="D2272" s="124" t="str">
        <f>IFERROR(__xludf.DUMMYFUNCTION("""COMPUTED_VALUE"""),"Primary_Walkin")</f>
        <v>Primary_Walkin</v>
      </c>
      <c r="E2272" s="124">
        <f>IFERROR(__xludf.DUMMYFUNCTION("""COMPUTED_VALUE"""),1.0)</f>
        <v>1</v>
      </c>
      <c r="F2272" s="124" t="str">
        <f>IFERROR(__xludf.DUMMYFUNCTION("""COMPUTED_VALUE"""),"Cold")</f>
        <v>Cold</v>
      </c>
      <c r="G2272" s="124" t="str">
        <f>IFERROR(__xludf.DUMMYFUNCTION("""COMPUTED_VALUE"""),"State PCS")</f>
        <v>State PCS</v>
      </c>
      <c r="K2272" s="124"/>
      <c r="L2272" s="124"/>
      <c r="M2272" s="124"/>
      <c r="N2272" s="124"/>
      <c r="O2272" s="124"/>
      <c r="T2272" s="126">
        <f>IFERROR(__xludf.DUMMYFUNCTION("""COMPUTED_VALUE"""),46069.0)</f>
        <v>46069</v>
      </c>
      <c r="U2272" s="124" t="str">
        <f>IFERROR(__xludf.DUMMYFUNCTION("""COMPUTED_VALUE"""),"Walk-Ins")</f>
        <v>Walk-Ins</v>
      </c>
      <c r="V2272" s="124" t="str">
        <f>IFERROR(__xludf.DUMMYFUNCTION("""COMPUTED_VALUE"""),"Walkin")</f>
        <v>Walkin</v>
      </c>
      <c r="W2272" s="124" t="str">
        <f>IFERROR(__xludf.DUMMYFUNCTION("""COMPUTED_VALUE"""),"Patna")</f>
        <v>Patna</v>
      </c>
      <c r="X2272" s="124" t="str">
        <f>IFERROR(__xludf.DUMMYFUNCTION("""COMPUTED_VALUE"""),"Walkin")</f>
        <v>Walkin</v>
      </c>
      <c r="Y2272" s="124" t="str">
        <f>IFERROR(__xludf.DUMMYFUNCTION("""COMPUTED_VALUE"""),"Patna")</f>
        <v>Patna</v>
      </c>
      <c r="Z2272" s="124">
        <f>IFERROR(__xludf.DUMMYFUNCTION("""COMPUTED_VALUE"""),2.0)</f>
        <v>2</v>
      </c>
      <c r="AA2272" s="124" t="str">
        <f>IFERROR(__xludf.DUMMYFUNCTION("""COMPUTED_VALUE"""),"Future Prospects")</f>
        <v>Future Prospects</v>
      </c>
      <c r="AB2272" s="124" t="str">
        <f>IFERROR(__xludf.DUMMYFUNCTION("""COMPUTED_VALUE"""),"State PCS")</f>
        <v>State PCS</v>
      </c>
    </row>
    <row r="2273">
      <c r="A2273" s="126">
        <f>IFERROR(__xludf.DUMMYFUNCTION("""COMPUTED_VALUE"""),46093.0)</f>
        <v>46093</v>
      </c>
      <c r="B2273" s="124" t="str">
        <f>IFERROR(__xludf.DUMMYFUNCTION("""COMPUTED_VALUE"""),"Walkin")</f>
        <v>Walkin</v>
      </c>
      <c r="C2273" s="124" t="str">
        <f>IFERROR(__xludf.DUMMYFUNCTION("""COMPUTED_VALUE"""),"Prayagraj")</f>
        <v>Prayagraj</v>
      </c>
      <c r="D2273" s="124" t="str">
        <f>IFERROR(__xludf.DUMMYFUNCTION("""COMPUTED_VALUE"""),"Primary_Walkin")</f>
        <v>Primary_Walkin</v>
      </c>
      <c r="E2273" s="124">
        <f>IFERROR(__xludf.DUMMYFUNCTION("""COMPUTED_VALUE"""),1.0)</f>
        <v>1</v>
      </c>
      <c r="F2273" s="124" t="str">
        <f>IFERROR(__xludf.DUMMYFUNCTION("""COMPUTED_VALUE"""),"Enrolled")</f>
        <v>Enrolled</v>
      </c>
      <c r="G2273" s="124" t="str">
        <f>IFERROR(__xludf.DUMMYFUNCTION("""COMPUTED_VALUE"""),"GS Foundation")</f>
        <v>GS Foundation</v>
      </c>
      <c r="K2273" s="124"/>
      <c r="L2273" s="124"/>
      <c r="M2273" s="124"/>
      <c r="N2273" s="124"/>
      <c r="O2273" s="124"/>
      <c r="T2273" s="126">
        <f>IFERROR(__xludf.DUMMYFUNCTION("""COMPUTED_VALUE"""),46053.0)</f>
        <v>46053</v>
      </c>
      <c r="U2273" s="124" t="str">
        <f>IFERROR(__xludf.DUMMYFUNCTION("""COMPUTED_VALUE"""),"Walk-Ins")</f>
        <v>Walk-Ins</v>
      </c>
      <c r="V2273" s="124" t="str">
        <f>IFERROR(__xludf.DUMMYFUNCTION("""COMPUTED_VALUE"""),"Walkin")</f>
        <v>Walkin</v>
      </c>
      <c r="W2273" s="124" t="str">
        <f>IFERROR(__xludf.DUMMYFUNCTION("""COMPUTED_VALUE"""),"Lucknow")</f>
        <v>Lucknow</v>
      </c>
      <c r="X2273" s="124" t="str">
        <f>IFERROR(__xludf.DUMMYFUNCTION("""COMPUTED_VALUE"""),"Walkin")</f>
        <v>Walkin</v>
      </c>
      <c r="Y2273" s="124" t="str">
        <f>IFERROR(__xludf.DUMMYFUNCTION("""COMPUTED_VALUE"""),"Lucknow")</f>
        <v>Lucknow</v>
      </c>
      <c r="Z2273" s="124">
        <f>IFERROR(__xludf.DUMMYFUNCTION("""COMPUTED_VALUE"""),1.0)</f>
        <v>1</v>
      </c>
      <c r="AA2273" s="124" t="str">
        <f>IFERROR(__xludf.DUMMYFUNCTION("""COMPUTED_VALUE"""),"Cold")</f>
        <v>Cold</v>
      </c>
      <c r="AB2273" s="124" t="str">
        <f>IFERROR(__xludf.DUMMYFUNCTION("""COMPUTED_VALUE"""),"State PCS")</f>
        <v>State PCS</v>
      </c>
    </row>
    <row r="2274">
      <c r="A2274" s="126">
        <f>IFERROR(__xludf.DUMMYFUNCTION("""COMPUTED_VALUE"""),46104.0)</f>
        <v>46104</v>
      </c>
      <c r="B2274" s="124" t="str">
        <f>IFERROR(__xludf.DUMMYFUNCTION("""COMPUTED_VALUE"""),"Walk-In")</f>
        <v>Walk-In</v>
      </c>
      <c r="C2274" s="124" t="str">
        <f>IFERROR(__xludf.DUMMYFUNCTION("""COMPUTED_VALUE"""),"Delhi")</f>
        <v>Delhi</v>
      </c>
      <c r="D2274" s="124" t="str">
        <f>IFERROR(__xludf.DUMMYFUNCTION("""COMPUTED_VALUE"""),"Primary_Walkin")</f>
        <v>Primary_Walkin</v>
      </c>
      <c r="E2274" s="124">
        <f>IFERROR(__xludf.DUMMYFUNCTION("""COMPUTED_VALUE"""),1.0)</f>
        <v>1</v>
      </c>
      <c r="F2274" s="124" t="str">
        <f>IFERROR(__xludf.DUMMYFUNCTION("""COMPUTED_VALUE"""),"Future Prospects")</f>
        <v>Future Prospects</v>
      </c>
      <c r="G2274" s="124" t="str">
        <f>IFERROR(__xludf.DUMMYFUNCTION("""COMPUTED_VALUE"""),"GS Foundation")</f>
        <v>GS Foundation</v>
      </c>
      <c r="K2274" s="124"/>
      <c r="L2274" s="124"/>
      <c r="M2274" s="124"/>
      <c r="N2274" s="124"/>
      <c r="O2274" s="124"/>
      <c r="T2274" s="126">
        <f>IFERROR(__xludf.DUMMYFUNCTION("""COMPUTED_VALUE"""),46069.0)</f>
        <v>46069</v>
      </c>
      <c r="U2274" s="124" t="str">
        <f>IFERROR(__xludf.DUMMYFUNCTION("""COMPUTED_VALUE"""),"Walk-Ins")</f>
        <v>Walk-Ins</v>
      </c>
      <c r="V2274" s="124" t="str">
        <f>IFERROR(__xludf.DUMMYFUNCTION("""COMPUTED_VALUE"""),"Walkin")</f>
        <v>Walkin</v>
      </c>
      <c r="W2274" s="124" t="str">
        <f>IFERROR(__xludf.DUMMYFUNCTION("""COMPUTED_VALUE"""),"Indore")</f>
        <v>Indore</v>
      </c>
      <c r="X2274" s="124" t="str">
        <f>IFERROR(__xludf.DUMMYFUNCTION("""COMPUTED_VALUE"""),"Walkin")</f>
        <v>Walkin</v>
      </c>
      <c r="Y2274" s="124" t="str">
        <f>IFERROR(__xludf.DUMMYFUNCTION("""COMPUTED_VALUE"""),"Indore")</f>
        <v>Indore</v>
      </c>
      <c r="Z2274" s="124">
        <f>IFERROR(__xludf.DUMMYFUNCTION("""COMPUTED_VALUE"""),1.0)</f>
        <v>1</v>
      </c>
      <c r="AA2274" s="124" t="str">
        <f>IFERROR(__xludf.DUMMYFUNCTION("""COMPUTED_VALUE"""),"Enrolled")</f>
        <v>Enrolled</v>
      </c>
      <c r="AB2274" s="124" t="str">
        <f>IFERROR(__xludf.DUMMYFUNCTION("""COMPUTED_VALUE"""),"GS Foundation")</f>
        <v>GS Foundation</v>
      </c>
    </row>
    <row r="2275">
      <c r="A2275" s="126">
        <f>IFERROR(__xludf.DUMMYFUNCTION("""COMPUTED_VALUE"""),46091.0)</f>
        <v>46091</v>
      </c>
      <c r="B2275" s="124" t="str">
        <f>IFERROR(__xludf.DUMMYFUNCTION("""COMPUTED_VALUE"""),"Walkin")</f>
        <v>Walkin</v>
      </c>
      <c r="C2275" s="124" t="str">
        <f>IFERROR(__xludf.DUMMYFUNCTION("""COMPUTED_VALUE"""),"Delhi")</f>
        <v>Delhi</v>
      </c>
      <c r="D2275" s="124" t="str">
        <f>IFERROR(__xludf.DUMMYFUNCTION("""COMPUTED_VALUE"""),"Primary_Walkin")</f>
        <v>Primary_Walkin</v>
      </c>
      <c r="E2275" s="124">
        <f>IFERROR(__xludf.DUMMYFUNCTION("""COMPUTED_VALUE"""),1.0)</f>
        <v>1</v>
      </c>
      <c r="F2275" s="124" t="str">
        <f>IFERROR(__xludf.DUMMYFUNCTION("""COMPUTED_VALUE"""),"Warm")</f>
        <v>Warm</v>
      </c>
      <c r="G2275" s="124" t="str">
        <f>IFERROR(__xludf.DUMMYFUNCTION("""COMPUTED_VALUE"""),"GS Foundation")</f>
        <v>GS Foundation</v>
      </c>
      <c r="K2275" s="124"/>
      <c r="L2275" s="124"/>
      <c r="M2275" s="124"/>
      <c r="N2275" s="124"/>
      <c r="O2275" s="124"/>
      <c r="T2275" s="129">
        <f>IFERROR(__xludf.DUMMYFUNCTION("""COMPUTED_VALUE"""),46045.0)</f>
        <v>46045</v>
      </c>
      <c r="U2275" s="124" t="str">
        <f>IFERROR(__xludf.DUMMYFUNCTION("""COMPUTED_VALUE"""),"Walk-Ins")</f>
        <v>Walk-Ins</v>
      </c>
      <c r="V2275" s="124" t="str">
        <f>IFERROR(__xludf.DUMMYFUNCTION("""COMPUTED_VALUE"""),"Walkin")</f>
        <v>Walkin</v>
      </c>
      <c r="W2275" s="124" t="str">
        <f>IFERROR(__xludf.DUMMYFUNCTION("""COMPUTED_VALUE"""),"Indore")</f>
        <v>Indore</v>
      </c>
      <c r="X2275" s="124" t="str">
        <f>IFERROR(__xludf.DUMMYFUNCTION("""COMPUTED_VALUE"""),"Walkin")</f>
        <v>Walkin</v>
      </c>
      <c r="Y2275" s="124" t="str">
        <f>IFERROR(__xludf.DUMMYFUNCTION("""COMPUTED_VALUE"""),"Indore")</f>
        <v>Indore</v>
      </c>
      <c r="Z2275" s="124">
        <f>IFERROR(__xludf.DUMMYFUNCTION("""COMPUTED_VALUE"""),1.0)</f>
        <v>1</v>
      </c>
      <c r="AA2275" s="124" t="str">
        <f>IFERROR(__xludf.DUMMYFUNCTION("""COMPUTED_VALUE"""),"Enrolled")</f>
        <v>Enrolled</v>
      </c>
      <c r="AB2275" s="124" t="str">
        <f>IFERROR(__xludf.DUMMYFUNCTION("""COMPUTED_VALUE"""),"State PCS")</f>
        <v>State PCS</v>
      </c>
    </row>
    <row r="2276">
      <c r="A2276" s="126">
        <f>IFERROR(__xludf.DUMMYFUNCTION("""COMPUTED_VALUE"""),46080.0)</f>
        <v>46080</v>
      </c>
      <c r="B2276" s="124" t="str">
        <f>IFERROR(__xludf.DUMMYFUNCTION("""COMPUTED_VALUE"""),"Walk-In")</f>
        <v>Walk-In</v>
      </c>
      <c r="C2276" s="124" t="str">
        <f>IFERROR(__xludf.DUMMYFUNCTION("""COMPUTED_VALUE"""),"Delhi")</f>
        <v>Delhi</v>
      </c>
      <c r="D2276" s="124" t="str">
        <f>IFERROR(__xludf.DUMMYFUNCTION("""COMPUTED_VALUE"""),"Primary_Walkin")</f>
        <v>Primary_Walkin</v>
      </c>
      <c r="E2276" s="124">
        <f>IFERROR(__xludf.DUMMYFUNCTION("""COMPUTED_VALUE"""),1.0)</f>
        <v>1</v>
      </c>
      <c r="F2276" s="124" t="str">
        <f>IFERROR(__xludf.DUMMYFUNCTION("""COMPUTED_VALUE"""),"Fake Lead")</f>
        <v>Fake Lead</v>
      </c>
      <c r="G2276" s="124" t="str">
        <f>IFERROR(__xludf.DUMMYFUNCTION("""COMPUTED_VALUE"""),"GS Foundation")</f>
        <v>GS Foundation</v>
      </c>
      <c r="K2276" s="124"/>
      <c r="L2276" s="124"/>
      <c r="M2276" s="124"/>
      <c r="N2276" s="124"/>
      <c r="O2276" s="124"/>
      <c r="T2276" s="126">
        <f>IFERROR(__xludf.DUMMYFUNCTION("""COMPUTED_VALUE"""),46049.0)</f>
        <v>46049</v>
      </c>
      <c r="U2276" s="124" t="str">
        <f>IFERROR(__xludf.DUMMYFUNCTION("""COMPUTED_VALUE"""),"Walk-Ins")</f>
        <v>Walk-Ins</v>
      </c>
      <c r="V2276" s="124" t="str">
        <f>IFERROR(__xludf.DUMMYFUNCTION("""COMPUTED_VALUE"""),"Walkin")</f>
        <v>Walkin</v>
      </c>
      <c r="W2276" s="124" t="str">
        <f>IFERROR(__xludf.DUMMYFUNCTION("""COMPUTED_VALUE"""),"Prayagraj")</f>
        <v>Prayagraj</v>
      </c>
      <c r="X2276" s="124" t="str">
        <f>IFERROR(__xludf.DUMMYFUNCTION("""COMPUTED_VALUE"""),"Walkin")</f>
        <v>Walkin</v>
      </c>
      <c r="Y2276" s="124" t="str">
        <f>IFERROR(__xludf.DUMMYFUNCTION("""COMPUTED_VALUE"""),"Prayagraj")</f>
        <v>Prayagraj</v>
      </c>
      <c r="Z2276" s="124">
        <f>IFERROR(__xludf.DUMMYFUNCTION("""COMPUTED_VALUE"""),1.0)</f>
        <v>1</v>
      </c>
      <c r="AA2276" s="124" t="str">
        <f>IFERROR(__xludf.DUMMYFUNCTION("""COMPUTED_VALUE"""),"Cold")</f>
        <v>Cold</v>
      </c>
      <c r="AB2276" s="124" t="str">
        <f>IFERROR(__xludf.DUMMYFUNCTION("""COMPUTED_VALUE"""),"State PCS")</f>
        <v>State PCS</v>
      </c>
    </row>
    <row r="2277">
      <c r="A2277" s="126">
        <f>IFERROR(__xludf.DUMMYFUNCTION("""COMPUTED_VALUE"""),46111.0)</f>
        <v>46111</v>
      </c>
      <c r="B2277" s="124" t="str">
        <f>IFERROR(__xludf.DUMMYFUNCTION("""COMPUTED_VALUE"""),"Walkin")</f>
        <v>Walkin</v>
      </c>
      <c r="C2277" s="124" t="str">
        <f>IFERROR(__xludf.DUMMYFUNCTION("""COMPUTED_VALUE"""),"Delhi")</f>
        <v>Delhi</v>
      </c>
      <c r="D2277" s="124" t="str">
        <f>IFERROR(__xludf.DUMMYFUNCTION("""COMPUTED_VALUE"""),"Primary_Walkin")</f>
        <v>Primary_Walkin</v>
      </c>
      <c r="E2277" s="124">
        <f>IFERROR(__xludf.DUMMYFUNCTION("""COMPUTED_VALUE"""),1.0)</f>
        <v>1</v>
      </c>
      <c r="F2277" s="124" t="str">
        <f>IFERROR(__xludf.DUMMYFUNCTION("""COMPUTED_VALUE"""),"Cold")</f>
        <v>Cold</v>
      </c>
      <c r="G2277" s="124" t="str">
        <f>IFERROR(__xludf.DUMMYFUNCTION("""COMPUTED_VALUE"""),"GS Foundation")</f>
        <v>GS Foundation</v>
      </c>
      <c r="K2277" s="124"/>
      <c r="L2277" s="124"/>
      <c r="M2277" s="124"/>
      <c r="N2277" s="124"/>
      <c r="O2277" s="124"/>
      <c r="T2277" s="129">
        <f>IFERROR(__xludf.DUMMYFUNCTION("""COMPUTED_VALUE"""),46105.0)</f>
        <v>46105</v>
      </c>
      <c r="U2277" s="124" t="str">
        <f>IFERROR(__xludf.DUMMYFUNCTION("""COMPUTED_VALUE"""),"Walk-Ins")</f>
        <v>Walk-Ins</v>
      </c>
      <c r="V2277" s="124" t="str">
        <f>IFERROR(__xludf.DUMMYFUNCTION("""COMPUTED_VALUE"""),"Walkin")</f>
        <v>Walkin</v>
      </c>
      <c r="W2277" s="124" t="str">
        <f>IFERROR(__xludf.DUMMYFUNCTION("""COMPUTED_VALUE"""),"Prayagraj")</f>
        <v>Prayagraj</v>
      </c>
      <c r="X2277" s="124" t="str">
        <f>IFERROR(__xludf.DUMMYFUNCTION("""COMPUTED_VALUE"""),"Walkin")</f>
        <v>Walkin</v>
      </c>
      <c r="Y2277" s="124" t="str">
        <f>IFERROR(__xludf.DUMMYFUNCTION("""COMPUTED_VALUE"""),"Prayagraj")</f>
        <v>Prayagraj</v>
      </c>
      <c r="Z2277" s="124">
        <f>IFERROR(__xludf.DUMMYFUNCTION("""COMPUTED_VALUE"""),1.0)</f>
        <v>1</v>
      </c>
      <c r="AA2277" s="124" t="str">
        <f>IFERROR(__xludf.DUMMYFUNCTION("""COMPUTED_VALUE"""),"Enrolled")</f>
        <v>Enrolled</v>
      </c>
      <c r="AB2277" s="124" t="str">
        <f>IFERROR(__xludf.DUMMYFUNCTION("""COMPUTED_VALUE"""),"GS Foundation")</f>
        <v>GS Foundation</v>
      </c>
    </row>
    <row r="2278">
      <c r="A2278" s="129">
        <f>IFERROR(__xludf.DUMMYFUNCTION("""COMPUTED_VALUE"""),46090.0)</f>
        <v>46090</v>
      </c>
      <c r="B2278" s="124" t="str">
        <f>IFERROR(__xludf.DUMMYFUNCTION("""COMPUTED_VALUE"""),"Walk-In")</f>
        <v>Walk-In</v>
      </c>
      <c r="C2278" s="124" t="str">
        <f>IFERROR(__xludf.DUMMYFUNCTION("""COMPUTED_VALUE"""),"Delhi")</f>
        <v>Delhi</v>
      </c>
      <c r="D2278" s="124" t="str">
        <f>IFERROR(__xludf.DUMMYFUNCTION("""COMPUTED_VALUE"""),"Primary_Walkin")</f>
        <v>Primary_Walkin</v>
      </c>
      <c r="E2278" s="124">
        <f>IFERROR(__xludf.DUMMYFUNCTION("""COMPUTED_VALUE"""),1.0)</f>
        <v>1</v>
      </c>
      <c r="F2278" s="124" t="str">
        <f>IFERROR(__xludf.DUMMYFUNCTION("""COMPUTED_VALUE"""),"Fake Lead")</f>
        <v>Fake Lead</v>
      </c>
      <c r="G2278" s="124" t="str">
        <f>IFERROR(__xludf.DUMMYFUNCTION("""COMPUTED_VALUE"""),"GS Foundation")</f>
        <v>GS Foundation</v>
      </c>
      <c r="K2278" s="124"/>
      <c r="L2278" s="124"/>
      <c r="M2278" s="124"/>
      <c r="N2278" s="124"/>
      <c r="O2278" s="124"/>
      <c r="T2278" s="129">
        <f>IFERROR(__xludf.DUMMYFUNCTION("""COMPUTED_VALUE"""),46111.0)</f>
        <v>46111</v>
      </c>
      <c r="U2278" s="124" t="str">
        <f>IFERROR(__xludf.DUMMYFUNCTION("""COMPUTED_VALUE"""),"Walk-Ins")</f>
        <v>Walk-Ins</v>
      </c>
      <c r="V2278" s="124" t="str">
        <f>IFERROR(__xludf.DUMMYFUNCTION("""COMPUTED_VALUE"""),"Walkin")</f>
        <v>Walkin</v>
      </c>
      <c r="W2278" s="124" t="str">
        <f>IFERROR(__xludf.DUMMYFUNCTION("""COMPUTED_VALUE"""),"Prayagraj")</f>
        <v>Prayagraj</v>
      </c>
      <c r="X2278" s="124" t="str">
        <f>IFERROR(__xludf.DUMMYFUNCTION("""COMPUTED_VALUE"""),"Walkin")</f>
        <v>Walkin</v>
      </c>
      <c r="Y2278" s="124" t="str">
        <f>IFERROR(__xludf.DUMMYFUNCTION("""COMPUTED_VALUE"""),"Prayagraj")</f>
        <v>Prayagraj</v>
      </c>
      <c r="Z2278" s="124">
        <f>IFERROR(__xludf.DUMMYFUNCTION("""COMPUTED_VALUE"""),1.0)</f>
        <v>1</v>
      </c>
      <c r="AA2278" s="124" t="str">
        <f>IFERROR(__xludf.DUMMYFUNCTION("""COMPUTED_VALUE"""),"Enrolled")</f>
        <v>Enrolled</v>
      </c>
      <c r="AB2278" s="124" t="str">
        <f>IFERROR(__xludf.DUMMYFUNCTION("""COMPUTED_VALUE"""),"State PCS")</f>
        <v>State PCS</v>
      </c>
    </row>
    <row r="2279">
      <c r="A2279" s="126">
        <f>IFERROR(__xludf.DUMMYFUNCTION("""COMPUTED_VALUE"""),46081.0)</f>
        <v>46081</v>
      </c>
      <c r="B2279" s="124" t="str">
        <f>IFERROR(__xludf.DUMMYFUNCTION("""COMPUTED_VALUE"""),"Walk-In")</f>
        <v>Walk-In</v>
      </c>
      <c r="C2279" s="124" t="str">
        <f>IFERROR(__xludf.DUMMYFUNCTION("""COMPUTED_VALUE"""),"Delhi")</f>
        <v>Delhi</v>
      </c>
      <c r="D2279" s="124" t="str">
        <f>IFERROR(__xludf.DUMMYFUNCTION("""COMPUTED_VALUE"""),"Primary_Walkin")</f>
        <v>Primary_Walkin</v>
      </c>
      <c r="E2279" s="124">
        <f>IFERROR(__xludf.DUMMYFUNCTION("""COMPUTED_VALUE"""),1.0)</f>
        <v>1</v>
      </c>
      <c r="F2279" s="124" t="str">
        <f>IFERROR(__xludf.DUMMYFUNCTION("""COMPUTED_VALUE"""),"Fake Lead")</f>
        <v>Fake Lead</v>
      </c>
      <c r="G2279" s="124" t="str">
        <f>IFERROR(__xludf.DUMMYFUNCTION("""COMPUTED_VALUE"""),"GS Foundation")</f>
        <v>GS Foundation</v>
      </c>
      <c r="K2279" s="124"/>
      <c r="L2279" s="124"/>
      <c r="M2279" s="124"/>
      <c r="N2279" s="124"/>
      <c r="O2279" s="124"/>
      <c r="T2279" s="126">
        <f>IFERROR(__xludf.DUMMYFUNCTION("""COMPUTED_VALUE"""),46095.0)</f>
        <v>46095</v>
      </c>
      <c r="U2279" s="124" t="str">
        <f>IFERROR(__xludf.DUMMYFUNCTION("""COMPUTED_VALUE"""),"Walk-Ins")</f>
        <v>Walk-Ins</v>
      </c>
      <c r="V2279" s="124" t="str">
        <f>IFERROR(__xludf.DUMMYFUNCTION("""COMPUTED_VALUE"""),"Walkin")</f>
        <v>Walkin</v>
      </c>
      <c r="W2279" s="124" t="str">
        <f>IFERROR(__xludf.DUMMYFUNCTION("""COMPUTED_VALUE"""),"Patna")</f>
        <v>Patna</v>
      </c>
      <c r="X2279" s="124" t="str">
        <f>IFERROR(__xludf.DUMMYFUNCTION("""COMPUTED_VALUE"""),"Walkin")</f>
        <v>Walkin</v>
      </c>
      <c r="Y2279" s="124" t="str">
        <f>IFERROR(__xludf.DUMMYFUNCTION("""COMPUTED_VALUE"""),"Patna")</f>
        <v>Patna</v>
      </c>
      <c r="Z2279" s="124">
        <f>IFERROR(__xludf.DUMMYFUNCTION("""COMPUTED_VALUE"""),1.0)</f>
        <v>1</v>
      </c>
      <c r="AA2279" s="124" t="str">
        <f>IFERROR(__xludf.DUMMYFUNCTION("""COMPUTED_VALUE"""),"Cold")</f>
        <v>Cold</v>
      </c>
      <c r="AB2279" s="124" t="str">
        <f>IFERROR(__xludf.DUMMYFUNCTION("""COMPUTED_VALUE"""),"Hybrid")</f>
        <v>Hybrid</v>
      </c>
    </row>
    <row r="2280">
      <c r="A2280" s="126">
        <f>IFERROR(__xludf.DUMMYFUNCTION("""COMPUTED_VALUE"""),46101.0)</f>
        <v>46101</v>
      </c>
      <c r="B2280" s="124" t="str">
        <f>IFERROR(__xludf.DUMMYFUNCTION("""COMPUTED_VALUE"""),"Walk-In")</f>
        <v>Walk-In</v>
      </c>
      <c r="C2280" s="124" t="str">
        <f>IFERROR(__xludf.DUMMYFUNCTION("""COMPUTED_VALUE"""),"Delhi")</f>
        <v>Delhi</v>
      </c>
      <c r="D2280" s="124" t="str">
        <f>IFERROR(__xludf.DUMMYFUNCTION("""COMPUTED_VALUE"""),"Primary_Walkin")</f>
        <v>Primary_Walkin</v>
      </c>
      <c r="E2280" s="124">
        <f>IFERROR(__xludf.DUMMYFUNCTION("""COMPUTED_VALUE"""),1.0)</f>
        <v>1</v>
      </c>
      <c r="F2280" s="124" t="str">
        <f>IFERROR(__xludf.DUMMYFUNCTION("""COMPUTED_VALUE"""),"Cold")</f>
        <v>Cold</v>
      </c>
      <c r="G2280" s="124" t="str">
        <f>IFERROR(__xludf.DUMMYFUNCTION("""COMPUTED_VALUE"""),"Prelims Crash Course - SIP")</f>
        <v>Prelims Crash Course - SIP</v>
      </c>
      <c r="K2280" s="124"/>
      <c r="L2280" s="124"/>
      <c r="M2280" s="124"/>
      <c r="N2280" s="124"/>
      <c r="O2280" s="124"/>
      <c r="T2280" s="129">
        <f>IFERROR(__xludf.DUMMYFUNCTION("""COMPUTED_VALUE"""),46107.0)</f>
        <v>46107</v>
      </c>
      <c r="U2280" s="124" t="str">
        <f>IFERROR(__xludf.DUMMYFUNCTION("""COMPUTED_VALUE"""),"Walk-Ins")</f>
        <v>Walk-Ins</v>
      </c>
      <c r="V2280" s="124" t="str">
        <f>IFERROR(__xludf.DUMMYFUNCTION("""COMPUTED_VALUE"""),"Walkin")</f>
        <v>Walkin</v>
      </c>
      <c r="W2280" s="124" t="str">
        <f>IFERROR(__xludf.DUMMYFUNCTION("""COMPUTED_VALUE"""),"Patna")</f>
        <v>Patna</v>
      </c>
      <c r="X2280" s="124" t="str">
        <f>IFERROR(__xludf.DUMMYFUNCTION("""COMPUTED_VALUE"""),"Walkin")</f>
        <v>Walkin</v>
      </c>
      <c r="Y2280" s="124" t="str">
        <f>IFERROR(__xludf.DUMMYFUNCTION("""COMPUTED_VALUE"""),"Patna")</f>
        <v>Patna</v>
      </c>
      <c r="Z2280" s="124">
        <f>IFERROR(__xludf.DUMMYFUNCTION("""COMPUTED_VALUE"""),1.0)</f>
        <v>1</v>
      </c>
      <c r="AA2280" s="124" t="str">
        <f>IFERROR(__xludf.DUMMYFUNCTION("""COMPUTED_VALUE"""),"Future Prospects")</f>
        <v>Future Prospects</v>
      </c>
      <c r="AB2280" s="124" t="str">
        <f>IFERROR(__xludf.DUMMYFUNCTION("""COMPUTED_VALUE"""),"Test Series")</f>
        <v>Test Series</v>
      </c>
    </row>
    <row r="2281">
      <c r="A2281" s="126">
        <f>IFERROR(__xludf.DUMMYFUNCTION("""COMPUTED_VALUE"""),46106.0)</f>
        <v>46106</v>
      </c>
      <c r="B2281" s="124" t="str">
        <f>IFERROR(__xludf.DUMMYFUNCTION("""COMPUTED_VALUE"""),"Walkin")</f>
        <v>Walkin</v>
      </c>
      <c r="C2281" s="124" t="str">
        <f>IFERROR(__xludf.DUMMYFUNCTION("""COMPUTED_VALUE"""),"Delhi")</f>
        <v>Delhi</v>
      </c>
      <c r="D2281" s="124" t="str">
        <f>IFERROR(__xludf.DUMMYFUNCTION("""COMPUTED_VALUE"""),"Primary_Walkin")</f>
        <v>Primary_Walkin</v>
      </c>
      <c r="E2281" s="124">
        <f>IFERROR(__xludf.DUMMYFUNCTION("""COMPUTED_VALUE"""),1.0)</f>
        <v>1</v>
      </c>
      <c r="F2281" s="124" t="str">
        <f>IFERROR(__xludf.DUMMYFUNCTION("""COMPUTED_VALUE"""),"Not Interested")</f>
        <v>Not Interested</v>
      </c>
      <c r="G2281" s="124" t="str">
        <f>IFERROR(__xludf.DUMMYFUNCTION("""COMPUTED_VALUE"""),"GS Foundation")</f>
        <v>GS Foundation</v>
      </c>
      <c r="K2281" s="124"/>
      <c r="L2281" s="124"/>
      <c r="M2281" s="124"/>
      <c r="N2281" s="124"/>
      <c r="O2281" s="124"/>
      <c r="T2281" s="126">
        <f>IFERROR(__xludf.DUMMYFUNCTION("""COMPUTED_VALUE"""),46051.0)</f>
        <v>46051</v>
      </c>
      <c r="U2281" s="124" t="str">
        <f>IFERROR(__xludf.DUMMYFUNCTION("""COMPUTED_VALUE"""),"Walk-Ins")</f>
        <v>Walk-Ins</v>
      </c>
      <c r="V2281" s="124" t="str">
        <f>IFERROR(__xludf.DUMMYFUNCTION("""COMPUTED_VALUE"""),"Walkin")</f>
        <v>Walkin</v>
      </c>
      <c r="W2281" s="124" t="str">
        <f>IFERROR(__xludf.DUMMYFUNCTION("""COMPUTED_VALUE"""),"Prayagraj")</f>
        <v>Prayagraj</v>
      </c>
      <c r="X2281" s="124" t="str">
        <f>IFERROR(__xludf.DUMMYFUNCTION("""COMPUTED_VALUE"""),"Walkin")</f>
        <v>Walkin</v>
      </c>
      <c r="Y2281" s="124" t="str">
        <f>IFERROR(__xludf.DUMMYFUNCTION("""COMPUTED_VALUE"""),"Prayagraj")</f>
        <v>Prayagraj</v>
      </c>
      <c r="Z2281" s="124">
        <f>IFERROR(__xludf.DUMMYFUNCTION("""COMPUTED_VALUE"""),3.0)</f>
        <v>3</v>
      </c>
      <c r="AA2281" s="124" t="str">
        <f>IFERROR(__xludf.DUMMYFUNCTION("""COMPUTED_VALUE"""),"Future Prospects")</f>
        <v>Future Prospects</v>
      </c>
      <c r="AB2281" s="124" t="str">
        <f>IFERROR(__xludf.DUMMYFUNCTION("""COMPUTED_VALUE"""),"GS Foundation")</f>
        <v>GS Foundation</v>
      </c>
    </row>
    <row r="2282">
      <c r="A2282" s="126">
        <f>IFERROR(__xludf.DUMMYFUNCTION("""COMPUTED_VALUE"""),46064.0)</f>
        <v>46064</v>
      </c>
      <c r="B2282" s="124" t="str">
        <f>IFERROR(__xludf.DUMMYFUNCTION("""COMPUTED_VALUE"""),"events")</f>
        <v>events</v>
      </c>
      <c r="C2282" s="124" t="str">
        <f>IFERROR(__xludf.DUMMYFUNCTION("""COMPUTED_VALUE"""),"Delhi")</f>
        <v>Delhi</v>
      </c>
      <c r="D2282" s="124" t="str">
        <f>IFERROR(__xludf.DUMMYFUNCTION("""COMPUTED_VALUE"""),"Secondary_Walkin")</f>
        <v>Secondary_Walkin</v>
      </c>
      <c r="E2282" s="124">
        <f>IFERROR(__xludf.DUMMYFUNCTION("""COMPUTED_VALUE"""),1.0)</f>
        <v>1</v>
      </c>
      <c r="F2282" s="124" t="str">
        <f>IFERROR(__xludf.DUMMYFUNCTION("""COMPUTED_VALUE"""),"Enrolled")</f>
        <v>Enrolled</v>
      </c>
      <c r="G2282" s="124" t="str">
        <f>IFERROR(__xludf.DUMMYFUNCTION("""COMPUTED_VALUE"""),"GS Foundation")</f>
        <v>GS Foundation</v>
      </c>
      <c r="K2282" s="124"/>
      <c r="L2282" s="124"/>
      <c r="M2282" s="124"/>
      <c r="N2282" s="124"/>
      <c r="O2282" s="124"/>
      <c r="T2282" s="129">
        <f>IFERROR(__xludf.DUMMYFUNCTION("""COMPUTED_VALUE"""),46111.0)</f>
        <v>46111</v>
      </c>
      <c r="U2282" s="124" t="str">
        <f>IFERROR(__xludf.DUMMYFUNCTION("""COMPUTED_VALUE"""),"Walk-Ins")</f>
        <v>Walk-Ins</v>
      </c>
      <c r="V2282" s="124" t="str">
        <f>IFERROR(__xludf.DUMMYFUNCTION("""COMPUTED_VALUE"""),"Walkin")</f>
        <v>Walkin</v>
      </c>
      <c r="W2282" s="124" t="str">
        <f>IFERROR(__xludf.DUMMYFUNCTION("""COMPUTED_VALUE"""),"Lucknow")</f>
        <v>Lucknow</v>
      </c>
      <c r="X2282" s="124" t="str">
        <f>IFERROR(__xludf.DUMMYFUNCTION("""COMPUTED_VALUE"""),"Walkin")</f>
        <v>Walkin</v>
      </c>
      <c r="Y2282" s="124" t="str">
        <f>IFERROR(__xludf.DUMMYFUNCTION("""COMPUTED_VALUE"""),"Lucknow")</f>
        <v>Lucknow</v>
      </c>
      <c r="Z2282" s="124">
        <f>IFERROR(__xludf.DUMMYFUNCTION("""COMPUTED_VALUE"""),1.0)</f>
        <v>1</v>
      </c>
      <c r="AA2282" s="124" t="str">
        <f>IFERROR(__xludf.DUMMYFUNCTION("""COMPUTED_VALUE"""),"Cold")</f>
        <v>Cold</v>
      </c>
      <c r="AB2282" s="124" t="str">
        <f>IFERROR(__xludf.DUMMYFUNCTION("""COMPUTED_VALUE"""),"State PCS")</f>
        <v>State PCS</v>
      </c>
    </row>
    <row r="2283">
      <c r="A2283" s="129">
        <f>IFERROR(__xludf.DUMMYFUNCTION("""COMPUTED_VALUE"""),46082.0)</f>
        <v>46082</v>
      </c>
      <c r="B2283" s="124" t="str">
        <f>IFERROR(__xludf.DUMMYFUNCTION("""COMPUTED_VALUE"""),"Webinar")</f>
        <v>Webinar</v>
      </c>
      <c r="C2283" s="124" t="str">
        <f>IFERROR(__xludf.DUMMYFUNCTION("""COMPUTED_VALUE"""),"Delhi")</f>
        <v>Delhi</v>
      </c>
      <c r="D2283" s="124" t="str">
        <f>IFERROR(__xludf.DUMMYFUNCTION("""COMPUTED_VALUE"""),"Secondary_Walkin")</f>
        <v>Secondary_Walkin</v>
      </c>
      <c r="E2283" s="124">
        <f>IFERROR(__xludf.DUMMYFUNCTION("""COMPUTED_VALUE"""),1.0)</f>
        <v>1</v>
      </c>
      <c r="F2283" s="124" t="str">
        <f>IFERROR(__xludf.DUMMYFUNCTION("""COMPUTED_VALUE"""),"Enrolled")</f>
        <v>Enrolled</v>
      </c>
      <c r="G2283" s="124" t="str">
        <f>IFERROR(__xludf.DUMMYFUNCTION("""COMPUTED_VALUE"""),"Hybrid")</f>
        <v>Hybrid</v>
      </c>
      <c r="K2283" s="124"/>
      <c r="L2283" s="124"/>
      <c r="M2283" s="124"/>
      <c r="N2283" s="124"/>
      <c r="O2283" s="124"/>
      <c r="T2283" s="126">
        <f>IFERROR(__xludf.DUMMYFUNCTION("""COMPUTED_VALUE"""),46059.0)</f>
        <v>46059</v>
      </c>
      <c r="U2283" s="124" t="str">
        <f>IFERROR(__xludf.DUMMYFUNCTION("""COMPUTED_VALUE"""),"Walk-Ins")</f>
        <v>Walk-Ins</v>
      </c>
      <c r="V2283" s="124" t="str">
        <f>IFERROR(__xludf.DUMMYFUNCTION("""COMPUTED_VALUE"""),"Walkin")</f>
        <v>Walkin</v>
      </c>
      <c r="W2283" s="124" t="str">
        <f>IFERROR(__xludf.DUMMYFUNCTION("""COMPUTED_VALUE"""),"Patna")</f>
        <v>Patna</v>
      </c>
      <c r="X2283" s="124" t="str">
        <f>IFERROR(__xludf.DUMMYFUNCTION("""COMPUTED_VALUE"""),"Walkin")</f>
        <v>Walkin</v>
      </c>
      <c r="Y2283" s="124" t="str">
        <f>IFERROR(__xludf.DUMMYFUNCTION("""COMPUTED_VALUE"""),"Patna")</f>
        <v>Patna</v>
      </c>
      <c r="Z2283" s="124">
        <f>IFERROR(__xludf.DUMMYFUNCTION("""COMPUTED_VALUE"""),2.0)</f>
        <v>2</v>
      </c>
      <c r="AA2283" s="124" t="str">
        <f>IFERROR(__xludf.DUMMYFUNCTION("""COMPUTED_VALUE"""),"Not Interested")</f>
        <v>Not Interested</v>
      </c>
      <c r="AB2283" s="124" t="str">
        <f>IFERROR(__xludf.DUMMYFUNCTION("""COMPUTED_VALUE"""),"State PCS")</f>
        <v>State PCS</v>
      </c>
    </row>
    <row r="2284">
      <c r="A2284" s="126">
        <f>IFERROR(__xludf.DUMMYFUNCTION("""COMPUTED_VALUE"""),46049.0)</f>
        <v>46049</v>
      </c>
      <c r="B2284" s="124" t="str">
        <f>IFERROR(__xludf.DUMMYFUNCTION("""COMPUTED_VALUE"""),"Walk-In")</f>
        <v>Walk-In</v>
      </c>
      <c r="C2284" s="124" t="str">
        <f>IFERROR(__xludf.DUMMYFUNCTION("""COMPUTED_VALUE"""),"Delhi")</f>
        <v>Delhi</v>
      </c>
      <c r="D2284" s="124" t="str">
        <f>IFERROR(__xludf.DUMMYFUNCTION("""COMPUTED_VALUE"""),"Primary_Walkin")</f>
        <v>Primary_Walkin</v>
      </c>
      <c r="E2284" s="124">
        <f>IFERROR(__xludf.DUMMYFUNCTION("""COMPUTED_VALUE"""),1.0)</f>
        <v>1</v>
      </c>
      <c r="F2284" s="124" t="str">
        <f>IFERROR(__xludf.DUMMYFUNCTION("""COMPUTED_VALUE"""),"Future Prospects")</f>
        <v>Future Prospects</v>
      </c>
      <c r="G2284" s="124" t="str">
        <f>IFERROR(__xludf.DUMMYFUNCTION("""COMPUTED_VALUE"""),"GS Foundation")</f>
        <v>GS Foundation</v>
      </c>
      <c r="K2284" s="124"/>
      <c r="L2284" s="124"/>
      <c r="M2284" s="124"/>
      <c r="N2284" s="124"/>
      <c r="O2284" s="124"/>
      <c r="T2284" s="126">
        <f>IFERROR(__xludf.DUMMYFUNCTION("""COMPUTED_VALUE"""),46104.0)</f>
        <v>46104</v>
      </c>
      <c r="U2284" s="124" t="str">
        <f>IFERROR(__xludf.DUMMYFUNCTION("""COMPUTED_VALUE"""),"Walk-Ins")</f>
        <v>Walk-Ins</v>
      </c>
      <c r="V2284" s="124" t="str">
        <f>IFERROR(__xludf.DUMMYFUNCTION("""COMPUTED_VALUE"""),"Walk-In")</f>
        <v>Walk-In</v>
      </c>
      <c r="W2284" s="124" t="str">
        <f>IFERROR(__xludf.DUMMYFUNCTION("""COMPUTED_VALUE"""),"Patna")</f>
        <v>Patna</v>
      </c>
      <c r="X2284" s="124" t="str">
        <f>IFERROR(__xludf.DUMMYFUNCTION("""COMPUTED_VALUE"""),"Others")</f>
        <v>Others</v>
      </c>
      <c r="Y2284" s="124" t="str">
        <f>IFERROR(__xludf.DUMMYFUNCTION("""COMPUTED_VALUE"""),"Patna")</f>
        <v>Patna</v>
      </c>
      <c r="Z2284" s="124">
        <f>IFERROR(__xludf.DUMMYFUNCTION("""COMPUTED_VALUE"""),2.0)</f>
        <v>2</v>
      </c>
      <c r="AA2284" s="124" t="str">
        <f>IFERROR(__xludf.DUMMYFUNCTION("""COMPUTED_VALUE"""),"Not Interested")</f>
        <v>Not Interested</v>
      </c>
      <c r="AB2284" s="124" t="str">
        <f>IFERROR(__xludf.DUMMYFUNCTION("""COMPUTED_VALUE"""),"State PCS")</f>
        <v>State PCS</v>
      </c>
    </row>
    <row r="2285">
      <c r="A2285" s="126">
        <f>IFERROR(__xludf.DUMMYFUNCTION("""COMPUTED_VALUE"""),46105.0)</f>
        <v>46105</v>
      </c>
      <c r="B2285" s="124" t="str">
        <f>IFERROR(__xludf.DUMMYFUNCTION("""COMPUTED_VALUE"""),"Webinar")</f>
        <v>Webinar</v>
      </c>
      <c r="C2285" s="124" t="str">
        <f>IFERROR(__xludf.DUMMYFUNCTION("""COMPUTED_VALUE"""),"Delhi")</f>
        <v>Delhi</v>
      </c>
      <c r="D2285" s="124" t="str">
        <f>IFERROR(__xludf.DUMMYFUNCTION("""COMPUTED_VALUE"""),"Secondary_Walkin")</f>
        <v>Secondary_Walkin</v>
      </c>
      <c r="E2285" s="124">
        <f>IFERROR(__xludf.DUMMYFUNCTION("""COMPUTED_VALUE"""),1.0)</f>
        <v>1</v>
      </c>
      <c r="F2285" s="124" t="str">
        <f>IFERROR(__xludf.DUMMYFUNCTION("""COMPUTED_VALUE"""),"Cold")</f>
        <v>Cold</v>
      </c>
      <c r="G2285" s="124" t="str">
        <f>IFERROR(__xludf.DUMMYFUNCTION("""COMPUTED_VALUE"""),"GS Foundation")</f>
        <v>GS Foundation</v>
      </c>
      <c r="K2285" s="124"/>
      <c r="L2285" s="124"/>
      <c r="M2285" s="124"/>
      <c r="N2285" s="124"/>
      <c r="O2285" s="124"/>
      <c r="T2285" s="129">
        <f>IFERROR(__xludf.DUMMYFUNCTION("""COMPUTED_VALUE"""),46071.0)</f>
        <v>46071</v>
      </c>
      <c r="U2285" s="124" t="str">
        <f>IFERROR(__xludf.DUMMYFUNCTION("""COMPUTED_VALUE"""),"Walk-Ins")</f>
        <v>Walk-Ins</v>
      </c>
      <c r="V2285" s="124" t="str">
        <f>IFERROR(__xludf.DUMMYFUNCTION("""COMPUTED_VALUE"""),"Walkin")</f>
        <v>Walkin</v>
      </c>
      <c r="W2285" s="124" t="str">
        <f>IFERROR(__xludf.DUMMYFUNCTION("""COMPUTED_VALUE"""),"Prayagraj")</f>
        <v>Prayagraj</v>
      </c>
      <c r="X2285" s="124" t="str">
        <f>IFERROR(__xludf.DUMMYFUNCTION("""COMPUTED_VALUE"""),"Walkin")</f>
        <v>Walkin</v>
      </c>
      <c r="Y2285" s="124" t="str">
        <f>IFERROR(__xludf.DUMMYFUNCTION("""COMPUTED_VALUE"""),"Prayagraj")</f>
        <v>Prayagraj</v>
      </c>
      <c r="Z2285" s="124">
        <f>IFERROR(__xludf.DUMMYFUNCTION("""COMPUTED_VALUE"""),2.0)</f>
        <v>2</v>
      </c>
      <c r="AA2285" s="124" t="str">
        <f>IFERROR(__xludf.DUMMYFUNCTION("""COMPUTED_VALUE"""),"Cold")</f>
        <v>Cold</v>
      </c>
      <c r="AB2285" s="124" t="str">
        <f>IFERROR(__xludf.DUMMYFUNCTION("""COMPUTED_VALUE"""),"State PCS")</f>
        <v>State PCS</v>
      </c>
    </row>
    <row r="2286">
      <c r="A2286" s="129">
        <f>IFERROR(__xludf.DUMMYFUNCTION("""COMPUTED_VALUE"""),46089.0)</f>
        <v>46089</v>
      </c>
      <c r="B2286" s="124" t="str">
        <f>IFERROR(__xludf.DUMMYFUNCTION("""COMPUTED_VALUE"""),"Walk-In")</f>
        <v>Walk-In</v>
      </c>
      <c r="C2286" s="124" t="str">
        <f>IFERROR(__xludf.DUMMYFUNCTION("""COMPUTED_VALUE"""),"Delhi")</f>
        <v>Delhi</v>
      </c>
      <c r="D2286" s="124" t="str">
        <f>IFERROR(__xludf.DUMMYFUNCTION("""COMPUTED_VALUE"""),"Primary_Walkin")</f>
        <v>Primary_Walkin</v>
      </c>
      <c r="E2286" s="124">
        <f>IFERROR(__xludf.DUMMYFUNCTION("""COMPUTED_VALUE"""),1.0)</f>
        <v>1</v>
      </c>
      <c r="F2286" s="124" t="str">
        <f>IFERROR(__xludf.DUMMYFUNCTION("""COMPUTED_VALUE"""),"Fake Lead")</f>
        <v>Fake Lead</v>
      </c>
      <c r="G2286" s="124" t="str">
        <f>IFERROR(__xludf.DUMMYFUNCTION("""COMPUTED_VALUE"""),"GS Foundation")</f>
        <v>GS Foundation</v>
      </c>
      <c r="K2286" s="124"/>
      <c r="L2286" s="124"/>
      <c r="M2286" s="124"/>
      <c r="N2286" s="124"/>
      <c r="O2286" s="124"/>
      <c r="T2286" s="126">
        <f>IFERROR(__xludf.DUMMYFUNCTION("""COMPUTED_VALUE"""),46044.0)</f>
        <v>46044</v>
      </c>
      <c r="U2286" s="124" t="str">
        <f>IFERROR(__xludf.DUMMYFUNCTION("""COMPUTED_VALUE"""),"Walk-Ins")</f>
        <v>Walk-Ins</v>
      </c>
      <c r="V2286" s="124" t="str">
        <f>IFERROR(__xludf.DUMMYFUNCTION("""COMPUTED_VALUE"""),"Walkin")</f>
        <v>Walkin</v>
      </c>
      <c r="W2286" s="124" t="str">
        <f>IFERROR(__xludf.DUMMYFUNCTION("""COMPUTED_VALUE"""),"Lucknow")</f>
        <v>Lucknow</v>
      </c>
      <c r="X2286" s="124" t="str">
        <f>IFERROR(__xludf.DUMMYFUNCTION("""COMPUTED_VALUE"""),"Walkin")</f>
        <v>Walkin</v>
      </c>
      <c r="Y2286" s="124" t="str">
        <f>IFERROR(__xludf.DUMMYFUNCTION("""COMPUTED_VALUE"""),"Lucknow")</f>
        <v>Lucknow</v>
      </c>
      <c r="Z2286" s="124">
        <f>IFERROR(__xludf.DUMMYFUNCTION("""COMPUTED_VALUE"""),1.0)</f>
        <v>1</v>
      </c>
      <c r="AA2286" s="124" t="str">
        <f>IFERROR(__xludf.DUMMYFUNCTION("""COMPUTED_VALUE"""),"Not Interested")</f>
        <v>Not Interested</v>
      </c>
      <c r="AB2286" s="124" t="str">
        <f>IFERROR(__xludf.DUMMYFUNCTION("""COMPUTED_VALUE"""),"GS Foundation")</f>
        <v>GS Foundation</v>
      </c>
    </row>
    <row r="2287">
      <c r="A2287" s="126">
        <f>IFERROR(__xludf.DUMMYFUNCTION("""COMPUTED_VALUE"""),46074.0)</f>
        <v>46074</v>
      </c>
      <c r="B2287" s="124" t="str">
        <f>IFERROR(__xludf.DUMMYFUNCTION("""COMPUTED_VALUE"""),"walk-in")</f>
        <v>walk-in</v>
      </c>
      <c r="C2287" s="124" t="str">
        <f>IFERROR(__xludf.DUMMYFUNCTION("""COMPUTED_VALUE"""),"Delhi")</f>
        <v>Delhi</v>
      </c>
      <c r="D2287" s="124" t="str">
        <f>IFERROR(__xludf.DUMMYFUNCTION("""COMPUTED_VALUE"""),"Primary_Walkin")</f>
        <v>Primary_Walkin</v>
      </c>
      <c r="E2287" s="124">
        <f>IFERROR(__xludf.DUMMYFUNCTION("""COMPUTED_VALUE"""),1.0)</f>
        <v>1</v>
      </c>
      <c r="F2287" s="124" t="str">
        <f>IFERROR(__xludf.DUMMYFUNCTION("""COMPUTED_VALUE"""),"Enrolled")</f>
        <v>Enrolled</v>
      </c>
      <c r="G2287" s="124" t="str">
        <f>IFERROR(__xludf.DUMMYFUNCTION("""COMPUTED_VALUE"""),"GS Foundation")</f>
        <v>GS Foundation</v>
      </c>
      <c r="K2287" s="124"/>
      <c r="L2287" s="124"/>
      <c r="M2287" s="124"/>
      <c r="N2287" s="124"/>
      <c r="O2287" s="124"/>
      <c r="T2287" s="129">
        <f>IFERROR(__xludf.DUMMYFUNCTION("""COMPUTED_VALUE"""),46109.0)</f>
        <v>46109</v>
      </c>
      <c r="U2287" s="124" t="str">
        <f>IFERROR(__xludf.DUMMYFUNCTION("""COMPUTED_VALUE"""),"Walk-Ins")</f>
        <v>Walk-Ins</v>
      </c>
      <c r="V2287" s="124" t="str">
        <f>IFERROR(__xludf.DUMMYFUNCTION("""COMPUTED_VALUE"""),"Walkin")</f>
        <v>Walkin</v>
      </c>
      <c r="W2287" s="124" t="str">
        <f>IFERROR(__xludf.DUMMYFUNCTION("""COMPUTED_VALUE"""),"Patna")</f>
        <v>Patna</v>
      </c>
      <c r="X2287" s="124" t="str">
        <f>IFERROR(__xludf.DUMMYFUNCTION("""COMPUTED_VALUE"""),"Walkin")</f>
        <v>Walkin</v>
      </c>
      <c r="Y2287" s="124" t="str">
        <f>IFERROR(__xludf.DUMMYFUNCTION("""COMPUTED_VALUE"""),"Patna")</f>
        <v>Patna</v>
      </c>
      <c r="Z2287" s="124">
        <f>IFERROR(__xludf.DUMMYFUNCTION("""COMPUTED_VALUE"""),2.0)</f>
        <v>2</v>
      </c>
      <c r="AA2287" s="124" t="str">
        <f>IFERROR(__xludf.DUMMYFUNCTION("""COMPUTED_VALUE"""),"Cold")</f>
        <v>Cold</v>
      </c>
      <c r="AB2287" s="124" t="str">
        <f>IFERROR(__xludf.DUMMYFUNCTION("""COMPUTED_VALUE"""),"State PCS")</f>
        <v>State PCS</v>
      </c>
    </row>
    <row r="2288">
      <c r="A2288" s="126">
        <f>IFERROR(__xludf.DUMMYFUNCTION("""COMPUTED_VALUE"""),46043.0)</f>
        <v>46043</v>
      </c>
      <c r="B2288" s="124" t="str">
        <f>IFERROR(__xludf.DUMMYFUNCTION("""COMPUTED_VALUE"""),"Walkin")</f>
        <v>Walkin</v>
      </c>
      <c r="C2288" s="124" t="str">
        <f>IFERROR(__xludf.DUMMYFUNCTION("""COMPUTED_VALUE"""),"Delhi")</f>
        <v>Delhi</v>
      </c>
      <c r="D2288" s="124" t="str">
        <f>IFERROR(__xludf.DUMMYFUNCTION("""COMPUTED_VALUE"""),"Primary_Walkin")</f>
        <v>Primary_Walkin</v>
      </c>
      <c r="E2288" s="124">
        <f>IFERROR(__xludf.DUMMYFUNCTION("""COMPUTED_VALUE"""),1.0)</f>
        <v>1</v>
      </c>
      <c r="F2288" s="124" t="str">
        <f>IFERROR(__xludf.DUMMYFUNCTION("""COMPUTED_VALUE"""),"Future Prospects")</f>
        <v>Future Prospects</v>
      </c>
      <c r="G2288" s="124" t="str">
        <f>IFERROR(__xludf.DUMMYFUNCTION("""COMPUTED_VALUE"""),"GS Foundation")</f>
        <v>GS Foundation</v>
      </c>
      <c r="K2288" s="124"/>
      <c r="L2288" s="124"/>
      <c r="M2288" s="124"/>
      <c r="N2288" s="124"/>
      <c r="O2288" s="124"/>
      <c r="T2288" s="126">
        <f>IFERROR(__xludf.DUMMYFUNCTION("""COMPUTED_VALUE"""),46056.0)</f>
        <v>46056</v>
      </c>
      <c r="U2288" s="124" t="str">
        <f>IFERROR(__xludf.DUMMYFUNCTION("""COMPUTED_VALUE"""),"Walk-Ins")</f>
        <v>Walk-Ins</v>
      </c>
      <c r="V2288" s="124" t="str">
        <f>IFERROR(__xludf.DUMMYFUNCTION("""COMPUTED_VALUE"""),"Walkin")</f>
        <v>Walkin</v>
      </c>
      <c r="W2288" s="124" t="str">
        <f>IFERROR(__xludf.DUMMYFUNCTION("""COMPUTED_VALUE"""),"Patna")</f>
        <v>Patna</v>
      </c>
      <c r="X2288" s="124" t="str">
        <f>IFERROR(__xludf.DUMMYFUNCTION("""COMPUTED_VALUE"""),"Walkin")</f>
        <v>Walkin</v>
      </c>
      <c r="Y2288" s="124" t="str">
        <f>IFERROR(__xludf.DUMMYFUNCTION("""COMPUTED_VALUE"""),"Patna")</f>
        <v>Patna</v>
      </c>
      <c r="Z2288" s="124">
        <f>IFERROR(__xludf.DUMMYFUNCTION("""COMPUTED_VALUE"""),1.0)</f>
        <v>1</v>
      </c>
      <c r="AA2288" s="124" t="str">
        <f>IFERROR(__xludf.DUMMYFUNCTION("""COMPUTED_VALUE"""),"Not Interested")</f>
        <v>Not Interested</v>
      </c>
      <c r="AB2288" s="124" t="str">
        <f>IFERROR(__xludf.DUMMYFUNCTION("""COMPUTED_VALUE"""),"GS Foundation")</f>
        <v>GS Foundation</v>
      </c>
    </row>
    <row r="2289">
      <c r="A2289" s="129">
        <f>IFERROR(__xludf.DUMMYFUNCTION("""COMPUTED_VALUE"""),46056.0)</f>
        <v>46056</v>
      </c>
      <c r="B2289" s="124" t="str">
        <f>IFERROR(__xludf.DUMMYFUNCTION("""COMPUTED_VALUE"""),"Walk-In")</f>
        <v>Walk-In</v>
      </c>
      <c r="C2289" s="124" t="str">
        <f>IFERROR(__xludf.DUMMYFUNCTION("""COMPUTED_VALUE"""),"Delhi")</f>
        <v>Delhi</v>
      </c>
      <c r="D2289" s="124" t="str">
        <f>IFERROR(__xludf.DUMMYFUNCTION("""COMPUTED_VALUE"""),"Primary_Walkin")</f>
        <v>Primary_Walkin</v>
      </c>
      <c r="E2289" s="124">
        <f>IFERROR(__xludf.DUMMYFUNCTION("""COMPUTED_VALUE"""),1.0)</f>
        <v>1</v>
      </c>
      <c r="F2289" s="124" t="str">
        <f>IFERROR(__xludf.DUMMYFUNCTION("""COMPUTED_VALUE"""),"Not Interested")</f>
        <v>Not Interested</v>
      </c>
      <c r="G2289" s="124" t="str">
        <f>IFERROR(__xludf.DUMMYFUNCTION("""COMPUTED_VALUE"""),"GS Foundation")</f>
        <v>GS Foundation</v>
      </c>
      <c r="K2289" s="124"/>
      <c r="L2289" s="124"/>
      <c r="M2289" s="124"/>
      <c r="N2289" s="124"/>
      <c r="O2289" s="124"/>
      <c r="T2289" s="126">
        <f>IFERROR(__xludf.DUMMYFUNCTION("""COMPUTED_VALUE"""),46098.0)</f>
        <v>46098</v>
      </c>
      <c r="U2289" s="124" t="str">
        <f>IFERROR(__xludf.DUMMYFUNCTION("""COMPUTED_VALUE"""),"Walk-Ins")</f>
        <v>Walk-Ins</v>
      </c>
      <c r="V2289" s="124" t="str">
        <f>IFERROR(__xludf.DUMMYFUNCTION("""COMPUTED_VALUE"""),"Walkin")</f>
        <v>Walkin</v>
      </c>
      <c r="W2289" s="124" t="str">
        <f>IFERROR(__xludf.DUMMYFUNCTION("""COMPUTED_VALUE"""),"Prayagraj")</f>
        <v>Prayagraj</v>
      </c>
      <c r="X2289" s="124" t="str">
        <f>IFERROR(__xludf.DUMMYFUNCTION("""COMPUTED_VALUE"""),"Walkin")</f>
        <v>Walkin</v>
      </c>
      <c r="Y2289" s="124" t="str">
        <f>IFERROR(__xludf.DUMMYFUNCTION("""COMPUTED_VALUE"""),"Prayagraj")</f>
        <v>Prayagraj</v>
      </c>
      <c r="Z2289" s="124">
        <f>IFERROR(__xludf.DUMMYFUNCTION("""COMPUTED_VALUE"""),3.0)</f>
        <v>3</v>
      </c>
      <c r="AA2289" s="124" t="str">
        <f>IFERROR(__xludf.DUMMYFUNCTION("""COMPUTED_VALUE"""),"Future Prospects")</f>
        <v>Future Prospects</v>
      </c>
      <c r="AB2289" s="124" t="str">
        <f>IFERROR(__xludf.DUMMYFUNCTION("""COMPUTED_VALUE"""),"GS Foundation")</f>
        <v>GS Foundation</v>
      </c>
    </row>
    <row r="2290">
      <c r="A2290" s="126">
        <f>IFERROR(__xludf.DUMMYFUNCTION("""COMPUTED_VALUE"""),46071.0)</f>
        <v>46071</v>
      </c>
      <c r="B2290" s="124" t="str">
        <f>IFERROR(__xludf.DUMMYFUNCTION("""COMPUTED_VALUE"""),"Walkin")</f>
        <v>Walkin</v>
      </c>
      <c r="C2290" s="124" t="str">
        <f>IFERROR(__xludf.DUMMYFUNCTION("""COMPUTED_VALUE"""),"Delhi")</f>
        <v>Delhi</v>
      </c>
      <c r="D2290" s="124" t="str">
        <f>IFERROR(__xludf.DUMMYFUNCTION("""COMPUTED_VALUE"""),"Primary_Walkin")</f>
        <v>Primary_Walkin</v>
      </c>
      <c r="E2290" s="124">
        <f>IFERROR(__xludf.DUMMYFUNCTION("""COMPUTED_VALUE"""),1.0)</f>
        <v>1</v>
      </c>
      <c r="F2290" s="124" t="str">
        <f>IFERROR(__xludf.DUMMYFUNCTION("""COMPUTED_VALUE"""),"Enrolled")</f>
        <v>Enrolled</v>
      </c>
      <c r="G2290" s="124" t="str">
        <f>IFERROR(__xludf.DUMMYFUNCTION("""COMPUTED_VALUE"""),"GS Advanced")</f>
        <v>GS Advanced</v>
      </c>
      <c r="K2290" s="124"/>
      <c r="L2290" s="124"/>
      <c r="M2290" s="124"/>
      <c r="N2290" s="124"/>
      <c r="O2290" s="124"/>
      <c r="T2290" s="129">
        <f>IFERROR(__xludf.DUMMYFUNCTION("""COMPUTED_VALUE"""),46081.0)</f>
        <v>46081</v>
      </c>
      <c r="U2290" s="124" t="str">
        <f>IFERROR(__xludf.DUMMYFUNCTION("""COMPUTED_VALUE"""),"Walk-Ins")</f>
        <v>Walk-Ins</v>
      </c>
      <c r="V2290" s="124" t="str">
        <f>IFERROR(__xludf.DUMMYFUNCTION("""COMPUTED_VALUE"""),"Walkin")</f>
        <v>Walkin</v>
      </c>
      <c r="W2290" s="124" t="str">
        <f>IFERROR(__xludf.DUMMYFUNCTION("""COMPUTED_VALUE"""),"Patna")</f>
        <v>Patna</v>
      </c>
      <c r="X2290" s="124" t="str">
        <f>IFERROR(__xludf.DUMMYFUNCTION("""COMPUTED_VALUE"""),"Walkin")</f>
        <v>Walkin</v>
      </c>
      <c r="Y2290" s="124" t="str">
        <f>IFERROR(__xludf.DUMMYFUNCTION("""COMPUTED_VALUE"""),"Patna")</f>
        <v>Patna</v>
      </c>
      <c r="Z2290" s="124">
        <f>IFERROR(__xludf.DUMMYFUNCTION("""COMPUTED_VALUE"""),1.0)</f>
        <v>1</v>
      </c>
      <c r="AA2290" s="124" t="str">
        <f>IFERROR(__xludf.DUMMYFUNCTION("""COMPUTED_VALUE"""),"Enrolled")</f>
        <v>Enrolled</v>
      </c>
      <c r="AB2290" s="124" t="str">
        <f>IFERROR(__xludf.DUMMYFUNCTION("""COMPUTED_VALUE"""),"GS Foundation")</f>
        <v>GS Foundation</v>
      </c>
    </row>
    <row r="2291">
      <c r="A2291" s="126">
        <f>IFERROR(__xludf.DUMMYFUNCTION("""COMPUTED_VALUE"""),46047.0)</f>
        <v>46047</v>
      </c>
      <c r="B2291" s="124" t="str">
        <f>IFERROR(__xludf.DUMMYFUNCTION("""COMPUTED_VALUE"""),"Walkin")</f>
        <v>Walkin</v>
      </c>
      <c r="C2291" s="124" t="str">
        <f>IFERROR(__xludf.DUMMYFUNCTION("""COMPUTED_VALUE"""),"Delhi")</f>
        <v>Delhi</v>
      </c>
      <c r="D2291" s="124" t="str">
        <f>IFERROR(__xludf.DUMMYFUNCTION("""COMPUTED_VALUE"""),"Primary_Walkin")</f>
        <v>Primary_Walkin</v>
      </c>
      <c r="E2291" s="124">
        <f>IFERROR(__xludf.DUMMYFUNCTION("""COMPUTED_VALUE"""),1.0)</f>
        <v>1</v>
      </c>
      <c r="F2291" s="124" t="str">
        <f>IFERROR(__xludf.DUMMYFUNCTION("""COMPUTED_VALUE"""),"Enrolled")</f>
        <v>Enrolled</v>
      </c>
      <c r="G2291" s="124" t="str">
        <f>IFERROR(__xludf.DUMMYFUNCTION("""COMPUTED_VALUE"""),"GS Foundation")</f>
        <v>GS Foundation</v>
      </c>
      <c r="K2291" s="124"/>
      <c r="L2291" s="124"/>
      <c r="M2291" s="124"/>
      <c r="N2291" s="124"/>
      <c r="O2291" s="124"/>
      <c r="T2291" s="126">
        <f>IFERROR(__xludf.DUMMYFUNCTION("""COMPUTED_VALUE"""),46062.0)</f>
        <v>46062</v>
      </c>
      <c r="U2291" s="124" t="str">
        <f>IFERROR(__xludf.DUMMYFUNCTION("""COMPUTED_VALUE"""),"Walk-Ins")</f>
        <v>Walk-Ins</v>
      </c>
      <c r="V2291" s="124" t="str">
        <f>IFERROR(__xludf.DUMMYFUNCTION("""COMPUTED_VALUE"""),"Walkin")</f>
        <v>Walkin</v>
      </c>
      <c r="W2291" s="124" t="str">
        <f>IFERROR(__xludf.DUMMYFUNCTION("""COMPUTED_VALUE"""),"Patna")</f>
        <v>Patna</v>
      </c>
      <c r="X2291" s="124" t="str">
        <f>IFERROR(__xludf.DUMMYFUNCTION("""COMPUTED_VALUE"""),"Walkin")</f>
        <v>Walkin</v>
      </c>
      <c r="Y2291" s="124" t="str">
        <f>IFERROR(__xludf.DUMMYFUNCTION("""COMPUTED_VALUE"""),"Patna")</f>
        <v>Patna</v>
      </c>
      <c r="Z2291" s="124">
        <f>IFERROR(__xludf.DUMMYFUNCTION("""COMPUTED_VALUE"""),3.0)</f>
        <v>3</v>
      </c>
      <c r="AA2291" s="124" t="str">
        <f>IFERROR(__xludf.DUMMYFUNCTION("""COMPUTED_VALUE"""),"Cold")</f>
        <v>Cold</v>
      </c>
      <c r="AB2291" s="124" t="str">
        <f>IFERROR(__xludf.DUMMYFUNCTION("""COMPUTED_VALUE"""),"GS Foundation")</f>
        <v>GS Foundation</v>
      </c>
    </row>
    <row r="2292">
      <c r="A2292" s="126">
        <f>IFERROR(__xludf.DUMMYFUNCTION("""COMPUTED_VALUE"""),46050.0)</f>
        <v>46050</v>
      </c>
      <c r="B2292" s="124" t="str">
        <f>IFERROR(__xludf.DUMMYFUNCTION("""COMPUTED_VALUE"""),"Walkin")</f>
        <v>Walkin</v>
      </c>
      <c r="C2292" s="124" t="str">
        <f>IFERROR(__xludf.DUMMYFUNCTION("""COMPUTED_VALUE"""),"Delhi")</f>
        <v>Delhi</v>
      </c>
      <c r="D2292" s="124" t="str">
        <f>IFERROR(__xludf.DUMMYFUNCTION("""COMPUTED_VALUE"""),"Primary_Walkin")</f>
        <v>Primary_Walkin</v>
      </c>
      <c r="E2292" s="124">
        <f>IFERROR(__xludf.DUMMYFUNCTION("""COMPUTED_VALUE"""),1.0)</f>
        <v>1</v>
      </c>
      <c r="F2292" s="124" t="str">
        <f>IFERROR(__xludf.DUMMYFUNCTION("""COMPUTED_VALUE"""),"Engaged")</f>
        <v>Engaged</v>
      </c>
      <c r="G2292" s="124" t="str">
        <f>IFERROR(__xludf.DUMMYFUNCTION("""COMPUTED_VALUE"""),"GS Foundation")</f>
        <v>GS Foundation</v>
      </c>
      <c r="K2292" s="124"/>
      <c r="L2292" s="124"/>
      <c r="M2292" s="124"/>
      <c r="N2292" s="124"/>
      <c r="O2292" s="124"/>
      <c r="T2292" s="126">
        <f>IFERROR(__xludf.DUMMYFUNCTION("""COMPUTED_VALUE"""),46095.0)</f>
        <v>46095</v>
      </c>
      <c r="U2292" s="124" t="str">
        <f>IFERROR(__xludf.DUMMYFUNCTION("""COMPUTED_VALUE"""),"Walk-Ins")</f>
        <v>Walk-Ins</v>
      </c>
      <c r="V2292" s="124" t="str">
        <f>IFERROR(__xludf.DUMMYFUNCTION("""COMPUTED_VALUE"""),"Walkin")</f>
        <v>Walkin</v>
      </c>
      <c r="W2292" s="124" t="str">
        <f>IFERROR(__xludf.DUMMYFUNCTION("""COMPUTED_VALUE"""),"Prayagraj")</f>
        <v>Prayagraj</v>
      </c>
      <c r="X2292" s="124" t="str">
        <f>IFERROR(__xludf.DUMMYFUNCTION("""COMPUTED_VALUE"""),"Walkin")</f>
        <v>Walkin</v>
      </c>
      <c r="Y2292" s="124" t="str">
        <f>IFERROR(__xludf.DUMMYFUNCTION("""COMPUTED_VALUE"""),"Prayagraj")</f>
        <v>Prayagraj</v>
      </c>
      <c r="Z2292" s="124">
        <f>IFERROR(__xludf.DUMMYFUNCTION("""COMPUTED_VALUE"""),1.0)</f>
        <v>1</v>
      </c>
      <c r="AA2292" s="124" t="str">
        <f>IFERROR(__xludf.DUMMYFUNCTION("""COMPUTED_VALUE"""),"Warm")</f>
        <v>Warm</v>
      </c>
      <c r="AB2292" s="124" t="str">
        <f>IFERROR(__xludf.DUMMYFUNCTION("""COMPUTED_VALUE"""),"GS Foundation")</f>
        <v>GS Foundation</v>
      </c>
    </row>
    <row r="2293">
      <c r="A2293" s="129">
        <f>IFERROR(__xludf.DUMMYFUNCTION("""COMPUTED_VALUE"""),46054.0)</f>
        <v>46054</v>
      </c>
      <c r="B2293" s="124" t="str">
        <f>IFERROR(__xludf.DUMMYFUNCTION("""COMPUTED_VALUE"""),"Walkin")</f>
        <v>Walkin</v>
      </c>
      <c r="C2293" s="124" t="str">
        <f>IFERROR(__xludf.DUMMYFUNCTION("""COMPUTED_VALUE"""),"Delhi")</f>
        <v>Delhi</v>
      </c>
      <c r="D2293" s="124" t="str">
        <f>IFERROR(__xludf.DUMMYFUNCTION("""COMPUTED_VALUE"""),"Primary_Walkin")</f>
        <v>Primary_Walkin</v>
      </c>
      <c r="E2293" s="124">
        <f>IFERROR(__xludf.DUMMYFUNCTION("""COMPUTED_VALUE"""),1.0)</f>
        <v>1</v>
      </c>
      <c r="F2293" s="124" t="str">
        <f>IFERROR(__xludf.DUMMYFUNCTION("""COMPUTED_VALUE"""),"Not Interested")</f>
        <v>Not Interested</v>
      </c>
      <c r="G2293" s="124" t="str">
        <f>IFERROR(__xludf.DUMMYFUNCTION("""COMPUTED_VALUE"""),"State PCS")</f>
        <v>State PCS</v>
      </c>
      <c r="K2293" s="124"/>
      <c r="L2293" s="124"/>
      <c r="M2293" s="124"/>
      <c r="N2293" s="124"/>
      <c r="O2293" s="124"/>
      <c r="T2293" s="126">
        <f>IFERROR(__xludf.DUMMYFUNCTION("""COMPUTED_VALUE"""),46098.0)</f>
        <v>46098</v>
      </c>
      <c r="U2293" s="124" t="str">
        <f>IFERROR(__xludf.DUMMYFUNCTION("""COMPUTED_VALUE"""),"Walk-Ins")</f>
        <v>Walk-Ins</v>
      </c>
      <c r="V2293" s="124" t="str">
        <f>IFERROR(__xludf.DUMMYFUNCTION("""COMPUTED_VALUE"""),"Walkin")</f>
        <v>Walkin</v>
      </c>
      <c r="W2293" s="124" t="str">
        <f>IFERROR(__xludf.DUMMYFUNCTION("""COMPUTED_VALUE"""),"Indore")</f>
        <v>Indore</v>
      </c>
      <c r="X2293" s="124" t="str">
        <f>IFERROR(__xludf.DUMMYFUNCTION("""COMPUTED_VALUE"""),"Walkin")</f>
        <v>Walkin</v>
      </c>
      <c r="Y2293" s="124" t="str">
        <f>IFERROR(__xludf.DUMMYFUNCTION("""COMPUTED_VALUE"""),"Indore")</f>
        <v>Indore</v>
      </c>
      <c r="Z2293" s="124">
        <f>IFERROR(__xludf.DUMMYFUNCTION("""COMPUTED_VALUE"""),2.0)</f>
        <v>2</v>
      </c>
      <c r="AA2293" s="124" t="str">
        <f>IFERROR(__xludf.DUMMYFUNCTION("""COMPUTED_VALUE"""),"Not Interested")</f>
        <v>Not Interested</v>
      </c>
      <c r="AB2293" s="124" t="str">
        <f>IFERROR(__xludf.DUMMYFUNCTION("""COMPUTED_VALUE"""),"State PCS")</f>
        <v>State PCS</v>
      </c>
    </row>
    <row r="2294">
      <c r="A2294" s="129">
        <f>IFERROR(__xludf.DUMMYFUNCTION("""COMPUTED_VALUE"""),46082.0)</f>
        <v>46082</v>
      </c>
      <c r="B2294" s="124" t="str">
        <f>IFERROR(__xludf.DUMMYFUNCTION("""COMPUTED_VALUE"""),"Inbound Call")</f>
        <v>Inbound Call</v>
      </c>
      <c r="C2294" s="124" t="str">
        <f>IFERROR(__xludf.DUMMYFUNCTION("""COMPUTED_VALUE"""),"Delhi")</f>
        <v>Delhi</v>
      </c>
      <c r="D2294" s="124" t="str">
        <f>IFERROR(__xludf.DUMMYFUNCTION("""COMPUTED_VALUE"""),"Secondary_Walkin")</f>
        <v>Secondary_Walkin</v>
      </c>
      <c r="E2294" s="124">
        <f>IFERROR(__xludf.DUMMYFUNCTION("""COMPUTED_VALUE"""),1.0)</f>
        <v>1</v>
      </c>
      <c r="F2294" s="124" t="str">
        <f>IFERROR(__xludf.DUMMYFUNCTION("""COMPUTED_VALUE"""),"Enrolled")</f>
        <v>Enrolled</v>
      </c>
      <c r="G2294" s="124" t="str">
        <f>IFERROR(__xludf.DUMMYFUNCTION("""COMPUTED_VALUE"""),"GS Foundation")</f>
        <v>GS Foundation</v>
      </c>
      <c r="K2294" s="124"/>
      <c r="L2294" s="124"/>
      <c r="M2294" s="124"/>
      <c r="N2294" s="124"/>
      <c r="O2294" s="124"/>
      <c r="T2294" s="126">
        <f>IFERROR(__xludf.DUMMYFUNCTION("""COMPUTED_VALUE"""),46047.0)</f>
        <v>46047</v>
      </c>
      <c r="U2294" s="124" t="str">
        <f>IFERROR(__xludf.DUMMYFUNCTION("""COMPUTED_VALUE"""),"Walk-Ins")</f>
        <v>Walk-Ins</v>
      </c>
      <c r="V2294" s="124" t="str">
        <f>IFERROR(__xludf.DUMMYFUNCTION("""COMPUTED_VALUE"""),"Walkin")</f>
        <v>Walkin</v>
      </c>
      <c r="W2294" s="124" t="str">
        <f>IFERROR(__xludf.DUMMYFUNCTION("""COMPUTED_VALUE"""),"Prayagraj")</f>
        <v>Prayagraj</v>
      </c>
      <c r="X2294" s="124" t="str">
        <f>IFERROR(__xludf.DUMMYFUNCTION("""COMPUTED_VALUE"""),"Walkin")</f>
        <v>Walkin</v>
      </c>
      <c r="Y2294" s="124" t="str">
        <f>IFERROR(__xludf.DUMMYFUNCTION("""COMPUTED_VALUE"""),"Prayagraj")</f>
        <v>Prayagraj</v>
      </c>
      <c r="Z2294" s="124">
        <f>IFERROR(__xludf.DUMMYFUNCTION("""COMPUTED_VALUE"""),1.0)</f>
        <v>1</v>
      </c>
      <c r="AA2294" s="124" t="str">
        <f>IFERROR(__xludf.DUMMYFUNCTION("""COMPUTED_VALUE"""),"Cold")</f>
        <v>Cold</v>
      </c>
      <c r="AB2294" s="124" t="str">
        <f>IFERROR(__xludf.DUMMYFUNCTION("""COMPUTED_VALUE"""),"State PCS")</f>
        <v>State PCS</v>
      </c>
    </row>
    <row r="2295">
      <c r="A2295" s="126">
        <f>IFERROR(__xludf.DUMMYFUNCTION("""COMPUTED_VALUE"""),46078.0)</f>
        <v>46078</v>
      </c>
      <c r="B2295" s="124" t="str">
        <f>IFERROR(__xludf.DUMMYFUNCTION("""COMPUTED_VALUE"""),"Referrals")</f>
        <v>Referrals</v>
      </c>
      <c r="C2295" s="124" t="str">
        <f>IFERROR(__xludf.DUMMYFUNCTION("""COMPUTED_VALUE"""),"Delhi")</f>
        <v>Delhi</v>
      </c>
      <c r="D2295" s="124" t="str">
        <f>IFERROR(__xludf.DUMMYFUNCTION("""COMPUTED_VALUE"""),"Secondary_Walkin")</f>
        <v>Secondary_Walkin</v>
      </c>
      <c r="E2295" s="124">
        <f>IFERROR(__xludf.DUMMYFUNCTION("""COMPUTED_VALUE"""),1.0)</f>
        <v>1</v>
      </c>
      <c r="F2295" s="124" t="str">
        <f>IFERROR(__xludf.DUMMYFUNCTION("""COMPUTED_VALUE"""),"Cold")</f>
        <v>Cold</v>
      </c>
      <c r="G2295" s="124" t="str">
        <f>IFERROR(__xludf.DUMMYFUNCTION("""COMPUTED_VALUE"""),"GS Foundation")</f>
        <v>GS Foundation</v>
      </c>
      <c r="K2295" s="124"/>
      <c r="L2295" s="124"/>
      <c r="M2295" s="124"/>
      <c r="N2295" s="124"/>
      <c r="O2295" s="124"/>
      <c r="T2295" s="126">
        <f>IFERROR(__xludf.DUMMYFUNCTION("""COMPUTED_VALUE"""),46080.0)</f>
        <v>46080</v>
      </c>
      <c r="U2295" s="124" t="str">
        <f>IFERROR(__xludf.DUMMYFUNCTION("""COMPUTED_VALUE"""),"Event")</f>
        <v>Event</v>
      </c>
      <c r="V2295" s="124" t="str">
        <f>IFERROR(__xludf.DUMMYFUNCTION("""COMPUTED_VALUE"""),"events")</f>
        <v>events</v>
      </c>
      <c r="W2295" s="124" t="str">
        <f>IFERROR(__xludf.DUMMYFUNCTION("""COMPUTED_VALUE"""),"prayagraj")</f>
        <v>prayagraj</v>
      </c>
      <c r="X2295" s="124" t="str">
        <f>IFERROR(__xludf.DUMMYFUNCTION("""COMPUTED_VALUE"""),"bhavanmehtapgcollege")</f>
        <v>bhavanmehtapgcollege</v>
      </c>
      <c r="Y2295" s="124"/>
      <c r="Z2295" s="124">
        <f>IFERROR(__xludf.DUMMYFUNCTION("""COMPUTED_VALUE"""),1.0)</f>
        <v>1</v>
      </c>
      <c r="AA2295" s="124" t="str">
        <f>IFERROR(__xludf.DUMMYFUNCTION("""COMPUTED_VALUE"""),"Not Interested")</f>
        <v>Not Interested</v>
      </c>
      <c r="AB2295" s="124"/>
    </row>
    <row r="2296">
      <c r="A2296" s="126">
        <f>IFERROR(__xludf.DUMMYFUNCTION("""COMPUTED_VALUE"""),46070.0)</f>
        <v>46070</v>
      </c>
      <c r="B2296" s="124" t="str">
        <f>IFERROR(__xludf.DUMMYFUNCTION("""COMPUTED_VALUE"""),"Walkin")</f>
        <v>Walkin</v>
      </c>
      <c r="C2296" s="124" t="str">
        <f>IFERROR(__xludf.DUMMYFUNCTION("""COMPUTED_VALUE"""),"Delhi")</f>
        <v>Delhi</v>
      </c>
      <c r="D2296" s="124" t="str">
        <f>IFERROR(__xludf.DUMMYFUNCTION("""COMPUTED_VALUE"""),"Primary_Walkin")</f>
        <v>Primary_Walkin</v>
      </c>
      <c r="E2296" s="124">
        <f>IFERROR(__xludf.DUMMYFUNCTION("""COMPUTED_VALUE"""),1.0)</f>
        <v>1</v>
      </c>
      <c r="F2296" s="124" t="str">
        <f>IFERROR(__xludf.DUMMYFUNCTION("""COMPUTED_VALUE"""),"Cold")</f>
        <v>Cold</v>
      </c>
      <c r="G2296" s="124" t="str">
        <f>IFERROR(__xludf.DUMMYFUNCTION("""COMPUTED_VALUE"""),"Prelims Crash Course - SIP")</f>
        <v>Prelims Crash Course - SIP</v>
      </c>
      <c r="K2296" s="124"/>
      <c r="L2296" s="124"/>
      <c r="M2296" s="124"/>
      <c r="N2296" s="124"/>
      <c r="O2296" s="124"/>
      <c r="T2296" s="126">
        <f>IFERROR(__xludf.DUMMYFUNCTION("""COMPUTED_VALUE"""),46057.0)</f>
        <v>46057</v>
      </c>
      <c r="U2296" s="124" t="str">
        <f>IFERROR(__xludf.DUMMYFUNCTION("""COMPUTED_VALUE"""),"Paid Ads")</f>
        <v>Paid Ads</v>
      </c>
      <c r="V2296" s="124" t="str">
        <f>IFERROR(__xludf.DUMMYFUNCTION("""COMPUTED_VALUE"""),"facebook")</f>
        <v>facebook</v>
      </c>
      <c r="W2296" s="124" t="str">
        <f>IFERROR(__xludf.DUMMYFUNCTION("""COMPUTED_VALUE"""),"lucknow")</f>
        <v>lucknow</v>
      </c>
      <c r="X2296" s="124" t="str">
        <f>IFERROR(__xludf.DUMMYFUNCTION("""COMPUTED_VALUE"""),"onlinepaid")</f>
        <v>onlinepaid</v>
      </c>
      <c r="Y2296" s="124" t="str">
        <f>IFERROR(__xludf.DUMMYFUNCTION("""COMPUTED_VALUE"""),"Lucknow")</f>
        <v>Lucknow</v>
      </c>
      <c r="Z2296" s="124">
        <f>IFERROR(__xludf.DUMMYFUNCTION("""COMPUTED_VALUE"""),2.0)</f>
        <v>2</v>
      </c>
      <c r="AA2296" s="124" t="str">
        <f>IFERROR(__xludf.DUMMYFUNCTION("""COMPUTED_VALUE"""),"Not Interested")</f>
        <v>Not Interested</v>
      </c>
      <c r="AB2296" s="124" t="str">
        <f>IFERROR(__xludf.DUMMYFUNCTION("""COMPUTED_VALUE"""),"GS Foundation")</f>
        <v>GS Foundation</v>
      </c>
    </row>
    <row r="2297">
      <c r="A2297" s="126">
        <f>IFERROR(__xludf.DUMMYFUNCTION("""COMPUTED_VALUE"""),46095.0)</f>
        <v>46095</v>
      </c>
      <c r="B2297" s="124" t="str">
        <f>IFERROR(__xludf.DUMMYFUNCTION("""COMPUTED_VALUE"""),"Walkin")</f>
        <v>Walkin</v>
      </c>
      <c r="C2297" s="124" t="str">
        <f>IFERROR(__xludf.DUMMYFUNCTION("""COMPUTED_VALUE"""),"Delhi")</f>
        <v>Delhi</v>
      </c>
      <c r="D2297" s="124" t="str">
        <f>IFERROR(__xludf.DUMMYFUNCTION("""COMPUTED_VALUE"""),"Primary_Walkin")</f>
        <v>Primary_Walkin</v>
      </c>
      <c r="E2297" s="124">
        <f>IFERROR(__xludf.DUMMYFUNCTION("""COMPUTED_VALUE"""),1.0)</f>
        <v>1</v>
      </c>
      <c r="F2297" s="124" t="str">
        <f>IFERROR(__xludf.DUMMYFUNCTION("""COMPUTED_VALUE"""),"Future Prospects")</f>
        <v>Future Prospects</v>
      </c>
      <c r="G2297" s="124" t="str">
        <f>IFERROR(__xludf.DUMMYFUNCTION("""COMPUTED_VALUE"""),"GS Foundation")</f>
        <v>GS Foundation</v>
      </c>
      <c r="K2297" s="124"/>
      <c r="L2297" s="124"/>
      <c r="M2297" s="124"/>
      <c r="N2297" s="124"/>
      <c r="O2297" s="124"/>
      <c r="T2297" s="126">
        <f>IFERROR(__xludf.DUMMYFUNCTION("""COMPUTED_VALUE"""),46046.0)</f>
        <v>46046</v>
      </c>
      <c r="U2297" s="124" t="str">
        <f>IFERROR(__xludf.DUMMYFUNCTION("""COMPUTED_VALUE"""),"Event")</f>
        <v>Event</v>
      </c>
      <c r="V2297" s="124" t="str">
        <f>IFERROR(__xludf.DUMMYFUNCTION("""COMPUTED_VALUE"""),"Events")</f>
        <v>Events</v>
      </c>
      <c r="W2297" s="124" t="str">
        <f>IFERROR(__xludf.DUMMYFUNCTION("""COMPUTED_VALUE"""),"Delhi")</f>
        <v>Delhi</v>
      </c>
      <c r="X2297" s="124" t="str">
        <f>IFERROR(__xludf.DUMMYFUNCTION("""COMPUTED_VALUE"""),"DRCSEMINAR(CTC")</f>
        <v>DRCSEMINAR(CTC</v>
      </c>
      <c r="Y2297" s="124"/>
      <c r="Z2297" s="124">
        <f>IFERROR(__xludf.DUMMYFUNCTION("""COMPUTED_VALUE"""),1.0)</f>
        <v>1</v>
      </c>
      <c r="AA2297" s="124" t="str">
        <f>IFERROR(__xludf.DUMMYFUNCTION("""COMPUTED_VALUE"""),"Fake Lead")</f>
        <v>Fake Lead</v>
      </c>
      <c r="AB2297" s="124"/>
    </row>
    <row r="2298">
      <c r="A2298" s="126">
        <f>IFERROR(__xludf.DUMMYFUNCTION("""COMPUTED_VALUE"""),46101.0)</f>
        <v>46101</v>
      </c>
      <c r="B2298" s="124" t="str">
        <f>IFERROR(__xludf.DUMMYFUNCTION("""COMPUTED_VALUE"""),"Walk-In")</f>
        <v>Walk-In</v>
      </c>
      <c r="C2298" s="124" t="str">
        <f>IFERROR(__xludf.DUMMYFUNCTION("""COMPUTED_VALUE"""),"Delhi")</f>
        <v>Delhi</v>
      </c>
      <c r="D2298" s="124" t="str">
        <f>IFERROR(__xludf.DUMMYFUNCTION("""COMPUTED_VALUE"""),"Primary_Walkin")</f>
        <v>Primary_Walkin</v>
      </c>
      <c r="E2298" s="124">
        <f>IFERROR(__xludf.DUMMYFUNCTION("""COMPUTED_VALUE"""),1.0)</f>
        <v>1</v>
      </c>
      <c r="F2298" s="124" t="str">
        <f>IFERROR(__xludf.DUMMYFUNCTION("""COMPUTED_VALUE"""),"Cold")</f>
        <v>Cold</v>
      </c>
      <c r="G2298" s="124" t="str">
        <f>IFERROR(__xludf.DUMMYFUNCTION("""COMPUTED_VALUE"""),"GS Foundation")</f>
        <v>GS Foundation</v>
      </c>
      <c r="K2298" s="124"/>
      <c r="L2298" s="124"/>
      <c r="M2298" s="124"/>
      <c r="N2298" s="124"/>
      <c r="O2298" s="124"/>
      <c r="T2298" s="126">
        <f>IFERROR(__xludf.DUMMYFUNCTION("""COMPUTED_VALUE"""),46109.0)</f>
        <v>46109</v>
      </c>
      <c r="U2298" s="124" t="str">
        <f>IFERROR(__xludf.DUMMYFUNCTION("""COMPUTED_VALUE"""),"Walk-Ins")</f>
        <v>Walk-Ins</v>
      </c>
      <c r="V2298" s="124" t="str">
        <f>IFERROR(__xludf.DUMMYFUNCTION("""COMPUTED_VALUE"""),"Walk-In")</f>
        <v>Walk-In</v>
      </c>
      <c r="W2298" s="124" t="str">
        <f>IFERROR(__xludf.DUMMYFUNCTION("""COMPUTED_VALUE"""),"Patna")</f>
        <v>Patna</v>
      </c>
      <c r="X2298" s="124" t="str">
        <f>IFERROR(__xludf.DUMMYFUNCTION("""COMPUTED_VALUE"""),"Shane")</f>
        <v>Shane</v>
      </c>
      <c r="Y2298" s="124"/>
      <c r="Z2298" s="124">
        <f>IFERROR(__xludf.DUMMYFUNCTION("""COMPUTED_VALUE"""),1.0)</f>
        <v>1</v>
      </c>
      <c r="AA2298" s="124" t="str">
        <f>IFERROR(__xludf.DUMMYFUNCTION("""COMPUTED_VALUE"""),"Enrolled")</f>
        <v>Enrolled</v>
      </c>
      <c r="AB2298" s="124" t="str">
        <f>IFERROR(__xludf.DUMMYFUNCTION("""COMPUTED_VALUE"""),"GS Foundation")</f>
        <v>GS Foundation</v>
      </c>
    </row>
    <row r="2299">
      <c r="A2299" s="126">
        <f>IFERROR(__xludf.DUMMYFUNCTION("""COMPUTED_VALUE"""),46074.0)</f>
        <v>46074</v>
      </c>
      <c r="B2299" s="124" t="str">
        <f>IFERROR(__xludf.DUMMYFUNCTION("""COMPUTED_VALUE"""),"Walkin")</f>
        <v>Walkin</v>
      </c>
      <c r="C2299" s="124" t="str">
        <f>IFERROR(__xludf.DUMMYFUNCTION("""COMPUTED_VALUE"""),"Delhi")</f>
        <v>Delhi</v>
      </c>
      <c r="D2299" s="124" t="str">
        <f>IFERROR(__xludf.DUMMYFUNCTION("""COMPUTED_VALUE"""),"Primary_Walkin")</f>
        <v>Primary_Walkin</v>
      </c>
      <c r="E2299" s="124">
        <f>IFERROR(__xludf.DUMMYFUNCTION("""COMPUTED_VALUE"""),1.0)</f>
        <v>1</v>
      </c>
      <c r="F2299" s="124" t="str">
        <f>IFERROR(__xludf.DUMMYFUNCTION("""COMPUTED_VALUE"""),"Future Prospects")</f>
        <v>Future Prospects</v>
      </c>
      <c r="G2299" s="124" t="str">
        <f>IFERROR(__xludf.DUMMYFUNCTION("""COMPUTED_VALUE"""),"GS Foundation")</f>
        <v>GS Foundation</v>
      </c>
      <c r="K2299" s="124"/>
      <c r="L2299" s="124"/>
      <c r="M2299" s="124"/>
      <c r="N2299" s="124"/>
      <c r="O2299" s="124"/>
      <c r="T2299" s="129">
        <f>IFERROR(__xludf.DUMMYFUNCTION("""COMPUTED_VALUE"""),46080.0)</f>
        <v>46080</v>
      </c>
      <c r="U2299" s="124" t="str">
        <f>IFERROR(__xludf.DUMMYFUNCTION("""COMPUTED_VALUE"""),"Publisher Campaign")</f>
        <v>Publisher Campaign</v>
      </c>
      <c r="V2299" s="124" t="str">
        <f>IFERROR(__xludf.DUMMYFUNCTION("""COMPUTED_VALUE"""),"Vaishnav college")</f>
        <v>Vaishnav college</v>
      </c>
      <c r="W2299" s="124" t="str">
        <f>IFERROR(__xludf.DUMMYFUNCTION("""COMPUTED_VALUE"""),"Seminar Vaishnav college")</f>
        <v>Seminar Vaishnav college</v>
      </c>
      <c r="X2299" s="124">
        <f>IFERROR(__xludf.DUMMYFUNCTION("""COMPUTED_VALUE"""),2.2012026E7)</f>
        <v>22012026</v>
      </c>
      <c r="Y2299" s="124" t="str">
        <f>IFERROR(__xludf.DUMMYFUNCTION("""COMPUTED_VALUE"""),"Delhi")</f>
        <v>Delhi</v>
      </c>
      <c r="Z2299" s="124">
        <f>IFERROR(__xludf.DUMMYFUNCTION("""COMPUTED_VALUE"""),1.0)</f>
        <v>1</v>
      </c>
      <c r="AA2299" s="124"/>
      <c r="AB2299" s="124" t="str">
        <f>IFERROR(__xludf.DUMMYFUNCTION("""COMPUTED_VALUE"""),"IGP UPPSC")</f>
        <v>IGP UPPSC</v>
      </c>
    </row>
    <row r="2300">
      <c r="A2300" s="126">
        <f>IFERROR(__xludf.DUMMYFUNCTION("""COMPUTED_VALUE"""),46108.0)</f>
        <v>46108</v>
      </c>
      <c r="B2300" s="124" t="str">
        <f>IFERROR(__xludf.DUMMYFUNCTION("""COMPUTED_VALUE"""),"external leads")</f>
        <v>external leads</v>
      </c>
      <c r="C2300" s="124" t="str">
        <f>IFERROR(__xludf.DUMMYFUNCTION("""COMPUTED_VALUE"""),"Delhi")</f>
        <v>Delhi</v>
      </c>
      <c r="D2300" s="124" t="str">
        <f>IFERROR(__xludf.DUMMYFUNCTION("""COMPUTED_VALUE"""),"Secondary_Walkin")</f>
        <v>Secondary_Walkin</v>
      </c>
      <c r="E2300" s="124">
        <f>IFERROR(__xludf.DUMMYFUNCTION("""COMPUTED_VALUE"""),1.0)</f>
        <v>1</v>
      </c>
      <c r="F2300" s="124" t="str">
        <f>IFERROR(__xludf.DUMMYFUNCTION("""COMPUTED_VALUE"""),"Not Interested")</f>
        <v>Not Interested</v>
      </c>
      <c r="G2300" s="124" t="str">
        <f>IFERROR(__xludf.DUMMYFUNCTION("""COMPUTED_VALUE"""),"State PCS")</f>
        <v>State PCS</v>
      </c>
      <c r="K2300" s="124"/>
      <c r="L2300" s="124"/>
      <c r="M2300" s="124"/>
      <c r="N2300" s="124"/>
      <c r="O2300" s="124"/>
      <c r="T2300" s="129">
        <f>IFERROR(__xludf.DUMMYFUNCTION("""COMPUTED_VALUE"""),46088.0)</f>
        <v>46088</v>
      </c>
      <c r="U2300" s="124" t="str">
        <f>IFERROR(__xludf.DUMMYFUNCTION("""COMPUTED_VALUE"""),"Walk-Ins")</f>
        <v>Walk-Ins</v>
      </c>
      <c r="V2300" s="124" t="str">
        <f>IFERROR(__xludf.DUMMYFUNCTION("""COMPUTED_VALUE"""),"Walk-In")</f>
        <v>Walk-In</v>
      </c>
      <c r="W2300" s="124" t="str">
        <f>IFERROR(__xludf.DUMMYFUNCTION("""COMPUTED_VALUE"""),"Patna")</f>
        <v>Patna</v>
      </c>
      <c r="X2300" s="124" t="str">
        <f>IFERROR(__xludf.DUMMYFUNCTION("""COMPUTED_VALUE"""),"Shane")</f>
        <v>Shane</v>
      </c>
      <c r="Y2300" s="124"/>
      <c r="Z2300" s="124">
        <f>IFERROR(__xludf.DUMMYFUNCTION("""COMPUTED_VALUE"""),1.0)</f>
        <v>1</v>
      </c>
      <c r="AA2300" s="124" t="str">
        <f>IFERROR(__xludf.DUMMYFUNCTION("""COMPUTED_VALUE"""),"Cold")</f>
        <v>Cold</v>
      </c>
      <c r="AB2300" s="124" t="str">
        <f>IFERROR(__xludf.DUMMYFUNCTION("""COMPUTED_VALUE"""),"State PCS")</f>
        <v>State PCS</v>
      </c>
    </row>
    <row r="2301">
      <c r="A2301" s="129">
        <f>IFERROR(__xludf.DUMMYFUNCTION("""COMPUTED_VALUE"""),46055.0)</f>
        <v>46055</v>
      </c>
      <c r="B2301" s="124" t="str">
        <f>IFERROR(__xludf.DUMMYFUNCTION("""COMPUTED_VALUE"""),"walk-in")</f>
        <v>walk-in</v>
      </c>
      <c r="C2301" s="124" t="str">
        <f>IFERROR(__xludf.DUMMYFUNCTION("""COMPUTED_VALUE"""),"Delhi")</f>
        <v>Delhi</v>
      </c>
      <c r="D2301" s="124" t="str">
        <f>IFERROR(__xludf.DUMMYFUNCTION("""COMPUTED_VALUE"""),"Primary_Walkin")</f>
        <v>Primary_Walkin</v>
      </c>
      <c r="E2301" s="124">
        <f>IFERROR(__xludf.DUMMYFUNCTION("""COMPUTED_VALUE"""),1.0)</f>
        <v>1</v>
      </c>
      <c r="F2301" s="124" t="str">
        <f>IFERROR(__xludf.DUMMYFUNCTION("""COMPUTED_VALUE"""),"Not Interested")</f>
        <v>Not Interested</v>
      </c>
      <c r="G2301" s="124" t="str">
        <f>IFERROR(__xludf.DUMMYFUNCTION("""COMPUTED_VALUE"""),"Mentorship")</f>
        <v>Mentorship</v>
      </c>
      <c r="K2301" s="124"/>
      <c r="L2301" s="124"/>
      <c r="M2301" s="124"/>
      <c r="N2301" s="124"/>
      <c r="O2301" s="124"/>
      <c r="T2301" s="126">
        <f>IFERROR(__xludf.DUMMYFUNCTION("""COMPUTED_VALUE"""),46051.0)</f>
        <v>46051</v>
      </c>
      <c r="U2301" s="124" t="str">
        <f>IFERROR(__xludf.DUMMYFUNCTION("""COMPUTED_VALUE"""),"Publisher Campaign")</f>
        <v>Publisher Campaign</v>
      </c>
      <c r="V2301" s="124" t="str">
        <f>IFERROR(__xludf.DUMMYFUNCTION("""COMPUTED_VALUE"""),"Patna Seminar")</f>
        <v>Patna Seminar</v>
      </c>
      <c r="W2301" s="124" t="str">
        <f>IFERROR(__xludf.DUMMYFUNCTION("""COMPUTED_VALUE"""),"Women's College")</f>
        <v>Women's College</v>
      </c>
      <c r="X2301" s="124">
        <f>IFERROR(__xludf.DUMMYFUNCTION("""COMPUTED_VALUE"""),2.2012026E7)</f>
        <v>22012026</v>
      </c>
      <c r="Y2301" s="124" t="str">
        <f>IFERROR(__xludf.DUMMYFUNCTION("""COMPUTED_VALUE"""),"Patna")</f>
        <v>Patna</v>
      </c>
      <c r="Z2301" s="124">
        <f>IFERROR(__xludf.DUMMYFUNCTION("""COMPUTED_VALUE"""),1.0)</f>
        <v>1</v>
      </c>
      <c r="AA2301" s="124"/>
      <c r="AB2301" s="124" t="str">
        <f>IFERROR(__xludf.DUMMYFUNCTION("""COMPUTED_VALUE"""),"Prelims Crash Course - SIP")</f>
        <v>Prelims Crash Course - SIP</v>
      </c>
    </row>
    <row r="2302">
      <c r="A2302" s="126">
        <f>IFERROR(__xludf.DUMMYFUNCTION("""COMPUTED_VALUE"""),46066.0)</f>
        <v>46066</v>
      </c>
      <c r="B2302" s="124" t="str">
        <f>IFERROR(__xludf.DUMMYFUNCTION("""COMPUTED_VALUE"""),"ExternalLeads")</f>
        <v>ExternalLeads</v>
      </c>
      <c r="C2302" s="124" t="str">
        <f>IFERROR(__xludf.DUMMYFUNCTION("""COMPUTED_VALUE"""),"Delhi")</f>
        <v>Delhi</v>
      </c>
      <c r="D2302" s="124" t="str">
        <f>IFERROR(__xludf.DUMMYFUNCTION("""COMPUTED_VALUE"""),"Secondary_Walkin")</f>
        <v>Secondary_Walkin</v>
      </c>
      <c r="E2302" s="124">
        <f>IFERROR(__xludf.DUMMYFUNCTION("""COMPUTED_VALUE"""),1.0)</f>
        <v>1</v>
      </c>
      <c r="F2302" s="124" t="str">
        <f>IFERROR(__xludf.DUMMYFUNCTION("""COMPUTED_VALUE"""),"Cold")</f>
        <v>Cold</v>
      </c>
      <c r="G2302" s="124" t="str">
        <f>IFERROR(__xludf.DUMMYFUNCTION("""COMPUTED_VALUE"""),"GS Foundation")</f>
        <v>GS Foundation</v>
      </c>
      <c r="K2302" s="124"/>
      <c r="L2302" s="124"/>
      <c r="M2302" s="124"/>
      <c r="N2302" s="124"/>
      <c r="O2302" s="124"/>
      <c r="T2302" s="126">
        <f>IFERROR(__xludf.DUMMYFUNCTION("""COMPUTED_VALUE"""),46067.0)</f>
        <v>46067</v>
      </c>
      <c r="U2302" s="124" t="str">
        <f>IFERROR(__xludf.DUMMYFUNCTION("""COMPUTED_VALUE"""),"Walk-Ins")</f>
        <v>Walk-Ins</v>
      </c>
      <c r="V2302" s="124" t="str">
        <f>IFERROR(__xludf.DUMMYFUNCTION("""COMPUTED_VALUE"""),"Walk-In")</f>
        <v>Walk-In</v>
      </c>
      <c r="W2302" s="124" t="str">
        <f>IFERROR(__xludf.DUMMYFUNCTION("""COMPUTED_VALUE"""),"Prayagraj")</f>
        <v>Prayagraj</v>
      </c>
      <c r="X2302" s="124" t="str">
        <f>IFERROR(__xludf.DUMMYFUNCTION("""COMPUTED_VALUE"""),"Prayagraj")</f>
        <v>Prayagraj</v>
      </c>
      <c r="Y2302" s="124"/>
      <c r="Z2302" s="124">
        <f>IFERROR(__xludf.DUMMYFUNCTION("""COMPUTED_VALUE"""),1.0)</f>
        <v>1</v>
      </c>
      <c r="AA2302" s="124" t="str">
        <f>IFERROR(__xludf.DUMMYFUNCTION("""COMPUTED_VALUE"""),"Future Prospects")</f>
        <v>Future Prospects</v>
      </c>
      <c r="AB2302" s="124" t="str">
        <f>IFERROR(__xludf.DUMMYFUNCTION("""COMPUTED_VALUE"""),"Mentorship")</f>
        <v>Mentorship</v>
      </c>
    </row>
    <row r="2303">
      <c r="A2303" s="126">
        <f>IFERROR(__xludf.DUMMYFUNCTION("""COMPUTED_VALUE"""),46079.0)</f>
        <v>46079</v>
      </c>
      <c r="B2303" s="124" t="str">
        <f>IFERROR(__xludf.DUMMYFUNCTION("""COMPUTED_VALUE"""),"Walkin")</f>
        <v>Walkin</v>
      </c>
      <c r="C2303" s="124" t="str">
        <f>IFERROR(__xludf.DUMMYFUNCTION("""COMPUTED_VALUE"""),"Indore")</f>
        <v>Indore</v>
      </c>
      <c r="D2303" s="124" t="str">
        <f>IFERROR(__xludf.DUMMYFUNCTION("""COMPUTED_VALUE"""),"Primary_Walkin")</f>
        <v>Primary_Walkin</v>
      </c>
      <c r="E2303" s="124">
        <f>IFERROR(__xludf.DUMMYFUNCTION("""COMPUTED_VALUE"""),1.0)</f>
        <v>1</v>
      </c>
      <c r="F2303" s="124" t="str">
        <f>IFERROR(__xludf.DUMMYFUNCTION("""COMPUTED_VALUE"""),"Enrolled")</f>
        <v>Enrolled</v>
      </c>
      <c r="G2303" s="124" t="str">
        <f>IFERROR(__xludf.DUMMYFUNCTION("""COMPUTED_VALUE"""),"GS Foundation")</f>
        <v>GS Foundation</v>
      </c>
      <c r="K2303" s="124"/>
      <c r="L2303" s="124"/>
      <c r="M2303" s="124"/>
      <c r="N2303" s="124"/>
      <c r="O2303" s="124"/>
      <c r="T2303" s="126">
        <f>IFERROR(__xludf.DUMMYFUNCTION("""COMPUTED_VALUE"""),46052.0)</f>
        <v>46052</v>
      </c>
      <c r="U2303" s="124" t="str">
        <f>IFERROR(__xludf.DUMMYFUNCTION("""COMPUTED_VALUE"""),"Walk-Ins")</f>
        <v>Walk-Ins</v>
      </c>
      <c r="V2303" s="124" t="str">
        <f>IFERROR(__xludf.DUMMYFUNCTION("""COMPUTED_VALUE"""),"Walk-In")</f>
        <v>Walk-In</v>
      </c>
      <c r="W2303" s="124" t="str">
        <f>IFERROR(__xludf.DUMMYFUNCTION("""COMPUTED_VALUE"""),"Patna")</f>
        <v>Patna</v>
      </c>
      <c r="X2303" s="124" t="str">
        <f>IFERROR(__xludf.DUMMYFUNCTION("""COMPUTED_VALUE"""),"Shane")</f>
        <v>Shane</v>
      </c>
      <c r="Y2303" s="124"/>
      <c r="Z2303" s="124">
        <f>IFERROR(__xludf.DUMMYFUNCTION("""COMPUTED_VALUE"""),1.0)</f>
        <v>1</v>
      </c>
      <c r="AA2303" s="124" t="str">
        <f>IFERROR(__xludf.DUMMYFUNCTION("""COMPUTED_VALUE"""),"Cold")</f>
        <v>Cold</v>
      </c>
      <c r="AB2303" s="124" t="str">
        <f>IFERROR(__xludf.DUMMYFUNCTION("""COMPUTED_VALUE"""),"State PCS")</f>
        <v>State PCS</v>
      </c>
    </row>
    <row r="2304">
      <c r="A2304" s="126">
        <f>IFERROR(__xludf.DUMMYFUNCTION("""COMPUTED_VALUE"""),46112.0)</f>
        <v>46112</v>
      </c>
      <c r="B2304" s="124" t="str">
        <f>IFERROR(__xludf.DUMMYFUNCTION("""COMPUTED_VALUE"""),"Walk-In")</f>
        <v>Walk-In</v>
      </c>
      <c r="C2304" s="124" t="str">
        <f>IFERROR(__xludf.DUMMYFUNCTION("""COMPUTED_VALUE"""),"Lucknow")</f>
        <v>Lucknow</v>
      </c>
      <c r="D2304" s="124" t="str">
        <f>IFERROR(__xludf.DUMMYFUNCTION("""COMPUTED_VALUE"""),"Primary_Walkin")</f>
        <v>Primary_Walkin</v>
      </c>
      <c r="E2304" s="124">
        <f>IFERROR(__xludf.DUMMYFUNCTION("""COMPUTED_VALUE"""),1.0)</f>
        <v>1</v>
      </c>
      <c r="F2304" s="124" t="str">
        <f>IFERROR(__xludf.DUMMYFUNCTION("""COMPUTED_VALUE"""),"Cold")</f>
        <v>Cold</v>
      </c>
      <c r="G2304" s="124" t="str">
        <f>IFERROR(__xludf.DUMMYFUNCTION("""COMPUTED_VALUE"""),"GS Foundation")</f>
        <v>GS Foundation</v>
      </c>
      <c r="K2304" s="124"/>
      <c r="L2304" s="124"/>
      <c r="M2304" s="124"/>
      <c r="N2304" s="124"/>
      <c r="O2304" s="124"/>
      <c r="T2304" s="129">
        <f>IFERROR(__xludf.DUMMYFUNCTION("""COMPUTED_VALUE"""),46097.0)</f>
        <v>46097</v>
      </c>
      <c r="U2304" s="124" t="str">
        <f>IFERROR(__xludf.DUMMYFUNCTION("""COMPUTED_VALUE"""),"External Leads")</f>
        <v>External Leads</v>
      </c>
      <c r="V2304" s="124" t="str">
        <f>IFERROR(__xludf.DUMMYFUNCTION("""COMPUTED_VALUE"""),"external leads")</f>
        <v>external leads</v>
      </c>
      <c r="W2304" s="124" t="str">
        <f>IFERROR(__xludf.DUMMYFUNCTION("""COMPUTED_VALUE"""),"indore")</f>
        <v>indore</v>
      </c>
      <c r="X2304" s="124" t="str">
        <f>IFERROR(__xludf.DUMMYFUNCTION("""COMPUTED_VALUE"""),"btl")</f>
        <v>btl</v>
      </c>
      <c r="Y2304" s="124" t="str">
        <f>IFERROR(__xludf.DUMMYFUNCTION("""COMPUTED_VALUE"""),"Indore")</f>
        <v>Indore</v>
      </c>
      <c r="Z2304" s="124">
        <f>IFERROR(__xludf.DUMMYFUNCTION("""COMPUTED_VALUE"""),1.0)</f>
        <v>1</v>
      </c>
      <c r="AA2304" s="124" t="str">
        <f>IFERROR(__xludf.DUMMYFUNCTION("""COMPUTED_VALUE"""),"Fake Lead")</f>
        <v>Fake Lead</v>
      </c>
      <c r="AB2304" s="124"/>
    </row>
    <row r="2305">
      <c r="A2305" s="126">
        <f>IFERROR(__xludf.DUMMYFUNCTION("""COMPUTED_VALUE"""),46099.0)</f>
        <v>46099</v>
      </c>
      <c r="B2305" s="124" t="str">
        <f>IFERROR(__xludf.DUMMYFUNCTION("""COMPUTED_VALUE"""),"external leads")</f>
        <v>external leads</v>
      </c>
      <c r="C2305" s="124" t="str">
        <f>IFERROR(__xludf.DUMMYFUNCTION("""COMPUTED_VALUE"""),"Lucknow")</f>
        <v>Lucknow</v>
      </c>
      <c r="D2305" s="124" t="str">
        <f>IFERROR(__xludf.DUMMYFUNCTION("""COMPUTED_VALUE"""),"Secondary_Walkin")</f>
        <v>Secondary_Walkin</v>
      </c>
      <c r="E2305" s="124">
        <f>IFERROR(__xludf.DUMMYFUNCTION("""COMPUTED_VALUE"""),1.0)</f>
        <v>1</v>
      </c>
      <c r="F2305" s="124" t="str">
        <f>IFERROR(__xludf.DUMMYFUNCTION("""COMPUTED_VALUE"""),"Enrolled")</f>
        <v>Enrolled</v>
      </c>
      <c r="G2305" s="124" t="str">
        <f>IFERROR(__xludf.DUMMYFUNCTION("""COMPUTED_VALUE"""),"GS Foundation")</f>
        <v>GS Foundation</v>
      </c>
      <c r="K2305" s="124"/>
      <c r="L2305" s="124"/>
      <c r="M2305" s="124"/>
      <c r="N2305" s="124"/>
      <c r="O2305" s="124"/>
      <c r="T2305" s="129">
        <f>IFERROR(__xludf.DUMMYFUNCTION("""COMPUTED_VALUE"""),46044.0)</f>
        <v>46044</v>
      </c>
      <c r="U2305" s="124" t="str">
        <f>IFERROR(__xludf.DUMMYFUNCTION("""COMPUTED_VALUE"""),"Walk-Ins")</f>
        <v>Walk-Ins</v>
      </c>
      <c r="V2305" s="124" t="str">
        <f>IFERROR(__xludf.DUMMYFUNCTION("""COMPUTED_VALUE"""),"Walk-In")</f>
        <v>Walk-In</v>
      </c>
      <c r="W2305" s="124" t="str">
        <f>IFERROR(__xludf.DUMMYFUNCTION("""COMPUTED_VALUE"""),"Patna")</f>
        <v>Patna</v>
      </c>
      <c r="X2305" s="124" t="str">
        <f>IFERROR(__xludf.DUMMYFUNCTION("""COMPUTED_VALUE"""),"Shane")</f>
        <v>Shane</v>
      </c>
      <c r="Y2305" s="124"/>
      <c r="Z2305" s="124">
        <f>IFERROR(__xludf.DUMMYFUNCTION("""COMPUTED_VALUE"""),1.0)</f>
        <v>1</v>
      </c>
      <c r="AA2305" s="124" t="str">
        <f>IFERROR(__xludf.DUMMYFUNCTION("""COMPUTED_VALUE"""),"Enrolled")</f>
        <v>Enrolled</v>
      </c>
      <c r="AB2305" s="124" t="str">
        <f>IFERROR(__xludf.DUMMYFUNCTION("""COMPUTED_VALUE"""),"State PCS")</f>
        <v>State PCS</v>
      </c>
    </row>
    <row r="2306">
      <c r="A2306" s="129">
        <f>IFERROR(__xludf.DUMMYFUNCTION("""COMPUTED_VALUE"""),46062.0)</f>
        <v>46062</v>
      </c>
      <c r="B2306" s="124" t="str">
        <f>IFERROR(__xludf.DUMMYFUNCTION("""COMPUTED_VALUE"""),"Walkin")</f>
        <v>Walkin</v>
      </c>
      <c r="C2306" s="124" t="str">
        <f>IFERROR(__xludf.DUMMYFUNCTION("""COMPUTED_VALUE"""),"Indore")</f>
        <v>Indore</v>
      </c>
      <c r="D2306" s="124" t="str">
        <f>IFERROR(__xludf.DUMMYFUNCTION("""COMPUTED_VALUE"""),"Primary_Walkin")</f>
        <v>Primary_Walkin</v>
      </c>
      <c r="E2306" s="124">
        <f>IFERROR(__xludf.DUMMYFUNCTION("""COMPUTED_VALUE"""),1.0)</f>
        <v>1</v>
      </c>
      <c r="F2306" s="124" t="str">
        <f>IFERROR(__xludf.DUMMYFUNCTION("""COMPUTED_VALUE"""),"Fake Lead")</f>
        <v>Fake Lead</v>
      </c>
      <c r="G2306" s="124" t="str">
        <f>IFERROR(__xludf.DUMMYFUNCTION("""COMPUTED_VALUE"""),"State PCS")</f>
        <v>State PCS</v>
      </c>
      <c r="K2306" s="124"/>
      <c r="L2306" s="124"/>
      <c r="M2306" s="124"/>
      <c r="N2306" s="124"/>
      <c r="O2306" s="124"/>
      <c r="T2306" s="126">
        <f>IFERROR(__xludf.DUMMYFUNCTION("""COMPUTED_VALUE"""),46097.0)</f>
        <v>46097</v>
      </c>
      <c r="U2306" s="124" t="str">
        <f>IFERROR(__xludf.DUMMYFUNCTION("""COMPUTED_VALUE"""),"External Leads")</f>
        <v>External Leads</v>
      </c>
      <c r="V2306" s="124" t="str">
        <f>IFERROR(__xludf.DUMMYFUNCTION("""COMPUTED_VALUE"""),"external leads")</f>
        <v>external leads</v>
      </c>
      <c r="W2306" s="124" t="str">
        <f>IFERROR(__xludf.DUMMYFUNCTION("""COMPUTED_VALUE"""),"indore")</f>
        <v>indore</v>
      </c>
      <c r="X2306" s="124" t="str">
        <f>IFERROR(__xludf.DUMMYFUNCTION("""COMPUTED_VALUE"""),"btl")</f>
        <v>btl</v>
      </c>
      <c r="Y2306" s="124" t="str">
        <f>IFERROR(__xludf.DUMMYFUNCTION("""COMPUTED_VALUE"""),"Indore")</f>
        <v>Indore</v>
      </c>
      <c r="Z2306" s="124">
        <f>IFERROR(__xludf.DUMMYFUNCTION("""COMPUTED_VALUE"""),1.0)</f>
        <v>1</v>
      </c>
      <c r="AA2306" s="124" t="str">
        <f>IFERROR(__xludf.DUMMYFUNCTION("""COMPUTED_VALUE"""),"Not Interested")</f>
        <v>Not Interested</v>
      </c>
      <c r="AB2306" s="124" t="str">
        <f>IFERROR(__xludf.DUMMYFUNCTION("""COMPUTED_VALUE"""),"Other")</f>
        <v>Other</v>
      </c>
    </row>
    <row r="2307">
      <c r="A2307" s="126">
        <f>IFERROR(__xludf.DUMMYFUNCTION("""COMPUTED_VALUE"""),46049.0)</f>
        <v>46049</v>
      </c>
      <c r="B2307" s="124" t="str">
        <f>IFERROR(__xludf.DUMMYFUNCTION("""COMPUTED_VALUE"""),"walk-in")</f>
        <v>walk-in</v>
      </c>
      <c r="C2307" s="124" t="str">
        <f>IFERROR(__xludf.DUMMYFUNCTION("""COMPUTED_VALUE"""),"Indore")</f>
        <v>Indore</v>
      </c>
      <c r="D2307" s="124" t="str">
        <f>IFERROR(__xludf.DUMMYFUNCTION("""COMPUTED_VALUE"""),"Primary_Walkin")</f>
        <v>Primary_Walkin</v>
      </c>
      <c r="E2307" s="124">
        <f>IFERROR(__xludf.DUMMYFUNCTION("""COMPUTED_VALUE"""),1.0)</f>
        <v>1</v>
      </c>
      <c r="F2307" s="124" t="str">
        <f>IFERROR(__xludf.DUMMYFUNCTION("""COMPUTED_VALUE"""),"Enrolled")</f>
        <v>Enrolled</v>
      </c>
      <c r="G2307" s="124" t="str">
        <f>IFERROR(__xludf.DUMMYFUNCTION("""COMPUTED_VALUE"""),"GS Foundation")</f>
        <v>GS Foundation</v>
      </c>
      <c r="K2307" s="124"/>
      <c r="L2307" s="124"/>
      <c r="M2307" s="124"/>
      <c r="N2307" s="124"/>
      <c r="O2307" s="124"/>
      <c r="T2307" s="126">
        <f>IFERROR(__xludf.DUMMYFUNCTION("""COMPUTED_VALUE"""),46111.0)</f>
        <v>46111</v>
      </c>
      <c r="U2307" s="124" t="str">
        <f>IFERROR(__xludf.DUMMYFUNCTION("""COMPUTED_VALUE"""),"Paid Ads")</f>
        <v>Paid Ads</v>
      </c>
      <c r="V2307" s="124" t="str">
        <f>IFERROR(__xludf.DUMMYFUNCTION("""COMPUTED_VALUE"""),"Facebook")</f>
        <v>Facebook</v>
      </c>
      <c r="W2307" s="124" t="str">
        <f>IFERROR(__xludf.DUMMYFUNCTION("""COMPUTED_VALUE"""),"LeadAd")</f>
        <v>LeadAd</v>
      </c>
      <c r="X2307" s="124" t="str">
        <f>IFERROR(__xludf.DUMMYFUNCTION("""COMPUTED_VALUE"""),"Upsc_925_Prygrj_Lead_FB")</f>
        <v>Upsc_925_Prygrj_Lead_FB</v>
      </c>
      <c r="Y2307" s="124" t="str">
        <f>IFERROR(__xludf.DUMMYFUNCTION("""COMPUTED_VALUE"""),"Prayagraj")</f>
        <v>Prayagraj</v>
      </c>
      <c r="Z2307" s="124">
        <f>IFERROR(__xludf.DUMMYFUNCTION("""COMPUTED_VALUE"""),5.0)</f>
        <v>5</v>
      </c>
      <c r="AA2307" s="124"/>
      <c r="AB2307" s="124"/>
    </row>
    <row r="2308">
      <c r="A2308" s="126">
        <f>IFERROR(__xludf.DUMMYFUNCTION("""COMPUTED_VALUE"""),46045.0)</f>
        <v>46045</v>
      </c>
      <c r="B2308" s="124" t="str">
        <f>IFERROR(__xludf.DUMMYFUNCTION("""COMPUTED_VALUE"""),"Walkin")</f>
        <v>Walkin</v>
      </c>
      <c r="C2308" s="124" t="str">
        <f>IFERROR(__xludf.DUMMYFUNCTION("""COMPUTED_VALUE"""),"Lucknow")</f>
        <v>Lucknow</v>
      </c>
      <c r="D2308" s="124" t="str">
        <f>IFERROR(__xludf.DUMMYFUNCTION("""COMPUTED_VALUE"""),"Primary_Walkin")</f>
        <v>Primary_Walkin</v>
      </c>
      <c r="E2308" s="124">
        <f>IFERROR(__xludf.DUMMYFUNCTION("""COMPUTED_VALUE"""),1.0)</f>
        <v>1</v>
      </c>
      <c r="F2308" s="124" t="str">
        <f>IFERROR(__xludf.DUMMYFUNCTION("""COMPUTED_VALUE"""),"Enrolled")</f>
        <v>Enrolled</v>
      </c>
      <c r="G2308" s="124" t="str">
        <f>IFERROR(__xludf.DUMMYFUNCTION("""COMPUTED_VALUE"""),"State PCS")</f>
        <v>State PCS</v>
      </c>
      <c r="K2308" s="124"/>
      <c r="L2308" s="124"/>
      <c r="M2308" s="124"/>
      <c r="N2308" s="124"/>
      <c r="O2308" s="124"/>
      <c r="T2308" s="126">
        <f>IFERROR(__xludf.DUMMYFUNCTION("""COMPUTED_VALUE"""),46112.0)</f>
        <v>46112</v>
      </c>
      <c r="U2308" s="124" t="str">
        <f>IFERROR(__xludf.DUMMYFUNCTION("""COMPUTED_VALUE"""),"Paid Ads")</f>
        <v>Paid Ads</v>
      </c>
      <c r="V2308" s="124" t="str">
        <f>IFERROR(__xludf.DUMMYFUNCTION("""COMPUTED_VALUE"""),"Facebook")</f>
        <v>Facebook</v>
      </c>
      <c r="W2308" s="124" t="str">
        <f>IFERROR(__xludf.DUMMYFUNCTION("""COMPUTED_VALUE"""),"LeadAd")</f>
        <v>LeadAd</v>
      </c>
      <c r="X2308" s="124" t="str">
        <f>IFERROR(__xludf.DUMMYFUNCTION("""COMPUTED_VALUE"""),"Upsc_925_Prygrj_Lead_FB")</f>
        <v>Upsc_925_Prygrj_Lead_FB</v>
      </c>
      <c r="Y2308" s="124" t="str">
        <f>IFERROR(__xludf.DUMMYFUNCTION("""COMPUTED_VALUE"""),"Prayagraj")</f>
        <v>Prayagraj</v>
      </c>
      <c r="Z2308" s="124">
        <f>IFERROR(__xludf.DUMMYFUNCTION("""COMPUTED_VALUE"""),5.0)</f>
        <v>5</v>
      </c>
      <c r="AA2308" s="124"/>
      <c r="AB2308" s="124"/>
    </row>
    <row r="2309">
      <c r="A2309" s="126">
        <f>IFERROR(__xludf.DUMMYFUNCTION("""COMPUTED_VALUE"""),46106.0)</f>
        <v>46106</v>
      </c>
      <c r="B2309" s="124" t="str">
        <f>IFERROR(__xludf.DUMMYFUNCTION("""COMPUTED_VALUE"""),"Walkin")</f>
        <v>Walkin</v>
      </c>
      <c r="C2309" s="124" t="str">
        <f>IFERROR(__xludf.DUMMYFUNCTION("""COMPUTED_VALUE"""),"Lucknow")</f>
        <v>Lucknow</v>
      </c>
      <c r="D2309" s="124" t="str">
        <f>IFERROR(__xludf.DUMMYFUNCTION("""COMPUTED_VALUE"""),"Primary_Walkin")</f>
        <v>Primary_Walkin</v>
      </c>
      <c r="E2309" s="124">
        <f>IFERROR(__xludf.DUMMYFUNCTION("""COMPUTED_VALUE"""),1.0)</f>
        <v>1</v>
      </c>
      <c r="F2309" s="124" t="str">
        <f>IFERROR(__xludf.DUMMYFUNCTION("""COMPUTED_VALUE"""),"Future Prospects")</f>
        <v>Future Prospects</v>
      </c>
      <c r="G2309" s="124" t="str">
        <f>IFERROR(__xludf.DUMMYFUNCTION("""COMPUTED_VALUE"""),"State PCS")</f>
        <v>State PCS</v>
      </c>
      <c r="K2309" s="124"/>
      <c r="L2309" s="124"/>
      <c r="M2309" s="124"/>
      <c r="N2309" s="124"/>
      <c r="O2309" s="124"/>
      <c r="T2309" s="129">
        <f>IFERROR(__xludf.DUMMYFUNCTION("""COMPUTED_VALUE"""),46043.0)</f>
        <v>46043</v>
      </c>
      <c r="U2309" s="124" t="str">
        <f>IFERROR(__xludf.DUMMYFUNCTION("""COMPUTED_VALUE"""),"Walk-Ins")</f>
        <v>Walk-Ins</v>
      </c>
      <c r="V2309" s="124" t="str">
        <f>IFERROR(__xludf.DUMMYFUNCTION("""COMPUTED_VALUE"""),"Walk-In")</f>
        <v>Walk-In</v>
      </c>
      <c r="W2309" s="124" t="str">
        <f>IFERROR(__xludf.DUMMYFUNCTION("""COMPUTED_VALUE"""),"Prayagraj")</f>
        <v>Prayagraj</v>
      </c>
      <c r="X2309" s="124" t="str">
        <f>IFERROR(__xludf.DUMMYFUNCTION("""COMPUTED_VALUE"""),"Shivanshi")</f>
        <v>Shivanshi</v>
      </c>
      <c r="Y2309" s="124" t="str">
        <f>IFERROR(__xludf.DUMMYFUNCTION("""COMPUTED_VALUE"""),"Prayagraj")</f>
        <v>Prayagraj</v>
      </c>
      <c r="Z2309" s="124">
        <f>IFERROR(__xludf.DUMMYFUNCTION("""COMPUTED_VALUE"""),1.0)</f>
        <v>1</v>
      </c>
      <c r="AA2309" s="124" t="str">
        <f>IFERROR(__xludf.DUMMYFUNCTION("""COMPUTED_VALUE"""),"Not Interested")</f>
        <v>Not Interested</v>
      </c>
      <c r="AB2309" s="124" t="str">
        <f>IFERROR(__xludf.DUMMYFUNCTION("""COMPUTED_VALUE"""),"State PCS")</f>
        <v>State PCS</v>
      </c>
    </row>
    <row r="2310">
      <c r="A2310" s="126">
        <f>IFERROR(__xludf.DUMMYFUNCTION("""COMPUTED_VALUE"""),46073.0)</f>
        <v>46073</v>
      </c>
      <c r="B2310" s="124" t="str">
        <f>IFERROR(__xludf.DUMMYFUNCTION("""COMPUTED_VALUE"""),"Inbound Call")</f>
        <v>Inbound Call</v>
      </c>
      <c r="C2310" s="124" t="str">
        <f>IFERROR(__xludf.DUMMYFUNCTION("""COMPUTED_VALUE"""),"Indore")</f>
        <v>Indore</v>
      </c>
      <c r="D2310" s="124" t="str">
        <f>IFERROR(__xludf.DUMMYFUNCTION("""COMPUTED_VALUE"""),"Secondary_Walkin")</f>
        <v>Secondary_Walkin</v>
      </c>
      <c r="E2310" s="124">
        <f>IFERROR(__xludf.DUMMYFUNCTION("""COMPUTED_VALUE"""),1.0)</f>
        <v>1</v>
      </c>
      <c r="F2310" s="124" t="str">
        <f>IFERROR(__xludf.DUMMYFUNCTION("""COMPUTED_VALUE"""),"Future Prospects")</f>
        <v>Future Prospects</v>
      </c>
      <c r="G2310" s="124" t="str">
        <f>IFERROR(__xludf.DUMMYFUNCTION("""COMPUTED_VALUE"""),"GS Foundation")</f>
        <v>GS Foundation</v>
      </c>
      <c r="K2310" s="124"/>
      <c r="L2310" s="124"/>
      <c r="M2310" s="124"/>
      <c r="N2310" s="124"/>
      <c r="O2310" s="124"/>
      <c r="T2310" s="126">
        <f>IFERROR(__xludf.DUMMYFUNCTION("""COMPUTED_VALUE"""),46112.0)</f>
        <v>46112</v>
      </c>
      <c r="U2310" s="124" t="str">
        <f>IFERROR(__xludf.DUMMYFUNCTION("""COMPUTED_VALUE"""),"Walk-Ins")</f>
        <v>Walk-Ins</v>
      </c>
      <c r="V2310" s="124" t="str">
        <f>IFERROR(__xludf.DUMMYFUNCTION("""COMPUTED_VALUE"""),"Walk-In")</f>
        <v>Walk-In</v>
      </c>
      <c r="W2310" s="124" t="str">
        <f>IFERROR(__xludf.DUMMYFUNCTION("""COMPUTED_VALUE"""),"Prayagraj")</f>
        <v>Prayagraj</v>
      </c>
      <c r="X2310" s="124" t="str">
        <f>IFERROR(__xludf.DUMMYFUNCTION("""COMPUTED_VALUE"""),"Shivanshi")</f>
        <v>Shivanshi</v>
      </c>
      <c r="Y2310" s="124" t="str">
        <f>IFERROR(__xludf.DUMMYFUNCTION("""COMPUTED_VALUE"""),"Prayagraj")</f>
        <v>Prayagraj</v>
      </c>
      <c r="Z2310" s="124">
        <f>IFERROR(__xludf.DUMMYFUNCTION("""COMPUTED_VALUE"""),1.0)</f>
        <v>1</v>
      </c>
      <c r="AA2310" s="124" t="str">
        <f>IFERROR(__xludf.DUMMYFUNCTION("""COMPUTED_VALUE"""),"Warm")</f>
        <v>Warm</v>
      </c>
      <c r="AB2310" s="124" t="str">
        <f>IFERROR(__xludf.DUMMYFUNCTION("""COMPUTED_VALUE"""),"Hybrid")</f>
        <v>Hybrid</v>
      </c>
    </row>
    <row r="2311">
      <c r="A2311" s="126">
        <f>IFERROR(__xludf.DUMMYFUNCTION("""COMPUTED_VALUE"""),46105.0)</f>
        <v>46105</v>
      </c>
      <c r="B2311" s="124" t="str">
        <f>IFERROR(__xludf.DUMMYFUNCTION("""COMPUTED_VALUE"""),"Walkin")</f>
        <v>Walkin</v>
      </c>
      <c r="C2311" s="124" t="str">
        <f>IFERROR(__xludf.DUMMYFUNCTION("""COMPUTED_VALUE"""),"Indore")</f>
        <v>Indore</v>
      </c>
      <c r="D2311" s="124" t="str">
        <f>IFERROR(__xludf.DUMMYFUNCTION("""COMPUTED_VALUE"""),"Primary_Walkin")</f>
        <v>Primary_Walkin</v>
      </c>
      <c r="E2311" s="124">
        <f>IFERROR(__xludf.DUMMYFUNCTION("""COMPUTED_VALUE"""),1.0)</f>
        <v>1</v>
      </c>
      <c r="F2311" s="124" t="str">
        <f>IFERROR(__xludf.DUMMYFUNCTION("""COMPUTED_VALUE"""),"Cold")</f>
        <v>Cold</v>
      </c>
      <c r="G2311" s="124" t="str">
        <f>IFERROR(__xludf.DUMMYFUNCTION("""COMPUTED_VALUE"""),"Mentorship")</f>
        <v>Mentorship</v>
      </c>
      <c r="K2311" s="124"/>
      <c r="L2311" s="124"/>
      <c r="M2311" s="124"/>
      <c r="N2311" s="124"/>
      <c r="O2311" s="124"/>
      <c r="T2311" s="129">
        <f>IFERROR(__xludf.DUMMYFUNCTION("""COMPUTED_VALUE"""),46044.0)</f>
        <v>46044</v>
      </c>
      <c r="U2311" s="124" t="str">
        <f>IFERROR(__xludf.DUMMYFUNCTION("""COMPUTED_VALUE"""),"Walk-Ins")</f>
        <v>Walk-Ins</v>
      </c>
      <c r="V2311" s="124" t="str">
        <f>IFERROR(__xludf.DUMMYFUNCTION("""COMPUTED_VALUE"""),"Walk-In")</f>
        <v>Walk-In</v>
      </c>
      <c r="W2311" s="124" t="str">
        <f>IFERROR(__xludf.DUMMYFUNCTION("""COMPUTED_VALUE"""),"Prayagraj")</f>
        <v>Prayagraj</v>
      </c>
      <c r="X2311" s="124" t="str">
        <f>IFERROR(__xludf.DUMMYFUNCTION("""COMPUTED_VALUE"""),"Shivanshi")</f>
        <v>Shivanshi</v>
      </c>
      <c r="Y2311" s="124" t="str">
        <f>IFERROR(__xludf.DUMMYFUNCTION("""COMPUTED_VALUE"""),"Patna")</f>
        <v>Patna</v>
      </c>
      <c r="Z2311" s="124">
        <f>IFERROR(__xludf.DUMMYFUNCTION("""COMPUTED_VALUE"""),1.0)</f>
        <v>1</v>
      </c>
      <c r="AA2311" s="124" t="str">
        <f>IFERROR(__xludf.DUMMYFUNCTION("""COMPUTED_VALUE"""),"Interested")</f>
        <v>Interested</v>
      </c>
      <c r="AB2311" s="124" t="str">
        <f>IFERROR(__xludf.DUMMYFUNCTION("""COMPUTED_VALUE"""),"Mentorship")</f>
        <v>Mentorship</v>
      </c>
    </row>
    <row r="2312">
      <c r="A2312" s="126">
        <f>IFERROR(__xludf.DUMMYFUNCTION("""COMPUTED_VALUE"""),46067.0)</f>
        <v>46067</v>
      </c>
      <c r="B2312" s="124" t="str">
        <f>IFERROR(__xludf.DUMMYFUNCTION("""COMPUTED_VALUE"""),"Walkin")</f>
        <v>Walkin</v>
      </c>
      <c r="C2312" s="124" t="str">
        <f>IFERROR(__xludf.DUMMYFUNCTION("""COMPUTED_VALUE"""),"Indore")</f>
        <v>Indore</v>
      </c>
      <c r="D2312" s="124" t="str">
        <f>IFERROR(__xludf.DUMMYFUNCTION("""COMPUTED_VALUE"""),"Primary_Walkin")</f>
        <v>Primary_Walkin</v>
      </c>
      <c r="E2312" s="124">
        <f>IFERROR(__xludf.DUMMYFUNCTION("""COMPUTED_VALUE"""),1.0)</f>
        <v>1</v>
      </c>
      <c r="F2312" s="124" t="str">
        <f>IFERROR(__xludf.DUMMYFUNCTION("""COMPUTED_VALUE"""),"Not Interested")</f>
        <v>Not Interested</v>
      </c>
      <c r="G2312" s="124" t="str">
        <f>IFERROR(__xludf.DUMMYFUNCTION("""COMPUTED_VALUE"""),"State PCS")</f>
        <v>State PCS</v>
      </c>
      <c r="K2312" s="124"/>
      <c r="L2312" s="124"/>
      <c r="M2312" s="124"/>
      <c r="N2312" s="124"/>
      <c r="O2312" s="124"/>
      <c r="T2312" s="129">
        <f>IFERROR(__xludf.DUMMYFUNCTION("""COMPUTED_VALUE"""),46046.0)</f>
        <v>46046</v>
      </c>
      <c r="U2312" s="124" t="str">
        <f>IFERROR(__xludf.DUMMYFUNCTION("""COMPUTED_VALUE"""),"Walk-Ins")</f>
        <v>Walk-Ins</v>
      </c>
      <c r="V2312" s="124" t="str">
        <f>IFERROR(__xludf.DUMMYFUNCTION("""COMPUTED_VALUE"""),"Walk-In")</f>
        <v>Walk-In</v>
      </c>
      <c r="W2312" s="124" t="str">
        <f>IFERROR(__xludf.DUMMYFUNCTION("""COMPUTED_VALUE"""),"Prayagraj")</f>
        <v>Prayagraj</v>
      </c>
      <c r="X2312" s="124" t="str">
        <f>IFERROR(__xludf.DUMMYFUNCTION("""COMPUTED_VALUE"""),"Shivanshi")</f>
        <v>Shivanshi</v>
      </c>
      <c r="Y2312" s="124" t="str">
        <f>IFERROR(__xludf.DUMMYFUNCTION("""COMPUTED_VALUE"""),"Prayagraj")</f>
        <v>Prayagraj</v>
      </c>
      <c r="Z2312" s="124">
        <f>IFERROR(__xludf.DUMMYFUNCTION("""COMPUTED_VALUE"""),1.0)</f>
        <v>1</v>
      </c>
      <c r="AA2312" s="124" t="str">
        <f>IFERROR(__xludf.DUMMYFUNCTION("""COMPUTED_VALUE"""),"Enrolled")</f>
        <v>Enrolled</v>
      </c>
      <c r="AB2312" s="124" t="str">
        <f>IFERROR(__xludf.DUMMYFUNCTION("""COMPUTED_VALUE"""),"GS Foundation")</f>
        <v>GS Foundation</v>
      </c>
    </row>
    <row r="2313">
      <c r="A2313" s="126">
        <f>IFERROR(__xludf.DUMMYFUNCTION("""COMPUTED_VALUE"""),46044.0)</f>
        <v>46044</v>
      </c>
      <c r="B2313" s="124" t="str">
        <f>IFERROR(__xludf.DUMMYFUNCTION("""COMPUTED_VALUE"""),"Walk-In")</f>
        <v>Walk-In</v>
      </c>
      <c r="C2313" s="124" t="str">
        <f>IFERROR(__xludf.DUMMYFUNCTION("""COMPUTED_VALUE"""),"Lucknow")</f>
        <v>Lucknow</v>
      </c>
      <c r="D2313" s="124" t="str">
        <f>IFERROR(__xludf.DUMMYFUNCTION("""COMPUTED_VALUE"""),"Primary_Walkin")</f>
        <v>Primary_Walkin</v>
      </c>
      <c r="E2313" s="124">
        <f>IFERROR(__xludf.DUMMYFUNCTION("""COMPUTED_VALUE"""),1.0)</f>
        <v>1</v>
      </c>
      <c r="F2313" s="124" t="str">
        <f>IFERROR(__xludf.DUMMYFUNCTION("""COMPUTED_VALUE"""),"Cold")</f>
        <v>Cold</v>
      </c>
      <c r="G2313" s="124" t="str">
        <f>IFERROR(__xludf.DUMMYFUNCTION("""COMPUTED_VALUE"""),"Optionals")</f>
        <v>Optionals</v>
      </c>
      <c r="K2313" s="124"/>
      <c r="L2313" s="124"/>
      <c r="M2313" s="124"/>
      <c r="N2313" s="124"/>
      <c r="O2313" s="124"/>
      <c r="T2313" s="126">
        <f>IFERROR(__xludf.DUMMYFUNCTION("""COMPUTED_VALUE"""),46049.0)</f>
        <v>46049</v>
      </c>
      <c r="U2313" s="124" t="str">
        <f>IFERROR(__xludf.DUMMYFUNCTION("""COMPUTED_VALUE"""),"Walk-Ins")</f>
        <v>Walk-Ins</v>
      </c>
      <c r="V2313" s="124" t="str">
        <f>IFERROR(__xludf.DUMMYFUNCTION("""COMPUTED_VALUE"""),"Walk-In")</f>
        <v>Walk-In</v>
      </c>
      <c r="W2313" s="124" t="str">
        <f>IFERROR(__xludf.DUMMYFUNCTION("""COMPUTED_VALUE"""),"Prayagraj")</f>
        <v>Prayagraj</v>
      </c>
      <c r="X2313" s="124" t="str">
        <f>IFERROR(__xludf.DUMMYFUNCTION("""COMPUTED_VALUE"""),"Shivanshi")</f>
        <v>Shivanshi</v>
      </c>
      <c r="Y2313" s="124" t="str">
        <f>IFERROR(__xludf.DUMMYFUNCTION("""COMPUTED_VALUE"""),"Prayagraj")</f>
        <v>Prayagraj</v>
      </c>
      <c r="Z2313" s="124">
        <f>IFERROR(__xludf.DUMMYFUNCTION("""COMPUTED_VALUE"""),1.0)</f>
        <v>1</v>
      </c>
      <c r="AA2313" s="124" t="str">
        <f>IFERROR(__xludf.DUMMYFUNCTION("""COMPUTED_VALUE"""),"Fake Lead")</f>
        <v>Fake Lead</v>
      </c>
      <c r="AB2313" s="124" t="str">
        <f>IFERROR(__xludf.DUMMYFUNCTION("""COMPUTED_VALUE"""),"Other")</f>
        <v>Other</v>
      </c>
    </row>
    <row r="2314">
      <c r="A2314" s="126">
        <f>IFERROR(__xludf.DUMMYFUNCTION("""COMPUTED_VALUE"""),46105.0)</f>
        <v>46105</v>
      </c>
      <c r="B2314" s="124" t="str">
        <f>IFERROR(__xludf.DUMMYFUNCTION("""COMPUTED_VALUE"""),"Walkin")</f>
        <v>Walkin</v>
      </c>
      <c r="C2314" s="124" t="str">
        <f>IFERROR(__xludf.DUMMYFUNCTION("""COMPUTED_VALUE"""),"Indore")</f>
        <v>Indore</v>
      </c>
      <c r="D2314" s="124" t="str">
        <f>IFERROR(__xludf.DUMMYFUNCTION("""COMPUTED_VALUE"""),"Primary_Walkin")</f>
        <v>Primary_Walkin</v>
      </c>
      <c r="E2314" s="124">
        <f>IFERROR(__xludf.DUMMYFUNCTION("""COMPUTED_VALUE"""),1.0)</f>
        <v>1</v>
      </c>
      <c r="F2314" s="124" t="str">
        <f>IFERROR(__xludf.DUMMYFUNCTION("""COMPUTED_VALUE"""),"Cold")</f>
        <v>Cold</v>
      </c>
      <c r="G2314" s="124" t="str">
        <f>IFERROR(__xludf.DUMMYFUNCTION("""COMPUTED_VALUE"""),"GS Foundation")</f>
        <v>GS Foundation</v>
      </c>
      <c r="K2314" s="124"/>
      <c r="L2314" s="124"/>
      <c r="M2314" s="124"/>
      <c r="N2314" s="124"/>
      <c r="O2314" s="124"/>
      <c r="T2314" s="129">
        <f>IFERROR(__xludf.DUMMYFUNCTION("""COMPUTED_VALUE"""),46096.0)</f>
        <v>46096</v>
      </c>
      <c r="U2314" s="124" t="str">
        <f>IFERROR(__xludf.DUMMYFUNCTION("""COMPUTED_VALUE"""),"Walk-Ins")</f>
        <v>Walk-Ins</v>
      </c>
      <c r="V2314" s="124" t="str">
        <f>IFERROR(__xludf.DUMMYFUNCTION("""COMPUTED_VALUE"""),"Walk-In")</f>
        <v>Walk-In</v>
      </c>
      <c r="W2314" s="124" t="str">
        <f>IFERROR(__xludf.DUMMYFUNCTION("""COMPUTED_VALUE"""),"Delhi")</f>
        <v>Delhi</v>
      </c>
      <c r="X2314" s="124" t="str">
        <f>IFERROR(__xludf.DUMMYFUNCTION("""COMPUTED_VALUE"""),"Yogita")</f>
        <v>Yogita</v>
      </c>
      <c r="Y2314" s="124" t="str">
        <f>IFERROR(__xludf.DUMMYFUNCTION("""COMPUTED_VALUE"""),"Delhi")</f>
        <v>Delhi</v>
      </c>
      <c r="Z2314" s="124">
        <f>IFERROR(__xludf.DUMMYFUNCTION("""COMPUTED_VALUE"""),1.0)</f>
        <v>1</v>
      </c>
      <c r="AA2314" s="124" t="str">
        <f>IFERROR(__xludf.DUMMYFUNCTION("""COMPUTED_VALUE"""),"Cold")</f>
        <v>Cold</v>
      </c>
      <c r="AB2314" s="124" t="str">
        <f>IFERROR(__xludf.DUMMYFUNCTION("""COMPUTED_VALUE"""),"Optionals")</f>
        <v>Optionals</v>
      </c>
    </row>
    <row r="2315">
      <c r="A2315" s="126">
        <f>IFERROR(__xludf.DUMMYFUNCTION("""COMPUTED_VALUE"""),46103.0)</f>
        <v>46103</v>
      </c>
      <c r="B2315" s="124" t="str">
        <f>IFERROR(__xludf.DUMMYFUNCTION("""COMPUTED_VALUE"""),"Walkin")</f>
        <v>Walkin</v>
      </c>
      <c r="C2315" s="124" t="str">
        <f>IFERROR(__xludf.DUMMYFUNCTION("""COMPUTED_VALUE"""),"Indore")</f>
        <v>Indore</v>
      </c>
      <c r="D2315" s="124" t="str">
        <f>IFERROR(__xludf.DUMMYFUNCTION("""COMPUTED_VALUE"""),"Primary_Walkin")</f>
        <v>Primary_Walkin</v>
      </c>
      <c r="E2315" s="124">
        <f>IFERROR(__xludf.DUMMYFUNCTION("""COMPUTED_VALUE"""),1.0)</f>
        <v>1</v>
      </c>
      <c r="F2315" s="124" t="str">
        <f>IFERROR(__xludf.DUMMYFUNCTION("""COMPUTED_VALUE"""),"Cold")</f>
        <v>Cold</v>
      </c>
      <c r="G2315" s="124" t="str">
        <f>IFERROR(__xludf.DUMMYFUNCTION("""COMPUTED_VALUE"""),"GS Foundation")</f>
        <v>GS Foundation</v>
      </c>
      <c r="K2315" s="124"/>
      <c r="L2315" s="124"/>
      <c r="M2315" s="124"/>
      <c r="N2315" s="124"/>
      <c r="O2315" s="124"/>
      <c r="T2315" s="126">
        <f>IFERROR(__xludf.DUMMYFUNCTION("""COMPUTED_VALUE"""),46096.0)</f>
        <v>46096</v>
      </c>
      <c r="U2315" s="124" t="str">
        <f>IFERROR(__xludf.DUMMYFUNCTION("""COMPUTED_VALUE"""),"Telephony")</f>
        <v>Telephony</v>
      </c>
      <c r="V2315" s="124" t="str">
        <f>IFERROR(__xludf.DUMMYFUNCTION("""COMPUTED_VALUE"""),"Inbound Call")</f>
        <v>Inbound Call</v>
      </c>
      <c r="W2315" s="124" t="str">
        <f>IFERROR(__xludf.DUMMYFUNCTION("""COMPUTED_VALUE"""),"Inbound Call")</f>
        <v>Inbound Call</v>
      </c>
      <c r="X2315" s="124" t="str">
        <f>IFERROR(__xludf.DUMMYFUNCTION("""COMPUTED_VALUE"""),"Inbound Call")</f>
        <v>Inbound Call</v>
      </c>
      <c r="Y2315" s="124"/>
      <c r="Z2315" s="124">
        <f>IFERROR(__xludf.DUMMYFUNCTION("""COMPUTED_VALUE"""),1.0)</f>
        <v>1</v>
      </c>
      <c r="AA2315" s="124" t="str">
        <f>IFERROR(__xludf.DUMMYFUNCTION("""COMPUTED_VALUE"""),"Cold")</f>
        <v>Cold</v>
      </c>
      <c r="AB2315" s="124"/>
    </row>
    <row r="2316">
      <c r="A2316" s="126">
        <f>IFERROR(__xludf.DUMMYFUNCTION("""COMPUTED_VALUE"""),46079.0)</f>
        <v>46079</v>
      </c>
      <c r="B2316" s="124" t="str">
        <f>IFERROR(__xludf.DUMMYFUNCTION("""COMPUTED_VALUE"""),"Walkin")</f>
        <v>Walkin</v>
      </c>
      <c r="C2316" s="124" t="str">
        <f>IFERROR(__xludf.DUMMYFUNCTION("""COMPUTED_VALUE"""),"Indore")</f>
        <v>Indore</v>
      </c>
      <c r="D2316" s="124" t="str">
        <f>IFERROR(__xludf.DUMMYFUNCTION("""COMPUTED_VALUE"""),"Primary_Walkin")</f>
        <v>Primary_Walkin</v>
      </c>
      <c r="E2316" s="124">
        <f>IFERROR(__xludf.DUMMYFUNCTION("""COMPUTED_VALUE"""),1.0)</f>
        <v>1</v>
      </c>
      <c r="F2316" s="124" t="str">
        <f>IFERROR(__xludf.DUMMYFUNCTION("""COMPUTED_VALUE"""),"Enrolled")</f>
        <v>Enrolled</v>
      </c>
      <c r="G2316" s="124" t="str">
        <f>IFERROR(__xludf.DUMMYFUNCTION("""COMPUTED_VALUE"""),"Optionals")</f>
        <v>Optionals</v>
      </c>
      <c r="K2316" s="124"/>
      <c r="L2316" s="124"/>
      <c r="M2316" s="124"/>
      <c r="N2316" s="124"/>
      <c r="O2316" s="124"/>
      <c r="T2316" s="126">
        <f>IFERROR(__xludf.DUMMYFUNCTION("""COMPUTED_VALUE"""),46055.0)</f>
        <v>46055</v>
      </c>
      <c r="U2316" s="124" t="str">
        <f>IFERROR(__xludf.DUMMYFUNCTION("""COMPUTED_VALUE"""),"Telephony")</f>
        <v>Telephony</v>
      </c>
      <c r="V2316" s="124" t="str">
        <f>IFERROR(__xludf.DUMMYFUNCTION("""COMPUTED_VALUE"""),"Inbound Call")</f>
        <v>Inbound Call</v>
      </c>
      <c r="W2316" s="124">
        <f>IFERROR(__xludf.DUMMYFUNCTION("""COMPUTED_VALUE"""),9.18047861663E11)</f>
        <v>918047861663</v>
      </c>
      <c r="X2316" s="124" t="str">
        <f>IFERROR(__xludf.DUMMYFUNCTION("""COMPUTED_VALUE"""),"Inbound Call")</f>
        <v>Inbound Call</v>
      </c>
      <c r="Y2316" s="124" t="str">
        <f>IFERROR(__xludf.DUMMYFUNCTION("""COMPUTED_VALUE"""),"Patna")</f>
        <v>Patna</v>
      </c>
      <c r="Z2316" s="124">
        <f>IFERROR(__xludf.DUMMYFUNCTION("""COMPUTED_VALUE"""),1.0)</f>
        <v>1</v>
      </c>
      <c r="AA2316" s="124" t="str">
        <f>IFERROR(__xludf.DUMMYFUNCTION("""COMPUTED_VALUE"""),"Cold")</f>
        <v>Cold</v>
      </c>
      <c r="AB2316" s="124" t="str">
        <f>IFERROR(__xludf.DUMMYFUNCTION("""COMPUTED_VALUE"""),"GS Foundation")</f>
        <v>GS Foundation</v>
      </c>
    </row>
    <row r="2317">
      <c r="A2317" s="126">
        <f>IFERROR(__xludf.DUMMYFUNCTION("""COMPUTED_VALUE"""),46071.0)</f>
        <v>46071</v>
      </c>
      <c r="B2317" s="124" t="str">
        <f>IFERROR(__xludf.DUMMYFUNCTION("""COMPUTED_VALUE"""),"Walkin")</f>
        <v>Walkin</v>
      </c>
      <c r="C2317" s="124" t="str">
        <f>IFERROR(__xludf.DUMMYFUNCTION("""COMPUTED_VALUE"""),"Lucknow")</f>
        <v>Lucknow</v>
      </c>
      <c r="D2317" s="124" t="str">
        <f>IFERROR(__xludf.DUMMYFUNCTION("""COMPUTED_VALUE"""),"Primary_Walkin")</f>
        <v>Primary_Walkin</v>
      </c>
      <c r="E2317" s="124">
        <f>IFERROR(__xludf.DUMMYFUNCTION("""COMPUTED_VALUE"""),1.0)</f>
        <v>1</v>
      </c>
      <c r="F2317" s="124" t="str">
        <f>IFERROR(__xludf.DUMMYFUNCTION("""COMPUTED_VALUE"""),"Not Interested")</f>
        <v>Not Interested</v>
      </c>
      <c r="G2317" s="124" t="str">
        <f>IFERROR(__xludf.DUMMYFUNCTION("""COMPUTED_VALUE"""),"State PCS")</f>
        <v>State PCS</v>
      </c>
      <c r="K2317" s="124"/>
      <c r="L2317" s="124"/>
      <c r="M2317" s="124"/>
      <c r="N2317" s="124"/>
      <c r="O2317" s="124"/>
      <c r="T2317" s="126">
        <f>IFERROR(__xludf.DUMMYFUNCTION("""COMPUTED_VALUE"""),46046.0)</f>
        <v>46046</v>
      </c>
      <c r="U2317" s="124" t="str">
        <f>IFERROR(__xludf.DUMMYFUNCTION("""COMPUTED_VALUE"""),"Telephony")</f>
        <v>Telephony</v>
      </c>
      <c r="V2317" s="124" t="str">
        <f>IFERROR(__xludf.DUMMYFUNCTION("""COMPUTED_VALUE"""),"Inbound Call")</f>
        <v>Inbound Call</v>
      </c>
      <c r="W2317" s="124">
        <f>IFERROR(__xludf.DUMMYFUNCTION("""COMPUTED_VALUE"""),9.18047861663E11)</f>
        <v>918047861663</v>
      </c>
      <c r="X2317" s="124" t="str">
        <f>IFERROR(__xludf.DUMMYFUNCTION("""COMPUTED_VALUE"""),"Inbound Call")</f>
        <v>Inbound Call</v>
      </c>
      <c r="Y2317" s="124"/>
      <c r="Z2317" s="124">
        <f>IFERROR(__xludf.DUMMYFUNCTION("""COMPUTED_VALUE"""),2.0)</f>
        <v>2</v>
      </c>
      <c r="AA2317" s="124" t="str">
        <f>IFERROR(__xludf.DUMMYFUNCTION("""COMPUTED_VALUE"""),"Cold")</f>
        <v>Cold</v>
      </c>
      <c r="AB2317" s="124" t="str">
        <f>IFERROR(__xludf.DUMMYFUNCTION("""COMPUTED_VALUE"""),"State PCS")</f>
        <v>State PCS</v>
      </c>
    </row>
    <row r="2318">
      <c r="A2318" s="126">
        <f>IFERROR(__xludf.DUMMYFUNCTION("""COMPUTED_VALUE"""),46070.0)</f>
        <v>46070</v>
      </c>
      <c r="B2318" s="124" t="str">
        <f>IFERROR(__xludf.DUMMYFUNCTION("""COMPUTED_VALUE"""),"Walkin")</f>
        <v>Walkin</v>
      </c>
      <c r="C2318" s="124" t="str">
        <f>IFERROR(__xludf.DUMMYFUNCTION("""COMPUTED_VALUE"""),"Indore")</f>
        <v>Indore</v>
      </c>
      <c r="D2318" s="124" t="str">
        <f>IFERROR(__xludf.DUMMYFUNCTION("""COMPUTED_VALUE"""),"Primary_Walkin")</f>
        <v>Primary_Walkin</v>
      </c>
      <c r="E2318" s="124">
        <f>IFERROR(__xludf.DUMMYFUNCTION("""COMPUTED_VALUE"""),1.0)</f>
        <v>1</v>
      </c>
      <c r="F2318" s="124" t="str">
        <f>IFERROR(__xludf.DUMMYFUNCTION("""COMPUTED_VALUE"""),"Enrolled")</f>
        <v>Enrolled</v>
      </c>
      <c r="G2318" s="124" t="str">
        <f>IFERROR(__xludf.DUMMYFUNCTION("""COMPUTED_VALUE"""),"State PCS")</f>
        <v>State PCS</v>
      </c>
      <c r="K2318" s="124"/>
      <c r="L2318" s="124"/>
      <c r="M2318" s="124"/>
      <c r="N2318" s="124"/>
      <c r="O2318" s="124"/>
      <c r="T2318" s="126">
        <f>IFERROR(__xludf.DUMMYFUNCTION("""COMPUTED_VALUE"""),46060.0)</f>
        <v>46060</v>
      </c>
      <c r="U2318" s="124" t="str">
        <f>IFERROR(__xludf.DUMMYFUNCTION("""COMPUTED_VALUE"""),"Telephony")</f>
        <v>Telephony</v>
      </c>
      <c r="V2318" s="124" t="str">
        <f>IFERROR(__xludf.DUMMYFUNCTION("""COMPUTED_VALUE"""),"Inbound Call")</f>
        <v>Inbound Call</v>
      </c>
      <c r="W2318" s="124">
        <f>IFERROR(__xludf.DUMMYFUNCTION("""COMPUTED_VALUE"""),9.18047861633E11)</f>
        <v>918047861633</v>
      </c>
      <c r="X2318" s="124" t="str">
        <f>IFERROR(__xludf.DUMMYFUNCTION("""COMPUTED_VALUE"""),"Inbound Call")</f>
        <v>Inbound Call</v>
      </c>
      <c r="Y2318" s="124"/>
      <c r="Z2318" s="124">
        <f>IFERROR(__xludf.DUMMYFUNCTION("""COMPUTED_VALUE"""),2.0)</f>
        <v>2</v>
      </c>
      <c r="AA2318" s="124" t="str">
        <f>IFERROR(__xludf.DUMMYFUNCTION("""COMPUTED_VALUE"""),"Cold")</f>
        <v>Cold</v>
      </c>
      <c r="AB2318" s="124"/>
    </row>
    <row r="2319">
      <c r="A2319" s="126">
        <f>IFERROR(__xludf.DUMMYFUNCTION("""COMPUTED_VALUE"""),46044.0)</f>
        <v>46044</v>
      </c>
      <c r="B2319" s="124" t="str">
        <f>IFERROR(__xludf.DUMMYFUNCTION("""COMPUTED_VALUE"""),"Walkin")</f>
        <v>Walkin</v>
      </c>
      <c r="C2319" s="124" t="str">
        <f>IFERROR(__xludf.DUMMYFUNCTION("""COMPUTED_VALUE"""),"Indore")</f>
        <v>Indore</v>
      </c>
      <c r="D2319" s="124" t="str">
        <f>IFERROR(__xludf.DUMMYFUNCTION("""COMPUTED_VALUE"""),"Primary_Walkin")</f>
        <v>Primary_Walkin</v>
      </c>
      <c r="E2319" s="124">
        <f>IFERROR(__xludf.DUMMYFUNCTION("""COMPUTED_VALUE"""),1.0)</f>
        <v>1</v>
      </c>
      <c r="F2319" s="124" t="str">
        <f>IFERROR(__xludf.DUMMYFUNCTION("""COMPUTED_VALUE"""),"Enrolled")</f>
        <v>Enrolled</v>
      </c>
      <c r="G2319" s="124" t="str">
        <f>IFERROR(__xludf.DUMMYFUNCTION("""COMPUTED_VALUE"""),"Optionals")</f>
        <v>Optionals</v>
      </c>
      <c r="K2319" s="124"/>
      <c r="L2319" s="124"/>
      <c r="M2319" s="124"/>
      <c r="N2319" s="124"/>
      <c r="O2319" s="124"/>
      <c r="T2319" s="129">
        <f>IFERROR(__xludf.DUMMYFUNCTION("""COMPUTED_VALUE"""),46073.0)</f>
        <v>46073</v>
      </c>
      <c r="U2319" s="124" t="str">
        <f>IFERROR(__xludf.DUMMYFUNCTION("""COMPUTED_VALUE"""),"Telephony")</f>
        <v>Telephony</v>
      </c>
      <c r="V2319" s="124" t="str">
        <f>IFERROR(__xludf.DUMMYFUNCTION("""COMPUTED_VALUE"""),"Inbound Call")</f>
        <v>Inbound Call</v>
      </c>
      <c r="W2319" s="124">
        <f>IFERROR(__xludf.DUMMYFUNCTION("""COMPUTED_VALUE"""),9.18047861631E11)</f>
        <v>918047861631</v>
      </c>
      <c r="X2319" s="124" t="str">
        <f>IFERROR(__xludf.DUMMYFUNCTION("""COMPUTED_VALUE"""),"Inbound Call")</f>
        <v>Inbound Call</v>
      </c>
      <c r="Y2319" s="124"/>
      <c r="Z2319" s="124">
        <f>IFERROR(__xludf.DUMMYFUNCTION("""COMPUTED_VALUE"""),1.0)</f>
        <v>1</v>
      </c>
      <c r="AA2319" s="124" t="str">
        <f>IFERROR(__xludf.DUMMYFUNCTION("""COMPUTED_VALUE"""),"Cold")</f>
        <v>Cold</v>
      </c>
      <c r="AB2319" s="124"/>
    </row>
    <row r="2320">
      <c r="A2320" s="129">
        <f>IFERROR(__xludf.DUMMYFUNCTION("""COMPUTED_VALUE"""),46058.0)</f>
        <v>46058</v>
      </c>
      <c r="B2320" s="124" t="str">
        <f>IFERROR(__xludf.DUMMYFUNCTION("""COMPUTED_VALUE"""),"Walkin")</f>
        <v>Walkin</v>
      </c>
      <c r="C2320" s="124" t="str">
        <f>IFERROR(__xludf.DUMMYFUNCTION("""COMPUTED_VALUE"""),"Lucknow")</f>
        <v>Lucknow</v>
      </c>
      <c r="D2320" s="124" t="str">
        <f>IFERROR(__xludf.DUMMYFUNCTION("""COMPUTED_VALUE"""),"Primary_Walkin")</f>
        <v>Primary_Walkin</v>
      </c>
      <c r="E2320" s="124">
        <f>IFERROR(__xludf.DUMMYFUNCTION("""COMPUTED_VALUE"""),1.0)</f>
        <v>1</v>
      </c>
      <c r="F2320" s="124" t="str">
        <f>IFERROR(__xludf.DUMMYFUNCTION("""COMPUTED_VALUE"""),"Enrolled")</f>
        <v>Enrolled</v>
      </c>
      <c r="G2320" s="124" t="str">
        <f>IFERROR(__xludf.DUMMYFUNCTION("""COMPUTED_VALUE"""),"State PCS")</f>
        <v>State PCS</v>
      </c>
      <c r="K2320" s="124"/>
      <c r="L2320" s="124"/>
      <c r="M2320" s="124"/>
      <c r="N2320" s="124"/>
      <c r="O2320" s="124"/>
      <c r="T2320" s="129">
        <f>IFERROR(__xludf.DUMMYFUNCTION("""COMPUTED_VALUE"""),46112.0)</f>
        <v>46112</v>
      </c>
      <c r="U2320" s="124" t="str">
        <f>IFERROR(__xludf.DUMMYFUNCTION("""COMPUTED_VALUE"""),"Telephony")</f>
        <v>Telephony</v>
      </c>
      <c r="V2320" s="124" t="str">
        <f>IFERROR(__xludf.DUMMYFUNCTION("""COMPUTED_VALUE"""),"Inbound Call")</f>
        <v>Inbound Call</v>
      </c>
      <c r="W2320" s="124">
        <f>IFERROR(__xludf.DUMMYFUNCTION("""COMPUTED_VALUE"""),9.18047861663E11)</f>
        <v>918047861663</v>
      </c>
      <c r="X2320" s="124" t="str">
        <f>IFERROR(__xludf.DUMMYFUNCTION("""COMPUTED_VALUE"""),"Inbound Call")</f>
        <v>Inbound Call</v>
      </c>
      <c r="Y2320" s="124" t="str">
        <f>IFERROR(__xludf.DUMMYFUNCTION("""COMPUTED_VALUE"""),"Delhi")</f>
        <v>Delhi</v>
      </c>
      <c r="Z2320" s="124">
        <f>IFERROR(__xludf.DUMMYFUNCTION("""COMPUTED_VALUE"""),3.0)</f>
        <v>3</v>
      </c>
      <c r="AA2320" s="124" t="str">
        <f>IFERROR(__xludf.DUMMYFUNCTION("""COMPUTED_VALUE"""),"Cold")</f>
        <v>Cold</v>
      </c>
      <c r="AB2320" s="124"/>
    </row>
    <row r="2321">
      <c r="A2321" s="126">
        <f>IFERROR(__xludf.DUMMYFUNCTION("""COMPUTED_VALUE"""),46075.0)</f>
        <v>46075</v>
      </c>
      <c r="B2321" s="124" t="str">
        <f>IFERROR(__xludf.DUMMYFUNCTION("""COMPUTED_VALUE"""),"Walkin")</f>
        <v>Walkin</v>
      </c>
      <c r="C2321" s="124" t="str">
        <f>IFERROR(__xludf.DUMMYFUNCTION("""COMPUTED_VALUE"""),"Indore")</f>
        <v>Indore</v>
      </c>
      <c r="D2321" s="124" t="str">
        <f>IFERROR(__xludf.DUMMYFUNCTION("""COMPUTED_VALUE"""),"Primary_Walkin")</f>
        <v>Primary_Walkin</v>
      </c>
      <c r="E2321" s="124">
        <f>IFERROR(__xludf.DUMMYFUNCTION("""COMPUTED_VALUE"""),1.0)</f>
        <v>1</v>
      </c>
      <c r="F2321" s="124" t="str">
        <f>IFERROR(__xludf.DUMMYFUNCTION("""COMPUTED_VALUE"""),"Cold")</f>
        <v>Cold</v>
      </c>
      <c r="G2321" s="124" t="str">
        <f>IFERROR(__xludf.DUMMYFUNCTION("""COMPUTED_VALUE"""),"GS Foundation")</f>
        <v>GS Foundation</v>
      </c>
      <c r="K2321" s="124"/>
      <c r="L2321" s="124"/>
      <c r="M2321" s="124"/>
      <c r="N2321" s="124"/>
      <c r="O2321" s="124"/>
      <c r="T2321" s="129">
        <f>IFERROR(__xludf.DUMMYFUNCTION("""COMPUTED_VALUE"""),46070.0)</f>
        <v>46070</v>
      </c>
      <c r="U2321" s="124" t="str">
        <f>IFERROR(__xludf.DUMMYFUNCTION("""COMPUTED_VALUE"""),"Telephony")</f>
        <v>Telephony</v>
      </c>
      <c r="V2321" s="124" t="str">
        <f>IFERROR(__xludf.DUMMYFUNCTION("""COMPUTED_VALUE"""),"Inbound Call")</f>
        <v>Inbound Call</v>
      </c>
      <c r="W2321" s="124">
        <f>IFERROR(__xludf.DUMMYFUNCTION("""COMPUTED_VALUE"""),9.18047861631E11)</f>
        <v>918047861631</v>
      </c>
      <c r="X2321" s="124" t="str">
        <f>IFERROR(__xludf.DUMMYFUNCTION("""COMPUTED_VALUE"""),"Inbound Call")</f>
        <v>Inbound Call</v>
      </c>
      <c r="Y2321" s="124"/>
      <c r="Z2321" s="124">
        <f>IFERROR(__xludf.DUMMYFUNCTION("""COMPUTED_VALUE"""),1.0)</f>
        <v>1</v>
      </c>
      <c r="AA2321" s="124" t="str">
        <f>IFERROR(__xludf.DUMMYFUNCTION("""COMPUTED_VALUE"""),"Cold")</f>
        <v>Cold</v>
      </c>
      <c r="AB2321" s="124"/>
    </row>
    <row r="2322">
      <c r="A2322" s="126">
        <f>IFERROR(__xludf.DUMMYFUNCTION("""COMPUTED_VALUE"""),46043.0)</f>
        <v>46043</v>
      </c>
      <c r="B2322" s="124" t="str">
        <f>IFERROR(__xludf.DUMMYFUNCTION("""COMPUTED_VALUE"""),"Walkin")</f>
        <v>Walkin</v>
      </c>
      <c r="C2322" s="124" t="str">
        <f>IFERROR(__xludf.DUMMYFUNCTION("""COMPUTED_VALUE"""),"Indore")</f>
        <v>Indore</v>
      </c>
      <c r="D2322" s="124" t="str">
        <f>IFERROR(__xludf.DUMMYFUNCTION("""COMPUTED_VALUE"""),"Primary_Walkin")</f>
        <v>Primary_Walkin</v>
      </c>
      <c r="E2322" s="124">
        <f>IFERROR(__xludf.DUMMYFUNCTION("""COMPUTED_VALUE"""),1.0)</f>
        <v>1</v>
      </c>
      <c r="F2322" s="124" t="str">
        <f>IFERROR(__xludf.DUMMYFUNCTION("""COMPUTED_VALUE"""),"Cold")</f>
        <v>Cold</v>
      </c>
      <c r="G2322" s="124" t="str">
        <f>IFERROR(__xludf.DUMMYFUNCTION("""COMPUTED_VALUE"""),"Optionals")</f>
        <v>Optionals</v>
      </c>
      <c r="K2322" s="124"/>
      <c r="L2322" s="124"/>
      <c r="M2322" s="124"/>
      <c r="N2322" s="124"/>
      <c r="O2322" s="124"/>
      <c r="T2322" s="126">
        <f>IFERROR(__xludf.DUMMYFUNCTION("""COMPUTED_VALUE"""),46090.0)</f>
        <v>46090</v>
      </c>
      <c r="U2322" s="124" t="str">
        <f>IFERROR(__xludf.DUMMYFUNCTION("""COMPUTED_VALUE"""),"Telephony")</f>
        <v>Telephony</v>
      </c>
      <c r="V2322" s="124" t="str">
        <f>IFERROR(__xludf.DUMMYFUNCTION("""COMPUTED_VALUE"""),"Inbound Call")</f>
        <v>Inbound Call</v>
      </c>
      <c r="W2322" s="124">
        <f>IFERROR(__xludf.DUMMYFUNCTION("""COMPUTED_VALUE"""),9.18047861663E11)</f>
        <v>918047861663</v>
      </c>
      <c r="X2322" s="124" t="str">
        <f>IFERROR(__xludf.DUMMYFUNCTION("""COMPUTED_VALUE"""),"Inbound Call")</f>
        <v>Inbound Call</v>
      </c>
      <c r="Y2322" s="124" t="str">
        <f>IFERROR(__xludf.DUMMYFUNCTION("""COMPUTED_VALUE"""),"Delhi")</f>
        <v>Delhi</v>
      </c>
      <c r="Z2322" s="124">
        <f>IFERROR(__xludf.DUMMYFUNCTION("""COMPUTED_VALUE"""),1.0)</f>
        <v>1</v>
      </c>
      <c r="AA2322" s="124" t="str">
        <f>IFERROR(__xludf.DUMMYFUNCTION("""COMPUTED_VALUE"""),"Not Interested")</f>
        <v>Not Interested</v>
      </c>
      <c r="AB2322" s="124"/>
    </row>
    <row r="2323">
      <c r="A2323" s="129">
        <f>IFERROR(__xludf.DUMMYFUNCTION("""COMPUTED_VALUE"""),46060.0)</f>
        <v>46060</v>
      </c>
      <c r="B2323" s="124" t="str">
        <f>IFERROR(__xludf.DUMMYFUNCTION("""COMPUTED_VALUE"""),"Walkin")</f>
        <v>Walkin</v>
      </c>
      <c r="C2323" s="124" t="str">
        <f>IFERROR(__xludf.DUMMYFUNCTION("""COMPUTED_VALUE"""),"Indore")</f>
        <v>Indore</v>
      </c>
      <c r="D2323" s="124" t="str">
        <f>IFERROR(__xludf.DUMMYFUNCTION("""COMPUTED_VALUE"""),"Primary_Walkin")</f>
        <v>Primary_Walkin</v>
      </c>
      <c r="E2323" s="124">
        <f>IFERROR(__xludf.DUMMYFUNCTION("""COMPUTED_VALUE"""),1.0)</f>
        <v>1</v>
      </c>
      <c r="F2323" s="124" t="str">
        <f>IFERROR(__xludf.DUMMYFUNCTION("""COMPUTED_VALUE"""),"Cold")</f>
        <v>Cold</v>
      </c>
      <c r="G2323" s="124" t="str">
        <f>IFERROR(__xludf.DUMMYFUNCTION("""COMPUTED_VALUE"""),"GS Foundation")</f>
        <v>GS Foundation</v>
      </c>
      <c r="K2323" s="124"/>
      <c r="L2323" s="124"/>
      <c r="M2323" s="124"/>
      <c r="N2323" s="124"/>
      <c r="O2323" s="124"/>
      <c r="T2323" s="129">
        <f>IFERROR(__xludf.DUMMYFUNCTION("""COMPUTED_VALUE"""),46069.0)</f>
        <v>46069</v>
      </c>
      <c r="U2323" s="124" t="str">
        <f>IFERROR(__xludf.DUMMYFUNCTION("""COMPUTED_VALUE"""),"Telephony")</f>
        <v>Telephony</v>
      </c>
      <c r="V2323" s="124" t="str">
        <f>IFERROR(__xludf.DUMMYFUNCTION("""COMPUTED_VALUE"""),"Inbound Call")</f>
        <v>Inbound Call</v>
      </c>
      <c r="W2323" s="124" t="str">
        <f>IFERROR(__xludf.DUMMYFUNCTION("""COMPUTED_VALUE"""),"Inbound Call")</f>
        <v>Inbound Call</v>
      </c>
      <c r="X2323" s="124" t="str">
        <f>IFERROR(__xludf.DUMMYFUNCTION("""COMPUTED_VALUE"""),"Inbound Call")</f>
        <v>Inbound Call</v>
      </c>
      <c r="Y2323" s="124" t="str">
        <f>IFERROR(__xludf.DUMMYFUNCTION("""COMPUTED_VALUE"""),"Indore")</f>
        <v>Indore</v>
      </c>
      <c r="Z2323" s="124">
        <f>IFERROR(__xludf.DUMMYFUNCTION("""COMPUTED_VALUE"""),1.0)</f>
        <v>1</v>
      </c>
      <c r="AA2323" s="124" t="str">
        <f>IFERROR(__xludf.DUMMYFUNCTION("""COMPUTED_VALUE"""),"Cold")</f>
        <v>Cold</v>
      </c>
      <c r="AB2323" s="124" t="str">
        <f>IFERROR(__xludf.DUMMYFUNCTION("""COMPUTED_VALUE"""),"GS Foundation")</f>
        <v>GS Foundation</v>
      </c>
    </row>
    <row r="2324">
      <c r="A2324" s="129">
        <f>IFERROR(__xludf.DUMMYFUNCTION("""COMPUTED_VALUE"""),46058.0)</f>
        <v>46058</v>
      </c>
      <c r="B2324" s="124" t="str">
        <f>IFERROR(__xludf.DUMMYFUNCTION("""COMPUTED_VALUE"""),"Walkin")</f>
        <v>Walkin</v>
      </c>
      <c r="C2324" s="124" t="str">
        <f>IFERROR(__xludf.DUMMYFUNCTION("""COMPUTED_VALUE"""),"Indore")</f>
        <v>Indore</v>
      </c>
      <c r="D2324" s="124" t="str">
        <f>IFERROR(__xludf.DUMMYFUNCTION("""COMPUTED_VALUE"""),"Primary_Walkin")</f>
        <v>Primary_Walkin</v>
      </c>
      <c r="E2324" s="124">
        <f>IFERROR(__xludf.DUMMYFUNCTION("""COMPUTED_VALUE"""),1.0)</f>
        <v>1</v>
      </c>
      <c r="F2324" s="124" t="str">
        <f>IFERROR(__xludf.DUMMYFUNCTION("""COMPUTED_VALUE"""),"Cold")</f>
        <v>Cold</v>
      </c>
      <c r="G2324" s="124" t="str">
        <f>IFERROR(__xludf.DUMMYFUNCTION("""COMPUTED_VALUE"""),"GS Foundation")</f>
        <v>GS Foundation</v>
      </c>
      <c r="K2324" s="124"/>
      <c r="L2324" s="124"/>
      <c r="M2324" s="124"/>
      <c r="N2324" s="124"/>
      <c r="O2324" s="124"/>
      <c r="T2324" s="126">
        <f>IFERROR(__xludf.DUMMYFUNCTION("""COMPUTED_VALUE"""),46073.0)</f>
        <v>46073</v>
      </c>
      <c r="U2324" s="124" t="str">
        <f>IFERROR(__xludf.DUMMYFUNCTION("""COMPUTED_VALUE"""),"Telephony")</f>
        <v>Telephony</v>
      </c>
      <c r="V2324" s="124" t="str">
        <f>IFERROR(__xludf.DUMMYFUNCTION("""COMPUTED_VALUE"""),"Inbound Call")</f>
        <v>Inbound Call</v>
      </c>
      <c r="W2324" s="124">
        <f>IFERROR(__xludf.DUMMYFUNCTION("""COMPUTED_VALUE"""),9.18047861635E11)</f>
        <v>918047861635</v>
      </c>
      <c r="X2324" s="124" t="str">
        <f>IFERROR(__xludf.DUMMYFUNCTION("""COMPUTED_VALUE"""),"Inbound Call")</f>
        <v>Inbound Call</v>
      </c>
      <c r="Y2324" s="124" t="str">
        <f>IFERROR(__xludf.DUMMYFUNCTION("""COMPUTED_VALUE"""),"Indore")</f>
        <v>Indore</v>
      </c>
      <c r="Z2324" s="124">
        <f>IFERROR(__xludf.DUMMYFUNCTION("""COMPUTED_VALUE"""),1.0)</f>
        <v>1</v>
      </c>
      <c r="AA2324" s="124" t="str">
        <f>IFERROR(__xludf.DUMMYFUNCTION("""COMPUTED_VALUE"""),"Warm")</f>
        <v>Warm</v>
      </c>
      <c r="AB2324" s="124" t="str">
        <f>IFERROR(__xludf.DUMMYFUNCTION("""COMPUTED_VALUE"""),"Test Series")</f>
        <v>Test Series</v>
      </c>
    </row>
    <row r="2325">
      <c r="A2325" s="126">
        <f>IFERROR(__xludf.DUMMYFUNCTION("""COMPUTED_VALUE"""),46075.0)</f>
        <v>46075</v>
      </c>
      <c r="B2325" s="124" t="str">
        <f>IFERROR(__xludf.DUMMYFUNCTION("""COMPUTED_VALUE"""),"Walkin")</f>
        <v>Walkin</v>
      </c>
      <c r="C2325" s="124" t="str">
        <f>IFERROR(__xludf.DUMMYFUNCTION("""COMPUTED_VALUE"""),"Lucknow")</f>
        <v>Lucknow</v>
      </c>
      <c r="D2325" s="124" t="str">
        <f>IFERROR(__xludf.DUMMYFUNCTION("""COMPUTED_VALUE"""),"Primary_Walkin")</f>
        <v>Primary_Walkin</v>
      </c>
      <c r="E2325" s="124">
        <f>IFERROR(__xludf.DUMMYFUNCTION("""COMPUTED_VALUE"""),1.0)</f>
        <v>1</v>
      </c>
      <c r="F2325" s="124" t="str">
        <f>IFERROR(__xludf.DUMMYFUNCTION("""COMPUTED_VALUE"""),"Enrolled")</f>
        <v>Enrolled</v>
      </c>
      <c r="G2325" s="124" t="str">
        <f>IFERROR(__xludf.DUMMYFUNCTION("""COMPUTED_VALUE"""),"Hybrid")</f>
        <v>Hybrid</v>
      </c>
      <c r="K2325" s="124"/>
      <c r="L2325" s="124"/>
      <c r="M2325" s="124"/>
      <c r="N2325" s="124"/>
      <c r="O2325" s="124"/>
      <c r="T2325" s="126">
        <f>IFERROR(__xludf.DUMMYFUNCTION("""COMPUTED_VALUE"""),46099.0)</f>
        <v>46099</v>
      </c>
      <c r="U2325" s="124" t="str">
        <f>IFERROR(__xludf.DUMMYFUNCTION("""COMPUTED_VALUE"""),"Telephony")</f>
        <v>Telephony</v>
      </c>
      <c r="V2325" s="124" t="str">
        <f>IFERROR(__xludf.DUMMYFUNCTION("""COMPUTED_VALUE"""),"Inbound Call")</f>
        <v>Inbound Call</v>
      </c>
      <c r="W2325" s="124">
        <f>IFERROR(__xludf.DUMMYFUNCTION("""COMPUTED_VALUE"""),9.18047861635E11)</f>
        <v>918047861635</v>
      </c>
      <c r="X2325" s="124" t="str">
        <f>IFERROR(__xludf.DUMMYFUNCTION("""COMPUTED_VALUE"""),"Inbound Call")</f>
        <v>Inbound Call</v>
      </c>
      <c r="Y2325" s="124" t="str">
        <f>IFERROR(__xludf.DUMMYFUNCTION("""COMPUTED_VALUE"""),"Indore")</f>
        <v>Indore</v>
      </c>
      <c r="Z2325" s="124">
        <f>IFERROR(__xludf.DUMMYFUNCTION("""COMPUTED_VALUE"""),1.0)</f>
        <v>1</v>
      </c>
      <c r="AA2325" s="124" t="str">
        <f>IFERROR(__xludf.DUMMYFUNCTION("""COMPUTED_VALUE"""),"Not Interested")</f>
        <v>Not Interested</v>
      </c>
      <c r="AB2325" s="124"/>
    </row>
    <row r="2326">
      <c r="A2326" s="126">
        <f>IFERROR(__xludf.DUMMYFUNCTION("""COMPUTED_VALUE"""),46079.0)</f>
        <v>46079</v>
      </c>
      <c r="B2326" s="124" t="str">
        <f>IFERROR(__xludf.DUMMYFUNCTION("""COMPUTED_VALUE"""),"Walkin")</f>
        <v>Walkin</v>
      </c>
      <c r="C2326" s="124" t="str">
        <f>IFERROR(__xludf.DUMMYFUNCTION("""COMPUTED_VALUE"""),"Indore")</f>
        <v>Indore</v>
      </c>
      <c r="D2326" s="124" t="str">
        <f>IFERROR(__xludf.DUMMYFUNCTION("""COMPUTED_VALUE"""),"Primary_Walkin")</f>
        <v>Primary_Walkin</v>
      </c>
      <c r="E2326" s="124">
        <f>IFERROR(__xludf.DUMMYFUNCTION("""COMPUTED_VALUE"""),1.0)</f>
        <v>1</v>
      </c>
      <c r="F2326" s="124" t="str">
        <f>IFERROR(__xludf.DUMMYFUNCTION("""COMPUTED_VALUE"""),"Not Interested")</f>
        <v>Not Interested</v>
      </c>
      <c r="G2326" s="124" t="str">
        <f>IFERROR(__xludf.DUMMYFUNCTION("""COMPUTED_VALUE"""),"Other")</f>
        <v>Other</v>
      </c>
      <c r="K2326" s="124"/>
      <c r="L2326" s="124"/>
      <c r="M2326" s="124"/>
      <c r="N2326" s="124"/>
      <c r="O2326" s="124"/>
      <c r="T2326" s="129">
        <f>IFERROR(__xludf.DUMMYFUNCTION("""COMPUTED_VALUE"""),46111.0)</f>
        <v>46111</v>
      </c>
      <c r="U2326" s="124" t="str">
        <f>IFERROR(__xludf.DUMMYFUNCTION("""COMPUTED_VALUE"""),"Telephony")</f>
        <v>Telephony</v>
      </c>
      <c r="V2326" s="124" t="str">
        <f>IFERROR(__xludf.DUMMYFUNCTION("""COMPUTED_VALUE"""),"Inbound Call")</f>
        <v>Inbound Call</v>
      </c>
      <c r="W2326" s="124">
        <f>IFERROR(__xludf.DUMMYFUNCTION("""COMPUTED_VALUE"""),9.18047861635E11)</f>
        <v>918047861635</v>
      </c>
      <c r="X2326" s="124" t="str">
        <f>IFERROR(__xludf.DUMMYFUNCTION("""COMPUTED_VALUE"""),"Inbound Call")</f>
        <v>Inbound Call</v>
      </c>
      <c r="Y2326" s="124" t="str">
        <f>IFERROR(__xludf.DUMMYFUNCTION("""COMPUTED_VALUE"""),"Indore")</f>
        <v>Indore</v>
      </c>
      <c r="Z2326" s="124">
        <f>IFERROR(__xludf.DUMMYFUNCTION("""COMPUTED_VALUE"""),1.0)</f>
        <v>1</v>
      </c>
      <c r="AA2326" s="124" t="str">
        <f>IFERROR(__xludf.DUMMYFUNCTION("""COMPUTED_VALUE"""),"Not Interested")</f>
        <v>Not Interested</v>
      </c>
      <c r="AB2326" s="124"/>
    </row>
    <row r="2327">
      <c r="A2327" s="126">
        <f>IFERROR(__xludf.DUMMYFUNCTION("""COMPUTED_VALUE"""),46068.0)</f>
        <v>46068</v>
      </c>
      <c r="B2327" s="124" t="str">
        <f>IFERROR(__xludf.DUMMYFUNCTION("""COMPUTED_VALUE"""),"Walkin")</f>
        <v>Walkin</v>
      </c>
      <c r="C2327" s="124" t="str">
        <f>IFERROR(__xludf.DUMMYFUNCTION("""COMPUTED_VALUE"""),"Lucknow")</f>
        <v>Lucknow</v>
      </c>
      <c r="D2327" s="124" t="str">
        <f>IFERROR(__xludf.DUMMYFUNCTION("""COMPUTED_VALUE"""),"Primary_Walkin")</f>
        <v>Primary_Walkin</v>
      </c>
      <c r="E2327" s="124">
        <f>IFERROR(__xludf.DUMMYFUNCTION("""COMPUTED_VALUE"""),1.0)</f>
        <v>1</v>
      </c>
      <c r="F2327" s="124" t="str">
        <f>IFERROR(__xludf.DUMMYFUNCTION("""COMPUTED_VALUE"""),"Future Prospects")</f>
        <v>Future Prospects</v>
      </c>
      <c r="G2327" s="124" t="str">
        <f>IFERROR(__xludf.DUMMYFUNCTION("""COMPUTED_VALUE"""),"GS Foundation")</f>
        <v>GS Foundation</v>
      </c>
      <c r="K2327" s="124"/>
      <c r="L2327" s="124"/>
      <c r="M2327" s="124"/>
      <c r="N2327" s="124"/>
      <c r="O2327" s="124"/>
      <c r="T2327" s="126">
        <f>IFERROR(__xludf.DUMMYFUNCTION("""COMPUTED_VALUE"""),46093.0)</f>
        <v>46093</v>
      </c>
      <c r="U2327" s="124" t="str">
        <f>IFERROR(__xludf.DUMMYFUNCTION("""COMPUTED_VALUE"""),"Telephony")</f>
        <v>Telephony</v>
      </c>
      <c r="V2327" s="124" t="str">
        <f>IFERROR(__xludf.DUMMYFUNCTION("""COMPUTED_VALUE"""),"Inbound Call")</f>
        <v>Inbound Call</v>
      </c>
      <c r="W2327" s="124">
        <f>IFERROR(__xludf.DUMMYFUNCTION("""COMPUTED_VALUE"""),9.18047861633E11)</f>
        <v>918047861633</v>
      </c>
      <c r="X2327" s="124" t="str">
        <f>IFERROR(__xludf.DUMMYFUNCTION("""COMPUTED_VALUE"""),"Inbound Call")</f>
        <v>Inbound Call</v>
      </c>
      <c r="Y2327" s="124"/>
      <c r="Z2327" s="124">
        <f>IFERROR(__xludf.DUMMYFUNCTION("""COMPUTED_VALUE"""),2.0)</f>
        <v>2</v>
      </c>
      <c r="AA2327" s="124" t="str">
        <f>IFERROR(__xludf.DUMMYFUNCTION("""COMPUTED_VALUE"""),"Cold")</f>
        <v>Cold</v>
      </c>
      <c r="AB2327" s="124"/>
    </row>
    <row r="2328">
      <c r="A2328" s="126">
        <f>IFERROR(__xludf.DUMMYFUNCTION("""COMPUTED_VALUE"""),46069.0)</f>
        <v>46069</v>
      </c>
      <c r="B2328" s="124" t="str">
        <f>IFERROR(__xludf.DUMMYFUNCTION("""COMPUTED_VALUE"""),"Walkin")</f>
        <v>Walkin</v>
      </c>
      <c r="C2328" s="124" t="str">
        <f>IFERROR(__xludf.DUMMYFUNCTION("""COMPUTED_VALUE"""),"Indore")</f>
        <v>Indore</v>
      </c>
      <c r="D2328" s="124" t="str">
        <f>IFERROR(__xludf.DUMMYFUNCTION("""COMPUTED_VALUE"""),"Primary_Walkin")</f>
        <v>Primary_Walkin</v>
      </c>
      <c r="E2328" s="124">
        <f>IFERROR(__xludf.DUMMYFUNCTION("""COMPUTED_VALUE"""),1.0)</f>
        <v>1</v>
      </c>
      <c r="F2328" s="124" t="str">
        <f>IFERROR(__xludf.DUMMYFUNCTION("""COMPUTED_VALUE"""),"Future Prospects")</f>
        <v>Future Prospects</v>
      </c>
      <c r="G2328" s="124" t="str">
        <f>IFERROR(__xludf.DUMMYFUNCTION("""COMPUTED_VALUE"""),"State PCS")</f>
        <v>State PCS</v>
      </c>
      <c r="K2328" s="124"/>
      <c r="L2328" s="124"/>
      <c r="M2328" s="124"/>
      <c r="N2328" s="124"/>
      <c r="O2328" s="124"/>
      <c r="T2328" s="126">
        <f>IFERROR(__xludf.DUMMYFUNCTION("""COMPUTED_VALUE"""),46046.0)</f>
        <v>46046</v>
      </c>
      <c r="U2328" s="124" t="str">
        <f>IFERROR(__xludf.DUMMYFUNCTION("""COMPUTED_VALUE"""),"Telephony")</f>
        <v>Telephony</v>
      </c>
      <c r="V2328" s="124" t="str">
        <f>IFERROR(__xludf.DUMMYFUNCTION("""COMPUTED_VALUE"""),"Inbound Call")</f>
        <v>Inbound Call</v>
      </c>
      <c r="W2328" s="124" t="str">
        <f>IFERROR(__xludf.DUMMYFUNCTION("""COMPUTED_VALUE"""),"Inbound Call")</f>
        <v>Inbound Call</v>
      </c>
      <c r="X2328" s="124" t="str">
        <f>IFERROR(__xludf.DUMMYFUNCTION("""COMPUTED_VALUE"""),"Inbound Call")</f>
        <v>Inbound Call</v>
      </c>
      <c r="Y2328" s="124"/>
      <c r="Z2328" s="124">
        <f>IFERROR(__xludf.DUMMYFUNCTION("""COMPUTED_VALUE"""),1.0)</f>
        <v>1</v>
      </c>
      <c r="AA2328" s="124" t="str">
        <f>IFERROR(__xludf.DUMMYFUNCTION("""COMPUTED_VALUE"""),"Cold")</f>
        <v>Cold</v>
      </c>
      <c r="AB2328" s="124" t="str">
        <f>IFERROR(__xludf.DUMMYFUNCTION("""COMPUTED_VALUE"""),"State PCS")</f>
        <v>State PCS</v>
      </c>
    </row>
    <row r="2329">
      <c r="A2329" s="126">
        <f>IFERROR(__xludf.DUMMYFUNCTION("""COMPUTED_VALUE"""),46049.0)</f>
        <v>46049</v>
      </c>
      <c r="B2329" s="124" t="str">
        <f>IFERROR(__xludf.DUMMYFUNCTION("""COMPUTED_VALUE"""),"Walkin")</f>
        <v>Walkin</v>
      </c>
      <c r="C2329" s="124" t="str">
        <f>IFERROR(__xludf.DUMMYFUNCTION("""COMPUTED_VALUE"""),"Lucknow")</f>
        <v>Lucknow</v>
      </c>
      <c r="D2329" s="124" t="str">
        <f>IFERROR(__xludf.DUMMYFUNCTION("""COMPUTED_VALUE"""),"Primary_Walkin")</f>
        <v>Primary_Walkin</v>
      </c>
      <c r="E2329" s="124">
        <f>IFERROR(__xludf.DUMMYFUNCTION("""COMPUTED_VALUE"""),1.0)</f>
        <v>1</v>
      </c>
      <c r="F2329" s="124" t="str">
        <f>IFERROR(__xludf.DUMMYFUNCTION("""COMPUTED_VALUE"""),"Future Prospects")</f>
        <v>Future Prospects</v>
      </c>
      <c r="G2329" s="124" t="str">
        <f>IFERROR(__xludf.DUMMYFUNCTION("""COMPUTED_VALUE"""),"GS Foundation")</f>
        <v>GS Foundation</v>
      </c>
      <c r="K2329" s="124"/>
      <c r="L2329" s="124"/>
      <c r="M2329" s="124"/>
      <c r="N2329" s="124"/>
      <c r="O2329" s="124"/>
      <c r="T2329" s="126">
        <f>IFERROR(__xludf.DUMMYFUNCTION("""COMPUTED_VALUE"""),46058.0)</f>
        <v>46058</v>
      </c>
      <c r="U2329" s="124" t="str">
        <f>IFERROR(__xludf.DUMMYFUNCTION("""COMPUTED_VALUE"""),"Telephony")</f>
        <v>Telephony</v>
      </c>
      <c r="V2329" s="124" t="str">
        <f>IFERROR(__xludf.DUMMYFUNCTION("""COMPUTED_VALUE"""),"Inbound Call")</f>
        <v>Inbound Call</v>
      </c>
      <c r="W2329" s="124">
        <f>IFERROR(__xludf.DUMMYFUNCTION("""COMPUTED_VALUE"""),9.18047861663E11)</f>
        <v>918047861663</v>
      </c>
      <c r="X2329" s="124" t="str">
        <f>IFERROR(__xludf.DUMMYFUNCTION("""COMPUTED_VALUE"""),"Inbound Call")</f>
        <v>Inbound Call</v>
      </c>
      <c r="Y2329" s="124"/>
      <c r="Z2329" s="124">
        <f>IFERROR(__xludf.DUMMYFUNCTION("""COMPUTED_VALUE"""),2.0)</f>
        <v>2</v>
      </c>
      <c r="AA2329" s="124" t="str">
        <f>IFERROR(__xludf.DUMMYFUNCTION("""COMPUTED_VALUE"""),"Not Interested")</f>
        <v>Not Interested</v>
      </c>
      <c r="AB2329" s="124"/>
    </row>
    <row r="2330">
      <c r="A2330" s="126">
        <f>IFERROR(__xludf.DUMMYFUNCTION("""COMPUTED_VALUE"""),46106.0)</f>
        <v>46106</v>
      </c>
      <c r="B2330" s="124" t="str">
        <f>IFERROR(__xludf.DUMMYFUNCTION("""COMPUTED_VALUE"""),"walk-in")</f>
        <v>walk-in</v>
      </c>
      <c r="C2330" s="124" t="str">
        <f>IFERROR(__xludf.DUMMYFUNCTION("""COMPUTED_VALUE"""),"Indore")</f>
        <v>Indore</v>
      </c>
      <c r="D2330" s="124" t="str">
        <f>IFERROR(__xludf.DUMMYFUNCTION("""COMPUTED_VALUE"""),"Primary_Walkin")</f>
        <v>Primary_Walkin</v>
      </c>
      <c r="E2330" s="124">
        <f>IFERROR(__xludf.DUMMYFUNCTION("""COMPUTED_VALUE"""),1.0)</f>
        <v>1</v>
      </c>
      <c r="F2330" s="124" t="str">
        <f>IFERROR(__xludf.DUMMYFUNCTION("""COMPUTED_VALUE"""),"Cold")</f>
        <v>Cold</v>
      </c>
      <c r="G2330" s="124" t="str">
        <f>IFERROR(__xludf.DUMMYFUNCTION("""COMPUTED_VALUE"""),"Prelims Crash Course - SIP")</f>
        <v>Prelims Crash Course - SIP</v>
      </c>
      <c r="K2330" s="124"/>
      <c r="L2330" s="124"/>
      <c r="M2330" s="124"/>
      <c r="N2330" s="124"/>
      <c r="O2330" s="124"/>
      <c r="T2330" s="126">
        <f>IFERROR(__xludf.DUMMYFUNCTION("""COMPUTED_VALUE"""),46104.0)</f>
        <v>46104</v>
      </c>
      <c r="U2330" s="124" t="str">
        <f>IFERROR(__xludf.DUMMYFUNCTION("""COMPUTED_VALUE"""),"Telephony")</f>
        <v>Telephony</v>
      </c>
      <c r="V2330" s="124" t="str">
        <f>IFERROR(__xludf.DUMMYFUNCTION("""COMPUTED_VALUE"""),"Inbound Call")</f>
        <v>Inbound Call</v>
      </c>
      <c r="W2330" s="124">
        <f>IFERROR(__xludf.DUMMYFUNCTION("""COMPUTED_VALUE"""),9.18047861635E11)</f>
        <v>918047861635</v>
      </c>
      <c r="X2330" s="124" t="str">
        <f>IFERROR(__xludf.DUMMYFUNCTION("""COMPUTED_VALUE"""),"Inbound Call")</f>
        <v>Inbound Call</v>
      </c>
      <c r="Y2330" s="124" t="str">
        <f>IFERROR(__xludf.DUMMYFUNCTION("""COMPUTED_VALUE"""),"Indore")</f>
        <v>Indore</v>
      </c>
      <c r="Z2330" s="124">
        <f>IFERROR(__xludf.DUMMYFUNCTION("""COMPUTED_VALUE"""),1.0)</f>
        <v>1</v>
      </c>
      <c r="AA2330" s="124" t="str">
        <f>IFERROR(__xludf.DUMMYFUNCTION("""COMPUTED_VALUE"""),"Not Interested")</f>
        <v>Not Interested</v>
      </c>
      <c r="AB2330" s="124" t="str">
        <f>IFERROR(__xludf.DUMMYFUNCTION("""COMPUTED_VALUE"""),"Other")</f>
        <v>Other</v>
      </c>
    </row>
    <row r="2331">
      <c r="A2331" s="129">
        <f>IFERROR(__xludf.DUMMYFUNCTION("""COMPUTED_VALUE"""),46057.0)</f>
        <v>46057</v>
      </c>
      <c r="B2331" s="124" t="str">
        <f>IFERROR(__xludf.DUMMYFUNCTION("""COMPUTED_VALUE"""),"Walkin")</f>
        <v>Walkin</v>
      </c>
      <c r="C2331" s="124" t="str">
        <f>IFERROR(__xludf.DUMMYFUNCTION("""COMPUTED_VALUE"""),"Indore")</f>
        <v>Indore</v>
      </c>
      <c r="D2331" s="124" t="str">
        <f>IFERROR(__xludf.DUMMYFUNCTION("""COMPUTED_VALUE"""),"Primary_Walkin")</f>
        <v>Primary_Walkin</v>
      </c>
      <c r="E2331" s="124">
        <f>IFERROR(__xludf.DUMMYFUNCTION("""COMPUTED_VALUE"""),1.0)</f>
        <v>1</v>
      </c>
      <c r="F2331" s="124" t="str">
        <f>IFERROR(__xludf.DUMMYFUNCTION("""COMPUTED_VALUE"""),"Not Interested")</f>
        <v>Not Interested</v>
      </c>
      <c r="G2331" s="124" t="str">
        <f>IFERROR(__xludf.DUMMYFUNCTION("""COMPUTED_VALUE"""),"State PCS")</f>
        <v>State PCS</v>
      </c>
      <c r="K2331" s="124"/>
      <c r="L2331" s="124"/>
      <c r="M2331" s="124"/>
      <c r="N2331" s="124"/>
      <c r="O2331" s="124"/>
      <c r="T2331" s="129">
        <f>IFERROR(__xludf.DUMMYFUNCTION("""COMPUTED_VALUE"""),46067.0)</f>
        <v>46067</v>
      </c>
      <c r="U2331" s="124" t="str">
        <f>IFERROR(__xludf.DUMMYFUNCTION("""COMPUTED_VALUE"""),"Telephony")</f>
        <v>Telephony</v>
      </c>
      <c r="V2331" s="124" t="str">
        <f>IFERROR(__xludf.DUMMYFUNCTION("""COMPUTED_VALUE"""),"Inbound Call")</f>
        <v>Inbound Call</v>
      </c>
      <c r="W2331" s="124" t="str">
        <f>IFERROR(__xludf.DUMMYFUNCTION("""COMPUTED_VALUE"""),"Inbound Call")</f>
        <v>Inbound Call</v>
      </c>
      <c r="X2331" s="124" t="str">
        <f>IFERROR(__xludf.DUMMYFUNCTION("""COMPUTED_VALUE"""),"Inbound Call")</f>
        <v>Inbound Call</v>
      </c>
      <c r="Y2331" s="124"/>
      <c r="Z2331" s="124">
        <f>IFERROR(__xludf.DUMMYFUNCTION("""COMPUTED_VALUE"""),1.0)</f>
        <v>1</v>
      </c>
      <c r="AA2331" s="124" t="str">
        <f>IFERROR(__xludf.DUMMYFUNCTION("""COMPUTED_VALUE"""),"Fake Lead")</f>
        <v>Fake Lead</v>
      </c>
      <c r="AB2331" s="124"/>
    </row>
    <row r="2332">
      <c r="A2332" s="126">
        <f>IFERROR(__xludf.DUMMYFUNCTION("""COMPUTED_VALUE"""),46112.0)</f>
        <v>46112</v>
      </c>
      <c r="B2332" s="124" t="str">
        <f>IFERROR(__xludf.DUMMYFUNCTION("""COMPUTED_VALUE"""),"walk-in")</f>
        <v>walk-in</v>
      </c>
      <c r="C2332" s="124" t="str">
        <f>IFERROR(__xludf.DUMMYFUNCTION("""COMPUTED_VALUE"""),"Indore")</f>
        <v>Indore</v>
      </c>
      <c r="D2332" s="124" t="str">
        <f>IFERROR(__xludf.DUMMYFUNCTION("""COMPUTED_VALUE"""),"Primary_Walkin")</f>
        <v>Primary_Walkin</v>
      </c>
      <c r="E2332" s="124">
        <f>IFERROR(__xludf.DUMMYFUNCTION("""COMPUTED_VALUE"""),1.0)</f>
        <v>1</v>
      </c>
      <c r="F2332" s="124" t="str">
        <f>IFERROR(__xludf.DUMMYFUNCTION("""COMPUTED_VALUE"""),"Future Prospects")</f>
        <v>Future Prospects</v>
      </c>
      <c r="G2332" s="124" t="str">
        <f>IFERROR(__xludf.DUMMYFUNCTION("""COMPUTED_VALUE"""),"State PCS")</f>
        <v>State PCS</v>
      </c>
      <c r="K2332" s="124"/>
      <c r="L2332" s="124"/>
      <c r="M2332" s="124"/>
      <c r="N2332" s="124"/>
      <c r="O2332" s="124"/>
      <c r="T2332" s="126">
        <f>IFERROR(__xludf.DUMMYFUNCTION("""COMPUTED_VALUE"""),46065.0)</f>
        <v>46065</v>
      </c>
      <c r="U2332" s="124" t="str">
        <f>IFERROR(__xludf.DUMMYFUNCTION("""COMPUTED_VALUE"""),"Telephony")</f>
        <v>Telephony</v>
      </c>
      <c r="V2332" s="124" t="str">
        <f>IFERROR(__xludf.DUMMYFUNCTION("""COMPUTED_VALUE"""),"Inbound Call")</f>
        <v>Inbound Call</v>
      </c>
      <c r="W2332" s="124">
        <f>IFERROR(__xludf.DUMMYFUNCTION("""COMPUTED_VALUE"""),9.18047861663E11)</f>
        <v>918047861663</v>
      </c>
      <c r="X2332" s="124" t="str">
        <f>IFERROR(__xludf.DUMMYFUNCTION("""COMPUTED_VALUE"""),"Inbound Call")</f>
        <v>Inbound Call</v>
      </c>
      <c r="Y2332" s="124"/>
      <c r="Z2332" s="124">
        <f>IFERROR(__xludf.DUMMYFUNCTION("""COMPUTED_VALUE"""),1.0)</f>
        <v>1</v>
      </c>
      <c r="AA2332" s="124" t="str">
        <f>IFERROR(__xludf.DUMMYFUNCTION("""COMPUTED_VALUE"""),"Cold")</f>
        <v>Cold</v>
      </c>
      <c r="AB2332" s="124"/>
    </row>
    <row r="2333">
      <c r="A2333" s="126">
        <f>IFERROR(__xludf.DUMMYFUNCTION("""COMPUTED_VALUE"""),46102.0)</f>
        <v>46102</v>
      </c>
      <c r="B2333" s="124" t="str">
        <f>IFERROR(__xludf.DUMMYFUNCTION("""COMPUTED_VALUE"""),"Walkin")</f>
        <v>Walkin</v>
      </c>
      <c r="C2333" s="124" t="str">
        <f>IFERROR(__xludf.DUMMYFUNCTION("""COMPUTED_VALUE"""),"Indore")</f>
        <v>Indore</v>
      </c>
      <c r="D2333" s="124" t="str">
        <f>IFERROR(__xludf.DUMMYFUNCTION("""COMPUTED_VALUE"""),"Primary_Walkin")</f>
        <v>Primary_Walkin</v>
      </c>
      <c r="E2333" s="124">
        <f>IFERROR(__xludf.DUMMYFUNCTION("""COMPUTED_VALUE"""),1.0)</f>
        <v>1</v>
      </c>
      <c r="F2333" s="124" t="str">
        <f>IFERROR(__xludf.DUMMYFUNCTION("""COMPUTED_VALUE"""),"Not Interested")</f>
        <v>Not Interested</v>
      </c>
      <c r="G2333" s="124" t="str">
        <f>IFERROR(__xludf.DUMMYFUNCTION("""COMPUTED_VALUE"""),"GS Foundation")</f>
        <v>GS Foundation</v>
      </c>
      <c r="K2333" s="124"/>
      <c r="L2333" s="124"/>
      <c r="M2333" s="124"/>
      <c r="N2333" s="124"/>
      <c r="O2333" s="124"/>
      <c r="T2333" s="129">
        <f>IFERROR(__xludf.DUMMYFUNCTION("""COMPUTED_VALUE"""),46109.0)</f>
        <v>46109</v>
      </c>
      <c r="U2333" s="124" t="str">
        <f>IFERROR(__xludf.DUMMYFUNCTION("""COMPUTED_VALUE"""),"Telephony")</f>
        <v>Telephony</v>
      </c>
      <c r="V2333" s="124" t="str">
        <f>IFERROR(__xludf.DUMMYFUNCTION("""COMPUTED_VALUE"""),"Inbound Call")</f>
        <v>Inbound Call</v>
      </c>
      <c r="W2333" s="124">
        <f>IFERROR(__xludf.DUMMYFUNCTION("""COMPUTED_VALUE"""),9.18047861635E11)</f>
        <v>918047861635</v>
      </c>
      <c r="X2333" s="124" t="str">
        <f>IFERROR(__xludf.DUMMYFUNCTION("""COMPUTED_VALUE"""),"Inbound Call")</f>
        <v>Inbound Call</v>
      </c>
      <c r="Y2333" s="124" t="str">
        <f>IFERROR(__xludf.DUMMYFUNCTION("""COMPUTED_VALUE"""),"Indore")</f>
        <v>Indore</v>
      </c>
      <c r="Z2333" s="124">
        <f>IFERROR(__xludf.DUMMYFUNCTION("""COMPUTED_VALUE"""),1.0)</f>
        <v>1</v>
      </c>
      <c r="AA2333" s="124" t="str">
        <f>IFERROR(__xludf.DUMMYFUNCTION("""COMPUTED_VALUE"""),"Fake Lead")</f>
        <v>Fake Lead</v>
      </c>
      <c r="AB2333" s="124"/>
    </row>
    <row r="2334">
      <c r="A2334" s="126">
        <f>IFERROR(__xludf.DUMMYFUNCTION("""COMPUTED_VALUE"""),46073.0)</f>
        <v>46073</v>
      </c>
      <c r="B2334" s="124" t="str">
        <f>IFERROR(__xludf.DUMMYFUNCTION("""COMPUTED_VALUE"""),"Walkin")</f>
        <v>Walkin</v>
      </c>
      <c r="C2334" s="124" t="str">
        <f>IFERROR(__xludf.DUMMYFUNCTION("""COMPUTED_VALUE"""),"Lucknow")</f>
        <v>Lucknow</v>
      </c>
      <c r="D2334" s="124" t="str">
        <f>IFERROR(__xludf.DUMMYFUNCTION("""COMPUTED_VALUE"""),"Primary_Walkin")</f>
        <v>Primary_Walkin</v>
      </c>
      <c r="E2334" s="124">
        <f>IFERROR(__xludf.DUMMYFUNCTION("""COMPUTED_VALUE"""),1.0)</f>
        <v>1</v>
      </c>
      <c r="F2334" s="124" t="str">
        <f>IFERROR(__xludf.DUMMYFUNCTION("""COMPUTED_VALUE"""),"Enrolled")</f>
        <v>Enrolled</v>
      </c>
      <c r="G2334" s="124" t="str">
        <f>IFERROR(__xludf.DUMMYFUNCTION("""COMPUTED_VALUE"""),"Other")</f>
        <v>Other</v>
      </c>
      <c r="K2334" s="124"/>
      <c r="L2334" s="124"/>
      <c r="M2334" s="124"/>
      <c r="N2334" s="124"/>
      <c r="O2334" s="124"/>
      <c r="T2334" s="126">
        <f>IFERROR(__xludf.DUMMYFUNCTION("""COMPUTED_VALUE"""),46079.0)</f>
        <v>46079</v>
      </c>
      <c r="U2334" s="124" t="str">
        <f>IFERROR(__xludf.DUMMYFUNCTION("""COMPUTED_VALUE"""),"Telephony")</f>
        <v>Telephony</v>
      </c>
      <c r="V2334" s="124" t="str">
        <f>IFERROR(__xludf.DUMMYFUNCTION("""COMPUTED_VALUE"""),"Inbound Call")</f>
        <v>Inbound Call</v>
      </c>
      <c r="W2334" s="124" t="str">
        <f>IFERROR(__xludf.DUMMYFUNCTION("""COMPUTED_VALUE"""),"Inbound Call")</f>
        <v>Inbound Call</v>
      </c>
      <c r="X2334" s="124" t="str">
        <f>IFERROR(__xludf.DUMMYFUNCTION("""COMPUTED_VALUE"""),"Inbound Call")</f>
        <v>Inbound Call</v>
      </c>
      <c r="Y2334" s="124" t="str">
        <f>IFERROR(__xludf.DUMMYFUNCTION("""COMPUTED_VALUE"""),"Delhi")</f>
        <v>Delhi</v>
      </c>
      <c r="Z2334" s="124">
        <f>IFERROR(__xludf.DUMMYFUNCTION("""COMPUTED_VALUE"""),2.0)</f>
        <v>2</v>
      </c>
      <c r="AA2334" s="124" t="str">
        <f>IFERROR(__xludf.DUMMYFUNCTION("""COMPUTED_VALUE"""),"Cold")</f>
        <v>Cold</v>
      </c>
      <c r="AB2334" s="124"/>
    </row>
    <row r="2335">
      <c r="A2335" s="129">
        <f>IFERROR(__xludf.DUMMYFUNCTION("""COMPUTED_VALUE"""),46089.0)</f>
        <v>46089</v>
      </c>
      <c r="B2335" s="124" t="str">
        <f>IFERROR(__xludf.DUMMYFUNCTION("""COMPUTED_VALUE"""),"Walkin")</f>
        <v>Walkin</v>
      </c>
      <c r="C2335" s="124" t="str">
        <f>IFERROR(__xludf.DUMMYFUNCTION("""COMPUTED_VALUE"""),"Patna")</f>
        <v>Patna</v>
      </c>
      <c r="D2335" s="124" t="str">
        <f>IFERROR(__xludf.DUMMYFUNCTION("""COMPUTED_VALUE"""),"Primary_Walkin")</f>
        <v>Primary_Walkin</v>
      </c>
      <c r="E2335" s="124">
        <f>IFERROR(__xludf.DUMMYFUNCTION("""COMPUTED_VALUE"""),1.0)</f>
        <v>1</v>
      </c>
      <c r="F2335" s="124" t="str">
        <f>IFERROR(__xludf.DUMMYFUNCTION("""COMPUTED_VALUE"""),"Warm")</f>
        <v>Warm</v>
      </c>
      <c r="G2335" s="124" t="str">
        <f>IFERROR(__xludf.DUMMYFUNCTION("""COMPUTED_VALUE"""),"State PCS")</f>
        <v>State PCS</v>
      </c>
      <c r="K2335" s="124"/>
      <c r="L2335" s="124"/>
      <c r="M2335" s="124"/>
      <c r="N2335" s="124"/>
      <c r="O2335" s="124"/>
      <c r="T2335" s="126">
        <f>IFERROR(__xludf.DUMMYFUNCTION("""COMPUTED_VALUE"""),46076.0)</f>
        <v>46076</v>
      </c>
      <c r="U2335" s="124" t="str">
        <f>IFERROR(__xludf.DUMMYFUNCTION("""COMPUTED_VALUE"""),"Telephony")</f>
        <v>Telephony</v>
      </c>
      <c r="V2335" s="124" t="str">
        <f>IFERROR(__xludf.DUMMYFUNCTION("""COMPUTED_VALUE"""),"Inbound Call")</f>
        <v>Inbound Call</v>
      </c>
      <c r="W2335" s="124">
        <f>IFERROR(__xludf.DUMMYFUNCTION("""COMPUTED_VALUE"""),9.18047861663E11)</f>
        <v>918047861663</v>
      </c>
      <c r="X2335" s="124" t="str">
        <f>IFERROR(__xludf.DUMMYFUNCTION("""COMPUTED_VALUE"""),"Inbound Call")</f>
        <v>Inbound Call</v>
      </c>
      <c r="Y2335" s="124"/>
      <c r="Z2335" s="124">
        <f>IFERROR(__xludf.DUMMYFUNCTION("""COMPUTED_VALUE"""),3.0)</f>
        <v>3</v>
      </c>
      <c r="AA2335" s="124" t="str">
        <f>IFERROR(__xludf.DUMMYFUNCTION("""COMPUTED_VALUE"""),"Cold")</f>
        <v>Cold</v>
      </c>
      <c r="AB2335" s="124"/>
    </row>
    <row r="2336">
      <c r="A2336" s="126">
        <f>IFERROR(__xludf.DUMMYFUNCTION("""COMPUTED_VALUE"""),46067.0)</f>
        <v>46067</v>
      </c>
      <c r="B2336" s="124" t="str">
        <f>IFERROR(__xludf.DUMMYFUNCTION("""COMPUTED_VALUE"""),"Walkin")</f>
        <v>Walkin</v>
      </c>
      <c r="C2336" s="124" t="str">
        <f>IFERROR(__xludf.DUMMYFUNCTION("""COMPUTED_VALUE"""),"Patna")</f>
        <v>Patna</v>
      </c>
      <c r="D2336" s="124" t="str">
        <f>IFERROR(__xludf.DUMMYFUNCTION("""COMPUTED_VALUE"""),"Primary_Walkin")</f>
        <v>Primary_Walkin</v>
      </c>
      <c r="E2336" s="124">
        <f>IFERROR(__xludf.DUMMYFUNCTION("""COMPUTED_VALUE"""),1.0)</f>
        <v>1</v>
      </c>
      <c r="F2336" s="124" t="str">
        <f>IFERROR(__xludf.DUMMYFUNCTION("""COMPUTED_VALUE"""),"Not Interested")</f>
        <v>Not Interested</v>
      </c>
      <c r="G2336" s="124" t="str">
        <f>IFERROR(__xludf.DUMMYFUNCTION("""COMPUTED_VALUE"""),"GS Foundation")</f>
        <v>GS Foundation</v>
      </c>
      <c r="K2336" s="124"/>
      <c r="L2336" s="124"/>
      <c r="M2336" s="124"/>
      <c r="N2336" s="124"/>
      <c r="O2336" s="124"/>
      <c r="T2336" s="126">
        <f>IFERROR(__xludf.DUMMYFUNCTION("""COMPUTED_VALUE"""),46091.0)</f>
        <v>46091</v>
      </c>
      <c r="U2336" s="124" t="str">
        <f>IFERROR(__xludf.DUMMYFUNCTION("""COMPUTED_VALUE"""),"Telephony")</f>
        <v>Telephony</v>
      </c>
      <c r="V2336" s="124" t="str">
        <f>IFERROR(__xludf.DUMMYFUNCTION("""COMPUTED_VALUE"""),"Inbound Call")</f>
        <v>Inbound Call</v>
      </c>
      <c r="W2336" s="124" t="str">
        <f>IFERROR(__xludf.DUMMYFUNCTION("""COMPUTED_VALUE"""),"Inbound Call")</f>
        <v>Inbound Call</v>
      </c>
      <c r="X2336" s="124" t="str">
        <f>IFERROR(__xludf.DUMMYFUNCTION("""COMPUTED_VALUE"""),"Inbound Call")</f>
        <v>Inbound Call</v>
      </c>
      <c r="Y2336" s="124" t="str">
        <f>IFERROR(__xludf.DUMMYFUNCTION("""COMPUTED_VALUE"""),"Lucknow")</f>
        <v>Lucknow</v>
      </c>
      <c r="Z2336" s="124">
        <f>IFERROR(__xludf.DUMMYFUNCTION("""COMPUTED_VALUE"""),1.0)</f>
        <v>1</v>
      </c>
      <c r="AA2336" s="124" t="str">
        <f>IFERROR(__xludf.DUMMYFUNCTION("""COMPUTED_VALUE"""),"Cold")</f>
        <v>Cold</v>
      </c>
      <c r="AB2336" s="124" t="str">
        <f>IFERROR(__xludf.DUMMYFUNCTION("""COMPUTED_VALUE"""),"GS Foundation")</f>
        <v>GS Foundation</v>
      </c>
    </row>
    <row r="2337">
      <c r="A2337" s="126">
        <f>IFERROR(__xludf.DUMMYFUNCTION("""COMPUTED_VALUE"""),46103.0)</f>
        <v>46103</v>
      </c>
      <c r="B2337" s="124" t="str">
        <f>IFERROR(__xludf.DUMMYFUNCTION("""COMPUTED_VALUE"""),"Walkin")</f>
        <v>Walkin</v>
      </c>
      <c r="C2337" s="124" t="str">
        <f>IFERROR(__xludf.DUMMYFUNCTION("""COMPUTED_VALUE"""),"Patna")</f>
        <v>Patna</v>
      </c>
      <c r="D2337" s="124" t="str">
        <f>IFERROR(__xludf.DUMMYFUNCTION("""COMPUTED_VALUE"""),"Primary_Walkin")</f>
        <v>Primary_Walkin</v>
      </c>
      <c r="E2337" s="124">
        <f>IFERROR(__xludf.DUMMYFUNCTION("""COMPUTED_VALUE"""),1.0)</f>
        <v>1</v>
      </c>
      <c r="F2337" s="124" t="str">
        <f>IFERROR(__xludf.DUMMYFUNCTION("""COMPUTED_VALUE"""),"Cold")</f>
        <v>Cold</v>
      </c>
      <c r="G2337" s="124" t="str">
        <f>IFERROR(__xludf.DUMMYFUNCTION("""COMPUTED_VALUE"""),"Mentorship")</f>
        <v>Mentorship</v>
      </c>
      <c r="K2337" s="124"/>
      <c r="L2337" s="124"/>
      <c r="M2337" s="124"/>
      <c r="N2337" s="124"/>
      <c r="O2337" s="124"/>
      <c r="T2337" s="126">
        <f>IFERROR(__xludf.DUMMYFUNCTION("""COMPUTED_VALUE"""),46079.0)</f>
        <v>46079</v>
      </c>
      <c r="U2337" s="124" t="str">
        <f>IFERROR(__xludf.DUMMYFUNCTION("""COMPUTED_VALUE"""),"Telephony")</f>
        <v>Telephony</v>
      </c>
      <c r="V2337" s="124" t="str">
        <f>IFERROR(__xludf.DUMMYFUNCTION("""COMPUTED_VALUE"""),"Inbound Call")</f>
        <v>Inbound Call</v>
      </c>
      <c r="W2337" s="124" t="str">
        <f>IFERROR(__xludf.DUMMYFUNCTION("""COMPUTED_VALUE"""),"Inbound Call")</f>
        <v>Inbound Call</v>
      </c>
      <c r="X2337" s="124" t="str">
        <f>IFERROR(__xludf.DUMMYFUNCTION("""COMPUTED_VALUE"""),"Inbound Call")</f>
        <v>Inbound Call</v>
      </c>
      <c r="Y2337" s="124" t="str">
        <f>IFERROR(__xludf.DUMMYFUNCTION("""COMPUTED_VALUE"""),"Prayagraj")</f>
        <v>Prayagraj</v>
      </c>
      <c r="Z2337" s="124">
        <f>IFERROR(__xludf.DUMMYFUNCTION("""COMPUTED_VALUE"""),1.0)</f>
        <v>1</v>
      </c>
      <c r="AA2337" s="124" t="str">
        <f>IFERROR(__xludf.DUMMYFUNCTION("""COMPUTED_VALUE"""),"Enrolled")</f>
        <v>Enrolled</v>
      </c>
      <c r="AB2337" s="124" t="str">
        <f>IFERROR(__xludf.DUMMYFUNCTION("""COMPUTED_VALUE"""),"CSAT")</f>
        <v>CSAT</v>
      </c>
    </row>
    <row r="2338">
      <c r="A2338" s="126">
        <f>IFERROR(__xludf.DUMMYFUNCTION("""COMPUTED_VALUE"""),46092.0)</f>
        <v>46092</v>
      </c>
      <c r="B2338" s="124" t="str">
        <f>IFERROR(__xludf.DUMMYFUNCTION("""COMPUTED_VALUE"""),"Walkin")</f>
        <v>Walkin</v>
      </c>
      <c r="C2338" s="124" t="str">
        <f>IFERROR(__xludf.DUMMYFUNCTION("""COMPUTED_VALUE"""),"Patna")</f>
        <v>Patna</v>
      </c>
      <c r="D2338" s="124" t="str">
        <f>IFERROR(__xludf.DUMMYFUNCTION("""COMPUTED_VALUE"""),"Primary_Walkin")</f>
        <v>Primary_Walkin</v>
      </c>
      <c r="E2338" s="124">
        <f>IFERROR(__xludf.DUMMYFUNCTION("""COMPUTED_VALUE"""),1.0)</f>
        <v>1</v>
      </c>
      <c r="F2338" s="124" t="str">
        <f>IFERROR(__xludf.DUMMYFUNCTION("""COMPUTED_VALUE"""),"Enrolled")</f>
        <v>Enrolled</v>
      </c>
      <c r="G2338" s="124" t="str">
        <f>IFERROR(__xludf.DUMMYFUNCTION("""COMPUTED_VALUE"""),"State PCS")</f>
        <v>State PCS</v>
      </c>
      <c r="K2338" s="124"/>
      <c r="L2338" s="124"/>
      <c r="M2338" s="124"/>
      <c r="N2338" s="124"/>
      <c r="O2338" s="124"/>
      <c r="T2338" s="126">
        <f>IFERROR(__xludf.DUMMYFUNCTION("""COMPUTED_VALUE"""),46046.0)</f>
        <v>46046</v>
      </c>
      <c r="U2338" s="124" t="str">
        <f>IFERROR(__xludf.DUMMYFUNCTION("""COMPUTED_VALUE"""),"Telephony")</f>
        <v>Telephony</v>
      </c>
      <c r="V2338" s="124" t="str">
        <f>IFERROR(__xludf.DUMMYFUNCTION("""COMPUTED_VALUE"""),"Inbound Call")</f>
        <v>Inbound Call</v>
      </c>
      <c r="W2338" s="124" t="str">
        <f>IFERROR(__xludf.DUMMYFUNCTION("""COMPUTED_VALUE"""),"Inbound Call")</f>
        <v>Inbound Call</v>
      </c>
      <c r="X2338" s="124" t="str">
        <f>IFERROR(__xludf.DUMMYFUNCTION("""COMPUTED_VALUE"""),"Inbound Call")</f>
        <v>Inbound Call</v>
      </c>
      <c r="Y2338" s="124"/>
      <c r="Z2338" s="124">
        <f>IFERROR(__xludf.DUMMYFUNCTION("""COMPUTED_VALUE"""),4.0)</f>
        <v>4</v>
      </c>
      <c r="AA2338" s="124" t="str">
        <f>IFERROR(__xludf.DUMMYFUNCTION("""COMPUTED_VALUE"""),"Cold")</f>
        <v>Cold</v>
      </c>
      <c r="AB2338" s="124"/>
    </row>
    <row r="2339">
      <c r="A2339" s="129">
        <f>IFERROR(__xludf.DUMMYFUNCTION("""COMPUTED_VALUE"""),46056.0)</f>
        <v>46056</v>
      </c>
      <c r="B2339" s="124" t="str">
        <f>IFERROR(__xludf.DUMMYFUNCTION("""COMPUTED_VALUE"""),"Walk-In")</f>
        <v>Walk-In</v>
      </c>
      <c r="C2339" s="124" t="str">
        <f>IFERROR(__xludf.DUMMYFUNCTION("""COMPUTED_VALUE"""),"Patna")</f>
        <v>Patna</v>
      </c>
      <c r="D2339" s="124" t="str">
        <f>IFERROR(__xludf.DUMMYFUNCTION("""COMPUTED_VALUE"""),"Primary_Walkin")</f>
        <v>Primary_Walkin</v>
      </c>
      <c r="E2339" s="124">
        <f>IFERROR(__xludf.DUMMYFUNCTION("""COMPUTED_VALUE"""),1.0)</f>
        <v>1</v>
      </c>
      <c r="F2339" s="124" t="str">
        <f>IFERROR(__xludf.DUMMYFUNCTION("""COMPUTED_VALUE"""),"Fake Lead")</f>
        <v>Fake Lead</v>
      </c>
      <c r="G2339" s="124" t="str">
        <f>IFERROR(__xludf.DUMMYFUNCTION("""COMPUTED_VALUE"""),"GS Foundation")</f>
        <v>GS Foundation</v>
      </c>
      <c r="K2339" s="124"/>
      <c r="L2339" s="124"/>
      <c r="M2339" s="124"/>
      <c r="N2339" s="124"/>
      <c r="O2339" s="124"/>
      <c r="T2339" s="129">
        <f>IFERROR(__xludf.DUMMYFUNCTION("""COMPUTED_VALUE"""),46058.0)</f>
        <v>46058</v>
      </c>
      <c r="U2339" s="124" t="str">
        <f>IFERROR(__xludf.DUMMYFUNCTION("""COMPUTED_VALUE"""),"Telephony")</f>
        <v>Telephony</v>
      </c>
      <c r="V2339" s="124" t="str">
        <f>IFERROR(__xludf.DUMMYFUNCTION("""COMPUTED_VALUE"""),"Inbound Call")</f>
        <v>Inbound Call</v>
      </c>
      <c r="W2339" s="124">
        <f>IFERROR(__xludf.DUMMYFUNCTION("""COMPUTED_VALUE"""),9.18047861633E11)</f>
        <v>918047861633</v>
      </c>
      <c r="X2339" s="124" t="str">
        <f>IFERROR(__xludf.DUMMYFUNCTION("""COMPUTED_VALUE"""),"Inbound Call")</f>
        <v>Inbound Call</v>
      </c>
      <c r="Y2339" s="124"/>
      <c r="Z2339" s="124">
        <f>IFERROR(__xludf.DUMMYFUNCTION("""COMPUTED_VALUE"""),2.0)</f>
        <v>2</v>
      </c>
      <c r="AA2339" s="124" t="str">
        <f>IFERROR(__xludf.DUMMYFUNCTION("""COMPUTED_VALUE"""),"Fake Lead")</f>
        <v>Fake Lead</v>
      </c>
      <c r="AB2339" s="124"/>
    </row>
    <row r="2340">
      <c r="A2340" s="126">
        <f>IFERROR(__xludf.DUMMYFUNCTION("""COMPUTED_VALUE"""),46046.0)</f>
        <v>46046</v>
      </c>
      <c r="B2340" s="124" t="str">
        <f>IFERROR(__xludf.DUMMYFUNCTION("""COMPUTED_VALUE"""),"Walkin")</f>
        <v>Walkin</v>
      </c>
      <c r="C2340" s="124" t="str">
        <f>IFERROR(__xludf.DUMMYFUNCTION("""COMPUTED_VALUE"""),"Patna")</f>
        <v>Patna</v>
      </c>
      <c r="D2340" s="124" t="str">
        <f>IFERROR(__xludf.DUMMYFUNCTION("""COMPUTED_VALUE"""),"Primary_Walkin")</f>
        <v>Primary_Walkin</v>
      </c>
      <c r="E2340" s="124">
        <f>IFERROR(__xludf.DUMMYFUNCTION("""COMPUTED_VALUE"""),1.0)</f>
        <v>1</v>
      </c>
      <c r="F2340" s="124" t="str">
        <f>IFERROR(__xludf.DUMMYFUNCTION("""COMPUTED_VALUE"""),"Future Prospects")</f>
        <v>Future Prospects</v>
      </c>
      <c r="G2340" s="124" t="str">
        <f>IFERROR(__xludf.DUMMYFUNCTION("""COMPUTED_VALUE"""),"GS Foundation")</f>
        <v>GS Foundation</v>
      </c>
      <c r="K2340" s="124"/>
      <c r="L2340" s="124"/>
      <c r="M2340" s="124"/>
      <c r="N2340" s="124"/>
      <c r="O2340" s="124"/>
      <c r="T2340" s="126">
        <f>IFERROR(__xludf.DUMMYFUNCTION("""COMPUTED_VALUE"""),46057.0)</f>
        <v>46057</v>
      </c>
      <c r="U2340" s="124" t="str">
        <f>IFERROR(__xludf.DUMMYFUNCTION("""COMPUTED_VALUE"""),"Telephony")</f>
        <v>Telephony</v>
      </c>
      <c r="V2340" s="124" t="str">
        <f>IFERROR(__xludf.DUMMYFUNCTION("""COMPUTED_VALUE"""),"Inbound Call")</f>
        <v>Inbound Call</v>
      </c>
      <c r="W2340" s="124" t="str">
        <f>IFERROR(__xludf.DUMMYFUNCTION("""COMPUTED_VALUE"""),"Inbound Call")</f>
        <v>Inbound Call</v>
      </c>
      <c r="X2340" s="124" t="str">
        <f>IFERROR(__xludf.DUMMYFUNCTION("""COMPUTED_VALUE"""),"Inbound Call")</f>
        <v>Inbound Call</v>
      </c>
      <c r="Y2340" s="124" t="str">
        <f>IFERROR(__xludf.DUMMYFUNCTION("""COMPUTED_VALUE"""),"Indore")</f>
        <v>Indore</v>
      </c>
      <c r="Z2340" s="124">
        <f>IFERROR(__xludf.DUMMYFUNCTION("""COMPUTED_VALUE"""),2.0)</f>
        <v>2</v>
      </c>
      <c r="AA2340" s="124" t="str">
        <f>IFERROR(__xludf.DUMMYFUNCTION("""COMPUTED_VALUE"""),"Fake Lead")</f>
        <v>Fake Lead</v>
      </c>
      <c r="AB2340" s="124" t="str">
        <f>IFERROR(__xludf.DUMMYFUNCTION("""COMPUTED_VALUE"""),"Other")</f>
        <v>Other</v>
      </c>
    </row>
    <row r="2341">
      <c r="A2341" s="126">
        <f>IFERROR(__xludf.DUMMYFUNCTION("""COMPUTED_VALUE"""),46043.0)</f>
        <v>46043</v>
      </c>
      <c r="B2341" s="124" t="str">
        <f>IFERROR(__xludf.DUMMYFUNCTION("""COMPUTED_VALUE"""),"Walkin")</f>
        <v>Walkin</v>
      </c>
      <c r="C2341" s="124" t="str">
        <f>IFERROR(__xludf.DUMMYFUNCTION("""COMPUTED_VALUE"""),"Patna")</f>
        <v>Patna</v>
      </c>
      <c r="D2341" s="124" t="str">
        <f>IFERROR(__xludf.DUMMYFUNCTION("""COMPUTED_VALUE"""),"Primary_Walkin")</f>
        <v>Primary_Walkin</v>
      </c>
      <c r="E2341" s="124">
        <f>IFERROR(__xludf.DUMMYFUNCTION("""COMPUTED_VALUE"""),1.0)</f>
        <v>1</v>
      </c>
      <c r="F2341" s="124" t="str">
        <f>IFERROR(__xludf.DUMMYFUNCTION("""COMPUTED_VALUE"""),"Future Prospects")</f>
        <v>Future Prospects</v>
      </c>
      <c r="G2341" s="124" t="str">
        <f>IFERROR(__xludf.DUMMYFUNCTION("""COMPUTED_VALUE"""),"GS Foundation")</f>
        <v>GS Foundation</v>
      </c>
      <c r="K2341" s="124"/>
      <c r="L2341" s="124"/>
      <c r="M2341" s="124"/>
      <c r="N2341" s="124"/>
      <c r="O2341" s="124"/>
      <c r="T2341" s="126">
        <f>IFERROR(__xludf.DUMMYFUNCTION("""COMPUTED_VALUE"""),46078.0)</f>
        <v>46078</v>
      </c>
      <c r="U2341" s="124" t="str">
        <f>IFERROR(__xludf.DUMMYFUNCTION("""COMPUTED_VALUE"""),"Telephony")</f>
        <v>Telephony</v>
      </c>
      <c r="V2341" s="124" t="str">
        <f>IFERROR(__xludf.DUMMYFUNCTION("""COMPUTED_VALUE"""),"Inbound Call")</f>
        <v>Inbound Call</v>
      </c>
      <c r="W2341" s="124">
        <f>IFERROR(__xludf.DUMMYFUNCTION("""COMPUTED_VALUE"""),9.18047861632E11)</f>
        <v>918047861632</v>
      </c>
      <c r="X2341" s="124" t="str">
        <f>IFERROR(__xludf.DUMMYFUNCTION("""COMPUTED_VALUE"""),"Inbound Call")</f>
        <v>Inbound Call</v>
      </c>
      <c r="Y2341" s="124"/>
      <c r="Z2341" s="124">
        <f>IFERROR(__xludf.DUMMYFUNCTION("""COMPUTED_VALUE"""),1.0)</f>
        <v>1</v>
      </c>
      <c r="AA2341" s="124" t="str">
        <f>IFERROR(__xludf.DUMMYFUNCTION("""COMPUTED_VALUE"""),"Cold")</f>
        <v>Cold</v>
      </c>
      <c r="AB2341" s="124" t="str">
        <f>IFERROR(__xludf.DUMMYFUNCTION("""COMPUTED_VALUE"""),"IGP UPPSC")</f>
        <v>IGP UPPSC</v>
      </c>
    </row>
    <row r="2342">
      <c r="A2342" s="126">
        <f>IFERROR(__xludf.DUMMYFUNCTION("""COMPUTED_VALUE"""),46067.0)</f>
        <v>46067</v>
      </c>
      <c r="B2342" s="124" t="str">
        <f>IFERROR(__xludf.DUMMYFUNCTION("""COMPUTED_VALUE"""),"Walk-In")</f>
        <v>Walk-In</v>
      </c>
      <c r="C2342" s="124" t="str">
        <f>IFERROR(__xludf.DUMMYFUNCTION("""COMPUTED_VALUE"""),"Patna")</f>
        <v>Patna</v>
      </c>
      <c r="D2342" s="124" t="str">
        <f>IFERROR(__xludf.DUMMYFUNCTION("""COMPUTED_VALUE"""),"Primary_Walkin")</f>
        <v>Primary_Walkin</v>
      </c>
      <c r="E2342" s="124">
        <f>IFERROR(__xludf.DUMMYFUNCTION("""COMPUTED_VALUE"""),1.0)</f>
        <v>1</v>
      </c>
      <c r="F2342" s="124" t="str">
        <f>IFERROR(__xludf.DUMMYFUNCTION("""COMPUTED_VALUE"""),"Cold")</f>
        <v>Cold</v>
      </c>
      <c r="G2342" s="124" t="str">
        <f>IFERROR(__xludf.DUMMYFUNCTION("""COMPUTED_VALUE"""),"State PCS")</f>
        <v>State PCS</v>
      </c>
      <c r="K2342" s="124"/>
      <c r="L2342" s="124"/>
      <c r="M2342" s="124"/>
      <c r="N2342" s="124"/>
      <c r="O2342" s="124"/>
      <c r="T2342" s="129">
        <f>IFERROR(__xludf.DUMMYFUNCTION("""COMPUTED_VALUE"""),46059.0)</f>
        <v>46059</v>
      </c>
      <c r="U2342" s="124" t="str">
        <f>IFERROR(__xludf.DUMMYFUNCTION("""COMPUTED_VALUE"""),"Telephony")</f>
        <v>Telephony</v>
      </c>
      <c r="V2342" s="124" t="str">
        <f>IFERROR(__xludf.DUMMYFUNCTION("""COMPUTED_VALUE"""),"Inbound Call")</f>
        <v>Inbound Call</v>
      </c>
      <c r="W2342" s="124">
        <f>IFERROR(__xludf.DUMMYFUNCTION("""COMPUTED_VALUE"""),9.18047861663E11)</f>
        <v>918047861663</v>
      </c>
      <c r="X2342" s="124" t="str">
        <f>IFERROR(__xludf.DUMMYFUNCTION("""COMPUTED_VALUE"""),"Inbound Call")</f>
        <v>Inbound Call</v>
      </c>
      <c r="Y2342" s="124" t="str">
        <f>IFERROR(__xludf.DUMMYFUNCTION("""COMPUTED_VALUE"""),"Delhi")</f>
        <v>Delhi</v>
      </c>
      <c r="Z2342" s="124">
        <f>IFERROR(__xludf.DUMMYFUNCTION("""COMPUTED_VALUE"""),1.0)</f>
        <v>1</v>
      </c>
      <c r="AA2342" s="124" t="str">
        <f>IFERROR(__xludf.DUMMYFUNCTION("""COMPUTED_VALUE"""),"Cold")</f>
        <v>Cold</v>
      </c>
      <c r="AB2342" s="124"/>
    </row>
    <row r="2343">
      <c r="A2343" s="126">
        <f>IFERROR(__xludf.DUMMYFUNCTION("""COMPUTED_VALUE"""),46070.0)</f>
        <v>46070</v>
      </c>
      <c r="B2343" s="124" t="str">
        <f>IFERROR(__xludf.DUMMYFUNCTION("""COMPUTED_VALUE"""),"Walk-In")</f>
        <v>Walk-In</v>
      </c>
      <c r="C2343" s="124" t="str">
        <f>IFERROR(__xludf.DUMMYFUNCTION("""COMPUTED_VALUE"""),"Patna")</f>
        <v>Patna</v>
      </c>
      <c r="D2343" s="124" t="str">
        <f>IFERROR(__xludf.DUMMYFUNCTION("""COMPUTED_VALUE"""),"Primary_Walkin")</f>
        <v>Primary_Walkin</v>
      </c>
      <c r="E2343" s="124">
        <f>IFERROR(__xludf.DUMMYFUNCTION("""COMPUTED_VALUE"""),1.0)</f>
        <v>1</v>
      </c>
      <c r="F2343" s="124" t="str">
        <f>IFERROR(__xludf.DUMMYFUNCTION("""COMPUTED_VALUE"""),"Future Prospects")</f>
        <v>Future Prospects</v>
      </c>
      <c r="G2343" s="124" t="str">
        <f>IFERROR(__xludf.DUMMYFUNCTION("""COMPUTED_VALUE"""),"State PCS")</f>
        <v>State PCS</v>
      </c>
      <c r="K2343" s="124"/>
      <c r="L2343" s="124"/>
      <c r="M2343" s="124"/>
      <c r="N2343" s="124"/>
      <c r="O2343" s="124"/>
      <c r="T2343" s="126">
        <f>IFERROR(__xludf.DUMMYFUNCTION("""COMPUTED_VALUE"""),46081.0)</f>
        <v>46081</v>
      </c>
      <c r="U2343" s="124" t="str">
        <f>IFERROR(__xludf.DUMMYFUNCTION("""COMPUTED_VALUE"""),"Telephony")</f>
        <v>Telephony</v>
      </c>
      <c r="V2343" s="124" t="str">
        <f>IFERROR(__xludf.DUMMYFUNCTION("""COMPUTED_VALUE"""),"Inbound Call")</f>
        <v>Inbound Call</v>
      </c>
      <c r="W2343" s="124" t="str">
        <f>IFERROR(__xludf.DUMMYFUNCTION("""COMPUTED_VALUE"""),"Inbound Call")</f>
        <v>Inbound Call</v>
      </c>
      <c r="X2343" s="124" t="str">
        <f>IFERROR(__xludf.DUMMYFUNCTION("""COMPUTED_VALUE"""),"Inbound Call")</f>
        <v>Inbound Call</v>
      </c>
      <c r="Y2343" s="124" t="str">
        <f>IFERROR(__xludf.DUMMYFUNCTION("""COMPUTED_VALUE"""),"Delhi")</f>
        <v>Delhi</v>
      </c>
      <c r="Z2343" s="124">
        <f>IFERROR(__xludf.DUMMYFUNCTION("""COMPUTED_VALUE"""),1.0)</f>
        <v>1</v>
      </c>
      <c r="AA2343" s="124" t="str">
        <f>IFERROR(__xludf.DUMMYFUNCTION("""COMPUTED_VALUE"""),"Future Prospects")</f>
        <v>Future Prospects</v>
      </c>
      <c r="AB2343" s="124" t="str">
        <f>IFERROR(__xludf.DUMMYFUNCTION("""COMPUTED_VALUE"""),"SIP Offline")</f>
        <v>SIP Offline</v>
      </c>
    </row>
    <row r="2344">
      <c r="A2344" s="129">
        <f>IFERROR(__xludf.DUMMYFUNCTION("""COMPUTED_VALUE"""),46062.0)</f>
        <v>46062</v>
      </c>
      <c r="B2344" s="124" t="str">
        <f>IFERROR(__xludf.DUMMYFUNCTION("""COMPUTED_VALUE"""),"Walkin")</f>
        <v>Walkin</v>
      </c>
      <c r="C2344" s="124" t="str">
        <f>IFERROR(__xludf.DUMMYFUNCTION("""COMPUTED_VALUE"""),"Patna")</f>
        <v>Patna</v>
      </c>
      <c r="D2344" s="124" t="str">
        <f>IFERROR(__xludf.DUMMYFUNCTION("""COMPUTED_VALUE"""),"Primary_Walkin")</f>
        <v>Primary_Walkin</v>
      </c>
      <c r="E2344" s="124">
        <f>IFERROR(__xludf.DUMMYFUNCTION("""COMPUTED_VALUE"""),1.0)</f>
        <v>1</v>
      </c>
      <c r="F2344" s="124" t="str">
        <f>IFERROR(__xludf.DUMMYFUNCTION("""COMPUTED_VALUE"""),"Cold")</f>
        <v>Cold</v>
      </c>
      <c r="G2344" s="124" t="str">
        <f>IFERROR(__xludf.DUMMYFUNCTION("""COMPUTED_VALUE"""),"Other")</f>
        <v>Other</v>
      </c>
      <c r="K2344" s="124"/>
      <c r="L2344" s="124"/>
      <c r="M2344" s="124"/>
      <c r="N2344" s="124"/>
      <c r="O2344" s="124"/>
      <c r="T2344" s="126">
        <f>IFERROR(__xludf.DUMMYFUNCTION("""COMPUTED_VALUE"""),46052.0)</f>
        <v>46052</v>
      </c>
      <c r="U2344" s="124" t="str">
        <f>IFERROR(__xludf.DUMMYFUNCTION("""COMPUTED_VALUE"""),"Telephony")</f>
        <v>Telephony</v>
      </c>
      <c r="V2344" s="124" t="str">
        <f>IFERROR(__xludf.DUMMYFUNCTION("""COMPUTED_VALUE"""),"Inbound Call")</f>
        <v>Inbound Call</v>
      </c>
      <c r="W2344" s="124">
        <f>IFERROR(__xludf.DUMMYFUNCTION("""COMPUTED_VALUE"""),9.18047861632E11)</f>
        <v>918047861632</v>
      </c>
      <c r="X2344" s="124" t="str">
        <f>IFERROR(__xludf.DUMMYFUNCTION("""COMPUTED_VALUE"""),"Inbound Call")</f>
        <v>Inbound Call</v>
      </c>
      <c r="Y2344" s="124" t="str">
        <f>IFERROR(__xludf.DUMMYFUNCTION("""COMPUTED_VALUE"""),"Prayagraj")</f>
        <v>Prayagraj</v>
      </c>
      <c r="Z2344" s="124">
        <f>IFERROR(__xludf.DUMMYFUNCTION("""COMPUTED_VALUE"""),1.0)</f>
        <v>1</v>
      </c>
      <c r="AA2344" s="124" t="str">
        <f>IFERROR(__xludf.DUMMYFUNCTION("""COMPUTED_VALUE"""),"Cold")</f>
        <v>Cold</v>
      </c>
      <c r="AB2344" s="124" t="str">
        <f>IFERROR(__xludf.DUMMYFUNCTION("""COMPUTED_VALUE"""),"Other")</f>
        <v>Other</v>
      </c>
    </row>
    <row r="2345">
      <c r="A2345" s="129">
        <f>IFERROR(__xludf.DUMMYFUNCTION("""COMPUTED_VALUE"""),46054.0)</f>
        <v>46054</v>
      </c>
      <c r="B2345" s="124" t="str">
        <f>IFERROR(__xludf.DUMMYFUNCTION("""COMPUTED_VALUE"""),"Walkin")</f>
        <v>Walkin</v>
      </c>
      <c r="C2345" s="124" t="str">
        <f>IFERROR(__xludf.DUMMYFUNCTION("""COMPUTED_VALUE"""),"Patna")</f>
        <v>Patna</v>
      </c>
      <c r="D2345" s="124" t="str">
        <f>IFERROR(__xludf.DUMMYFUNCTION("""COMPUTED_VALUE"""),"Primary_Walkin")</f>
        <v>Primary_Walkin</v>
      </c>
      <c r="E2345" s="124">
        <f>IFERROR(__xludf.DUMMYFUNCTION("""COMPUTED_VALUE"""),1.0)</f>
        <v>1</v>
      </c>
      <c r="F2345" s="124" t="str">
        <f>IFERROR(__xludf.DUMMYFUNCTION("""COMPUTED_VALUE"""),"Cold")</f>
        <v>Cold</v>
      </c>
      <c r="G2345" s="124" t="str">
        <f>IFERROR(__xludf.DUMMYFUNCTION("""COMPUTED_VALUE"""),"GS Advanced")</f>
        <v>GS Advanced</v>
      </c>
      <c r="K2345" s="124"/>
      <c r="L2345" s="124"/>
      <c r="M2345" s="124"/>
      <c r="N2345" s="124"/>
      <c r="O2345" s="124"/>
      <c r="T2345" s="126">
        <f>IFERROR(__xludf.DUMMYFUNCTION("""COMPUTED_VALUE"""),46094.0)</f>
        <v>46094</v>
      </c>
      <c r="U2345" s="124" t="str">
        <f>IFERROR(__xludf.DUMMYFUNCTION("""COMPUTED_VALUE"""),"Telephony")</f>
        <v>Telephony</v>
      </c>
      <c r="V2345" s="124" t="str">
        <f>IFERROR(__xludf.DUMMYFUNCTION("""COMPUTED_VALUE"""),"Inbound Call")</f>
        <v>Inbound Call</v>
      </c>
      <c r="W2345" s="124">
        <f>IFERROR(__xludf.DUMMYFUNCTION("""COMPUTED_VALUE"""),9.18047861635E11)</f>
        <v>918047861635</v>
      </c>
      <c r="X2345" s="124" t="str">
        <f>IFERROR(__xludf.DUMMYFUNCTION("""COMPUTED_VALUE"""),"Inbound Call")</f>
        <v>Inbound Call</v>
      </c>
      <c r="Y2345" s="124" t="str">
        <f>IFERROR(__xludf.DUMMYFUNCTION("""COMPUTED_VALUE"""),"Indore")</f>
        <v>Indore</v>
      </c>
      <c r="Z2345" s="124">
        <f>IFERROR(__xludf.DUMMYFUNCTION("""COMPUTED_VALUE"""),2.0)</f>
        <v>2</v>
      </c>
      <c r="AA2345" s="124" t="str">
        <f>IFERROR(__xludf.DUMMYFUNCTION("""COMPUTED_VALUE"""),"Not Interested")</f>
        <v>Not Interested</v>
      </c>
      <c r="AB2345" s="124"/>
    </row>
    <row r="2346">
      <c r="A2346" s="126">
        <f>IFERROR(__xludf.DUMMYFUNCTION("""COMPUTED_VALUE"""),46077.0)</f>
        <v>46077</v>
      </c>
      <c r="B2346" s="124" t="str">
        <f>IFERROR(__xludf.DUMMYFUNCTION("""COMPUTED_VALUE"""),"Walkin")</f>
        <v>Walkin</v>
      </c>
      <c r="C2346" s="124" t="str">
        <f>IFERROR(__xludf.DUMMYFUNCTION("""COMPUTED_VALUE"""),"Patna")</f>
        <v>Patna</v>
      </c>
      <c r="D2346" s="124" t="str">
        <f>IFERROR(__xludf.DUMMYFUNCTION("""COMPUTED_VALUE"""),"Primary_Walkin")</f>
        <v>Primary_Walkin</v>
      </c>
      <c r="E2346" s="124">
        <f>IFERROR(__xludf.DUMMYFUNCTION("""COMPUTED_VALUE"""),1.0)</f>
        <v>1</v>
      </c>
      <c r="F2346" s="124" t="str">
        <f>IFERROR(__xludf.DUMMYFUNCTION("""COMPUTED_VALUE"""),"Fake Lead")</f>
        <v>Fake Lead</v>
      </c>
      <c r="G2346" s="124" t="str">
        <f>IFERROR(__xludf.DUMMYFUNCTION("""COMPUTED_VALUE"""),"Test Series")</f>
        <v>Test Series</v>
      </c>
      <c r="K2346" s="124"/>
      <c r="L2346" s="124"/>
      <c r="M2346" s="124"/>
      <c r="N2346" s="124"/>
      <c r="O2346" s="124"/>
      <c r="T2346" s="126">
        <f>IFERROR(__xludf.DUMMYFUNCTION("""COMPUTED_VALUE"""),46065.0)</f>
        <v>46065</v>
      </c>
      <c r="U2346" s="124" t="str">
        <f>IFERROR(__xludf.DUMMYFUNCTION("""COMPUTED_VALUE"""),"Telephony")</f>
        <v>Telephony</v>
      </c>
      <c r="V2346" s="124" t="str">
        <f>IFERROR(__xludf.DUMMYFUNCTION("""COMPUTED_VALUE"""),"Inbound Call")</f>
        <v>Inbound Call</v>
      </c>
      <c r="W2346" s="124">
        <f>IFERROR(__xludf.DUMMYFUNCTION("""COMPUTED_VALUE"""),9.18047861633E11)</f>
        <v>918047861633</v>
      </c>
      <c r="X2346" s="124" t="str">
        <f>IFERROR(__xludf.DUMMYFUNCTION("""COMPUTED_VALUE"""),"Inbound Call")</f>
        <v>Inbound Call</v>
      </c>
      <c r="Y2346" s="124"/>
      <c r="Z2346" s="124">
        <f>IFERROR(__xludf.DUMMYFUNCTION("""COMPUTED_VALUE"""),2.0)</f>
        <v>2</v>
      </c>
      <c r="AA2346" s="124" t="str">
        <f>IFERROR(__xludf.DUMMYFUNCTION("""COMPUTED_VALUE"""),"Cold")</f>
        <v>Cold</v>
      </c>
      <c r="AB2346" s="124"/>
    </row>
    <row r="2347">
      <c r="A2347" s="126">
        <f>IFERROR(__xludf.DUMMYFUNCTION("""COMPUTED_VALUE"""),46080.0)</f>
        <v>46080</v>
      </c>
      <c r="B2347" s="124" t="str">
        <f>IFERROR(__xludf.DUMMYFUNCTION("""COMPUTED_VALUE"""),"Walkin")</f>
        <v>Walkin</v>
      </c>
      <c r="C2347" s="124" t="str">
        <f>IFERROR(__xludf.DUMMYFUNCTION("""COMPUTED_VALUE"""),"Patna")</f>
        <v>Patna</v>
      </c>
      <c r="D2347" s="124" t="str">
        <f>IFERROR(__xludf.DUMMYFUNCTION("""COMPUTED_VALUE"""),"Primary_Walkin")</f>
        <v>Primary_Walkin</v>
      </c>
      <c r="E2347" s="124">
        <f>IFERROR(__xludf.DUMMYFUNCTION("""COMPUTED_VALUE"""),1.0)</f>
        <v>1</v>
      </c>
      <c r="F2347" s="124" t="str">
        <f>IFERROR(__xludf.DUMMYFUNCTION("""COMPUTED_VALUE"""),"Warm")</f>
        <v>Warm</v>
      </c>
      <c r="G2347" s="124" t="str">
        <f>IFERROR(__xludf.DUMMYFUNCTION("""COMPUTED_VALUE"""),"State PCS")</f>
        <v>State PCS</v>
      </c>
      <c r="K2347" s="124"/>
      <c r="L2347" s="124"/>
      <c r="M2347" s="124"/>
      <c r="N2347" s="124"/>
      <c r="O2347" s="124"/>
      <c r="T2347" s="126">
        <f>IFERROR(__xludf.DUMMYFUNCTION("""COMPUTED_VALUE"""),46063.0)</f>
        <v>46063</v>
      </c>
      <c r="U2347" s="124" t="str">
        <f>IFERROR(__xludf.DUMMYFUNCTION("""COMPUTED_VALUE"""),"Telephony")</f>
        <v>Telephony</v>
      </c>
      <c r="V2347" s="124" t="str">
        <f>IFERROR(__xludf.DUMMYFUNCTION("""COMPUTED_VALUE"""),"Inbound Call")</f>
        <v>Inbound Call</v>
      </c>
      <c r="W2347" s="124">
        <f>IFERROR(__xludf.DUMMYFUNCTION("""COMPUTED_VALUE"""),9.18047861633E11)</f>
        <v>918047861633</v>
      </c>
      <c r="X2347" s="124" t="str">
        <f>IFERROR(__xludf.DUMMYFUNCTION("""COMPUTED_VALUE"""),"Inbound Call")</f>
        <v>Inbound Call</v>
      </c>
      <c r="Y2347" s="124"/>
      <c r="Z2347" s="124">
        <f>IFERROR(__xludf.DUMMYFUNCTION("""COMPUTED_VALUE"""),3.0)</f>
        <v>3</v>
      </c>
      <c r="AA2347" s="124" t="str">
        <f>IFERROR(__xludf.DUMMYFUNCTION("""COMPUTED_VALUE"""),"Cold")</f>
        <v>Cold</v>
      </c>
      <c r="AB2347" s="124"/>
    </row>
    <row r="2348">
      <c r="A2348" s="126">
        <f>IFERROR(__xludf.DUMMYFUNCTION("""COMPUTED_VALUE"""),46045.0)</f>
        <v>46045</v>
      </c>
      <c r="B2348" s="124" t="str">
        <f>IFERROR(__xludf.DUMMYFUNCTION("""COMPUTED_VALUE"""),"Walkin")</f>
        <v>Walkin</v>
      </c>
      <c r="C2348" s="124" t="str">
        <f>IFERROR(__xludf.DUMMYFUNCTION("""COMPUTED_VALUE"""),"Patna")</f>
        <v>Patna</v>
      </c>
      <c r="D2348" s="124" t="str">
        <f>IFERROR(__xludf.DUMMYFUNCTION("""COMPUTED_VALUE"""),"Primary_Walkin")</f>
        <v>Primary_Walkin</v>
      </c>
      <c r="E2348" s="124">
        <f>IFERROR(__xludf.DUMMYFUNCTION("""COMPUTED_VALUE"""),1.0)</f>
        <v>1</v>
      </c>
      <c r="F2348" s="124" t="str">
        <f>IFERROR(__xludf.DUMMYFUNCTION("""COMPUTED_VALUE"""),"Cold")</f>
        <v>Cold</v>
      </c>
      <c r="G2348" s="124" t="str">
        <f>IFERROR(__xludf.DUMMYFUNCTION("""COMPUTED_VALUE"""),"Other")</f>
        <v>Other</v>
      </c>
      <c r="K2348" s="124"/>
      <c r="L2348" s="124"/>
      <c r="M2348" s="124"/>
      <c r="N2348" s="124"/>
      <c r="O2348" s="124"/>
      <c r="T2348" s="129">
        <f>IFERROR(__xludf.DUMMYFUNCTION("""COMPUTED_VALUE"""),46065.0)</f>
        <v>46065</v>
      </c>
      <c r="U2348" s="124" t="str">
        <f>IFERROR(__xludf.DUMMYFUNCTION("""COMPUTED_VALUE"""),"Telephony")</f>
        <v>Telephony</v>
      </c>
      <c r="V2348" s="124" t="str">
        <f>IFERROR(__xludf.DUMMYFUNCTION("""COMPUTED_VALUE"""),"Inbound Call")</f>
        <v>Inbound Call</v>
      </c>
      <c r="W2348" s="124">
        <f>IFERROR(__xludf.DUMMYFUNCTION("""COMPUTED_VALUE"""),9.18047861631E11)</f>
        <v>918047861631</v>
      </c>
      <c r="X2348" s="124" t="str">
        <f>IFERROR(__xludf.DUMMYFUNCTION("""COMPUTED_VALUE"""),"Inbound Call")</f>
        <v>Inbound Call</v>
      </c>
      <c r="Y2348" s="124"/>
      <c r="Z2348" s="124">
        <f>IFERROR(__xludf.DUMMYFUNCTION("""COMPUTED_VALUE"""),1.0)</f>
        <v>1</v>
      </c>
      <c r="AA2348" s="124" t="str">
        <f>IFERROR(__xludf.DUMMYFUNCTION("""COMPUTED_VALUE"""),"Cold")</f>
        <v>Cold</v>
      </c>
      <c r="AB2348" s="124"/>
    </row>
    <row r="2349">
      <c r="A2349" s="126">
        <f>IFERROR(__xludf.DUMMYFUNCTION("""COMPUTED_VALUE"""),46108.0)</f>
        <v>46108</v>
      </c>
      <c r="B2349" s="124" t="str">
        <f>IFERROR(__xludf.DUMMYFUNCTION("""COMPUTED_VALUE"""),"Walkin")</f>
        <v>Walkin</v>
      </c>
      <c r="C2349" s="124" t="str">
        <f>IFERROR(__xludf.DUMMYFUNCTION("""COMPUTED_VALUE"""),"Patna")</f>
        <v>Patna</v>
      </c>
      <c r="D2349" s="124" t="str">
        <f>IFERROR(__xludf.DUMMYFUNCTION("""COMPUTED_VALUE"""),"Primary_Walkin")</f>
        <v>Primary_Walkin</v>
      </c>
      <c r="E2349" s="124">
        <f>IFERROR(__xludf.DUMMYFUNCTION("""COMPUTED_VALUE"""),1.0)</f>
        <v>1</v>
      </c>
      <c r="F2349" s="124" t="str">
        <f>IFERROR(__xludf.DUMMYFUNCTION("""COMPUTED_VALUE"""),"Fake Lead")</f>
        <v>Fake Lead</v>
      </c>
      <c r="G2349" s="124" t="str">
        <f>IFERROR(__xludf.DUMMYFUNCTION("""COMPUTED_VALUE"""),"Test Series")</f>
        <v>Test Series</v>
      </c>
      <c r="K2349" s="124"/>
      <c r="L2349" s="124"/>
      <c r="M2349" s="124"/>
      <c r="N2349" s="124"/>
      <c r="O2349" s="124"/>
      <c r="T2349" s="129">
        <f>IFERROR(__xludf.DUMMYFUNCTION("""COMPUTED_VALUE"""),46112.0)</f>
        <v>46112</v>
      </c>
      <c r="U2349" s="124" t="str">
        <f>IFERROR(__xludf.DUMMYFUNCTION("""COMPUTED_VALUE"""),"Telephony")</f>
        <v>Telephony</v>
      </c>
      <c r="V2349" s="124" t="str">
        <f>IFERROR(__xludf.DUMMYFUNCTION("""COMPUTED_VALUE"""),"Inbound Call")</f>
        <v>Inbound Call</v>
      </c>
      <c r="W2349" s="124">
        <f>IFERROR(__xludf.DUMMYFUNCTION("""COMPUTED_VALUE"""),9.18047861663E11)</f>
        <v>918047861663</v>
      </c>
      <c r="X2349" s="124" t="str">
        <f>IFERROR(__xludf.DUMMYFUNCTION("""COMPUTED_VALUE"""),"Inbound Call")</f>
        <v>Inbound Call</v>
      </c>
      <c r="Y2349" s="124"/>
      <c r="Z2349" s="124">
        <f>IFERROR(__xludf.DUMMYFUNCTION("""COMPUTED_VALUE"""),1.0)</f>
        <v>1</v>
      </c>
      <c r="AA2349" s="124" t="str">
        <f>IFERROR(__xludf.DUMMYFUNCTION("""COMPUTED_VALUE"""),"Fake Lead")</f>
        <v>Fake Lead</v>
      </c>
      <c r="AB2349" s="124"/>
    </row>
    <row r="2350">
      <c r="A2350" s="126">
        <f>IFERROR(__xludf.DUMMYFUNCTION("""COMPUTED_VALUE"""),46043.0)</f>
        <v>46043</v>
      </c>
      <c r="B2350" s="124" t="str">
        <f>IFERROR(__xludf.DUMMYFUNCTION("""COMPUTED_VALUE"""),"Walkin")</f>
        <v>Walkin</v>
      </c>
      <c r="C2350" s="124" t="str">
        <f>IFERROR(__xludf.DUMMYFUNCTION("""COMPUTED_VALUE"""),"Patna")</f>
        <v>Patna</v>
      </c>
      <c r="D2350" s="124" t="str">
        <f>IFERROR(__xludf.DUMMYFUNCTION("""COMPUTED_VALUE"""),"Primary_Walkin")</f>
        <v>Primary_Walkin</v>
      </c>
      <c r="E2350" s="124">
        <f>IFERROR(__xludf.DUMMYFUNCTION("""COMPUTED_VALUE"""),1.0)</f>
        <v>1</v>
      </c>
      <c r="F2350" s="124" t="str">
        <f>IFERROR(__xludf.DUMMYFUNCTION("""COMPUTED_VALUE"""),"Enrolled")</f>
        <v>Enrolled</v>
      </c>
      <c r="G2350" s="124" t="str">
        <f>IFERROR(__xludf.DUMMYFUNCTION("""COMPUTED_VALUE"""),"State PCS")</f>
        <v>State PCS</v>
      </c>
      <c r="K2350" s="124"/>
      <c r="L2350" s="124"/>
      <c r="M2350" s="124"/>
      <c r="N2350" s="124"/>
      <c r="O2350" s="124"/>
      <c r="T2350" s="129">
        <f>IFERROR(__xludf.DUMMYFUNCTION("""COMPUTED_VALUE"""),46068.0)</f>
        <v>46068</v>
      </c>
      <c r="U2350" s="124" t="str">
        <f>IFERROR(__xludf.DUMMYFUNCTION("""COMPUTED_VALUE"""),"Telephony")</f>
        <v>Telephony</v>
      </c>
      <c r="V2350" s="124" t="str">
        <f>IFERROR(__xludf.DUMMYFUNCTION("""COMPUTED_VALUE"""),"Inbound Call")</f>
        <v>Inbound Call</v>
      </c>
      <c r="W2350" s="124" t="str">
        <f>IFERROR(__xludf.DUMMYFUNCTION("""COMPUTED_VALUE"""),"Inbound Call")</f>
        <v>Inbound Call</v>
      </c>
      <c r="X2350" s="124" t="str">
        <f>IFERROR(__xludf.DUMMYFUNCTION("""COMPUTED_VALUE"""),"Inbound Call")</f>
        <v>Inbound Call</v>
      </c>
      <c r="Y2350" s="124"/>
      <c r="Z2350" s="124">
        <f>IFERROR(__xludf.DUMMYFUNCTION("""COMPUTED_VALUE"""),1.0)</f>
        <v>1</v>
      </c>
      <c r="AA2350" s="124" t="str">
        <f>IFERROR(__xludf.DUMMYFUNCTION("""COMPUTED_VALUE"""),"Cold")</f>
        <v>Cold</v>
      </c>
      <c r="AB2350" s="124"/>
    </row>
    <row r="2351">
      <c r="A2351" s="126">
        <f>IFERROR(__xludf.DUMMYFUNCTION("""COMPUTED_VALUE"""),46077.0)</f>
        <v>46077</v>
      </c>
      <c r="B2351" s="124" t="str">
        <f>IFERROR(__xludf.DUMMYFUNCTION("""COMPUTED_VALUE"""),"Walkin")</f>
        <v>Walkin</v>
      </c>
      <c r="C2351" s="124" t="str">
        <f>IFERROR(__xludf.DUMMYFUNCTION("""COMPUTED_VALUE"""),"Patna")</f>
        <v>Patna</v>
      </c>
      <c r="D2351" s="124" t="str">
        <f>IFERROR(__xludf.DUMMYFUNCTION("""COMPUTED_VALUE"""),"Primary_Walkin")</f>
        <v>Primary_Walkin</v>
      </c>
      <c r="E2351" s="124">
        <f>IFERROR(__xludf.DUMMYFUNCTION("""COMPUTED_VALUE"""),1.0)</f>
        <v>1</v>
      </c>
      <c r="F2351" s="124" t="str">
        <f>IFERROR(__xludf.DUMMYFUNCTION("""COMPUTED_VALUE"""),"Warm")</f>
        <v>Warm</v>
      </c>
      <c r="G2351" s="124" t="str">
        <f>IFERROR(__xludf.DUMMYFUNCTION("""COMPUTED_VALUE"""),"GS Foundation")</f>
        <v>GS Foundation</v>
      </c>
      <c r="K2351" s="124"/>
      <c r="L2351" s="124"/>
      <c r="M2351" s="124"/>
      <c r="N2351" s="124"/>
      <c r="O2351" s="124"/>
      <c r="T2351" s="126">
        <f>IFERROR(__xludf.DUMMYFUNCTION("""COMPUTED_VALUE"""),46059.0)</f>
        <v>46059</v>
      </c>
      <c r="U2351" s="124" t="str">
        <f>IFERROR(__xludf.DUMMYFUNCTION("""COMPUTED_VALUE"""),"Telephony")</f>
        <v>Telephony</v>
      </c>
      <c r="V2351" s="124" t="str">
        <f>IFERROR(__xludf.DUMMYFUNCTION("""COMPUTED_VALUE"""),"Inbound Call")</f>
        <v>Inbound Call</v>
      </c>
      <c r="W2351" s="124">
        <f>IFERROR(__xludf.DUMMYFUNCTION("""COMPUTED_VALUE"""),9.18047861635E11)</f>
        <v>918047861635</v>
      </c>
      <c r="X2351" s="124" t="str">
        <f>IFERROR(__xludf.DUMMYFUNCTION("""COMPUTED_VALUE"""),"Inbound Call")</f>
        <v>Inbound Call</v>
      </c>
      <c r="Y2351" s="124" t="str">
        <f>IFERROR(__xludf.DUMMYFUNCTION("""COMPUTED_VALUE"""),"Indore")</f>
        <v>Indore</v>
      </c>
      <c r="Z2351" s="124">
        <f>IFERROR(__xludf.DUMMYFUNCTION("""COMPUTED_VALUE"""),1.0)</f>
        <v>1</v>
      </c>
      <c r="AA2351" s="124" t="str">
        <f>IFERROR(__xludf.DUMMYFUNCTION("""COMPUTED_VALUE"""),"Not Interested")</f>
        <v>Not Interested</v>
      </c>
      <c r="AB2351" s="124" t="str">
        <f>IFERROR(__xludf.DUMMYFUNCTION("""COMPUTED_VALUE"""),"State PCS")</f>
        <v>State PCS</v>
      </c>
    </row>
    <row r="2352">
      <c r="A2352" s="126">
        <f>IFERROR(__xludf.DUMMYFUNCTION("""COMPUTED_VALUE"""),46105.0)</f>
        <v>46105</v>
      </c>
      <c r="B2352" s="124" t="str">
        <f>IFERROR(__xludf.DUMMYFUNCTION("""COMPUTED_VALUE"""),"Walkin")</f>
        <v>Walkin</v>
      </c>
      <c r="C2352" s="124" t="str">
        <f>IFERROR(__xludf.DUMMYFUNCTION("""COMPUTED_VALUE"""),"Patna")</f>
        <v>Patna</v>
      </c>
      <c r="D2352" s="124" t="str">
        <f>IFERROR(__xludf.DUMMYFUNCTION("""COMPUTED_VALUE"""),"Primary_Walkin")</f>
        <v>Primary_Walkin</v>
      </c>
      <c r="E2352" s="124">
        <f>IFERROR(__xludf.DUMMYFUNCTION("""COMPUTED_VALUE"""),1.0)</f>
        <v>1</v>
      </c>
      <c r="F2352" s="124" t="str">
        <f>IFERROR(__xludf.DUMMYFUNCTION("""COMPUTED_VALUE"""),"Future Prospects")</f>
        <v>Future Prospects</v>
      </c>
      <c r="G2352" s="124" t="str">
        <f>IFERROR(__xludf.DUMMYFUNCTION("""COMPUTED_VALUE"""),"GS Advanced")</f>
        <v>GS Advanced</v>
      </c>
      <c r="K2352" s="124"/>
      <c r="L2352" s="124"/>
      <c r="M2352" s="124"/>
      <c r="N2352" s="124"/>
      <c r="O2352" s="124"/>
      <c r="T2352" s="126">
        <f>IFERROR(__xludf.DUMMYFUNCTION("""COMPUTED_VALUE"""),46057.0)</f>
        <v>46057</v>
      </c>
      <c r="U2352" s="124" t="str">
        <f>IFERROR(__xludf.DUMMYFUNCTION("""COMPUTED_VALUE"""),"Telephony")</f>
        <v>Telephony</v>
      </c>
      <c r="V2352" s="124" t="str">
        <f>IFERROR(__xludf.DUMMYFUNCTION("""COMPUTED_VALUE"""),"Inbound Call")</f>
        <v>Inbound Call</v>
      </c>
      <c r="W2352" s="124" t="str">
        <f>IFERROR(__xludf.DUMMYFUNCTION("""COMPUTED_VALUE"""),"Inbound Call")</f>
        <v>Inbound Call</v>
      </c>
      <c r="X2352" s="124" t="str">
        <f>IFERROR(__xludf.DUMMYFUNCTION("""COMPUTED_VALUE"""),"Inbound Call")</f>
        <v>Inbound Call</v>
      </c>
      <c r="Y2352" s="124" t="str">
        <f>IFERROR(__xludf.DUMMYFUNCTION("""COMPUTED_VALUE"""),"Patna")</f>
        <v>Patna</v>
      </c>
      <c r="Z2352" s="124">
        <f>IFERROR(__xludf.DUMMYFUNCTION("""COMPUTED_VALUE"""),1.0)</f>
        <v>1</v>
      </c>
      <c r="AA2352" s="124" t="str">
        <f>IFERROR(__xludf.DUMMYFUNCTION("""COMPUTED_VALUE"""),"Not Interested")</f>
        <v>Not Interested</v>
      </c>
      <c r="AB2352" s="124" t="str">
        <f>IFERROR(__xludf.DUMMYFUNCTION("""COMPUTED_VALUE"""),"Test Series")</f>
        <v>Test Series</v>
      </c>
    </row>
    <row r="2353">
      <c r="A2353" s="126">
        <f>IFERROR(__xludf.DUMMYFUNCTION("""COMPUTED_VALUE"""),46065.0)</f>
        <v>46065</v>
      </c>
      <c r="B2353" s="124" t="str">
        <f>IFERROR(__xludf.DUMMYFUNCTION("""COMPUTED_VALUE"""),"Walkin")</f>
        <v>Walkin</v>
      </c>
      <c r="C2353" s="124" t="str">
        <f>IFERROR(__xludf.DUMMYFUNCTION("""COMPUTED_VALUE"""),"Patna")</f>
        <v>Patna</v>
      </c>
      <c r="D2353" s="124" t="str">
        <f>IFERROR(__xludf.DUMMYFUNCTION("""COMPUTED_VALUE"""),"Primary_Walkin")</f>
        <v>Primary_Walkin</v>
      </c>
      <c r="E2353" s="124">
        <f>IFERROR(__xludf.DUMMYFUNCTION("""COMPUTED_VALUE"""),1.0)</f>
        <v>1</v>
      </c>
      <c r="F2353" s="124" t="str">
        <f>IFERROR(__xludf.DUMMYFUNCTION("""COMPUTED_VALUE"""),"Future Prospects")</f>
        <v>Future Prospects</v>
      </c>
      <c r="G2353" s="124" t="str">
        <f>IFERROR(__xludf.DUMMYFUNCTION("""COMPUTED_VALUE"""),"GS Foundation")</f>
        <v>GS Foundation</v>
      </c>
      <c r="K2353" s="124"/>
      <c r="L2353" s="124"/>
      <c r="M2353" s="124"/>
      <c r="N2353" s="124"/>
      <c r="O2353" s="124"/>
      <c r="T2353" s="126">
        <f>IFERROR(__xludf.DUMMYFUNCTION("""COMPUTED_VALUE"""),46075.0)</f>
        <v>46075</v>
      </c>
      <c r="U2353" s="124" t="str">
        <f>IFERROR(__xludf.DUMMYFUNCTION("""COMPUTED_VALUE"""),"Telephony")</f>
        <v>Telephony</v>
      </c>
      <c r="V2353" s="124" t="str">
        <f>IFERROR(__xludf.DUMMYFUNCTION("""COMPUTED_VALUE"""),"Inbound Call")</f>
        <v>Inbound Call</v>
      </c>
      <c r="W2353" s="124">
        <f>IFERROR(__xludf.DUMMYFUNCTION("""COMPUTED_VALUE"""),9.18047861635E11)</f>
        <v>918047861635</v>
      </c>
      <c r="X2353" s="124" t="str">
        <f>IFERROR(__xludf.DUMMYFUNCTION("""COMPUTED_VALUE"""),"Inbound Call")</f>
        <v>Inbound Call</v>
      </c>
      <c r="Y2353" s="124" t="str">
        <f>IFERROR(__xludf.DUMMYFUNCTION("""COMPUTED_VALUE"""),"Indore")</f>
        <v>Indore</v>
      </c>
      <c r="Z2353" s="124">
        <f>IFERROR(__xludf.DUMMYFUNCTION("""COMPUTED_VALUE"""),1.0)</f>
        <v>1</v>
      </c>
      <c r="AA2353" s="124" t="str">
        <f>IFERROR(__xludf.DUMMYFUNCTION("""COMPUTED_VALUE"""),"Cold")</f>
        <v>Cold</v>
      </c>
      <c r="AB2353" s="124"/>
    </row>
    <row r="2354">
      <c r="A2354" s="126">
        <f>IFERROR(__xludf.DUMMYFUNCTION("""COMPUTED_VALUE"""),46106.0)</f>
        <v>46106</v>
      </c>
      <c r="B2354" s="124" t="str">
        <f>IFERROR(__xludf.DUMMYFUNCTION("""COMPUTED_VALUE"""),"Walkin")</f>
        <v>Walkin</v>
      </c>
      <c r="C2354" s="124" t="str">
        <f>IFERROR(__xludf.DUMMYFUNCTION("""COMPUTED_VALUE"""),"Patna")</f>
        <v>Patna</v>
      </c>
      <c r="D2354" s="124" t="str">
        <f>IFERROR(__xludf.DUMMYFUNCTION("""COMPUTED_VALUE"""),"Primary_Walkin")</f>
        <v>Primary_Walkin</v>
      </c>
      <c r="E2354" s="124">
        <f>IFERROR(__xludf.DUMMYFUNCTION("""COMPUTED_VALUE"""),1.0)</f>
        <v>1</v>
      </c>
      <c r="F2354" s="124" t="str">
        <f>IFERROR(__xludf.DUMMYFUNCTION("""COMPUTED_VALUE"""),"Warm")</f>
        <v>Warm</v>
      </c>
      <c r="G2354" s="124" t="str">
        <f>IFERROR(__xludf.DUMMYFUNCTION("""COMPUTED_VALUE"""),"GS Foundation")</f>
        <v>GS Foundation</v>
      </c>
      <c r="K2354" s="124"/>
      <c r="L2354" s="124"/>
      <c r="M2354" s="124"/>
      <c r="N2354" s="124"/>
      <c r="O2354" s="124"/>
      <c r="T2354" s="126">
        <f>IFERROR(__xludf.DUMMYFUNCTION("""COMPUTED_VALUE"""),46090.0)</f>
        <v>46090</v>
      </c>
      <c r="U2354" s="124" t="str">
        <f>IFERROR(__xludf.DUMMYFUNCTION("""COMPUTED_VALUE"""),"Telephony")</f>
        <v>Telephony</v>
      </c>
      <c r="V2354" s="124" t="str">
        <f>IFERROR(__xludf.DUMMYFUNCTION("""COMPUTED_VALUE"""),"Inbound Call")</f>
        <v>Inbound Call</v>
      </c>
      <c r="W2354" s="124" t="str">
        <f>IFERROR(__xludf.DUMMYFUNCTION("""COMPUTED_VALUE"""),"Inbound Call")</f>
        <v>Inbound Call</v>
      </c>
      <c r="X2354" s="124" t="str">
        <f>IFERROR(__xludf.DUMMYFUNCTION("""COMPUTED_VALUE"""),"Inbound Call")</f>
        <v>Inbound Call</v>
      </c>
      <c r="Y2354" s="124" t="str">
        <f>IFERROR(__xludf.DUMMYFUNCTION("""COMPUTED_VALUE"""),"Indore")</f>
        <v>Indore</v>
      </c>
      <c r="Z2354" s="124">
        <f>IFERROR(__xludf.DUMMYFUNCTION("""COMPUTED_VALUE"""),2.0)</f>
        <v>2</v>
      </c>
      <c r="AA2354" s="124" t="str">
        <f>IFERROR(__xludf.DUMMYFUNCTION("""COMPUTED_VALUE"""),"Not Interested")</f>
        <v>Not Interested</v>
      </c>
      <c r="AB2354" s="124"/>
    </row>
    <row r="2355">
      <c r="A2355" s="126">
        <f>IFERROR(__xludf.DUMMYFUNCTION("""COMPUTED_VALUE"""),46092.0)</f>
        <v>46092</v>
      </c>
      <c r="B2355" s="124" t="str">
        <f>IFERROR(__xludf.DUMMYFUNCTION("""COMPUTED_VALUE"""),"Walkin")</f>
        <v>Walkin</v>
      </c>
      <c r="C2355" s="124" t="str">
        <f>IFERROR(__xludf.DUMMYFUNCTION("""COMPUTED_VALUE"""),"Patna")</f>
        <v>Patna</v>
      </c>
      <c r="D2355" s="124" t="str">
        <f>IFERROR(__xludf.DUMMYFUNCTION("""COMPUTED_VALUE"""),"Primary_Walkin")</f>
        <v>Primary_Walkin</v>
      </c>
      <c r="E2355" s="124">
        <f>IFERROR(__xludf.DUMMYFUNCTION("""COMPUTED_VALUE"""),1.0)</f>
        <v>1</v>
      </c>
      <c r="F2355" s="124" t="str">
        <f>IFERROR(__xludf.DUMMYFUNCTION("""COMPUTED_VALUE"""),"Warm")</f>
        <v>Warm</v>
      </c>
      <c r="G2355" s="124" t="str">
        <f>IFERROR(__xludf.DUMMYFUNCTION("""COMPUTED_VALUE"""),"State PCS")</f>
        <v>State PCS</v>
      </c>
      <c r="K2355" s="124"/>
      <c r="L2355" s="124"/>
      <c r="M2355" s="124"/>
      <c r="N2355" s="124"/>
      <c r="O2355" s="124"/>
      <c r="T2355" s="126">
        <f>IFERROR(__xludf.DUMMYFUNCTION("""COMPUTED_VALUE"""),46065.0)</f>
        <v>46065</v>
      </c>
      <c r="U2355" s="124" t="str">
        <f>IFERROR(__xludf.DUMMYFUNCTION("""COMPUTED_VALUE"""),"Telephony")</f>
        <v>Telephony</v>
      </c>
      <c r="V2355" s="124" t="str">
        <f>IFERROR(__xludf.DUMMYFUNCTION("""COMPUTED_VALUE"""),"Inbound Call")</f>
        <v>Inbound Call</v>
      </c>
      <c r="W2355" s="124" t="str">
        <f>IFERROR(__xludf.DUMMYFUNCTION("""COMPUTED_VALUE"""),"Inbound Call")</f>
        <v>Inbound Call</v>
      </c>
      <c r="X2355" s="124" t="str">
        <f>IFERROR(__xludf.DUMMYFUNCTION("""COMPUTED_VALUE"""),"Inbound Call")</f>
        <v>Inbound Call</v>
      </c>
      <c r="Y2355" s="124"/>
      <c r="Z2355" s="124">
        <f>IFERROR(__xludf.DUMMYFUNCTION("""COMPUTED_VALUE"""),4.0)</f>
        <v>4</v>
      </c>
      <c r="AA2355" s="124" t="str">
        <f>IFERROR(__xludf.DUMMYFUNCTION("""COMPUTED_VALUE"""),"Cold")</f>
        <v>Cold</v>
      </c>
      <c r="AB2355" s="124"/>
    </row>
    <row r="2356">
      <c r="A2356" s="126">
        <f>IFERROR(__xludf.DUMMYFUNCTION("""COMPUTED_VALUE"""),46052.0)</f>
        <v>46052</v>
      </c>
      <c r="B2356" s="124" t="str">
        <f>IFERROR(__xludf.DUMMYFUNCTION("""COMPUTED_VALUE"""),"Walkin")</f>
        <v>Walkin</v>
      </c>
      <c r="C2356" s="124" t="str">
        <f>IFERROR(__xludf.DUMMYFUNCTION("""COMPUTED_VALUE"""),"Patna")</f>
        <v>Patna</v>
      </c>
      <c r="D2356" s="124" t="str">
        <f>IFERROR(__xludf.DUMMYFUNCTION("""COMPUTED_VALUE"""),"Primary_Walkin")</f>
        <v>Primary_Walkin</v>
      </c>
      <c r="E2356" s="124">
        <f>IFERROR(__xludf.DUMMYFUNCTION("""COMPUTED_VALUE"""),1.0)</f>
        <v>1</v>
      </c>
      <c r="F2356" s="124" t="str">
        <f>IFERROR(__xludf.DUMMYFUNCTION("""COMPUTED_VALUE"""),"Future Prospects")</f>
        <v>Future Prospects</v>
      </c>
      <c r="G2356" s="124" t="str">
        <f>IFERROR(__xludf.DUMMYFUNCTION("""COMPUTED_VALUE"""),"Other")</f>
        <v>Other</v>
      </c>
      <c r="K2356" s="124"/>
      <c r="L2356" s="124"/>
      <c r="M2356" s="124"/>
      <c r="N2356" s="124"/>
      <c r="O2356" s="124"/>
      <c r="T2356" s="129">
        <f>IFERROR(__xludf.DUMMYFUNCTION("""COMPUTED_VALUE"""),46080.0)</f>
        <v>46080</v>
      </c>
      <c r="U2356" s="124" t="str">
        <f>IFERROR(__xludf.DUMMYFUNCTION("""COMPUTED_VALUE"""),"Telephony")</f>
        <v>Telephony</v>
      </c>
      <c r="V2356" s="124" t="str">
        <f>IFERROR(__xludf.DUMMYFUNCTION("""COMPUTED_VALUE"""),"Inbound Call")</f>
        <v>Inbound Call</v>
      </c>
      <c r="W2356" s="124">
        <f>IFERROR(__xludf.DUMMYFUNCTION("""COMPUTED_VALUE"""),9.18047861631E11)</f>
        <v>918047861631</v>
      </c>
      <c r="X2356" s="124" t="str">
        <f>IFERROR(__xludf.DUMMYFUNCTION("""COMPUTED_VALUE"""),"Inbound Call")</f>
        <v>Inbound Call</v>
      </c>
      <c r="Y2356" s="124" t="str">
        <f>IFERROR(__xludf.DUMMYFUNCTION("""COMPUTED_VALUE"""),"Delhi")</f>
        <v>Delhi</v>
      </c>
      <c r="Z2356" s="124">
        <f>IFERROR(__xludf.DUMMYFUNCTION("""COMPUTED_VALUE"""),2.0)</f>
        <v>2</v>
      </c>
      <c r="AA2356" s="124" t="str">
        <f>IFERROR(__xludf.DUMMYFUNCTION("""COMPUTED_VALUE"""),"Cold")</f>
        <v>Cold</v>
      </c>
      <c r="AB2356" s="124"/>
    </row>
    <row r="2357">
      <c r="A2357" s="126">
        <f>IFERROR(__xludf.DUMMYFUNCTION("""COMPUTED_VALUE"""),46109.0)</f>
        <v>46109</v>
      </c>
      <c r="B2357" s="124" t="str">
        <f>IFERROR(__xludf.DUMMYFUNCTION("""COMPUTED_VALUE"""),"Walkin")</f>
        <v>Walkin</v>
      </c>
      <c r="C2357" s="124" t="str">
        <f>IFERROR(__xludf.DUMMYFUNCTION("""COMPUTED_VALUE"""),"Patna")</f>
        <v>Patna</v>
      </c>
      <c r="D2357" s="124" t="str">
        <f>IFERROR(__xludf.DUMMYFUNCTION("""COMPUTED_VALUE"""),"Primary_Walkin")</f>
        <v>Primary_Walkin</v>
      </c>
      <c r="E2357" s="124">
        <f>IFERROR(__xludf.DUMMYFUNCTION("""COMPUTED_VALUE"""),1.0)</f>
        <v>1</v>
      </c>
      <c r="F2357" s="124" t="str">
        <f>IFERROR(__xludf.DUMMYFUNCTION("""COMPUTED_VALUE"""),"Future Prospects")</f>
        <v>Future Prospects</v>
      </c>
      <c r="G2357" s="124" t="str">
        <f>IFERROR(__xludf.DUMMYFUNCTION("""COMPUTED_VALUE"""),"State PCS")</f>
        <v>State PCS</v>
      </c>
      <c r="K2357" s="124"/>
      <c r="L2357" s="124"/>
      <c r="M2357" s="124"/>
      <c r="N2357" s="124"/>
      <c r="O2357" s="124"/>
      <c r="T2357" s="126">
        <f>IFERROR(__xludf.DUMMYFUNCTION("""COMPUTED_VALUE"""),46083.0)</f>
        <v>46083</v>
      </c>
      <c r="U2357" s="124" t="str">
        <f>IFERROR(__xludf.DUMMYFUNCTION("""COMPUTED_VALUE"""),"Telephony")</f>
        <v>Telephony</v>
      </c>
      <c r="V2357" s="124" t="str">
        <f>IFERROR(__xludf.DUMMYFUNCTION("""COMPUTED_VALUE"""),"Inbound Call")</f>
        <v>Inbound Call</v>
      </c>
      <c r="W2357" s="124">
        <f>IFERROR(__xludf.DUMMYFUNCTION("""COMPUTED_VALUE"""),9.18047861632E11)</f>
        <v>918047861632</v>
      </c>
      <c r="X2357" s="124" t="str">
        <f>IFERROR(__xludf.DUMMYFUNCTION("""COMPUTED_VALUE"""),"Inbound Call")</f>
        <v>Inbound Call</v>
      </c>
      <c r="Y2357" s="124" t="str">
        <f>IFERROR(__xludf.DUMMYFUNCTION("""COMPUTED_VALUE"""),"Prayagraj")</f>
        <v>Prayagraj</v>
      </c>
      <c r="Z2357" s="124">
        <f>IFERROR(__xludf.DUMMYFUNCTION("""COMPUTED_VALUE"""),1.0)</f>
        <v>1</v>
      </c>
      <c r="AA2357" s="124" t="str">
        <f>IFERROR(__xludf.DUMMYFUNCTION("""COMPUTED_VALUE"""),"Warm")</f>
        <v>Warm</v>
      </c>
      <c r="AB2357" s="124" t="str">
        <f>IFERROR(__xludf.DUMMYFUNCTION("""COMPUTED_VALUE"""),"GS Foundation")</f>
        <v>GS Foundation</v>
      </c>
    </row>
    <row r="2358">
      <c r="A2358" s="126">
        <f>IFERROR(__xludf.DUMMYFUNCTION("""COMPUTED_VALUE"""),46053.0)</f>
        <v>46053</v>
      </c>
      <c r="B2358" s="124" t="str">
        <f>IFERROR(__xludf.DUMMYFUNCTION("""COMPUTED_VALUE"""),"Walk-In")</f>
        <v>Walk-In</v>
      </c>
      <c r="C2358" s="124" t="str">
        <f>IFERROR(__xludf.DUMMYFUNCTION("""COMPUTED_VALUE"""),"Patna")</f>
        <v>Patna</v>
      </c>
      <c r="D2358" s="124" t="str">
        <f>IFERROR(__xludf.DUMMYFUNCTION("""COMPUTED_VALUE"""),"Primary_Walkin")</f>
        <v>Primary_Walkin</v>
      </c>
      <c r="E2358" s="124">
        <f>IFERROR(__xludf.DUMMYFUNCTION("""COMPUTED_VALUE"""),1.0)</f>
        <v>1</v>
      </c>
      <c r="F2358" s="124" t="str">
        <f>IFERROR(__xludf.DUMMYFUNCTION("""COMPUTED_VALUE"""),"Warm")</f>
        <v>Warm</v>
      </c>
      <c r="G2358" s="124" t="str">
        <f>IFERROR(__xludf.DUMMYFUNCTION("""COMPUTED_VALUE"""),"State PCS")</f>
        <v>State PCS</v>
      </c>
      <c r="K2358" s="124"/>
      <c r="L2358" s="124"/>
      <c r="M2358" s="124"/>
      <c r="N2358" s="124"/>
      <c r="O2358" s="124"/>
      <c r="T2358" s="129">
        <f>IFERROR(__xludf.DUMMYFUNCTION("""COMPUTED_VALUE"""),46100.0)</f>
        <v>46100</v>
      </c>
      <c r="U2358" s="124" t="str">
        <f>IFERROR(__xludf.DUMMYFUNCTION("""COMPUTED_VALUE"""),"Telephony")</f>
        <v>Telephony</v>
      </c>
      <c r="V2358" s="124" t="str">
        <f>IFERROR(__xludf.DUMMYFUNCTION("""COMPUTED_VALUE"""),"Inbound Call")</f>
        <v>Inbound Call</v>
      </c>
      <c r="W2358" s="124">
        <f>IFERROR(__xludf.DUMMYFUNCTION("""COMPUTED_VALUE"""),9.18047861631E11)</f>
        <v>918047861631</v>
      </c>
      <c r="X2358" s="124" t="str">
        <f>IFERROR(__xludf.DUMMYFUNCTION("""COMPUTED_VALUE"""),"Inbound Call")</f>
        <v>Inbound Call</v>
      </c>
      <c r="Y2358" s="124"/>
      <c r="Z2358" s="124">
        <f>IFERROR(__xludf.DUMMYFUNCTION("""COMPUTED_VALUE"""),1.0)</f>
        <v>1</v>
      </c>
      <c r="AA2358" s="124" t="str">
        <f>IFERROR(__xludf.DUMMYFUNCTION("""COMPUTED_VALUE"""),"Cold")</f>
        <v>Cold</v>
      </c>
      <c r="AB2358" s="124"/>
    </row>
    <row r="2359">
      <c r="A2359" s="126">
        <f>IFERROR(__xludf.DUMMYFUNCTION("""COMPUTED_VALUE"""),46071.0)</f>
        <v>46071</v>
      </c>
      <c r="B2359" s="124" t="str">
        <f>IFERROR(__xludf.DUMMYFUNCTION("""COMPUTED_VALUE"""),"external leads")</f>
        <v>external leads</v>
      </c>
      <c r="C2359" s="124" t="str">
        <f>IFERROR(__xludf.DUMMYFUNCTION("""COMPUTED_VALUE"""),"Patna")</f>
        <v>Patna</v>
      </c>
      <c r="D2359" s="124" t="str">
        <f>IFERROR(__xludf.DUMMYFUNCTION("""COMPUTED_VALUE"""),"Secondary_Walkin")</f>
        <v>Secondary_Walkin</v>
      </c>
      <c r="E2359" s="124">
        <f>IFERROR(__xludf.DUMMYFUNCTION("""COMPUTED_VALUE"""),1.0)</f>
        <v>1</v>
      </c>
      <c r="F2359" s="124" t="str">
        <f>IFERROR(__xludf.DUMMYFUNCTION("""COMPUTED_VALUE"""),"Cold")</f>
        <v>Cold</v>
      </c>
      <c r="G2359" s="124" t="str">
        <f>IFERROR(__xludf.DUMMYFUNCTION("""COMPUTED_VALUE"""),"State PCS")</f>
        <v>State PCS</v>
      </c>
      <c r="K2359" s="124"/>
      <c r="L2359" s="124"/>
      <c r="M2359" s="124"/>
      <c r="N2359" s="124"/>
      <c r="O2359" s="124"/>
      <c r="T2359" s="126">
        <f>IFERROR(__xludf.DUMMYFUNCTION("""COMPUTED_VALUE"""),46048.0)</f>
        <v>46048</v>
      </c>
      <c r="U2359" s="124" t="str">
        <f>IFERROR(__xludf.DUMMYFUNCTION("""COMPUTED_VALUE"""),"Telephony")</f>
        <v>Telephony</v>
      </c>
      <c r="V2359" s="124" t="str">
        <f>IFERROR(__xludf.DUMMYFUNCTION("""COMPUTED_VALUE"""),"Inbound Call")</f>
        <v>Inbound Call</v>
      </c>
      <c r="W2359" s="124">
        <f>IFERROR(__xludf.DUMMYFUNCTION("""COMPUTED_VALUE"""),9.18047861663E11)</f>
        <v>918047861663</v>
      </c>
      <c r="X2359" s="124" t="str">
        <f>IFERROR(__xludf.DUMMYFUNCTION("""COMPUTED_VALUE"""),"Inbound Call")</f>
        <v>Inbound Call</v>
      </c>
      <c r="Y2359" s="124" t="str">
        <f>IFERROR(__xludf.DUMMYFUNCTION("""COMPUTED_VALUE"""),"Delhi")</f>
        <v>Delhi</v>
      </c>
      <c r="Z2359" s="124">
        <f>IFERROR(__xludf.DUMMYFUNCTION("""COMPUTED_VALUE"""),2.0)</f>
        <v>2</v>
      </c>
      <c r="AA2359" s="124" t="str">
        <f>IFERROR(__xludf.DUMMYFUNCTION("""COMPUTED_VALUE"""),"Cold")</f>
        <v>Cold</v>
      </c>
      <c r="AB2359" s="124"/>
    </row>
    <row r="2360">
      <c r="A2360" s="126">
        <f>IFERROR(__xludf.DUMMYFUNCTION("""COMPUTED_VALUE"""),46102.0)</f>
        <v>46102</v>
      </c>
      <c r="B2360" s="124" t="str">
        <f>IFERROR(__xludf.DUMMYFUNCTION("""COMPUTED_VALUE"""),"Walkin")</f>
        <v>Walkin</v>
      </c>
      <c r="C2360" s="124" t="str">
        <f>IFERROR(__xludf.DUMMYFUNCTION("""COMPUTED_VALUE"""),"Patna")</f>
        <v>Patna</v>
      </c>
      <c r="D2360" s="124" t="str">
        <f>IFERROR(__xludf.DUMMYFUNCTION("""COMPUTED_VALUE"""),"Primary_Walkin")</f>
        <v>Primary_Walkin</v>
      </c>
      <c r="E2360" s="124">
        <f>IFERROR(__xludf.DUMMYFUNCTION("""COMPUTED_VALUE"""),1.0)</f>
        <v>1</v>
      </c>
      <c r="F2360" s="124" t="str">
        <f>IFERROR(__xludf.DUMMYFUNCTION("""COMPUTED_VALUE"""),"Cold")</f>
        <v>Cold</v>
      </c>
      <c r="G2360" s="124" t="str">
        <f>IFERROR(__xludf.DUMMYFUNCTION("""COMPUTED_VALUE"""),"Prelims Crash Course - SIP")</f>
        <v>Prelims Crash Course - SIP</v>
      </c>
      <c r="K2360" s="124"/>
      <c r="L2360" s="124"/>
      <c r="M2360" s="124"/>
      <c r="N2360" s="124"/>
      <c r="O2360" s="124"/>
      <c r="T2360" s="126">
        <f>IFERROR(__xludf.DUMMYFUNCTION("""COMPUTED_VALUE"""),46080.0)</f>
        <v>46080</v>
      </c>
      <c r="U2360" s="124" t="str">
        <f>IFERROR(__xludf.DUMMYFUNCTION("""COMPUTED_VALUE"""),"Telephony")</f>
        <v>Telephony</v>
      </c>
      <c r="V2360" s="124" t="str">
        <f>IFERROR(__xludf.DUMMYFUNCTION("""COMPUTED_VALUE"""),"Inbound Call")</f>
        <v>Inbound Call</v>
      </c>
      <c r="W2360" s="124" t="str">
        <f>IFERROR(__xludf.DUMMYFUNCTION("""COMPUTED_VALUE"""),"Inbound Call")</f>
        <v>Inbound Call</v>
      </c>
      <c r="X2360" s="124" t="str">
        <f>IFERROR(__xludf.DUMMYFUNCTION("""COMPUTED_VALUE"""),"Inbound Call")</f>
        <v>Inbound Call</v>
      </c>
      <c r="Y2360" s="124"/>
      <c r="Z2360" s="124">
        <f>IFERROR(__xludf.DUMMYFUNCTION("""COMPUTED_VALUE"""),1.0)</f>
        <v>1</v>
      </c>
      <c r="AA2360" s="124" t="str">
        <f>IFERROR(__xludf.DUMMYFUNCTION("""COMPUTED_VALUE"""),"Cold")</f>
        <v>Cold</v>
      </c>
      <c r="AB2360" s="124" t="str">
        <f>IFERROR(__xludf.DUMMYFUNCTION("""COMPUTED_VALUE"""),"Other")</f>
        <v>Other</v>
      </c>
    </row>
    <row r="2361">
      <c r="A2361" s="126">
        <f>IFERROR(__xludf.DUMMYFUNCTION("""COMPUTED_VALUE"""),46093.0)</f>
        <v>46093</v>
      </c>
      <c r="B2361" s="124" t="str">
        <f>IFERROR(__xludf.DUMMYFUNCTION("""COMPUTED_VALUE"""),"Walkin")</f>
        <v>Walkin</v>
      </c>
      <c r="C2361" s="124" t="str">
        <f>IFERROR(__xludf.DUMMYFUNCTION("""COMPUTED_VALUE"""),"Patna")</f>
        <v>Patna</v>
      </c>
      <c r="D2361" s="124" t="str">
        <f>IFERROR(__xludf.DUMMYFUNCTION("""COMPUTED_VALUE"""),"Primary_Walkin")</f>
        <v>Primary_Walkin</v>
      </c>
      <c r="E2361" s="124">
        <f>IFERROR(__xludf.DUMMYFUNCTION("""COMPUTED_VALUE"""),1.0)</f>
        <v>1</v>
      </c>
      <c r="F2361" s="124" t="str">
        <f>IFERROR(__xludf.DUMMYFUNCTION("""COMPUTED_VALUE"""),"Not Interested")</f>
        <v>Not Interested</v>
      </c>
      <c r="G2361" s="124" t="str">
        <f>IFERROR(__xludf.DUMMYFUNCTION("""COMPUTED_VALUE"""),"GS Advanced")</f>
        <v>GS Advanced</v>
      </c>
      <c r="K2361" s="124"/>
      <c r="L2361" s="124"/>
      <c r="M2361" s="124"/>
      <c r="N2361" s="124"/>
      <c r="O2361" s="124"/>
      <c r="T2361" s="129">
        <f>IFERROR(__xludf.DUMMYFUNCTION("""COMPUTED_VALUE"""),46052.0)</f>
        <v>46052</v>
      </c>
      <c r="U2361" s="124" t="str">
        <f>IFERROR(__xludf.DUMMYFUNCTION("""COMPUTED_VALUE"""),"Telephony")</f>
        <v>Telephony</v>
      </c>
      <c r="V2361" s="124" t="str">
        <f>IFERROR(__xludf.DUMMYFUNCTION("""COMPUTED_VALUE"""),"Inbound Call")</f>
        <v>Inbound Call</v>
      </c>
      <c r="W2361" s="124">
        <f>IFERROR(__xludf.DUMMYFUNCTION("""COMPUTED_VALUE"""),9.18047861635E11)</f>
        <v>918047861635</v>
      </c>
      <c r="X2361" s="124" t="str">
        <f>IFERROR(__xludf.DUMMYFUNCTION("""COMPUTED_VALUE"""),"Inbound Call")</f>
        <v>Inbound Call</v>
      </c>
      <c r="Y2361" s="124"/>
      <c r="Z2361" s="124">
        <f>IFERROR(__xludf.DUMMYFUNCTION("""COMPUTED_VALUE"""),1.0)</f>
        <v>1</v>
      </c>
      <c r="AA2361" s="124" t="str">
        <f>IFERROR(__xludf.DUMMYFUNCTION("""COMPUTED_VALUE"""),"Cold")</f>
        <v>Cold</v>
      </c>
      <c r="AB2361" s="124"/>
    </row>
    <row r="2362">
      <c r="A2362" s="129">
        <f>IFERROR(__xludf.DUMMYFUNCTION("""COMPUTED_VALUE"""),46452.0)</f>
        <v>46452</v>
      </c>
      <c r="B2362" s="124" t="str">
        <f>IFERROR(__xludf.DUMMYFUNCTION("""COMPUTED_VALUE"""),"Walkin")</f>
        <v>Walkin</v>
      </c>
      <c r="C2362" s="124" t="str">
        <f>IFERROR(__xludf.DUMMYFUNCTION("""COMPUTED_VALUE"""),"Patna")</f>
        <v>Patna</v>
      </c>
      <c r="D2362" s="124" t="str">
        <f>IFERROR(__xludf.DUMMYFUNCTION("""COMPUTED_VALUE"""),"Primary_Walkin")</f>
        <v>Primary_Walkin</v>
      </c>
      <c r="E2362" s="124">
        <f>IFERROR(__xludf.DUMMYFUNCTION("""COMPUTED_VALUE"""),1.0)</f>
        <v>1</v>
      </c>
      <c r="F2362" s="124" t="str">
        <f>IFERROR(__xludf.DUMMYFUNCTION("""COMPUTED_VALUE"""),"Cold")</f>
        <v>Cold</v>
      </c>
      <c r="G2362" s="124" t="str">
        <f>IFERROR(__xludf.DUMMYFUNCTION("""COMPUTED_VALUE"""),"GS Advanced")</f>
        <v>GS Advanced</v>
      </c>
      <c r="K2362" s="124"/>
      <c r="L2362" s="124"/>
      <c r="M2362" s="124"/>
      <c r="N2362" s="124"/>
      <c r="O2362" s="124"/>
      <c r="T2362" s="129">
        <f>IFERROR(__xludf.DUMMYFUNCTION("""COMPUTED_VALUE"""),46084.0)</f>
        <v>46084</v>
      </c>
      <c r="U2362" s="124" t="str">
        <f>IFERROR(__xludf.DUMMYFUNCTION("""COMPUTED_VALUE"""),"Telephony")</f>
        <v>Telephony</v>
      </c>
      <c r="V2362" s="124" t="str">
        <f>IFERROR(__xludf.DUMMYFUNCTION("""COMPUTED_VALUE"""),"Inbound Call")</f>
        <v>Inbound Call</v>
      </c>
      <c r="W2362" s="124">
        <f>IFERROR(__xludf.DUMMYFUNCTION("""COMPUTED_VALUE"""),9.18047861663E11)</f>
        <v>918047861663</v>
      </c>
      <c r="X2362" s="124" t="str">
        <f>IFERROR(__xludf.DUMMYFUNCTION("""COMPUTED_VALUE"""),"Inbound Call")</f>
        <v>Inbound Call</v>
      </c>
      <c r="Y2362" s="124" t="str">
        <f>IFERROR(__xludf.DUMMYFUNCTION("""COMPUTED_VALUE"""),"Delhi")</f>
        <v>Delhi</v>
      </c>
      <c r="Z2362" s="124">
        <f>IFERROR(__xludf.DUMMYFUNCTION("""COMPUTED_VALUE"""),1.0)</f>
        <v>1</v>
      </c>
      <c r="AA2362" s="124" t="str">
        <f>IFERROR(__xludf.DUMMYFUNCTION("""COMPUTED_VALUE"""),"Warm")</f>
        <v>Warm</v>
      </c>
      <c r="AB2362" s="124" t="str">
        <f>IFERROR(__xludf.DUMMYFUNCTION("""COMPUTED_VALUE"""),"GS Foundation")</f>
        <v>GS Foundation</v>
      </c>
    </row>
    <row r="2363">
      <c r="A2363" s="126">
        <f>IFERROR(__xludf.DUMMYFUNCTION("""COMPUTED_VALUE"""),46098.0)</f>
        <v>46098</v>
      </c>
      <c r="B2363" s="124" t="str">
        <f>IFERROR(__xludf.DUMMYFUNCTION("""COMPUTED_VALUE"""),"Walkin")</f>
        <v>Walkin</v>
      </c>
      <c r="C2363" s="124" t="str">
        <f>IFERROR(__xludf.DUMMYFUNCTION("""COMPUTED_VALUE"""),"Patna")</f>
        <v>Patna</v>
      </c>
      <c r="D2363" s="124" t="str">
        <f>IFERROR(__xludf.DUMMYFUNCTION("""COMPUTED_VALUE"""),"Primary_Walkin")</f>
        <v>Primary_Walkin</v>
      </c>
      <c r="E2363" s="124">
        <f>IFERROR(__xludf.DUMMYFUNCTION("""COMPUTED_VALUE"""),1.0)</f>
        <v>1</v>
      </c>
      <c r="F2363" s="124" t="str">
        <f>IFERROR(__xludf.DUMMYFUNCTION("""COMPUTED_VALUE"""),"Cold")</f>
        <v>Cold</v>
      </c>
      <c r="G2363" s="124" t="str">
        <f>IFERROR(__xludf.DUMMYFUNCTION("""COMPUTED_VALUE"""),"State PCS")</f>
        <v>State PCS</v>
      </c>
      <c r="K2363" s="124"/>
      <c r="L2363" s="124"/>
      <c r="M2363" s="124"/>
      <c r="N2363" s="124"/>
      <c r="O2363" s="124"/>
      <c r="T2363" s="126">
        <f>IFERROR(__xludf.DUMMYFUNCTION("""COMPUTED_VALUE"""),46084.0)</f>
        <v>46084</v>
      </c>
      <c r="U2363" s="124" t="str">
        <f>IFERROR(__xludf.DUMMYFUNCTION("""COMPUTED_VALUE"""),"Telephony")</f>
        <v>Telephony</v>
      </c>
      <c r="V2363" s="124" t="str">
        <f>IFERROR(__xludf.DUMMYFUNCTION("""COMPUTED_VALUE"""),"Inbound Call")</f>
        <v>Inbound Call</v>
      </c>
      <c r="W2363" s="124">
        <f>IFERROR(__xludf.DUMMYFUNCTION("""COMPUTED_VALUE"""),9.18047861635E11)</f>
        <v>918047861635</v>
      </c>
      <c r="X2363" s="124" t="str">
        <f>IFERROR(__xludf.DUMMYFUNCTION("""COMPUTED_VALUE"""),"Inbound Call")</f>
        <v>Inbound Call</v>
      </c>
      <c r="Y2363" s="124" t="str">
        <f>IFERROR(__xludf.DUMMYFUNCTION("""COMPUTED_VALUE"""),"Indore")</f>
        <v>Indore</v>
      </c>
      <c r="Z2363" s="124">
        <f>IFERROR(__xludf.DUMMYFUNCTION("""COMPUTED_VALUE"""),1.0)</f>
        <v>1</v>
      </c>
      <c r="AA2363" s="124" t="str">
        <f>IFERROR(__xludf.DUMMYFUNCTION("""COMPUTED_VALUE"""),"Not Interested")</f>
        <v>Not Interested</v>
      </c>
      <c r="AB2363" s="124" t="str">
        <f>IFERROR(__xludf.DUMMYFUNCTION("""COMPUTED_VALUE"""),"State PCS")</f>
        <v>State PCS</v>
      </c>
    </row>
    <row r="2364">
      <c r="A2364" s="126">
        <f>IFERROR(__xludf.DUMMYFUNCTION("""COMPUTED_VALUE"""),46067.0)</f>
        <v>46067</v>
      </c>
      <c r="B2364" s="124" t="str">
        <f>IFERROR(__xludf.DUMMYFUNCTION("""COMPUTED_VALUE"""),"Walk-In")</f>
        <v>Walk-In</v>
      </c>
      <c r="C2364" s="124" t="str">
        <f>IFERROR(__xludf.DUMMYFUNCTION("""COMPUTED_VALUE"""),"Patna")</f>
        <v>Patna</v>
      </c>
      <c r="D2364" s="124" t="str">
        <f>IFERROR(__xludf.DUMMYFUNCTION("""COMPUTED_VALUE"""),"Primary_Walkin")</f>
        <v>Primary_Walkin</v>
      </c>
      <c r="E2364" s="124">
        <f>IFERROR(__xludf.DUMMYFUNCTION("""COMPUTED_VALUE"""),1.0)</f>
        <v>1</v>
      </c>
      <c r="F2364" s="124" t="str">
        <f>IFERROR(__xludf.DUMMYFUNCTION("""COMPUTED_VALUE"""),"Cold")</f>
        <v>Cold</v>
      </c>
      <c r="G2364" s="124" t="str">
        <f>IFERROR(__xludf.DUMMYFUNCTION("""COMPUTED_VALUE"""),"Other")</f>
        <v>Other</v>
      </c>
      <c r="K2364" s="124"/>
      <c r="L2364" s="124"/>
      <c r="M2364" s="124"/>
      <c r="N2364" s="124"/>
      <c r="O2364" s="124"/>
      <c r="T2364" s="126">
        <f>IFERROR(__xludf.DUMMYFUNCTION("""COMPUTED_VALUE"""),46079.0)</f>
        <v>46079</v>
      </c>
      <c r="U2364" s="124" t="str">
        <f>IFERROR(__xludf.DUMMYFUNCTION("""COMPUTED_VALUE"""),"Telephony")</f>
        <v>Telephony</v>
      </c>
      <c r="V2364" s="124" t="str">
        <f>IFERROR(__xludf.DUMMYFUNCTION("""COMPUTED_VALUE"""),"Inbound Call")</f>
        <v>Inbound Call</v>
      </c>
      <c r="W2364" s="124">
        <f>IFERROR(__xludf.DUMMYFUNCTION("""COMPUTED_VALUE"""),9.18047861635E11)</f>
        <v>918047861635</v>
      </c>
      <c r="X2364" s="124" t="str">
        <f>IFERROR(__xludf.DUMMYFUNCTION("""COMPUTED_VALUE"""),"Inbound Call")</f>
        <v>Inbound Call</v>
      </c>
      <c r="Y2364" s="124" t="str">
        <f>IFERROR(__xludf.DUMMYFUNCTION("""COMPUTED_VALUE"""),"Indore")</f>
        <v>Indore</v>
      </c>
      <c r="Z2364" s="124">
        <f>IFERROR(__xludf.DUMMYFUNCTION("""COMPUTED_VALUE"""),1.0)</f>
        <v>1</v>
      </c>
      <c r="AA2364" s="124" t="str">
        <f>IFERROR(__xludf.DUMMYFUNCTION("""COMPUTED_VALUE"""),"Not Interested")</f>
        <v>Not Interested</v>
      </c>
      <c r="AB2364" s="124" t="str">
        <f>IFERROR(__xludf.DUMMYFUNCTION("""COMPUTED_VALUE"""),"Other")</f>
        <v>Other</v>
      </c>
    </row>
    <row r="2365">
      <c r="A2365" s="126">
        <f>IFERROR(__xludf.DUMMYFUNCTION("""COMPUTED_VALUE"""),46091.0)</f>
        <v>46091</v>
      </c>
      <c r="B2365" s="124" t="str">
        <f>IFERROR(__xludf.DUMMYFUNCTION("""COMPUTED_VALUE"""),"Inbound Call")</f>
        <v>Inbound Call</v>
      </c>
      <c r="C2365" s="124" t="str">
        <f>IFERROR(__xludf.DUMMYFUNCTION("""COMPUTED_VALUE"""),"Patna")</f>
        <v>Patna</v>
      </c>
      <c r="D2365" s="124" t="str">
        <f>IFERROR(__xludf.DUMMYFUNCTION("""COMPUTED_VALUE"""),"Secondary_Walkin")</f>
        <v>Secondary_Walkin</v>
      </c>
      <c r="E2365" s="124">
        <f>IFERROR(__xludf.DUMMYFUNCTION("""COMPUTED_VALUE"""),1.0)</f>
        <v>1</v>
      </c>
      <c r="F2365" s="124" t="str">
        <f>IFERROR(__xludf.DUMMYFUNCTION("""COMPUTED_VALUE"""),"Warm")</f>
        <v>Warm</v>
      </c>
      <c r="G2365" s="124" t="str">
        <f>IFERROR(__xludf.DUMMYFUNCTION("""COMPUTED_VALUE"""),"GS Foundation")</f>
        <v>GS Foundation</v>
      </c>
      <c r="K2365" s="124"/>
      <c r="L2365" s="124"/>
      <c r="M2365" s="124"/>
      <c r="N2365" s="124"/>
      <c r="O2365" s="124"/>
      <c r="T2365" s="126">
        <f>IFERROR(__xludf.DUMMYFUNCTION("""COMPUTED_VALUE"""),46108.0)</f>
        <v>46108</v>
      </c>
      <c r="U2365" s="124" t="str">
        <f>IFERROR(__xludf.DUMMYFUNCTION("""COMPUTED_VALUE"""),"Paid Ads")</f>
        <v>Paid Ads</v>
      </c>
      <c r="V2365" s="124" t="str">
        <f>IFERROR(__xludf.DUMMYFUNCTION("""COMPUTED_VALUE"""),"Facebook")</f>
        <v>Facebook</v>
      </c>
      <c r="W2365" s="124" t="str">
        <f>IFERROR(__xludf.DUMMYFUNCTION("""COMPUTED_VALUE"""),"LeadAd")</f>
        <v>LeadAd</v>
      </c>
      <c r="X2365" s="124" t="str">
        <f>IFERROR(__xludf.DUMMYFUNCTION("""COMPUTED_VALUE"""),"Upsc_offline_925_Video_lead_FB_Deeksha")</f>
        <v>Upsc_offline_925_Video_lead_FB_Deeksha</v>
      </c>
      <c r="Y2365" s="124" t="str">
        <f>IFERROR(__xludf.DUMMYFUNCTION("""COMPUTED_VALUE"""),"Delhi")</f>
        <v>Delhi</v>
      </c>
      <c r="Z2365" s="124">
        <f>IFERROR(__xludf.DUMMYFUNCTION("""COMPUTED_VALUE"""),7.0)</f>
        <v>7</v>
      </c>
      <c r="AA2365" s="124"/>
      <c r="AB2365" s="124"/>
    </row>
    <row r="2366">
      <c r="A2366" s="126">
        <f>IFERROR(__xludf.DUMMYFUNCTION("""COMPUTED_VALUE"""),46071.0)</f>
        <v>46071</v>
      </c>
      <c r="B2366" s="124" t="str">
        <f>IFERROR(__xludf.DUMMYFUNCTION("""COMPUTED_VALUE"""),"Walkin")</f>
        <v>Walkin</v>
      </c>
      <c r="C2366" s="124" t="str">
        <f>IFERROR(__xludf.DUMMYFUNCTION("""COMPUTED_VALUE"""),"Patna")</f>
        <v>Patna</v>
      </c>
      <c r="D2366" s="124" t="str">
        <f>IFERROR(__xludf.DUMMYFUNCTION("""COMPUTED_VALUE"""),"Primary_Walkin")</f>
        <v>Primary_Walkin</v>
      </c>
      <c r="E2366" s="124">
        <f>IFERROR(__xludf.DUMMYFUNCTION("""COMPUTED_VALUE"""),1.0)</f>
        <v>1</v>
      </c>
      <c r="F2366" s="124" t="str">
        <f>IFERROR(__xludf.DUMMYFUNCTION("""COMPUTED_VALUE"""),"Cold")</f>
        <v>Cold</v>
      </c>
      <c r="G2366" s="124" t="str">
        <f>IFERROR(__xludf.DUMMYFUNCTION("""COMPUTED_VALUE"""),"Prelims Crash Course - SIP")</f>
        <v>Prelims Crash Course - SIP</v>
      </c>
      <c r="K2366" s="124"/>
      <c r="L2366" s="124"/>
      <c r="M2366" s="124"/>
      <c r="N2366" s="124"/>
      <c r="O2366" s="124"/>
      <c r="T2366" s="126">
        <f>IFERROR(__xludf.DUMMYFUNCTION("""COMPUTED_VALUE"""),46051.0)</f>
        <v>46051</v>
      </c>
      <c r="U2366" s="124" t="str">
        <f>IFERROR(__xludf.DUMMYFUNCTION("""COMPUTED_VALUE"""),"Telephony")</f>
        <v>Telephony</v>
      </c>
      <c r="V2366" s="124" t="str">
        <f>IFERROR(__xludf.DUMMYFUNCTION("""COMPUTED_VALUE"""),"Inbound Call")</f>
        <v>Inbound Call</v>
      </c>
      <c r="W2366" s="124">
        <f>IFERROR(__xludf.DUMMYFUNCTION("""COMPUTED_VALUE"""),9.18047861663E11)</f>
        <v>918047861663</v>
      </c>
      <c r="X2366" s="124" t="str">
        <f>IFERROR(__xludf.DUMMYFUNCTION("""COMPUTED_VALUE"""),"Inbound Call")</f>
        <v>Inbound Call</v>
      </c>
      <c r="Y2366" s="124"/>
      <c r="Z2366" s="124">
        <f>IFERROR(__xludf.DUMMYFUNCTION("""COMPUTED_VALUE"""),1.0)</f>
        <v>1</v>
      </c>
      <c r="AA2366" s="124" t="str">
        <f>IFERROR(__xludf.DUMMYFUNCTION("""COMPUTED_VALUE"""),"Cold")</f>
        <v>Cold</v>
      </c>
      <c r="AB2366" s="124" t="str">
        <f>IFERROR(__xludf.DUMMYFUNCTION("""COMPUTED_VALUE"""),"Optionals")</f>
        <v>Optionals</v>
      </c>
    </row>
    <row r="2367">
      <c r="A2367" s="126">
        <f>IFERROR(__xludf.DUMMYFUNCTION("""COMPUTED_VALUE"""),46047.0)</f>
        <v>46047</v>
      </c>
      <c r="B2367" s="124" t="str">
        <f>IFERROR(__xludf.DUMMYFUNCTION("""COMPUTED_VALUE"""),"Walk-In")</f>
        <v>Walk-In</v>
      </c>
      <c r="C2367" s="124"/>
      <c r="D2367" s="124" t="str">
        <f>IFERROR(__xludf.DUMMYFUNCTION("""COMPUTED_VALUE"""),"Primary_Walkin")</f>
        <v>Primary_Walkin</v>
      </c>
      <c r="E2367" s="124">
        <f>IFERROR(__xludf.DUMMYFUNCTION("""COMPUTED_VALUE"""),1.0)</f>
        <v>1</v>
      </c>
      <c r="F2367" s="124" t="str">
        <f>IFERROR(__xludf.DUMMYFUNCTION("""COMPUTED_VALUE"""),"Fake Lead")</f>
        <v>Fake Lead</v>
      </c>
      <c r="G2367" s="124" t="str">
        <f>IFERROR(__xludf.DUMMYFUNCTION("""COMPUTED_VALUE"""),"GS Foundation")</f>
        <v>GS Foundation</v>
      </c>
      <c r="K2367" s="124"/>
      <c r="L2367" s="124"/>
      <c r="M2367" s="124"/>
      <c r="N2367" s="124"/>
      <c r="O2367" s="124"/>
      <c r="T2367" s="126">
        <f>IFERROR(__xludf.DUMMYFUNCTION("""COMPUTED_VALUE"""),46056.0)</f>
        <v>46056</v>
      </c>
      <c r="U2367" s="124" t="str">
        <f>IFERROR(__xludf.DUMMYFUNCTION("""COMPUTED_VALUE"""),"Telephony")</f>
        <v>Telephony</v>
      </c>
      <c r="V2367" s="124" t="str">
        <f>IFERROR(__xludf.DUMMYFUNCTION("""COMPUTED_VALUE"""),"Inbound Call")</f>
        <v>Inbound Call</v>
      </c>
      <c r="W2367" s="124">
        <f>IFERROR(__xludf.DUMMYFUNCTION("""COMPUTED_VALUE"""),9.18047861663E11)</f>
        <v>918047861663</v>
      </c>
      <c r="X2367" s="124" t="str">
        <f>IFERROR(__xludf.DUMMYFUNCTION("""COMPUTED_VALUE"""),"Inbound Call")</f>
        <v>Inbound Call</v>
      </c>
      <c r="Y2367" s="124" t="str">
        <f>IFERROR(__xludf.DUMMYFUNCTION("""COMPUTED_VALUE"""),"Delhi")</f>
        <v>Delhi</v>
      </c>
      <c r="Z2367" s="124">
        <f>IFERROR(__xludf.DUMMYFUNCTION("""COMPUTED_VALUE"""),1.0)</f>
        <v>1</v>
      </c>
      <c r="AA2367" s="124" t="str">
        <f>IFERROR(__xludf.DUMMYFUNCTION("""COMPUTED_VALUE"""),"Future Prospects")</f>
        <v>Future Prospects</v>
      </c>
      <c r="AB2367" s="124" t="str">
        <f>IFERROR(__xludf.DUMMYFUNCTION("""COMPUTED_VALUE"""),"GS Foundation")</f>
        <v>GS Foundation</v>
      </c>
    </row>
    <row r="2368">
      <c r="A2368" s="126">
        <f>IFERROR(__xludf.DUMMYFUNCTION("""COMPUTED_VALUE"""),46053.0)</f>
        <v>46053</v>
      </c>
      <c r="B2368" s="124" t="str">
        <f>IFERROR(__xludf.DUMMYFUNCTION("""COMPUTED_VALUE"""),"Walk-In")</f>
        <v>Walk-In</v>
      </c>
      <c r="C2368" s="124"/>
      <c r="D2368" s="124" t="str">
        <f>IFERROR(__xludf.DUMMYFUNCTION("""COMPUTED_VALUE"""),"Primary_Walkin")</f>
        <v>Primary_Walkin</v>
      </c>
      <c r="E2368" s="124">
        <f>IFERROR(__xludf.DUMMYFUNCTION("""COMPUTED_VALUE"""),1.0)</f>
        <v>1</v>
      </c>
      <c r="F2368" s="124" t="str">
        <f>IFERROR(__xludf.DUMMYFUNCTION("""COMPUTED_VALUE"""),"Not Interested")</f>
        <v>Not Interested</v>
      </c>
      <c r="G2368" s="124" t="str">
        <f>IFERROR(__xludf.DUMMYFUNCTION("""COMPUTED_VALUE"""),"Test Series")</f>
        <v>Test Series</v>
      </c>
      <c r="K2368" s="124"/>
      <c r="L2368" s="124"/>
      <c r="M2368" s="124"/>
      <c r="N2368" s="124"/>
      <c r="O2368" s="124"/>
      <c r="T2368" s="126">
        <f>IFERROR(__xludf.DUMMYFUNCTION("""COMPUTED_VALUE"""),46078.0)</f>
        <v>46078</v>
      </c>
      <c r="U2368" s="124" t="str">
        <f>IFERROR(__xludf.DUMMYFUNCTION("""COMPUTED_VALUE"""),"Telephony")</f>
        <v>Telephony</v>
      </c>
      <c r="V2368" s="124" t="str">
        <f>IFERROR(__xludf.DUMMYFUNCTION("""COMPUTED_VALUE"""),"Inbound Call")</f>
        <v>Inbound Call</v>
      </c>
      <c r="W2368" s="124" t="str">
        <f>IFERROR(__xludf.DUMMYFUNCTION("""COMPUTED_VALUE"""),"Inbound Call")</f>
        <v>Inbound Call</v>
      </c>
      <c r="X2368" s="124" t="str">
        <f>IFERROR(__xludf.DUMMYFUNCTION("""COMPUTED_VALUE"""),"Inbound Call")</f>
        <v>Inbound Call</v>
      </c>
      <c r="Y2368" s="124"/>
      <c r="Z2368" s="124">
        <f>IFERROR(__xludf.DUMMYFUNCTION("""COMPUTED_VALUE"""),1.0)</f>
        <v>1</v>
      </c>
      <c r="AA2368" s="124" t="str">
        <f>IFERROR(__xludf.DUMMYFUNCTION("""COMPUTED_VALUE"""),"Cold")</f>
        <v>Cold</v>
      </c>
      <c r="AB2368" s="124"/>
    </row>
    <row r="2369">
      <c r="A2369" s="126">
        <f>IFERROR(__xludf.DUMMYFUNCTION("""COMPUTED_VALUE"""),46051.0)</f>
        <v>46051</v>
      </c>
      <c r="B2369" s="124" t="str">
        <f>IFERROR(__xludf.DUMMYFUNCTION("""COMPUTED_VALUE"""),"Walk-In")</f>
        <v>Walk-In</v>
      </c>
      <c r="C2369" s="124" t="str">
        <f>IFERROR(__xludf.DUMMYFUNCTION("""COMPUTED_VALUE"""),"Prayagraj")</f>
        <v>Prayagraj</v>
      </c>
      <c r="D2369" s="124" t="str">
        <f>IFERROR(__xludf.DUMMYFUNCTION("""COMPUTED_VALUE"""),"Primary_Walkin")</f>
        <v>Primary_Walkin</v>
      </c>
      <c r="E2369" s="124">
        <f>IFERROR(__xludf.DUMMYFUNCTION("""COMPUTED_VALUE"""),1.0)</f>
        <v>1</v>
      </c>
      <c r="F2369" s="124" t="str">
        <f>IFERROR(__xludf.DUMMYFUNCTION("""COMPUTED_VALUE"""),"Warm")</f>
        <v>Warm</v>
      </c>
      <c r="G2369" s="124" t="str">
        <f>IFERROR(__xludf.DUMMYFUNCTION("""COMPUTED_VALUE"""),"GS Foundation")</f>
        <v>GS Foundation</v>
      </c>
      <c r="K2369" s="124"/>
      <c r="L2369" s="124"/>
      <c r="M2369" s="124"/>
      <c r="N2369" s="124"/>
      <c r="O2369" s="124"/>
      <c r="T2369" s="129">
        <f>IFERROR(__xludf.DUMMYFUNCTION("""COMPUTED_VALUE"""),46081.0)</f>
        <v>46081</v>
      </c>
      <c r="U2369" s="124" t="str">
        <f>IFERROR(__xludf.DUMMYFUNCTION("""COMPUTED_VALUE"""),"Telephony")</f>
        <v>Telephony</v>
      </c>
      <c r="V2369" s="124" t="str">
        <f>IFERROR(__xludf.DUMMYFUNCTION("""COMPUTED_VALUE"""),"Inbound Call")</f>
        <v>Inbound Call</v>
      </c>
      <c r="W2369" s="124">
        <f>IFERROR(__xludf.DUMMYFUNCTION("""COMPUTED_VALUE"""),9.18047861634E11)</f>
        <v>918047861634</v>
      </c>
      <c r="X2369" s="124" t="str">
        <f>IFERROR(__xludf.DUMMYFUNCTION("""COMPUTED_VALUE"""),"Inbound Call")</f>
        <v>Inbound Call</v>
      </c>
      <c r="Y2369" s="124"/>
      <c r="Z2369" s="124">
        <f>IFERROR(__xludf.DUMMYFUNCTION("""COMPUTED_VALUE"""),1.0)</f>
        <v>1</v>
      </c>
      <c r="AA2369" s="124" t="str">
        <f>IFERROR(__xludf.DUMMYFUNCTION("""COMPUTED_VALUE"""),"Not Interested")</f>
        <v>Not Interested</v>
      </c>
      <c r="AB2369" s="124"/>
    </row>
    <row r="2370">
      <c r="A2370" s="126">
        <f>IFERROR(__xludf.DUMMYFUNCTION("""COMPUTED_VALUE"""),46047.0)</f>
        <v>46047</v>
      </c>
      <c r="B2370" s="124" t="str">
        <f>IFERROR(__xludf.DUMMYFUNCTION("""COMPUTED_VALUE"""),"Walkin")</f>
        <v>Walkin</v>
      </c>
      <c r="C2370" s="124" t="str">
        <f>IFERROR(__xludf.DUMMYFUNCTION("""COMPUTED_VALUE"""),"Prayagraj")</f>
        <v>Prayagraj</v>
      </c>
      <c r="D2370" s="124" t="str">
        <f>IFERROR(__xludf.DUMMYFUNCTION("""COMPUTED_VALUE"""),"Primary_Walkin")</f>
        <v>Primary_Walkin</v>
      </c>
      <c r="E2370" s="124">
        <f>IFERROR(__xludf.DUMMYFUNCTION("""COMPUTED_VALUE"""),1.0)</f>
        <v>1</v>
      </c>
      <c r="F2370" s="124" t="str">
        <f>IFERROR(__xludf.DUMMYFUNCTION("""COMPUTED_VALUE"""),"Enrolled")</f>
        <v>Enrolled</v>
      </c>
      <c r="G2370" s="124" t="str">
        <f>IFERROR(__xludf.DUMMYFUNCTION("""COMPUTED_VALUE"""),"Mentorship")</f>
        <v>Mentorship</v>
      </c>
      <c r="K2370" s="124"/>
      <c r="L2370" s="124"/>
      <c r="M2370" s="124"/>
      <c r="N2370" s="124"/>
      <c r="O2370" s="124"/>
      <c r="T2370" s="129">
        <f>IFERROR(__xludf.DUMMYFUNCTION("""COMPUTED_VALUE"""),46064.0)</f>
        <v>46064</v>
      </c>
      <c r="U2370" s="124" t="str">
        <f>IFERROR(__xludf.DUMMYFUNCTION("""COMPUTED_VALUE"""),"Telephony")</f>
        <v>Telephony</v>
      </c>
      <c r="V2370" s="124" t="str">
        <f>IFERROR(__xludf.DUMMYFUNCTION("""COMPUTED_VALUE"""),"Inbound Call")</f>
        <v>Inbound Call</v>
      </c>
      <c r="W2370" s="124" t="str">
        <f>IFERROR(__xludf.DUMMYFUNCTION("""COMPUTED_VALUE"""),"Inbound Call")</f>
        <v>Inbound Call</v>
      </c>
      <c r="X2370" s="124" t="str">
        <f>IFERROR(__xludf.DUMMYFUNCTION("""COMPUTED_VALUE"""),"Inbound Call")</f>
        <v>Inbound Call</v>
      </c>
      <c r="Y2370" s="124" t="str">
        <f>IFERROR(__xludf.DUMMYFUNCTION("""COMPUTED_VALUE"""),"Indore")</f>
        <v>Indore</v>
      </c>
      <c r="Z2370" s="124">
        <f>IFERROR(__xludf.DUMMYFUNCTION("""COMPUTED_VALUE"""),2.0)</f>
        <v>2</v>
      </c>
      <c r="AA2370" s="124" t="str">
        <f>IFERROR(__xludf.DUMMYFUNCTION("""COMPUTED_VALUE"""),"Fake Lead")</f>
        <v>Fake Lead</v>
      </c>
      <c r="AB2370" s="124"/>
    </row>
    <row r="2371">
      <c r="A2371" s="126">
        <f>IFERROR(__xludf.DUMMYFUNCTION("""COMPUTED_VALUE"""),46091.0)</f>
        <v>46091</v>
      </c>
      <c r="B2371" s="124" t="str">
        <f>IFERROR(__xludf.DUMMYFUNCTION("""COMPUTED_VALUE"""),"Walk-In")</f>
        <v>Walk-In</v>
      </c>
      <c r="C2371" s="124" t="str">
        <f>IFERROR(__xludf.DUMMYFUNCTION("""COMPUTED_VALUE"""),"Prayagraj")</f>
        <v>Prayagraj</v>
      </c>
      <c r="D2371" s="124" t="str">
        <f>IFERROR(__xludf.DUMMYFUNCTION("""COMPUTED_VALUE"""),"Primary_Walkin")</f>
        <v>Primary_Walkin</v>
      </c>
      <c r="E2371" s="124">
        <f>IFERROR(__xludf.DUMMYFUNCTION("""COMPUTED_VALUE"""),1.0)</f>
        <v>1</v>
      </c>
      <c r="F2371" s="124" t="str">
        <f>IFERROR(__xludf.DUMMYFUNCTION("""COMPUTED_VALUE"""),"Cold")</f>
        <v>Cold</v>
      </c>
      <c r="G2371" s="124" t="str">
        <f>IFERROR(__xludf.DUMMYFUNCTION("""COMPUTED_VALUE"""),"GS Foundation")</f>
        <v>GS Foundation</v>
      </c>
      <c r="K2371" s="124"/>
      <c r="L2371" s="124"/>
      <c r="M2371" s="124"/>
      <c r="N2371" s="124"/>
      <c r="O2371" s="124"/>
      <c r="T2371" s="129">
        <f>IFERROR(__xludf.DUMMYFUNCTION("""COMPUTED_VALUE"""),46106.0)</f>
        <v>46106</v>
      </c>
      <c r="U2371" s="124" t="str">
        <f>IFERROR(__xludf.DUMMYFUNCTION("""COMPUTED_VALUE"""),"Telephony")</f>
        <v>Telephony</v>
      </c>
      <c r="V2371" s="124" t="str">
        <f>IFERROR(__xludf.DUMMYFUNCTION("""COMPUTED_VALUE"""),"Inbound Call")</f>
        <v>Inbound Call</v>
      </c>
      <c r="W2371" s="124" t="str">
        <f>IFERROR(__xludf.DUMMYFUNCTION("""COMPUTED_VALUE"""),"Inbound Call")</f>
        <v>Inbound Call</v>
      </c>
      <c r="X2371" s="124" t="str">
        <f>IFERROR(__xludf.DUMMYFUNCTION("""COMPUTED_VALUE"""),"Inbound Call")</f>
        <v>Inbound Call</v>
      </c>
      <c r="Y2371" s="124"/>
      <c r="Z2371" s="124">
        <f>IFERROR(__xludf.DUMMYFUNCTION("""COMPUTED_VALUE"""),1.0)</f>
        <v>1</v>
      </c>
      <c r="AA2371" s="124" t="str">
        <f>IFERROR(__xludf.DUMMYFUNCTION("""COMPUTED_VALUE"""),"Warm")</f>
        <v>Warm</v>
      </c>
      <c r="AB2371" s="124" t="str">
        <f>IFERROR(__xludf.DUMMYFUNCTION("""COMPUTED_VALUE"""),"Optionals")</f>
        <v>Optionals</v>
      </c>
    </row>
    <row r="2372">
      <c r="A2372" s="129">
        <f>IFERROR(__xludf.DUMMYFUNCTION("""COMPUTED_VALUE"""),46083.0)</f>
        <v>46083</v>
      </c>
      <c r="B2372" s="124" t="str">
        <f>IFERROR(__xludf.DUMMYFUNCTION("""COMPUTED_VALUE"""),"Walk-In")</f>
        <v>Walk-In</v>
      </c>
      <c r="C2372" s="124" t="str">
        <f>IFERROR(__xludf.DUMMYFUNCTION("""COMPUTED_VALUE"""),"Prayagraj")</f>
        <v>Prayagraj</v>
      </c>
      <c r="D2372" s="124" t="str">
        <f>IFERROR(__xludf.DUMMYFUNCTION("""COMPUTED_VALUE"""),"Primary_Walkin")</f>
        <v>Primary_Walkin</v>
      </c>
      <c r="E2372" s="124">
        <f>IFERROR(__xludf.DUMMYFUNCTION("""COMPUTED_VALUE"""),1.0)</f>
        <v>1</v>
      </c>
      <c r="F2372" s="124" t="str">
        <f>IFERROR(__xludf.DUMMYFUNCTION("""COMPUTED_VALUE"""),"Not Interested")</f>
        <v>Not Interested</v>
      </c>
      <c r="G2372" s="124" t="str">
        <f>IFERROR(__xludf.DUMMYFUNCTION("""COMPUTED_VALUE"""),"GS Foundation")</f>
        <v>GS Foundation</v>
      </c>
      <c r="K2372" s="124"/>
      <c r="L2372" s="124"/>
      <c r="M2372" s="124"/>
      <c r="N2372" s="124"/>
      <c r="O2372" s="124"/>
      <c r="T2372" s="126">
        <f>IFERROR(__xludf.DUMMYFUNCTION("""COMPUTED_VALUE"""),46054.0)</f>
        <v>46054</v>
      </c>
      <c r="U2372" s="124" t="str">
        <f>IFERROR(__xludf.DUMMYFUNCTION("""COMPUTED_VALUE"""),"Telephony")</f>
        <v>Telephony</v>
      </c>
      <c r="V2372" s="124" t="str">
        <f>IFERROR(__xludf.DUMMYFUNCTION("""COMPUTED_VALUE"""),"Inbound Call")</f>
        <v>Inbound Call</v>
      </c>
      <c r="W2372" s="124">
        <f>IFERROR(__xludf.DUMMYFUNCTION("""COMPUTED_VALUE"""),9.18047861663E11)</f>
        <v>918047861663</v>
      </c>
      <c r="X2372" s="124" t="str">
        <f>IFERROR(__xludf.DUMMYFUNCTION("""COMPUTED_VALUE"""),"Inbound Call")</f>
        <v>Inbound Call</v>
      </c>
      <c r="Y2372" s="124"/>
      <c r="Z2372" s="124">
        <f>IFERROR(__xludf.DUMMYFUNCTION("""COMPUTED_VALUE"""),2.0)</f>
        <v>2</v>
      </c>
      <c r="AA2372" s="124" t="str">
        <f>IFERROR(__xludf.DUMMYFUNCTION("""COMPUTED_VALUE"""),"Not Interested")</f>
        <v>Not Interested</v>
      </c>
      <c r="AB2372" s="124"/>
    </row>
    <row r="2373">
      <c r="A2373" s="126">
        <f>IFERROR(__xludf.DUMMYFUNCTION("""COMPUTED_VALUE"""),46074.0)</f>
        <v>46074</v>
      </c>
      <c r="B2373" s="124" t="str">
        <f>IFERROR(__xludf.DUMMYFUNCTION("""COMPUTED_VALUE"""),"Walk-In")</f>
        <v>Walk-In</v>
      </c>
      <c r="C2373" s="124" t="str">
        <f>IFERROR(__xludf.DUMMYFUNCTION("""COMPUTED_VALUE"""),"Prayagraj")</f>
        <v>Prayagraj</v>
      </c>
      <c r="D2373" s="124" t="str">
        <f>IFERROR(__xludf.DUMMYFUNCTION("""COMPUTED_VALUE"""),"Primary_Walkin")</f>
        <v>Primary_Walkin</v>
      </c>
      <c r="E2373" s="124">
        <f>IFERROR(__xludf.DUMMYFUNCTION("""COMPUTED_VALUE"""),1.0)</f>
        <v>1</v>
      </c>
      <c r="F2373" s="124" t="str">
        <f>IFERROR(__xludf.DUMMYFUNCTION("""COMPUTED_VALUE"""),"Enrolled")</f>
        <v>Enrolled</v>
      </c>
      <c r="G2373" s="124" t="str">
        <f>IFERROR(__xludf.DUMMYFUNCTION("""COMPUTED_VALUE"""),"GS Foundation")</f>
        <v>GS Foundation</v>
      </c>
      <c r="K2373" s="124"/>
      <c r="L2373" s="124"/>
      <c r="M2373" s="124"/>
      <c r="N2373" s="124"/>
      <c r="O2373" s="124"/>
      <c r="T2373" s="126">
        <f>IFERROR(__xludf.DUMMYFUNCTION("""COMPUTED_VALUE"""),46051.0)</f>
        <v>46051</v>
      </c>
      <c r="U2373" s="124" t="str">
        <f>IFERROR(__xludf.DUMMYFUNCTION("""COMPUTED_VALUE"""),"Telephony")</f>
        <v>Telephony</v>
      </c>
      <c r="V2373" s="124" t="str">
        <f>IFERROR(__xludf.DUMMYFUNCTION("""COMPUTED_VALUE"""),"Inbound Call")</f>
        <v>Inbound Call</v>
      </c>
      <c r="W2373" s="124">
        <f>IFERROR(__xludf.DUMMYFUNCTION("""COMPUTED_VALUE"""),9.18047861663E11)</f>
        <v>918047861663</v>
      </c>
      <c r="X2373" s="124" t="str">
        <f>IFERROR(__xludf.DUMMYFUNCTION("""COMPUTED_VALUE"""),"Inbound Call")</f>
        <v>Inbound Call</v>
      </c>
      <c r="Y2373" s="124"/>
      <c r="Z2373" s="124">
        <f>IFERROR(__xludf.DUMMYFUNCTION("""COMPUTED_VALUE"""),2.0)</f>
        <v>2</v>
      </c>
      <c r="AA2373" s="124" t="str">
        <f>IFERROR(__xludf.DUMMYFUNCTION("""COMPUTED_VALUE"""),"Not Interested")</f>
        <v>Not Interested</v>
      </c>
      <c r="AB2373" s="124"/>
    </row>
    <row r="2374">
      <c r="A2374" s="126">
        <f>IFERROR(__xludf.DUMMYFUNCTION("""COMPUTED_VALUE"""),46096.0)</f>
        <v>46096</v>
      </c>
      <c r="B2374" s="124" t="str">
        <f>IFERROR(__xludf.DUMMYFUNCTION("""COMPUTED_VALUE"""),"Walkin")</f>
        <v>Walkin</v>
      </c>
      <c r="C2374" s="124" t="str">
        <f>IFERROR(__xludf.DUMMYFUNCTION("""COMPUTED_VALUE"""),"Prayagraj")</f>
        <v>Prayagraj</v>
      </c>
      <c r="D2374" s="124" t="str">
        <f>IFERROR(__xludf.DUMMYFUNCTION("""COMPUTED_VALUE"""),"Primary_Walkin")</f>
        <v>Primary_Walkin</v>
      </c>
      <c r="E2374" s="124">
        <f>IFERROR(__xludf.DUMMYFUNCTION("""COMPUTED_VALUE"""),2.0)</f>
        <v>2</v>
      </c>
      <c r="F2374" s="124" t="str">
        <f>IFERROR(__xludf.DUMMYFUNCTION("""COMPUTED_VALUE"""),"Cold")</f>
        <v>Cold</v>
      </c>
      <c r="G2374" s="124" t="str">
        <f>IFERROR(__xludf.DUMMYFUNCTION("""COMPUTED_VALUE"""),"GS Foundation")</f>
        <v>GS Foundation</v>
      </c>
      <c r="K2374" s="124"/>
      <c r="L2374" s="124"/>
      <c r="M2374" s="124"/>
      <c r="N2374" s="124"/>
      <c r="O2374" s="124"/>
      <c r="T2374" s="126">
        <f>IFERROR(__xludf.DUMMYFUNCTION("""COMPUTED_VALUE"""),46063.0)</f>
        <v>46063</v>
      </c>
      <c r="U2374" s="124" t="str">
        <f>IFERROR(__xludf.DUMMYFUNCTION("""COMPUTED_VALUE"""),"Telephony")</f>
        <v>Telephony</v>
      </c>
      <c r="V2374" s="124" t="str">
        <f>IFERROR(__xludf.DUMMYFUNCTION("""COMPUTED_VALUE"""),"Inbound Call")</f>
        <v>Inbound Call</v>
      </c>
      <c r="W2374" s="124" t="str">
        <f>IFERROR(__xludf.DUMMYFUNCTION("""COMPUTED_VALUE"""),"Inbound Call")</f>
        <v>Inbound Call</v>
      </c>
      <c r="X2374" s="124" t="str">
        <f>IFERROR(__xludf.DUMMYFUNCTION("""COMPUTED_VALUE"""),"Inbound Call")</f>
        <v>Inbound Call</v>
      </c>
      <c r="Y2374" s="124" t="str">
        <f>IFERROR(__xludf.DUMMYFUNCTION("""COMPUTED_VALUE"""),"Indore")</f>
        <v>Indore</v>
      </c>
      <c r="Z2374" s="124">
        <f>IFERROR(__xludf.DUMMYFUNCTION("""COMPUTED_VALUE"""),1.0)</f>
        <v>1</v>
      </c>
      <c r="AA2374" s="124" t="str">
        <f>IFERROR(__xludf.DUMMYFUNCTION("""COMPUTED_VALUE"""),"Not Interested")</f>
        <v>Not Interested</v>
      </c>
      <c r="AB2374" s="124"/>
    </row>
    <row r="2375">
      <c r="A2375" s="126">
        <f>IFERROR(__xludf.DUMMYFUNCTION("""COMPUTED_VALUE"""),46093.0)</f>
        <v>46093</v>
      </c>
      <c r="B2375" s="124" t="str">
        <f>IFERROR(__xludf.DUMMYFUNCTION("""COMPUTED_VALUE"""),"Walkin")</f>
        <v>Walkin</v>
      </c>
      <c r="C2375" s="124" t="str">
        <f>IFERROR(__xludf.DUMMYFUNCTION("""COMPUTED_VALUE"""),"Prayagraj")</f>
        <v>Prayagraj</v>
      </c>
      <c r="D2375" s="124" t="str">
        <f>IFERROR(__xludf.DUMMYFUNCTION("""COMPUTED_VALUE"""),"Primary_Walkin")</f>
        <v>Primary_Walkin</v>
      </c>
      <c r="E2375" s="124">
        <f>IFERROR(__xludf.DUMMYFUNCTION("""COMPUTED_VALUE"""),1.0)</f>
        <v>1</v>
      </c>
      <c r="F2375" s="124" t="str">
        <f>IFERROR(__xludf.DUMMYFUNCTION("""COMPUTED_VALUE"""),"Fake Lead")</f>
        <v>Fake Lead</v>
      </c>
      <c r="G2375" s="124" t="str">
        <f>IFERROR(__xludf.DUMMYFUNCTION("""COMPUTED_VALUE"""),"GS Foundation")</f>
        <v>GS Foundation</v>
      </c>
      <c r="K2375" s="124"/>
      <c r="L2375" s="124"/>
      <c r="M2375" s="124"/>
      <c r="N2375" s="124"/>
      <c r="O2375" s="124"/>
      <c r="T2375" s="129">
        <f>IFERROR(__xludf.DUMMYFUNCTION("""COMPUTED_VALUE"""),46087.0)</f>
        <v>46087</v>
      </c>
      <c r="U2375" s="124" t="str">
        <f>IFERROR(__xludf.DUMMYFUNCTION("""COMPUTED_VALUE"""),"Telephony")</f>
        <v>Telephony</v>
      </c>
      <c r="V2375" s="124" t="str">
        <f>IFERROR(__xludf.DUMMYFUNCTION("""COMPUTED_VALUE"""),"Inbound Call")</f>
        <v>Inbound Call</v>
      </c>
      <c r="W2375" s="124">
        <f>IFERROR(__xludf.DUMMYFUNCTION("""COMPUTED_VALUE"""),9.18047861663E11)</f>
        <v>918047861663</v>
      </c>
      <c r="X2375" s="124" t="str">
        <f>IFERROR(__xludf.DUMMYFUNCTION("""COMPUTED_VALUE"""),"Inbound Call")</f>
        <v>Inbound Call</v>
      </c>
      <c r="Y2375" s="124"/>
      <c r="Z2375" s="124">
        <f>IFERROR(__xludf.DUMMYFUNCTION("""COMPUTED_VALUE"""),3.0)</f>
        <v>3</v>
      </c>
      <c r="AA2375" s="124" t="str">
        <f>IFERROR(__xludf.DUMMYFUNCTION("""COMPUTED_VALUE"""),"Cold")</f>
        <v>Cold</v>
      </c>
      <c r="AB2375" s="124"/>
    </row>
    <row r="2376">
      <c r="A2376" s="129">
        <f>IFERROR(__xludf.DUMMYFUNCTION("""COMPUTED_VALUE"""),46062.0)</f>
        <v>46062</v>
      </c>
      <c r="B2376" s="124" t="str">
        <f>IFERROR(__xludf.DUMMYFUNCTION("""COMPUTED_VALUE"""),"Walk-In")</f>
        <v>Walk-In</v>
      </c>
      <c r="C2376" s="124" t="str">
        <f>IFERROR(__xludf.DUMMYFUNCTION("""COMPUTED_VALUE"""),"Prayagraj")</f>
        <v>Prayagraj</v>
      </c>
      <c r="D2376" s="124" t="str">
        <f>IFERROR(__xludf.DUMMYFUNCTION("""COMPUTED_VALUE"""),"Primary_Walkin")</f>
        <v>Primary_Walkin</v>
      </c>
      <c r="E2376" s="124">
        <f>IFERROR(__xludf.DUMMYFUNCTION("""COMPUTED_VALUE"""),1.0)</f>
        <v>1</v>
      </c>
      <c r="F2376" s="124" t="str">
        <f>IFERROR(__xludf.DUMMYFUNCTION("""COMPUTED_VALUE"""),"Cold")</f>
        <v>Cold</v>
      </c>
      <c r="G2376" s="124" t="str">
        <f>IFERROR(__xludf.DUMMYFUNCTION("""COMPUTED_VALUE"""),"Other")</f>
        <v>Other</v>
      </c>
      <c r="K2376" s="124"/>
      <c r="L2376" s="124"/>
      <c r="M2376" s="124"/>
      <c r="N2376" s="124"/>
      <c r="O2376" s="124"/>
      <c r="T2376" s="126">
        <f>IFERROR(__xludf.DUMMYFUNCTION("""COMPUTED_VALUE"""),46058.0)</f>
        <v>46058</v>
      </c>
      <c r="U2376" s="124" t="str">
        <f>IFERROR(__xludf.DUMMYFUNCTION("""COMPUTED_VALUE"""),"Telephony")</f>
        <v>Telephony</v>
      </c>
      <c r="V2376" s="124" t="str">
        <f>IFERROR(__xludf.DUMMYFUNCTION("""COMPUTED_VALUE"""),"Inbound Call")</f>
        <v>Inbound Call</v>
      </c>
      <c r="W2376" s="124">
        <f>IFERROR(__xludf.DUMMYFUNCTION("""COMPUTED_VALUE"""),9.18047861635E11)</f>
        <v>918047861635</v>
      </c>
      <c r="X2376" s="124" t="str">
        <f>IFERROR(__xludf.DUMMYFUNCTION("""COMPUTED_VALUE"""),"Inbound Call")</f>
        <v>Inbound Call</v>
      </c>
      <c r="Y2376" s="124" t="str">
        <f>IFERROR(__xludf.DUMMYFUNCTION("""COMPUTED_VALUE"""),"Indore")</f>
        <v>Indore</v>
      </c>
      <c r="Z2376" s="124">
        <f>IFERROR(__xludf.DUMMYFUNCTION("""COMPUTED_VALUE"""),1.0)</f>
        <v>1</v>
      </c>
      <c r="AA2376" s="124" t="str">
        <f>IFERROR(__xludf.DUMMYFUNCTION("""COMPUTED_VALUE"""),"Fake Lead")</f>
        <v>Fake Lead</v>
      </c>
      <c r="AB2376" s="124"/>
    </row>
    <row r="2377">
      <c r="A2377" s="126">
        <f>IFERROR(__xludf.DUMMYFUNCTION("""COMPUTED_VALUE"""),46106.0)</f>
        <v>46106</v>
      </c>
      <c r="B2377" s="124" t="str">
        <f>IFERROR(__xludf.DUMMYFUNCTION("""COMPUTED_VALUE"""),"Walk-In")</f>
        <v>Walk-In</v>
      </c>
      <c r="C2377" s="124" t="str">
        <f>IFERROR(__xludf.DUMMYFUNCTION("""COMPUTED_VALUE"""),"Prayagraj")</f>
        <v>Prayagraj</v>
      </c>
      <c r="D2377" s="124" t="str">
        <f>IFERROR(__xludf.DUMMYFUNCTION("""COMPUTED_VALUE"""),"Primary_Walkin")</f>
        <v>Primary_Walkin</v>
      </c>
      <c r="E2377" s="124">
        <f>IFERROR(__xludf.DUMMYFUNCTION("""COMPUTED_VALUE"""),1.0)</f>
        <v>1</v>
      </c>
      <c r="F2377" s="124" t="str">
        <f>IFERROR(__xludf.DUMMYFUNCTION("""COMPUTED_VALUE"""),"Fake Lead")</f>
        <v>Fake Lead</v>
      </c>
      <c r="G2377" s="124" t="str">
        <f>IFERROR(__xludf.DUMMYFUNCTION("""COMPUTED_VALUE"""),"Optionals")</f>
        <v>Optionals</v>
      </c>
      <c r="K2377" s="124"/>
      <c r="L2377" s="124"/>
      <c r="M2377" s="124"/>
      <c r="N2377" s="124"/>
      <c r="O2377" s="124"/>
      <c r="T2377" s="126">
        <f>IFERROR(__xludf.DUMMYFUNCTION("""COMPUTED_VALUE"""),46081.0)</f>
        <v>46081</v>
      </c>
      <c r="U2377" s="124" t="str">
        <f>IFERROR(__xludf.DUMMYFUNCTION("""COMPUTED_VALUE"""),"Telephony")</f>
        <v>Telephony</v>
      </c>
      <c r="V2377" s="124" t="str">
        <f>IFERROR(__xludf.DUMMYFUNCTION("""COMPUTED_VALUE"""),"Inbound Call")</f>
        <v>Inbound Call</v>
      </c>
      <c r="W2377" s="124">
        <f>IFERROR(__xludf.DUMMYFUNCTION("""COMPUTED_VALUE"""),9.18047861663E11)</f>
        <v>918047861663</v>
      </c>
      <c r="X2377" s="124" t="str">
        <f>IFERROR(__xludf.DUMMYFUNCTION("""COMPUTED_VALUE"""),"Inbound Call")</f>
        <v>Inbound Call</v>
      </c>
      <c r="Y2377" s="124" t="str">
        <f>IFERROR(__xludf.DUMMYFUNCTION("""COMPUTED_VALUE"""),"Delhi")</f>
        <v>Delhi</v>
      </c>
      <c r="Z2377" s="124">
        <f>IFERROR(__xludf.DUMMYFUNCTION("""COMPUTED_VALUE"""),1.0)</f>
        <v>1</v>
      </c>
      <c r="AA2377" s="124" t="str">
        <f>IFERROR(__xludf.DUMMYFUNCTION("""COMPUTED_VALUE"""),"Not Interested")</f>
        <v>Not Interested</v>
      </c>
      <c r="AB2377" s="124"/>
    </row>
    <row r="2378">
      <c r="A2378" s="129">
        <f>IFERROR(__xludf.DUMMYFUNCTION("""COMPUTED_VALUE"""),46058.0)</f>
        <v>46058</v>
      </c>
      <c r="B2378" s="124" t="str">
        <f>IFERROR(__xludf.DUMMYFUNCTION("""COMPUTED_VALUE"""),"Walkin")</f>
        <v>Walkin</v>
      </c>
      <c r="C2378" s="124" t="str">
        <f>IFERROR(__xludf.DUMMYFUNCTION("""COMPUTED_VALUE"""),"Prayagraj")</f>
        <v>Prayagraj</v>
      </c>
      <c r="D2378" s="124" t="str">
        <f>IFERROR(__xludf.DUMMYFUNCTION("""COMPUTED_VALUE"""),"Primary_Walkin")</f>
        <v>Primary_Walkin</v>
      </c>
      <c r="E2378" s="124">
        <f>IFERROR(__xludf.DUMMYFUNCTION("""COMPUTED_VALUE"""),1.0)</f>
        <v>1</v>
      </c>
      <c r="F2378" s="124" t="str">
        <f>IFERROR(__xludf.DUMMYFUNCTION("""COMPUTED_VALUE"""),"Cold")</f>
        <v>Cold</v>
      </c>
      <c r="G2378" s="124" t="str">
        <f>IFERROR(__xludf.DUMMYFUNCTION("""COMPUTED_VALUE"""),"Mentorship")</f>
        <v>Mentorship</v>
      </c>
      <c r="K2378" s="124"/>
      <c r="L2378" s="124"/>
      <c r="M2378" s="124"/>
      <c r="N2378" s="124"/>
      <c r="O2378" s="124"/>
      <c r="T2378" s="129">
        <f>IFERROR(__xludf.DUMMYFUNCTION("""COMPUTED_VALUE"""),46091.0)</f>
        <v>46091</v>
      </c>
      <c r="U2378" s="124" t="str">
        <f>IFERROR(__xludf.DUMMYFUNCTION("""COMPUTED_VALUE"""),"Telephony")</f>
        <v>Telephony</v>
      </c>
      <c r="V2378" s="124" t="str">
        <f>IFERROR(__xludf.DUMMYFUNCTION("""COMPUTED_VALUE"""),"Inbound Call")</f>
        <v>Inbound Call</v>
      </c>
      <c r="W2378" s="124">
        <f>IFERROR(__xludf.DUMMYFUNCTION("""COMPUTED_VALUE"""),9.18047861635E11)</f>
        <v>918047861635</v>
      </c>
      <c r="X2378" s="124" t="str">
        <f>IFERROR(__xludf.DUMMYFUNCTION("""COMPUTED_VALUE"""),"Inbound Call")</f>
        <v>Inbound Call</v>
      </c>
      <c r="Y2378" s="124" t="str">
        <f>IFERROR(__xludf.DUMMYFUNCTION("""COMPUTED_VALUE"""),"Indore")</f>
        <v>Indore</v>
      </c>
      <c r="Z2378" s="124">
        <f>IFERROR(__xludf.DUMMYFUNCTION("""COMPUTED_VALUE"""),1.0)</f>
        <v>1</v>
      </c>
      <c r="AA2378" s="124" t="str">
        <f>IFERROR(__xludf.DUMMYFUNCTION("""COMPUTED_VALUE"""),"Warm")</f>
        <v>Warm</v>
      </c>
      <c r="AB2378" s="124"/>
    </row>
    <row r="2379">
      <c r="A2379" s="126">
        <f>IFERROR(__xludf.DUMMYFUNCTION("""COMPUTED_VALUE"""),46044.0)</f>
        <v>46044</v>
      </c>
      <c r="B2379" s="124" t="str">
        <f>IFERROR(__xludf.DUMMYFUNCTION("""COMPUTED_VALUE"""),"Walkin")</f>
        <v>Walkin</v>
      </c>
      <c r="C2379" s="124" t="str">
        <f>IFERROR(__xludf.DUMMYFUNCTION("""COMPUTED_VALUE"""),"Prayagraj")</f>
        <v>Prayagraj</v>
      </c>
      <c r="D2379" s="124" t="str">
        <f>IFERROR(__xludf.DUMMYFUNCTION("""COMPUTED_VALUE"""),"Primary_Walkin")</f>
        <v>Primary_Walkin</v>
      </c>
      <c r="E2379" s="124">
        <f>IFERROR(__xludf.DUMMYFUNCTION("""COMPUTED_VALUE"""),1.0)</f>
        <v>1</v>
      </c>
      <c r="F2379" s="124" t="str">
        <f>IFERROR(__xludf.DUMMYFUNCTION("""COMPUTED_VALUE"""),"Cold")</f>
        <v>Cold</v>
      </c>
      <c r="G2379" s="124" t="str">
        <f>IFERROR(__xludf.DUMMYFUNCTION("""COMPUTED_VALUE"""),"Mentorship")</f>
        <v>Mentorship</v>
      </c>
      <c r="K2379" s="124"/>
      <c r="L2379" s="124"/>
      <c r="M2379" s="124"/>
      <c r="N2379" s="124"/>
      <c r="O2379" s="124"/>
      <c r="T2379" s="129">
        <f>IFERROR(__xludf.DUMMYFUNCTION("""COMPUTED_VALUE"""),46112.0)</f>
        <v>46112</v>
      </c>
      <c r="U2379" s="124" t="str">
        <f>IFERROR(__xludf.DUMMYFUNCTION("""COMPUTED_VALUE"""),"Telephony")</f>
        <v>Telephony</v>
      </c>
      <c r="V2379" s="124" t="str">
        <f>IFERROR(__xludf.DUMMYFUNCTION("""COMPUTED_VALUE"""),"Inbound Call")</f>
        <v>Inbound Call</v>
      </c>
      <c r="W2379" s="124" t="str">
        <f>IFERROR(__xludf.DUMMYFUNCTION("""COMPUTED_VALUE"""),"Inbound Call")</f>
        <v>Inbound Call</v>
      </c>
      <c r="X2379" s="124" t="str">
        <f>IFERROR(__xludf.DUMMYFUNCTION("""COMPUTED_VALUE"""),"Inbound Call")</f>
        <v>Inbound Call</v>
      </c>
      <c r="Y2379" s="124" t="str">
        <f>IFERROR(__xludf.DUMMYFUNCTION("""COMPUTED_VALUE"""),"Indore")</f>
        <v>Indore</v>
      </c>
      <c r="Z2379" s="124">
        <f>IFERROR(__xludf.DUMMYFUNCTION("""COMPUTED_VALUE"""),1.0)</f>
        <v>1</v>
      </c>
      <c r="AA2379" s="124" t="str">
        <f>IFERROR(__xludf.DUMMYFUNCTION("""COMPUTED_VALUE"""),"Not Interested")</f>
        <v>Not Interested</v>
      </c>
      <c r="AB2379" s="124"/>
    </row>
    <row r="2380">
      <c r="A2380" s="126">
        <f>IFERROR(__xludf.DUMMYFUNCTION("""COMPUTED_VALUE"""),46092.0)</f>
        <v>46092</v>
      </c>
      <c r="B2380" s="124" t="str">
        <f>IFERROR(__xludf.DUMMYFUNCTION("""COMPUTED_VALUE"""),"Walkin")</f>
        <v>Walkin</v>
      </c>
      <c r="C2380" s="124" t="str">
        <f>IFERROR(__xludf.DUMMYFUNCTION("""COMPUTED_VALUE"""),"Prayagraj")</f>
        <v>Prayagraj</v>
      </c>
      <c r="D2380" s="124" t="str">
        <f>IFERROR(__xludf.DUMMYFUNCTION("""COMPUTED_VALUE"""),"Primary_Walkin")</f>
        <v>Primary_Walkin</v>
      </c>
      <c r="E2380" s="124">
        <f>IFERROR(__xludf.DUMMYFUNCTION("""COMPUTED_VALUE"""),1.0)</f>
        <v>1</v>
      </c>
      <c r="F2380" s="124" t="str">
        <f>IFERROR(__xludf.DUMMYFUNCTION("""COMPUTED_VALUE"""),"Not Interested")</f>
        <v>Not Interested</v>
      </c>
      <c r="G2380" s="124" t="str">
        <f>IFERROR(__xludf.DUMMYFUNCTION("""COMPUTED_VALUE"""),"Mentorship")</f>
        <v>Mentorship</v>
      </c>
      <c r="K2380" s="124"/>
      <c r="L2380" s="124"/>
      <c r="M2380" s="124"/>
      <c r="N2380" s="124"/>
      <c r="O2380" s="124"/>
      <c r="T2380" s="126">
        <f>IFERROR(__xludf.DUMMYFUNCTION("""COMPUTED_VALUE"""),46110.0)</f>
        <v>46110</v>
      </c>
      <c r="U2380" s="124" t="str">
        <f>IFERROR(__xludf.DUMMYFUNCTION("""COMPUTED_VALUE"""),"Telephony")</f>
        <v>Telephony</v>
      </c>
      <c r="V2380" s="124" t="str">
        <f>IFERROR(__xludf.DUMMYFUNCTION("""COMPUTED_VALUE"""),"Inbound Call")</f>
        <v>Inbound Call</v>
      </c>
      <c r="W2380" s="124">
        <f>IFERROR(__xludf.DUMMYFUNCTION("""COMPUTED_VALUE"""),9.18047861663E11)</f>
        <v>918047861663</v>
      </c>
      <c r="X2380" s="124" t="str">
        <f>IFERROR(__xludf.DUMMYFUNCTION("""COMPUTED_VALUE"""),"Inbound Call")</f>
        <v>Inbound Call</v>
      </c>
      <c r="Y2380" s="124"/>
      <c r="Z2380" s="124">
        <f>IFERROR(__xludf.DUMMYFUNCTION("""COMPUTED_VALUE"""),2.0)</f>
        <v>2</v>
      </c>
      <c r="AA2380" s="124" t="str">
        <f>IFERROR(__xludf.DUMMYFUNCTION("""COMPUTED_VALUE"""),"Fake Lead")</f>
        <v>Fake Lead</v>
      </c>
      <c r="AB2380" s="124"/>
    </row>
    <row r="2381">
      <c r="A2381" s="129">
        <f>IFERROR(__xludf.DUMMYFUNCTION("""COMPUTED_VALUE"""),46059.0)</f>
        <v>46059</v>
      </c>
      <c r="B2381" s="124" t="str">
        <f>IFERROR(__xludf.DUMMYFUNCTION("""COMPUTED_VALUE"""),"Walkin")</f>
        <v>Walkin</v>
      </c>
      <c r="C2381" s="124" t="str">
        <f>IFERROR(__xludf.DUMMYFUNCTION("""COMPUTED_VALUE"""),"Prayagraj")</f>
        <v>Prayagraj</v>
      </c>
      <c r="D2381" s="124" t="str">
        <f>IFERROR(__xludf.DUMMYFUNCTION("""COMPUTED_VALUE"""),"Primary_Walkin")</f>
        <v>Primary_Walkin</v>
      </c>
      <c r="E2381" s="124">
        <f>IFERROR(__xludf.DUMMYFUNCTION("""COMPUTED_VALUE"""),1.0)</f>
        <v>1</v>
      </c>
      <c r="F2381" s="124" t="str">
        <f>IFERROR(__xludf.DUMMYFUNCTION("""COMPUTED_VALUE"""),"Cold")</f>
        <v>Cold</v>
      </c>
      <c r="G2381" s="124" t="str">
        <f>IFERROR(__xludf.DUMMYFUNCTION("""COMPUTED_VALUE"""),"Test Series")</f>
        <v>Test Series</v>
      </c>
      <c r="K2381" s="124"/>
      <c r="L2381" s="124"/>
      <c r="M2381" s="124"/>
      <c r="N2381" s="124"/>
      <c r="O2381" s="124"/>
      <c r="T2381" s="126">
        <f>IFERROR(__xludf.DUMMYFUNCTION("""COMPUTED_VALUE"""),46083.0)</f>
        <v>46083</v>
      </c>
      <c r="U2381" s="124" t="str">
        <f>IFERROR(__xludf.DUMMYFUNCTION("""COMPUTED_VALUE"""),"Telephony")</f>
        <v>Telephony</v>
      </c>
      <c r="V2381" s="124" t="str">
        <f>IFERROR(__xludf.DUMMYFUNCTION("""COMPUTED_VALUE"""),"Inbound Call")</f>
        <v>Inbound Call</v>
      </c>
      <c r="W2381" s="124">
        <f>IFERROR(__xludf.DUMMYFUNCTION("""COMPUTED_VALUE"""),9.18047861663E11)</f>
        <v>918047861663</v>
      </c>
      <c r="X2381" s="124" t="str">
        <f>IFERROR(__xludf.DUMMYFUNCTION("""COMPUTED_VALUE"""),"Inbound Call")</f>
        <v>Inbound Call</v>
      </c>
      <c r="Y2381" s="124" t="str">
        <f>IFERROR(__xludf.DUMMYFUNCTION("""COMPUTED_VALUE"""),"Delhi")</f>
        <v>Delhi</v>
      </c>
      <c r="Z2381" s="124">
        <f>IFERROR(__xludf.DUMMYFUNCTION("""COMPUTED_VALUE"""),1.0)</f>
        <v>1</v>
      </c>
      <c r="AA2381" s="124" t="str">
        <f>IFERROR(__xludf.DUMMYFUNCTION("""COMPUTED_VALUE"""),"Warm")</f>
        <v>Warm</v>
      </c>
      <c r="AB2381" s="124" t="str">
        <f>IFERROR(__xludf.DUMMYFUNCTION("""COMPUTED_VALUE"""),"State PCS")</f>
        <v>State PCS</v>
      </c>
    </row>
    <row r="2382">
      <c r="A2382" s="126">
        <f>IFERROR(__xludf.DUMMYFUNCTION("""COMPUTED_VALUE"""),46067.0)</f>
        <v>46067</v>
      </c>
      <c r="B2382" s="124" t="str">
        <f>IFERROR(__xludf.DUMMYFUNCTION("""COMPUTED_VALUE"""),"Walkin")</f>
        <v>Walkin</v>
      </c>
      <c r="C2382" s="124" t="str">
        <f>IFERROR(__xludf.DUMMYFUNCTION("""COMPUTED_VALUE"""),"Prayagraj")</f>
        <v>Prayagraj</v>
      </c>
      <c r="D2382" s="124" t="str">
        <f>IFERROR(__xludf.DUMMYFUNCTION("""COMPUTED_VALUE"""),"Primary_Walkin")</f>
        <v>Primary_Walkin</v>
      </c>
      <c r="E2382" s="124">
        <f>IFERROR(__xludf.DUMMYFUNCTION("""COMPUTED_VALUE"""),1.0)</f>
        <v>1</v>
      </c>
      <c r="F2382" s="124" t="str">
        <f>IFERROR(__xludf.DUMMYFUNCTION("""COMPUTED_VALUE"""),"Cold")</f>
        <v>Cold</v>
      </c>
      <c r="G2382" s="124" t="str">
        <f>IFERROR(__xludf.DUMMYFUNCTION("""COMPUTED_VALUE"""),"Mentorship")</f>
        <v>Mentorship</v>
      </c>
      <c r="K2382" s="124"/>
      <c r="L2382" s="124"/>
      <c r="M2382" s="124"/>
      <c r="N2382" s="124"/>
      <c r="O2382" s="124"/>
      <c r="T2382" s="126">
        <f>IFERROR(__xludf.DUMMYFUNCTION("""COMPUTED_VALUE"""),46087.0)</f>
        <v>46087</v>
      </c>
      <c r="U2382" s="124" t="str">
        <f>IFERROR(__xludf.DUMMYFUNCTION("""COMPUTED_VALUE"""),"Telephony")</f>
        <v>Telephony</v>
      </c>
      <c r="V2382" s="124" t="str">
        <f>IFERROR(__xludf.DUMMYFUNCTION("""COMPUTED_VALUE"""),"Inbound Call")</f>
        <v>Inbound Call</v>
      </c>
      <c r="W2382" s="124" t="str">
        <f>IFERROR(__xludf.DUMMYFUNCTION("""COMPUTED_VALUE"""),"Inbound Call")</f>
        <v>Inbound Call</v>
      </c>
      <c r="X2382" s="124" t="str">
        <f>IFERROR(__xludf.DUMMYFUNCTION("""COMPUTED_VALUE"""),"Inbound Call")</f>
        <v>Inbound Call</v>
      </c>
      <c r="Y2382" s="124"/>
      <c r="Z2382" s="124">
        <f>IFERROR(__xludf.DUMMYFUNCTION("""COMPUTED_VALUE"""),2.0)</f>
        <v>2</v>
      </c>
      <c r="AA2382" s="124" t="str">
        <f>IFERROR(__xludf.DUMMYFUNCTION("""COMPUTED_VALUE"""),"Fake Lead")</f>
        <v>Fake Lead</v>
      </c>
      <c r="AB2382" s="124"/>
    </row>
    <row r="2383">
      <c r="A2383" s="126">
        <f>IFERROR(__xludf.DUMMYFUNCTION("""COMPUTED_VALUE"""),46108.0)</f>
        <v>46108</v>
      </c>
      <c r="B2383" s="124" t="str">
        <f>IFERROR(__xludf.DUMMYFUNCTION("""COMPUTED_VALUE"""),"Walkin")</f>
        <v>Walkin</v>
      </c>
      <c r="C2383" s="124" t="str">
        <f>IFERROR(__xludf.DUMMYFUNCTION("""COMPUTED_VALUE"""),"Prayagraj")</f>
        <v>Prayagraj</v>
      </c>
      <c r="D2383" s="124" t="str">
        <f>IFERROR(__xludf.DUMMYFUNCTION("""COMPUTED_VALUE"""),"Primary_Walkin")</f>
        <v>Primary_Walkin</v>
      </c>
      <c r="E2383" s="124">
        <f>IFERROR(__xludf.DUMMYFUNCTION("""COMPUTED_VALUE"""),1.0)</f>
        <v>1</v>
      </c>
      <c r="F2383" s="124" t="str">
        <f>IFERROR(__xludf.DUMMYFUNCTION("""COMPUTED_VALUE"""),"Not Interested")</f>
        <v>Not Interested</v>
      </c>
      <c r="G2383" s="124" t="str">
        <f>IFERROR(__xludf.DUMMYFUNCTION("""COMPUTED_VALUE"""),"GS Foundation")</f>
        <v>GS Foundation</v>
      </c>
      <c r="K2383" s="124"/>
      <c r="L2383" s="124"/>
      <c r="M2383" s="124"/>
      <c r="N2383" s="124"/>
      <c r="O2383" s="124"/>
      <c r="T2383" s="126">
        <f>IFERROR(__xludf.DUMMYFUNCTION("""COMPUTED_VALUE"""),46057.0)</f>
        <v>46057</v>
      </c>
      <c r="U2383" s="124" t="str">
        <f>IFERROR(__xludf.DUMMYFUNCTION("""COMPUTED_VALUE"""),"Walk-Ins")</f>
        <v>Walk-Ins</v>
      </c>
      <c r="V2383" s="124" t="str">
        <f>IFERROR(__xludf.DUMMYFUNCTION("""COMPUTED_VALUE"""),"Walk-In")</f>
        <v>Walk-In</v>
      </c>
      <c r="W2383" s="124" t="str">
        <f>IFERROR(__xludf.DUMMYFUNCTION("""COMPUTED_VALUE"""),"Patna")</f>
        <v>Patna</v>
      </c>
      <c r="X2383" s="124" t="str">
        <f>IFERROR(__xludf.DUMMYFUNCTION("""COMPUTED_VALUE"""),"Riya Chaudhary")</f>
        <v>Riya Chaudhary</v>
      </c>
      <c r="Y2383" s="124" t="str">
        <f>IFERROR(__xludf.DUMMYFUNCTION("""COMPUTED_VALUE"""),"Patna")</f>
        <v>Patna</v>
      </c>
      <c r="Z2383" s="124">
        <f>IFERROR(__xludf.DUMMYFUNCTION("""COMPUTED_VALUE"""),2.0)</f>
        <v>2</v>
      </c>
      <c r="AA2383" s="124" t="str">
        <f>IFERROR(__xludf.DUMMYFUNCTION("""COMPUTED_VALUE"""),"Cold")</f>
        <v>Cold</v>
      </c>
      <c r="AB2383" s="124" t="str">
        <f>IFERROR(__xludf.DUMMYFUNCTION("""COMPUTED_VALUE"""),"State PCS")</f>
        <v>State PCS</v>
      </c>
    </row>
    <row r="2384">
      <c r="A2384" s="126">
        <f>IFERROR(__xludf.DUMMYFUNCTION("""COMPUTED_VALUE"""),46103.0)</f>
        <v>46103</v>
      </c>
      <c r="B2384" s="124" t="str">
        <f>IFERROR(__xludf.DUMMYFUNCTION("""COMPUTED_VALUE"""),"Walk-In")</f>
        <v>Walk-In</v>
      </c>
      <c r="C2384" s="124" t="str">
        <f>IFERROR(__xludf.DUMMYFUNCTION("""COMPUTED_VALUE"""),"Prayagraj")</f>
        <v>Prayagraj</v>
      </c>
      <c r="D2384" s="124" t="str">
        <f>IFERROR(__xludf.DUMMYFUNCTION("""COMPUTED_VALUE"""),"Primary_Walkin")</f>
        <v>Primary_Walkin</v>
      </c>
      <c r="E2384" s="124">
        <f>IFERROR(__xludf.DUMMYFUNCTION("""COMPUTED_VALUE"""),1.0)</f>
        <v>1</v>
      </c>
      <c r="F2384" s="124" t="str">
        <f>IFERROR(__xludf.DUMMYFUNCTION("""COMPUTED_VALUE"""),"Enrolled")</f>
        <v>Enrolled</v>
      </c>
      <c r="G2384" s="124" t="str">
        <f>IFERROR(__xludf.DUMMYFUNCTION("""COMPUTED_VALUE"""),"GS Foundation")</f>
        <v>GS Foundation</v>
      </c>
      <c r="K2384" s="124"/>
      <c r="L2384" s="124"/>
      <c r="M2384" s="124"/>
      <c r="N2384" s="124"/>
      <c r="O2384" s="124"/>
      <c r="T2384" s="126">
        <f>IFERROR(__xludf.DUMMYFUNCTION("""COMPUTED_VALUE"""),46108.0)</f>
        <v>46108</v>
      </c>
      <c r="U2384" s="124" t="str">
        <f>IFERROR(__xludf.DUMMYFUNCTION("""COMPUTED_VALUE"""),"Paid Ads")</f>
        <v>Paid Ads</v>
      </c>
      <c r="V2384" s="124" t="str">
        <f>IFERROR(__xludf.DUMMYFUNCTION("""COMPUTED_VALUE"""),"Facebook")</f>
        <v>Facebook</v>
      </c>
      <c r="W2384" s="124" t="str">
        <f>IFERROR(__xludf.DUMMYFUNCTION("""COMPUTED_VALUE"""),"LeadAd")</f>
        <v>LeadAd</v>
      </c>
      <c r="X2384" s="124" t="str">
        <f>IFERROR(__xludf.DUMMYFUNCTION("""COMPUTED_VALUE"""),"Upsc_Offline_925_Video_Lead_FB")</f>
        <v>Upsc_Offline_925_Video_Lead_FB</v>
      </c>
      <c r="Y2384" s="124" t="str">
        <f>IFERROR(__xludf.DUMMYFUNCTION("""COMPUTED_VALUE"""),"Delhi")</f>
        <v>Delhi</v>
      </c>
      <c r="Z2384" s="124">
        <f>IFERROR(__xludf.DUMMYFUNCTION("""COMPUTED_VALUE"""),1.0)</f>
        <v>1</v>
      </c>
      <c r="AA2384" s="124" t="str">
        <f>IFERROR(__xludf.DUMMYFUNCTION("""COMPUTED_VALUE"""),"Fake Lead")</f>
        <v>Fake Lead</v>
      </c>
      <c r="AB2384" s="124"/>
    </row>
    <row r="2385">
      <c r="A2385" s="129">
        <f>IFERROR(__xludf.DUMMYFUNCTION("""COMPUTED_VALUE"""),46061.0)</f>
        <v>46061</v>
      </c>
      <c r="B2385" s="124" t="str">
        <f>IFERROR(__xludf.DUMMYFUNCTION("""COMPUTED_VALUE"""),"Walkin")</f>
        <v>Walkin</v>
      </c>
      <c r="C2385" s="124" t="str">
        <f>IFERROR(__xludf.DUMMYFUNCTION("""COMPUTED_VALUE"""),"Prayagraj")</f>
        <v>Prayagraj</v>
      </c>
      <c r="D2385" s="124" t="str">
        <f>IFERROR(__xludf.DUMMYFUNCTION("""COMPUTED_VALUE"""),"Primary_Walkin")</f>
        <v>Primary_Walkin</v>
      </c>
      <c r="E2385" s="124">
        <f>IFERROR(__xludf.DUMMYFUNCTION("""COMPUTED_VALUE"""),1.0)</f>
        <v>1</v>
      </c>
      <c r="F2385" s="124" t="str">
        <f>IFERROR(__xludf.DUMMYFUNCTION("""COMPUTED_VALUE"""),"Enrolled")</f>
        <v>Enrolled</v>
      </c>
      <c r="G2385" s="124" t="str">
        <f>IFERROR(__xludf.DUMMYFUNCTION("""COMPUTED_VALUE"""),"State PCS")</f>
        <v>State PCS</v>
      </c>
      <c r="K2385" s="124"/>
      <c r="L2385" s="124"/>
      <c r="M2385" s="124"/>
      <c r="N2385" s="124"/>
      <c r="O2385" s="124"/>
      <c r="T2385" s="129">
        <f>IFERROR(__xludf.DUMMYFUNCTION("""COMPUTED_VALUE"""),46043.0)</f>
        <v>46043</v>
      </c>
      <c r="U2385" s="124" t="str">
        <f>IFERROR(__xludf.DUMMYFUNCTION("""COMPUTED_VALUE"""),"Telephony")</f>
        <v>Telephony</v>
      </c>
      <c r="V2385" s="124" t="str">
        <f>IFERROR(__xludf.DUMMYFUNCTION("""COMPUTED_VALUE"""),"Inbound")</f>
        <v>Inbound</v>
      </c>
      <c r="W2385" s="124" t="str">
        <f>IFERROR(__xludf.DUMMYFUNCTION("""COMPUTED_VALUE"""),"Inbound")</f>
        <v>Inbound</v>
      </c>
      <c r="X2385" s="124" t="str">
        <f>IFERROR(__xludf.DUMMYFUNCTION("""COMPUTED_VALUE"""),"Inbound")</f>
        <v>Inbound</v>
      </c>
      <c r="Y2385" s="124"/>
      <c r="Z2385" s="124">
        <f>IFERROR(__xludf.DUMMYFUNCTION("""COMPUTED_VALUE"""),1.0)</f>
        <v>1</v>
      </c>
      <c r="AA2385" s="124" t="str">
        <f>IFERROR(__xludf.DUMMYFUNCTION("""COMPUTED_VALUE"""),"Cold")</f>
        <v>Cold</v>
      </c>
      <c r="AB2385" s="124" t="str">
        <f>IFERROR(__xludf.DUMMYFUNCTION("""COMPUTED_VALUE"""),"State PCS")</f>
        <v>State PCS</v>
      </c>
    </row>
    <row r="2386">
      <c r="A2386" s="129">
        <f>IFERROR(__xludf.DUMMYFUNCTION("""COMPUTED_VALUE"""),46057.0)</f>
        <v>46057</v>
      </c>
      <c r="B2386" s="124" t="str">
        <f>IFERROR(__xludf.DUMMYFUNCTION("""COMPUTED_VALUE"""),"Walkin")</f>
        <v>Walkin</v>
      </c>
      <c r="C2386" s="124" t="str">
        <f>IFERROR(__xludf.DUMMYFUNCTION("""COMPUTED_VALUE"""),"Prayagraj")</f>
        <v>Prayagraj</v>
      </c>
      <c r="D2386" s="124" t="str">
        <f>IFERROR(__xludf.DUMMYFUNCTION("""COMPUTED_VALUE"""),"Primary_Walkin")</f>
        <v>Primary_Walkin</v>
      </c>
      <c r="E2386" s="124">
        <f>IFERROR(__xludf.DUMMYFUNCTION("""COMPUTED_VALUE"""),1.0)</f>
        <v>1</v>
      </c>
      <c r="F2386" s="124" t="str">
        <f>IFERROR(__xludf.DUMMYFUNCTION("""COMPUTED_VALUE"""),"Cold")</f>
        <v>Cold</v>
      </c>
      <c r="G2386" s="124" t="str">
        <f>IFERROR(__xludf.DUMMYFUNCTION("""COMPUTED_VALUE"""),"State PCS")</f>
        <v>State PCS</v>
      </c>
      <c r="K2386" s="124"/>
      <c r="L2386" s="124"/>
      <c r="M2386" s="124"/>
      <c r="N2386" s="124"/>
      <c r="O2386" s="124"/>
      <c r="T2386" s="126">
        <f>IFERROR(__xludf.DUMMYFUNCTION("""COMPUTED_VALUE"""),46044.0)</f>
        <v>46044</v>
      </c>
      <c r="U2386" s="124" t="str">
        <f>IFERROR(__xludf.DUMMYFUNCTION("""COMPUTED_VALUE"""),"Telephony")</f>
        <v>Telephony</v>
      </c>
      <c r="V2386" s="124" t="str">
        <f>IFERROR(__xludf.DUMMYFUNCTION("""COMPUTED_VALUE"""),"Inbound")</f>
        <v>Inbound</v>
      </c>
      <c r="W2386" s="124" t="str">
        <f>IFERROR(__xludf.DUMMYFUNCTION("""COMPUTED_VALUE"""),"Inbound")</f>
        <v>Inbound</v>
      </c>
      <c r="X2386" s="124" t="str">
        <f>IFERROR(__xludf.DUMMYFUNCTION("""COMPUTED_VALUE"""),"Inbound")</f>
        <v>Inbound</v>
      </c>
      <c r="Y2386" s="124"/>
      <c r="Z2386" s="124">
        <f>IFERROR(__xludf.DUMMYFUNCTION("""COMPUTED_VALUE"""),1.0)</f>
        <v>1</v>
      </c>
      <c r="AA2386" s="124" t="str">
        <f>IFERROR(__xludf.DUMMYFUNCTION("""COMPUTED_VALUE"""),"Not Interested")</f>
        <v>Not Interested</v>
      </c>
      <c r="AB2386" s="124" t="str">
        <f>IFERROR(__xludf.DUMMYFUNCTION("""COMPUTED_VALUE"""),"GS Foundation")</f>
        <v>GS Foundation</v>
      </c>
    </row>
    <row r="2387">
      <c r="A2387" s="126">
        <f>IFERROR(__xludf.DUMMYFUNCTION("""COMPUTED_VALUE"""),46092.0)</f>
        <v>46092</v>
      </c>
      <c r="B2387" s="124" t="str">
        <f>IFERROR(__xludf.DUMMYFUNCTION("""COMPUTED_VALUE"""),"Walk-In")</f>
        <v>Walk-In</v>
      </c>
      <c r="C2387" s="124" t="str">
        <f>IFERROR(__xludf.DUMMYFUNCTION("""COMPUTED_VALUE"""),"Prayagraj")</f>
        <v>Prayagraj</v>
      </c>
      <c r="D2387" s="124" t="str">
        <f>IFERROR(__xludf.DUMMYFUNCTION("""COMPUTED_VALUE"""),"Primary_Walkin")</f>
        <v>Primary_Walkin</v>
      </c>
      <c r="E2387" s="124">
        <f>IFERROR(__xludf.DUMMYFUNCTION("""COMPUTED_VALUE"""),1.0)</f>
        <v>1</v>
      </c>
      <c r="F2387" s="124" t="str">
        <f>IFERROR(__xludf.DUMMYFUNCTION("""COMPUTED_VALUE"""),"Not Interested")</f>
        <v>Not Interested</v>
      </c>
      <c r="G2387" s="124" t="str">
        <f>IFERROR(__xludf.DUMMYFUNCTION("""COMPUTED_VALUE"""),"State PCS")</f>
        <v>State PCS</v>
      </c>
      <c r="K2387" s="124"/>
      <c r="L2387" s="124"/>
      <c r="M2387" s="124"/>
      <c r="N2387" s="124"/>
      <c r="O2387" s="124"/>
      <c r="T2387" s="129">
        <f>IFERROR(__xludf.DUMMYFUNCTION("""COMPUTED_VALUE"""),46091.0)</f>
        <v>46091</v>
      </c>
      <c r="U2387" s="124" t="str">
        <f>IFERROR(__xludf.DUMMYFUNCTION("""COMPUTED_VALUE"""),"Publisher Campaign")</f>
        <v>Publisher Campaign</v>
      </c>
      <c r="V2387" s="124" t="str">
        <f>IFERROR(__xludf.DUMMYFUNCTION("""COMPUTED_VALUE"""),"Webinar")</f>
        <v>Webinar</v>
      </c>
      <c r="W2387" s="124"/>
      <c r="X2387" s="124"/>
      <c r="Y2387" s="124" t="str">
        <f>IFERROR(__xludf.DUMMYFUNCTION("""COMPUTED_VALUE"""),"Delhi")</f>
        <v>Delhi</v>
      </c>
      <c r="Z2387" s="124">
        <f>IFERROR(__xludf.DUMMYFUNCTION("""COMPUTED_VALUE"""),1.0)</f>
        <v>1</v>
      </c>
      <c r="AA2387" s="124" t="str">
        <f>IFERROR(__xludf.DUMMYFUNCTION("""COMPUTED_VALUE"""),"Future Prospects")</f>
        <v>Future Prospects</v>
      </c>
      <c r="AB2387" s="124" t="str">
        <f>IFERROR(__xludf.DUMMYFUNCTION("""COMPUTED_VALUE"""),"CSAT")</f>
        <v>CSAT</v>
      </c>
    </row>
    <row r="2388">
      <c r="A2388" s="126">
        <f>IFERROR(__xludf.DUMMYFUNCTION("""COMPUTED_VALUE"""),46092.0)</f>
        <v>46092</v>
      </c>
      <c r="B2388" s="124" t="str">
        <f>IFERROR(__xludf.DUMMYFUNCTION("""COMPUTED_VALUE"""),"Walkin")</f>
        <v>Walkin</v>
      </c>
      <c r="C2388" s="124" t="str">
        <f>IFERROR(__xludf.DUMMYFUNCTION("""COMPUTED_VALUE"""),"Prayagraj")</f>
        <v>Prayagraj</v>
      </c>
      <c r="D2388" s="124" t="str">
        <f>IFERROR(__xludf.DUMMYFUNCTION("""COMPUTED_VALUE"""),"Primary_Walkin")</f>
        <v>Primary_Walkin</v>
      </c>
      <c r="E2388" s="124">
        <f>IFERROR(__xludf.DUMMYFUNCTION("""COMPUTED_VALUE"""),1.0)</f>
        <v>1</v>
      </c>
      <c r="F2388" s="124" t="str">
        <f>IFERROR(__xludf.DUMMYFUNCTION("""COMPUTED_VALUE"""),"Cold")</f>
        <v>Cold</v>
      </c>
      <c r="G2388" s="124" t="str">
        <f>IFERROR(__xludf.DUMMYFUNCTION("""COMPUTED_VALUE"""),"Optionals")</f>
        <v>Optionals</v>
      </c>
      <c r="K2388" s="124"/>
      <c r="L2388" s="124"/>
      <c r="M2388" s="124"/>
      <c r="N2388" s="124"/>
      <c r="O2388" s="124"/>
      <c r="T2388" s="129">
        <f>IFERROR(__xludf.DUMMYFUNCTION("""COMPUTED_VALUE"""),46108.0)</f>
        <v>46108</v>
      </c>
      <c r="U2388" s="124" t="str">
        <f>IFERROR(__xludf.DUMMYFUNCTION("""COMPUTED_VALUE"""),"Walk-Ins")</f>
        <v>Walk-Ins</v>
      </c>
      <c r="V2388" s="124" t="str">
        <f>IFERROR(__xludf.DUMMYFUNCTION("""COMPUTED_VALUE"""),"Walk-In")</f>
        <v>Walk-In</v>
      </c>
      <c r="W2388" s="124" t="str">
        <f>IFERROR(__xludf.DUMMYFUNCTION("""COMPUTED_VALUE"""),"Delhi")</f>
        <v>Delhi</v>
      </c>
      <c r="X2388" s="124" t="str">
        <f>IFERROR(__xludf.DUMMYFUNCTION("""COMPUTED_VALUE"""),"Missbahuddin Ahmad")</f>
        <v>Missbahuddin Ahmad</v>
      </c>
      <c r="Y2388" s="124" t="str">
        <f>IFERROR(__xludf.DUMMYFUNCTION("""COMPUTED_VALUE"""),"Delhi")</f>
        <v>Delhi</v>
      </c>
      <c r="Z2388" s="124">
        <f>IFERROR(__xludf.DUMMYFUNCTION("""COMPUTED_VALUE"""),1.0)</f>
        <v>1</v>
      </c>
      <c r="AA2388" s="124" t="str">
        <f>IFERROR(__xludf.DUMMYFUNCTION("""COMPUTED_VALUE"""),"Future Prospects")</f>
        <v>Future Prospects</v>
      </c>
      <c r="AB2388" s="124" t="str">
        <f>IFERROR(__xludf.DUMMYFUNCTION("""COMPUTED_VALUE"""),"GS Foundation")</f>
        <v>GS Foundation</v>
      </c>
    </row>
    <row r="2389">
      <c r="A2389" s="126">
        <f>IFERROR(__xludf.DUMMYFUNCTION("""COMPUTED_VALUE"""),46092.0)</f>
        <v>46092</v>
      </c>
      <c r="B2389" s="124" t="str">
        <f>IFERROR(__xludf.DUMMYFUNCTION("""COMPUTED_VALUE"""),"Walkin")</f>
        <v>Walkin</v>
      </c>
      <c r="C2389" s="124" t="str">
        <f>IFERROR(__xludf.DUMMYFUNCTION("""COMPUTED_VALUE"""),"Prayagraj")</f>
        <v>Prayagraj</v>
      </c>
      <c r="D2389" s="124" t="str">
        <f>IFERROR(__xludf.DUMMYFUNCTION("""COMPUTED_VALUE"""),"Primary_Walkin")</f>
        <v>Primary_Walkin</v>
      </c>
      <c r="E2389" s="124">
        <f>IFERROR(__xludf.DUMMYFUNCTION("""COMPUTED_VALUE"""),1.0)</f>
        <v>1</v>
      </c>
      <c r="F2389" s="124" t="str">
        <f>IFERROR(__xludf.DUMMYFUNCTION("""COMPUTED_VALUE"""),"Warm")</f>
        <v>Warm</v>
      </c>
      <c r="G2389" s="124" t="str">
        <f>IFERROR(__xludf.DUMMYFUNCTION("""COMPUTED_VALUE"""),"State PCS")</f>
        <v>State PCS</v>
      </c>
      <c r="K2389" s="124"/>
      <c r="L2389" s="124"/>
      <c r="M2389" s="124"/>
      <c r="N2389" s="124"/>
      <c r="O2389" s="124"/>
      <c r="T2389" s="126">
        <f>IFERROR(__xludf.DUMMYFUNCTION("""COMPUTED_VALUE"""),46076.0)</f>
        <v>46076</v>
      </c>
      <c r="U2389" s="124" t="str">
        <f>IFERROR(__xludf.DUMMYFUNCTION("""COMPUTED_VALUE"""),"Publisher Campaign")</f>
        <v>Publisher Campaign</v>
      </c>
      <c r="V2389" s="124" t="str">
        <f>IFERROR(__xludf.DUMMYFUNCTION("""COMPUTED_VALUE"""),"Webinar")</f>
        <v>Webinar</v>
      </c>
      <c r="W2389" s="124"/>
      <c r="X2389" s="124"/>
      <c r="Y2389" s="124" t="str">
        <f>IFERROR(__xludf.DUMMYFUNCTION("""COMPUTED_VALUE"""),"Delhi")</f>
        <v>Delhi</v>
      </c>
      <c r="Z2389" s="124">
        <f>IFERROR(__xludf.DUMMYFUNCTION("""COMPUTED_VALUE"""),1.0)</f>
        <v>1</v>
      </c>
      <c r="AA2389" s="124" t="str">
        <f>IFERROR(__xludf.DUMMYFUNCTION("""COMPUTED_VALUE"""),"Cold")</f>
        <v>Cold</v>
      </c>
      <c r="AB2389" s="124" t="str">
        <f>IFERROR(__xludf.DUMMYFUNCTION("""COMPUTED_VALUE"""),"Mentorship")</f>
        <v>Mentorship</v>
      </c>
    </row>
    <row r="2390">
      <c r="A2390" s="126">
        <f>IFERROR(__xludf.DUMMYFUNCTION("""COMPUTED_VALUE"""),46076.0)</f>
        <v>46076</v>
      </c>
      <c r="B2390" s="124" t="str">
        <f>IFERROR(__xludf.DUMMYFUNCTION("""COMPUTED_VALUE"""),"Walkin")</f>
        <v>Walkin</v>
      </c>
      <c r="C2390" s="124" t="str">
        <f>IFERROR(__xludf.DUMMYFUNCTION("""COMPUTED_VALUE"""),"Prayagraj")</f>
        <v>Prayagraj</v>
      </c>
      <c r="D2390" s="124" t="str">
        <f>IFERROR(__xludf.DUMMYFUNCTION("""COMPUTED_VALUE"""),"Primary_Walkin")</f>
        <v>Primary_Walkin</v>
      </c>
      <c r="E2390" s="124">
        <f>IFERROR(__xludf.DUMMYFUNCTION("""COMPUTED_VALUE"""),1.0)</f>
        <v>1</v>
      </c>
      <c r="F2390" s="124" t="str">
        <f>IFERROR(__xludf.DUMMYFUNCTION("""COMPUTED_VALUE"""),"Cold")</f>
        <v>Cold</v>
      </c>
      <c r="G2390" s="124" t="str">
        <f>IFERROR(__xludf.DUMMYFUNCTION("""COMPUTED_VALUE"""),"Optionals")</f>
        <v>Optionals</v>
      </c>
      <c r="K2390" s="124"/>
      <c r="L2390" s="124"/>
      <c r="M2390" s="124"/>
      <c r="N2390" s="124"/>
      <c r="O2390" s="124"/>
      <c r="T2390" s="126">
        <f>IFERROR(__xludf.DUMMYFUNCTION("""COMPUTED_VALUE"""),46060.0)</f>
        <v>46060</v>
      </c>
      <c r="U2390" s="124" t="str">
        <f>IFERROR(__xludf.DUMMYFUNCTION("""COMPUTED_VALUE"""),"Publisher Campaign")</f>
        <v>Publisher Campaign</v>
      </c>
      <c r="V2390" s="124" t="str">
        <f>IFERROR(__xludf.DUMMYFUNCTION("""COMPUTED_VALUE"""),"Webinar")</f>
        <v>Webinar</v>
      </c>
      <c r="W2390" s="124"/>
      <c r="X2390" s="124"/>
      <c r="Y2390" s="124" t="str">
        <f>IFERROR(__xludf.DUMMYFUNCTION("""COMPUTED_VALUE"""),"Patna")</f>
        <v>Patna</v>
      </c>
      <c r="Z2390" s="124">
        <f>IFERROR(__xludf.DUMMYFUNCTION("""COMPUTED_VALUE"""),1.0)</f>
        <v>1</v>
      </c>
      <c r="AA2390" s="124" t="str">
        <f>IFERROR(__xludf.DUMMYFUNCTION("""COMPUTED_VALUE"""),"Fake Lead")</f>
        <v>Fake Lead</v>
      </c>
      <c r="AB2390" s="124" t="str">
        <f>IFERROR(__xludf.DUMMYFUNCTION("""COMPUTED_VALUE"""),"Other")</f>
        <v>Other</v>
      </c>
    </row>
    <row r="2391">
      <c r="A2391" s="126">
        <f>IFERROR(__xludf.DUMMYFUNCTION("""COMPUTED_VALUE"""),46094.0)</f>
        <v>46094</v>
      </c>
      <c r="B2391" s="124" t="str">
        <f>IFERROR(__xludf.DUMMYFUNCTION("""COMPUTED_VALUE"""),"Walkin")</f>
        <v>Walkin</v>
      </c>
      <c r="C2391" s="124" t="str">
        <f>IFERROR(__xludf.DUMMYFUNCTION("""COMPUTED_VALUE"""),"Prayagraj")</f>
        <v>Prayagraj</v>
      </c>
      <c r="D2391" s="124" t="str">
        <f>IFERROR(__xludf.DUMMYFUNCTION("""COMPUTED_VALUE"""),"Primary_Walkin")</f>
        <v>Primary_Walkin</v>
      </c>
      <c r="E2391" s="124">
        <f>IFERROR(__xludf.DUMMYFUNCTION("""COMPUTED_VALUE"""),1.0)</f>
        <v>1</v>
      </c>
      <c r="F2391" s="124" t="str">
        <f>IFERROR(__xludf.DUMMYFUNCTION("""COMPUTED_VALUE"""),"Cold")</f>
        <v>Cold</v>
      </c>
      <c r="G2391" s="124" t="str">
        <f>IFERROR(__xludf.DUMMYFUNCTION("""COMPUTED_VALUE"""),"GS Foundation")</f>
        <v>GS Foundation</v>
      </c>
      <c r="K2391" s="124"/>
      <c r="L2391" s="124"/>
      <c r="M2391" s="124"/>
      <c r="N2391" s="124"/>
      <c r="O2391" s="124"/>
      <c r="T2391" s="129">
        <f>IFERROR(__xludf.DUMMYFUNCTION("""COMPUTED_VALUE"""),46080.0)</f>
        <v>46080</v>
      </c>
      <c r="U2391" s="124" t="str">
        <f>IFERROR(__xludf.DUMMYFUNCTION("""COMPUTED_VALUE"""),"Publisher Campaign")</f>
        <v>Publisher Campaign</v>
      </c>
      <c r="V2391" s="124" t="str">
        <f>IFERROR(__xludf.DUMMYFUNCTION("""COMPUTED_VALUE"""),"Webinar")</f>
        <v>Webinar</v>
      </c>
      <c r="W2391" s="124"/>
      <c r="X2391" s="124"/>
      <c r="Y2391" s="124" t="str">
        <f>IFERROR(__xludf.DUMMYFUNCTION("""COMPUTED_VALUE"""),"Guwahati")</f>
        <v>Guwahati</v>
      </c>
      <c r="Z2391" s="124">
        <f>IFERROR(__xludf.DUMMYFUNCTION("""COMPUTED_VALUE"""),1.0)</f>
        <v>1</v>
      </c>
      <c r="AA2391" s="124"/>
      <c r="AB2391" s="124" t="str">
        <f>IFERROR(__xludf.DUMMYFUNCTION("""COMPUTED_VALUE"""),"SIM")</f>
        <v>SIM</v>
      </c>
    </row>
    <row r="2392">
      <c r="A2392" s="126">
        <f>IFERROR(__xludf.DUMMYFUNCTION("""COMPUTED_VALUE"""),46078.0)</f>
        <v>46078</v>
      </c>
      <c r="B2392" s="124" t="str">
        <f>IFERROR(__xludf.DUMMYFUNCTION("""COMPUTED_VALUE"""),"Walkin")</f>
        <v>Walkin</v>
      </c>
      <c r="C2392" s="124" t="str">
        <f>IFERROR(__xludf.DUMMYFUNCTION("""COMPUTED_VALUE"""),"Prayagraj")</f>
        <v>Prayagraj</v>
      </c>
      <c r="D2392" s="124" t="str">
        <f>IFERROR(__xludf.DUMMYFUNCTION("""COMPUTED_VALUE"""),"Primary_Walkin")</f>
        <v>Primary_Walkin</v>
      </c>
      <c r="E2392" s="124">
        <f>IFERROR(__xludf.DUMMYFUNCTION("""COMPUTED_VALUE"""),1.0)</f>
        <v>1</v>
      </c>
      <c r="F2392" s="124" t="str">
        <f>IFERROR(__xludf.DUMMYFUNCTION("""COMPUTED_VALUE"""),"Future Prospects")</f>
        <v>Future Prospects</v>
      </c>
      <c r="G2392" s="124" t="str">
        <f>IFERROR(__xludf.DUMMYFUNCTION("""COMPUTED_VALUE"""),"GS Foundation")</f>
        <v>GS Foundation</v>
      </c>
      <c r="K2392" s="124"/>
      <c r="L2392" s="124"/>
      <c r="M2392" s="124"/>
      <c r="N2392" s="124"/>
      <c r="O2392" s="124"/>
      <c r="T2392" s="126">
        <f>IFERROR(__xludf.DUMMYFUNCTION("""COMPUTED_VALUE"""),46061.0)</f>
        <v>46061</v>
      </c>
      <c r="U2392" s="124" t="str">
        <f>IFERROR(__xludf.DUMMYFUNCTION("""COMPUTED_VALUE"""),"Paid Ads")</f>
        <v>Paid Ads</v>
      </c>
      <c r="V2392" s="124" t="str">
        <f>IFERROR(__xludf.DUMMYFUNCTION("""COMPUTED_VALUE"""),"google")</f>
        <v>google</v>
      </c>
      <c r="W2392" s="124" t="str">
        <f>IFERROR(__xludf.DUMMYFUNCTION("""COMPUTED_VALUE"""),"cpc")</f>
        <v>cpc</v>
      </c>
      <c r="X2392" s="124">
        <f>IFERROR(__xludf.DUMMYFUNCTION("""COMPUTED_VALUE"""),2.288825581E10)</f>
        <v>22888255810</v>
      </c>
      <c r="Y2392" s="124" t="str">
        <f>IFERROR(__xludf.DUMMYFUNCTION("""COMPUTED_VALUE"""),"Indore")</f>
        <v>Indore</v>
      </c>
      <c r="Z2392" s="124">
        <f>IFERROR(__xludf.DUMMYFUNCTION("""COMPUTED_VALUE"""),1.0)</f>
        <v>1</v>
      </c>
      <c r="AA2392" s="124" t="str">
        <f>IFERROR(__xludf.DUMMYFUNCTION("""COMPUTED_VALUE"""),"Not Interested")</f>
        <v>Not Interested</v>
      </c>
      <c r="AB2392" s="124" t="str">
        <f>IFERROR(__xludf.DUMMYFUNCTION("""COMPUTED_VALUE"""),"Other")</f>
        <v>Other</v>
      </c>
    </row>
    <row r="2393">
      <c r="A2393" s="126">
        <f>IFERROR(__xludf.DUMMYFUNCTION("""COMPUTED_VALUE"""),46081.0)</f>
        <v>46081</v>
      </c>
      <c r="B2393" s="124" t="str">
        <f>IFERROR(__xludf.DUMMYFUNCTION("""COMPUTED_VALUE"""),"Facebook")</f>
        <v>Facebook</v>
      </c>
      <c r="C2393" s="124" t="str">
        <f>IFERROR(__xludf.DUMMYFUNCTION("""COMPUTED_VALUE"""),"Prayagraj")</f>
        <v>Prayagraj</v>
      </c>
      <c r="D2393" s="124" t="str">
        <f>IFERROR(__xludf.DUMMYFUNCTION("""COMPUTED_VALUE"""),"Secondary_Walkin")</f>
        <v>Secondary_Walkin</v>
      </c>
      <c r="E2393" s="124">
        <f>IFERROR(__xludf.DUMMYFUNCTION("""COMPUTED_VALUE"""),1.0)</f>
        <v>1</v>
      </c>
      <c r="F2393" s="124" t="str">
        <f>IFERROR(__xludf.DUMMYFUNCTION("""COMPUTED_VALUE"""),"Future Prospects")</f>
        <v>Future Prospects</v>
      </c>
      <c r="G2393" s="124" t="str">
        <f>IFERROR(__xludf.DUMMYFUNCTION("""COMPUTED_VALUE"""),"GS Foundation")</f>
        <v>GS Foundation</v>
      </c>
      <c r="K2393" s="124"/>
      <c r="L2393" s="124"/>
      <c r="M2393" s="124"/>
      <c r="N2393" s="124"/>
      <c r="O2393" s="124"/>
      <c r="T2393" s="126">
        <f>IFERROR(__xludf.DUMMYFUNCTION("""COMPUTED_VALUE"""),46080.0)</f>
        <v>46080</v>
      </c>
      <c r="U2393" s="124" t="str">
        <f>IFERROR(__xludf.DUMMYFUNCTION("""COMPUTED_VALUE"""),"Publisher Campaign")</f>
        <v>Publisher Campaign</v>
      </c>
      <c r="V2393" s="124" t="str">
        <f>IFERROR(__xludf.DUMMYFUNCTION("""COMPUTED_VALUE"""),"Webinar")</f>
        <v>Webinar</v>
      </c>
      <c r="W2393" s="124"/>
      <c r="X2393" s="124"/>
      <c r="Y2393" s="124" t="str">
        <f>IFERROR(__xludf.DUMMYFUNCTION("""COMPUTED_VALUE"""),"Patna")</f>
        <v>Patna</v>
      </c>
      <c r="Z2393" s="124">
        <f>IFERROR(__xludf.DUMMYFUNCTION("""COMPUTED_VALUE"""),1.0)</f>
        <v>1</v>
      </c>
      <c r="AA2393" s="124" t="str">
        <f>IFERROR(__xludf.DUMMYFUNCTION("""COMPUTED_VALUE"""),"Not Interested")</f>
        <v>Not Interested</v>
      </c>
      <c r="AB2393" s="124" t="str">
        <f>IFERROR(__xludf.DUMMYFUNCTION("""COMPUTED_VALUE"""),"GS Foundation")</f>
        <v>GS Foundation</v>
      </c>
    </row>
    <row r="2394">
      <c r="K2394" s="124"/>
      <c r="L2394" s="124"/>
      <c r="M2394" s="124"/>
      <c r="N2394" s="124"/>
      <c r="O2394" s="124"/>
      <c r="T2394" s="126">
        <f>IFERROR(__xludf.DUMMYFUNCTION("""COMPUTED_VALUE"""),46051.0)</f>
        <v>46051</v>
      </c>
      <c r="U2394" s="124" t="str">
        <f>IFERROR(__xludf.DUMMYFUNCTION("""COMPUTED_VALUE"""),"Walk-Ins")</f>
        <v>Walk-Ins</v>
      </c>
      <c r="V2394" s="124" t="str">
        <f>IFERROR(__xludf.DUMMYFUNCTION("""COMPUTED_VALUE"""),"Walk-In")</f>
        <v>Walk-In</v>
      </c>
      <c r="W2394" s="124" t="str">
        <f>IFERROR(__xludf.DUMMYFUNCTION("""COMPUTED_VALUE"""),"Delhi")</f>
        <v>Delhi</v>
      </c>
      <c r="X2394" s="124" t="str">
        <f>IFERROR(__xludf.DUMMYFUNCTION("""COMPUTED_VALUE"""),"Missbahuddin Ahmad")</f>
        <v>Missbahuddin Ahmad</v>
      </c>
      <c r="Y2394" s="124" t="str">
        <f>IFERROR(__xludf.DUMMYFUNCTION("""COMPUTED_VALUE"""),"Delhi")</f>
        <v>Delhi</v>
      </c>
      <c r="Z2394" s="124">
        <f>IFERROR(__xludf.DUMMYFUNCTION("""COMPUTED_VALUE"""),1.0)</f>
        <v>1</v>
      </c>
      <c r="AA2394" s="124" t="str">
        <f>IFERROR(__xludf.DUMMYFUNCTION("""COMPUTED_VALUE"""),"Future Prospects")</f>
        <v>Future Prospects</v>
      </c>
      <c r="AB2394" s="124" t="str">
        <f>IFERROR(__xludf.DUMMYFUNCTION("""COMPUTED_VALUE"""),"GS Foundation")</f>
        <v>GS Foundation</v>
      </c>
    </row>
    <row r="2395">
      <c r="K2395" s="124"/>
      <c r="L2395" s="124"/>
      <c r="M2395" s="124"/>
      <c r="N2395" s="124"/>
      <c r="O2395" s="124"/>
      <c r="T2395" s="126">
        <f>IFERROR(__xludf.DUMMYFUNCTION("""COMPUTED_VALUE"""),46084.0)</f>
        <v>46084</v>
      </c>
      <c r="U2395" s="124" t="str">
        <f>IFERROR(__xludf.DUMMYFUNCTION("""COMPUTED_VALUE"""),"Paid Ads")</f>
        <v>Paid Ads</v>
      </c>
      <c r="V2395" s="124" t="str">
        <f>IFERROR(__xludf.DUMMYFUNCTION("""COMPUTED_VALUE"""),"YouTube")</f>
        <v>YouTube</v>
      </c>
      <c r="W2395" s="124"/>
      <c r="X2395" s="124"/>
      <c r="Y2395" s="124" t="str">
        <f>IFERROR(__xludf.DUMMYFUNCTION("""COMPUTED_VALUE"""),"Prayagraj")</f>
        <v>Prayagraj</v>
      </c>
      <c r="Z2395" s="124">
        <f>IFERROR(__xludf.DUMMYFUNCTION("""COMPUTED_VALUE"""),1.0)</f>
        <v>1</v>
      </c>
      <c r="AA2395" s="124" t="str">
        <f>IFERROR(__xludf.DUMMYFUNCTION("""COMPUTED_VALUE"""),"Future Prospects")</f>
        <v>Future Prospects</v>
      </c>
      <c r="AB2395" s="124" t="str">
        <f>IFERROR(__xludf.DUMMYFUNCTION("""COMPUTED_VALUE"""),"Other")</f>
        <v>Other</v>
      </c>
    </row>
    <row r="2396">
      <c r="K2396" s="124"/>
      <c r="L2396" s="124"/>
      <c r="M2396" s="124"/>
      <c r="N2396" s="124"/>
      <c r="O2396" s="124"/>
      <c r="T2396" s="129">
        <f>IFERROR(__xludf.DUMMYFUNCTION("""COMPUTED_VALUE"""),46078.0)</f>
        <v>46078</v>
      </c>
      <c r="U2396" s="124" t="str">
        <f>IFERROR(__xludf.DUMMYFUNCTION("""COMPUTED_VALUE"""),"Publisher Campaign")</f>
        <v>Publisher Campaign</v>
      </c>
      <c r="V2396" s="124" t="str">
        <f>IFERROR(__xludf.DUMMYFUNCTION("""COMPUTED_VALUE"""),"Webinar")</f>
        <v>Webinar</v>
      </c>
      <c r="W2396" s="124"/>
      <c r="X2396" s="124"/>
      <c r="Y2396" s="124" t="str">
        <f>IFERROR(__xludf.DUMMYFUNCTION("""COMPUTED_VALUE"""),"Prayagraj")</f>
        <v>Prayagraj</v>
      </c>
      <c r="Z2396" s="124">
        <f>IFERROR(__xludf.DUMMYFUNCTION("""COMPUTED_VALUE"""),1.0)</f>
        <v>1</v>
      </c>
      <c r="AA2396" s="124" t="str">
        <f>IFERROR(__xludf.DUMMYFUNCTION("""COMPUTED_VALUE"""),"Cold")</f>
        <v>Cold</v>
      </c>
      <c r="AB2396" s="124" t="str">
        <f>IFERROR(__xludf.DUMMYFUNCTION("""COMPUTED_VALUE"""),"State PCS")</f>
        <v>State PCS</v>
      </c>
    </row>
    <row r="2397">
      <c r="K2397" s="124"/>
      <c r="L2397" s="124"/>
      <c r="M2397" s="124"/>
      <c r="N2397" s="124"/>
      <c r="O2397" s="124"/>
      <c r="T2397" s="126">
        <f>IFERROR(__xludf.DUMMYFUNCTION("""COMPUTED_VALUE"""),46062.0)</f>
        <v>46062</v>
      </c>
      <c r="U2397" s="124" t="str">
        <f>IFERROR(__xludf.DUMMYFUNCTION("""COMPUTED_VALUE"""),"Publisher Campaign")</f>
        <v>Publisher Campaign</v>
      </c>
      <c r="V2397" s="124" t="str">
        <f>IFERROR(__xludf.DUMMYFUNCTION("""COMPUTED_VALUE"""),"Webinar")</f>
        <v>Webinar</v>
      </c>
      <c r="W2397" s="124"/>
      <c r="X2397" s="124"/>
      <c r="Y2397" s="124" t="str">
        <f>IFERROR(__xludf.DUMMYFUNCTION("""COMPUTED_VALUE"""),"Delhi")</f>
        <v>Delhi</v>
      </c>
      <c r="Z2397" s="124">
        <f>IFERROR(__xludf.DUMMYFUNCTION("""COMPUTED_VALUE"""),6.0)</f>
        <v>6</v>
      </c>
      <c r="AA2397" s="124" t="str">
        <f>IFERROR(__xludf.DUMMYFUNCTION("""COMPUTED_VALUE"""),"Cold")</f>
        <v>Cold</v>
      </c>
      <c r="AB2397" s="124" t="str">
        <f>IFERROR(__xludf.DUMMYFUNCTION("""COMPUTED_VALUE"""),"CSAT")</f>
        <v>CSAT</v>
      </c>
    </row>
    <row r="2398">
      <c r="K2398" s="124"/>
      <c r="L2398" s="124"/>
      <c r="M2398" s="124"/>
      <c r="N2398" s="124"/>
      <c r="O2398" s="124"/>
      <c r="T2398" s="129">
        <f>IFERROR(__xludf.DUMMYFUNCTION("""COMPUTED_VALUE"""),46051.0)</f>
        <v>46051</v>
      </c>
      <c r="U2398" s="124" t="str">
        <f>IFERROR(__xludf.DUMMYFUNCTION("""COMPUTED_VALUE"""),"External Leads")</f>
        <v>External Leads</v>
      </c>
      <c r="V2398" s="124" t="str">
        <f>IFERROR(__xludf.DUMMYFUNCTION("""COMPUTED_VALUE"""),"external leads")</f>
        <v>external leads</v>
      </c>
      <c r="W2398" s="124"/>
      <c r="X2398" s="124"/>
      <c r="Y2398" s="124" t="str">
        <f>IFERROR(__xludf.DUMMYFUNCTION("""COMPUTED_VALUE"""),"Delhi")</f>
        <v>Delhi</v>
      </c>
      <c r="Z2398" s="124">
        <f>IFERROR(__xludf.DUMMYFUNCTION("""COMPUTED_VALUE"""),2.0)</f>
        <v>2</v>
      </c>
      <c r="AA2398" s="124" t="str">
        <f>IFERROR(__xludf.DUMMYFUNCTION("""COMPUTED_VALUE"""),"Future Prospects")</f>
        <v>Future Prospects</v>
      </c>
      <c r="AB2398" s="124"/>
    </row>
    <row r="2399">
      <c r="K2399" s="124"/>
      <c r="L2399" s="124"/>
      <c r="M2399" s="124"/>
      <c r="N2399" s="124"/>
      <c r="O2399" s="124"/>
      <c r="T2399" s="126">
        <f>IFERROR(__xludf.DUMMYFUNCTION("""COMPUTED_VALUE"""),46069.0)</f>
        <v>46069</v>
      </c>
      <c r="U2399" s="124" t="str">
        <f>IFERROR(__xludf.DUMMYFUNCTION("""COMPUTED_VALUE"""),"Publisher Campaign")</f>
        <v>Publisher Campaign</v>
      </c>
      <c r="V2399" s="124" t="str">
        <f>IFERROR(__xludf.DUMMYFUNCTION("""COMPUTED_VALUE"""),"BTL Activities")</f>
        <v>BTL Activities</v>
      </c>
      <c r="W2399" s="124"/>
      <c r="X2399" s="124"/>
      <c r="Y2399" s="124" t="str">
        <f>IFERROR(__xludf.DUMMYFUNCTION("""COMPUTED_VALUE"""),"Indore")</f>
        <v>Indore</v>
      </c>
      <c r="Z2399" s="124">
        <f>IFERROR(__xludf.DUMMYFUNCTION("""COMPUTED_VALUE"""),1.0)</f>
        <v>1</v>
      </c>
      <c r="AA2399" s="124" t="str">
        <f>IFERROR(__xludf.DUMMYFUNCTION("""COMPUTED_VALUE"""),"Not Interested")</f>
        <v>Not Interested</v>
      </c>
      <c r="AB2399" s="124" t="str">
        <f>IFERROR(__xludf.DUMMYFUNCTION("""COMPUTED_VALUE"""),"SIP Offline")</f>
        <v>SIP Offline</v>
      </c>
    </row>
    <row r="2400">
      <c r="K2400" s="124"/>
      <c r="L2400" s="124"/>
      <c r="M2400" s="124"/>
      <c r="N2400" s="124"/>
      <c r="O2400" s="124"/>
      <c r="T2400" s="129">
        <f>IFERROR(__xludf.DUMMYFUNCTION("""COMPUTED_VALUE"""),46098.0)</f>
        <v>46098</v>
      </c>
      <c r="U2400" s="124" t="str">
        <f>IFERROR(__xludf.DUMMYFUNCTION("""COMPUTED_VALUE"""),"Libraries")</f>
        <v>Libraries</v>
      </c>
      <c r="V2400" s="124" t="str">
        <f>IFERROR(__xludf.DUMMYFUNCTION("""COMPUTED_VALUE"""),"Libraries")</f>
        <v>Libraries</v>
      </c>
      <c r="W2400" s="124"/>
      <c r="X2400" s="124"/>
      <c r="Y2400" s="124" t="str">
        <f>IFERROR(__xludf.DUMMYFUNCTION("""COMPUTED_VALUE"""),"Prayagraj")</f>
        <v>Prayagraj</v>
      </c>
      <c r="Z2400" s="124">
        <f>IFERROR(__xludf.DUMMYFUNCTION("""COMPUTED_VALUE"""),5.0)</f>
        <v>5</v>
      </c>
      <c r="AA2400" s="124"/>
      <c r="AB2400" s="124" t="str">
        <f>IFERROR(__xludf.DUMMYFUNCTION("""COMPUTED_VALUE"""),"GS Foundation")</f>
        <v>GS Foundation</v>
      </c>
    </row>
    <row r="2401">
      <c r="K2401" s="124"/>
      <c r="L2401" s="124"/>
      <c r="M2401" s="124"/>
      <c r="N2401" s="124"/>
      <c r="O2401" s="124"/>
      <c r="T2401" s="129">
        <f>IFERROR(__xludf.DUMMYFUNCTION("""COMPUTED_VALUE"""),46088.0)</f>
        <v>46088</v>
      </c>
      <c r="U2401" s="124" t="str">
        <f>IFERROR(__xludf.DUMMYFUNCTION("""COMPUTED_VALUE"""),"Publisher Campaign")</f>
        <v>Publisher Campaign</v>
      </c>
      <c r="V2401" s="124" t="str">
        <f>IFERROR(__xludf.DUMMYFUNCTION("""COMPUTED_VALUE"""),"Webinar")</f>
        <v>Webinar</v>
      </c>
      <c r="W2401" s="124"/>
      <c r="X2401" s="124"/>
      <c r="Y2401" s="124" t="str">
        <f>IFERROR(__xludf.DUMMYFUNCTION("""COMPUTED_VALUE"""),"Delhi")</f>
        <v>Delhi</v>
      </c>
      <c r="Z2401" s="124">
        <f>IFERROR(__xludf.DUMMYFUNCTION("""COMPUTED_VALUE"""),1.0)</f>
        <v>1</v>
      </c>
      <c r="AA2401" s="124" t="str">
        <f>IFERROR(__xludf.DUMMYFUNCTION("""COMPUTED_VALUE"""),"Not Interested")</f>
        <v>Not Interested</v>
      </c>
      <c r="AB2401" s="124" t="str">
        <f>IFERROR(__xludf.DUMMYFUNCTION("""COMPUTED_VALUE"""),"SIP Offline")</f>
        <v>SIP Offline</v>
      </c>
    </row>
    <row r="2402">
      <c r="K2402" s="124"/>
      <c r="L2402" s="124"/>
      <c r="M2402" s="124"/>
      <c r="N2402" s="124"/>
      <c r="O2402" s="124"/>
      <c r="T2402" s="129">
        <f>IFERROR(__xludf.DUMMYFUNCTION("""COMPUTED_VALUE"""),46079.0)</f>
        <v>46079</v>
      </c>
      <c r="U2402" s="124" t="str">
        <f>IFERROR(__xludf.DUMMYFUNCTION("""COMPUTED_VALUE"""),"Publisher Campaign")</f>
        <v>Publisher Campaign</v>
      </c>
      <c r="V2402" s="124" t="str">
        <f>IFERROR(__xludf.DUMMYFUNCTION("""COMPUTED_VALUE"""),"Webinar")</f>
        <v>Webinar</v>
      </c>
      <c r="W2402" s="124"/>
      <c r="X2402" s="124"/>
      <c r="Y2402" s="124" t="str">
        <f>IFERROR(__xludf.DUMMYFUNCTION("""COMPUTED_VALUE"""),"Delhi")</f>
        <v>Delhi</v>
      </c>
      <c r="Z2402" s="124">
        <f>IFERROR(__xludf.DUMMYFUNCTION("""COMPUTED_VALUE"""),2.0)</f>
        <v>2</v>
      </c>
      <c r="AA2402" s="124" t="str">
        <f>IFERROR(__xludf.DUMMYFUNCTION("""COMPUTED_VALUE"""),"Warm")</f>
        <v>Warm</v>
      </c>
      <c r="AB2402" s="124" t="str">
        <f>IFERROR(__xludf.DUMMYFUNCTION("""COMPUTED_VALUE"""),"Prelims Crash Course - SIP")</f>
        <v>Prelims Crash Course - SIP</v>
      </c>
    </row>
    <row r="2403">
      <c r="K2403" s="124"/>
      <c r="L2403" s="124"/>
      <c r="M2403" s="124"/>
      <c r="N2403" s="124"/>
      <c r="O2403" s="124"/>
      <c r="T2403" s="126">
        <f>IFERROR(__xludf.DUMMYFUNCTION("""COMPUTED_VALUE"""),46071.0)</f>
        <v>46071</v>
      </c>
      <c r="U2403" s="124" t="str">
        <f>IFERROR(__xludf.DUMMYFUNCTION("""COMPUTED_VALUE"""),"Publisher Campaign")</f>
        <v>Publisher Campaign</v>
      </c>
      <c r="V2403" s="124" t="str">
        <f>IFERROR(__xludf.DUMMYFUNCTION("""COMPUTED_VALUE"""),"Feeder Cities")</f>
        <v>Feeder Cities</v>
      </c>
      <c r="W2403" s="124"/>
      <c r="X2403" s="124"/>
      <c r="Y2403" s="124" t="str">
        <f>IFERROR(__xludf.DUMMYFUNCTION("""COMPUTED_VALUE"""),"Indore")</f>
        <v>Indore</v>
      </c>
      <c r="Z2403" s="124">
        <f>IFERROR(__xludf.DUMMYFUNCTION("""COMPUTED_VALUE"""),1.0)</f>
        <v>1</v>
      </c>
      <c r="AA2403" s="124" t="str">
        <f>IFERROR(__xludf.DUMMYFUNCTION("""COMPUTED_VALUE"""),"Cold")</f>
        <v>Cold</v>
      </c>
      <c r="AB2403" s="124" t="str">
        <f>IFERROR(__xludf.DUMMYFUNCTION("""COMPUTED_VALUE"""),"Test Series")</f>
        <v>Test Series</v>
      </c>
    </row>
    <row r="2404">
      <c r="K2404" s="124"/>
      <c r="L2404" s="124"/>
      <c r="M2404" s="124"/>
      <c r="N2404" s="124"/>
      <c r="O2404" s="124"/>
      <c r="T2404" s="126">
        <f>IFERROR(__xludf.DUMMYFUNCTION("""COMPUTED_VALUE"""),46098.0)</f>
        <v>46098</v>
      </c>
      <c r="U2404" s="124" t="str">
        <f>IFERROR(__xludf.DUMMYFUNCTION("""COMPUTED_VALUE"""),"Publisher Campaign")</f>
        <v>Publisher Campaign</v>
      </c>
      <c r="V2404" s="124" t="str">
        <f>IFERROR(__xludf.DUMMYFUNCTION("""COMPUTED_VALUE"""),"DM - Meta")</f>
        <v>DM - Meta</v>
      </c>
      <c r="W2404" s="124"/>
      <c r="X2404" s="124"/>
      <c r="Y2404" s="124" t="str">
        <f>IFERROR(__xludf.DUMMYFUNCTION("""COMPUTED_VALUE"""),"Prayagraj")</f>
        <v>Prayagraj</v>
      </c>
      <c r="Z2404" s="124">
        <f>IFERROR(__xludf.DUMMYFUNCTION("""COMPUTED_VALUE"""),1.0)</f>
        <v>1</v>
      </c>
      <c r="AA2404" s="124" t="str">
        <f>IFERROR(__xludf.DUMMYFUNCTION("""COMPUTED_VALUE"""),"Enrolled")</f>
        <v>Enrolled</v>
      </c>
      <c r="AB2404" s="124" t="str">
        <f>IFERROR(__xludf.DUMMYFUNCTION("""COMPUTED_VALUE"""),"GS Foundation")</f>
        <v>GS Foundation</v>
      </c>
    </row>
    <row r="2405">
      <c r="K2405" s="124"/>
      <c r="L2405" s="124"/>
      <c r="M2405" s="124"/>
      <c r="N2405" s="124"/>
      <c r="O2405" s="124"/>
      <c r="T2405" s="126">
        <f>IFERROR(__xludf.DUMMYFUNCTION("""COMPUTED_VALUE"""),46061.0)</f>
        <v>46061</v>
      </c>
      <c r="U2405" s="124" t="str">
        <f>IFERROR(__xludf.DUMMYFUNCTION("""COMPUTED_VALUE"""),"Publisher Campaign")</f>
        <v>Publisher Campaign</v>
      </c>
      <c r="V2405" s="124" t="str">
        <f>IFERROR(__xludf.DUMMYFUNCTION("""COMPUTED_VALUE"""),"Feeder Cities")</f>
        <v>Feeder Cities</v>
      </c>
      <c r="W2405" s="124"/>
      <c r="X2405" s="124"/>
      <c r="Y2405" s="124" t="str">
        <f>IFERROR(__xludf.DUMMYFUNCTION("""COMPUTED_VALUE"""),"Indore")</f>
        <v>Indore</v>
      </c>
      <c r="Z2405" s="124">
        <f>IFERROR(__xludf.DUMMYFUNCTION("""COMPUTED_VALUE"""),1.0)</f>
        <v>1</v>
      </c>
      <c r="AA2405" s="124" t="str">
        <f>IFERROR(__xludf.DUMMYFUNCTION("""COMPUTED_VALUE"""),"Cold")</f>
        <v>Cold</v>
      </c>
      <c r="AB2405" s="124" t="str">
        <f>IFERROR(__xludf.DUMMYFUNCTION("""COMPUTED_VALUE"""),"Test Series")</f>
        <v>Test Series</v>
      </c>
    </row>
    <row r="2406">
      <c r="K2406" s="124"/>
      <c r="L2406" s="124"/>
      <c r="M2406" s="124"/>
      <c r="N2406" s="124"/>
      <c r="O2406" s="124"/>
      <c r="T2406" s="129">
        <f>IFERROR(__xludf.DUMMYFUNCTION("""COMPUTED_VALUE"""),46070.0)</f>
        <v>46070</v>
      </c>
      <c r="U2406" s="124" t="str">
        <f>IFERROR(__xludf.DUMMYFUNCTION("""COMPUTED_VALUE"""),"Publisher Campaign")</f>
        <v>Publisher Campaign</v>
      </c>
      <c r="V2406" s="124" t="str">
        <f>IFERROR(__xludf.DUMMYFUNCTION("""COMPUTED_VALUE"""),"BTL Activities")</f>
        <v>BTL Activities</v>
      </c>
      <c r="W2406" s="124"/>
      <c r="X2406" s="124"/>
      <c r="Y2406" s="124" t="str">
        <f>IFERROR(__xludf.DUMMYFUNCTION("""COMPUTED_VALUE"""),"Delhi")</f>
        <v>Delhi</v>
      </c>
      <c r="Z2406" s="124">
        <f>IFERROR(__xludf.DUMMYFUNCTION("""COMPUTED_VALUE"""),1.0)</f>
        <v>1</v>
      </c>
      <c r="AA2406" s="124" t="str">
        <f>IFERROR(__xludf.DUMMYFUNCTION("""COMPUTED_VALUE"""),"Cold")</f>
        <v>Cold</v>
      </c>
      <c r="AB2406" s="124" t="str">
        <f>IFERROR(__xludf.DUMMYFUNCTION("""COMPUTED_VALUE"""),"GS Foundation")</f>
        <v>GS Foundation</v>
      </c>
    </row>
    <row r="2407">
      <c r="K2407" s="124"/>
      <c r="L2407" s="124"/>
      <c r="M2407" s="124"/>
      <c r="N2407" s="124"/>
      <c r="O2407" s="124"/>
      <c r="T2407" s="126">
        <f>IFERROR(__xludf.DUMMYFUNCTION("""COMPUTED_VALUE"""),46090.0)</f>
        <v>46090</v>
      </c>
      <c r="U2407" s="124" t="str">
        <f>IFERROR(__xludf.DUMMYFUNCTION("""COMPUTED_VALUE"""),"Walk-Ins")</f>
        <v>Walk-Ins</v>
      </c>
      <c r="V2407" s="124" t="str">
        <f>IFERROR(__xludf.DUMMYFUNCTION("""COMPUTED_VALUE"""),"Walkin")</f>
        <v>Walkin</v>
      </c>
      <c r="W2407" s="124"/>
      <c r="X2407" s="124"/>
      <c r="Y2407" s="124" t="str">
        <f>IFERROR(__xludf.DUMMYFUNCTION("""COMPUTED_VALUE"""),"Delhi")</f>
        <v>Delhi</v>
      </c>
      <c r="Z2407" s="124">
        <f>IFERROR(__xludf.DUMMYFUNCTION("""COMPUTED_VALUE"""),1.0)</f>
        <v>1</v>
      </c>
      <c r="AA2407" s="124" t="str">
        <f>IFERROR(__xludf.DUMMYFUNCTION("""COMPUTED_VALUE"""),"Not Interested")</f>
        <v>Not Interested</v>
      </c>
      <c r="AB2407" s="124" t="str">
        <f>IFERROR(__xludf.DUMMYFUNCTION("""COMPUTED_VALUE"""),"GS Foundation")</f>
        <v>GS Foundation</v>
      </c>
    </row>
    <row r="2408">
      <c r="K2408" s="124"/>
      <c r="L2408" s="124"/>
      <c r="M2408" s="124"/>
      <c r="N2408" s="124"/>
      <c r="O2408" s="124"/>
      <c r="T2408" s="126">
        <f>IFERROR(__xludf.DUMMYFUNCTION("""COMPUTED_VALUE"""),46084.0)</f>
        <v>46084</v>
      </c>
      <c r="U2408" s="124" t="str">
        <f>IFERROR(__xludf.DUMMYFUNCTION("""COMPUTED_VALUE"""),"Publisher Campaign")</f>
        <v>Publisher Campaign</v>
      </c>
      <c r="V2408" s="124" t="str">
        <f>IFERROR(__xludf.DUMMYFUNCTION("""COMPUTED_VALUE"""),"Feeder Cities")</f>
        <v>Feeder Cities</v>
      </c>
      <c r="W2408" s="124"/>
      <c r="X2408" s="124"/>
      <c r="Y2408" s="124" t="str">
        <f>IFERROR(__xludf.DUMMYFUNCTION("""COMPUTED_VALUE"""),"Indore")</f>
        <v>Indore</v>
      </c>
      <c r="Z2408" s="124">
        <f>IFERROR(__xludf.DUMMYFUNCTION("""COMPUTED_VALUE"""),1.0)</f>
        <v>1</v>
      </c>
      <c r="AA2408" s="124" t="str">
        <f>IFERROR(__xludf.DUMMYFUNCTION("""COMPUTED_VALUE"""),"Cold")</f>
        <v>Cold</v>
      </c>
      <c r="AB2408" s="124" t="str">
        <f>IFERROR(__xludf.DUMMYFUNCTION("""COMPUTED_VALUE"""),"State PCS")</f>
        <v>State PCS</v>
      </c>
    </row>
    <row r="2409">
      <c r="K2409" s="124"/>
      <c r="L2409" s="124"/>
      <c r="M2409" s="124"/>
      <c r="N2409" s="124"/>
      <c r="O2409" s="124"/>
      <c r="T2409" s="126">
        <f>IFERROR(__xludf.DUMMYFUNCTION("""COMPUTED_VALUE"""),46083.0)</f>
        <v>46083</v>
      </c>
      <c r="U2409" s="124" t="str">
        <f>IFERROR(__xludf.DUMMYFUNCTION("""COMPUTED_VALUE"""),"Event")</f>
        <v>Event</v>
      </c>
      <c r="V2409" s="124" t="str">
        <f>IFERROR(__xludf.DUMMYFUNCTION("""COMPUTED_VALUE"""),"events")</f>
        <v>events</v>
      </c>
      <c r="W2409" s="124" t="str">
        <f>IFERROR(__xludf.DUMMYFUNCTION("""COMPUTED_VALUE"""),"indore")</f>
        <v>indore</v>
      </c>
      <c r="X2409" s="124" t="str">
        <f>IFERROR(__xludf.DUMMYFUNCTION("""COMPUTED_VALUE"""),"mahamarathon")</f>
        <v>mahamarathon</v>
      </c>
      <c r="Y2409" s="124" t="str">
        <f>IFERROR(__xludf.DUMMYFUNCTION("""COMPUTED_VALUE"""),"Indore")</f>
        <v>Indore</v>
      </c>
      <c r="Z2409" s="124">
        <f>IFERROR(__xludf.DUMMYFUNCTION("""COMPUTED_VALUE"""),1.0)</f>
        <v>1</v>
      </c>
      <c r="AA2409" s="124" t="str">
        <f>IFERROR(__xludf.DUMMYFUNCTION("""COMPUTED_VALUE"""),"Not Interested")</f>
        <v>Not Interested</v>
      </c>
      <c r="AB2409" s="124" t="str">
        <f>IFERROR(__xludf.DUMMYFUNCTION("""COMPUTED_VALUE"""),"State PCS")</f>
        <v>State PCS</v>
      </c>
    </row>
    <row r="2410">
      <c r="K2410" s="124"/>
      <c r="L2410" s="124"/>
      <c r="M2410" s="124"/>
      <c r="N2410" s="124"/>
      <c r="O2410" s="124"/>
      <c r="T2410" s="126">
        <f>IFERROR(__xludf.DUMMYFUNCTION("""COMPUTED_VALUE"""),46067.0)</f>
        <v>46067</v>
      </c>
      <c r="U2410" s="124" t="str">
        <f>IFERROR(__xludf.DUMMYFUNCTION("""COMPUTED_VALUE"""),"Walk-Ins")</f>
        <v>Walk-Ins</v>
      </c>
      <c r="V2410" s="124" t="str">
        <f>IFERROR(__xludf.DUMMYFUNCTION("""COMPUTED_VALUE"""),"Walkin")</f>
        <v>Walkin</v>
      </c>
      <c r="W2410" s="124"/>
      <c r="X2410" s="124"/>
      <c r="Y2410" s="124" t="str">
        <f>IFERROR(__xludf.DUMMYFUNCTION("""COMPUTED_VALUE"""),"Delhi")</f>
        <v>Delhi</v>
      </c>
      <c r="Z2410" s="124">
        <f>IFERROR(__xludf.DUMMYFUNCTION("""COMPUTED_VALUE"""),1.0)</f>
        <v>1</v>
      </c>
      <c r="AA2410" s="124" t="str">
        <f>IFERROR(__xludf.DUMMYFUNCTION("""COMPUTED_VALUE"""),"Not Interested")</f>
        <v>Not Interested</v>
      </c>
      <c r="AB2410" s="124" t="str">
        <f>IFERROR(__xludf.DUMMYFUNCTION("""COMPUTED_VALUE"""),"GS Foundation")</f>
        <v>GS Foundation</v>
      </c>
    </row>
    <row r="2411">
      <c r="K2411" s="124"/>
      <c r="L2411" s="124"/>
      <c r="M2411" s="124"/>
      <c r="N2411" s="124"/>
      <c r="O2411" s="124"/>
      <c r="T2411" s="126">
        <f>IFERROR(__xludf.DUMMYFUNCTION("""COMPUTED_VALUE"""),46043.0)</f>
        <v>46043</v>
      </c>
      <c r="U2411" s="124" t="str">
        <f>IFERROR(__xludf.DUMMYFUNCTION("""COMPUTED_VALUE"""),"External Leads")</f>
        <v>External Leads</v>
      </c>
      <c r="V2411" s="124" t="str">
        <f>IFERROR(__xludf.DUMMYFUNCTION("""COMPUTED_VALUE"""),"external leads")</f>
        <v>external leads</v>
      </c>
      <c r="W2411" s="124"/>
      <c r="X2411" s="124"/>
      <c r="Y2411" s="124" t="str">
        <f>IFERROR(__xludf.DUMMYFUNCTION("""COMPUTED_VALUE"""),"Delhi")</f>
        <v>Delhi</v>
      </c>
      <c r="Z2411" s="124">
        <f>IFERROR(__xludf.DUMMYFUNCTION("""COMPUTED_VALUE"""),1.0)</f>
        <v>1</v>
      </c>
      <c r="AA2411" s="124" t="str">
        <f>IFERROR(__xludf.DUMMYFUNCTION("""COMPUTED_VALUE"""),"Cold")</f>
        <v>Cold</v>
      </c>
      <c r="AB2411" s="124" t="str">
        <f>IFERROR(__xludf.DUMMYFUNCTION("""COMPUTED_VALUE"""),"Other")</f>
        <v>Other</v>
      </c>
    </row>
    <row r="2412">
      <c r="K2412" s="124"/>
      <c r="L2412" s="124"/>
      <c r="M2412" s="124"/>
      <c r="N2412" s="124"/>
      <c r="O2412" s="124"/>
      <c r="T2412" s="126">
        <f>IFERROR(__xludf.DUMMYFUNCTION("""COMPUTED_VALUE"""),46047.0)</f>
        <v>46047</v>
      </c>
      <c r="U2412" s="124" t="str">
        <f>IFERROR(__xludf.DUMMYFUNCTION("""COMPUTED_VALUE"""),"External Leads")</f>
        <v>External Leads</v>
      </c>
      <c r="V2412" s="124" t="str">
        <f>IFERROR(__xludf.DUMMYFUNCTION("""COMPUTED_VALUE"""),"external leads")</f>
        <v>external leads</v>
      </c>
      <c r="W2412" s="124"/>
      <c r="X2412" s="124"/>
      <c r="Y2412" s="124" t="str">
        <f>IFERROR(__xludf.DUMMYFUNCTION("""COMPUTED_VALUE"""),"Delhi")</f>
        <v>Delhi</v>
      </c>
      <c r="Z2412" s="124">
        <f>IFERROR(__xludf.DUMMYFUNCTION("""COMPUTED_VALUE"""),1.0)</f>
        <v>1</v>
      </c>
      <c r="AA2412" s="124" t="str">
        <f>IFERROR(__xludf.DUMMYFUNCTION("""COMPUTED_VALUE"""),"Future Prospects")</f>
        <v>Future Prospects</v>
      </c>
      <c r="AB2412" s="124" t="str">
        <f>IFERROR(__xludf.DUMMYFUNCTION("""COMPUTED_VALUE"""),"GS Foundation")</f>
        <v>GS Foundation</v>
      </c>
    </row>
    <row r="2413">
      <c r="K2413" s="124"/>
      <c r="L2413" s="124"/>
      <c r="M2413" s="124"/>
      <c r="N2413" s="124"/>
      <c r="O2413" s="124"/>
      <c r="T2413" s="126">
        <f>IFERROR(__xludf.DUMMYFUNCTION("""COMPUTED_VALUE"""),46087.0)</f>
        <v>46087</v>
      </c>
      <c r="U2413" s="124" t="str">
        <f>IFERROR(__xludf.DUMMYFUNCTION("""COMPUTED_VALUE"""),"Publisher Campaign")</f>
        <v>Publisher Campaign</v>
      </c>
      <c r="V2413" s="124" t="str">
        <f>IFERROR(__xludf.DUMMYFUNCTION("""COMPUTED_VALUE"""),"BTL Activities")</f>
        <v>BTL Activities</v>
      </c>
      <c r="W2413" s="124"/>
      <c r="X2413" s="124"/>
      <c r="Y2413" s="124" t="str">
        <f>IFERROR(__xludf.DUMMYFUNCTION("""COMPUTED_VALUE"""),"Prayagraj")</f>
        <v>Prayagraj</v>
      </c>
      <c r="Z2413" s="124">
        <f>IFERROR(__xludf.DUMMYFUNCTION("""COMPUTED_VALUE"""),1.0)</f>
        <v>1</v>
      </c>
      <c r="AA2413" s="124" t="str">
        <f>IFERROR(__xludf.DUMMYFUNCTION("""COMPUTED_VALUE"""),"Warm")</f>
        <v>Warm</v>
      </c>
      <c r="AB2413" s="124" t="str">
        <f>IFERROR(__xludf.DUMMYFUNCTION("""COMPUTED_VALUE"""),"State PCS")</f>
        <v>State PCS</v>
      </c>
    </row>
    <row r="2414">
      <c r="K2414" s="124"/>
      <c r="L2414" s="124"/>
      <c r="M2414" s="124"/>
      <c r="N2414" s="124"/>
      <c r="O2414" s="124"/>
      <c r="T2414" s="129">
        <f>IFERROR(__xludf.DUMMYFUNCTION("""COMPUTED_VALUE"""),46091.0)</f>
        <v>46091</v>
      </c>
      <c r="U2414" s="124" t="str">
        <f>IFERROR(__xludf.DUMMYFUNCTION("""COMPUTED_VALUE"""),"Publisher Campaign")</f>
        <v>Publisher Campaign</v>
      </c>
      <c r="V2414" s="124" t="str">
        <f>IFERROR(__xludf.DUMMYFUNCTION("""COMPUTED_VALUE"""),"Webinar")</f>
        <v>Webinar</v>
      </c>
      <c r="W2414" s="124"/>
      <c r="X2414" s="124"/>
      <c r="Y2414" s="124" t="str">
        <f>IFERROR(__xludf.DUMMYFUNCTION("""COMPUTED_VALUE"""),"Delhi")</f>
        <v>Delhi</v>
      </c>
      <c r="Z2414" s="124">
        <f>IFERROR(__xludf.DUMMYFUNCTION("""COMPUTED_VALUE"""),8.0)</f>
        <v>8</v>
      </c>
      <c r="AA2414" s="124" t="str">
        <f>IFERROR(__xludf.DUMMYFUNCTION("""COMPUTED_VALUE"""),"Fake Lead")</f>
        <v>Fake Lead</v>
      </c>
      <c r="AB2414" s="124" t="str">
        <f>IFERROR(__xludf.DUMMYFUNCTION("""COMPUTED_VALUE"""),"CSAT")</f>
        <v>CSAT</v>
      </c>
    </row>
    <row r="2415">
      <c r="K2415" s="124"/>
      <c r="L2415" s="124"/>
      <c r="M2415" s="124"/>
      <c r="N2415" s="124"/>
      <c r="O2415" s="124"/>
      <c r="T2415" s="126">
        <f>IFERROR(__xludf.DUMMYFUNCTION("""COMPUTED_VALUE"""),46080.0)</f>
        <v>46080</v>
      </c>
      <c r="U2415" s="124" t="str">
        <f>IFERROR(__xludf.DUMMYFUNCTION("""COMPUTED_VALUE"""),"Publisher Campaign")</f>
        <v>Publisher Campaign</v>
      </c>
      <c r="V2415" s="124" t="str">
        <f>IFERROR(__xludf.DUMMYFUNCTION("""COMPUTED_VALUE"""),"Webinar")</f>
        <v>Webinar</v>
      </c>
      <c r="W2415" s="124"/>
      <c r="X2415" s="124"/>
      <c r="Y2415" s="124" t="str">
        <f>IFERROR(__xludf.DUMMYFUNCTION("""COMPUTED_VALUE"""),"Indore")</f>
        <v>Indore</v>
      </c>
      <c r="Z2415" s="124">
        <f>IFERROR(__xludf.DUMMYFUNCTION("""COMPUTED_VALUE"""),1.0)</f>
        <v>1</v>
      </c>
      <c r="AA2415" s="124"/>
      <c r="AB2415" s="124" t="str">
        <f>IFERROR(__xludf.DUMMYFUNCTION("""COMPUTED_VALUE"""),"Mentorship")</f>
        <v>Mentorship</v>
      </c>
    </row>
    <row r="2416">
      <c r="K2416" s="124"/>
      <c r="L2416" s="124"/>
      <c r="M2416" s="124"/>
      <c r="N2416" s="124"/>
      <c r="O2416" s="124"/>
      <c r="T2416" s="129">
        <f>IFERROR(__xludf.DUMMYFUNCTION("""COMPUTED_VALUE"""),46092.0)</f>
        <v>46092</v>
      </c>
      <c r="U2416" s="124" t="str">
        <f>IFERROR(__xludf.DUMMYFUNCTION("""COMPUTED_VALUE"""),"Paid Ads")</f>
        <v>Paid Ads</v>
      </c>
      <c r="V2416" s="124" t="str">
        <f>IFERROR(__xludf.DUMMYFUNCTION("""COMPUTED_VALUE"""),"google")</f>
        <v>google</v>
      </c>
      <c r="W2416" s="124" t="str">
        <f>IFERROR(__xludf.DUMMYFUNCTION("""COMPUTED_VALUE"""),"cpc")</f>
        <v>cpc</v>
      </c>
      <c r="X2416" s="124">
        <f>IFERROR(__xludf.DUMMYFUNCTION("""COMPUTED_VALUE"""),2.288825581E10)</f>
        <v>22888255810</v>
      </c>
      <c r="Y2416" s="124" t="str">
        <f>IFERROR(__xludf.DUMMYFUNCTION("""COMPUTED_VALUE"""),"Indore")</f>
        <v>Indore</v>
      </c>
      <c r="Z2416" s="124">
        <f>IFERROR(__xludf.DUMMYFUNCTION("""COMPUTED_VALUE"""),1.0)</f>
        <v>1</v>
      </c>
      <c r="AA2416" s="124" t="str">
        <f>IFERROR(__xludf.DUMMYFUNCTION("""COMPUTED_VALUE"""),"Not Interested")</f>
        <v>Not Interested</v>
      </c>
      <c r="AB2416" s="124" t="str">
        <f>IFERROR(__xludf.DUMMYFUNCTION("""COMPUTED_VALUE"""),"GS Foundation")</f>
        <v>GS Foundation</v>
      </c>
    </row>
    <row r="2417">
      <c r="K2417" s="124"/>
      <c r="L2417" s="124"/>
      <c r="M2417" s="124"/>
      <c r="N2417" s="124"/>
      <c r="O2417" s="124"/>
      <c r="T2417" s="129">
        <f>IFERROR(__xludf.DUMMYFUNCTION("""COMPUTED_VALUE"""),46091.0)</f>
        <v>46091</v>
      </c>
      <c r="U2417" s="124" t="str">
        <f>IFERROR(__xludf.DUMMYFUNCTION("""COMPUTED_VALUE"""),"Publisher Campaign")</f>
        <v>Publisher Campaign</v>
      </c>
      <c r="V2417" s="124" t="str">
        <f>IFERROR(__xludf.DUMMYFUNCTION("""COMPUTED_VALUE"""),"Webinar")</f>
        <v>Webinar</v>
      </c>
      <c r="W2417" s="124"/>
      <c r="X2417" s="124"/>
      <c r="Y2417" s="124" t="str">
        <f>IFERROR(__xludf.DUMMYFUNCTION("""COMPUTED_VALUE"""),"Delhi")</f>
        <v>Delhi</v>
      </c>
      <c r="Z2417" s="124">
        <f>IFERROR(__xludf.DUMMYFUNCTION("""COMPUTED_VALUE"""),1.0)</f>
        <v>1</v>
      </c>
      <c r="AA2417" s="124" t="str">
        <f>IFERROR(__xludf.DUMMYFUNCTION("""COMPUTED_VALUE"""),"Future Prospects")</f>
        <v>Future Prospects</v>
      </c>
      <c r="AB2417" s="124" t="str">
        <f>IFERROR(__xludf.DUMMYFUNCTION("""COMPUTED_VALUE"""),"Test Series")</f>
        <v>Test Series</v>
      </c>
    </row>
    <row r="2418">
      <c r="K2418" s="124"/>
      <c r="L2418" s="124"/>
      <c r="M2418" s="124"/>
      <c r="N2418" s="124"/>
      <c r="O2418" s="124"/>
      <c r="T2418" s="126">
        <f>IFERROR(__xludf.DUMMYFUNCTION("""COMPUTED_VALUE"""),46092.0)</f>
        <v>46092</v>
      </c>
      <c r="U2418" s="124" t="str">
        <f>IFERROR(__xludf.DUMMYFUNCTION("""COMPUTED_VALUE"""),"Publisher Campaign")</f>
        <v>Publisher Campaign</v>
      </c>
      <c r="V2418" s="124" t="str">
        <f>IFERROR(__xludf.DUMMYFUNCTION("""COMPUTED_VALUE"""),"BTL Activities")</f>
        <v>BTL Activities</v>
      </c>
      <c r="W2418" s="124"/>
      <c r="X2418" s="124"/>
      <c r="Y2418" s="124" t="str">
        <f>IFERROR(__xludf.DUMMYFUNCTION("""COMPUTED_VALUE"""),"Indore")</f>
        <v>Indore</v>
      </c>
      <c r="Z2418" s="124">
        <f>IFERROR(__xludf.DUMMYFUNCTION("""COMPUTED_VALUE"""),1.0)</f>
        <v>1</v>
      </c>
      <c r="AA2418" s="124" t="str">
        <f>IFERROR(__xludf.DUMMYFUNCTION("""COMPUTED_VALUE"""),"Cold")</f>
        <v>Cold</v>
      </c>
      <c r="AB2418" s="124" t="str">
        <f>IFERROR(__xludf.DUMMYFUNCTION("""COMPUTED_VALUE"""),"IGP UPPSC")</f>
        <v>IGP UPPSC</v>
      </c>
    </row>
    <row r="2419">
      <c r="K2419" s="124"/>
      <c r="L2419" s="124"/>
      <c r="M2419" s="124"/>
      <c r="N2419" s="124"/>
      <c r="O2419" s="124"/>
      <c r="T2419" s="126">
        <f>IFERROR(__xludf.DUMMYFUNCTION("""COMPUTED_VALUE"""),46076.0)</f>
        <v>46076</v>
      </c>
      <c r="U2419" s="124" t="str">
        <f>IFERROR(__xludf.DUMMYFUNCTION("""COMPUTED_VALUE"""),"Publisher Campaign")</f>
        <v>Publisher Campaign</v>
      </c>
      <c r="V2419" s="124" t="str">
        <f>IFERROR(__xludf.DUMMYFUNCTION("""COMPUTED_VALUE"""),"Webinar")</f>
        <v>Webinar</v>
      </c>
      <c r="W2419" s="124"/>
      <c r="X2419" s="124"/>
      <c r="Y2419" s="124" t="str">
        <f>IFERROR(__xludf.DUMMYFUNCTION("""COMPUTED_VALUE"""),"Delhi")</f>
        <v>Delhi</v>
      </c>
      <c r="Z2419" s="124">
        <f>IFERROR(__xludf.DUMMYFUNCTION("""COMPUTED_VALUE"""),2.0)</f>
        <v>2</v>
      </c>
      <c r="AA2419" s="124" t="str">
        <f>IFERROR(__xludf.DUMMYFUNCTION("""COMPUTED_VALUE"""),"Cold")</f>
        <v>Cold</v>
      </c>
      <c r="AB2419" s="124" t="str">
        <f>IFERROR(__xludf.DUMMYFUNCTION("""COMPUTED_VALUE"""),"Test Series")</f>
        <v>Test Series</v>
      </c>
    </row>
    <row r="2420">
      <c r="K2420" s="124"/>
      <c r="L2420" s="124"/>
      <c r="M2420" s="124"/>
      <c r="N2420" s="124"/>
      <c r="O2420" s="124"/>
      <c r="T2420" s="126">
        <f>IFERROR(__xludf.DUMMYFUNCTION("""COMPUTED_VALUE"""),46073.0)</f>
        <v>46073</v>
      </c>
      <c r="U2420" s="124" t="str">
        <f>IFERROR(__xludf.DUMMYFUNCTION("""COMPUTED_VALUE"""),"Publisher Campaign")</f>
        <v>Publisher Campaign</v>
      </c>
      <c r="V2420" s="124" t="str">
        <f>IFERROR(__xludf.DUMMYFUNCTION("""COMPUTED_VALUE"""),"Feeder Cities")</f>
        <v>Feeder Cities</v>
      </c>
      <c r="W2420" s="124"/>
      <c r="X2420" s="124"/>
      <c r="Y2420" s="124" t="str">
        <f>IFERROR(__xludf.DUMMYFUNCTION("""COMPUTED_VALUE"""),"Indore")</f>
        <v>Indore</v>
      </c>
      <c r="Z2420" s="124">
        <f>IFERROR(__xludf.DUMMYFUNCTION("""COMPUTED_VALUE"""),2.0)</f>
        <v>2</v>
      </c>
      <c r="AA2420" s="124" t="str">
        <f>IFERROR(__xludf.DUMMYFUNCTION("""COMPUTED_VALUE"""),"Cold")</f>
        <v>Cold</v>
      </c>
      <c r="AB2420" s="124" t="str">
        <f>IFERROR(__xludf.DUMMYFUNCTION("""COMPUTED_VALUE"""),"GS Foundation")</f>
        <v>GS Foundation</v>
      </c>
    </row>
    <row r="2421">
      <c r="K2421" s="124"/>
      <c r="L2421" s="124"/>
      <c r="M2421" s="124"/>
      <c r="N2421" s="124"/>
      <c r="O2421" s="124"/>
      <c r="T2421" s="126">
        <f>IFERROR(__xludf.DUMMYFUNCTION("""COMPUTED_VALUE"""),46099.0)</f>
        <v>46099</v>
      </c>
      <c r="U2421" s="124" t="str">
        <f>IFERROR(__xludf.DUMMYFUNCTION("""COMPUTED_VALUE"""),"Publisher Campaign")</f>
        <v>Publisher Campaign</v>
      </c>
      <c r="V2421" s="124" t="str">
        <f>IFERROR(__xludf.DUMMYFUNCTION("""COMPUTED_VALUE"""),"BTL Activities")</f>
        <v>BTL Activities</v>
      </c>
      <c r="W2421" s="124"/>
      <c r="X2421" s="124"/>
      <c r="Y2421" s="124" t="str">
        <f>IFERROR(__xludf.DUMMYFUNCTION("""COMPUTED_VALUE"""),"Prayagraj")</f>
        <v>Prayagraj</v>
      </c>
      <c r="Z2421" s="124">
        <f>IFERROR(__xludf.DUMMYFUNCTION("""COMPUTED_VALUE"""),1.0)</f>
        <v>1</v>
      </c>
      <c r="AA2421" s="124" t="str">
        <f>IFERROR(__xludf.DUMMYFUNCTION("""COMPUTED_VALUE"""),"Cold")</f>
        <v>Cold</v>
      </c>
      <c r="AB2421" s="124" t="str">
        <f>IFERROR(__xludf.DUMMYFUNCTION("""COMPUTED_VALUE"""),"GS Foundation")</f>
        <v>GS Foundation</v>
      </c>
    </row>
    <row r="2422">
      <c r="K2422" s="124"/>
      <c r="L2422" s="124"/>
      <c r="M2422" s="124"/>
      <c r="N2422" s="124"/>
      <c r="O2422" s="124"/>
      <c r="T2422" s="126">
        <f>IFERROR(__xludf.DUMMYFUNCTION("""COMPUTED_VALUE"""),46088.0)</f>
        <v>46088</v>
      </c>
      <c r="U2422" s="124" t="str">
        <f>IFERROR(__xludf.DUMMYFUNCTION("""COMPUTED_VALUE"""),"Publisher Campaign")</f>
        <v>Publisher Campaign</v>
      </c>
      <c r="V2422" s="124" t="str">
        <f>IFERROR(__xludf.DUMMYFUNCTION("""COMPUTED_VALUE"""),"Webinar")</f>
        <v>Webinar</v>
      </c>
      <c r="W2422" s="124"/>
      <c r="X2422" s="124"/>
      <c r="Y2422" s="124" t="str">
        <f>IFERROR(__xludf.DUMMYFUNCTION("""COMPUTED_VALUE"""),"Delhi")</f>
        <v>Delhi</v>
      </c>
      <c r="Z2422" s="124">
        <f>IFERROR(__xludf.DUMMYFUNCTION("""COMPUTED_VALUE"""),1.0)</f>
        <v>1</v>
      </c>
      <c r="AA2422" s="124" t="str">
        <f>IFERROR(__xludf.DUMMYFUNCTION("""COMPUTED_VALUE"""),"Engaged")</f>
        <v>Engaged</v>
      </c>
      <c r="AB2422" s="124" t="str">
        <f>IFERROR(__xludf.DUMMYFUNCTION("""COMPUTED_VALUE"""),"Other")</f>
        <v>Other</v>
      </c>
    </row>
    <row r="2423">
      <c r="K2423" s="124"/>
      <c r="L2423" s="124"/>
      <c r="M2423" s="124"/>
      <c r="N2423" s="124"/>
      <c r="O2423" s="124"/>
      <c r="T2423" s="126">
        <f>IFERROR(__xludf.DUMMYFUNCTION("""COMPUTED_VALUE"""),46084.0)</f>
        <v>46084</v>
      </c>
      <c r="U2423" s="124" t="str">
        <f>IFERROR(__xludf.DUMMYFUNCTION("""COMPUTED_VALUE"""),"Paid Ads")</f>
        <v>Paid Ads</v>
      </c>
      <c r="V2423" s="124" t="str">
        <f>IFERROR(__xludf.DUMMYFUNCTION("""COMPUTED_VALUE"""),"YouTube")</f>
        <v>YouTube</v>
      </c>
      <c r="W2423" s="124"/>
      <c r="X2423" s="124"/>
      <c r="Y2423" s="124" t="str">
        <f>IFERROR(__xludf.DUMMYFUNCTION("""COMPUTED_VALUE"""),"Prayagraj")</f>
        <v>Prayagraj</v>
      </c>
      <c r="Z2423" s="124">
        <f>IFERROR(__xludf.DUMMYFUNCTION("""COMPUTED_VALUE"""),1.0)</f>
        <v>1</v>
      </c>
      <c r="AA2423" s="124" t="str">
        <f>IFERROR(__xludf.DUMMYFUNCTION("""COMPUTED_VALUE"""),"Cold")</f>
        <v>Cold</v>
      </c>
      <c r="AB2423" s="124" t="str">
        <f>IFERROR(__xludf.DUMMYFUNCTION("""COMPUTED_VALUE"""),"GS Foundation")</f>
        <v>GS Foundation</v>
      </c>
    </row>
    <row r="2424">
      <c r="K2424" s="124"/>
      <c r="L2424" s="124"/>
      <c r="M2424" s="124"/>
      <c r="N2424" s="124"/>
      <c r="O2424" s="124"/>
      <c r="T2424" s="126">
        <f>IFERROR(__xludf.DUMMYFUNCTION("""COMPUTED_VALUE"""),46061.0)</f>
        <v>46061</v>
      </c>
      <c r="U2424" s="124" t="str">
        <f>IFERROR(__xludf.DUMMYFUNCTION("""COMPUTED_VALUE"""),"Publisher Campaign")</f>
        <v>Publisher Campaign</v>
      </c>
      <c r="V2424" s="124" t="str">
        <f>IFERROR(__xludf.DUMMYFUNCTION("""COMPUTED_VALUE"""),"Webinar")</f>
        <v>Webinar</v>
      </c>
      <c r="W2424" s="124"/>
      <c r="X2424" s="124"/>
      <c r="Y2424" s="124" t="str">
        <f>IFERROR(__xludf.DUMMYFUNCTION("""COMPUTED_VALUE"""),"Delhi")</f>
        <v>Delhi</v>
      </c>
      <c r="Z2424" s="124">
        <f>IFERROR(__xludf.DUMMYFUNCTION("""COMPUTED_VALUE"""),1.0)</f>
        <v>1</v>
      </c>
      <c r="AA2424" s="124" t="str">
        <f>IFERROR(__xludf.DUMMYFUNCTION("""COMPUTED_VALUE"""),"Cold")</f>
        <v>Cold</v>
      </c>
      <c r="AB2424" s="124" t="str">
        <f>IFERROR(__xludf.DUMMYFUNCTION("""COMPUTED_VALUE"""),"IGP UPPSC")</f>
        <v>IGP UPPSC</v>
      </c>
    </row>
    <row r="2425">
      <c r="K2425" s="124"/>
      <c r="L2425" s="124"/>
      <c r="M2425" s="124"/>
      <c r="N2425" s="124"/>
      <c r="O2425" s="124"/>
      <c r="T2425" s="126">
        <f>IFERROR(__xludf.DUMMYFUNCTION("""COMPUTED_VALUE"""),46058.0)</f>
        <v>46058</v>
      </c>
      <c r="U2425" s="124" t="str">
        <f>IFERROR(__xludf.DUMMYFUNCTION("""COMPUTED_VALUE"""),"Publisher Campaign")</f>
        <v>Publisher Campaign</v>
      </c>
      <c r="V2425" s="124" t="str">
        <f>IFERROR(__xludf.DUMMYFUNCTION("""COMPUTED_VALUE"""),"Feeder Cities")</f>
        <v>Feeder Cities</v>
      </c>
      <c r="W2425" s="124"/>
      <c r="X2425" s="124"/>
      <c r="Y2425" s="124" t="str">
        <f>IFERROR(__xludf.DUMMYFUNCTION("""COMPUTED_VALUE"""),"Indore")</f>
        <v>Indore</v>
      </c>
      <c r="Z2425" s="124">
        <f>IFERROR(__xludf.DUMMYFUNCTION("""COMPUTED_VALUE"""),1.0)</f>
        <v>1</v>
      </c>
      <c r="AA2425" s="124" t="str">
        <f>IFERROR(__xludf.DUMMYFUNCTION("""COMPUTED_VALUE"""),"Not Interested")</f>
        <v>Not Interested</v>
      </c>
      <c r="AB2425" s="124" t="str">
        <f>IFERROR(__xludf.DUMMYFUNCTION("""COMPUTED_VALUE"""),"GS Foundation")</f>
        <v>GS Foundation</v>
      </c>
    </row>
    <row r="2426">
      <c r="K2426" s="124"/>
      <c r="L2426" s="124"/>
      <c r="M2426" s="124"/>
      <c r="N2426" s="124"/>
      <c r="O2426" s="124"/>
      <c r="T2426" s="126">
        <f>IFERROR(__xludf.DUMMYFUNCTION("""COMPUTED_VALUE"""),46054.0)</f>
        <v>46054</v>
      </c>
      <c r="U2426" s="124" t="str">
        <f>IFERROR(__xludf.DUMMYFUNCTION("""COMPUTED_VALUE"""),"Paid Ads")</f>
        <v>Paid Ads</v>
      </c>
      <c r="V2426" s="124" t="str">
        <f>IFERROR(__xludf.DUMMYFUNCTION("""COMPUTED_VALUE"""),"google")</f>
        <v>google</v>
      </c>
      <c r="W2426" s="124" t="str">
        <f>IFERROR(__xludf.DUMMYFUNCTION("""COMPUTED_VALUE"""),"cpc")</f>
        <v>cpc</v>
      </c>
      <c r="X2426" s="124">
        <f>IFERROR(__xludf.DUMMYFUNCTION("""COMPUTED_VALUE"""),2.2754500514E10)</f>
        <v>22754500514</v>
      </c>
      <c r="Y2426" s="124" t="str">
        <f>IFERROR(__xludf.DUMMYFUNCTION("""COMPUTED_VALUE"""),"Lucknow")</f>
        <v>Lucknow</v>
      </c>
      <c r="Z2426" s="124">
        <f>IFERROR(__xludf.DUMMYFUNCTION("""COMPUTED_VALUE"""),1.0)</f>
        <v>1</v>
      </c>
      <c r="AA2426" s="124" t="str">
        <f>IFERROR(__xludf.DUMMYFUNCTION("""COMPUTED_VALUE"""),"Cold")</f>
        <v>Cold</v>
      </c>
      <c r="AB2426" s="124" t="str">
        <f>IFERROR(__xludf.DUMMYFUNCTION("""COMPUTED_VALUE"""),"State PCS")</f>
        <v>State PCS</v>
      </c>
    </row>
    <row r="2427">
      <c r="K2427" s="124"/>
      <c r="L2427" s="124"/>
      <c r="M2427" s="124"/>
      <c r="N2427" s="124"/>
      <c r="O2427" s="124"/>
      <c r="T2427" s="129">
        <f>IFERROR(__xludf.DUMMYFUNCTION("""COMPUTED_VALUE"""),46070.0)</f>
        <v>46070</v>
      </c>
      <c r="U2427" s="124" t="str">
        <f>IFERROR(__xludf.DUMMYFUNCTION("""COMPUTED_VALUE"""),"Publisher Campaign")</f>
        <v>Publisher Campaign</v>
      </c>
      <c r="V2427" s="124" t="str">
        <f>IFERROR(__xludf.DUMMYFUNCTION("""COMPUTED_VALUE"""),"BTL Activities")</f>
        <v>BTL Activities</v>
      </c>
      <c r="W2427" s="124"/>
      <c r="X2427" s="124"/>
      <c r="Y2427" s="124" t="str">
        <f>IFERROR(__xludf.DUMMYFUNCTION("""COMPUTED_VALUE"""),"Indore")</f>
        <v>Indore</v>
      </c>
      <c r="Z2427" s="124">
        <f>IFERROR(__xludf.DUMMYFUNCTION("""COMPUTED_VALUE"""),3.0)</f>
        <v>3</v>
      </c>
      <c r="AA2427" s="124" t="str">
        <f>IFERROR(__xludf.DUMMYFUNCTION("""COMPUTED_VALUE"""),"Cold")</f>
        <v>Cold</v>
      </c>
      <c r="AB2427" s="124" t="str">
        <f>IFERROR(__xludf.DUMMYFUNCTION("""COMPUTED_VALUE"""),"Other")</f>
        <v>Other</v>
      </c>
    </row>
    <row r="2428">
      <c r="K2428" s="124"/>
      <c r="L2428" s="124"/>
      <c r="M2428" s="124"/>
      <c r="N2428" s="124"/>
      <c r="O2428" s="124"/>
      <c r="T2428" s="126">
        <f>IFERROR(__xludf.DUMMYFUNCTION("""COMPUTED_VALUE"""),46090.0)</f>
        <v>46090</v>
      </c>
      <c r="U2428" s="124" t="str">
        <f>IFERROR(__xludf.DUMMYFUNCTION("""COMPUTED_VALUE"""),"Publisher Campaign")</f>
        <v>Publisher Campaign</v>
      </c>
      <c r="V2428" s="124" t="str">
        <f>IFERROR(__xludf.DUMMYFUNCTION("""COMPUTED_VALUE"""),"BTL Activities")</f>
        <v>BTL Activities</v>
      </c>
      <c r="W2428" s="124"/>
      <c r="X2428" s="124"/>
      <c r="Y2428" s="124" t="str">
        <f>IFERROR(__xludf.DUMMYFUNCTION("""COMPUTED_VALUE"""),"Indore")</f>
        <v>Indore</v>
      </c>
      <c r="Z2428" s="124">
        <f>IFERROR(__xludf.DUMMYFUNCTION("""COMPUTED_VALUE"""),1.0)</f>
        <v>1</v>
      </c>
      <c r="AA2428" s="124" t="str">
        <f>IFERROR(__xludf.DUMMYFUNCTION("""COMPUTED_VALUE"""),"Not Interested")</f>
        <v>Not Interested</v>
      </c>
      <c r="AB2428" s="124" t="str">
        <f>IFERROR(__xludf.DUMMYFUNCTION("""COMPUTED_VALUE"""),"Test Series")</f>
        <v>Test Series</v>
      </c>
    </row>
    <row r="2429">
      <c r="K2429" s="124"/>
      <c r="L2429" s="124"/>
      <c r="M2429" s="124"/>
      <c r="N2429" s="124"/>
      <c r="O2429" s="124"/>
      <c r="T2429" s="129">
        <f>IFERROR(__xludf.DUMMYFUNCTION("""COMPUTED_VALUE"""),46080.0)</f>
        <v>46080</v>
      </c>
      <c r="U2429" s="124" t="str">
        <f>IFERROR(__xludf.DUMMYFUNCTION("""COMPUTED_VALUE"""),"Publisher Campaign")</f>
        <v>Publisher Campaign</v>
      </c>
      <c r="V2429" s="124" t="str">
        <f>IFERROR(__xludf.DUMMYFUNCTION("""COMPUTED_VALUE"""),"Webinar")</f>
        <v>Webinar</v>
      </c>
      <c r="W2429" s="124"/>
      <c r="X2429" s="124"/>
      <c r="Y2429" s="124" t="str">
        <f>IFERROR(__xludf.DUMMYFUNCTION("""COMPUTED_VALUE"""),"Delhi")</f>
        <v>Delhi</v>
      </c>
      <c r="Z2429" s="124">
        <f>IFERROR(__xludf.DUMMYFUNCTION("""COMPUTED_VALUE"""),2.0)</f>
        <v>2</v>
      </c>
      <c r="AA2429" s="124" t="str">
        <f>IFERROR(__xludf.DUMMYFUNCTION("""COMPUTED_VALUE"""),"Warm")</f>
        <v>Warm</v>
      </c>
      <c r="AB2429" s="124" t="str">
        <f>IFERROR(__xludf.DUMMYFUNCTION("""COMPUTED_VALUE"""),"Test Series")</f>
        <v>Test Series</v>
      </c>
    </row>
    <row r="2430">
      <c r="K2430" s="124"/>
      <c r="L2430" s="124"/>
      <c r="M2430" s="124"/>
      <c r="N2430" s="124"/>
      <c r="O2430" s="124"/>
      <c r="T2430" s="126">
        <f>IFERROR(__xludf.DUMMYFUNCTION("""COMPUTED_VALUE"""),46065.0)</f>
        <v>46065</v>
      </c>
      <c r="U2430" s="124" t="str">
        <f>IFERROR(__xludf.DUMMYFUNCTION("""COMPUTED_VALUE"""),"Publisher Campaign")</f>
        <v>Publisher Campaign</v>
      </c>
      <c r="V2430" s="124" t="str">
        <f>IFERROR(__xludf.DUMMYFUNCTION("""COMPUTED_VALUE"""),"BTL Activities")</f>
        <v>BTL Activities</v>
      </c>
      <c r="W2430" s="124"/>
      <c r="X2430" s="124"/>
      <c r="Y2430" s="124" t="str">
        <f>IFERROR(__xludf.DUMMYFUNCTION("""COMPUTED_VALUE"""),"Indore")</f>
        <v>Indore</v>
      </c>
      <c r="Z2430" s="124">
        <f>IFERROR(__xludf.DUMMYFUNCTION("""COMPUTED_VALUE"""),1.0)</f>
        <v>1</v>
      </c>
      <c r="AA2430" s="124" t="str">
        <f>IFERROR(__xludf.DUMMYFUNCTION("""COMPUTED_VALUE"""),"Fake Lead")</f>
        <v>Fake Lead</v>
      </c>
      <c r="AB2430" s="124" t="str">
        <f>IFERROR(__xludf.DUMMYFUNCTION("""COMPUTED_VALUE"""),"Other")</f>
        <v>Other</v>
      </c>
    </row>
    <row r="2431">
      <c r="K2431" s="124"/>
      <c r="L2431" s="124"/>
      <c r="M2431" s="124"/>
      <c r="N2431" s="124"/>
      <c r="O2431" s="124"/>
      <c r="T2431" s="126">
        <f>IFERROR(__xludf.DUMMYFUNCTION("""COMPUTED_VALUE"""),46098.0)</f>
        <v>46098</v>
      </c>
      <c r="U2431" s="124" t="str">
        <f>IFERROR(__xludf.DUMMYFUNCTION("""COMPUTED_VALUE"""),"Libraries")</f>
        <v>Libraries</v>
      </c>
      <c r="V2431" s="124" t="str">
        <f>IFERROR(__xludf.DUMMYFUNCTION("""COMPUTED_VALUE"""),"Libraries")</f>
        <v>Libraries</v>
      </c>
      <c r="W2431" s="124"/>
      <c r="X2431" s="124"/>
      <c r="Y2431" s="124" t="str">
        <f>IFERROR(__xludf.DUMMYFUNCTION("""COMPUTED_VALUE"""),"Prayagraj")</f>
        <v>Prayagraj</v>
      </c>
      <c r="Z2431" s="124">
        <f>IFERROR(__xludf.DUMMYFUNCTION("""COMPUTED_VALUE"""),1.0)</f>
        <v>1</v>
      </c>
      <c r="AA2431" s="124" t="str">
        <f>IFERROR(__xludf.DUMMYFUNCTION("""COMPUTED_VALUE"""),"Fake Lead")</f>
        <v>Fake Lead</v>
      </c>
      <c r="AB2431" s="124" t="str">
        <f>IFERROR(__xludf.DUMMYFUNCTION("""COMPUTED_VALUE"""),"State PCS")</f>
        <v>State PCS</v>
      </c>
    </row>
    <row r="2432">
      <c r="K2432" s="124"/>
      <c r="L2432" s="124"/>
      <c r="M2432" s="124"/>
      <c r="N2432" s="124"/>
      <c r="O2432" s="124"/>
      <c r="T2432" s="126">
        <f>IFERROR(__xludf.DUMMYFUNCTION("""COMPUTED_VALUE"""),46082.0)</f>
        <v>46082</v>
      </c>
      <c r="U2432" s="124" t="str">
        <f>IFERROR(__xludf.DUMMYFUNCTION("""COMPUTED_VALUE"""),"Paid Ads")</f>
        <v>Paid Ads</v>
      </c>
      <c r="V2432" s="124" t="str">
        <f>IFERROR(__xludf.DUMMYFUNCTION("""COMPUTED_VALUE"""),"google")</f>
        <v>google</v>
      </c>
      <c r="W2432" s="124" t="str">
        <f>IFERROR(__xludf.DUMMYFUNCTION("""COMPUTED_VALUE"""),"cpc")</f>
        <v>cpc</v>
      </c>
      <c r="X2432" s="124">
        <f>IFERROR(__xludf.DUMMYFUNCTION("""COMPUTED_VALUE"""),2.288825581E10)</f>
        <v>22888255810</v>
      </c>
      <c r="Y2432" s="124" t="str">
        <f>IFERROR(__xludf.DUMMYFUNCTION("""COMPUTED_VALUE"""),"Indore")</f>
        <v>Indore</v>
      </c>
      <c r="Z2432" s="124">
        <f>IFERROR(__xludf.DUMMYFUNCTION("""COMPUTED_VALUE"""),1.0)</f>
        <v>1</v>
      </c>
      <c r="AA2432" s="124" t="str">
        <f>IFERROR(__xludf.DUMMYFUNCTION("""COMPUTED_VALUE"""),"Cold")</f>
        <v>Cold</v>
      </c>
      <c r="AB2432" s="124" t="str">
        <f>IFERROR(__xludf.DUMMYFUNCTION("""COMPUTED_VALUE"""),"GS Foundation")</f>
        <v>GS Foundation</v>
      </c>
    </row>
    <row r="2433">
      <c r="K2433" s="124"/>
      <c r="L2433" s="124"/>
      <c r="M2433" s="124"/>
      <c r="N2433" s="124"/>
      <c r="O2433" s="124"/>
      <c r="T2433" s="126">
        <f>IFERROR(__xludf.DUMMYFUNCTION("""COMPUTED_VALUE"""),46076.0)</f>
        <v>46076</v>
      </c>
      <c r="U2433" s="124" t="str">
        <f>IFERROR(__xludf.DUMMYFUNCTION("""COMPUTED_VALUE"""),"Publisher Campaign")</f>
        <v>Publisher Campaign</v>
      </c>
      <c r="V2433" s="124" t="str">
        <f>IFERROR(__xludf.DUMMYFUNCTION("""COMPUTED_VALUE"""),"Webinar")</f>
        <v>Webinar</v>
      </c>
      <c r="W2433" s="124"/>
      <c r="X2433" s="124"/>
      <c r="Y2433" s="124" t="str">
        <f>IFERROR(__xludf.DUMMYFUNCTION("""COMPUTED_VALUE"""),"Delhi")</f>
        <v>Delhi</v>
      </c>
      <c r="Z2433" s="124">
        <f>IFERROR(__xludf.DUMMYFUNCTION("""COMPUTED_VALUE"""),2.0)</f>
        <v>2</v>
      </c>
      <c r="AA2433" s="124" t="str">
        <f>IFERROR(__xludf.DUMMYFUNCTION("""COMPUTED_VALUE"""),"Cold")</f>
        <v>Cold</v>
      </c>
      <c r="AB2433" s="124" t="str">
        <f>IFERROR(__xludf.DUMMYFUNCTION("""COMPUTED_VALUE"""),"State PCS")</f>
        <v>State PCS</v>
      </c>
    </row>
    <row r="2434">
      <c r="K2434" s="124"/>
      <c r="L2434" s="124"/>
      <c r="M2434" s="124"/>
      <c r="N2434" s="124"/>
      <c r="O2434" s="124"/>
      <c r="T2434" s="126">
        <f>IFERROR(__xludf.DUMMYFUNCTION("""COMPUTED_VALUE"""),46079.0)</f>
        <v>46079</v>
      </c>
      <c r="U2434" s="124" t="str">
        <f>IFERROR(__xludf.DUMMYFUNCTION("""COMPUTED_VALUE"""),"Publisher Campaign")</f>
        <v>Publisher Campaign</v>
      </c>
      <c r="V2434" s="124" t="str">
        <f>IFERROR(__xludf.DUMMYFUNCTION("""COMPUTED_VALUE"""),"Webinar")</f>
        <v>Webinar</v>
      </c>
      <c r="W2434" s="124"/>
      <c r="X2434" s="124"/>
      <c r="Y2434" s="124" t="str">
        <f>IFERROR(__xludf.DUMMYFUNCTION("""COMPUTED_VALUE"""),"Patna")</f>
        <v>Patna</v>
      </c>
      <c r="Z2434" s="124">
        <f>IFERROR(__xludf.DUMMYFUNCTION("""COMPUTED_VALUE"""),1.0)</f>
        <v>1</v>
      </c>
      <c r="AA2434" s="124" t="str">
        <f>IFERROR(__xludf.DUMMYFUNCTION("""COMPUTED_VALUE"""),"Cold")</f>
        <v>Cold</v>
      </c>
      <c r="AB2434" s="124" t="str">
        <f>IFERROR(__xludf.DUMMYFUNCTION("""COMPUTED_VALUE"""),"Optionals")</f>
        <v>Optionals</v>
      </c>
    </row>
    <row r="2435">
      <c r="K2435" s="124"/>
      <c r="L2435" s="124"/>
      <c r="M2435" s="124"/>
      <c r="N2435" s="124"/>
      <c r="O2435" s="124"/>
      <c r="T2435" s="129">
        <f>IFERROR(__xludf.DUMMYFUNCTION("""COMPUTED_VALUE"""),46078.0)</f>
        <v>46078</v>
      </c>
      <c r="U2435" s="124" t="str">
        <f>IFERROR(__xludf.DUMMYFUNCTION("""COMPUTED_VALUE"""),"Publisher Campaign")</f>
        <v>Publisher Campaign</v>
      </c>
      <c r="V2435" s="124" t="str">
        <f>IFERROR(__xludf.DUMMYFUNCTION("""COMPUTED_VALUE"""),"Webinar")</f>
        <v>Webinar</v>
      </c>
      <c r="W2435" s="124"/>
      <c r="X2435" s="124"/>
      <c r="Y2435" s="124" t="str">
        <f>IFERROR(__xludf.DUMMYFUNCTION("""COMPUTED_VALUE"""),"Delhi")</f>
        <v>Delhi</v>
      </c>
      <c r="Z2435" s="124">
        <f>IFERROR(__xludf.DUMMYFUNCTION("""COMPUTED_VALUE"""),1.0)</f>
        <v>1</v>
      </c>
      <c r="AA2435" s="124" t="str">
        <f>IFERROR(__xludf.DUMMYFUNCTION("""COMPUTED_VALUE"""),"Warm")</f>
        <v>Warm</v>
      </c>
      <c r="AB2435" s="124" t="str">
        <f>IFERROR(__xludf.DUMMYFUNCTION("""COMPUTED_VALUE"""),"Other")</f>
        <v>Other</v>
      </c>
    </row>
    <row r="2436">
      <c r="K2436" s="124"/>
      <c r="L2436" s="124"/>
      <c r="M2436" s="124"/>
      <c r="N2436" s="124"/>
      <c r="O2436" s="124"/>
      <c r="T2436" s="129">
        <f>IFERROR(__xludf.DUMMYFUNCTION("""COMPUTED_VALUE"""),46046.0)</f>
        <v>46046</v>
      </c>
      <c r="U2436" s="124" t="str">
        <f>IFERROR(__xludf.DUMMYFUNCTION("""COMPUTED_VALUE"""),"External Leads")</f>
        <v>External Leads</v>
      </c>
      <c r="V2436" s="124" t="str">
        <f>IFERROR(__xludf.DUMMYFUNCTION("""COMPUTED_VALUE"""),"external leads")</f>
        <v>external leads</v>
      </c>
      <c r="W2436" s="124"/>
      <c r="X2436" s="124"/>
      <c r="Y2436" s="124"/>
      <c r="Z2436" s="124">
        <f>IFERROR(__xludf.DUMMYFUNCTION("""COMPUTED_VALUE"""),1.0)</f>
        <v>1</v>
      </c>
      <c r="AA2436" s="124" t="str">
        <f>IFERROR(__xludf.DUMMYFUNCTION("""COMPUTED_VALUE"""),"Not Interested")</f>
        <v>Not Interested</v>
      </c>
      <c r="AB2436" s="124"/>
    </row>
    <row r="2437">
      <c r="K2437" s="124"/>
      <c r="L2437" s="124"/>
      <c r="M2437" s="124"/>
      <c r="N2437" s="124"/>
      <c r="O2437" s="124"/>
      <c r="T2437" s="129">
        <f>IFERROR(__xludf.DUMMYFUNCTION("""COMPUTED_VALUE"""),46087.0)</f>
        <v>46087</v>
      </c>
      <c r="U2437" s="124" t="str">
        <f>IFERROR(__xludf.DUMMYFUNCTION("""COMPUTED_VALUE"""),"Publisher Campaign")</f>
        <v>Publisher Campaign</v>
      </c>
      <c r="V2437" s="124" t="str">
        <f>IFERROR(__xludf.DUMMYFUNCTION("""COMPUTED_VALUE"""),"BTL Activities")</f>
        <v>BTL Activities</v>
      </c>
      <c r="W2437" s="124"/>
      <c r="X2437" s="124"/>
      <c r="Y2437" s="124" t="str">
        <f>IFERROR(__xludf.DUMMYFUNCTION("""COMPUTED_VALUE"""),"Indore")</f>
        <v>Indore</v>
      </c>
      <c r="Z2437" s="124">
        <f>IFERROR(__xludf.DUMMYFUNCTION("""COMPUTED_VALUE"""),1.0)</f>
        <v>1</v>
      </c>
      <c r="AA2437" s="124" t="str">
        <f>IFERROR(__xludf.DUMMYFUNCTION("""COMPUTED_VALUE"""),"Cold")</f>
        <v>Cold</v>
      </c>
      <c r="AB2437" s="124" t="str">
        <f>IFERROR(__xludf.DUMMYFUNCTION("""COMPUTED_VALUE"""),"GS Foundation")</f>
        <v>GS Foundation</v>
      </c>
    </row>
    <row r="2438">
      <c r="K2438" s="124"/>
      <c r="L2438" s="124"/>
      <c r="M2438" s="124"/>
      <c r="N2438" s="124"/>
      <c r="O2438" s="124"/>
      <c r="T2438" s="126">
        <f>IFERROR(__xludf.DUMMYFUNCTION("""COMPUTED_VALUE"""),46095.0)</f>
        <v>46095</v>
      </c>
      <c r="U2438" s="124" t="str">
        <f>IFERROR(__xludf.DUMMYFUNCTION("""COMPUTED_VALUE"""),"Publisher Campaign")</f>
        <v>Publisher Campaign</v>
      </c>
      <c r="V2438" s="124" t="str">
        <f>IFERROR(__xludf.DUMMYFUNCTION("""COMPUTED_VALUE"""),"BTL Activities")</f>
        <v>BTL Activities</v>
      </c>
      <c r="W2438" s="124"/>
      <c r="X2438" s="124"/>
      <c r="Y2438" s="124" t="str">
        <f>IFERROR(__xludf.DUMMYFUNCTION("""COMPUTED_VALUE"""),"Prayagraj")</f>
        <v>Prayagraj</v>
      </c>
      <c r="Z2438" s="124">
        <f>IFERROR(__xludf.DUMMYFUNCTION("""COMPUTED_VALUE"""),1.0)</f>
        <v>1</v>
      </c>
      <c r="AA2438" s="124" t="str">
        <f>IFERROR(__xludf.DUMMYFUNCTION("""COMPUTED_VALUE"""),"Enrolled")</f>
        <v>Enrolled</v>
      </c>
      <c r="AB2438" s="124" t="str">
        <f>IFERROR(__xludf.DUMMYFUNCTION("""COMPUTED_VALUE"""),"State PCS")</f>
        <v>State PCS</v>
      </c>
    </row>
    <row r="2439">
      <c r="K2439" s="124"/>
      <c r="L2439" s="124"/>
      <c r="M2439" s="124"/>
      <c r="N2439" s="124"/>
      <c r="O2439" s="124"/>
      <c r="T2439" s="126">
        <f>IFERROR(__xludf.DUMMYFUNCTION("""COMPUTED_VALUE"""),46076.0)</f>
        <v>46076</v>
      </c>
      <c r="U2439" s="124" t="str">
        <f>IFERROR(__xludf.DUMMYFUNCTION("""COMPUTED_VALUE"""),"Publisher Campaign")</f>
        <v>Publisher Campaign</v>
      </c>
      <c r="V2439" s="124" t="str">
        <f>IFERROR(__xludf.DUMMYFUNCTION("""COMPUTED_VALUE"""),"Webinar")</f>
        <v>Webinar</v>
      </c>
      <c r="W2439" s="124"/>
      <c r="X2439" s="124"/>
      <c r="Y2439" s="124" t="str">
        <f>IFERROR(__xludf.DUMMYFUNCTION("""COMPUTED_VALUE"""),"Delhi")</f>
        <v>Delhi</v>
      </c>
      <c r="Z2439" s="124">
        <f>IFERROR(__xludf.DUMMYFUNCTION("""COMPUTED_VALUE"""),3.0)</f>
        <v>3</v>
      </c>
      <c r="AA2439" s="124" t="str">
        <f>IFERROR(__xludf.DUMMYFUNCTION("""COMPUTED_VALUE"""),"Not Interested")</f>
        <v>Not Interested</v>
      </c>
      <c r="AB2439" s="124" t="str">
        <f>IFERROR(__xludf.DUMMYFUNCTION("""COMPUTED_VALUE"""),"Other")</f>
        <v>Other</v>
      </c>
    </row>
    <row r="2440">
      <c r="K2440" s="124"/>
      <c r="L2440" s="124"/>
      <c r="M2440" s="124"/>
      <c r="N2440" s="124"/>
      <c r="O2440" s="124"/>
      <c r="T2440" s="126">
        <f>IFERROR(__xludf.DUMMYFUNCTION("""COMPUTED_VALUE"""),46097.0)</f>
        <v>46097</v>
      </c>
      <c r="U2440" s="124" t="str">
        <f>IFERROR(__xludf.DUMMYFUNCTION("""COMPUTED_VALUE"""),"Libraries")</f>
        <v>Libraries</v>
      </c>
      <c r="V2440" s="124" t="str">
        <f>IFERROR(__xludf.DUMMYFUNCTION("""COMPUTED_VALUE"""),"Libraries")</f>
        <v>Libraries</v>
      </c>
      <c r="W2440" s="124"/>
      <c r="X2440" s="124"/>
      <c r="Y2440" s="124" t="str">
        <f>IFERROR(__xludf.DUMMYFUNCTION("""COMPUTED_VALUE"""),"Prayagraj")</f>
        <v>Prayagraj</v>
      </c>
      <c r="Z2440" s="124">
        <f>IFERROR(__xludf.DUMMYFUNCTION("""COMPUTED_VALUE"""),1.0)</f>
        <v>1</v>
      </c>
      <c r="AA2440" s="124" t="str">
        <f>IFERROR(__xludf.DUMMYFUNCTION("""COMPUTED_VALUE"""),"Enrolled")</f>
        <v>Enrolled</v>
      </c>
      <c r="AB2440" s="124" t="str">
        <f>IFERROR(__xludf.DUMMYFUNCTION("""COMPUTED_VALUE"""),"GS Foundation")</f>
        <v>GS Foundation</v>
      </c>
    </row>
    <row r="2441">
      <c r="K2441" s="124"/>
      <c r="L2441" s="124"/>
      <c r="M2441" s="124"/>
      <c r="N2441" s="124"/>
      <c r="O2441" s="124"/>
      <c r="T2441" s="129">
        <f>IFERROR(__xludf.DUMMYFUNCTION("""COMPUTED_VALUE"""),46060.0)</f>
        <v>46060</v>
      </c>
      <c r="U2441" s="124" t="str">
        <f>IFERROR(__xludf.DUMMYFUNCTION("""COMPUTED_VALUE"""),"Publisher Campaign")</f>
        <v>Publisher Campaign</v>
      </c>
      <c r="V2441" s="124" t="str">
        <f>IFERROR(__xludf.DUMMYFUNCTION("""COMPUTED_VALUE"""),"Webinar")</f>
        <v>Webinar</v>
      </c>
      <c r="W2441" s="124"/>
      <c r="X2441" s="124"/>
      <c r="Y2441" s="124" t="str">
        <f>IFERROR(__xludf.DUMMYFUNCTION("""COMPUTED_VALUE"""),"Delhi")</f>
        <v>Delhi</v>
      </c>
      <c r="Z2441" s="124">
        <f>IFERROR(__xludf.DUMMYFUNCTION("""COMPUTED_VALUE"""),1.0)</f>
        <v>1</v>
      </c>
      <c r="AA2441" s="124" t="str">
        <f>IFERROR(__xludf.DUMMYFUNCTION("""COMPUTED_VALUE"""),"Fake Lead")</f>
        <v>Fake Lead</v>
      </c>
      <c r="AB2441" s="124" t="str">
        <f>IFERROR(__xludf.DUMMYFUNCTION("""COMPUTED_VALUE"""),"Optionals")</f>
        <v>Optionals</v>
      </c>
    </row>
    <row r="2442">
      <c r="K2442" s="124"/>
      <c r="L2442" s="124"/>
      <c r="M2442" s="124"/>
      <c r="N2442" s="124"/>
      <c r="O2442" s="124"/>
      <c r="T2442" s="129">
        <f>IFERROR(__xludf.DUMMYFUNCTION("""COMPUTED_VALUE"""),46070.0)</f>
        <v>46070</v>
      </c>
      <c r="U2442" s="124" t="str">
        <f>IFERROR(__xludf.DUMMYFUNCTION("""COMPUTED_VALUE"""),"Publisher Campaign")</f>
        <v>Publisher Campaign</v>
      </c>
      <c r="V2442" s="124" t="str">
        <f>IFERROR(__xludf.DUMMYFUNCTION("""COMPUTED_VALUE"""),"BTL Activities")</f>
        <v>BTL Activities</v>
      </c>
      <c r="W2442" s="124"/>
      <c r="X2442" s="124"/>
      <c r="Y2442" s="124" t="str">
        <f>IFERROR(__xludf.DUMMYFUNCTION("""COMPUTED_VALUE"""),"Indore")</f>
        <v>Indore</v>
      </c>
      <c r="Z2442" s="124">
        <f>IFERROR(__xludf.DUMMYFUNCTION("""COMPUTED_VALUE"""),2.0)</f>
        <v>2</v>
      </c>
      <c r="AA2442" s="124" t="str">
        <f>IFERROR(__xludf.DUMMYFUNCTION("""COMPUTED_VALUE"""),"Cold")</f>
        <v>Cold</v>
      </c>
      <c r="AB2442" s="124" t="str">
        <f>IFERROR(__xludf.DUMMYFUNCTION("""COMPUTED_VALUE"""),"State PCS")</f>
        <v>State PCS</v>
      </c>
    </row>
    <row r="2443">
      <c r="K2443" s="124"/>
      <c r="L2443" s="124"/>
      <c r="M2443" s="124"/>
      <c r="N2443" s="124"/>
      <c r="O2443" s="124"/>
      <c r="T2443" s="126">
        <f>IFERROR(__xludf.DUMMYFUNCTION("""COMPUTED_VALUE"""),46079.0)</f>
        <v>46079</v>
      </c>
      <c r="U2443" s="124" t="str">
        <f>IFERROR(__xludf.DUMMYFUNCTION("""COMPUTED_VALUE"""),"Publisher Campaign")</f>
        <v>Publisher Campaign</v>
      </c>
      <c r="V2443" s="124" t="str">
        <f>IFERROR(__xludf.DUMMYFUNCTION("""COMPUTED_VALUE"""),"Webinar")</f>
        <v>Webinar</v>
      </c>
      <c r="W2443" s="124"/>
      <c r="X2443" s="124"/>
      <c r="Y2443" s="124" t="str">
        <f>IFERROR(__xludf.DUMMYFUNCTION("""COMPUTED_VALUE"""),"Patna")</f>
        <v>Patna</v>
      </c>
      <c r="Z2443" s="124">
        <f>IFERROR(__xludf.DUMMYFUNCTION("""COMPUTED_VALUE"""),2.0)</f>
        <v>2</v>
      </c>
      <c r="AA2443" s="124" t="str">
        <f>IFERROR(__xludf.DUMMYFUNCTION("""COMPUTED_VALUE"""),"Cold")</f>
        <v>Cold</v>
      </c>
      <c r="AB2443" s="124" t="str">
        <f>IFERROR(__xludf.DUMMYFUNCTION("""COMPUTED_VALUE"""),"GS Foundation")</f>
        <v>GS Foundation</v>
      </c>
    </row>
    <row r="2444">
      <c r="K2444" s="124"/>
      <c r="L2444" s="124"/>
      <c r="M2444" s="124"/>
      <c r="N2444" s="124"/>
      <c r="O2444" s="124"/>
      <c r="T2444" s="126">
        <f>IFERROR(__xludf.DUMMYFUNCTION("""COMPUTED_VALUE"""),46092.0)</f>
        <v>46092</v>
      </c>
      <c r="U2444" s="124" t="str">
        <f>IFERROR(__xludf.DUMMYFUNCTION("""COMPUTED_VALUE"""),"Walk-Ins")</f>
        <v>Walk-Ins</v>
      </c>
      <c r="V2444" s="124" t="str">
        <f>IFERROR(__xludf.DUMMYFUNCTION("""COMPUTED_VALUE"""),"Walk-In")</f>
        <v>Walk-In</v>
      </c>
      <c r="W2444" s="124" t="str">
        <f>IFERROR(__xludf.DUMMYFUNCTION("""COMPUTED_VALUE"""),"Delhi")</f>
        <v>Delhi</v>
      </c>
      <c r="X2444" s="124" t="str">
        <f>IFERROR(__xludf.DUMMYFUNCTION("""COMPUTED_VALUE"""),"Missbah")</f>
        <v>Missbah</v>
      </c>
      <c r="Y2444" s="124" t="str">
        <f>IFERROR(__xludf.DUMMYFUNCTION("""COMPUTED_VALUE"""),"Delhi")</f>
        <v>Delhi</v>
      </c>
      <c r="Z2444" s="124">
        <f>IFERROR(__xludf.DUMMYFUNCTION("""COMPUTED_VALUE"""),1.0)</f>
        <v>1</v>
      </c>
      <c r="AA2444" s="124" t="str">
        <f>IFERROR(__xludf.DUMMYFUNCTION("""COMPUTED_VALUE"""),"Not Interested")</f>
        <v>Not Interested</v>
      </c>
      <c r="AB2444" s="124" t="str">
        <f>IFERROR(__xludf.DUMMYFUNCTION("""COMPUTED_VALUE"""),"GS Foundation")</f>
        <v>GS Foundation</v>
      </c>
    </row>
    <row r="2445">
      <c r="K2445" s="124"/>
      <c r="L2445" s="124"/>
      <c r="M2445" s="124"/>
      <c r="N2445" s="124"/>
      <c r="O2445" s="124"/>
      <c r="T2445" s="126">
        <f>IFERROR(__xludf.DUMMYFUNCTION("""COMPUTED_VALUE"""),46098.0)</f>
        <v>46098</v>
      </c>
      <c r="U2445" s="124" t="str">
        <f>IFERROR(__xludf.DUMMYFUNCTION("""COMPUTED_VALUE"""),"Libraries")</f>
        <v>Libraries</v>
      </c>
      <c r="V2445" s="124" t="str">
        <f>IFERROR(__xludf.DUMMYFUNCTION("""COMPUTED_VALUE"""),"Libraries")</f>
        <v>Libraries</v>
      </c>
      <c r="W2445" s="124"/>
      <c r="X2445" s="124"/>
      <c r="Y2445" s="124" t="str">
        <f>IFERROR(__xludf.DUMMYFUNCTION("""COMPUTED_VALUE"""),"Prayagraj")</f>
        <v>Prayagraj</v>
      </c>
      <c r="Z2445" s="124">
        <f>IFERROR(__xludf.DUMMYFUNCTION("""COMPUTED_VALUE"""),1.0)</f>
        <v>1</v>
      </c>
      <c r="AA2445" s="124" t="str">
        <f>IFERROR(__xludf.DUMMYFUNCTION("""COMPUTED_VALUE"""),"Cold")</f>
        <v>Cold</v>
      </c>
      <c r="AB2445" s="124" t="str">
        <f>IFERROR(__xludf.DUMMYFUNCTION("""COMPUTED_VALUE"""),"GS Foundation")</f>
        <v>GS Foundation</v>
      </c>
    </row>
    <row r="2446">
      <c r="K2446" s="124"/>
      <c r="L2446" s="124"/>
      <c r="M2446" s="124"/>
      <c r="N2446" s="124"/>
      <c r="O2446" s="124"/>
      <c r="T2446" s="126">
        <f>IFERROR(__xludf.DUMMYFUNCTION("""COMPUTED_VALUE"""),46080.0)</f>
        <v>46080</v>
      </c>
      <c r="U2446" s="124" t="str">
        <f>IFERROR(__xludf.DUMMYFUNCTION("""COMPUTED_VALUE"""),"Publisher Campaign")</f>
        <v>Publisher Campaign</v>
      </c>
      <c r="V2446" s="124" t="str">
        <f>IFERROR(__xludf.DUMMYFUNCTION("""COMPUTED_VALUE"""),"Webinar")</f>
        <v>Webinar</v>
      </c>
      <c r="W2446" s="124"/>
      <c r="X2446" s="124"/>
      <c r="Y2446" s="124" t="str">
        <f>IFERROR(__xludf.DUMMYFUNCTION("""COMPUTED_VALUE"""),"Lucknow")</f>
        <v>Lucknow</v>
      </c>
      <c r="Z2446" s="124">
        <f>IFERROR(__xludf.DUMMYFUNCTION("""COMPUTED_VALUE"""),1.0)</f>
        <v>1</v>
      </c>
      <c r="AA2446" s="124" t="str">
        <f>IFERROR(__xludf.DUMMYFUNCTION("""COMPUTED_VALUE"""),"Cold")</f>
        <v>Cold</v>
      </c>
      <c r="AB2446" s="124" t="str">
        <f>IFERROR(__xludf.DUMMYFUNCTION("""COMPUTED_VALUE"""),"IGP UPPSC")</f>
        <v>IGP UPPSC</v>
      </c>
    </row>
    <row r="2447">
      <c r="K2447" s="124"/>
      <c r="L2447" s="124"/>
      <c r="M2447" s="124"/>
      <c r="N2447" s="124"/>
      <c r="O2447" s="124"/>
      <c r="T2447" s="129">
        <f>IFERROR(__xludf.DUMMYFUNCTION("""COMPUTED_VALUE"""),46060.0)</f>
        <v>46060</v>
      </c>
      <c r="U2447" s="124" t="str">
        <f>IFERROR(__xludf.DUMMYFUNCTION("""COMPUTED_VALUE"""),"Publisher Campaign")</f>
        <v>Publisher Campaign</v>
      </c>
      <c r="V2447" s="124" t="str">
        <f>IFERROR(__xludf.DUMMYFUNCTION("""COMPUTED_VALUE"""),"Webinar")</f>
        <v>Webinar</v>
      </c>
      <c r="W2447" s="124"/>
      <c r="X2447" s="124"/>
      <c r="Y2447" s="124" t="str">
        <f>IFERROR(__xludf.DUMMYFUNCTION("""COMPUTED_VALUE"""),"Delhi")</f>
        <v>Delhi</v>
      </c>
      <c r="Z2447" s="124">
        <f>IFERROR(__xludf.DUMMYFUNCTION("""COMPUTED_VALUE"""),1.0)</f>
        <v>1</v>
      </c>
      <c r="AA2447" s="124" t="str">
        <f>IFERROR(__xludf.DUMMYFUNCTION("""COMPUTED_VALUE"""),"Fake Lead")</f>
        <v>Fake Lead</v>
      </c>
      <c r="AB2447" s="124" t="str">
        <f>IFERROR(__xludf.DUMMYFUNCTION("""COMPUTED_VALUE"""),"CSAT")</f>
        <v>CSAT</v>
      </c>
    </row>
    <row r="2448">
      <c r="K2448" s="124"/>
      <c r="L2448" s="124"/>
      <c r="M2448" s="124"/>
      <c r="N2448" s="124"/>
      <c r="O2448" s="124"/>
      <c r="T2448" s="129">
        <f>IFERROR(__xludf.DUMMYFUNCTION("""COMPUTED_VALUE"""),46068.0)</f>
        <v>46068</v>
      </c>
      <c r="U2448" s="124" t="str">
        <f>IFERROR(__xludf.DUMMYFUNCTION("""COMPUTED_VALUE"""),"Publisher Campaign")</f>
        <v>Publisher Campaign</v>
      </c>
      <c r="V2448" s="124" t="str">
        <f>IFERROR(__xludf.DUMMYFUNCTION("""COMPUTED_VALUE"""),"Webinar")</f>
        <v>Webinar</v>
      </c>
      <c r="W2448" s="124"/>
      <c r="X2448" s="124"/>
      <c r="Y2448" s="124" t="str">
        <f>IFERROR(__xludf.DUMMYFUNCTION("""COMPUTED_VALUE"""),"Delhi")</f>
        <v>Delhi</v>
      </c>
      <c r="Z2448" s="124">
        <f>IFERROR(__xludf.DUMMYFUNCTION("""COMPUTED_VALUE"""),2.0)</f>
        <v>2</v>
      </c>
      <c r="AA2448" s="124" t="str">
        <f>IFERROR(__xludf.DUMMYFUNCTION("""COMPUTED_VALUE"""),"Not Interested")</f>
        <v>Not Interested</v>
      </c>
      <c r="AB2448" s="124" t="str">
        <f>IFERROR(__xludf.DUMMYFUNCTION("""COMPUTED_VALUE"""),"CSAT")</f>
        <v>CSAT</v>
      </c>
    </row>
    <row r="2449">
      <c r="K2449" s="124"/>
      <c r="L2449" s="124"/>
      <c r="M2449" s="124"/>
      <c r="N2449" s="124"/>
      <c r="O2449" s="124"/>
      <c r="T2449" s="126">
        <f>IFERROR(__xludf.DUMMYFUNCTION("""COMPUTED_VALUE"""),46062.0)</f>
        <v>46062</v>
      </c>
      <c r="U2449" s="124" t="str">
        <f>IFERROR(__xludf.DUMMYFUNCTION("""COMPUTED_VALUE"""),"Publisher Campaign")</f>
        <v>Publisher Campaign</v>
      </c>
      <c r="V2449" s="124" t="str">
        <f>IFERROR(__xludf.DUMMYFUNCTION("""COMPUTED_VALUE"""),"Webinar")</f>
        <v>Webinar</v>
      </c>
      <c r="W2449" s="124"/>
      <c r="X2449" s="124"/>
      <c r="Y2449" s="124" t="str">
        <f>IFERROR(__xludf.DUMMYFUNCTION("""COMPUTED_VALUE"""),"Delhi")</f>
        <v>Delhi</v>
      </c>
      <c r="Z2449" s="124">
        <f>IFERROR(__xludf.DUMMYFUNCTION("""COMPUTED_VALUE"""),7.0)</f>
        <v>7</v>
      </c>
      <c r="AA2449" s="124" t="str">
        <f>IFERROR(__xludf.DUMMYFUNCTION("""COMPUTED_VALUE"""),"Cold")</f>
        <v>Cold</v>
      </c>
      <c r="AB2449" s="124" t="str">
        <f>IFERROR(__xludf.DUMMYFUNCTION("""COMPUTED_VALUE"""),"Test Series")</f>
        <v>Test Series</v>
      </c>
    </row>
    <row r="2450">
      <c r="K2450" s="124"/>
      <c r="L2450" s="124"/>
      <c r="M2450" s="124"/>
      <c r="N2450" s="124"/>
      <c r="O2450" s="124"/>
      <c r="T2450" s="126">
        <f>IFERROR(__xludf.DUMMYFUNCTION("""COMPUTED_VALUE"""),46050.0)</f>
        <v>46050</v>
      </c>
      <c r="U2450" s="124" t="str">
        <f>IFERROR(__xludf.DUMMYFUNCTION("""COMPUTED_VALUE"""),"External Leads")</f>
        <v>External Leads</v>
      </c>
      <c r="V2450" s="124" t="str">
        <f>IFERROR(__xludf.DUMMYFUNCTION("""COMPUTED_VALUE"""),"external leads")</f>
        <v>external leads</v>
      </c>
      <c r="W2450" s="124"/>
      <c r="X2450" s="124"/>
      <c r="Y2450" s="124" t="str">
        <f>IFERROR(__xludf.DUMMYFUNCTION("""COMPUTED_VALUE"""),"Delhi")</f>
        <v>Delhi</v>
      </c>
      <c r="Z2450" s="124">
        <f>IFERROR(__xludf.DUMMYFUNCTION("""COMPUTED_VALUE"""),1.0)</f>
        <v>1</v>
      </c>
      <c r="AA2450" s="124" t="str">
        <f>IFERROR(__xludf.DUMMYFUNCTION("""COMPUTED_VALUE"""),"Interested")</f>
        <v>Interested</v>
      </c>
      <c r="AB2450" s="124"/>
    </row>
    <row r="2451">
      <c r="K2451" s="124"/>
      <c r="L2451" s="124"/>
      <c r="M2451" s="124"/>
      <c r="N2451" s="124"/>
      <c r="O2451" s="124"/>
      <c r="T2451" s="126">
        <f>IFERROR(__xludf.DUMMYFUNCTION("""COMPUTED_VALUE"""),46098.0)</f>
        <v>46098</v>
      </c>
      <c r="U2451" s="124" t="str">
        <f>IFERROR(__xludf.DUMMYFUNCTION("""COMPUTED_VALUE"""),"Libraries")</f>
        <v>Libraries</v>
      </c>
      <c r="V2451" s="124" t="str">
        <f>IFERROR(__xludf.DUMMYFUNCTION("""COMPUTED_VALUE"""),"Libraries")</f>
        <v>Libraries</v>
      </c>
      <c r="W2451" s="124"/>
      <c r="X2451" s="124"/>
      <c r="Y2451" s="124" t="str">
        <f>IFERROR(__xludf.DUMMYFUNCTION("""COMPUTED_VALUE"""),"Prayagraj")</f>
        <v>Prayagraj</v>
      </c>
      <c r="Z2451" s="124">
        <f>IFERROR(__xludf.DUMMYFUNCTION("""COMPUTED_VALUE"""),1.0)</f>
        <v>1</v>
      </c>
      <c r="AA2451" s="124" t="str">
        <f>IFERROR(__xludf.DUMMYFUNCTION("""COMPUTED_VALUE"""),"Cold")</f>
        <v>Cold</v>
      </c>
      <c r="AB2451" s="124" t="str">
        <f>IFERROR(__xludf.DUMMYFUNCTION("""COMPUTED_VALUE"""),"Hybrid")</f>
        <v>Hybrid</v>
      </c>
    </row>
    <row r="2452">
      <c r="K2452" s="124"/>
      <c r="L2452" s="124"/>
      <c r="M2452" s="124"/>
      <c r="N2452" s="124"/>
      <c r="O2452" s="124"/>
      <c r="T2452" s="126">
        <f>IFERROR(__xludf.DUMMYFUNCTION("""COMPUTED_VALUE"""),46105.0)</f>
        <v>46105</v>
      </c>
      <c r="U2452" s="124" t="str">
        <f>IFERROR(__xludf.DUMMYFUNCTION("""COMPUTED_VALUE"""),"Walk-Ins")</f>
        <v>Walk-Ins</v>
      </c>
      <c r="V2452" s="124" t="str">
        <f>IFERROR(__xludf.DUMMYFUNCTION("""COMPUTED_VALUE"""),"Walkin")</f>
        <v>Walkin</v>
      </c>
      <c r="W2452" s="124" t="str">
        <f>IFERROR(__xludf.DUMMYFUNCTION("""COMPUTED_VALUE"""),"Delhi")</f>
        <v>Delhi</v>
      </c>
      <c r="X2452" s="124" t="str">
        <f>IFERROR(__xludf.DUMMYFUNCTION("""COMPUTED_VALUE"""),"walkin")</f>
        <v>walkin</v>
      </c>
      <c r="Y2452" s="124" t="str">
        <f>IFERROR(__xludf.DUMMYFUNCTION("""COMPUTED_VALUE"""),"Delhi")</f>
        <v>Delhi</v>
      </c>
      <c r="Z2452" s="124">
        <f>IFERROR(__xludf.DUMMYFUNCTION("""COMPUTED_VALUE"""),3.0)</f>
        <v>3</v>
      </c>
      <c r="AA2452" s="124" t="str">
        <f>IFERROR(__xludf.DUMMYFUNCTION("""COMPUTED_VALUE"""),"Warm")</f>
        <v>Warm</v>
      </c>
      <c r="AB2452" s="124" t="str">
        <f>IFERROR(__xludf.DUMMYFUNCTION("""COMPUTED_VALUE"""),"GS Foundation")</f>
        <v>GS Foundation</v>
      </c>
    </row>
    <row r="2453">
      <c r="K2453" s="124"/>
      <c r="L2453" s="124"/>
      <c r="M2453" s="124"/>
      <c r="N2453" s="124"/>
      <c r="O2453" s="124"/>
      <c r="T2453" s="126">
        <f>IFERROR(__xludf.DUMMYFUNCTION("""COMPUTED_VALUE"""),46058.0)</f>
        <v>46058</v>
      </c>
      <c r="U2453" s="124" t="str">
        <f>IFERROR(__xludf.DUMMYFUNCTION("""COMPUTED_VALUE"""),"Walk-Ins")</f>
        <v>Walk-Ins</v>
      </c>
      <c r="V2453" s="124" t="str">
        <f>IFERROR(__xludf.DUMMYFUNCTION("""COMPUTED_VALUE"""),"Walkin")</f>
        <v>Walkin</v>
      </c>
      <c r="W2453" s="124" t="str">
        <f>IFERROR(__xludf.DUMMYFUNCTION("""COMPUTED_VALUE"""),"Delhi")</f>
        <v>Delhi</v>
      </c>
      <c r="X2453" s="124" t="str">
        <f>IFERROR(__xludf.DUMMYFUNCTION("""COMPUTED_VALUE"""),"walkin")</f>
        <v>walkin</v>
      </c>
      <c r="Y2453" s="124" t="str">
        <f>IFERROR(__xludf.DUMMYFUNCTION("""COMPUTED_VALUE"""),"Delhi")</f>
        <v>Delhi</v>
      </c>
      <c r="Z2453" s="124">
        <f>IFERROR(__xludf.DUMMYFUNCTION("""COMPUTED_VALUE"""),2.0)</f>
        <v>2</v>
      </c>
      <c r="AA2453" s="124" t="str">
        <f>IFERROR(__xludf.DUMMYFUNCTION("""COMPUTED_VALUE"""),"Enrolled")</f>
        <v>Enrolled</v>
      </c>
      <c r="AB2453" s="124" t="str">
        <f>IFERROR(__xludf.DUMMYFUNCTION("""COMPUTED_VALUE"""),"GS Foundation")</f>
        <v>GS Foundation</v>
      </c>
    </row>
    <row r="2454">
      <c r="K2454" s="124"/>
      <c r="L2454" s="124"/>
      <c r="M2454" s="124"/>
      <c r="N2454" s="124"/>
      <c r="O2454" s="124"/>
      <c r="T2454" s="126">
        <f>IFERROR(__xludf.DUMMYFUNCTION("""COMPUTED_VALUE"""),46102.0)</f>
        <v>46102</v>
      </c>
      <c r="U2454" s="124" t="str">
        <f>IFERROR(__xludf.DUMMYFUNCTION("""COMPUTED_VALUE"""),"Walk-Ins")</f>
        <v>Walk-Ins</v>
      </c>
      <c r="V2454" s="124" t="str">
        <f>IFERROR(__xludf.DUMMYFUNCTION("""COMPUTED_VALUE"""),"Walkin")</f>
        <v>Walkin</v>
      </c>
      <c r="W2454" s="124" t="str">
        <f>IFERROR(__xludf.DUMMYFUNCTION("""COMPUTED_VALUE"""),"Delhi")</f>
        <v>Delhi</v>
      </c>
      <c r="X2454" s="124" t="str">
        <f>IFERROR(__xludf.DUMMYFUNCTION("""COMPUTED_VALUE"""),"walkin")</f>
        <v>walkin</v>
      </c>
      <c r="Y2454" s="124" t="str">
        <f>IFERROR(__xludf.DUMMYFUNCTION("""COMPUTED_VALUE"""),"Delhi")</f>
        <v>Delhi</v>
      </c>
      <c r="Z2454" s="124">
        <f>IFERROR(__xludf.DUMMYFUNCTION("""COMPUTED_VALUE"""),1.0)</f>
        <v>1</v>
      </c>
      <c r="AA2454" s="124" t="str">
        <f>IFERROR(__xludf.DUMMYFUNCTION("""COMPUTED_VALUE"""),"Enrolled")</f>
        <v>Enrolled</v>
      </c>
      <c r="AB2454" s="124" t="str">
        <f>IFERROR(__xludf.DUMMYFUNCTION("""COMPUTED_VALUE"""),"GS Foundation")</f>
        <v>GS Foundation</v>
      </c>
    </row>
    <row r="2455">
      <c r="K2455" s="124"/>
      <c r="L2455" s="124"/>
      <c r="M2455" s="124"/>
      <c r="N2455" s="124"/>
      <c r="O2455" s="124"/>
      <c r="T2455" s="129">
        <f>IFERROR(__xludf.DUMMYFUNCTION("""COMPUTED_VALUE"""),46055.0)</f>
        <v>46055</v>
      </c>
      <c r="U2455" s="124" t="str">
        <f>IFERROR(__xludf.DUMMYFUNCTION("""COMPUTED_VALUE"""),"Walk-Ins")</f>
        <v>Walk-Ins</v>
      </c>
      <c r="V2455" s="124" t="str">
        <f>IFERROR(__xludf.DUMMYFUNCTION("""COMPUTED_VALUE"""),"Walkin")</f>
        <v>Walkin</v>
      </c>
      <c r="W2455" s="124" t="str">
        <f>IFERROR(__xludf.DUMMYFUNCTION("""COMPUTED_VALUE"""),"Delhi")</f>
        <v>Delhi</v>
      </c>
      <c r="X2455" s="124" t="str">
        <f>IFERROR(__xludf.DUMMYFUNCTION("""COMPUTED_VALUE"""),"walkin")</f>
        <v>walkin</v>
      </c>
      <c r="Y2455" s="124" t="str">
        <f>IFERROR(__xludf.DUMMYFUNCTION("""COMPUTED_VALUE"""),"Delhi")</f>
        <v>Delhi</v>
      </c>
      <c r="Z2455" s="124">
        <f>IFERROR(__xludf.DUMMYFUNCTION("""COMPUTED_VALUE"""),1.0)</f>
        <v>1</v>
      </c>
      <c r="AA2455" s="124" t="str">
        <f>IFERROR(__xludf.DUMMYFUNCTION("""COMPUTED_VALUE"""),"Fake Lead")</f>
        <v>Fake Lead</v>
      </c>
      <c r="AB2455" s="124" t="str">
        <f>IFERROR(__xludf.DUMMYFUNCTION("""COMPUTED_VALUE"""),"GS Foundation")</f>
        <v>GS Foundation</v>
      </c>
    </row>
    <row r="2456">
      <c r="K2456" s="124"/>
      <c r="L2456" s="124"/>
      <c r="M2456" s="124"/>
      <c r="N2456" s="124"/>
      <c r="O2456" s="124"/>
      <c r="T2456" s="129">
        <f>IFERROR(__xludf.DUMMYFUNCTION("""COMPUTED_VALUE"""),46107.0)</f>
        <v>46107</v>
      </c>
      <c r="U2456" s="124" t="str">
        <f>IFERROR(__xludf.DUMMYFUNCTION("""COMPUTED_VALUE"""),"Walk-Ins")</f>
        <v>Walk-Ins</v>
      </c>
      <c r="V2456" s="124" t="str">
        <f>IFERROR(__xludf.DUMMYFUNCTION("""COMPUTED_VALUE"""),"Walkin")</f>
        <v>Walkin</v>
      </c>
      <c r="W2456" s="124" t="str">
        <f>IFERROR(__xludf.DUMMYFUNCTION("""COMPUTED_VALUE"""),"Delhi")</f>
        <v>Delhi</v>
      </c>
      <c r="X2456" s="124" t="str">
        <f>IFERROR(__xludf.DUMMYFUNCTION("""COMPUTED_VALUE"""),"walkin")</f>
        <v>walkin</v>
      </c>
      <c r="Y2456" s="124" t="str">
        <f>IFERROR(__xludf.DUMMYFUNCTION("""COMPUTED_VALUE"""),"Delhi")</f>
        <v>Delhi</v>
      </c>
      <c r="Z2456" s="124">
        <f>IFERROR(__xludf.DUMMYFUNCTION("""COMPUTED_VALUE"""),1.0)</f>
        <v>1</v>
      </c>
      <c r="AA2456" s="124" t="str">
        <f>IFERROR(__xludf.DUMMYFUNCTION("""COMPUTED_VALUE"""),"Not Interested")</f>
        <v>Not Interested</v>
      </c>
      <c r="AB2456" s="124" t="str">
        <f>IFERROR(__xludf.DUMMYFUNCTION("""COMPUTED_VALUE"""),"GS Foundation")</f>
        <v>GS Foundation</v>
      </c>
    </row>
    <row r="2457">
      <c r="K2457" s="124"/>
      <c r="L2457" s="124"/>
      <c r="M2457" s="124"/>
      <c r="N2457" s="124"/>
      <c r="O2457" s="124"/>
      <c r="T2457" s="129">
        <f>IFERROR(__xludf.DUMMYFUNCTION("""COMPUTED_VALUE"""),46049.0)</f>
        <v>46049</v>
      </c>
      <c r="U2457" s="124" t="str">
        <f>IFERROR(__xludf.DUMMYFUNCTION("""COMPUTED_VALUE"""),"External Leads")</f>
        <v>External Leads</v>
      </c>
      <c r="V2457" s="124" t="str">
        <f>IFERROR(__xludf.DUMMYFUNCTION("""COMPUTED_VALUE"""),"external leads")</f>
        <v>external leads</v>
      </c>
      <c r="W2457" s="124" t="str">
        <f>IFERROR(__xludf.DUMMYFUNCTION("""COMPUTED_VALUE"""),"prayagraj")</f>
        <v>prayagraj</v>
      </c>
      <c r="X2457" s="124" t="str">
        <f>IFERROR(__xludf.DUMMYFUNCTION("""COMPUTED_VALUE"""),"piyushunacademy")</f>
        <v>piyushunacademy</v>
      </c>
      <c r="Y2457" s="124" t="str">
        <f>IFERROR(__xludf.DUMMYFUNCTION("""COMPUTED_VALUE"""),"Prayagraj")</f>
        <v>Prayagraj</v>
      </c>
      <c r="Z2457" s="124">
        <f>IFERROR(__xludf.DUMMYFUNCTION("""COMPUTED_VALUE"""),1.0)</f>
        <v>1</v>
      </c>
      <c r="AA2457" s="124" t="str">
        <f>IFERROR(__xludf.DUMMYFUNCTION("""COMPUTED_VALUE"""),"Not Interested")</f>
        <v>Not Interested</v>
      </c>
      <c r="AB2457" s="124" t="str">
        <f>IFERROR(__xludf.DUMMYFUNCTION("""COMPUTED_VALUE"""),"State PCS")</f>
        <v>State PCS</v>
      </c>
    </row>
    <row r="2458">
      <c r="K2458" s="124"/>
      <c r="L2458" s="124"/>
      <c r="M2458" s="124"/>
      <c r="N2458" s="124"/>
      <c r="O2458" s="124"/>
      <c r="T2458" s="126">
        <f>IFERROR(__xludf.DUMMYFUNCTION("""COMPUTED_VALUE"""),46049.0)</f>
        <v>46049</v>
      </c>
      <c r="U2458" s="124" t="str">
        <f>IFERROR(__xludf.DUMMYFUNCTION("""COMPUTED_VALUE"""),"Walk-Ins")</f>
        <v>Walk-Ins</v>
      </c>
      <c r="V2458" s="124" t="str">
        <f>IFERROR(__xludf.DUMMYFUNCTION("""COMPUTED_VALUE"""),"Walkin")</f>
        <v>Walkin</v>
      </c>
      <c r="W2458" s="124" t="str">
        <f>IFERROR(__xludf.DUMMYFUNCTION("""COMPUTED_VALUE"""),"Delhi")</f>
        <v>Delhi</v>
      </c>
      <c r="X2458" s="124" t="str">
        <f>IFERROR(__xludf.DUMMYFUNCTION("""COMPUTED_VALUE"""),"walkin")</f>
        <v>walkin</v>
      </c>
      <c r="Y2458" s="124" t="str">
        <f>IFERROR(__xludf.DUMMYFUNCTION("""COMPUTED_VALUE"""),"Delhi")</f>
        <v>Delhi</v>
      </c>
      <c r="Z2458" s="124">
        <f>IFERROR(__xludf.DUMMYFUNCTION("""COMPUTED_VALUE"""),4.0)</f>
        <v>4</v>
      </c>
      <c r="AA2458" s="124" t="str">
        <f>IFERROR(__xludf.DUMMYFUNCTION("""COMPUTED_VALUE"""),"Not Interested")</f>
        <v>Not Interested</v>
      </c>
      <c r="AB2458" s="124" t="str">
        <f>IFERROR(__xludf.DUMMYFUNCTION("""COMPUTED_VALUE"""),"GS Foundation")</f>
        <v>GS Foundation</v>
      </c>
    </row>
    <row r="2459">
      <c r="K2459" s="124"/>
      <c r="L2459" s="124"/>
      <c r="M2459" s="124"/>
      <c r="N2459" s="124"/>
      <c r="O2459" s="124"/>
      <c r="T2459" s="126">
        <f>IFERROR(__xludf.DUMMYFUNCTION("""COMPUTED_VALUE"""),46063.0)</f>
        <v>46063</v>
      </c>
      <c r="U2459" s="124" t="str">
        <f>IFERROR(__xludf.DUMMYFUNCTION("""COMPUTED_VALUE"""),"Walk-Ins")</f>
        <v>Walk-Ins</v>
      </c>
      <c r="V2459" s="124" t="str">
        <f>IFERROR(__xludf.DUMMYFUNCTION("""COMPUTED_VALUE"""),"Walkin")</f>
        <v>Walkin</v>
      </c>
      <c r="W2459" s="124" t="str">
        <f>IFERROR(__xludf.DUMMYFUNCTION("""COMPUTED_VALUE"""),"Delhi")</f>
        <v>Delhi</v>
      </c>
      <c r="X2459" s="124" t="str">
        <f>IFERROR(__xludf.DUMMYFUNCTION("""COMPUTED_VALUE"""),"walkin")</f>
        <v>walkin</v>
      </c>
      <c r="Y2459" s="124" t="str">
        <f>IFERROR(__xludf.DUMMYFUNCTION("""COMPUTED_VALUE"""),"Delhi")</f>
        <v>Delhi</v>
      </c>
      <c r="Z2459" s="124">
        <f>IFERROR(__xludf.DUMMYFUNCTION("""COMPUTED_VALUE"""),1.0)</f>
        <v>1</v>
      </c>
      <c r="AA2459" s="124" t="str">
        <f>IFERROR(__xludf.DUMMYFUNCTION("""COMPUTED_VALUE"""),"Not Interested")</f>
        <v>Not Interested</v>
      </c>
      <c r="AB2459" s="124" t="str">
        <f>IFERROR(__xludf.DUMMYFUNCTION("""COMPUTED_VALUE"""),"Optionals")</f>
        <v>Optionals</v>
      </c>
    </row>
    <row r="2460">
      <c r="K2460" s="124"/>
      <c r="L2460" s="124"/>
      <c r="M2460" s="124"/>
      <c r="N2460" s="124"/>
      <c r="O2460" s="124"/>
      <c r="T2460" s="126">
        <f>IFERROR(__xludf.DUMMYFUNCTION("""COMPUTED_VALUE"""),46049.0)</f>
        <v>46049</v>
      </c>
      <c r="U2460" s="124" t="str">
        <f>IFERROR(__xludf.DUMMYFUNCTION("""COMPUTED_VALUE"""),"External Leads")</f>
        <v>External Leads</v>
      </c>
      <c r="V2460" s="124" t="str">
        <f>IFERROR(__xludf.DUMMYFUNCTION("""COMPUTED_VALUE"""),"external leads")</f>
        <v>external leads</v>
      </c>
      <c r="W2460" s="124" t="str">
        <f>IFERROR(__xludf.DUMMYFUNCTION("""COMPUTED_VALUE"""),"delhi")</f>
        <v>delhi</v>
      </c>
      <c r="X2460" s="124" t="str">
        <f>IFERROR(__xludf.DUMMYFUNCTION("""COMPUTED_VALUE"""),"piyushunacademy")</f>
        <v>piyushunacademy</v>
      </c>
      <c r="Y2460" s="124" t="str">
        <f>IFERROR(__xludf.DUMMYFUNCTION("""COMPUTED_VALUE"""),"Indore")</f>
        <v>Indore</v>
      </c>
      <c r="Z2460" s="124">
        <f>IFERROR(__xludf.DUMMYFUNCTION("""COMPUTED_VALUE"""),1.0)</f>
        <v>1</v>
      </c>
      <c r="AA2460" s="124"/>
      <c r="AB2460" s="124" t="str">
        <f>IFERROR(__xludf.DUMMYFUNCTION("""COMPUTED_VALUE"""),"GS Foundation")</f>
        <v>GS Foundation</v>
      </c>
    </row>
    <row r="2461">
      <c r="K2461" s="124"/>
      <c r="L2461" s="124"/>
      <c r="M2461" s="124"/>
      <c r="N2461" s="124"/>
      <c r="O2461" s="124"/>
      <c r="T2461" s="126">
        <f>IFERROR(__xludf.DUMMYFUNCTION("""COMPUTED_VALUE"""),46058.0)</f>
        <v>46058</v>
      </c>
      <c r="U2461" s="124" t="str">
        <f>IFERROR(__xludf.DUMMYFUNCTION("""COMPUTED_VALUE"""),"Walk-Ins")</f>
        <v>Walk-Ins</v>
      </c>
      <c r="V2461" s="124" t="str">
        <f>IFERROR(__xludf.DUMMYFUNCTION("""COMPUTED_VALUE"""),"Walkin")</f>
        <v>Walkin</v>
      </c>
      <c r="W2461" s="124" t="str">
        <f>IFERROR(__xludf.DUMMYFUNCTION("""COMPUTED_VALUE"""),"Delhi")</f>
        <v>Delhi</v>
      </c>
      <c r="X2461" s="124" t="str">
        <f>IFERROR(__xludf.DUMMYFUNCTION("""COMPUTED_VALUE"""),"walkin")</f>
        <v>walkin</v>
      </c>
      <c r="Y2461" s="124" t="str">
        <f>IFERROR(__xludf.DUMMYFUNCTION("""COMPUTED_VALUE"""),"Delhi")</f>
        <v>Delhi</v>
      </c>
      <c r="Z2461" s="124">
        <f>IFERROR(__xludf.DUMMYFUNCTION("""COMPUTED_VALUE"""),1.0)</f>
        <v>1</v>
      </c>
      <c r="AA2461" s="124" t="str">
        <f>IFERROR(__xludf.DUMMYFUNCTION("""COMPUTED_VALUE"""),"Future Prospects")</f>
        <v>Future Prospects</v>
      </c>
      <c r="AB2461" s="124" t="str">
        <f>IFERROR(__xludf.DUMMYFUNCTION("""COMPUTED_VALUE"""),"GS Foundation")</f>
        <v>GS Foundation</v>
      </c>
    </row>
    <row r="2462">
      <c r="K2462" s="124"/>
      <c r="L2462" s="124"/>
      <c r="M2462" s="124"/>
      <c r="N2462" s="124"/>
      <c r="O2462" s="124"/>
      <c r="T2462" s="126">
        <f>IFERROR(__xludf.DUMMYFUNCTION("""COMPUTED_VALUE"""),46087.0)</f>
        <v>46087</v>
      </c>
      <c r="U2462" s="124" t="str">
        <f>IFERROR(__xludf.DUMMYFUNCTION("""COMPUTED_VALUE"""),"Walk-Ins")</f>
        <v>Walk-Ins</v>
      </c>
      <c r="V2462" s="124" t="str">
        <f>IFERROR(__xludf.DUMMYFUNCTION("""COMPUTED_VALUE"""),"Walk-In")</f>
        <v>Walk-In</v>
      </c>
      <c r="W2462" s="124" t="str">
        <f>IFERROR(__xludf.DUMMYFUNCTION("""COMPUTED_VALUE"""),"Delhi")</f>
        <v>Delhi</v>
      </c>
      <c r="X2462" s="124" t="str">
        <f>IFERROR(__xludf.DUMMYFUNCTION("""COMPUTED_VALUE"""),"walkin")</f>
        <v>walkin</v>
      </c>
      <c r="Y2462" s="124" t="str">
        <f>IFERROR(__xludf.DUMMYFUNCTION("""COMPUTED_VALUE"""),"Delhi")</f>
        <v>Delhi</v>
      </c>
      <c r="Z2462" s="124">
        <f>IFERROR(__xludf.DUMMYFUNCTION("""COMPUTED_VALUE"""),1.0)</f>
        <v>1</v>
      </c>
      <c r="AA2462" s="124" t="str">
        <f>IFERROR(__xludf.DUMMYFUNCTION("""COMPUTED_VALUE"""),"Not Interested")</f>
        <v>Not Interested</v>
      </c>
      <c r="AB2462" s="124" t="str">
        <f>IFERROR(__xludf.DUMMYFUNCTION("""COMPUTED_VALUE"""),"GS Foundation")</f>
        <v>GS Foundation</v>
      </c>
    </row>
    <row r="2463">
      <c r="K2463" s="124"/>
      <c r="L2463" s="124"/>
      <c r="M2463" s="124"/>
      <c r="N2463" s="124"/>
      <c r="O2463" s="124"/>
      <c r="T2463" s="129">
        <f>IFERROR(__xludf.DUMMYFUNCTION("""COMPUTED_VALUE"""),46049.0)</f>
        <v>46049</v>
      </c>
      <c r="U2463" s="124" t="str">
        <f>IFERROR(__xludf.DUMMYFUNCTION("""COMPUTED_VALUE"""),"Walk-Ins")</f>
        <v>Walk-Ins</v>
      </c>
      <c r="V2463" s="124" t="str">
        <f>IFERROR(__xludf.DUMMYFUNCTION("""COMPUTED_VALUE"""),"Walk-In")</f>
        <v>Walk-In</v>
      </c>
      <c r="W2463" s="124" t="str">
        <f>IFERROR(__xludf.DUMMYFUNCTION("""COMPUTED_VALUE"""),"Prayagraj")</f>
        <v>Prayagraj</v>
      </c>
      <c r="X2463" s="124" t="str">
        <f>IFERROR(__xludf.DUMMYFUNCTION("""COMPUTED_VALUE"""),"Aditi")</f>
        <v>Aditi</v>
      </c>
      <c r="Y2463" s="124"/>
      <c r="Z2463" s="124">
        <f>IFERROR(__xludf.DUMMYFUNCTION("""COMPUTED_VALUE"""),2.0)</f>
        <v>2</v>
      </c>
      <c r="AA2463" s="124" t="str">
        <f>IFERROR(__xludf.DUMMYFUNCTION("""COMPUTED_VALUE"""),"Cold")</f>
        <v>Cold</v>
      </c>
      <c r="AB2463" s="124" t="str">
        <f>IFERROR(__xludf.DUMMYFUNCTION("""COMPUTED_VALUE"""),"GS Foundation")</f>
        <v>GS Foundation</v>
      </c>
    </row>
    <row r="2464">
      <c r="K2464" s="124"/>
      <c r="L2464" s="124"/>
      <c r="M2464" s="124"/>
      <c r="N2464" s="124"/>
      <c r="O2464" s="124"/>
      <c r="T2464" s="126">
        <f>IFERROR(__xludf.DUMMYFUNCTION("""COMPUTED_VALUE"""),46083.0)</f>
        <v>46083</v>
      </c>
      <c r="U2464" s="124" t="str">
        <f>IFERROR(__xludf.DUMMYFUNCTION("""COMPUTED_VALUE"""),"External Leads")</f>
        <v>External Leads</v>
      </c>
      <c r="V2464" s="124" t="str">
        <f>IFERROR(__xludf.DUMMYFUNCTION("""COMPUTED_VALUE"""),"external leads")</f>
        <v>external leads</v>
      </c>
      <c r="W2464" s="124" t="str">
        <f>IFERROR(__xludf.DUMMYFUNCTION("""COMPUTED_VALUE"""),"delhi")</f>
        <v>delhi</v>
      </c>
      <c r="X2464" s="124" t="str">
        <f>IFERROR(__xludf.DUMMYFUNCTION("""COMPUTED_VALUE"""),"unacademyretargeting")</f>
        <v>unacademyretargeting</v>
      </c>
      <c r="Y2464" s="124" t="str">
        <f>IFERROR(__xludf.DUMMYFUNCTION("""COMPUTED_VALUE"""),"Delhi")</f>
        <v>Delhi</v>
      </c>
      <c r="Z2464" s="124">
        <f>IFERROR(__xludf.DUMMYFUNCTION("""COMPUTED_VALUE"""),1.0)</f>
        <v>1</v>
      </c>
      <c r="AA2464" s="124" t="str">
        <f>IFERROR(__xludf.DUMMYFUNCTION("""COMPUTED_VALUE"""),"Fake Lead")</f>
        <v>Fake Lead</v>
      </c>
      <c r="AB2464" s="124"/>
    </row>
    <row r="2465">
      <c r="K2465" s="124"/>
      <c r="L2465" s="124"/>
      <c r="M2465" s="124"/>
      <c r="N2465" s="124"/>
      <c r="O2465" s="124"/>
      <c r="T2465" s="126">
        <f>IFERROR(__xludf.DUMMYFUNCTION("""COMPUTED_VALUE"""),46050.0)</f>
        <v>46050</v>
      </c>
      <c r="U2465" s="124" t="str">
        <f>IFERROR(__xludf.DUMMYFUNCTION("""COMPUTED_VALUE"""),"External Leads")</f>
        <v>External Leads</v>
      </c>
      <c r="V2465" s="124" t="str">
        <f>IFERROR(__xludf.DUMMYFUNCTION("""COMPUTED_VALUE"""),"external leads")</f>
        <v>external leads</v>
      </c>
      <c r="W2465" s="124" t="str">
        <f>IFERROR(__xludf.DUMMYFUNCTION("""COMPUTED_VALUE"""),"patna")</f>
        <v>patna</v>
      </c>
      <c r="X2465" s="124" t="str">
        <f>IFERROR(__xludf.DUMMYFUNCTION("""COMPUTED_VALUE"""),"piyushunacademy")</f>
        <v>piyushunacademy</v>
      </c>
      <c r="Y2465" s="124" t="str">
        <f>IFERROR(__xludf.DUMMYFUNCTION("""COMPUTED_VALUE"""),"Patna")</f>
        <v>Patna</v>
      </c>
      <c r="Z2465" s="124">
        <f>IFERROR(__xludf.DUMMYFUNCTION("""COMPUTED_VALUE"""),3.0)</f>
        <v>3</v>
      </c>
      <c r="AA2465" s="124" t="str">
        <f>IFERROR(__xludf.DUMMYFUNCTION("""COMPUTED_VALUE"""),"Warm")</f>
        <v>Warm</v>
      </c>
      <c r="AB2465" s="124"/>
    </row>
    <row r="2466">
      <c r="K2466" s="124"/>
      <c r="L2466" s="124"/>
      <c r="M2466" s="124"/>
      <c r="N2466" s="124"/>
      <c r="O2466" s="124"/>
      <c r="T2466" s="126">
        <f>IFERROR(__xludf.DUMMYFUNCTION("""COMPUTED_VALUE"""),46063.0)</f>
        <v>46063</v>
      </c>
      <c r="U2466" s="124" t="str">
        <f>IFERROR(__xludf.DUMMYFUNCTION("""COMPUTED_VALUE"""),"Walk-Ins")</f>
        <v>Walk-Ins</v>
      </c>
      <c r="V2466" s="124" t="str">
        <f>IFERROR(__xludf.DUMMYFUNCTION("""COMPUTED_VALUE"""),"Walkin")</f>
        <v>Walkin</v>
      </c>
      <c r="W2466" s="124" t="str">
        <f>IFERROR(__xludf.DUMMYFUNCTION("""COMPUTED_VALUE"""),"Delhi")</f>
        <v>Delhi</v>
      </c>
      <c r="X2466" s="124" t="str">
        <f>IFERROR(__xludf.DUMMYFUNCTION("""COMPUTED_VALUE"""),"walkin")</f>
        <v>walkin</v>
      </c>
      <c r="Y2466" s="124" t="str">
        <f>IFERROR(__xludf.DUMMYFUNCTION("""COMPUTED_VALUE"""),"Delhi")</f>
        <v>Delhi</v>
      </c>
      <c r="Z2466" s="124">
        <f>IFERROR(__xludf.DUMMYFUNCTION("""COMPUTED_VALUE"""),1.0)</f>
        <v>1</v>
      </c>
      <c r="AA2466" s="124" t="str">
        <f>IFERROR(__xludf.DUMMYFUNCTION("""COMPUTED_VALUE"""),"Fake Lead")</f>
        <v>Fake Lead</v>
      </c>
      <c r="AB2466" s="124" t="str">
        <f>IFERROR(__xludf.DUMMYFUNCTION("""COMPUTED_VALUE"""),"Other")</f>
        <v>Other</v>
      </c>
    </row>
    <row r="2467">
      <c r="K2467" s="124"/>
      <c r="L2467" s="124"/>
      <c r="M2467" s="124"/>
      <c r="N2467" s="124"/>
      <c r="O2467" s="124"/>
      <c r="T2467" s="129">
        <f>IFERROR(__xludf.DUMMYFUNCTION("""COMPUTED_VALUE"""),46081.0)</f>
        <v>46081</v>
      </c>
      <c r="U2467" s="124" t="str">
        <f>IFERROR(__xludf.DUMMYFUNCTION("""COMPUTED_VALUE"""),"Walk-Ins")</f>
        <v>Walk-Ins</v>
      </c>
      <c r="V2467" s="124" t="str">
        <f>IFERROR(__xludf.DUMMYFUNCTION("""COMPUTED_VALUE"""),"Walk-In")</f>
        <v>Walk-In</v>
      </c>
      <c r="W2467" s="124" t="str">
        <f>IFERROR(__xludf.DUMMYFUNCTION("""COMPUTED_VALUE"""),"Prayagraj")</f>
        <v>Prayagraj</v>
      </c>
      <c r="X2467" s="124" t="str">
        <f>IFERROR(__xludf.DUMMYFUNCTION("""COMPUTED_VALUE"""),"Aditi")</f>
        <v>Aditi</v>
      </c>
      <c r="Y2467" s="124"/>
      <c r="Z2467" s="124">
        <f>IFERROR(__xludf.DUMMYFUNCTION("""COMPUTED_VALUE"""),1.0)</f>
        <v>1</v>
      </c>
      <c r="AA2467" s="124" t="str">
        <f>IFERROR(__xludf.DUMMYFUNCTION("""COMPUTED_VALUE"""),"Warm")</f>
        <v>Warm</v>
      </c>
      <c r="AB2467" s="124" t="str">
        <f>IFERROR(__xludf.DUMMYFUNCTION("""COMPUTED_VALUE"""),"GS Foundation")</f>
        <v>GS Foundation</v>
      </c>
    </row>
    <row r="2468">
      <c r="K2468" s="124"/>
      <c r="L2468" s="124"/>
      <c r="M2468" s="124"/>
      <c r="N2468" s="124"/>
      <c r="O2468" s="124"/>
      <c r="T2468" s="126">
        <f>IFERROR(__xludf.DUMMYFUNCTION("""COMPUTED_VALUE"""),46076.0)</f>
        <v>46076</v>
      </c>
      <c r="U2468" s="124" t="str">
        <f>IFERROR(__xludf.DUMMYFUNCTION("""COMPUTED_VALUE"""),"Walk-Ins")</f>
        <v>Walk-Ins</v>
      </c>
      <c r="V2468" s="124" t="str">
        <f>IFERROR(__xludf.DUMMYFUNCTION("""COMPUTED_VALUE"""),"Walkin")</f>
        <v>Walkin</v>
      </c>
      <c r="W2468" s="124" t="str">
        <f>IFERROR(__xludf.DUMMYFUNCTION("""COMPUTED_VALUE"""),"Delhi")</f>
        <v>Delhi</v>
      </c>
      <c r="X2468" s="124" t="str">
        <f>IFERROR(__xludf.DUMMYFUNCTION("""COMPUTED_VALUE"""),"walkin")</f>
        <v>walkin</v>
      </c>
      <c r="Y2468" s="124" t="str">
        <f>IFERROR(__xludf.DUMMYFUNCTION("""COMPUTED_VALUE"""),"Delhi")</f>
        <v>Delhi</v>
      </c>
      <c r="Z2468" s="124">
        <f>IFERROR(__xludf.DUMMYFUNCTION("""COMPUTED_VALUE"""),2.0)</f>
        <v>2</v>
      </c>
      <c r="AA2468" s="124" t="str">
        <f>IFERROR(__xludf.DUMMYFUNCTION("""COMPUTED_VALUE"""),"Cold")</f>
        <v>Cold</v>
      </c>
      <c r="AB2468" s="124" t="str">
        <f>IFERROR(__xludf.DUMMYFUNCTION("""COMPUTED_VALUE"""),"GS Foundation")</f>
        <v>GS Foundation</v>
      </c>
    </row>
    <row r="2469">
      <c r="K2469" s="124"/>
      <c r="L2469" s="124"/>
      <c r="M2469" s="124"/>
      <c r="N2469" s="124"/>
      <c r="O2469" s="124"/>
      <c r="T2469" s="129">
        <f>IFERROR(__xludf.DUMMYFUNCTION("""COMPUTED_VALUE"""),46053.0)</f>
        <v>46053</v>
      </c>
      <c r="U2469" s="124" t="str">
        <f>IFERROR(__xludf.DUMMYFUNCTION("""COMPUTED_VALUE"""),"Walk-Ins")</f>
        <v>Walk-Ins</v>
      </c>
      <c r="V2469" s="124" t="str">
        <f>IFERROR(__xludf.DUMMYFUNCTION("""COMPUTED_VALUE"""),"Walkin")</f>
        <v>Walkin</v>
      </c>
      <c r="W2469" s="124" t="str">
        <f>IFERROR(__xludf.DUMMYFUNCTION("""COMPUTED_VALUE"""),"Delhi")</f>
        <v>Delhi</v>
      </c>
      <c r="X2469" s="124" t="str">
        <f>IFERROR(__xludf.DUMMYFUNCTION("""COMPUTED_VALUE"""),"walkin")</f>
        <v>walkin</v>
      </c>
      <c r="Y2469" s="124" t="str">
        <f>IFERROR(__xludf.DUMMYFUNCTION("""COMPUTED_VALUE"""),"Delhi")</f>
        <v>Delhi</v>
      </c>
      <c r="Z2469" s="124">
        <f>IFERROR(__xludf.DUMMYFUNCTION("""COMPUTED_VALUE"""),2.0)</f>
        <v>2</v>
      </c>
      <c r="AA2469" s="124" t="str">
        <f>IFERROR(__xludf.DUMMYFUNCTION("""COMPUTED_VALUE"""),"Enrolled")</f>
        <v>Enrolled</v>
      </c>
      <c r="AB2469" s="124" t="str">
        <f>IFERROR(__xludf.DUMMYFUNCTION("""COMPUTED_VALUE"""),"GS Foundation")</f>
        <v>GS Foundation</v>
      </c>
    </row>
    <row r="2470">
      <c r="K2470" s="124"/>
      <c r="L2470" s="124"/>
      <c r="M2470" s="124"/>
      <c r="N2470" s="124"/>
      <c r="O2470" s="124"/>
      <c r="T2470" s="129">
        <f>IFERROR(__xludf.DUMMYFUNCTION("""COMPUTED_VALUE"""),46069.0)</f>
        <v>46069</v>
      </c>
      <c r="U2470" s="124" t="str">
        <f>IFERROR(__xludf.DUMMYFUNCTION("""COMPUTED_VALUE"""),"Walk-Ins")</f>
        <v>Walk-Ins</v>
      </c>
      <c r="V2470" s="124" t="str">
        <f>IFERROR(__xludf.DUMMYFUNCTION("""COMPUTED_VALUE"""),"Walkin")</f>
        <v>Walkin</v>
      </c>
      <c r="W2470" s="124" t="str">
        <f>IFERROR(__xludf.DUMMYFUNCTION("""COMPUTED_VALUE"""),"Delhi")</f>
        <v>Delhi</v>
      </c>
      <c r="X2470" s="124" t="str">
        <f>IFERROR(__xludf.DUMMYFUNCTION("""COMPUTED_VALUE"""),"walkin")</f>
        <v>walkin</v>
      </c>
      <c r="Y2470" s="124" t="str">
        <f>IFERROR(__xludf.DUMMYFUNCTION("""COMPUTED_VALUE"""),"Delhi")</f>
        <v>Delhi</v>
      </c>
      <c r="Z2470" s="124">
        <f>IFERROR(__xludf.DUMMYFUNCTION("""COMPUTED_VALUE"""),1.0)</f>
        <v>1</v>
      </c>
      <c r="AA2470" s="124" t="str">
        <f>IFERROR(__xludf.DUMMYFUNCTION("""COMPUTED_VALUE"""),"Fake Lead")</f>
        <v>Fake Lead</v>
      </c>
      <c r="AB2470" s="124" t="str">
        <f>IFERROR(__xludf.DUMMYFUNCTION("""COMPUTED_VALUE"""),"GS Foundation")</f>
        <v>GS Foundation</v>
      </c>
    </row>
    <row r="2471">
      <c r="K2471" s="124"/>
      <c r="L2471" s="124"/>
      <c r="M2471" s="124"/>
      <c r="N2471" s="124"/>
      <c r="O2471" s="124"/>
      <c r="T2471" s="126">
        <f>IFERROR(__xludf.DUMMYFUNCTION("""COMPUTED_VALUE"""),46082.0)</f>
        <v>46082</v>
      </c>
      <c r="U2471" s="124" t="str">
        <f>IFERROR(__xludf.DUMMYFUNCTION("""COMPUTED_VALUE"""),"Walk-Ins")</f>
        <v>Walk-Ins</v>
      </c>
      <c r="V2471" s="124" t="str">
        <f>IFERROR(__xludf.DUMMYFUNCTION("""COMPUTED_VALUE"""),"Walkin")</f>
        <v>Walkin</v>
      </c>
      <c r="W2471" s="124" t="str">
        <f>IFERROR(__xludf.DUMMYFUNCTION("""COMPUTED_VALUE"""),"Delhi")</f>
        <v>Delhi</v>
      </c>
      <c r="X2471" s="124" t="str">
        <f>IFERROR(__xludf.DUMMYFUNCTION("""COMPUTED_VALUE"""),"walkin")</f>
        <v>walkin</v>
      </c>
      <c r="Y2471" s="124" t="str">
        <f>IFERROR(__xludf.DUMMYFUNCTION("""COMPUTED_VALUE"""),"Delhi")</f>
        <v>Delhi</v>
      </c>
      <c r="Z2471" s="124">
        <f>IFERROR(__xludf.DUMMYFUNCTION("""COMPUTED_VALUE"""),2.0)</f>
        <v>2</v>
      </c>
      <c r="AA2471" s="124" t="str">
        <f>IFERROR(__xludf.DUMMYFUNCTION("""COMPUTED_VALUE"""),"Cold")</f>
        <v>Cold</v>
      </c>
      <c r="AB2471" s="124" t="str">
        <f>IFERROR(__xludf.DUMMYFUNCTION("""COMPUTED_VALUE"""),"GS Foundation")</f>
        <v>GS Foundation</v>
      </c>
    </row>
    <row r="2472">
      <c r="K2472" s="124"/>
      <c r="L2472" s="124"/>
      <c r="M2472" s="124"/>
      <c r="N2472" s="124"/>
      <c r="O2472" s="124"/>
      <c r="T2472" s="129">
        <f>IFERROR(__xludf.DUMMYFUNCTION("""COMPUTED_VALUE"""),46058.0)</f>
        <v>46058</v>
      </c>
      <c r="U2472" s="124" t="str">
        <f>IFERROR(__xludf.DUMMYFUNCTION("""COMPUTED_VALUE"""),"Walk-Ins")</f>
        <v>Walk-Ins</v>
      </c>
      <c r="V2472" s="124" t="str">
        <f>IFERROR(__xludf.DUMMYFUNCTION("""COMPUTED_VALUE"""),"Walk-In")</f>
        <v>Walk-In</v>
      </c>
      <c r="W2472" s="124" t="str">
        <f>IFERROR(__xludf.DUMMYFUNCTION("""COMPUTED_VALUE"""),"Delhi")</f>
        <v>Delhi</v>
      </c>
      <c r="X2472" s="124" t="str">
        <f>IFERROR(__xludf.DUMMYFUNCTION("""COMPUTED_VALUE"""),"walkin")</f>
        <v>walkin</v>
      </c>
      <c r="Y2472" s="124" t="str">
        <f>IFERROR(__xludf.DUMMYFUNCTION("""COMPUTED_VALUE"""),"Delhi")</f>
        <v>Delhi</v>
      </c>
      <c r="Z2472" s="124">
        <f>IFERROR(__xludf.DUMMYFUNCTION("""COMPUTED_VALUE"""),2.0)</f>
        <v>2</v>
      </c>
      <c r="AA2472" s="124" t="str">
        <f>IFERROR(__xludf.DUMMYFUNCTION("""COMPUTED_VALUE"""),"Not Interested")</f>
        <v>Not Interested</v>
      </c>
      <c r="AB2472" s="124" t="str">
        <f>IFERROR(__xludf.DUMMYFUNCTION("""COMPUTED_VALUE"""),"GS Foundation")</f>
        <v>GS Foundation</v>
      </c>
    </row>
    <row r="2473">
      <c r="K2473" s="124"/>
      <c r="L2473" s="124"/>
      <c r="M2473" s="124"/>
      <c r="N2473" s="124"/>
      <c r="O2473" s="124"/>
      <c r="T2473" s="126">
        <f>IFERROR(__xludf.DUMMYFUNCTION("""COMPUTED_VALUE"""),46050.0)</f>
        <v>46050</v>
      </c>
      <c r="U2473" s="124" t="str">
        <f>IFERROR(__xludf.DUMMYFUNCTION("""COMPUTED_VALUE"""),"External Leads")</f>
        <v>External Leads</v>
      </c>
      <c r="V2473" s="124" t="str">
        <f>IFERROR(__xludf.DUMMYFUNCTION("""COMPUTED_VALUE"""),"external leads")</f>
        <v>external leads</v>
      </c>
      <c r="W2473" s="124" t="str">
        <f>IFERROR(__xludf.DUMMYFUNCTION("""COMPUTED_VALUE"""),"delhi")</f>
        <v>delhi</v>
      </c>
      <c r="X2473" s="124" t="str">
        <f>IFERROR(__xludf.DUMMYFUNCTION("""COMPUTED_VALUE"""),"piyushunacademy")</f>
        <v>piyushunacademy</v>
      </c>
      <c r="Y2473" s="124" t="str">
        <f>IFERROR(__xludf.DUMMYFUNCTION("""COMPUTED_VALUE"""),"Delhi")</f>
        <v>Delhi</v>
      </c>
      <c r="Z2473" s="124">
        <f>IFERROR(__xludf.DUMMYFUNCTION("""COMPUTED_VALUE"""),2.0)</f>
        <v>2</v>
      </c>
      <c r="AA2473" s="124" t="str">
        <f>IFERROR(__xludf.DUMMYFUNCTION("""COMPUTED_VALUE"""),"Not Interested")</f>
        <v>Not Interested</v>
      </c>
      <c r="AB2473" s="124" t="str">
        <f>IFERROR(__xludf.DUMMYFUNCTION("""COMPUTED_VALUE"""),"GS Foundation")</f>
        <v>GS Foundation</v>
      </c>
    </row>
    <row r="2474">
      <c r="K2474" s="124"/>
      <c r="L2474" s="124"/>
      <c r="M2474" s="124"/>
      <c r="N2474" s="124"/>
      <c r="O2474" s="124"/>
      <c r="T2474" s="129">
        <f>IFERROR(__xludf.DUMMYFUNCTION("""COMPUTED_VALUE"""),46045.0)</f>
        <v>46045</v>
      </c>
      <c r="U2474" s="124" t="str">
        <f>IFERROR(__xludf.DUMMYFUNCTION("""COMPUTED_VALUE"""),"Walk-Ins")</f>
        <v>Walk-Ins</v>
      </c>
      <c r="V2474" s="124" t="str">
        <f>IFERROR(__xludf.DUMMYFUNCTION("""COMPUTED_VALUE"""),"Walkin")</f>
        <v>Walkin</v>
      </c>
      <c r="W2474" s="124" t="str">
        <f>IFERROR(__xludf.DUMMYFUNCTION("""COMPUTED_VALUE"""),"Delhi")</f>
        <v>Delhi</v>
      </c>
      <c r="X2474" s="124" t="str">
        <f>IFERROR(__xludf.DUMMYFUNCTION("""COMPUTED_VALUE"""),"walkin")</f>
        <v>walkin</v>
      </c>
      <c r="Y2474" s="124" t="str">
        <f>IFERROR(__xludf.DUMMYFUNCTION("""COMPUTED_VALUE"""),"Delhi")</f>
        <v>Delhi</v>
      </c>
      <c r="Z2474" s="124">
        <f>IFERROR(__xludf.DUMMYFUNCTION("""COMPUTED_VALUE"""),1.0)</f>
        <v>1</v>
      </c>
      <c r="AA2474" s="124" t="str">
        <f>IFERROR(__xludf.DUMMYFUNCTION("""COMPUTED_VALUE"""),"Cold")</f>
        <v>Cold</v>
      </c>
      <c r="AB2474" s="124" t="str">
        <f>IFERROR(__xludf.DUMMYFUNCTION("""COMPUTED_VALUE"""),"GS Foundation")</f>
        <v>GS Foundation</v>
      </c>
    </row>
    <row r="2475">
      <c r="K2475" s="124"/>
      <c r="L2475" s="124"/>
      <c r="M2475" s="124"/>
      <c r="N2475" s="124"/>
      <c r="O2475" s="124"/>
      <c r="T2475" s="126">
        <f>IFERROR(__xludf.DUMMYFUNCTION("""COMPUTED_VALUE"""),46091.0)</f>
        <v>46091</v>
      </c>
      <c r="U2475" s="124" t="str">
        <f>IFERROR(__xludf.DUMMYFUNCTION("""COMPUTED_VALUE"""),"Walk-Ins")</f>
        <v>Walk-Ins</v>
      </c>
      <c r="V2475" s="124" t="str">
        <f>IFERROR(__xludf.DUMMYFUNCTION("""COMPUTED_VALUE"""),"Walkin")</f>
        <v>Walkin</v>
      </c>
      <c r="W2475" s="124" t="str">
        <f>IFERROR(__xludf.DUMMYFUNCTION("""COMPUTED_VALUE"""),"Delhi")</f>
        <v>Delhi</v>
      </c>
      <c r="X2475" s="124" t="str">
        <f>IFERROR(__xludf.DUMMYFUNCTION("""COMPUTED_VALUE"""),"walkin")</f>
        <v>walkin</v>
      </c>
      <c r="Y2475" s="124" t="str">
        <f>IFERROR(__xludf.DUMMYFUNCTION("""COMPUTED_VALUE"""),"Delhi")</f>
        <v>Delhi</v>
      </c>
      <c r="Z2475" s="124">
        <f>IFERROR(__xludf.DUMMYFUNCTION("""COMPUTED_VALUE"""),1.0)</f>
        <v>1</v>
      </c>
      <c r="AA2475" s="124" t="str">
        <f>IFERROR(__xludf.DUMMYFUNCTION("""COMPUTED_VALUE"""),"Not Interested")</f>
        <v>Not Interested</v>
      </c>
      <c r="AB2475" s="124" t="str">
        <f>IFERROR(__xludf.DUMMYFUNCTION("""COMPUTED_VALUE"""),"Other")</f>
        <v>Other</v>
      </c>
    </row>
    <row r="2476">
      <c r="K2476" s="124"/>
      <c r="L2476" s="124"/>
      <c r="M2476" s="124"/>
      <c r="N2476" s="124"/>
      <c r="O2476" s="124"/>
      <c r="T2476" s="126">
        <f>IFERROR(__xludf.DUMMYFUNCTION("""COMPUTED_VALUE"""),46111.0)</f>
        <v>46111</v>
      </c>
      <c r="U2476" s="124" t="str">
        <f>IFERROR(__xludf.DUMMYFUNCTION("""COMPUTED_VALUE"""),"Walk-Ins")</f>
        <v>Walk-Ins</v>
      </c>
      <c r="V2476" s="124" t="str">
        <f>IFERROR(__xludf.DUMMYFUNCTION("""COMPUTED_VALUE"""),"Walkin")</f>
        <v>Walkin</v>
      </c>
      <c r="W2476" s="124" t="str">
        <f>IFERROR(__xludf.DUMMYFUNCTION("""COMPUTED_VALUE"""),"Delhi")</f>
        <v>Delhi</v>
      </c>
      <c r="X2476" s="124" t="str">
        <f>IFERROR(__xludf.DUMMYFUNCTION("""COMPUTED_VALUE"""),"walkin")</f>
        <v>walkin</v>
      </c>
      <c r="Y2476" s="124" t="str">
        <f>IFERROR(__xludf.DUMMYFUNCTION("""COMPUTED_VALUE"""),"Delhi")</f>
        <v>Delhi</v>
      </c>
      <c r="Z2476" s="124">
        <f>IFERROR(__xludf.DUMMYFUNCTION("""COMPUTED_VALUE"""),1.0)</f>
        <v>1</v>
      </c>
      <c r="AA2476" s="124" t="str">
        <f>IFERROR(__xludf.DUMMYFUNCTION("""COMPUTED_VALUE"""),"Not Interested")</f>
        <v>Not Interested</v>
      </c>
      <c r="AB2476" s="124" t="str">
        <f>IFERROR(__xludf.DUMMYFUNCTION("""COMPUTED_VALUE"""),"GS Foundation")</f>
        <v>GS Foundation</v>
      </c>
    </row>
    <row r="2477">
      <c r="K2477" s="124"/>
      <c r="L2477" s="124"/>
      <c r="M2477" s="124"/>
      <c r="N2477" s="124"/>
      <c r="O2477" s="124"/>
      <c r="T2477" s="126">
        <f>IFERROR(__xludf.DUMMYFUNCTION("""COMPUTED_VALUE"""),46106.0)</f>
        <v>46106</v>
      </c>
      <c r="U2477" s="124" t="str">
        <f>IFERROR(__xludf.DUMMYFUNCTION("""COMPUTED_VALUE"""),"Walk-Ins")</f>
        <v>Walk-Ins</v>
      </c>
      <c r="V2477" s="124" t="str">
        <f>IFERROR(__xludf.DUMMYFUNCTION("""COMPUTED_VALUE"""),"Walkin")</f>
        <v>Walkin</v>
      </c>
      <c r="W2477" s="124" t="str">
        <f>IFERROR(__xludf.DUMMYFUNCTION("""COMPUTED_VALUE"""),"Delhi")</f>
        <v>Delhi</v>
      </c>
      <c r="X2477" s="124" t="str">
        <f>IFERROR(__xludf.DUMMYFUNCTION("""COMPUTED_VALUE"""),"walkin")</f>
        <v>walkin</v>
      </c>
      <c r="Y2477" s="124" t="str">
        <f>IFERROR(__xludf.DUMMYFUNCTION("""COMPUTED_VALUE"""),"Delhi")</f>
        <v>Delhi</v>
      </c>
      <c r="Z2477" s="124">
        <f>IFERROR(__xludf.DUMMYFUNCTION("""COMPUTED_VALUE"""),1.0)</f>
        <v>1</v>
      </c>
      <c r="AA2477" s="124" t="str">
        <f>IFERROR(__xludf.DUMMYFUNCTION("""COMPUTED_VALUE"""),"Enrolled")</f>
        <v>Enrolled</v>
      </c>
      <c r="AB2477" s="124" t="str">
        <f>IFERROR(__xludf.DUMMYFUNCTION("""COMPUTED_VALUE"""),"SIP Offline")</f>
        <v>SIP Offline</v>
      </c>
    </row>
    <row r="2478">
      <c r="K2478" s="124"/>
      <c r="L2478" s="124"/>
      <c r="M2478" s="124"/>
      <c r="N2478" s="124"/>
      <c r="O2478" s="124"/>
      <c r="T2478" s="126">
        <f>IFERROR(__xludf.DUMMYFUNCTION("""COMPUTED_VALUE"""),46082.0)</f>
        <v>46082</v>
      </c>
      <c r="U2478" s="124" t="str">
        <f>IFERROR(__xludf.DUMMYFUNCTION("""COMPUTED_VALUE"""),"Walk-Ins")</f>
        <v>Walk-Ins</v>
      </c>
      <c r="V2478" s="124" t="str">
        <f>IFERROR(__xludf.DUMMYFUNCTION("""COMPUTED_VALUE"""),"Walkin")</f>
        <v>Walkin</v>
      </c>
      <c r="W2478" s="124" t="str">
        <f>IFERROR(__xludf.DUMMYFUNCTION("""COMPUTED_VALUE"""),"Delhi")</f>
        <v>Delhi</v>
      </c>
      <c r="X2478" s="124" t="str">
        <f>IFERROR(__xludf.DUMMYFUNCTION("""COMPUTED_VALUE"""),"walkin")</f>
        <v>walkin</v>
      </c>
      <c r="Y2478" s="124" t="str">
        <f>IFERROR(__xludf.DUMMYFUNCTION("""COMPUTED_VALUE"""),"Delhi")</f>
        <v>Delhi</v>
      </c>
      <c r="Z2478" s="124">
        <f>IFERROR(__xludf.DUMMYFUNCTION("""COMPUTED_VALUE"""),1.0)</f>
        <v>1</v>
      </c>
      <c r="AA2478" s="124" t="str">
        <f>IFERROR(__xludf.DUMMYFUNCTION("""COMPUTED_VALUE"""),"Cold")</f>
        <v>Cold</v>
      </c>
      <c r="AB2478" s="124" t="str">
        <f>IFERROR(__xludf.DUMMYFUNCTION("""COMPUTED_VALUE"""),"Test Series")</f>
        <v>Test Series</v>
      </c>
    </row>
    <row r="2479">
      <c r="K2479" s="124"/>
      <c r="L2479" s="124"/>
      <c r="M2479" s="124"/>
      <c r="N2479" s="124"/>
      <c r="O2479" s="124"/>
      <c r="T2479" s="126">
        <f>IFERROR(__xludf.DUMMYFUNCTION("""COMPUTED_VALUE"""),46050.0)</f>
        <v>46050</v>
      </c>
      <c r="U2479" s="124" t="str">
        <f>IFERROR(__xludf.DUMMYFUNCTION("""COMPUTED_VALUE"""),"External Leads")</f>
        <v>External Leads</v>
      </c>
      <c r="V2479" s="124" t="str">
        <f>IFERROR(__xludf.DUMMYFUNCTION("""COMPUTED_VALUE"""),"external leads")</f>
        <v>external leads</v>
      </c>
      <c r="W2479" s="124" t="str">
        <f>IFERROR(__xludf.DUMMYFUNCTION("""COMPUTED_VALUE"""),"patna")</f>
        <v>patna</v>
      </c>
      <c r="X2479" s="124" t="str">
        <f>IFERROR(__xludf.DUMMYFUNCTION("""COMPUTED_VALUE"""),"piyushunacademy")</f>
        <v>piyushunacademy</v>
      </c>
      <c r="Y2479" s="124" t="str">
        <f>IFERROR(__xludf.DUMMYFUNCTION("""COMPUTED_VALUE"""),"Patna")</f>
        <v>Patna</v>
      </c>
      <c r="Z2479" s="124">
        <f>IFERROR(__xludf.DUMMYFUNCTION("""COMPUTED_VALUE"""),1.0)</f>
        <v>1</v>
      </c>
      <c r="AA2479" s="124" t="str">
        <f>IFERROR(__xludf.DUMMYFUNCTION("""COMPUTED_VALUE"""),"Cold")</f>
        <v>Cold</v>
      </c>
      <c r="AB2479" s="124" t="str">
        <f>IFERROR(__xludf.DUMMYFUNCTION("""COMPUTED_VALUE"""),"GS Foundation")</f>
        <v>GS Foundation</v>
      </c>
    </row>
    <row r="2480">
      <c r="K2480" s="124"/>
      <c r="L2480" s="124"/>
      <c r="M2480" s="124"/>
      <c r="N2480" s="124"/>
      <c r="O2480" s="124"/>
      <c r="T2480" s="129">
        <f>IFERROR(__xludf.DUMMYFUNCTION("""COMPUTED_VALUE"""),46106.0)</f>
        <v>46106</v>
      </c>
      <c r="U2480" s="124" t="str">
        <f>IFERROR(__xludf.DUMMYFUNCTION("""COMPUTED_VALUE"""),"Walk-Ins")</f>
        <v>Walk-Ins</v>
      </c>
      <c r="V2480" s="124" t="str">
        <f>IFERROR(__xludf.DUMMYFUNCTION("""COMPUTED_VALUE"""),"Walkin")</f>
        <v>Walkin</v>
      </c>
      <c r="W2480" s="124" t="str">
        <f>IFERROR(__xludf.DUMMYFUNCTION("""COMPUTED_VALUE"""),"Delhi")</f>
        <v>Delhi</v>
      </c>
      <c r="X2480" s="124" t="str">
        <f>IFERROR(__xludf.DUMMYFUNCTION("""COMPUTED_VALUE"""),"walkin")</f>
        <v>walkin</v>
      </c>
      <c r="Y2480" s="124" t="str">
        <f>IFERROR(__xludf.DUMMYFUNCTION("""COMPUTED_VALUE"""),"Delhi")</f>
        <v>Delhi</v>
      </c>
      <c r="Z2480" s="124">
        <f>IFERROR(__xludf.DUMMYFUNCTION("""COMPUTED_VALUE"""),3.0)</f>
        <v>3</v>
      </c>
      <c r="AA2480" s="124" t="str">
        <f>IFERROR(__xludf.DUMMYFUNCTION("""COMPUTED_VALUE"""),"Future Prospects")</f>
        <v>Future Prospects</v>
      </c>
      <c r="AB2480" s="124" t="str">
        <f>IFERROR(__xludf.DUMMYFUNCTION("""COMPUTED_VALUE"""),"GS Foundation")</f>
        <v>GS Foundation</v>
      </c>
    </row>
    <row r="2481">
      <c r="K2481" s="124"/>
      <c r="L2481" s="124"/>
      <c r="M2481" s="124"/>
      <c r="N2481" s="124"/>
      <c r="O2481" s="124"/>
      <c r="T2481" s="129">
        <f>IFERROR(__xludf.DUMMYFUNCTION("""COMPUTED_VALUE"""),46053.0)</f>
        <v>46053</v>
      </c>
      <c r="U2481" s="124" t="str">
        <f>IFERROR(__xludf.DUMMYFUNCTION("""COMPUTED_VALUE"""),"Walk-Ins")</f>
        <v>Walk-Ins</v>
      </c>
      <c r="V2481" s="124" t="str">
        <f>IFERROR(__xludf.DUMMYFUNCTION("""COMPUTED_VALUE"""),"Walkin")</f>
        <v>Walkin</v>
      </c>
      <c r="W2481" s="124" t="str">
        <f>IFERROR(__xludf.DUMMYFUNCTION("""COMPUTED_VALUE"""),"Delhi")</f>
        <v>Delhi</v>
      </c>
      <c r="X2481" s="124" t="str">
        <f>IFERROR(__xludf.DUMMYFUNCTION("""COMPUTED_VALUE"""),"walkin")</f>
        <v>walkin</v>
      </c>
      <c r="Y2481" s="124" t="str">
        <f>IFERROR(__xludf.DUMMYFUNCTION("""COMPUTED_VALUE"""),"Delhi")</f>
        <v>Delhi</v>
      </c>
      <c r="Z2481" s="124">
        <f>IFERROR(__xludf.DUMMYFUNCTION("""COMPUTED_VALUE"""),1.0)</f>
        <v>1</v>
      </c>
      <c r="AA2481" s="124" t="str">
        <f>IFERROR(__xludf.DUMMYFUNCTION("""COMPUTED_VALUE"""),"Cold")</f>
        <v>Cold</v>
      </c>
      <c r="AB2481" s="124" t="str">
        <f>IFERROR(__xludf.DUMMYFUNCTION("""COMPUTED_VALUE"""),"Mentorship")</f>
        <v>Mentorship</v>
      </c>
    </row>
    <row r="2482">
      <c r="K2482" s="124"/>
      <c r="L2482" s="124"/>
      <c r="M2482" s="124"/>
      <c r="N2482" s="124"/>
      <c r="O2482" s="124"/>
      <c r="T2482" s="126">
        <f>IFERROR(__xludf.DUMMYFUNCTION("""COMPUTED_VALUE"""),46091.0)</f>
        <v>46091</v>
      </c>
      <c r="U2482" s="124" t="str">
        <f>IFERROR(__xludf.DUMMYFUNCTION("""COMPUTED_VALUE"""),"Walk-Ins")</f>
        <v>Walk-Ins</v>
      </c>
      <c r="V2482" s="124" t="str">
        <f>IFERROR(__xludf.DUMMYFUNCTION("""COMPUTED_VALUE"""),"Walkin")</f>
        <v>Walkin</v>
      </c>
      <c r="W2482" s="124" t="str">
        <f>IFERROR(__xludf.DUMMYFUNCTION("""COMPUTED_VALUE"""),"Delhi")</f>
        <v>Delhi</v>
      </c>
      <c r="X2482" s="124" t="str">
        <f>IFERROR(__xludf.DUMMYFUNCTION("""COMPUTED_VALUE"""),"walkin")</f>
        <v>walkin</v>
      </c>
      <c r="Y2482" s="124" t="str">
        <f>IFERROR(__xludf.DUMMYFUNCTION("""COMPUTED_VALUE"""),"Delhi")</f>
        <v>Delhi</v>
      </c>
      <c r="Z2482" s="124">
        <f>IFERROR(__xludf.DUMMYFUNCTION("""COMPUTED_VALUE"""),3.0)</f>
        <v>3</v>
      </c>
      <c r="AA2482" s="124" t="str">
        <f>IFERROR(__xludf.DUMMYFUNCTION("""COMPUTED_VALUE"""),"Fake Lead")</f>
        <v>Fake Lead</v>
      </c>
      <c r="AB2482" s="124" t="str">
        <f>IFERROR(__xludf.DUMMYFUNCTION("""COMPUTED_VALUE"""),"GS Foundation")</f>
        <v>GS Foundation</v>
      </c>
    </row>
    <row r="2483">
      <c r="K2483" s="124"/>
      <c r="L2483" s="124"/>
      <c r="M2483" s="124"/>
      <c r="N2483" s="124"/>
      <c r="O2483" s="124"/>
      <c r="T2483" s="126">
        <f>IFERROR(__xludf.DUMMYFUNCTION("""COMPUTED_VALUE"""),46050.0)</f>
        <v>46050</v>
      </c>
      <c r="U2483" s="124" t="str">
        <f>IFERROR(__xludf.DUMMYFUNCTION("""COMPUTED_VALUE"""),"External Leads")</f>
        <v>External Leads</v>
      </c>
      <c r="V2483" s="124" t="str">
        <f>IFERROR(__xludf.DUMMYFUNCTION("""COMPUTED_VALUE"""),"external leads")</f>
        <v>external leads</v>
      </c>
      <c r="W2483" s="124" t="str">
        <f>IFERROR(__xludf.DUMMYFUNCTION("""COMPUTED_VALUE"""),"delhi")</f>
        <v>delhi</v>
      </c>
      <c r="X2483" s="124" t="str">
        <f>IFERROR(__xludf.DUMMYFUNCTION("""COMPUTED_VALUE"""),"piyushunacademy")</f>
        <v>piyushunacademy</v>
      </c>
      <c r="Y2483" s="124" t="str">
        <f>IFERROR(__xludf.DUMMYFUNCTION("""COMPUTED_VALUE"""),"Delhi")</f>
        <v>Delhi</v>
      </c>
      <c r="Z2483" s="124">
        <f>IFERROR(__xludf.DUMMYFUNCTION("""COMPUTED_VALUE"""),2.0)</f>
        <v>2</v>
      </c>
      <c r="AA2483" s="124"/>
      <c r="AB2483" s="124" t="str">
        <f>IFERROR(__xludf.DUMMYFUNCTION("""COMPUTED_VALUE"""),"Mentorship")</f>
        <v>Mentorship</v>
      </c>
    </row>
    <row r="2484">
      <c r="K2484" s="124"/>
      <c r="L2484" s="124"/>
      <c r="M2484" s="124"/>
      <c r="N2484" s="124"/>
      <c r="O2484" s="124"/>
      <c r="T2484" s="126">
        <f>IFERROR(__xludf.DUMMYFUNCTION("""COMPUTED_VALUE"""),46049.0)</f>
        <v>46049</v>
      </c>
      <c r="U2484" s="124" t="str">
        <f>IFERROR(__xludf.DUMMYFUNCTION("""COMPUTED_VALUE"""),"External Leads")</f>
        <v>External Leads</v>
      </c>
      <c r="V2484" s="124" t="str">
        <f>IFERROR(__xludf.DUMMYFUNCTION("""COMPUTED_VALUE"""),"external leads")</f>
        <v>external leads</v>
      </c>
      <c r="W2484" s="124" t="str">
        <f>IFERROR(__xludf.DUMMYFUNCTION("""COMPUTED_VALUE"""),"patna")</f>
        <v>patna</v>
      </c>
      <c r="X2484" s="124" t="str">
        <f>IFERROR(__xludf.DUMMYFUNCTION("""COMPUTED_VALUE"""),"piyushunacademy")</f>
        <v>piyushunacademy</v>
      </c>
      <c r="Y2484" s="124" t="str">
        <f>IFERROR(__xludf.DUMMYFUNCTION("""COMPUTED_VALUE"""),"Patna")</f>
        <v>Patna</v>
      </c>
      <c r="Z2484" s="124">
        <f>IFERROR(__xludf.DUMMYFUNCTION("""COMPUTED_VALUE"""),1.0)</f>
        <v>1</v>
      </c>
      <c r="AA2484" s="124" t="str">
        <f>IFERROR(__xludf.DUMMYFUNCTION("""COMPUTED_VALUE"""),"Fake Lead")</f>
        <v>Fake Lead</v>
      </c>
      <c r="AB2484" s="124"/>
    </row>
    <row r="2485">
      <c r="K2485" s="124"/>
      <c r="L2485" s="124"/>
      <c r="M2485" s="124"/>
      <c r="N2485" s="124"/>
      <c r="O2485" s="124"/>
      <c r="T2485" s="126">
        <f>IFERROR(__xludf.DUMMYFUNCTION("""COMPUTED_VALUE"""),46111.0)</f>
        <v>46111</v>
      </c>
      <c r="U2485" s="124" t="str">
        <f>IFERROR(__xludf.DUMMYFUNCTION("""COMPUTED_VALUE"""),"Walk-Ins")</f>
        <v>Walk-Ins</v>
      </c>
      <c r="V2485" s="124" t="str">
        <f>IFERROR(__xludf.DUMMYFUNCTION("""COMPUTED_VALUE"""),"Walk-In")</f>
        <v>Walk-In</v>
      </c>
      <c r="W2485" s="124" t="str">
        <f>IFERROR(__xludf.DUMMYFUNCTION("""COMPUTED_VALUE"""),"Prayagraj")</f>
        <v>Prayagraj</v>
      </c>
      <c r="X2485" s="124" t="str">
        <f>IFERROR(__xludf.DUMMYFUNCTION("""COMPUTED_VALUE"""),"Aditi")</f>
        <v>Aditi</v>
      </c>
      <c r="Y2485" s="124"/>
      <c r="Z2485" s="124">
        <f>IFERROR(__xludf.DUMMYFUNCTION("""COMPUTED_VALUE"""),1.0)</f>
        <v>1</v>
      </c>
      <c r="AA2485" s="124" t="str">
        <f>IFERROR(__xludf.DUMMYFUNCTION("""COMPUTED_VALUE"""),"Warm")</f>
        <v>Warm</v>
      </c>
      <c r="AB2485" s="124" t="str">
        <f>IFERROR(__xludf.DUMMYFUNCTION("""COMPUTED_VALUE"""),"GS Foundation")</f>
        <v>GS Foundation</v>
      </c>
    </row>
    <row r="2486">
      <c r="K2486" s="124"/>
      <c r="L2486" s="124"/>
      <c r="M2486" s="124"/>
      <c r="N2486" s="124"/>
      <c r="O2486" s="124"/>
      <c r="T2486" s="126">
        <f>IFERROR(__xludf.DUMMYFUNCTION("""COMPUTED_VALUE"""),46067.0)</f>
        <v>46067</v>
      </c>
      <c r="U2486" s="124" t="str">
        <f>IFERROR(__xludf.DUMMYFUNCTION("""COMPUTED_VALUE"""),"Walk-Ins")</f>
        <v>Walk-Ins</v>
      </c>
      <c r="V2486" s="124" t="str">
        <f>IFERROR(__xludf.DUMMYFUNCTION("""COMPUTED_VALUE"""),"Walkin")</f>
        <v>Walkin</v>
      </c>
      <c r="W2486" s="124" t="str">
        <f>IFERROR(__xludf.DUMMYFUNCTION("""COMPUTED_VALUE"""),"Delhi")</f>
        <v>Delhi</v>
      </c>
      <c r="X2486" s="124" t="str">
        <f>IFERROR(__xludf.DUMMYFUNCTION("""COMPUTED_VALUE"""),"walkin")</f>
        <v>walkin</v>
      </c>
      <c r="Y2486" s="124" t="str">
        <f>IFERROR(__xludf.DUMMYFUNCTION("""COMPUTED_VALUE"""),"Delhi")</f>
        <v>Delhi</v>
      </c>
      <c r="Z2486" s="124">
        <f>IFERROR(__xludf.DUMMYFUNCTION("""COMPUTED_VALUE"""),1.0)</f>
        <v>1</v>
      </c>
      <c r="AA2486" s="124" t="str">
        <f>IFERROR(__xludf.DUMMYFUNCTION("""COMPUTED_VALUE"""),"Not Interested")</f>
        <v>Not Interested</v>
      </c>
      <c r="AB2486" s="124" t="str">
        <f>IFERROR(__xludf.DUMMYFUNCTION("""COMPUTED_VALUE"""),"SIP Offline")</f>
        <v>SIP Offline</v>
      </c>
    </row>
    <row r="2487">
      <c r="K2487" s="124"/>
      <c r="L2487" s="124"/>
      <c r="M2487" s="124"/>
      <c r="N2487" s="124"/>
      <c r="O2487" s="124"/>
      <c r="T2487" s="126">
        <f>IFERROR(__xludf.DUMMYFUNCTION("""COMPUTED_VALUE"""),46044.0)</f>
        <v>46044</v>
      </c>
      <c r="U2487" s="124" t="str">
        <f>IFERROR(__xludf.DUMMYFUNCTION("""COMPUTED_VALUE"""),"External Leads")</f>
        <v>External Leads</v>
      </c>
      <c r="V2487" s="124" t="str">
        <f>IFERROR(__xludf.DUMMYFUNCTION("""COMPUTED_VALUE"""),"direct")</f>
        <v>direct</v>
      </c>
      <c r="W2487" s="124" t="str">
        <f>IFERROR(__xludf.DUMMYFUNCTION("""COMPUTED_VALUE"""),"direct")</f>
        <v>direct</v>
      </c>
      <c r="X2487" s="124" t="str">
        <f>IFERROR(__xludf.DUMMYFUNCTION("""COMPUTED_VALUE"""),"direct")</f>
        <v>direct</v>
      </c>
      <c r="Y2487" s="124"/>
      <c r="Z2487" s="124">
        <f>IFERROR(__xludf.DUMMYFUNCTION("""COMPUTED_VALUE"""),1.0)</f>
        <v>1</v>
      </c>
      <c r="AA2487" s="124" t="str">
        <f>IFERROR(__xludf.DUMMYFUNCTION("""COMPUTED_VALUE"""),"Not Interested")</f>
        <v>Not Interested</v>
      </c>
      <c r="AB2487" s="124"/>
    </row>
    <row r="2488">
      <c r="K2488" s="124"/>
      <c r="L2488" s="124"/>
      <c r="M2488" s="124"/>
      <c r="N2488" s="124"/>
      <c r="O2488" s="124"/>
      <c r="T2488" s="126">
        <f>IFERROR(__xludf.DUMMYFUNCTION("""COMPUTED_VALUE"""),46060.0)</f>
        <v>46060</v>
      </c>
      <c r="U2488" s="124" t="str">
        <f>IFERROR(__xludf.DUMMYFUNCTION("""COMPUTED_VALUE"""),"Walk-Ins")</f>
        <v>Walk-Ins</v>
      </c>
      <c r="V2488" s="124" t="str">
        <f>IFERROR(__xludf.DUMMYFUNCTION("""COMPUTED_VALUE"""),"Walkin")</f>
        <v>Walkin</v>
      </c>
      <c r="W2488" s="124" t="str">
        <f>IFERROR(__xludf.DUMMYFUNCTION("""COMPUTED_VALUE"""),"Delhi")</f>
        <v>Delhi</v>
      </c>
      <c r="X2488" s="124" t="str">
        <f>IFERROR(__xludf.DUMMYFUNCTION("""COMPUTED_VALUE"""),"walkin")</f>
        <v>walkin</v>
      </c>
      <c r="Y2488" s="124" t="str">
        <f>IFERROR(__xludf.DUMMYFUNCTION("""COMPUTED_VALUE"""),"Delhi")</f>
        <v>Delhi</v>
      </c>
      <c r="Z2488" s="124">
        <f>IFERROR(__xludf.DUMMYFUNCTION("""COMPUTED_VALUE"""),4.0)</f>
        <v>4</v>
      </c>
      <c r="AA2488" s="124" t="str">
        <f>IFERROR(__xludf.DUMMYFUNCTION("""COMPUTED_VALUE"""),"Fake Lead")</f>
        <v>Fake Lead</v>
      </c>
      <c r="AB2488" s="124" t="str">
        <f>IFERROR(__xludf.DUMMYFUNCTION("""COMPUTED_VALUE"""),"GS Foundation")</f>
        <v>GS Foundation</v>
      </c>
    </row>
    <row r="2489">
      <c r="K2489" s="124"/>
      <c r="L2489" s="124"/>
      <c r="M2489" s="124"/>
      <c r="N2489" s="124"/>
      <c r="O2489" s="124"/>
      <c r="T2489" s="129">
        <f>IFERROR(__xludf.DUMMYFUNCTION("""COMPUTED_VALUE"""),46043.0)</f>
        <v>46043</v>
      </c>
      <c r="U2489" s="124" t="str">
        <f>IFERROR(__xludf.DUMMYFUNCTION("""COMPUTED_VALUE"""),"Walk-Ins")</f>
        <v>Walk-Ins</v>
      </c>
      <c r="V2489" s="124" t="str">
        <f>IFERROR(__xludf.DUMMYFUNCTION("""COMPUTED_VALUE"""),"Walkin")</f>
        <v>Walkin</v>
      </c>
      <c r="W2489" s="124" t="str">
        <f>IFERROR(__xludf.DUMMYFUNCTION("""COMPUTED_VALUE"""),"Delhi")</f>
        <v>Delhi</v>
      </c>
      <c r="X2489" s="124" t="str">
        <f>IFERROR(__xludf.DUMMYFUNCTION("""COMPUTED_VALUE"""),"walkin")</f>
        <v>walkin</v>
      </c>
      <c r="Y2489" s="124" t="str">
        <f>IFERROR(__xludf.DUMMYFUNCTION("""COMPUTED_VALUE"""),"Delhi")</f>
        <v>Delhi</v>
      </c>
      <c r="Z2489" s="124">
        <f>IFERROR(__xludf.DUMMYFUNCTION("""COMPUTED_VALUE"""),2.0)</f>
        <v>2</v>
      </c>
      <c r="AA2489" s="124" t="str">
        <f>IFERROR(__xludf.DUMMYFUNCTION("""COMPUTED_VALUE"""),"Enrolled")</f>
        <v>Enrolled</v>
      </c>
      <c r="AB2489" s="124" t="str">
        <f>IFERROR(__xludf.DUMMYFUNCTION("""COMPUTED_VALUE"""),"GS Foundation")</f>
        <v>GS Foundation</v>
      </c>
    </row>
    <row r="2490">
      <c r="K2490" s="124"/>
      <c r="L2490" s="124"/>
      <c r="M2490" s="124"/>
      <c r="N2490" s="124"/>
      <c r="O2490" s="124"/>
      <c r="T2490" s="129">
        <f>IFERROR(__xludf.DUMMYFUNCTION("""COMPUTED_VALUE"""),46056.0)</f>
        <v>46056</v>
      </c>
      <c r="U2490" s="124" t="str">
        <f>IFERROR(__xludf.DUMMYFUNCTION("""COMPUTED_VALUE"""),"Walk-Ins")</f>
        <v>Walk-Ins</v>
      </c>
      <c r="V2490" s="124" t="str">
        <f>IFERROR(__xludf.DUMMYFUNCTION("""COMPUTED_VALUE"""),"Walkin")</f>
        <v>Walkin</v>
      </c>
      <c r="W2490" s="124" t="str">
        <f>IFERROR(__xludf.DUMMYFUNCTION("""COMPUTED_VALUE"""),"Delhi")</f>
        <v>Delhi</v>
      </c>
      <c r="X2490" s="124" t="str">
        <f>IFERROR(__xludf.DUMMYFUNCTION("""COMPUTED_VALUE"""),"walkin")</f>
        <v>walkin</v>
      </c>
      <c r="Y2490" s="124" t="str">
        <f>IFERROR(__xludf.DUMMYFUNCTION("""COMPUTED_VALUE"""),"Delhi")</f>
        <v>Delhi</v>
      </c>
      <c r="Z2490" s="124">
        <f>IFERROR(__xludf.DUMMYFUNCTION("""COMPUTED_VALUE"""),3.0)</f>
        <v>3</v>
      </c>
      <c r="AA2490" s="124" t="str">
        <f>IFERROR(__xludf.DUMMYFUNCTION("""COMPUTED_VALUE"""),"Not Interested")</f>
        <v>Not Interested</v>
      </c>
      <c r="AB2490" s="124" t="str">
        <f>IFERROR(__xludf.DUMMYFUNCTION("""COMPUTED_VALUE"""),"GS Foundation")</f>
        <v>GS Foundation</v>
      </c>
    </row>
    <row r="2491">
      <c r="K2491" s="124"/>
      <c r="L2491" s="124"/>
      <c r="M2491" s="124"/>
      <c r="N2491" s="124"/>
      <c r="O2491" s="124"/>
      <c r="T2491" s="126">
        <f>IFERROR(__xludf.DUMMYFUNCTION("""COMPUTED_VALUE"""),46049.0)</f>
        <v>46049</v>
      </c>
      <c r="U2491" s="124" t="str">
        <f>IFERROR(__xludf.DUMMYFUNCTION("""COMPUTED_VALUE"""),"External Leads")</f>
        <v>External Leads</v>
      </c>
      <c r="V2491" s="124" t="str">
        <f>IFERROR(__xludf.DUMMYFUNCTION("""COMPUTED_VALUE"""),"external leads")</f>
        <v>external leads</v>
      </c>
      <c r="W2491" s="124" t="str">
        <f>IFERROR(__xludf.DUMMYFUNCTION("""COMPUTED_VALUE"""),"patna")</f>
        <v>patna</v>
      </c>
      <c r="X2491" s="124" t="str">
        <f>IFERROR(__xludf.DUMMYFUNCTION("""COMPUTED_VALUE"""),"piyushunacademy")</f>
        <v>piyushunacademy</v>
      </c>
      <c r="Y2491" s="124" t="str">
        <f>IFERROR(__xludf.DUMMYFUNCTION("""COMPUTED_VALUE"""),"Patna")</f>
        <v>Patna</v>
      </c>
      <c r="Z2491" s="124">
        <f>IFERROR(__xludf.DUMMYFUNCTION("""COMPUTED_VALUE"""),1.0)</f>
        <v>1</v>
      </c>
      <c r="AA2491" s="124" t="str">
        <f>IFERROR(__xludf.DUMMYFUNCTION("""COMPUTED_VALUE"""),"Cold")</f>
        <v>Cold</v>
      </c>
      <c r="AB2491" s="124"/>
    </row>
    <row r="2492">
      <c r="K2492" s="124"/>
      <c r="L2492" s="124"/>
      <c r="M2492" s="124"/>
      <c r="N2492" s="124"/>
      <c r="O2492" s="124"/>
      <c r="T2492" s="129">
        <f>IFERROR(__xludf.DUMMYFUNCTION("""COMPUTED_VALUE"""),46075.0)</f>
        <v>46075</v>
      </c>
      <c r="U2492" s="124" t="str">
        <f>IFERROR(__xludf.DUMMYFUNCTION("""COMPUTED_VALUE"""),"Walk-Ins")</f>
        <v>Walk-Ins</v>
      </c>
      <c r="V2492" s="124" t="str">
        <f>IFERROR(__xludf.DUMMYFUNCTION("""COMPUTED_VALUE"""),"Walkin")</f>
        <v>Walkin</v>
      </c>
      <c r="W2492" s="124" t="str">
        <f>IFERROR(__xludf.DUMMYFUNCTION("""COMPUTED_VALUE"""),"Delhi")</f>
        <v>Delhi</v>
      </c>
      <c r="X2492" s="124" t="str">
        <f>IFERROR(__xludf.DUMMYFUNCTION("""COMPUTED_VALUE"""),"walkin")</f>
        <v>walkin</v>
      </c>
      <c r="Y2492" s="124" t="str">
        <f>IFERROR(__xludf.DUMMYFUNCTION("""COMPUTED_VALUE"""),"Delhi")</f>
        <v>Delhi</v>
      </c>
      <c r="Z2492" s="124">
        <f>IFERROR(__xludf.DUMMYFUNCTION("""COMPUTED_VALUE"""),1.0)</f>
        <v>1</v>
      </c>
      <c r="AA2492" s="124" t="str">
        <f>IFERROR(__xludf.DUMMYFUNCTION("""COMPUTED_VALUE"""),"Fake Lead")</f>
        <v>Fake Lead</v>
      </c>
      <c r="AB2492" s="124" t="str">
        <f>IFERROR(__xludf.DUMMYFUNCTION("""COMPUTED_VALUE"""),"GS Foundation")</f>
        <v>GS Foundation</v>
      </c>
    </row>
    <row r="2493">
      <c r="K2493" s="124"/>
      <c r="L2493" s="124"/>
      <c r="M2493" s="124"/>
      <c r="N2493" s="124"/>
      <c r="O2493" s="124"/>
      <c r="T2493" s="126">
        <f>IFERROR(__xludf.DUMMYFUNCTION("""COMPUTED_VALUE"""),46111.0)</f>
        <v>46111</v>
      </c>
      <c r="U2493" s="124" t="str">
        <f>IFERROR(__xludf.DUMMYFUNCTION("""COMPUTED_VALUE"""),"Walk-Ins")</f>
        <v>Walk-Ins</v>
      </c>
      <c r="V2493" s="124" t="str">
        <f>IFERROR(__xludf.DUMMYFUNCTION("""COMPUTED_VALUE"""),"Walkin")</f>
        <v>Walkin</v>
      </c>
      <c r="W2493" s="124" t="str">
        <f>IFERROR(__xludf.DUMMYFUNCTION("""COMPUTED_VALUE"""),"Delhi")</f>
        <v>Delhi</v>
      </c>
      <c r="X2493" s="124" t="str">
        <f>IFERROR(__xludf.DUMMYFUNCTION("""COMPUTED_VALUE"""),"walkin")</f>
        <v>walkin</v>
      </c>
      <c r="Y2493" s="124" t="str">
        <f>IFERROR(__xludf.DUMMYFUNCTION("""COMPUTED_VALUE"""),"Delhi")</f>
        <v>Delhi</v>
      </c>
      <c r="Z2493" s="124">
        <f>IFERROR(__xludf.DUMMYFUNCTION("""COMPUTED_VALUE"""),1.0)</f>
        <v>1</v>
      </c>
      <c r="AA2493" s="124" t="str">
        <f>IFERROR(__xludf.DUMMYFUNCTION("""COMPUTED_VALUE"""),"Not Interested")</f>
        <v>Not Interested</v>
      </c>
      <c r="AB2493" s="124" t="str">
        <f>IFERROR(__xludf.DUMMYFUNCTION("""COMPUTED_VALUE"""),"State PCS")</f>
        <v>State PCS</v>
      </c>
    </row>
    <row r="2494">
      <c r="K2494" s="124"/>
      <c r="L2494" s="124"/>
      <c r="M2494" s="124"/>
      <c r="N2494" s="124"/>
      <c r="O2494" s="124"/>
      <c r="T2494" s="126">
        <f>IFERROR(__xludf.DUMMYFUNCTION("""COMPUTED_VALUE"""),46066.0)</f>
        <v>46066</v>
      </c>
      <c r="U2494" s="124" t="str">
        <f>IFERROR(__xludf.DUMMYFUNCTION("""COMPUTED_VALUE"""),"Walk-Ins")</f>
        <v>Walk-Ins</v>
      </c>
      <c r="V2494" s="124" t="str">
        <f>IFERROR(__xludf.DUMMYFUNCTION("""COMPUTED_VALUE"""),"Walkin")</f>
        <v>Walkin</v>
      </c>
      <c r="W2494" s="124" t="str">
        <f>IFERROR(__xludf.DUMMYFUNCTION("""COMPUTED_VALUE"""),"Delhi")</f>
        <v>Delhi</v>
      </c>
      <c r="X2494" s="124" t="str">
        <f>IFERROR(__xludf.DUMMYFUNCTION("""COMPUTED_VALUE"""),"walkin")</f>
        <v>walkin</v>
      </c>
      <c r="Y2494" s="124" t="str">
        <f>IFERROR(__xludf.DUMMYFUNCTION("""COMPUTED_VALUE"""),"Delhi")</f>
        <v>Delhi</v>
      </c>
      <c r="Z2494" s="124">
        <f>IFERROR(__xludf.DUMMYFUNCTION("""COMPUTED_VALUE"""),2.0)</f>
        <v>2</v>
      </c>
      <c r="AA2494" s="124" t="str">
        <f>IFERROR(__xludf.DUMMYFUNCTION("""COMPUTED_VALUE"""),"Future Prospects")</f>
        <v>Future Prospects</v>
      </c>
      <c r="AB2494" s="124" t="str">
        <f>IFERROR(__xludf.DUMMYFUNCTION("""COMPUTED_VALUE"""),"GS Foundation")</f>
        <v>GS Foundation</v>
      </c>
    </row>
    <row r="2495">
      <c r="K2495" s="124"/>
      <c r="L2495" s="124"/>
      <c r="M2495" s="124"/>
      <c r="N2495" s="124"/>
      <c r="O2495" s="124"/>
      <c r="T2495" s="126">
        <f>IFERROR(__xludf.DUMMYFUNCTION("""COMPUTED_VALUE"""),46049.0)</f>
        <v>46049</v>
      </c>
      <c r="U2495" s="124" t="str">
        <f>IFERROR(__xludf.DUMMYFUNCTION("""COMPUTED_VALUE"""),"External Leads")</f>
        <v>External Leads</v>
      </c>
      <c r="V2495" s="124" t="str">
        <f>IFERROR(__xludf.DUMMYFUNCTION("""COMPUTED_VALUE"""),"external leads")</f>
        <v>external leads</v>
      </c>
      <c r="W2495" s="124" t="str">
        <f>IFERROR(__xludf.DUMMYFUNCTION("""COMPUTED_VALUE"""),"prayagraj")</f>
        <v>prayagraj</v>
      </c>
      <c r="X2495" s="124" t="str">
        <f>IFERROR(__xludf.DUMMYFUNCTION("""COMPUTED_VALUE"""),"piyushunacademy")</f>
        <v>piyushunacademy</v>
      </c>
      <c r="Y2495" s="124" t="str">
        <f>IFERROR(__xludf.DUMMYFUNCTION("""COMPUTED_VALUE"""),"Prayagraj")</f>
        <v>Prayagraj</v>
      </c>
      <c r="Z2495" s="124">
        <f>IFERROR(__xludf.DUMMYFUNCTION("""COMPUTED_VALUE"""),1.0)</f>
        <v>1</v>
      </c>
      <c r="AA2495" s="124"/>
      <c r="AB2495" s="124" t="str">
        <f>IFERROR(__xludf.DUMMYFUNCTION("""COMPUTED_VALUE"""),"State PCS")</f>
        <v>State PCS</v>
      </c>
    </row>
    <row r="2496">
      <c r="K2496" s="124"/>
      <c r="L2496" s="124"/>
      <c r="M2496" s="124"/>
      <c r="N2496" s="124"/>
      <c r="O2496" s="124"/>
      <c r="T2496" s="126">
        <f>IFERROR(__xludf.DUMMYFUNCTION("""COMPUTED_VALUE"""),46076.0)</f>
        <v>46076</v>
      </c>
      <c r="U2496" s="124" t="str">
        <f>IFERROR(__xludf.DUMMYFUNCTION("""COMPUTED_VALUE"""),"External Leads")</f>
        <v>External Leads</v>
      </c>
      <c r="V2496" s="124" t="str">
        <f>IFERROR(__xludf.DUMMYFUNCTION("""COMPUTED_VALUE"""),"Outbound Call")</f>
        <v>Outbound Call</v>
      </c>
      <c r="W2496" s="124" t="str">
        <f>IFERROR(__xludf.DUMMYFUNCTION("""COMPUTED_VALUE"""),"Outbound Call")</f>
        <v>Outbound Call</v>
      </c>
      <c r="X2496" s="124" t="str">
        <f>IFERROR(__xludf.DUMMYFUNCTION("""COMPUTED_VALUE"""),"Outbound Call")</f>
        <v>Outbound Call</v>
      </c>
      <c r="Y2496" s="124" t="str">
        <f>IFERROR(__xludf.DUMMYFUNCTION("""COMPUTED_VALUE"""),"Prayagraj")</f>
        <v>Prayagraj</v>
      </c>
      <c r="Z2496" s="124">
        <f>IFERROR(__xludf.DUMMYFUNCTION("""COMPUTED_VALUE"""),2.0)</f>
        <v>2</v>
      </c>
      <c r="AA2496" s="124" t="str">
        <f>IFERROR(__xludf.DUMMYFUNCTION("""COMPUTED_VALUE"""),"Warm")</f>
        <v>Warm</v>
      </c>
      <c r="AB2496" s="124" t="str">
        <f>IFERROR(__xludf.DUMMYFUNCTION("""COMPUTED_VALUE"""),"GS Foundation")</f>
        <v>GS Foundation</v>
      </c>
    </row>
    <row r="2497">
      <c r="K2497" s="124"/>
      <c r="L2497" s="124"/>
      <c r="M2497" s="124"/>
      <c r="N2497" s="124"/>
      <c r="O2497" s="124"/>
      <c r="T2497" s="129">
        <f>IFERROR(__xludf.DUMMYFUNCTION("""COMPUTED_VALUE"""),46071.0)</f>
        <v>46071</v>
      </c>
      <c r="U2497" s="124" t="str">
        <f>IFERROR(__xludf.DUMMYFUNCTION("""COMPUTED_VALUE"""),"External Leads")</f>
        <v>External Leads</v>
      </c>
      <c r="V2497" s="124" t="str">
        <f>IFERROR(__xludf.DUMMYFUNCTION("""COMPUTED_VALUE"""),"Outbound Call")</f>
        <v>Outbound Call</v>
      </c>
      <c r="W2497" s="124" t="str">
        <f>IFERROR(__xludf.DUMMYFUNCTION("""COMPUTED_VALUE"""),"Outbound Call")</f>
        <v>Outbound Call</v>
      </c>
      <c r="X2497" s="124" t="str">
        <f>IFERROR(__xludf.DUMMYFUNCTION("""COMPUTED_VALUE"""),"Outbound Call")</f>
        <v>Outbound Call</v>
      </c>
      <c r="Y2497" s="124" t="str">
        <f>IFERROR(__xludf.DUMMYFUNCTION("""COMPUTED_VALUE"""),"Indore")</f>
        <v>Indore</v>
      </c>
      <c r="Z2497" s="124">
        <f>IFERROR(__xludf.DUMMYFUNCTION("""COMPUTED_VALUE"""),1.0)</f>
        <v>1</v>
      </c>
      <c r="AA2497" s="124" t="str">
        <f>IFERROR(__xludf.DUMMYFUNCTION("""COMPUTED_VALUE"""),"Not Interested")</f>
        <v>Not Interested</v>
      </c>
      <c r="AB2497" s="124" t="str">
        <f>IFERROR(__xludf.DUMMYFUNCTION("""COMPUTED_VALUE"""),"State PCS")</f>
        <v>State PCS</v>
      </c>
    </row>
    <row r="2498">
      <c r="K2498" s="124"/>
      <c r="L2498" s="124"/>
      <c r="M2498" s="124"/>
      <c r="N2498" s="124"/>
      <c r="O2498" s="124"/>
      <c r="T2498" s="126">
        <f>IFERROR(__xludf.DUMMYFUNCTION("""COMPUTED_VALUE"""),46053.0)</f>
        <v>46053</v>
      </c>
      <c r="U2498" s="124" t="str">
        <f>IFERROR(__xludf.DUMMYFUNCTION("""COMPUTED_VALUE"""),"Event")</f>
        <v>Event</v>
      </c>
      <c r="V2498" s="124" t="str">
        <f>IFERROR(__xludf.DUMMYFUNCTION("""COMPUTED_VALUE"""),"whatsapp")</f>
        <v>whatsapp</v>
      </c>
      <c r="W2498" s="124" t="str">
        <f>IFERROR(__xludf.DUMMYFUNCTION("""COMPUTED_VALUE"""),"api")</f>
        <v>api</v>
      </c>
      <c r="X2498" s="124" t="str">
        <f>IFERROR(__xludf.DUMMYFUNCTION("""COMPUTED_VALUE"""),"reply")</f>
        <v>reply</v>
      </c>
      <c r="Y2498" s="124"/>
      <c r="Z2498" s="124">
        <f>IFERROR(__xludf.DUMMYFUNCTION("""COMPUTED_VALUE"""),1.0)</f>
        <v>1</v>
      </c>
      <c r="AA2498" s="124" t="str">
        <f>IFERROR(__xludf.DUMMYFUNCTION("""COMPUTED_VALUE"""),"Not Interested")</f>
        <v>Not Interested</v>
      </c>
      <c r="AB2498" s="124"/>
    </row>
    <row r="2499">
      <c r="K2499" s="124"/>
      <c r="L2499" s="124"/>
      <c r="M2499" s="124"/>
      <c r="N2499" s="124"/>
      <c r="O2499" s="124"/>
      <c r="T2499" s="126">
        <f>IFERROR(__xludf.DUMMYFUNCTION("""COMPUTED_VALUE"""),46050.0)</f>
        <v>46050</v>
      </c>
      <c r="U2499" s="124" t="str">
        <f>IFERROR(__xludf.DUMMYFUNCTION("""COMPUTED_VALUE"""),"Event")</f>
        <v>Event</v>
      </c>
      <c r="V2499" s="124" t="str">
        <f>IFERROR(__xludf.DUMMYFUNCTION("""COMPUTED_VALUE"""),"whatsapp")</f>
        <v>whatsapp</v>
      </c>
      <c r="W2499" s="124" t="str">
        <f>IFERROR(__xludf.DUMMYFUNCTION("""COMPUTED_VALUE"""),"api")</f>
        <v>api</v>
      </c>
      <c r="X2499" s="124" t="str">
        <f>IFERROR(__xludf.DUMMYFUNCTION("""COMPUTED_VALUE"""),"reply")</f>
        <v>reply</v>
      </c>
      <c r="Y2499" s="124"/>
      <c r="Z2499" s="124">
        <f>IFERROR(__xludf.DUMMYFUNCTION("""COMPUTED_VALUE"""),1.0)</f>
        <v>1</v>
      </c>
      <c r="AA2499" s="124" t="str">
        <f>IFERROR(__xludf.DUMMYFUNCTION("""COMPUTED_VALUE"""),"Cold")</f>
        <v>Cold</v>
      </c>
      <c r="AB2499" s="124"/>
    </row>
    <row r="2500">
      <c r="K2500" s="124"/>
      <c r="L2500" s="124"/>
      <c r="M2500" s="124"/>
      <c r="N2500" s="124"/>
      <c r="O2500" s="124"/>
      <c r="T2500" s="126">
        <f>IFERROR(__xludf.DUMMYFUNCTION("""COMPUTED_VALUE"""),46060.0)</f>
        <v>46060</v>
      </c>
      <c r="U2500" s="124" t="str">
        <f>IFERROR(__xludf.DUMMYFUNCTION("""COMPUTED_VALUE"""),"External Leads")</f>
        <v>External Leads</v>
      </c>
      <c r="V2500" s="124" t="str">
        <f>IFERROR(__xludf.DUMMYFUNCTION("""COMPUTED_VALUE"""),"Outbound Call")</f>
        <v>Outbound Call</v>
      </c>
      <c r="W2500" s="124" t="str">
        <f>IFERROR(__xludf.DUMMYFUNCTION("""COMPUTED_VALUE"""),"Outbound Call")</f>
        <v>Outbound Call</v>
      </c>
      <c r="X2500" s="124" t="str">
        <f>IFERROR(__xludf.DUMMYFUNCTION("""COMPUTED_VALUE"""),"Outbound Call")</f>
        <v>Outbound Call</v>
      </c>
      <c r="Y2500" s="124"/>
      <c r="Z2500" s="124">
        <f>IFERROR(__xludf.DUMMYFUNCTION("""COMPUTED_VALUE"""),1.0)</f>
        <v>1</v>
      </c>
      <c r="AA2500" s="124"/>
      <c r="AB2500" s="124"/>
    </row>
    <row r="2501">
      <c r="K2501" s="124"/>
      <c r="L2501" s="124"/>
      <c r="M2501" s="124"/>
      <c r="N2501" s="124"/>
      <c r="O2501" s="124"/>
      <c r="T2501" s="126">
        <f>IFERROR(__xludf.DUMMYFUNCTION("""COMPUTED_VALUE"""),46064.0)</f>
        <v>46064</v>
      </c>
      <c r="U2501" s="124" t="str">
        <f>IFERROR(__xludf.DUMMYFUNCTION("""COMPUTED_VALUE"""),"External Leads")</f>
        <v>External Leads</v>
      </c>
      <c r="V2501" s="124" t="str">
        <f>IFERROR(__xludf.DUMMYFUNCTION("""COMPUTED_VALUE"""),"Outbound Call")</f>
        <v>Outbound Call</v>
      </c>
      <c r="W2501" s="124" t="str">
        <f>IFERROR(__xludf.DUMMYFUNCTION("""COMPUTED_VALUE"""),"Outbound Call")</f>
        <v>Outbound Call</v>
      </c>
      <c r="X2501" s="124" t="str">
        <f>IFERROR(__xludf.DUMMYFUNCTION("""COMPUTED_VALUE"""),"Outbound Call")</f>
        <v>Outbound Call</v>
      </c>
      <c r="Y2501" s="124"/>
      <c r="Z2501" s="124">
        <f>IFERROR(__xludf.DUMMYFUNCTION("""COMPUTED_VALUE"""),2.0)</f>
        <v>2</v>
      </c>
      <c r="AA2501" s="124"/>
      <c r="AB2501" s="124"/>
    </row>
    <row r="2502">
      <c r="K2502" s="124"/>
      <c r="L2502" s="124"/>
      <c r="M2502" s="124"/>
      <c r="N2502" s="124"/>
      <c r="O2502" s="124"/>
      <c r="T2502" s="126">
        <f>IFERROR(__xludf.DUMMYFUNCTION("""COMPUTED_VALUE"""),46105.0)</f>
        <v>46105</v>
      </c>
      <c r="U2502" s="124" t="str">
        <f>IFERROR(__xludf.DUMMYFUNCTION("""COMPUTED_VALUE"""),"Event")</f>
        <v>Event</v>
      </c>
      <c r="V2502" s="124" t="str">
        <f>IFERROR(__xludf.DUMMYFUNCTION("""COMPUTED_VALUE"""),"whatsapp")</f>
        <v>whatsapp</v>
      </c>
      <c r="W2502" s="124" t="str">
        <f>IFERROR(__xludf.DUMMYFUNCTION("""COMPUTED_VALUE"""),"api")</f>
        <v>api</v>
      </c>
      <c r="X2502" s="124" t="str">
        <f>IFERROR(__xludf.DUMMYFUNCTION("""COMPUTED_VALUE"""),"reply")</f>
        <v>reply</v>
      </c>
      <c r="Y2502" s="124" t="str">
        <f>IFERROR(__xludf.DUMMYFUNCTION("""COMPUTED_VALUE"""),"Delhi")</f>
        <v>Delhi</v>
      </c>
      <c r="Z2502" s="124">
        <f>IFERROR(__xludf.DUMMYFUNCTION("""COMPUTED_VALUE"""),2.0)</f>
        <v>2</v>
      </c>
      <c r="AA2502" s="124" t="str">
        <f>IFERROR(__xludf.DUMMYFUNCTION("""COMPUTED_VALUE"""),"Cold")</f>
        <v>Cold</v>
      </c>
      <c r="AB2502" s="124"/>
    </row>
    <row r="2503">
      <c r="K2503" s="124"/>
      <c r="L2503" s="124"/>
      <c r="M2503" s="124"/>
      <c r="N2503" s="124"/>
      <c r="O2503" s="124"/>
      <c r="T2503" s="129">
        <f>IFERROR(__xludf.DUMMYFUNCTION("""COMPUTED_VALUE"""),46064.0)</f>
        <v>46064</v>
      </c>
      <c r="U2503" s="124" t="str">
        <f>IFERROR(__xludf.DUMMYFUNCTION("""COMPUTED_VALUE"""),"Event")</f>
        <v>Event</v>
      </c>
      <c r="V2503" s="124" t="str">
        <f>IFERROR(__xludf.DUMMYFUNCTION("""COMPUTED_VALUE"""),"whatsapp")</f>
        <v>whatsapp</v>
      </c>
      <c r="W2503" s="124" t="str">
        <f>IFERROR(__xludf.DUMMYFUNCTION("""COMPUTED_VALUE"""),"api")</f>
        <v>api</v>
      </c>
      <c r="X2503" s="124" t="str">
        <f>IFERROR(__xludf.DUMMYFUNCTION("""COMPUTED_VALUE"""),"reply")</f>
        <v>reply</v>
      </c>
      <c r="Y2503" s="124" t="str">
        <f>IFERROR(__xludf.DUMMYFUNCTION("""COMPUTED_VALUE"""),"Delhi")</f>
        <v>Delhi</v>
      </c>
      <c r="Z2503" s="124">
        <f>IFERROR(__xludf.DUMMYFUNCTION("""COMPUTED_VALUE"""),1.0)</f>
        <v>1</v>
      </c>
      <c r="AA2503" s="124" t="str">
        <f>IFERROR(__xludf.DUMMYFUNCTION("""COMPUTED_VALUE"""),"Not Interested")</f>
        <v>Not Interested</v>
      </c>
      <c r="AB2503" s="124" t="str">
        <f>IFERROR(__xludf.DUMMYFUNCTION("""COMPUTED_VALUE"""),"IGP UPPSC")</f>
        <v>IGP UPPSC</v>
      </c>
    </row>
    <row r="2504">
      <c r="K2504" s="124"/>
      <c r="L2504" s="124"/>
      <c r="M2504" s="124"/>
      <c r="N2504" s="124"/>
      <c r="O2504" s="124"/>
      <c r="T2504" s="126">
        <f>IFERROR(__xludf.DUMMYFUNCTION("""COMPUTED_VALUE"""),46091.0)</f>
        <v>46091</v>
      </c>
      <c r="U2504" s="124" t="str">
        <f>IFERROR(__xludf.DUMMYFUNCTION("""COMPUTED_VALUE"""),"Event")</f>
        <v>Event</v>
      </c>
      <c r="V2504" s="124" t="str">
        <f>IFERROR(__xludf.DUMMYFUNCTION("""COMPUTED_VALUE"""),"whatsapp")</f>
        <v>whatsapp</v>
      </c>
      <c r="W2504" s="124" t="str">
        <f>IFERROR(__xludf.DUMMYFUNCTION("""COMPUTED_VALUE"""),"api")</f>
        <v>api</v>
      </c>
      <c r="X2504" s="124" t="str">
        <f>IFERROR(__xludf.DUMMYFUNCTION("""COMPUTED_VALUE"""),"reply")</f>
        <v>reply</v>
      </c>
      <c r="Y2504" s="124"/>
      <c r="Z2504" s="124">
        <f>IFERROR(__xludf.DUMMYFUNCTION("""COMPUTED_VALUE"""),1.0)</f>
        <v>1</v>
      </c>
      <c r="AA2504" s="124" t="str">
        <f>IFERROR(__xludf.DUMMYFUNCTION("""COMPUTED_VALUE"""),"Cold")</f>
        <v>Cold</v>
      </c>
      <c r="AB2504" s="124"/>
    </row>
    <row r="2505">
      <c r="K2505" s="124"/>
      <c r="L2505" s="124"/>
      <c r="M2505" s="124"/>
      <c r="N2505" s="124"/>
      <c r="O2505" s="124"/>
      <c r="T2505" s="129">
        <f>IFERROR(__xludf.DUMMYFUNCTION("""COMPUTED_VALUE"""),46075.0)</f>
        <v>46075</v>
      </c>
      <c r="U2505" s="124" t="str">
        <f>IFERROR(__xludf.DUMMYFUNCTION("""COMPUTED_VALUE"""),"External Leads")</f>
        <v>External Leads</v>
      </c>
      <c r="V2505" s="124" t="str">
        <f>IFERROR(__xludf.DUMMYFUNCTION("""COMPUTED_VALUE"""),"Outbound Call")</f>
        <v>Outbound Call</v>
      </c>
      <c r="W2505" s="124" t="str">
        <f>IFERROR(__xludf.DUMMYFUNCTION("""COMPUTED_VALUE"""),"Outbound Call")</f>
        <v>Outbound Call</v>
      </c>
      <c r="X2505" s="124" t="str">
        <f>IFERROR(__xludf.DUMMYFUNCTION("""COMPUTED_VALUE"""),"Outbound Call")</f>
        <v>Outbound Call</v>
      </c>
      <c r="Y2505" s="124"/>
      <c r="Z2505" s="124">
        <f>IFERROR(__xludf.DUMMYFUNCTION("""COMPUTED_VALUE"""),1.0)</f>
        <v>1</v>
      </c>
      <c r="AA2505" s="124"/>
      <c r="AB2505" s="124"/>
    </row>
    <row r="2506">
      <c r="K2506" s="124"/>
      <c r="L2506" s="124"/>
      <c r="M2506" s="124"/>
      <c r="N2506" s="124"/>
      <c r="O2506" s="124"/>
      <c r="T2506" s="126">
        <f>IFERROR(__xludf.DUMMYFUNCTION("""COMPUTED_VALUE"""),46078.0)</f>
        <v>46078</v>
      </c>
      <c r="U2506" s="124" t="str">
        <f>IFERROR(__xludf.DUMMYFUNCTION("""COMPUTED_VALUE"""),"External Leads")</f>
        <v>External Leads</v>
      </c>
      <c r="V2506" s="124" t="str">
        <f>IFERROR(__xludf.DUMMYFUNCTION("""COMPUTED_VALUE"""),"Outbound Call")</f>
        <v>Outbound Call</v>
      </c>
      <c r="W2506" s="124" t="str">
        <f>IFERROR(__xludf.DUMMYFUNCTION("""COMPUTED_VALUE"""),"Outbound Call")</f>
        <v>Outbound Call</v>
      </c>
      <c r="X2506" s="124" t="str">
        <f>IFERROR(__xludf.DUMMYFUNCTION("""COMPUTED_VALUE"""),"Outbound Call")</f>
        <v>Outbound Call</v>
      </c>
      <c r="Y2506" s="124"/>
      <c r="Z2506" s="124">
        <f>IFERROR(__xludf.DUMMYFUNCTION("""COMPUTED_VALUE"""),1.0)</f>
        <v>1</v>
      </c>
      <c r="AA2506" s="124"/>
      <c r="AB2506" s="124"/>
    </row>
    <row r="2507">
      <c r="K2507" s="124"/>
      <c r="L2507" s="124"/>
      <c r="M2507" s="124"/>
      <c r="N2507" s="124"/>
      <c r="O2507" s="124"/>
      <c r="T2507" s="126">
        <f>IFERROR(__xludf.DUMMYFUNCTION("""COMPUTED_VALUE"""),46106.0)</f>
        <v>46106</v>
      </c>
      <c r="U2507" s="124" t="str">
        <f>IFERROR(__xludf.DUMMYFUNCTION("""COMPUTED_VALUE"""),"External Leads")</f>
        <v>External Leads</v>
      </c>
      <c r="V2507" s="124" t="str">
        <f>IFERROR(__xludf.DUMMYFUNCTION("""COMPUTED_VALUE"""),"Outbound Call")</f>
        <v>Outbound Call</v>
      </c>
      <c r="W2507" s="124" t="str">
        <f>IFERROR(__xludf.DUMMYFUNCTION("""COMPUTED_VALUE"""),"Outbound Call")</f>
        <v>Outbound Call</v>
      </c>
      <c r="X2507" s="124" t="str">
        <f>IFERROR(__xludf.DUMMYFUNCTION("""COMPUTED_VALUE"""),"Outbound Call")</f>
        <v>Outbound Call</v>
      </c>
      <c r="Y2507" s="124"/>
      <c r="Z2507" s="124">
        <f>IFERROR(__xludf.DUMMYFUNCTION("""COMPUTED_VALUE"""),1.0)</f>
        <v>1</v>
      </c>
      <c r="AA2507" s="124"/>
      <c r="AB2507" s="124"/>
    </row>
    <row r="2508">
      <c r="K2508" s="124"/>
      <c r="L2508" s="124"/>
      <c r="M2508" s="124"/>
      <c r="N2508" s="124"/>
      <c r="O2508" s="124"/>
      <c r="T2508" s="129">
        <f>IFERROR(__xludf.DUMMYFUNCTION("""COMPUTED_VALUE"""),46079.0)</f>
        <v>46079</v>
      </c>
      <c r="U2508" s="124" t="str">
        <f>IFERROR(__xludf.DUMMYFUNCTION("""COMPUTED_VALUE"""),"Event")</f>
        <v>Event</v>
      </c>
      <c r="V2508" s="124" t="str">
        <f>IFERROR(__xludf.DUMMYFUNCTION("""COMPUTED_VALUE"""),"Events")</f>
        <v>Events</v>
      </c>
      <c r="W2508" s="124" t="str">
        <f>IFERROR(__xludf.DUMMYFUNCTION("""COMPUTED_VALUE"""),"All Centre")</f>
        <v>All Centre</v>
      </c>
      <c r="X2508" s="124" t="str">
        <f>IFERROR(__xludf.DUMMYFUNCTION("""COMPUTED_VALUE"""),"Generic")</f>
        <v>Generic</v>
      </c>
      <c r="Y2508" s="124" t="str">
        <f>IFERROR(__xludf.DUMMYFUNCTION("""COMPUTED_VALUE"""),"Delhi")</f>
        <v>Delhi</v>
      </c>
      <c r="Z2508" s="124">
        <f>IFERROR(__xludf.DUMMYFUNCTION("""COMPUTED_VALUE"""),1.0)</f>
        <v>1</v>
      </c>
      <c r="AA2508" s="124" t="str">
        <f>IFERROR(__xludf.DUMMYFUNCTION("""COMPUTED_VALUE"""),"Warm")</f>
        <v>Warm</v>
      </c>
      <c r="AB2508" s="124" t="str">
        <f>IFERROR(__xludf.DUMMYFUNCTION("""COMPUTED_VALUE"""),"Prelims Crash Course - SIP")</f>
        <v>Prelims Crash Course - SIP</v>
      </c>
    </row>
    <row r="2509">
      <c r="K2509" s="124"/>
      <c r="L2509" s="124"/>
      <c r="M2509" s="124"/>
      <c r="N2509" s="124"/>
      <c r="O2509" s="124"/>
      <c r="T2509" s="126">
        <f>IFERROR(__xludf.DUMMYFUNCTION("""COMPUTED_VALUE"""),46078.0)</f>
        <v>46078</v>
      </c>
      <c r="U2509" s="124" t="str">
        <f>IFERROR(__xludf.DUMMYFUNCTION("""COMPUTED_VALUE"""),"Event")</f>
        <v>Event</v>
      </c>
      <c r="V2509" s="124" t="str">
        <f>IFERROR(__xludf.DUMMYFUNCTION("""COMPUTED_VALUE"""),"Events")</f>
        <v>Events</v>
      </c>
      <c r="W2509" s="124" t="str">
        <f>IFERROR(__xludf.DUMMYFUNCTION("""COMPUTED_VALUE"""),"All Centre")</f>
        <v>All Centre</v>
      </c>
      <c r="X2509" s="124" t="str">
        <f>IFERROR(__xludf.DUMMYFUNCTION("""COMPUTED_VALUE"""),"Generic")</f>
        <v>Generic</v>
      </c>
      <c r="Y2509" s="124" t="str">
        <f>IFERROR(__xludf.DUMMYFUNCTION("""COMPUTED_VALUE"""),"Patna")</f>
        <v>Patna</v>
      </c>
      <c r="Z2509" s="124">
        <f>IFERROR(__xludf.DUMMYFUNCTION("""COMPUTED_VALUE"""),1.0)</f>
        <v>1</v>
      </c>
      <c r="AA2509" s="124" t="str">
        <f>IFERROR(__xludf.DUMMYFUNCTION("""COMPUTED_VALUE"""),"Not Interested")</f>
        <v>Not Interested</v>
      </c>
      <c r="AB2509" s="124" t="str">
        <f>IFERROR(__xludf.DUMMYFUNCTION("""COMPUTED_VALUE"""),"GS Foundation")</f>
        <v>GS Foundation</v>
      </c>
    </row>
    <row r="2510">
      <c r="K2510" s="124"/>
      <c r="L2510" s="124"/>
      <c r="M2510" s="124"/>
      <c r="N2510" s="124"/>
      <c r="O2510" s="124"/>
      <c r="T2510" s="126">
        <f>IFERROR(__xludf.DUMMYFUNCTION("""COMPUTED_VALUE"""),46057.0)</f>
        <v>46057</v>
      </c>
      <c r="U2510" s="124" t="str">
        <f>IFERROR(__xludf.DUMMYFUNCTION("""COMPUTED_VALUE"""),"Event")</f>
        <v>Event</v>
      </c>
      <c r="V2510" s="124" t="str">
        <f>IFERROR(__xludf.DUMMYFUNCTION("""COMPUTED_VALUE"""),"Events")</f>
        <v>Events</v>
      </c>
      <c r="W2510" s="124" t="str">
        <f>IFERROR(__xludf.DUMMYFUNCTION("""COMPUTED_VALUE"""),"Delhi")</f>
        <v>Delhi</v>
      </c>
      <c r="X2510" s="124" t="str">
        <f>IFERROR(__xludf.DUMMYFUNCTION("""COMPUTED_VALUE"""),"DRCSEMINAR(CTC)")</f>
        <v>DRCSEMINAR(CTC)</v>
      </c>
      <c r="Y2510" s="124" t="str">
        <f>IFERROR(__xludf.DUMMYFUNCTION("""COMPUTED_VALUE"""),"Delhi")</f>
        <v>Delhi</v>
      </c>
      <c r="Z2510" s="124">
        <f>IFERROR(__xludf.DUMMYFUNCTION("""COMPUTED_VALUE"""),1.0)</f>
        <v>1</v>
      </c>
      <c r="AA2510" s="124" t="str">
        <f>IFERROR(__xludf.DUMMYFUNCTION("""COMPUTED_VALUE"""),"Cold")</f>
        <v>Cold</v>
      </c>
      <c r="AB2510" s="124" t="str">
        <f>IFERROR(__xludf.DUMMYFUNCTION("""COMPUTED_VALUE"""),"Hybrid")</f>
        <v>Hybrid</v>
      </c>
    </row>
    <row r="2511">
      <c r="K2511" s="124"/>
      <c r="L2511" s="124"/>
      <c r="M2511" s="124"/>
      <c r="N2511" s="124"/>
      <c r="O2511" s="124"/>
      <c r="T2511" s="126">
        <f>IFERROR(__xludf.DUMMYFUNCTION("""COMPUTED_VALUE"""),46065.0)</f>
        <v>46065</v>
      </c>
      <c r="U2511" s="124" t="str">
        <f>IFERROR(__xludf.DUMMYFUNCTION("""COMPUTED_VALUE"""),"Event")</f>
        <v>Event</v>
      </c>
      <c r="V2511" s="124" t="str">
        <f>IFERROR(__xludf.DUMMYFUNCTION("""COMPUTED_VALUE"""),"Events")</f>
        <v>Events</v>
      </c>
      <c r="W2511" s="124" t="str">
        <f>IFERROR(__xludf.DUMMYFUNCTION("""COMPUTED_VALUE"""),"All Centre")</f>
        <v>All Centre</v>
      </c>
      <c r="X2511" s="124" t="str">
        <f>IFERROR(__xludf.DUMMYFUNCTION("""COMPUTED_VALUE"""),"Generic")</f>
        <v>Generic</v>
      </c>
      <c r="Y2511" s="124" t="str">
        <f>IFERROR(__xludf.DUMMYFUNCTION("""COMPUTED_VALUE"""),"Prayagraj")</f>
        <v>Prayagraj</v>
      </c>
      <c r="Z2511" s="124">
        <f>IFERROR(__xludf.DUMMYFUNCTION("""COMPUTED_VALUE"""),1.0)</f>
        <v>1</v>
      </c>
      <c r="AA2511" s="124" t="str">
        <f>IFERROR(__xludf.DUMMYFUNCTION("""COMPUTED_VALUE"""),"Cold")</f>
        <v>Cold</v>
      </c>
      <c r="AB2511" s="124" t="str">
        <f>IFERROR(__xludf.DUMMYFUNCTION("""COMPUTED_VALUE"""),"CSAT")</f>
        <v>CSAT</v>
      </c>
    </row>
    <row r="2512">
      <c r="K2512" s="124"/>
      <c r="L2512" s="124"/>
      <c r="M2512" s="124"/>
      <c r="N2512" s="124"/>
      <c r="O2512" s="124"/>
      <c r="T2512" s="126">
        <f>IFERROR(__xludf.DUMMYFUNCTION("""COMPUTED_VALUE"""),46057.0)</f>
        <v>46057</v>
      </c>
      <c r="U2512" s="124" t="str">
        <f>IFERROR(__xludf.DUMMYFUNCTION("""COMPUTED_VALUE"""),"Event")</f>
        <v>Event</v>
      </c>
      <c r="V2512" s="124" t="str">
        <f>IFERROR(__xludf.DUMMYFUNCTION("""COMPUTED_VALUE"""),"Events")</f>
        <v>Events</v>
      </c>
      <c r="W2512" s="124" t="str">
        <f>IFERROR(__xludf.DUMMYFUNCTION("""COMPUTED_VALUE"""),"All Centre")</f>
        <v>All Centre</v>
      </c>
      <c r="X2512" s="124" t="str">
        <f>IFERROR(__xludf.DUMMYFUNCTION("""COMPUTED_VALUE"""),"Generic")</f>
        <v>Generic</v>
      </c>
      <c r="Y2512" s="124" t="str">
        <f>IFERROR(__xludf.DUMMYFUNCTION("""COMPUTED_VALUE"""),"Delhi")</f>
        <v>Delhi</v>
      </c>
      <c r="Z2512" s="124">
        <f>IFERROR(__xludf.DUMMYFUNCTION("""COMPUTED_VALUE"""),1.0)</f>
        <v>1</v>
      </c>
      <c r="AA2512" s="124" t="str">
        <f>IFERROR(__xludf.DUMMYFUNCTION("""COMPUTED_VALUE"""),"Fake Lead")</f>
        <v>Fake Lead</v>
      </c>
      <c r="AB2512" s="124" t="str">
        <f>IFERROR(__xludf.DUMMYFUNCTION("""COMPUTED_VALUE"""),"Other")</f>
        <v>Other</v>
      </c>
    </row>
    <row r="2513">
      <c r="K2513" s="124"/>
      <c r="L2513" s="124"/>
      <c r="M2513" s="124"/>
      <c r="N2513" s="124"/>
      <c r="O2513" s="124"/>
      <c r="T2513" s="129">
        <f>IFERROR(__xludf.DUMMYFUNCTION("""COMPUTED_VALUE"""),46052.0)</f>
        <v>46052</v>
      </c>
      <c r="U2513" s="124" t="str">
        <f>IFERROR(__xludf.DUMMYFUNCTION("""COMPUTED_VALUE"""),"Event")</f>
        <v>Event</v>
      </c>
      <c r="V2513" s="124" t="str">
        <f>IFERROR(__xludf.DUMMYFUNCTION("""COMPUTED_VALUE"""),"Events")</f>
        <v>Events</v>
      </c>
      <c r="W2513" s="124" t="str">
        <f>IFERROR(__xludf.DUMMYFUNCTION("""COMPUTED_VALUE"""),"Delhi")</f>
        <v>Delhi</v>
      </c>
      <c r="X2513" s="124" t="str">
        <f>IFERROR(__xludf.DUMMYFUNCTION("""COMPUTED_VALUE"""),"DRCSEMINAR(CTC)")</f>
        <v>DRCSEMINAR(CTC)</v>
      </c>
      <c r="Y2513" s="124" t="str">
        <f>IFERROR(__xludf.DUMMYFUNCTION("""COMPUTED_VALUE"""),"Delhi")</f>
        <v>Delhi</v>
      </c>
      <c r="Z2513" s="124">
        <f>IFERROR(__xludf.DUMMYFUNCTION("""COMPUTED_VALUE"""),1.0)</f>
        <v>1</v>
      </c>
      <c r="AA2513" s="124" t="str">
        <f>IFERROR(__xludf.DUMMYFUNCTION("""COMPUTED_VALUE"""),"Warm")</f>
        <v>Warm</v>
      </c>
      <c r="AB2513" s="124"/>
    </row>
    <row r="2514">
      <c r="K2514" s="124"/>
      <c r="L2514" s="124"/>
      <c r="M2514" s="124"/>
      <c r="N2514" s="124"/>
      <c r="O2514" s="124"/>
      <c r="T2514" s="129">
        <f>IFERROR(__xludf.DUMMYFUNCTION("""COMPUTED_VALUE"""),46057.0)</f>
        <v>46057</v>
      </c>
      <c r="U2514" s="124" t="str">
        <f>IFERROR(__xludf.DUMMYFUNCTION("""COMPUTED_VALUE"""),"Event")</f>
        <v>Event</v>
      </c>
      <c r="V2514" s="124" t="str">
        <f>IFERROR(__xludf.DUMMYFUNCTION("""COMPUTED_VALUE"""),"Events")</f>
        <v>Events</v>
      </c>
      <c r="W2514" s="124" t="str">
        <f>IFERROR(__xludf.DUMMYFUNCTION("""COMPUTED_VALUE"""),"Delhi")</f>
        <v>Delhi</v>
      </c>
      <c r="X2514" s="124" t="str">
        <f>IFERROR(__xludf.DUMMYFUNCTION("""COMPUTED_VALUE"""),"DRCSEMINAR(CTC)")</f>
        <v>DRCSEMINAR(CTC)</v>
      </c>
      <c r="Y2514" s="124" t="str">
        <f>IFERROR(__xludf.DUMMYFUNCTION("""COMPUTED_VALUE"""),"Delhi")</f>
        <v>Delhi</v>
      </c>
      <c r="Z2514" s="124">
        <f>IFERROR(__xludf.DUMMYFUNCTION("""COMPUTED_VALUE"""),4.0)</f>
        <v>4</v>
      </c>
      <c r="AA2514" s="124" t="str">
        <f>IFERROR(__xludf.DUMMYFUNCTION("""COMPUTED_VALUE"""),"Not Interested")</f>
        <v>Not Interested</v>
      </c>
      <c r="AB2514" s="124"/>
    </row>
    <row r="2515">
      <c r="K2515" s="124"/>
      <c r="L2515" s="124"/>
      <c r="M2515" s="124"/>
      <c r="N2515" s="124"/>
      <c r="O2515" s="124"/>
      <c r="T2515" s="129">
        <f>IFERROR(__xludf.DUMMYFUNCTION("""COMPUTED_VALUE"""),46065.0)</f>
        <v>46065</v>
      </c>
      <c r="U2515" s="124" t="str">
        <f>IFERROR(__xludf.DUMMYFUNCTION("""COMPUTED_VALUE"""),"Event")</f>
        <v>Event</v>
      </c>
      <c r="V2515" s="124" t="str">
        <f>IFERROR(__xludf.DUMMYFUNCTION("""COMPUTED_VALUE"""),"Events")</f>
        <v>Events</v>
      </c>
      <c r="W2515" s="124" t="str">
        <f>IFERROR(__xludf.DUMMYFUNCTION("""COMPUTED_VALUE"""),"All Centre")</f>
        <v>All Centre</v>
      </c>
      <c r="X2515" s="124" t="str">
        <f>IFERROR(__xludf.DUMMYFUNCTION("""COMPUTED_VALUE"""),"Generic")</f>
        <v>Generic</v>
      </c>
      <c r="Y2515" s="124" t="str">
        <f>IFERROR(__xludf.DUMMYFUNCTION("""COMPUTED_VALUE"""),"Delhi")</f>
        <v>Delhi</v>
      </c>
      <c r="Z2515" s="124">
        <f>IFERROR(__xludf.DUMMYFUNCTION("""COMPUTED_VALUE"""),3.0)</f>
        <v>3</v>
      </c>
      <c r="AA2515" s="124" t="str">
        <f>IFERROR(__xludf.DUMMYFUNCTION("""COMPUTED_VALUE"""),"Cold")</f>
        <v>Cold</v>
      </c>
      <c r="AB2515" s="124" t="str">
        <f>IFERROR(__xludf.DUMMYFUNCTION("""COMPUTED_VALUE"""),"Hybrid")</f>
        <v>Hybrid</v>
      </c>
    </row>
    <row r="2516">
      <c r="K2516" s="124"/>
      <c r="L2516" s="124"/>
      <c r="M2516" s="124"/>
      <c r="N2516" s="124"/>
      <c r="O2516" s="124"/>
      <c r="T2516" s="129">
        <f>IFERROR(__xludf.DUMMYFUNCTION("""COMPUTED_VALUE"""),46054.0)</f>
        <v>46054</v>
      </c>
      <c r="U2516" s="124" t="str">
        <f>IFERROR(__xludf.DUMMYFUNCTION("""COMPUTED_VALUE"""),"Walk-Ins")</f>
        <v>Walk-Ins</v>
      </c>
      <c r="V2516" s="124" t="str">
        <f>IFERROR(__xludf.DUMMYFUNCTION("""COMPUTED_VALUE"""),"Walk-In")</f>
        <v>Walk-In</v>
      </c>
      <c r="W2516" s="124" t="str">
        <f>IFERROR(__xludf.DUMMYFUNCTION("""COMPUTED_VALUE"""),"Patna")</f>
        <v>Patna</v>
      </c>
      <c r="X2516" s="124" t="str">
        <f>IFERROR(__xludf.DUMMYFUNCTION("""COMPUTED_VALUE"""),"Akash")</f>
        <v>Akash</v>
      </c>
      <c r="Y2516" s="124"/>
      <c r="Z2516" s="124">
        <f>IFERROR(__xludf.DUMMYFUNCTION("""COMPUTED_VALUE"""),1.0)</f>
        <v>1</v>
      </c>
      <c r="AA2516" s="124" t="str">
        <f>IFERROR(__xludf.DUMMYFUNCTION("""COMPUTED_VALUE"""),"Warm")</f>
        <v>Warm</v>
      </c>
      <c r="AB2516" s="124" t="str">
        <f>IFERROR(__xludf.DUMMYFUNCTION("""COMPUTED_VALUE"""),"GS Foundation")</f>
        <v>GS Foundation</v>
      </c>
    </row>
    <row r="2517">
      <c r="K2517" s="124"/>
      <c r="L2517" s="124"/>
      <c r="M2517" s="124"/>
      <c r="N2517" s="124"/>
      <c r="O2517" s="124"/>
      <c r="T2517" s="129">
        <f>IFERROR(__xludf.DUMMYFUNCTION("""COMPUTED_VALUE"""),46063.0)</f>
        <v>46063</v>
      </c>
      <c r="U2517" s="124" t="str">
        <f>IFERROR(__xludf.DUMMYFUNCTION("""COMPUTED_VALUE"""),"Event")</f>
        <v>Event</v>
      </c>
      <c r="V2517" s="124" t="str">
        <f>IFERROR(__xludf.DUMMYFUNCTION("""COMPUTED_VALUE"""),"Events")</f>
        <v>Events</v>
      </c>
      <c r="W2517" s="124" t="str">
        <f>IFERROR(__xludf.DUMMYFUNCTION("""COMPUTED_VALUE"""),"All Centre")</f>
        <v>All Centre</v>
      </c>
      <c r="X2517" s="124" t="str">
        <f>IFERROR(__xludf.DUMMYFUNCTION("""COMPUTED_VALUE"""),"Generic")</f>
        <v>Generic</v>
      </c>
      <c r="Y2517" s="124" t="str">
        <f>IFERROR(__xludf.DUMMYFUNCTION("""COMPUTED_VALUE"""),"Delhi")</f>
        <v>Delhi</v>
      </c>
      <c r="Z2517" s="124">
        <f>IFERROR(__xludf.DUMMYFUNCTION("""COMPUTED_VALUE"""),2.0)</f>
        <v>2</v>
      </c>
      <c r="AA2517" s="124" t="str">
        <f>IFERROR(__xludf.DUMMYFUNCTION("""COMPUTED_VALUE"""),"Cold")</f>
        <v>Cold</v>
      </c>
      <c r="AB2517" s="124" t="str">
        <f>IFERROR(__xludf.DUMMYFUNCTION("""COMPUTED_VALUE"""),"Mentorship")</f>
        <v>Mentorship</v>
      </c>
    </row>
    <row r="2518">
      <c r="K2518" s="124"/>
      <c r="L2518" s="124"/>
      <c r="M2518" s="124"/>
      <c r="N2518" s="124"/>
      <c r="O2518" s="124"/>
      <c r="T2518" s="129">
        <f>IFERROR(__xludf.DUMMYFUNCTION("""COMPUTED_VALUE"""),46078.0)</f>
        <v>46078</v>
      </c>
      <c r="U2518" s="124" t="str">
        <f>IFERROR(__xludf.DUMMYFUNCTION("""COMPUTED_VALUE"""),"Event")</f>
        <v>Event</v>
      </c>
      <c r="V2518" s="124" t="str">
        <f>IFERROR(__xludf.DUMMYFUNCTION("""COMPUTED_VALUE"""),"Events")</f>
        <v>Events</v>
      </c>
      <c r="W2518" s="124" t="str">
        <f>IFERROR(__xludf.DUMMYFUNCTION("""COMPUTED_VALUE"""),"All Centre")</f>
        <v>All Centre</v>
      </c>
      <c r="X2518" s="124" t="str">
        <f>IFERROR(__xludf.DUMMYFUNCTION("""COMPUTED_VALUE"""),"Generic")</f>
        <v>Generic</v>
      </c>
      <c r="Y2518" s="124" t="str">
        <f>IFERROR(__xludf.DUMMYFUNCTION("""COMPUTED_VALUE"""),"Delhi")</f>
        <v>Delhi</v>
      </c>
      <c r="Z2518" s="124">
        <f>IFERROR(__xludf.DUMMYFUNCTION("""COMPUTED_VALUE"""),1.0)</f>
        <v>1</v>
      </c>
      <c r="AA2518" s="124" t="str">
        <f>IFERROR(__xludf.DUMMYFUNCTION("""COMPUTED_VALUE"""),"Engaged")</f>
        <v>Engaged</v>
      </c>
      <c r="AB2518" s="124" t="str">
        <f>IFERROR(__xludf.DUMMYFUNCTION("""COMPUTED_VALUE"""),"Test Series")</f>
        <v>Test Series</v>
      </c>
    </row>
    <row r="2519">
      <c r="K2519" s="124"/>
      <c r="L2519" s="124"/>
      <c r="M2519" s="124"/>
      <c r="N2519" s="124"/>
      <c r="O2519" s="124"/>
      <c r="T2519" s="129">
        <f>IFERROR(__xludf.DUMMYFUNCTION("""COMPUTED_VALUE"""),46064.0)</f>
        <v>46064</v>
      </c>
      <c r="U2519" s="124" t="str">
        <f>IFERROR(__xludf.DUMMYFUNCTION("""COMPUTED_VALUE"""),"Event")</f>
        <v>Event</v>
      </c>
      <c r="V2519" s="124" t="str">
        <f>IFERROR(__xludf.DUMMYFUNCTION("""COMPUTED_VALUE"""),"Events")</f>
        <v>Events</v>
      </c>
      <c r="W2519" s="124" t="str">
        <f>IFERROR(__xludf.DUMMYFUNCTION("""COMPUTED_VALUE"""),"All Centre")</f>
        <v>All Centre</v>
      </c>
      <c r="X2519" s="124" t="str">
        <f>IFERROR(__xludf.DUMMYFUNCTION("""COMPUTED_VALUE"""),"Generic")</f>
        <v>Generic</v>
      </c>
      <c r="Y2519" s="124" t="str">
        <f>IFERROR(__xludf.DUMMYFUNCTION("""COMPUTED_VALUE"""),"Delhi")</f>
        <v>Delhi</v>
      </c>
      <c r="Z2519" s="124">
        <f>IFERROR(__xludf.DUMMYFUNCTION("""COMPUTED_VALUE"""),1.0)</f>
        <v>1</v>
      </c>
      <c r="AA2519" s="124" t="str">
        <f>IFERROR(__xludf.DUMMYFUNCTION("""COMPUTED_VALUE"""),"Not Interested")</f>
        <v>Not Interested</v>
      </c>
      <c r="AB2519" s="124" t="str">
        <f>IFERROR(__xludf.DUMMYFUNCTION("""COMPUTED_VALUE"""),"Other")</f>
        <v>Other</v>
      </c>
    </row>
    <row r="2520">
      <c r="K2520" s="124"/>
      <c r="L2520" s="124"/>
      <c r="M2520" s="124"/>
      <c r="N2520" s="124"/>
      <c r="O2520" s="124"/>
      <c r="T2520" s="129">
        <f>IFERROR(__xludf.DUMMYFUNCTION("""COMPUTED_VALUE"""),46101.0)</f>
        <v>46101</v>
      </c>
      <c r="U2520" s="124" t="str">
        <f>IFERROR(__xludf.DUMMYFUNCTION("""COMPUTED_VALUE"""),"Event")</f>
        <v>Event</v>
      </c>
      <c r="V2520" s="124" t="str">
        <f>IFERROR(__xludf.DUMMYFUNCTION("""COMPUTED_VALUE"""),"Events")</f>
        <v>Events</v>
      </c>
      <c r="W2520" s="124" t="str">
        <f>IFERROR(__xludf.DUMMYFUNCTION("""COMPUTED_VALUE"""),"All Centre")</f>
        <v>All Centre</v>
      </c>
      <c r="X2520" s="124" t="str">
        <f>IFERROR(__xludf.DUMMYFUNCTION("""COMPUTED_VALUE"""),"Generic")</f>
        <v>Generic</v>
      </c>
      <c r="Y2520" s="124" t="str">
        <f>IFERROR(__xludf.DUMMYFUNCTION("""COMPUTED_VALUE"""),"Delhi")</f>
        <v>Delhi</v>
      </c>
      <c r="Z2520" s="124">
        <f>IFERROR(__xludf.DUMMYFUNCTION("""COMPUTED_VALUE"""),2.0)</f>
        <v>2</v>
      </c>
      <c r="AA2520" s="124" t="str">
        <f>IFERROR(__xludf.DUMMYFUNCTION("""COMPUTED_VALUE"""),"Fake Lead")</f>
        <v>Fake Lead</v>
      </c>
      <c r="AB2520" s="124" t="str">
        <f>IFERROR(__xludf.DUMMYFUNCTION("""COMPUTED_VALUE"""),"GS Foundation")</f>
        <v>GS Foundation</v>
      </c>
    </row>
    <row r="2521">
      <c r="K2521" s="124"/>
      <c r="L2521" s="124"/>
      <c r="M2521" s="124"/>
      <c r="N2521" s="124"/>
      <c r="O2521" s="124"/>
      <c r="T2521" s="126">
        <f>IFERROR(__xludf.DUMMYFUNCTION("""COMPUTED_VALUE"""),46110.0)</f>
        <v>46110</v>
      </c>
      <c r="U2521" s="124" t="str">
        <f>IFERROR(__xludf.DUMMYFUNCTION("""COMPUTED_VALUE"""),"Event")</f>
        <v>Event</v>
      </c>
      <c r="V2521" s="124" t="str">
        <f>IFERROR(__xludf.DUMMYFUNCTION("""COMPUTED_VALUE"""),"Events")</f>
        <v>Events</v>
      </c>
      <c r="W2521" s="124" t="str">
        <f>IFERROR(__xludf.DUMMYFUNCTION("""COMPUTED_VALUE"""),"All Centre")</f>
        <v>All Centre</v>
      </c>
      <c r="X2521" s="124" t="str">
        <f>IFERROR(__xludf.DUMMYFUNCTION("""COMPUTED_VALUE"""),"Generic")</f>
        <v>Generic</v>
      </c>
      <c r="Y2521" s="124" t="str">
        <f>IFERROR(__xludf.DUMMYFUNCTION("""COMPUTED_VALUE"""),"Delhi")</f>
        <v>Delhi</v>
      </c>
      <c r="Z2521" s="124">
        <f>IFERROR(__xludf.DUMMYFUNCTION("""COMPUTED_VALUE"""),1.0)</f>
        <v>1</v>
      </c>
      <c r="AA2521" s="124"/>
      <c r="AB2521" s="124" t="str">
        <f>IFERROR(__xludf.DUMMYFUNCTION("""COMPUTED_VALUE"""),"CSAT")</f>
        <v>CSAT</v>
      </c>
    </row>
    <row r="2522">
      <c r="K2522" s="124"/>
      <c r="L2522" s="124"/>
      <c r="M2522" s="124"/>
      <c r="N2522" s="124"/>
      <c r="O2522" s="124"/>
      <c r="T2522" s="129">
        <f>IFERROR(__xludf.DUMMYFUNCTION("""COMPUTED_VALUE"""),46058.0)</f>
        <v>46058</v>
      </c>
      <c r="U2522" s="124" t="str">
        <f>IFERROR(__xludf.DUMMYFUNCTION("""COMPUTED_VALUE"""),"Event")</f>
        <v>Event</v>
      </c>
      <c r="V2522" s="124" t="str">
        <f>IFERROR(__xludf.DUMMYFUNCTION("""COMPUTED_VALUE"""),"Events")</f>
        <v>Events</v>
      </c>
      <c r="W2522" s="124" t="str">
        <f>IFERROR(__xludf.DUMMYFUNCTION("""COMPUTED_VALUE"""),"All Centre")</f>
        <v>All Centre</v>
      </c>
      <c r="X2522" s="124" t="str">
        <f>IFERROR(__xludf.DUMMYFUNCTION("""COMPUTED_VALUE"""),"Generic")</f>
        <v>Generic</v>
      </c>
      <c r="Y2522" s="124" t="str">
        <f>IFERROR(__xludf.DUMMYFUNCTION("""COMPUTED_VALUE"""),"Delhi")</f>
        <v>Delhi</v>
      </c>
      <c r="Z2522" s="124">
        <f>IFERROR(__xludf.DUMMYFUNCTION("""COMPUTED_VALUE"""),2.0)</f>
        <v>2</v>
      </c>
      <c r="AA2522" s="124" t="str">
        <f>IFERROR(__xludf.DUMMYFUNCTION("""COMPUTED_VALUE"""),"Engaged")</f>
        <v>Engaged</v>
      </c>
      <c r="AB2522" s="124" t="str">
        <f>IFERROR(__xludf.DUMMYFUNCTION("""COMPUTED_VALUE"""),"Optionals")</f>
        <v>Optionals</v>
      </c>
    </row>
    <row r="2523">
      <c r="K2523" s="124"/>
      <c r="L2523" s="124"/>
      <c r="M2523" s="124"/>
      <c r="N2523" s="124"/>
      <c r="O2523" s="124"/>
      <c r="T2523" s="126">
        <f>IFERROR(__xludf.DUMMYFUNCTION("""COMPUTED_VALUE"""),46078.0)</f>
        <v>46078</v>
      </c>
      <c r="U2523" s="124" t="str">
        <f>IFERROR(__xludf.DUMMYFUNCTION("""COMPUTED_VALUE"""),"Event")</f>
        <v>Event</v>
      </c>
      <c r="V2523" s="124" t="str">
        <f>IFERROR(__xludf.DUMMYFUNCTION("""COMPUTED_VALUE"""),"Events")</f>
        <v>Events</v>
      </c>
      <c r="W2523" s="124" t="str">
        <f>IFERROR(__xludf.DUMMYFUNCTION("""COMPUTED_VALUE"""),"All Centre")</f>
        <v>All Centre</v>
      </c>
      <c r="X2523" s="124" t="str">
        <f>IFERROR(__xludf.DUMMYFUNCTION("""COMPUTED_VALUE"""),"Generic")</f>
        <v>Generic</v>
      </c>
      <c r="Y2523" s="124" t="str">
        <f>IFERROR(__xludf.DUMMYFUNCTION("""COMPUTED_VALUE"""),"Delhi")</f>
        <v>Delhi</v>
      </c>
      <c r="Z2523" s="124">
        <f>IFERROR(__xludf.DUMMYFUNCTION("""COMPUTED_VALUE"""),3.0)</f>
        <v>3</v>
      </c>
      <c r="AA2523" s="124" t="str">
        <f>IFERROR(__xludf.DUMMYFUNCTION("""COMPUTED_VALUE"""),"Not Interested")</f>
        <v>Not Interested</v>
      </c>
      <c r="AB2523" s="124" t="str">
        <f>IFERROR(__xludf.DUMMYFUNCTION("""COMPUTED_VALUE"""),"CSAT")</f>
        <v>CSAT</v>
      </c>
    </row>
    <row r="2524">
      <c r="K2524" s="124"/>
      <c r="L2524" s="124"/>
      <c r="M2524" s="124"/>
      <c r="N2524" s="124"/>
      <c r="O2524" s="124"/>
      <c r="T2524" s="126">
        <f>IFERROR(__xludf.DUMMYFUNCTION("""COMPUTED_VALUE"""),46066.0)</f>
        <v>46066</v>
      </c>
      <c r="U2524" s="124" t="str">
        <f>IFERROR(__xludf.DUMMYFUNCTION("""COMPUTED_VALUE"""),"Event")</f>
        <v>Event</v>
      </c>
      <c r="V2524" s="124" t="str">
        <f>IFERROR(__xludf.DUMMYFUNCTION("""COMPUTED_VALUE"""),"Events")</f>
        <v>Events</v>
      </c>
      <c r="W2524" s="124" t="str">
        <f>IFERROR(__xludf.DUMMYFUNCTION("""COMPUTED_VALUE"""),"All Centre")</f>
        <v>All Centre</v>
      </c>
      <c r="X2524" s="124" t="str">
        <f>IFERROR(__xludf.DUMMYFUNCTION("""COMPUTED_VALUE"""),"Generic")</f>
        <v>Generic</v>
      </c>
      <c r="Y2524" s="124" t="str">
        <f>IFERROR(__xludf.DUMMYFUNCTION("""COMPUTED_VALUE"""),"Prayagraj")</f>
        <v>Prayagraj</v>
      </c>
      <c r="Z2524" s="124">
        <f>IFERROR(__xludf.DUMMYFUNCTION("""COMPUTED_VALUE"""),1.0)</f>
        <v>1</v>
      </c>
      <c r="AA2524" s="124" t="str">
        <f>IFERROR(__xludf.DUMMYFUNCTION("""COMPUTED_VALUE"""),"Cold")</f>
        <v>Cold</v>
      </c>
      <c r="AB2524" s="124" t="str">
        <f>IFERROR(__xludf.DUMMYFUNCTION("""COMPUTED_VALUE"""),"GS Foundation")</f>
        <v>GS Foundation</v>
      </c>
    </row>
    <row r="2525">
      <c r="K2525" s="124"/>
      <c r="L2525" s="124"/>
      <c r="M2525" s="124"/>
      <c r="N2525" s="124"/>
      <c r="O2525" s="124"/>
      <c r="T2525" s="126">
        <f>IFERROR(__xludf.DUMMYFUNCTION("""COMPUTED_VALUE"""),46051.0)</f>
        <v>46051</v>
      </c>
      <c r="U2525" s="124" t="str">
        <f>IFERROR(__xludf.DUMMYFUNCTION("""COMPUTED_VALUE"""),"Event")</f>
        <v>Event</v>
      </c>
      <c r="V2525" s="124" t="str">
        <f>IFERROR(__xludf.DUMMYFUNCTION("""COMPUTED_VALUE"""),"Events")</f>
        <v>Events</v>
      </c>
      <c r="W2525" s="124" t="str">
        <f>IFERROR(__xludf.DUMMYFUNCTION("""COMPUTED_VALUE"""),"Delhi")</f>
        <v>Delhi</v>
      </c>
      <c r="X2525" s="124" t="str">
        <f>IFERROR(__xludf.DUMMYFUNCTION("""COMPUTED_VALUE"""),"DRCSEMINAR(CTC)")</f>
        <v>DRCSEMINAR(CTC)</v>
      </c>
      <c r="Y2525" s="124" t="str">
        <f>IFERROR(__xludf.DUMMYFUNCTION("""COMPUTED_VALUE"""),"Delhi")</f>
        <v>Delhi</v>
      </c>
      <c r="Z2525" s="124">
        <f>IFERROR(__xludf.DUMMYFUNCTION("""COMPUTED_VALUE"""),3.0)</f>
        <v>3</v>
      </c>
      <c r="AA2525" s="124" t="str">
        <f>IFERROR(__xludf.DUMMYFUNCTION("""COMPUTED_VALUE"""),"Future Prospects")</f>
        <v>Future Prospects</v>
      </c>
      <c r="AB2525" s="124"/>
    </row>
    <row r="2526">
      <c r="K2526" s="124"/>
      <c r="L2526" s="124"/>
      <c r="M2526" s="124"/>
      <c r="N2526" s="124"/>
      <c r="O2526" s="124"/>
      <c r="T2526" s="126">
        <f>IFERROR(__xludf.DUMMYFUNCTION("""COMPUTED_VALUE"""),46062.0)</f>
        <v>46062</v>
      </c>
      <c r="U2526" s="124" t="str">
        <f>IFERROR(__xludf.DUMMYFUNCTION("""COMPUTED_VALUE"""),"Event")</f>
        <v>Event</v>
      </c>
      <c r="V2526" s="124" t="str">
        <f>IFERROR(__xludf.DUMMYFUNCTION("""COMPUTED_VALUE"""),"Events")</f>
        <v>Events</v>
      </c>
      <c r="W2526" s="124" t="str">
        <f>IFERROR(__xludf.DUMMYFUNCTION("""COMPUTED_VALUE"""),"All Centre")</f>
        <v>All Centre</v>
      </c>
      <c r="X2526" s="124" t="str">
        <f>IFERROR(__xludf.DUMMYFUNCTION("""COMPUTED_VALUE"""),"Generic")</f>
        <v>Generic</v>
      </c>
      <c r="Y2526" s="124" t="str">
        <f>IFERROR(__xludf.DUMMYFUNCTION("""COMPUTED_VALUE"""),"Delhi")</f>
        <v>Delhi</v>
      </c>
      <c r="Z2526" s="124">
        <f>IFERROR(__xludf.DUMMYFUNCTION("""COMPUTED_VALUE"""),1.0)</f>
        <v>1</v>
      </c>
      <c r="AA2526" s="124" t="str">
        <f>IFERROR(__xludf.DUMMYFUNCTION("""COMPUTED_VALUE"""),"Engaged")</f>
        <v>Engaged</v>
      </c>
      <c r="AB2526" s="124" t="str">
        <f>IFERROR(__xludf.DUMMYFUNCTION("""COMPUTED_VALUE"""),"GS Foundation")</f>
        <v>GS Foundation</v>
      </c>
    </row>
    <row r="2527">
      <c r="K2527" s="124"/>
      <c r="L2527" s="124"/>
      <c r="M2527" s="124"/>
      <c r="N2527" s="124"/>
      <c r="O2527" s="124"/>
      <c r="T2527" s="126">
        <f>IFERROR(__xludf.DUMMYFUNCTION("""COMPUTED_VALUE"""),46056.0)</f>
        <v>46056</v>
      </c>
      <c r="U2527" s="124" t="str">
        <f>IFERROR(__xludf.DUMMYFUNCTION("""COMPUTED_VALUE"""),"Event")</f>
        <v>Event</v>
      </c>
      <c r="V2527" s="124" t="str">
        <f>IFERROR(__xludf.DUMMYFUNCTION("""COMPUTED_VALUE"""),"Events")</f>
        <v>Events</v>
      </c>
      <c r="W2527" s="124" t="str">
        <f>IFERROR(__xludf.DUMMYFUNCTION("""COMPUTED_VALUE"""),"All Centre")</f>
        <v>All Centre</v>
      </c>
      <c r="X2527" s="124" t="str">
        <f>IFERROR(__xludf.DUMMYFUNCTION("""COMPUTED_VALUE"""),"Generic")</f>
        <v>Generic</v>
      </c>
      <c r="Y2527" s="124" t="str">
        <f>IFERROR(__xludf.DUMMYFUNCTION("""COMPUTED_VALUE"""),"Delhi")</f>
        <v>Delhi</v>
      </c>
      <c r="Z2527" s="124">
        <f>IFERROR(__xludf.DUMMYFUNCTION("""COMPUTED_VALUE"""),1.0)</f>
        <v>1</v>
      </c>
      <c r="AA2527" s="124" t="str">
        <f>IFERROR(__xludf.DUMMYFUNCTION("""COMPUTED_VALUE"""),"Engaged")</f>
        <v>Engaged</v>
      </c>
      <c r="AB2527" s="124" t="str">
        <f>IFERROR(__xludf.DUMMYFUNCTION("""COMPUTED_VALUE"""),"Other")</f>
        <v>Other</v>
      </c>
    </row>
    <row r="2528">
      <c r="K2528" s="124"/>
      <c r="L2528" s="124"/>
      <c r="M2528" s="124"/>
      <c r="N2528" s="124"/>
      <c r="O2528" s="124"/>
      <c r="T2528" s="126">
        <f>IFERROR(__xludf.DUMMYFUNCTION("""COMPUTED_VALUE"""),46045.0)</f>
        <v>46045</v>
      </c>
      <c r="U2528" s="124" t="str">
        <f>IFERROR(__xludf.DUMMYFUNCTION("""COMPUTED_VALUE"""),"Walk-Ins")</f>
        <v>Walk-Ins</v>
      </c>
      <c r="V2528" s="124" t="str">
        <f>IFERROR(__xludf.DUMMYFUNCTION("""COMPUTED_VALUE"""),"Walk-In")</f>
        <v>Walk-In</v>
      </c>
      <c r="W2528" s="124" t="str">
        <f>IFERROR(__xludf.DUMMYFUNCTION("""COMPUTED_VALUE"""),"Delhi")</f>
        <v>Delhi</v>
      </c>
      <c r="X2528" s="124" t="str">
        <f>IFERROR(__xludf.DUMMYFUNCTION("""COMPUTED_VALUE"""),"Netri")</f>
        <v>Netri</v>
      </c>
      <c r="Y2528" s="124"/>
      <c r="Z2528" s="124">
        <f>IFERROR(__xludf.DUMMYFUNCTION("""COMPUTED_VALUE"""),1.0)</f>
        <v>1</v>
      </c>
      <c r="AA2528" s="124" t="str">
        <f>IFERROR(__xludf.DUMMYFUNCTION("""COMPUTED_VALUE"""),"Not Interested")</f>
        <v>Not Interested</v>
      </c>
      <c r="AB2528" s="124" t="str">
        <f>IFERROR(__xludf.DUMMYFUNCTION("""COMPUTED_VALUE"""),"GS Foundation")</f>
        <v>GS Foundation</v>
      </c>
    </row>
    <row r="2529">
      <c r="K2529" s="124"/>
      <c r="L2529" s="124"/>
      <c r="M2529" s="124"/>
      <c r="N2529" s="124"/>
      <c r="O2529" s="124"/>
      <c r="T2529" s="126">
        <f>IFERROR(__xludf.DUMMYFUNCTION("""COMPUTED_VALUE"""),46098.0)</f>
        <v>46098</v>
      </c>
      <c r="U2529" s="124" t="str">
        <f>IFERROR(__xludf.DUMMYFUNCTION("""COMPUTED_VALUE"""),"Walk-Ins")</f>
        <v>Walk-Ins</v>
      </c>
      <c r="V2529" s="124" t="str">
        <f>IFERROR(__xludf.DUMMYFUNCTION("""COMPUTED_VALUE"""),"Walk-In")</f>
        <v>Walk-In</v>
      </c>
      <c r="W2529" s="124" t="str">
        <f>IFERROR(__xludf.DUMMYFUNCTION("""COMPUTED_VALUE"""),"Patna")</f>
        <v>Patna</v>
      </c>
      <c r="X2529" s="124" t="str">
        <f>IFERROR(__xludf.DUMMYFUNCTION("""COMPUTED_VALUE"""),"Tejaswi")</f>
        <v>Tejaswi</v>
      </c>
      <c r="Y2529" s="124"/>
      <c r="Z2529" s="124">
        <f>IFERROR(__xludf.DUMMYFUNCTION("""COMPUTED_VALUE"""),2.0)</f>
        <v>2</v>
      </c>
      <c r="AA2529" s="124" t="str">
        <f>IFERROR(__xludf.DUMMYFUNCTION("""COMPUTED_VALUE"""),"Warm")</f>
        <v>Warm</v>
      </c>
      <c r="AB2529" s="124" t="str">
        <f>IFERROR(__xludf.DUMMYFUNCTION("""COMPUTED_VALUE"""),"State PCS")</f>
        <v>State PCS</v>
      </c>
    </row>
    <row r="2530">
      <c r="K2530" s="124"/>
      <c r="L2530" s="124"/>
      <c r="M2530" s="124"/>
      <c r="N2530" s="124"/>
      <c r="O2530" s="124"/>
      <c r="T2530" s="126">
        <f>IFERROR(__xludf.DUMMYFUNCTION("""COMPUTED_VALUE"""),46043.0)</f>
        <v>46043</v>
      </c>
      <c r="U2530" s="124" t="str">
        <f>IFERROR(__xludf.DUMMYFUNCTION("""COMPUTED_VALUE"""),"Walk-Ins")</f>
        <v>Walk-Ins</v>
      </c>
      <c r="V2530" s="124" t="str">
        <f>IFERROR(__xludf.DUMMYFUNCTION("""COMPUTED_VALUE"""),"Walk-In")</f>
        <v>Walk-In</v>
      </c>
      <c r="W2530" s="124" t="str">
        <f>IFERROR(__xludf.DUMMYFUNCTION("""COMPUTED_VALUE"""),"Delhi")</f>
        <v>Delhi</v>
      </c>
      <c r="X2530" s="124" t="str">
        <f>IFERROR(__xludf.DUMMYFUNCTION("""COMPUTED_VALUE"""),"Netri")</f>
        <v>Netri</v>
      </c>
      <c r="Y2530" s="124" t="str">
        <f>IFERROR(__xludf.DUMMYFUNCTION("""COMPUTED_VALUE"""),"Delhi")</f>
        <v>Delhi</v>
      </c>
      <c r="Z2530" s="124">
        <f>IFERROR(__xludf.DUMMYFUNCTION("""COMPUTED_VALUE"""),1.0)</f>
        <v>1</v>
      </c>
      <c r="AA2530" s="124" t="str">
        <f>IFERROR(__xludf.DUMMYFUNCTION("""COMPUTED_VALUE"""),"Warm")</f>
        <v>Warm</v>
      </c>
      <c r="AB2530" s="124" t="str">
        <f>IFERROR(__xludf.DUMMYFUNCTION("""COMPUTED_VALUE"""),"GS Foundation")</f>
        <v>GS Foundation</v>
      </c>
    </row>
    <row r="2531">
      <c r="K2531" s="124"/>
      <c r="L2531" s="124"/>
      <c r="M2531" s="124"/>
      <c r="N2531" s="124"/>
      <c r="O2531" s="124"/>
      <c r="T2531" s="126">
        <f>IFERROR(__xludf.DUMMYFUNCTION("""COMPUTED_VALUE"""),46057.0)</f>
        <v>46057</v>
      </c>
      <c r="U2531" s="124" t="str">
        <f>IFERROR(__xludf.DUMMYFUNCTION("""COMPUTED_VALUE"""),"Walk-Ins")</f>
        <v>Walk-Ins</v>
      </c>
      <c r="V2531" s="124" t="str">
        <f>IFERROR(__xludf.DUMMYFUNCTION("""COMPUTED_VALUE"""),"Walk-In")</f>
        <v>Walk-In</v>
      </c>
      <c r="W2531" s="124" t="str">
        <f>IFERROR(__xludf.DUMMYFUNCTION("""COMPUTED_VALUE"""),"Patna")</f>
        <v>Patna</v>
      </c>
      <c r="X2531" s="124" t="str">
        <f>IFERROR(__xludf.DUMMYFUNCTION("""COMPUTED_VALUE"""),"Tejaswi")</f>
        <v>Tejaswi</v>
      </c>
      <c r="Y2531" s="124" t="str">
        <f>IFERROR(__xludf.DUMMYFUNCTION("""COMPUTED_VALUE"""),"Patna")</f>
        <v>Patna</v>
      </c>
      <c r="Z2531" s="124">
        <f>IFERROR(__xludf.DUMMYFUNCTION("""COMPUTED_VALUE"""),1.0)</f>
        <v>1</v>
      </c>
      <c r="AA2531" s="124" t="str">
        <f>IFERROR(__xludf.DUMMYFUNCTION("""COMPUTED_VALUE"""),"Fake Lead")</f>
        <v>Fake Lead</v>
      </c>
      <c r="AB2531" s="124" t="str">
        <f>IFERROR(__xludf.DUMMYFUNCTION("""COMPUTED_VALUE"""),"State PCS")</f>
        <v>State PCS</v>
      </c>
    </row>
    <row r="2532">
      <c r="K2532" s="124"/>
      <c r="L2532" s="124"/>
      <c r="M2532" s="124"/>
      <c r="N2532" s="124"/>
      <c r="O2532" s="124"/>
      <c r="T2532" s="126">
        <f>IFERROR(__xludf.DUMMYFUNCTION("""COMPUTED_VALUE"""),46109.0)</f>
        <v>46109</v>
      </c>
      <c r="U2532" s="124" t="str">
        <f>IFERROR(__xludf.DUMMYFUNCTION("""COMPUTED_VALUE"""),"Walk-Ins")</f>
        <v>Walk-Ins</v>
      </c>
      <c r="V2532" s="124" t="str">
        <f>IFERROR(__xludf.DUMMYFUNCTION("""COMPUTED_VALUE"""),"Walk-In")</f>
        <v>Walk-In</v>
      </c>
      <c r="W2532" s="124" t="str">
        <f>IFERROR(__xludf.DUMMYFUNCTION("""COMPUTED_VALUE"""),"Delhi")</f>
        <v>Delhi</v>
      </c>
      <c r="X2532" s="124" t="str">
        <f>IFERROR(__xludf.DUMMYFUNCTION("""COMPUTED_VALUE"""),"Bijender")</f>
        <v>Bijender</v>
      </c>
      <c r="Y2532" s="124" t="str">
        <f>IFERROR(__xludf.DUMMYFUNCTION("""COMPUTED_VALUE"""),"Delhi")</f>
        <v>Delhi</v>
      </c>
      <c r="Z2532" s="124">
        <f>IFERROR(__xludf.DUMMYFUNCTION("""COMPUTED_VALUE"""),1.0)</f>
        <v>1</v>
      </c>
      <c r="AA2532" s="124" t="str">
        <f>IFERROR(__xludf.DUMMYFUNCTION("""COMPUTED_VALUE"""),"Warm")</f>
        <v>Warm</v>
      </c>
      <c r="AB2532" s="124" t="str">
        <f>IFERROR(__xludf.DUMMYFUNCTION("""COMPUTED_VALUE"""),"GS Foundation")</f>
        <v>GS Foundation</v>
      </c>
    </row>
    <row r="2533">
      <c r="K2533" s="124"/>
      <c r="L2533" s="124"/>
      <c r="M2533" s="124"/>
      <c r="N2533" s="124"/>
      <c r="O2533" s="124"/>
      <c r="T2533" s="126">
        <f>IFERROR(__xludf.DUMMYFUNCTION("""COMPUTED_VALUE"""),46070.0)</f>
        <v>46070</v>
      </c>
      <c r="U2533" s="124" t="str">
        <f>IFERROR(__xludf.DUMMYFUNCTION("""COMPUTED_VALUE"""),"Event")</f>
        <v>Event</v>
      </c>
      <c r="V2533" s="124" t="str">
        <f>IFERROR(__xludf.DUMMYFUNCTION("""COMPUTED_VALUE"""),"Other")</f>
        <v>Other</v>
      </c>
      <c r="W2533" s="124" t="str">
        <f>IFERROR(__xludf.DUMMYFUNCTION("""COMPUTED_VALUE"""),"New Delhi")</f>
        <v>New Delhi</v>
      </c>
      <c r="X2533" s="124" t="str">
        <f>IFERROR(__xludf.DUMMYFUNCTION("""COMPUTED_VALUE"""),"New Delhi")</f>
        <v>New Delhi</v>
      </c>
      <c r="Y2533" s="124" t="str">
        <f>IFERROR(__xludf.DUMMYFUNCTION("""COMPUTED_VALUE"""),"Delhi")</f>
        <v>Delhi</v>
      </c>
      <c r="Z2533" s="124">
        <f>IFERROR(__xludf.DUMMYFUNCTION("""COMPUTED_VALUE"""),1.0)</f>
        <v>1</v>
      </c>
      <c r="AA2533" s="124" t="str">
        <f>IFERROR(__xludf.DUMMYFUNCTION("""COMPUTED_VALUE"""),"Enrolled")</f>
        <v>Enrolled</v>
      </c>
      <c r="AB2533" s="124" t="str">
        <f>IFERROR(__xludf.DUMMYFUNCTION("""COMPUTED_VALUE"""),"GS Foundation")</f>
        <v>GS Foundation</v>
      </c>
    </row>
    <row r="2534">
      <c r="K2534" s="124"/>
      <c r="L2534" s="124"/>
      <c r="M2534" s="124"/>
      <c r="N2534" s="124"/>
      <c r="O2534" s="124"/>
      <c r="T2534" s="126">
        <f>IFERROR(__xludf.DUMMYFUNCTION("""COMPUTED_VALUE"""),46099.0)</f>
        <v>46099</v>
      </c>
      <c r="U2534" s="124" t="str">
        <f>IFERROR(__xludf.DUMMYFUNCTION("""COMPUTED_VALUE"""),"Walk-Ins")</f>
        <v>Walk-Ins</v>
      </c>
      <c r="V2534" s="124" t="str">
        <f>IFERROR(__xludf.DUMMYFUNCTION("""COMPUTED_VALUE"""),"Walk-In")</f>
        <v>Walk-In</v>
      </c>
      <c r="W2534" s="124" t="str">
        <f>IFERROR(__xludf.DUMMYFUNCTION("""COMPUTED_VALUE"""),"Delhi")</f>
        <v>Delhi</v>
      </c>
      <c r="X2534" s="124" t="str">
        <f>IFERROR(__xludf.DUMMYFUNCTION("""COMPUTED_VALUE"""),"Aryan")</f>
        <v>Aryan</v>
      </c>
      <c r="Y2534" s="124" t="str">
        <f>IFERROR(__xludf.DUMMYFUNCTION("""COMPUTED_VALUE"""),"Delhi")</f>
        <v>Delhi</v>
      </c>
      <c r="Z2534" s="124">
        <f>IFERROR(__xludf.DUMMYFUNCTION("""COMPUTED_VALUE"""),1.0)</f>
        <v>1</v>
      </c>
      <c r="AA2534" s="124" t="str">
        <f>IFERROR(__xludf.DUMMYFUNCTION("""COMPUTED_VALUE"""),"Fake Lead")</f>
        <v>Fake Lead</v>
      </c>
      <c r="AB2534" s="124" t="str">
        <f>IFERROR(__xludf.DUMMYFUNCTION("""COMPUTED_VALUE"""),"GS Foundation")</f>
        <v>GS Foundation</v>
      </c>
    </row>
    <row r="2535">
      <c r="K2535" s="124"/>
      <c r="L2535" s="124"/>
      <c r="M2535" s="124"/>
      <c r="N2535" s="124"/>
      <c r="O2535" s="124"/>
      <c r="T2535" s="126">
        <f>IFERROR(__xludf.DUMMYFUNCTION("""COMPUTED_VALUE"""),46043.0)</f>
        <v>46043</v>
      </c>
      <c r="U2535" s="124" t="str">
        <f>IFERROR(__xludf.DUMMYFUNCTION("""COMPUTED_VALUE"""),"Walk-Ins")</f>
        <v>Walk-Ins</v>
      </c>
      <c r="V2535" s="124" t="str">
        <f>IFERROR(__xludf.DUMMYFUNCTION("""COMPUTED_VALUE"""),"Walk-In")</f>
        <v>Walk-In</v>
      </c>
      <c r="W2535" s="124" t="str">
        <f>IFERROR(__xludf.DUMMYFUNCTION("""COMPUTED_VALUE"""),"Delhi")</f>
        <v>Delhi</v>
      </c>
      <c r="X2535" s="124" t="str">
        <f>IFERROR(__xludf.DUMMYFUNCTION("""COMPUTED_VALUE"""),"Aryan")</f>
        <v>Aryan</v>
      </c>
      <c r="Y2535" s="124"/>
      <c r="Z2535" s="124">
        <f>IFERROR(__xludf.DUMMYFUNCTION("""COMPUTED_VALUE"""),1.0)</f>
        <v>1</v>
      </c>
      <c r="AA2535" s="124" t="str">
        <f>IFERROR(__xludf.DUMMYFUNCTION("""COMPUTED_VALUE"""),"Cold")</f>
        <v>Cold</v>
      </c>
      <c r="AB2535" s="124" t="str">
        <f>IFERROR(__xludf.DUMMYFUNCTION("""COMPUTED_VALUE"""),"GS Foundation")</f>
        <v>GS Foundation</v>
      </c>
    </row>
    <row r="2536">
      <c r="K2536" s="124"/>
      <c r="L2536" s="124"/>
      <c r="M2536" s="124"/>
      <c r="N2536" s="124"/>
      <c r="O2536" s="124"/>
      <c r="T2536" s="129">
        <f>IFERROR(__xludf.DUMMYFUNCTION("""COMPUTED_VALUE"""),46050.0)</f>
        <v>46050</v>
      </c>
      <c r="U2536" s="124" t="str">
        <f>IFERROR(__xludf.DUMMYFUNCTION("""COMPUTED_VALUE"""),"Paid Ads")</f>
        <v>Paid Ads</v>
      </c>
      <c r="V2536" s="124" t="str">
        <f>IFERROR(__xludf.DUMMYFUNCTION("""COMPUTED_VALUE"""),"Facebook")</f>
        <v>Facebook</v>
      </c>
      <c r="W2536" s="124" t="str">
        <f>IFERROR(__xludf.DUMMYFUNCTION("""COMPUTED_VALUE"""),"LeadAd")</f>
        <v>LeadAd</v>
      </c>
      <c r="X2536" s="124" t="str">
        <f>IFERROR(__xludf.DUMMYFUNCTION("""COMPUTED_VALUE"""),"Upsc_offline_26_Lucknow_FB_Video")</f>
        <v>Upsc_offline_26_Lucknow_FB_Video</v>
      </c>
      <c r="Y2536" s="124" t="str">
        <f>IFERROR(__xludf.DUMMYFUNCTION("""COMPUTED_VALUE"""),"Lucknow")</f>
        <v>Lucknow</v>
      </c>
      <c r="Z2536" s="124">
        <f>IFERROR(__xludf.DUMMYFUNCTION("""COMPUTED_VALUE"""),2.0)</f>
        <v>2</v>
      </c>
      <c r="AA2536" s="124" t="str">
        <f>IFERROR(__xludf.DUMMYFUNCTION("""COMPUTED_VALUE"""),"Not Interested")</f>
        <v>Not Interested</v>
      </c>
      <c r="AB2536" s="124"/>
    </row>
    <row r="2537">
      <c r="K2537" s="124"/>
      <c r="L2537" s="124"/>
      <c r="M2537" s="124"/>
      <c r="N2537" s="124"/>
      <c r="O2537" s="124"/>
      <c r="T2537" s="126">
        <f>IFERROR(__xludf.DUMMYFUNCTION("""COMPUTED_VALUE"""),46046.0)</f>
        <v>46046</v>
      </c>
      <c r="U2537" s="124" t="str">
        <f>IFERROR(__xludf.DUMMYFUNCTION("""COMPUTED_VALUE"""),"Paid Ads")</f>
        <v>Paid Ads</v>
      </c>
      <c r="V2537" s="124" t="str">
        <f>IFERROR(__xludf.DUMMYFUNCTION("""COMPUTED_VALUE"""),"Facebook")</f>
        <v>Facebook</v>
      </c>
      <c r="W2537" s="124" t="str">
        <f>IFERROR(__xludf.DUMMYFUNCTION("""COMPUTED_VALUE"""),"LeadAd")</f>
        <v>LeadAd</v>
      </c>
      <c r="X2537" s="124" t="str">
        <f>IFERROR(__xludf.DUMMYFUNCTION("""COMPUTED_VALUE"""),"Upsc_offline_26_Lucknow_FB_Video")</f>
        <v>Upsc_offline_26_Lucknow_FB_Video</v>
      </c>
      <c r="Y2537" s="124" t="str">
        <f>IFERROR(__xludf.DUMMYFUNCTION("""COMPUTED_VALUE"""),"Lucknow")</f>
        <v>Lucknow</v>
      </c>
      <c r="Z2537" s="124">
        <f>IFERROR(__xludf.DUMMYFUNCTION("""COMPUTED_VALUE"""),8.0)</f>
        <v>8</v>
      </c>
      <c r="AA2537" s="124" t="str">
        <f>IFERROR(__xludf.DUMMYFUNCTION("""COMPUTED_VALUE"""),"Fake Lead")</f>
        <v>Fake Lead</v>
      </c>
      <c r="AB2537" s="124"/>
    </row>
    <row r="2538">
      <c r="K2538" s="124"/>
      <c r="L2538" s="124"/>
      <c r="M2538" s="124"/>
      <c r="N2538" s="124"/>
      <c r="O2538" s="124"/>
      <c r="T2538" s="126">
        <f>IFERROR(__xludf.DUMMYFUNCTION("""COMPUTED_VALUE"""),46065.0)</f>
        <v>46065</v>
      </c>
      <c r="U2538" s="124" t="str">
        <f>IFERROR(__xludf.DUMMYFUNCTION("""COMPUTED_VALUE"""),"Walk-Ins")</f>
        <v>Walk-Ins</v>
      </c>
      <c r="V2538" s="124" t="str">
        <f>IFERROR(__xludf.DUMMYFUNCTION("""COMPUTED_VALUE"""),"Walk-In")</f>
        <v>Walk-In</v>
      </c>
      <c r="W2538" s="124" t="str">
        <f>IFERROR(__xludf.DUMMYFUNCTION("""COMPUTED_VALUE"""),"Patna")</f>
        <v>Patna</v>
      </c>
      <c r="X2538" s="124" t="str">
        <f>IFERROR(__xludf.DUMMYFUNCTION("""COMPUTED_VALUE"""),"Patna")</f>
        <v>Patna</v>
      </c>
      <c r="Y2538" s="124" t="str">
        <f>IFERROR(__xludf.DUMMYFUNCTION("""COMPUTED_VALUE"""),"Patna")</f>
        <v>Patna</v>
      </c>
      <c r="Z2538" s="124">
        <f>IFERROR(__xludf.DUMMYFUNCTION("""COMPUTED_VALUE"""),1.0)</f>
        <v>1</v>
      </c>
      <c r="AA2538" s="124" t="str">
        <f>IFERROR(__xludf.DUMMYFUNCTION("""COMPUTED_VALUE"""),"Fake Lead")</f>
        <v>Fake Lead</v>
      </c>
      <c r="AB2538" s="124" t="str">
        <f>IFERROR(__xludf.DUMMYFUNCTION("""COMPUTED_VALUE"""),"Other")</f>
        <v>Other</v>
      </c>
    </row>
    <row r="2539">
      <c r="K2539" s="124"/>
      <c r="L2539" s="124"/>
      <c r="M2539" s="124"/>
      <c r="N2539" s="124"/>
      <c r="O2539" s="124"/>
      <c r="T2539" s="126">
        <f>IFERROR(__xludf.DUMMYFUNCTION("""COMPUTED_VALUE"""),46050.0)</f>
        <v>46050</v>
      </c>
      <c r="U2539" s="124" t="str">
        <f>IFERROR(__xludf.DUMMYFUNCTION("""COMPUTED_VALUE"""),"Paid Ads")</f>
        <v>Paid Ads</v>
      </c>
      <c r="V2539" s="124" t="str">
        <f>IFERROR(__xludf.DUMMYFUNCTION("""COMPUTED_VALUE"""),"google")</f>
        <v>google</v>
      </c>
      <c r="W2539" s="124" t="str">
        <f>IFERROR(__xludf.DUMMYFUNCTION("""COMPUTED_VALUE"""),"cpc")</f>
        <v>cpc</v>
      </c>
      <c r="X2539" s="124">
        <f>IFERROR(__xludf.DUMMYFUNCTION("""COMPUTED_VALUE"""),2.2758016291E10)</f>
        <v>22758016291</v>
      </c>
      <c r="Y2539" s="124" t="str">
        <f>IFERROR(__xludf.DUMMYFUNCTION("""COMPUTED_VALUE"""),"Hyderabad")</f>
        <v>Hyderabad</v>
      </c>
      <c r="Z2539" s="124">
        <f>IFERROR(__xludf.DUMMYFUNCTION("""COMPUTED_VALUE"""),1.0)</f>
        <v>1</v>
      </c>
      <c r="AA2539" s="124" t="str">
        <f>IFERROR(__xludf.DUMMYFUNCTION("""COMPUTED_VALUE"""),"Cold")</f>
        <v>Cold</v>
      </c>
      <c r="AB2539" s="124" t="str">
        <f>IFERROR(__xludf.DUMMYFUNCTION("""COMPUTED_VALUE"""),"Prelims Crash Course - SIP")</f>
        <v>Prelims Crash Course - SIP</v>
      </c>
    </row>
    <row r="2540">
      <c r="K2540" s="124"/>
      <c r="L2540" s="124"/>
      <c r="M2540" s="124"/>
      <c r="N2540" s="124"/>
      <c r="O2540" s="124"/>
      <c r="T2540" s="129">
        <f>IFERROR(__xludf.DUMMYFUNCTION("""COMPUTED_VALUE"""),46046.0)</f>
        <v>46046</v>
      </c>
      <c r="U2540" s="124" t="str">
        <f>IFERROR(__xludf.DUMMYFUNCTION("""COMPUTED_VALUE"""),"Paid Ads")</f>
        <v>Paid Ads</v>
      </c>
      <c r="V2540" s="124" t="str">
        <f>IFERROR(__xludf.DUMMYFUNCTION("""COMPUTED_VALUE"""),"google")</f>
        <v>google</v>
      </c>
      <c r="W2540" s="124" t="str">
        <f>IFERROR(__xludf.DUMMYFUNCTION("""COMPUTED_VALUE"""),"cpc")</f>
        <v>cpc</v>
      </c>
      <c r="X2540" s="124">
        <f>IFERROR(__xludf.DUMMYFUNCTION("""COMPUTED_VALUE"""),2.2758016291E10)</f>
        <v>22758016291</v>
      </c>
      <c r="Y2540" s="124" t="str">
        <f>IFERROR(__xludf.DUMMYFUNCTION("""COMPUTED_VALUE"""),"Delhi")</f>
        <v>Delhi</v>
      </c>
      <c r="Z2540" s="124">
        <f>IFERROR(__xludf.DUMMYFUNCTION("""COMPUTED_VALUE"""),1.0)</f>
        <v>1</v>
      </c>
      <c r="AA2540" s="124" t="str">
        <f>IFERROR(__xludf.DUMMYFUNCTION("""COMPUTED_VALUE"""),"Fake Lead")</f>
        <v>Fake Lead</v>
      </c>
      <c r="AB2540" s="124" t="str">
        <f>IFERROR(__xludf.DUMMYFUNCTION("""COMPUTED_VALUE"""),"CSAT")</f>
        <v>CSAT</v>
      </c>
    </row>
    <row r="2541">
      <c r="K2541" s="124"/>
      <c r="L2541" s="124"/>
      <c r="M2541" s="124"/>
      <c r="N2541" s="124"/>
      <c r="O2541" s="124"/>
      <c r="T2541" s="126">
        <f>IFERROR(__xludf.DUMMYFUNCTION("""COMPUTED_VALUE"""),46047.0)</f>
        <v>46047</v>
      </c>
      <c r="U2541" s="124" t="str">
        <f>IFERROR(__xludf.DUMMYFUNCTION("""COMPUTED_VALUE"""),"Paid Ads")</f>
        <v>Paid Ads</v>
      </c>
      <c r="V2541" s="124" t="str">
        <f>IFERROR(__xludf.DUMMYFUNCTION("""COMPUTED_VALUE"""),"google")</f>
        <v>google</v>
      </c>
      <c r="W2541" s="124" t="str">
        <f>IFERROR(__xludf.DUMMYFUNCTION("""COMPUTED_VALUE"""),"cpc")</f>
        <v>cpc</v>
      </c>
      <c r="X2541" s="124">
        <f>IFERROR(__xludf.DUMMYFUNCTION("""COMPUTED_VALUE"""),2.2758016291E10)</f>
        <v>22758016291</v>
      </c>
      <c r="Y2541" s="124" t="str">
        <f>IFERROR(__xludf.DUMMYFUNCTION("""COMPUTED_VALUE"""),"Delhi")</f>
        <v>Delhi</v>
      </c>
      <c r="Z2541" s="124">
        <f>IFERROR(__xludf.DUMMYFUNCTION("""COMPUTED_VALUE"""),1.0)</f>
        <v>1</v>
      </c>
      <c r="AA2541" s="124" t="str">
        <f>IFERROR(__xludf.DUMMYFUNCTION("""COMPUTED_VALUE"""),"Cold")</f>
        <v>Cold</v>
      </c>
      <c r="AB2541" s="124" t="str">
        <f>IFERROR(__xludf.DUMMYFUNCTION("""COMPUTED_VALUE"""),"CSAT")</f>
        <v>CSAT</v>
      </c>
    </row>
    <row r="2542">
      <c r="K2542" s="124"/>
      <c r="L2542" s="124"/>
      <c r="M2542" s="124"/>
      <c r="N2542" s="124"/>
      <c r="O2542" s="124"/>
      <c r="T2542" s="126">
        <f>IFERROR(__xludf.DUMMYFUNCTION("""COMPUTED_VALUE"""),46069.0)</f>
        <v>46069</v>
      </c>
      <c r="U2542" s="124" t="str">
        <f>IFERROR(__xludf.DUMMYFUNCTION("""COMPUTED_VALUE"""),"Walk-Ins")</f>
        <v>Walk-Ins</v>
      </c>
      <c r="V2542" s="124" t="str">
        <f>IFERROR(__xludf.DUMMYFUNCTION("""COMPUTED_VALUE"""),"Walk-In")</f>
        <v>Walk-In</v>
      </c>
      <c r="W2542" s="124" t="str">
        <f>IFERROR(__xludf.DUMMYFUNCTION("""COMPUTED_VALUE"""),"Patna")</f>
        <v>Patna</v>
      </c>
      <c r="X2542" s="124" t="str">
        <f>IFERROR(__xludf.DUMMYFUNCTION("""COMPUTED_VALUE"""),"Patna")</f>
        <v>Patna</v>
      </c>
      <c r="Y2542" s="124" t="str">
        <f>IFERROR(__xludf.DUMMYFUNCTION("""COMPUTED_VALUE"""),"Patna")</f>
        <v>Patna</v>
      </c>
      <c r="Z2542" s="124">
        <f>IFERROR(__xludf.DUMMYFUNCTION("""COMPUTED_VALUE"""),1.0)</f>
        <v>1</v>
      </c>
      <c r="AA2542" s="124" t="str">
        <f>IFERROR(__xludf.DUMMYFUNCTION("""COMPUTED_VALUE"""),"Fake Lead")</f>
        <v>Fake Lead</v>
      </c>
      <c r="AB2542" s="124" t="str">
        <f>IFERROR(__xludf.DUMMYFUNCTION("""COMPUTED_VALUE"""),"GS Foundation")</f>
        <v>GS Foundation</v>
      </c>
    </row>
    <row r="2543">
      <c r="K2543" s="124"/>
      <c r="L2543" s="124"/>
      <c r="M2543" s="124"/>
      <c r="N2543" s="124"/>
      <c r="O2543" s="124"/>
      <c r="T2543" s="126">
        <f>IFERROR(__xludf.DUMMYFUNCTION("""COMPUTED_VALUE"""),46051.0)</f>
        <v>46051</v>
      </c>
      <c r="U2543" s="124" t="str">
        <f>IFERROR(__xludf.DUMMYFUNCTION("""COMPUTED_VALUE"""),"Paid Ads")</f>
        <v>Paid Ads</v>
      </c>
      <c r="V2543" s="124" t="str">
        <f>IFERROR(__xludf.DUMMYFUNCTION("""COMPUTED_VALUE"""),"google")</f>
        <v>google</v>
      </c>
      <c r="W2543" s="124" t="str">
        <f>IFERROR(__xludf.DUMMYFUNCTION("""COMPUTED_VALUE"""),"cpc")</f>
        <v>cpc</v>
      </c>
      <c r="X2543" s="124">
        <f>IFERROR(__xludf.DUMMYFUNCTION("""COMPUTED_VALUE"""),2.2758016291E10)</f>
        <v>22758016291</v>
      </c>
      <c r="Y2543" s="124" t="str">
        <f>IFERROR(__xludf.DUMMYFUNCTION("""COMPUTED_VALUE"""),"Delhi")</f>
        <v>Delhi</v>
      </c>
      <c r="Z2543" s="124">
        <f>IFERROR(__xludf.DUMMYFUNCTION("""COMPUTED_VALUE"""),1.0)</f>
        <v>1</v>
      </c>
      <c r="AA2543" s="124" t="str">
        <f>IFERROR(__xludf.DUMMYFUNCTION("""COMPUTED_VALUE"""),"Not Interested")</f>
        <v>Not Interested</v>
      </c>
      <c r="AB2543" s="124" t="str">
        <f>IFERROR(__xludf.DUMMYFUNCTION("""COMPUTED_VALUE"""),"SIM")</f>
        <v>SIM</v>
      </c>
    </row>
    <row r="2544">
      <c r="K2544" s="124"/>
      <c r="L2544" s="124"/>
      <c r="M2544" s="124"/>
      <c r="N2544" s="124"/>
      <c r="O2544" s="124"/>
      <c r="T2544" s="129">
        <f>IFERROR(__xludf.DUMMYFUNCTION("""COMPUTED_VALUE"""),46065.0)</f>
        <v>46065</v>
      </c>
      <c r="U2544" s="124" t="str">
        <f>IFERROR(__xludf.DUMMYFUNCTION("""COMPUTED_VALUE"""),"Walk-Ins")</f>
        <v>Walk-Ins</v>
      </c>
      <c r="V2544" s="124" t="str">
        <f>IFERROR(__xludf.DUMMYFUNCTION("""COMPUTED_VALUE"""),"Walk-In")</f>
        <v>Walk-In</v>
      </c>
      <c r="W2544" s="124" t="str">
        <f>IFERROR(__xludf.DUMMYFUNCTION("""COMPUTED_VALUE"""),"Patna")</f>
        <v>Patna</v>
      </c>
      <c r="X2544" s="124" t="str">
        <f>IFERROR(__xludf.DUMMYFUNCTION("""COMPUTED_VALUE"""),"Patna")</f>
        <v>Patna</v>
      </c>
      <c r="Y2544" s="124" t="str">
        <f>IFERROR(__xludf.DUMMYFUNCTION("""COMPUTED_VALUE"""),"Patna")</f>
        <v>Patna</v>
      </c>
      <c r="Z2544" s="124">
        <f>IFERROR(__xludf.DUMMYFUNCTION("""COMPUTED_VALUE"""),2.0)</f>
        <v>2</v>
      </c>
      <c r="AA2544" s="124" t="str">
        <f>IFERROR(__xludf.DUMMYFUNCTION("""COMPUTED_VALUE"""),"Cold")</f>
        <v>Cold</v>
      </c>
      <c r="AB2544" s="124" t="str">
        <f>IFERROR(__xludf.DUMMYFUNCTION("""COMPUTED_VALUE"""),"State PCS")</f>
        <v>State PCS</v>
      </c>
    </row>
    <row r="2545">
      <c r="K2545" s="124"/>
      <c r="L2545" s="124"/>
      <c r="M2545" s="124"/>
      <c r="N2545" s="124"/>
      <c r="O2545" s="124"/>
      <c r="T2545" s="126">
        <f>IFERROR(__xludf.DUMMYFUNCTION("""COMPUTED_VALUE"""),46099.0)</f>
        <v>46099</v>
      </c>
      <c r="U2545" s="124" t="str">
        <f>IFERROR(__xludf.DUMMYFUNCTION("""COMPUTED_VALUE"""),"Event")</f>
        <v>Event</v>
      </c>
      <c r="V2545" s="124" t="str">
        <f>IFERROR(__xludf.DUMMYFUNCTION("""COMPUTED_VALUE"""),"events")</f>
        <v>events</v>
      </c>
      <c r="W2545" s="124" t="str">
        <f>IFERROR(__xludf.DUMMYFUNCTION("""COMPUTED_VALUE"""),"prayagraj")</f>
        <v>prayagraj</v>
      </c>
      <c r="X2545" s="124" t="str">
        <f>IFERROR(__xludf.DUMMYFUNCTION("""COMPUTED_VALUE"""),"seminar")</f>
        <v>seminar</v>
      </c>
      <c r="Y2545" s="124" t="str">
        <f>IFERROR(__xludf.DUMMYFUNCTION("""COMPUTED_VALUE"""),"Prayagraj")</f>
        <v>Prayagraj</v>
      </c>
      <c r="Z2545" s="124">
        <f>IFERROR(__xludf.DUMMYFUNCTION("""COMPUTED_VALUE"""),1.0)</f>
        <v>1</v>
      </c>
      <c r="AA2545" s="124"/>
      <c r="AB2545" s="124" t="str">
        <f>IFERROR(__xludf.DUMMYFUNCTION("""COMPUTED_VALUE"""),"State PCS")</f>
        <v>State PCS</v>
      </c>
    </row>
    <row r="2546">
      <c r="K2546" s="124"/>
      <c r="L2546" s="124"/>
      <c r="M2546" s="124"/>
      <c r="N2546" s="124"/>
      <c r="O2546" s="124"/>
      <c r="T2546" s="126">
        <f>IFERROR(__xludf.DUMMYFUNCTION("""COMPUTED_VALUE"""),46065.0)</f>
        <v>46065</v>
      </c>
      <c r="U2546" s="124" t="str">
        <f>IFERROR(__xludf.DUMMYFUNCTION("""COMPUTED_VALUE"""),"Walk-Ins")</f>
        <v>Walk-Ins</v>
      </c>
      <c r="V2546" s="124" t="str">
        <f>IFERROR(__xludf.DUMMYFUNCTION("""COMPUTED_VALUE"""),"Walk-In")</f>
        <v>Walk-In</v>
      </c>
      <c r="W2546" s="124" t="str">
        <f>IFERROR(__xludf.DUMMYFUNCTION("""COMPUTED_VALUE"""),"Patna")</f>
        <v>Patna</v>
      </c>
      <c r="X2546" s="124" t="str">
        <f>IFERROR(__xludf.DUMMYFUNCTION("""COMPUTED_VALUE"""),"Patna")</f>
        <v>Patna</v>
      </c>
      <c r="Y2546" s="124" t="str">
        <f>IFERROR(__xludf.DUMMYFUNCTION("""COMPUTED_VALUE"""),"Patna")</f>
        <v>Patna</v>
      </c>
      <c r="Z2546" s="124">
        <f>IFERROR(__xludf.DUMMYFUNCTION("""COMPUTED_VALUE"""),1.0)</f>
        <v>1</v>
      </c>
      <c r="AA2546" s="124" t="str">
        <f>IFERROR(__xludf.DUMMYFUNCTION("""COMPUTED_VALUE"""),"Fake Lead")</f>
        <v>Fake Lead</v>
      </c>
      <c r="AB2546" s="124" t="str">
        <f>IFERROR(__xludf.DUMMYFUNCTION("""COMPUTED_VALUE"""),"State PCS")</f>
        <v>State PCS</v>
      </c>
    </row>
    <row r="2547">
      <c r="K2547" s="124"/>
      <c r="L2547" s="124"/>
      <c r="M2547" s="124"/>
      <c r="N2547" s="124"/>
      <c r="O2547" s="124"/>
      <c r="T2547" s="129">
        <f>IFERROR(__xludf.DUMMYFUNCTION("""COMPUTED_VALUE"""),46093.0)</f>
        <v>46093</v>
      </c>
      <c r="U2547" s="124" t="str">
        <f>IFERROR(__xludf.DUMMYFUNCTION("""COMPUTED_VALUE"""),"Walk-Ins")</f>
        <v>Walk-Ins</v>
      </c>
      <c r="V2547" s="124" t="str">
        <f>IFERROR(__xludf.DUMMYFUNCTION("""COMPUTED_VALUE"""),"Walkin")</f>
        <v>Walkin</v>
      </c>
      <c r="W2547" s="124" t="str">
        <f>IFERROR(__xludf.DUMMYFUNCTION("""COMPUTED_VALUE"""),"Indore")</f>
        <v>Indore</v>
      </c>
      <c r="X2547" s="124" t="str">
        <f>IFERROR(__xludf.DUMMYFUNCTION("""COMPUTED_VALUE"""),"Walkin")</f>
        <v>Walkin</v>
      </c>
      <c r="Y2547" s="124" t="str">
        <f>IFERROR(__xludf.DUMMYFUNCTION("""COMPUTED_VALUE"""),"Indore")</f>
        <v>Indore</v>
      </c>
      <c r="Z2547" s="124">
        <f>IFERROR(__xludf.DUMMYFUNCTION("""COMPUTED_VALUE"""),2.0)</f>
        <v>2</v>
      </c>
      <c r="AA2547" s="124" t="str">
        <f>IFERROR(__xludf.DUMMYFUNCTION("""COMPUTED_VALUE"""),"Cold")</f>
        <v>Cold</v>
      </c>
      <c r="AB2547" s="124" t="str">
        <f>IFERROR(__xludf.DUMMYFUNCTION("""COMPUTED_VALUE"""),"State PCS")</f>
        <v>State PCS</v>
      </c>
    </row>
    <row r="2548">
      <c r="K2548" s="124"/>
      <c r="L2548" s="124"/>
      <c r="M2548" s="124"/>
      <c r="N2548" s="124"/>
      <c r="O2548" s="124"/>
      <c r="T2548" s="126">
        <f>IFERROR(__xludf.DUMMYFUNCTION("""COMPUTED_VALUE"""),46088.0)</f>
        <v>46088</v>
      </c>
      <c r="U2548" s="124" t="str">
        <f>IFERROR(__xludf.DUMMYFUNCTION("""COMPUTED_VALUE"""),"Walk-Ins")</f>
        <v>Walk-Ins</v>
      </c>
      <c r="V2548" s="124" t="str">
        <f>IFERROR(__xludf.DUMMYFUNCTION("""COMPUTED_VALUE"""),"Walkin")</f>
        <v>Walkin</v>
      </c>
      <c r="W2548" s="124" t="str">
        <f>IFERROR(__xludf.DUMMYFUNCTION("""COMPUTED_VALUE"""),"Prayagraj")</f>
        <v>Prayagraj</v>
      </c>
      <c r="X2548" s="124" t="str">
        <f>IFERROR(__xludf.DUMMYFUNCTION("""COMPUTED_VALUE"""),"Walkin")</f>
        <v>Walkin</v>
      </c>
      <c r="Y2548" s="124" t="str">
        <f>IFERROR(__xludf.DUMMYFUNCTION("""COMPUTED_VALUE"""),"Prayagraj")</f>
        <v>Prayagraj</v>
      </c>
      <c r="Z2548" s="124">
        <f>IFERROR(__xludf.DUMMYFUNCTION("""COMPUTED_VALUE"""),1.0)</f>
        <v>1</v>
      </c>
      <c r="AA2548" s="124" t="str">
        <f>IFERROR(__xludf.DUMMYFUNCTION("""COMPUTED_VALUE"""),"Warm")</f>
        <v>Warm</v>
      </c>
      <c r="AB2548" s="124" t="str">
        <f>IFERROR(__xludf.DUMMYFUNCTION("""COMPUTED_VALUE"""),"GS Foundation")</f>
        <v>GS Foundation</v>
      </c>
    </row>
    <row r="2549">
      <c r="K2549" s="124"/>
      <c r="L2549" s="124"/>
      <c r="M2549" s="124"/>
      <c r="N2549" s="124"/>
      <c r="O2549" s="124"/>
      <c r="T2549" s="126">
        <f>IFERROR(__xludf.DUMMYFUNCTION("""COMPUTED_VALUE"""),46049.0)</f>
        <v>46049</v>
      </c>
      <c r="U2549" s="124" t="str">
        <f>IFERROR(__xludf.DUMMYFUNCTION("""COMPUTED_VALUE"""),"Walk-Ins")</f>
        <v>Walk-Ins</v>
      </c>
      <c r="V2549" s="124" t="str">
        <f>IFERROR(__xludf.DUMMYFUNCTION("""COMPUTED_VALUE"""),"Walkin")</f>
        <v>Walkin</v>
      </c>
      <c r="W2549" s="124" t="str">
        <f>IFERROR(__xludf.DUMMYFUNCTION("""COMPUTED_VALUE"""),"Indore")</f>
        <v>Indore</v>
      </c>
      <c r="X2549" s="124" t="str">
        <f>IFERROR(__xludf.DUMMYFUNCTION("""COMPUTED_VALUE"""),"Walkin")</f>
        <v>Walkin</v>
      </c>
      <c r="Y2549" s="124" t="str">
        <f>IFERROR(__xludf.DUMMYFUNCTION("""COMPUTED_VALUE"""),"Indore")</f>
        <v>Indore</v>
      </c>
      <c r="Z2549" s="124">
        <f>IFERROR(__xludf.DUMMYFUNCTION("""COMPUTED_VALUE"""),3.0)</f>
        <v>3</v>
      </c>
      <c r="AA2549" s="124" t="str">
        <f>IFERROR(__xludf.DUMMYFUNCTION("""COMPUTED_VALUE"""),"Not Interested")</f>
        <v>Not Interested</v>
      </c>
      <c r="AB2549" s="124" t="str">
        <f>IFERROR(__xludf.DUMMYFUNCTION("""COMPUTED_VALUE"""),"State PCS")</f>
        <v>State PCS</v>
      </c>
    </row>
    <row r="2550">
      <c r="K2550" s="124"/>
      <c r="L2550" s="124"/>
      <c r="M2550" s="124"/>
      <c r="N2550" s="124"/>
      <c r="O2550" s="124"/>
      <c r="T2550" s="129">
        <f>IFERROR(__xludf.DUMMYFUNCTION("""COMPUTED_VALUE"""),46090.0)</f>
        <v>46090</v>
      </c>
      <c r="U2550" s="124" t="str">
        <f>IFERROR(__xludf.DUMMYFUNCTION("""COMPUTED_VALUE"""),"Walk-Ins")</f>
        <v>Walk-Ins</v>
      </c>
      <c r="V2550" s="124" t="str">
        <f>IFERROR(__xludf.DUMMYFUNCTION("""COMPUTED_VALUE"""),"Walkin")</f>
        <v>Walkin</v>
      </c>
      <c r="W2550" s="124" t="str">
        <f>IFERROR(__xludf.DUMMYFUNCTION("""COMPUTED_VALUE"""),"Prayagraj")</f>
        <v>Prayagraj</v>
      </c>
      <c r="X2550" s="124" t="str">
        <f>IFERROR(__xludf.DUMMYFUNCTION("""COMPUTED_VALUE"""),"Walkin")</f>
        <v>Walkin</v>
      </c>
      <c r="Y2550" s="124" t="str">
        <f>IFERROR(__xludf.DUMMYFUNCTION("""COMPUTED_VALUE"""),"Prayagraj")</f>
        <v>Prayagraj</v>
      </c>
      <c r="Z2550" s="124">
        <f>IFERROR(__xludf.DUMMYFUNCTION("""COMPUTED_VALUE"""),1.0)</f>
        <v>1</v>
      </c>
      <c r="AA2550" s="124" t="str">
        <f>IFERROR(__xludf.DUMMYFUNCTION("""COMPUTED_VALUE"""),"Cold")</f>
        <v>Cold</v>
      </c>
      <c r="AB2550" s="124" t="str">
        <f>IFERROR(__xludf.DUMMYFUNCTION("""COMPUTED_VALUE"""),"GS Foundation")</f>
        <v>GS Foundation</v>
      </c>
    </row>
    <row r="2551">
      <c r="K2551" s="124"/>
      <c r="L2551" s="124"/>
      <c r="M2551" s="124"/>
      <c r="N2551" s="124"/>
      <c r="O2551" s="124"/>
      <c r="T2551" s="126">
        <f>IFERROR(__xludf.DUMMYFUNCTION("""COMPUTED_VALUE"""),46109.0)</f>
        <v>46109</v>
      </c>
      <c r="U2551" s="124" t="str">
        <f>IFERROR(__xludf.DUMMYFUNCTION("""COMPUTED_VALUE"""),"Walk-Ins")</f>
        <v>Walk-Ins</v>
      </c>
      <c r="V2551" s="124" t="str">
        <f>IFERROR(__xludf.DUMMYFUNCTION("""COMPUTED_VALUE"""),"Walkin")</f>
        <v>Walkin</v>
      </c>
      <c r="W2551" s="124" t="str">
        <f>IFERROR(__xludf.DUMMYFUNCTION("""COMPUTED_VALUE"""),"Patna")</f>
        <v>Patna</v>
      </c>
      <c r="X2551" s="124" t="str">
        <f>IFERROR(__xludf.DUMMYFUNCTION("""COMPUTED_VALUE"""),"Walkin")</f>
        <v>Walkin</v>
      </c>
      <c r="Y2551" s="124" t="str">
        <f>IFERROR(__xludf.DUMMYFUNCTION("""COMPUTED_VALUE"""),"Patna")</f>
        <v>Patna</v>
      </c>
      <c r="Z2551" s="124">
        <f>IFERROR(__xludf.DUMMYFUNCTION("""COMPUTED_VALUE"""),1.0)</f>
        <v>1</v>
      </c>
      <c r="AA2551" s="124" t="str">
        <f>IFERROR(__xludf.DUMMYFUNCTION("""COMPUTED_VALUE"""),"Fake Lead")</f>
        <v>Fake Lead</v>
      </c>
      <c r="AB2551" s="124" t="str">
        <f>IFERROR(__xludf.DUMMYFUNCTION("""COMPUTED_VALUE"""),"State PCS")</f>
        <v>State PCS</v>
      </c>
    </row>
    <row r="2552">
      <c r="K2552" s="124"/>
      <c r="L2552" s="124"/>
      <c r="M2552" s="124"/>
      <c r="N2552" s="124"/>
      <c r="O2552" s="124"/>
      <c r="T2552" s="126">
        <f>IFERROR(__xludf.DUMMYFUNCTION("""COMPUTED_VALUE"""),46105.0)</f>
        <v>46105</v>
      </c>
      <c r="U2552" s="124" t="str">
        <f>IFERROR(__xludf.DUMMYFUNCTION("""COMPUTED_VALUE"""),"Walk-Ins")</f>
        <v>Walk-Ins</v>
      </c>
      <c r="V2552" s="124" t="str">
        <f>IFERROR(__xludf.DUMMYFUNCTION("""COMPUTED_VALUE"""),"Walkin")</f>
        <v>Walkin</v>
      </c>
      <c r="W2552" s="124" t="str">
        <f>IFERROR(__xludf.DUMMYFUNCTION("""COMPUTED_VALUE"""),"Prayagraj")</f>
        <v>Prayagraj</v>
      </c>
      <c r="X2552" s="124" t="str">
        <f>IFERROR(__xludf.DUMMYFUNCTION("""COMPUTED_VALUE"""),"Walkin")</f>
        <v>Walkin</v>
      </c>
      <c r="Y2552" s="124" t="str">
        <f>IFERROR(__xludf.DUMMYFUNCTION("""COMPUTED_VALUE"""),"Prayagraj")</f>
        <v>Prayagraj</v>
      </c>
      <c r="Z2552" s="124">
        <f>IFERROR(__xludf.DUMMYFUNCTION("""COMPUTED_VALUE"""),2.0)</f>
        <v>2</v>
      </c>
      <c r="AA2552" s="124" t="str">
        <f>IFERROR(__xludf.DUMMYFUNCTION("""COMPUTED_VALUE"""),"Future Prospects")</f>
        <v>Future Prospects</v>
      </c>
      <c r="AB2552" s="124" t="str">
        <f>IFERROR(__xludf.DUMMYFUNCTION("""COMPUTED_VALUE"""),"GS Foundation")</f>
        <v>GS Foundation</v>
      </c>
    </row>
    <row r="2553">
      <c r="K2553" s="124"/>
      <c r="L2553" s="124"/>
      <c r="M2553" s="124"/>
      <c r="N2553" s="124"/>
      <c r="O2553" s="124"/>
      <c r="T2553" s="129">
        <f>IFERROR(__xludf.DUMMYFUNCTION("""COMPUTED_VALUE"""),46095.0)</f>
        <v>46095</v>
      </c>
      <c r="U2553" s="124" t="str">
        <f>IFERROR(__xludf.DUMMYFUNCTION("""COMPUTED_VALUE"""),"Walk-Ins")</f>
        <v>Walk-Ins</v>
      </c>
      <c r="V2553" s="124" t="str">
        <f>IFERROR(__xludf.DUMMYFUNCTION("""COMPUTED_VALUE"""),"Walkin")</f>
        <v>Walkin</v>
      </c>
      <c r="W2553" s="124" t="str">
        <f>IFERROR(__xludf.DUMMYFUNCTION("""COMPUTED_VALUE"""),"Prayagraj")</f>
        <v>Prayagraj</v>
      </c>
      <c r="X2553" s="124" t="str">
        <f>IFERROR(__xludf.DUMMYFUNCTION("""COMPUTED_VALUE"""),"Walkin")</f>
        <v>Walkin</v>
      </c>
      <c r="Y2553" s="124" t="str">
        <f>IFERROR(__xludf.DUMMYFUNCTION("""COMPUTED_VALUE"""),"Prayagraj")</f>
        <v>Prayagraj</v>
      </c>
      <c r="Z2553" s="124">
        <f>IFERROR(__xludf.DUMMYFUNCTION("""COMPUTED_VALUE"""),2.0)</f>
        <v>2</v>
      </c>
      <c r="AA2553" s="124" t="str">
        <f>IFERROR(__xludf.DUMMYFUNCTION("""COMPUTED_VALUE"""),"Future Prospects")</f>
        <v>Future Prospects</v>
      </c>
      <c r="AB2553" s="124" t="str">
        <f>IFERROR(__xludf.DUMMYFUNCTION("""COMPUTED_VALUE"""),"GS Foundation")</f>
        <v>GS Foundation</v>
      </c>
    </row>
    <row r="2554">
      <c r="K2554" s="124"/>
      <c r="L2554" s="124"/>
      <c r="M2554" s="124"/>
      <c r="N2554" s="124"/>
      <c r="O2554" s="124"/>
      <c r="T2554" s="129">
        <f>IFERROR(__xludf.DUMMYFUNCTION("""COMPUTED_VALUE"""),46095.0)</f>
        <v>46095</v>
      </c>
      <c r="U2554" s="124" t="str">
        <f>IFERROR(__xludf.DUMMYFUNCTION("""COMPUTED_VALUE"""),"Walk-Ins")</f>
        <v>Walk-Ins</v>
      </c>
      <c r="V2554" s="124" t="str">
        <f>IFERROR(__xludf.DUMMYFUNCTION("""COMPUTED_VALUE"""),"Walkin")</f>
        <v>Walkin</v>
      </c>
      <c r="W2554" s="124" t="str">
        <f>IFERROR(__xludf.DUMMYFUNCTION("""COMPUTED_VALUE"""),"Patna")</f>
        <v>Patna</v>
      </c>
      <c r="X2554" s="124" t="str">
        <f>IFERROR(__xludf.DUMMYFUNCTION("""COMPUTED_VALUE"""),"Walkin")</f>
        <v>Walkin</v>
      </c>
      <c r="Y2554" s="124" t="str">
        <f>IFERROR(__xludf.DUMMYFUNCTION("""COMPUTED_VALUE"""),"Patna")</f>
        <v>Patna</v>
      </c>
      <c r="Z2554" s="124">
        <f>IFERROR(__xludf.DUMMYFUNCTION("""COMPUTED_VALUE"""),1.0)</f>
        <v>1</v>
      </c>
      <c r="AA2554" s="124" t="str">
        <f>IFERROR(__xludf.DUMMYFUNCTION("""COMPUTED_VALUE"""),"Enrolled")</f>
        <v>Enrolled</v>
      </c>
      <c r="AB2554" s="124" t="str">
        <f>IFERROR(__xludf.DUMMYFUNCTION("""COMPUTED_VALUE"""),"GS Foundation")</f>
        <v>GS Foundation</v>
      </c>
    </row>
    <row r="2555">
      <c r="K2555" s="124"/>
      <c r="L2555" s="124"/>
      <c r="M2555" s="124"/>
      <c r="N2555" s="124"/>
      <c r="O2555" s="124"/>
      <c r="T2555" s="126">
        <f>IFERROR(__xludf.DUMMYFUNCTION("""COMPUTED_VALUE"""),46071.0)</f>
        <v>46071</v>
      </c>
      <c r="U2555" s="124" t="str">
        <f>IFERROR(__xludf.DUMMYFUNCTION("""COMPUTED_VALUE"""),"Walk-Ins")</f>
        <v>Walk-Ins</v>
      </c>
      <c r="V2555" s="124" t="str">
        <f>IFERROR(__xludf.DUMMYFUNCTION("""COMPUTED_VALUE"""),"Walkin")</f>
        <v>Walkin</v>
      </c>
      <c r="W2555" s="124" t="str">
        <f>IFERROR(__xludf.DUMMYFUNCTION("""COMPUTED_VALUE"""),"Lucknow")</f>
        <v>Lucknow</v>
      </c>
      <c r="X2555" s="124" t="str">
        <f>IFERROR(__xludf.DUMMYFUNCTION("""COMPUTED_VALUE"""),"Walkin")</f>
        <v>Walkin</v>
      </c>
      <c r="Y2555" s="124" t="str">
        <f>IFERROR(__xludf.DUMMYFUNCTION("""COMPUTED_VALUE"""),"Lucknow")</f>
        <v>Lucknow</v>
      </c>
      <c r="Z2555" s="124">
        <f>IFERROR(__xludf.DUMMYFUNCTION("""COMPUTED_VALUE"""),1.0)</f>
        <v>1</v>
      </c>
      <c r="AA2555" s="124" t="str">
        <f>IFERROR(__xludf.DUMMYFUNCTION("""COMPUTED_VALUE"""),"Not Interested")</f>
        <v>Not Interested</v>
      </c>
      <c r="AB2555" s="124" t="str">
        <f>IFERROR(__xludf.DUMMYFUNCTION("""COMPUTED_VALUE"""),"GS Foundation")</f>
        <v>GS Foundation</v>
      </c>
    </row>
    <row r="2556">
      <c r="K2556" s="124"/>
      <c r="L2556" s="124"/>
      <c r="M2556" s="124"/>
      <c r="N2556" s="124"/>
      <c r="O2556" s="124"/>
      <c r="T2556" s="129">
        <f>IFERROR(__xludf.DUMMYFUNCTION("""COMPUTED_VALUE"""),46077.0)</f>
        <v>46077</v>
      </c>
      <c r="U2556" s="124" t="str">
        <f>IFERROR(__xludf.DUMMYFUNCTION("""COMPUTED_VALUE"""),"Walk-Ins")</f>
        <v>Walk-Ins</v>
      </c>
      <c r="V2556" s="124" t="str">
        <f>IFERROR(__xludf.DUMMYFUNCTION("""COMPUTED_VALUE"""),"Walkin")</f>
        <v>Walkin</v>
      </c>
      <c r="W2556" s="124" t="str">
        <f>IFERROR(__xludf.DUMMYFUNCTION("""COMPUTED_VALUE"""),"Patna")</f>
        <v>Patna</v>
      </c>
      <c r="X2556" s="124" t="str">
        <f>IFERROR(__xludf.DUMMYFUNCTION("""COMPUTED_VALUE"""),"Walkin")</f>
        <v>Walkin</v>
      </c>
      <c r="Y2556" s="124" t="str">
        <f>IFERROR(__xludf.DUMMYFUNCTION("""COMPUTED_VALUE"""),"Patna")</f>
        <v>Patna</v>
      </c>
      <c r="Z2556" s="124">
        <f>IFERROR(__xludf.DUMMYFUNCTION("""COMPUTED_VALUE"""),2.0)</f>
        <v>2</v>
      </c>
      <c r="AA2556" s="124" t="str">
        <f>IFERROR(__xludf.DUMMYFUNCTION("""COMPUTED_VALUE"""),"Fake Lead")</f>
        <v>Fake Lead</v>
      </c>
      <c r="AB2556" s="124" t="str">
        <f>IFERROR(__xludf.DUMMYFUNCTION("""COMPUTED_VALUE"""),"State PCS")</f>
        <v>State PCS</v>
      </c>
    </row>
    <row r="2557">
      <c r="K2557" s="124"/>
      <c r="L2557" s="124"/>
      <c r="M2557" s="124"/>
      <c r="N2557" s="124"/>
      <c r="O2557" s="124"/>
      <c r="T2557" s="129">
        <f>IFERROR(__xludf.DUMMYFUNCTION("""COMPUTED_VALUE"""),46049.0)</f>
        <v>46049</v>
      </c>
      <c r="U2557" s="124" t="str">
        <f>IFERROR(__xludf.DUMMYFUNCTION("""COMPUTED_VALUE"""),"Walk-Ins")</f>
        <v>Walk-Ins</v>
      </c>
      <c r="V2557" s="124" t="str">
        <f>IFERROR(__xludf.DUMMYFUNCTION("""COMPUTED_VALUE"""),"Walk-In")</f>
        <v>Walk-In</v>
      </c>
      <c r="W2557" s="124" t="str">
        <f>IFERROR(__xludf.DUMMYFUNCTION("""COMPUTED_VALUE"""),"Patna")</f>
        <v>Patna</v>
      </c>
      <c r="X2557" s="124" t="str">
        <f>IFERROR(__xludf.DUMMYFUNCTION("""COMPUTED_VALUE"""),"Others")</f>
        <v>Others</v>
      </c>
      <c r="Y2557" s="124" t="str">
        <f>IFERROR(__xludf.DUMMYFUNCTION("""COMPUTED_VALUE"""),"Patna")</f>
        <v>Patna</v>
      </c>
      <c r="Z2557" s="124">
        <f>IFERROR(__xludf.DUMMYFUNCTION("""COMPUTED_VALUE"""),2.0)</f>
        <v>2</v>
      </c>
      <c r="AA2557" s="124" t="str">
        <f>IFERROR(__xludf.DUMMYFUNCTION("""COMPUTED_VALUE"""),"Fake Lead")</f>
        <v>Fake Lead</v>
      </c>
      <c r="AB2557" s="124" t="str">
        <f>IFERROR(__xludf.DUMMYFUNCTION("""COMPUTED_VALUE"""),"State PCS")</f>
        <v>State PCS</v>
      </c>
    </row>
    <row r="2558">
      <c r="K2558" s="124"/>
      <c r="L2558" s="124"/>
      <c r="M2558" s="124"/>
      <c r="N2558" s="124"/>
      <c r="O2558" s="124"/>
      <c r="T2558" s="126">
        <f>IFERROR(__xludf.DUMMYFUNCTION("""COMPUTED_VALUE"""),46049.0)</f>
        <v>46049</v>
      </c>
      <c r="U2558" s="124" t="str">
        <f>IFERROR(__xludf.DUMMYFUNCTION("""COMPUTED_VALUE"""),"Walk-Ins")</f>
        <v>Walk-Ins</v>
      </c>
      <c r="V2558" s="124" t="str">
        <f>IFERROR(__xludf.DUMMYFUNCTION("""COMPUTED_VALUE"""),"Walkin")</f>
        <v>Walkin</v>
      </c>
      <c r="W2558" s="124" t="str">
        <f>IFERROR(__xludf.DUMMYFUNCTION("""COMPUTED_VALUE"""),"Prayagraj")</f>
        <v>Prayagraj</v>
      </c>
      <c r="X2558" s="124" t="str">
        <f>IFERROR(__xludf.DUMMYFUNCTION("""COMPUTED_VALUE"""),"Walkin")</f>
        <v>Walkin</v>
      </c>
      <c r="Y2558" s="124" t="str">
        <f>IFERROR(__xludf.DUMMYFUNCTION("""COMPUTED_VALUE"""),"Prayagraj")</f>
        <v>Prayagraj</v>
      </c>
      <c r="Z2558" s="124">
        <f>IFERROR(__xludf.DUMMYFUNCTION("""COMPUTED_VALUE"""),2.0)</f>
        <v>2</v>
      </c>
      <c r="AA2558" s="124" t="str">
        <f>IFERROR(__xludf.DUMMYFUNCTION("""COMPUTED_VALUE"""),"Cold")</f>
        <v>Cold</v>
      </c>
      <c r="AB2558" s="124" t="str">
        <f>IFERROR(__xludf.DUMMYFUNCTION("""COMPUTED_VALUE"""),"GS Foundation")</f>
        <v>GS Foundation</v>
      </c>
    </row>
    <row r="2559">
      <c r="K2559" s="124"/>
      <c r="L2559" s="124"/>
      <c r="M2559" s="124"/>
      <c r="N2559" s="124"/>
      <c r="O2559" s="124"/>
      <c r="T2559" s="126">
        <f>IFERROR(__xludf.DUMMYFUNCTION("""COMPUTED_VALUE"""),46043.0)</f>
        <v>46043</v>
      </c>
      <c r="U2559" s="124" t="str">
        <f>IFERROR(__xludf.DUMMYFUNCTION("""COMPUTED_VALUE"""),"Walk-Ins")</f>
        <v>Walk-Ins</v>
      </c>
      <c r="V2559" s="124" t="str">
        <f>IFERROR(__xludf.DUMMYFUNCTION("""COMPUTED_VALUE"""),"Walkin")</f>
        <v>Walkin</v>
      </c>
      <c r="W2559" s="124" t="str">
        <f>IFERROR(__xludf.DUMMYFUNCTION("""COMPUTED_VALUE"""),"Indore")</f>
        <v>Indore</v>
      </c>
      <c r="X2559" s="124" t="str">
        <f>IFERROR(__xludf.DUMMYFUNCTION("""COMPUTED_VALUE"""),"Walkin")</f>
        <v>Walkin</v>
      </c>
      <c r="Y2559" s="124" t="str">
        <f>IFERROR(__xludf.DUMMYFUNCTION("""COMPUTED_VALUE"""),"Indore")</f>
        <v>Indore</v>
      </c>
      <c r="Z2559" s="124">
        <f>IFERROR(__xludf.DUMMYFUNCTION("""COMPUTED_VALUE"""),2.0)</f>
        <v>2</v>
      </c>
      <c r="AA2559" s="124" t="str">
        <f>IFERROR(__xludf.DUMMYFUNCTION("""COMPUTED_VALUE"""),"Cold")</f>
        <v>Cold</v>
      </c>
      <c r="AB2559" s="124" t="str">
        <f>IFERROR(__xludf.DUMMYFUNCTION("""COMPUTED_VALUE"""),"GS Foundation")</f>
        <v>GS Foundation</v>
      </c>
    </row>
    <row r="2560">
      <c r="K2560" s="124"/>
      <c r="L2560" s="124"/>
      <c r="M2560" s="124"/>
      <c r="N2560" s="124"/>
      <c r="O2560" s="124"/>
      <c r="T2560" s="126">
        <f>IFERROR(__xludf.DUMMYFUNCTION("""COMPUTED_VALUE"""),46059.0)</f>
        <v>46059</v>
      </c>
      <c r="U2560" s="124" t="str">
        <f>IFERROR(__xludf.DUMMYFUNCTION("""COMPUTED_VALUE"""),"Walk-Ins")</f>
        <v>Walk-Ins</v>
      </c>
      <c r="V2560" s="124" t="str">
        <f>IFERROR(__xludf.DUMMYFUNCTION("""COMPUTED_VALUE"""),"Walkin")</f>
        <v>Walkin</v>
      </c>
      <c r="W2560" s="124" t="str">
        <f>IFERROR(__xludf.DUMMYFUNCTION("""COMPUTED_VALUE"""),"Indore")</f>
        <v>Indore</v>
      </c>
      <c r="X2560" s="124" t="str">
        <f>IFERROR(__xludf.DUMMYFUNCTION("""COMPUTED_VALUE"""),"Walkin")</f>
        <v>Walkin</v>
      </c>
      <c r="Y2560" s="124" t="str">
        <f>IFERROR(__xludf.DUMMYFUNCTION("""COMPUTED_VALUE"""),"Indore")</f>
        <v>Indore</v>
      </c>
      <c r="Z2560" s="124">
        <f>IFERROR(__xludf.DUMMYFUNCTION("""COMPUTED_VALUE"""),1.0)</f>
        <v>1</v>
      </c>
      <c r="AA2560" s="124" t="str">
        <f>IFERROR(__xludf.DUMMYFUNCTION("""COMPUTED_VALUE"""),"Warm")</f>
        <v>Warm</v>
      </c>
      <c r="AB2560" s="124" t="str">
        <f>IFERROR(__xludf.DUMMYFUNCTION("""COMPUTED_VALUE"""),"Other")</f>
        <v>Other</v>
      </c>
    </row>
    <row r="2561">
      <c r="K2561" s="124"/>
      <c r="L2561" s="124"/>
      <c r="M2561" s="124"/>
      <c r="N2561" s="124"/>
      <c r="O2561" s="124"/>
      <c r="T2561" s="126">
        <f>IFERROR(__xludf.DUMMYFUNCTION("""COMPUTED_VALUE"""),46080.0)</f>
        <v>46080</v>
      </c>
      <c r="U2561" s="124" t="str">
        <f>IFERROR(__xludf.DUMMYFUNCTION("""COMPUTED_VALUE"""),"Walk-Ins")</f>
        <v>Walk-Ins</v>
      </c>
      <c r="V2561" s="124" t="str">
        <f>IFERROR(__xludf.DUMMYFUNCTION("""COMPUTED_VALUE"""),"Walkin")</f>
        <v>Walkin</v>
      </c>
      <c r="W2561" s="124" t="str">
        <f>IFERROR(__xludf.DUMMYFUNCTION("""COMPUTED_VALUE"""),"Prayagraj")</f>
        <v>Prayagraj</v>
      </c>
      <c r="X2561" s="124" t="str">
        <f>IFERROR(__xludf.DUMMYFUNCTION("""COMPUTED_VALUE"""),"Walkin")</f>
        <v>Walkin</v>
      </c>
      <c r="Y2561" s="124" t="str">
        <f>IFERROR(__xludf.DUMMYFUNCTION("""COMPUTED_VALUE"""),"Prayagraj")</f>
        <v>Prayagraj</v>
      </c>
      <c r="Z2561" s="124">
        <f>IFERROR(__xludf.DUMMYFUNCTION("""COMPUTED_VALUE"""),1.0)</f>
        <v>1</v>
      </c>
      <c r="AA2561" s="124" t="str">
        <f>IFERROR(__xludf.DUMMYFUNCTION("""COMPUTED_VALUE"""),"Warm")</f>
        <v>Warm</v>
      </c>
      <c r="AB2561" s="124" t="str">
        <f>IFERROR(__xludf.DUMMYFUNCTION("""COMPUTED_VALUE"""),"State PCS")</f>
        <v>State PCS</v>
      </c>
    </row>
    <row r="2562">
      <c r="K2562" s="124"/>
      <c r="L2562" s="124"/>
      <c r="M2562" s="124"/>
      <c r="N2562" s="124"/>
      <c r="O2562" s="124"/>
      <c r="T2562" s="126">
        <f>IFERROR(__xludf.DUMMYFUNCTION("""COMPUTED_VALUE"""),46105.0)</f>
        <v>46105</v>
      </c>
      <c r="U2562" s="124" t="str">
        <f>IFERROR(__xludf.DUMMYFUNCTION("""COMPUTED_VALUE"""),"Walk-Ins")</f>
        <v>Walk-Ins</v>
      </c>
      <c r="V2562" s="124" t="str">
        <f>IFERROR(__xludf.DUMMYFUNCTION("""COMPUTED_VALUE"""),"Walkin")</f>
        <v>Walkin</v>
      </c>
      <c r="W2562" s="124" t="str">
        <f>IFERROR(__xludf.DUMMYFUNCTION("""COMPUTED_VALUE"""),"Patna")</f>
        <v>Patna</v>
      </c>
      <c r="X2562" s="124" t="str">
        <f>IFERROR(__xludf.DUMMYFUNCTION("""COMPUTED_VALUE"""),"Walkin")</f>
        <v>Walkin</v>
      </c>
      <c r="Y2562" s="124" t="str">
        <f>IFERROR(__xludf.DUMMYFUNCTION("""COMPUTED_VALUE"""),"Patna")</f>
        <v>Patna</v>
      </c>
      <c r="Z2562" s="124">
        <f>IFERROR(__xludf.DUMMYFUNCTION("""COMPUTED_VALUE"""),2.0)</f>
        <v>2</v>
      </c>
      <c r="AA2562" s="124" t="str">
        <f>IFERROR(__xludf.DUMMYFUNCTION("""COMPUTED_VALUE"""),"Future Prospects")</f>
        <v>Future Prospects</v>
      </c>
      <c r="AB2562" s="124" t="str">
        <f>IFERROR(__xludf.DUMMYFUNCTION("""COMPUTED_VALUE"""),"GS Foundation")</f>
        <v>GS Foundation</v>
      </c>
    </row>
    <row r="2563">
      <c r="K2563" s="124"/>
      <c r="L2563" s="124"/>
      <c r="M2563" s="124"/>
      <c r="N2563" s="124"/>
      <c r="O2563" s="124"/>
      <c r="T2563" s="129">
        <f>IFERROR(__xludf.DUMMYFUNCTION("""COMPUTED_VALUE"""),46091.0)</f>
        <v>46091</v>
      </c>
      <c r="U2563" s="124" t="str">
        <f>IFERROR(__xludf.DUMMYFUNCTION("""COMPUTED_VALUE"""),"Walk-Ins")</f>
        <v>Walk-Ins</v>
      </c>
      <c r="V2563" s="124" t="str">
        <f>IFERROR(__xludf.DUMMYFUNCTION("""COMPUTED_VALUE"""),"Walkin")</f>
        <v>Walkin</v>
      </c>
      <c r="W2563" s="124" t="str">
        <f>IFERROR(__xludf.DUMMYFUNCTION("""COMPUTED_VALUE"""),"Prayagraj")</f>
        <v>Prayagraj</v>
      </c>
      <c r="X2563" s="124" t="str">
        <f>IFERROR(__xludf.DUMMYFUNCTION("""COMPUTED_VALUE"""),"Walkin")</f>
        <v>Walkin</v>
      </c>
      <c r="Y2563" s="124" t="str">
        <f>IFERROR(__xludf.DUMMYFUNCTION("""COMPUTED_VALUE"""),"Prayagraj")</f>
        <v>Prayagraj</v>
      </c>
      <c r="Z2563" s="124">
        <f>IFERROR(__xludf.DUMMYFUNCTION("""COMPUTED_VALUE"""),1.0)</f>
        <v>1</v>
      </c>
      <c r="AA2563" s="124" t="str">
        <f>IFERROR(__xludf.DUMMYFUNCTION("""COMPUTED_VALUE"""),"Cold")</f>
        <v>Cold</v>
      </c>
      <c r="AB2563" s="124" t="str">
        <f>IFERROR(__xludf.DUMMYFUNCTION("""COMPUTED_VALUE"""),"Mentorship")</f>
        <v>Mentorship</v>
      </c>
    </row>
    <row r="2564">
      <c r="K2564" s="124"/>
      <c r="L2564" s="124"/>
      <c r="M2564" s="124"/>
      <c r="N2564" s="124"/>
      <c r="O2564" s="124"/>
      <c r="T2564" s="126">
        <f>IFERROR(__xludf.DUMMYFUNCTION("""COMPUTED_VALUE"""),46061.0)</f>
        <v>46061</v>
      </c>
      <c r="U2564" s="124" t="str">
        <f>IFERROR(__xludf.DUMMYFUNCTION("""COMPUTED_VALUE"""),"Walk-Ins")</f>
        <v>Walk-Ins</v>
      </c>
      <c r="V2564" s="124" t="str">
        <f>IFERROR(__xludf.DUMMYFUNCTION("""COMPUTED_VALUE"""),"Walkin")</f>
        <v>Walkin</v>
      </c>
      <c r="W2564" s="124" t="str">
        <f>IFERROR(__xludf.DUMMYFUNCTION("""COMPUTED_VALUE"""),"Patna")</f>
        <v>Patna</v>
      </c>
      <c r="X2564" s="124" t="str">
        <f>IFERROR(__xludf.DUMMYFUNCTION("""COMPUTED_VALUE"""),"Walkin")</f>
        <v>Walkin</v>
      </c>
      <c r="Y2564" s="124" t="str">
        <f>IFERROR(__xludf.DUMMYFUNCTION("""COMPUTED_VALUE"""),"Patna")</f>
        <v>Patna</v>
      </c>
      <c r="Z2564" s="124">
        <f>IFERROR(__xludf.DUMMYFUNCTION("""COMPUTED_VALUE"""),1.0)</f>
        <v>1</v>
      </c>
      <c r="AA2564" s="124" t="str">
        <f>IFERROR(__xludf.DUMMYFUNCTION("""COMPUTED_VALUE"""),"Not Interested")</f>
        <v>Not Interested</v>
      </c>
      <c r="AB2564" s="124" t="str">
        <f>IFERROR(__xludf.DUMMYFUNCTION("""COMPUTED_VALUE"""),"State PCS")</f>
        <v>State PCS</v>
      </c>
    </row>
    <row r="2565">
      <c r="K2565" s="124"/>
      <c r="L2565" s="124"/>
      <c r="M2565" s="124"/>
      <c r="N2565" s="124"/>
      <c r="O2565" s="124"/>
      <c r="T2565" s="126">
        <f>IFERROR(__xludf.DUMMYFUNCTION("""COMPUTED_VALUE"""),46071.0)</f>
        <v>46071</v>
      </c>
      <c r="U2565" s="124" t="str">
        <f>IFERROR(__xludf.DUMMYFUNCTION("""COMPUTED_VALUE"""),"Walk-Ins")</f>
        <v>Walk-Ins</v>
      </c>
      <c r="V2565" s="124" t="str">
        <f>IFERROR(__xludf.DUMMYFUNCTION("""COMPUTED_VALUE"""),"Walkin")</f>
        <v>Walkin</v>
      </c>
      <c r="W2565" s="124" t="str">
        <f>IFERROR(__xludf.DUMMYFUNCTION("""COMPUTED_VALUE"""),"Prayagraj")</f>
        <v>Prayagraj</v>
      </c>
      <c r="X2565" s="124" t="str">
        <f>IFERROR(__xludf.DUMMYFUNCTION("""COMPUTED_VALUE"""),"Walkin")</f>
        <v>Walkin</v>
      </c>
      <c r="Y2565" s="124" t="str">
        <f>IFERROR(__xludf.DUMMYFUNCTION("""COMPUTED_VALUE"""),"Prayagraj")</f>
        <v>Prayagraj</v>
      </c>
      <c r="Z2565" s="124">
        <f>IFERROR(__xludf.DUMMYFUNCTION("""COMPUTED_VALUE"""),2.0)</f>
        <v>2</v>
      </c>
      <c r="AA2565" s="124" t="str">
        <f>IFERROR(__xludf.DUMMYFUNCTION("""COMPUTED_VALUE"""),"Cold")</f>
        <v>Cold</v>
      </c>
      <c r="AB2565" s="124" t="str">
        <f>IFERROR(__xludf.DUMMYFUNCTION("""COMPUTED_VALUE"""),"GS Foundation")</f>
        <v>GS Foundation</v>
      </c>
    </row>
    <row r="2566">
      <c r="K2566" s="124"/>
      <c r="L2566" s="124"/>
      <c r="M2566" s="124"/>
      <c r="N2566" s="124"/>
      <c r="O2566" s="124"/>
      <c r="T2566" s="126">
        <f>IFERROR(__xludf.DUMMYFUNCTION("""COMPUTED_VALUE"""),46111.0)</f>
        <v>46111</v>
      </c>
      <c r="U2566" s="124" t="str">
        <f>IFERROR(__xludf.DUMMYFUNCTION("""COMPUTED_VALUE"""),"Walk-Ins")</f>
        <v>Walk-Ins</v>
      </c>
      <c r="V2566" s="124" t="str">
        <f>IFERROR(__xludf.DUMMYFUNCTION("""COMPUTED_VALUE"""),"Walkin")</f>
        <v>Walkin</v>
      </c>
      <c r="W2566" s="124" t="str">
        <f>IFERROR(__xludf.DUMMYFUNCTION("""COMPUTED_VALUE"""),"Patna")</f>
        <v>Patna</v>
      </c>
      <c r="X2566" s="124" t="str">
        <f>IFERROR(__xludf.DUMMYFUNCTION("""COMPUTED_VALUE"""),"Walkin")</f>
        <v>Walkin</v>
      </c>
      <c r="Y2566" s="124" t="str">
        <f>IFERROR(__xludf.DUMMYFUNCTION("""COMPUTED_VALUE"""),"Patna")</f>
        <v>Patna</v>
      </c>
      <c r="Z2566" s="124">
        <f>IFERROR(__xludf.DUMMYFUNCTION("""COMPUTED_VALUE"""),1.0)</f>
        <v>1</v>
      </c>
      <c r="AA2566" s="124" t="str">
        <f>IFERROR(__xludf.DUMMYFUNCTION("""COMPUTED_VALUE"""),"Fake Lead")</f>
        <v>Fake Lead</v>
      </c>
      <c r="AB2566" s="124" t="str">
        <f>IFERROR(__xludf.DUMMYFUNCTION("""COMPUTED_VALUE"""),"Other")</f>
        <v>Other</v>
      </c>
    </row>
    <row r="2567">
      <c r="K2567" s="124"/>
      <c r="L2567" s="124"/>
      <c r="M2567" s="124"/>
      <c r="N2567" s="124"/>
      <c r="O2567" s="124"/>
      <c r="T2567" s="129">
        <f>IFERROR(__xludf.DUMMYFUNCTION("""COMPUTED_VALUE"""),46081.0)</f>
        <v>46081</v>
      </c>
      <c r="U2567" s="124" t="str">
        <f>IFERROR(__xludf.DUMMYFUNCTION("""COMPUTED_VALUE"""),"Walk-Ins")</f>
        <v>Walk-Ins</v>
      </c>
      <c r="V2567" s="124" t="str">
        <f>IFERROR(__xludf.DUMMYFUNCTION("""COMPUTED_VALUE"""),"Walkin")</f>
        <v>Walkin</v>
      </c>
      <c r="W2567" s="124" t="str">
        <f>IFERROR(__xludf.DUMMYFUNCTION("""COMPUTED_VALUE"""),"Patna")</f>
        <v>Patna</v>
      </c>
      <c r="X2567" s="124" t="str">
        <f>IFERROR(__xludf.DUMMYFUNCTION("""COMPUTED_VALUE"""),"Walkin")</f>
        <v>Walkin</v>
      </c>
      <c r="Y2567" s="124" t="str">
        <f>IFERROR(__xludf.DUMMYFUNCTION("""COMPUTED_VALUE"""),"Patna")</f>
        <v>Patna</v>
      </c>
      <c r="Z2567" s="124">
        <f>IFERROR(__xludf.DUMMYFUNCTION("""COMPUTED_VALUE"""),1.0)</f>
        <v>1</v>
      </c>
      <c r="AA2567" s="124" t="str">
        <f>IFERROR(__xludf.DUMMYFUNCTION("""COMPUTED_VALUE"""),"Enrolled")</f>
        <v>Enrolled</v>
      </c>
      <c r="AB2567" s="124" t="str">
        <f>IFERROR(__xludf.DUMMYFUNCTION("""COMPUTED_VALUE"""),"Mentorship")</f>
        <v>Mentorship</v>
      </c>
    </row>
    <row r="2568">
      <c r="K2568" s="124"/>
      <c r="L2568" s="124"/>
      <c r="M2568" s="124"/>
      <c r="N2568" s="124"/>
      <c r="O2568" s="124"/>
      <c r="T2568" s="126">
        <f>IFERROR(__xludf.DUMMYFUNCTION("""COMPUTED_VALUE"""),46099.0)</f>
        <v>46099</v>
      </c>
      <c r="U2568" s="124" t="str">
        <f>IFERROR(__xludf.DUMMYFUNCTION("""COMPUTED_VALUE"""),"Walk-Ins")</f>
        <v>Walk-Ins</v>
      </c>
      <c r="V2568" s="124" t="str">
        <f>IFERROR(__xludf.DUMMYFUNCTION("""COMPUTED_VALUE"""),"Walkin")</f>
        <v>Walkin</v>
      </c>
      <c r="W2568" s="124" t="str">
        <f>IFERROR(__xludf.DUMMYFUNCTION("""COMPUTED_VALUE"""),"Prayagraj")</f>
        <v>Prayagraj</v>
      </c>
      <c r="X2568" s="124" t="str">
        <f>IFERROR(__xludf.DUMMYFUNCTION("""COMPUTED_VALUE"""),"Walkin")</f>
        <v>Walkin</v>
      </c>
      <c r="Y2568" s="124" t="str">
        <f>IFERROR(__xludf.DUMMYFUNCTION("""COMPUTED_VALUE"""),"Prayagraj")</f>
        <v>Prayagraj</v>
      </c>
      <c r="Z2568" s="124">
        <f>IFERROR(__xludf.DUMMYFUNCTION("""COMPUTED_VALUE"""),2.0)</f>
        <v>2</v>
      </c>
      <c r="AA2568" s="124" t="str">
        <f>IFERROR(__xludf.DUMMYFUNCTION("""COMPUTED_VALUE"""),"Interested")</f>
        <v>Interested</v>
      </c>
      <c r="AB2568" s="124" t="str">
        <f>IFERROR(__xludf.DUMMYFUNCTION("""COMPUTED_VALUE"""),"GS Foundation")</f>
        <v>GS Foundation</v>
      </c>
    </row>
    <row r="2569">
      <c r="K2569" s="124"/>
      <c r="L2569" s="124"/>
      <c r="M2569" s="124"/>
      <c r="N2569" s="124"/>
      <c r="O2569" s="124"/>
      <c r="T2569" s="126">
        <f>IFERROR(__xludf.DUMMYFUNCTION("""COMPUTED_VALUE"""),46106.0)</f>
        <v>46106</v>
      </c>
      <c r="U2569" s="124" t="str">
        <f>IFERROR(__xludf.DUMMYFUNCTION("""COMPUTED_VALUE"""),"Walk-Ins")</f>
        <v>Walk-Ins</v>
      </c>
      <c r="V2569" s="124" t="str">
        <f>IFERROR(__xludf.DUMMYFUNCTION("""COMPUTED_VALUE"""),"Walkin")</f>
        <v>Walkin</v>
      </c>
      <c r="W2569" s="124" t="str">
        <f>IFERROR(__xludf.DUMMYFUNCTION("""COMPUTED_VALUE"""),"Patna")</f>
        <v>Patna</v>
      </c>
      <c r="X2569" s="124" t="str">
        <f>IFERROR(__xludf.DUMMYFUNCTION("""COMPUTED_VALUE"""),"Walkin")</f>
        <v>Walkin</v>
      </c>
      <c r="Y2569" s="124" t="str">
        <f>IFERROR(__xludf.DUMMYFUNCTION("""COMPUTED_VALUE"""),"Patna")</f>
        <v>Patna</v>
      </c>
      <c r="Z2569" s="124">
        <f>IFERROR(__xludf.DUMMYFUNCTION("""COMPUTED_VALUE"""),3.0)</f>
        <v>3</v>
      </c>
      <c r="AA2569" s="124" t="str">
        <f>IFERROR(__xludf.DUMMYFUNCTION("""COMPUTED_VALUE"""),"Fake Lead")</f>
        <v>Fake Lead</v>
      </c>
      <c r="AB2569" s="124" t="str">
        <f>IFERROR(__xludf.DUMMYFUNCTION("""COMPUTED_VALUE"""),"State PCS")</f>
        <v>State PCS</v>
      </c>
    </row>
    <row r="2570">
      <c r="K2570" s="124"/>
      <c r="L2570" s="124"/>
      <c r="M2570" s="124"/>
      <c r="N2570" s="124"/>
      <c r="O2570" s="124"/>
      <c r="T2570" s="129">
        <f>IFERROR(__xludf.DUMMYFUNCTION("""COMPUTED_VALUE"""),46111.0)</f>
        <v>46111</v>
      </c>
      <c r="U2570" s="124" t="str">
        <f>IFERROR(__xludf.DUMMYFUNCTION("""COMPUTED_VALUE"""),"Walk-Ins")</f>
        <v>Walk-Ins</v>
      </c>
      <c r="V2570" s="124" t="str">
        <f>IFERROR(__xludf.DUMMYFUNCTION("""COMPUTED_VALUE"""),"Walkin")</f>
        <v>Walkin</v>
      </c>
      <c r="W2570" s="124" t="str">
        <f>IFERROR(__xludf.DUMMYFUNCTION("""COMPUTED_VALUE"""),"Patna")</f>
        <v>Patna</v>
      </c>
      <c r="X2570" s="124" t="str">
        <f>IFERROR(__xludf.DUMMYFUNCTION("""COMPUTED_VALUE"""),"Walkin")</f>
        <v>Walkin</v>
      </c>
      <c r="Y2570" s="124" t="str">
        <f>IFERROR(__xludf.DUMMYFUNCTION("""COMPUTED_VALUE"""),"Patna")</f>
        <v>Patna</v>
      </c>
      <c r="Z2570" s="124">
        <f>IFERROR(__xludf.DUMMYFUNCTION("""COMPUTED_VALUE"""),1.0)</f>
        <v>1</v>
      </c>
      <c r="AA2570" s="124" t="str">
        <f>IFERROR(__xludf.DUMMYFUNCTION("""COMPUTED_VALUE"""),"Not Interested")</f>
        <v>Not Interested</v>
      </c>
      <c r="AB2570" s="124" t="str">
        <f>IFERROR(__xludf.DUMMYFUNCTION("""COMPUTED_VALUE"""),"GS Foundation")</f>
        <v>GS Foundation</v>
      </c>
    </row>
    <row r="2571">
      <c r="K2571" s="124"/>
      <c r="L2571" s="124"/>
      <c r="M2571" s="124"/>
      <c r="N2571" s="124"/>
      <c r="O2571" s="124"/>
      <c r="T2571" s="126">
        <f>IFERROR(__xludf.DUMMYFUNCTION("""COMPUTED_VALUE"""),46076.0)</f>
        <v>46076</v>
      </c>
      <c r="U2571" s="124" t="str">
        <f>IFERROR(__xludf.DUMMYFUNCTION("""COMPUTED_VALUE"""),"Walk-Ins")</f>
        <v>Walk-Ins</v>
      </c>
      <c r="V2571" s="124" t="str">
        <f>IFERROR(__xludf.DUMMYFUNCTION("""COMPUTED_VALUE"""),"Walkin")</f>
        <v>Walkin</v>
      </c>
      <c r="W2571" s="124" t="str">
        <f>IFERROR(__xludf.DUMMYFUNCTION("""COMPUTED_VALUE"""),"Indore")</f>
        <v>Indore</v>
      </c>
      <c r="X2571" s="124" t="str">
        <f>IFERROR(__xludf.DUMMYFUNCTION("""COMPUTED_VALUE"""),"Walkin")</f>
        <v>Walkin</v>
      </c>
      <c r="Y2571" s="124" t="str">
        <f>IFERROR(__xludf.DUMMYFUNCTION("""COMPUTED_VALUE"""),"Indore")</f>
        <v>Indore</v>
      </c>
      <c r="Z2571" s="124">
        <f>IFERROR(__xludf.DUMMYFUNCTION("""COMPUTED_VALUE"""),1.0)</f>
        <v>1</v>
      </c>
      <c r="AA2571" s="124" t="str">
        <f>IFERROR(__xludf.DUMMYFUNCTION("""COMPUTED_VALUE"""),"Enrolled")</f>
        <v>Enrolled</v>
      </c>
      <c r="AB2571" s="124" t="str">
        <f>IFERROR(__xludf.DUMMYFUNCTION("""COMPUTED_VALUE"""),"GS Foundation")</f>
        <v>GS Foundation</v>
      </c>
    </row>
    <row r="2572">
      <c r="K2572" s="124"/>
      <c r="L2572" s="124"/>
      <c r="M2572" s="124"/>
      <c r="N2572" s="124"/>
      <c r="O2572" s="124"/>
      <c r="T2572" s="126">
        <f>IFERROR(__xludf.DUMMYFUNCTION("""COMPUTED_VALUE"""),46070.0)</f>
        <v>46070</v>
      </c>
      <c r="U2572" s="124" t="str">
        <f>IFERROR(__xludf.DUMMYFUNCTION("""COMPUTED_VALUE"""),"Walk-Ins")</f>
        <v>Walk-Ins</v>
      </c>
      <c r="V2572" s="124" t="str">
        <f>IFERROR(__xludf.DUMMYFUNCTION("""COMPUTED_VALUE"""),"Walkin")</f>
        <v>Walkin</v>
      </c>
      <c r="W2572" s="124" t="str">
        <f>IFERROR(__xludf.DUMMYFUNCTION("""COMPUTED_VALUE"""),"Prayagraj")</f>
        <v>Prayagraj</v>
      </c>
      <c r="X2572" s="124" t="str">
        <f>IFERROR(__xludf.DUMMYFUNCTION("""COMPUTED_VALUE"""),"Walkin")</f>
        <v>Walkin</v>
      </c>
      <c r="Y2572" s="124" t="str">
        <f>IFERROR(__xludf.DUMMYFUNCTION("""COMPUTED_VALUE"""),"Prayagraj")</f>
        <v>Prayagraj</v>
      </c>
      <c r="Z2572" s="124">
        <f>IFERROR(__xludf.DUMMYFUNCTION("""COMPUTED_VALUE"""),2.0)</f>
        <v>2</v>
      </c>
      <c r="AA2572" s="124" t="str">
        <f>IFERROR(__xludf.DUMMYFUNCTION("""COMPUTED_VALUE"""),"Future Prospects")</f>
        <v>Future Prospects</v>
      </c>
      <c r="AB2572" s="124" t="str">
        <f>IFERROR(__xludf.DUMMYFUNCTION("""COMPUTED_VALUE"""),"GS Foundation")</f>
        <v>GS Foundation</v>
      </c>
    </row>
    <row r="2573">
      <c r="K2573" s="124"/>
      <c r="L2573" s="124"/>
      <c r="M2573" s="124"/>
      <c r="N2573" s="124"/>
      <c r="O2573" s="124"/>
      <c r="T2573" s="126">
        <f>IFERROR(__xludf.DUMMYFUNCTION("""COMPUTED_VALUE"""),46081.0)</f>
        <v>46081</v>
      </c>
      <c r="U2573" s="124" t="str">
        <f>IFERROR(__xludf.DUMMYFUNCTION("""COMPUTED_VALUE"""),"Walk-Ins")</f>
        <v>Walk-Ins</v>
      </c>
      <c r="V2573" s="124" t="str">
        <f>IFERROR(__xludf.DUMMYFUNCTION("""COMPUTED_VALUE"""),"Walkin")</f>
        <v>Walkin</v>
      </c>
      <c r="W2573" s="124" t="str">
        <f>IFERROR(__xludf.DUMMYFUNCTION("""COMPUTED_VALUE"""),"Indore")</f>
        <v>Indore</v>
      </c>
      <c r="X2573" s="124" t="str">
        <f>IFERROR(__xludf.DUMMYFUNCTION("""COMPUTED_VALUE"""),"Walkin")</f>
        <v>Walkin</v>
      </c>
      <c r="Y2573" s="124" t="str">
        <f>IFERROR(__xludf.DUMMYFUNCTION("""COMPUTED_VALUE"""),"Indore")</f>
        <v>Indore</v>
      </c>
      <c r="Z2573" s="124">
        <f>IFERROR(__xludf.DUMMYFUNCTION("""COMPUTED_VALUE"""),2.0)</f>
        <v>2</v>
      </c>
      <c r="AA2573" s="124" t="str">
        <f>IFERROR(__xludf.DUMMYFUNCTION("""COMPUTED_VALUE"""),"Enrolled")</f>
        <v>Enrolled</v>
      </c>
      <c r="AB2573" s="124" t="str">
        <f>IFERROR(__xludf.DUMMYFUNCTION("""COMPUTED_VALUE"""),"State PCS")</f>
        <v>State PCS</v>
      </c>
    </row>
    <row r="2574">
      <c r="K2574" s="124"/>
      <c r="L2574" s="124"/>
      <c r="M2574" s="124"/>
      <c r="N2574" s="124"/>
      <c r="O2574" s="124"/>
      <c r="T2574" s="129">
        <f>IFERROR(__xludf.DUMMYFUNCTION("""COMPUTED_VALUE"""),46075.0)</f>
        <v>46075</v>
      </c>
      <c r="U2574" s="124" t="str">
        <f>IFERROR(__xludf.DUMMYFUNCTION("""COMPUTED_VALUE"""),"Walk-Ins")</f>
        <v>Walk-Ins</v>
      </c>
      <c r="V2574" s="124" t="str">
        <f>IFERROR(__xludf.DUMMYFUNCTION("""COMPUTED_VALUE"""),"Walkin")</f>
        <v>Walkin</v>
      </c>
      <c r="W2574" s="124" t="str">
        <f>IFERROR(__xludf.DUMMYFUNCTION("""COMPUTED_VALUE"""),"Prayagraj")</f>
        <v>Prayagraj</v>
      </c>
      <c r="X2574" s="124" t="str">
        <f>IFERROR(__xludf.DUMMYFUNCTION("""COMPUTED_VALUE"""),"Walkin")</f>
        <v>Walkin</v>
      </c>
      <c r="Y2574" s="124" t="str">
        <f>IFERROR(__xludf.DUMMYFUNCTION("""COMPUTED_VALUE"""),"Prayagraj")</f>
        <v>Prayagraj</v>
      </c>
      <c r="Z2574" s="124">
        <f>IFERROR(__xludf.DUMMYFUNCTION("""COMPUTED_VALUE"""),1.0)</f>
        <v>1</v>
      </c>
      <c r="AA2574" s="124" t="str">
        <f>IFERROR(__xludf.DUMMYFUNCTION("""COMPUTED_VALUE"""),"Cold")</f>
        <v>Cold</v>
      </c>
      <c r="AB2574" s="124" t="str">
        <f>IFERROR(__xludf.DUMMYFUNCTION("""COMPUTED_VALUE"""),"State PCS")</f>
        <v>State PCS</v>
      </c>
    </row>
    <row r="2575">
      <c r="K2575" s="124"/>
      <c r="L2575" s="124"/>
      <c r="M2575" s="124"/>
      <c r="N2575" s="124"/>
      <c r="O2575" s="124"/>
      <c r="T2575" s="129">
        <f>IFERROR(__xludf.DUMMYFUNCTION("""COMPUTED_VALUE"""),46101.0)</f>
        <v>46101</v>
      </c>
      <c r="U2575" s="124" t="str">
        <f>IFERROR(__xludf.DUMMYFUNCTION("""COMPUTED_VALUE"""),"Walk-Ins")</f>
        <v>Walk-Ins</v>
      </c>
      <c r="V2575" s="124" t="str">
        <f>IFERROR(__xludf.DUMMYFUNCTION("""COMPUTED_VALUE"""),"Walkin")</f>
        <v>Walkin</v>
      </c>
      <c r="W2575" s="124" t="str">
        <f>IFERROR(__xludf.DUMMYFUNCTION("""COMPUTED_VALUE"""),"Prayagraj")</f>
        <v>Prayagraj</v>
      </c>
      <c r="X2575" s="124" t="str">
        <f>IFERROR(__xludf.DUMMYFUNCTION("""COMPUTED_VALUE"""),"Walkin")</f>
        <v>Walkin</v>
      </c>
      <c r="Y2575" s="124" t="str">
        <f>IFERROR(__xludf.DUMMYFUNCTION("""COMPUTED_VALUE"""),"Prayagraj")</f>
        <v>Prayagraj</v>
      </c>
      <c r="Z2575" s="124">
        <f>IFERROR(__xludf.DUMMYFUNCTION("""COMPUTED_VALUE"""),1.0)</f>
        <v>1</v>
      </c>
      <c r="AA2575" s="124" t="str">
        <f>IFERROR(__xludf.DUMMYFUNCTION("""COMPUTED_VALUE"""),"Warm")</f>
        <v>Warm</v>
      </c>
      <c r="AB2575" s="124" t="str">
        <f>IFERROR(__xludf.DUMMYFUNCTION("""COMPUTED_VALUE"""),"GS Foundation")</f>
        <v>GS Foundation</v>
      </c>
    </row>
    <row r="2576">
      <c r="K2576" s="124"/>
      <c r="L2576" s="124"/>
      <c r="M2576" s="124"/>
      <c r="N2576" s="124"/>
      <c r="O2576" s="124"/>
      <c r="T2576" s="126">
        <f>IFERROR(__xludf.DUMMYFUNCTION("""COMPUTED_VALUE"""),46108.0)</f>
        <v>46108</v>
      </c>
      <c r="U2576" s="124" t="str">
        <f>IFERROR(__xludf.DUMMYFUNCTION("""COMPUTED_VALUE"""),"Walk-Ins")</f>
        <v>Walk-Ins</v>
      </c>
      <c r="V2576" s="124" t="str">
        <f>IFERROR(__xludf.DUMMYFUNCTION("""COMPUTED_VALUE"""),"Walkin")</f>
        <v>Walkin</v>
      </c>
      <c r="W2576" s="124" t="str">
        <f>IFERROR(__xludf.DUMMYFUNCTION("""COMPUTED_VALUE"""),"Indore")</f>
        <v>Indore</v>
      </c>
      <c r="X2576" s="124" t="str">
        <f>IFERROR(__xludf.DUMMYFUNCTION("""COMPUTED_VALUE"""),"Walkin")</f>
        <v>Walkin</v>
      </c>
      <c r="Y2576" s="124" t="str">
        <f>IFERROR(__xludf.DUMMYFUNCTION("""COMPUTED_VALUE"""),"Indore")</f>
        <v>Indore</v>
      </c>
      <c r="Z2576" s="124">
        <f>IFERROR(__xludf.DUMMYFUNCTION("""COMPUTED_VALUE"""),1.0)</f>
        <v>1</v>
      </c>
      <c r="AA2576" s="124" t="str">
        <f>IFERROR(__xludf.DUMMYFUNCTION("""COMPUTED_VALUE"""),"Interested")</f>
        <v>Interested</v>
      </c>
      <c r="AB2576" s="124" t="str">
        <f>IFERROR(__xludf.DUMMYFUNCTION("""COMPUTED_VALUE"""),"State PCS")</f>
        <v>State PCS</v>
      </c>
    </row>
    <row r="2577">
      <c r="K2577" s="124"/>
      <c r="L2577" s="124"/>
      <c r="M2577" s="124"/>
      <c r="N2577" s="124"/>
      <c r="O2577" s="124"/>
      <c r="T2577" s="126">
        <f>IFERROR(__xludf.DUMMYFUNCTION("""COMPUTED_VALUE"""),46107.0)</f>
        <v>46107</v>
      </c>
      <c r="U2577" s="124" t="str">
        <f>IFERROR(__xludf.DUMMYFUNCTION("""COMPUTED_VALUE"""),"Walk-Ins")</f>
        <v>Walk-Ins</v>
      </c>
      <c r="V2577" s="124" t="str">
        <f>IFERROR(__xludf.DUMMYFUNCTION("""COMPUTED_VALUE"""),"Walkin")</f>
        <v>Walkin</v>
      </c>
      <c r="W2577" s="124" t="str">
        <f>IFERROR(__xludf.DUMMYFUNCTION("""COMPUTED_VALUE"""),"Patna")</f>
        <v>Patna</v>
      </c>
      <c r="X2577" s="124" t="str">
        <f>IFERROR(__xludf.DUMMYFUNCTION("""COMPUTED_VALUE"""),"Walkin")</f>
        <v>Walkin</v>
      </c>
      <c r="Y2577" s="124" t="str">
        <f>IFERROR(__xludf.DUMMYFUNCTION("""COMPUTED_VALUE"""),"Patna")</f>
        <v>Patna</v>
      </c>
      <c r="Z2577" s="124">
        <f>IFERROR(__xludf.DUMMYFUNCTION("""COMPUTED_VALUE"""),1.0)</f>
        <v>1</v>
      </c>
      <c r="AA2577" s="124" t="str">
        <f>IFERROR(__xludf.DUMMYFUNCTION("""COMPUTED_VALUE"""),"Cold")</f>
        <v>Cold</v>
      </c>
      <c r="AB2577" s="124" t="str">
        <f>IFERROR(__xludf.DUMMYFUNCTION("""COMPUTED_VALUE"""),"Other")</f>
        <v>Other</v>
      </c>
    </row>
    <row r="2578">
      <c r="K2578" s="124"/>
      <c r="L2578" s="124"/>
      <c r="M2578" s="124"/>
      <c r="N2578" s="124"/>
      <c r="O2578" s="124"/>
      <c r="T2578" s="126">
        <f>IFERROR(__xludf.DUMMYFUNCTION("""COMPUTED_VALUE"""),46094.0)</f>
        <v>46094</v>
      </c>
      <c r="U2578" s="124" t="str">
        <f>IFERROR(__xludf.DUMMYFUNCTION("""COMPUTED_VALUE"""),"Walk-Ins")</f>
        <v>Walk-Ins</v>
      </c>
      <c r="V2578" s="124" t="str">
        <f>IFERROR(__xludf.DUMMYFUNCTION("""COMPUTED_VALUE"""),"Walkin")</f>
        <v>Walkin</v>
      </c>
      <c r="W2578" s="124" t="str">
        <f>IFERROR(__xludf.DUMMYFUNCTION("""COMPUTED_VALUE"""),"Patna")</f>
        <v>Patna</v>
      </c>
      <c r="X2578" s="124" t="str">
        <f>IFERROR(__xludf.DUMMYFUNCTION("""COMPUTED_VALUE"""),"Walkin")</f>
        <v>Walkin</v>
      </c>
      <c r="Y2578" s="124" t="str">
        <f>IFERROR(__xludf.DUMMYFUNCTION("""COMPUTED_VALUE"""),"Patna")</f>
        <v>Patna</v>
      </c>
      <c r="Z2578" s="124">
        <f>IFERROR(__xludf.DUMMYFUNCTION("""COMPUTED_VALUE"""),1.0)</f>
        <v>1</v>
      </c>
      <c r="AA2578" s="124" t="str">
        <f>IFERROR(__xludf.DUMMYFUNCTION("""COMPUTED_VALUE"""),"Fake Lead")</f>
        <v>Fake Lead</v>
      </c>
      <c r="AB2578" s="124" t="str">
        <f>IFERROR(__xludf.DUMMYFUNCTION("""COMPUTED_VALUE"""),"Other")</f>
        <v>Other</v>
      </c>
    </row>
    <row r="2579">
      <c r="K2579" s="124"/>
      <c r="L2579" s="124"/>
      <c r="M2579" s="124"/>
      <c r="N2579" s="124"/>
      <c r="O2579" s="124"/>
      <c r="T2579" s="126">
        <f>IFERROR(__xludf.DUMMYFUNCTION("""COMPUTED_VALUE"""),46046.0)</f>
        <v>46046</v>
      </c>
      <c r="U2579" s="124" t="str">
        <f>IFERROR(__xludf.DUMMYFUNCTION("""COMPUTED_VALUE"""),"Walk-Ins")</f>
        <v>Walk-Ins</v>
      </c>
      <c r="V2579" s="124" t="str">
        <f>IFERROR(__xludf.DUMMYFUNCTION("""COMPUTED_VALUE"""),"Walkin")</f>
        <v>Walkin</v>
      </c>
      <c r="W2579" s="124" t="str">
        <f>IFERROR(__xludf.DUMMYFUNCTION("""COMPUTED_VALUE"""),"Lucknow")</f>
        <v>Lucknow</v>
      </c>
      <c r="X2579" s="124" t="str">
        <f>IFERROR(__xludf.DUMMYFUNCTION("""COMPUTED_VALUE"""),"Walkin")</f>
        <v>Walkin</v>
      </c>
      <c r="Y2579" s="124" t="str">
        <f>IFERROR(__xludf.DUMMYFUNCTION("""COMPUTED_VALUE"""),"Lucknow")</f>
        <v>Lucknow</v>
      </c>
      <c r="Z2579" s="124">
        <f>IFERROR(__xludf.DUMMYFUNCTION("""COMPUTED_VALUE"""),1.0)</f>
        <v>1</v>
      </c>
      <c r="AA2579" s="124" t="str">
        <f>IFERROR(__xludf.DUMMYFUNCTION("""COMPUTED_VALUE"""),"Future Prospects")</f>
        <v>Future Prospects</v>
      </c>
      <c r="AB2579" s="124" t="str">
        <f>IFERROR(__xludf.DUMMYFUNCTION("""COMPUTED_VALUE"""),"GS Foundation")</f>
        <v>GS Foundation</v>
      </c>
    </row>
    <row r="2580">
      <c r="K2580" s="124"/>
      <c r="L2580" s="124"/>
      <c r="M2580" s="124"/>
      <c r="N2580" s="124"/>
      <c r="O2580" s="124"/>
      <c r="T2580" s="126">
        <f>IFERROR(__xludf.DUMMYFUNCTION("""COMPUTED_VALUE"""),46062.0)</f>
        <v>46062</v>
      </c>
      <c r="U2580" s="124" t="str">
        <f>IFERROR(__xludf.DUMMYFUNCTION("""COMPUTED_VALUE"""),"Walk-Ins")</f>
        <v>Walk-Ins</v>
      </c>
      <c r="V2580" s="124" t="str">
        <f>IFERROR(__xludf.DUMMYFUNCTION("""COMPUTED_VALUE"""),"Walkin")</f>
        <v>Walkin</v>
      </c>
      <c r="W2580" s="124" t="str">
        <f>IFERROR(__xludf.DUMMYFUNCTION("""COMPUTED_VALUE"""),"Indore")</f>
        <v>Indore</v>
      </c>
      <c r="X2580" s="124" t="str">
        <f>IFERROR(__xludf.DUMMYFUNCTION("""COMPUTED_VALUE"""),"Walkin")</f>
        <v>Walkin</v>
      </c>
      <c r="Y2580" s="124" t="str">
        <f>IFERROR(__xludf.DUMMYFUNCTION("""COMPUTED_VALUE"""),"Indore")</f>
        <v>Indore</v>
      </c>
      <c r="Z2580" s="124">
        <f>IFERROR(__xludf.DUMMYFUNCTION("""COMPUTED_VALUE"""),1.0)</f>
        <v>1</v>
      </c>
      <c r="AA2580" s="124" t="str">
        <f>IFERROR(__xludf.DUMMYFUNCTION("""COMPUTED_VALUE"""),"Not Interested")</f>
        <v>Not Interested</v>
      </c>
      <c r="AB2580" s="124" t="str">
        <f>IFERROR(__xludf.DUMMYFUNCTION("""COMPUTED_VALUE"""),"State PCS")</f>
        <v>State PCS</v>
      </c>
    </row>
    <row r="2581">
      <c r="K2581" s="124"/>
      <c r="L2581" s="124"/>
      <c r="M2581" s="124"/>
      <c r="N2581" s="124"/>
      <c r="O2581" s="124"/>
      <c r="T2581" s="126">
        <f>IFERROR(__xludf.DUMMYFUNCTION("""COMPUTED_VALUE"""),46079.0)</f>
        <v>46079</v>
      </c>
      <c r="U2581" s="124" t="str">
        <f>IFERROR(__xludf.DUMMYFUNCTION("""COMPUTED_VALUE"""),"Walk-Ins")</f>
        <v>Walk-Ins</v>
      </c>
      <c r="V2581" s="124" t="str">
        <f>IFERROR(__xludf.DUMMYFUNCTION("""COMPUTED_VALUE"""),"Walkin")</f>
        <v>Walkin</v>
      </c>
      <c r="W2581" s="124" t="str">
        <f>IFERROR(__xludf.DUMMYFUNCTION("""COMPUTED_VALUE"""),"Indore")</f>
        <v>Indore</v>
      </c>
      <c r="X2581" s="124" t="str">
        <f>IFERROR(__xludf.DUMMYFUNCTION("""COMPUTED_VALUE"""),"Walkin")</f>
        <v>Walkin</v>
      </c>
      <c r="Y2581" s="124" t="str">
        <f>IFERROR(__xludf.DUMMYFUNCTION("""COMPUTED_VALUE"""),"Indore")</f>
        <v>Indore</v>
      </c>
      <c r="Z2581" s="124">
        <f>IFERROR(__xludf.DUMMYFUNCTION("""COMPUTED_VALUE"""),1.0)</f>
        <v>1</v>
      </c>
      <c r="AA2581" s="124" t="str">
        <f>IFERROR(__xludf.DUMMYFUNCTION("""COMPUTED_VALUE"""),"Not Interested")</f>
        <v>Not Interested</v>
      </c>
      <c r="AB2581" s="124" t="str">
        <f>IFERROR(__xludf.DUMMYFUNCTION("""COMPUTED_VALUE"""),"GS Foundation")</f>
        <v>GS Foundation</v>
      </c>
    </row>
    <row r="2582">
      <c r="K2582" s="124"/>
      <c r="L2582" s="124"/>
      <c r="M2582" s="124"/>
      <c r="N2582" s="124"/>
      <c r="O2582" s="124"/>
      <c r="T2582" s="129">
        <f>IFERROR(__xludf.DUMMYFUNCTION("""COMPUTED_VALUE"""),46090.0)</f>
        <v>46090</v>
      </c>
      <c r="U2582" s="124" t="str">
        <f>IFERROR(__xludf.DUMMYFUNCTION("""COMPUTED_VALUE"""),"Walk-Ins")</f>
        <v>Walk-Ins</v>
      </c>
      <c r="V2582" s="124" t="str">
        <f>IFERROR(__xludf.DUMMYFUNCTION("""COMPUTED_VALUE"""),"Walkin")</f>
        <v>Walkin</v>
      </c>
      <c r="W2582" s="124" t="str">
        <f>IFERROR(__xludf.DUMMYFUNCTION("""COMPUTED_VALUE"""),"Indore")</f>
        <v>Indore</v>
      </c>
      <c r="X2582" s="124" t="str">
        <f>IFERROR(__xludf.DUMMYFUNCTION("""COMPUTED_VALUE"""),"Walkin")</f>
        <v>Walkin</v>
      </c>
      <c r="Y2582" s="124" t="str">
        <f>IFERROR(__xludf.DUMMYFUNCTION("""COMPUTED_VALUE"""),"Indore")</f>
        <v>Indore</v>
      </c>
      <c r="Z2582" s="124">
        <f>IFERROR(__xludf.DUMMYFUNCTION("""COMPUTED_VALUE"""),1.0)</f>
        <v>1</v>
      </c>
      <c r="AA2582" s="124" t="str">
        <f>IFERROR(__xludf.DUMMYFUNCTION("""COMPUTED_VALUE"""),"Enrolled")</f>
        <v>Enrolled</v>
      </c>
      <c r="AB2582" s="124" t="str">
        <f>IFERROR(__xludf.DUMMYFUNCTION("""COMPUTED_VALUE"""),"State PCS")</f>
        <v>State PCS</v>
      </c>
    </row>
    <row r="2583">
      <c r="K2583" s="124"/>
      <c r="L2583" s="124"/>
      <c r="M2583" s="124"/>
      <c r="N2583" s="124"/>
      <c r="O2583" s="124"/>
      <c r="T2583" s="129">
        <f>IFERROR(__xludf.DUMMYFUNCTION("""COMPUTED_VALUE"""),46097.0)</f>
        <v>46097</v>
      </c>
      <c r="U2583" s="124" t="str">
        <f>IFERROR(__xludf.DUMMYFUNCTION("""COMPUTED_VALUE"""),"Walk-Ins")</f>
        <v>Walk-Ins</v>
      </c>
      <c r="V2583" s="124" t="str">
        <f>IFERROR(__xludf.DUMMYFUNCTION("""COMPUTED_VALUE"""),"Walkin")</f>
        <v>Walkin</v>
      </c>
      <c r="W2583" s="124" t="str">
        <f>IFERROR(__xludf.DUMMYFUNCTION("""COMPUTED_VALUE"""),"Indore")</f>
        <v>Indore</v>
      </c>
      <c r="X2583" s="124" t="str">
        <f>IFERROR(__xludf.DUMMYFUNCTION("""COMPUTED_VALUE"""),"Walkin")</f>
        <v>Walkin</v>
      </c>
      <c r="Y2583" s="124" t="str">
        <f>IFERROR(__xludf.DUMMYFUNCTION("""COMPUTED_VALUE"""),"Indore")</f>
        <v>Indore</v>
      </c>
      <c r="Z2583" s="124">
        <f>IFERROR(__xludf.DUMMYFUNCTION("""COMPUTED_VALUE"""),1.0)</f>
        <v>1</v>
      </c>
      <c r="AA2583" s="124" t="str">
        <f>IFERROR(__xludf.DUMMYFUNCTION("""COMPUTED_VALUE"""),"Future Prospects")</f>
        <v>Future Prospects</v>
      </c>
      <c r="AB2583" s="124" t="str">
        <f>IFERROR(__xludf.DUMMYFUNCTION("""COMPUTED_VALUE"""),"GS Foundation")</f>
        <v>GS Foundation</v>
      </c>
    </row>
    <row r="2584">
      <c r="K2584" s="124"/>
      <c r="L2584" s="124"/>
      <c r="M2584" s="124"/>
      <c r="N2584" s="124"/>
      <c r="O2584" s="124"/>
      <c r="T2584" s="126">
        <f>IFERROR(__xludf.DUMMYFUNCTION("""COMPUTED_VALUE"""),46065.0)</f>
        <v>46065</v>
      </c>
      <c r="U2584" s="124" t="str">
        <f>IFERROR(__xludf.DUMMYFUNCTION("""COMPUTED_VALUE"""),"Walk-Ins")</f>
        <v>Walk-Ins</v>
      </c>
      <c r="V2584" s="124" t="str">
        <f>IFERROR(__xludf.DUMMYFUNCTION("""COMPUTED_VALUE"""),"Walkin")</f>
        <v>Walkin</v>
      </c>
      <c r="W2584" s="124" t="str">
        <f>IFERROR(__xludf.DUMMYFUNCTION("""COMPUTED_VALUE"""),"Indore")</f>
        <v>Indore</v>
      </c>
      <c r="X2584" s="124" t="str">
        <f>IFERROR(__xludf.DUMMYFUNCTION("""COMPUTED_VALUE"""),"Walkin")</f>
        <v>Walkin</v>
      </c>
      <c r="Y2584" s="124" t="str">
        <f>IFERROR(__xludf.DUMMYFUNCTION("""COMPUTED_VALUE"""),"Indore")</f>
        <v>Indore</v>
      </c>
      <c r="Z2584" s="124">
        <f>IFERROR(__xludf.DUMMYFUNCTION("""COMPUTED_VALUE"""),2.0)</f>
        <v>2</v>
      </c>
      <c r="AA2584" s="124" t="str">
        <f>IFERROR(__xludf.DUMMYFUNCTION("""COMPUTED_VALUE"""),"Cold")</f>
        <v>Cold</v>
      </c>
      <c r="AB2584" s="124" t="str">
        <f>IFERROR(__xludf.DUMMYFUNCTION("""COMPUTED_VALUE"""),"Other")</f>
        <v>Other</v>
      </c>
    </row>
    <row r="2585">
      <c r="K2585" s="124"/>
      <c r="L2585" s="124"/>
      <c r="M2585" s="124"/>
      <c r="N2585" s="124"/>
      <c r="O2585" s="124"/>
      <c r="T2585" s="126">
        <f>IFERROR(__xludf.DUMMYFUNCTION("""COMPUTED_VALUE"""),46043.0)</f>
        <v>46043</v>
      </c>
      <c r="U2585" s="124" t="str">
        <f>IFERROR(__xludf.DUMMYFUNCTION("""COMPUTED_VALUE"""),"Walk-Ins")</f>
        <v>Walk-Ins</v>
      </c>
      <c r="V2585" s="124" t="str">
        <f>IFERROR(__xludf.DUMMYFUNCTION("""COMPUTED_VALUE"""),"Walkin")</f>
        <v>Walkin</v>
      </c>
      <c r="W2585" s="124" t="str">
        <f>IFERROR(__xludf.DUMMYFUNCTION("""COMPUTED_VALUE"""),"Patna")</f>
        <v>Patna</v>
      </c>
      <c r="X2585" s="124" t="str">
        <f>IFERROR(__xludf.DUMMYFUNCTION("""COMPUTED_VALUE"""),"Walkin")</f>
        <v>Walkin</v>
      </c>
      <c r="Y2585" s="124" t="str">
        <f>IFERROR(__xludf.DUMMYFUNCTION("""COMPUTED_VALUE"""),"Patna")</f>
        <v>Patna</v>
      </c>
      <c r="Z2585" s="124">
        <f>IFERROR(__xludf.DUMMYFUNCTION("""COMPUTED_VALUE"""),1.0)</f>
        <v>1</v>
      </c>
      <c r="AA2585" s="124" t="str">
        <f>IFERROR(__xludf.DUMMYFUNCTION("""COMPUTED_VALUE"""),"Fake Lead")</f>
        <v>Fake Lead</v>
      </c>
      <c r="AB2585" s="124" t="str">
        <f>IFERROR(__xludf.DUMMYFUNCTION("""COMPUTED_VALUE"""),"State PCS")</f>
        <v>State PCS</v>
      </c>
    </row>
    <row r="2586">
      <c r="K2586" s="124"/>
      <c r="L2586" s="124"/>
      <c r="M2586" s="124"/>
      <c r="N2586" s="124"/>
      <c r="O2586" s="124"/>
      <c r="T2586" s="126">
        <f>IFERROR(__xludf.DUMMYFUNCTION("""COMPUTED_VALUE"""),46079.0)</f>
        <v>46079</v>
      </c>
      <c r="U2586" s="124" t="str">
        <f>IFERROR(__xludf.DUMMYFUNCTION("""COMPUTED_VALUE"""),"Walk-Ins")</f>
        <v>Walk-Ins</v>
      </c>
      <c r="V2586" s="124" t="str">
        <f>IFERROR(__xludf.DUMMYFUNCTION("""COMPUTED_VALUE"""),"Walkin")</f>
        <v>Walkin</v>
      </c>
      <c r="W2586" s="124" t="str">
        <f>IFERROR(__xludf.DUMMYFUNCTION("""COMPUTED_VALUE"""),"Patna")</f>
        <v>Patna</v>
      </c>
      <c r="X2586" s="124" t="str">
        <f>IFERROR(__xludf.DUMMYFUNCTION("""COMPUTED_VALUE"""),"Walkin")</f>
        <v>Walkin</v>
      </c>
      <c r="Y2586" s="124" t="str">
        <f>IFERROR(__xludf.DUMMYFUNCTION("""COMPUTED_VALUE"""),"Patna")</f>
        <v>Patna</v>
      </c>
      <c r="Z2586" s="124">
        <f>IFERROR(__xludf.DUMMYFUNCTION("""COMPUTED_VALUE"""),3.0)</f>
        <v>3</v>
      </c>
      <c r="AA2586" s="124" t="str">
        <f>IFERROR(__xludf.DUMMYFUNCTION("""COMPUTED_VALUE"""),"Cold")</f>
        <v>Cold</v>
      </c>
      <c r="AB2586" s="124" t="str">
        <f>IFERROR(__xludf.DUMMYFUNCTION("""COMPUTED_VALUE"""),"GS Foundation")</f>
        <v>GS Foundation</v>
      </c>
    </row>
    <row r="2587">
      <c r="K2587" s="124"/>
      <c r="L2587" s="124"/>
      <c r="M2587" s="124"/>
      <c r="N2587" s="124"/>
      <c r="O2587" s="124"/>
      <c r="T2587" s="126">
        <f>IFERROR(__xludf.DUMMYFUNCTION("""COMPUTED_VALUE"""),46049.0)</f>
        <v>46049</v>
      </c>
      <c r="U2587" s="124" t="str">
        <f>IFERROR(__xludf.DUMMYFUNCTION("""COMPUTED_VALUE"""),"Walk-Ins")</f>
        <v>Walk-Ins</v>
      </c>
      <c r="V2587" s="124" t="str">
        <f>IFERROR(__xludf.DUMMYFUNCTION("""COMPUTED_VALUE"""),"Walkin")</f>
        <v>Walkin</v>
      </c>
      <c r="W2587" s="124" t="str">
        <f>IFERROR(__xludf.DUMMYFUNCTION("""COMPUTED_VALUE"""),"Lucknow")</f>
        <v>Lucknow</v>
      </c>
      <c r="X2587" s="124" t="str">
        <f>IFERROR(__xludf.DUMMYFUNCTION("""COMPUTED_VALUE"""),"Walkin")</f>
        <v>Walkin</v>
      </c>
      <c r="Y2587" s="124" t="str">
        <f>IFERROR(__xludf.DUMMYFUNCTION("""COMPUTED_VALUE"""),"Lucknow")</f>
        <v>Lucknow</v>
      </c>
      <c r="Z2587" s="124">
        <f>IFERROR(__xludf.DUMMYFUNCTION("""COMPUTED_VALUE"""),2.0)</f>
        <v>2</v>
      </c>
      <c r="AA2587" s="124" t="str">
        <f>IFERROR(__xludf.DUMMYFUNCTION("""COMPUTED_VALUE"""),"Enrolled")</f>
        <v>Enrolled</v>
      </c>
      <c r="AB2587" s="124" t="str">
        <f>IFERROR(__xludf.DUMMYFUNCTION("""COMPUTED_VALUE"""),"GS Foundation")</f>
        <v>GS Foundation</v>
      </c>
    </row>
    <row r="2588">
      <c r="K2588" s="124"/>
      <c r="L2588" s="124"/>
      <c r="M2588" s="124"/>
      <c r="N2588" s="124"/>
      <c r="O2588" s="124"/>
      <c r="T2588" s="126">
        <f>IFERROR(__xludf.DUMMYFUNCTION("""COMPUTED_VALUE"""),46069.0)</f>
        <v>46069</v>
      </c>
      <c r="U2588" s="124" t="str">
        <f>IFERROR(__xludf.DUMMYFUNCTION("""COMPUTED_VALUE"""),"Walk-Ins")</f>
        <v>Walk-Ins</v>
      </c>
      <c r="V2588" s="124" t="str">
        <f>IFERROR(__xludf.DUMMYFUNCTION("""COMPUTED_VALUE"""),"Walkin")</f>
        <v>Walkin</v>
      </c>
      <c r="W2588" s="124" t="str">
        <f>IFERROR(__xludf.DUMMYFUNCTION("""COMPUTED_VALUE"""),"Prayagraj")</f>
        <v>Prayagraj</v>
      </c>
      <c r="X2588" s="124" t="str">
        <f>IFERROR(__xludf.DUMMYFUNCTION("""COMPUTED_VALUE"""),"Walkin")</f>
        <v>Walkin</v>
      </c>
      <c r="Y2588" s="124" t="str">
        <f>IFERROR(__xludf.DUMMYFUNCTION("""COMPUTED_VALUE"""),"Prayagraj")</f>
        <v>Prayagraj</v>
      </c>
      <c r="Z2588" s="124">
        <f>IFERROR(__xludf.DUMMYFUNCTION("""COMPUTED_VALUE"""),2.0)</f>
        <v>2</v>
      </c>
      <c r="AA2588" s="124" t="str">
        <f>IFERROR(__xludf.DUMMYFUNCTION("""COMPUTED_VALUE"""),"Enrolled")</f>
        <v>Enrolled</v>
      </c>
      <c r="AB2588" s="124" t="str">
        <f>IFERROR(__xludf.DUMMYFUNCTION("""COMPUTED_VALUE"""),"GS Foundation")</f>
        <v>GS Foundation</v>
      </c>
    </row>
    <row r="2589">
      <c r="K2589" s="124"/>
      <c r="L2589" s="124"/>
      <c r="M2589" s="124"/>
      <c r="N2589" s="124"/>
      <c r="O2589" s="124"/>
      <c r="T2589" s="129">
        <f>IFERROR(__xludf.DUMMYFUNCTION("""COMPUTED_VALUE"""),46105.0)</f>
        <v>46105</v>
      </c>
      <c r="U2589" s="124" t="str">
        <f>IFERROR(__xludf.DUMMYFUNCTION("""COMPUTED_VALUE"""),"Walk-Ins")</f>
        <v>Walk-Ins</v>
      </c>
      <c r="V2589" s="124" t="str">
        <f>IFERROR(__xludf.DUMMYFUNCTION("""COMPUTED_VALUE"""),"Walkin")</f>
        <v>Walkin</v>
      </c>
      <c r="W2589" s="124" t="str">
        <f>IFERROR(__xludf.DUMMYFUNCTION("""COMPUTED_VALUE"""),"Patna")</f>
        <v>Patna</v>
      </c>
      <c r="X2589" s="124" t="str">
        <f>IFERROR(__xludf.DUMMYFUNCTION("""COMPUTED_VALUE"""),"Walkin")</f>
        <v>Walkin</v>
      </c>
      <c r="Y2589" s="124" t="str">
        <f>IFERROR(__xludf.DUMMYFUNCTION("""COMPUTED_VALUE"""),"Patna")</f>
        <v>Patna</v>
      </c>
      <c r="Z2589" s="124">
        <f>IFERROR(__xludf.DUMMYFUNCTION("""COMPUTED_VALUE"""),1.0)</f>
        <v>1</v>
      </c>
      <c r="AA2589" s="124" t="str">
        <f>IFERROR(__xludf.DUMMYFUNCTION("""COMPUTED_VALUE"""),"Cold")</f>
        <v>Cold</v>
      </c>
      <c r="AB2589" s="124" t="str">
        <f>IFERROR(__xludf.DUMMYFUNCTION("""COMPUTED_VALUE"""),"Prelims Crash Course - SIP")</f>
        <v>Prelims Crash Course - SIP</v>
      </c>
    </row>
    <row r="2590">
      <c r="K2590" s="124"/>
      <c r="L2590" s="124"/>
      <c r="M2590" s="124"/>
      <c r="N2590" s="124"/>
      <c r="O2590" s="124"/>
      <c r="T2590" s="129">
        <f>IFERROR(__xludf.DUMMYFUNCTION("""COMPUTED_VALUE"""),46049.0)</f>
        <v>46049</v>
      </c>
      <c r="U2590" s="124" t="str">
        <f>IFERROR(__xludf.DUMMYFUNCTION("""COMPUTED_VALUE"""),"Walk-Ins")</f>
        <v>Walk-Ins</v>
      </c>
      <c r="V2590" s="124" t="str">
        <f>IFERROR(__xludf.DUMMYFUNCTION("""COMPUTED_VALUE"""),"Walkin")</f>
        <v>Walkin</v>
      </c>
      <c r="W2590" s="124" t="str">
        <f>IFERROR(__xludf.DUMMYFUNCTION("""COMPUTED_VALUE"""),"Patna")</f>
        <v>Patna</v>
      </c>
      <c r="X2590" s="124" t="str">
        <f>IFERROR(__xludf.DUMMYFUNCTION("""COMPUTED_VALUE"""),"Walkin")</f>
        <v>Walkin</v>
      </c>
      <c r="Y2590" s="124" t="str">
        <f>IFERROR(__xludf.DUMMYFUNCTION("""COMPUTED_VALUE"""),"Patna")</f>
        <v>Patna</v>
      </c>
      <c r="Z2590" s="124">
        <f>IFERROR(__xludf.DUMMYFUNCTION("""COMPUTED_VALUE"""),1.0)</f>
        <v>1</v>
      </c>
      <c r="AA2590" s="124" t="str">
        <f>IFERROR(__xludf.DUMMYFUNCTION("""COMPUTED_VALUE"""),"Fake Lead")</f>
        <v>Fake Lead</v>
      </c>
      <c r="AB2590" s="124" t="str">
        <f>IFERROR(__xludf.DUMMYFUNCTION("""COMPUTED_VALUE"""),"GS Foundation")</f>
        <v>GS Foundation</v>
      </c>
    </row>
    <row r="2591">
      <c r="K2591" s="124"/>
      <c r="L2591" s="124"/>
      <c r="M2591" s="124"/>
      <c r="N2591" s="124"/>
      <c r="O2591" s="124"/>
      <c r="T2591" s="129">
        <f>IFERROR(__xludf.DUMMYFUNCTION("""COMPUTED_VALUE"""),46064.0)</f>
        <v>46064</v>
      </c>
      <c r="U2591" s="124" t="str">
        <f>IFERROR(__xludf.DUMMYFUNCTION("""COMPUTED_VALUE"""),"Walk-Ins")</f>
        <v>Walk-Ins</v>
      </c>
      <c r="V2591" s="124" t="str">
        <f>IFERROR(__xludf.DUMMYFUNCTION("""COMPUTED_VALUE"""),"Walkin")</f>
        <v>Walkin</v>
      </c>
      <c r="W2591" s="124" t="str">
        <f>IFERROR(__xludf.DUMMYFUNCTION("""COMPUTED_VALUE"""),"Patna")</f>
        <v>Patna</v>
      </c>
      <c r="X2591" s="124" t="str">
        <f>IFERROR(__xludf.DUMMYFUNCTION("""COMPUTED_VALUE"""),"Walkin")</f>
        <v>Walkin</v>
      </c>
      <c r="Y2591" s="124" t="str">
        <f>IFERROR(__xludf.DUMMYFUNCTION("""COMPUTED_VALUE"""),"Patna")</f>
        <v>Patna</v>
      </c>
      <c r="Z2591" s="124">
        <f>IFERROR(__xludf.DUMMYFUNCTION("""COMPUTED_VALUE"""),1.0)</f>
        <v>1</v>
      </c>
      <c r="AA2591" s="124" t="str">
        <f>IFERROR(__xludf.DUMMYFUNCTION("""COMPUTED_VALUE"""),"Enrolled")</f>
        <v>Enrolled</v>
      </c>
      <c r="AB2591" s="124" t="str">
        <f>IFERROR(__xludf.DUMMYFUNCTION("""COMPUTED_VALUE"""),"GS Foundation")</f>
        <v>GS Foundation</v>
      </c>
    </row>
    <row r="2592">
      <c r="K2592" s="124"/>
      <c r="L2592" s="124"/>
      <c r="M2592" s="124"/>
      <c r="N2592" s="124"/>
      <c r="O2592" s="124"/>
      <c r="T2592" s="126">
        <f>IFERROR(__xludf.DUMMYFUNCTION("""COMPUTED_VALUE"""),46109.0)</f>
        <v>46109</v>
      </c>
      <c r="U2592" s="124" t="str">
        <f>IFERROR(__xludf.DUMMYFUNCTION("""COMPUTED_VALUE"""),"Walk-Ins")</f>
        <v>Walk-Ins</v>
      </c>
      <c r="V2592" s="124" t="str">
        <f>IFERROR(__xludf.DUMMYFUNCTION("""COMPUTED_VALUE"""),"Walkin")</f>
        <v>Walkin</v>
      </c>
      <c r="W2592" s="124" t="str">
        <f>IFERROR(__xludf.DUMMYFUNCTION("""COMPUTED_VALUE"""),"Patna")</f>
        <v>Patna</v>
      </c>
      <c r="X2592" s="124" t="str">
        <f>IFERROR(__xludf.DUMMYFUNCTION("""COMPUTED_VALUE"""),"Walkin")</f>
        <v>Walkin</v>
      </c>
      <c r="Y2592" s="124" t="str">
        <f>IFERROR(__xludf.DUMMYFUNCTION("""COMPUTED_VALUE"""),"Patna")</f>
        <v>Patna</v>
      </c>
      <c r="Z2592" s="124">
        <f>IFERROR(__xludf.DUMMYFUNCTION("""COMPUTED_VALUE"""),1.0)</f>
        <v>1</v>
      </c>
      <c r="AA2592" s="124" t="str">
        <f>IFERROR(__xludf.DUMMYFUNCTION("""COMPUTED_VALUE"""),"Future Prospects")</f>
        <v>Future Prospects</v>
      </c>
      <c r="AB2592" s="124" t="str">
        <f>IFERROR(__xludf.DUMMYFUNCTION("""COMPUTED_VALUE"""),"GS Advanced")</f>
        <v>GS Advanced</v>
      </c>
    </row>
    <row r="2593">
      <c r="K2593" s="124"/>
      <c r="L2593" s="124"/>
      <c r="M2593" s="124"/>
      <c r="N2593" s="124"/>
      <c r="O2593" s="124"/>
      <c r="T2593" s="129">
        <f>IFERROR(__xludf.DUMMYFUNCTION("""COMPUTED_VALUE"""),46053.0)</f>
        <v>46053</v>
      </c>
      <c r="U2593" s="124" t="str">
        <f>IFERROR(__xludf.DUMMYFUNCTION("""COMPUTED_VALUE"""),"Walk-Ins")</f>
        <v>Walk-Ins</v>
      </c>
      <c r="V2593" s="124" t="str">
        <f>IFERROR(__xludf.DUMMYFUNCTION("""COMPUTED_VALUE"""),"Walkin")</f>
        <v>Walkin</v>
      </c>
      <c r="W2593" s="124" t="str">
        <f>IFERROR(__xludf.DUMMYFUNCTION("""COMPUTED_VALUE"""),"Patna")</f>
        <v>Patna</v>
      </c>
      <c r="X2593" s="124" t="str">
        <f>IFERROR(__xludf.DUMMYFUNCTION("""COMPUTED_VALUE"""),"Walkin")</f>
        <v>Walkin</v>
      </c>
      <c r="Y2593" s="124" t="str">
        <f>IFERROR(__xludf.DUMMYFUNCTION("""COMPUTED_VALUE"""),"Patna")</f>
        <v>Patna</v>
      </c>
      <c r="Z2593" s="124">
        <f>IFERROR(__xludf.DUMMYFUNCTION("""COMPUTED_VALUE"""),1.0)</f>
        <v>1</v>
      </c>
      <c r="AA2593" s="124" t="str">
        <f>IFERROR(__xludf.DUMMYFUNCTION("""COMPUTED_VALUE"""),"Cold")</f>
        <v>Cold</v>
      </c>
      <c r="AB2593" s="124" t="str">
        <f>IFERROR(__xludf.DUMMYFUNCTION("""COMPUTED_VALUE"""),"State PCS")</f>
        <v>State PCS</v>
      </c>
    </row>
    <row r="2594">
      <c r="K2594" s="124"/>
      <c r="L2594" s="124"/>
      <c r="M2594" s="124"/>
      <c r="N2594" s="124"/>
      <c r="O2594" s="124"/>
      <c r="T2594" s="129">
        <f>IFERROR(__xludf.DUMMYFUNCTION("""COMPUTED_VALUE"""),46106.0)</f>
        <v>46106</v>
      </c>
      <c r="U2594" s="124" t="str">
        <f>IFERROR(__xludf.DUMMYFUNCTION("""COMPUTED_VALUE"""),"Walk-Ins")</f>
        <v>Walk-Ins</v>
      </c>
      <c r="V2594" s="124" t="str">
        <f>IFERROR(__xludf.DUMMYFUNCTION("""COMPUTED_VALUE"""),"Walkin")</f>
        <v>Walkin</v>
      </c>
      <c r="W2594" s="124" t="str">
        <f>IFERROR(__xludf.DUMMYFUNCTION("""COMPUTED_VALUE"""),"Indore")</f>
        <v>Indore</v>
      </c>
      <c r="X2594" s="124" t="str">
        <f>IFERROR(__xludf.DUMMYFUNCTION("""COMPUTED_VALUE"""),"Walkin")</f>
        <v>Walkin</v>
      </c>
      <c r="Y2594" s="124" t="str">
        <f>IFERROR(__xludf.DUMMYFUNCTION("""COMPUTED_VALUE"""),"Indore")</f>
        <v>Indore</v>
      </c>
      <c r="Z2594" s="124">
        <f>IFERROR(__xludf.DUMMYFUNCTION("""COMPUTED_VALUE"""),1.0)</f>
        <v>1</v>
      </c>
      <c r="AA2594" s="124" t="str">
        <f>IFERROR(__xludf.DUMMYFUNCTION("""COMPUTED_VALUE"""),"Enrolled")</f>
        <v>Enrolled</v>
      </c>
      <c r="AB2594" s="124" t="str">
        <f>IFERROR(__xludf.DUMMYFUNCTION("""COMPUTED_VALUE"""),"GS Foundation")</f>
        <v>GS Foundation</v>
      </c>
    </row>
    <row r="2595">
      <c r="K2595" s="124"/>
      <c r="L2595" s="124"/>
      <c r="M2595" s="124"/>
      <c r="N2595" s="124"/>
      <c r="O2595" s="124"/>
      <c r="T2595" s="129">
        <f>IFERROR(__xludf.DUMMYFUNCTION("""COMPUTED_VALUE"""),46105.0)</f>
        <v>46105</v>
      </c>
      <c r="U2595" s="124" t="str">
        <f>IFERROR(__xludf.DUMMYFUNCTION("""COMPUTED_VALUE"""),"Walk-Ins")</f>
        <v>Walk-Ins</v>
      </c>
      <c r="V2595" s="124" t="str">
        <f>IFERROR(__xludf.DUMMYFUNCTION("""COMPUTED_VALUE"""),"Walkin")</f>
        <v>Walkin</v>
      </c>
      <c r="W2595" s="124" t="str">
        <f>IFERROR(__xludf.DUMMYFUNCTION("""COMPUTED_VALUE"""),"Patna")</f>
        <v>Patna</v>
      </c>
      <c r="X2595" s="124" t="str">
        <f>IFERROR(__xludf.DUMMYFUNCTION("""COMPUTED_VALUE"""),"Walkin")</f>
        <v>Walkin</v>
      </c>
      <c r="Y2595" s="124" t="str">
        <f>IFERROR(__xludf.DUMMYFUNCTION("""COMPUTED_VALUE"""),"Patna")</f>
        <v>Patna</v>
      </c>
      <c r="Z2595" s="124">
        <f>IFERROR(__xludf.DUMMYFUNCTION("""COMPUTED_VALUE"""),1.0)</f>
        <v>1</v>
      </c>
      <c r="AA2595" s="124" t="str">
        <f>IFERROR(__xludf.DUMMYFUNCTION("""COMPUTED_VALUE"""),"Cold")</f>
        <v>Cold</v>
      </c>
      <c r="AB2595" s="124" t="str">
        <f>IFERROR(__xludf.DUMMYFUNCTION("""COMPUTED_VALUE"""),"State PCS")</f>
        <v>State PCS</v>
      </c>
    </row>
    <row r="2596">
      <c r="K2596" s="124"/>
      <c r="L2596" s="124"/>
      <c r="M2596" s="124"/>
      <c r="N2596" s="124"/>
      <c r="O2596" s="124"/>
      <c r="T2596" s="126">
        <f>IFERROR(__xludf.DUMMYFUNCTION("""COMPUTED_VALUE"""),46081.0)</f>
        <v>46081</v>
      </c>
      <c r="U2596" s="124" t="str">
        <f>IFERROR(__xludf.DUMMYFUNCTION("""COMPUTED_VALUE"""),"Walk-Ins")</f>
        <v>Walk-Ins</v>
      </c>
      <c r="V2596" s="124" t="str">
        <f>IFERROR(__xludf.DUMMYFUNCTION("""COMPUTED_VALUE"""),"Walkin")</f>
        <v>Walkin</v>
      </c>
      <c r="W2596" s="124" t="str">
        <f>IFERROR(__xludf.DUMMYFUNCTION("""COMPUTED_VALUE"""),"Prayagraj")</f>
        <v>Prayagraj</v>
      </c>
      <c r="X2596" s="124" t="str">
        <f>IFERROR(__xludf.DUMMYFUNCTION("""COMPUTED_VALUE"""),"Walkin")</f>
        <v>Walkin</v>
      </c>
      <c r="Y2596" s="124" t="str">
        <f>IFERROR(__xludf.DUMMYFUNCTION("""COMPUTED_VALUE"""),"Prayagraj")</f>
        <v>Prayagraj</v>
      </c>
      <c r="Z2596" s="124">
        <f>IFERROR(__xludf.DUMMYFUNCTION("""COMPUTED_VALUE"""),1.0)</f>
        <v>1</v>
      </c>
      <c r="AA2596" s="124" t="str">
        <f>IFERROR(__xludf.DUMMYFUNCTION("""COMPUTED_VALUE"""),"Enrolled")</f>
        <v>Enrolled</v>
      </c>
      <c r="AB2596" s="124" t="str">
        <f>IFERROR(__xludf.DUMMYFUNCTION("""COMPUTED_VALUE"""),"Mentorship")</f>
        <v>Mentorship</v>
      </c>
    </row>
    <row r="2597">
      <c r="K2597" s="124"/>
      <c r="L2597" s="124"/>
      <c r="M2597" s="124"/>
      <c r="N2597" s="124"/>
      <c r="O2597" s="124"/>
      <c r="T2597" s="126">
        <f>IFERROR(__xludf.DUMMYFUNCTION("""COMPUTED_VALUE"""),46055.0)</f>
        <v>46055</v>
      </c>
      <c r="U2597" s="124" t="str">
        <f>IFERROR(__xludf.DUMMYFUNCTION("""COMPUTED_VALUE"""),"Walk-Ins")</f>
        <v>Walk-Ins</v>
      </c>
      <c r="V2597" s="124" t="str">
        <f>IFERROR(__xludf.DUMMYFUNCTION("""COMPUTED_VALUE"""),"Walkin")</f>
        <v>Walkin</v>
      </c>
      <c r="W2597" s="124" t="str">
        <f>IFERROR(__xludf.DUMMYFUNCTION("""COMPUTED_VALUE"""),"Patna")</f>
        <v>Patna</v>
      </c>
      <c r="X2597" s="124" t="str">
        <f>IFERROR(__xludf.DUMMYFUNCTION("""COMPUTED_VALUE"""),"Walkin")</f>
        <v>Walkin</v>
      </c>
      <c r="Y2597" s="124" t="str">
        <f>IFERROR(__xludf.DUMMYFUNCTION("""COMPUTED_VALUE"""),"Patna")</f>
        <v>Patna</v>
      </c>
      <c r="Z2597" s="124">
        <f>IFERROR(__xludf.DUMMYFUNCTION("""COMPUTED_VALUE"""),2.0)</f>
        <v>2</v>
      </c>
      <c r="AA2597" s="124" t="str">
        <f>IFERROR(__xludf.DUMMYFUNCTION("""COMPUTED_VALUE"""),"Cold")</f>
        <v>Cold</v>
      </c>
      <c r="AB2597" s="124" t="str">
        <f>IFERROR(__xludf.DUMMYFUNCTION("""COMPUTED_VALUE"""),"GS Foundation")</f>
        <v>GS Foundation</v>
      </c>
    </row>
    <row r="2598">
      <c r="K2598" s="124"/>
      <c r="L2598" s="124"/>
      <c r="M2598" s="124"/>
      <c r="N2598" s="124"/>
      <c r="O2598" s="124"/>
      <c r="T2598" s="126">
        <f>IFERROR(__xludf.DUMMYFUNCTION("""COMPUTED_VALUE"""),46062.0)</f>
        <v>46062</v>
      </c>
      <c r="U2598" s="124" t="str">
        <f>IFERROR(__xludf.DUMMYFUNCTION("""COMPUTED_VALUE"""),"Walk-Ins")</f>
        <v>Walk-Ins</v>
      </c>
      <c r="V2598" s="124" t="str">
        <f>IFERROR(__xludf.DUMMYFUNCTION("""COMPUTED_VALUE"""),"Walkin")</f>
        <v>Walkin</v>
      </c>
      <c r="W2598" s="124" t="str">
        <f>IFERROR(__xludf.DUMMYFUNCTION("""COMPUTED_VALUE"""),"Indore")</f>
        <v>Indore</v>
      </c>
      <c r="X2598" s="124" t="str">
        <f>IFERROR(__xludf.DUMMYFUNCTION("""COMPUTED_VALUE"""),"Walkin")</f>
        <v>Walkin</v>
      </c>
      <c r="Y2598" s="124" t="str">
        <f>IFERROR(__xludf.DUMMYFUNCTION("""COMPUTED_VALUE"""),"Indore")</f>
        <v>Indore</v>
      </c>
      <c r="Z2598" s="124">
        <f>IFERROR(__xludf.DUMMYFUNCTION("""COMPUTED_VALUE"""),1.0)</f>
        <v>1</v>
      </c>
      <c r="AA2598" s="124" t="str">
        <f>IFERROR(__xludf.DUMMYFUNCTION("""COMPUTED_VALUE"""),"Not Interested")</f>
        <v>Not Interested</v>
      </c>
      <c r="AB2598" s="124" t="str">
        <f>IFERROR(__xludf.DUMMYFUNCTION("""COMPUTED_VALUE"""),"GS Foundation")</f>
        <v>GS Foundation</v>
      </c>
    </row>
    <row r="2599">
      <c r="K2599" s="124"/>
      <c r="L2599" s="124"/>
      <c r="M2599" s="124"/>
      <c r="N2599" s="124"/>
      <c r="O2599" s="124"/>
      <c r="T2599" s="129">
        <f>IFERROR(__xludf.DUMMYFUNCTION("""COMPUTED_VALUE"""),46068.0)</f>
        <v>46068</v>
      </c>
      <c r="U2599" s="124" t="str">
        <f>IFERROR(__xludf.DUMMYFUNCTION("""COMPUTED_VALUE"""),"Walk-Ins")</f>
        <v>Walk-Ins</v>
      </c>
      <c r="V2599" s="124" t="str">
        <f>IFERROR(__xludf.DUMMYFUNCTION("""COMPUTED_VALUE"""),"Walkin")</f>
        <v>Walkin</v>
      </c>
      <c r="W2599" s="124" t="str">
        <f>IFERROR(__xludf.DUMMYFUNCTION("""COMPUTED_VALUE"""),"Patna")</f>
        <v>Patna</v>
      </c>
      <c r="X2599" s="124" t="str">
        <f>IFERROR(__xludf.DUMMYFUNCTION("""COMPUTED_VALUE"""),"Walkin")</f>
        <v>Walkin</v>
      </c>
      <c r="Y2599" s="124" t="str">
        <f>IFERROR(__xludf.DUMMYFUNCTION("""COMPUTED_VALUE"""),"Patna")</f>
        <v>Patna</v>
      </c>
      <c r="Z2599" s="124">
        <f>IFERROR(__xludf.DUMMYFUNCTION("""COMPUTED_VALUE"""),2.0)</f>
        <v>2</v>
      </c>
      <c r="AA2599" s="124" t="str">
        <f>IFERROR(__xludf.DUMMYFUNCTION("""COMPUTED_VALUE"""),"Enrolled")</f>
        <v>Enrolled</v>
      </c>
      <c r="AB2599" s="124" t="str">
        <f>IFERROR(__xludf.DUMMYFUNCTION("""COMPUTED_VALUE"""),"State PCS")</f>
        <v>State PCS</v>
      </c>
    </row>
    <row r="2600">
      <c r="K2600" s="124"/>
      <c r="L2600" s="124"/>
      <c r="M2600" s="124"/>
      <c r="N2600" s="124"/>
      <c r="O2600" s="124"/>
      <c r="T2600" s="126">
        <f>IFERROR(__xludf.DUMMYFUNCTION("""COMPUTED_VALUE"""),46101.0)</f>
        <v>46101</v>
      </c>
      <c r="U2600" s="124" t="str">
        <f>IFERROR(__xludf.DUMMYFUNCTION("""COMPUTED_VALUE"""),"Walk-Ins")</f>
        <v>Walk-Ins</v>
      </c>
      <c r="V2600" s="124" t="str">
        <f>IFERROR(__xludf.DUMMYFUNCTION("""COMPUTED_VALUE"""),"Walkin")</f>
        <v>Walkin</v>
      </c>
      <c r="W2600" s="124" t="str">
        <f>IFERROR(__xludf.DUMMYFUNCTION("""COMPUTED_VALUE"""),"Patna")</f>
        <v>Patna</v>
      </c>
      <c r="X2600" s="124" t="str">
        <f>IFERROR(__xludf.DUMMYFUNCTION("""COMPUTED_VALUE"""),"Walkin")</f>
        <v>Walkin</v>
      </c>
      <c r="Y2600" s="124" t="str">
        <f>IFERROR(__xludf.DUMMYFUNCTION("""COMPUTED_VALUE"""),"Patna")</f>
        <v>Patna</v>
      </c>
      <c r="Z2600" s="124">
        <f>IFERROR(__xludf.DUMMYFUNCTION("""COMPUTED_VALUE"""),1.0)</f>
        <v>1</v>
      </c>
      <c r="AA2600" s="124" t="str">
        <f>IFERROR(__xludf.DUMMYFUNCTION("""COMPUTED_VALUE"""),"Fake Lead")</f>
        <v>Fake Lead</v>
      </c>
      <c r="AB2600" s="124" t="str">
        <f>IFERROR(__xludf.DUMMYFUNCTION("""COMPUTED_VALUE"""),"Other")</f>
        <v>Other</v>
      </c>
    </row>
    <row r="2601">
      <c r="K2601" s="124"/>
      <c r="L2601" s="124"/>
      <c r="M2601" s="124"/>
      <c r="N2601" s="124"/>
      <c r="O2601" s="124"/>
      <c r="T2601" s="126">
        <f>IFERROR(__xludf.DUMMYFUNCTION("""COMPUTED_VALUE"""),46058.0)</f>
        <v>46058</v>
      </c>
      <c r="U2601" s="124" t="str">
        <f>IFERROR(__xludf.DUMMYFUNCTION("""COMPUTED_VALUE"""),"Walk-Ins")</f>
        <v>Walk-Ins</v>
      </c>
      <c r="V2601" s="124" t="str">
        <f>IFERROR(__xludf.DUMMYFUNCTION("""COMPUTED_VALUE"""),"Walkin")</f>
        <v>Walkin</v>
      </c>
      <c r="W2601" s="124" t="str">
        <f>IFERROR(__xludf.DUMMYFUNCTION("""COMPUTED_VALUE"""),"Indore")</f>
        <v>Indore</v>
      </c>
      <c r="X2601" s="124" t="str">
        <f>IFERROR(__xludf.DUMMYFUNCTION("""COMPUTED_VALUE"""),"Walkin")</f>
        <v>Walkin</v>
      </c>
      <c r="Y2601" s="124" t="str">
        <f>IFERROR(__xludf.DUMMYFUNCTION("""COMPUTED_VALUE"""),"Indore")</f>
        <v>Indore</v>
      </c>
      <c r="Z2601" s="124">
        <f>IFERROR(__xludf.DUMMYFUNCTION("""COMPUTED_VALUE"""),1.0)</f>
        <v>1</v>
      </c>
      <c r="AA2601" s="124" t="str">
        <f>IFERROR(__xludf.DUMMYFUNCTION("""COMPUTED_VALUE"""),"Not Interested")</f>
        <v>Not Interested</v>
      </c>
      <c r="AB2601" s="124" t="str">
        <f>IFERROR(__xludf.DUMMYFUNCTION("""COMPUTED_VALUE"""),"State PCS")</f>
        <v>State PCS</v>
      </c>
    </row>
    <row r="2602">
      <c r="K2602" s="124"/>
      <c r="L2602" s="124"/>
      <c r="M2602" s="124"/>
      <c r="N2602" s="124"/>
      <c r="O2602" s="124"/>
      <c r="T2602" s="126">
        <f>IFERROR(__xludf.DUMMYFUNCTION("""COMPUTED_VALUE"""),46066.0)</f>
        <v>46066</v>
      </c>
      <c r="U2602" s="124" t="str">
        <f>IFERROR(__xludf.DUMMYFUNCTION("""COMPUTED_VALUE"""),"Walk-Ins")</f>
        <v>Walk-Ins</v>
      </c>
      <c r="V2602" s="124" t="str">
        <f>IFERROR(__xludf.DUMMYFUNCTION("""COMPUTED_VALUE"""),"Walkin")</f>
        <v>Walkin</v>
      </c>
      <c r="W2602" s="124" t="str">
        <f>IFERROR(__xludf.DUMMYFUNCTION("""COMPUTED_VALUE"""),"Patna")</f>
        <v>Patna</v>
      </c>
      <c r="X2602" s="124" t="str">
        <f>IFERROR(__xludf.DUMMYFUNCTION("""COMPUTED_VALUE"""),"Walkin")</f>
        <v>Walkin</v>
      </c>
      <c r="Y2602" s="124" t="str">
        <f>IFERROR(__xludf.DUMMYFUNCTION("""COMPUTED_VALUE"""),"Patna")</f>
        <v>Patna</v>
      </c>
      <c r="Z2602" s="124">
        <f>IFERROR(__xludf.DUMMYFUNCTION("""COMPUTED_VALUE"""),1.0)</f>
        <v>1</v>
      </c>
      <c r="AA2602" s="124" t="str">
        <f>IFERROR(__xludf.DUMMYFUNCTION("""COMPUTED_VALUE"""),"Fake Lead")</f>
        <v>Fake Lead</v>
      </c>
      <c r="AB2602" s="124" t="str">
        <f>IFERROR(__xludf.DUMMYFUNCTION("""COMPUTED_VALUE"""),"Test Series")</f>
        <v>Test Series</v>
      </c>
    </row>
    <row r="2603">
      <c r="K2603" s="124"/>
      <c r="L2603" s="124"/>
      <c r="M2603" s="124"/>
      <c r="N2603" s="124"/>
      <c r="O2603" s="124"/>
      <c r="T2603" s="129">
        <f>IFERROR(__xludf.DUMMYFUNCTION("""COMPUTED_VALUE"""),46087.0)</f>
        <v>46087</v>
      </c>
      <c r="U2603" s="124" t="str">
        <f>IFERROR(__xludf.DUMMYFUNCTION("""COMPUTED_VALUE"""),"Walk-Ins")</f>
        <v>Walk-Ins</v>
      </c>
      <c r="V2603" s="124" t="str">
        <f>IFERROR(__xludf.DUMMYFUNCTION("""COMPUTED_VALUE"""),"Walkin")</f>
        <v>Walkin</v>
      </c>
      <c r="W2603" s="124" t="str">
        <f>IFERROR(__xludf.DUMMYFUNCTION("""COMPUTED_VALUE"""),"Patna")</f>
        <v>Patna</v>
      </c>
      <c r="X2603" s="124" t="str">
        <f>IFERROR(__xludf.DUMMYFUNCTION("""COMPUTED_VALUE"""),"Walkin")</f>
        <v>Walkin</v>
      </c>
      <c r="Y2603" s="124" t="str">
        <f>IFERROR(__xludf.DUMMYFUNCTION("""COMPUTED_VALUE"""),"Patna")</f>
        <v>Patna</v>
      </c>
      <c r="Z2603" s="124">
        <f>IFERROR(__xludf.DUMMYFUNCTION("""COMPUTED_VALUE"""),1.0)</f>
        <v>1</v>
      </c>
      <c r="AA2603" s="124" t="str">
        <f>IFERROR(__xludf.DUMMYFUNCTION("""COMPUTED_VALUE"""),"Warm")</f>
        <v>Warm</v>
      </c>
      <c r="AB2603" s="124" t="str">
        <f>IFERROR(__xludf.DUMMYFUNCTION("""COMPUTED_VALUE"""),"GS Foundation")</f>
        <v>GS Foundation</v>
      </c>
    </row>
    <row r="2604">
      <c r="K2604" s="124"/>
      <c r="L2604" s="124"/>
      <c r="M2604" s="124"/>
      <c r="N2604" s="124"/>
      <c r="O2604" s="124"/>
      <c r="T2604" s="126">
        <f>IFERROR(__xludf.DUMMYFUNCTION("""COMPUTED_VALUE"""),46110.0)</f>
        <v>46110</v>
      </c>
      <c r="U2604" s="124" t="str">
        <f>IFERROR(__xludf.DUMMYFUNCTION("""COMPUTED_VALUE"""),"Walk-Ins")</f>
        <v>Walk-Ins</v>
      </c>
      <c r="V2604" s="124" t="str">
        <f>IFERROR(__xludf.DUMMYFUNCTION("""COMPUTED_VALUE"""),"Walkin")</f>
        <v>Walkin</v>
      </c>
      <c r="W2604" s="124" t="str">
        <f>IFERROR(__xludf.DUMMYFUNCTION("""COMPUTED_VALUE"""),"Indore")</f>
        <v>Indore</v>
      </c>
      <c r="X2604" s="124" t="str">
        <f>IFERROR(__xludf.DUMMYFUNCTION("""COMPUTED_VALUE"""),"Walkin")</f>
        <v>Walkin</v>
      </c>
      <c r="Y2604" s="124" t="str">
        <f>IFERROR(__xludf.DUMMYFUNCTION("""COMPUTED_VALUE"""),"Indore")</f>
        <v>Indore</v>
      </c>
      <c r="Z2604" s="124">
        <f>IFERROR(__xludf.DUMMYFUNCTION("""COMPUTED_VALUE"""),1.0)</f>
        <v>1</v>
      </c>
      <c r="AA2604" s="124" t="str">
        <f>IFERROR(__xludf.DUMMYFUNCTION("""COMPUTED_VALUE"""),"Not Interested")</f>
        <v>Not Interested</v>
      </c>
      <c r="AB2604" s="124" t="str">
        <f>IFERROR(__xludf.DUMMYFUNCTION("""COMPUTED_VALUE"""),"Other")</f>
        <v>Other</v>
      </c>
    </row>
    <row r="2605">
      <c r="K2605" s="124"/>
      <c r="L2605" s="124"/>
      <c r="M2605" s="124"/>
      <c r="N2605" s="124"/>
      <c r="O2605" s="124"/>
      <c r="T2605" s="129">
        <f>IFERROR(__xludf.DUMMYFUNCTION("""COMPUTED_VALUE"""),46057.0)</f>
        <v>46057</v>
      </c>
      <c r="U2605" s="124" t="str">
        <f>IFERROR(__xludf.DUMMYFUNCTION("""COMPUTED_VALUE"""),"Walk-Ins")</f>
        <v>Walk-Ins</v>
      </c>
      <c r="V2605" s="124" t="str">
        <f>IFERROR(__xludf.DUMMYFUNCTION("""COMPUTED_VALUE"""),"Walkin")</f>
        <v>Walkin</v>
      </c>
      <c r="W2605" s="124" t="str">
        <f>IFERROR(__xludf.DUMMYFUNCTION("""COMPUTED_VALUE"""),"Indore")</f>
        <v>Indore</v>
      </c>
      <c r="X2605" s="124" t="str">
        <f>IFERROR(__xludf.DUMMYFUNCTION("""COMPUTED_VALUE"""),"Walkin")</f>
        <v>Walkin</v>
      </c>
      <c r="Y2605" s="124" t="str">
        <f>IFERROR(__xludf.DUMMYFUNCTION("""COMPUTED_VALUE"""),"Indore")</f>
        <v>Indore</v>
      </c>
      <c r="Z2605" s="124">
        <f>IFERROR(__xludf.DUMMYFUNCTION("""COMPUTED_VALUE"""),2.0)</f>
        <v>2</v>
      </c>
      <c r="AA2605" s="124" t="str">
        <f>IFERROR(__xludf.DUMMYFUNCTION("""COMPUTED_VALUE"""),"Cold")</f>
        <v>Cold</v>
      </c>
      <c r="AB2605" s="124" t="str">
        <f>IFERROR(__xludf.DUMMYFUNCTION("""COMPUTED_VALUE"""),"Test Series")</f>
        <v>Test Series</v>
      </c>
    </row>
    <row r="2606">
      <c r="K2606" s="124"/>
      <c r="L2606" s="124"/>
      <c r="M2606" s="124"/>
      <c r="N2606" s="124"/>
      <c r="O2606" s="124"/>
      <c r="T2606" s="129">
        <f>IFERROR(__xludf.DUMMYFUNCTION("""COMPUTED_VALUE"""),46045.0)</f>
        <v>46045</v>
      </c>
      <c r="U2606" s="124" t="str">
        <f>IFERROR(__xludf.DUMMYFUNCTION("""COMPUTED_VALUE"""),"Walk-Ins")</f>
        <v>Walk-Ins</v>
      </c>
      <c r="V2606" s="124" t="str">
        <f>IFERROR(__xludf.DUMMYFUNCTION("""COMPUTED_VALUE"""),"Walkin")</f>
        <v>Walkin</v>
      </c>
      <c r="W2606" s="124" t="str">
        <f>IFERROR(__xludf.DUMMYFUNCTION("""COMPUTED_VALUE"""),"Prayagraj")</f>
        <v>Prayagraj</v>
      </c>
      <c r="X2606" s="124" t="str">
        <f>IFERROR(__xludf.DUMMYFUNCTION("""COMPUTED_VALUE"""),"Walkin")</f>
        <v>Walkin</v>
      </c>
      <c r="Y2606" s="124" t="str">
        <f>IFERROR(__xludf.DUMMYFUNCTION("""COMPUTED_VALUE"""),"Prayagraj")</f>
        <v>Prayagraj</v>
      </c>
      <c r="Z2606" s="124">
        <f>IFERROR(__xludf.DUMMYFUNCTION("""COMPUTED_VALUE"""),2.0)</f>
        <v>2</v>
      </c>
      <c r="AA2606" s="124" t="str">
        <f>IFERROR(__xludf.DUMMYFUNCTION("""COMPUTED_VALUE"""),"Cold")</f>
        <v>Cold</v>
      </c>
      <c r="AB2606" s="124" t="str">
        <f>IFERROR(__xludf.DUMMYFUNCTION("""COMPUTED_VALUE"""),"GS Foundation")</f>
        <v>GS Foundation</v>
      </c>
    </row>
    <row r="2607">
      <c r="K2607" s="124"/>
      <c r="L2607" s="124"/>
      <c r="M2607" s="124"/>
      <c r="N2607" s="124"/>
      <c r="O2607" s="124"/>
      <c r="T2607" s="126">
        <f>IFERROR(__xludf.DUMMYFUNCTION("""COMPUTED_VALUE"""),46045.0)</f>
        <v>46045</v>
      </c>
      <c r="U2607" s="124" t="str">
        <f>IFERROR(__xludf.DUMMYFUNCTION("""COMPUTED_VALUE"""),"Walk-Ins")</f>
        <v>Walk-Ins</v>
      </c>
      <c r="V2607" s="124" t="str">
        <f>IFERROR(__xludf.DUMMYFUNCTION("""COMPUTED_VALUE"""),"Walkin")</f>
        <v>Walkin</v>
      </c>
      <c r="W2607" s="124" t="str">
        <f>IFERROR(__xludf.DUMMYFUNCTION("""COMPUTED_VALUE"""),"Patna")</f>
        <v>Patna</v>
      </c>
      <c r="X2607" s="124" t="str">
        <f>IFERROR(__xludf.DUMMYFUNCTION("""COMPUTED_VALUE"""),"Walkin")</f>
        <v>Walkin</v>
      </c>
      <c r="Y2607" s="124" t="str">
        <f>IFERROR(__xludf.DUMMYFUNCTION("""COMPUTED_VALUE"""),"Patna")</f>
        <v>Patna</v>
      </c>
      <c r="Z2607" s="124">
        <f>IFERROR(__xludf.DUMMYFUNCTION("""COMPUTED_VALUE"""),1.0)</f>
        <v>1</v>
      </c>
      <c r="AA2607" s="124" t="str">
        <f>IFERROR(__xludf.DUMMYFUNCTION("""COMPUTED_VALUE"""),"Warm")</f>
        <v>Warm</v>
      </c>
      <c r="AB2607" s="124" t="str">
        <f>IFERROR(__xludf.DUMMYFUNCTION("""COMPUTED_VALUE"""),"State PCS")</f>
        <v>State PCS</v>
      </c>
    </row>
    <row r="2608">
      <c r="K2608" s="124"/>
      <c r="L2608" s="124"/>
      <c r="M2608" s="124"/>
      <c r="N2608" s="124"/>
      <c r="O2608" s="124"/>
      <c r="T2608" s="126">
        <f>IFERROR(__xludf.DUMMYFUNCTION("""COMPUTED_VALUE"""),46063.0)</f>
        <v>46063</v>
      </c>
      <c r="U2608" s="124" t="str">
        <f>IFERROR(__xludf.DUMMYFUNCTION("""COMPUTED_VALUE"""),"Walk-Ins")</f>
        <v>Walk-Ins</v>
      </c>
      <c r="V2608" s="124" t="str">
        <f>IFERROR(__xludf.DUMMYFUNCTION("""COMPUTED_VALUE"""),"Walkin")</f>
        <v>Walkin</v>
      </c>
      <c r="W2608" s="124" t="str">
        <f>IFERROR(__xludf.DUMMYFUNCTION("""COMPUTED_VALUE"""),"Prayagraj")</f>
        <v>Prayagraj</v>
      </c>
      <c r="X2608" s="124" t="str">
        <f>IFERROR(__xludf.DUMMYFUNCTION("""COMPUTED_VALUE"""),"Walkin")</f>
        <v>Walkin</v>
      </c>
      <c r="Y2608" s="124" t="str">
        <f>IFERROR(__xludf.DUMMYFUNCTION("""COMPUTED_VALUE"""),"Prayagraj")</f>
        <v>Prayagraj</v>
      </c>
      <c r="Z2608" s="124">
        <f>IFERROR(__xludf.DUMMYFUNCTION("""COMPUTED_VALUE"""),4.0)</f>
        <v>4</v>
      </c>
      <c r="AA2608" s="124" t="str">
        <f>IFERROR(__xludf.DUMMYFUNCTION("""COMPUTED_VALUE"""),"Cold")</f>
        <v>Cold</v>
      </c>
      <c r="AB2608" s="124" t="str">
        <f>IFERROR(__xludf.DUMMYFUNCTION("""COMPUTED_VALUE"""),"GS Foundation")</f>
        <v>GS Foundation</v>
      </c>
    </row>
    <row r="2609">
      <c r="K2609" s="124"/>
      <c r="L2609" s="124"/>
      <c r="M2609" s="124"/>
      <c r="N2609" s="124"/>
      <c r="O2609" s="124"/>
      <c r="T2609" s="126">
        <f>IFERROR(__xludf.DUMMYFUNCTION("""COMPUTED_VALUE"""),46100.0)</f>
        <v>46100</v>
      </c>
      <c r="U2609" s="124" t="str">
        <f>IFERROR(__xludf.DUMMYFUNCTION("""COMPUTED_VALUE"""),"Walk-Ins")</f>
        <v>Walk-Ins</v>
      </c>
      <c r="V2609" s="124" t="str">
        <f>IFERROR(__xludf.DUMMYFUNCTION("""COMPUTED_VALUE"""),"Walkin")</f>
        <v>Walkin</v>
      </c>
      <c r="W2609" s="124" t="str">
        <f>IFERROR(__xludf.DUMMYFUNCTION("""COMPUTED_VALUE"""),"Prayagraj")</f>
        <v>Prayagraj</v>
      </c>
      <c r="X2609" s="124" t="str">
        <f>IFERROR(__xludf.DUMMYFUNCTION("""COMPUTED_VALUE"""),"Walkin")</f>
        <v>Walkin</v>
      </c>
      <c r="Y2609" s="124" t="str">
        <f>IFERROR(__xludf.DUMMYFUNCTION("""COMPUTED_VALUE"""),"Prayagraj")</f>
        <v>Prayagraj</v>
      </c>
      <c r="Z2609" s="124">
        <f>IFERROR(__xludf.DUMMYFUNCTION("""COMPUTED_VALUE"""),2.0)</f>
        <v>2</v>
      </c>
      <c r="AA2609" s="124" t="str">
        <f>IFERROR(__xludf.DUMMYFUNCTION("""COMPUTED_VALUE"""),"Future Prospects")</f>
        <v>Future Prospects</v>
      </c>
      <c r="AB2609" s="124" t="str">
        <f>IFERROR(__xludf.DUMMYFUNCTION("""COMPUTED_VALUE"""),"GS Foundation")</f>
        <v>GS Foundation</v>
      </c>
    </row>
    <row r="2610">
      <c r="K2610" s="124"/>
      <c r="L2610" s="124"/>
      <c r="M2610" s="124"/>
      <c r="N2610" s="124"/>
      <c r="O2610" s="124"/>
      <c r="T2610" s="126">
        <f>IFERROR(__xludf.DUMMYFUNCTION("""COMPUTED_VALUE"""),46088.0)</f>
        <v>46088</v>
      </c>
      <c r="U2610" s="124" t="str">
        <f>IFERROR(__xludf.DUMMYFUNCTION("""COMPUTED_VALUE"""),"Walk-Ins")</f>
        <v>Walk-Ins</v>
      </c>
      <c r="V2610" s="124" t="str">
        <f>IFERROR(__xludf.DUMMYFUNCTION("""COMPUTED_VALUE"""),"Walkin")</f>
        <v>Walkin</v>
      </c>
      <c r="W2610" s="124" t="str">
        <f>IFERROR(__xludf.DUMMYFUNCTION("""COMPUTED_VALUE"""),"Prayagraj")</f>
        <v>Prayagraj</v>
      </c>
      <c r="X2610" s="124" t="str">
        <f>IFERROR(__xludf.DUMMYFUNCTION("""COMPUTED_VALUE"""),"Walkin")</f>
        <v>Walkin</v>
      </c>
      <c r="Y2610" s="124" t="str">
        <f>IFERROR(__xludf.DUMMYFUNCTION("""COMPUTED_VALUE"""),"Prayagraj")</f>
        <v>Prayagraj</v>
      </c>
      <c r="Z2610" s="124">
        <f>IFERROR(__xludf.DUMMYFUNCTION("""COMPUTED_VALUE"""),1.0)</f>
        <v>1</v>
      </c>
      <c r="AA2610" s="124" t="str">
        <f>IFERROR(__xludf.DUMMYFUNCTION("""COMPUTED_VALUE"""),"Future Prospects")</f>
        <v>Future Prospects</v>
      </c>
      <c r="AB2610" s="124" t="str">
        <f>IFERROR(__xludf.DUMMYFUNCTION("""COMPUTED_VALUE"""),"Mentorship")</f>
        <v>Mentorship</v>
      </c>
    </row>
    <row r="2611">
      <c r="K2611" s="124"/>
      <c r="L2611" s="124"/>
      <c r="M2611" s="124"/>
      <c r="N2611" s="124"/>
      <c r="O2611" s="124"/>
      <c r="T2611" s="129">
        <f>IFERROR(__xludf.DUMMYFUNCTION("""COMPUTED_VALUE"""),46051.0)</f>
        <v>46051</v>
      </c>
      <c r="U2611" s="124" t="str">
        <f>IFERROR(__xludf.DUMMYFUNCTION("""COMPUTED_VALUE"""),"Paid Ads")</f>
        <v>Paid Ads</v>
      </c>
      <c r="V2611" s="124" t="str">
        <f>IFERROR(__xludf.DUMMYFUNCTION("""COMPUTED_VALUE"""),"facebook")</f>
        <v>facebook</v>
      </c>
      <c r="W2611" s="124" t="str">
        <f>IFERROR(__xludf.DUMMYFUNCTION("""COMPUTED_VALUE"""),"cpc")</f>
        <v>cpc</v>
      </c>
      <c r="X2611" s="124" t="str">
        <f>IFERROR(__xludf.DUMMYFUNCTION("""COMPUTED_VALUE"""),"Upsc_Offline_Delhi_Lead_Jan")</f>
        <v>Upsc_Offline_Delhi_Lead_Jan</v>
      </c>
      <c r="Y2611" s="124" t="str">
        <f>IFERROR(__xludf.DUMMYFUNCTION("""COMPUTED_VALUE"""),"Delhi")</f>
        <v>Delhi</v>
      </c>
      <c r="Z2611" s="124">
        <f>IFERROR(__xludf.DUMMYFUNCTION("""COMPUTED_VALUE"""),2.0)</f>
        <v>2</v>
      </c>
      <c r="AA2611" s="124" t="str">
        <f>IFERROR(__xludf.DUMMYFUNCTION("""COMPUTED_VALUE"""),"Not Interested")</f>
        <v>Not Interested</v>
      </c>
      <c r="AB2611" s="124"/>
    </row>
    <row r="2612">
      <c r="K2612" s="124"/>
      <c r="L2612" s="124"/>
      <c r="M2612" s="124"/>
      <c r="N2612" s="124"/>
      <c r="O2612" s="124"/>
      <c r="T2612" s="129">
        <f>IFERROR(__xludf.DUMMYFUNCTION("""COMPUTED_VALUE"""),46079.0)</f>
        <v>46079</v>
      </c>
      <c r="U2612" s="124" t="str">
        <f>IFERROR(__xludf.DUMMYFUNCTION("""COMPUTED_VALUE"""),"Walk-Ins")</f>
        <v>Walk-Ins</v>
      </c>
      <c r="V2612" s="124" t="str">
        <f>IFERROR(__xludf.DUMMYFUNCTION("""COMPUTED_VALUE"""),"Walkin")</f>
        <v>Walkin</v>
      </c>
      <c r="W2612" s="124" t="str">
        <f>IFERROR(__xludf.DUMMYFUNCTION("""COMPUTED_VALUE"""),"Patna")</f>
        <v>Patna</v>
      </c>
      <c r="X2612" s="124" t="str">
        <f>IFERROR(__xludf.DUMMYFUNCTION("""COMPUTED_VALUE"""),"Walkin")</f>
        <v>Walkin</v>
      </c>
      <c r="Y2612" s="124" t="str">
        <f>IFERROR(__xludf.DUMMYFUNCTION("""COMPUTED_VALUE"""),"Patna")</f>
        <v>Patna</v>
      </c>
      <c r="Z2612" s="124">
        <f>IFERROR(__xludf.DUMMYFUNCTION("""COMPUTED_VALUE"""),1.0)</f>
        <v>1</v>
      </c>
      <c r="AA2612" s="124" t="str">
        <f>IFERROR(__xludf.DUMMYFUNCTION("""COMPUTED_VALUE"""),"Warm")</f>
        <v>Warm</v>
      </c>
      <c r="AB2612" s="124" t="str">
        <f>IFERROR(__xludf.DUMMYFUNCTION("""COMPUTED_VALUE"""),"State PCS")</f>
        <v>State PCS</v>
      </c>
    </row>
    <row r="2613">
      <c r="K2613" s="124"/>
      <c r="L2613" s="124"/>
      <c r="M2613" s="124"/>
      <c r="N2613" s="124"/>
      <c r="O2613" s="124"/>
      <c r="T2613" s="126">
        <f>IFERROR(__xludf.DUMMYFUNCTION("""COMPUTED_VALUE"""),46100.0)</f>
        <v>46100</v>
      </c>
      <c r="U2613" s="124" t="str">
        <f>IFERROR(__xludf.DUMMYFUNCTION("""COMPUTED_VALUE"""),"Walk-Ins")</f>
        <v>Walk-Ins</v>
      </c>
      <c r="V2613" s="124" t="str">
        <f>IFERROR(__xludf.DUMMYFUNCTION("""COMPUTED_VALUE"""),"Walkin")</f>
        <v>Walkin</v>
      </c>
      <c r="W2613" s="124" t="str">
        <f>IFERROR(__xludf.DUMMYFUNCTION("""COMPUTED_VALUE"""),"Patna")</f>
        <v>Patna</v>
      </c>
      <c r="X2613" s="124" t="str">
        <f>IFERROR(__xludf.DUMMYFUNCTION("""COMPUTED_VALUE"""),"Walkin")</f>
        <v>Walkin</v>
      </c>
      <c r="Y2613" s="124" t="str">
        <f>IFERROR(__xludf.DUMMYFUNCTION("""COMPUTED_VALUE"""),"Patna")</f>
        <v>Patna</v>
      </c>
      <c r="Z2613" s="124">
        <f>IFERROR(__xludf.DUMMYFUNCTION("""COMPUTED_VALUE"""),2.0)</f>
        <v>2</v>
      </c>
      <c r="AA2613" s="124" t="str">
        <f>IFERROR(__xludf.DUMMYFUNCTION("""COMPUTED_VALUE"""),"Warm")</f>
        <v>Warm</v>
      </c>
      <c r="AB2613" s="124" t="str">
        <f>IFERROR(__xludf.DUMMYFUNCTION("""COMPUTED_VALUE"""),"Test Series")</f>
        <v>Test Series</v>
      </c>
    </row>
    <row r="2614">
      <c r="K2614" s="124"/>
      <c r="L2614" s="124"/>
      <c r="M2614" s="124"/>
      <c r="N2614" s="124"/>
      <c r="O2614" s="124"/>
      <c r="T2614" s="126">
        <f>IFERROR(__xludf.DUMMYFUNCTION("""COMPUTED_VALUE"""),46070.0)</f>
        <v>46070</v>
      </c>
      <c r="U2614" s="124" t="str">
        <f>IFERROR(__xludf.DUMMYFUNCTION("""COMPUTED_VALUE"""),"Walk-Ins")</f>
        <v>Walk-Ins</v>
      </c>
      <c r="V2614" s="124" t="str">
        <f>IFERROR(__xludf.DUMMYFUNCTION("""COMPUTED_VALUE"""),"Walkin")</f>
        <v>Walkin</v>
      </c>
      <c r="W2614" s="124" t="str">
        <f>IFERROR(__xludf.DUMMYFUNCTION("""COMPUTED_VALUE"""),"Patna")</f>
        <v>Patna</v>
      </c>
      <c r="X2614" s="124" t="str">
        <f>IFERROR(__xludf.DUMMYFUNCTION("""COMPUTED_VALUE"""),"Walkin")</f>
        <v>Walkin</v>
      </c>
      <c r="Y2614" s="124" t="str">
        <f>IFERROR(__xludf.DUMMYFUNCTION("""COMPUTED_VALUE"""),"Patna")</f>
        <v>Patna</v>
      </c>
      <c r="Z2614" s="124">
        <f>IFERROR(__xludf.DUMMYFUNCTION("""COMPUTED_VALUE"""),2.0)</f>
        <v>2</v>
      </c>
      <c r="AA2614" s="124" t="str">
        <f>IFERROR(__xludf.DUMMYFUNCTION("""COMPUTED_VALUE"""),"Fake Lead")</f>
        <v>Fake Lead</v>
      </c>
      <c r="AB2614" s="124" t="str">
        <f>IFERROR(__xludf.DUMMYFUNCTION("""COMPUTED_VALUE"""),"GS Foundation")</f>
        <v>GS Foundation</v>
      </c>
    </row>
    <row r="2615">
      <c r="K2615" s="124"/>
      <c r="L2615" s="124"/>
      <c r="M2615" s="124"/>
      <c r="N2615" s="124"/>
      <c r="O2615" s="124"/>
      <c r="T2615" s="129">
        <f>IFERROR(__xludf.DUMMYFUNCTION("""COMPUTED_VALUE"""),46107.0)</f>
        <v>46107</v>
      </c>
      <c r="U2615" s="124" t="str">
        <f>IFERROR(__xludf.DUMMYFUNCTION("""COMPUTED_VALUE"""),"Walk-Ins")</f>
        <v>Walk-Ins</v>
      </c>
      <c r="V2615" s="124" t="str">
        <f>IFERROR(__xludf.DUMMYFUNCTION("""COMPUTED_VALUE"""),"Walkin")</f>
        <v>Walkin</v>
      </c>
      <c r="W2615" s="124" t="str">
        <f>IFERROR(__xludf.DUMMYFUNCTION("""COMPUTED_VALUE"""),"Prayagraj")</f>
        <v>Prayagraj</v>
      </c>
      <c r="X2615" s="124" t="str">
        <f>IFERROR(__xludf.DUMMYFUNCTION("""COMPUTED_VALUE"""),"Walkin")</f>
        <v>Walkin</v>
      </c>
      <c r="Y2615" s="124" t="str">
        <f>IFERROR(__xludf.DUMMYFUNCTION("""COMPUTED_VALUE"""),"Prayagraj")</f>
        <v>Prayagraj</v>
      </c>
      <c r="Z2615" s="124">
        <f>IFERROR(__xludf.DUMMYFUNCTION("""COMPUTED_VALUE"""),2.0)</f>
        <v>2</v>
      </c>
      <c r="AA2615" s="124" t="str">
        <f>IFERROR(__xludf.DUMMYFUNCTION("""COMPUTED_VALUE"""),"Future Prospects")</f>
        <v>Future Prospects</v>
      </c>
      <c r="AB2615" s="124" t="str">
        <f>IFERROR(__xludf.DUMMYFUNCTION("""COMPUTED_VALUE"""),"State PCS")</f>
        <v>State PCS</v>
      </c>
    </row>
    <row r="2616">
      <c r="K2616" s="124"/>
      <c r="L2616" s="124"/>
      <c r="M2616" s="124"/>
      <c r="N2616" s="124"/>
      <c r="O2616" s="124"/>
      <c r="T2616" s="126">
        <f>IFERROR(__xludf.DUMMYFUNCTION("""COMPUTED_VALUE"""),46061.0)</f>
        <v>46061</v>
      </c>
      <c r="U2616" s="124" t="str">
        <f>IFERROR(__xludf.DUMMYFUNCTION("""COMPUTED_VALUE"""),"Walk-Ins")</f>
        <v>Walk-Ins</v>
      </c>
      <c r="V2616" s="124" t="str">
        <f>IFERROR(__xludf.DUMMYFUNCTION("""COMPUTED_VALUE"""),"Walkin")</f>
        <v>Walkin</v>
      </c>
      <c r="W2616" s="124" t="str">
        <f>IFERROR(__xludf.DUMMYFUNCTION("""COMPUTED_VALUE"""),"Patna")</f>
        <v>Patna</v>
      </c>
      <c r="X2616" s="124" t="str">
        <f>IFERROR(__xludf.DUMMYFUNCTION("""COMPUTED_VALUE"""),"Walkin")</f>
        <v>Walkin</v>
      </c>
      <c r="Y2616" s="124" t="str">
        <f>IFERROR(__xludf.DUMMYFUNCTION("""COMPUTED_VALUE"""),"Patna")</f>
        <v>Patna</v>
      </c>
      <c r="Z2616" s="124">
        <f>IFERROR(__xludf.DUMMYFUNCTION("""COMPUTED_VALUE"""),1.0)</f>
        <v>1</v>
      </c>
      <c r="AA2616" s="124" t="str">
        <f>IFERROR(__xludf.DUMMYFUNCTION("""COMPUTED_VALUE"""),"Not Interested")</f>
        <v>Not Interested</v>
      </c>
      <c r="AB2616" s="124" t="str">
        <f>IFERROR(__xludf.DUMMYFUNCTION("""COMPUTED_VALUE"""),"GS Foundation")</f>
        <v>GS Foundation</v>
      </c>
    </row>
    <row r="2617">
      <c r="K2617" s="124"/>
      <c r="L2617" s="124"/>
      <c r="M2617" s="124"/>
      <c r="N2617" s="124"/>
      <c r="O2617" s="124"/>
      <c r="T2617" s="129">
        <f>IFERROR(__xludf.DUMMYFUNCTION("""COMPUTED_VALUE"""),46063.0)</f>
        <v>46063</v>
      </c>
      <c r="U2617" s="124" t="str">
        <f>IFERROR(__xludf.DUMMYFUNCTION("""COMPUTED_VALUE"""),"Walk-Ins")</f>
        <v>Walk-Ins</v>
      </c>
      <c r="V2617" s="124" t="str">
        <f>IFERROR(__xludf.DUMMYFUNCTION("""COMPUTED_VALUE"""),"Walkin")</f>
        <v>Walkin</v>
      </c>
      <c r="W2617" s="124" t="str">
        <f>IFERROR(__xludf.DUMMYFUNCTION("""COMPUTED_VALUE"""),"Indore")</f>
        <v>Indore</v>
      </c>
      <c r="X2617" s="124" t="str">
        <f>IFERROR(__xludf.DUMMYFUNCTION("""COMPUTED_VALUE"""),"Walkin")</f>
        <v>Walkin</v>
      </c>
      <c r="Y2617" s="124" t="str">
        <f>IFERROR(__xludf.DUMMYFUNCTION("""COMPUTED_VALUE"""),"Indore")</f>
        <v>Indore</v>
      </c>
      <c r="Z2617" s="124">
        <f>IFERROR(__xludf.DUMMYFUNCTION("""COMPUTED_VALUE"""),2.0)</f>
        <v>2</v>
      </c>
      <c r="AA2617" s="124" t="str">
        <f>IFERROR(__xludf.DUMMYFUNCTION("""COMPUTED_VALUE"""),"Not Interested")</f>
        <v>Not Interested</v>
      </c>
      <c r="AB2617" s="124" t="str">
        <f>IFERROR(__xludf.DUMMYFUNCTION("""COMPUTED_VALUE"""),"Other")</f>
        <v>Other</v>
      </c>
    </row>
    <row r="2618">
      <c r="K2618" s="124"/>
      <c r="L2618" s="124"/>
      <c r="M2618" s="124"/>
      <c r="N2618" s="124"/>
      <c r="O2618" s="124"/>
      <c r="T2618" s="126">
        <f>IFERROR(__xludf.DUMMYFUNCTION("""COMPUTED_VALUE"""),46074.0)</f>
        <v>46074</v>
      </c>
      <c r="U2618" s="124" t="str">
        <f>IFERROR(__xludf.DUMMYFUNCTION("""COMPUTED_VALUE"""),"Walk-Ins")</f>
        <v>Walk-Ins</v>
      </c>
      <c r="V2618" s="124" t="str">
        <f>IFERROR(__xludf.DUMMYFUNCTION("""COMPUTED_VALUE"""),"Walkin")</f>
        <v>Walkin</v>
      </c>
      <c r="W2618" s="124" t="str">
        <f>IFERROR(__xludf.DUMMYFUNCTION("""COMPUTED_VALUE"""),"Indore")</f>
        <v>Indore</v>
      </c>
      <c r="X2618" s="124" t="str">
        <f>IFERROR(__xludf.DUMMYFUNCTION("""COMPUTED_VALUE"""),"Walkin")</f>
        <v>Walkin</v>
      </c>
      <c r="Y2618" s="124" t="str">
        <f>IFERROR(__xludf.DUMMYFUNCTION("""COMPUTED_VALUE"""),"Indore")</f>
        <v>Indore</v>
      </c>
      <c r="Z2618" s="124">
        <f>IFERROR(__xludf.DUMMYFUNCTION("""COMPUTED_VALUE"""),1.0)</f>
        <v>1</v>
      </c>
      <c r="AA2618" s="124" t="str">
        <f>IFERROR(__xludf.DUMMYFUNCTION("""COMPUTED_VALUE"""),"Cold")</f>
        <v>Cold</v>
      </c>
      <c r="AB2618" s="124" t="str">
        <f>IFERROR(__xludf.DUMMYFUNCTION("""COMPUTED_VALUE"""),"Test Series")</f>
        <v>Test Series</v>
      </c>
    </row>
    <row r="2619">
      <c r="K2619" s="124"/>
      <c r="L2619" s="124"/>
      <c r="M2619" s="124"/>
      <c r="N2619" s="124"/>
      <c r="O2619" s="124"/>
      <c r="T2619" s="126">
        <f>IFERROR(__xludf.DUMMYFUNCTION("""COMPUTED_VALUE"""),46112.0)</f>
        <v>46112</v>
      </c>
      <c r="U2619" s="124" t="str">
        <f>IFERROR(__xludf.DUMMYFUNCTION("""COMPUTED_VALUE"""),"Walk-Ins")</f>
        <v>Walk-Ins</v>
      </c>
      <c r="V2619" s="124" t="str">
        <f>IFERROR(__xludf.DUMMYFUNCTION("""COMPUTED_VALUE"""),"Walkin")</f>
        <v>Walkin</v>
      </c>
      <c r="W2619" s="124" t="str">
        <f>IFERROR(__xludf.DUMMYFUNCTION("""COMPUTED_VALUE"""),"Indore")</f>
        <v>Indore</v>
      </c>
      <c r="X2619" s="124" t="str">
        <f>IFERROR(__xludf.DUMMYFUNCTION("""COMPUTED_VALUE"""),"Walkin")</f>
        <v>Walkin</v>
      </c>
      <c r="Y2619" s="124" t="str">
        <f>IFERROR(__xludf.DUMMYFUNCTION("""COMPUTED_VALUE"""),"Indore")</f>
        <v>Indore</v>
      </c>
      <c r="Z2619" s="124">
        <f>IFERROR(__xludf.DUMMYFUNCTION("""COMPUTED_VALUE"""),1.0)</f>
        <v>1</v>
      </c>
      <c r="AA2619" s="124" t="str">
        <f>IFERROR(__xludf.DUMMYFUNCTION("""COMPUTED_VALUE"""),"Interested")</f>
        <v>Interested</v>
      </c>
      <c r="AB2619" s="124" t="str">
        <f>IFERROR(__xludf.DUMMYFUNCTION("""COMPUTED_VALUE"""),"State PCS")</f>
        <v>State PCS</v>
      </c>
    </row>
    <row r="2620">
      <c r="K2620" s="124"/>
      <c r="L2620" s="124"/>
      <c r="M2620" s="124"/>
      <c r="N2620" s="124"/>
      <c r="O2620" s="124"/>
      <c r="T2620" s="126">
        <f>IFERROR(__xludf.DUMMYFUNCTION("""COMPUTED_VALUE"""),46103.0)</f>
        <v>46103</v>
      </c>
      <c r="U2620" s="124" t="str">
        <f>IFERROR(__xludf.DUMMYFUNCTION("""COMPUTED_VALUE"""),"Walk-Ins")</f>
        <v>Walk-Ins</v>
      </c>
      <c r="V2620" s="124" t="str">
        <f>IFERROR(__xludf.DUMMYFUNCTION("""COMPUTED_VALUE"""),"Walkin")</f>
        <v>Walkin</v>
      </c>
      <c r="W2620" s="124" t="str">
        <f>IFERROR(__xludf.DUMMYFUNCTION("""COMPUTED_VALUE"""),"Patna")</f>
        <v>Patna</v>
      </c>
      <c r="X2620" s="124" t="str">
        <f>IFERROR(__xludf.DUMMYFUNCTION("""COMPUTED_VALUE"""),"Walkin")</f>
        <v>Walkin</v>
      </c>
      <c r="Y2620" s="124" t="str">
        <f>IFERROR(__xludf.DUMMYFUNCTION("""COMPUTED_VALUE"""),"Patna")</f>
        <v>Patna</v>
      </c>
      <c r="Z2620" s="124">
        <f>IFERROR(__xludf.DUMMYFUNCTION("""COMPUTED_VALUE"""),1.0)</f>
        <v>1</v>
      </c>
      <c r="AA2620" s="124" t="str">
        <f>IFERROR(__xludf.DUMMYFUNCTION("""COMPUTED_VALUE"""),"Cold")</f>
        <v>Cold</v>
      </c>
      <c r="AB2620" s="124" t="str">
        <f>IFERROR(__xludf.DUMMYFUNCTION("""COMPUTED_VALUE"""),"State PCS")</f>
        <v>State PCS</v>
      </c>
    </row>
    <row r="2621">
      <c r="K2621" s="124"/>
      <c r="L2621" s="124"/>
      <c r="M2621" s="124"/>
      <c r="N2621" s="124"/>
      <c r="O2621" s="124"/>
      <c r="T2621" s="129">
        <f>IFERROR(__xludf.DUMMYFUNCTION("""COMPUTED_VALUE"""),46090.0)</f>
        <v>46090</v>
      </c>
      <c r="U2621" s="124" t="str">
        <f>IFERROR(__xludf.DUMMYFUNCTION("""COMPUTED_VALUE"""),"Walk-Ins")</f>
        <v>Walk-Ins</v>
      </c>
      <c r="V2621" s="124" t="str">
        <f>IFERROR(__xludf.DUMMYFUNCTION("""COMPUTED_VALUE"""),"Walk-In")</f>
        <v>Walk-In</v>
      </c>
      <c r="W2621" s="124" t="str">
        <f>IFERROR(__xludf.DUMMYFUNCTION("""COMPUTED_VALUE"""),"Prayagraj")</f>
        <v>Prayagraj</v>
      </c>
      <c r="X2621" s="124" t="str">
        <f>IFERROR(__xludf.DUMMYFUNCTION("""COMPUTED_VALUE"""),"Abhishek Mishra")</f>
        <v>Abhishek Mishra</v>
      </c>
      <c r="Y2621" s="124"/>
      <c r="Z2621" s="124">
        <f>IFERROR(__xludf.DUMMYFUNCTION("""COMPUTED_VALUE"""),1.0)</f>
        <v>1</v>
      </c>
      <c r="AA2621" s="124" t="str">
        <f>IFERROR(__xludf.DUMMYFUNCTION("""COMPUTED_VALUE"""),"Cold")</f>
        <v>Cold</v>
      </c>
      <c r="AB2621" s="124" t="str">
        <f>IFERROR(__xludf.DUMMYFUNCTION("""COMPUTED_VALUE"""),"GS Foundation")</f>
        <v>GS Foundation</v>
      </c>
    </row>
    <row r="2622">
      <c r="K2622" s="124"/>
      <c r="L2622" s="124"/>
      <c r="M2622" s="124"/>
      <c r="N2622" s="124"/>
      <c r="O2622" s="124"/>
      <c r="T2622" s="126">
        <f>IFERROR(__xludf.DUMMYFUNCTION("""COMPUTED_VALUE"""),46072.0)</f>
        <v>46072</v>
      </c>
      <c r="U2622" s="124" t="str">
        <f>IFERROR(__xludf.DUMMYFUNCTION("""COMPUTED_VALUE"""),"Walk-Ins")</f>
        <v>Walk-Ins</v>
      </c>
      <c r="V2622" s="124" t="str">
        <f>IFERROR(__xludf.DUMMYFUNCTION("""COMPUTED_VALUE"""),"Walkin")</f>
        <v>Walkin</v>
      </c>
      <c r="W2622" s="124" t="str">
        <f>IFERROR(__xludf.DUMMYFUNCTION("""COMPUTED_VALUE"""),"Patna")</f>
        <v>Patna</v>
      </c>
      <c r="X2622" s="124" t="str">
        <f>IFERROR(__xludf.DUMMYFUNCTION("""COMPUTED_VALUE"""),"Walkin")</f>
        <v>Walkin</v>
      </c>
      <c r="Y2622" s="124" t="str">
        <f>IFERROR(__xludf.DUMMYFUNCTION("""COMPUTED_VALUE"""),"Patna")</f>
        <v>Patna</v>
      </c>
      <c r="Z2622" s="124">
        <f>IFERROR(__xludf.DUMMYFUNCTION("""COMPUTED_VALUE"""),1.0)</f>
        <v>1</v>
      </c>
      <c r="AA2622" s="124" t="str">
        <f>IFERROR(__xludf.DUMMYFUNCTION("""COMPUTED_VALUE"""),"Fake Lead")</f>
        <v>Fake Lead</v>
      </c>
      <c r="AB2622" s="124" t="str">
        <f>IFERROR(__xludf.DUMMYFUNCTION("""COMPUTED_VALUE"""),"GS Foundation")</f>
        <v>GS Foundation</v>
      </c>
    </row>
    <row r="2623">
      <c r="K2623" s="124"/>
      <c r="L2623" s="124"/>
      <c r="M2623" s="124"/>
      <c r="N2623" s="124"/>
      <c r="O2623" s="124"/>
      <c r="T2623" s="126">
        <f>IFERROR(__xludf.DUMMYFUNCTION("""COMPUTED_VALUE"""),46062.0)</f>
        <v>46062</v>
      </c>
      <c r="U2623" s="124" t="str">
        <f>IFERROR(__xludf.DUMMYFUNCTION("""COMPUTED_VALUE"""),"Walk-Ins")</f>
        <v>Walk-Ins</v>
      </c>
      <c r="V2623" s="124" t="str">
        <f>IFERROR(__xludf.DUMMYFUNCTION("""COMPUTED_VALUE"""),"Walkin")</f>
        <v>Walkin</v>
      </c>
      <c r="W2623" s="124" t="str">
        <f>IFERROR(__xludf.DUMMYFUNCTION("""COMPUTED_VALUE"""),"Lucknow")</f>
        <v>Lucknow</v>
      </c>
      <c r="X2623" s="124" t="str">
        <f>IFERROR(__xludf.DUMMYFUNCTION("""COMPUTED_VALUE"""),"Walkin")</f>
        <v>Walkin</v>
      </c>
      <c r="Y2623" s="124" t="str">
        <f>IFERROR(__xludf.DUMMYFUNCTION("""COMPUTED_VALUE"""),"Lucknow")</f>
        <v>Lucknow</v>
      </c>
      <c r="Z2623" s="124">
        <f>IFERROR(__xludf.DUMMYFUNCTION("""COMPUTED_VALUE"""),1.0)</f>
        <v>1</v>
      </c>
      <c r="AA2623" s="124" t="str">
        <f>IFERROR(__xludf.DUMMYFUNCTION("""COMPUTED_VALUE"""),"Cold")</f>
        <v>Cold</v>
      </c>
      <c r="AB2623" s="124" t="str">
        <f>IFERROR(__xludf.DUMMYFUNCTION("""COMPUTED_VALUE"""),"SIP Offline")</f>
        <v>SIP Offline</v>
      </c>
    </row>
    <row r="2624">
      <c r="K2624" s="124"/>
      <c r="L2624" s="124"/>
      <c r="M2624" s="124"/>
      <c r="N2624" s="124"/>
      <c r="O2624" s="124"/>
      <c r="T2624" s="126">
        <f>IFERROR(__xludf.DUMMYFUNCTION("""COMPUTED_VALUE"""),46072.0)</f>
        <v>46072</v>
      </c>
      <c r="U2624" s="124" t="str">
        <f>IFERROR(__xludf.DUMMYFUNCTION("""COMPUTED_VALUE"""),"Walk-Ins")</f>
        <v>Walk-Ins</v>
      </c>
      <c r="V2624" s="124" t="str">
        <f>IFERROR(__xludf.DUMMYFUNCTION("""COMPUTED_VALUE"""),"Walkin")</f>
        <v>Walkin</v>
      </c>
      <c r="W2624" s="124" t="str">
        <f>IFERROR(__xludf.DUMMYFUNCTION("""COMPUTED_VALUE"""),"Indore")</f>
        <v>Indore</v>
      </c>
      <c r="X2624" s="124" t="str">
        <f>IFERROR(__xludf.DUMMYFUNCTION("""COMPUTED_VALUE"""),"Walkin")</f>
        <v>Walkin</v>
      </c>
      <c r="Y2624" s="124" t="str">
        <f>IFERROR(__xludf.DUMMYFUNCTION("""COMPUTED_VALUE"""),"Indore")</f>
        <v>Indore</v>
      </c>
      <c r="Z2624" s="124">
        <f>IFERROR(__xludf.DUMMYFUNCTION("""COMPUTED_VALUE"""),2.0)</f>
        <v>2</v>
      </c>
      <c r="AA2624" s="124" t="str">
        <f>IFERROR(__xludf.DUMMYFUNCTION("""COMPUTED_VALUE"""),"Future Prospects")</f>
        <v>Future Prospects</v>
      </c>
      <c r="AB2624" s="124" t="str">
        <f>IFERROR(__xludf.DUMMYFUNCTION("""COMPUTED_VALUE"""),"GS Foundation")</f>
        <v>GS Foundation</v>
      </c>
    </row>
    <row r="2625">
      <c r="K2625" s="124"/>
      <c r="L2625" s="124"/>
      <c r="M2625" s="124"/>
      <c r="N2625" s="124"/>
      <c r="O2625" s="124"/>
      <c r="T2625" s="126">
        <f>IFERROR(__xludf.DUMMYFUNCTION("""COMPUTED_VALUE"""),46087.0)</f>
        <v>46087</v>
      </c>
      <c r="U2625" s="124" t="str">
        <f>IFERROR(__xludf.DUMMYFUNCTION("""COMPUTED_VALUE"""),"Walk-Ins")</f>
        <v>Walk-Ins</v>
      </c>
      <c r="V2625" s="124" t="str">
        <f>IFERROR(__xludf.DUMMYFUNCTION("""COMPUTED_VALUE"""),"Walkin")</f>
        <v>Walkin</v>
      </c>
      <c r="W2625" s="124" t="str">
        <f>IFERROR(__xludf.DUMMYFUNCTION("""COMPUTED_VALUE"""),"Indore")</f>
        <v>Indore</v>
      </c>
      <c r="X2625" s="124" t="str">
        <f>IFERROR(__xludf.DUMMYFUNCTION("""COMPUTED_VALUE"""),"Walkin")</f>
        <v>Walkin</v>
      </c>
      <c r="Y2625" s="124" t="str">
        <f>IFERROR(__xludf.DUMMYFUNCTION("""COMPUTED_VALUE"""),"Indore")</f>
        <v>Indore</v>
      </c>
      <c r="Z2625" s="124">
        <f>IFERROR(__xludf.DUMMYFUNCTION("""COMPUTED_VALUE"""),1.0)</f>
        <v>1</v>
      </c>
      <c r="AA2625" s="124" t="str">
        <f>IFERROR(__xludf.DUMMYFUNCTION("""COMPUTED_VALUE"""),"Cold")</f>
        <v>Cold</v>
      </c>
      <c r="AB2625" s="124" t="str">
        <f>IFERROR(__xludf.DUMMYFUNCTION("""COMPUTED_VALUE"""),"Test Series")</f>
        <v>Test Series</v>
      </c>
    </row>
    <row r="2626">
      <c r="K2626" s="124"/>
      <c r="L2626" s="124"/>
      <c r="M2626" s="124"/>
      <c r="N2626" s="124"/>
      <c r="O2626" s="124"/>
      <c r="T2626" s="126">
        <f>IFERROR(__xludf.DUMMYFUNCTION("""COMPUTED_VALUE"""),46057.0)</f>
        <v>46057</v>
      </c>
      <c r="U2626" s="124" t="str">
        <f>IFERROR(__xludf.DUMMYFUNCTION("""COMPUTED_VALUE"""),"Walk-Ins")</f>
        <v>Walk-Ins</v>
      </c>
      <c r="V2626" s="124" t="str">
        <f>IFERROR(__xludf.DUMMYFUNCTION("""COMPUTED_VALUE"""),"Walk-In")</f>
        <v>Walk-In</v>
      </c>
      <c r="W2626" s="124" t="str">
        <f>IFERROR(__xludf.DUMMYFUNCTION("""COMPUTED_VALUE"""),"Patna")</f>
        <v>Patna</v>
      </c>
      <c r="X2626" s="124" t="str">
        <f>IFERROR(__xludf.DUMMYFUNCTION("""COMPUTED_VALUE"""),"Others")</f>
        <v>Others</v>
      </c>
      <c r="Y2626" s="124"/>
      <c r="Z2626" s="124">
        <f>IFERROR(__xludf.DUMMYFUNCTION("""COMPUTED_VALUE"""),1.0)</f>
        <v>1</v>
      </c>
      <c r="AA2626" s="124" t="str">
        <f>IFERROR(__xludf.DUMMYFUNCTION("""COMPUTED_VALUE"""),"Fake Lead")</f>
        <v>Fake Lead</v>
      </c>
      <c r="AB2626" s="124" t="str">
        <f>IFERROR(__xludf.DUMMYFUNCTION("""COMPUTED_VALUE"""),"GS Foundation")</f>
        <v>GS Foundation</v>
      </c>
    </row>
    <row r="2627">
      <c r="K2627" s="124"/>
      <c r="L2627" s="124"/>
      <c r="M2627" s="124"/>
      <c r="N2627" s="124"/>
      <c r="O2627" s="124"/>
      <c r="T2627" s="129">
        <f>IFERROR(__xludf.DUMMYFUNCTION("""COMPUTED_VALUE"""),46058.0)</f>
        <v>46058</v>
      </c>
      <c r="U2627" s="124" t="str">
        <f>IFERROR(__xludf.DUMMYFUNCTION("""COMPUTED_VALUE"""),"Walk-Ins")</f>
        <v>Walk-Ins</v>
      </c>
      <c r="V2627" s="124" t="str">
        <f>IFERROR(__xludf.DUMMYFUNCTION("""COMPUTED_VALUE"""),"Walk-In")</f>
        <v>Walk-In</v>
      </c>
      <c r="W2627" s="124" t="str">
        <f>IFERROR(__xludf.DUMMYFUNCTION("""COMPUTED_VALUE"""),"Patna")</f>
        <v>Patna</v>
      </c>
      <c r="X2627" s="124" t="str">
        <f>IFERROR(__xludf.DUMMYFUNCTION("""COMPUTED_VALUE"""),"Others")</f>
        <v>Others</v>
      </c>
      <c r="Y2627" s="124" t="str">
        <f>IFERROR(__xludf.DUMMYFUNCTION("""COMPUTED_VALUE"""),"Patna")</f>
        <v>Patna</v>
      </c>
      <c r="Z2627" s="124">
        <f>IFERROR(__xludf.DUMMYFUNCTION("""COMPUTED_VALUE"""),1.0)</f>
        <v>1</v>
      </c>
      <c r="AA2627" s="124" t="str">
        <f>IFERROR(__xludf.DUMMYFUNCTION("""COMPUTED_VALUE"""),"Fake Lead")</f>
        <v>Fake Lead</v>
      </c>
      <c r="AB2627" s="124" t="str">
        <f>IFERROR(__xludf.DUMMYFUNCTION("""COMPUTED_VALUE"""),"State PCS")</f>
        <v>State PCS</v>
      </c>
    </row>
    <row r="2628">
      <c r="K2628" s="124"/>
      <c r="L2628" s="124"/>
      <c r="M2628" s="124"/>
      <c r="N2628" s="124"/>
      <c r="O2628" s="124"/>
      <c r="T2628" s="126">
        <f>IFERROR(__xludf.DUMMYFUNCTION("""COMPUTED_VALUE"""),46103.0)</f>
        <v>46103</v>
      </c>
      <c r="U2628" s="124" t="str">
        <f>IFERROR(__xludf.DUMMYFUNCTION("""COMPUTED_VALUE"""),"Walk-Ins")</f>
        <v>Walk-Ins</v>
      </c>
      <c r="V2628" s="124" t="str">
        <f>IFERROR(__xludf.DUMMYFUNCTION("""COMPUTED_VALUE"""),"Walkin")</f>
        <v>Walkin</v>
      </c>
      <c r="W2628" s="124" t="str">
        <f>IFERROR(__xludf.DUMMYFUNCTION("""COMPUTED_VALUE"""),"Indore")</f>
        <v>Indore</v>
      </c>
      <c r="X2628" s="124" t="str">
        <f>IFERROR(__xludf.DUMMYFUNCTION("""COMPUTED_VALUE"""),"Walkin")</f>
        <v>Walkin</v>
      </c>
      <c r="Y2628" s="124" t="str">
        <f>IFERROR(__xludf.DUMMYFUNCTION("""COMPUTED_VALUE"""),"Indore")</f>
        <v>Indore</v>
      </c>
      <c r="Z2628" s="124">
        <f>IFERROR(__xludf.DUMMYFUNCTION("""COMPUTED_VALUE"""),2.0)</f>
        <v>2</v>
      </c>
      <c r="AA2628" s="124" t="str">
        <f>IFERROR(__xludf.DUMMYFUNCTION("""COMPUTED_VALUE"""),"Future Prospects")</f>
        <v>Future Prospects</v>
      </c>
      <c r="AB2628" s="124" t="str">
        <f>IFERROR(__xludf.DUMMYFUNCTION("""COMPUTED_VALUE"""),"State PCS")</f>
        <v>State PCS</v>
      </c>
    </row>
    <row r="2629">
      <c r="K2629" s="124"/>
      <c r="L2629" s="124"/>
      <c r="M2629" s="124"/>
      <c r="N2629" s="124"/>
      <c r="O2629" s="124"/>
      <c r="T2629" s="129">
        <f>IFERROR(__xludf.DUMMYFUNCTION("""COMPUTED_VALUE"""),46101.0)</f>
        <v>46101</v>
      </c>
      <c r="U2629" s="124" t="str">
        <f>IFERROR(__xludf.DUMMYFUNCTION("""COMPUTED_VALUE"""),"Walk-Ins")</f>
        <v>Walk-Ins</v>
      </c>
      <c r="V2629" s="124" t="str">
        <f>IFERROR(__xludf.DUMMYFUNCTION("""COMPUTED_VALUE"""),"Walkin")</f>
        <v>Walkin</v>
      </c>
      <c r="W2629" s="124" t="str">
        <f>IFERROR(__xludf.DUMMYFUNCTION("""COMPUTED_VALUE"""),"Lucknow")</f>
        <v>Lucknow</v>
      </c>
      <c r="X2629" s="124" t="str">
        <f>IFERROR(__xludf.DUMMYFUNCTION("""COMPUTED_VALUE"""),"Walkin")</f>
        <v>Walkin</v>
      </c>
      <c r="Y2629" s="124" t="str">
        <f>IFERROR(__xludf.DUMMYFUNCTION("""COMPUTED_VALUE"""),"Lucknow")</f>
        <v>Lucknow</v>
      </c>
      <c r="Z2629" s="124">
        <f>IFERROR(__xludf.DUMMYFUNCTION("""COMPUTED_VALUE"""),1.0)</f>
        <v>1</v>
      </c>
      <c r="AA2629" s="124" t="str">
        <f>IFERROR(__xludf.DUMMYFUNCTION("""COMPUTED_VALUE"""),"Enrolled")</f>
        <v>Enrolled</v>
      </c>
      <c r="AB2629" s="124" t="str">
        <f>IFERROR(__xludf.DUMMYFUNCTION("""COMPUTED_VALUE"""),"State PCS")</f>
        <v>State PCS</v>
      </c>
    </row>
    <row r="2630">
      <c r="K2630" s="124"/>
      <c r="L2630" s="124"/>
      <c r="M2630" s="124"/>
      <c r="N2630" s="124"/>
      <c r="O2630" s="124"/>
      <c r="T2630" s="126">
        <f>IFERROR(__xludf.DUMMYFUNCTION("""COMPUTED_VALUE"""),46107.0)</f>
        <v>46107</v>
      </c>
      <c r="U2630" s="124" t="str">
        <f>IFERROR(__xludf.DUMMYFUNCTION("""COMPUTED_VALUE"""),"Walk-Ins")</f>
        <v>Walk-Ins</v>
      </c>
      <c r="V2630" s="124" t="str">
        <f>IFERROR(__xludf.DUMMYFUNCTION("""COMPUTED_VALUE"""),"Walkin")</f>
        <v>Walkin</v>
      </c>
      <c r="W2630" s="124" t="str">
        <f>IFERROR(__xludf.DUMMYFUNCTION("""COMPUTED_VALUE"""),"Patna")</f>
        <v>Patna</v>
      </c>
      <c r="X2630" s="124" t="str">
        <f>IFERROR(__xludf.DUMMYFUNCTION("""COMPUTED_VALUE"""),"Walkin")</f>
        <v>Walkin</v>
      </c>
      <c r="Y2630" s="124" t="str">
        <f>IFERROR(__xludf.DUMMYFUNCTION("""COMPUTED_VALUE"""),"Patna")</f>
        <v>Patna</v>
      </c>
      <c r="Z2630" s="124">
        <f>IFERROR(__xludf.DUMMYFUNCTION("""COMPUTED_VALUE"""),1.0)</f>
        <v>1</v>
      </c>
      <c r="AA2630" s="124" t="str">
        <f>IFERROR(__xludf.DUMMYFUNCTION("""COMPUTED_VALUE"""),"Future Prospects")</f>
        <v>Future Prospects</v>
      </c>
      <c r="AB2630" s="124" t="str">
        <f>IFERROR(__xludf.DUMMYFUNCTION("""COMPUTED_VALUE"""),"GS Foundation")</f>
        <v>GS Foundation</v>
      </c>
    </row>
    <row r="2631">
      <c r="K2631" s="124"/>
      <c r="L2631" s="124"/>
      <c r="M2631" s="124"/>
      <c r="N2631" s="124"/>
      <c r="O2631" s="124"/>
      <c r="T2631" s="126">
        <f>IFERROR(__xludf.DUMMYFUNCTION("""COMPUTED_VALUE"""),46105.0)</f>
        <v>46105</v>
      </c>
      <c r="U2631" s="124" t="str">
        <f>IFERROR(__xludf.DUMMYFUNCTION("""COMPUTED_VALUE"""),"Walk-Ins")</f>
        <v>Walk-Ins</v>
      </c>
      <c r="V2631" s="124" t="str">
        <f>IFERROR(__xludf.DUMMYFUNCTION("""COMPUTED_VALUE"""),"Walkin")</f>
        <v>Walkin</v>
      </c>
      <c r="W2631" s="124" t="str">
        <f>IFERROR(__xludf.DUMMYFUNCTION("""COMPUTED_VALUE"""),"Patna")</f>
        <v>Patna</v>
      </c>
      <c r="X2631" s="124" t="str">
        <f>IFERROR(__xludf.DUMMYFUNCTION("""COMPUTED_VALUE"""),"Walkin")</f>
        <v>Walkin</v>
      </c>
      <c r="Y2631" s="124" t="str">
        <f>IFERROR(__xludf.DUMMYFUNCTION("""COMPUTED_VALUE"""),"Patna")</f>
        <v>Patna</v>
      </c>
      <c r="Z2631" s="124">
        <f>IFERROR(__xludf.DUMMYFUNCTION("""COMPUTED_VALUE"""),2.0)</f>
        <v>2</v>
      </c>
      <c r="AA2631" s="124" t="str">
        <f>IFERROR(__xludf.DUMMYFUNCTION("""COMPUTED_VALUE"""),"Warm")</f>
        <v>Warm</v>
      </c>
      <c r="AB2631" s="124" t="str">
        <f>IFERROR(__xludf.DUMMYFUNCTION("""COMPUTED_VALUE"""),"State PCS")</f>
        <v>State PCS</v>
      </c>
    </row>
    <row r="2632">
      <c r="K2632" s="124"/>
      <c r="L2632" s="124"/>
      <c r="M2632" s="124"/>
      <c r="N2632" s="124"/>
      <c r="O2632" s="124"/>
      <c r="T2632" s="126">
        <f>IFERROR(__xludf.DUMMYFUNCTION("""COMPUTED_VALUE"""),46104.0)</f>
        <v>46104</v>
      </c>
      <c r="U2632" s="124" t="str">
        <f>IFERROR(__xludf.DUMMYFUNCTION("""COMPUTED_VALUE"""),"Walk-Ins")</f>
        <v>Walk-Ins</v>
      </c>
      <c r="V2632" s="124" t="str">
        <f>IFERROR(__xludf.DUMMYFUNCTION("""COMPUTED_VALUE"""),"Walkin")</f>
        <v>Walkin</v>
      </c>
      <c r="W2632" s="124" t="str">
        <f>IFERROR(__xludf.DUMMYFUNCTION("""COMPUTED_VALUE"""),"Prayagraj")</f>
        <v>Prayagraj</v>
      </c>
      <c r="X2632" s="124" t="str">
        <f>IFERROR(__xludf.DUMMYFUNCTION("""COMPUTED_VALUE"""),"Walkin")</f>
        <v>Walkin</v>
      </c>
      <c r="Y2632" s="124" t="str">
        <f>IFERROR(__xludf.DUMMYFUNCTION("""COMPUTED_VALUE"""),"Prayagraj")</f>
        <v>Prayagraj</v>
      </c>
      <c r="Z2632" s="124">
        <f>IFERROR(__xludf.DUMMYFUNCTION("""COMPUTED_VALUE"""),1.0)</f>
        <v>1</v>
      </c>
      <c r="AA2632" s="124" t="str">
        <f>IFERROR(__xludf.DUMMYFUNCTION("""COMPUTED_VALUE"""),"Interested")</f>
        <v>Interested</v>
      </c>
      <c r="AB2632" s="124" t="str">
        <f>IFERROR(__xludf.DUMMYFUNCTION("""COMPUTED_VALUE"""),"GS Foundation")</f>
        <v>GS Foundation</v>
      </c>
    </row>
    <row r="2633">
      <c r="K2633" s="124"/>
      <c r="L2633" s="124"/>
      <c r="M2633" s="124"/>
      <c r="N2633" s="124"/>
      <c r="O2633" s="124"/>
      <c r="T2633" s="126">
        <f>IFERROR(__xludf.DUMMYFUNCTION("""COMPUTED_VALUE"""),46064.0)</f>
        <v>46064</v>
      </c>
      <c r="U2633" s="124" t="str">
        <f>IFERROR(__xludf.DUMMYFUNCTION("""COMPUTED_VALUE"""),"Walk-Ins")</f>
        <v>Walk-Ins</v>
      </c>
      <c r="V2633" s="124" t="str">
        <f>IFERROR(__xludf.DUMMYFUNCTION("""COMPUTED_VALUE"""),"Walkin")</f>
        <v>Walkin</v>
      </c>
      <c r="W2633" s="124" t="str">
        <f>IFERROR(__xludf.DUMMYFUNCTION("""COMPUTED_VALUE"""),"Patna")</f>
        <v>Patna</v>
      </c>
      <c r="X2633" s="124" t="str">
        <f>IFERROR(__xludf.DUMMYFUNCTION("""COMPUTED_VALUE"""),"Walkin")</f>
        <v>Walkin</v>
      </c>
      <c r="Y2633" s="124" t="str">
        <f>IFERROR(__xludf.DUMMYFUNCTION("""COMPUTED_VALUE"""),"Patna")</f>
        <v>Patna</v>
      </c>
      <c r="Z2633" s="124">
        <f>IFERROR(__xludf.DUMMYFUNCTION("""COMPUTED_VALUE"""),1.0)</f>
        <v>1</v>
      </c>
      <c r="AA2633" s="124" t="str">
        <f>IFERROR(__xludf.DUMMYFUNCTION("""COMPUTED_VALUE"""),"Not Interested")</f>
        <v>Not Interested</v>
      </c>
      <c r="AB2633" s="124" t="str">
        <f>IFERROR(__xludf.DUMMYFUNCTION("""COMPUTED_VALUE"""),"State PCS")</f>
        <v>State PCS</v>
      </c>
    </row>
    <row r="2634">
      <c r="K2634" s="124"/>
      <c r="L2634" s="124"/>
      <c r="M2634" s="124"/>
      <c r="N2634" s="124"/>
      <c r="O2634" s="124"/>
      <c r="T2634" s="126">
        <f>IFERROR(__xludf.DUMMYFUNCTION("""COMPUTED_VALUE"""),46099.0)</f>
        <v>46099</v>
      </c>
      <c r="U2634" s="124" t="str">
        <f>IFERROR(__xludf.DUMMYFUNCTION("""COMPUTED_VALUE"""),"Walk-Ins")</f>
        <v>Walk-Ins</v>
      </c>
      <c r="V2634" s="124" t="str">
        <f>IFERROR(__xludf.DUMMYFUNCTION("""COMPUTED_VALUE"""),"Walkin")</f>
        <v>Walkin</v>
      </c>
      <c r="W2634" s="124" t="str">
        <f>IFERROR(__xludf.DUMMYFUNCTION("""COMPUTED_VALUE"""),"Prayagraj")</f>
        <v>Prayagraj</v>
      </c>
      <c r="X2634" s="124" t="str">
        <f>IFERROR(__xludf.DUMMYFUNCTION("""COMPUTED_VALUE"""),"Walkin")</f>
        <v>Walkin</v>
      </c>
      <c r="Y2634" s="124" t="str">
        <f>IFERROR(__xludf.DUMMYFUNCTION("""COMPUTED_VALUE"""),"Prayagraj")</f>
        <v>Prayagraj</v>
      </c>
      <c r="Z2634" s="124">
        <f>IFERROR(__xludf.DUMMYFUNCTION("""COMPUTED_VALUE"""),1.0)</f>
        <v>1</v>
      </c>
      <c r="AA2634" s="124" t="str">
        <f>IFERROR(__xludf.DUMMYFUNCTION("""COMPUTED_VALUE"""),"Warm")</f>
        <v>Warm</v>
      </c>
      <c r="AB2634" s="124" t="str">
        <f>IFERROR(__xludf.DUMMYFUNCTION("""COMPUTED_VALUE"""),"State PCS")</f>
        <v>State PCS</v>
      </c>
    </row>
    <row r="2635">
      <c r="K2635" s="124"/>
      <c r="L2635" s="124"/>
      <c r="M2635" s="124"/>
      <c r="N2635" s="124"/>
      <c r="O2635" s="124"/>
      <c r="T2635" s="129">
        <f>IFERROR(__xludf.DUMMYFUNCTION("""COMPUTED_VALUE"""),46080.0)</f>
        <v>46080</v>
      </c>
      <c r="U2635" s="124" t="str">
        <f>IFERROR(__xludf.DUMMYFUNCTION("""COMPUTED_VALUE"""),"Walk-Ins")</f>
        <v>Walk-Ins</v>
      </c>
      <c r="V2635" s="124" t="str">
        <f>IFERROR(__xludf.DUMMYFUNCTION("""COMPUTED_VALUE"""),"Walk-In")</f>
        <v>Walk-In</v>
      </c>
      <c r="W2635" s="124" t="str">
        <f>IFERROR(__xludf.DUMMYFUNCTION("""COMPUTED_VALUE"""),"Patna")</f>
        <v>Patna</v>
      </c>
      <c r="X2635" s="124" t="str">
        <f>IFERROR(__xludf.DUMMYFUNCTION("""COMPUTED_VALUE"""),"Others")</f>
        <v>Others</v>
      </c>
      <c r="Y2635" s="124" t="str">
        <f>IFERROR(__xludf.DUMMYFUNCTION("""COMPUTED_VALUE"""),"Patna")</f>
        <v>Patna</v>
      </c>
      <c r="Z2635" s="124">
        <f>IFERROR(__xludf.DUMMYFUNCTION("""COMPUTED_VALUE"""),1.0)</f>
        <v>1</v>
      </c>
      <c r="AA2635" s="124" t="str">
        <f>IFERROR(__xludf.DUMMYFUNCTION("""COMPUTED_VALUE"""),"Not Interested")</f>
        <v>Not Interested</v>
      </c>
      <c r="AB2635" s="124" t="str">
        <f>IFERROR(__xludf.DUMMYFUNCTION("""COMPUTED_VALUE"""),"State PCS")</f>
        <v>State PCS</v>
      </c>
    </row>
    <row r="2636">
      <c r="K2636" s="124"/>
      <c r="L2636" s="124"/>
      <c r="M2636" s="124"/>
      <c r="N2636" s="124"/>
      <c r="O2636" s="124"/>
      <c r="T2636" s="126">
        <f>IFERROR(__xludf.DUMMYFUNCTION("""COMPUTED_VALUE"""),46076.0)</f>
        <v>46076</v>
      </c>
      <c r="U2636" s="124" t="str">
        <f>IFERROR(__xludf.DUMMYFUNCTION("""COMPUTED_VALUE"""),"Walk-Ins")</f>
        <v>Walk-Ins</v>
      </c>
      <c r="V2636" s="124" t="str">
        <f>IFERROR(__xludf.DUMMYFUNCTION("""COMPUTED_VALUE"""),"Walkin")</f>
        <v>Walkin</v>
      </c>
      <c r="W2636" s="124" t="str">
        <f>IFERROR(__xludf.DUMMYFUNCTION("""COMPUTED_VALUE"""),"Prayagraj")</f>
        <v>Prayagraj</v>
      </c>
      <c r="X2636" s="124" t="str">
        <f>IFERROR(__xludf.DUMMYFUNCTION("""COMPUTED_VALUE"""),"Walkin")</f>
        <v>Walkin</v>
      </c>
      <c r="Y2636" s="124" t="str">
        <f>IFERROR(__xludf.DUMMYFUNCTION("""COMPUTED_VALUE"""),"Prayagraj")</f>
        <v>Prayagraj</v>
      </c>
      <c r="Z2636" s="124">
        <f>IFERROR(__xludf.DUMMYFUNCTION("""COMPUTED_VALUE"""),1.0)</f>
        <v>1</v>
      </c>
      <c r="AA2636" s="124" t="str">
        <f>IFERROR(__xludf.DUMMYFUNCTION("""COMPUTED_VALUE"""),"Future Prospects")</f>
        <v>Future Prospects</v>
      </c>
      <c r="AB2636" s="124" t="str">
        <f>IFERROR(__xludf.DUMMYFUNCTION("""COMPUTED_VALUE"""),"GS Foundation")</f>
        <v>GS Foundation</v>
      </c>
    </row>
    <row r="2637">
      <c r="K2637" s="124"/>
      <c r="L2637" s="124"/>
      <c r="M2637" s="124"/>
      <c r="N2637" s="124"/>
      <c r="O2637" s="124"/>
      <c r="T2637" s="129">
        <f>IFERROR(__xludf.DUMMYFUNCTION("""COMPUTED_VALUE"""),46104.0)</f>
        <v>46104</v>
      </c>
      <c r="U2637" s="124" t="str">
        <f>IFERROR(__xludf.DUMMYFUNCTION("""COMPUTED_VALUE"""),"Walk-Ins")</f>
        <v>Walk-Ins</v>
      </c>
      <c r="V2637" s="124" t="str">
        <f>IFERROR(__xludf.DUMMYFUNCTION("""COMPUTED_VALUE"""),"Walkin")</f>
        <v>Walkin</v>
      </c>
      <c r="W2637" s="124" t="str">
        <f>IFERROR(__xludf.DUMMYFUNCTION("""COMPUTED_VALUE"""),"Lucknow")</f>
        <v>Lucknow</v>
      </c>
      <c r="X2637" s="124" t="str">
        <f>IFERROR(__xludf.DUMMYFUNCTION("""COMPUTED_VALUE"""),"Walkin")</f>
        <v>Walkin</v>
      </c>
      <c r="Y2637" s="124" t="str">
        <f>IFERROR(__xludf.DUMMYFUNCTION("""COMPUTED_VALUE"""),"Lucknow")</f>
        <v>Lucknow</v>
      </c>
      <c r="Z2637" s="124">
        <f>IFERROR(__xludf.DUMMYFUNCTION("""COMPUTED_VALUE"""),1.0)</f>
        <v>1</v>
      </c>
      <c r="AA2637" s="124" t="str">
        <f>IFERROR(__xludf.DUMMYFUNCTION("""COMPUTED_VALUE"""),"Warm")</f>
        <v>Warm</v>
      </c>
      <c r="AB2637" s="124" t="str">
        <f>IFERROR(__xludf.DUMMYFUNCTION("""COMPUTED_VALUE"""),"State PCS")</f>
        <v>State PCS</v>
      </c>
    </row>
    <row r="2638">
      <c r="K2638" s="124"/>
      <c r="L2638" s="124"/>
      <c r="M2638" s="124"/>
      <c r="N2638" s="124"/>
      <c r="O2638" s="124"/>
      <c r="T2638" s="126">
        <f>IFERROR(__xludf.DUMMYFUNCTION("""COMPUTED_VALUE"""),46059.0)</f>
        <v>46059</v>
      </c>
      <c r="U2638" s="124" t="str">
        <f>IFERROR(__xludf.DUMMYFUNCTION("""COMPUTED_VALUE"""),"Walk-Ins")</f>
        <v>Walk-Ins</v>
      </c>
      <c r="V2638" s="124" t="str">
        <f>IFERROR(__xludf.DUMMYFUNCTION("""COMPUTED_VALUE"""),"Walkin")</f>
        <v>Walkin</v>
      </c>
      <c r="W2638" s="124" t="str">
        <f>IFERROR(__xludf.DUMMYFUNCTION("""COMPUTED_VALUE"""),"Lucknow")</f>
        <v>Lucknow</v>
      </c>
      <c r="X2638" s="124" t="str">
        <f>IFERROR(__xludf.DUMMYFUNCTION("""COMPUTED_VALUE"""),"Walkin")</f>
        <v>Walkin</v>
      </c>
      <c r="Y2638" s="124" t="str">
        <f>IFERROR(__xludf.DUMMYFUNCTION("""COMPUTED_VALUE"""),"Lucknow")</f>
        <v>Lucknow</v>
      </c>
      <c r="Z2638" s="124">
        <f>IFERROR(__xludf.DUMMYFUNCTION("""COMPUTED_VALUE"""),2.0)</f>
        <v>2</v>
      </c>
      <c r="AA2638" s="124" t="str">
        <f>IFERROR(__xludf.DUMMYFUNCTION("""COMPUTED_VALUE"""),"Cold")</f>
        <v>Cold</v>
      </c>
      <c r="AB2638" s="124" t="str">
        <f>IFERROR(__xludf.DUMMYFUNCTION("""COMPUTED_VALUE"""),"IGP UPPSC")</f>
        <v>IGP UPPSC</v>
      </c>
    </row>
    <row r="2639">
      <c r="K2639" s="124"/>
      <c r="L2639" s="124"/>
      <c r="M2639" s="124"/>
      <c r="N2639" s="124"/>
      <c r="O2639" s="124"/>
      <c r="T2639" s="126">
        <f>IFERROR(__xludf.DUMMYFUNCTION("""COMPUTED_VALUE"""),46108.0)</f>
        <v>46108</v>
      </c>
      <c r="U2639" s="124" t="str">
        <f>IFERROR(__xludf.DUMMYFUNCTION("""COMPUTED_VALUE"""),"Walk-Ins")</f>
        <v>Walk-Ins</v>
      </c>
      <c r="V2639" s="124" t="str">
        <f>IFERROR(__xludf.DUMMYFUNCTION("""COMPUTED_VALUE"""),"Walkin")</f>
        <v>Walkin</v>
      </c>
      <c r="W2639" s="124" t="str">
        <f>IFERROR(__xludf.DUMMYFUNCTION("""COMPUTED_VALUE"""),"Lucknow")</f>
        <v>Lucknow</v>
      </c>
      <c r="X2639" s="124" t="str">
        <f>IFERROR(__xludf.DUMMYFUNCTION("""COMPUTED_VALUE"""),"Walkin")</f>
        <v>Walkin</v>
      </c>
      <c r="Y2639" s="124" t="str">
        <f>IFERROR(__xludf.DUMMYFUNCTION("""COMPUTED_VALUE"""),"Lucknow")</f>
        <v>Lucknow</v>
      </c>
      <c r="Z2639" s="124">
        <f>IFERROR(__xludf.DUMMYFUNCTION("""COMPUTED_VALUE"""),1.0)</f>
        <v>1</v>
      </c>
      <c r="AA2639" s="124" t="str">
        <f>IFERROR(__xludf.DUMMYFUNCTION("""COMPUTED_VALUE"""),"Warm")</f>
        <v>Warm</v>
      </c>
      <c r="AB2639" s="124" t="str">
        <f>IFERROR(__xludf.DUMMYFUNCTION("""COMPUTED_VALUE"""),"State PCS")</f>
        <v>State PCS</v>
      </c>
    </row>
    <row r="2640">
      <c r="K2640" s="124"/>
      <c r="L2640" s="124"/>
      <c r="M2640" s="124"/>
      <c r="N2640" s="124"/>
      <c r="O2640" s="124"/>
      <c r="T2640" s="126">
        <f>IFERROR(__xludf.DUMMYFUNCTION("""COMPUTED_VALUE"""),46105.0)</f>
        <v>46105</v>
      </c>
      <c r="U2640" s="124" t="str">
        <f>IFERROR(__xludf.DUMMYFUNCTION("""COMPUTED_VALUE"""),"Walk-Ins")</f>
        <v>Walk-Ins</v>
      </c>
      <c r="V2640" s="124" t="str">
        <f>IFERROR(__xludf.DUMMYFUNCTION("""COMPUTED_VALUE"""),"Walkin")</f>
        <v>Walkin</v>
      </c>
      <c r="W2640" s="124" t="str">
        <f>IFERROR(__xludf.DUMMYFUNCTION("""COMPUTED_VALUE"""),"Lucknow")</f>
        <v>Lucknow</v>
      </c>
      <c r="X2640" s="124" t="str">
        <f>IFERROR(__xludf.DUMMYFUNCTION("""COMPUTED_VALUE"""),"Walkin")</f>
        <v>Walkin</v>
      </c>
      <c r="Y2640" s="124" t="str">
        <f>IFERROR(__xludf.DUMMYFUNCTION("""COMPUTED_VALUE"""),"Lucknow")</f>
        <v>Lucknow</v>
      </c>
      <c r="Z2640" s="124">
        <f>IFERROR(__xludf.DUMMYFUNCTION("""COMPUTED_VALUE"""),2.0)</f>
        <v>2</v>
      </c>
      <c r="AA2640" s="124" t="str">
        <f>IFERROR(__xludf.DUMMYFUNCTION("""COMPUTED_VALUE"""),"Future Prospects")</f>
        <v>Future Prospects</v>
      </c>
      <c r="AB2640" s="124" t="str">
        <f>IFERROR(__xludf.DUMMYFUNCTION("""COMPUTED_VALUE"""),"GS Foundation")</f>
        <v>GS Foundation</v>
      </c>
    </row>
    <row r="2641">
      <c r="K2641" s="124"/>
      <c r="L2641" s="124"/>
      <c r="M2641" s="124"/>
      <c r="N2641" s="124"/>
      <c r="O2641" s="124"/>
      <c r="T2641" s="126">
        <f>IFERROR(__xludf.DUMMYFUNCTION("""COMPUTED_VALUE"""),46071.0)</f>
        <v>46071</v>
      </c>
      <c r="U2641" s="124" t="str">
        <f>IFERROR(__xludf.DUMMYFUNCTION("""COMPUTED_VALUE"""),"Walk-Ins")</f>
        <v>Walk-Ins</v>
      </c>
      <c r="V2641" s="124" t="str">
        <f>IFERROR(__xludf.DUMMYFUNCTION("""COMPUTED_VALUE"""),"Walkin")</f>
        <v>Walkin</v>
      </c>
      <c r="W2641" s="124" t="str">
        <f>IFERROR(__xludf.DUMMYFUNCTION("""COMPUTED_VALUE"""),"Prayagraj")</f>
        <v>Prayagraj</v>
      </c>
      <c r="X2641" s="124" t="str">
        <f>IFERROR(__xludf.DUMMYFUNCTION("""COMPUTED_VALUE"""),"Walkin")</f>
        <v>Walkin</v>
      </c>
      <c r="Y2641" s="124" t="str">
        <f>IFERROR(__xludf.DUMMYFUNCTION("""COMPUTED_VALUE"""),"Prayagraj")</f>
        <v>Prayagraj</v>
      </c>
      <c r="Z2641" s="124">
        <f>IFERROR(__xludf.DUMMYFUNCTION("""COMPUTED_VALUE"""),1.0)</f>
        <v>1</v>
      </c>
      <c r="AA2641" s="124" t="str">
        <f>IFERROR(__xludf.DUMMYFUNCTION("""COMPUTED_VALUE"""),"Warm")</f>
        <v>Warm</v>
      </c>
      <c r="AB2641" s="124" t="str">
        <f>IFERROR(__xludf.DUMMYFUNCTION("""COMPUTED_VALUE"""),"State PCS")</f>
        <v>State PCS</v>
      </c>
    </row>
    <row r="2642">
      <c r="K2642" s="124"/>
      <c r="L2642" s="124"/>
      <c r="M2642" s="124"/>
      <c r="N2642" s="124"/>
      <c r="O2642" s="124"/>
      <c r="T2642" s="126">
        <f>IFERROR(__xludf.DUMMYFUNCTION("""COMPUTED_VALUE"""),46064.0)</f>
        <v>46064</v>
      </c>
      <c r="U2642" s="124" t="str">
        <f>IFERROR(__xludf.DUMMYFUNCTION("""COMPUTED_VALUE"""),"Walk-Ins")</f>
        <v>Walk-Ins</v>
      </c>
      <c r="V2642" s="124" t="str">
        <f>IFERROR(__xludf.DUMMYFUNCTION("""COMPUTED_VALUE"""),"Walkin")</f>
        <v>Walkin</v>
      </c>
      <c r="W2642" s="124" t="str">
        <f>IFERROR(__xludf.DUMMYFUNCTION("""COMPUTED_VALUE"""),"Lucknow")</f>
        <v>Lucknow</v>
      </c>
      <c r="X2642" s="124" t="str">
        <f>IFERROR(__xludf.DUMMYFUNCTION("""COMPUTED_VALUE"""),"Walkin")</f>
        <v>Walkin</v>
      </c>
      <c r="Y2642" s="124" t="str">
        <f>IFERROR(__xludf.DUMMYFUNCTION("""COMPUTED_VALUE"""),"Lucknow")</f>
        <v>Lucknow</v>
      </c>
      <c r="Z2642" s="124">
        <f>IFERROR(__xludf.DUMMYFUNCTION("""COMPUTED_VALUE"""),1.0)</f>
        <v>1</v>
      </c>
      <c r="AA2642" s="124" t="str">
        <f>IFERROR(__xludf.DUMMYFUNCTION("""COMPUTED_VALUE"""),"Cold")</f>
        <v>Cold</v>
      </c>
      <c r="AB2642" s="124" t="str">
        <f>IFERROR(__xludf.DUMMYFUNCTION("""COMPUTED_VALUE"""),"GS Foundation")</f>
        <v>GS Foundation</v>
      </c>
    </row>
    <row r="2643">
      <c r="K2643" s="124"/>
      <c r="L2643" s="124"/>
      <c r="M2643" s="124"/>
      <c r="N2643" s="124"/>
      <c r="O2643" s="124"/>
      <c r="T2643" s="126">
        <f>IFERROR(__xludf.DUMMYFUNCTION("""COMPUTED_VALUE"""),46067.0)</f>
        <v>46067</v>
      </c>
      <c r="U2643" s="124" t="str">
        <f>IFERROR(__xludf.DUMMYFUNCTION("""COMPUTED_VALUE"""),"Walk-Ins")</f>
        <v>Walk-Ins</v>
      </c>
      <c r="V2643" s="124" t="str">
        <f>IFERROR(__xludf.DUMMYFUNCTION("""COMPUTED_VALUE"""),"Walkin")</f>
        <v>Walkin</v>
      </c>
      <c r="W2643" s="124" t="str">
        <f>IFERROR(__xludf.DUMMYFUNCTION("""COMPUTED_VALUE"""),"Patna")</f>
        <v>Patna</v>
      </c>
      <c r="X2643" s="124" t="str">
        <f>IFERROR(__xludf.DUMMYFUNCTION("""COMPUTED_VALUE"""),"Walkin")</f>
        <v>Walkin</v>
      </c>
      <c r="Y2643" s="124" t="str">
        <f>IFERROR(__xludf.DUMMYFUNCTION("""COMPUTED_VALUE"""),"Patna")</f>
        <v>Patna</v>
      </c>
      <c r="Z2643" s="124">
        <f>IFERROR(__xludf.DUMMYFUNCTION("""COMPUTED_VALUE"""),1.0)</f>
        <v>1</v>
      </c>
      <c r="AA2643" s="124" t="str">
        <f>IFERROR(__xludf.DUMMYFUNCTION("""COMPUTED_VALUE"""),"Enrolled")</f>
        <v>Enrolled</v>
      </c>
      <c r="AB2643" s="124" t="str">
        <f>IFERROR(__xludf.DUMMYFUNCTION("""COMPUTED_VALUE"""),"State PCS")</f>
        <v>State PCS</v>
      </c>
    </row>
    <row r="2644">
      <c r="K2644" s="124"/>
      <c r="L2644" s="124"/>
      <c r="M2644" s="124"/>
      <c r="N2644" s="124"/>
      <c r="O2644" s="124"/>
      <c r="T2644" s="126">
        <f>IFERROR(__xludf.DUMMYFUNCTION("""COMPUTED_VALUE"""),46079.0)</f>
        <v>46079</v>
      </c>
      <c r="U2644" s="124" t="str">
        <f>IFERROR(__xludf.DUMMYFUNCTION("""COMPUTED_VALUE"""),"Walk-Ins")</f>
        <v>Walk-Ins</v>
      </c>
      <c r="V2644" s="124" t="str">
        <f>IFERROR(__xludf.DUMMYFUNCTION("""COMPUTED_VALUE"""),"Walkin")</f>
        <v>Walkin</v>
      </c>
      <c r="W2644" s="124" t="str">
        <f>IFERROR(__xludf.DUMMYFUNCTION("""COMPUTED_VALUE"""),"Indore")</f>
        <v>Indore</v>
      </c>
      <c r="X2644" s="124" t="str">
        <f>IFERROR(__xludf.DUMMYFUNCTION("""COMPUTED_VALUE"""),"Walkin")</f>
        <v>Walkin</v>
      </c>
      <c r="Y2644" s="124" t="str">
        <f>IFERROR(__xludf.DUMMYFUNCTION("""COMPUTED_VALUE"""),"Indore")</f>
        <v>Indore</v>
      </c>
      <c r="Z2644" s="124">
        <f>IFERROR(__xludf.DUMMYFUNCTION("""COMPUTED_VALUE"""),1.0)</f>
        <v>1</v>
      </c>
      <c r="AA2644" s="124" t="str">
        <f>IFERROR(__xludf.DUMMYFUNCTION("""COMPUTED_VALUE"""),"Cold")</f>
        <v>Cold</v>
      </c>
      <c r="AB2644" s="124" t="str">
        <f>IFERROR(__xludf.DUMMYFUNCTION("""COMPUTED_VALUE"""),"Other")</f>
        <v>Other</v>
      </c>
    </row>
    <row r="2645">
      <c r="K2645" s="124"/>
      <c r="L2645" s="124"/>
      <c r="M2645" s="124"/>
      <c r="N2645" s="124"/>
      <c r="O2645" s="124"/>
      <c r="T2645" s="126">
        <f>IFERROR(__xludf.DUMMYFUNCTION("""COMPUTED_VALUE"""),46067.0)</f>
        <v>46067</v>
      </c>
      <c r="U2645" s="124" t="str">
        <f>IFERROR(__xludf.DUMMYFUNCTION("""COMPUTED_VALUE"""),"Walk-Ins")</f>
        <v>Walk-Ins</v>
      </c>
      <c r="V2645" s="124" t="str">
        <f>IFERROR(__xludf.DUMMYFUNCTION("""COMPUTED_VALUE"""),"Walkin")</f>
        <v>Walkin</v>
      </c>
      <c r="W2645" s="124" t="str">
        <f>IFERROR(__xludf.DUMMYFUNCTION("""COMPUTED_VALUE"""),"Patna")</f>
        <v>Patna</v>
      </c>
      <c r="X2645" s="124" t="str">
        <f>IFERROR(__xludf.DUMMYFUNCTION("""COMPUTED_VALUE"""),"Walkin")</f>
        <v>Walkin</v>
      </c>
      <c r="Y2645" s="124" t="str">
        <f>IFERROR(__xludf.DUMMYFUNCTION("""COMPUTED_VALUE"""),"Patna")</f>
        <v>Patna</v>
      </c>
      <c r="Z2645" s="124">
        <f>IFERROR(__xludf.DUMMYFUNCTION("""COMPUTED_VALUE"""),1.0)</f>
        <v>1</v>
      </c>
      <c r="AA2645" s="124" t="str">
        <f>IFERROR(__xludf.DUMMYFUNCTION("""COMPUTED_VALUE"""),"Future Prospects")</f>
        <v>Future Prospects</v>
      </c>
      <c r="AB2645" s="124" t="str">
        <f>IFERROR(__xludf.DUMMYFUNCTION("""COMPUTED_VALUE"""),"Mentorship")</f>
        <v>Mentorship</v>
      </c>
    </row>
    <row r="2646">
      <c r="K2646" s="124"/>
      <c r="L2646" s="124"/>
      <c r="M2646" s="124"/>
      <c r="N2646" s="124"/>
      <c r="O2646" s="124"/>
      <c r="T2646" s="126">
        <f>IFERROR(__xludf.DUMMYFUNCTION("""COMPUTED_VALUE"""),46089.0)</f>
        <v>46089</v>
      </c>
      <c r="U2646" s="124" t="str">
        <f>IFERROR(__xludf.DUMMYFUNCTION("""COMPUTED_VALUE"""),"Walk-Ins")</f>
        <v>Walk-Ins</v>
      </c>
      <c r="V2646" s="124" t="str">
        <f>IFERROR(__xludf.DUMMYFUNCTION("""COMPUTED_VALUE"""),"Walkin")</f>
        <v>Walkin</v>
      </c>
      <c r="W2646" s="124" t="str">
        <f>IFERROR(__xludf.DUMMYFUNCTION("""COMPUTED_VALUE"""),"Patna")</f>
        <v>Patna</v>
      </c>
      <c r="X2646" s="124" t="str">
        <f>IFERROR(__xludf.DUMMYFUNCTION("""COMPUTED_VALUE"""),"Walkin")</f>
        <v>Walkin</v>
      </c>
      <c r="Y2646" s="124" t="str">
        <f>IFERROR(__xludf.DUMMYFUNCTION("""COMPUTED_VALUE"""),"Patna")</f>
        <v>Patna</v>
      </c>
      <c r="Z2646" s="124">
        <f>IFERROR(__xludf.DUMMYFUNCTION("""COMPUTED_VALUE"""),4.0)</f>
        <v>4</v>
      </c>
      <c r="AA2646" s="124" t="str">
        <f>IFERROR(__xludf.DUMMYFUNCTION("""COMPUTED_VALUE"""),"Cold")</f>
        <v>Cold</v>
      </c>
      <c r="AB2646" s="124" t="str">
        <f>IFERROR(__xludf.DUMMYFUNCTION("""COMPUTED_VALUE"""),"State PCS")</f>
        <v>State PCS</v>
      </c>
    </row>
    <row r="2647">
      <c r="K2647" s="124"/>
      <c r="L2647" s="124"/>
      <c r="M2647" s="124"/>
      <c r="N2647" s="124"/>
      <c r="O2647" s="124"/>
      <c r="T2647" s="126">
        <f>IFERROR(__xludf.DUMMYFUNCTION("""COMPUTED_VALUE"""),46095.0)</f>
        <v>46095</v>
      </c>
      <c r="U2647" s="124" t="str">
        <f>IFERROR(__xludf.DUMMYFUNCTION("""COMPUTED_VALUE"""),"Walk-Ins")</f>
        <v>Walk-Ins</v>
      </c>
      <c r="V2647" s="124" t="str">
        <f>IFERROR(__xludf.DUMMYFUNCTION("""COMPUTED_VALUE"""),"Walkin")</f>
        <v>Walkin</v>
      </c>
      <c r="W2647" s="124" t="str">
        <f>IFERROR(__xludf.DUMMYFUNCTION("""COMPUTED_VALUE"""),"Patna")</f>
        <v>Patna</v>
      </c>
      <c r="X2647" s="124" t="str">
        <f>IFERROR(__xludf.DUMMYFUNCTION("""COMPUTED_VALUE"""),"Walkin")</f>
        <v>Walkin</v>
      </c>
      <c r="Y2647" s="124" t="str">
        <f>IFERROR(__xludf.DUMMYFUNCTION("""COMPUTED_VALUE"""),"Patna")</f>
        <v>Patna</v>
      </c>
      <c r="Z2647" s="124">
        <f>IFERROR(__xludf.DUMMYFUNCTION("""COMPUTED_VALUE"""),1.0)</f>
        <v>1</v>
      </c>
      <c r="AA2647" s="124" t="str">
        <f>IFERROR(__xludf.DUMMYFUNCTION("""COMPUTED_VALUE"""),"Not Interested")</f>
        <v>Not Interested</v>
      </c>
      <c r="AB2647" s="124" t="str">
        <f>IFERROR(__xludf.DUMMYFUNCTION("""COMPUTED_VALUE"""),"State PCS")</f>
        <v>State PCS</v>
      </c>
    </row>
    <row r="2648">
      <c r="K2648" s="124"/>
      <c r="L2648" s="124"/>
      <c r="M2648" s="124"/>
      <c r="N2648" s="124"/>
      <c r="O2648" s="124"/>
      <c r="T2648" s="129">
        <f>IFERROR(__xludf.DUMMYFUNCTION("""COMPUTED_VALUE"""),46069.0)</f>
        <v>46069</v>
      </c>
      <c r="U2648" s="124" t="str">
        <f>IFERROR(__xludf.DUMMYFUNCTION("""COMPUTED_VALUE"""),"Walk-Ins")</f>
        <v>Walk-Ins</v>
      </c>
      <c r="V2648" s="124" t="str">
        <f>IFERROR(__xludf.DUMMYFUNCTION("""COMPUTED_VALUE"""),"Walkin")</f>
        <v>Walkin</v>
      </c>
      <c r="W2648" s="124" t="str">
        <f>IFERROR(__xludf.DUMMYFUNCTION("""COMPUTED_VALUE"""),"Patna")</f>
        <v>Patna</v>
      </c>
      <c r="X2648" s="124" t="str">
        <f>IFERROR(__xludf.DUMMYFUNCTION("""COMPUTED_VALUE"""),"Walkin")</f>
        <v>Walkin</v>
      </c>
      <c r="Y2648" s="124" t="str">
        <f>IFERROR(__xludf.DUMMYFUNCTION("""COMPUTED_VALUE"""),"Patna")</f>
        <v>Patna</v>
      </c>
      <c r="Z2648" s="124">
        <f>IFERROR(__xludf.DUMMYFUNCTION("""COMPUTED_VALUE"""),1.0)</f>
        <v>1</v>
      </c>
      <c r="AA2648" s="124" t="str">
        <f>IFERROR(__xludf.DUMMYFUNCTION("""COMPUTED_VALUE"""),"Cold")</f>
        <v>Cold</v>
      </c>
      <c r="AB2648" s="124" t="str">
        <f>IFERROR(__xludf.DUMMYFUNCTION("""COMPUTED_VALUE"""),"GS Foundation")</f>
        <v>GS Foundation</v>
      </c>
    </row>
    <row r="2649">
      <c r="K2649" s="124"/>
      <c r="L2649" s="124"/>
      <c r="M2649" s="124"/>
      <c r="N2649" s="124"/>
      <c r="O2649" s="124"/>
      <c r="T2649" s="126">
        <f>IFERROR(__xludf.DUMMYFUNCTION("""COMPUTED_VALUE"""),46069.0)</f>
        <v>46069</v>
      </c>
      <c r="U2649" s="124" t="str">
        <f>IFERROR(__xludf.DUMMYFUNCTION("""COMPUTED_VALUE"""),"Walk-Ins")</f>
        <v>Walk-Ins</v>
      </c>
      <c r="V2649" s="124" t="str">
        <f>IFERROR(__xludf.DUMMYFUNCTION("""COMPUTED_VALUE"""),"Walkin")</f>
        <v>Walkin</v>
      </c>
      <c r="W2649" s="124" t="str">
        <f>IFERROR(__xludf.DUMMYFUNCTION("""COMPUTED_VALUE"""),"Patna")</f>
        <v>Patna</v>
      </c>
      <c r="X2649" s="124" t="str">
        <f>IFERROR(__xludf.DUMMYFUNCTION("""COMPUTED_VALUE"""),"Walkin")</f>
        <v>Walkin</v>
      </c>
      <c r="Y2649" s="124" t="str">
        <f>IFERROR(__xludf.DUMMYFUNCTION("""COMPUTED_VALUE"""),"Patna")</f>
        <v>Patna</v>
      </c>
      <c r="Z2649" s="124">
        <f>IFERROR(__xludf.DUMMYFUNCTION("""COMPUTED_VALUE"""),1.0)</f>
        <v>1</v>
      </c>
      <c r="AA2649" s="124" t="str">
        <f>IFERROR(__xludf.DUMMYFUNCTION("""COMPUTED_VALUE"""),"Enrolled")</f>
        <v>Enrolled</v>
      </c>
      <c r="AB2649" s="124" t="str">
        <f>IFERROR(__xludf.DUMMYFUNCTION("""COMPUTED_VALUE"""),"State PCS")</f>
        <v>State PCS</v>
      </c>
    </row>
    <row r="2650">
      <c r="K2650" s="124"/>
      <c r="L2650" s="124"/>
      <c r="M2650" s="124"/>
      <c r="N2650" s="124"/>
      <c r="O2650" s="124"/>
      <c r="T2650" s="126">
        <f>IFERROR(__xludf.DUMMYFUNCTION("""COMPUTED_VALUE"""),46083.0)</f>
        <v>46083</v>
      </c>
      <c r="U2650" s="124" t="str">
        <f>IFERROR(__xludf.DUMMYFUNCTION("""COMPUTED_VALUE"""),"Walk-Ins")</f>
        <v>Walk-Ins</v>
      </c>
      <c r="V2650" s="124" t="str">
        <f>IFERROR(__xludf.DUMMYFUNCTION("""COMPUTED_VALUE"""),"Walkin")</f>
        <v>Walkin</v>
      </c>
      <c r="W2650" s="124" t="str">
        <f>IFERROR(__xludf.DUMMYFUNCTION("""COMPUTED_VALUE"""),"Prayagraj")</f>
        <v>Prayagraj</v>
      </c>
      <c r="X2650" s="124" t="str">
        <f>IFERROR(__xludf.DUMMYFUNCTION("""COMPUTED_VALUE"""),"Walkin")</f>
        <v>Walkin</v>
      </c>
      <c r="Y2650" s="124" t="str">
        <f>IFERROR(__xludf.DUMMYFUNCTION("""COMPUTED_VALUE"""),"Prayagraj")</f>
        <v>Prayagraj</v>
      </c>
      <c r="Z2650" s="124">
        <f>IFERROR(__xludf.DUMMYFUNCTION("""COMPUTED_VALUE"""),1.0)</f>
        <v>1</v>
      </c>
      <c r="AA2650" s="124" t="str">
        <f>IFERROR(__xludf.DUMMYFUNCTION("""COMPUTED_VALUE"""),"Future Prospects")</f>
        <v>Future Prospects</v>
      </c>
      <c r="AB2650" s="124" t="str">
        <f>IFERROR(__xludf.DUMMYFUNCTION("""COMPUTED_VALUE"""),"GS Foundation")</f>
        <v>GS Foundation</v>
      </c>
    </row>
    <row r="2651">
      <c r="K2651" s="124"/>
      <c r="L2651" s="124"/>
      <c r="M2651" s="124"/>
      <c r="N2651" s="124"/>
      <c r="O2651" s="124"/>
      <c r="T2651" s="129">
        <f>IFERROR(__xludf.DUMMYFUNCTION("""COMPUTED_VALUE"""),46106.0)</f>
        <v>46106</v>
      </c>
      <c r="U2651" s="124" t="str">
        <f>IFERROR(__xludf.DUMMYFUNCTION("""COMPUTED_VALUE"""),"Walk-Ins")</f>
        <v>Walk-Ins</v>
      </c>
      <c r="V2651" s="124" t="str">
        <f>IFERROR(__xludf.DUMMYFUNCTION("""COMPUTED_VALUE"""),"Walkin")</f>
        <v>Walkin</v>
      </c>
      <c r="W2651" s="124" t="str">
        <f>IFERROR(__xludf.DUMMYFUNCTION("""COMPUTED_VALUE"""),"Patna")</f>
        <v>Patna</v>
      </c>
      <c r="X2651" s="124" t="str">
        <f>IFERROR(__xludf.DUMMYFUNCTION("""COMPUTED_VALUE"""),"Walkin")</f>
        <v>Walkin</v>
      </c>
      <c r="Y2651" s="124" t="str">
        <f>IFERROR(__xludf.DUMMYFUNCTION("""COMPUTED_VALUE"""),"Patna")</f>
        <v>Patna</v>
      </c>
      <c r="Z2651" s="124">
        <f>IFERROR(__xludf.DUMMYFUNCTION("""COMPUTED_VALUE"""),1.0)</f>
        <v>1</v>
      </c>
      <c r="AA2651" s="124" t="str">
        <f>IFERROR(__xludf.DUMMYFUNCTION("""COMPUTED_VALUE"""),"Future Prospects")</f>
        <v>Future Prospects</v>
      </c>
      <c r="AB2651" s="124" t="str">
        <f>IFERROR(__xludf.DUMMYFUNCTION("""COMPUTED_VALUE"""),"Other")</f>
        <v>Other</v>
      </c>
    </row>
    <row r="2652">
      <c r="K2652" s="124"/>
      <c r="L2652" s="124"/>
      <c r="M2652" s="124"/>
      <c r="N2652" s="124"/>
      <c r="O2652" s="124"/>
      <c r="T2652" s="126">
        <f>IFERROR(__xludf.DUMMYFUNCTION("""COMPUTED_VALUE"""),46105.0)</f>
        <v>46105</v>
      </c>
      <c r="U2652" s="124" t="str">
        <f>IFERROR(__xludf.DUMMYFUNCTION("""COMPUTED_VALUE"""),"Walk-Ins")</f>
        <v>Walk-Ins</v>
      </c>
      <c r="V2652" s="124" t="str">
        <f>IFERROR(__xludf.DUMMYFUNCTION("""COMPUTED_VALUE"""),"Walkin")</f>
        <v>Walkin</v>
      </c>
      <c r="W2652" s="124" t="str">
        <f>IFERROR(__xludf.DUMMYFUNCTION("""COMPUTED_VALUE"""),"Patna")</f>
        <v>Patna</v>
      </c>
      <c r="X2652" s="124" t="str">
        <f>IFERROR(__xludf.DUMMYFUNCTION("""COMPUTED_VALUE"""),"Walkin")</f>
        <v>Walkin</v>
      </c>
      <c r="Y2652" s="124" t="str">
        <f>IFERROR(__xludf.DUMMYFUNCTION("""COMPUTED_VALUE"""),"Patna")</f>
        <v>Patna</v>
      </c>
      <c r="Z2652" s="124">
        <f>IFERROR(__xludf.DUMMYFUNCTION("""COMPUTED_VALUE"""),1.0)</f>
        <v>1</v>
      </c>
      <c r="AA2652" s="124" t="str">
        <f>IFERROR(__xludf.DUMMYFUNCTION("""COMPUTED_VALUE"""),"Fake Lead")</f>
        <v>Fake Lead</v>
      </c>
      <c r="AB2652" s="124" t="str">
        <f>IFERROR(__xludf.DUMMYFUNCTION("""COMPUTED_VALUE"""),"Other")</f>
        <v>Other</v>
      </c>
    </row>
    <row r="2653">
      <c r="K2653" s="124"/>
      <c r="L2653" s="124"/>
      <c r="M2653" s="124"/>
      <c r="N2653" s="124"/>
      <c r="O2653" s="124"/>
      <c r="T2653" s="126">
        <f>IFERROR(__xludf.DUMMYFUNCTION("""COMPUTED_VALUE"""),46065.0)</f>
        <v>46065</v>
      </c>
      <c r="U2653" s="124" t="str">
        <f>IFERROR(__xludf.DUMMYFUNCTION("""COMPUTED_VALUE"""),"Walk-Ins")</f>
        <v>Walk-Ins</v>
      </c>
      <c r="V2653" s="124" t="str">
        <f>IFERROR(__xludf.DUMMYFUNCTION("""COMPUTED_VALUE"""),"Walkin")</f>
        <v>Walkin</v>
      </c>
      <c r="W2653" s="124" t="str">
        <f>IFERROR(__xludf.DUMMYFUNCTION("""COMPUTED_VALUE"""),"Patna")</f>
        <v>Patna</v>
      </c>
      <c r="X2653" s="124" t="str">
        <f>IFERROR(__xludf.DUMMYFUNCTION("""COMPUTED_VALUE"""),"Walkin")</f>
        <v>Walkin</v>
      </c>
      <c r="Y2653" s="124" t="str">
        <f>IFERROR(__xludf.DUMMYFUNCTION("""COMPUTED_VALUE"""),"Patna")</f>
        <v>Patna</v>
      </c>
      <c r="Z2653" s="124">
        <f>IFERROR(__xludf.DUMMYFUNCTION("""COMPUTED_VALUE"""),2.0)</f>
        <v>2</v>
      </c>
      <c r="AA2653" s="124" t="str">
        <f>IFERROR(__xludf.DUMMYFUNCTION("""COMPUTED_VALUE"""),"Fake Lead")</f>
        <v>Fake Lead</v>
      </c>
      <c r="AB2653" s="124" t="str">
        <f>IFERROR(__xludf.DUMMYFUNCTION("""COMPUTED_VALUE"""),"GS Foundation")</f>
        <v>GS Foundation</v>
      </c>
    </row>
    <row r="2654">
      <c r="K2654" s="124"/>
      <c r="L2654" s="124"/>
      <c r="M2654" s="124"/>
      <c r="N2654" s="124"/>
      <c r="O2654" s="124"/>
      <c r="T2654" s="129">
        <f>IFERROR(__xludf.DUMMYFUNCTION("""COMPUTED_VALUE"""),46048.0)</f>
        <v>46048</v>
      </c>
      <c r="U2654" s="124" t="str">
        <f>IFERROR(__xludf.DUMMYFUNCTION("""COMPUTED_VALUE"""),"Walk-Ins")</f>
        <v>Walk-Ins</v>
      </c>
      <c r="V2654" s="124" t="str">
        <f>IFERROR(__xludf.DUMMYFUNCTION("""COMPUTED_VALUE"""),"Walk-In")</f>
        <v>Walk-In</v>
      </c>
      <c r="W2654" s="124" t="str">
        <f>IFERROR(__xludf.DUMMYFUNCTION("""COMPUTED_VALUE"""),"Patna")</f>
        <v>Patna</v>
      </c>
      <c r="X2654" s="124" t="str">
        <f>IFERROR(__xludf.DUMMYFUNCTION("""COMPUTED_VALUE"""),"Others")</f>
        <v>Others</v>
      </c>
      <c r="Y2654" s="124" t="str">
        <f>IFERROR(__xludf.DUMMYFUNCTION("""COMPUTED_VALUE"""),"Patna")</f>
        <v>Patna</v>
      </c>
      <c r="Z2654" s="124">
        <f>IFERROR(__xludf.DUMMYFUNCTION("""COMPUTED_VALUE"""),1.0)</f>
        <v>1</v>
      </c>
      <c r="AA2654" s="124" t="str">
        <f>IFERROR(__xludf.DUMMYFUNCTION("""COMPUTED_VALUE"""),"Enrolled")</f>
        <v>Enrolled</v>
      </c>
      <c r="AB2654" s="124" t="str">
        <f>IFERROR(__xludf.DUMMYFUNCTION("""COMPUTED_VALUE"""),"State PCS")</f>
        <v>State PCS</v>
      </c>
    </row>
    <row r="2655">
      <c r="K2655" s="124"/>
      <c r="L2655" s="124"/>
      <c r="M2655" s="124"/>
      <c r="N2655" s="124"/>
      <c r="O2655" s="124"/>
      <c r="T2655" s="126">
        <f>IFERROR(__xludf.DUMMYFUNCTION("""COMPUTED_VALUE"""),46049.0)</f>
        <v>46049</v>
      </c>
      <c r="U2655" s="124" t="str">
        <f>IFERROR(__xludf.DUMMYFUNCTION("""COMPUTED_VALUE"""),"Walk-Ins")</f>
        <v>Walk-Ins</v>
      </c>
      <c r="V2655" s="124" t="str">
        <f>IFERROR(__xludf.DUMMYFUNCTION("""COMPUTED_VALUE"""),"Walkin")</f>
        <v>Walkin</v>
      </c>
      <c r="W2655" s="124" t="str">
        <f>IFERROR(__xludf.DUMMYFUNCTION("""COMPUTED_VALUE"""),"Patna")</f>
        <v>Patna</v>
      </c>
      <c r="X2655" s="124" t="str">
        <f>IFERROR(__xludf.DUMMYFUNCTION("""COMPUTED_VALUE"""),"Walkin")</f>
        <v>Walkin</v>
      </c>
      <c r="Y2655" s="124" t="str">
        <f>IFERROR(__xludf.DUMMYFUNCTION("""COMPUTED_VALUE"""),"Patna")</f>
        <v>Patna</v>
      </c>
      <c r="Z2655" s="124">
        <f>IFERROR(__xludf.DUMMYFUNCTION("""COMPUTED_VALUE"""),2.0)</f>
        <v>2</v>
      </c>
      <c r="AA2655" s="124" t="str">
        <f>IFERROR(__xludf.DUMMYFUNCTION("""COMPUTED_VALUE"""),"Cold")</f>
        <v>Cold</v>
      </c>
      <c r="AB2655" s="124" t="str">
        <f>IFERROR(__xludf.DUMMYFUNCTION("""COMPUTED_VALUE"""),"GS Foundation")</f>
        <v>GS Foundation</v>
      </c>
    </row>
    <row r="2656">
      <c r="K2656" s="124"/>
      <c r="L2656" s="124"/>
      <c r="M2656" s="124"/>
      <c r="N2656" s="124"/>
      <c r="O2656" s="124"/>
      <c r="T2656" s="126">
        <f>IFERROR(__xludf.DUMMYFUNCTION("""COMPUTED_VALUE"""),46100.0)</f>
        <v>46100</v>
      </c>
      <c r="U2656" s="124" t="str">
        <f>IFERROR(__xludf.DUMMYFUNCTION("""COMPUTED_VALUE"""),"Walk-Ins")</f>
        <v>Walk-Ins</v>
      </c>
      <c r="V2656" s="124" t="str">
        <f>IFERROR(__xludf.DUMMYFUNCTION("""COMPUTED_VALUE"""),"Walkin")</f>
        <v>Walkin</v>
      </c>
      <c r="W2656" s="124" t="str">
        <f>IFERROR(__xludf.DUMMYFUNCTION("""COMPUTED_VALUE"""),"Lucknow")</f>
        <v>Lucknow</v>
      </c>
      <c r="X2656" s="124" t="str">
        <f>IFERROR(__xludf.DUMMYFUNCTION("""COMPUTED_VALUE"""),"Walkin")</f>
        <v>Walkin</v>
      </c>
      <c r="Y2656" s="124" t="str">
        <f>IFERROR(__xludf.DUMMYFUNCTION("""COMPUTED_VALUE"""),"Lucknow")</f>
        <v>Lucknow</v>
      </c>
      <c r="Z2656" s="124">
        <f>IFERROR(__xludf.DUMMYFUNCTION("""COMPUTED_VALUE"""),1.0)</f>
        <v>1</v>
      </c>
      <c r="AA2656" s="124" t="str">
        <f>IFERROR(__xludf.DUMMYFUNCTION("""COMPUTED_VALUE"""),"Enrolled")</f>
        <v>Enrolled</v>
      </c>
      <c r="AB2656" s="124" t="str">
        <f>IFERROR(__xludf.DUMMYFUNCTION("""COMPUTED_VALUE"""),"GS Foundation")</f>
        <v>GS Foundation</v>
      </c>
    </row>
    <row r="2657">
      <c r="K2657" s="124"/>
      <c r="L2657" s="124"/>
      <c r="M2657" s="124"/>
      <c r="N2657" s="124"/>
      <c r="O2657" s="124"/>
      <c r="T2657" s="126">
        <f>IFERROR(__xludf.DUMMYFUNCTION("""COMPUTED_VALUE"""),46069.0)</f>
        <v>46069</v>
      </c>
      <c r="U2657" s="124" t="str">
        <f>IFERROR(__xludf.DUMMYFUNCTION("""COMPUTED_VALUE"""),"Walk-Ins")</f>
        <v>Walk-Ins</v>
      </c>
      <c r="V2657" s="124" t="str">
        <f>IFERROR(__xludf.DUMMYFUNCTION("""COMPUTED_VALUE"""),"Walkin")</f>
        <v>Walkin</v>
      </c>
      <c r="W2657" s="124" t="str">
        <f>IFERROR(__xludf.DUMMYFUNCTION("""COMPUTED_VALUE"""),"Lucknow")</f>
        <v>Lucknow</v>
      </c>
      <c r="X2657" s="124" t="str">
        <f>IFERROR(__xludf.DUMMYFUNCTION("""COMPUTED_VALUE"""),"Walkin")</f>
        <v>Walkin</v>
      </c>
      <c r="Y2657" s="124" t="str">
        <f>IFERROR(__xludf.DUMMYFUNCTION("""COMPUTED_VALUE"""),"Lucknow")</f>
        <v>Lucknow</v>
      </c>
      <c r="Z2657" s="124">
        <f>IFERROR(__xludf.DUMMYFUNCTION("""COMPUTED_VALUE"""),1.0)</f>
        <v>1</v>
      </c>
      <c r="AA2657" s="124" t="str">
        <f>IFERROR(__xludf.DUMMYFUNCTION("""COMPUTED_VALUE"""),"Enrolled")</f>
        <v>Enrolled</v>
      </c>
      <c r="AB2657" s="124" t="str">
        <f>IFERROR(__xludf.DUMMYFUNCTION("""COMPUTED_VALUE"""),"GS Foundation")</f>
        <v>GS Foundation</v>
      </c>
    </row>
    <row r="2658">
      <c r="K2658" s="124"/>
      <c r="L2658" s="124"/>
      <c r="M2658" s="124"/>
      <c r="N2658" s="124"/>
      <c r="O2658" s="124"/>
      <c r="T2658" s="126">
        <f>IFERROR(__xludf.DUMMYFUNCTION("""COMPUTED_VALUE"""),46063.0)</f>
        <v>46063</v>
      </c>
      <c r="U2658" s="124" t="str">
        <f>IFERROR(__xludf.DUMMYFUNCTION("""COMPUTED_VALUE"""),"Walk-Ins")</f>
        <v>Walk-Ins</v>
      </c>
      <c r="V2658" s="124" t="str">
        <f>IFERROR(__xludf.DUMMYFUNCTION("""COMPUTED_VALUE"""),"Walkin")</f>
        <v>Walkin</v>
      </c>
      <c r="W2658" s="124" t="str">
        <f>IFERROR(__xludf.DUMMYFUNCTION("""COMPUTED_VALUE"""),"Prayagraj")</f>
        <v>Prayagraj</v>
      </c>
      <c r="X2658" s="124" t="str">
        <f>IFERROR(__xludf.DUMMYFUNCTION("""COMPUTED_VALUE"""),"Walkin")</f>
        <v>Walkin</v>
      </c>
      <c r="Y2658" s="124" t="str">
        <f>IFERROR(__xludf.DUMMYFUNCTION("""COMPUTED_VALUE"""),"Prayagraj")</f>
        <v>Prayagraj</v>
      </c>
      <c r="Z2658" s="124">
        <f>IFERROR(__xludf.DUMMYFUNCTION("""COMPUTED_VALUE"""),1.0)</f>
        <v>1</v>
      </c>
      <c r="AA2658" s="124" t="str">
        <f>IFERROR(__xludf.DUMMYFUNCTION("""COMPUTED_VALUE"""),"Warm")</f>
        <v>Warm</v>
      </c>
      <c r="AB2658" s="124" t="str">
        <f>IFERROR(__xludf.DUMMYFUNCTION("""COMPUTED_VALUE"""),"Mentorship")</f>
        <v>Mentorship</v>
      </c>
    </row>
    <row r="2659">
      <c r="K2659" s="124"/>
      <c r="L2659" s="124"/>
      <c r="M2659" s="124"/>
      <c r="N2659" s="124"/>
      <c r="O2659" s="124"/>
      <c r="T2659" s="129">
        <f>IFERROR(__xludf.DUMMYFUNCTION("""COMPUTED_VALUE"""),46111.0)</f>
        <v>46111</v>
      </c>
      <c r="U2659" s="124" t="str">
        <f>IFERROR(__xludf.DUMMYFUNCTION("""COMPUTED_VALUE"""),"Walk-Ins")</f>
        <v>Walk-Ins</v>
      </c>
      <c r="V2659" s="124" t="str">
        <f>IFERROR(__xludf.DUMMYFUNCTION("""COMPUTED_VALUE"""),"Walk-In")</f>
        <v>Walk-In</v>
      </c>
      <c r="W2659" s="124" t="str">
        <f>IFERROR(__xludf.DUMMYFUNCTION("""COMPUTED_VALUE"""),"Prayagraj")</f>
        <v>Prayagraj</v>
      </c>
      <c r="X2659" s="124" t="str">
        <f>IFERROR(__xludf.DUMMYFUNCTION("""COMPUTED_VALUE"""),"Others")</f>
        <v>Others</v>
      </c>
      <c r="Y2659" s="124"/>
      <c r="Z2659" s="124">
        <f>IFERROR(__xludf.DUMMYFUNCTION("""COMPUTED_VALUE"""),1.0)</f>
        <v>1</v>
      </c>
      <c r="AA2659" s="124" t="str">
        <f>IFERROR(__xludf.DUMMYFUNCTION("""COMPUTED_VALUE"""),"Warm")</f>
        <v>Warm</v>
      </c>
      <c r="AB2659" s="124" t="str">
        <f>IFERROR(__xludf.DUMMYFUNCTION("""COMPUTED_VALUE"""),"GS Foundation")</f>
        <v>GS Foundation</v>
      </c>
    </row>
    <row r="2660">
      <c r="K2660" s="124"/>
      <c r="L2660" s="124"/>
      <c r="M2660" s="124"/>
      <c r="N2660" s="124"/>
      <c r="O2660" s="124"/>
      <c r="T2660" s="126">
        <f>IFERROR(__xludf.DUMMYFUNCTION("""COMPUTED_VALUE"""),46051.0)</f>
        <v>46051</v>
      </c>
      <c r="U2660" s="124" t="str">
        <f>IFERROR(__xludf.DUMMYFUNCTION("""COMPUTED_VALUE"""),"Walk-Ins")</f>
        <v>Walk-Ins</v>
      </c>
      <c r="V2660" s="124" t="str">
        <f>IFERROR(__xludf.DUMMYFUNCTION("""COMPUTED_VALUE"""),"Walkin")</f>
        <v>Walkin</v>
      </c>
      <c r="W2660" s="124" t="str">
        <f>IFERROR(__xludf.DUMMYFUNCTION("""COMPUTED_VALUE"""),"Lucknow")</f>
        <v>Lucknow</v>
      </c>
      <c r="X2660" s="124" t="str">
        <f>IFERROR(__xludf.DUMMYFUNCTION("""COMPUTED_VALUE"""),"Walkin")</f>
        <v>Walkin</v>
      </c>
      <c r="Y2660" s="124" t="str">
        <f>IFERROR(__xludf.DUMMYFUNCTION("""COMPUTED_VALUE"""),"Lucknow")</f>
        <v>Lucknow</v>
      </c>
      <c r="Z2660" s="124">
        <f>IFERROR(__xludf.DUMMYFUNCTION("""COMPUTED_VALUE"""),1.0)</f>
        <v>1</v>
      </c>
      <c r="AA2660" s="124" t="str">
        <f>IFERROR(__xludf.DUMMYFUNCTION("""COMPUTED_VALUE"""),"Enrolled")</f>
        <v>Enrolled</v>
      </c>
      <c r="AB2660" s="124" t="str">
        <f>IFERROR(__xludf.DUMMYFUNCTION("""COMPUTED_VALUE"""),"Hybrid")</f>
        <v>Hybrid</v>
      </c>
    </row>
    <row r="2661">
      <c r="K2661" s="124"/>
      <c r="L2661" s="124"/>
      <c r="M2661" s="124"/>
      <c r="N2661" s="124"/>
      <c r="O2661" s="124"/>
      <c r="T2661" s="129">
        <f>IFERROR(__xludf.DUMMYFUNCTION("""COMPUTED_VALUE"""),46107.0)</f>
        <v>46107</v>
      </c>
      <c r="U2661" s="124" t="str">
        <f>IFERROR(__xludf.DUMMYFUNCTION("""COMPUTED_VALUE"""),"Walk-Ins")</f>
        <v>Walk-Ins</v>
      </c>
      <c r="V2661" s="124" t="str">
        <f>IFERROR(__xludf.DUMMYFUNCTION("""COMPUTED_VALUE"""),"Walkin")</f>
        <v>Walkin</v>
      </c>
      <c r="W2661" s="124" t="str">
        <f>IFERROR(__xludf.DUMMYFUNCTION("""COMPUTED_VALUE"""),"Patna")</f>
        <v>Patna</v>
      </c>
      <c r="X2661" s="124" t="str">
        <f>IFERROR(__xludf.DUMMYFUNCTION("""COMPUTED_VALUE"""),"Walkin")</f>
        <v>Walkin</v>
      </c>
      <c r="Y2661" s="124" t="str">
        <f>IFERROR(__xludf.DUMMYFUNCTION("""COMPUTED_VALUE"""),"Patna")</f>
        <v>Patna</v>
      </c>
      <c r="Z2661" s="124">
        <f>IFERROR(__xludf.DUMMYFUNCTION("""COMPUTED_VALUE"""),2.0)</f>
        <v>2</v>
      </c>
      <c r="AA2661" s="124" t="str">
        <f>IFERROR(__xludf.DUMMYFUNCTION("""COMPUTED_VALUE"""),"Warm")</f>
        <v>Warm</v>
      </c>
      <c r="AB2661" s="124" t="str">
        <f>IFERROR(__xludf.DUMMYFUNCTION("""COMPUTED_VALUE"""),"GS Foundation")</f>
        <v>GS Foundation</v>
      </c>
    </row>
    <row r="2662">
      <c r="K2662" s="124"/>
      <c r="L2662" s="124"/>
      <c r="M2662" s="124"/>
      <c r="N2662" s="124"/>
      <c r="O2662" s="124"/>
      <c r="T2662" s="126">
        <f>IFERROR(__xludf.DUMMYFUNCTION("""COMPUTED_VALUE"""),46089.0)</f>
        <v>46089</v>
      </c>
      <c r="U2662" s="124" t="str">
        <f>IFERROR(__xludf.DUMMYFUNCTION("""COMPUTED_VALUE"""),"Walk-Ins")</f>
        <v>Walk-Ins</v>
      </c>
      <c r="V2662" s="124" t="str">
        <f>IFERROR(__xludf.DUMMYFUNCTION("""COMPUTED_VALUE"""),"Walkin")</f>
        <v>Walkin</v>
      </c>
      <c r="W2662" s="124" t="str">
        <f>IFERROR(__xludf.DUMMYFUNCTION("""COMPUTED_VALUE"""),"Patna")</f>
        <v>Patna</v>
      </c>
      <c r="X2662" s="124" t="str">
        <f>IFERROR(__xludf.DUMMYFUNCTION("""COMPUTED_VALUE"""),"Walkin")</f>
        <v>Walkin</v>
      </c>
      <c r="Y2662" s="124" t="str">
        <f>IFERROR(__xludf.DUMMYFUNCTION("""COMPUTED_VALUE"""),"Patna")</f>
        <v>Patna</v>
      </c>
      <c r="Z2662" s="124">
        <f>IFERROR(__xludf.DUMMYFUNCTION("""COMPUTED_VALUE"""),1.0)</f>
        <v>1</v>
      </c>
      <c r="AA2662" s="124" t="str">
        <f>IFERROR(__xludf.DUMMYFUNCTION("""COMPUTED_VALUE"""),"Future Prospects")</f>
        <v>Future Prospects</v>
      </c>
      <c r="AB2662" s="124" t="str">
        <f>IFERROR(__xludf.DUMMYFUNCTION("""COMPUTED_VALUE"""),"GS Foundation")</f>
        <v>GS Foundation</v>
      </c>
    </row>
    <row r="2663">
      <c r="K2663" s="124"/>
      <c r="L2663" s="124"/>
      <c r="M2663" s="124"/>
      <c r="N2663" s="124"/>
      <c r="O2663" s="124"/>
      <c r="T2663" s="126">
        <f>IFERROR(__xludf.DUMMYFUNCTION("""COMPUTED_VALUE"""),46074.0)</f>
        <v>46074</v>
      </c>
      <c r="U2663" s="124" t="str">
        <f>IFERROR(__xludf.DUMMYFUNCTION("""COMPUTED_VALUE"""),"Walk-Ins")</f>
        <v>Walk-Ins</v>
      </c>
      <c r="V2663" s="124" t="str">
        <f>IFERROR(__xludf.DUMMYFUNCTION("""COMPUTED_VALUE"""),"Walkin")</f>
        <v>Walkin</v>
      </c>
      <c r="W2663" s="124" t="str">
        <f>IFERROR(__xludf.DUMMYFUNCTION("""COMPUTED_VALUE"""),"Prayagraj")</f>
        <v>Prayagraj</v>
      </c>
      <c r="X2663" s="124" t="str">
        <f>IFERROR(__xludf.DUMMYFUNCTION("""COMPUTED_VALUE"""),"Walkin")</f>
        <v>Walkin</v>
      </c>
      <c r="Y2663" s="124" t="str">
        <f>IFERROR(__xludf.DUMMYFUNCTION("""COMPUTED_VALUE"""),"Prayagraj")</f>
        <v>Prayagraj</v>
      </c>
      <c r="Z2663" s="124">
        <f>IFERROR(__xludf.DUMMYFUNCTION("""COMPUTED_VALUE"""),2.0)</f>
        <v>2</v>
      </c>
      <c r="AA2663" s="124" t="str">
        <f>IFERROR(__xludf.DUMMYFUNCTION("""COMPUTED_VALUE"""),"Not Interested")</f>
        <v>Not Interested</v>
      </c>
      <c r="AB2663" s="124" t="str">
        <f>IFERROR(__xludf.DUMMYFUNCTION("""COMPUTED_VALUE"""),"GS Foundation")</f>
        <v>GS Foundation</v>
      </c>
    </row>
    <row r="2664">
      <c r="K2664" s="124"/>
      <c r="L2664" s="124"/>
      <c r="M2664" s="124"/>
      <c r="N2664" s="124"/>
      <c r="O2664" s="124"/>
      <c r="T2664" s="126">
        <f>IFERROR(__xludf.DUMMYFUNCTION("""COMPUTED_VALUE"""),46056.0)</f>
        <v>46056</v>
      </c>
      <c r="U2664" s="124" t="str">
        <f>IFERROR(__xludf.DUMMYFUNCTION("""COMPUTED_VALUE"""),"Walk-Ins")</f>
        <v>Walk-Ins</v>
      </c>
      <c r="V2664" s="124" t="str">
        <f>IFERROR(__xludf.DUMMYFUNCTION("""COMPUTED_VALUE"""),"Walkin")</f>
        <v>Walkin</v>
      </c>
      <c r="W2664" s="124" t="str">
        <f>IFERROR(__xludf.DUMMYFUNCTION("""COMPUTED_VALUE"""),"Prayagraj")</f>
        <v>Prayagraj</v>
      </c>
      <c r="X2664" s="124" t="str">
        <f>IFERROR(__xludf.DUMMYFUNCTION("""COMPUTED_VALUE"""),"Walkin")</f>
        <v>Walkin</v>
      </c>
      <c r="Y2664" s="124" t="str">
        <f>IFERROR(__xludf.DUMMYFUNCTION("""COMPUTED_VALUE"""),"Prayagraj")</f>
        <v>Prayagraj</v>
      </c>
      <c r="Z2664" s="124">
        <f>IFERROR(__xludf.DUMMYFUNCTION("""COMPUTED_VALUE"""),1.0)</f>
        <v>1</v>
      </c>
      <c r="AA2664" s="124" t="str">
        <f>IFERROR(__xludf.DUMMYFUNCTION("""COMPUTED_VALUE"""),"Cold")</f>
        <v>Cold</v>
      </c>
      <c r="AB2664" s="124" t="str">
        <f>IFERROR(__xludf.DUMMYFUNCTION("""COMPUTED_VALUE"""),"State PCS")</f>
        <v>State PCS</v>
      </c>
    </row>
    <row r="2665">
      <c r="K2665" s="124"/>
      <c r="L2665" s="124"/>
      <c r="M2665" s="124"/>
      <c r="N2665" s="124"/>
      <c r="O2665" s="124"/>
      <c r="T2665" s="129">
        <f>IFERROR(__xludf.DUMMYFUNCTION("""COMPUTED_VALUE"""),46076.0)</f>
        <v>46076</v>
      </c>
      <c r="U2665" s="124" t="str">
        <f>IFERROR(__xludf.DUMMYFUNCTION("""COMPUTED_VALUE"""),"Walk-Ins")</f>
        <v>Walk-Ins</v>
      </c>
      <c r="V2665" s="124" t="str">
        <f>IFERROR(__xludf.DUMMYFUNCTION("""COMPUTED_VALUE"""),"Walkin")</f>
        <v>Walkin</v>
      </c>
      <c r="W2665" s="124" t="str">
        <f>IFERROR(__xludf.DUMMYFUNCTION("""COMPUTED_VALUE"""),"Lucknow")</f>
        <v>Lucknow</v>
      </c>
      <c r="X2665" s="124" t="str">
        <f>IFERROR(__xludf.DUMMYFUNCTION("""COMPUTED_VALUE"""),"Walkin")</f>
        <v>Walkin</v>
      </c>
      <c r="Y2665" s="124" t="str">
        <f>IFERROR(__xludf.DUMMYFUNCTION("""COMPUTED_VALUE"""),"Lucknow")</f>
        <v>Lucknow</v>
      </c>
      <c r="Z2665" s="124">
        <f>IFERROR(__xludf.DUMMYFUNCTION("""COMPUTED_VALUE"""),1.0)</f>
        <v>1</v>
      </c>
      <c r="AA2665" s="124" t="str">
        <f>IFERROR(__xludf.DUMMYFUNCTION("""COMPUTED_VALUE"""),"Cold")</f>
        <v>Cold</v>
      </c>
      <c r="AB2665" s="124" t="str">
        <f>IFERROR(__xludf.DUMMYFUNCTION("""COMPUTED_VALUE"""),"GS Foundation")</f>
        <v>GS Foundation</v>
      </c>
    </row>
    <row r="2666">
      <c r="K2666" s="124"/>
      <c r="L2666" s="124"/>
      <c r="M2666" s="124"/>
      <c r="N2666" s="124"/>
      <c r="O2666" s="124"/>
      <c r="T2666" s="126">
        <f>IFERROR(__xludf.DUMMYFUNCTION("""COMPUTED_VALUE"""),46054.0)</f>
        <v>46054</v>
      </c>
      <c r="U2666" s="124" t="str">
        <f>IFERROR(__xludf.DUMMYFUNCTION("""COMPUTED_VALUE"""),"Walk-Ins")</f>
        <v>Walk-Ins</v>
      </c>
      <c r="V2666" s="124" t="str">
        <f>IFERROR(__xludf.DUMMYFUNCTION("""COMPUTED_VALUE"""),"Walkin")</f>
        <v>Walkin</v>
      </c>
      <c r="W2666" s="124" t="str">
        <f>IFERROR(__xludf.DUMMYFUNCTION("""COMPUTED_VALUE"""),"Prayagraj")</f>
        <v>Prayagraj</v>
      </c>
      <c r="X2666" s="124" t="str">
        <f>IFERROR(__xludf.DUMMYFUNCTION("""COMPUTED_VALUE"""),"Walkin")</f>
        <v>Walkin</v>
      </c>
      <c r="Y2666" s="124" t="str">
        <f>IFERROR(__xludf.DUMMYFUNCTION("""COMPUTED_VALUE"""),"Prayagraj")</f>
        <v>Prayagraj</v>
      </c>
      <c r="Z2666" s="124">
        <f>IFERROR(__xludf.DUMMYFUNCTION("""COMPUTED_VALUE"""),1.0)</f>
        <v>1</v>
      </c>
      <c r="AA2666" s="124" t="str">
        <f>IFERROR(__xludf.DUMMYFUNCTION("""COMPUTED_VALUE"""),"Cold")</f>
        <v>Cold</v>
      </c>
      <c r="AB2666" s="124" t="str">
        <f>IFERROR(__xludf.DUMMYFUNCTION("""COMPUTED_VALUE"""),"Mentorship")</f>
        <v>Mentorship</v>
      </c>
    </row>
    <row r="2667">
      <c r="K2667" s="124"/>
      <c r="L2667" s="124"/>
      <c r="M2667" s="124"/>
      <c r="N2667" s="124"/>
      <c r="O2667" s="124"/>
      <c r="T2667" s="129">
        <f>IFERROR(__xludf.DUMMYFUNCTION("""COMPUTED_VALUE"""),46098.0)</f>
        <v>46098</v>
      </c>
      <c r="U2667" s="124" t="str">
        <f>IFERROR(__xludf.DUMMYFUNCTION("""COMPUTED_VALUE"""),"Walk-Ins")</f>
        <v>Walk-Ins</v>
      </c>
      <c r="V2667" s="124" t="str">
        <f>IFERROR(__xludf.DUMMYFUNCTION("""COMPUTED_VALUE"""),"Walkin")</f>
        <v>Walkin</v>
      </c>
      <c r="W2667" s="124" t="str">
        <f>IFERROR(__xludf.DUMMYFUNCTION("""COMPUTED_VALUE"""),"Indore")</f>
        <v>Indore</v>
      </c>
      <c r="X2667" s="124" t="str">
        <f>IFERROR(__xludf.DUMMYFUNCTION("""COMPUTED_VALUE"""),"Walkin")</f>
        <v>Walkin</v>
      </c>
      <c r="Y2667" s="124" t="str">
        <f>IFERROR(__xludf.DUMMYFUNCTION("""COMPUTED_VALUE"""),"Indore")</f>
        <v>Indore</v>
      </c>
      <c r="Z2667" s="124">
        <f>IFERROR(__xludf.DUMMYFUNCTION("""COMPUTED_VALUE"""),1.0)</f>
        <v>1</v>
      </c>
      <c r="AA2667" s="124" t="str">
        <f>IFERROR(__xludf.DUMMYFUNCTION("""COMPUTED_VALUE"""),"Not Interested")</f>
        <v>Not Interested</v>
      </c>
      <c r="AB2667" s="124" t="str">
        <f>IFERROR(__xludf.DUMMYFUNCTION("""COMPUTED_VALUE"""),"GS Foundation")</f>
        <v>GS Foundation</v>
      </c>
    </row>
    <row r="2668">
      <c r="K2668" s="124"/>
      <c r="L2668" s="124"/>
      <c r="M2668" s="124"/>
      <c r="N2668" s="124"/>
      <c r="O2668" s="124"/>
      <c r="T2668" s="129">
        <f>IFERROR(__xludf.DUMMYFUNCTION("""COMPUTED_VALUE"""),46102.0)</f>
        <v>46102</v>
      </c>
      <c r="U2668" s="124" t="str">
        <f>IFERROR(__xludf.DUMMYFUNCTION("""COMPUTED_VALUE"""),"Walk-Ins")</f>
        <v>Walk-Ins</v>
      </c>
      <c r="V2668" s="124" t="str">
        <f>IFERROR(__xludf.DUMMYFUNCTION("""COMPUTED_VALUE"""),"Walkin")</f>
        <v>Walkin</v>
      </c>
      <c r="W2668" s="124" t="str">
        <f>IFERROR(__xludf.DUMMYFUNCTION("""COMPUTED_VALUE"""),"Prayagraj")</f>
        <v>Prayagraj</v>
      </c>
      <c r="X2668" s="124" t="str">
        <f>IFERROR(__xludf.DUMMYFUNCTION("""COMPUTED_VALUE"""),"Walkin")</f>
        <v>Walkin</v>
      </c>
      <c r="Y2668" s="124" t="str">
        <f>IFERROR(__xludf.DUMMYFUNCTION("""COMPUTED_VALUE"""),"Prayagraj")</f>
        <v>Prayagraj</v>
      </c>
      <c r="Z2668" s="124">
        <f>IFERROR(__xludf.DUMMYFUNCTION("""COMPUTED_VALUE"""),2.0)</f>
        <v>2</v>
      </c>
      <c r="AA2668" s="124" t="str">
        <f>IFERROR(__xludf.DUMMYFUNCTION("""COMPUTED_VALUE"""),"Warm")</f>
        <v>Warm</v>
      </c>
      <c r="AB2668" s="124" t="str">
        <f>IFERROR(__xludf.DUMMYFUNCTION("""COMPUTED_VALUE"""),"GS Foundation")</f>
        <v>GS Foundation</v>
      </c>
    </row>
    <row r="2669">
      <c r="K2669" s="124"/>
      <c r="L2669" s="124"/>
      <c r="M2669" s="124"/>
      <c r="N2669" s="124"/>
      <c r="O2669" s="124"/>
      <c r="T2669" s="126">
        <f>IFERROR(__xludf.DUMMYFUNCTION("""COMPUTED_VALUE"""),46067.0)</f>
        <v>46067</v>
      </c>
      <c r="U2669" s="124" t="str">
        <f>IFERROR(__xludf.DUMMYFUNCTION("""COMPUTED_VALUE"""),"Walk-Ins")</f>
        <v>Walk-Ins</v>
      </c>
      <c r="V2669" s="124" t="str">
        <f>IFERROR(__xludf.DUMMYFUNCTION("""COMPUTED_VALUE"""),"Walkin")</f>
        <v>Walkin</v>
      </c>
      <c r="W2669" s="124" t="str">
        <f>IFERROR(__xludf.DUMMYFUNCTION("""COMPUTED_VALUE"""),"Patna")</f>
        <v>Patna</v>
      </c>
      <c r="X2669" s="124" t="str">
        <f>IFERROR(__xludf.DUMMYFUNCTION("""COMPUTED_VALUE"""),"Walkin")</f>
        <v>Walkin</v>
      </c>
      <c r="Y2669" s="124" t="str">
        <f>IFERROR(__xludf.DUMMYFUNCTION("""COMPUTED_VALUE"""),"Patna")</f>
        <v>Patna</v>
      </c>
      <c r="Z2669" s="124">
        <f>IFERROR(__xludf.DUMMYFUNCTION("""COMPUTED_VALUE"""),3.0)</f>
        <v>3</v>
      </c>
      <c r="AA2669" s="124" t="str">
        <f>IFERROR(__xludf.DUMMYFUNCTION("""COMPUTED_VALUE"""),"Cold")</f>
        <v>Cold</v>
      </c>
      <c r="AB2669" s="124" t="str">
        <f>IFERROR(__xludf.DUMMYFUNCTION("""COMPUTED_VALUE"""),"GS Foundation")</f>
        <v>GS Foundation</v>
      </c>
    </row>
    <row r="2670">
      <c r="K2670" s="124"/>
      <c r="L2670" s="124"/>
      <c r="M2670" s="124"/>
      <c r="N2670" s="124"/>
      <c r="O2670" s="124"/>
      <c r="T2670" s="126">
        <f>IFERROR(__xludf.DUMMYFUNCTION("""COMPUTED_VALUE"""),46076.0)</f>
        <v>46076</v>
      </c>
      <c r="U2670" s="124" t="str">
        <f>IFERROR(__xludf.DUMMYFUNCTION("""COMPUTED_VALUE"""),"Walk-Ins")</f>
        <v>Walk-Ins</v>
      </c>
      <c r="V2670" s="124" t="str">
        <f>IFERROR(__xludf.DUMMYFUNCTION("""COMPUTED_VALUE"""),"Walkin")</f>
        <v>Walkin</v>
      </c>
      <c r="W2670" s="124" t="str">
        <f>IFERROR(__xludf.DUMMYFUNCTION("""COMPUTED_VALUE"""),"Lucknow")</f>
        <v>Lucknow</v>
      </c>
      <c r="X2670" s="124" t="str">
        <f>IFERROR(__xludf.DUMMYFUNCTION("""COMPUTED_VALUE"""),"Walkin")</f>
        <v>Walkin</v>
      </c>
      <c r="Y2670" s="124" t="str">
        <f>IFERROR(__xludf.DUMMYFUNCTION("""COMPUTED_VALUE"""),"Lucknow")</f>
        <v>Lucknow</v>
      </c>
      <c r="Z2670" s="124">
        <f>IFERROR(__xludf.DUMMYFUNCTION("""COMPUTED_VALUE"""),1.0)</f>
        <v>1</v>
      </c>
      <c r="AA2670" s="124" t="str">
        <f>IFERROR(__xludf.DUMMYFUNCTION("""COMPUTED_VALUE"""),"Warm")</f>
        <v>Warm</v>
      </c>
      <c r="AB2670" s="124" t="str">
        <f>IFERROR(__xludf.DUMMYFUNCTION("""COMPUTED_VALUE"""),"State PCS")</f>
        <v>State PCS</v>
      </c>
    </row>
    <row r="2671">
      <c r="K2671" s="124"/>
      <c r="L2671" s="124"/>
      <c r="M2671" s="124"/>
      <c r="N2671" s="124"/>
      <c r="O2671" s="124"/>
      <c r="T2671" s="129">
        <f>IFERROR(__xludf.DUMMYFUNCTION("""COMPUTED_VALUE"""),46060.0)</f>
        <v>46060</v>
      </c>
      <c r="U2671" s="124" t="str">
        <f>IFERROR(__xludf.DUMMYFUNCTION("""COMPUTED_VALUE"""),"Walk-Ins")</f>
        <v>Walk-Ins</v>
      </c>
      <c r="V2671" s="124" t="str">
        <f>IFERROR(__xludf.DUMMYFUNCTION("""COMPUTED_VALUE"""),"Walkin")</f>
        <v>Walkin</v>
      </c>
      <c r="W2671" s="124" t="str">
        <f>IFERROR(__xludf.DUMMYFUNCTION("""COMPUTED_VALUE"""),"Prayagraj")</f>
        <v>Prayagraj</v>
      </c>
      <c r="X2671" s="124" t="str">
        <f>IFERROR(__xludf.DUMMYFUNCTION("""COMPUTED_VALUE"""),"Walkin")</f>
        <v>Walkin</v>
      </c>
      <c r="Y2671" s="124" t="str">
        <f>IFERROR(__xludf.DUMMYFUNCTION("""COMPUTED_VALUE"""),"Prayagraj")</f>
        <v>Prayagraj</v>
      </c>
      <c r="Z2671" s="124">
        <f>IFERROR(__xludf.DUMMYFUNCTION("""COMPUTED_VALUE"""),4.0)</f>
        <v>4</v>
      </c>
      <c r="AA2671" s="124" t="str">
        <f>IFERROR(__xludf.DUMMYFUNCTION("""COMPUTED_VALUE"""),"Cold")</f>
        <v>Cold</v>
      </c>
      <c r="AB2671" s="124" t="str">
        <f>IFERROR(__xludf.DUMMYFUNCTION("""COMPUTED_VALUE"""),"GS Foundation")</f>
        <v>GS Foundation</v>
      </c>
    </row>
    <row r="2672">
      <c r="K2672" s="124"/>
      <c r="L2672" s="124"/>
      <c r="M2672" s="124"/>
      <c r="N2672" s="124"/>
      <c r="O2672" s="124"/>
      <c r="T2672" s="126">
        <f>IFERROR(__xludf.DUMMYFUNCTION("""COMPUTED_VALUE"""),46049.0)</f>
        <v>46049</v>
      </c>
      <c r="U2672" s="124" t="str">
        <f>IFERROR(__xludf.DUMMYFUNCTION("""COMPUTED_VALUE"""),"Walk-Ins")</f>
        <v>Walk-Ins</v>
      </c>
      <c r="V2672" s="124" t="str">
        <f>IFERROR(__xludf.DUMMYFUNCTION("""COMPUTED_VALUE"""),"Walkin")</f>
        <v>Walkin</v>
      </c>
      <c r="W2672" s="124" t="str">
        <f>IFERROR(__xludf.DUMMYFUNCTION("""COMPUTED_VALUE"""),"Patna")</f>
        <v>Patna</v>
      </c>
      <c r="X2672" s="124" t="str">
        <f>IFERROR(__xludf.DUMMYFUNCTION("""COMPUTED_VALUE"""),"Walkin")</f>
        <v>Walkin</v>
      </c>
      <c r="Y2672" s="124" t="str">
        <f>IFERROR(__xludf.DUMMYFUNCTION("""COMPUTED_VALUE"""),"Patna")</f>
        <v>Patna</v>
      </c>
      <c r="Z2672" s="124">
        <f>IFERROR(__xludf.DUMMYFUNCTION("""COMPUTED_VALUE"""),1.0)</f>
        <v>1</v>
      </c>
      <c r="AA2672" s="124" t="str">
        <f>IFERROR(__xludf.DUMMYFUNCTION("""COMPUTED_VALUE"""),"Not Interested")</f>
        <v>Not Interested</v>
      </c>
      <c r="AB2672" s="124" t="str">
        <f>IFERROR(__xludf.DUMMYFUNCTION("""COMPUTED_VALUE"""),"GS Foundation")</f>
        <v>GS Foundation</v>
      </c>
    </row>
    <row r="2673">
      <c r="K2673" s="124"/>
      <c r="L2673" s="124"/>
      <c r="M2673" s="124"/>
      <c r="N2673" s="124"/>
      <c r="O2673" s="124"/>
      <c r="T2673" s="126">
        <f>IFERROR(__xludf.DUMMYFUNCTION("""COMPUTED_VALUE"""),46106.0)</f>
        <v>46106</v>
      </c>
      <c r="U2673" s="124" t="str">
        <f>IFERROR(__xludf.DUMMYFUNCTION("""COMPUTED_VALUE"""),"Walk-Ins")</f>
        <v>Walk-Ins</v>
      </c>
      <c r="V2673" s="124" t="str">
        <f>IFERROR(__xludf.DUMMYFUNCTION("""COMPUTED_VALUE"""),"Walkin")</f>
        <v>Walkin</v>
      </c>
      <c r="W2673" s="124" t="str">
        <f>IFERROR(__xludf.DUMMYFUNCTION("""COMPUTED_VALUE"""),"Indore")</f>
        <v>Indore</v>
      </c>
      <c r="X2673" s="124" t="str">
        <f>IFERROR(__xludf.DUMMYFUNCTION("""COMPUTED_VALUE"""),"Walkin")</f>
        <v>Walkin</v>
      </c>
      <c r="Y2673" s="124" t="str">
        <f>IFERROR(__xludf.DUMMYFUNCTION("""COMPUTED_VALUE"""),"Indore")</f>
        <v>Indore</v>
      </c>
      <c r="Z2673" s="124">
        <f>IFERROR(__xludf.DUMMYFUNCTION("""COMPUTED_VALUE"""),2.0)</f>
        <v>2</v>
      </c>
      <c r="AA2673" s="124" t="str">
        <f>IFERROR(__xludf.DUMMYFUNCTION("""COMPUTED_VALUE"""),"Enrolled")</f>
        <v>Enrolled</v>
      </c>
      <c r="AB2673" s="124" t="str">
        <f>IFERROR(__xludf.DUMMYFUNCTION("""COMPUTED_VALUE"""),"State PCS")</f>
        <v>State PCS</v>
      </c>
    </row>
    <row r="2674">
      <c r="K2674" s="124"/>
      <c r="L2674" s="124"/>
      <c r="M2674" s="124"/>
      <c r="N2674" s="124"/>
      <c r="O2674" s="124"/>
      <c r="T2674" s="129">
        <f>IFERROR(__xludf.DUMMYFUNCTION("""COMPUTED_VALUE"""),46050.0)</f>
        <v>46050</v>
      </c>
      <c r="U2674" s="124" t="str">
        <f>IFERROR(__xludf.DUMMYFUNCTION("""COMPUTED_VALUE"""),"Walk-Ins")</f>
        <v>Walk-Ins</v>
      </c>
      <c r="V2674" s="124" t="str">
        <f>IFERROR(__xludf.DUMMYFUNCTION("""COMPUTED_VALUE"""),"Walkin")</f>
        <v>Walkin</v>
      </c>
      <c r="W2674" s="124" t="str">
        <f>IFERROR(__xludf.DUMMYFUNCTION("""COMPUTED_VALUE"""),"Lucknow")</f>
        <v>Lucknow</v>
      </c>
      <c r="X2674" s="124" t="str">
        <f>IFERROR(__xludf.DUMMYFUNCTION("""COMPUTED_VALUE"""),"Walkin")</f>
        <v>Walkin</v>
      </c>
      <c r="Y2674" s="124" t="str">
        <f>IFERROR(__xludf.DUMMYFUNCTION("""COMPUTED_VALUE"""),"Lucknow")</f>
        <v>Lucknow</v>
      </c>
      <c r="Z2674" s="124">
        <f>IFERROR(__xludf.DUMMYFUNCTION("""COMPUTED_VALUE"""),1.0)</f>
        <v>1</v>
      </c>
      <c r="AA2674" s="124" t="str">
        <f>IFERROR(__xludf.DUMMYFUNCTION("""COMPUTED_VALUE"""),"Cold")</f>
        <v>Cold</v>
      </c>
      <c r="AB2674" s="124" t="str">
        <f>IFERROR(__xludf.DUMMYFUNCTION("""COMPUTED_VALUE"""),"State PCS")</f>
        <v>State PCS</v>
      </c>
    </row>
    <row r="2675">
      <c r="K2675" s="124"/>
      <c r="L2675" s="124"/>
      <c r="M2675" s="124"/>
      <c r="N2675" s="124"/>
      <c r="O2675" s="124"/>
      <c r="T2675" s="126">
        <f>IFERROR(__xludf.DUMMYFUNCTION("""COMPUTED_VALUE"""),46095.0)</f>
        <v>46095</v>
      </c>
      <c r="U2675" s="124" t="str">
        <f>IFERROR(__xludf.DUMMYFUNCTION("""COMPUTED_VALUE"""),"Walk-Ins")</f>
        <v>Walk-Ins</v>
      </c>
      <c r="V2675" s="124" t="str">
        <f>IFERROR(__xludf.DUMMYFUNCTION("""COMPUTED_VALUE"""),"Walkin")</f>
        <v>Walkin</v>
      </c>
      <c r="W2675" s="124" t="str">
        <f>IFERROR(__xludf.DUMMYFUNCTION("""COMPUTED_VALUE"""),"Patna")</f>
        <v>Patna</v>
      </c>
      <c r="X2675" s="124" t="str">
        <f>IFERROR(__xludf.DUMMYFUNCTION("""COMPUTED_VALUE"""),"Walkin")</f>
        <v>Walkin</v>
      </c>
      <c r="Y2675" s="124" t="str">
        <f>IFERROR(__xludf.DUMMYFUNCTION("""COMPUTED_VALUE"""),"Patna")</f>
        <v>Patna</v>
      </c>
      <c r="Z2675" s="124">
        <f>IFERROR(__xludf.DUMMYFUNCTION("""COMPUTED_VALUE"""),1.0)</f>
        <v>1</v>
      </c>
      <c r="AA2675" s="124" t="str">
        <f>IFERROR(__xludf.DUMMYFUNCTION("""COMPUTED_VALUE"""),"Future Prospects")</f>
        <v>Future Prospects</v>
      </c>
      <c r="AB2675" s="124" t="str">
        <f>IFERROR(__xludf.DUMMYFUNCTION("""COMPUTED_VALUE"""),"GS Foundation")</f>
        <v>GS Foundation</v>
      </c>
    </row>
    <row r="2676">
      <c r="K2676" s="124"/>
      <c r="L2676" s="124"/>
      <c r="M2676" s="124"/>
      <c r="N2676" s="124"/>
      <c r="O2676" s="124"/>
      <c r="T2676" s="129">
        <f>IFERROR(__xludf.DUMMYFUNCTION("""COMPUTED_VALUE"""),46066.0)</f>
        <v>46066</v>
      </c>
      <c r="U2676" s="124" t="str">
        <f>IFERROR(__xludf.DUMMYFUNCTION("""COMPUTED_VALUE"""),"Walk-Ins")</f>
        <v>Walk-Ins</v>
      </c>
      <c r="V2676" s="124" t="str">
        <f>IFERROR(__xludf.DUMMYFUNCTION("""COMPUTED_VALUE"""),"Walkin")</f>
        <v>Walkin</v>
      </c>
      <c r="W2676" s="124" t="str">
        <f>IFERROR(__xludf.DUMMYFUNCTION("""COMPUTED_VALUE"""),"Patna")</f>
        <v>Patna</v>
      </c>
      <c r="X2676" s="124" t="str">
        <f>IFERROR(__xludf.DUMMYFUNCTION("""COMPUTED_VALUE"""),"Walkin")</f>
        <v>Walkin</v>
      </c>
      <c r="Y2676" s="124" t="str">
        <f>IFERROR(__xludf.DUMMYFUNCTION("""COMPUTED_VALUE"""),"Patna")</f>
        <v>Patna</v>
      </c>
      <c r="Z2676" s="124">
        <f>IFERROR(__xludf.DUMMYFUNCTION("""COMPUTED_VALUE"""),1.0)</f>
        <v>1</v>
      </c>
      <c r="AA2676" s="124" t="str">
        <f>IFERROR(__xludf.DUMMYFUNCTION("""COMPUTED_VALUE"""),"Enrolled")</f>
        <v>Enrolled</v>
      </c>
      <c r="AB2676" s="124" t="str">
        <f>IFERROR(__xludf.DUMMYFUNCTION("""COMPUTED_VALUE"""),"GS Foundation")</f>
        <v>GS Foundation</v>
      </c>
    </row>
    <row r="2677">
      <c r="K2677" s="124"/>
      <c r="L2677" s="124"/>
      <c r="M2677" s="124"/>
      <c r="N2677" s="124"/>
      <c r="O2677" s="124"/>
      <c r="T2677" s="129">
        <f>IFERROR(__xludf.DUMMYFUNCTION("""COMPUTED_VALUE"""),46046.0)</f>
        <v>46046</v>
      </c>
      <c r="U2677" s="124" t="str">
        <f>IFERROR(__xludf.DUMMYFUNCTION("""COMPUTED_VALUE"""),"Walk-Ins")</f>
        <v>Walk-Ins</v>
      </c>
      <c r="V2677" s="124" t="str">
        <f>IFERROR(__xludf.DUMMYFUNCTION("""COMPUTED_VALUE"""),"Walkin")</f>
        <v>Walkin</v>
      </c>
      <c r="W2677" s="124" t="str">
        <f>IFERROR(__xludf.DUMMYFUNCTION("""COMPUTED_VALUE"""),"Indore")</f>
        <v>Indore</v>
      </c>
      <c r="X2677" s="124" t="str">
        <f>IFERROR(__xludf.DUMMYFUNCTION("""COMPUTED_VALUE"""),"Walkin")</f>
        <v>Walkin</v>
      </c>
      <c r="Y2677" s="124" t="str">
        <f>IFERROR(__xludf.DUMMYFUNCTION("""COMPUTED_VALUE"""),"Indore")</f>
        <v>Indore</v>
      </c>
      <c r="Z2677" s="124">
        <f>IFERROR(__xludf.DUMMYFUNCTION("""COMPUTED_VALUE"""),1.0)</f>
        <v>1</v>
      </c>
      <c r="AA2677" s="124" t="str">
        <f>IFERROR(__xludf.DUMMYFUNCTION("""COMPUTED_VALUE"""),"Not Interested")</f>
        <v>Not Interested</v>
      </c>
      <c r="AB2677" s="124" t="str">
        <f>IFERROR(__xludf.DUMMYFUNCTION("""COMPUTED_VALUE"""),"GS Foundation")</f>
        <v>GS Foundation</v>
      </c>
    </row>
    <row r="2678">
      <c r="K2678" s="124"/>
      <c r="L2678" s="124"/>
      <c r="M2678" s="124"/>
      <c r="N2678" s="124"/>
      <c r="O2678" s="124"/>
      <c r="T2678" s="126">
        <f>IFERROR(__xludf.DUMMYFUNCTION("""COMPUTED_VALUE"""),46101.0)</f>
        <v>46101</v>
      </c>
      <c r="U2678" s="124" t="str">
        <f>IFERROR(__xludf.DUMMYFUNCTION("""COMPUTED_VALUE"""),"Walk-Ins")</f>
        <v>Walk-Ins</v>
      </c>
      <c r="V2678" s="124" t="str">
        <f>IFERROR(__xludf.DUMMYFUNCTION("""COMPUTED_VALUE"""),"Walkin")</f>
        <v>Walkin</v>
      </c>
      <c r="W2678" s="124" t="str">
        <f>IFERROR(__xludf.DUMMYFUNCTION("""COMPUTED_VALUE"""),"Prayagraj")</f>
        <v>Prayagraj</v>
      </c>
      <c r="X2678" s="124" t="str">
        <f>IFERROR(__xludf.DUMMYFUNCTION("""COMPUTED_VALUE"""),"Walkin")</f>
        <v>Walkin</v>
      </c>
      <c r="Y2678" s="124" t="str">
        <f>IFERROR(__xludf.DUMMYFUNCTION("""COMPUTED_VALUE"""),"Prayagraj")</f>
        <v>Prayagraj</v>
      </c>
      <c r="Z2678" s="124">
        <f>IFERROR(__xludf.DUMMYFUNCTION("""COMPUTED_VALUE"""),1.0)</f>
        <v>1</v>
      </c>
      <c r="AA2678" s="124" t="str">
        <f>IFERROR(__xludf.DUMMYFUNCTION("""COMPUTED_VALUE"""),"Warm")</f>
        <v>Warm</v>
      </c>
      <c r="AB2678" s="124" t="str">
        <f>IFERROR(__xludf.DUMMYFUNCTION("""COMPUTED_VALUE"""),"Mentorship")</f>
        <v>Mentorship</v>
      </c>
    </row>
    <row r="2679">
      <c r="K2679" s="124"/>
      <c r="L2679" s="124"/>
      <c r="M2679" s="124"/>
      <c r="N2679" s="124"/>
      <c r="O2679" s="124"/>
      <c r="T2679" s="126">
        <f>IFERROR(__xludf.DUMMYFUNCTION("""COMPUTED_VALUE"""),46076.0)</f>
        <v>46076</v>
      </c>
      <c r="U2679" s="124" t="str">
        <f>IFERROR(__xludf.DUMMYFUNCTION("""COMPUTED_VALUE"""),"Walk-Ins")</f>
        <v>Walk-Ins</v>
      </c>
      <c r="V2679" s="124" t="str">
        <f>IFERROR(__xludf.DUMMYFUNCTION("""COMPUTED_VALUE"""),"Walkin")</f>
        <v>Walkin</v>
      </c>
      <c r="W2679" s="124" t="str">
        <f>IFERROR(__xludf.DUMMYFUNCTION("""COMPUTED_VALUE"""),"Indore")</f>
        <v>Indore</v>
      </c>
      <c r="X2679" s="124" t="str">
        <f>IFERROR(__xludf.DUMMYFUNCTION("""COMPUTED_VALUE"""),"Walkin")</f>
        <v>Walkin</v>
      </c>
      <c r="Y2679" s="124" t="str">
        <f>IFERROR(__xludf.DUMMYFUNCTION("""COMPUTED_VALUE"""),"Indore")</f>
        <v>Indore</v>
      </c>
      <c r="Z2679" s="124">
        <f>IFERROR(__xludf.DUMMYFUNCTION("""COMPUTED_VALUE"""),1.0)</f>
        <v>1</v>
      </c>
      <c r="AA2679" s="124" t="str">
        <f>IFERROR(__xludf.DUMMYFUNCTION("""COMPUTED_VALUE"""),"Enrolled")</f>
        <v>Enrolled</v>
      </c>
      <c r="AB2679" s="124" t="str">
        <f>IFERROR(__xludf.DUMMYFUNCTION("""COMPUTED_VALUE"""),"State PCS")</f>
        <v>State PCS</v>
      </c>
    </row>
    <row r="2680">
      <c r="K2680" s="124"/>
      <c r="L2680" s="124"/>
      <c r="M2680" s="124"/>
      <c r="N2680" s="124"/>
      <c r="O2680" s="124"/>
      <c r="T2680" s="126">
        <f>IFERROR(__xludf.DUMMYFUNCTION("""COMPUTED_VALUE"""),46062.0)</f>
        <v>46062</v>
      </c>
      <c r="U2680" s="124" t="str">
        <f>IFERROR(__xludf.DUMMYFUNCTION("""COMPUTED_VALUE"""),"Walk-Ins")</f>
        <v>Walk-Ins</v>
      </c>
      <c r="V2680" s="124" t="str">
        <f>IFERROR(__xludf.DUMMYFUNCTION("""COMPUTED_VALUE"""),"Walkin")</f>
        <v>Walkin</v>
      </c>
      <c r="W2680" s="124" t="str">
        <f>IFERROR(__xludf.DUMMYFUNCTION("""COMPUTED_VALUE"""),"Prayagraj")</f>
        <v>Prayagraj</v>
      </c>
      <c r="X2680" s="124" t="str">
        <f>IFERROR(__xludf.DUMMYFUNCTION("""COMPUTED_VALUE"""),"Walkin")</f>
        <v>Walkin</v>
      </c>
      <c r="Y2680" s="124" t="str">
        <f>IFERROR(__xludf.DUMMYFUNCTION("""COMPUTED_VALUE"""),"Prayagraj")</f>
        <v>Prayagraj</v>
      </c>
      <c r="Z2680" s="124">
        <f>IFERROR(__xludf.DUMMYFUNCTION("""COMPUTED_VALUE"""),2.0)</f>
        <v>2</v>
      </c>
      <c r="AA2680" s="124" t="str">
        <f>IFERROR(__xludf.DUMMYFUNCTION("""COMPUTED_VALUE"""),"Future Prospects")</f>
        <v>Future Prospects</v>
      </c>
      <c r="AB2680" s="124" t="str">
        <f>IFERROR(__xludf.DUMMYFUNCTION("""COMPUTED_VALUE"""),"GS Foundation")</f>
        <v>GS Foundation</v>
      </c>
    </row>
    <row r="2681">
      <c r="K2681" s="124"/>
      <c r="L2681" s="124"/>
      <c r="M2681" s="124"/>
      <c r="N2681" s="124"/>
      <c r="O2681" s="124"/>
      <c r="T2681" s="126">
        <f>IFERROR(__xludf.DUMMYFUNCTION("""COMPUTED_VALUE"""),46057.0)</f>
        <v>46057</v>
      </c>
      <c r="U2681" s="124" t="str">
        <f>IFERROR(__xludf.DUMMYFUNCTION("""COMPUTED_VALUE"""),"Paid Ads")</f>
        <v>Paid Ads</v>
      </c>
      <c r="V2681" s="124" t="str">
        <f>IFERROR(__xludf.DUMMYFUNCTION("""COMPUTED_VALUE"""),"facebook")</f>
        <v>facebook</v>
      </c>
      <c r="W2681" s="124" t="str">
        <f>IFERROR(__xludf.DUMMYFUNCTION("""COMPUTED_VALUE"""),"lucknow")</f>
        <v>lucknow</v>
      </c>
      <c r="X2681" s="124" t="str">
        <f>IFERROR(__xludf.DUMMYFUNCTION("""COMPUTED_VALUE"""),"onlinepaid")</f>
        <v>onlinepaid</v>
      </c>
      <c r="Y2681" s="124" t="str">
        <f>IFERROR(__xludf.DUMMYFUNCTION("""COMPUTED_VALUE"""),"Lucknow")</f>
        <v>Lucknow</v>
      </c>
      <c r="Z2681" s="124">
        <f>IFERROR(__xludf.DUMMYFUNCTION("""COMPUTED_VALUE"""),1.0)</f>
        <v>1</v>
      </c>
      <c r="AA2681" s="124" t="str">
        <f>IFERROR(__xludf.DUMMYFUNCTION("""COMPUTED_VALUE"""),"Fake Lead")</f>
        <v>Fake Lead</v>
      </c>
      <c r="AB2681" s="124"/>
    </row>
    <row r="2682">
      <c r="K2682" s="124"/>
      <c r="L2682" s="124"/>
      <c r="M2682" s="124"/>
      <c r="N2682" s="124"/>
      <c r="O2682" s="124"/>
      <c r="T2682" s="126">
        <f>IFERROR(__xludf.DUMMYFUNCTION("""COMPUTED_VALUE"""),46080.0)</f>
        <v>46080</v>
      </c>
      <c r="U2682" s="124" t="str">
        <f>IFERROR(__xludf.DUMMYFUNCTION("""COMPUTED_VALUE"""),"Event")</f>
        <v>Event</v>
      </c>
      <c r="V2682" s="124" t="str">
        <f>IFERROR(__xludf.DUMMYFUNCTION("""COMPUTED_VALUE"""),"events")</f>
        <v>events</v>
      </c>
      <c r="W2682" s="124" t="str">
        <f>IFERROR(__xludf.DUMMYFUNCTION("""COMPUTED_VALUE"""),"prayagraj")</f>
        <v>prayagraj</v>
      </c>
      <c r="X2682" s="124" t="str">
        <f>IFERROR(__xludf.DUMMYFUNCTION("""COMPUTED_VALUE"""),"bhavanmehtapgcollege")</f>
        <v>bhavanmehtapgcollege</v>
      </c>
      <c r="Y2682" s="124"/>
      <c r="Z2682" s="124">
        <f>IFERROR(__xludf.DUMMYFUNCTION("""COMPUTED_VALUE"""),2.0)</f>
        <v>2</v>
      </c>
      <c r="AA2682" s="124" t="str">
        <f>IFERROR(__xludf.DUMMYFUNCTION("""COMPUTED_VALUE"""),"Fake Lead")</f>
        <v>Fake Lead</v>
      </c>
      <c r="AB2682" s="124"/>
    </row>
    <row r="2683">
      <c r="K2683" s="124"/>
      <c r="L2683" s="124"/>
      <c r="M2683" s="124"/>
      <c r="N2683" s="124"/>
      <c r="O2683" s="124"/>
      <c r="T2683" s="126">
        <f>IFERROR(__xludf.DUMMYFUNCTION("""COMPUTED_VALUE"""),46109.0)</f>
        <v>46109</v>
      </c>
      <c r="U2683" s="124" t="str">
        <f>IFERROR(__xludf.DUMMYFUNCTION("""COMPUTED_VALUE"""),"Paid Ads")</f>
        <v>Paid Ads</v>
      </c>
      <c r="V2683" s="124" t="str">
        <f>IFERROR(__xludf.DUMMYFUNCTION("""COMPUTED_VALUE"""),"Facebook")</f>
        <v>Facebook</v>
      </c>
      <c r="W2683" s="124" t="str">
        <f>IFERROR(__xludf.DUMMYFUNCTION("""COMPUTED_VALUE"""),"LeadAd")</f>
        <v>LeadAd</v>
      </c>
      <c r="X2683" s="124" t="str">
        <f>IFERROR(__xludf.DUMMYFUNCTION("""COMPUTED_VALUE"""),"Upsc_Hindi_Leads_FB_Creatives")</f>
        <v>Upsc_Hindi_Leads_FB_Creatives</v>
      </c>
      <c r="Y2683" s="124" t="str">
        <f>IFERROR(__xludf.DUMMYFUNCTION("""COMPUTED_VALUE"""),"Prayagraj")</f>
        <v>Prayagraj</v>
      </c>
      <c r="Z2683" s="124">
        <f>IFERROR(__xludf.DUMMYFUNCTION("""COMPUTED_VALUE"""),1.0)</f>
        <v>1</v>
      </c>
      <c r="AA2683" s="124" t="str">
        <f>IFERROR(__xludf.DUMMYFUNCTION("""COMPUTED_VALUE"""),"Warm")</f>
        <v>Warm</v>
      </c>
      <c r="AB2683" s="124" t="str">
        <f>IFERROR(__xludf.DUMMYFUNCTION("""COMPUTED_VALUE"""),"GS Foundation")</f>
        <v>GS Foundation</v>
      </c>
    </row>
    <row r="2684">
      <c r="K2684" s="124"/>
      <c r="L2684" s="124"/>
      <c r="M2684" s="124"/>
      <c r="N2684" s="124"/>
      <c r="O2684" s="124"/>
      <c r="T2684" s="126">
        <f>IFERROR(__xludf.DUMMYFUNCTION("""COMPUTED_VALUE"""),46107.0)</f>
        <v>46107</v>
      </c>
      <c r="U2684" s="124" t="str">
        <f>IFERROR(__xludf.DUMMYFUNCTION("""COMPUTED_VALUE"""),"Paid Ads")</f>
        <v>Paid Ads</v>
      </c>
      <c r="V2684" s="124" t="str">
        <f>IFERROR(__xludf.DUMMYFUNCTION("""COMPUTED_VALUE"""),"Facebook")</f>
        <v>Facebook</v>
      </c>
      <c r="W2684" s="124" t="str">
        <f>IFERROR(__xludf.DUMMYFUNCTION("""COMPUTED_VALUE"""),"LeadAd")</f>
        <v>LeadAd</v>
      </c>
      <c r="X2684" s="124" t="str">
        <f>IFERROR(__xludf.DUMMYFUNCTION("""COMPUTED_VALUE"""),"Upsc_Hindi_Leads_FB_Creatives")</f>
        <v>Upsc_Hindi_Leads_FB_Creatives</v>
      </c>
      <c r="Y2684" s="124" t="str">
        <f>IFERROR(__xludf.DUMMYFUNCTION("""COMPUTED_VALUE"""),"Prayagraj")</f>
        <v>Prayagraj</v>
      </c>
      <c r="Z2684" s="124">
        <f>IFERROR(__xludf.DUMMYFUNCTION("""COMPUTED_VALUE"""),1.0)</f>
        <v>1</v>
      </c>
      <c r="AA2684" s="124" t="str">
        <f>IFERROR(__xludf.DUMMYFUNCTION("""COMPUTED_VALUE"""),"Warm")</f>
        <v>Warm</v>
      </c>
      <c r="AB2684" s="124" t="str">
        <f>IFERROR(__xludf.DUMMYFUNCTION("""COMPUTED_VALUE"""),"GS Foundation")</f>
        <v>GS Foundation</v>
      </c>
    </row>
    <row r="2685">
      <c r="K2685" s="124"/>
      <c r="L2685" s="124"/>
      <c r="M2685" s="124"/>
      <c r="N2685" s="124"/>
      <c r="O2685" s="124"/>
      <c r="T2685" s="126">
        <f>IFERROR(__xludf.DUMMYFUNCTION("""COMPUTED_VALUE"""),46102.0)</f>
        <v>46102</v>
      </c>
      <c r="U2685" s="124" t="str">
        <f>IFERROR(__xludf.DUMMYFUNCTION("""COMPUTED_VALUE"""),"Paid Ads")</f>
        <v>Paid Ads</v>
      </c>
      <c r="V2685" s="124" t="str">
        <f>IFERROR(__xludf.DUMMYFUNCTION("""COMPUTED_VALUE"""),"Facebook")</f>
        <v>Facebook</v>
      </c>
      <c r="W2685" s="124" t="str">
        <f>IFERROR(__xludf.DUMMYFUNCTION("""COMPUTED_VALUE"""),"LeadAd")</f>
        <v>LeadAd</v>
      </c>
      <c r="X2685" s="124" t="str">
        <f>IFERROR(__xludf.DUMMYFUNCTION("""COMPUTED_VALUE"""),"Upsc_Hindi_Leads_FB_Creatives")</f>
        <v>Upsc_Hindi_Leads_FB_Creatives</v>
      </c>
      <c r="Y2685" s="124"/>
      <c r="Z2685" s="124">
        <f>IFERROR(__xludf.DUMMYFUNCTION("""COMPUTED_VALUE"""),1.0)</f>
        <v>1</v>
      </c>
      <c r="AA2685" s="124" t="str">
        <f>IFERROR(__xludf.DUMMYFUNCTION("""COMPUTED_VALUE"""),"Fake Lead")</f>
        <v>Fake Lead</v>
      </c>
      <c r="AB2685" s="124"/>
    </row>
    <row r="2686">
      <c r="K2686" s="124"/>
      <c r="L2686" s="124"/>
      <c r="M2686" s="124"/>
      <c r="N2686" s="124"/>
      <c r="O2686" s="124"/>
      <c r="T2686" s="126">
        <f>IFERROR(__xludf.DUMMYFUNCTION("""COMPUTED_VALUE"""),46094.0)</f>
        <v>46094</v>
      </c>
      <c r="U2686" s="124" t="str">
        <f>IFERROR(__xludf.DUMMYFUNCTION("""COMPUTED_VALUE"""),"External Leads")</f>
        <v>External Leads</v>
      </c>
      <c r="V2686" s="124" t="str">
        <f>IFERROR(__xludf.DUMMYFUNCTION("""COMPUTED_VALUE"""),"external leads")</f>
        <v>external leads</v>
      </c>
      <c r="W2686" s="124" t="str">
        <f>IFERROR(__xludf.DUMMYFUNCTION("""COMPUTED_VALUE"""),"prayagraj")</f>
        <v>prayagraj</v>
      </c>
      <c r="X2686" s="124" t="str">
        <f>IFERROR(__xludf.DUMMYFUNCTION("""COMPUTED_VALUE"""),"pry bulk - piyush")</f>
        <v>pry bulk - piyush</v>
      </c>
      <c r="Y2686" s="124" t="str">
        <f>IFERROR(__xludf.DUMMYFUNCTION("""COMPUTED_VALUE"""),"Prayagraj")</f>
        <v>Prayagraj</v>
      </c>
      <c r="Z2686" s="124">
        <f>IFERROR(__xludf.DUMMYFUNCTION("""COMPUTED_VALUE"""),2.0)</f>
        <v>2</v>
      </c>
      <c r="AA2686" s="124"/>
      <c r="AB2686" s="124"/>
    </row>
    <row r="2687">
      <c r="K2687" s="124"/>
      <c r="L2687" s="124"/>
      <c r="M2687" s="124"/>
      <c r="N2687" s="124"/>
      <c r="O2687" s="124"/>
      <c r="T2687" s="126">
        <f>IFERROR(__xludf.DUMMYFUNCTION("""COMPUTED_VALUE"""),46090.0)</f>
        <v>46090</v>
      </c>
      <c r="U2687" s="124" t="str">
        <f>IFERROR(__xludf.DUMMYFUNCTION("""COMPUTED_VALUE"""),"External Leads")</f>
        <v>External Leads</v>
      </c>
      <c r="V2687" s="124" t="str">
        <f>IFERROR(__xludf.DUMMYFUNCTION("""COMPUTED_VALUE"""),"external leads")</f>
        <v>external leads</v>
      </c>
      <c r="W2687" s="124" t="str">
        <f>IFERROR(__xludf.DUMMYFUNCTION("""COMPUTED_VALUE"""),"delhi")</f>
        <v>delhi</v>
      </c>
      <c r="X2687" s="124" t="str">
        <f>IFERROR(__xludf.DUMMYFUNCTION("""COMPUTED_VALUE"""),"wacommunityncert")</f>
        <v>wacommunityncert</v>
      </c>
      <c r="Y2687" s="124" t="str">
        <f>IFERROR(__xludf.DUMMYFUNCTION("""COMPUTED_VALUE"""),"Delhi")</f>
        <v>Delhi</v>
      </c>
      <c r="Z2687" s="124">
        <f>IFERROR(__xludf.DUMMYFUNCTION("""COMPUTED_VALUE"""),2.0)</f>
        <v>2</v>
      </c>
      <c r="AA2687" s="124" t="str">
        <f>IFERROR(__xludf.DUMMYFUNCTION("""COMPUTED_VALUE"""),"Cold")</f>
        <v>Cold</v>
      </c>
      <c r="AB2687" s="124" t="str">
        <f>IFERROR(__xludf.DUMMYFUNCTION("""COMPUTED_VALUE"""),"GS Foundation")</f>
        <v>GS Foundation</v>
      </c>
    </row>
    <row r="2688">
      <c r="K2688" s="124"/>
      <c r="L2688" s="124"/>
      <c r="M2688" s="124"/>
      <c r="N2688" s="124"/>
      <c r="O2688" s="124"/>
      <c r="T2688" s="129">
        <f>IFERROR(__xludf.DUMMYFUNCTION("""COMPUTED_VALUE"""),46075.0)</f>
        <v>46075</v>
      </c>
      <c r="U2688" s="124" t="str">
        <f>IFERROR(__xludf.DUMMYFUNCTION("""COMPUTED_VALUE"""),"Walk-Ins")</f>
        <v>Walk-Ins</v>
      </c>
      <c r="V2688" s="124" t="str">
        <f>IFERROR(__xludf.DUMMYFUNCTION("""COMPUTED_VALUE"""),"Walk-In")</f>
        <v>Walk-In</v>
      </c>
      <c r="W2688" s="124" t="str">
        <f>IFERROR(__xludf.DUMMYFUNCTION("""COMPUTED_VALUE"""),"Prayagraj")</f>
        <v>Prayagraj</v>
      </c>
      <c r="X2688" s="124" t="str">
        <f>IFERROR(__xludf.DUMMYFUNCTION("""COMPUTED_VALUE"""),"Prayagraj")</f>
        <v>Prayagraj</v>
      </c>
      <c r="Y2688" s="124"/>
      <c r="Z2688" s="124">
        <f>IFERROR(__xludf.DUMMYFUNCTION("""COMPUTED_VALUE"""),1.0)</f>
        <v>1</v>
      </c>
      <c r="AA2688" s="124" t="str">
        <f>IFERROR(__xludf.DUMMYFUNCTION("""COMPUTED_VALUE"""),"Cold")</f>
        <v>Cold</v>
      </c>
      <c r="AB2688" s="124" t="str">
        <f>IFERROR(__xludf.DUMMYFUNCTION("""COMPUTED_VALUE"""),"GS Foundation")</f>
        <v>GS Foundation</v>
      </c>
    </row>
    <row r="2689">
      <c r="K2689" s="124"/>
      <c r="L2689" s="124"/>
      <c r="M2689" s="124"/>
      <c r="N2689" s="124"/>
      <c r="O2689" s="124"/>
      <c r="T2689" s="129">
        <f>IFERROR(__xludf.DUMMYFUNCTION("""COMPUTED_VALUE"""),46063.0)</f>
        <v>46063</v>
      </c>
      <c r="U2689" s="124" t="str">
        <f>IFERROR(__xludf.DUMMYFUNCTION("""COMPUTED_VALUE"""),"Walk-Ins")</f>
        <v>Walk-Ins</v>
      </c>
      <c r="V2689" s="124" t="str">
        <f>IFERROR(__xludf.DUMMYFUNCTION("""COMPUTED_VALUE"""),"Walk-In")</f>
        <v>Walk-In</v>
      </c>
      <c r="W2689" s="124" t="str">
        <f>IFERROR(__xludf.DUMMYFUNCTION("""COMPUTED_VALUE"""),"Prayagraj")</f>
        <v>Prayagraj</v>
      </c>
      <c r="X2689" s="124" t="str">
        <f>IFERROR(__xludf.DUMMYFUNCTION("""COMPUTED_VALUE"""),"Prayagraj")</f>
        <v>Prayagraj</v>
      </c>
      <c r="Y2689" s="124" t="str">
        <f>IFERROR(__xludf.DUMMYFUNCTION("""COMPUTED_VALUE"""),"Prayagraj")</f>
        <v>Prayagraj</v>
      </c>
      <c r="Z2689" s="124">
        <f>IFERROR(__xludf.DUMMYFUNCTION("""COMPUTED_VALUE"""),1.0)</f>
        <v>1</v>
      </c>
      <c r="AA2689" s="124" t="str">
        <f>IFERROR(__xludf.DUMMYFUNCTION("""COMPUTED_VALUE"""),"Cold")</f>
        <v>Cold</v>
      </c>
      <c r="AB2689" s="124" t="str">
        <f>IFERROR(__xludf.DUMMYFUNCTION("""COMPUTED_VALUE"""),"GS Foundation")</f>
        <v>GS Foundation</v>
      </c>
    </row>
    <row r="2690">
      <c r="K2690" s="124"/>
      <c r="L2690" s="124"/>
      <c r="M2690" s="124"/>
      <c r="N2690" s="124"/>
      <c r="O2690" s="124"/>
      <c r="T2690" s="126">
        <f>IFERROR(__xludf.DUMMYFUNCTION("""COMPUTED_VALUE"""),46051.0)</f>
        <v>46051</v>
      </c>
      <c r="U2690" s="124" t="str">
        <f>IFERROR(__xludf.DUMMYFUNCTION("""COMPUTED_VALUE"""),"Publisher Campaign")</f>
        <v>Publisher Campaign</v>
      </c>
      <c r="V2690" s="124" t="str">
        <f>IFERROR(__xludf.DUMMYFUNCTION("""COMPUTED_VALUE"""),"Patna Seminar")</f>
        <v>Patna Seminar</v>
      </c>
      <c r="W2690" s="124" t="str">
        <f>IFERROR(__xludf.DUMMYFUNCTION("""COMPUTED_VALUE"""),"Women's College")</f>
        <v>Women's College</v>
      </c>
      <c r="X2690" s="124">
        <f>IFERROR(__xludf.DUMMYFUNCTION("""COMPUTED_VALUE"""),2.2012026E7)</f>
        <v>22012026</v>
      </c>
      <c r="Y2690" s="124" t="str">
        <f>IFERROR(__xludf.DUMMYFUNCTION("""COMPUTED_VALUE"""),"Patna")</f>
        <v>Patna</v>
      </c>
      <c r="Z2690" s="124">
        <f>IFERROR(__xludf.DUMMYFUNCTION("""COMPUTED_VALUE"""),1.0)</f>
        <v>1</v>
      </c>
      <c r="AA2690" s="124"/>
      <c r="AB2690" s="124" t="str">
        <f>IFERROR(__xludf.DUMMYFUNCTION("""COMPUTED_VALUE"""),"GS Foundation")</f>
        <v>GS Foundation</v>
      </c>
    </row>
    <row r="2691">
      <c r="K2691" s="124"/>
      <c r="L2691" s="124"/>
      <c r="M2691" s="124"/>
      <c r="N2691" s="124"/>
      <c r="O2691" s="124"/>
      <c r="T2691" s="129">
        <f>IFERROR(__xludf.DUMMYFUNCTION("""COMPUTED_VALUE"""),46051.0)</f>
        <v>46051</v>
      </c>
      <c r="U2691" s="124" t="str">
        <f>IFERROR(__xludf.DUMMYFUNCTION("""COMPUTED_VALUE"""),"Publisher Campaign")</f>
        <v>Publisher Campaign</v>
      </c>
      <c r="V2691" s="124" t="str">
        <f>IFERROR(__xludf.DUMMYFUNCTION("""COMPUTED_VALUE"""),"Patna Seminar")</f>
        <v>Patna Seminar</v>
      </c>
      <c r="W2691" s="124" t="str">
        <f>IFERROR(__xludf.DUMMYFUNCTION("""COMPUTED_VALUE"""),"Women's College")</f>
        <v>Women's College</v>
      </c>
      <c r="X2691" s="124">
        <f>IFERROR(__xludf.DUMMYFUNCTION("""COMPUTED_VALUE"""),2.2012026E7)</f>
        <v>22012026</v>
      </c>
      <c r="Y2691" s="124" t="str">
        <f>IFERROR(__xludf.DUMMYFUNCTION("""COMPUTED_VALUE"""),"Patna")</f>
        <v>Patna</v>
      </c>
      <c r="Z2691" s="124">
        <f>IFERROR(__xludf.DUMMYFUNCTION("""COMPUTED_VALUE"""),1.0)</f>
        <v>1</v>
      </c>
      <c r="AA2691" s="124"/>
      <c r="AB2691" s="124" t="str">
        <f>IFERROR(__xludf.DUMMYFUNCTION("""COMPUTED_VALUE"""),"State PCS")</f>
        <v>State PCS</v>
      </c>
    </row>
    <row r="2692">
      <c r="K2692" s="124"/>
      <c r="L2692" s="124"/>
      <c r="M2692" s="124"/>
      <c r="N2692" s="124"/>
      <c r="O2692" s="124"/>
      <c r="T2692" s="129">
        <f>IFERROR(__xludf.DUMMYFUNCTION("""COMPUTED_VALUE"""),46049.0)</f>
        <v>46049</v>
      </c>
      <c r="U2692" s="124" t="str">
        <f>IFERROR(__xludf.DUMMYFUNCTION("""COMPUTED_VALUE"""),"Walk-Ins")</f>
        <v>Walk-Ins</v>
      </c>
      <c r="V2692" s="124" t="str">
        <f>IFERROR(__xludf.DUMMYFUNCTION("""COMPUTED_VALUE"""),"Walk-In")</f>
        <v>Walk-In</v>
      </c>
      <c r="W2692" s="124" t="str">
        <f>IFERROR(__xludf.DUMMYFUNCTION("""COMPUTED_VALUE"""),"Indore")</f>
        <v>Indore</v>
      </c>
      <c r="X2692" s="124" t="str">
        <f>IFERROR(__xludf.DUMMYFUNCTION("""COMPUTED_VALUE"""),"Shivani Patel")</f>
        <v>Shivani Patel</v>
      </c>
      <c r="Y2692" s="124"/>
      <c r="Z2692" s="124">
        <f>IFERROR(__xludf.DUMMYFUNCTION("""COMPUTED_VALUE"""),1.0)</f>
        <v>1</v>
      </c>
      <c r="AA2692" s="124" t="str">
        <f>IFERROR(__xludf.DUMMYFUNCTION("""COMPUTED_VALUE"""),"Enrolled")</f>
        <v>Enrolled</v>
      </c>
      <c r="AB2692" s="124" t="str">
        <f>IFERROR(__xludf.DUMMYFUNCTION("""COMPUTED_VALUE"""),"GS Foundation")</f>
        <v>GS Foundation</v>
      </c>
    </row>
    <row r="2693">
      <c r="K2693" s="124"/>
      <c r="L2693" s="124"/>
      <c r="M2693" s="124"/>
      <c r="N2693" s="124"/>
      <c r="O2693" s="124"/>
      <c r="T2693" s="129">
        <f>IFERROR(__xludf.DUMMYFUNCTION("""COMPUTED_VALUE"""),46077.0)</f>
        <v>46077</v>
      </c>
      <c r="U2693" s="124" t="str">
        <f>IFERROR(__xludf.DUMMYFUNCTION("""COMPUTED_VALUE"""),"Walk-Ins")</f>
        <v>Walk-Ins</v>
      </c>
      <c r="V2693" s="124" t="str">
        <f>IFERROR(__xludf.DUMMYFUNCTION("""COMPUTED_VALUE"""),"Walk-In")</f>
        <v>Walk-In</v>
      </c>
      <c r="W2693" s="124" t="str">
        <f>IFERROR(__xludf.DUMMYFUNCTION("""COMPUTED_VALUE"""),"Prayagraj")</f>
        <v>Prayagraj</v>
      </c>
      <c r="X2693" s="124" t="str">
        <f>IFERROR(__xludf.DUMMYFUNCTION("""COMPUTED_VALUE"""),"Prayagraj")</f>
        <v>Prayagraj</v>
      </c>
      <c r="Y2693" s="124" t="str">
        <f>IFERROR(__xludf.DUMMYFUNCTION("""COMPUTED_VALUE"""),"Prayagraj")</f>
        <v>Prayagraj</v>
      </c>
      <c r="Z2693" s="124">
        <f>IFERROR(__xludf.DUMMYFUNCTION("""COMPUTED_VALUE"""),1.0)</f>
        <v>1</v>
      </c>
      <c r="AA2693" s="124" t="str">
        <f>IFERROR(__xludf.DUMMYFUNCTION("""COMPUTED_VALUE"""),"Warm")</f>
        <v>Warm</v>
      </c>
      <c r="AB2693" s="124" t="str">
        <f>IFERROR(__xludf.DUMMYFUNCTION("""COMPUTED_VALUE"""),"Other")</f>
        <v>Other</v>
      </c>
    </row>
    <row r="2694">
      <c r="K2694" s="124"/>
      <c r="L2694" s="124"/>
      <c r="M2694" s="124"/>
      <c r="N2694" s="124"/>
      <c r="O2694" s="124"/>
      <c r="T2694" s="129">
        <f>IFERROR(__xludf.DUMMYFUNCTION("""COMPUTED_VALUE"""),46066.0)</f>
        <v>46066</v>
      </c>
      <c r="U2694" s="124" t="str">
        <f>IFERROR(__xludf.DUMMYFUNCTION("""COMPUTED_VALUE"""),"Walk-Ins")</f>
        <v>Walk-Ins</v>
      </c>
      <c r="V2694" s="124" t="str">
        <f>IFERROR(__xludf.DUMMYFUNCTION("""COMPUTED_VALUE"""),"Walk-In")</f>
        <v>Walk-In</v>
      </c>
      <c r="W2694" s="124" t="str">
        <f>IFERROR(__xludf.DUMMYFUNCTION("""COMPUTED_VALUE"""),"Prayagraj")</f>
        <v>Prayagraj</v>
      </c>
      <c r="X2694" s="124" t="str">
        <f>IFERROR(__xludf.DUMMYFUNCTION("""COMPUTED_VALUE"""),"Prayagraj")</f>
        <v>Prayagraj</v>
      </c>
      <c r="Y2694" s="124"/>
      <c r="Z2694" s="124">
        <f>IFERROR(__xludf.DUMMYFUNCTION("""COMPUTED_VALUE"""),2.0)</f>
        <v>2</v>
      </c>
      <c r="AA2694" s="124" t="str">
        <f>IFERROR(__xludf.DUMMYFUNCTION("""COMPUTED_VALUE"""),"Not Interested")</f>
        <v>Not Interested</v>
      </c>
      <c r="AB2694" s="124" t="str">
        <f>IFERROR(__xludf.DUMMYFUNCTION("""COMPUTED_VALUE"""),"State PCS")</f>
        <v>State PCS</v>
      </c>
    </row>
    <row r="2695">
      <c r="K2695" s="124"/>
      <c r="L2695" s="124"/>
      <c r="M2695" s="124"/>
      <c r="N2695" s="124"/>
      <c r="O2695" s="124"/>
      <c r="T2695" s="129">
        <f>IFERROR(__xludf.DUMMYFUNCTION("""COMPUTED_VALUE"""),46057.0)</f>
        <v>46057</v>
      </c>
      <c r="U2695" s="124" t="str">
        <f>IFERROR(__xludf.DUMMYFUNCTION("""COMPUTED_VALUE"""),"Event")</f>
        <v>Event</v>
      </c>
      <c r="V2695" s="124" t="str">
        <f>IFERROR(__xludf.DUMMYFUNCTION("""COMPUTED_VALUE"""),"events")</f>
        <v>events</v>
      </c>
      <c r="W2695" s="124" t="str">
        <f>IFERROR(__xludf.DUMMYFUNCTION("""COMPUTED_VALUE"""),"lucknow")</f>
        <v>lucknow</v>
      </c>
      <c r="X2695" s="124" t="str">
        <f>IFERROR(__xludf.DUMMYFUNCTION("""COMPUTED_VALUE"""),"universityseminar")</f>
        <v>universityseminar</v>
      </c>
      <c r="Y2695" s="124" t="str">
        <f>IFERROR(__xludf.DUMMYFUNCTION("""COMPUTED_VALUE"""),"Lucknow")</f>
        <v>Lucknow</v>
      </c>
      <c r="Z2695" s="124">
        <f>IFERROR(__xludf.DUMMYFUNCTION("""COMPUTED_VALUE"""),1.0)</f>
        <v>1</v>
      </c>
      <c r="AA2695" s="124" t="str">
        <f>IFERROR(__xludf.DUMMYFUNCTION("""COMPUTED_VALUE"""),"Cold")</f>
        <v>Cold</v>
      </c>
      <c r="AB2695" s="124"/>
    </row>
    <row r="2696">
      <c r="K2696" s="124"/>
      <c r="L2696" s="124"/>
      <c r="M2696" s="124"/>
      <c r="N2696" s="124"/>
      <c r="O2696" s="124"/>
      <c r="T2696" s="129">
        <f>IFERROR(__xludf.DUMMYFUNCTION("""COMPUTED_VALUE"""),46058.0)</f>
        <v>46058</v>
      </c>
      <c r="U2696" s="124" t="str">
        <f>IFERROR(__xludf.DUMMYFUNCTION("""COMPUTED_VALUE"""),"External Leads")</f>
        <v>External Leads</v>
      </c>
      <c r="V2696" s="124" t="str">
        <f>IFERROR(__xludf.DUMMYFUNCTION("""COMPUTED_VALUE"""),"external leads")</f>
        <v>external leads</v>
      </c>
      <c r="W2696" s="124" t="str">
        <f>IFERROR(__xludf.DUMMYFUNCTION("""COMPUTED_VALUE"""),"indore")</f>
        <v>indore</v>
      </c>
      <c r="X2696" s="124" t="str">
        <f>IFERROR(__xludf.DUMMYFUNCTION("""COMPUTED_VALUE"""),"indorereconnect")</f>
        <v>indorereconnect</v>
      </c>
      <c r="Y2696" s="124" t="str">
        <f>IFERROR(__xludf.DUMMYFUNCTION("""COMPUTED_VALUE"""),"Indore")</f>
        <v>Indore</v>
      </c>
      <c r="Z2696" s="124">
        <f>IFERROR(__xludf.DUMMYFUNCTION("""COMPUTED_VALUE"""),6.0)</f>
        <v>6</v>
      </c>
      <c r="AA2696" s="124" t="str">
        <f>IFERROR(__xludf.DUMMYFUNCTION("""COMPUTED_VALUE"""),"Not Interested")</f>
        <v>Not Interested</v>
      </c>
      <c r="AB2696" s="124" t="str">
        <f>IFERROR(__xludf.DUMMYFUNCTION("""COMPUTED_VALUE"""),"GS Foundation")</f>
        <v>GS Foundation</v>
      </c>
    </row>
    <row r="2697">
      <c r="K2697" s="124"/>
      <c r="L2697" s="124"/>
      <c r="M2697" s="124"/>
      <c r="N2697" s="124"/>
      <c r="O2697" s="124"/>
      <c r="T2697" s="129">
        <f>IFERROR(__xludf.DUMMYFUNCTION("""COMPUTED_VALUE"""),46111.0)</f>
        <v>46111</v>
      </c>
      <c r="U2697" s="124" t="str">
        <f>IFERROR(__xludf.DUMMYFUNCTION("""COMPUTED_VALUE"""),"Paid Ads")</f>
        <v>Paid Ads</v>
      </c>
      <c r="V2697" s="124" t="str">
        <f>IFERROR(__xludf.DUMMYFUNCTION("""COMPUTED_VALUE"""),"Facebook")</f>
        <v>Facebook</v>
      </c>
      <c r="W2697" s="124" t="str">
        <f>IFERROR(__xludf.DUMMYFUNCTION("""COMPUTED_VALUE"""),"LeadAd")</f>
        <v>LeadAd</v>
      </c>
      <c r="X2697" s="124" t="str">
        <f>IFERROR(__xludf.DUMMYFUNCTION("""COMPUTED_VALUE"""),"Upsc_925_Prygrj_Lead_FB")</f>
        <v>Upsc_925_Prygrj_Lead_FB</v>
      </c>
      <c r="Y2697" s="124" t="str">
        <f>IFERROR(__xludf.DUMMYFUNCTION("""COMPUTED_VALUE"""),"Prayagraj")</f>
        <v>Prayagraj</v>
      </c>
      <c r="Z2697" s="124">
        <f>IFERROR(__xludf.DUMMYFUNCTION("""COMPUTED_VALUE"""),1.0)</f>
        <v>1</v>
      </c>
      <c r="AA2697" s="124" t="str">
        <f>IFERROR(__xludf.DUMMYFUNCTION("""COMPUTED_VALUE"""),"Warm")</f>
        <v>Warm</v>
      </c>
      <c r="AB2697" s="124" t="str">
        <f>IFERROR(__xludf.DUMMYFUNCTION("""COMPUTED_VALUE"""),"Mentorship")</f>
        <v>Mentorship</v>
      </c>
    </row>
    <row r="2698">
      <c r="K2698" s="124"/>
      <c r="L2698" s="124"/>
      <c r="M2698" s="124"/>
      <c r="N2698" s="124"/>
      <c r="O2698" s="124"/>
      <c r="T2698" s="126">
        <f>IFERROR(__xludf.DUMMYFUNCTION("""COMPUTED_VALUE"""),46056.0)</f>
        <v>46056</v>
      </c>
      <c r="U2698" s="124" t="str">
        <f>IFERROR(__xludf.DUMMYFUNCTION("""COMPUTED_VALUE"""),"Libraries")</f>
        <v>Libraries</v>
      </c>
      <c r="V2698" s="124" t="str">
        <f>IFERROR(__xludf.DUMMYFUNCTION("""COMPUTED_VALUE"""),"Libraries")</f>
        <v>Libraries</v>
      </c>
      <c r="W2698" s="124" t="str">
        <f>IFERROR(__xludf.DUMMYFUNCTION("""COMPUTED_VALUE"""),"Delhi")</f>
        <v>Delhi</v>
      </c>
      <c r="X2698" s="124" t="str">
        <f>IFERROR(__xludf.DUMMYFUNCTION("""COMPUTED_VALUE"""),"General")</f>
        <v>General</v>
      </c>
      <c r="Y2698" s="124" t="str">
        <f>IFERROR(__xludf.DUMMYFUNCTION("""COMPUTED_VALUE"""),"Delhi")</f>
        <v>Delhi</v>
      </c>
      <c r="Z2698" s="124">
        <f>IFERROR(__xludf.DUMMYFUNCTION("""COMPUTED_VALUE"""),1.0)</f>
        <v>1</v>
      </c>
      <c r="AA2698" s="124" t="str">
        <f>IFERROR(__xludf.DUMMYFUNCTION("""COMPUTED_VALUE"""),"Cold")</f>
        <v>Cold</v>
      </c>
      <c r="AB2698" s="124" t="str">
        <f>IFERROR(__xludf.DUMMYFUNCTION("""COMPUTED_VALUE"""),"Prelims Crash Course - SIP")</f>
        <v>Prelims Crash Course - SIP</v>
      </c>
    </row>
    <row r="2699">
      <c r="K2699" s="124"/>
      <c r="L2699" s="124"/>
      <c r="M2699" s="124"/>
      <c r="N2699" s="124"/>
      <c r="O2699" s="124"/>
      <c r="T2699" s="126">
        <f>IFERROR(__xludf.DUMMYFUNCTION("""COMPUTED_VALUE"""),46044.0)</f>
        <v>46044</v>
      </c>
      <c r="U2699" s="124" t="str">
        <f>IFERROR(__xludf.DUMMYFUNCTION("""COMPUTED_VALUE"""),"Walk-Ins")</f>
        <v>Walk-Ins</v>
      </c>
      <c r="V2699" s="124" t="str">
        <f>IFERROR(__xludf.DUMMYFUNCTION("""COMPUTED_VALUE"""),"Walk-In")</f>
        <v>Walk-In</v>
      </c>
      <c r="W2699" s="124" t="str">
        <f>IFERROR(__xludf.DUMMYFUNCTION("""COMPUTED_VALUE"""),"Prayagraj")</f>
        <v>Prayagraj</v>
      </c>
      <c r="X2699" s="124" t="str">
        <f>IFERROR(__xludf.DUMMYFUNCTION("""COMPUTED_VALUE"""),"Shivanshi")</f>
        <v>Shivanshi</v>
      </c>
      <c r="Y2699" s="124" t="str">
        <f>IFERROR(__xludf.DUMMYFUNCTION("""COMPUTED_VALUE"""),"Prayagraj")</f>
        <v>Prayagraj</v>
      </c>
      <c r="Z2699" s="124">
        <f>IFERROR(__xludf.DUMMYFUNCTION("""COMPUTED_VALUE"""),1.0)</f>
        <v>1</v>
      </c>
      <c r="AA2699" s="124" t="str">
        <f>IFERROR(__xludf.DUMMYFUNCTION("""COMPUTED_VALUE"""),"Cold")</f>
        <v>Cold</v>
      </c>
      <c r="AB2699" s="124" t="str">
        <f>IFERROR(__xludf.DUMMYFUNCTION("""COMPUTED_VALUE"""),"GS Foundation")</f>
        <v>GS Foundation</v>
      </c>
    </row>
    <row r="2700">
      <c r="K2700" s="124"/>
      <c r="L2700" s="124"/>
      <c r="M2700" s="124"/>
      <c r="N2700" s="124"/>
      <c r="O2700" s="124"/>
      <c r="T2700" s="126">
        <f>IFERROR(__xludf.DUMMYFUNCTION("""COMPUTED_VALUE"""),46092.0)</f>
        <v>46092</v>
      </c>
      <c r="U2700" s="124" t="str">
        <f>IFERROR(__xludf.DUMMYFUNCTION("""COMPUTED_VALUE"""),"Walk-Ins")</f>
        <v>Walk-Ins</v>
      </c>
      <c r="V2700" s="124" t="str">
        <f>IFERROR(__xludf.DUMMYFUNCTION("""COMPUTED_VALUE"""),"Walk-In")</f>
        <v>Walk-In</v>
      </c>
      <c r="W2700" s="124" t="str">
        <f>IFERROR(__xludf.DUMMYFUNCTION("""COMPUTED_VALUE"""),"Prayagraj")</f>
        <v>Prayagraj</v>
      </c>
      <c r="X2700" s="124" t="str">
        <f>IFERROR(__xludf.DUMMYFUNCTION("""COMPUTED_VALUE"""),"Shivanshi")</f>
        <v>Shivanshi</v>
      </c>
      <c r="Y2700" s="124" t="str">
        <f>IFERROR(__xludf.DUMMYFUNCTION("""COMPUTED_VALUE"""),"Prayagraj")</f>
        <v>Prayagraj</v>
      </c>
      <c r="Z2700" s="124">
        <f>IFERROR(__xludf.DUMMYFUNCTION("""COMPUTED_VALUE"""),1.0)</f>
        <v>1</v>
      </c>
      <c r="AA2700" s="124" t="str">
        <f>IFERROR(__xludf.DUMMYFUNCTION("""COMPUTED_VALUE"""),"Fake Lead")</f>
        <v>Fake Lead</v>
      </c>
      <c r="AB2700" s="124" t="str">
        <f>IFERROR(__xludf.DUMMYFUNCTION("""COMPUTED_VALUE"""),"GS Foundation")</f>
        <v>GS Foundation</v>
      </c>
    </row>
    <row r="2701">
      <c r="K2701" s="124"/>
      <c r="L2701" s="124"/>
      <c r="M2701" s="124"/>
      <c r="N2701" s="124"/>
      <c r="O2701" s="124"/>
      <c r="T2701" s="126">
        <f>IFERROR(__xludf.DUMMYFUNCTION("""COMPUTED_VALUE"""),46062.0)</f>
        <v>46062</v>
      </c>
      <c r="U2701" s="124" t="str">
        <f>IFERROR(__xludf.DUMMYFUNCTION("""COMPUTED_VALUE"""),"Walk-Ins")</f>
        <v>Walk-Ins</v>
      </c>
      <c r="V2701" s="124" t="str">
        <f>IFERROR(__xludf.DUMMYFUNCTION("""COMPUTED_VALUE"""),"Walk-In")</f>
        <v>Walk-In</v>
      </c>
      <c r="W2701" s="124" t="str">
        <f>IFERROR(__xludf.DUMMYFUNCTION("""COMPUTED_VALUE"""),"Prayagraj")</f>
        <v>Prayagraj</v>
      </c>
      <c r="X2701" s="124" t="str">
        <f>IFERROR(__xludf.DUMMYFUNCTION("""COMPUTED_VALUE"""),"Shivanshi")</f>
        <v>Shivanshi</v>
      </c>
      <c r="Y2701" s="124" t="str">
        <f>IFERROR(__xludf.DUMMYFUNCTION("""COMPUTED_VALUE"""),"Prayagraj")</f>
        <v>Prayagraj</v>
      </c>
      <c r="Z2701" s="124">
        <f>IFERROR(__xludf.DUMMYFUNCTION("""COMPUTED_VALUE"""),1.0)</f>
        <v>1</v>
      </c>
      <c r="AA2701" s="124" t="str">
        <f>IFERROR(__xludf.DUMMYFUNCTION("""COMPUTED_VALUE"""),"Enrolled")</f>
        <v>Enrolled</v>
      </c>
      <c r="AB2701" s="124" t="str">
        <f>IFERROR(__xludf.DUMMYFUNCTION("""COMPUTED_VALUE"""),"Mentorship")</f>
        <v>Mentorship</v>
      </c>
    </row>
    <row r="2702">
      <c r="K2702" s="124"/>
      <c r="L2702" s="124"/>
      <c r="M2702" s="124"/>
      <c r="N2702" s="124"/>
      <c r="O2702" s="124"/>
      <c r="T2702" s="129">
        <f>IFERROR(__xludf.DUMMYFUNCTION("""COMPUTED_VALUE"""),46087.0)</f>
        <v>46087</v>
      </c>
      <c r="U2702" s="124" t="str">
        <f>IFERROR(__xludf.DUMMYFUNCTION("""COMPUTED_VALUE"""),"Walk-Ins")</f>
        <v>Walk-Ins</v>
      </c>
      <c r="V2702" s="124" t="str">
        <f>IFERROR(__xludf.DUMMYFUNCTION("""COMPUTED_VALUE"""),"Walk-In")</f>
        <v>Walk-In</v>
      </c>
      <c r="W2702" s="124" t="str">
        <f>IFERROR(__xludf.DUMMYFUNCTION("""COMPUTED_VALUE"""),"Prayagraj")</f>
        <v>Prayagraj</v>
      </c>
      <c r="X2702" s="124" t="str">
        <f>IFERROR(__xludf.DUMMYFUNCTION("""COMPUTED_VALUE"""),"Shivanshi")</f>
        <v>Shivanshi</v>
      </c>
      <c r="Y2702" s="124" t="str">
        <f>IFERROR(__xludf.DUMMYFUNCTION("""COMPUTED_VALUE"""),"Prayagraj")</f>
        <v>Prayagraj</v>
      </c>
      <c r="Z2702" s="124">
        <f>IFERROR(__xludf.DUMMYFUNCTION("""COMPUTED_VALUE"""),2.0)</f>
        <v>2</v>
      </c>
      <c r="AA2702" s="124" t="str">
        <f>IFERROR(__xludf.DUMMYFUNCTION("""COMPUTED_VALUE"""),"Warm")</f>
        <v>Warm</v>
      </c>
      <c r="AB2702" s="124" t="str">
        <f>IFERROR(__xludf.DUMMYFUNCTION("""COMPUTED_VALUE"""),"GS Foundation")</f>
        <v>GS Foundation</v>
      </c>
    </row>
    <row r="2703">
      <c r="K2703" s="124"/>
      <c r="L2703" s="124"/>
      <c r="M2703" s="124"/>
      <c r="N2703" s="124"/>
      <c r="O2703" s="124"/>
      <c r="T2703" s="126">
        <f>IFERROR(__xludf.DUMMYFUNCTION("""COMPUTED_VALUE"""),46096.0)</f>
        <v>46096</v>
      </c>
      <c r="U2703" s="124" t="str">
        <f>IFERROR(__xludf.DUMMYFUNCTION("""COMPUTED_VALUE"""),"Walk-Ins")</f>
        <v>Walk-Ins</v>
      </c>
      <c r="V2703" s="124" t="str">
        <f>IFERROR(__xludf.DUMMYFUNCTION("""COMPUTED_VALUE"""),"Walk-In")</f>
        <v>Walk-In</v>
      </c>
      <c r="W2703" s="124" t="str">
        <f>IFERROR(__xludf.DUMMYFUNCTION("""COMPUTED_VALUE"""),"Prayagraj")</f>
        <v>Prayagraj</v>
      </c>
      <c r="X2703" s="124" t="str">
        <f>IFERROR(__xludf.DUMMYFUNCTION("""COMPUTED_VALUE"""),"Shivanshi")</f>
        <v>Shivanshi</v>
      </c>
      <c r="Y2703" s="124" t="str">
        <f>IFERROR(__xludf.DUMMYFUNCTION("""COMPUTED_VALUE"""),"Prayagraj")</f>
        <v>Prayagraj</v>
      </c>
      <c r="Z2703" s="124">
        <f>IFERROR(__xludf.DUMMYFUNCTION("""COMPUTED_VALUE"""),1.0)</f>
        <v>1</v>
      </c>
      <c r="AA2703" s="124" t="str">
        <f>IFERROR(__xludf.DUMMYFUNCTION("""COMPUTED_VALUE"""),"Cold")</f>
        <v>Cold</v>
      </c>
      <c r="AB2703" s="124" t="str">
        <f>IFERROR(__xludf.DUMMYFUNCTION("""COMPUTED_VALUE"""),"Test Series")</f>
        <v>Test Series</v>
      </c>
    </row>
    <row r="2704">
      <c r="K2704" s="124"/>
      <c r="L2704" s="124"/>
      <c r="M2704" s="124"/>
      <c r="N2704" s="124"/>
      <c r="O2704" s="124"/>
      <c r="T2704" s="126">
        <f>IFERROR(__xludf.DUMMYFUNCTION("""COMPUTED_VALUE"""),46082.0)</f>
        <v>46082</v>
      </c>
      <c r="U2704" s="124" t="str">
        <f>IFERROR(__xludf.DUMMYFUNCTION("""COMPUTED_VALUE"""),"Walk-Ins")</f>
        <v>Walk-Ins</v>
      </c>
      <c r="V2704" s="124" t="str">
        <f>IFERROR(__xludf.DUMMYFUNCTION("""COMPUTED_VALUE"""),"Walk-In")</f>
        <v>Walk-In</v>
      </c>
      <c r="W2704" s="124" t="str">
        <f>IFERROR(__xludf.DUMMYFUNCTION("""COMPUTED_VALUE"""),"Prayagraj")</f>
        <v>Prayagraj</v>
      </c>
      <c r="X2704" s="124" t="str">
        <f>IFERROR(__xludf.DUMMYFUNCTION("""COMPUTED_VALUE"""),"Shivanshi")</f>
        <v>Shivanshi</v>
      </c>
      <c r="Y2704" s="124" t="str">
        <f>IFERROR(__xludf.DUMMYFUNCTION("""COMPUTED_VALUE"""),"Prayagraj")</f>
        <v>Prayagraj</v>
      </c>
      <c r="Z2704" s="124">
        <f>IFERROR(__xludf.DUMMYFUNCTION("""COMPUTED_VALUE"""),1.0)</f>
        <v>1</v>
      </c>
      <c r="AA2704" s="124" t="str">
        <f>IFERROR(__xludf.DUMMYFUNCTION("""COMPUTED_VALUE"""),"Cold")</f>
        <v>Cold</v>
      </c>
      <c r="AB2704" s="124" t="str">
        <f>IFERROR(__xludf.DUMMYFUNCTION("""COMPUTED_VALUE"""),"GS Foundation")</f>
        <v>GS Foundation</v>
      </c>
    </row>
    <row r="2705">
      <c r="K2705" s="124"/>
      <c r="L2705" s="124"/>
      <c r="M2705" s="124"/>
      <c r="N2705" s="124"/>
      <c r="O2705" s="124"/>
      <c r="T2705" s="126">
        <f>IFERROR(__xludf.DUMMYFUNCTION("""COMPUTED_VALUE"""),46057.0)</f>
        <v>46057</v>
      </c>
      <c r="U2705" s="124" t="str">
        <f>IFERROR(__xludf.DUMMYFUNCTION("""COMPUTED_VALUE"""),"Walk-Ins")</f>
        <v>Walk-Ins</v>
      </c>
      <c r="V2705" s="124" t="str">
        <f>IFERROR(__xludf.DUMMYFUNCTION("""COMPUTED_VALUE"""),"Walk-In")</f>
        <v>Walk-In</v>
      </c>
      <c r="W2705" s="124" t="str">
        <f>IFERROR(__xludf.DUMMYFUNCTION("""COMPUTED_VALUE"""),"Prayagraj")</f>
        <v>Prayagraj</v>
      </c>
      <c r="X2705" s="124" t="str">
        <f>IFERROR(__xludf.DUMMYFUNCTION("""COMPUTED_VALUE"""),"Shivanshi")</f>
        <v>Shivanshi</v>
      </c>
      <c r="Y2705" s="124" t="str">
        <f>IFERROR(__xludf.DUMMYFUNCTION("""COMPUTED_VALUE"""),"Prayagraj")</f>
        <v>Prayagraj</v>
      </c>
      <c r="Z2705" s="124">
        <f>IFERROR(__xludf.DUMMYFUNCTION("""COMPUTED_VALUE"""),2.0)</f>
        <v>2</v>
      </c>
      <c r="AA2705" s="124" t="str">
        <f>IFERROR(__xludf.DUMMYFUNCTION("""COMPUTED_VALUE"""),"Cold")</f>
        <v>Cold</v>
      </c>
      <c r="AB2705" s="124" t="str">
        <f>IFERROR(__xludf.DUMMYFUNCTION("""COMPUTED_VALUE"""),"GS Foundation")</f>
        <v>GS Foundation</v>
      </c>
    </row>
    <row r="2706">
      <c r="K2706" s="124"/>
      <c r="L2706" s="124"/>
      <c r="M2706" s="124"/>
      <c r="N2706" s="124"/>
      <c r="O2706" s="124"/>
      <c r="T2706" s="129">
        <f>IFERROR(__xludf.DUMMYFUNCTION("""COMPUTED_VALUE"""),46112.0)</f>
        <v>46112</v>
      </c>
      <c r="U2706" s="124" t="str">
        <f>IFERROR(__xludf.DUMMYFUNCTION("""COMPUTED_VALUE"""),"Walk-Ins")</f>
        <v>Walk-Ins</v>
      </c>
      <c r="V2706" s="124" t="str">
        <f>IFERROR(__xludf.DUMMYFUNCTION("""COMPUTED_VALUE"""),"Walk-In")</f>
        <v>Walk-In</v>
      </c>
      <c r="W2706" s="124" t="str">
        <f>IFERROR(__xludf.DUMMYFUNCTION("""COMPUTED_VALUE"""),"Prayagraj")</f>
        <v>Prayagraj</v>
      </c>
      <c r="X2706" s="124" t="str">
        <f>IFERROR(__xludf.DUMMYFUNCTION("""COMPUTED_VALUE"""),"Shivanshi")</f>
        <v>Shivanshi</v>
      </c>
      <c r="Y2706" s="124" t="str">
        <f>IFERROR(__xludf.DUMMYFUNCTION("""COMPUTED_VALUE"""),"Prayagraj")</f>
        <v>Prayagraj</v>
      </c>
      <c r="Z2706" s="124">
        <f>IFERROR(__xludf.DUMMYFUNCTION("""COMPUTED_VALUE"""),1.0)</f>
        <v>1</v>
      </c>
      <c r="AA2706" s="124" t="str">
        <f>IFERROR(__xludf.DUMMYFUNCTION("""COMPUTED_VALUE"""),"Cold")</f>
        <v>Cold</v>
      </c>
      <c r="AB2706" s="124" t="str">
        <f>IFERROR(__xludf.DUMMYFUNCTION("""COMPUTED_VALUE"""),"Other")</f>
        <v>Other</v>
      </c>
    </row>
    <row r="2707">
      <c r="K2707" s="124"/>
      <c r="L2707" s="124"/>
      <c r="M2707" s="124"/>
      <c r="N2707" s="124"/>
      <c r="O2707" s="124"/>
      <c r="T2707" s="126">
        <f>IFERROR(__xludf.DUMMYFUNCTION("""COMPUTED_VALUE"""),46112.0)</f>
        <v>46112</v>
      </c>
      <c r="U2707" s="124" t="str">
        <f>IFERROR(__xludf.DUMMYFUNCTION("""COMPUTED_VALUE"""),"Telephony")</f>
        <v>Telephony</v>
      </c>
      <c r="V2707" s="124" t="str">
        <f>IFERROR(__xludf.DUMMYFUNCTION("""COMPUTED_VALUE"""),"Inbound Call")</f>
        <v>Inbound Call</v>
      </c>
      <c r="W2707" s="124">
        <f>IFERROR(__xludf.DUMMYFUNCTION("""COMPUTED_VALUE"""),9.18047861663E11)</f>
        <v>918047861663</v>
      </c>
      <c r="X2707" s="124" t="str">
        <f>IFERROR(__xludf.DUMMYFUNCTION("""COMPUTED_VALUE"""),"Inbound Call")</f>
        <v>Inbound Call</v>
      </c>
      <c r="Y2707" s="124"/>
      <c r="Z2707" s="124">
        <f>IFERROR(__xludf.DUMMYFUNCTION("""COMPUTED_VALUE"""),2.0)</f>
        <v>2</v>
      </c>
      <c r="AA2707" s="124"/>
      <c r="AB2707" s="124"/>
    </row>
    <row r="2708">
      <c r="K2708" s="124"/>
      <c r="L2708" s="124"/>
      <c r="M2708" s="124"/>
      <c r="N2708" s="124"/>
      <c r="O2708" s="124"/>
      <c r="T2708" s="129">
        <f>IFERROR(__xludf.DUMMYFUNCTION("""COMPUTED_VALUE"""),46059.0)</f>
        <v>46059</v>
      </c>
      <c r="U2708" s="124" t="str">
        <f>IFERROR(__xludf.DUMMYFUNCTION("""COMPUTED_VALUE"""),"Telephony")</f>
        <v>Telephony</v>
      </c>
      <c r="V2708" s="124" t="str">
        <f>IFERROR(__xludf.DUMMYFUNCTION("""COMPUTED_VALUE"""),"Inbound Call")</f>
        <v>Inbound Call</v>
      </c>
      <c r="W2708" s="124">
        <f>IFERROR(__xludf.DUMMYFUNCTION("""COMPUTED_VALUE"""),9.18047861663E11)</f>
        <v>918047861663</v>
      </c>
      <c r="X2708" s="124" t="str">
        <f>IFERROR(__xludf.DUMMYFUNCTION("""COMPUTED_VALUE"""),"Inbound Call")</f>
        <v>Inbound Call</v>
      </c>
      <c r="Y2708" s="124"/>
      <c r="Z2708" s="124">
        <f>IFERROR(__xludf.DUMMYFUNCTION("""COMPUTED_VALUE"""),5.0)</f>
        <v>5</v>
      </c>
      <c r="AA2708" s="124" t="str">
        <f>IFERROR(__xludf.DUMMYFUNCTION("""COMPUTED_VALUE"""),"Cold")</f>
        <v>Cold</v>
      </c>
      <c r="AB2708" s="124"/>
    </row>
    <row r="2709">
      <c r="K2709" s="124"/>
      <c r="L2709" s="124"/>
      <c r="M2709" s="124"/>
      <c r="N2709" s="124"/>
      <c r="O2709" s="124"/>
      <c r="T2709" s="126">
        <f>IFERROR(__xludf.DUMMYFUNCTION("""COMPUTED_VALUE"""),46062.0)</f>
        <v>46062</v>
      </c>
      <c r="U2709" s="124" t="str">
        <f>IFERROR(__xludf.DUMMYFUNCTION("""COMPUTED_VALUE"""),"Telephony")</f>
        <v>Telephony</v>
      </c>
      <c r="V2709" s="124" t="str">
        <f>IFERROR(__xludf.DUMMYFUNCTION("""COMPUTED_VALUE"""),"Inbound Call")</f>
        <v>Inbound Call</v>
      </c>
      <c r="W2709" s="124" t="str">
        <f>IFERROR(__xludf.DUMMYFUNCTION("""COMPUTED_VALUE"""),"Inbound Call")</f>
        <v>Inbound Call</v>
      </c>
      <c r="X2709" s="124" t="str">
        <f>IFERROR(__xludf.DUMMYFUNCTION("""COMPUTED_VALUE"""),"Inbound Call")</f>
        <v>Inbound Call</v>
      </c>
      <c r="Y2709" s="124" t="str">
        <f>IFERROR(__xludf.DUMMYFUNCTION("""COMPUTED_VALUE"""),"Indore")</f>
        <v>Indore</v>
      </c>
      <c r="Z2709" s="124">
        <f>IFERROR(__xludf.DUMMYFUNCTION("""COMPUTED_VALUE"""),1.0)</f>
        <v>1</v>
      </c>
      <c r="AA2709" s="124" t="str">
        <f>IFERROR(__xludf.DUMMYFUNCTION("""COMPUTED_VALUE"""),"Not Interested")</f>
        <v>Not Interested</v>
      </c>
      <c r="AB2709" s="124" t="str">
        <f>IFERROR(__xludf.DUMMYFUNCTION("""COMPUTED_VALUE"""),"GS Foundation")</f>
        <v>GS Foundation</v>
      </c>
    </row>
    <row r="2710">
      <c r="K2710" s="124"/>
      <c r="L2710" s="124"/>
      <c r="M2710" s="124"/>
      <c r="N2710" s="124"/>
      <c r="O2710" s="124"/>
      <c r="T2710" s="126">
        <f>IFERROR(__xludf.DUMMYFUNCTION("""COMPUTED_VALUE"""),46063.0)</f>
        <v>46063</v>
      </c>
      <c r="U2710" s="124" t="str">
        <f>IFERROR(__xludf.DUMMYFUNCTION("""COMPUTED_VALUE"""),"Telephony")</f>
        <v>Telephony</v>
      </c>
      <c r="V2710" s="124" t="str">
        <f>IFERROR(__xludf.DUMMYFUNCTION("""COMPUTED_VALUE"""),"Inbound Call")</f>
        <v>Inbound Call</v>
      </c>
      <c r="W2710" s="124" t="str">
        <f>IFERROR(__xludf.DUMMYFUNCTION("""COMPUTED_VALUE"""),"Inbound Call")</f>
        <v>Inbound Call</v>
      </c>
      <c r="X2710" s="124" t="str">
        <f>IFERROR(__xludf.DUMMYFUNCTION("""COMPUTED_VALUE"""),"Inbound Call")</f>
        <v>Inbound Call</v>
      </c>
      <c r="Y2710" s="124" t="str">
        <f>IFERROR(__xludf.DUMMYFUNCTION("""COMPUTED_VALUE"""),"Patna")</f>
        <v>Patna</v>
      </c>
      <c r="Z2710" s="124">
        <f>IFERROR(__xludf.DUMMYFUNCTION("""COMPUTED_VALUE"""),1.0)</f>
        <v>1</v>
      </c>
      <c r="AA2710" s="124" t="str">
        <f>IFERROR(__xludf.DUMMYFUNCTION("""COMPUTED_VALUE"""),"Future Prospects")</f>
        <v>Future Prospects</v>
      </c>
      <c r="AB2710" s="124" t="str">
        <f>IFERROR(__xludf.DUMMYFUNCTION("""COMPUTED_VALUE"""),"Test Series")</f>
        <v>Test Series</v>
      </c>
    </row>
    <row r="2711">
      <c r="K2711" s="124"/>
      <c r="L2711" s="124"/>
      <c r="M2711" s="124"/>
      <c r="N2711" s="124"/>
      <c r="O2711" s="124"/>
      <c r="T2711" s="129">
        <f>IFERROR(__xludf.DUMMYFUNCTION("""COMPUTED_VALUE"""),46099.0)</f>
        <v>46099</v>
      </c>
      <c r="U2711" s="124" t="str">
        <f>IFERROR(__xludf.DUMMYFUNCTION("""COMPUTED_VALUE"""),"Telephony")</f>
        <v>Telephony</v>
      </c>
      <c r="V2711" s="124" t="str">
        <f>IFERROR(__xludf.DUMMYFUNCTION("""COMPUTED_VALUE"""),"Inbound Call")</f>
        <v>Inbound Call</v>
      </c>
      <c r="W2711" s="124">
        <f>IFERROR(__xludf.DUMMYFUNCTION("""COMPUTED_VALUE"""),9.18047861635E11)</f>
        <v>918047861635</v>
      </c>
      <c r="X2711" s="124" t="str">
        <f>IFERROR(__xludf.DUMMYFUNCTION("""COMPUTED_VALUE"""),"Inbound Call")</f>
        <v>Inbound Call</v>
      </c>
      <c r="Y2711" s="124"/>
      <c r="Z2711" s="124">
        <f>IFERROR(__xludf.DUMMYFUNCTION("""COMPUTED_VALUE"""),1.0)</f>
        <v>1</v>
      </c>
      <c r="AA2711" s="124" t="str">
        <f>IFERROR(__xludf.DUMMYFUNCTION("""COMPUTED_VALUE"""),"Fake Lead")</f>
        <v>Fake Lead</v>
      </c>
      <c r="AB2711" s="124"/>
    </row>
    <row r="2712">
      <c r="K2712" s="124"/>
      <c r="L2712" s="124"/>
      <c r="M2712" s="124"/>
      <c r="N2712" s="124"/>
      <c r="O2712" s="124"/>
      <c r="T2712" s="126">
        <f>IFERROR(__xludf.DUMMYFUNCTION("""COMPUTED_VALUE"""),46090.0)</f>
        <v>46090</v>
      </c>
      <c r="U2712" s="124" t="str">
        <f>IFERROR(__xludf.DUMMYFUNCTION("""COMPUTED_VALUE"""),"Telephony")</f>
        <v>Telephony</v>
      </c>
      <c r="V2712" s="124" t="str">
        <f>IFERROR(__xludf.DUMMYFUNCTION("""COMPUTED_VALUE"""),"Inbound Call")</f>
        <v>Inbound Call</v>
      </c>
      <c r="W2712" s="124" t="str">
        <f>IFERROR(__xludf.DUMMYFUNCTION("""COMPUTED_VALUE"""),"Inbound Call")</f>
        <v>Inbound Call</v>
      </c>
      <c r="X2712" s="124" t="str">
        <f>IFERROR(__xludf.DUMMYFUNCTION("""COMPUTED_VALUE"""),"Inbound Call")</f>
        <v>Inbound Call</v>
      </c>
      <c r="Y2712" s="124" t="str">
        <f>IFERROR(__xludf.DUMMYFUNCTION("""COMPUTED_VALUE"""),"Delhi")</f>
        <v>Delhi</v>
      </c>
      <c r="Z2712" s="124">
        <f>IFERROR(__xludf.DUMMYFUNCTION("""COMPUTED_VALUE"""),1.0)</f>
        <v>1</v>
      </c>
      <c r="AA2712" s="124" t="str">
        <f>IFERROR(__xludf.DUMMYFUNCTION("""COMPUTED_VALUE"""),"Cold")</f>
        <v>Cold</v>
      </c>
      <c r="AB2712" s="124"/>
    </row>
    <row r="2713">
      <c r="K2713" s="124"/>
      <c r="L2713" s="124"/>
      <c r="M2713" s="124"/>
      <c r="N2713" s="124"/>
      <c r="O2713" s="124"/>
      <c r="T2713" s="126">
        <f>IFERROR(__xludf.DUMMYFUNCTION("""COMPUTED_VALUE"""),46049.0)</f>
        <v>46049</v>
      </c>
      <c r="U2713" s="124" t="str">
        <f>IFERROR(__xludf.DUMMYFUNCTION("""COMPUTED_VALUE"""),"Telephony")</f>
        <v>Telephony</v>
      </c>
      <c r="V2713" s="124" t="str">
        <f>IFERROR(__xludf.DUMMYFUNCTION("""COMPUTED_VALUE"""),"Inbound Call")</f>
        <v>Inbound Call</v>
      </c>
      <c r="W2713" s="124">
        <f>IFERROR(__xludf.DUMMYFUNCTION("""COMPUTED_VALUE"""),9.18047861634E11)</f>
        <v>918047861634</v>
      </c>
      <c r="X2713" s="124" t="str">
        <f>IFERROR(__xludf.DUMMYFUNCTION("""COMPUTED_VALUE"""),"Inbound Call")</f>
        <v>Inbound Call</v>
      </c>
      <c r="Y2713" s="124"/>
      <c r="Z2713" s="124">
        <f>IFERROR(__xludf.DUMMYFUNCTION("""COMPUTED_VALUE"""),1.0)</f>
        <v>1</v>
      </c>
      <c r="AA2713" s="124" t="str">
        <f>IFERROR(__xludf.DUMMYFUNCTION("""COMPUTED_VALUE"""),"Not Interested")</f>
        <v>Not Interested</v>
      </c>
      <c r="AB2713" s="124"/>
    </row>
    <row r="2714">
      <c r="K2714" s="124"/>
      <c r="L2714" s="124"/>
      <c r="M2714" s="124"/>
      <c r="N2714" s="124"/>
      <c r="O2714" s="124"/>
      <c r="T2714" s="126">
        <f>IFERROR(__xludf.DUMMYFUNCTION("""COMPUTED_VALUE"""),46082.0)</f>
        <v>46082</v>
      </c>
      <c r="U2714" s="124" t="str">
        <f>IFERROR(__xludf.DUMMYFUNCTION("""COMPUTED_VALUE"""),"Telephony")</f>
        <v>Telephony</v>
      </c>
      <c r="V2714" s="124" t="str">
        <f>IFERROR(__xludf.DUMMYFUNCTION("""COMPUTED_VALUE"""),"Inbound Call")</f>
        <v>Inbound Call</v>
      </c>
      <c r="W2714" s="124">
        <f>IFERROR(__xludf.DUMMYFUNCTION("""COMPUTED_VALUE"""),9.18047861633E11)</f>
        <v>918047861633</v>
      </c>
      <c r="X2714" s="124" t="str">
        <f>IFERROR(__xludf.DUMMYFUNCTION("""COMPUTED_VALUE"""),"Inbound Call")</f>
        <v>Inbound Call</v>
      </c>
      <c r="Y2714" s="124"/>
      <c r="Z2714" s="124">
        <f>IFERROR(__xludf.DUMMYFUNCTION("""COMPUTED_VALUE"""),1.0)</f>
        <v>1</v>
      </c>
      <c r="AA2714" s="124" t="str">
        <f>IFERROR(__xludf.DUMMYFUNCTION("""COMPUTED_VALUE"""),"Cold")</f>
        <v>Cold</v>
      </c>
      <c r="AB2714" s="124"/>
    </row>
    <row r="2715">
      <c r="K2715" s="124"/>
      <c r="L2715" s="124"/>
      <c r="M2715" s="124"/>
      <c r="N2715" s="124"/>
      <c r="O2715" s="124"/>
      <c r="T2715" s="126">
        <f>IFERROR(__xludf.DUMMYFUNCTION("""COMPUTED_VALUE"""),46053.0)</f>
        <v>46053</v>
      </c>
      <c r="U2715" s="124" t="str">
        <f>IFERROR(__xludf.DUMMYFUNCTION("""COMPUTED_VALUE"""),"Telephony")</f>
        <v>Telephony</v>
      </c>
      <c r="V2715" s="124" t="str">
        <f>IFERROR(__xludf.DUMMYFUNCTION("""COMPUTED_VALUE"""),"Inbound Call")</f>
        <v>Inbound Call</v>
      </c>
      <c r="W2715" s="124">
        <f>IFERROR(__xludf.DUMMYFUNCTION("""COMPUTED_VALUE"""),9.18047861635E11)</f>
        <v>918047861635</v>
      </c>
      <c r="X2715" s="124" t="str">
        <f>IFERROR(__xludf.DUMMYFUNCTION("""COMPUTED_VALUE"""),"Inbound Call")</f>
        <v>Inbound Call</v>
      </c>
      <c r="Y2715" s="124"/>
      <c r="Z2715" s="124">
        <f>IFERROR(__xludf.DUMMYFUNCTION("""COMPUTED_VALUE"""),2.0)</f>
        <v>2</v>
      </c>
      <c r="AA2715" s="124" t="str">
        <f>IFERROR(__xludf.DUMMYFUNCTION("""COMPUTED_VALUE"""),"Cold")</f>
        <v>Cold</v>
      </c>
      <c r="AB2715" s="124"/>
    </row>
    <row r="2716">
      <c r="K2716" s="124"/>
      <c r="L2716" s="124"/>
      <c r="M2716" s="124"/>
      <c r="N2716" s="124"/>
      <c r="O2716" s="124"/>
      <c r="T2716" s="129">
        <f>IFERROR(__xludf.DUMMYFUNCTION("""COMPUTED_VALUE"""),46053.0)</f>
        <v>46053</v>
      </c>
      <c r="U2716" s="124" t="str">
        <f>IFERROR(__xludf.DUMMYFUNCTION("""COMPUTED_VALUE"""),"Walk-Ins")</f>
        <v>Walk-Ins</v>
      </c>
      <c r="V2716" s="124" t="str">
        <f>IFERROR(__xludf.DUMMYFUNCTION("""COMPUTED_VALUE"""),"Walk-In")</f>
        <v>Walk-In</v>
      </c>
      <c r="W2716" s="124" t="str">
        <f>IFERROR(__xludf.DUMMYFUNCTION("""COMPUTED_VALUE"""),"Delhi")</f>
        <v>Delhi</v>
      </c>
      <c r="X2716" s="124" t="str">
        <f>IFERROR(__xludf.DUMMYFUNCTION("""COMPUTED_VALUE"""),"Yogita")</f>
        <v>Yogita</v>
      </c>
      <c r="Y2716" s="124" t="str">
        <f>IFERROR(__xludf.DUMMYFUNCTION("""COMPUTED_VALUE"""),"Delhi")</f>
        <v>Delhi</v>
      </c>
      <c r="Z2716" s="124">
        <f>IFERROR(__xludf.DUMMYFUNCTION("""COMPUTED_VALUE"""),1.0)</f>
        <v>1</v>
      </c>
      <c r="AA2716" s="124" t="str">
        <f>IFERROR(__xludf.DUMMYFUNCTION("""COMPUTED_VALUE"""),"Not Interested")</f>
        <v>Not Interested</v>
      </c>
      <c r="AB2716" s="124" t="str">
        <f>IFERROR(__xludf.DUMMYFUNCTION("""COMPUTED_VALUE"""),"GS Foundation")</f>
        <v>GS Foundation</v>
      </c>
    </row>
    <row r="2717">
      <c r="K2717" s="124"/>
      <c r="L2717" s="124"/>
      <c r="M2717" s="124"/>
      <c r="N2717" s="124"/>
      <c r="O2717" s="124"/>
      <c r="T2717" s="126">
        <f>IFERROR(__xludf.DUMMYFUNCTION("""COMPUTED_VALUE"""),46103.0)</f>
        <v>46103</v>
      </c>
      <c r="U2717" s="124" t="str">
        <f>IFERROR(__xludf.DUMMYFUNCTION("""COMPUTED_VALUE"""),"Telephony")</f>
        <v>Telephony</v>
      </c>
      <c r="V2717" s="124" t="str">
        <f>IFERROR(__xludf.DUMMYFUNCTION("""COMPUTED_VALUE"""),"Inbound Call")</f>
        <v>Inbound Call</v>
      </c>
      <c r="W2717" s="124">
        <f>IFERROR(__xludf.DUMMYFUNCTION("""COMPUTED_VALUE"""),9.18047861635E11)</f>
        <v>918047861635</v>
      </c>
      <c r="X2717" s="124" t="str">
        <f>IFERROR(__xludf.DUMMYFUNCTION("""COMPUTED_VALUE"""),"Inbound Call")</f>
        <v>Inbound Call</v>
      </c>
      <c r="Y2717" s="124" t="str">
        <f>IFERROR(__xludf.DUMMYFUNCTION("""COMPUTED_VALUE"""),"Indore")</f>
        <v>Indore</v>
      </c>
      <c r="Z2717" s="124">
        <f>IFERROR(__xludf.DUMMYFUNCTION("""COMPUTED_VALUE"""),1.0)</f>
        <v>1</v>
      </c>
      <c r="AA2717" s="124" t="str">
        <f>IFERROR(__xludf.DUMMYFUNCTION("""COMPUTED_VALUE"""),"Cold")</f>
        <v>Cold</v>
      </c>
      <c r="AB2717" s="124"/>
    </row>
    <row r="2718">
      <c r="K2718" s="124"/>
      <c r="L2718" s="124"/>
      <c r="M2718" s="124"/>
      <c r="N2718" s="124"/>
      <c r="O2718" s="124"/>
      <c r="T2718" s="126">
        <f>IFERROR(__xludf.DUMMYFUNCTION("""COMPUTED_VALUE"""),46080.0)</f>
        <v>46080</v>
      </c>
      <c r="U2718" s="124" t="str">
        <f>IFERROR(__xludf.DUMMYFUNCTION("""COMPUTED_VALUE"""),"Telephony")</f>
        <v>Telephony</v>
      </c>
      <c r="V2718" s="124" t="str">
        <f>IFERROR(__xludf.DUMMYFUNCTION("""COMPUTED_VALUE"""),"Inbound Call")</f>
        <v>Inbound Call</v>
      </c>
      <c r="W2718" s="124">
        <f>IFERROR(__xludf.DUMMYFUNCTION("""COMPUTED_VALUE"""),9.18047861663E11)</f>
        <v>918047861663</v>
      </c>
      <c r="X2718" s="124" t="str">
        <f>IFERROR(__xludf.DUMMYFUNCTION("""COMPUTED_VALUE"""),"Inbound Call")</f>
        <v>Inbound Call</v>
      </c>
      <c r="Y2718" s="124" t="str">
        <f>IFERROR(__xludf.DUMMYFUNCTION("""COMPUTED_VALUE"""),"Delhi")</f>
        <v>Delhi</v>
      </c>
      <c r="Z2718" s="124">
        <f>IFERROR(__xludf.DUMMYFUNCTION("""COMPUTED_VALUE"""),3.0)</f>
        <v>3</v>
      </c>
      <c r="AA2718" s="124" t="str">
        <f>IFERROR(__xludf.DUMMYFUNCTION("""COMPUTED_VALUE"""),"Cold")</f>
        <v>Cold</v>
      </c>
      <c r="AB2718" s="124"/>
    </row>
    <row r="2719">
      <c r="K2719" s="124"/>
      <c r="L2719" s="124"/>
      <c r="M2719" s="124"/>
      <c r="N2719" s="124"/>
      <c r="O2719" s="124"/>
      <c r="T2719" s="126">
        <f>IFERROR(__xludf.DUMMYFUNCTION("""COMPUTED_VALUE"""),46084.0)</f>
        <v>46084</v>
      </c>
      <c r="U2719" s="124" t="str">
        <f>IFERROR(__xludf.DUMMYFUNCTION("""COMPUTED_VALUE"""),"Telephony")</f>
        <v>Telephony</v>
      </c>
      <c r="V2719" s="124" t="str">
        <f>IFERROR(__xludf.DUMMYFUNCTION("""COMPUTED_VALUE"""),"Inbound Call")</f>
        <v>Inbound Call</v>
      </c>
      <c r="W2719" s="124">
        <f>IFERROR(__xludf.DUMMYFUNCTION("""COMPUTED_VALUE"""),9.18047861635E11)</f>
        <v>918047861635</v>
      </c>
      <c r="X2719" s="124" t="str">
        <f>IFERROR(__xludf.DUMMYFUNCTION("""COMPUTED_VALUE"""),"Inbound Call")</f>
        <v>Inbound Call</v>
      </c>
      <c r="Y2719" s="124" t="str">
        <f>IFERROR(__xludf.DUMMYFUNCTION("""COMPUTED_VALUE"""),"Indore")</f>
        <v>Indore</v>
      </c>
      <c r="Z2719" s="124">
        <f>IFERROR(__xludf.DUMMYFUNCTION("""COMPUTED_VALUE"""),1.0)</f>
        <v>1</v>
      </c>
      <c r="AA2719" s="124" t="str">
        <f>IFERROR(__xludf.DUMMYFUNCTION("""COMPUTED_VALUE"""),"Future Prospects")</f>
        <v>Future Prospects</v>
      </c>
      <c r="AB2719" s="124" t="str">
        <f>IFERROR(__xludf.DUMMYFUNCTION("""COMPUTED_VALUE"""),"State PCS")</f>
        <v>State PCS</v>
      </c>
    </row>
    <row r="2720">
      <c r="K2720" s="124"/>
      <c r="L2720" s="124"/>
      <c r="M2720" s="124"/>
      <c r="N2720" s="124"/>
      <c r="O2720" s="124"/>
      <c r="T2720" s="126">
        <f>IFERROR(__xludf.DUMMYFUNCTION("""COMPUTED_VALUE"""),46062.0)</f>
        <v>46062</v>
      </c>
      <c r="U2720" s="124" t="str">
        <f>IFERROR(__xludf.DUMMYFUNCTION("""COMPUTED_VALUE"""),"Telephony")</f>
        <v>Telephony</v>
      </c>
      <c r="V2720" s="124" t="str">
        <f>IFERROR(__xludf.DUMMYFUNCTION("""COMPUTED_VALUE"""),"Inbound Call")</f>
        <v>Inbound Call</v>
      </c>
      <c r="W2720" s="124">
        <f>IFERROR(__xludf.DUMMYFUNCTION("""COMPUTED_VALUE"""),9.18047861635E11)</f>
        <v>918047861635</v>
      </c>
      <c r="X2720" s="124" t="str">
        <f>IFERROR(__xludf.DUMMYFUNCTION("""COMPUTED_VALUE"""),"Inbound Call")</f>
        <v>Inbound Call</v>
      </c>
      <c r="Y2720" s="124" t="str">
        <f>IFERROR(__xludf.DUMMYFUNCTION("""COMPUTED_VALUE"""),"Indore")</f>
        <v>Indore</v>
      </c>
      <c r="Z2720" s="124">
        <f>IFERROR(__xludf.DUMMYFUNCTION("""COMPUTED_VALUE"""),1.0)</f>
        <v>1</v>
      </c>
      <c r="AA2720" s="124" t="str">
        <f>IFERROR(__xludf.DUMMYFUNCTION("""COMPUTED_VALUE"""),"Cold")</f>
        <v>Cold</v>
      </c>
      <c r="AB2720" s="124"/>
    </row>
    <row r="2721">
      <c r="K2721" s="124"/>
      <c r="L2721" s="124"/>
      <c r="M2721" s="124"/>
      <c r="N2721" s="124"/>
      <c r="O2721" s="124"/>
      <c r="T2721" s="126">
        <f>IFERROR(__xludf.DUMMYFUNCTION("""COMPUTED_VALUE"""),46090.0)</f>
        <v>46090</v>
      </c>
      <c r="U2721" s="124" t="str">
        <f>IFERROR(__xludf.DUMMYFUNCTION("""COMPUTED_VALUE"""),"Telephony")</f>
        <v>Telephony</v>
      </c>
      <c r="V2721" s="124" t="str">
        <f>IFERROR(__xludf.DUMMYFUNCTION("""COMPUTED_VALUE"""),"Inbound Call")</f>
        <v>Inbound Call</v>
      </c>
      <c r="W2721" s="124">
        <f>IFERROR(__xludf.DUMMYFUNCTION("""COMPUTED_VALUE"""),9.18047861635E11)</f>
        <v>918047861635</v>
      </c>
      <c r="X2721" s="124" t="str">
        <f>IFERROR(__xludf.DUMMYFUNCTION("""COMPUTED_VALUE"""),"Inbound Call")</f>
        <v>Inbound Call</v>
      </c>
      <c r="Y2721" s="124" t="str">
        <f>IFERROR(__xludf.DUMMYFUNCTION("""COMPUTED_VALUE"""),"Indore")</f>
        <v>Indore</v>
      </c>
      <c r="Z2721" s="124">
        <f>IFERROR(__xludf.DUMMYFUNCTION("""COMPUTED_VALUE"""),1.0)</f>
        <v>1</v>
      </c>
      <c r="AA2721" s="124" t="str">
        <f>IFERROR(__xludf.DUMMYFUNCTION("""COMPUTED_VALUE"""),"Cold")</f>
        <v>Cold</v>
      </c>
      <c r="AB2721" s="124"/>
    </row>
    <row r="2722">
      <c r="K2722" s="124"/>
      <c r="L2722" s="124"/>
      <c r="M2722" s="124"/>
      <c r="N2722" s="124"/>
      <c r="O2722" s="124"/>
      <c r="T2722" s="126">
        <f>IFERROR(__xludf.DUMMYFUNCTION("""COMPUTED_VALUE"""),46112.0)</f>
        <v>46112</v>
      </c>
      <c r="U2722" s="124" t="str">
        <f>IFERROR(__xludf.DUMMYFUNCTION("""COMPUTED_VALUE"""),"Telephony")</f>
        <v>Telephony</v>
      </c>
      <c r="V2722" s="124" t="str">
        <f>IFERROR(__xludf.DUMMYFUNCTION("""COMPUTED_VALUE"""),"Inbound Call")</f>
        <v>Inbound Call</v>
      </c>
      <c r="W2722" s="124">
        <f>IFERROR(__xludf.DUMMYFUNCTION("""COMPUTED_VALUE"""),9.18047861632E11)</f>
        <v>918047861632</v>
      </c>
      <c r="X2722" s="124" t="str">
        <f>IFERROR(__xludf.DUMMYFUNCTION("""COMPUTED_VALUE"""),"Inbound Call")</f>
        <v>Inbound Call</v>
      </c>
      <c r="Y2722" s="124" t="str">
        <f>IFERROR(__xludf.DUMMYFUNCTION("""COMPUTED_VALUE"""),"Prayagraj")</f>
        <v>Prayagraj</v>
      </c>
      <c r="Z2722" s="124">
        <f>IFERROR(__xludf.DUMMYFUNCTION("""COMPUTED_VALUE"""),1.0)</f>
        <v>1</v>
      </c>
      <c r="AA2722" s="124" t="str">
        <f>IFERROR(__xludf.DUMMYFUNCTION("""COMPUTED_VALUE"""),"Warm")</f>
        <v>Warm</v>
      </c>
      <c r="AB2722" s="124" t="str">
        <f>IFERROR(__xludf.DUMMYFUNCTION("""COMPUTED_VALUE"""),"GS Foundation")</f>
        <v>GS Foundation</v>
      </c>
    </row>
    <row r="2723">
      <c r="K2723" s="124"/>
      <c r="L2723" s="124"/>
      <c r="M2723" s="124"/>
      <c r="N2723" s="124"/>
      <c r="O2723" s="124"/>
      <c r="T2723" s="126">
        <f>IFERROR(__xludf.DUMMYFUNCTION("""COMPUTED_VALUE"""),46061.0)</f>
        <v>46061</v>
      </c>
      <c r="U2723" s="124" t="str">
        <f>IFERROR(__xludf.DUMMYFUNCTION("""COMPUTED_VALUE"""),"Telephony")</f>
        <v>Telephony</v>
      </c>
      <c r="V2723" s="124" t="str">
        <f>IFERROR(__xludf.DUMMYFUNCTION("""COMPUTED_VALUE"""),"Inbound Call")</f>
        <v>Inbound Call</v>
      </c>
      <c r="W2723" s="124">
        <f>IFERROR(__xludf.DUMMYFUNCTION("""COMPUTED_VALUE"""),9.18047861631E11)</f>
        <v>918047861631</v>
      </c>
      <c r="X2723" s="124" t="str">
        <f>IFERROR(__xludf.DUMMYFUNCTION("""COMPUTED_VALUE"""),"Inbound Call")</f>
        <v>Inbound Call</v>
      </c>
      <c r="Y2723" s="124"/>
      <c r="Z2723" s="124">
        <f>IFERROR(__xludf.DUMMYFUNCTION("""COMPUTED_VALUE"""),2.0)</f>
        <v>2</v>
      </c>
      <c r="AA2723" s="124" t="str">
        <f>IFERROR(__xludf.DUMMYFUNCTION("""COMPUTED_VALUE"""),"Cold")</f>
        <v>Cold</v>
      </c>
      <c r="AB2723" s="124"/>
    </row>
    <row r="2724">
      <c r="K2724" s="124"/>
      <c r="L2724" s="124"/>
      <c r="M2724" s="124"/>
      <c r="N2724" s="124"/>
      <c r="O2724" s="124"/>
      <c r="T2724" s="129">
        <f>IFERROR(__xludf.DUMMYFUNCTION("""COMPUTED_VALUE"""),46094.0)</f>
        <v>46094</v>
      </c>
      <c r="U2724" s="124" t="str">
        <f>IFERROR(__xludf.DUMMYFUNCTION("""COMPUTED_VALUE"""),"Telephony")</f>
        <v>Telephony</v>
      </c>
      <c r="V2724" s="124" t="str">
        <f>IFERROR(__xludf.DUMMYFUNCTION("""COMPUTED_VALUE"""),"Inbound Call")</f>
        <v>Inbound Call</v>
      </c>
      <c r="W2724" s="124">
        <f>IFERROR(__xludf.DUMMYFUNCTION("""COMPUTED_VALUE"""),9.18047861635E11)</f>
        <v>918047861635</v>
      </c>
      <c r="X2724" s="124" t="str">
        <f>IFERROR(__xludf.DUMMYFUNCTION("""COMPUTED_VALUE"""),"Inbound Call")</f>
        <v>Inbound Call</v>
      </c>
      <c r="Y2724" s="124" t="str">
        <f>IFERROR(__xludf.DUMMYFUNCTION("""COMPUTED_VALUE"""),"Indore")</f>
        <v>Indore</v>
      </c>
      <c r="Z2724" s="124">
        <f>IFERROR(__xludf.DUMMYFUNCTION("""COMPUTED_VALUE"""),1.0)</f>
        <v>1</v>
      </c>
      <c r="AA2724" s="124" t="str">
        <f>IFERROR(__xludf.DUMMYFUNCTION("""COMPUTED_VALUE"""),"Cold")</f>
        <v>Cold</v>
      </c>
      <c r="AB2724" s="124" t="str">
        <f>IFERROR(__xludf.DUMMYFUNCTION("""COMPUTED_VALUE"""),"GS Foundation")</f>
        <v>GS Foundation</v>
      </c>
    </row>
    <row r="2725">
      <c r="K2725" s="124"/>
      <c r="L2725" s="124"/>
      <c r="M2725" s="124"/>
      <c r="N2725" s="124"/>
      <c r="O2725" s="124"/>
      <c r="T2725" s="126">
        <f>IFERROR(__xludf.DUMMYFUNCTION("""COMPUTED_VALUE"""),46066.0)</f>
        <v>46066</v>
      </c>
      <c r="U2725" s="124" t="str">
        <f>IFERROR(__xludf.DUMMYFUNCTION("""COMPUTED_VALUE"""),"Telephony")</f>
        <v>Telephony</v>
      </c>
      <c r="V2725" s="124" t="str">
        <f>IFERROR(__xludf.DUMMYFUNCTION("""COMPUTED_VALUE"""),"Inbound Call")</f>
        <v>Inbound Call</v>
      </c>
      <c r="W2725" s="124">
        <f>IFERROR(__xludf.DUMMYFUNCTION("""COMPUTED_VALUE"""),9.18047861632E11)</f>
        <v>918047861632</v>
      </c>
      <c r="X2725" s="124" t="str">
        <f>IFERROR(__xludf.DUMMYFUNCTION("""COMPUTED_VALUE"""),"Inbound Call")</f>
        <v>Inbound Call</v>
      </c>
      <c r="Y2725" s="124"/>
      <c r="Z2725" s="124">
        <f>IFERROR(__xludf.DUMMYFUNCTION("""COMPUTED_VALUE"""),1.0)</f>
        <v>1</v>
      </c>
      <c r="AA2725" s="124" t="str">
        <f>IFERROR(__xludf.DUMMYFUNCTION("""COMPUTED_VALUE"""),"Cold")</f>
        <v>Cold</v>
      </c>
      <c r="AB2725" s="124" t="str">
        <f>IFERROR(__xludf.DUMMYFUNCTION("""COMPUTED_VALUE"""),"IGP UPPSC")</f>
        <v>IGP UPPSC</v>
      </c>
    </row>
    <row r="2726">
      <c r="K2726" s="124"/>
      <c r="L2726" s="124"/>
      <c r="M2726" s="124"/>
      <c r="N2726" s="124"/>
      <c r="O2726" s="124"/>
      <c r="T2726" s="129">
        <f>IFERROR(__xludf.DUMMYFUNCTION("""COMPUTED_VALUE"""),46076.0)</f>
        <v>46076</v>
      </c>
      <c r="U2726" s="124" t="str">
        <f>IFERROR(__xludf.DUMMYFUNCTION("""COMPUTED_VALUE"""),"Telephony")</f>
        <v>Telephony</v>
      </c>
      <c r="V2726" s="124" t="str">
        <f>IFERROR(__xludf.DUMMYFUNCTION("""COMPUTED_VALUE"""),"Inbound Call")</f>
        <v>Inbound Call</v>
      </c>
      <c r="W2726" s="124" t="str">
        <f>IFERROR(__xludf.DUMMYFUNCTION("""COMPUTED_VALUE"""),"Inbound Call")</f>
        <v>Inbound Call</v>
      </c>
      <c r="X2726" s="124" t="str">
        <f>IFERROR(__xludf.DUMMYFUNCTION("""COMPUTED_VALUE"""),"Inbound Call")</f>
        <v>Inbound Call</v>
      </c>
      <c r="Y2726" s="124" t="str">
        <f>IFERROR(__xludf.DUMMYFUNCTION("""COMPUTED_VALUE"""),"Indore")</f>
        <v>Indore</v>
      </c>
      <c r="Z2726" s="124">
        <f>IFERROR(__xludf.DUMMYFUNCTION("""COMPUTED_VALUE"""),1.0)</f>
        <v>1</v>
      </c>
      <c r="AA2726" s="124" t="str">
        <f>IFERROR(__xludf.DUMMYFUNCTION("""COMPUTED_VALUE"""),"Fake Lead")</f>
        <v>Fake Lead</v>
      </c>
      <c r="AB2726" s="124"/>
    </row>
    <row r="2727">
      <c r="K2727" s="124"/>
      <c r="L2727" s="124"/>
      <c r="M2727" s="124"/>
      <c r="N2727" s="124"/>
      <c r="O2727" s="124"/>
      <c r="T2727" s="126">
        <f>IFERROR(__xludf.DUMMYFUNCTION("""COMPUTED_VALUE"""),46053.0)</f>
        <v>46053</v>
      </c>
      <c r="U2727" s="124" t="str">
        <f>IFERROR(__xludf.DUMMYFUNCTION("""COMPUTED_VALUE"""),"Telephony")</f>
        <v>Telephony</v>
      </c>
      <c r="V2727" s="124" t="str">
        <f>IFERROR(__xludf.DUMMYFUNCTION("""COMPUTED_VALUE"""),"Inbound Call")</f>
        <v>Inbound Call</v>
      </c>
      <c r="W2727" s="124">
        <f>IFERROR(__xludf.DUMMYFUNCTION("""COMPUTED_VALUE"""),9.18047861632E11)</f>
        <v>918047861632</v>
      </c>
      <c r="X2727" s="124" t="str">
        <f>IFERROR(__xludf.DUMMYFUNCTION("""COMPUTED_VALUE"""),"Inbound Call")</f>
        <v>Inbound Call</v>
      </c>
      <c r="Y2727" s="124"/>
      <c r="Z2727" s="124">
        <f>IFERROR(__xludf.DUMMYFUNCTION("""COMPUTED_VALUE"""),2.0)</f>
        <v>2</v>
      </c>
      <c r="AA2727" s="124" t="str">
        <f>IFERROR(__xludf.DUMMYFUNCTION("""COMPUTED_VALUE"""),"Cold")</f>
        <v>Cold</v>
      </c>
      <c r="AB2727" s="124"/>
    </row>
    <row r="2728">
      <c r="K2728" s="124"/>
      <c r="L2728" s="124"/>
      <c r="M2728" s="124"/>
      <c r="N2728" s="124"/>
      <c r="O2728" s="124"/>
      <c r="T2728" s="129">
        <f>IFERROR(__xludf.DUMMYFUNCTION("""COMPUTED_VALUE"""),46087.0)</f>
        <v>46087</v>
      </c>
      <c r="U2728" s="124" t="str">
        <f>IFERROR(__xludf.DUMMYFUNCTION("""COMPUTED_VALUE"""),"Telephony")</f>
        <v>Telephony</v>
      </c>
      <c r="V2728" s="124" t="str">
        <f>IFERROR(__xludf.DUMMYFUNCTION("""COMPUTED_VALUE"""),"Inbound Call")</f>
        <v>Inbound Call</v>
      </c>
      <c r="W2728" s="124" t="str">
        <f>IFERROR(__xludf.DUMMYFUNCTION("""COMPUTED_VALUE"""),"Inbound Call")</f>
        <v>Inbound Call</v>
      </c>
      <c r="X2728" s="124" t="str">
        <f>IFERROR(__xludf.DUMMYFUNCTION("""COMPUTED_VALUE"""),"Inbound Call")</f>
        <v>Inbound Call</v>
      </c>
      <c r="Y2728" s="124"/>
      <c r="Z2728" s="124">
        <f>IFERROR(__xludf.DUMMYFUNCTION("""COMPUTED_VALUE"""),1.0)</f>
        <v>1</v>
      </c>
      <c r="AA2728" s="124" t="str">
        <f>IFERROR(__xludf.DUMMYFUNCTION("""COMPUTED_VALUE"""),"Not Interested")</f>
        <v>Not Interested</v>
      </c>
      <c r="AB2728" s="124"/>
    </row>
    <row r="2729">
      <c r="K2729" s="124"/>
      <c r="L2729" s="124"/>
      <c r="M2729" s="124"/>
      <c r="N2729" s="124"/>
      <c r="O2729" s="124"/>
      <c r="T2729" s="126">
        <f>IFERROR(__xludf.DUMMYFUNCTION("""COMPUTED_VALUE"""),46076.0)</f>
        <v>46076</v>
      </c>
      <c r="U2729" s="124" t="str">
        <f>IFERROR(__xludf.DUMMYFUNCTION("""COMPUTED_VALUE"""),"Telephony")</f>
        <v>Telephony</v>
      </c>
      <c r="V2729" s="124" t="str">
        <f>IFERROR(__xludf.DUMMYFUNCTION("""COMPUTED_VALUE"""),"Inbound Call")</f>
        <v>Inbound Call</v>
      </c>
      <c r="W2729" s="124">
        <f>IFERROR(__xludf.DUMMYFUNCTION("""COMPUTED_VALUE"""),9.18047861631E11)</f>
        <v>918047861631</v>
      </c>
      <c r="X2729" s="124" t="str">
        <f>IFERROR(__xludf.DUMMYFUNCTION("""COMPUTED_VALUE"""),"Inbound Call")</f>
        <v>Inbound Call</v>
      </c>
      <c r="Y2729" s="124" t="str">
        <f>IFERROR(__xludf.DUMMYFUNCTION("""COMPUTED_VALUE"""),"Delhi")</f>
        <v>Delhi</v>
      </c>
      <c r="Z2729" s="124">
        <f>IFERROR(__xludf.DUMMYFUNCTION("""COMPUTED_VALUE"""),4.0)</f>
        <v>4</v>
      </c>
      <c r="AA2729" s="124" t="str">
        <f>IFERROR(__xludf.DUMMYFUNCTION("""COMPUTED_VALUE"""),"Fake Lead")</f>
        <v>Fake Lead</v>
      </c>
      <c r="AB2729" s="124"/>
    </row>
    <row r="2730">
      <c r="K2730" s="124"/>
      <c r="L2730" s="124"/>
      <c r="M2730" s="124"/>
      <c r="N2730" s="124"/>
      <c r="O2730" s="124"/>
      <c r="T2730" s="129">
        <f>IFERROR(__xludf.DUMMYFUNCTION("""COMPUTED_VALUE"""),46107.0)</f>
        <v>46107</v>
      </c>
      <c r="U2730" s="124" t="str">
        <f>IFERROR(__xludf.DUMMYFUNCTION("""COMPUTED_VALUE"""),"Telephony")</f>
        <v>Telephony</v>
      </c>
      <c r="V2730" s="124" t="str">
        <f>IFERROR(__xludf.DUMMYFUNCTION("""COMPUTED_VALUE"""),"Inbound Call")</f>
        <v>Inbound Call</v>
      </c>
      <c r="W2730" s="124" t="str">
        <f>IFERROR(__xludf.DUMMYFUNCTION("""COMPUTED_VALUE"""),"Inbound Call")</f>
        <v>Inbound Call</v>
      </c>
      <c r="X2730" s="124" t="str">
        <f>IFERROR(__xludf.DUMMYFUNCTION("""COMPUTED_VALUE"""),"Inbound Call")</f>
        <v>Inbound Call</v>
      </c>
      <c r="Y2730" s="124" t="str">
        <f>IFERROR(__xludf.DUMMYFUNCTION("""COMPUTED_VALUE"""),"Prayagraj")</f>
        <v>Prayagraj</v>
      </c>
      <c r="Z2730" s="124">
        <f>IFERROR(__xludf.DUMMYFUNCTION("""COMPUTED_VALUE"""),1.0)</f>
        <v>1</v>
      </c>
      <c r="AA2730" s="124" t="str">
        <f>IFERROR(__xludf.DUMMYFUNCTION("""COMPUTED_VALUE"""),"Warm")</f>
        <v>Warm</v>
      </c>
      <c r="AB2730" s="124" t="str">
        <f>IFERROR(__xludf.DUMMYFUNCTION("""COMPUTED_VALUE"""),"State PCS")</f>
        <v>State PCS</v>
      </c>
    </row>
    <row r="2731">
      <c r="K2731" s="124"/>
      <c r="L2731" s="124"/>
      <c r="M2731" s="124"/>
      <c r="N2731" s="124"/>
      <c r="O2731" s="124"/>
      <c r="T2731" s="129">
        <f>IFERROR(__xludf.DUMMYFUNCTION("""COMPUTED_VALUE"""),46109.0)</f>
        <v>46109</v>
      </c>
      <c r="U2731" s="124" t="str">
        <f>IFERROR(__xludf.DUMMYFUNCTION("""COMPUTED_VALUE"""),"Telephony")</f>
        <v>Telephony</v>
      </c>
      <c r="V2731" s="124" t="str">
        <f>IFERROR(__xludf.DUMMYFUNCTION("""COMPUTED_VALUE"""),"Inbound Call")</f>
        <v>Inbound Call</v>
      </c>
      <c r="W2731" s="124">
        <f>IFERROR(__xludf.DUMMYFUNCTION("""COMPUTED_VALUE"""),9.18047861634E11)</f>
        <v>918047861634</v>
      </c>
      <c r="X2731" s="124" t="str">
        <f>IFERROR(__xludf.DUMMYFUNCTION("""COMPUTED_VALUE"""),"Inbound Call")</f>
        <v>Inbound Call</v>
      </c>
      <c r="Y2731" s="124"/>
      <c r="Z2731" s="124">
        <f>IFERROR(__xludf.DUMMYFUNCTION("""COMPUTED_VALUE"""),1.0)</f>
        <v>1</v>
      </c>
      <c r="AA2731" s="124" t="str">
        <f>IFERROR(__xludf.DUMMYFUNCTION("""COMPUTED_VALUE"""),"Cold")</f>
        <v>Cold</v>
      </c>
      <c r="AB2731" s="124"/>
    </row>
    <row r="2732">
      <c r="K2732" s="124"/>
      <c r="L2732" s="124"/>
      <c r="M2732" s="124"/>
      <c r="N2732" s="124"/>
      <c r="O2732" s="124"/>
      <c r="T2732" s="129">
        <f>IFERROR(__xludf.DUMMYFUNCTION("""COMPUTED_VALUE"""),46051.0)</f>
        <v>46051</v>
      </c>
      <c r="U2732" s="124" t="str">
        <f>IFERROR(__xludf.DUMMYFUNCTION("""COMPUTED_VALUE"""),"Telephony")</f>
        <v>Telephony</v>
      </c>
      <c r="V2732" s="124" t="str">
        <f>IFERROR(__xludf.DUMMYFUNCTION("""COMPUTED_VALUE"""),"Inbound Call")</f>
        <v>Inbound Call</v>
      </c>
      <c r="W2732" s="124">
        <f>IFERROR(__xludf.DUMMYFUNCTION("""COMPUTED_VALUE"""),9.18047861633E11)</f>
        <v>918047861633</v>
      </c>
      <c r="X2732" s="124" t="str">
        <f>IFERROR(__xludf.DUMMYFUNCTION("""COMPUTED_VALUE"""),"Inbound Call")</f>
        <v>Inbound Call</v>
      </c>
      <c r="Y2732" s="124"/>
      <c r="Z2732" s="124">
        <f>IFERROR(__xludf.DUMMYFUNCTION("""COMPUTED_VALUE"""),5.0)</f>
        <v>5</v>
      </c>
      <c r="AA2732" s="124" t="str">
        <f>IFERROR(__xludf.DUMMYFUNCTION("""COMPUTED_VALUE"""),"Cold")</f>
        <v>Cold</v>
      </c>
      <c r="AB2732" s="124"/>
    </row>
    <row r="2733">
      <c r="K2733" s="124"/>
      <c r="L2733" s="124"/>
      <c r="M2733" s="124"/>
      <c r="N2733" s="124"/>
      <c r="O2733" s="124"/>
      <c r="T2733" s="129">
        <f>IFERROR(__xludf.DUMMYFUNCTION("""COMPUTED_VALUE"""),46052.0)</f>
        <v>46052</v>
      </c>
      <c r="U2733" s="124" t="str">
        <f>IFERROR(__xludf.DUMMYFUNCTION("""COMPUTED_VALUE"""),"Telephony")</f>
        <v>Telephony</v>
      </c>
      <c r="V2733" s="124" t="str">
        <f>IFERROR(__xludf.DUMMYFUNCTION("""COMPUTED_VALUE"""),"Inbound Call")</f>
        <v>Inbound Call</v>
      </c>
      <c r="W2733" s="124">
        <f>IFERROR(__xludf.DUMMYFUNCTION("""COMPUTED_VALUE"""),9.18047861631E11)</f>
        <v>918047861631</v>
      </c>
      <c r="X2733" s="124" t="str">
        <f>IFERROR(__xludf.DUMMYFUNCTION("""COMPUTED_VALUE"""),"Inbound Call")</f>
        <v>Inbound Call</v>
      </c>
      <c r="Y2733" s="124"/>
      <c r="Z2733" s="124">
        <f>IFERROR(__xludf.DUMMYFUNCTION("""COMPUTED_VALUE"""),1.0)</f>
        <v>1</v>
      </c>
      <c r="AA2733" s="124" t="str">
        <f>IFERROR(__xludf.DUMMYFUNCTION("""COMPUTED_VALUE"""),"Cold")</f>
        <v>Cold</v>
      </c>
      <c r="AB2733" s="124"/>
    </row>
    <row r="2734">
      <c r="K2734" s="124"/>
      <c r="L2734" s="124"/>
      <c r="M2734" s="124"/>
      <c r="N2734" s="124"/>
      <c r="O2734" s="124"/>
      <c r="T2734" s="126">
        <f>IFERROR(__xludf.DUMMYFUNCTION("""COMPUTED_VALUE"""),46110.0)</f>
        <v>46110</v>
      </c>
      <c r="U2734" s="124" t="str">
        <f>IFERROR(__xludf.DUMMYFUNCTION("""COMPUTED_VALUE"""),"Telephony")</f>
        <v>Telephony</v>
      </c>
      <c r="V2734" s="124" t="str">
        <f>IFERROR(__xludf.DUMMYFUNCTION("""COMPUTED_VALUE"""),"Inbound Call")</f>
        <v>Inbound Call</v>
      </c>
      <c r="W2734" s="124">
        <f>IFERROR(__xludf.DUMMYFUNCTION("""COMPUTED_VALUE"""),9.18047861632E11)</f>
        <v>918047861632</v>
      </c>
      <c r="X2734" s="124" t="str">
        <f>IFERROR(__xludf.DUMMYFUNCTION("""COMPUTED_VALUE"""),"Inbound Call")</f>
        <v>Inbound Call</v>
      </c>
      <c r="Y2734" s="124"/>
      <c r="Z2734" s="124">
        <f>IFERROR(__xludf.DUMMYFUNCTION("""COMPUTED_VALUE"""),1.0)</f>
        <v>1</v>
      </c>
      <c r="AA2734" s="124"/>
      <c r="AB2734" s="124"/>
    </row>
    <row r="2735">
      <c r="K2735" s="124"/>
      <c r="L2735" s="124"/>
      <c r="M2735" s="124"/>
      <c r="N2735" s="124"/>
      <c r="O2735" s="124"/>
      <c r="T2735" s="126">
        <f>IFERROR(__xludf.DUMMYFUNCTION("""COMPUTED_VALUE"""),46112.0)</f>
        <v>46112</v>
      </c>
      <c r="U2735" s="124" t="str">
        <f>IFERROR(__xludf.DUMMYFUNCTION("""COMPUTED_VALUE"""),"Telephony")</f>
        <v>Telephony</v>
      </c>
      <c r="V2735" s="124" t="str">
        <f>IFERROR(__xludf.DUMMYFUNCTION("""COMPUTED_VALUE"""),"Inbound Call")</f>
        <v>Inbound Call</v>
      </c>
      <c r="W2735" s="124" t="str">
        <f>IFERROR(__xludf.DUMMYFUNCTION("""COMPUTED_VALUE"""),"Inbound Call")</f>
        <v>Inbound Call</v>
      </c>
      <c r="X2735" s="124" t="str">
        <f>IFERROR(__xludf.DUMMYFUNCTION("""COMPUTED_VALUE"""),"Inbound Call")</f>
        <v>Inbound Call</v>
      </c>
      <c r="Y2735" s="124" t="str">
        <f>IFERROR(__xludf.DUMMYFUNCTION("""COMPUTED_VALUE"""),"Patna")</f>
        <v>Patna</v>
      </c>
      <c r="Z2735" s="124">
        <f>IFERROR(__xludf.DUMMYFUNCTION("""COMPUTED_VALUE"""),1.0)</f>
        <v>1</v>
      </c>
      <c r="AA2735" s="124" t="str">
        <f>IFERROR(__xludf.DUMMYFUNCTION("""COMPUTED_VALUE"""),"Warm")</f>
        <v>Warm</v>
      </c>
      <c r="AB2735" s="124" t="str">
        <f>IFERROR(__xludf.DUMMYFUNCTION("""COMPUTED_VALUE"""),"Test Series")</f>
        <v>Test Series</v>
      </c>
    </row>
    <row r="2736">
      <c r="K2736" s="124"/>
      <c r="L2736" s="124"/>
      <c r="M2736" s="124"/>
      <c r="N2736" s="124"/>
      <c r="O2736" s="124"/>
      <c r="T2736" s="126">
        <f>IFERROR(__xludf.DUMMYFUNCTION("""COMPUTED_VALUE"""),46082.0)</f>
        <v>46082</v>
      </c>
      <c r="U2736" s="124" t="str">
        <f>IFERROR(__xludf.DUMMYFUNCTION("""COMPUTED_VALUE"""),"Telephony")</f>
        <v>Telephony</v>
      </c>
      <c r="V2736" s="124" t="str">
        <f>IFERROR(__xludf.DUMMYFUNCTION("""COMPUTED_VALUE"""),"Inbound Call")</f>
        <v>Inbound Call</v>
      </c>
      <c r="W2736" s="124">
        <f>IFERROR(__xludf.DUMMYFUNCTION("""COMPUTED_VALUE"""),9.18047861663E11)</f>
        <v>918047861663</v>
      </c>
      <c r="X2736" s="124" t="str">
        <f>IFERROR(__xludf.DUMMYFUNCTION("""COMPUTED_VALUE"""),"Inbound Call")</f>
        <v>Inbound Call</v>
      </c>
      <c r="Y2736" s="124" t="str">
        <f>IFERROR(__xludf.DUMMYFUNCTION("""COMPUTED_VALUE"""),"Delhi")</f>
        <v>Delhi</v>
      </c>
      <c r="Z2736" s="124">
        <f>IFERROR(__xludf.DUMMYFUNCTION("""COMPUTED_VALUE"""),1.0)</f>
        <v>1</v>
      </c>
      <c r="AA2736" s="124" t="str">
        <f>IFERROR(__xludf.DUMMYFUNCTION("""COMPUTED_VALUE"""),"Warm")</f>
        <v>Warm</v>
      </c>
      <c r="AB2736" s="124" t="str">
        <f>IFERROR(__xludf.DUMMYFUNCTION("""COMPUTED_VALUE"""),"Optionals")</f>
        <v>Optionals</v>
      </c>
    </row>
    <row r="2737">
      <c r="K2737" s="124"/>
      <c r="L2737" s="124"/>
      <c r="M2737" s="124"/>
      <c r="N2737" s="124"/>
      <c r="O2737" s="124"/>
      <c r="T2737" s="126">
        <f>IFERROR(__xludf.DUMMYFUNCTION("""COMPUTED_VALUE"""),46097.0)</f>
        <v>46097</v>
      </c>
      <c r="U2737" s="124" t="str">
        <f>IFERROR(__xludf.DUMMYFUNCTION("""COMPUTED_VALUE"""),"Walk-Ins")</f>
        <v>Walk-Ins</v>
      </c>
      <c r="V2737" s="124" t="str">
        <f>IFERROR(__xludf.DUMMYFUNCTION("""COMPUTED_VALUE"""),"Walk-In")</f>
        <v>Walk-In</v>
      </c>
      <c r="W2737" s="124" t="str">
        <f>IFERROR(__xludf.DUMMYFUNCTION("""COMPUTED_VALUE"""),"Delhi")</f>
        <v>Delhi</v>
      </c>
      <c r="X2737" s="124" t="str">
        <f>IFERROR(__xludf.DUMMYFUNCTION("""COMPUTED_VALUE"""),"Yogita")</f>
        <v>Yogita</v>
      </c>
      <c r="Y2737" s="124" t="str">
        <f>IFERROR(__xludf.DUMMYFUNCTION("""COMPUTED_VALUE"""),"Delhi")</f>
        <v>Delhi</v>
      </c>
      <c r="Z2737" s="124">
        <f>IFERROR(__xludf.DUMMYFUNCTION("""COMPUTED_VALUE"""),1.0)</f>
        <v>1</v>
      </c>
      <c r="AA2737" s="124" t="str">
        <f>IFERROR(__xludf.DUMMYFUNCTION("""COMPUTED_VALUE"""),"Warm")</f>
        <v>Warm</v>
      </c>
      <c r="AB2737" s="124" t="str">
        <f>IFERROR(__xludf.DUMMYFUNCTION("""COMPUTED_VALUE"""),"GS Foundation")</f>
        <v>GS Foundation</v>
      </c>
    </row>
    <row r="2738">
      <c r="K2738" s="124"/>
      <c r="L2738" s="124"/>
      <c r="M2738" s="124"/>
      <c r="N2738" s="124"/>
      <c r="O2738" s="124"/>
      <c r="T2738" s="129">
        <f>IFERROR(__xludf.DUMMYFUNCTION("""COMPUTED_VALUE"""),46090.0)</f>
        <v>46090</v>
      </c>
      <c r="U2738" s="124" t="str">
        <f>IFERROR(__xludf.DUMMYFUNCTION("""COMPUTED_VALUE"""),"Telephony")</f>
        <v>Telephony</v>
      </c>
      <c r="V2738" s="124" t="str">
        <f>IFERROR(__xludf.DUMMYFUNCTION("""COMPUTED_VALUE"""),"Inbound Call")</f>
        <v>Inbound Call</v>
      </c>
      <c r="W2738" s="124">
        <f>IFERROR(__xludf.DUMMYFUNCTION("""COMPUTED_VALUE"""),9.18047861635E11)</f>
        <v>918047861635</v>
      </c>
      <c r="X2738" s="124" t="str">
        <f>IFERROR(__xludf.DUMMYFUNCTION("""COMPUTED_VALUE"""),"Inbound Call")</f>
        <v>Inbound Call</v>
      </c>
      <c r="Y2738" s="124" t="str">
        <f>IFERROR(__xludf.DUMMYFUNCTION("""COMPUTED_VALUE"""),"Indore")</f>
        <v>Indore</v>
      </c>
      <c r="Z2738" s="124">
        <f>IFERROR(__xludf.DUMMYFUNCTION("""COMPUTED_VALUE"""),1.0)</f>
        <v>1</v>
      </c>
      <c r="AA2738" s="124" t="str">
        <f>IFERROR(__xludf.DUMMYFUNCTION("""COMPUTED_VALUE"""),"Cold")</f>
        <v>Cold</v>
      </c>
      <c r="AB2738" s="124" t="str">
        <f>IFERROR(__xludf.DUMMYFUNCTION("""COMPUTED_VALUE"""),"State PCS")</f>
        <v>State PCS</v>
      </c>
    </row>
    <row r="2739">
      <c r="K2739" s="124"/>
      <c r="L2739" s="124"/>
      <c r="M2739" s="124"/>
      <c r="N2739" s="124"/>
      <c r="O2739" s="124"/>
      <c r="T2739" s="126">
        <f>IFERROR(__xludf.DUMMYFUNCTION("""COMPUTED_VALUE"""),46101.0)</f>
        <v>46101</v>
      </c>
      <c r="U2739" s="124" t="str">
        <f>IFERROR(__xludf.DUMMYFUNCTION("""COMPUTED_VALUE"""),"Telephony")</f>
        <v>Telephony</v>
      </c>
      <c r="V2739" s="124" t="str">
        <f>IFERROR(__xludf.DUMMYFUNCTION("""COMPUTED_VALUE"""),"Inbound Call")</f>
        <v>Inbound Call</v>
      </c>
      <c r="W2739" s="124" t="str">
        <f>IFERROR(__xludf.DUMMYFUNCTION("""COMPUTED_VALUE"""),"Inbound Call")</f>
        <v>Inbound Call</v>
      </c>
      <c r="X2739" s="124" t="str">
        <f>IFERROR(__xludf.DUMMYFUNCTION("""COMPUTED_VALUE"""),"Inbound Call")</f>
        <v>Inbound Call</v>
      </c>
      <c r="Y2739" s="124" t="str">
        <f>IFERROR(__xludf.DUMMYFUNCTION("""COMPUTED_VALUE"""),"Indore")</f>
        <v>Indore</v>
      </c>
      <c r="Z2739" s="124">
        <f>IFERROR(__xludf.DUMMYFUNCTION("""COMPUTED_VALUE"""),1.0)</f>
        <v>1</v>
      </c>
      <c r="AA2739" s="124" t="str">
        <f>IFERROR(__xludf.DUMMYFUNCTION("""COMPUTED_VALUE"""),"Warm")</f>
        <v>Warm</v>
      </c>
      <c r="AB2739" s="124" t="str">
        <f>IFERROR(__xludf.DUMMYFUNCTION("""COMPUTED_VALUE"""),"Optionals")</f>
        <v>Optionals</v>
      </c>
    </row>
    <row r="2740">
      <c r="K2740" s="124"/>
      <c r="L2740" s="124"/>
      <c r="M2740" s="124"/>
      <c r="N2740" s="124"/>
      <c r="O2740" s="124"/>
      <c r="T2740" s="126">
        <f>IFERROR(__xludf.DUMMYFUNCTION("""COMPUTED_VALUE"""),46049.0)</f>
        <v>46049</v>
      </c>
      <c r="U2740" s="124" t="str">
        <f>IFERROR(__xludf.DUMMYFUNCTION("""COMPUTED_VALUE"""),"Telephony")</f>
        <v>Telephony</v>
      </c>
      <c r="V2740" s="124" t="str">
        <f>IFERROR(__xludf.DUMMYFUNCTION("""COMPUTED_VALUE"""),"Inbound Call")</f>
        <v>Inbound Call</v>
      </c>
      <c r="W2740" s="124">
        <f>IFERROR(__xludf.DUMMYFUNCTION("""COMPUTED_VALUE"""),9.18047861631E11)</f>
        <v>918047861631</v>
      </c>
      <c r="X2740" s="124" t="str">
        <f>IFERROR(__xludf.DUMMYFUNCTION("""COMPUTED_VALUE"""),"Inbound Call")</f>
        <v>Inbound Call</v>
      </c>
      <c r="Y2740" s="124"/>
      <c r="Z2740" s="124">
        <f>IFERROR(__xludf.DUMMYFUNCTION("""COMPUTED_VALUE"""),2.0)</f>
        <v>2</v>
      </c>
      <c r="AA2740" s="124" t="str">
        <f>IFERROR(__xludf.DUMMYFUNCTION("""COMPUTED_VALUE"""),"Fake Lead")</f>
        <v>Fake Lead</v>
      </c>
      <c r="AB2740" s="124"/>
    </row>
    <row r="2741">
      <c r="K2741" s="124"/>
      <c r="L2741" s="124"/>
      <c r="M2741" s="124"/>
      <c r="N2741" s="124"/>
      <c r="O2741" s="124"/>
      <c r="T2741" s="126">
        <f>IFERROR(__xludf.DUMMYFUNCTION("""COMPUTED_VALUE"""),46051.0)</f>
        <v>46051</v>
      </c>
      <c r="U2741" s="124" t="str">
        <f>IFERROR(__xludf.DUMMYFUNCTION("""COMPUTED_VALUE"""),"Telephony")</f>
        <v>Telephony</v>
      </c>
      <c r="V2741" s="124" t="str">
        <f>IFERROR(__xludf.DUMMYFUNCTION("""COMPUTED_VALUE"""),"Inbound Call")</f>
        <v>Inbound Call</v>
      </c>
      <c r="W2741" s="124">
        <f>IFERROR(__xludf.DUMMYFUNCTION("""COMPUTED_VALUE"""),9.18047861663E11)</f>
        <v>918047861663</v>
      </c>
      <c r="X2741" s="124" t="str">
        <f>IFERROR(__xludf.DUMMYFUNCTION("""COMPUTED_VALUE"""),"Inbound Call")</f>
        <v>Inbound Call</v>
      </c>
      <c r="Y2741" s="124" t="str">
        <f>IFERROR(__xludf.DUMMYFUNCTION("""COMPUTED_VALUE"""),"Delhi")</f>
        <v>Delhi</v>
      </c>
      <c r="Z2741" s="124">
        <f>IFERROR(__xludf.DUMMYFUNCTION("""COMPUTED_VALUE"""),1.0)</f>
        <v>1</v>
      </c>
      <c r="AA2741" s="124" t="str">
        <f>IFERROR(__xludf.DUMMYFUNCTION("""COMPUTED_VALUE"""),"Cold")</f>
        <v>Cold</v>
      </c>
      <c r="AB2741" s="124"/>
    </row>
    <row r="2742">
      <c r="K2742" s="124"/>
      <c r="L2742" s="124"/>
      <c r="M2742" s="124"/>
      <c r="N2742" s="124"/>
      <c r="O2742" s="124"/>
      <c r="T2742" s="129">
        <f>IFERROR(__xludf.DUMMYFUNCTION("""COMPUTED_VALUE"""),46112.0)</f>
        <v>46112</v>
      </c>
      <c r="U2742" s="124" t="str">
        <f>IFERROR(__xludf.DUMMYFUNCTION("""COMPUTED_VALUE"""),"Telephony")</f>
        <v>Telephony</v>
      </c>
      <c r="V2742" s="124" t="str">
        <f>IFERROR(__xludf.DUMMYFUNCTION("""COMPUTED_VALUE"""),"Inbound Call")</f>
        <v>Inbound Call</v>
      </c>
      <c r="W2742" s="124">
        <f>IFERROR(__xludf.DUMMYFUNCTION("""COMPUTED_VALUE"""),9.18047861632E11)</f>
        <v>918047861632</v>
      </c>
      <c r="X2742" s="124" t="str">
        <f>IFERROR(__xludf.DUMMYFUNCTION("""COMPUTED_VALUE"""),"Inbound Call")</f>
        <v>Inbound Call</v>
      </c>
      <c r="Y2742" s="124"/>
      <c r="Z2742" s="124">
        <f>IFERROR(__xludf.DUMMYFUNCTION("""COMPUTED_VALUE"""),1.0)</f>
        <v>1</v>
      </c>
      <c r="AA2742" s="124" t="str">
        <f>IFERROR(__xludf.DUMMYFUNCTION("""COMPUTED_VALUE"""),"Cold")</f>
        <v>Cold</v>
      </c>
      <c r="AB2742" s="124"/>
    </row>
    <row r="2743">
      <c r="K2743" s="124"/>
      <c r="L2743" s="124"/>
      <c r="M2743" s="124"/>
      <c r="N2743" s="124"/>
      <c r="O2743" s="124"/>
      <c r="T2743" s="129">
        <f>IFERROR(__xludf.DUMMYFUNCTION("""COMPUTED_VALUE"""),46056.0)</f>
        <v>46056</v>
      </c>
      <c r="U2743" s="124" t="str">
        <f>IFERROR(__xludf.DUMMYFUNCTION("""COMPUTED_VALUE"""),"Telephony")</f>
        <v>Telephony</v>
      </c>
      <c r="V2743" s="124" t="str">
        <f>IFERROR(__xludf.DUMMYFUNCTION("""COMPUTED_VALUE"""),"Inbound Call")</f>
        <v>Inbound Call</v>
      </c>
      <c r="W2743" s="124">
        <f>IFERROR(__xludf.DUMMYFUNCTION("""COMPUTED_VALUE"""),9.18047861634E11)</f>
        <v>918047861634</v>
      </c>
      <c r="X2743" s="124" t="str">
        <f>IFERROR(__xludf.DUMMYFUNCTION("""COMPUTED_VALUE"""),"Inbound Call")</f>
        <v>Inbound Call</v>
      </c>
      <c r="Y2743" s="124"/>
      <c r="Z2743" s="124">
        <f>IFERROR(__xludf.DUMMYFUNCTION("""COMPUTED_VALUE"""),1.0)</f>
        <v>1</v>
      </c>
      <c r="AA2743" s="124" t="str">
        <f>IFERROR(__xludf.DUMMYFUNCTION("""COMPUTED_VALUE"""),"Cold")</f>
        <v>Cold</v>
      </c>
      <c r="AB2743" s="124"/>
    </row>
    <row r="2744">
      <c r="K2744" s="124"/>
      <c r="L2744" s="124"/>
      <c r="M2744" s="124"/>
      <c r="N2744" s="124"/>
      <c r="O2744" s="124"/>
      <c r="T2744" s="129">
        <f>IFERROR(__xludf.DUMMYFUNCTION("""COMPUTED_VALUE"""),46088.0)</f>
        <v>46088</v>
      </c>
      <c r="U2744" s="124" t="str">
        <f>IFERROR(__xludf.DUMMYFUNCTION("""COMPUTED_VALUE"""),"Telephony")</f>
        <v>Telephony</v>
      </c>
      <c r="V2744" s="124" t="str">
        <f>IFERROR(__xludf.DUMMYFUNCTION("""COMPUTED_VALUE"""),"Inbound Call")</f>
        <v>Inbound Call</v>
      </c>
      <c r="W2744" s="124" t="str">
        <f>IFERROR(__xludf.DUMMYFUNCTION("""COMPUTED_VALUE"""),"Inbound Call")</f>
        <v>Inbound Call</v>
      </c>
      <c r="X2744" s="124" t="str">
        <f>IFERROR(__xludf.DUMMYFUNCTION("""COMPUTED_VALUE"""),"Inbound Call")</f>
        <v>Inbound Call</v>
      </c>
      <c r="Y2744" s="124" t="str">
        <f>IFERROR(__xludf.DUMMYFUNCTION("""COMPUTED_VALUE"""),"Delhi")</f>
        <v>Delhi</v>
      </c>
      <c r="Z2744" s="124">
        <f>IFERROR(__xludf.DUMMYFUNCTION("""COMPUTED_VALUE"""),1.0)</f>
        <v>1</v>
      </c>
      <c r="AA2744" s="124" t="str">
        <f>IFERROR(__xludf.DUMMYFUNCTION("""COMPUTED_VALUE"""),"Warm")</f>
        <v>Warm</v>
      </c>
      <c r="AB2744" s="124" t="str">
        <f>IFERROR(__xludf.DUMMYFUNCTION("""COMPUTED_VALUE"""),"GS Foundation")</f>
        <v>GS Foundation</v>
      </c>
    </row>
    <row r="2745">
      <c r="K2745" s="124"/>
      <c r="L2745" s="124"/>
      <c r="M2745" s="124"/>
      <c r="N2745" s="124"/>
      <c r="O2745" s="124"/>
      <c r="T2745" s="129">
        <f>IFERROR(__xludf.DUMMYFUNCTION("""COMPUTED_VALUE"""),46046.0)</f>
        <v>46046</v>
      </c>
      <c r="U2745" s="124" t="str">
        <f>IFERROR(__xludf.DUMMYFUNCTION("""COMPUTED_VALUE"""),"Telephony")</f>
        <v>Telephony</v>
      </c>
      <c r="V2745" s="124" t="str">
        <f>IFERROR(__xludf.DUMMYFUNCTION("""COMPUTED_VALUE"""),"Inbound Call")</f>
        <v>Inbound Call</v>
      </c>
      <c r="W2745" s="124">
        <f>IFERROR(__xludf.DUMMYFUNCTION("""COMPUTED_VALUE"""),9.18047861663E11)</f>
        <v>918047861663</v>
      </c>
      <c r="X2745" s="124" t="str">
        <f>IFERROR(__xludf.DUMMYFUNCTION("""COMPUTED_VALUE"""),"Inbound Call")</f>
        <v>Inbound Call</v>
      </c>
      <c r="Y2745" s="124" t="str">
        <f>IFERROR(__xludf.DUMMYFUNCTION("""COMPUTED_VALUE"""),"Patna")</f>
        <v>Patna</v>
      </c>
      <c r="Z2745" s="124">
        <f>IFERROR(__xludf.DUMMYFUNCTION("""COMPUTED_VALUE"""),1.0)</f>
        <v>1</v>
      </c>
      <c r="AA2745" s="124" t="str">
        <f>IFERROR(__xludf.DUMMYFUNCTION("""COMPUTED_VALUE"""),"Cold")</f>
        <v>Cold</v>
      </c>
      <c r="AB2745" s="124" t="str">
        <f>IFERROR(__xludf.DUMMYFUNCTION("""COMPUTED_VALUE"""),"State PCS")</f>
        <v>State PCS</v>
      </c>
    </row>
    <row r="2746">
      <c r="K2746" s="124"/>
      <c r="L2746" s="124"/>
      <c r="M2746" s="124"/>
      <c r="N2746" s="124"/>
      <c r="O2746" s="124"/>
      <c r="T2746" s="126">
        <f>IFERROR(__xludf.DUMMYFUNCTION("""COMPUTED_VALUE"""),46058.0)</f>
        <v>46058</v>
      </c>
      <c r="U2746" s="124" t="str">
        <f>IFERROR(__xludf.DUMMYFUNCTION("""COMPUTED_VALUE"""),"Telephony")</f>
        <v>Telephony</v>
      </c>
      <c r="V2746" s="124" t="str">
        <f>IFERROR(__xludf.DUMMYFUNCTION("""COMPUTED_VALUE"""),"Inbound Call")</f>
        <v>Inbound Call</v>
      </c>
      <c r="W2746" s="124" t="str">
        <f>IFERROR(__xludf.DUMMYFUNCTION("""COMPUTED_VALUE"""),"Inbound Call")</f>
        <v>Inbound Call</v>
      </c>
      <c r="X2746" s="124" t="str">
        <f>IFERROR(__xludf.DUMMYFUNCTION("""COMPUTED_VALUE"""),"Inbound Call")</f>
        <v>Inbound Call</v>
      </c>
      <c r="Y2746" s="124" t="str">
        <f>IFERROR(__xludf.DUMMYFUNCTION("""COMPUTED_VALUE"""),"Delhi")</f>
        <v>Delhi</v>
      </c>
      <c r="Z2746" s="124">
        <f>IFERROR(__xludf.DUMMYFUNCTION("""COMPUTED_VALUE"""),1.0)</f>
        <v>1</v>
      </c>
      <c r="AA2746" s="124" t="str">
        <f>IFERROR(__xludf.DUMMYFUNCTION("""COMPUTED_VALUE"""),"Warm")</f>
        <v>Warm</v>
      </c>
      <c r="AB2746" s="124"/>
    </row>
    <row r="2747">
      <c r="K2747" s="124"/>
      <c r="L2747" s="124"/>
      <c r="M2747" s="124"/>
      <c r="N2747" s="124"/>
      <c r="O2747" s="124"/>
      <c r="T2747" s="126">
        <f>IFERROR(__xludf.DUMMYFUNCTION("""COMPUTED_VALUE"""),46079.0)</f>
        <v>46079</v>
      </c>
      <c r="U2747" s="124" t="str">
        <f>IFERROR(__xludf.DUMMYFUNCTION("""COMPUTED_VALUE"""),"Telephony")</f>
        <v>Telephony</v>
      </c>
      <c r="V2747" s="124" t="str">
        <f>IFERROR(__xludf.DUMMYFUNCTION("""COMPUTED_VALUE"""),"Inbound Call")</f>
        <v>Inbound Call</v>
      </c>
      <c r="W2747" s="124">
        <f>IFERROR(__xludf.DUMMYFUNCTION("""COMPUTED_VALUE"""),9.18047861635E11)</f>
        <v>918047861635</v>
      </c>
      <c r="X2747" s="124" t="str">
        <f>IFERROR(__xludf.DUMMYFUNCTION("""COMPUTED_VALUE"""),"Inbound Call")</f>
        <v>Inbound Call</v>
      </c>
      <c r="Y2747" s="124" t="str">
        <f>IFERROR(__xludf.DUMMYFUNCTION("""COMPUTED_VALUE"""),"Indore")</f>
        <v>Indore</v>
      </c>
      <c r="Z2747" s="124">
        <f>IFERROR(__xludf.DUMMYFUNCTION("""COMPUTED_VALUE"""),1.0)</f>
        <v>1</v>
      </c>
      <c r="AA2747" s="124" t="str">
        <f>IFERROR(__xludf.DUMMYFUNCTION("""COMPUTED_VALUE"""),"Future Prospects")</f>
        <v>Future Prospects</v>
      </c>
      <c r="AB2747" s="124" t="str">
        <f>IFERROR(__xludf.DUMMYFUNCTION("""COMPUTED_VALUE"""),"State PCS")</f>
        <v>State PCS</v>
      </c>
    </row>
    <row r="2748">
      <c r="K2748" s="124"/>
      <c r="L2748" s="124"/>
      <c r="M2748" s="124"/>
      <c r="N2748" s="124"/>
      <c r="O2748" s="124"/>
      <c r="T2748" s="126">
        <f>IFERROR(__xludf.DUMMYFUNCTION("""COMPUTED_VALUE"""),46087.0)</f>
        <v>46087</v>
      </c>
      <c r="U2748" s="124" t="str">
        <f>IFERROR(__xludf.DUMMYFUNCTION("""COMPUTED_VALUE"""),"Telephony")</f>
        <v>Telephony</v>
      </c>
      <c r="V2748" s="124" t="str">
        <f>IFERROR(__xludf.DUMMYFUNCTION("""COMPUTED_VALUE"""),"Inbound Call")</f>
        <v>Inbound Call</v>
      </c>
      <c r="W2748" s="124">
        <f>IFERROR(__xludf.DUMMYFUNCTION("""COMPUTED_VALUE"""),9.18047861635E11)</f>
        <v>918047861635</v>
      </c>
      <c r="X2748" s="124" t="str">
        <f>IFERROR(__xludf.DUMMYFUNCTION("""COMPUTED_VALUE"""),"Inbound Call")</f>
        <v>Inbound Call</v>
      </c>
      <c r="Y2748" s="124" t="str">
        <f>IFERROR(__xludf.DUMMYFUNCTION("""COMPUTED_VALUE"""),"Indore")</f>
        <v>Indore</v>
      </c>
      <c r="Z2748" s="124">
        <f>IFERROR(__xludf.DUMMYFUNCTION("""COMPUTED_VALUE"""),1.0)</f>
        <v>1</v>
      </c>
      <c r="AA2748" s="124" t="str">
        <f>IFERROR(__xludf.DUMMYFUNCTION("""COMPUTED_VALUE"""),"Not Interested")</f>
        <v>Not Interested</v>
      </c>
      <c r="AB2748" s="124" t="str">
        <f>IFERROR(__xludf.DUMMYFUNCTION("""COMPUTED_VALUE"""),"Other")</f>
        <v>Other</v>
      </c>
    </row>
    <row r="2749">
      <c r="K2749" s="124"/>
      <c r="L2749" s="124"/>
      <c r="M2749" s="124"/>
      <c r="N2749" s="124"/>
      <c r="O2749" s="124"/>
      <c r="T2749" s="129">
        <f>IFERROR(__xludf.DUMMYFUNCTION("""COMPUTED_VALUE"""),46078.0)</f>
        <v>46078</v>
      </c>
      <c r="U2749" s="124" t="str">
        <f>IFERROR(__xludf.DUMMYFUNCTION("""COMPUTED_VALUE"""),"Telephony")</f>
        <v>Telephony</v>
      </c>
      <c r="V2749" s="124" t="str">
        <f>IFERROR(__xludf.DUMMYFUNCTION("""COMPUTED_VALUE"""),"Inbound Call")</f>
        <v>Inbound Call</v>
      </c>
      <c r="W2749" s="124" t="str">
        <f>IFERROR(__xludf.DUMMYFUNCTION("""COMPUTED_VALUE"""),"Inbound Call")</f>
        <v>Inbound Call</v>
      </c>
      <c r="X2749" s="124" t="str">
        <f>IFERROR(__xludf.DUMMYFUNCTION("""COMPUTED_VALUE"""),"Inbound Call")</f>
        <v>Inbound Call</v>
      </c>
      <c r="Y2749" s="124" t="str">
        <f>IFERROR(__xludf.DUMMYFUNCTION("""COMPUTED_VALUE"""),"Delhi")</f>
        <v>Delhi</v>
      </c>
      <c r="Z2749" s="124">
        <f>IFERROR(__xludf.DUMMYFUNCTION("""COMPUTED_VALUE"""),1.0)</f>
        <v>1</v>
      </c>
      <c r="AA2749" s="124" t="str">
        <f>IFERROR(__xludf.DUMMYFUNCTION("""COMPUTED_VALUE"""),"Enrolled")</f>
        <v>Enrolled</v>
      </c>
      <c r="AB2749" s="124" t="str">
        <f>IFERROR(__xludf.DUMMYFUNCTION("""COMPUTED_VALUE"""),"CSAT")</f>
        <v>CSAT</v>
      </c>
    </row>
    <row r="2750">
      <c r="K2750" s="124"/>
      <c r="L2750" s="124"/>
      <c r="M2750" s="124"/>
      <c r="N2750" s="124"/>
      <c r="O2750" s="124"/>
      <c r="T2750" s="129">
        <f>IFERROR(__xludf.DUMMYFUNCTION("""COMPUTED_VALUE"""),46072.0)</f>
        <v>46072</v>
      </c>
      <c r="U2750" s="124" t="str">
        <f>IFERROR(__xludf.DUMMYFUNCTION("""COMPUTED_VALUE"""),"Telephony")</f>
        <v>Telephony</v>
      </c>
      <c r="V2750" s="124" t="str">
        <f>IFERROR(__xludf.DUMMYFUNCTION("""COMPUTED_VALUE"""),"Inbound Call")</f>
        <v>Inbound Call</v>
      </c>
      <c r="W2750" s="124">
        <f>IFERROR(__xludf.DUMMYFUNCTION("""COMPUTED_VALUE"""),9.18047861632E11)</f>
        <v>918047861632</v>
      </c>
      <c r="X2750" s="124" t="str">
        <f>IFERROR(__xludf.DUMMYFUNCTION("""COMPUTED_VALUE"""),"Inbound Call")</f>
        <v>Inbound Call</v>
      </c>
      <c r="Y2750" s="124"/>
      <c r="Z2750" s="124">
        <f>IFERROR(__xludf.DUMMYFUNCTION("""COMPUTED_VALUE"""),1.0)</f>
        <v>1</v>
      </c>
      <c r="AA2750" s="124" t="str">
        <f>IFERROR(__xludf.DUMMYFUNCTION("""COMPUTED_VALUE"""),"Cold")</f>
        <v>Cold</v>
      </c>
      <c r="AB2750" s="124" t="str">
        <f>IFERROR(__xludf.DUMMYFUNCTION("""COMPUTED_VALUE"""),"Other")</f>
        <v>Other</v>
      </c>
    </row>
    <row r="2751">
      <c r="K2751" s="124"/>
      <c r="L2751" s="124"/>
      <c r="M2751" s="124"/>
      <c r="N2751" s="124"/>
      <c r="O2751" s="124"/>
      <c r="T2751" s="126">
        <f>IFERROR(__xludf.DUMMYFUNCTION("""COMPUTED_VALUE"""),46090.0)</f>
        <v>46090</v>
      </c>
      <c r="U2751" s="124" t="str">
        <f>IFERROR(__xludf.DUMMYFUNCTION("""COMPUTED_VALUE"""),"Telephony")</f>
        <v>Telephony</v>
      </c>
      <c r="V2751" s="124" t="str">
        <f>IFERROR(__xludf.DUMMYFUNCTION("""COMPUTED_VALUE"""),"Inbound Call")</f>
        <v>Inbound Call</v>
      </c>
      <c r="W2751" s="124" t="str">
        <f>IFERROR(__xludf.DUMMYFUNCTION("""COMPUTED_VALUE"""),"Inbound Call")</f>
        <v>Inbound Call</v>
      </c>
      <c r="X2751" s="124" t="str">
        <f>IFERROR(__xludf.DUMMYFUNCTION("""COMPUTED_VALUE"""),"Inbound Call")</f>
        <v>Inbound Call</v>
      </c>
      <c r="Y2751" s="124"/>
      <c r="Z2751" s="124">
        <f>IFERROR(__xludf.DUMMYFUNCTION("""COMPUTED_VALUE"""),2.0)</f>
        <v>2</v>
      </c>
      <c r="AA2751" s="124" t="str">
        <f>IFERROR(__xludf.DUMMYFUNCTION("""COMPUTED_VALUE"""),"Cold")</f>
        <v>Cold</v>
      </c>
      <c r="AB2751" s="124"/>
    </row>
    <row r="2752">
      <c r="K2752" s="124"/>
      <c r="L2752" s="124"/>
      <c r="M2752" s="124"/>
      <c r="N2752" s="124"/>
      <c r="O2752" s="124"/>
      <c r="T2752" s="126">
        <f>IFERROR(__xludf.DUMMYFUNCTION("""COMPUTED_VALUE"""),46050.0)</f>
        <v>46050</v>
      </c>
      <c r="U2752" s="124" t="str">
        <f>IFERROR(__xludf.DUMMYFUNCTION("""COMPUTED_VALUE"""),"Telephony")</f>
        <v>Telephony</v>
      </c>
      <c r="V2752" s="124" t="str">
        <f>IFERROR(__xludf.DUMMYFUNCTION("""COMPUTED_VALUE"""),"Inbound Call")</f>
        <v>Inbound Call</v>
      </c>
      <c r="W2752" s="124">
        <f>IFERROR(__xludf.DUMMYFUNCTION("""COMPUTED_VALUE"""),9.18047861634E11)</f>
        <v>918047861634</v>
      </c>
      <c r="X2752" s="124" t="str">
        <f>IFERROR(__xludf.DUMMYFUNCTION("""COMPUTED_VALUE"""),"Inbound Call")</f>
        <v>Inbound Call</v>
      </c>
      <c r="Y2752" s="124"/>
      <c r="Z2752" s="124">
        <f>IFERROR(__xludf.DUMMYFUNCTION("""COMPUTED_VALUE"""),1.0)</f>
        <v>1</v>
      </c>
      <c r="AA2752" s="124" t="str">
        <f>IFERROR(__xludf.DUMMYFUNCTION("""COMPUTED_VALUE"""),"Fake Lead")</f>
        <v>Fake Lead</v>
      </c>
      <c r="AB2752" s="124"/>
    </row>
    <row r="2753">
      <c r="K2753" s="124"/>
      <c r="L2753" s="124"/>
      <c r="M2753" s="124"/>
      <c r="N2753" s="124"/>
      <c r="O2753" s="124"/>
      <c r="T2753" s="126">
        <f>IFERROR(__xludf.DUMMYFUNCTION("""COMPUTED_VALUE"""),46106.0)</f>
        <v>46106</v>
      </c>
      <c r="U2753" s="124" t="str">
        <f>IFERROR(__xludf.DUMMYFUNCTION("""COMPUTED_VALUE"""),"Telephony")</f>
        <v>Telephony</v>
      </c>
      <c r="V2753" s="124" t="str">
        <f>IFERROR(__xludf.DUMMYFUNCTION("""COMPUTED_VALUE"""),"Inbound Call")</f>
        <v>Inbound Call</v>
      </c>
      <c r="W2753" s="124">
        <f>IFERROR(__xludf.DUMMYFUNCTION("""COMPUTED_VALUE"""),9.18047861632E11)</f>
        <v>918047861632</v>
      </c>
      <c r="X2753" s="124" t="str">
        <f>IFERROR(__xludf.DUMMYFUNCTION("""COMPUTED_VALUE"""),"Inbound Call")</f>
        <v>Inbound Call</v>
      </c>
      <c r="Y2753" s="124"/>
      <c r="Z2753" s="124">
        <f>IFERROR(__xludf.DUMMYFUNCTION("""COMPUTED_VALUE"""),1.0)</f>
        <v>1</v>
      </c>
      <c r="AA2753" s="124" t="str">
        <f>IFERROR(__xludf.DUMMYFUNCTION("""COMPUTED_VALUE"""),"Cold")</f>
        <v>Cold</v>
      </c>
      <c r="AB2753" s="124"/>
    </row>
    <row r="2754">
      <c r="K2754" s="124"/>
      <c r="L2754" s="124"/>
      <c r="M2754" s="124"/>
      <c r="N2754" s="124"/>
      <c r="O2754" s="124"/>
      <c r="T2754" s="126">
        <f>IFERROR(__xludf.DUMMYFUNCTION("""COMPUTED_VALUE"""),46057.0)</f>
        <v>46057</v>
      </c>
      <c r="U2754" s="124" t="str">
        <f>IFERROR(__xludf.DUMMYFUNCTION("""COMPUTED_VALUE"""),"Telephony")</f>
        <v>Telephony</v>
      </c>
      <c r="V2754" s="124" t="str">
        <f>IFERROR(__xludf.DUMMYFUNCTION("""COMPUTED_VALUE"""),"Inbound Call")</f>
        <v>Inbound Call</v>
      </c>
      <c r="W2754" s="124" t="str">
        <f>IFERROR(__xludf.DUMMYFUNCTION("""COMPUTED_VALUE"""),"Inbound Call")</f>
        <v>Inbound Call</v>
      </c>
      <c r="X2754" s="124" t="str">
        <f>IFERROR(__xludf.DUMMYFUNCTION("""COMPUTED_VALUE"""),"Inbound Call")</f>
        <v>Inbound Call</v>
      </c>
      <c r="Y2754" s="124" t="str">
        <f>IFERROR(__xludf.DUMMYFUNCTION("""COMPUTED_VALUE"""),"Indore")</f>
        <v>Indore</v>
      </c>
      <c r="Z2754" s="124">
        <f>IFERROR(__xludf.DUMMYFUNCTION("""COMPUTED_VALUE"""),1.0)</f>
        <v>1</v>
      </c>
      <c r="AA2754" s="124" t="str">
        <f>IFERROR(__xludf.DUMMYFUNCTION("""COMPUTED_VALUE"""),"Cold")</f>
        <v>Cold</v>
      </c>
      <c r="AB2754" s="124" t="str">
        <f>IFERROR(__xludf.DUMMYFUNCTION("""COMPUTED_VALUE"""),"Test Series")</f>
        <v>Test Series</v>
      </c>
    </row>
    <row r="2755">
      <c r="K2755" s="124"/>
      <c r="L2755" s="124"/>
      <c r="M2755" s="124"/>
      <c r="N2755" s="124"/>
      <c r="O2755" s="124"/>
      <c r="T2755" s="126">
        <f>IFERROR(__xludf.DUMMYFUNCTION("""COMPUTED_VALUE"""),46086.0)</f>
        <v>46086</v>
      </c>
      <c r="U2755" s="124" t="str">
        <f>IFERROR(__xludf.DUMMYFUNCTION("""COMPUTED_VALUE"""),"Telephony")</f>
        <v>Telephony</v>
      </c>
      <c r="V2755" s="124" t="str">
        <f>IFERROR(__xludf.DUMMYFUNCTION("""COMPUTED_VALUE"""),"Inbound Call")</f>
        <v>Inbound Call</v>
      </c>
      <c r="W2755" s="124">
        <f>IFERROR(__xludf.DUMMYFUNCTION("""COMPUTED_VALUE"""),9.18047861633E11)</f>
        <v>918047861633</v>
      </c>
      <c r="X2755" s="124" t="str">
        <f>IFERROR(__xludf.DUMMYFUNCTION("""COMPUTED_VALUE"""),"Inbound Call")</f>
        <v>Inbound Call</v>
      </c>
      <c r="Y2755" s="124"/>
      <c r="Z2755" s="124">
        <f>IFERROR(__xludf.DUMMYFUNCTION("""COMPUTED_VALUE"""),1.0)</f>
        <v>1</v>
      </c>
      <c r="AA2755" s="124" t="str">
        <f>IFERROR(__xludf.DUMMYFUNCTION("""COMPUTED_VALUE"""),"Cold")</f>
        <v>Cold</v>
      </c>
      <c r="AB2755" s="124"/>
    </row>
    <row r="2756">
      <c r="K2756" s="124"/>
      <c r="L2756" s="124"/>
      <c r="M2756" s="124"/>
      <c r="N2756" s="124"/>
      <c r="O2756" s="124"/>
      <c r="T2756" s="129">
        <f>IFERROR(__xludf.DUMMYFUNCTION("""COMPUTED_VALUE"""),46063.0)</f>
        <v>46063</v>
      </c>
      <c r="U2756" s="124" t="str">
        <f>IFERROR(__xludf.DUMMYFUNCTION("""COMPUTED_VALUE"""),"Telephony")</f>
        <v>Telephony</v>
      </c>
      <c r="V2756" s="124" t="str">
        <f>IFERROR(__xludf.DUMMYFUNCTION("""COMPUTED_VALUE"""),"Inbound Call")</f>
        <v>Inbound Call</v>
      </c>
      <c r="W2756" s="124">
        <f>IFERROR(__xludf.DUMMYFUNCTION("""COMPUTED_VALUE"""),9.18047861631E11)</f>
        <v>918047861631</v>
      </c>
      <c r="X2756" s="124" t="str">
        <f>IFERROR(__xludf.DUMMYFUNCTION("""COMPUTED_VALUE"""),"Inbound Call")</f>
        <v>Inbound Call</v>
      </c>
      <c r="Y2756" s="124"/>
      <c r="Z2756" s="124">
        <f>IFERROR(__xludf.DUMMYFUNCTION("""COMPUTED_VALUE"""),1.0)</f>
        <v>1</v>
      </c>
      <c r="AA2756" s="124" t="str">
        <f>IFERROR(__xludf.DUMMYFUNCTION("""COMPUTED_VALUE"""),"Cold")</f>
        <v>Cold</v>
      </c>
      <c r="AB2756" s="124"/>
    </row>
    <row r="2757">
      <c r="K2757" s="124"/>
      <c r="L2757" s="124"/>
      <c r="M2757" s="124"/>
      <c r="N2757" s="124"/>
      <c r="O2757" s="124"/>
      <c r="T2757" s="126">
        <f>IFERROR(__xludf.DUMMYFUNCTION("""COMPUTED_VALUE"""),46077.0)</f>
        <v>46077</v>
      </c>
      <c r="U2757" s="124" t="str">
        <f>IFERROR(__xludf.DUMMYFUNCTION("""COMPUTED_VALUE"""),"Telephony")</f>
        <v>Telephony</v>
      </c>
      <c r="V2757" s="124" t="str">
        <f>IFERROR(__xludf.DUMMYFUNCTION("""COMPUTED_VALUE"""),"Inbound Call")</f>
        <v>Inbound Call</v>
      </c>
      <c r="W2757" s="124">
        <f>IFERROR(__xludf.DUMMYFUNCTION("""COMPUTED_VALUE"""),9.18047861663E11)</f>
        <v>918047861663</v>
      </c>
      <c r="X2757" s="124" t="str">
        <f>IFERROR(__xludf.DUMMYFUNCTION("""COMPUTED_VALUE"""),"Inbound Call")</f>
        <v>Inbound Call</v>
      </c>
      <c r="Y2757" s="124"/>
      <c r="Z2757" s="124">
        <f>IFERROR(__xludf.DUMMYFUNCTION("""COMPUTED_VALUE"""),1.0)</f>
        <v>1</v>
      </c>
      <c r="AA2757" s="124" t="str">
        <f>IFERROR(__xludf.DUMMYFUNCTION("""COMPUTED_VALUE"""),"Cold")</f>
        <v>Cold</v>
      </c>
      <c r="AB2757" s="124" t="str">
        <f>IFERROR(__xludf.DUMMYFUNCTION("""COMPUTED_VALUE"""),"IGP UPPSC")</f>
        <v>IGP UPPSC</v>
      </c>
    </row>
    <row r="2758">
      <c r="K2758" s="124"/>
      <c r="L2758" s="124"/>
      <c r="M2758" s="124"/>
      <c r="N2758" s="124"/>
      <c r="O2758" s="124"/>
      <c r="T2758" s="126">
        <f>IFERROR(__xludf.DUMMYFUNCTION("""COMPUTED_VALUE"""),46106.0)</f>
        <v>46106</v>
      </c>
      <c r="U2758" s="124" t="str">
        <f>IFERROR(__xludf.DUMMYFUNCTION("""COMPUTED_VALUE"""),"Telephony")</f>
        <v>Telephony</v>
      </c>
      <c r="V2758" s="124" t="str">
        <f>IFERROR(__xludf.DUMMYFUNCTION("""COMPUTED_VALUE"""),"Inbound Call")</f>
        <v>Inbound Call</v>
      </c>
      <c r="W2758" s="124">
        <f>IFERROR(__xludf.DUMMYFUNCTION("""COMPUTED_VALUE"""),9.18047861634E11)</f>
        <v>918047861634</v>
      </c>
      <c r="X2758" s="124" t="str">
        <f>IFERROR(__xludf.DUMMYFUNCTION("""COMPUTED_VALUE"""),"Inbound Call")</f>
        <v>Inbound Call</v>
      </c>
      <c r="Y2758" s="124"/>
      <c r="Z2758" s="124">
        <f>IFERROR(__xludf.DUMMYFUNCTION("""COMPUTED_VALUE"""),1.0)</f>
        <v>1</v>
      </c>
      <c r="AA2758" s="124" t="str">
        <f>IFERROR(__xludf.DUMMYFUNCTION("""COMPUTED_VALUE"""),"Cold")</f>
        <v>Cold</v>
      </c>
      <c r="AB2758" s="124"/>
    </row>
    <row r="2759">
      <c r="K2759" s="124"/>
      <c r="L2759" s="124"/>
      <c r="M2759" s="124"/>
      <c r="N2759" s="124"/>
      <c r="O2759" s="124"/>
      <c r="T2759" s="129">
        <f>IFERROR(__xludf.DUMMYFUNCTION("""COMPUTED_VALUE"""),46081.0)</f>
        <v>46081</v>
      </c>
      <c r="U2759" s="124" t="str">
        <f>IFERROR(__xludf.DUMMYFUNCTION("""COMPUTED_VALUE"""),"Telephony")</f>
        <v>Telephony</v>
      </c>
      <c r="V2759" s="124" t="str">
        <f>IFERROR(__xludf.DUMMYFUNCTION("""COMPUTED_VALUE"""),"Inbound Call")</f>
        <v>Inbound Call</v>
      </c>
      <c r="W2759" s="124" t="str">
        <f>IFERROR(__xludf.DUMMYFUNCTION("""COMPUTED_VALUE"""),"Inbound Call")</f>
        <v>Inbound Call</v>
      </c>
      <c r="X2759" s="124" t="str">
        <f>IFERROR(__xludf.DUMMYFUNCTION("""COMPUTED_VALUE"""),"Inbound Call")</f>
        <v>Inbound Call</v>
      </c>
      <c r="Y2759" s="124"/>
      <c r="Z2759" s="124">
        <f>IFERROR(__xludf.DUMMYFUNCTION("""COMPUTED_VALUE"""),1.0)</f>
        <v>1</v>
      </c>
      <c r="AA2759" s="124" t="str">
        <f>IFERROR(__xludf.DUMMYFUNCTION("""COMPUTED_VALUE"""),"Fake Lead")</f>
        <v>Fake Lead</v>
      </c>
      <c r="AB2759" s="124"/>
    </row>
    <row r="2760">
      <c r="K2760" s="124"/>
      <c r="L2760" s="124"/>
      <c r="M2760" s="124"/>
      <c r="N2760" s="124"/>
      <c r="O2760" s="124"/>
      <c r="T2760" s="129">
        <f>IFERROR(__xludf.DUMMYFUNCTION("""COMPUTED_VALUE"""),46060.0)</f>
        <v>46060</v>
      </c>
      <c r="U2760" s="124" t="str">
        <f>IFERROR(__xludf.DUMMYFUNCTION("""COMPUTED_VALUE"""),"Telephony")</f>
        <v>Telephony</v>
      </c>
      <c r="V2760" s="124" t="str">
        <f>IFERROR(__xludf.DUMMYFUNCTION("""COMPUTED_VALUE"""),"Inbound Call")</f>
        <v>Inbound Call</v>
      </c>
      <c r="W2760" s="124">
        <f>IFERROR(__xludf.DUMMYFUNCTION("""COMPUTED_VALUE"""),9.18047861635E11)</f>
        <v>918047861635</v>
      </c>
      <c r="X2760" s="124" t="str">
        <f>IFERROR(__xludf.DUMMYFUNCTION("""COMPUTED_VALUE"""),"Inbound Call")</f>
        <v>Inbound Call</v>
      </c>
      <c r="Y2760" s="124" t="str">
        <f>IFERROR(__xludf.DUMMYFUNCTION("""COMPUTED_VALUE"""),"Indore")</f>
        <v>Indore</v>
      </c>
      <c r="Z2760" s="124">
        <f>IFERROR(__xludf.DUMMYFUNCTION("""COMPUTED_VALUE"""),1.0)</f>
        <v>1</v>
      </c>
      <c r="AA2760" s="124" t="str">
        <f>IFERROR(__xludf.DUMMYFUNCTION("""COMPUTED_VALUE"""),"Cold")</f>
        <v>Cold</v>
      </c>
      <c r="AB2760" s="124"/>
    </row>
    <row r="2761">
      <c r="K2761" s="124"/>
      <c r="L2761" s="124"/>
      <c r="M2761" s="124"/>
      <c r="N2761" s="124"/>
      <c r="O2761" s="124"/>
      <c r="T2761" s="129">
        <f>IFERROR(__xludf.DUMMYFUNCTION("""COMPUTED_VALUE"""),46076.0)</f>
        <v>46076</v>
      </c>
      <c r="U2761" s="124" t="str">
        <f>IFERROR(__xludf.DUMMYFUNCTION("""COMPUTED_VALUE"""),"Telephony")</f>
        <v>Telephony</v>
      </c>
      <c r="V2761" s="124" t="str">
        <f>IFERROR(__xludf.DUMMYFUNCTION("""COMPUTED_VALUE"""),"Inbound Call")</f>
        <v>Inbound Call</v>
      </c>
      <c r="W2761" s="124">
        <f>IFERROR(__xludf.DUMMYFUNCTION("""COMPUTED_VALUE"""),9.18047861631E11)</f>
        <v>918047861631</v>
      </c>
      <c r="X2761" s="124" t="str">
        <f>IFERROR(__xludf.DUMMYFUNCTION("""COMPUTED_VALUE"""),"Inbound Call")</f>
        <v>Inbound Call</v>
      </c>
      <c r="Y2761" s="124" t="str">
        <f>IFERROR(__xludf.DUMMYFUNCTION("""COMPUTED_VALUE"""),"Delhi")</f>
        <v>Delhi</v>
      </c>
      <c r="Z2761" s="124">
        <f>IFERROR(__xludf.DUMMYFUNCTION("""COMPUTED_VALUE"""),3.0)</f>
        <v>3</v>
      </c>
      <c r="AA2761" s="124" t="str">
        <f>IFERROR(__xludf.DUMMYFUNCTION("""COMPUTED_VALUE"""),"Cold")</f>
        <v>Cold</v>
      </c>
      <c r="AB2761" s="124"/>
    </row>
    <row r="2762">
      <c r="K2762" s="124"/>
      <c r="L2762" s="124"/>
      <c r="M2762" s="124"/>
      <c r="N2762" s="124"/>
      <c r="O2762" s="124"/>
      <c r="T2762" s="129">
        <f>IFERROR(__xludf.DUMMYFUNCTION("""COMPUTED_VALUE"""),46062.0)</f>
        <v>46062</v>
      </c>
      <c r="U2762" s="124" t="str">
        <f>IFERROR(__xludf.DUMMYFUNCTION("""COMPUTED_VALUE"""),"Telephony")</f>
        <v>Telephony</v>
      </c>
      <c r="V2762" s="124" t="str">
        <f>IFERROR(__xludf.DUMMYFUNCTION("""COMPUTED_VALUE"""),"Inbound Call")</f>
        <v>Inbound Call</v>
      </c>
      <c r="W2762" s="124" t="str">
        <f>IFERROR(__xludf.DUMMYFUNCTION("""COMPUTED_VALUE"""),"Inbound Call")</f>
        <v>Inbound Call</v>
      </c>
      <c r="X2762" s="124" t="str">
        <f>IFERROR(__xludf.DUMMYFUNCTION("""COMPUTED_VALUE"""),"Inbound Call")</f>
        <v>Inbound Call</v>
      </c>
      <c r="Y2762" s="124" t="str">
        <f>IFERROR(__xludf.DUMMYFUNCTION("""COMPUTED_VALUE"""),"Indore")</f>
        <v>Indore</v>
      </c>
      <c r="Z2762" s="124">
        <f>IFERROR(__xludf.DUMMYFUNCTION("""COMPUTED_VALUE"""),1.0)</f>
        <v>1</v>
      </c>
      <c r="AA2762" s="124" t="str">
        <f>IFERROR(__xludf.DUMMYFUNCTION("""COMPUTED_VALUE"""),"Cold")</f>
        <v>Cold</v>
      </c>
      <c r="AB2762" s="124" t="str">
        <f>IFERROR(__xludf.DUMMYFUNCTION("""COMPUTED_VALUE"""),"Other")</f>
        <v>Other</v>
      </c>
    </row>
    <row r="2763">
      <c r="K2763" s="124"/>
      <c r="L2763" s="124"/>
      <c r="M2763" s="124"/>
      <c r="N2763" s="124"/>
      <c r="O2763" s="124"/>
      <c r="T2763" s="126">
        <f>IFERROR(__xludf.DUMMYFUNCTION("""COMPUTED_VALUE"""),46069.0)</f>
        <v>46069</v>
      </c>
      <c r="U2763" s="124" t="str">
        <f>IFERROR(__xludf.DUMMYFUNCTION("""COMPUTED_VALUE"""),"Telephony")</f>
        <v>Telephony</v>
      </c>
      <c r="V2763" s="124" t="str">
        <f>IFERROR(__xludf.DUMMYFUNCTION("""COMPUTED_VALUE"""),"Inbound Call")</f>
        <v>Inbound Call</v>
      </c>
      <c r="W2763" s="124">
        <f>IFERROR(__xludf.DUMMYFUNCTION("""COMPUTED_VALUE"""),9.18047861633E11)</f>
        <v>918047861633</v>
      </c>
      <c r="X2763" s="124" t="str">
        <f>IFERROR(__xludf.DUMMYFUNCTION("""COMPUTED_VALUE"""),"Inbound Call")</f>
        <v>Inbound Call</v>
      </c>
      <c r="Y2763" s="124"/>
      <c r="Z2763" s="124">
        <f>IFERROR(__xludf.DUMMYFUNCTION("""COMPUTED_VALUE"""),1.0)</f>
        <v>1</v>
      </c>
      <c r="AA2763" s="124" t="str">
        <f>IFERROR(__xludf.DUMMYFUNCTION("""COMPUTED_VALUE"""),"Cold")</f>
        <v>Cold</v>
      </c>
      <c r="AB2763" s="124"/>
    </row>
    <row r="2764">
      <c r="K2764" s="124"/>
      <c r="L2764" s="124"/>
      <c r="M2764" s="124"/>
      <c r="N2764" s="124"/>
      <c r="O2764" s="124"/>
      <c r="T2764" s="126">
        <f>IFERROR(__xludf.DUMMYFUNCTION("""COMPUTED_VALUE"""),46112.0)</f>
        <v>46112</v>
      </c>
      <c r="U2764" s="124" t="str">
        <f>IFERROR(__xludf.DUMMYFUNCTION("""COMPUTED_VALUE"""),"Telephony")</f>
        <v>Telephony</v>
      </c>
      <c r="V2764" s="124" t="str">
        <f>IFERROR(__xludf.DUMMYFUNCTION("""COMPUTED_VALUE"""),"Inbound Call")</f>
        <v>Inbound Call</v>
      </c>
      <c r="W2764" s="124">
        <f>IFERROR(__xludf.DUMMYFUNCTION("""COMPUTED_VALUE"""),9.18047861634E11)</f>
        <v>918047861634</v>
      </c>
      <c r="X2764" s="124" t="str">
        <f>IFERROR(__xludf.DUMMYFUNCTION("""COMPUTED_VALUE"""),"Inbound Call")</f>
        <v>Inbound Call</v>
      </c>
      <c r="Y2764" s="124"/>
      <c r="Z2764" s="124">
        <f>IFERROR(__xludf.DUMMYFUNCTION("""COMPUTED_VALUE"""),1.0)</f>
        <v>1</v>
      </c>
      <c r="AA2764" s="124" t="str">
        <f>IFERROR(__xludf.DUMMYFUNCTION("""COMPUTED_VALUE"""),"Cold")</f>
        <v>Cold</v>
      </c>
      <c r="AB2764" s="124"/>
    </row>
    <row r="2765">
      <c r="K2765" s="124"/>
      <c r="L2765" s="124"/>
      <c r="M2765" s="124"/>
      <c r="N2765" s="124"/>
      <c r="O2765" s="124"/>
      <c r="T2765" s="126">
        <f>IFERROR(__xludf.DUMMYFUNCTION("""COMPUTED_VALUE"""),46053.0)</f>
        <v>46053</v>
      </c>
      <c r="U2765" s="124" t="str">
        <f>IFERROR(__xludf.DUMMYFUNCTION("""COMPUTED_VALUE"""),"Telephony")</f>
        <v>Telephony</v>
      </c>
      <c r="V2765" s="124" t="str">
        <f>IFERROR(__xludf.DUMMYFUNCTION("""COMPUTED_VALUE"""),"Inbound Call")</f>
        <v>Inbound Call</v>
      </c>
      <c r="W2765" s="124" t="str">
        <f>IFERROR(__xludf.DUMMYFUNCTION("""COMPUTED_VALUE"""),"Inbound Call")</f>
        <v>Inbound Call</v>
      </c>
      <c r="X2765" s="124" t="str">
        <f>IFERROR(__xludf.DUMMYFUNCTION("""COMPUTED_VALUE"""),"Inbound Call")</f>
        <v>Inbound Call</v>
      </c>
      <c r="Y2765" s="124" t="str">
        <f>IFERROR(__xludf.DUMMYFUNCTION("""COMPUTED_VALUE"""),"Patna")</f>
        <v>Patna</v>
      </c>
      <c r="Z2765" s="124">
        <f>IFERROR(__xludf.DUMMYFUNCTION("""COMPUTED_VALUE"""),1.0)</f>
        <v>1</v>
      </c>
      <c r="AA2765" s="124" t="str">
        <f>IFERROR(__xludf.DUMMYFUNCTION("""COMPUTED_VALUE"""),"Not Interested")</f>
        <v>Not Interested</v>
      </c>
      <c r="AB2765" s="124" t="str">
        <f>IFERROR(__xludf.DUMMYFUNCTION("""COMPUTED_VALUE"""),"GS Foundation")</f>
        <v>GS Foundation</v>
      </c>
    </row>
    <row r="2766">
      <c r="K2766" s="124"/>
      <c r="L2766" s="124"/>
      <c r="M2766" s="124"/>
      <c r="N2766" s="124"/>
      <c r="O2766" s="124"/>
      <c r="T2766" s="126">
        <f>IFERROR(__xludf.DUMMYFUNCTION("""COMPUTED_VALUE"""),46081.0)</f>
        <v>46081</v>
      </c>
      <c r="U2766" s="124" t="str">
        <f>IFERROR(__xludf.DUMMYFUNCTION("""COMPUTED_VALUE"""),"Telephony")</f>
        <v>Telephony</v>
      </c>
      <c r="V2766" s="124" t="str">
        <f>IFERROR(__xludf.DUMMYFUNCTION("""COMPUTED_VALUE"""),"Inbound Call")</f>
        <v>Inbound Call</v>
      </c>
      <c r="W2766" s="124">
        <f>IFERROR(__xludf.DUMMYFUNCTION("""COMPUTED_VALUE"""),9.18047861663E11)</f>
        <v>918047861663</v>
      </c>
      <c r="X2766" s="124" t="str">
        <f>IFERROR(__xludf.DUMMYFUNCTION("""COMPUTED_VALUE"""),"Inbound Call")</f>
        <v>Inbound Call</v>
      </c>
      <c r="Y2766" s="124" t="str">
        <f>IFERROR(__xludf.DUMMYFUNCTION("""COMPUTED_VALUE"""),"Delhi")</f>
        <v>Delhi</v>
      </c>
      <c r="Z2766" s="124">
        <f>IFERROR(__xludf.DUMMYFUNCTION("""COMPUTED_VALUE"""),2.0)</f>
        <v>2</v>
      </c>
      <c r="AA2766" s="124" t="str">
        <f>IFERROR(__xludf.DUMMYFUNCTION("""COMPUTED_VALUE"""),"Fake Lead")</f>
        <v>Fake Lead</v>
      </c>
      <c r="AB2766" s="124"/>
    </row>
    <row r="2767">
      <c r="K2767" s="124"/>
      <c r="L2767" s="124"/>
      <c r="M2767" s="124"/>
      <c r="N2767" s="124"/>
      <c r="O2767" s="124"/>
      <c r="T2767" s="126">
        <f>IFERROR(__xludf.DUMMYFUNCTION("""COMPUTED_VALUE"""),46069.0)</f>
        <v>46069</v>
      </c>
      <c r="U2767" s="124" t="str">
        <f>IFERROR(__xludf.DUMMYFUNCTION("""COMPUTED_VALUE"""),"Telephony")</f>
        <v>Telephony</v>
      </c>
      <c r="V2767" s="124" t="str">
        <f>IFERROR(__xludf.DUMMYFUNCTION("""COMPUTED_VALUE"""),"Inbound Call")</f>
        <v>Inbound Call</v>
      </c>
      <c r="W2767" s="124">
        <f>IFERROR(__xludf.DUMMYFUNCTION("""COMPUTED_VALUE"""),9.18047861634E11)</f>
        <v>918047861634</v>
      </c>
      <c r="X2767" s="124" t="str">
        <f>IFERROR(__xludf.DUMMYFUNCTION("""COMPUTED_VALUE"""),"Inbound Call")</f>
        <v>Inbound Call</v>
      </c>
      <c r="Y2767" s="124"/>
      <c r="Z2767" s="124">
        <f>IFERROR(__xludf.DUMMYFUNCTION("""COMPUTED_VALUE"""),1.0)</f>
        <v>1</v>
      </c>
      <c r="AA2767" s="124" t="str">
        <f>IFERROR(__xludf.DUMMYFUNCTION("""COMPUTED_VALUE"""),"Cold")</f>
        <v>Cold</v>
      </c>
      <c r="AB2767" s="124"/>
    </row>
    <row r="2768">
      <c r="K2768" s="124"/>
      <c r="L2768" s="124"/>
      <c r="M2768" s="124"/>
      <c r="N2768" s="124"/>
      <c r="O2768" s="124"/>
      <c r="T2768" s="126">
        <f>IFERROR(__xludf.DUMMYFUNCTION("""COMPUTED_VALUE"""),46096.0)</f>
        <v>46096</v>
      </c>
      <c r="U2768" s="124" t="str">
        <f>IFERROR(__xludf.DUMMYFUNCTION("""COMPUTED_VALUE"""),"Telephony")</f>
        <v>Telephony</v>
      </c>
      <c r="V2768" s="124" t="str">
        <f>IFERROR(__xludf.DUMMYFUNCTION("""COMPUTED_VALUE"""),"Inbound Call")</f>
        <v>Inbound Call</v>
      </c>
      <c r="W2768" s="124">
        <f>IFERROR(__xludf.DUMMYFUNCTION("""COMPUTED_VALUE"""),9.18047861634E11)</f>
        <v>918047861634</v>
      </c>
      <c r="X2768" s="124" t="str">
        <f>IFERROR(__xludf.DUMMYFUNCTION("""COMPUTED_VALUE"""),"Inbound Call")</f>
        <v>Inbound Call</v>
      </c>
      <c r="Y2768" s="124"/>
      <c r="Z2768" s="124">
        <f>IFERROR(__xludf.DUMMYFUNCTION("""COMPUTED_VALUE"""),1.0)</f>
        <v>1</v>
      </c>
      <c r="AA2768" s="124" t="str">
        <f>IFERROR(__xludf.DUMMYFUNCTION("""COMPUTED_VALUE"""),"Cold")</f>
        <v>Cold</v>
      </c>
      <c r="AB2768" s="124"/>
    </row>
    <row r="2769">
      <c r="K2769" s="124"/>
      <c r="L2769" s="124"/>
      <c r="M2769" s="124"/>
      <c r="N2769" s="124"/>
      <c r="O2769" s="124"/>
      <c r="T2769" s="126">
        <f>IFERROR(__xludf.DUMMYFUNCTION("""COMPUTED_VALUE"""),46047.0)</f>
        <v>46047</v>
      </c>
      <c r="U2769" s="124" t="str">
        <f>IFERROR(__xludf.DUMMYFUNCTION("""COMPUTED_VALUE"""),"Telephony")</f>
        <v>Telephony</v>
      </c>
      <c r="V2769" s="124" t="str">
        <f>IFERROR(__xludf.DUMMYFUNCTION("""COMPUTED_VALUE"""),"Inbound Call")</f>
        <v>Inbound Call</v>
      </c>
      <c r="W2769" s="124">
        <f>IFERROR(__xludf.DUMMYFUNCTION("""COMPUTED_VALUE"""),9.18047861633E11)</f>
        <v>918047861633</v>
      </c>
      <c r="X2769" s="124" t="str">
        <f>IFERROR(__xludf.DUMMYFUNCTION("""COMPUTED_VALUE"""),"Inbound Call")</f>
        <v>Inbound Call</v>
      </c>
      <c r="Y2769" s="124"/>
      <c r="Z2769" s="124">
        <f>IFERROR(__xludf.DUMMYFUNCTION("""COMPUTED_VALUE"""),6.0)</f>
        <v>6</v>
      </c>
      <c r="AA2769" s="124" t="str">
        <f>IFERROR(__xludf.DUMMYFUNCTION("""COMPUTED_VALUE"""),"Cold")</f>
        <v>Cold</v>
      </c>
      <c r="AB2769" s="124"/>
    </row>
    <row r="2770">
      <c r="K2770" s="124"/>
      <c r="L2770" s="124"/>
      <c r="M2770" s="124"/>
      <c r="N2770" s="124"/>
      <c r="O2770" s="124"/>
      <c r="T2770" s="126">
        <f>IFERROR(__xludf.DUMMYFUNCTION("""COMPUTED_VALUE"""),46087.0)</f>
        <v>46087</v>
      </c>
      <c r="U2770" s="124" t="str">
        <f>IFERROR(__xludf.DUMMYFUNCTION("""COMPUTED_VALUE"""),"Telephony")</f>
        <v>Telephony</v>
      </c>
      <c r="V2770" s="124" t="str">
        <f>IFERROR(__xludf.DUMMYFUNCTION("""COMPUTED_VALUE"""),"Inbound Call")</f>
        <v>Inbound Call</v>
      </c>
      <c r="W2770" s="124" t="str">
        <f>IFERROR(__xludf.DUMMYFUNCTION("""COMPUTED_VALUE"""),"Inbound Call")</f>
        <v>Inbound Call</v>
      </c>
      <c r="X2770" s="124" t="str">
        <f>IFERROR(__xludf.DUMMYFUNCTION("""COMPUTED_VALUE"""),"Inbound Call")</f>
        <v>Inbound Call</v>
      </c>
      <c r="Y2770" s="124" t="str">
        <f>IFERROR(__xludf.DUMMYFUNCTION("""COMPUTED_VALUE"""),"Delhi")</f>
        <v>Delhi</v>
      </c>
      <c r="Z2770" s="124">
        <f>IFERROR(__xludf.DUMMYFUNCTION("""COMPUTED_VALUE"""),1.0)</f>
        <v>1</v>
      </c>
      <c r="AA2770" s="124" t="str">
        <f>IFERROR(__xludf.DUMMYFUNCTION("""COMPUTED_VALUE"""),"Cold")</f>
        <v>Cold</v>
      </c>
      <c r="AB2770" s="124" t="str">
        <f>IFERROR(__xludf.DUMMYFUNCTION("""COMPUTED_VALUE"""),"GS Foundation")</f>
        <v>GS Foundation</v>
      </c>
    </row>
    <row r="2771">
      <c r="K2771" s="124"/>
      <c r="L2771" s="124"/>
      <c r="M2771" s="124"/>
      <c r="N2771" s="124"/>
      <c r="O2771" s="124"/>
      <c r="T2771" s="126">
        <f>IFERROR(__xludf.DUMMYFUNCTION("""COMPUTED_VALUE"""),46059.0)</f>
        <v>46059</v>
      </c>
      <c r="U2771" s="124" t="str">
        <f>IFERROR(__xludf.DUMMYFUNCTION("""COMPUTED_VALUE"""),"Telephony")</f>
        <v>Telephony</v>
      </c>
      <c r="V2771" s="124" t="str">
        <f>IFERROR(__xludf.DUMMYFUNCTION("""COMPUTED_VALUE"""),"Inbound Call")</f>
        <v>Inbound Call</v>
      </c>
      <c r="W2771" s="124" t="str">
        <f>IFERROR(__xludf.DUMMYFUNCTION("""COMPUTED_VALUE"""),"Inbound Call")</f>
        <v>Inbound Call</v>
      </c>
      <c r="X2771" s="124" t="str">
        <f>IFERROR(__xludf.DUMMYFUNCTION("""COMPUTED_VALUE"""),"Inbound Call")</f>
        <v>Inbound Call</v>
      </c>
      <c r="Y2771" s="124" t="str">
        <f>IFERROR(__xludf.DUMMYFUNCTION("""COMPUTED_VALUE"""),"Indore")</f>
        <v>Indore</v>
      </c>
      <c r="Z2771" s="124">
        <f>IFERROR(__xludf.DUMMYFUNCTION("""COMPUTED_VALUE"""),1.0)</f>
        <v>1</v>
      </c>
      <c r="AA2771" s="124" t="str">
        <f>IFERROR(__xludf.DUMMYFUNCTION("""COMPUTED_VALUE"""),"Not Interested")</f>
        <v>Not Interested</v>
      </c>
      <c r="AB2771" s="124" t="str">
        <f>IFERROR(__xludf.DUMMYFUNCTION("""COMPUTED_VALUE"""),"GS Foundation")</f>
        <v>GS Foundation</v>
      </c>
    </row>
    <row r="2772">
      <c r="K2772" s="124"/>
      <c r="L2772" s="124"/>
      <c r="M2772" s="124"/>
      <c r="N2772" s="124"/>
      <c r="O2772" s="124"/>
      <c r="T2772" s="126">
        <f>IFERROR(__xludf.DUMMYFUNCTION("""COMPUTED_VALUE"""),46100.0)</f>
        <v>46100</v>
      </c>
      <c r="U2772" s="124" t="str">
        <f>IFERROR(__xludf.DUMMYFUNCTION("""COMPUTED_VALUE"""),"Telephony")</f>
        <v>Telephony</v>
      </c>
      <c r="V2772" s="124" t="str">
        <f>IFERROR(__xludf.DUMMYFUNCTION("""COMPUTED_VALUE"""),"Inbound Call")</f>
        <v>Inbound Call</v>
      </c>
      <c r="W2772" s="124">
        <f>IFERROR(__xludf.DUMMYFUNCTION("""COMPUTED_VALUE"""),9.18047861631E11)</f>
        <v>918047861631</v>
      </c>
      <c r="X2772" s="124" t="str">
        <f>IFERROR(__xludf.DUMMYFUNCTION("""COMPUTED_VALUE"""),"Inbound Call")</f>
        <v>Inbound Call</v>
      </c>
      <c r="Y2772" s="124"/>
      <c r="Z2772" s="124">
        <f>IFERROR(__xludf.DUMMYFUNCTION("""COMPUTED_VALUE"""),2.0)</f>
        <v>2</v>
      </c>
      <c r="AA2772" s="124" t="str">
        <f>IFERROR(__xludf.DUMMYFUNCTION("""COMPUTED_VALUE"""),"Fake Lead")</f>
        <v>Fake Lead</v>
      </c>
      <c r="AB2772" s="124"/>
    </row>
    <row r="2773">
      <c r="K2773" s="124"/>
      <c r="L2773" s="124"/>
      <c r="M2773" s="124"/>
      <c r="N2773" s="124"/>
      <c r="O2773" s="124"/>
      <c r="T2773" s="126">
        <f>IFERROR(__xludf.DUMMYFUNCTION("""COMPUTED_VALUE"""),46084.0)</f>
        <v>46084</v>
      </c>
      <c r="U2773" s="124" t="str">
        <f>IFERROR(__xludf.DUMMYFUNCTION("""COMPUTED_VALUE"""),"Telephony")</f>
        <v>Telephony</v>
      </c>
      <c r="V2773" s="124" t="str">
        <f>IFERROR(__xludf.DUMMYFUNCTION("""COMPUTED_VALUE"""),"Inbound Call")</f>
        <v>Inbound Call</v>
      </c>
      <c r="W2773" s="124">
        <f>IFERROR(__xludf.DUMMYFUNCTION("""COMPUTED_VALUE"""),9.18047861635E11)</f>
        <v>918047861635</v>
      </c>
      <c r="X2773" s="124" t="str">
        <f>IFERROR(__xludf.DUMMYFUNCTION("""COMPUTED_VALUE"""),"Inbound Call")</f>
        <v>Inbound Call</v>
      </c>
      <c r="Y2773" s="124" t="str">
        <f>IFERROR(__xludf.DUMMYFUNCTION("""COMPUTED_VALUE"""),"Indore")</f>
        <v>Indore</v>
      </c>
      <c r="Z2773" s="124">
        <f>IFERROR(__xludf.DUMMYFUNCTION("""COMPUTED_VALUE"""),1.0)</f>
        <v>1</v>
      </c>
      <c r="AA2773" s="124" t="str">
        <f>IFERROR(__xludf.DUMMYFUNCTION("""COMPUTED_VALUE"""),"Warm")</f>
        <v>Warm</v>
      </c>
      <c r="AB2773" s="124" t="str">
        <f>IFERROR(__xludf.DUMMYFUNCTION("""COMPUTED_VALUE"""),"Test Series")</f>
        <v>Test Series</v>
      </c>
    </row>
    <row r="2774">
      <c r="K2774" s="124"/>
      <c r="L2774" s="124"/>
      <c r="M2774" s="124"/>
      <c r="N2774" s="124"/>
      <c r="O2774" s="124"/>
      <c r="T2774" s="126">
        <f>IFERROR(__xludf.DUMMYFUNCTION("""COMPUTED_VALUE"""),46084.0)</f>
        <v>46084</v>
      </c>
      <c r="U2774" s="124" t="str">
        <f>IFERROR(__xludf.DUMMYFUNCTION("""COMPUTED_VALUE"""),"Telephony")</f>
        <v>Telephony</v>
      </c>
      <c r="V2774" s="124" t="str">
        <f>IFERROR(__xludf.DUMMYFUNCTION("""COMPUTED_VALUE"""),"Inbound Call")</f>
        <v>Inbound Call</v>
      </c>
      <c r="W2774" s="124">
        <f>IFERROR(__xludf.DUMMYFUNCTION("""COMPUTED_VALUE"""),9.18047861635E11)</f>
        <v>918047861635</v>
      </c>
      <c r="X2774" s="124" t="str">
        <f>IFERROR(__xludf.DUMMYFUNCTION("""COMPUTED_VALUE"""),"Inbound Call")</f>
        <v>Inbound Call</v>
      </c>
      <c r="Y2774" s="124" t="str">
        <f>IFERROR(__xludf.DUMMYFUNCTION("""COMPUTED_VALUE"""),"Indore")</f>
        <v>Indore</v>
      </c>
      <c r="Z2774" s="124">
        <f>IFERROR(__xludf.DUMMYFUNCTION("""COMPUTED_VALUE"""),1.0)</f>
        <v>1</v>
      </c>
      <c r="AA2774" s="124" t="str">
        <f>IFERROR(__xludf.DUMMYFUNCTION("""COMPUTED_VALUE"""),"Cold")</f>
        <v>Cold</v>
      </c>
      <c r="AB2774" s="124"/>
    </row>
    <row r="2775">
      <c r="K2775" s="124"/>
      <c r="L2775" s="124"/>
      <c r="M2775" s="124"/>
      <c r="N2775" s="124"/>
      <c r="O2775" s="124"/>
      <c r="T2775" s="129">
        <f>IFERROR(__xludf.DUMMYFUNCTION("""COMPUTED_VALUE"""),46105.0)</f>
        <v>46105</v>
      </c>
      <c r="U2775" s="124" t="str">
        <f>IFERROR(__xludf.DUMMYFUNCTION("""COMPUTED_VALUE"""),"Walk-Ins")</f>
        <v>Walk-Ins</v>
      </c>
      <c r="V2775" s="124" t="str">
        <f>IFERROR(__xludf.DUMMYFUNCTION("""COMPUTED_VALUE"""),"Walk-In")</f>
        <v>Walk-In</v>
      </c>
      <c r="W2775" s="124" t="str">
        <f>IFERROR(__xludf.DUMMYFUNCTION("""COMPUTED_VALUE"""),"Patna")</f>
        <v>Patna</v>
      </c>
      <c r="X2775" s="124" t="str">
        <f>IFERROR(__xludf.DUMMYFUNCTION("""COMPUTED_VALUE"""),"Riya Chaudhary")</f>
        <v>Riya Chaudhary</v>
      </c>
      <c r="Y2775" s="124"/>
      <c r="Z2775" s="124">
        <f>IFERROR(__xludf.DUMMYFUNCTION("""COMPUTED_VALUE"""),1.0)</f>
        <v>1</v>
      </c>
      <c r="AA2775" s="124" t="str">
        <f>IFERROR(__xludf.DUMMYFUNCTION("""COMPUTED_VALUE"""),"Cold")</f>
        <v>Cold</v>
      </c>
      <c r="AB2775" s="124" t="str">
        <f>IFERROR(__xludf.DUMMYFUNCTION("""COMPUTED_VALUE"""),"State PCS")</f>
        <v>State PCS</v>
      </c>
    </row>
    <row r="2776">
      <c r="K2776" s="124"/>
      <c r="L2776" s="124"/>
      <c r="M2776" s="124"/>
      <c r="N2776" s="124"/>
      <c r="O2776" s="124"/>
      <c r="T2776" s="126">
        <f>IFERROR(__xludf.DUMMYFUNCTION("""COMPUTED_VALUE"""),46111.0)</f>
        <v>46111</v>
      </c>
      <c r="U2776" s="124" t="str">
        <f>IFERROR(__xludf.DUMMYFUNCTION("""COMPUTED_VALUE"""),"Telephony")</f>
        <v>Telephony</v>
      </c>
      <c r="V2776" s="124" t="str">
        <f>IFERROR(__xludf.DUMMYFUNCTION("""COMPUTED_VALUE"""),"Inbound")</f>
        <v>Inbound</v>
      </c>
      <c r="W2776" s="124" t="str">
        <f>IFERROR(__xludf.DUMMYFUNCTION("""COMPUTED_VALUE"""),"Inbound")</f>
        <v>Inbound</v>
      </c>
      <c r="X2776" s="124" t="str">
        <f>IFERROR(__xludf.DUMMYFUNCTION("""COMPUTED_VALUE"""),"Inbound")</f>
        <v>Inbound</v>
      </c>
      <c r="Y2776" s="124" t="str">
        <f>IFERROR(__xludf.DUMMYFUNCTION("""COMPUTED_VALUE"""),"Delhi")</f>
        <v>Delhi</v>
      </c>
      <c r="Z2776" s="124">
        <f>IFERROR(__xludf.DUMMYFUNCTION("""COMPUTED_VALUE"""),1.0)</f>
        <v>1</v>
      </c>
      <c r="AA2776" s="124" t="str">
        <f>IFERROR(__xludf.DUMMYFUNCTION("""COMPUTED_VALUE"""),"Enrolled")</f>
        <v>Enrolled</v>
      </c>
      <c r="AB2776" s="124" t="str">
        <f>IFERROR(__xludf.DUMMYFUNCTION("""COMPUTED_VALUE"""),"State PCS")</f>
        <v>State PCS</v>
      </c>
    </row>
    <row r="2777">
      <c r="K2777" s="124"/>
      <c r="L2777" s="124"/>
      <c r="M2777" s="124"/>
      <c r="N2777" s="124"/>
      <c r="O2777" s="124"/>
      <c r="T2777" s="126">
        <f>IFERROR(__xludf.DUMMYFUNCTION("""COMPUTED_VALUE"""),46099.0)</f>
        <v>46099</v>
      </c>
      <c r="U2777" s="124" t="str">
        <f>IFERROR(__xludf.DUMMYFUNCTION("""COMPUTED_VALUE"""),"Event")</f>
        <v>Event</v>
      </c>
      <c r="V2777" s="124" t="str">
        <f>IFERROR(__xludf.DUMMYFUNCTION("""COMPUTED_VALUE"""),"events")</f>
        <v>events</v>
      </c>
      <c r="W2777" s="124" t="str">
        <f>IFERROR(__xludf.DUMMYFUNCTION("""COMPUTED_VALUE"""),"delhi")</f>
        <v>delhi</v>
      </c>
      <c r="X2777" s="124" t="str">
        <f>IFERROR(__xludf.DUMMYFUNCTION("""COMPUTED_VALUE"""),"zakirhusainseminar")</f>
        <v>zakirhusainseminar</v>
      </c>
      <c r="Y2777" s="124" t="str">
        <f>IFERROR(__xludf.DUMMYFUNCTION("""COMPUTED_VALUE"""),"Delhi")</f>
        <v>Delhi</v>
      </c>
      <c r="Z2777" s="124">
        <f>IFERROR(__xludf.DUMMYFUNCTION("""COMPUTED_VALUE"""),2.0)</f>
        <v>2</v>
      </c>
      <c r="AA2777" s="124"/>
      <c r="AB2777" s="124" t="str">
        <f>IFERROR(__xludf.DUMMYFUNCTION("""COMPUTED_VALUE"""),"GS Foundation")</f>
        <v>GS Foundation</v>
      </c>
    </row>
    <row r="2778">
      <c r="K2778" s="124"/>
      <c r="L2778" s="124"/>
      <c r="M2778" s="124"/>
      <c r="N2778" s="124"/>
      <c r="O2778" s="124"/>
      <c r="T2778" s="126">
        <f>IFERROR(__xludf.DUMMYFUNCTION("""COMPUTED_VALUE"""),46087.0)</f>
        <v>46087</v>
      </c>
      <c r="U2778" s="124" t="str">
        <f>IFERROR(__xludf.DUMMYFUNCTION("""COMPUTED_VALUE"""),"External Leads")</f>
        <v>External Leads</v>
      </c>
      <c r="V2778" s="124" t="str">
        <f>IFERROR(__xludf.DUMMYFUNCTION("""COMPUTED_VALUE"""),"external leads")</f>
        <v>external leads</v>
      </c>
      <c r="W2778" s="124" t="str">
        <f>IFERROR(__xludf.DUMMYFUNCTION("""COMPUTED_VALUE"""),"indore")</f>
        <v>indore</v>
      </c>
      <c r="X2778" s="124" t="str">
        <f>IFERROR(__xludf.DUMMYFUNCTION("""COMPUTED_VALUE"""),"vaishnavcollege")</f>
        <v>vaishnavcollege</v>
      </c>
      <c r="Y2778" s="124" t="str">
        <f>IFERROR(__xludf.DUMMYFUNCTION("""COMPUTED_VALUE"""),"Indore")</f>
        <v>Indore</v>
      </c>
      <c r="Z2778" s="124">
        <f>IFERROR(__xludf.DUMMYFUNCTION("""COMPUTED_VALUE"""),2.0)</f>
        <v>2</v>
      </c>
      <c r="AA2778" s="124" t="str">
        <f>IFERROR(__xludf.DUMMYFUNCTION("""COMPUTED_VALUE"""),"Future Prospects")</f>
        <v>Future Prospects</v>
      </c>
      <c r="AB2778" s="124"/>
    </row>
    <row r="2779">
      <c r="K2779" s="124"/>
      <c r="L2779" s="124"/>
      <c r="M2779" s="124"/>
      <c r="N2779" s="124"/>
      <c r="O2779" s="124"/>
      <c r="T2779" s="126">
        <f>IFERROR(__xludf.DUMMYFUNCTION("""COMPUTED_VALUE"""),46071.0)</f>
        <v>46071</v>
      </c>
      <c r="U2779" s="124" t="str">
        <f>IFERROR(__xludf.DUMMYFUNCTION("""COMPUTED_VALUE"""),"Publisher Campaign")</f>
        <v>Publisher Campaign</v>
      </c>
      <c r="V2779" s="124" t="str">
        <f>IFERROR(__xludf.DUMMYFUNCTION("""COMPUTED_VALUE"""),"Feeder Cities")</f>
        <v>Feeder Cities</v>
      </c>
      <c r="W2779" s="124"/>
      <c r="X2779" s="124"/>
      <c r="Y2779" s="124" t="str">
        <f>IFERROR(__xludf.DUMMYFUNCTION("""COMPUTED_VALUE"""),"Indore")</f>
        <v>Indore</v>
      </c>
      <c r="Z2779" s="124">
        <f>IFERROR(__xludf.DUMMYFUNCTION("""COMPUTED_VALUE"""),1.0)</f>
        <v>1</v>
      </c>
      <c r="AA2779" s="124" t="str">
        <f>IFERROR(__xludf.DUMMYFUNCTION("""COMPUTED_VALUE"""),"Not Interested")</f>
        <v>Not Interested</v>
      </c>
      <c r="AB2779" s="124" t="str">
        <f>IFERROR(__xludf.DUMMYFUNCTION("""COMPUTED_VALUE"""),"Optionals")</f>
        <v>Optionals</v>
      </c>
    </row>
    <row r="2780">
      <c r="K2780" s="124"/>
      <c r="L2780" s="124"/>
      <c r="M2780" s="124"/>
      <c r="N2780" s="124"/>
      <c r="O2780" s="124"/>
      <c r="T2780" s="129">
        <f>IFERROR(__xludf.DUMMYFUNCTION("""COMPUTED_VALUE"""),46081.0)</f>
        <v>46081</v>
      </c>
      <c r="U2780" s="124" t="str">
        <f>IFERROR(__xludf.DUMMYFUNCTION("""COMPUTED_VALUE"""),"Publisher Campaign")</f>
        <v>Publisher Campaign</v>
      </c>
      <c r="V2780" s="124" t="str">
        <f>IFERROR(__xludf.DUMMYFUNCTION("""COMPUTED_VALUE"""),"BTL Activities")</f>
        <v>BTL Activities</v>
      </c>
      <c r="W2780" s="124"/>
      <c r="X2780" s="124"/>
      <c r="Y2780" s="124" t="str">
        <f>IFERROR(__xludf.DUMMYFUNCTION("""COMPUTED_VALUE"""),"Indore")</f>
        <v>Indore</v>
      </c>
      <c r="Z2780" s="124">
        <f>IFERROR(__xludf.DUMMYFUNCTION("""COMPUTED_VALUE"""),1.0)</f>
        <v>1</v>
      </c>
      <c r="AA2780" s="124"/>
      <c r="AB2780" s="124" t="str">
        <f>IFERROR(__xludf.DUMMYFUNCTION("""COMPUTED_VALUE"""),"Test Series")</f>
        <v>Test Series</v>
      </c>
    </row>
    <row r="2781">
      <c r="K2781" s="124"/>
      <c r="L2781" s="124"/>
      <c r="M2781" s="124"/>
      <c r="N2781" s="124"/>
      <c r="O2781" s="124"/>
      <c r="T2781" s="126">
        <f>IFERROR(__xludf.DUMMYFUNCTION("""COMPUTED_VALUE"""),46090.0)</f>
        <v>46090</v>
      </c>
      <c r="U2781" s="124" t="str">
        <f>IFERROR(__xludf.DUMMYFUNCTION("""COMPUTED_VALUE"""),"Publisher Campaign")</f>
        <v>Publisher Campaign</v>
      </c>
      <c r="V2781" s="124" t="str">
        <f>IFERROR(__xludf.DUMMYFUNCTION("""COMPUTED_VALUE"""),"BTL Activities")</f>
        <v>BTL Activities</v>
      </c>
      <c r="W2781" s="124"/>
      <c r="X2781" s="124"/>
      <c r="Y2781" s="124" t="str">
        <f>IFERROR(__xludf.DUMMYFUNCTION("""COMPUTED_VALUE"""),"Indore")</f>
        <v>Indore</v>
      </c>
      <c r="Z2781" s="124">
        <f>IFERROR(__xludf.DUMMYFUNCTION("""COMPUTED_VALUE"""),1.0)</f>
        <v>1</v>
      </c>
      <c r="AA2781" s="124" t="str">
        <f>IFERROR(__xludf.DUMMYFUNCTION("""COMPUTED_VALUE"""),"Not Interested")</f>
        <v>Not Interested</v>
      </c>
      <c r="AB2781" s="124" t="str">
        <f>IFERROR(__xludf.DUMMYFUNCTION("""COMPUTED_VALUE"""),"Other")</f>
        <v>Other</v>
      </c>
    </row>
    <row r="2782">
      <c r="K2782" s="124"/>
      <c r="L2782" s="124"/>
      <c r="M2782" s="124"/>
      <c r="N2782" s="124"/>
      <c r="O2782" s="124"/>
      <c r="T2782" s="126">
        <f>IFERROR(__xludf.DUMMYFUNCTION("""COMPUTED_VALUE"""),46059.0)</f>
        <v>46059</v>
      </c>
      <c r="U2782" s="124" t="str">
        <f>IFERROR(__xludf.DUMMYFUNCTION("""COMPUTED_VALUE"""),"Publisher Campaign")</f>
        <v>Publisher Campaign</v>
      </c>
      <c r="V2782" s="124" t="str">
        <f>IFERROR(__xludf.DUMMYFUNCTION("""COMPUTED_VALUE"""),"BTL Activities")</f>
        <v>BTL Activities</v>
      </c>
      <c r="W2782" s="124"/>
      <c r="X2782" s="124"/>
      <c r="Y2782" s="124" t="str">
        <f>IFERROR(__xludf.DUMMYFUNCTION("""COMPUTED_VALUE"""),"Indore")</f>
        <v>Indore</v>
      </c>
      <c r="Z2782" s="124">
        <f>IFERROR(__xludf.DUMMYFUNCTION("""COMPUTED_VALUE"""),2.0)</f>
        <v>2</v>
      </c>
      <c r="AA2782" s="124" t="str">
        <f>IFERROR(__xludf.DUMMYFUNCTION("""COMPUTED_VALUE"""),"Not Interested")</f>
        <v>Not Interested</v>
      </c>
      <c r="AB2782" s="124" t="str">
        <f>IFERROR(__xludf.DUMMYFUNCTION("""COMPUTED_VALUE"""),"State PCS")</f>
        <v>State PCS</v>
      </c>
    </row>
    <row r="2783">
      <c r="K2783" s="124"/>
      <c r="L2783" s="124"/>
      <c r="M2783" s="124"/>
      <c r="N2783" s="124"/>
      <c r="O2783" s="124"/>
      <c r="T2783" s="129">
        <f>IFERROR(__xludf.DUMMYFUNCTION("""COMPUTED_VALUE"""),46052.0)</f>
        <v>46052</v>
      </c>
      <c r="U2783" s="124" t="str">
        <f>IFERROR(__xludf.DUMMYFUNCTION("""COMPUTED_VALUE"""),"Walk-Ins")</f>
        <v>Walk-Ins</v>
      </c>
      <c r="V2783" s="124" t="str">
        <f>IFERROR(__xludf.DUMMYFUNCTION("""COMPUTED_VALUE"""),"Walkin")</f>
        <v>Walkin</v>
      </c>
      <c r="W2783" s="124"/>
      <c r="X2783" s="124"/>
      <c r="Y2783" s="124" t="str">
        <f>IFERROR(__xludf.DUMMYFUNCTION("""COMPUTED_VALUE"""),"Delhi")</f>
        <v>Delhi</v>
      </c>
      <c r="Z2783" s="124">
        <f>IFERROR(__xludf.DUMMYFUNCTION("""COMPUTED_VALUE"""),2.0)</f>
        <v>2</v>
      </c>
      <c r="AA2783" s="124" t="str">
        <f>IFERROR(__xludf.DUMMYFUNCTION("""COMPUTED_VALUE"""),"Cold")</f>
        <v>Cold</v>
      </c>
      <c r="AB2783" s="124" t="str">
        <f>IFERROR(__xludf.DUMMYFUNCTION("""COMPUTED_VALUE"""),"GS Foundation")</f>
        <v>GS Foundation</v>
      </c>
    </row>
    <row r="2784">
      <c r="K2784" s="124"/>
      <c r="L2784" s="124"/>
      <c r="M2784" s="124"/>
      <c r="N2784" s="124"/>
      <c r="O2784" s="124"/>
      <c r="T2784" s="126">
        <f>IFERROR(__xludf.DUMMYFUNCTION("""COMPUTED_VALUE"""),46091.0)</f>
        <v>46091</v>
      </c>
      <c r="U2784" s="124" t="str">
        <f>IFERROR(__xludf.DUMMYFUNCTION("""COMPUTED_VALUE"""),"Publisher Campaign")</f>
        <v>Publisher Campaign</v>
      </c>
      <c r="V2784" s="124" t="str">
        <f>IFERROR(__xludf.DUMMYFUNCTION("""COMPUTED_VALUE"""),"Webinar")</f>
        <v>Webinar</v>
      </c>
      <c r="W2784" s="124"/>
      <c r="X2784" s="124"/>
      <c r="Y2784" s="124" t="str">
        <f>IFERROR(__xludf.DUMMYFUNCTION("""COMPUTED_VALUE"""),"Delhi")</f>
        <v>Delhi</v>
      </c>
      <c r="Z2784" s="124">
        <f>IFERROR(__xludf.DUMMYFUNCTION("""COMPUTED_VALUE"""),2.0)</f>
        <v>2</v>
      </c>
      <c r="AA2784" s="124" t="str">
        <f>IFERROR(__xludf.DUMMYFUNCTION("""COMPUTED_VALUE"""),"Cold")</f>
        <v>Cold</v>
      </c>
      <c r="AB2784" s="124" t="str">
        <f>IFERROR(__xludf.DUMMYFUNCTION("""COMPUTED_VALUE"""),"Hybrid")</f>
        <v>Hybrid</v>
      </c>
    </row>
    <row r="2785">
      <c r="K2785" s="124"/>
      <c r="L2785" s="124"/>
      <c r="M2785" s="124"/>
      <c r="N2785" s="124"/>
      <c r="O2785" s="124"/>
      <c r="T2785" s="126">
        <f>IFERROR(__xludf.DUMMYFUNCTION("""COMPUTED_VALUE"""),46076.0)</f>
        <v>46076</v>
      </c>
      <c r="U2785" s="124" t="str">
        <f>IFERROR(__xludf.DUMMYFUNCTION("""COMPUTED_VALUE"""),"Publisher Campaign")</f>
        <v>Publisher Campaign</v>
      </c>
      <c r="V2785" s="124" t="str">
        <f>IFERROR(__xludf.DUMMYFUNCTION("""COMPUTED_VALUE"""),"Webinar")</f>
        <v>Webinar</v>
      </c>
      <c r="W2785" s="124"/>
      <c r="X2785" s="124"/>
      <c r="Y2785" s="124" t="str">
        <f>IFERROR(__xludf.DUMMYFUNCTION("""COMPUTED_VALUE"""),"Delhi")</f>
        <v>Delhi</v>
      </c>
      <c r="Z2785" s="124">
        <f>IFERROR(__xludf.DUMMYFUNCTION("""COMPUTED_VALUE"""),3.0)</f>
        <v>3</v>
      </c>
      <c r="AA2785" s="124" t="str">
        <f>IFERROR(__xludf.DUMMYFUNCTION("""COMPUTED_VALUE"""),"Cold")</f>
        <v>Cold</v>
      </c>
      <c r="AB2785" s="124" t="str">
        <f>IFERROR(__xludf.DUMMYFUNCTION("""COMPUTED_VALUE"""),"Prelims Crash Course - SIP")</f>
        <v>Prelims Crash Course - SIP</v>
      </c>
    </row>
    <row r="2786">
      <c r="K2786" s="124"/>
      <c r="L2786" s="124"/>
      <c r="M2786" s="124"/>
      <c r="N2786" s="124"/>
      <c r="O2786" s="124"/>
      <c r="T2786" s="126">
        <f>IFERROR(__xludf.DUMMYFUNCTION("""COMPUTED_VALUE"""),46069.0)</f>
        <v>46069</v>
      </c>
      <c r="U2786" s="124" t="str">
        <f>IFERROR(__xludf.DUMMYFUNCTION("""COMPUTED_VALUE"""),"Publisher Campaign")</f>
        <v>Publisher Campaign</v>
      </c>
      <c r="V2786" s="124" t="str">
        <f>IFERROR(__xludf.DUMMYFUNCTION("""COMPUTED_VALUE"""),"BTL Activities")</f>
        <v>BTL Activities</v>
      </c>
      <c r="W2786" s="124"/>
      <c r="X2786" s="124"/>
      <c r="Y2786" s="124" t="str">
        <f>IFERROR(__xludf.DUMMYFUNCTION("""COMPUTED_VALUE"""),"Indore")</f>
        <v>Indore</v>
      </c>
      <c r="Z2786" s="124">
        <f>IFERROR(__xludf.DUMMYFUNCTION("""COMPUTED_VALUE"""),1.0)</f>
        <v>1</v>
      </c>
      <c r="AA2786" s="124" t="str">
        <f>IFERROR(__xludf.DUMMYFUNCTION("""COMPUTED_VALUE"""),"Future Prospects")</f>
        <v>Future Prospects</v>
      </c>
      <c r="AB2786" s="124" t="str">
        <f>IFERROR(__xludf.DUMMYFUNCTION("""COMPUTED_VALUE"""),"Prelims Crash Course - SIP")</f>
        <v>Prelims Crash Course - SIP</v>
      </c>
    </row>
    <row r="2787">
      <c r="K2787" s="124"/>
      <c r="L2787" s="124"/>
      <c r="M2787" s="124"/>
      <c r="N2787" s="124"/>
      <c r="O2787" s="124"/>
      <c r="T2787" s="129">
        <f>IFERROR(__xludf.DUMMYFUNCTION("""COMPUTED_VALUE"""),46060.0)</f>
        <v>46060</v>
      </c>
      <c r="U2787" s="124" t="str">
        <f>IFERROR(__xludf.DUMMYFUNCTION("""COMPUTED_VALUE"""),"Publisher Campaign")</f>
        <v>Publisher Campaign</v>
      </c>
      <c r="V2787" s="124" t="str">
        <f>IFERROR(__xludf.DUMMYFUNCTION("""COMPUTED_VALUE"""),"Webinar")</f>
        <v>Webinar</v>
      </c>
      <c r="W2787" s="124"/>
      <c r="X2787" s="124"/>
      <c r="Y2787" s="124" t="str">
        <f>IFERROR(__xludf.DUMMYFUNCTION("""COMPUTED_VALUE"""),"Delhi")</f>
        <v>Delhi</v>
      </c>
      <c r="Z2787" s="124">
        <f>IFERROR(__xludf.DUMMYFUNCTION("""COMPUTED_VALUE"""),7.0)</f>
        <v>7</v>
      </c>
      <c r="AA2787" s="124" t="str">
        <f>IFERROR(__xludf.DUMMYFUNCTION("""COMPUTED_VALUE"""),"Cold")</f>
        <v>Cold</v>
      </c>
      <c r="AB2787" s="124" t="str">
        <f>IFERROR(__xludf.DUMMYFUNCTION("""COMPUTED_VALUE"""),"Optionals")</f>
        <v>Optionals</v>
      </c>
    </row>
    <row r="2788">
      <c r="K2788" s="124"/>
      <c r="L2788" s="124"/>
      <c r="M2788" s="124"/>
      <c r="N2788" s="124"/>
      <c r="O2788" s="124"/>
      <c r="T2788" s="126">
        <f>IFERROR(__xludf.DUMMYFUNCTION("""COMPUTED_VALUE"""),46061.0)</f>
        <v>46061</v>
      </c>
      <c r="U2788" s="124" t="str">
        <f>IFERROR(__xludf.DUMMYFUNCTION("""COMPUTED_VALUE"""),"Publisher Campaign")</f>
        <v>Publisher Campaign</v>
      </c>
      <c r="V2788" s="124" t="str">
        <f>IFERROR(__xludf.DUMMYFUNCTION("""COMPUTED_VALUE"""),"Webinar")</f>
        <v>Webinar</v>
      </c>
      <c r="W2788" s="124"/>
      <c r="X2788" s="124"/>
      <c r="Y2788" s="124" t="str">
        <f>IFERROR(__xludf.DUMMYFUNCTION("""COMPUTED_VALUE"""),"Delhi")</f>
        <v>Delhi</v>
      </c>
      <c r="Z2788" s="124">
        <f>IFERROR(__xludf.DUMMYFUNCTION("""COMPUTED_VALUE"""),1.0)</f>
        <v>1</v>
      </c>
      <c r="AA2788" s="124" t="str">
        <f>IFERROR(__xludf.DUMMYFUNCTION("""COMPUTED_VALUE"""),"Engaged")</f>
        <v>Engaged</v>
      </c>
      <c r="AB2788" s="124" t="str">
        <f>IFERROR(__xludf.DUMMYFUNCTION("""COMPUTED_VALUE"""),"Prelims Crash Course - SIP")</f>
        <v>Prelims Crash Course - SIP</v>
      </c>
    </row>
    <row r="2789">
      <c r="K2789" s="124"/>
      <c r="L2789" s="124"/>
      <c r="M2789" s="124"/>
      <c r="N2789" s="124"/>
      <c r="O2789" s="124"/>
      <c r="T2789" s="126">
        <f>IFERROR(__xludf.DUMMYFUNCTION("""COMPUTED_VALUE"""),46088.0)</f>
        <v>46088</v>
      </c>
      <c r="U2789" s="124" t="str">
        <f>IFERROR(__xludf.DUMMYFUNCTION("""COMPUTED_VALUE"""),"Walk-Ins")</f>
        <v>Walk-Ins</v>
      </c>
      <c r="V2789" s="124" t="str">
        <f>IFERROR(__xludf.DUMMYFUNCTION("""COMPUTED_VALUE"""),"Walkin")</f>
        <v>Walkin</v>
      </c>
      <c r="W2789" s="124"/>
      <c r="X2789" s="124"/>
      <c r="Y2789" s="124" t="str">
        <f>IFERROR(__xludf.DUMMYFUNCTION("""COMPUTED_VALUE"""),"Delhi")</f>
        <v>Delhi</v>
      </c>
      <c r="Z2789" s="124">
        <f>IFERROR(__xludf.DUMMYFUNCTION("""COMPUTED_VALUE"""),1.0)</f>
        <v>1</v>
      </c>
      <c r="AA2789" s="124" t="str">
        <f>IFERROR(__xludf.DUMMYFUNCTION("""COMPUTED_VALUE"""),"Fake Lead")</f>
        <v>Fake Lead</v>
      </c>
      <c r="AB2789" s="124" t="str">
        <f>IFERROR(__xludf.DUMMYFUNCTION("""COMPUTED_VALUE"""),"GS Foundation")</f>
        <v>GS Foundation</v>
      </c>
    </row>
    <row r="2790">
      <c r="K2790" s="124"/>
      <c r="L2790" s="124"/>
      <c r="M2790" s="124"/>
      <c r="N2790" s="124"/>
      <c r="O2790" s="124"/>
      <c r="T2790" s="126">
        <f>IFERROR(__xludf.DUMMYFUNCTION("""COMPUTED_VALUE"""),46102.0)</f>
        <v>46102</v>
      </c>
      <c r="U2790" s="124" t="str">
        <f>IFERROR(__xludf.DUMMYFUNCTION("""COMPUTED_VALUE"""),"Paid Ads")</f>
        <v>Paid Ads</v>
      </c>
      <c r="V2790" s="124" t="str">
        <f>IFERROR(__xludf.DUMMYFUNCTION("""COMPUTED_VALUE"""),"google")</f>
        <v>google</v>
      </c>
      <c r="W2790" s="124" t="str">
        <f>IFERROR(__xludf.DUMMYFUNCTION("""COMPUTED_VALUE"""),"cpc")</f>
        <v>cpc</v>
      </c>
      <c r="X2790" s="124">
        <f>IFERROR(__xludf.DUMMYFUNCTION("""COMPUTED_VALUE"""),2.288825581E10)</f>
        <v>22888255810</v>
      </c>
      <c r="Y2790" s="124" t="str">
        <f>IFERROR(__xludf.DUMMYFUNCTION("""COMPUTED_VALUE"""),"Delhi")</f>
        <v>Delhi</v>
      </c>
      <c r="Z2790" s="124">
        <f>IFERROR(__xludf.DUMMYFUNCTION("""COMPUTED_VALUE"""),1.0)</f>
        <v>1</v>
      </c>
      <c r="AA2790" s="124"/>
      <c r="AB2790" s="124" t="str">
        <f>IFERROR(__xludf.DUMMYFUNCTION("""COMPUTED_VALUE"""),"Other")</f>
        <v>Other</v>
      </c>
    </row>
    <row r="2791">
      <c r="K2791" s="124"/>
      <c r="L2791" s="124"/>
      <c r="M2791" s="124"/>
      <c r="N2791" s="124"/>
      <c r="O2791" s="124"/>
      <c r="T2791" s="129">
        <f>IFERROR(__xludf.DUMMYFUNCTION("""COMPUTED_VALUE"""),46061.0)</f>
        <v>46061</v>
      </c>
      <c r="U2791" s="124" t="str">
        <f>IFERROR(__xludf.DUMMYFUNCTION("""COMPUTED_VALUE"""),"Publisher Campaign")</f>
        <v>Publisher Campaign</v>
      </c>
      <c r="V2791" s="124" t="str">
        <f>IFERROR(__xludf.DUMMYFUNCTION("""COMPUTED_VALUE"""),"Webinar")</f>
        <v>Webinar</v>
      </c>
      <c r="W2791" s="124"/>
      <c r="X2791" s="124"/>
      <c r="Y2791" s="124" t="str">
        <f>IFERROR(__xludf.DUMMYFUNCTION("""COMPUTED_VALUE"""),"Hyderabad")</f>
        <v>Hyderabad</v>
      </c>
      <c r="Z2791" s="124">
        <f>IFERROR(__xludf.DUMMYFUNCTION("""COMPUTED_VALUE"""),1.0)</f>
        <v>1</v>
      </c>
      <c r="AA2791" s="124" t="str">
        <f>IFERROR(__xludf.DUMMYFUNCTION("""COMPUTED_VALUE"""),"Cold")</f>
        <v>Cold</v>
      </c>
      <c r="AB2791" s="124" t="str">
        <f>IFERROR(__xludf.DUMMYFUNCTION("""COMPUTED_VALUE"""),"CSAT")</f>
        <v>CSAT</v>
      </c>
    </row>
    <row r="2792">
      <c r="K2792" s="124"/>
      <c r="L2792" s="124"/>
      <c r="M2792" s="124"/>
      <c r="N2792" s="124"/>
      <c r="O2792" s="124"/>
      <c r="T2792" s="129">
        <f>IFERROR(__xludf.DUMMYFUNCTION("""COMPUTED_VALUE"""),46067.0)</f>
        <v>46067</v>
      </c>
      <c r="U2792" s="124" t="str">
        <f>IFERROR(__xludf.DUMMYFUNCTION("""COMPUTED_VALUE"""),"Publisher Campaign")</f>
        <v>Publisher Campaign</v>
      </c>
      <c r="V2792" s="124" t="str">
        <f>IFERROR(__xludf.DUMMYFUNCTION("""COMPUTED_VALUE"""),"Webinar")</f>
        <v>Webinar</v>
      </c>
      <c r="W2792" s="124"/>
      <c r="X2792" s="124"/>
      <c r="Y2792" s="124" t="str">
        <f>IFERROR(__xludf.DUMMYFUNCTION("""COMPUTED_VALUE"""),"Delhi")</f>
        <v>Delhi</v>
      </c>
      <c r="Z2792" s="124">
        <f>IFERROR(__xludf.DUMMYFUNCTION("""COMPUTED_VALUE"""),1.0)</f>
        <v>1</v>
      </c>
      <c r="AA2792" s="124" t="str">
        <f>IFERROR(__xludf.DUMMYFUNCTION("""COMPUTED_VALUE"""),"Engaged")</f>
        <v>Engaged</v>
      </c>
      <c r="AB2792" s="124" t="str">
        <f>IFERROR(__xludf.DUMMYFUNCTION("""COMPUTED_VALUE"""),"GS Foundation")</f>
        <v>GS Foundation</v>
      </c>
    </row>
    <row r="2793">
      <c r="K2793" s="124"/>
      <c r="L2793" s="124"/>
      <c r="M2793" s="124"/>
      <c r="N2793" s="124"/>
      <c r="O2793" s="124"/>
      <c r="T2793" s="126">
        <f>IFERROR(__xludf.DUMMYFUNCTION("""COMPUTED_VALUE"""),46065.0)</f>
        <v>46065</v>
      </c>
      <c r="U2793" s="124" t="str">
        <f>IFERROR(__xludf.DUMMYFUNCTION("""COMPUTED_VALUE"""),"Walk-Ins")</f>
        <v>Walk-Ins</v>
      </c>
      <c r="V2793" s="124" t="str">
        <f>IFERROR(__xludf.DUMMYFUNCTION("""COMPUTED_VALUE"""),"Walk-In")</f>
        <v>Walk-In</v>
      </c>
      <c r="W2793" s="124" t="str">
        <f>IFERROR(__xludf.DUMMYFUNCTION("""COMPUTED_VALUE"""),"Lucknow")</f>
        <v>Lucknow</v>
      </c>
      <c r="X2793" s="124" t="str">
        <f>IFERROR(__xludf.DUMMYFUNCTION("""COMPUTED_VALUE"""),"Lucknow")</f>
        <v>Lucknow</v>
      </c>
      <c r="Y2793" s="124" t="str">
        <f>IFERROR(__xludf.DUMMYFUNCTION("""COMPUTED_VALUE"""),"Lucknow")</f>
        <v>Lucknow</v>
      </c>
      <c r="Z2793" s="124">
        <f>IFERROR(__xludf.DUMMYFUNCTION("""COMPUTED_VALUE"""),1.0)</f>
        <v>1</v>
      </c>
      <c r="AA2793" s="124" t="str">
        <f>IFERROR(__xludf.DUMMYFUNCTION("""COMPUTED_VALUE"""),"Cold")</f>
        <v>Cold</v>
      </c>
      <c r="AB2793" s="124" t="str">
        <f>IFERROR(__xludf.DUMMYFUNCTION("""COMPUTED_VALUE"""),"State PCS")</f>
        <v>State PCS</v>
      </c>
    </row>
    <row r="2794">
      <c r="K2794" s="124"/>
      <c r="L2794" s="124"/>
      <c r="M2794" s="124"/>
      <c r="N2794" s="124"/>
      <c r="O2794" s="124"/>
      <c r="T2794" s="129">
        <f>IFERROR(__xludf.DUMMYFUNCTION("""COMPUTED_VALUE"""),46094.0)</f>
        <v>46094</v>
      </c>
      <c r="U2794" s="124" t="str">
        <f>IFERROR(__xludf.DUMMYFUNCTION("""COMPUTED_VALUE"""),"Walk-Ins")</f>
        <v>Walk-Ins</v>
      </c>
      <c r="V2794" s="124" t="str">
        <f>IFERROR(__xludf.DUMMYFUNCTION("""COMPUTED_VALUE"""),"Walkin")</f>
        <v>Walkin</v>
      </c>
      <c r="W2794" s="124"/>
      <c r="X2794" s="124"/>
      <c r="Y2794" s="124" t="str">
        <f>IFERROR(__xludf.DUMMYFUNCTION("""COMPUTED_VALUE"""),"Delhi")</f>
        <v>Delhi</v>
      </c>
      <c r="Z2794" s="124">
        <f>IFERROR(__xludf.DUMMYFUNCTION("""COMPUTED_VALUE"""),2.0)</f>
        <v>2</v>
      </c>
      <c r="AA2794" s="124" t="str">
        <f>IFERROR(__xludf.DUMMYFUNCTION("""COMPUTED_VALUE"""),"Not Interested")</f>
        <v>Not Interested</v>
      </c>
      <c r="AB2794" s="124" t="str">
        <f>IFERROR(__xludf.DUMMYFUNCTION("""COMPUTED_VALUE"""),"GS Foundation")</f>
        <v>GS Foundation</v>
      </c>
    </row>
    <row r="2795">
      <c r="K2795" s="124"/>
      <c r="L2795" s="124"/>
      <c r="M2795" s="124"/>
      <c r="N2795" s="124"/>
      <c r="O2795" s="124"/>
      <c r="T2795" s="129">
        <f>IFERROR(__xludf.DUMMYFUNCTION("""COMPUTED_VALUE"""),46097.0)</f>
        <v>46097</v>
      </c>
      <c r="U2795" s="124" t="str">
        <f>IFERROR(__xludf.DUMMYFUNCTION("""COMPUTED_VALUE"""),"Publisher Campaign")</f>
        <v>Publisher Campaign</v>
      </c>
      <c r="V2795" s="124" t="str">
        <f>IFERROR(__xludf.DUMMYFUNCTION("""COMPUTED_VALUE"""),"BTL Activities")</f>
        <v>BTL Activities</v>
      </c>
      <c r="W2795" s="124"/>
      <c r="X2795" s="124"/>
      <c r="Y2795" s="124" t="str">
        <f>IFERROR(__xludf.DUMMYFUNCTION("""COMPUTED_VALUE"""),"Indore")</f>
        <v>Indore</v>
      </c>
      <c r="Z2795" s="124">
        <f>IFERROR(__xludf.DUMMYFUNCTION("""COMPUTED_VALUE"""),1.0)</f>
        <v>1</v>
      </c>
      <c r="AA2795" s="124" t="str">
        <f>IFERROR(__xludf.DUMMYFUNCTION("""COMPUTED_VALUE"""),"Not Interested")</f>
        <v>Not Interested</v>
      </c>
      <c r="AB2795" s="124" t="str">
        <f>IFERROR(__xludf.DUMMYFUNCTION("""COMPUTED_VALUE"""),"GS Advanced")</f>
        <v>GS Advanced</v>
      </c>
    </row>
    <row r="2796">
      <c r="K2796" s="124"/>
      <c r="L2796" s="124"/>
      <c r="M2796" s="124"/>
      <c r="N2796" s="124"/>
      <c r="O2796" s="124"/>
      <c r="T2796" s="129">
        <f>IFERROR(__xludf.DUMMYFUNCTION("""COMPUTED_VALUE"""),46097.0)</f>
        <v>46097</v>
      </c>
      <c r="U2796" s="124" t="str">
        <f>IFERROR(__xludf.DUMMYFUNCTION("""COMPUTED_VALUE"""),"Publisher Campaign")</f>
        <v>Publisher Campaign</v>
      </c>
      <c r="V2796" s="124" t="str">
        <f>IFERROR(__xludf.DUMMYFUNCTION("""COMPUTED_VALUE"""),"BTL Activities")</f>
        <v>BTL Activities</v>
      </c>
      <c r="W2796" s="124"/>
      <c r="X2796" s="124"/>
      <c r="Y2796" s="124" t="str">
        <f>IFERROR(__xludf.DUMMYFUNCTION("""COMPUTED_VALUE"""),"Prayagraj")</f>
        <v>Prayagraj</v>
      </c>
      <c r="Z2796" s="124">
        <f>IFERROR(__xludf.DUMMYFUNCTION("""COMPUTED_VALUE"""),1.0)</f>
        <v>1</v>
      </c>
      <c r="AA2796" s="124" t="str">
        <f>IFERROR(__xludf.DUMMYFUNCTION("""COMPUTED_VALUE"""),"Cold")</f>
        <v>Cold</v>
      </c>
      <c r="AB2796" s="124" t="str">
        <f>IFERROR(__xludf.DUMMYFUNCTION("""COMPUTED_VALUE"""),"GS Foundation")</f>
        <v>GS Foundation</v>
      </c>
    </row>
    <row r="2797">
      <c r="K2797" s="124"/>
      <c r="L2797" s="124"/>
      <c r="M2797" s="124"/>
      <c r="N2797" s="124"/>
      <c r="O2797" s="124"/>
      <c r="T2797" s="126">
        <f>IFERROR(__xludf.DUMMYFUNCTION("""COMPUTED_VALUE"""),46049.0)</f>
        <v>46049</v>
      </c>
      <c r="U2797" s="124" t="str">
        <f>IFERROR(__xludf.DUMMYFUNCTION("""COMPUTED_VALUE"""),"Publisher Campaign")</f>
        <v>Publisher Campaign</v>
      </c>
      <c r="V2797" s="124" t="str">
        <f>IFERROR(__xludf.DUMMYFUNCTION("""COMPUTED_VALUE"""),"DM - Meta")</f>
        <v>DM - Meta</v>
      </c>
      <c r="W2797" s="124"/>
      <c r="X2797" s="124"/>
      <c r="Y2797" s="124" t="str">
        <f>IFERROR(__xludf.DUMMYFUNCTION("""COMPUTED_VALUE"""),"Prayagraj")</f>
        <v>Prayagraj</v>
      </c>
      <c r="Z2797" s="124">
        <f>IFERROR(__xludf.DUMMYFUNCTION("""COMPUTED_VALUE"""),1.0)</f>
        <v>1</v>
      </c>
      <c r="AA2797" s="124" t="str">
        <f>IFERROR(__xludf.DUMMYFUNCTION("""COMPUTED_VALUE"""),"Enrolled")</f>
        <v>Enrolled</v>
      </c>
      <c r="AB2797" s="124" t="str">
        <f>IFERROR(__xludf.DUMMYFUNCTION("""COMPUTED_VALUE"""),"GS Foundation")</f>
        <v>GS Foundation</v>
      </c>
    </row>
    <row r="2798">
      <c r="K2798" s="124"/>
      <c r="L2798" s="124"/>
      <c r="M2798" s="124"/>
      <c r="N2798" s="124"/>
      <c r="O2798" s="124"/>
      <c r="T2798" s="126">
        <f>IFERROR(__xludf.DUMMYFUNCTION("""COMPUTED_VALUE"""),46050.0)</f>
        <v>46050</v>
      </c>
      <c r="U2798" s="124" t="str">
        <f>IFERROR(__xludf.DUMMYFUNCTION("""COMPUTED_VALUE"""),"Publisher Campaign")</f>
        <v>Publisher Campaign</v>
      </c>
      <c r="V2798" s="124" t="str">
        <f>IFERROR(__xludf.DUMMYFUNCTION("""COMPUTED_VALUE"""),"Institutions")</f>
        <v>Institutions</v>
      </c>
      <c r="W2798" s="124"/>
      <c r="X2798" s="124"/>
      <c r="Y2798" s="124" t="str">
        <f>IFERROR(__xludf.DUMMYFUNCTION("""COMPUTED_VALUE"""),"Indore")</f>
        <v>Indore</v>
      </c>
      <c r="Z2798" s="124">
        <f>IFERROR(__xludf.DUMMYFUNCTION("""COMPUTED_VALUE"""),1.0)</f>
        <v>1</v>
      </c>
      <c r="AA2798" s="124" t="str">
        <f>IFERROR(__xludf.DUMMYFUNCTION("""COMPUTED_VALUE"""),"Cold")</f>
        <v>Cold</v>
      </c>
      <c r="AB2798" s="124" t="str">
        <f>IFERROR(__xludf.DUMMYFUNCTION("""COMPUTED_VALUE"""),"State PCS")</f>
        <v>State PCS</v>
      </c>
    </row>
    <row r="2799">
      <c r="K2799" s="124"/>
      <c r="L2799" s="124"/>
      <c r="M2799" s="124"/>
      <c r="N2799" s="124"/>
      <c r="O2799" s="124"/>
      <c r="T2799" s="126">
        <f>IFERROR(__xludf.DUMMYFUNCTION("""COMPUTED_VALUE"""),46099.0)</f>
        <v>46099</v>
      </c>
      <c r="U2799" s="124" t="str">
        <f>IFERROR(__xludf.DUMMYFUNCTION("""COMPUTED_VALUE"""),"Paid Ads")</f>
        <v>Paid Ads</v>
      </c>
      <c r="V2799" s="124" t="str">
        <f>IFERROR(__xludf.DUMMYFUNCTION("""COMPUTED_VALUE"""),"google")</f>
        <v>google</v>
      </c>
      <c r="W2799" s="124" t="str">
        <f>IFERROR(__xludf.DUMMYFUNCTION("""COMPUTED_VALUE"""),"cpc")</f>
        <v>cpc</v>
      </c>
      <c r="X2799" s="124">
        <f>IFERROR(__xludf.DUMMYFUNCTION("""COMPUTED_VALUE"""),2.288825581E10)</f>
        <v>22888255810</v>
      </c>
      <c r="Y2799" s="124" t="str">
        <f>IFERROR(__xludf.DUMMYFUNCTION("""COMPUTED_VALUE"""),"Delhi")</f>
        <v>Delhi</v>
      </c>
      <c r="Z2799" s="124">
        <f>IFERROR(__xludf.DUMMYFUNCTION("""COMPUTED_VALUE"""),1.0)</f>
        <v>1</v>
      </c>
      <c r="AA2799" s="124"/>
      <c r="AB2799" s="124" t="str">
        <f>IFERROR(__xludf.DUMMYFUNCTION("""COMPUTED_VALUE"""),"IGP UPPSC")</f>
        <v>IGP UPPSC</v>
      </c>
    </row>
    <row r="2800">
      <c r="K2800" s="124"/>
      <c r="L2800" s="124"/>
      <c r="M2800" s="124"/>
      <c r="N2800" s="124"/>
      <c r="O2800" s="124"/>
      <c r="T2800" s="126">
        <f>IFERROR(__xludf.DUMMYFUNCTION("""COMPUTED_VALUE"""),46043.0)</f>
        <v>46043</v>
      </c>
      <c r="U2800" s="124" t="str">
        <f>IFERROR(__xludf.DUMMYFUNCTION("""COMPUTED_VALUE"""),"External Leads")</f>
        <v>External Leads</v>
      </c>
      <c r="V2800" s="124" t="str">
        <f>IFERROR(__xludf.DUMMYFUNCTION("""COMPUTED_VALUE"""),"external leads")</f>
        <v>external leads</v>
      </c>
      <c r="W2800" s="124"/>
      <c r="X2800" s="124"/>
      <c r="Y2800" s="124" t="str">
        <f>IFERROR(__xludf.DUMMYFUNCTION("""COMPUTED_VALUE"""),"Delhi")</f>
        <v>Delhi</v>
      </c>
      <c r="Z2800" s="124">
        <f>IFERROR(__xludf.DUMMYFUNCTION("""COMPUTED_VALUE"""),1.0)</f>
        <v>1</v>
      </c>
      <c r="AA2800" s="124" t="str">
        <f>IFERROR(__xludf.DUMMYFUNCTION("""COMPUTED_VALUE"""),"Cold")</f>
        <v>Cold</v>
      </c>
      <c r="AB2800" s="124" t="str">
        <f>IFERROR(__xludf.DUMMYFUNCTION("""COMPUTED_VALUE"""),"Mentorship")</f>
        <v>Mentorship</v>
      </c>
    </row>
    <row r="2801">
      <c r="K2801" s="124"/>
      <c r="L2801" s="124"/>
      <c r="M2801" s="124"/>
      <c r="N2801" s="124"/>
      <c r="O2801" s="124"/>
      <c r="T2801" s="126">
        <f>IFERROR(__xludf.DUMMYFUNCTION("""COMPUTED_VALUE"""),46052.0)</f>
        <v>46052</v>
      </c>
      <c r="U2801" s="124" t="str">
        <f>IFERROR(__xludf.DUMMYFUNCTION("""COMPUTED_VALUE"""),"External Leads")</f>
        <v>External Leads</v>
      </c>
      <c r="V2801" s="124" t="str">
        <f>IFERROR(__xludf.DUMMYFUNCTION("""COMPUTED_VALUE"""),"external leads")</f>
        <v>external leads</v>
      </c>
      <c r="W2801" s="124"/>
      <c r="X2801" s="124"/>
      <c r="Y2801" s="124" t="str">
        <f>IFERROR(__xludf.DUMMYFUNCTION("""COMPUTED_VALUE"""),"Delhi")</f>
        <v>Delhi</v>
      </c>
      <c r="Z2801" s="124">
        <f>IFERROR(__xludf.DUMMYFUNCTION("""COMPUTED_VALUE"""),1.0)</f>
        <v>1</v>
      </c>
      <c r="AA2801" s="124" t="str">
        <f>IFERROR(__xludf.DUMMYFUNCTION("""COMPUTED_VALUE"""),"Cold")</f>
        <v>Cold</v>
      </c>
      <c r="AB2801" s="124" t="str">
        <f>IFERROR(__xludf.DUMMYFUNCTION("""COMPUTED_VALUE"""),"Mentorship")</f>
        <v>Mentorship</v>
      </c>
    </row>
    <row r="2802">
      <c r="K2802" s="124"/>
      <c r="L2802" s="124"/>
      <c r="M2802" s="124"/>
      <c r="N2802" s="124"/>
      <c r="O2802" s="124"/>
      <c r="T2802" s="129">
        <f>IFERROR(__xludf.DUMMYFUNCTION("""COMPUTED_VALUE"""),46079.0)</f>
        <v>46079</v>
      </c>
      <c r="U2802" s="124" t="str">
        <f>IFERROR(__xludf.DUMMYFUNCTION("""COMPUTED_VALUE"""),"Publisher Campaign")</f>
        <v>Publisher Campaign</v>
      </c>
      <c r="V2802" s="124" t="str">
        <f>IFERROR(__xludf.DUMMYFUNCTION("""COMPUTED_VALUE"""),"Webinar")</f>
        <v>Webinar</v>
      </c>
      <c r="W2802" s="124"/>
      <c r="X2802" s="124"/>
      <c r="Y2802" s="124" t="str">
        <f>IFERROR(__xludf.DUMMYFUNCTION("""COMPUTED_VALUE"""),"Guwahati")</f>
        <v>Guwahati</v>
      </c>
      <c r="Z2802" s="124">
        <f>IFERROR(__xludf.DUMMYFUNCTION("""COMPUTED_VALUE"""),1.0)</f>
        <v>1</v>
      </c>
      <c r="AA2802" s="124"/>
      <c r="AB2802" s="124" t="str">
        <f>IFERROR(__xludf.DUMMYFUNCTION("""COMPUTED_VALUE"""),"Mentorship")</f>
        <v>Mentorship</v>
      </c>
    </row>
    <row r="2803">
      <c r="K2803" s="124"/>
      <c r="L2803" s="124"/>
      <c r="M2803" s="124"/>
      <c r="N2803" s="124"/>
      <c r="O2803" s="124"/>
      <c r="T2803" s="126">
        <f>IFERROR(__xludf.DUMMYFUNCTION("""COMPUTED_VALUE"""),46072.0)</f>
        <v>46072</v>
      </c>
      <c r="U2803" s="124" t="str">
        <f>IFERROR(__xludf.DUMMYFUNCTION("""COMPUTED_VALUE"""),"Paid Ads")</f>
        <v>Paid Ads</v>
      </c>
      <c r="V2803" s="124" t="str">
        <f>IFERROR(__xludf.DUMMYFUNCTION("""COMPUTED_VALUE"""),"google")</f>
        <v>google</v>
      </c>
      <c r="W2803" s="124" t="str">
        <f>IFERROR(__xludf.DUMMYFUNCTION("""COMPUTED_VALUE"""),"cpc")</f>
        <v>cpc</v>
      </c>
      <c r="X2803" s="124">
        <f>IFERROR(__xludf.DUMMYFUNCTION("""COMPUTED_VALUE"""),2.288825581E10)</f>
        <v>22888255810</v>
      </c>
      <c r="Y2803" s="124" t="str">
        <f>IFERROR(__xludf.DUMMYFUNCTION("""COMPUTED_VALUE"""),"Indore")</f>
        <v>Indore</v>
      </c>
      <c r="Z2803" s="124">
        <f>IFERROR(__xludf.DUMMYFUNCTION("""COMPUTED_VALUE"""),1.0)</f>
        <v>1</v>
      </c>
      <c r="AA2803" s="124" t="str">
        <f>IFERROR(__xludf.DUMMYFUNCTION("""COMPUTED_VALUE"""),"Fake Lead")</f>
        <v>Fake Lead</v>
      </c>
      <c r="AB2803" s="124" t="str">
        <f>IFERROR(__xludf.DUMMYFUNCTION("""COMPUTED_VALUE"""),"Other")</f>
        <v>Other</v>
      </c>
    </row>
    <row r="2804">
      <c r="K2804" s="124"/>
      <c r="L2804" s="124"/>
      <c r="M2804" s="124"/>
      <c r="N2804" s="124"/>
      <c r="O2804" s="124"/>
      <c r="T2804" s="129">
        <f>IFERROR(__xludf.DUMMYFUNCTION("""COMPUTED_VALUE"""),46097.0)</f>
        <v>46097</v>
      </c>
      <c r="U2804" s="124" t="str">
        <f>IFERROR(__xludf.DUMMYFUNCTION("""COMPUTED_VALUE"""),"Publisher Campaign")</f>
        <v>Publisher Campaign</v>
      </c>
      <c r="V2804" s="124" t="str">
        <f>IFERROR(__xludf.DUMMYFUNCTION("""COMPUTED_VALUE"""),"BTL Activities")</f>
        <v>BTL Activities</v>
      </c>
      <c r="W2804" s="124"/>
      <c r="X2804" s="124"/>
      <c r="Y2804" s="124" t="str">
        <f>IFERROR(__xludf.DUMMYFUNCTION("""COMPUTED_VALUE"""),"Indore")</f>
        <v>Indore</v>
      </c>
      <c r="Z2804" s="124">
        <f>IFERROR(__xludf.DUMMYFUNCTION("""COMPUTED_VALUE"""),1.0)</f>
        <v>1</v>
      </c>
      <c r="AA2804" s="124" t="str">
        <f>IFERROR(__xludf.DUMMYFUNCTION("""COMPUTED_VALUE"""),"Not Interested")</f>
        <v>Not Interested</v>
      </c>
      <c r="AB2804" s="124" t="str">
        <f>IFERROR(__xludf.DUMMYFUNCTION("""COMPUTED_VALUE"""),"GS Foundation")</f>
        <v>GS Foundation</v>
      </c>
    </row>
    <row r="2805">
      <c r="K2805" s="124"/>
      <c r="L2805" s="124"/>
      <c r="M2805" s="124"/>
      <c r="N2805" s="124"/>
      <c r="O2805" s="124"/>
      <c r="T2805" s="126">
        <f>IFERROR(__xludf.DUMMYFUNCTION("""COMPUTED_VALUE"""),46044.0)</f>
        <v>46044</v>
      </c>
      <c r="U2805" s="124" t="str">
        <f>IFERROR(__xludf.DUMMYFUNCTION("""COMPUTED_VALUE"""),"External Leads")</f>
        <v>External Leads</v>
      </c>
      <c r="V2805" s="124" t="str">
        <f>IFERROR(__xludf.DUMMYFUNCTION("""COMPUTED_VALUE"""),"external leads")</f>
        <v>external leads</v>
      </c>
      <c r="W2805" s="124"/>
      <c r="X2805" s="124"/>
      <c r="Y2805" s="124" t="str">
        <f>IFERROR(__xludf.DUMMYFUNCTION("""COMPUTED_VALUE"""),"Delhi")</f>
        <v>Delhi</v>
      </c>
      <c r="Z2805" s="124">
        <f>IFERROR(__xludf.DUMMYFUNCTION("""COMPUTED_VALUE"""),3.0)</f>
        <v>3</v>
      </c>
      <c r="AA2805" s="124" t="str">
        <f>IFERROR(__xludf.DUMMYFUNCTION("""COMPUTED_VALUE"""),"Cold")</f>
        <v>Cold</v>
      </c>
      <c r="AB2805" s="124"/>
    </row>
    <row r="2806">
      <c r="K2806" s="124"/>
      <c r="L2806" s="124"/>
      <c r="M2806" s="124"/>
      <c r="N2806" s="124"/>
      <c r="O2806" s="124"/>
      <c r="T2806" s="126">
        <f>IFERROR(__xludf.DUMMYFUNCTION("""COMPUTED_VALUE"""),46083.0)</f>
        <v>46083</v>
      </c>
      <c r="U2806" s="124" t="str">
        <f>IFERROR(__xludf.DUMMYFUNCTION("""COMPUTED_VALUE"""),"Walk-Ins")</f>
        <v>Walk-Ins</v>
      </c>
      <c r="V2806" s="124" t="str">
        <f>IFERROR(__xludf.DUMMYFUNCTION("""COMPUTED_VALUE"""),"Walkin")</f>
        <v>Walkin</v>
      </c>
      <c r="W2806" s="124"/>
      <c r="X2806" s="124"/>
      <c r="Y2806" s="124" t="str">
        <f>IFERROR(__xludf.DUMMYFUNCTION("""COMPUTED_VALUE"""),"Delhi")</f>
        <v>Delhi</v>
      </c>
      <c r="Z2806" s="124">
        <f>IFERROR(__xludf.DUMMYFUNCTION("""COMPUTED_VALUE"""),1.0)</f>
        <v>1</v>
      </c>
      <c r="AA2806" s="124" t="str">
        <f>IFERROR(__xludf.DUMMYFUNCTION("""COMPUTED_VALUE"""),"Not Interested")</f>
        <v>Not Interested</v>
      </c>
      <c r="AB2806" s="124" t="str">
        <f>IFERROR(__xludf.DUMMYFUNCTION("""COMPUTED_VALUE"""),"GS Foundation")</f>
        <v>GS Foundation</v>
      </c>
    </row>
    <row r="2807">
      <c r="K2807" s="124"/>
      <c r="L2807" s="124"/>
      <c r="M2807" s="124"/>
      <c r="N2807" s="124"/>
      <c r="O2807" s="124"/>
      <c r="T2807" s="126">
        <f>IFERROR(__xludf.DUMMYFUNCTION("""COMPUTED_VALUE"""),46087.0)</f>
        <v>46087</v>
      </c>
      <c r="U2807" s="124" t="str">
        <f>IFERROR(__xludf.DUMMYFUNCTION("""COMPUTED_VALUE"""),"Paid Ads")</f>
        <v>Paid Ads</v>
      </c>
      <c r="V2807" s="124" t="str">
        <f>IFERROR(__xludf.DUMMYFUNCTION("""COMPUTED_VALUE"""),"YouTube")</f>
        <v>YouTube</v>
      </c>
      <c r="W2807" s="124"/>
      <c r="X2807" s="124"/>
      <c r="Y2807" s="124" t="str">
        <f>IFERROR(__xludf.DUMMYFUNCTION("""COMPUTED_VALUE"""),"Delhi")</f>
        <v>Delhi</v>
      </c>
      <c r="Z2807" s="124">
        <f>IFERROR(__xludf.DUMMYFUNCTION("""COMPUTED_VALUE"""),1.0)</f>
        <v>1</v>
      </c>
      <c r="AA2807" s="124" t="str">
        <f>IFERROR(__xludf.DUMMYFUNCTION("""COMPUTED_VALUE"""),"Cold")</f>
        <v>Cold</v>
      </c>
      <c r="AB2807" s="124" t="str">
        <f>IFERROR(__xludf.DUMMYFUNCTION("""COMPUTED_VALUE"""),"State PCS")</f>
        <v>State PCS</v>
      </c>
    </row>
    <row r="2808">
      <c r="K2808" s="124"/>
      <c r="L2808" s="124"/>
      <c r="M2808" s="124"/>
      <c r="N2808" s="124"/>
      <c r="O2808" s="124"/>
      <c r="T2808" s="126">
        <f>IFERROR(__xludf.DUMMYFUNCTION("""COMPUTED_VALUE"""),46061.0)</f>
        <v>46061</v>
      </c>
      <c r="U2808" s="124" t="str">
        <f>IFERROR(__xludf.DUMMYFUNCTION("""COMPUTED_VALUE"""),"Walk-Ins")</f>
        <v>Walk-Ins</v>
      </c>
      <c r="V2808" s="124" t="str">
        <f>IFERROR(__xludf.DUMMYFUNCTION("""COMPUTED_VALUE"""),"Walk-In")</f>
        <v>Walk-In</v>
      </c>
      <c r="W2808" s="124" t="str">
        <f>IFERROR(__xludf.DUMMYFUNCTION("""COMPUTED_VALUE"""),"Lucknow")</f>
        <v>Lucknow</v>
      </c>
      <c r="X2808" s="124" t="str">
        <f>IFERROR(__xludf.DUMMYFUNCTION("""COMPUTED_VALUE"""),"Lucknow")</f>
        <v>Lucknow</v>
      </c>
      <c r="Y2808" s="124" t="str">
        <f>IFERROR(__xludf.DUMMYFUNCTION("""COMPUTED_VALUE"""),"Lucknow")</f>
        <v>Lucknow</v>
      </c>
      <c r="Z2808" s="124">
        <f>IFERROR(__xludf.DUMMYFUNCTION("""COMPUTED_VALUE"""),1.0)</f>
        <v>1</v>
      </c>
      <c r="AA2808" s="124" t="str">
        <f>IFERROR(__xludf.DUMMYFUNCTION("""COMPUTED_VALUE"""),"Fake Lead")</f>
        <v>Fake Lead</v>
      </c>
      <c r="AB2808" s="124" t="str">
        <f>IFERROR(__xludf.DUMMYFUNCTION("""COMPUTED_VALUE"""),"Other")</f>
        <v>Other</v>
      </c>
    </row>
    <row r="2809">
      <c r="K2809" s="124"/>
      <c r="L2809" s="124"/>
      <c r="M2809" s="124"/>
      <c r="N2809" s="124"/>
      <c r="O2809" s="124"/>
      <c r="T2809" s="126">
        <f>IFERROR(__xludf.DUMMYFUNCTION("""COMPUTED_VALUE"""),46081.0)</f>
        <v>46081</v>
      </c>
      <c r="U2809" s="124" t="str">
        <f>IFERROR(__xludf.DUMMYFUNCTION("""COMPUTED_VALUE"""),"Publisher Campaign")</f>
        <v>Publisher Campaign</v>
      </c>
      <c r="V2809" s="124" t="str">
        <f>IFERROR(__xludf.DUMMYFUNCTION("""COMPUTED_VALUE"""),"Feeder Cities")</f>
        <v>Feeder Cities</v>
      </c>
      <c r="W2809" s="124"/>
      <c r="X2809" s="124"/>
      <c r="Y2809" s="124" t="str">
        <f>IFERROR(__xludf.DUMMYFUNCTION("""COMPUTED_VALUE"""),"Indore")</f>
        <v>Indore</v>
      </c>
      <c r="Z2809" s="124">
        <f>IFERROR(__xludf.DUMMYFUNCTION("""COMPUTED_VALUE"""),2.0)</f>
        <v>2</v>
      </c>
      <c r="AA2809" s="124"/>
      <c r="AB2809" s="124" t="str">
        <f>IFERROR(__xludf.DUMMYFUNCTION("""COMPUTED_VALUE"""),"State PCS")</f>
        <v>State PCS</v>
      </c>
    </row>
    <row r="2810">
      <c r="K2810" s="124"/>
      <c r="L2810" s="124"/>
      <c r="M2810" s="124"/>
      <c r="N2810" s="124"/>
      <c r="O2810" s="124"/>
      <c r="T2810" s="126">
        <f>IFERROR(__xludf.DUMMYFUNCTION("""COMPUTED_VALUE"""),46057.0)</f>
        <v>46057</v>
      </c>
      <c r="U2810" s="124" t="str">
        <f>IFERROR(__xludf.DUMMYFUNCTION("""COMPUTED_VALUE"""),"Publisher Campaign")</f>
        <v>Publisher Campaign</v>
      </c>
      <c r="V2810" s="124" t="str">
        <f>IFERROR(__xludf.DUMMYFUNCTION("""COMPUTED_VALUE"""),"Feeder Cities")</f>
        <v>Feeder Cities</v>
      </c>
      <c r="W2810" s="124"/>
      <c r="X2810" s="124"/>
      <c r="Y2810" s="124" t="str">
        <f>IFERROR(__xludf.DUMMYFUNCTION("""COMPUTED_VALUE"""),"Indore")</f>
        <v>Indore</v>
      </c>
      <c r="Z2810" s="124">
        <f>IFERROR(__xludf.DUMMYFUNCTION("""COMPUTED_VALUE"""),2.0)</f>
        <v>2</v>
      </c>
      <c r="AA2810" s="124" t="str">
        <f>IFERROR(__xludf.DUMMYFUNCTION("""COMPUTED_VALUE"""),"Not Interested")</f>
        <v>Not Interested</v>
      </c>
      <c r="AB2810" s="124" t="str">
        <f>IFERROR(__xludf.DUMMYFUNCTION("""COMPUTED_VALUE"""),"GS Foundation")</f>
        <v>GS Foundation</v>
      </c>
    </row>
    <row r="2811">
      <c r="K2811" s="124"/>
      <c r="L2811" s="124"/>
      <c r="M2811" s="124"/>
      <c r="N2811" s="124"/>
      <c r="O2811" s="124"/>
      <c r="T2811" s="126">
        <f>IFERROR(__xludf.DUMMYFUNCTION("""COMPUTED_VALUE"""),46084.0)</f>
        <v>46084</v>
      </c>
      <c r="U2811" s="124" t="str">
        <f>IFERROR(__xludf.DUMMYFUNCTION("""COMPUTED_VALUE"""),"Paid Ads")</f>
        <v>Paid Ads</v>
      </c>
      <c r="V2811" s="124" t="str">
        <f>IFERROR(__xludf.DUMMYFUNCTION("""COMPUTED_VALUE"""),"YouTube")</f>
        <v>YouTube</v>
      </c>
      <c r="W2811" s="124"/>
      <c r="X2811" s="124"/>
      <c r="Y2811" s="124" t="str">
        <f>IFERROR(__xludf.DUMMYFUNCTION("""COMPUTED_VALUE"""),"Patna")</f>
        <v>Patna</v>
      </c>
      <c r="Z2811" s="124">
        <f>IFERROR(__xludf.DUMMYFUNCTION("""COMPUTED_VALUE"""),1.0)</f>
        <v>1</v>
      </c>
      <c r="AA2811" s="124" t="str">
        <f>IFERROR(__xludf.DUMMYFUNCTION("""COMPUTED_VALUE"""),"Not Interested")</f>
        <v>Not Interested</v>
      </c>
      <c r="AB2811" s="124" t="str">
        <f>IFERROR(__xludf.DUMMYFUNCTION("""COMPUTED_VALUE"""),"State PCS")</f>
        <v>State PCS</v>
      </c>
    </row>
    <row r="2812">
      <c r="K2812" s="124"/>
      <c r="L2812" s="124"/>
      <c r="M2812" s="124"/>
      <c r="N2812" s="124"/>
      <c r="O2812" s="124"/>
      <c r="T2812" s="126">
        <f>IFERROR(__xludf.DUMMYFUNCTION("""COMPUTED_VALUE"""),46049.0)</f>
        <v>46049</v>
      </c>
      <c r="U2812" s="124" t="str">
        <f>IFERROR(__xludf.DUMMYFUNCTION("""COMPUTED_VALUE"""),"External Leads")</f>
        <v>External Leads</v>
      </c>
      <c r="V2812" s="124" t="str">
        <f>IFERROR(__xludf.DUMMYFUNCTION("""COMPUTED_VALUE"""),"external leads")</f>
        <v>external leads</v>
      </c>
      <c r="W2812" s="124"/>
      <c r="X2812" s="124"/>
      <c r="Y2812" s="124"/>
      <c r="Z2812" s="124">
        <f>IFERROR(__xludf.DUMMYFUNCTION("""COMPUTED_VALUE"""),2.0)</f>
        <v>2</v>
      </c>
      <c r="AA2812" s="124" t="str">
        <f>IFERROR(__xludf.DUMMYFUNCTION("""COMPUTED_VALUE"""),"Not Interested")</f>
        <v>Not Interested</v>
      </c>
      <c r="AB2812" s="124"/>
    </row>
    <row r="2813">
      <c r="K2813" s="124"/>
      <c r="L2813" s="124"/>
      <c r="M2813" s="124"/>
      <c r="N2813" s="124"/>
      <c r="O2813" s="124"/>
      <c r="T2813" s="126">
        <f>IFERROR(__xludf.DUMMYFUNCTION("""COMPUTED_VALUE"""),46081.0)</f>
        <v>46081</v>
      </c>
      <c r="U2813" s="124" t="str">
        <f>IFERROR(__xludf.DUMMYFUNCTION("""COMPUTED_VALUE"""),"Walk-Ins")</f>
        <v>Walk-Ins</v>
      </c>
      <c r="V2813" s="124" t="str">
        <f>IFERROR(__xludf.DUMMYFUNCTION("""COMPUTED_VALUE"""),"Walkin")</f>
        <v>Walkin</v>
      </c>
      <c r="W2813" s="124"/>
      <c r="X2813" s="124"/>
      <c r="Y2813" s="124" t="str">
        <f>IFERROR(__xludf.DUMMYFUNCTION("""COMPUTED_VALUE"""),"Delhi")</f>
        <v>Delhi</v>
      </c>
      <c r="Z2813" s="124">
        <f>IFERROR(__xludf.DUMMYFUNCTION("""COMPUTED_VALUE"""),1.0)</f>
        <v>1</v>
      </c>
      <c r="AA2813" s="124" t="str">
        <f>IFERROR(__xludf.DUMMYFUNCTION("""COMPUTED_VALUE"""),"Cold")</f>
        <v>Cold</v>
      </c>
      <c r="AB2813" s="124" t="str">
        <f>IFERROR(__xludf.DUMMYFUNCTION("""COMPUTED_VALUE"""),"GS Foundation")</f>
        <v>GS Foundation</v>
      </c>
    </row>
    <row r="2814">
      <c r="K2814" s="124"/>
      <c r="L2814" s="124"/>
      <c r="M2814" s="124"/>
      <c r="N2814" s="124"/>
      <c r="O2814" s="124"/>
      <c r="T2814" s="129">
        <f>IFERROR(__xludf.DUMMYFUNCTION("""COMPUTED_VALUE"""),46076.0)</f>
        <v>46076</v>
      </c>
      <c r="U2814" s="124" t="str">
        <f>IFERROR(__xludf.DUMMYFUNCTION("""COMPUTED_VALUE"""),"Publisher Campaign")</f>
        <v>Publisher Campaign</v>
      </c>
      <c r="V2814" s="124" t="str">
        <f>IFERROR(__xludf.DUMMYFUNCTION("""COMPUTED_VALUE"""),"Webinar")</f>
        <v>Webinar</v>
      </c>
      <c r="W2814" s="124"/>
      <c r="X2814" s="124"/>
      <c r="Y2814" s="124" t="str">
        <f>IFERROR(__xludf.DUMMYFUNCTION("""COMPUTED_VALUE"""),"Delhi")</f>
        <v>Delhi</v>
      </c>
      <c r="Z2814" s="124">
        <f>IFERROR(__xludf.DUMMYFUNCTION("""COMPUTED_VALUE"""),2.0)</f>
        <v>2</v>
      </c>
      <c r="AA2814" s="124" t="str">
        <f>IFERROR(__xludf.DUMMYFUNCTION("""COMPUTED_VALUE"""),"Not Interested")</f>
        <v>Not Interested</v>
      </c>
      <c r="AB2814" s="124" t="str">
        <f>IFERROR(__xludf.DUMMYFUNCTION("""COMPUTED_VALUE"""),"Mentorship")</f>
        <v>Mentorship</v>
      </c>
    </row>
    <row r="2815">
      <c r="K2815" s="124"/>
      <c r="L2815" s="124"/>
      <c r="M2815" s="124"/>
      <c r="N2815" s="124"/>
      <c r="O2815" s="124"/>
      <c r="T2815" s="129">
        <f>IFERROR(__xludf.DUMMYFUNCTION("""COMPUTED_VALUE"""),46091.0)</f>
        <v>46091</v>
      </c>
      <c r="U2815" s="124" t="str">
        <f>IFERROR(__xludf.DUMMYFUNCTION("""COMPUTED_VALUE"""),"Publisher Campaign")</f>
        <v>Publisher Campaign</v>
      </c>
      <c r="V2815" s="124" t="str">
        <f>IFERROR(__xludf.DUMMYFUNCTION("""COMPUTED_VALUE"""),"Webinar")</f>
        <v>Webinar</v>
      </c>
      <c r="W2815" s="124"/>
      <c r="X2815" s="124"/>
      <c r="Y2815" s="124" t="str">
        <f>IFERROR(__xludf.DUMMYFUNCTION("""COMPUTED_VALUE"""),"Delhi")</f>
        <v>Delhi</v>
      </c>
      <c r="Z2815" s="124">
        <f>IFERROR(__xludf.DUMMYFUNCTION("""COMPUTED_VALUE"""),1.0)</f>
        <v>1</v>
      </c>
      <c r="AA2815" s="124" t="str">
        <f>IFERROR(__xludf.DUMMYFUNCTION("""COMPUTED_VALUE"""),"Engaged")</f>
        <v>Engaged</v>
      </c>
      <c r="AB2815" s="124" t="str">
        <f>IFERROR(__xludf.DUMMYFUNCTION("""COMPUTED_VALUE"""),"CSAT")</f>
        <v>CSAT</v>
      </c>
    </row>
    <row r="2816">
      <c r="K2816" s="124"/>
      <c r="L2816" s="124"/>
      <c r="M2816" s="124"/>
      <c r="N2816" s="124"/>
      <c r="O2816" s="124"/>
      <c r="T2816" s="129">
        <f>IFERROR(__xludf.DUMMYFUNCTION("""COMPUTED_VALUE"""),46097.0)</f>
        <v>46097</v>
      </c>
      <c r="U2816" s="124" t="str">
        <f>IFERROR(__xludf.DUMMYFUNCTION("""COMPUTED_VALUE"""),"Libraries")</f>
        <v>Libraries</v>
      </c>
      <c r="V2816" s="124" t="str">
        <f>IFERROR(__xludf.DUMMYFUNCTION("""COMPUTED_VALUE"""),"Libraries")</f>
        <v>Libraries</v>
      </c>
      <c r="W2816" s="124"/>
      <c r="X2816" s="124"/>
      <c r="Y2816" s="124" t="str">
        <f>IFERROR(__xludf.DUMMYFUNCTION("""COMPUTED_VALUE"""),"Prayagraj")</f>
        <v>Prayagraj</v>
      </c>
      <c r="Z2816" s="124">
        <f>IFERROR(__xludf.DUMMYFUNCTION("""COMPUTED_VALUE"""),1.0)</f>
        <v>1</v>
      </c>
      <c r="AA2816" s="124" t="str">
        <f>IFERROR(__xludf.DUMMYFUNCTION("""COMPUTED_VALUE"""),"Interested")</f>
        <v>Interested</v>
      </c>
      <c r="AB2816" s="124" t="str">
        <f>IFERROR(__xludf.DUMMYFUNCTION("""COMPUTED_VALUE"""),"GS Foundation")</f>
        <v>GS Foundation</v>
      </c>
    </row>
    <row r="2817">
      <c r="K2817" s="124"/>
      <c r="L2817" s="124"/>
      <c r="M2817" s="124"/>
      <c r="N2817" s="124"/>
      <c r="O2817" s="124"/>
      <c r="T2817" s="126">
        <f>IFERROR(__xludf.DUMMYFUNCTION("""COMPUTED_VALUE"""),46079.0)</f>
        <v>46079</v>
      </c>
      <c r="U2817" s="124" t="str">
        <f>IFERROR(__xludf.DUMMYFUNCTION("""COMPUTED_VALUE"""),"Publisher Campaign")</f>
        <v>Publisher Campaign</v>
      </c>
      <c r="V2817" s="124" t="str">
        <f>IFERROR(__xludf.DUMMYFUNCTION("""COMPUTED_VALUE"""),"Webinar")</f>
        <v>Webinar</v>
      </c>
      <c r="W2817" s="124"/>
      <c r="X2817" s="124"/>
      <c r="Y2817" s="124" t="str">
        <f>IFERROR(__xludf.DUMMYFUNCTION("""COMPUTED_VALUE"""),"Prayagraj")</f>
        <v>Prayagraj</v>
      </c>
      <c r="Z2817" s="124">
        <f>IFERROR(__xludf.DUMMYFUNCTION("""COMPUTED_VALUE"""),1.0)</f>
        <v>1</v>
      </c>
      <c r="AA2817" s="124" t="str">
        <f>IFERROR(__xludf.DUMMYFUNCTION("""COMPUTED_VALUE"""),"Cold")</f>
        <v>Cold</v>
      </c>
      <c r="AB2817" s="124" t="str">
        <f>IFERROR(__xludf.DUMMYFUNCTION("""COMPUTED_VALUE"""),"GS Foundation")</f>
        <v>GS Foundation</v>
      </c>
    </row>
    <row r="2818">
      <c r="K2818" s="124"/>
      <c r="L2818" s="124"/>
      <c r="M2818" s="124"/>
      <c r="N2818" s="124"/>
      <c r="O2818" s="124"/>
      <c r="T2818" s="126">
        <f>IFERROR(__xludf.DUMMYFUNCTION("""COMPUTED_VALUE"""),46088.0)</f>
        <v>46088</v>
      </c>
      <c r="U2818" s="124" t="str">
        <f>IFERROR(__xludf.DUMMYFUNCTION("""COMPUTED_VALUE"""),"Paid Ads")</f>
        <v>Paid Ads</v>
      </c>
      <c r="V2818" s="124" t="str">
        <f>IFERROR(__xludf.DUMMYFUNCTION("""COMPUTED_VALUE"""),"YouTube")</f>
        <v>YouTube</v>
      </c>
      <c r="W2818" s="124"/>
      <c r="X2818" s="124"/>
      <c r="Y2818" s="124" t="str">
        <f>IFERROR(__xludf.DUMMYFUNCTION("""COMPUTED_VALUE"""),"Lucknow")</f>
        <v>Lucknow</v>
      </c>
      <c r="Z2818" s="124">
        <f>IFERROR(__xludf.DUMMYFUNCTION("""COMPUTED_VALUE"""),1.0)</f>
        <v>1</v>
      </c>
      <c r="AA2818" s="124" t="str">
        <f>IFERROR(__xludf.DUMMYFUNCTION("""COMPUTED_VALUE"""),"Cold")</f>
        <v>Cold</v>
      </c>
      <c r="AB2818" s="124" t="str">
        <f>IFERROR(__xludf.DUMMYFUNCTION("""COMPUTED_VALUE"""),"State PCS")</f>
        <v>State PCS</v>
      </c>
    </row>
    <row r="2819">
      <c r="K2819" s="124"/>
      <c r="L2819" s="124"/>
      <c r="M2819" s="124"/>
      <c r="N2819" s="124"/>
      <c r="O2819" s="124"/>
      <c r="T2819" s="129">
        <f>IFERROR(__xludf.DUMMYFUNCTION("""COMPUTED_VALUE"""),46074.0)</f>
        <v>46074</v>
      </c>
      <c r="U2819" s="124" t="str">
        <f>IFERROR(__xludf.DUMMYFUNCTION("""COMPUTED_VALUE"""),"Libraries")</f>
        <v>Libraries</v>
      </c>
      <c r="V2819" s="124" t="str">
        <f>IFERROR(__xludf.DUMMYFUNCTION("""COMPUTED_VALUE"""),"Libraries")</f>
        <v>Libraries</v>
      </c>
      <c r="W2819" s="124"/>
      <c r="X2819" s="124"/>
      <c r="Y2819" s="124" t="str">
        <f>IFERROR(__xludf.DUMMYFUNCTION("""COMPUTED_VALUE"""),"Prayagraj")</f>
        <v>Prayagraj</v>
      </c>
      <c r="Z2819" s="124">
        <f>IFERROR(__xludf.DUMMYFUNCTION("""COMPUTED_VALUE"""),1.0)</f>
        <v>1</v>
      </c>
      <c r="AA2819" s="124" t="str">
        <f>IFERROR(__xludf.DUMMYFUNCTION("""COMPUTED_VALUE"""),"Warm")</f>
        <v>Warm</v>
      </c>
      <c r="AB2819" s="124" t="str">
        <f>IFERROR(__xludf.DUMMYFUNCTION("""COMPUTED_VALUE"""),"GS Foundation")</f>
        <v>GS Foundation</v>
      </c>
    </row>
    <row r="2820">
      <c r="K2820" s="124"/>
      <c r="L2820" s="124"/>
      <c r="M2820" s="124"/>
      <c r="N2820" s="124"/>
      <c r="O2820" s="124"/>
      <c r="T2820" s="126">
        <f>IFERROR(__xludf.DUMMYFUNCTION("""COMPUTED_VALUE"""),46045.0)</f>
        <v>46045</v>
      </c>
      <c r="U2820" s="124" t="str">
        <f>IFERROR(__xludf.DUMMYFUNCTION("""COMPUTED_VALUE"""),"External Leads")</f>
        <v>External Leads</v>
      </c>
      <c r="V2820" s="124" t="str">
        <f>IFERROR(__xludf.DUMMYFUNCTION("""COMPUTED_VALUE"""),"external leads")</f>
        <v>external leads</v>
      </c>
      <c r="W2820" s="124"/>
      <c r="X2820" s="124"/>
      <c r="Y2820" s="124" t="str">
        <f>IFERROR(__xludf.DUMMYFUNCTION("""COMPUTED_VALUE"""),"Delhi")</f>
        <v>Delhi</v>
      </c>
      <c r="Z2820" s="124">
        <f>IFERROR(__xludf.DUMMYFUNCTION("""COMPUTED_VALUE"""),1.0)</f>
        <v>1</v>
      </c>
      <c r="AA2820" s="124" t="str">
        <f>IFERROR(__xludf.DUMMYFUNCTION("""COMPUTED_VALUE"""),"Not Interested")</f>
        <v>Not Interested</v>
      </c>
      <c r="AB2820" s="124" t="str">
        <f>IFERROR(__xludf.DUMMYFUNCTION("""COMPUTED_VALUE"""),"Optionals")</f>
        <v>Optionals</v>
      </c>
    </row>
    <row r="2821">
      <c r="K2821" s="124"/>
      <c r="L2821" s="124"/>
      <c r="M2821" s="124"/>
      <c r="N2821" s="124"/>
      <c r="O2821" s="124"/>
      <c r="T2821" s="126">
        <f>IFERROR(__xludf.DUMMYFUNCTION("""COMPUTED_VALUE"""),46099.0)</f>
        <v>46099</v>
      </c>
      <c r="U2821" s="124" t="str">
        <f>IFERROR(__xludf.DUMMYFUNCTION("""COMPUTED_VALUE"""),"Walk-Ins")</f>
        <v>Walk-Ins</v>
      </c>
      <c r="V2821" s="124" t="str">
        <f>IFERROR(__xludf.DUMMYFUNCTION("""COMPUTED_VALUE"""),"Walkin")</f>
        <v>Walkin</v>
      </c>
      <c r="W2821" s="124" t="str">
        <f>IFERROR(__xludf.DUMMYFUNCTION("""COMPUTED_VALUE"""),"Delhi")</f>
        <v>Delhi</v>
      </c>
      <c r="X2821" s="124" t="str">
        <f>IFERROR(__xludf.DUMMYFUNCTION("""COMPUTED_VALUE"""),"walkin")</f>
        <v>walkin</v>
      </c>
      <c r="Y2821" s="124" t="str">
        <f>IFERROR(__xludf.DUMMYFUNCTION("""COMPUTED_VALUE"""),"Delhi")</f>
        <v>Delhi</v>
      </c>
      <c r="Z2821" s="124">
        <f>IFERROR(__xludf.DUMMYFUNCTION("""COMPUTED_VALUE"""),4.0)</f>
        <v>4</v>
      </c>
      <c r="AA2821" s="124" t="str">
        <f>IFERROR(__xludf.DUMMYFUNCTION("""COMPUTED_VALUE"""),"Cold")</f>
        <v>Cold</v>
      </c>
      <c r="AB2821" s="124" t="str">
        <f>IFERROR(__xludf.DUMMYFUNCTION("""COMPUTED_VALUE"""),"GS Foundation")</f>
        <v>GS Foundation</v>
      </c>
    </row>
    <row r="2822">
      <c r="K2822" s="124"/>
      <c r="L2822" s="124"/>
      <c r="M2822" s="124"/>
      <c r="N2822" s="124"/>
      <c r="O2822" s="124"/>
      <c r="T2822" s="126">
        <f>IFERROR(__xludf.DUMMYFUNCTION("""COMPUTED_VALUE"""),46049.0)</f>
        <v>46049</v>
      </c>
      <c r="U2822" s="124" t="str">
        <f>IFERROR(__xludf.DUMMYFUNCTION("""COMPUTED_VALUE"""),"External Leads")</f>
        <v>External Leads</v>
      </c>
      <c r="V2822" s="124" t="str">
        <f>IFERROR(__xludf.DUMMYFUNCTION("""COMPUTED_VALUE"""),"external leads")</f>
        <v>external leads</v>
      </c>
      <c r="W2822" s="124" t="str">
        <f>IFERROR(__xludf.DUMMYFUNCTION("""COMPUTED_VALUE"""),"delhi")</f>
        <v>delhi</v>
      </c>
      <c r="X2822" s="124" t="str">
        <f>IFERROR(__xludf.DUMMYFUNCTION("""COMPUTED_VALUE"""),"piyushunacademy")</f>
        <v>piyushunacademy</v>
      </c>
      <c r="Y2822" s="124" t="str">
        <f>IFERROR(__xludf.DUMMYFUNCTION("""COMPUTED_VALUE"""),"Delhi")</f>
        <v>Delhi</v>
      </c>
      <c r="Z2822" s="124">
        <f>IFERROR(__xludf.DUMMYFUNCTION("""COMPUTED_VALUE"""),3.0)</f>
        <v>3</v>
      </c>
      <c r="AA2822" s="124"/>
      <c r="AB2822" s="124" t="str">
        <f>IFERROR(__xludf.DUMMYFUNCTION("""COMPUTED_VALUE"""),"Optionals")</f>
        <v>Optionals</v>
      </c>
    </row>
    <row r="2823">
      <c r="K2823" s="124"/>
      <c r="L2823" s="124"/>
      <c r="M2823" s="124"/>
      <c r="N2823" s="124"/>
      <c r="O2823" s="124"/>
      <c r="T2823" s="126">
        <f>IFERROR(__xludf.DUMMYFUNCTION("""COMPUTED_VALUE"""),46078.0)</f>
        <v>46078</v>
      </c>
      <c r="U2823" s="124" t="str">
        <f>IFERROR(__xludf.DUMMYFUNCTION("""COMPUTED_VALUE"""),"Walk-Ins")</f>
        <v>Walk-Ins</v>
      </c>
      <c r="V2823" s="124" t="str">
        <f>IFERROR(__xludf.DUMMYFUNCTION("""COMPUTED_VALUE"""),"Walkin")</f>
        <v>Walkin</v>
      </c>
      <c r="W2823" s="124" t="str">
        <f>IFERROR(__xludf.DUMMYFUNCTION("""COMPUTED_VALUE"""),"Delhi")</f>
        <v>Delhi</v>
      </c>
      <c r="X2823" s="124" t="str">
        <f>IFERROR(__xludf.DUMMYFUNCTION("""COMPUTED_VALUE"""),"walkin")</f>
        <v>walkin</v>
      </c>
      <c r="Y2823" s="124" t="str">
        <f>IFERROR(__xludf.DUMMYFUNCTION("""COMPUTED_VALUE"""),"Delhi")</f>
        <v>Delhi</v>
      </c>
      <c r="Z2823" s="124">
        <f>IFERROR(__xludf.DUMMYFUNCTION("""COMPUTED_VALUE"""),1.0)</f>
        <v>1</v>
      </c>
      <c r="AA2823" s="124" t="str">
        <f>IFERROR(__xludf.DUMMYFUNCTION("""COMPUTED_VALUE"""),"Enrolled")</f>
        <v>Enrolled</v>
      </c>
      <c r="AB2823" s="124" t="str">
        <f>IFERROR(__xludf.DUMMYFUNCTION("""COMPUTED_VALUE"""),"GS Foundation")</f>
        <v>GS Foundation</v>
      </c>
    </row>
    <row r="2824">
      <c r="K2824" s="124"/>
      <c r="L2824" s="124"/>
      <c r="M2824" s="124"/>
      <c r="N2824" s="124"/>
      <c r="O2824" s="124"/>
      <c r="T2824" s="126">
        <f>IFERROR(__xludf.DUMMYFUNCTION("""COMPUTED_VALUE"""),46103.0)</f>
        <v>46103</v>
      </c>
      <c r="U2824" s="124" t="str">
        <f>IFERROR(__xludf.DUMMYFUNCTION("""COMPUTED_VALUE"""),"Walk-Ins")</f>
        <v>Walk-Ins</v>
      </c>
      <c r="V2824" s="124" t="str">
        <f>IFERROR(__xludf.DUMMYFUNCTION("""COMPUTED_VALUE"""),"Walkin")</f>
        <v>Walkin</v>
      </c>
      <c r="W2824" s="124" t="str">
        <f>IFERROR(__xludf.DUMMYFUNCTION("""COMPUTED_VALUE"""),"Delhi")</f>
        <v>Delhi</v>
      </c>
      <c r="X2824" s="124" t="str">
        <f>IFERROR(__xludf.DUMMYFUNCTION("""COMPUTED_VALUE"""),"walkin")</f>
        <v>walkin</v>
      </c>
      <c r="Y2824" s="124" t="str">
        <f>IFERROR(__xludf.DUMMYFUNCTION("""COMPUTED_VALUE"""),"Delhi")</f>
        <v>Delhi</v>
      </c>
      <c r="Z2824" s="124">
        <f>IFERROR(__xludf.DUMMYFUNCTION("""COMPUTED_VALUE"""),1.0)</f>
        <v>1</v>
      </c>
      <c r="AA2824" s="124" t="str">
        <f>IFERROR(__xludf.DUMMYFUNCTION("""COMPUTED_VALUE"""),"Not Interested")</f>
        <v>Not Interested</v>
      </c>
      <c r="AB2824" s="124" t="str">
        <f>IFERROR(__xludf.DUMMYFUNCTION("""COMPUTED_VALUE"""),"GS Foundation")</f>
        <v>GS Foundation</v>
      </c>
    </row>
    <row r="2825">
      <c r="K2825" s="124"/>
      <c r="L2825" s="124"/>
      <c r="M2825" s="124"/>
      <c r="N2825" s="124"/>
      <c r="O2825" s="124"/>
      <c r="T2825" s="129">
        <f>IFERROR(__xludf.DUMMYFUNCTION("""COMPUTED_VALUE"""),46057.0)</f>
        <v>46057</v>
      </c>
      <c r="U2825" s="124" t="str">
        <f>IFERROR(__xludf.DUMMYFUNCTION("""COMPUTED_VALUE"""),"Walk-Ins")</f>
        <v>Walk-Ins</v>
      </c>
      <c r="V2825" s="124" t="str">
        <f>IFERROR(__xludf.DUMMYFUNCTION("""COMPUTED_VALUE"""),"Walkin")</f>
        <v>Walkin</v>
      </c>
      <c r="W2825" s="124" t="str">
        <f>IFERROR(__xludf.DUMMYFUNCTION("""COMPUTED_VALUE"""),"Delhi")</f>
        <v>Delhi</v>
      </c>
      <c r="X2825" s="124" t="str">
        <f>IFERROR(__xludf.DUMMYFUNCTION("""COMPUTED_VALUE"""),"walkin")</f>
        <v>walkin</v>
      </c>
      <c r="Y2825" s="124" t="str">
        <f>IFERROR(__xludf.DUMMYFUNCTION("""COMPUTED_VALUE"""),"Delhi")</f>
        <v>Delhi</v>
      </c>
      <c r="Z2825" s="124">
        <f>IFERROR(__xludf.DUMMYFUNCTION("""COMPUTED_VALUE"""),1.0)</f>
        <v>1</v>
      </c>
      <c r="AA2825" s="124" t="str">
        <f>IFERROR(__xludf.DUMMYFUNCTION("""COMPUTED_VALUE"""),"Fake Lead")</f>
        <v>Fake Lead</v>
      </c>
      <c r="AB2825" s="124" t="str">
        <f>IFERROR(__xludf.DUMMYFUNCTION("""COMPUTED_VALUE"""),"GS Foundation")</f>
        <v>GS Foundation</v>
      </c>
    </row>
    <row r="2826">
      <c r="K2826" s="124"/>
      <c r="L2826" s="124"/>
      <c r="M2826" s="124"/>
      <c r="N2826" s="124"/>
      <c r="O2826" s="124"/>
      <c r="T2826" s="129">
        <f>IFERROR(__xludf.DUMMYFUNCTION("""COMPUTED_VALUE"""),46099.0)</f>
        <v>46099</v>
      </c>
      <c r="U2826" s="124" t="str">
        <f>IFERROR(__xludf.DUMMYFUNCTION("""COMPUTED_VALUE"""),"Walk-Ins")</f>
        <v>Walk-Ins</v>
      </c>
      <c r="V2826" s="124" t="str">
        <f>IFERROR(__xludf.DUMMYFUNCTION("""COMPUTED_VALUE"""),"Walkin")</f>
        <v>Walkin</v>
      </c>
      <c r="W2826" s="124" t="str">
        <f>IFERROR(__xludf.DUMMYFUNCTION("""COMPUTED_VALUE"""),"Delhi")</f>
        <v>Delhi</v>
      </c>
      <c r="X2826" s="124" t="str">
        <f>IFERROR(__xludf.DUMMYFUNCTION("""COMPUTED_VALUE"""),"walkin")</f>
        <v>walkin</v>
      </c>
      <c r="Y2826" s="124" t="str">
        <f>IFERROR(__xludf.DUMMYFUNCTION("""COMPUTED_VALUE"""),"Delhi")</f>
        <v>Delhi</v>
      </c>
      <c r="Z2826" s="124">
        <f>IFERROR(__xludf.DUMMYFUNCTION("""COMPUTED_VALUE"""),1.0)</f>
        <v>1</v>
      </c>
      <c r="AA2826" s="124" t="str">
        <f>IFERROR(__xludf.DUMMYFUNCTION("""COMPUTED_VALUE"""),"Enrolled")</f>
        <v>Enrolled</v>
      </c>
      <c r="AB2826" s="124" t="str">
        <f>IFERROR(__xludf.DUMMYFUNCTION("""COMPUTED_VALUE"""),"GS Foundation")</f>
        <v>GS Foundation</v>
      </c>
    </row>
    <row r="2827">
      <c r="K2827" s="124"/>
      <c r="L2827" s="124"/>
      <c r="M2827" s="124"/>
      <c r="N2827" s="124"/>
      <c r="O2827" s="124"/>
      <c r="T2827" s="126">
        <f>IFERROR(__xludf.DUMMYFUNCTION("""COMPUTED_VALUE"""),46102.0)</f>
        <v>46102</v>
      </c>
      <c r="U2827" s="124" t="str">
        <f>IFERROR(__xludf.DUMMYFUNCTION("""COMPUTED_VALUE"""),"Walk-Ins")</f>
        <v>Walk-Ins</v>
      </c>
      <c r="V2827" s="124" t="str">
        <f>IFERROR(__xludf.DUMMYFUNCTION("""COMPUTED_VALUE"""),"Walkin")</f>
        <v>Walkin</v>
      </c>
      <c r="W2827" s="124" t="str">
        <f>IFERROR(__xludf.DUMMYFUNCTION("""COMPUTED_VALUE"""),"Delhi")</f>
        <v>Delhi</v>
      </c>
      <c r="X2827" s="124" t="str">
        <f>IFERROR(__xludf.DUMMYFUNCTION("""COMPUTED_VALUE"""),"walkin")</f>
        <v>walkin</v>
      </c>
      <c r="Y2827" s="124" t="str">
        <f>IFERROR(__xludf.DUMMYFUNCTION("""COMPUTED_VALUE"""),"Prayagraj")</f>
        <v>Prayagraj</v>
      </c>
      <c r="Z2827" s="124">
        <f>IFERROR(__xludf.DUMMYFUNCTION("""COMPUTED_VALUE"""),1.0)</f>
        <v>1</v>
      </c>
      <c r="AA2827" s="124" t="str">
        <f>IFERROR(__xludf.DUMMYFUNCTION("""COMPUTED_VALUE"""),"Warm")</f>
        <v>Warm</v>
      </c>
      <c r="AB2827" s="124" t="str">
        <f>IFERROR(__xludf.DUMMYFUNCTION("""COMPUTED_VALUE"""),"GS Foundation")</f>
        <v>GS Foundation</v>
      </c>
    </row>
    <row r="2828">
      <c r="K2828" s="124"/>
      <c r="L2828" s="124"/>
      <c r="M2828" s="124"/>
      <c r="N2828" s="124"/>
      <c r="O2828" s="124"/>
      <c r="T2828" s="126">
        <f>IFERROR(__xludf.DUMMYFUNCTION("""COMPUTED_VALUE"""),46049.0)</f>
        <v>46049</v>
      </c>
      <c r="U2828" s="124" t="str">
        <f>IFERROR(__xludf.DUMMYFUNCTION("""COMPUTED_VALUE"""),"External Leads")</f>
        <v>External Leads</v>
      </c>
      <c r="V2828" s="124" t="str">
        <f>IFERROR(__xludf.DUMMYFUNCTION("""COMPUTED_VALUE"""),"external leads")</f>
        <v>external leads</v>
      </c>
      <c r="W2828" s="124" t="str">
        <f>IFERROR(__xludf.DUMMYFUNCTION("""COMPUTED_VALUE"""),"delhi")</f>
        <v>delhi</v>
      </c>
      <c r="X2828" s="124" t="str">
        <f>IFERROR(__xludf.DUMMYFUNCTION("""COMPUTED_VALUE"""),"piyushunacademy")</f>
        <v>piyushunacademy</v>
      </c>
      <c r="Y2828" s="124" t="str">
        <f>IFERROR(__xludf.DUMMYFUNCTION("""COMPUTED_VALUE"""),"Patna")</f>
        <v>Patna</v>
      </c>
      <c r="Z2828" s="124">
        <f>IFERROR(__xludf.DUMMYFUNCTION("""COMPUTED_VALUE"""),1.0)</f>
        <v>1</v>
      </c>
      <c r="AA2828" s="124" t="str">
        <f>IFERROR(__xludf.DUMMYFUNCTION("""COMPUTED_VALUE"""),"Warm")</f>
        <v>Warm</v>
      </c>
      <c r="AB2828" s="124" t="str">
        <f>IFERROR(__xludf.DUMMYFUNCTION("""COMPUTED_VALUE"""),"GS Foundation")</f>
        <v>GS Foundation</v>
      </c>
    </row>
    <row r="2829">
      <c r="K2829" s="124"/>
      <c r="L2829" s="124"/>
      <c r="M2829" s="124"/>
      <c r="N2829" s="124"/>
      <c r="O2829" s="124"/>
      <c r="T2829" s="126">
        <f>IFERROR(__xludf.DUMMYFUNCTION("""COMPUTED_VALUE"""),46044.0)</f>
        <v>46044</v>
      </c>
      <c r="U2829" s="124" t="str">
        <f>IFERROR(__xludf.DUMMYFUNCTION("""COMPUTED_VALUE"""),"Walk-Ins")</f>
        <v>Walk-Ins</v>
      </c>
      <c r="V2829" s="124" t="str">
        <f>IFERROR(__xludf.DUMMYFUNCTION("""COMPUTED_VALUE"""),"Walkin")</f>
        <v>Walkin</v>
      </c>
      <c r="W2829" s="124" t="str">
        <f>IFERROR(__xludf.DUMMYFUNCTION("""COMPUTED_VALUE"""),"Delhi")</f>
        <v>Delhi</v>
      </c>
      <c r="X2829" s="124" t="str">
        <f>IFERROR(__xludf.DUMMYFUNCTION("""COMPUTED_VALUE"""),"walkin")</f>
        <v>walkin</v>
      </c>
      <c r="Y2829" s="124" t="str">
        <f>IFERROR(__xludf.DUMMYFUNCTION("""COMPUTED_VALUE"""),"Delhi")</f>
        <v>Delhi</v>
      </c>
      <c r="Z2829" s="124">
        <f>IFERROR(__xludf.DUMMYFUNCTION("""COMPUTED_VALUE"""),2.0)</f>
        <v>2</v>
      </c>
      <c r="AA2829" s="124" t="str">
        <f>IFERROR(__xludf.DUMMYFUNCTION("""COMPUTED_VALUE"""),"Future Prospects")</f>
        <v>Future Prospects</v>
      </c>
      <c r="AB2829" s="124" t="str">
        <f>IFERROR(__xludf.DUMMYFUNCTION("""COMPUTED_VALUE"""),"GS Foundation")</f>
        <v>GS Foundation</v>
      </c>
    </row>
    <row r="2830">
      <c r="K2830" s="124"/>
      <c r="L2830" s="124"/>
      <c r="M2830" s="124"/>
      <c r="N2830" s="124"/>
      <c r="O2830" s="124"/>
      <c r="T2830" s="126">
        <f>IFERROR(__xludf.DUMMYFUNCTION("""COMPUTED_VALUE"""),46060.0)</f>
        <v>46060</v>
      </c>
      <c r="U2830" s="124" t="str">
        <f>IFERROR(__xludf.DUMMYFUNCTION("""COMPUTED_VALUE"""),"Walk-Ins")</f>
        <v>Walk-Ins</v>
      </c>
      <c r="V2830" s="124" t="str">
        <f>IFERROR(__xludf.DUMMYFUNCTION("""COMPUTED_VALUE"""),"Walkin")</f>
        <v>Walkin</v>
      </c>
      <c r="W2830" s="124" t="str">
        <f>IFERROR(__xludf.DUMMYFUNCTION("""COMPUTED_VALUE"""),"Delhi")</f>
        <v>Delhi</v>
      </c>
      <c r="X2830" s="124" t="str">
        <f>IFERROR(__xludf.DUMMYFUNCTION("""COMPUTED_VALUE"""),"walkin")</f>
        <v>walkin</v>
      </c>
      <c r="Y2830" s="124" t="str">
        <f>IFERROR(__xludf.DUMMYFUNCTION("""COMPUTED_VALUE"""),"Delhi")</f>
        <v>Delhi</v>
      </c>
      <c r="Z2830" s="124">
        <f>IFERROR(__xludf.DUMMYFUNCTION("""COMPUTED_VALUE"""),2.0)</f>
        <v>2</v>
      </c>
      <c r="AA2830" s="124" t="str">
        <f>IFERROR(__xludf.DUMMYFUNCTION("""COMPUTED_VALUE"""),"Not Interested")</f>
        <v>Not Interested</v>
      </c>
      <c r="AB2830" s="124" t="str">
        <f>IFERROR(__xludf.DUMMYFUNCTION("""COMPUTED_VALUE"""),"GS Foundation")</f>
        <v>GS Foundation</v>
      </c>
    </row>
    <row r="2831">
      <c r="K2831" s="124"/>
      <c r="L2831" s="124"/>
      <c r="M2831" s="124"/>
      <c r="N2831" s="124"/>
      <c r="O2831" s="124"/>
      <c r="T2831" s="126">
        <f>IFERROR(__xludf.DUMMYFUNCTION("""COMPUTED_VALUE"""),46067.0)</f>
        <v>46067</v>
      </c>
      <c r="U2831" s="124" t="str">
        <f>IFERROR(__xludf.DUMMYFUNCTION("""COMPUTED_VALUE"""),"Walk-Ins")</f>
        <v>Walk-Ins</v>
      </c>
      <c r="V2831" s="124" t="str">
        <f>IFERROR(__xludf.DUMMYFUNCTION("""COMPUTED_VALUE"""),"Walkin")</f>
        <v>Walkin</v>
      </c>
      <c r="W2831" s="124" t="str">
        <f>IFERROR(__xludf.DUMMYFUNCTION("""COMPUTED_VALUE"""),"Delhi")</f>
        <v>Delhi</v>
      </c>
      <c r="X2831" s="124" t="str">
        <f>IFERROR(__xludf.DUMMYFUNCTION("""COMPUTED_VALUE"""),"walkin")</f>
        <v>walkin</v>
      </c>
      <c r="Y2831" s="124" t="str">
        <f>IFERROR(__xludf.DUMMYFUNCTION("""COMPUTED_VALUE"""),"Delhi")</f>
        <v>Delhi</v>
      </c>
      <c r="Z2831" s="124">
        <f>IFERROR(__xludf.DUMMYFUNCTION("""COMPUTED_VALUE"""),1.0)</f>
        <v>1</v>
      </c>
      <c r="AA2831" s="124" t="str">
        <f>IFERROR(__xludf.DUMMYFUNCTION("""COMPUTED_VALUE"""),"Fake Lead")</f>
        <v>Fake Lead</v>
      </c>
      <c r="AB2831" s="124" t="str">
        <f>IFERROR(__xludf.DUMMYFUNCTION("""COMPUTED_VALUE"""),"GS Foundation")</f>
        <v>GS Foundation</v>
      </c>
    </row>
    <row r="2832">
      <c r="K2832" s="124"/>
      <c r="L2832" s="124"/>
      <c r="M2832" s="124"/>
      <c r="N2832" s="124"/>
      <c r="O2832" s="124"/>
      <c r="T2832" s="126">
        <f>IFERROR(__xludf.DUMMYFUNCTION("""COMPUTED_VALUE"""),46090.0)</f>
        <v>46090</v>
      </c>
      <c r="U2832" s="124" t="str">
        <f>IFERROR(__xludf.DUMMYFUNCTION("""COMPUTED_VALUE"""),"Walk-Ins")</f>
        <v>Walk-Ins</v>
      </c>
      <c r="V2832" s="124" t="str">
        <f>IFERROR(__xludf.DUMMYFUNCTION("""COMPUTED_VALUE"""),"Walkin")</f>
        <v>Walkin</v>
      </c>
      <c r="W2832" s="124" t="str">
        <f>IFERROR(__xludf.DUMMYFUNCTION("""COMPUTED_VALUE"""),"Delhi")</f>
        <v>Delhi</v>
      </c>
      <c r="X2832" s="124" t="str">
        <f>IFERROR(__xludf.DUMMYFUNCTION("""COMPUTED_VALUE"""),"walkin")</f>
        <v>walkin</v>
      </c>
      <c r="Y2832" s="124" t="str">
        <f>IFERROR(__xludf.DUMMYFUNCTION("""COMPUTED_VALUE"""),"Delhi")</f>
        <v>Delhi</v>
      </c>
      <c r="Z2832" s="124">
        <f>IFERROR(__xludf.DUMMYFUNCTION("""COMPUTED_VALUE"""),4.0)</f>
        <v>4</v>
      </c>
      <c r="AA2832" s="124" t="str">
        <f>IFERROR(__xludf.DUMMYFUNCTION("""COMPUTED_VALUE"""),"Not Interested")</f>
        <v>Not Interested</v>
      </c>
      <c r="AB2832" s="124" t="str">
        <f>IFERROR(__xludf.DUMMYFUNCTION("""COMPUTED_VALUE"""),"GS Foundation")</f>
        <v>GS Foundation</v>
      </c>
    </row>
    <row r="2833">
      <c r="K2833" s="124"/>
      <c r="L2833" s="124"/>
      <c r="M2833" s="124"/>
      <c r="N2833" s="124"/>
      <c r="O2833" s="124"/>
      <c r="T2833" s="126">
        <f>IFERROR(__xludf.DUMMYFUNCTION("""COMPUTED_VALUE"""),46049.0)</f>
        <v>46049</v>
      </c>
      <c r="U2833" s="124" t="str">
        <f>IFERROR(__xludf.DUMMYFUNCTION("""COMPUTED_VALUE"""),"External Leads")</f>
        <v>External Leads</v>
      </c>
      <c r="V2833" s="124" t="str">
        <f>IFERROR(__xludf.DUMMYFUNCTION("""COMPUTED_VALUE"""),"external leads")</f>
        <v>external leads</v>
      </c>
      <c r="W2833" s="124" t="str">
        <f>IFERROR(__xludf.DUMMYFUNCTION("""COMPUTED_VALUE"""),"patna")</f>
        <v>patna</v>
      </c>
      <c r="X2833" s="124" t="str">
        <f>IFERROR(__xludf.DUMMYFUNCTION("""COMPUTED_VALUE"""),"piyushunacademy")</f>
        <v>piyushunacademy</v>
      </c>
      <c r="Y2833" s="124" t="str">
        <f>IFERROR(__xludf.DUMMYFUNCTION("""COMPUTED_VALUE"""),"Patna")</f>
        <v>Patna</v>
      </c>
      <c r="Z2833" s="124">
        <f>IFERROR(__xludf.DUMMYFUNCTION("""COMPUTED_VALUE"""),2.0)</f>
        <v>2</v>
      </c>
      <c r="AA2833" s="124" t="str">
        <f>IFERROR(__xludf.DUMMYFUNCTION("""COMPUTED_VALUE"""),"Not Interested")</f>
        <v>Not Interested</v>
      </c>
      <c r="AB2833" s="124" t="str">
        <f>IFERROR(__xludf.DUMMYFUNCTION("""COMPUTED_VALUE"""),"Test Series")</f>
        <v>Test Series</v>
      </c>
    </row>
    <row r="2834">
      <c r="K2834" s="124"/>
      <c r="L2834" s="124"/>
      <c r="M2834" s="124"/>
      <c r="N2834" s="124"/>
      <c r="O2834" s="124"/>
      <c r="T2834" s="126">
        <f>IFERROR(__xludf.DUMMYFUNCTION("""COMPUTED_VALUE"""),46108.0)</f>
        <v>46108</v>
      </c>
      <c r="U2834" s="124" t="str">
        <f>IFERROR(__xludf.DUMMYFUNCTION("""COMPUTED_VALUE"""),"Walk-Ins")</f>
        <v>Walk-Ins</v>
      </c>
      <c r="V2834" s="124" t="str">
        <f>IFERROR(__xludf.DUMMYFUNCTION("""COMPUTED_VALUE"""),"Walkin")</f>
        <v>Walkin</v>
      </c>
      <c r="W2834" s="124" t="str">
        <f>IFERROR(__xludf.DUMMYFUNCTION("""COMPUTED_VALUE"""),"Delhi")</f>
        <v>Delhi</v>
      </c>
      <c r="X2834" s="124" t="str">
        <f>IFERROR(__xludf.DUMMYFUNCTION("""COMPUTED_VALUE"""),"walkin")</f>
        <v>walkin</v>
      </c>
      <c r="Y2834" s="124" t="str">
        <f>IFERROR(__xludf.DUMMYFUNCTION("""COMPUTED_VALUE"""),"Delhi")</f>
        <v>Delhi</v>
      </c>
      <c r="Z2834" s="124">
        <f>IFERROR(__xludf.DUMMYFUNCTION("""COMPUTED_VALUE"""),1.0)</f>
        <v>1</v>
      </c>
      <c r="AA2834" s="124" t="str">
        <f>IFERROR(__xludf.DUMMYFUNCTION("""COMPUTED_VALUE"""),"Cold")</f>
        <v>Cold</v>
      </c>
      <c r="AB2834" s="124" t="str">
        <f>IFERROR(__xludf.DUMMYFUNCTION("""COMPUTED_VALUE"""),"GS Foundation")</f>
        <v>GS Foundation</v>
      </c>
    </row>
    <row r="2835">
      <c r="K2835" s="124"/>
      <c r="L2835" s="124"/>
      <c r="M2835" s="124"/>
      <c r="N2835" s="124"/>
      <c r="O2835" s="124"/>
      <c r="T2835" s="126">
        <f>IFERROR(__xludf.DUMMYFUNCTION("""COMPUTED_VALUE"""),46049.0)</f>
        <v>46049</v>
      </c>
      <c r="U2835" s="124" t="str">
        <f>IFERROR(__xludf.DUMMYFUNCTION("""COMPUTED_VALUE"""),"External Leads")</f>
        <v>External Leads</v>
      </c>
      <c r="V2835" s="124" t="str">
        <f>IFERROR(__xludf.DUMMYFUNCTION("""COMPUTED_VALUE"""),"external leads")</f>
        <v>external leads</v>
      </c>
      <c r="W2835" s="124" t="str">
        <f>IFERROR(__xludf.DUMMYFUNCTION("""COMPUTED_VALUE"""),"prayagraj")</f>
        <v>prayagraj</v>
      </c>
      <c r="X2835" s="124" t="str">
        <f>IFERROR(__xludf.DUMMYFUNCTION("""COMPUTED_VALUE"""),"piyushunacademy")</f>
        <v>piyushunacademy</v>
      </c>
      <c r="Y2835" s="124" t="str">
        <f>IFERROR(__xludf.DUMMYFUNCTION("""COMPUTED_VALUE"""),"Prayagraj")</f>
        <v>Prayagraj</v>
      </c>
      <c r="Z2835" s="124">
        <f>IFERROR(__xludf.DUMMYFUNCTION("""COMPUTED_VALUE"""),3.0)</f>
        <v>3</v>
      </c>
      <c r="AA2835" s="124" t="str">
        <f>IFERROR(__xludf.DUMMYFUNCTION("""COMPUTED_VALUE"""),"Not Interested")</f>
        <v>Not Interested</v>
      </c>
      <c r="AB2835" s="124" t="str">
        <f>IFERROR(__xludf.DUMMYFUNCTION("""COMPUTED_VALUE"""),"GS Foundation")</f>
        <v>GS Foundation</v>
      </c>
    </row>
    <row r="2836">
      <c r="K2836" s="124"/>
      <c r="L2836" s="124"/>
      <c r="M2836" s="124"/>
      <c r="N2836" s="124"/>
      <c r="O2836" s="124"/>
      <c r="T2836" s="129">
        <f>IFERROR(__xludf.DUMMYFUNCTION("""COMPUTED_VALUE"""),46112.0)</f>
        <v>46112</v>
      </c>
      <c r="U2836" s="124" t="str">
        <f>IFERROR(__xludf.DUMMYFUNCTION("""COMPUTED_VALUE"""),"Walk-Ins")</f>
        <v>Walk-Ins</v>
      </c>
      <c r="V2836" s="124" t="str">
        <f>IFERROR(__xludf.DUMMYFUNCTION("""COMPUTED_VALUE"""),"Walkin")</f>
        <v>Walkin</v>
      </c>
      <c r="W2836" s="124" t="str">
        <f>IFERROR(__xludf.DUMMYFUNCTION("""COMPUTED_VALUE"""),"Delhi")</f>
        <v>Delhi</v>
      </c>
      <c r="X2836" s="124" t="str">
        <f>IFERROR(__xludf.DUMMYFUNCTION("""COMPUTED_VALUE"""),"walkin")</f>
        <v>walkin</v>
      </c>
      <c r="Y2836" s="124" t="str">
        <f>IFERROR(__xludf.DUMMYFUNCTION("""COMPUTED_VALUE"""),"Delhi")</f>
        <v>Delhi</v>
      </c>
      <c r="Z2836" s="124">
        <f>IFERROR(__xludf.DUMMYFUNCTION("""COMPUTED_VALUE"""),1.0)</f>
        <v>1</v>
      </c>
      <c r="AA2836" s="124" t="str">
        <f>IFERROR(__xludf.DUMMYFUNCTION("""COMPUTED_VALUE"""),"Enrolled")</f>
        <v>Enrolled</v>
      </c>
      <c r="AB2836" s="124" t="str">
        <f>IFERROR(__xludf.DUMMYFUNCTION("""COMPUTED_VALUE"""),"GS Foundation")</f>
        <v>GS Foundation</v>
      </c>
    </row>
    <row r="2837">
      <c r="K2837" s="124"/>
      <c r="L2837" s="124"/>
      <c r="M2837" s="124"/>
      <c r="N2837" s="124"/>
      <c r="O2837" s="124"/>
      <c r="T2837" s="126">
        <f>IFERROR(__xludf.DUMMYFUNCTION("""COMPUTED_VALUE"""),46068.0)</f>
        <v>46068</v>
      </c>
      <c r="U2837" s="124" t="str">
        <f>IFERROR(__xludf.DUMMYFUNCTION("""COMPUTED_VALUE"""),"Walk-Ins")</f>
        <v>Walk-Ins</v>
      </c>
      <c r="V2837" s="124" t="str">
        <f>IFERROR(__xludf.DUMMYFUNCTION("""COMPUTED_VALUE"""),"Walkin")</f>
        <v>Walkin</v>
      </c>
      <c r="W2837" s="124" t="str">
        <f>IFERROR(__xludf.DUMMYFUNCTION("""COMPUTED_VALUE"""),"Delhi")</f>
        <v>Delhi</v>
      </c>
      <c r="X2837" s="124" t="str">
        <f>IFERROR(__xludf.DUMMYFUNCTION("""COMPUTED_VALUE"""),"walkin")</f>
        <v>walkin</v>
      </c>
      <c r="Y2837" s="124" t="str">
        <f>IFERROR(__xludf.DUMMYFUNCTION("""COMPUTED_VALUE"""),"Delhi")</f>
        <v>Delhi</v>
      </c>
      <c r="Z2837" s="124">
        <f>IFERROR(__xludf.DUMMYFUNCTION("""COMPUTED_VALUE"""),1.0)</f>
        <v>1</v>
      </c>
      <c r="AA2837" s="124" t="str">
        <f>IFERROR(__xludf.DUMMYFUNCTION("""COMPUTED_VALUE"""),"Enrolled")</f>
        <v>Enrolled</v>
      </c>
      <c r="AB2837" s="124" t="str">
        <f>IFERROR(__xludf.DUMMYFUNCTION("""COMPUTED_VALUE"""),"GS Foundation")</f>
        <v>GS Foundation</v>
      </c>
    </row>
    <row r="2838">
      <c r="K2838" s="124"/>
      <c r="L2838" s="124"/>
      <c r="M2838" s="124"/>
      <c r="N2838" s="124"/>
      <c r="O2838" s="124"/>
      <c r="T2838" s="126">
        <f>IFERROR(__xludf.DUMMYFUNCTION("""COMPUTED_VALUE"""),46090.0)</f>
        <v>46090</v>
      </c>
      <c r="U2838" s="124" t="str">
        <f>IFERROR(__xludf.DUMMYFUNCTION("""COMPUTED_VALUE"""),"Walk-Ins")</f>
        <v>Walk-Ins</v>
      </c>
      <c r="V2838" s="124" t="str">
        <f>IFERROR(__xludf.DUMMYFUNCTION("""COMPUTED_VALUE"""),"Walkin")</f>
        <v>Walkin</v>
      </c>
      <c r="W2838" s="124" t="str">
        <f>IFERROR(__xludf.DUMMYFUNCTION("""COMPUTED_VALUE"""),"Delhi")</f>
        <v>Delhi</v>
      </c>
      <c r="X2838" s="124" t="str">
        <f>IFERROR(__xludf.DUMMYFUNCTION("""COMPUTED_VALUE"""),"walkin")</f>
        <v>walkin</v>
      </c>
      <c r="Y2838" s="124" t="str">
        <f>IFERROR(__xludf.DUMMYFUNCTION("""COMPUTED_VALUE"""),"Delhi")</f>
        <v>Delhi</v>
      </c>
      <c r="Z2838" s="124">
        <f>IFERROR(__xludf.DUMMYFUNCTION("""COMPUTED_VALUE"""),1.0)</f>
        <v>1</v>
      </c>
      <c r="AA2838" s="124" t="str">
        <f>IFERROR(__xludf.DUMMYFUNCTION("""COMPUTED_VALUE"""),"Enrolled")</f>
        <v>Enrolled</v>
      </c>
      <c r="AB2838" s="124" t="str">
        <f>IFERROR(__xludf.DUMMYFUNCTION("""COMPUTED_VALUE"""),"GS Foundation")</f>
        <v>GS Foundation</v>
      </c>
    </row>
    <row r="2839">
      <c r="K2839" s="124"/>
      <c r="L2839" s="124"/>
      <c r="M2839" s="124"/>
      <c r="N2839" s="124"/>
      <c r="O2839" s="124"/>
      <c r="T2839" s="126">
        <f>IFERROR(__xludf.DUMMYFUNCTION("""COMPUTED_VALUE"""),46104.0)</f>
        <v>46104</v>
      </c>
      <c r="U2839" s="124" t="str">
        <f>IFERROR(__xludf.DUMMYFUNCTION("""COMPUTED_VALUE"""),"Walk-Ins")</f>
        <v>Walk-Ins</v>
      </c>
      <c r="V2839" s="124" t="str">
        <f>IFERROR(__xludf.DUMMYFUNCTION("""COMPUTED_VALUE"""),"Walk-In")</f>
        <v>Walk-In</v>
      </c>
      <c r="W2839" s="124" t="str">
        <f>IFERROR(__xludf.DUMMYFUNCTION("""COMPUTED_VALUE"""),"Delhi")</f>
        <v>Delhi</v>
      </c>
      <c r="X2839" s="124" t="str">
        <f>IFERROR(__xludf.DUMMYFUNCTION("""COMPUTED_VALUE"""),"walkin")</f>
        <v>walkin</v>
      </c>
      <c r="Y2839" s="124" t="str">
        <f>IFERROR(__xludf.DUMMYFUNCTION("""COMPUTED_VALUE"""),"Delhi")</f>
        <v>Delhi</v>
      </c>
      <c r="Z2839" s="124">
        <f>IFERROR(__xludf.DUMMYFUNCTION("""COMPUTED_VALUE"""),1.0)</f>
        <v>1</v>
      </c>
      <c r="AA2839" s="124" t="str">
        <f>IFERROR(__xludf.DUMMYFUNCTION("""COMPUTED_VALUE"""),"Cold")</f>
        <v>Cold</v>
      </c>
      <c r="AB2839" s="124" t="str">
        <f>IFERROR(__xludf.DUMMYFUNCTION("""COMPUTED_VALUE"""),"Mentorship")</f>
        <v>Mentorship</v>
      </c>
    </row>
    <row r="2840">
      <c r="K2840" s="124"/>
      <c r="L2840" s="124"/>
      <c r="M2840" s="124"/>
      <c r="N2840" s="124"/>
      <c r="O2840" s="124"/>
      <c r="T2840" s="126">
        <f>IFERROR(__xludf.DUMMYFUNCTION("""COMPUTED_VALUE"""),46109.0)</f>
        <v>46109</v>
      </c>
      <c r="U2840" s="124" t="str">
        <f>IFERROR(__xludf.DUMMYFUNCTION("""COMPUTED_VALUE"""),"Walk-Ins")</f>
        <v>Walk-Ins</v>
      </c>
      <c r="V2840" s="124" t="str">
        <f>IFERROR(__xludf.DUMMYFUNCTION("""COMPUTED_VALUE"""),"Walkin")</f>
        <v>Walkin</v>
      </c>
      <c r="W2840" s="124" t="str">
        <f>IFERROR(__xludf.DUMMYFUNCTION("""COMPUTED_VALUE"""),"Delhi")</f>
        <v>Delhi</v>
      </c>
      <c r="X2840" s="124" t="str">
        <f>IFERROR(__xludf.DUMMYFUNCTION("""COMPUTED_VALUE"""),"walkin")</f>
        <v>walkin</v>
      </c>
      <c r="Y2840" s="124" t="str">
        <f>IFERROR(__xludf.DUMMYFUNCTION("""COMPUTED_VALUE"""),"Delhi")</f>
        <v>Delhi</v>
      </c>
      <c r="Z2840" s="124">
        <f>IFERROR(__xludf.DUMMYFUNCTION("""COMPUTED_VALUE"""),1.0)</f>
        <v>1</v>
      </c>
      <c r="AA2840" s="124" t="str">
        <f>IFERROR(__xludf.DUMMYFUNCTION("""COMPUTED_VALUE"""),"Cold")</f>
        <v>Cold</v>
      </c>
      <c r="AB2840" s="124" t="str">
        <f>IFERROR(__xludf.DUMMYFUNCTION("""COMPUTED_VALUE"""),"GS Foundation")</f>
        <v>GS Foundation</v>
      </c>
    </row>
    <row r="2841">
      <c r="K2841" s="124"/>
      <c r="L2841" s="124"/>
      <c r="M2841" s="124"/>
      <c r="N2841" s="124"/>
      <c r="O2841" s="124"/>
      <c r="T2841" s="126">
        <f>IFERROR(__xludf.DUMMYFUNCTION("""COMPUTED_VALUE"""),46095.0)</f>
        <v>46095</v>
      </c>
      <c r="U2841" s="124" t="str">
        <f>IFERROR(__xludf.DUMMYFUNCTION("""COMPUTED_VALUE"""),"Walk-Ins")</f>
        <v>Walk-Ins</v>
      </c>
      <c r="V2841" s="124" t="str">
        <f>IFERROR(__xludf.DUMMYFUNCTION("""COMPUTED_VALUE"""),"walk-in")</f>
        <v>walk-in</v>
      </c>
      <c r="W2841" s="124" t="str">
        <f>IFERROR(__xludf.DUMMYFUNCTION("""COMPUTED_VALUE"""),"indore")</f>
        <v>indore</v>
      </c>
      <c r="X2841" s="124" t="str">
        <f>IFERROR(__xludf.DUMMYFUNCTION("""COMPUTED_VALUE"""),"suraj sharma")</f>
        <v>suraj sharma</v>
      </c>
      <c r="Y2841" s="124"/>
      <c r="Z2841" s="124">
        <f>IFERROR(__xludf.DUMMYFUNCTION("""COMPUTED_VALUE"""),1.0)</f>
        <v>1</v>
      </c>
      <c r="AA2841" s="124" t="str">
        <f>IFERROR(__xludf.DUMMYFUNCTION("""COMPUTED_VALUE"""),"Future Prospects")</f>
        <v>Future Prospects</v>
      </c>
      <c r="AB2841" s="124" t="str">
        <f>IFERROR(__xludf.DUMMYFUNCTION("""COMPUTED_VALUE"""),"State PCS")</f>
        <v>State PCS</v>
      </c>
    </row>
    <row r="2842">
      <c r="K2842" s="124"/>
      <c r="L2842" s="124"/>
      <c r="M2842" s="124"/>
      <c r="N2842" s="124"/>
      <c r="O2842" s="124"/>
      <c r="T2842" s="126">
        <f>IFERROR(__xludf.DUMMYFUNCTION("""COMPUTED_VALUE"""),46091.0)</f>
        <v>46091</v>
      </c>
      <c r="U2842" s="124" t="str">
        <f>IFERROR(__xludf.DUMMYFUNCTION("""COMPUTED_VALUE"""),"Walk-Ins")</f>
        <v>Walk-Ins</v>
      </c>
      <c r="V2842" s="124" t="str">
        <f>IFERROR(__xludf.DUMMYFUNCTION("""COMPUTED_VALUE"""),"Walk-In")</f>
        <v>Walk-In</v>
      </c>
      <c r="W2842" s="124" t="str">
        <f>IFERROR(__xludf.DUMMYFUNCTION("""COMPUTED_VALUE"""),"Prayagraj")</f>
        <v>Prayagraj</v>
      </c>
      <c r="X2842" s="124" t="str">
        <f>IFERROR(__xludf.DUMMYFUNCTION("""COMPUTED_VALUE"""),"Aditi")</f>
        <v>Aditi</v>
      </c>
      <c r="Y2842" s="124" t="str">
        <f>IFERROR(__xludf.DUMMYFUNCTION("""COMPUTED_VALUE"""),"Prayagraj")</f>
        <v>Prayagraj</v>
      </c>
      <c r="Z2842" s="124">
        <f>IFERROR(__xludf.DUMMYFUNCTION("""COMPUTED_VALUE"""),1.0)</f>
        <v>1</v>
      </c>
      <c r="AA2842" s="124" t="str">
        <f>IFERROR(__xludf.DUMMYFUNCTION("""COMPUTED_VALUE"""),"Cold")</f>
        <v>Cold</v>
      </c>
      <c r="AB2842" s="124" t="str">
        <f>IFERROR(__xludf.DUMMYFUNCTION("""COMPUTED_VALUE"""),"GS Foundation")</f>
        <v>GS Foundation</v>
      </c>
    </row>
    <row r="2843">
      <c r="K2843" s="124"/>
      <c r="L2843" s="124"/>
      <c r="M2843" s="124"/>
      <c r="N2843" s="124"/>
      <c r="O2843" s="124"/>
      <c r="T2843" s="126">
        <f>IFERROR(__xludf.DUMMYFUNCTION("""COMPUTED_VALUE"""),46075.0)</f>
        <v>46075</v>
      </c>
      <c r="U2843" s="124" t="str">
        <f>IFERROR(__xludf.DUMMYFUNCTION("""COMPUTED_VALUE"""),"Walk-Ins")</f>
        <v>Walk-Ins</v>
      </c>
      <c r="V2843" s="124" t="str">
        <f>IFERROR(__xludf.DUMMYFUNCTION("""COMPUTED_VALUE"""),"Walkin")</f>
        <v>Walkin</v>
      </c>
      <c r="W2843" s="124" t="str">
        <f>IFERROR(__xludf.DUMMYFUNCTION("""COMPUTED_VALUE"""),"Delhi")</f>
        <v>Delhi</v>
      </c>
      <c r="X2843" s="124" t="str">
        <f>IFERROR(__xludf.DUMMYFUNCTION("""COMPUTED_VALUE"""),"walkin")</f>
        <v>walkin</v>
      </c>
      <c r="Y2843" s="124" t="str">
        <f>IFERROR(__xludf.DUMMYFUNCTION("""COMPUTED_VALUE"""),"Delhi")</f>
        <v>Delhi</v>
      </c>
      <c r="Z2843" s="124">
        <f>IFERROR(__xludf.DUMMYFUNCTION("""COMPUTED_VALUE"""),5.0)</f>
        <v>5</v>
      </c>
      <c r="AA2843" s="124" t="str">
        <f>IFERROR(__xludf.DUMMYFUNCTION("""COMPUTED_VALUE"""),"Not Interested")</f>
        <v>Not Interested</v>
      </c>
      <c r="AB2843" s="124" t="str">
        <f>IFERROR(__xludf.DUMMYFUNCTION("""COMPUTED_VALUE"""),"GS Foundation")</f>
        <v>GS Foundation</v>
      </c>
    </row>
    <row r="2844">
      <c r="K2844" s="124"/>
      <c r="L2844" s="124"/>
      <c r="M2844" s="124"/>
      <c r="N2844" s="124"/>
      <c r="O2844" s="124"/>
      <c r="T2844" s="126">
        <f>IFERROR(__xludf.DUMMYFUNCTION("""COMPUTED_VALUE"""),46110.0)</f>
        <v>46110</v>
      </c>
      <c r="U2844" s="124" t="str">
        <f>IFERROR(__xludf.DUMMYFUNCTION("""COMPUTED_VALUE"""),"Walk-Ins")</f>
        <v>Walk-Ins</v>
      </c>
      <c r="V2844" s="124" t="str">
        <f>IFERROR(__xludf.DUMMYFUNCTION("""COMPUTED_VALUE"""),"Walkin")</f>
        <v>Walkin</v>
      </c>
      <c r="W2844" s="124" t="str">
        <f>IFERROR(__xludf.DUMMYFUNCTION("""COMPUTED_VALUE"""),"Delhi")</f>
        <v>Delhi</v>
      </c>
      <c r="X2844" s="124" t="str">
        <f>IFERROR(__xludf.DUMMYFUNCTION("""COMPUTED_VALUE"""),"walkin")</f>
        <v>walkin</v>
      </c>
      <c r="Y2844" s="124" t="str">
        <f>IFERROR(__xludf.DUMMYFUNCTION("""COMPUTED_VALUE"""),"Delhi")</f>
        <v>Delhi</v>
      </c>
      <c r="Z2844" s="124">
        <f>IFERROR(__xludf.DUMMYFUNCTION("""COMPUTED_VALUE"""),2.0)</f>
        <v>2</v>
      </c>
      <c r="AA2844" s="124" t="str">
        <f>IFERROR(__xludf.DUMMYFUNCTION("""COMPUTED_VALUE"""),"Fake Lead")</f>
        <v>Fake Lead</v>
      </c>
      <c r="AB2844" s="124" t="str">
        <f>IFERROR(__xludf.DUMMYFUNCTION("""COMPUTED_VALUE"""),"GS Foundation")</f>
        <v>GS Foundation</v>
      </c>
    </row>
    <row r="2845">
      <c r="K2845" s="124"/>
      <c r="L2845" s="124"/>
      <c r="M2845" s="124"/>
      <c r="N2845" s="124"/>
      <c r="O2845" s="124"/>
      <c r="T2845" s="129">
        <f>IFERROR(__xludf.DUMMYFUNCTION("""COMPUTED_VALUE"""),46050.0)</f>
        <v>46050</v>
      </c>
      <c r="U2845" s="124" t="str">
        <f>IFERROR(__xludf.DUMMYFUNCTION("""COMPUTED_VALUE"""),"External Leads")</f>
        <v>External Leads</v>
      </c>
      <c r="V2845" s="124" t="str">
        <f>IFERROR(__xludf.DUMMYFUNCTION("""COMPUTED_VALUE"""),"external leads")</f>
        <v>external leads</v>
      </c>
      <c r="W2845" s="124" t="str">
        <f>IFERROR(__xludf.DUMMYFUNCTION("""COMPUTED_VALUE"""),"delhi")</f>
        <v>delhi</v>
      </c>
      <c r="X2845" s="124" t="str">
        <f>IFERROR(__xludf.DUMMYFUNCTION("""COMPUTED_VALUE"""),"piyushunacademy")</f>
        <v>piyushunacademy</v>
      </c>
      <c r="Y2845" s="124" t="str">
        <f>IFERROR(__xludf.DUMMYFUNCTION("""COMPUTED_VALUE"""),"Prayagraj")</f>
        <v>Prayagraj</v>
      </c>
      <c r="Z2845" s="124">
        <f>IFERROR(__xludf.DUMMYFUNCTION("""COMPUTED_VALUE"""),1.0)</f>
        <v>1</v>
      </c>
      <c r="AA2845" s="124" t="str">
        <f>IFERROR(__xludf.DUMMYFUNCTION("""COMPUTED_VALUE"""),"Warm")</f>
        <v>Warm</v>
      </c>
      <c r="AB2845" s="124" t="str">
        <f>IFERROR(__xludf.DUMMYFUNCTION("""COMPUTED_VALUE"""),"State PCS")</f>
        <v>State PCS</v>
      </c>
    </row>
    <row r="2846">
      <c r="K2846" s="124"/>
      <c r="L2846" s="124"/>
      <c r="M2846" s="124"/>
      <c r="N2846" s="124"/>
      <c r="O2846" s="124"/>
      <c r="T2846" s="126">
        <f>IFERROR(__xludf.DUMMYFUNCTION("""COMPUTED_VALUE"""),46098.0)</f>
        <v>46098</v>
      </c>
      <c r="U2846" s="124" t="str">
        <f>IFERROR(__xludf.DUMMYFUNCTION("""COMPUTED_VALUE"""),"Walk-Ins")</f>
        <v>Walk-Ins</v>
      </c>
      <c r="V2846" s="124" t="str">
        <f>IFERROR(__xludf.DUMMYFUNCTION("""COMPUTED_VALUE"""),"Walkin")</f>
        <v>Walkin</v>
      </c>
      <c r="W2846" s="124" t="str">
        <f>IFERROR(__xludf.DUMMYFUNCTION("""COMPUTED_VALUE"""),"Delhi")</f>
        <v>Delhi</v>
      </c>
      <c r="X2846" s="124" t="str">
        <f>IFERROR(__xludf.DUMMYFUNCTION("""COMPUTED_VALUE"""),"walkin")</f>
        <v>walkin</v>
      </c>
      <c r="Y2846" s="124" t="str">
        <f>IFERROR(__xludf.DUMMYFUNCTION("""COMPUTED_VALUE"""),"Delhi")</f>
        <v>Delhi</v>
      </c>
      <c r="Z2846" s="124">
        <f>IFERROR(__xludf.DUMMYFUNCTION("""COMPUTED_VALUE"""),1.0)</f>
        <v>1</v>
      </c>
      <c r="AA2846" s="124" t="str">
        <f>IFERROR(__xludf.DUMMYFUNCTION("""COMPUTED_VALUE"""),"Warm")</f>
        <v>Warm</v>
      </c>
      <c r="AB2846" s="124" t="str">
        <f>IFERROR(__xludf.DUMMYFUNCTION("""COMPUTED_VALUE"""),"Mentorship")</f>
        <v>Mentorship</v>
      </c>
    </row>
    <row r="2847">
      <c r="K2847" s="124"/>
      <c r="L2847" s="124"/>
      <c r="M2847" s="124"/>
      <c r="N2847" s="124"/>
      <c r="O2847" s="124"/>
      <c r="T2847" s="126">
        <f>IFERROR(__xludf.DUMMYFUNCTION("""COMPUTED_VALUE"""),46077.0)</f>
        <v>46077</v>
      </c>
      <c r="U2847" s="124" t="str">
        <f>IFERROR(__xludf.DUMMYFUNCTION("""COMPUTED_VALUE"""),"Walk-Ins")</f>
        <v>Walk-Ins</v>
      </c>
      <c r="V2847" s="124" t="str">
        <f>IFERROR(__xludf.DUMMYFUNCTION("""COMPUTED_VALUE"""),"Walkin")</f>
        <v>Walkin</v>
      </c>
      <c r="W2847" s="124" t="str">
        <f>IFERROR(__xludf.DUMMYFUNCTION("""COMPUTED_VALUE"""),"Delhi")</f>
        <v>Delhi</v>
      </c>
      <c r="X2847" s="124" t="str">
        <f>IFERROR(__xludf.DUMMYFUNCTION("""COMPUTED_VALUE"""),"walkin")</f>
        <v>walkin</v>
      </c>
      <c r="Y2847" s="124" t="str">
        <f>IFERROR(__xludf.DUMMYFUNCTION("""COMPUTED_VALUE"""),"Delhi")</f>
        <v>Delhi</v>
      </c>
      <c r="Z2847" s="124">
        <f>IFERROR(__xludf.DUMMYFUNCTION("""COMPUTED_VALUE"""),5.0)</f>
        <v>5</v>
      </c>
      <c r="AA2847" s="124" t="str">
        <f>IFERROR(__xludf.DUMMYFUNCTION("""COMPUTED_VALUE"""),"Cold")</f>
        <v>Cold</v>
      </c>
      <c r="AB2847" s="124" t="str">
        <f>IFERROR(__xludf.DUMMYFUNCTION("""COMPUTED_VALUE"""),"GS Foundation")</f>
        <v>GS Foundation</v>
      </c>
    </row>
    <row r="2848">
      <c r="K2848" s="124"/>
      <c r="L2848" s="124"/>
      <c r="M2848" s="124"/>
      <c r="N2848" s="124"/>
      <c r="O2848" s="124"/>
      <c r="T2848" s="129">
        <f>IFERROR(__xludf.DUMMYFUNCTION("""COMPUTED_VALUE"""),46069.0)</f>
        <v>46069</v>
      </c>
      <c r="U2848" s="124" t="str">
        <f>IFERROR(__xludf.DUMMYFUNCTION("""COMPUTED_VALUE"""),"Walk-Ins")</f>
        <v>Walk-Ins</v>
      </c>
      <c r="V2848" s="124" t="str">
        <f>IFERROR(__xludf.DUMMYFUNCTION("""COMPUTED_VALUE"""),"Walkin")</f>
        <v>Walkin</v>
      </c>
      <c r="W2848" s="124" t="str">
        <f>IFERROR(__xludf.DUMMYFUNCTION("""COMPUTED_VALUE"""),"Delhi")</f>
        <v>Delhi</v>
      </c>
      <c r="X2848" s="124" t="str">
        <f>IFERROR(__xludf.DUMMYFUNCTION("""COMPUTED_VALUE"""),"walkin")</f>
        <v>walkin</v>
      </c>
      <c r="Y2848" s="124" t="str">
        <f>IFERROR(__xludf.DUMMYFUNCTION("""COMPUTED_VALUE"""),"Delhi")</f>
        <v>Delhi</v>
      </c>
      <c r="Z2848" s="124">
        <f>IFERROR(__xludf.DUMMYFUNCTION("""COMPUTED_VALUE"""),2.0)</f>
        <v>2</v>
      </c>
      <c r="AA2848" s="124" t="str">
        <f>IFERROR(__xludf.DUMMYFUNCTION("""COMPUTED_VALUE"""),"Enrolled")</f>
        <v>Enrolled</v>
      </c>
      <c r="AB2848" s="124" t="str">
        <f>IFERROR(__xludf.DUMMYFUNCTION("""COMPUTED_VALUE"""),"GS Foundation")</f>
        <v>GS Foundation</v>
      </c>
    </row>
    <row r="2849">
      <c r="K2849" s="124"/>
      <c r="L2849" s="124"/>
      <c r="M2849" s="124"/>
      <c r="N2849" s="124"/>
      <c r="O2849" s="124"/>
      <c r="T2849" s="129">
        <f>IFERROR(__xludf.DUMMYFUNCTION("""COMPUTED_VALUE"""),46050.0)</f>
        <v>46050</v>
      </c>
      <c r="U2849" s="124" t="str">
        <f>IFERROR(__xludf.DUMMYFUNCTION("""COMPUTED_VALUE"""),"Paid Ads")</f>
        <v>Paid Ads</v>
      </c>
      <c r="V2849" s="124" t="str">
        <f>IFERROR(__xludf.DUMMYFUNCTION("""COMPUTED_VALUE"""),"Facebook")</f>
        <v>Facebook</v>
      </c>
      <c r="W2849" s="124" t="str">
        <f>IFERROR(__xludf.DUMMYFUNCTION("""COMPUTED_VALUE"""),"LeadAd")</f>
        <v>LeadAd</v>
      </c>
      <c r="X2849" s="124" t="str">
        <f>IFERROR(__xludf.DUMMYFUNCTION("""COMPUTED_VALUE"""),"Upsc_Offline_Lead_26_Patna_FB_Creatives")</f>
        <v>Upsc_Offline_Lead_26_Patna_FB_Creatives</v>
      </c>
      <c r="Y2849" s="124" t="str">
        <f>IFERROR(__xludf.DUMMYFUNCTION("""COMPUTED_VALUE"""),"Patna")</f>
        <v>Patna</v>
      </c>
      <c r="Z2849" s="124">
        <f>IFERROR(__xludf.DUMMYFUNCTION("""COMPUTED_VALUE"""),3.0)</f>
        <v>3</v>
      </c>
      <c r="AA2849" s="124" t="str">
        <f>IFERROR(__xludf.DUMMYFUNCTION("""COMPUTED_VALUE"""),"Cold")</f>
        <v>Cold</v>
      </c>
      <c r="AB2849" s="124"/>
    </row>
    <row r="2850">
      <c r="K2850" s="124"/>
      <c r="L2850" s="124"/>
      <c r="M2850" s="124"/>
      <c r="N2850" s="124"/>
      <c r="O2850" s="124"/>
      <c r="T2850" s="126">
        <f>IFERROR(__xludf.DUMMYFUNCTION("""COMPUTED_VALUE"""),46097.0)</f>
        <v>46097</v>
      </c>
      <c r="U2850" s="124" t="str">
        <f>IFERROR(__xludf.DUMMYFUNCTION("""COMPUTED_VALUE"""),"Walk-Ins")</f>
        <v>Walk-Ins</v>
      </c>
      <c r="V2850" s="124" t="str">
        <f>IFERROR(__xludf.DUMMYFUNCTION("""COMPUTED_VALUE"""),"Walkin")</f>
        <v>Walkin</v>
      </c>
      <c r="W2850" s="124" t="str">
        <f>IFERROR(__xludf.DUMMYFUNCTION("""COMPUTED_VALUE"""),"Delhi")</f>
        <v>Delhi</v>
      </c>
      <c r="X2850" s="124" t="str">
        <f>IFERROR(__xludf.DUMMYFUNCTION("""COMPUTED_VALUE"""),"walkin")</f>
        <v>walkin</v>
      </c>
      <c r="Y2850" s="124" t="str">
        <f>IFERROR(__xludf.DUMMYFUNCTION("""COMPUTED_VALUE"""),"Delhi")</f>
        <v>Delhi</v>
      </c>
      <c r="Z2850" s="124">
        <f>IFERROR(__xludf.DUMMYFUNCTION("""COMPUTED_VALUE"""),1.0)</f>
        <v>1</v>
      </c>
      <c r="AA2850" s="124" t="str">
        <f>IFERROR(__xludf.DUMMYFUNCTION("""COMPUTED_VALUE"""),"Enrolled")</f>
        <v>Enrolled</v>
      </c>
      <c r="AB2850" s="124" t="str">
        <f>IFERROR(__xludf.DUMMYFUNCTION("""COMPUTED_VALUE"""),"Optionals")</f>
        <v>Optionals</v>
      </c>
    </row>
    <row r="2851">
      <c r="K2851" s="124"/>
      <c r="L2851" s="124"/>
      <c r="M2851" s="124"/>
      <c r="N2851" s="124"/>
      <c r="O2851" s="124"/>
      <c r="T2851" s="126">
        <f>IFERROR(__xludf.DUMMYFUNCTION("""COMPUTED_VALUE"""),46055.0)</f>
        <v>46055</v>
      </c>
      <c r="U2851" s="124" t="str">
        <f>IFERROR(__xludf.DUMMYFUNCTION("""COMPUTED_VALUE"""),"Walk-Ins")</f>
        <v>Walk-Ins</v>
      </c>
      <c r="V2851" s="124" t="str">
        <f>IFERROR(__xludf.DUMMYFUNCTION("""COMPUTED_VALUE"""),"Walkin")</f>
        <v>Walkin</v>
      </c>
      <c r="W2851" s="124" t="str">
        <f>IFERROR(__xludf.DUMMYFUNCTION("""COMPUTED_VALUE"""),"Delhi")</f>
        <v>Delhi</v>
      </c>
      <c r="X2851" s="124" t="str">
        <f>IFERROR(__xludf.DUMMYFUNCTION("""COMPUTED_VALUE"""),"walkin")</f>
        <v>walkin</v>
      </c>
      <c r="Y2851" s="124" t="str">
        <f>IFERROR(__xludf.DUMMYFUNCTION("""COMPUTED_VALUE"""),"Delhi")</f>
        <v>Delhi</v>
      </c>
      <c r="Z2851" s="124">
        <f>IFERROR(__xludf.DUMMYFUNCTION("""COMPUTED_VALUE"""),1.0)</f>
        <v>1</v>
      </c>
      <c r="AA2851" s="124" t="str">
        <f>IFERROR(__xludf.DUMMYFUNCTION("""COMPUTED_VALUE"""),"Cold")</f>
        <v>Cold</v>
      </c>
      <c r="AB2851" s="124" t="str">
        <f>IFERROR(__xludf.DUMMYFUNCTION("""COMPUTED_VALUE"""),"GS Foundation")</f>
        <v>GS Foundation</v>
      </c>
    </row>
    <row r="2852">
      <c r="K2852" s="124"/>
      <c r="L2852" s="124"/>
      <c r="M2852" s="124"/>
      <c r="N2852" s="124"/>
      <c r="O2852" s="124"/>
      <c r="T2852" s="126">
        <f>IFERROR(__xludf.DUMMYFUNCTION("""COMPUTED_VALUE"""),46081.0)</f>
        <v>46081</v>
      </c>
      <c r="U2852" s="124" t="str">
        <f>IFERROR(__xludf.DUMMYFUNCTION("""COMPUTED_VALUE"""),"Walk-Ins")</f>
        <v>Walk-Ins</v>
      </c>
      <c r="V2852" s="124" t="str">
        <f>IFERROR(__xludf.DUMMYFUNCTION("""COMPUTED_VALUE"""),"Walk-In")</f>
        <v>Walk-In</v>
      </c>
      <c r="W2852" s="124" t="str">
        <f>IFERROR(__xludf.DUMMYFUNCTION("""COMPUTED_VALUE"""),"Prayagraj")</f>
        <v>Prayagraj</v>
      </c>
      <c r="X2852" s="124" t="str">
        <f>IFERROR(__xludf.DUMMYFUNCTION("""COMPUTED_VALUE"""),"Aditi")</f>
        <v>Aditi</v>
      </c>
      <c r="Y2852" s="124"/>
      <c r="Z2852" s="124">
        <f>IFERROR(__xludf.DUMMYFUNCTION("""COMPUTED_VALUE"""),1.0)</f>
        <v>1</v>
      </c>
      <c r="AA2852" s="124" t="str">
        <f>IFERROR(__xludf.DUMMYFUNCTION("""COMPUTED_VALUE"""),"Not Interested")</f>
        <v>Not Interested</v>
      </c>
      <c r="AB2852" s="124" t="str">
        <f>IFERROR(__xludf.DUMMYFUNCTION("""COMPUTED_VALUE"""),"GS Foundation")</f>
        <v>GS Foundation</v>
      </c>
    </row>
    <row r="2853">
      <c r="K2853" s="124"/>
      <c r="L2853" s="124"/>
      <c r="M2853" s="124"/>
      <c r="N2853" s="124"/>
      <c r="O2853" s="124"/>
      <c r="T2853" s="126">
        <f>IFERROR(__xludf.DUMMYFUNCTION("""COMPUTED_VALUE"""),46063.0)</f>
        <v>46063</v>
      </c>
      <c r="U2853" s="124" t="str">
        <f>IFERROR(__xludf.DUMMYFUNCTION("""COMPUTED_VALUE"""),"Walk-Ins")</f>
        <v>Walk-Ins</v>
      </c>
      <c r="V2853" s="124" t="str">
        <f>IFERROR(__xludf.DUMMYFUNCTION("""COMPUTED_VALUE"""),"Walkin")</f>
        <v>Walkin</v>
      </c>
      <c r="W2853" s="124" t="str">
        <f>IFERROR(__xludf.DUMMYFUNCTION("""COMPUTED_VALUE"""),"Delhi")</f>
        <v>Delhi</v>
      </c>
      <c r="X2853" s="124" t="str">
        <f>IFERROR(__xludf.DUMMYFUNCTION("""COMPUTED_VALUE"""),"walkin")</f>
        <v>walkin</v>
      </c>
      <c r="Y2853" s="124" t="str">
        <f>IFERROR(__xludf.DUMMYFUNCTION("""COMPUTED_VALUE"""),"Delhi")</f>
        <v>Delhi</v>
      </c>
      <c r="Z2853" s="124">
        <f>IFERROR(__xludf.DUMMYFUNCTION("""COMPUTED_VALUE"""),2.0)</f>
        <v>2</v>
      </c>
      <c r="AA2853" s="124" t="str">
        <f>IFERROR(__xludf.DUMMYFUNCTION("""COMPUTED_VALUE"""),"Cold")</f>
        <v>Cold</v>
      </c>
      <c r="AB2853" s="124" t="str">
        <f>IFERROR(__xludf.DUMMYFUNCTION("""COMPUTED_VALUE"""),"GS Foundation")</f>
        <v>GS Foundation</v>
      </c>
    </row>
    <row r="2854">
      <c r="K2854" s="124"/>
      <c r="L2854" s="124"/>
      <c r="M2854" s="124"/>
      <c r="N2854" s="124"/>
      <c r="O2854" s="124"/>
      <c r="T2854" s="126">
        <f>IFERROR(__xludf.DUMMYFUNCTION("""COMPUTED_VALUE"""),46049.0)</f>
        <v>46049</v>
      </c>
      <c r="U2854" s="124" t="str">
        <f>IFERROR(__xludf.DUMMYFUNCTION("""COMPUTED_VALUE"""),"External Leads")</f>
        <v>External Leads</v>
      </c>
      <c r="V2854" s="124" t="str">
        <f>IFERROR(__xludf.DUMMYFUNCTION("""COMPUTED_VALUE"""),"external leads")</f>
        <v>external leads</v>
      </c>
      <c r="W2854" s="124" t="str">
        <f>IFERROR(__xludf.DUMMYFUNCTION("""COMPUTED_VALUE"""),"patna")</f>
        <v>patna</v>
      </c>
      <c r="X2854" s="124" t="str">
        <f>IFERROR(__xludf.DUMMYFUNCTION("""COMPUTED_VALUE"""),"piyushunacademy")</f>
        <v>piyushunacademy</v>
      </c>
      <c r="Y2854" s="124" t="str">
        <f>IFERROR(__xludf.DUMMYFUNCTION("""COMPUTED_VALUE"""),"Patna")</f>
        <v>Patna</v>
      </c>
      <c r="Z2854" s="124">
        <f>IFERROR(__xludf.DUMMYFUNCTION("""COMPUTED_VALUE"""),2.0)</f>
        <v>2</v>
      </c>
      <c r="AA2854" s="124" t="str">
        <f>IFERROR(__xludf.DUMMYFUNCTION("""COMPUTED_VALUE"""),"Future Prospects")</f>
        <v>Future Prospects</v>
      </c>
      <c r="AB2854" s="124" t="str">
        <f>IFERROR(__xludf.DUMMYFUNCTION("""COMPUTED_VALUE"""),"GS Foundation")</f>
        <v>GS Foundation</v>
      </c>
    </row>
    <row r="2855">
      <c r="K2855" s="124"/>
      <c r="L2855" s="124"/>
      <c r="M2855" s="124"/>
      <c r="N2855" s="124"/>
      <c r="O2855" s="124"/>
      <c r="T2855" s="129">
        <f>IFERROR(__xludf.DUMMYFUNCTION("""COMPUTED_VALUE"""),46071.0)</f>
        <v>46071</v>
      </c>
      <c r="U2855" s="124" t="str">
        <f>IFERROR(__xludf.DUMMYFUNCTION("""COMPUTED_VALUE"""),"Walk-Ins")</f>
        <v>Walk-Ins</v>
      </c>
      <c r="V2855" s="124" t="str">
        <f>IFERROR(__xludf.DUMMYFUNCTION("""COMPUTED_VALUE"""),"Walkin")</f>
        <v>Walkin</v>
      </c>
      <c r="W2855" s="124" t="str">
        <f>IFERROR(__xludf.DUMMYFUNCTION("""COMPUTED_VALUE"""),"Delhi")</f>
        <v>Delhi</v>
      </c>
      <c r="X2855" s="124" t="str">
        <f>IFERROR(__xludf.DUMMYFUNCTION("""COMPUTED_VALUE"""),"walkin")</f>
        <v>walkin</v>
      </c>
      <c r="Y2855" s="124" t="str">
        <f>IFERROR(__xludf.DUMMYFUNCTION("""COMPUTED_VALUE"""),"Delhi")</f>
        <v>Delhi</v>
      </c>
      <c r="Z2855" s="124">
        <f>IFERROR(__xludf.DUMMYFUNCTION("""COMPUTED_VALUE"""),3.0)</f>
        <v>3</v>
      </c>
      <c r="AA2855" s="124" t="str">
        <f>IFERROR(__xludf.DUMMYFUNCTION("""COMPUTED_VALUE"""),"Future Prospects")</f>
        <v>Future Prospects</v>
      </c>
      <c r="AB2855" s="124" t="str">
        <f>IFERROR(__xludf.DUMMYFUNCTION("""COMPUTED_VALUE"""),"GS Foundation")</f>
        <v>GS Foundation</v>
      </c>
    </row>
    <row r="2856">
      <c r="K2856" s="124"/>
      <c r="L2856" s="124"/>
      <c r="M2856" s="124"/>
      <c r="N2856" s="124"/>
      <c r="O2856" s="124"/>
      <c r="T2856" s="126">
        <f>IFERROR(__xludf.DUMMYFUNCTION("""COMPUTED_VALUE"""),46083.0)</f>
        <v>46083</v>
      </c>
      <c r="U2856" s="124" t="str">
        <f>IFERROR(__xludf.DUMMYFUNCTION("""COMPUTED_VALUE"""),"External Leads")</f>
        <v>External Leads</v>
      </c>
      <c r="V2856" s="124" t="str">
        <f>IFERROR(__xludf.DUMMYFUNCTION("""COMPUTED_VALUE"""),"external leads")</f>
        <v>external leads</v>
      </c>
      <c r="W2856" s="124" t="str">
        <f>IFERROR(__xludf.DUMMYFUNCTION("""COMPUTED_VALUE"""),"delhi")</f>
        <v>delhi</v>
      </c>
      <c r="X2856" s="124" t="str">
        <f>IFERROR(__xludf.DUMMYFUNCTION("""COMPUTED_VALUE"""),"unacademyretargeting")</f>
        <v>unacademyretargeting</v>
      </c>
      <c r="Y2856" s="124" t="str">
        <f>IFERROR(__xludf.DUMMYFUNCTION("""COMPUTED_VALUE"""),"Delhi")</f>
        <v>Delhi</v>
      </c>
      <c r="Z2856" s="124">
        <f>IFERROR(__xludf.DUMMYFUNCTION("""COMPUTED_VALUE"""),1.0)</f>
        <v>1</v>
      </c>
      <c r="AA2856" s="124" t="str">
        <f>IFERROR(__xludf.DUMMYFUNCTION("""COMPUTED_VALUE"""),"Cold")</f>
        <v>Cold</v>
      </c>
      <c r="AB2856" s="124" t="str">
        <f>IFERROR(__xludf.DUMMYFUNCTION("""COMPUTED_VALUE"""),"GS Foundation")</f>
        <v>GS Foundation</v>
      </c>
    </row>
    <row r="2857">
      <c r="K2857" s="124"/>
      <c r="L2857" s="124"/>
      <c r="M2857" s="124"/>
      <c r="N2857" s="124"/>
      <c r="O2857" s="124"/>
      <c r="T2857" s="126">
        <f>IFERROR(__xludf.DUMMYFUNCTION("""COMPUTED_VALUE"""),46101.0)</f>
        <v>46101</v>
      </c>
      <c r="U2857" s="124" t="str">
        <f>IFERROR(__xludf.DUMMYFUNCTION("""COMPUTED_VALUE"""),"Walk-Ins")</f>
        <v>Walk-Ins</v>
      </c>
      <c r="V2857" s="124" t="str">
        <f>IFERROR(__xludf.DUMMYFUNCTION("""COMPUTED_VALUE"""),"Walkin")</f>
        <v>Walkin</v>
      </c>
      <c r="W2857" s="124" t="str">
        <f>IFERROR(__xludf.DUMMYFUNCTION("""COMPUTED_VALUE"""),"Delhi")</f>
        <v>Delhi</v>
      </c>
      <c r="X2857" s="124" t="str">
        <f>IFERROR(__xludf.DUMMYFUNCTION("""COMPUTED_VALUE"""),"walkin")</f>
        <v>walkin</v>
      </c>
      <c r="Y2857" s="124" t="str">
        <f>IFERROR(__xludf.DUMMYFUNCTION("""COMPUTED_VALUE"""),"Delhi")</f>
        <v>Delhi</v>
      </c>
      <c r="Z2857" s="124">
        <f>IFERROR(__xludf.DUMMYFUNCTION("""COMPUTED_VALUE"""),1.0)</f>
        <v>1</v>
      </c>
      <c r="AA2857" s="124" t="str">
        <f>IFERROR(__xludf.DUMMYFUNCTION("""COMPUTED_VALUE"""),"Future Prospects")</f>
        <v>Future Prospects</v>
      </c>
      <c r="AB2857" s="124" t="str">
        <f>IFERROR(__xludf.DUMMYFUNCTION("""COMPUTED_VALUE"""),"GS Foundation")</f>
        <v>GS Foundation</v>
      </c>
    </row>
    <row r="2858">
      <c r="K2858" s="124"/>
      <c r="L2858" s="124"/>
      <c r="M2858" s="124"/>
      <c r="N2858" s="124"/>
      <c r="O2858" s="124"/>
      <c r="T2858" s="126">
        <f>IFERROR(__xludf.DUMMYFUNCTION("""COMPUTED_VALUE"""),46046.0)</f>
        <v>46046</v>
      </c>
      <c r="U2858" s="124" t="str">
        <f>IFERROR(__xludf.DUMMYFUNCTION("""COMPUTED_VALUE"""),"Paid Ads")</f>
        <v>Paid Ads</v>
      </c>
      <c r="V2858" s="124" t="str">
        <f>IFERROR(__xludf.DUMMYFUNCTION("""COMPUTED_VALUE"""),"Facebook")</f>
        <v>Facebook</v>
      </c>
      <c r="W2858" s="124" t="str">
        <f>IFERROR(__xludf.DUMMYFUNCTION("""COMPUTED_VALUE"""),"LeadAd")</f>
        <v>LeadAd</v>
      </c>
      <c r="X2858" s="124" t="str">
        <f>IFERROR(__xludf.DUMMYFUNCTION("""COMPUTED_VALUE"""),"Upsc_Offline_Lead_26_Patna_FB_Creatives")</f>
        <v>Upsc_Offline_Lead_26_Patna_FB_Creatives</v>
      </c>
      <c r="Y2858" s="124" t="str">
        <f>IFERROR(__xludf.DUMMYFUNCTION("""COMPUTED_VALUE"""),"Patna")</f>
        <v>Patna</v>
      </c>
      <c r="Z2858" s="124">
        <f>IFERROR(__xludf.DUMMYFUNCTION("""COMPUTED_VALUE"""),1.0)</f>
        <v>1</v>
      </c>
      <c r="AA2858" s="124" t="str">
        <f>IFERROR(__xludf.DUMMYFUNCTION("""COMPUTED_VALUE"""),"Warm")</f>
        <v>Warm</v>
      </c>
      <c r="AB2858" s="124" t="str">
        <f>IFERROR(__xludf.DUMMYFUNCTION("""COMPUTED_VALUE"""),"State PCS")</f>
        <v>State PCS</v>
      </c>
    </row>
    <row r="2859">
      <c r="K2859" s="124"/>
      <c r="L2859" s="124"/>
      <c r="M2859" s="124"/>
      <c r="N2859" s="124"/>
      <c r="O2859" s="124"/>
      <c r="T2859" s="126">
        <f>IFERROR(__xludf.DUMMYFUNCTION("""COMPUTED_VALUE"""),46083.0)</f>
        <v>46083</v>
      </c>
      <c r="U2859" s="124" t="str">
        <f>IFERROR(__xludf.DUMMYFUNCTION("""COMPUTED_VALUE"""),"Walk-Ins")</f>
        <v>Walk-Ins</v>
      </c>
      <c r="V2859" s="124" t="str">
        <f>IFERROR(__xludf.DUMMYFUNCTION("""COMPUTED_VALUE"""),"Walkin")</f>
        <v>Walkin</v>
      </c>
      <c r="W2859" s="124" t="str">
        <f>IFERROR(__xludf.DUMMYFUNCTION("""COMPUTED_VALUE"""),"Delhi")</f>
        <v>Delhi</v>
      </c>
      <c r="X2859" s="124" t="str">
        <f>IFERROR(__xludf.DUMMYFUNCTION("""COMPUTED_VALUE"""),"walkin")</f>
        <v>walkin</v>
      </c>
      <c r="Y2859" s="124" t="str">
        <f>IFERROR(__xludf.DUMMYFUNCTION("""COMPUTED_VALUE"""),"Delhi")</f>
        <v>Delhi</v>
      </c>
      <c r="Z2859" s="124">
        <f>IFERROR(__xludf.DUMMYFUNCTION("""COMPUTED_VALUE"""),1.0)</f>
        <v>1</v>
      </c>
      <c r="AA2859" s="124" t="str">
        <f>IFERROR(__xludf.DUMMYFUNCTION("""COMPUTED_VALUE"""),"Not Interested")</f>
        <v>Not Interested</v>
      </c>
      <c r="AB2859" s="124" t="str">
        <f>IFERROR(__xludf.DUMMYFUNCTION("""COMPUTED_VALUE"""),"SIP Offline")</f>
        <v>SIP Offline</v>
      </c>
    </row>
    <row r="2860">
      <c r="K2860" s="124"/>
      <c r="L2860" s="124"/>
      <c r="M2860" s="124"/>
      <c r="N2860" s="124"/>
      <c r="O2860" s="124"/>
      <c r="T2860" s="126">
        <f>IFERROR(__xludf.DUMMYFUNCTION("""COMPUTED_VALUE"""),46081.0)</f>
        <v>46081</v>
      </c>
      <c r="U2860" s="124" t="str">
        <f>IFERROR(__xludf.DUMMYFUNCTION("""COMPUTED_VALUE"""),"Walk-Ins")</f>
        <v>Walk-Ins</v>
      </c>
      <c r="V2860" s="124" t="str">
        <f>IFERROR(__xludf.DUMMYFUNCTION("""COMPUTED_VALUE"""),"Walkin")</f>
        <v>Walkin</v>
      </c>
      <c r="W2860" s="124" t="str">
        <f>IFERROR(__xludf.DUMMYFUNCTION("""COMPUTED_VALUE"""),"Delhi")</f>
        <v>Delhi</v>
      </c>
      <c r="X2860" s="124" t="str">
        <f>IFERROR(__xludf.DUMMYFUNCTION("""COMPUTED_VALUE"""),"walkin")</f>
        <v>walkin</v>
      </c>
      <c r="Y2860" s="124" t="str">
        <f>IFERROR(__xludf.DUMMYFUNCTION("""COMPUTED_VALUE"""),"Delhi")</f>
        <v>Delhi</v>
      </c>
      <c r="Z2860" s="124">
        <f>IFERROR(__xludf.DUMMYFUNCTION("""COMPUTED_VALUE"""),4.0)</f>
        <v>4</v>
      </c>
      <c r="AA2860" s="124" t="str">
        <f>IFERROR(__xludf.DUMMYFUNCTION("""COMPUTED_VALUE"""),"Future Prospects")</f>
        <v>Future Prospects</v>
      </c>
      <c r="AB2860" s="124" t="str">
        <f>IFERROR(__xludf.DUMMYFUNCTION("""COMPUTED_VALUE"""),"GS Foundation")</f>
        <v>GS Foundation</v>
      </c>
    </row>
    <row r="2861">
      <c r="K2861" s="124"/>
      <c r="L2861" s="124"/>
      <c r="M2861" s="124"/>
      <c r="N2861" s="124"/>
      <c r="O2861" s="124"/>
      <c r="T2861" s="126">
        <f>IFERROR(__xludf.DUMMYFUNCTION("""COMPUTED_VALUE"""),46055.0)</f>
        <v>46055</v>
      </c>
      <c r="U2861" s="124" t="str">
        <f>IFERROR(__xludf.DUMMYFUNCTION("""COMPUTED_VALUE"""),"Walk-Ins")</f>
        <v>Walk-Ins</v>
      </c>
      <c r="V2861" s="124" t="str">
        <f>IFERROR(__xludf.DUMMYFUNCTION("""COMPUTED_VALUE"""),"Walkin")</f>
        <v>Walkin</v>
      </c>
      <c r="W2861" s="124" t="str">
        <f>IFERROR(__xludf.DUMMYFUNCTION("""COMPUTED_VALUE"""),"Delhi")</f>
        <v>Delhi</v>
      </c>
      <c r="X2861" s="124" t="str">
        <f>IFERROR(__xludf.DUMMYFUNCTION("""COMPUTED_VALUE"""),"walkin")</f>
        <v>walkin</v>
      </c>
      <c r="Y2861" s="124" t="str">
        <f>IFERROR(__xludf.DUMMYFUNCTION("""COMPUTED_VALUE"""),"Delhi")</f>
        <v>Delhi</v>
      </c>
      <c r="Z2861" s="124">
        <f>IFERROR(__xludf.DUMMYFUNCTION("""COMPUTED_VALUE"""),1.0)</f>
        <v>1</v>
      </c>
      <c r="AA2861" s="124" t="str">
        <f>IFERROR(__xludf.DUMMYFUNCTION("""COMPUTED_VALUE"""),"Future Prospects")</f>
        <v>Future Prospects</v>
      </c>
      <c r="AB2861" s="124" t="str">
        <f>IFERROR(__xludf.DUMMYFUNCTION("""COMPUTED_VALUE"""),"GS Foundation")</f>
        <v>GS Foundation</v>
      </c>
    </row>
    <row r="2862">
      <c r="K2862" s="124"/>
      <c r="L2862" s="124"/>
      <c r="M2862" s="124"/>
      <c r="N2862" s="124"/>
      <c r="O2862" s="124"/>
      <c r="T2862" s="129">
        <f>IFERROR(__xludf.DUMMYFUNCTION("""COMPUTED_VALUE"""),46050.0)</f>
        <v>46050</v>
      </c>
      <c r="U2862" s="124" t="str">
        <f>IFERROR(__xludf.DUMMYFUNCTION("""COMPUTED_VALUE"""),"External Leads")</f>
        <v>External Leads</v>
      </c>
      <c r="V2862" s="124" t="str">
        <f>IFERROR(__xludf.DUMMYFUNCTION("""COMPUTED_VALUE"""),"external leads")</f>
        <v>external leads</v>
      </c>
      <c r="W2862" s="124" t="str">
        <f>IFERROR(__xludf.DUMMYFUNCTION("""COMPUTED_VALUE"""),"delhi")</f>
        <v>delhi</v>
      </c>
      <c r="X2862" s="124" t="str">
        <f>IFERROR(__xludf.DUMMYFUNCTION("""COMPUTED_VALUE"""),"piyushunacademy")</f>
        <v>piyushunacademy</v>
      </c>
      <c r="Y2862" s="124" t="str">
        <f>IFERROR(__xludf.DUMMYFUNCTION("""COMPUTED_VALUE"""),"Delhi")</f>
        <v>Delhi</v>
      </c>
      <c r="Z2862" s="124">
        <f>IFERROR(__xludf.DUMMYFUNCTION("""COMPUTED_VALUE"""),2.0)</f>
        <v>2</v>
      </c>
      <c r="AA2862" s="124" t="str">
        <f>IFERROR(__xludf.DUMMYFUNCTION("""COMPUTED_VALUE"""),"Future Prospects")</f>
        <v>Future Prospects</v>
      </c>
      <c r="AB2862" s="124"/>
    </row>
    <row r="2863">
      <c r="K2863" s="124"/>
      <c r="L2863" s="124"/>
      <c r="M2863" s="124"/>
      <c r="N2863" s="124"/>
      <c r="O2863" s="124"/>
      <c r="T2863" s="126">
        <f>IFERROR(__xludf.DUMMYFUNCTION("""COMPUTED_VALUE"""),46068.0)</f>
        <v>46068</v>
      </c>
      <c r="U2863" s="124" t="str">
        <f>IFERROR(__xludf.DUMMYFUNCTION("""COMPUTED_VALUE"""),"Walk-Ins")</f>
        <v>Walk-Ins</v>
      </c>
      <c r="V2863" s="124" t="str">
        <f>IFERROR(__xludf.DUMMYFUNCTION("""COMPUTED_VALUE"""),"Walkin")</f>
        <v>Walkin</v>
      </c>
      <c r="W2863" s="124" t="str">
        <f>IFERROR(__xludf.DUMMYFUNCTION("""COMPUTED_VALUE"""),"Delhi")</f>
        <v>Delhi</v>
      </c>
      <c r="X2863" s="124" t="str">
        <f>IFERROR(__xludf.DUMMYFUNCTION("""COMPUTED_VALUE"""),"walkin")</f>
        <v>walkin</v>
      </c>
      <c r="Y2863" s="124" t="str">
        <f>IFERROR(__xludf.DUMMYFUNCTION("""COMPUTED_VALUE"""),"Delhi")</f>
        <v>Delhi</v>
      </c>
      <c r="Z2863" s="124">
        <f>IFERROR(__xludf.DUMMYFUNCTION("""COMPUTED_VALUE"""),1.0)</f>
        <v>1</v>
      </c>
      <c r="AA2863" s="124" t="str">
        <f>IFERROR(__xludf.DUMMYFUNCTION("""COMPUTED_VALUE"""),"Future Prospects")</f>
        <v>Future Prospects</v>
      </c>
      <c r="AB2863" s="124" t="str">
        <f>IFERROR(__xludf.DUMMYFUNCTION("""COMPUTED_VALUE"""),"GS Foundation")</f>
        <v>GS Foundation</v>
      </c>
    </row>
    <row r="2864">
      <c r="K2864" s="124"/>
      <c r="L2864" s="124"/>
      <c r="M2864" s="124"/>
      <c r="N2864" s="124"/>
      <c r="O2864" s="124"/>
      <c r="T2864" s="126">
        <f>IFERROR(__xludf.DUMMYFUNCTION("""COMPUTED_VALUE"""),46080.0)</f>
        <v>46080</v>
      </c>
      <c r="U2864" s="124" t="str">
        <f>IFERROR(__xludf.DUMMYFUNCTION("""COMPUTED_VALUE"""),"Walk-Ins")</f>
        <v>Walk-Ins</v>
      </c>
      <c r="V2864" s="124" t="str">
        <f>IFERROR(__xludf.DUMMYFUNCTION("""COMPUTED_VALUE"""),"Walkin")</f>
        <v>Walkin</v>
      </c>
      <c r="W2864" s="124" t="str">
        <f>IFERROR(__xludf.DUMMYFUNCTION("""COMPUTED_VALUE"""),"Delhi")</f>
        <v>Delhi</v>
      </c>
      <c r="X2864" s="124" t="str">
        <f>IFERROR(__xludf.DUMMYFUNCTION("""COMPUTED_VALUE"""),"walkin")</f>
        <v>walkin</v>
      </c>
      <c r="Y2864" s="124" t="str">
        <f>IFERROR(__xludf.DUMMYFUNCTION("""COMPUTED_VALUE"""),"Delhi")</f>
        <v>Delhi</v>
      </c>
      <c r="Z2864" s="124">
        <f>IFERROR(__xludf.DUMMYFUNCTION("""COMPUTED_VALUE"""),1.0)</f>
        <v>1</v>
      </c>
      <c r="AA2864" s="124" t="str">
        <f>IFERROR(__xludf.DUMMYFUNCTION("""COMPUTED_VALUE"""),"Future Prospects")</f>
        <v>Future Prospects</v>
      </c>
      <c r="AB2864" s="124" t="str">
        <f>IFERROR(__xludf.DUMMYFUNCTION("""COMPUTED_VALUE"""),"GS Advanced")</f>
        <v>GS Advanced</v>
      </c>
    </row>
    <row r="2865">
      <c r="K2865" s="124"/>
      <c r="L2865" s="124"/>
      <c r="M2865" s="124"/>
      <c r="N2865" s="124"/>
      <c r="O2865" s="124"/>
      <c r="T2865" s="126">
        <f>IFERROR(__xludf.DUMMYFUNCTION("""COMPUTED_VALUE"""),46049.0)</f>
        <v>46049</v>
      </c>
      <c r="U2865" s="124" t="str">
        <f>IFERROR(__xludf.DUMMYFUNCTION("""COMPUTED_VALUE"""),"External Leads")</f>
        <v>External Leads</v>
      </c>
      <c r="V2865" s="124" t="str">
        <f>IFERROR(__xludf.DUMMYFUNCTION("""COMPUTED_VALUE"""),"external leads")</f>
        <v>external leads</v>
      </c>
      <c r="W2865" s="124" t="str">
        <f>IFERROR(__xludf.DUMMYFUNCTION("""COMPUTED_VALUE"""),"delhi")</f>
        <v>delhi</v>
      </c>
      <c r="X2865" s="124" t="str">
        <f>IFERROR(__xludf.DUMMYFUNCTION("""COMPUTED_VALUE"""),"piyushunacademy")</f>
        <v>piyushunacademy</v>
      </c>
      <c r="Y2865" s="124" t="str">
        <f>IFERROR(__xludf.DUMMYFUNCTION("""COMPUTED_VALUE"""),"Delhi")</f>
        <v>Delhi</v>
      </c>
      <c r="Z2865" s="124">
        <f>IFERROR(__xludf.DUMMYFUNCTION("""COMPUTED_VALUE"""),5.0)</f>
        <v>5</v>
      </c>
      <c r="AA2865" s="124" t="str">
        <f>IFERROR(__xludf.DUMMYFUNCTION("""COMPUTED_VALUE"""),"Not Interested")</f>
        <v>Not Interested</v>
      </c>
      <c r="AB2865" s="124" t="str">
        <f>IFERROR(__xludf.DUMMYFUNCTION("""COMPUTED_VALUE"""),"GS Foundation")</f>
        <v>GS Foundation</v>
      </c>
    </row>
    <row r="2866">
      <c r="K2866" s="124"/>
      <c r="L2866" s="124"/>
      <c r="M2866" s="124"/>
      <c r="N2866" s="124"/>
      <c r="O2866" s="124"/>
      <c r="T2866" s="126">
        <f>IFERROR(__xludf.DUMMYFUNCTION("""COMPUTED_VALUE"""),46049.0)</f>
        <v>46049</v>
      </c>
      <c r="U2866" s="124" t="str">
        <f>IFERROR(__xludf.DUMMYFUNCTION("""COMPUTED_VALUE"""),"External Leads")</f>
        <v>External Leads</v>
      </c>
      <c r="V2866" s="124" t="str">
        <f>IFERROR(__xludf.DUMMYFUNCTION("""COMPUTED_VALUE"""),"external leads")</f>
        <v>external leads</v>
      </c>
      <c r="W2866" s="124" t="str">
        <f>IFERROR(__xludf.DUMMYFUNCTION("""COMPUTED_VALUE"""),"prayagraj")</f>
        <v>prayagraj</v>
      </c>
      <c r="X2866" s="124" t="str">
        <f>IFERROR(__xludf.DUMMYFUNCTION("""COMPUTED_VALUE"""),"piyushunacademy")</f>
        <v>piyushunacademy</v>
      </c>
      <c r="Y2866" s="124" t="str">
        <f>IFERROR(__xludf.DUMMYFUNCTION("""COMPUTED_VALUE"""),"Prayagraj")</f>
        <v>Prayagraj</v>
      </c>
      <c r="Z2866" s="124">
        <f>IFERROR(__xludf.DUMMYFUNCTION("""COMPUTED_VALUE"""),1.0)</f>
        <v>1</v>
      </c>
      <c r="AA2866" s="124" t="str">
        <f>IFERROR(__xludf.DUMMYFUNCTION("""COMPUTED_VALUE"""),"Cold")</f>
        <v>Cold</v>
      </c>
      <c r="AB2866" s="124" t="str">
        <f>IFERROR(__xludf.DUMMYFUNCTION("""COMPUTED_VALUE"""),"Mentorship")</f>
        <v>Mentorship</v>
      </c>
    </row>
    <row r="2867">
      <c r="K2867" s="124"/>
      <c r="L2867" s="124"/>
      <c r="M2867" s="124"/>
      <c r="N2867" s="124"/>
      <c r="O2867" s="124"/>
      <c r="T2867" s="126">
        <f>IFERROR(__xludf.DUMMYFUNCTION("""COMPUTED_VALUE"""),46099.0)</f>
        <v>46099</v>
      </c>
      <c r="U2867" s="124" t="str">
        <f>IFERROR(__xludf.DUMMYFUNCTION("""COMPUTED_VALUE"""),"External Leads")</f>
        <v>External Leads</v>
      </c>
      <c r="V2867" s="124" t="str">
        <f>IFERROR(__xludf.DUMMYFUNCTION("""COMPUTED_VALUE"""),"Outbound Call")</f>
        <v>Outbound Call</v>
      </c>
      <c r="W2867" s="124" t="str">
        <f>IFERROR(__xludf.DUMMYFUNCTION("""COMPUTED_VALUE"""),"Outbound Call")</f>
        <v>Outbound Call</v>
      </c>
      <c r="X2867" s="124" t="str">
        <f>IFERROR(__xludf.DUMMYFUNCTION("""COMPUTED_VALUE"""),"Outbound Call")</f>
        <v>Outbound Call</v>
      </c>
      <c r="Y2867" s="124"/>
      <c r="Z2867" s="124">
        <f>IFERROR(__xludf.DUMMYFUNCTION("""COMPUTED_VALUE"""),1.0)</f>
        <v>1</v>
      </c>
      <c r="AA2867" s="124"/>
      <c r="AB2867" s="124"/>
    </row>
    <row r="2868">
      <c r="K2868" s="124"/>
      <c r="L2868" s="124"/>
      <c r="M2868" s="124"/>
      <c r="N2868" s="124"/>
      <c r="O2868" s="124"/>
      <c r="T2868" s="129">
        <f>IFERROR(__xludf.DUMMYFUNCTION("""COMPUTED_VALUE"""),46097.0)</f>
        <v>46097</v>
      </c>
      <c r="U2868" s="124" t="str">
        <f>IFERROR(__xludf.DUMMYFUNCTION("""COMPUTED_VALUE"""),"Event")</f>
        <v>Event</v>
      </c>
      <c r="V2868" s="124" t="str">
        <f>IFERROR(__xludf.DUMMYFUNCTION("""COMPUTED_VALUE"""),"whatsapp")</f>
        <v>whatsapp</v>
      </c>
      <c r="W2868" s="124" t="str">
        <f>IFERROR(__xludf.DUMMYFUNCTION("""COMPUTED_VALUE"""),"api")</f>
        <v>api</v>
      </c>
      <c r="X2868" s="124" t="str">
        <f>IFERROR(__xludf.DUMMYFUNCTION("""COMPUTED_VALUE"""),"reply")</f>
        <v>reply</v>
      </c>
      <c r="Y2868" s="124"/>
      <c r="Z2868" s="124">
        <f>IFERROR(__xludf.DUMMYFUNCTION("""COMPUTED_VALUE"""),1.0)</f>
        <v>1</v>
      </c>
      <c r="AA2868" s="124" t="str">
        <f>IFERROR(__xludf.DUMMYFUNCTION("""COMPUTED_VALUE"""),"Cold")</f>
        <v>Cold</v>
      </c>
      <c r="AB2868" s="124"/>
    </row>
    <row r="2869">
      <c r="K2869" s="124"/>
      <c r="L2869" s="124"/>
      <c r="M2869" s="124"/>
      <c r="N2869" s="124"/>
      <c r="O2869" s="124"/>
      <c r="T2869" s="129">
        <f>IFERROR(__xludf.DUMMYFUNCTION("""COMPUTED_VALUE"""),46050.0)</f>
        <v>46050</v>
      </c>
      <c r="U2869" s="124" t="str">
        <f>IFERROR(__xludf.DUMMYFUNCTION("""COMPUTED_VALUE"""),"Event")</f>
        <v>Event</v>
      </c>
      <c r="V2869" s="124" t="str">
        <f>IFERROR(__xludf.DUMMYFUNCTION("""COMPUTED_VALUE"""),"whatsapp")</f>
        <v>whatsapp</v>
      </c>
      <c r="W2869" s="124" t="str">
        <f>IFERROR(__xludf.DUMMYFUNCTION("""COMPUTED_VALUE"""),"api")</f>
        <v>api</v>
      </c>
      <c r="X2869" s="124" t="str">
        <f>IFERROR(__xludf.DUMMYFUNCTION("""COMPUTED_VALUE"""),"reply")</f>
        <v>reply</v>
      </c>
      <c r="Y2869" s="124"/>
      <c r="Z2869" s="124">
        <f>IFERROR(__xludf.DUMMYFUNCTION("""COMPUTED_VALUE"""),2.0)</f>
        <v>2</v>
      </c>
      <c r="AA2869" s="124" t="str">
        <f>IFERROR(__xludf.DUMMYFUNCTION("""COMPUTED_VALUE"""),"Not Interested")</f>
        <v>Not Interested</v>
      </c>
      <c r="AB2869" s="124"/>
    </row>
    <row r="2870">
      <c r="K2870" s="124"/>
      <c r="L2870" s="124"/>
      <c r="M2870" s="124"/>
      <c r="N2870" s="124"/>
      <c r="O2870" s="124"/>
      <c r="T2870" s="126">
        <f>IFERROR(__xludf.DUMMYFUNCTION("""COMPUTED_VALUE"""),46073.0)</f>
        <v>46073</v>
      </c>
      <c r="U2870" s="124" t="str">
        <f>IFERROR(__xludf.DUMMYFUNCTION("""COMPUTED_VALUE"""),"Event")</f>
        <v>Event</v>
      </c>
      <c r="V2870" s="124" t="str">
        <f>IFERROR(__xludf.DUMMYFUNCTION("""COMPUTED_VALUE"""),"whatsapp")</f>
        <v>whatsapp</v>
      </c>
      <c r="W2870" s="124" t="str">
        <f>IFERROR(__xludf.DUMMYFUNCTION("""COMPUTED_VALUE"""),"api")</f>
        <v>api</v>
      </c>
      <c r="X2870" s="124" t="str">
        <f>IFERROR(__xludf.DUMMYFUNCTION("""COMPUTED_VALUE"""),"reply")</f>
        <v>reply</v>
      </c>
      <c r="Y2870" s="124"/>
      <c r="Z2870" s="124">
        <f>IFERROR(__xludf.DUMMYFUNCTION("""COMPUTED_VALUE"""),1.0)</f>
        <v>1</v>
      </c>
      <c r="AA2870" s="124" t="str">
        <f>IFERROR(__xludf.DUMMYFUNCTION("""COMPUTED_VALUE"""),"Cold")</f>
        <v>Cold</v>
      </c>
      <c r="AB2870" s="124"/>
    </row>
    <row r="2871">
      <c r="K2871" s="124"/>
      <c r="L2871" s="124"/>
      <c r="M2871" s="124"/>
      <c r="N2871" s="124"/>
      <c r="O2871" s="124"/>
      <c r="T2871" s="126">
        <f>IFERROR(__xludf.DUMMYFUNCTION("""COMPUTED_VALUE"""),46046.0)</f>
        <v>46046</v>
      </c>
      <c r="U2871" s="124" t="str">
        <f>IFERROR(__xludf.DUMMYFUNCTION("""COMPUTED_VALUE"""),"Event")</f>
        <v>Event</v>
      </c>
      <c r="V2871" s="124" t="str">
        <f>IFERROR(__xludf.DUMMYFUNCTION("""COMPUTED_VALUE"""),"whatsapp")</f>
        <v>whatsapp</v>
      </c>
      <c r="W2871" s="124" t="str">
        <f>IFERROR(__xludf.DUMMYFUNCTION("""COMPUTED_VALUE"""),"api")</f>
        <v>api</v>
      </c>
      <c r="X2871" s="124" t="str">
        <f>IFERROR(__xludf.DUMMYFUNCTION("""COMPUTED_VALUE"""),"reply")</f>
        <v>reply</v>
      </c>
      <c r="Y2871" s="124"/>
      <c r="Z2871" s="124">
        <f>IFERROR(__xludf.DUMMYFUNCTION("""COMPUTED_VALUE"""),1.0)</f>
        <v>1</v>
      </c>
      <c r="AA2871" s="124" t="str">
        <f>IFERROR(__xludf.DUMMYFUNCTION("""COMPUTED_VALUE"""),"Fake Lead")</f>
        <v>Fake Lead</v>
      </c>
      <c r="AB2871" s="124"/>
    </row>
    <row r="2872">
      <c r="K2872" s="124"/>
      <c r="L2872" s="124"/>
      <c r="M2872" s="124"/>
      <c r="N2872" s="124"/>
      <c r="O2872" s="124"/>
      <c r="T2872" s="129">
        <f>IFERROR(__xludf.DUMMYFUNCTION("""COMPUTED_VALUE"""),46106.0)</f>
        <v>46106</v>
      </c>
      <c r="U2872" s="124" t="str">
        <f>IFERROR(__xludf.DUMMYFUNCTION("""COMPUTED_VALUE"""),"Event")</f>
        <v>Event</v>
      </c>
      <c r="V2872" s="124" t="str">
        <f>IFERROR(__xludf.DUMMYFUNCTION("""COMPUTED_VALUE"""),"Events")</f>
        <v>Events</v>
      </c>
      <c r="W2872" s="124" t="str">
        <f>IFERROR(__xludf.DUMMYFUNCTION("""COMPUTED_VALUE"""),"All Centre")</f>
        <v>All Centre</v>
      </c>
      <c r="X2872" s="124" t="str">
        <f>IFERROR(__xludf.DUMMYFUNCTION("""COMPUTED_VALUE"""),"Generic")</f>
        <v>Generic</v>
      </c>
      <c r="Y2872" s="124" t="str">
        <f>IFERROR(__xludf.DUMMYFUNCTION("""COMPUTED_VALUE"""),"Prayagraj")</f>
        <v>Prayagraj</v>
      </c>
      <c r="Z2872" s="124">
        <f>IFERROR(__xludf.DUMMYFUNCTION("""COMPUTED_VALUE"""),1.0)</f>
        <v>1</v>
      </c>
      <c r="AA2872" s="124" t="str">
        <f>IFERROR(__xludf.DUMMYFUNCTION("""COMPUTED_VALUE"""),"Fake Lead")</f>
        <v>Fake Lead</v>
      </c>
      <c r="AB2872" s="124" t="str">
        <f>IFERROR(__xludf.DUMMYFUNCTION("""COMPUTED_VALUE"""),"GS Foundation")</f>
        <v>GS Foundation</v>
      </c>
    </row>
    <row r="2873">
      <c r="K2873" s="124"/>
      <c r="L2873" s="124"/>
      <c r="M2873" s="124"/>
      <c r="N2873" s="124"/>
      <c r="O2873" s="124"/>
      <c r="T2873" s="126">
        <f>IFERROR(__xludf.DUMMYFUNCTION("""COMPUTED_VALUE"""),46056.0)</f>
        <v>46056</v>
      </c>
      <c r="U2873" s="124" t="str">
        <f>IFERROR(__xludf.DUMMYFUNCTION("""COMPUTED_VALUE"""),"Event")</f>
        <v>Event</v>
      </c>
      <c r="V2873" s="124" t="str">
        <f>IFERROR(__xludf.DUMMYFUNCTION("""COMPUTED_VALUE"""),"Events")</f>
        <v>Events</v>
      </c>
      <c r="W2873" s="124" t="str">
        <f>IFERROR(__xludf.DUMMYFUNCTION("""COMPUTED_VALUE"""),"All Centre")</f>
        <v>All Centre</v>
      </c>
      <c r="X2873" s="124" t="str">
        <f>IFERROR(__xludf.DUMMYFUNCTION("""COMPUTED_VALUE"""),"Generic")</f>
        <v>Generic</v>
      </c>
      <c r="Y2873" s="124" t="str">
        <f>IFERROR(__xludf.DUMMYFUNCTION("""COMPUTED_VALUE"""),"Delhi")</f>
        <v>Delhi</v>
      </c>
      <c r="Z2873" s="124">
        <f>IFERROR(__xludf.DUMMYFUNCTION("""COMPUTED_VALUE"""),3.0)</f>
        <v>3</v>
      </c>
      <c r="AA2873" s="124" t="str">
        <f>IFERROR(__xludf.DUMMYFUNCTION("""COMPUTED_VALUE"""),"Cold")</f>
        <v>Cold</v>
      </c>
      <c r="AB2873" s="124" t="str">
        <f>IFERROR(__xludf.DUMMYFUNCTION("""COMPUTED_VALUE"""),"Other")</f>
        <v>Other</v>
      </c>
    </row>
    <row r="2874">
      <c r="K2874" s="124"/>
      <c r="L2874" s="124"/>
      <c r="M2874" s="124"/>
      <c r="N2874" s="124"/>
      <c r="O2874" s="124"/>
      <c r="T2874" s="129">
        <f>IFERROR(__xludf.DUMMYFUNCTION("""COMPUTED_VALUE"""),46050.0)</f>
        <v>46050</v>
      </c>
      <c r="U2874" s="124" t="str">
        <f>IFERROR(__xludf.DUMMYFUNCTION("""COMPUTED_VALUE"""),"Event")</f>
        <v>Event</v>
      </c>
      <c r="V2874" s="124" t="str">
        <f>IFERROR(__xludf.DUMMYFUNCTION("""COMPUTED_VALUE"""),"Events")</f>
        <v>Events</v>
      </c>
      <c r="W2874" s="124" t="str">
        <f>IFERROR(__xludf.DUMMYFUNCTION("""COMPUTED_VALUE"""),"Delhi")</f>
        <v>Delhi</v>
      </c>
      <c r="X2874" s="124" t="str">
        <f>IFERROR(__xludf.DUMMYFUNCTION("""COMPUTED_VALUE"""),"DRCSEMINAR(CTC)")</f>
        <v>DRCSEMINAR(CTC)</v>
      </c>
      <c r="Y2874" s="124" t="str">
        <f>IFERROR(__xludf.DUMMYFUNCTION("""COMPUTED_VALUE"""),"Delhi")</f>
        <v>Delhi</v>
      </c>
      <c r="Z2874" s="124">
        <f>IFERROR(__xludf.DUMMYFUNCTION("""COMPUTED_VALUE"""),1.0)</f>
        <v>1</v>
      </c>
      <c r="AA2874" s="124" t="str">
        <f>IFERROR(__xludf.DUMMYFUNCTION("""COMPUTED_VALUE"""),"Warm")</f>
        <v>Warm</v>
      </c>
      <c r="AB2874" s="124" t="str">
        <f>IFERROR(__xludf.DUMMYFUNCTION("""COMPUTED_VALUE"""),"CSAT")</f>
        <v>CSAT</v>
      </c>
    </row>
    <row r="2875">
      <c r="K2875" s="124"/>
      <c r="L2875" s="124"/>
      <c r="M2875" s="124"/>
      <c r="N2875" s="124"/>
      <c r="O2875" s="124"/>
      <c r="T2875" s="129">
        <f>IFERROR(__xludf.DUMMYFUNCTION("""COMPUTED_VALUE"""),46057.0)</f>
        <v>46057</v>
      </c>
      <c r="U2875" s="124" t="str">
        <f>IFERROR(__xludf.DUMMYFUNCTION("""COMPUTED_VALUE"""),"Event")</f>
        <v>Event</v>
      </c>
      <c r="V2875" s="124" t="str">
        <f>IFERROR(__xludf.DUMMYFUNCTION("""COMPUTED_VALUE"""),"Events")</f>
        <v>Events</v>
      </c>
      <c r="W2875" s="124" t="str">
        <f>IFERROR(__xludf.DUMMYFUNCTION("""COMPUTED_VALUE"""),"All Centre")</f>
        <v>All Centre</v>
      </c>
      <c r="X2875" s="124" t="str">
        <f>IFERROR(__xludf.DUMMYFUNCTION("""COMPUTED_VALUE"""),"Generic")</f>
        <v>Generic</v>
      </c>
      <c r="Y2875" s="124" t="str">
        <f>IFERROR(__xludf.DUMMYFUNCTION("""COMPUTED_VALUE"""),"Delhi")</f>
        <v>Delhi</v>
      </c>
      <c r="Z2875" s="124">
        <f>IFERROR(__xludf.DUMMYFUNCTION("""COMPUTED_VALUE"""),1.0)</f>
        <v>1</v>
      </c>
      <c r="AA2875" s="124" t="str">
        <f>IFERROR(__xludf.DUMMYFUNCTION("""COMPUTED_VALUE"""),"Cold")</f>
        <v>Cold</v>
      </c>
      <c r="AB2875" s="124" t="str">
        <f>IFERROR(__xludf.DUMMYFUNCTION("""COMPUTED_VALUE"""),"Prelims Crash Course - SIP")</f>
        <v>Prelims Crash Course - SIP</v>
      </c>
    </row>
    <row r="2876">
      <c r="K2876" s="124"/>
      <c r="L2876" s="124"/>
      <c r="M2876" s="124"/>
      <c r="N2876" s="124"/>
      <c r="O2876" s="124"/>
      <c r="T2876" s="126">
        <f>IFERROR(__xludf.DUMMYFUNCTION("""COMPUTED_VALUE"""),46049.0)</f>
        <v>46049</v>
      </c>
      <c r="U2876" s="124" t="str">
        <f>IFERROR(__xludf.DUMMYFUNCTION("""COMPUTED_VALUE"""),"Event")</f>
        <v>Event</v>
      </c>
      <c r="V2876" s="124" t="str">
        <f>IFERROR(__xludf.DUMMYFUNCTION("""COMPUTED_VALUE"""),"Events")</f>
        <v>Events</v>
      </c>
      <c r="W2876" s="124" t="str">
        <f>IFERROR(__xludf.DUMMYFUNCTION("""COMPUTED_VALUE"""),"Delhi")</f>
        <v>Delhi</v>
      </c>
      <c r="X2876" s="124" t="str">
        <f>IFERROR(__xludf.DUMMYFUNCTION("""COMPUTED_VALUE"""),"DRCSEMINAR(CTC)")</f>
        <v>DRCSEMINAR(CTC)</v>
      </c>
      <c r="Y2876" s="124" t="str">
        <f>IFERROR(__xludf.DUMMYFUNCTION("""COMPUTED_VALUE"""),"Delhi")</f>
        <v>Delhi</v>
      </c>
      <c r="Z2876" s="124">
        <f>IFERROR(__xludf.DUMMYFUNCTION("""COMPUTED_VALUE"""),1.0)</f>
        <v>1</v>
      </c>
      <c r="AA2876" s="124" t="str">
        <f>IFERROR(__xludf.DUMMYFUNCTION("""COMPUTED_VALUE"""),"Engaged")</f>
        <v>Engaged</v>
      </c>
      <c r="AB2876" s="124"/>
    </row>
    <row r="2877">
      <c r="K2877" s="124"/>
      <c r="L2877" s="124"/>
      <c r="M2877" s="124"/>
      <c r="N2877" s="124"/>
      <c r="O2877" s="124"/>
      <c r="T2877" s="129">
        <f>IFERROR(__xludf.DUMMYFUNCTION("""COMPUTED_VALUE"""),46051.0)</f>
        <v>46051</v>
      </c>
      <c r="U2877" s="124" t="str">
        <f>IFERROR(__xludf.DUMMYFUNCTION("""COMPUTED_VALUE"""),"Event")</f>
        <v>Event</v>
      </c>
      <c r="V2877" s="124" t="str">
        <f>IFERROR(__xludf.DUMMYFUNCTION("""COMPUTED_VALUE"""),"Events")</f>
        <v>Events</v>
      </c>
      <c r="W2877" s="124" t="str">
        <f>IFERROR(__xludf.DUMMYFUNCTION("""COMPUTED_VALUE"""),"Delhi")</f>
        <v>Delhi</v>
      </c>
      <c r="X2877" s="124" t="str">
        <f>IFERROR(__xludf.DUMMYFUNCTION("""COMPUTED_VALUE"""),"DRCSEMINAR(CTC)")</f>
        <v>DRCSEMINAR(CTC)</v>
      </c>
      <c r="Y2877" s="124"/>
      <c r="Z2877" s="124">
        <f>IFERROR(__xludf.DUMMYFUNCTION("""COMPUTED_VALUE"""),3.0)</f>
        <v>3</v>
      </c>
      <c r="AA2877" s="124" t="str">
        <f>IFERROR(__xludf.DUMMYFUNCTION("""COMPUTED_VALUE"""),"Engaged")</f>
        <v>Engaged</v>
      </c>
      <c r="AB2877" s="124"/>
    </row>
    <row r="2878">
      <c r="K2878" s="124"/>
      <c r="L2878" s="124"/>
      <c r="M2878" s="124"/>
      <c r="N2878" s="124"/>
      <c r="O2878" s="124"/>
      <c r="T2878" s="126">
        <f>IFERROR(__xludf.DUMMYFUNCTION("""COMPUTED_VALUE"""),46056.0)</f>
        <v>46056</v>
      </c>
      <c r="U2878" s="124" t="str">
        <f>IFERROR(__xludf.DUMMYFUNCTION("""COMPUTED_VALUE"""),"Event")</f>
        <v>Event</v>
      </c>
      <c r="V2878" s="124" t="str">
        <f>IFERROR(__xludf.DUMMYFUNCTION("""COMPUTED_VALUE"""),"Events")</f>
        <v>Events</v>
      </c>
      <c r="W2878" s="124" t="str">
        <f>IFERROR(__xludf.DUMMYFUNCTION("""COMPUTED_VALUE"""),"All Centre")</f>
        <v>All Centre</v>
      </c>
      <c r="X2878" s="124" t="str">
        <f>IFERROR(__xludf.DUMMYFUNCTION("""COMPUTED_VALUE"""),"Generic")</f>
        <v>Generic</v>
      </c>
      <c r="Y2878" s="124" t="str">
        <f>IFERROR(__xludf.DUMMYFUNCTION("""COMPUTED_VALUE"""),"Patna")</f>
        <v>Patna</v>
      </c>
      <c r="Z2878" s="124">
        <f>IFERROR(__xludf.DUMMYFUNCTION("""COMPUTED_VALUE"""),1.0)</f>
        <v>1</v>
      </c>
      <c r="AA2878" s="124" t="str">
        <f>IFERROR(__xludf.DUMMYFUNCTION("""COMPUTED_VALUE"""),"Cold")</f>
        <v>Cold</v>
      </c>
      <c r="AB2878" s="124" t="str">
        <f>IFERROR(__xludf.DUMMYFUNCTION("""COMPUTED_VALUE"""),"CSAT")</f>
        <v>CSAT</v>
      </c>
    </row>
    <row r="2879">
      <c r="K2879" s="124"/>
      <c r="L2879" s="124"/>
      <c r="M2879" s="124"/>
      <c r="N2879" s="124"/>
      <c r="O2879" s="124"/>
      <c r="T2879" s="129">
        <f>IFERROR(__xludf.DUMMYFUNCTION("""COMPUTED_VALUE"""),46057.0)</f>
        <v>46057</v>
      </c>
      <c r="U2879" s="124" t="str">
        <f>IFERROR(__xludf.DUMMYFUNCTION("""COMPUTED_VALUE"""),"Event")</f>
        <v>Event</v>
      </c>
      <c r="V2879" s="124" t="str">
        <f>IFERROR(__xludf.DUMMYFUNCTION("""COMPUTED_VALUE"""),"Events")</f>
        <v>Events</v>
      </c>
      <c r="W2879" s="124" t="str">
        <f>IFERROR(__xludf.DUMMYFUNCTION("""COMPUTED_VALUE"""),"Delhi")</f>
        <v>Delhi</v>
      </c>
      <c r="X2879" s="124" t="str">
        <f>IFERROR(__xludf.DUMMYFUNCTION("""COMPUTED_VALUE"""),"DRCSEMINAR(CTC)")</f>
        <v>DRCSEMINAR(CTC)</v>
      </c>
      <c r="Y2879" s="124" t="str">
        <f>IFERROR(__xludf.DUMMYFUNCTION("""COMPUTED_VALUE"""),"Delhi")</f>
        <v>Delhi</v>
      </c>
      <c r="Z2879" s="124">
        <f>IFERROR(__xludf.DUMMYFUNCTION("""COMPUTED_VALUE"""),2.0)</f>
        <v>2</v>
      </c>
      <c r="AA2879" s="124" t="str">
        <f>IFERROR(__xludf.DUMMYFUNCTION("""COMPUTED_VALUE"""),"Fake Lead")</f>
        <v>Fake Lead</v>
      </c>
      <c r="AB2879" s="124"/>
    </row>
    <row r="2880">
      <c r="K2880" s="124"/>
      <c r="L2880" s="124"/>
      <c r="M2880" s="124"/>
      <c r="N2880" s="124"/>
      <c r="O2880" s="124"/>
      <c r="T2880" s="126">
        <f>IFERROR(__xludf.DUMMYFUNCTION("""COMPUTED_VALUE"""),46059.0)</f>
        <v>46059</v>
      </c>
      <c r="U2880" s="124" t="str">
        <f>IFERROR(__xludf.DUMMYFUNCTION("""COMPUTED_VALUE"""),"External Leads")</f>
        <v>External Leads</v>
      </c>
      <c r="V2880" s="124" t="str">
        <f>IFERROR(__xludf.DUMMYFUNCTION("""COMPUTED_VALUE"""),"external leads")</f>
        <v>external leads</v>
      </c>
      <c r="W2880" s="124" t="str">
        <f>IFERROR(__xludf.DUMMYFUNCTION("""COMPUTED_VALUE"""),"lucknow")</f>
        <v>lucknow</v>
      </c>
      <c r="X2880" s="124" t="str">
        <f>IFERROR(__xludf.DUMMYFUNCTION("""COMPUTED_VALUE"""),"library")</f>
        <v>library</v>
      </c>
      <c r="Y2880" s="124" t="str">
        <f>IFERROR(__xludf.DUMMYFUNCTION("""COMPUTED_VALUE"""),"Lucknow")</f>
        <v>Lucknow</v>
      </c>
      <c r="Z2880" s="124">
        <f>IFERROR(__xludf.DUMMYFUNCTION("""COMPUTED_VALUE"""),1.0)</f>
        <v>1</v>
      </c>
      <c r="AA2880" s="124" t="str">
        <f>IFERROR(__xludf.DUMMYFUNCTION("""COMPUTED_VALUE"""),"Future Prospects")</f>
        <v>Future Prospects</v>
      </c>
      <c r="AB2880" s="124" t="str">
        <f>IFERROR(__xludf.DUMMYFUNCTION("""COMPUTED_VALUE"""),"State PCS")</f>
        <v>State PCS</v>
      </c>
    </row>
    <row r="2881">
      <c r="K2881" s="124"/>
      <c r="L2881" s="124"/>
      <c r="M2881" s="124"/>
      <c r="N2881" s="124"/>
      <c r="O2881" s="124"/>
      <c r="T2881" s="126">
        <f>IFERROR(__xludf.DUMMYFUNCTION("""COMPUTED_VALUE"""),46078.0)</f>
        <v>46078</v>
      </c>
      <c r="U2881" s="124" t="str">
        <f>IFERROR(__xludf.DUMMYFUNCTION("""COMPUTED_VALUE"""),"Event")</f>
        <v>Event</v>
      </c>
      <c r="V2881" s="124" t="str">
        <f>IFERROR(__xludf.DUMMYFUNCTION("""COMPUTED_VALUE"""),"Events")</f>
        <v>Events</v>
      </c>
      <c r="W2881" s="124" t="str">
        <f>IFERROR(__xludf.DUMMYFUNCTION("""COMPUTED_VALUE"""),"All Centre")</f>
        <v>All Centre</v>
      </c>
      <c r="X2881" s="124" t="str">
        <f>IFERROR(__xludf.DUMMYFUNCTION("""COMPUTED_VALUE"""),"Generic")</f>
        <v>Generic</v>
      </c>
      <c r="Y2881" s="124" t="str">
        <f>IFERROR(__xludf.DUMMYFUNCTION("""COMPUTED_VALUE"""),"Patna")</f>
        <v>Patna</v>
      </c>
      <c r="Z2881" s="124">
        <f>IFERROR(__xludf.DUMMYFUNCTION("""COMPUTED_VALUE"""),1.0)</f>
        <v>1</v>
      </c>
      <c r="AA2881" s="124" t="str">
        <f>IFERROR(__xludf.DUMMYFUNCTION("""COMPUTED_VALUE"""),"Fake Lead")</f>
        <v>Fake Lead</v>
      </c>
      <c r="AB2881" s="124" t="str">
        <f>IFERROR(__xludf.DUMMYFUNCTION("""COMPUTED_VALUE"""),"Mentorship")</f>
        <v>Mentorship</v>
      </c>
    </row>
    <row r="2882">
      <c r="K2882" s="124"/>
      <c r="L2882" s="124"/>
      <c r="M2882" s="124"/>
      <c r="N2882" s="124"/>
      <c r="O2882" s="124"/>
      <c r="T2882" s="129">
        <f>IFERROR(__xludf.DUMMYFUNCTION("""COMPUTED_VALUE"""),46062.0)</f>
        <v>46062</v>
      </c>
      <c r="U2882" s="124" t="str">
        <f>IFERROR(__xludf.DUMMYFUNCTION("""COMPUTED_VALUE"""),"Event")</f>
        <v>Event</v>
      </c>
      <c r="V2882" s="124" t="str">
        <f>IFERROR(__xludf.DUMMYFUNCTION("""COMPUTED_VALUE"""),"Events")</f>
        <v>Events</v>
      </c>
      <c r="W2882" s="124" t="str">
        <f>IFERROR(__xludf.DUMMYFUNCTION("""COMPUTED_VALUE"""),"All Centre")</f>
        <v>All Centre</v>
      </c>
      <c r="X2882" s="124" t="str">
        <f>IFERROR(__xludf.DUMMYFUNCTION("""COMPUTED_VALUE"""),"Generic")</f>
        <v>Generic</v>
      </c>
      <c r="Y2882" s="124" t="str">
        <f>IFERROR(__xludf.DUMMYFUNCTION("""COMPUTED_VALUE"""),"Guwahati")</f>
        <v>Guwahati</v>
      </c>
      <c r="Z2882" s="124">
        <f>IFERROR(__xludf.DUMMYFUNCTION("""COMPUTED_VALUE"""),1.0)</f>
        <v>1</v>
      </c>
      <c r="AA2882" s="124" t="str">
        <f>IFERROR(__xludf.DUMMYFUNCTION("""COMPUTED_VALUE"""),"Cold")</f>
        <v>Cold</v>
      </c>
      <c r="AB2882" s="124" t="str">
        <f>IFERROR(__xludf.DUMMYFUNCTION("""COMPUTED_VALUE"""),"Other")</f>
        <v>Other</v>
      </c>
    </row>
    <row r="2883">
      <c r="K2883" s="124"/>
      <c r="L2883" s="124"/>
      <c r="M2883" s="124"/>
      <c r="N2883" s="124"/>
      <c r="O2883" s="124"/>
      <c r="T2883" s="126">
        <f>IFERROR(__xludf.DUMMYFUNCTION("""COMPUTED_VALUE"""),46077.0)</f>
        <v>46077</v>
      </c>
      <c r="U2883" s="124" t="str">
        <f>IFERROR(__xludf.DUMMYFUNCTION("""COMPUTED_VALUE"""),"Event")</f>
        <v>Event</v>
      </c>
      <c r="V2883" s="124" t="str">
        <f>IFERROR(__xludf.DUMMYFUNCTION("""COMPUTED_VALUE"""),"Events")</f>
        <v>Events</v>
      </c>
      <c r="W2883" s="124" t="str">
        <f>IFERROR(__xludf.DUMMYFUNCTION("""COMPUTED_VALUE"""),"All Centre")</f>
        <v>All Centre</v>
      </c>
      <c r="X2883" s="124" t="str">
        <f>IFERROR(__xludf.DUMMYFUNCTION("""COMPUTED_VALUE"""),"Generic")</f>
        <v>Generic</v>
      </c>
      <c r="Y2883" s="124" t="str">
        <f>IFERROR(__xludf.DUMMYFUNCTION("""COMPUTED_VALUE"""),"Delhi")</f>
        <v>Delhi</v>
      </c>
      <c r="Z2883" s="124">
        <f>IFERROR(__xludf.DUMMYFUNCTION("""COMPUTED_VALUE"""),1.0)</f>
        <v>1</v>
      </c>
      <c r="AA2883" s="124" t="str">
        <f>IFERROR(__xludf.DUMMYFUNCTION("""COMPUTED_VALUE"""),"Cold")</f>
        <v>Cold</v>
      </c>
      <c r="AB2883" s="124" t="str">
        <f>IFERROR(__xludf.DUMMYFUNCTION("""COMPUTED_VALUE"""),"IGP UPPSC")</f>
        <v>IGP UPPSC</v>
      </c>
    </row>
    <row r="2884">
      <c r="K2884" s="124"/>
      <c r="L2884" s="124"/>
      <c r="M2884" s="124"/>
      <c r="N2884" s="124"/>
      <c r="O2884" s="124"/>
      <c r="T2884" s="126">
        <f>IFERROR(__xludf.DUMMYFUNCTION("""COMPUTED_VALUE"""),46063.0)</f>
        <v>46063</v>
      </c>
      <c r="U2884" s="124" t="str">
        <f>IFERROR(__xludf.DUMMYFUNCTION("""COMPUTED_VALUE"""),"Event")</f>
        <v>Event</v>
      </c>
      <c r="V2884" s="124" t="str">
        <f>IFERROR(__xludf.DUMMYFUNCTION("""COMPUTED_VALUE"""),"Events")</f>
        <v>Events</v>
      </c>
      <c r="W2884" s="124" t="str">
        <f>IFERROR(__xludf.DUMMYFUNCTION("""COMPUTED_VALUE"""),"All Centre")</f>
        <v>All Centre</v>
      </c>
      <c r="X2884" s="124" t="str">
        <f>IFERROR(__xludf.DUMMYFUNCTION("""COMPUTED_VALUE"""),"Generic")</f>
        <v>Generic</v>
      </c>
      <c r="Y2884" s="124" t="str">
        <f>IFERROR(__xludf.DUMMYFUNCTION("""COMPUTED_VALUE"""),"Delhi")</f>
        <v>Delhi</v>
      </c>
      <c r="Z2884" s="124">
        <f>IFERROR(__xludf.DUMMYFUNCTION("""COMPUTED_VALUE"""),2.0)</f>
        <v>2</v>
      </c>
      <c r="AA2884" s="124" t="str">
        <f>IFERROR(__xludf.DUMMYFUNCTION("""COMPUTED_VALUE"""),"Cold")</f>
        <v>Cold</v>
      </c>
      <c r="AB2884" s="124" t="str">
        <f>IFERROR(__xludf.DUMMYFUNCTION("""COMPUTED_VALUE"""),"Test Series")</f>
        <v>Test Series</v>
      </c>
    </row>
    <row r="2885">
      <c r="K2885" s="124"/>
      <c r="L2885" s="124"/>
      <c r="M2885" s="124"/>
      <c r="N2885" s="124"/>
      <c r="O2885" s="124"/>
      <c r="T2885" s="126">
        <f>IFERROR(__xludf.DUMMYFUNCTION("""COMPUTED_VALUE"""),46048.0)</f>
        <v>46048</v>
      </c>
      <c r="U2885" s="124" t="str">
        <f>IFERROR(__xludf.DUMMYFUNCTION("""COMPUTED_VALUE"""),"Walk-Ins")</f>
        <v>Walk-Ins</v>
      </c>
      <c r="V2885" s="124" t="str">
        <f>IFERROR(__xludf.DUMMYFUNCTION("""COMPUTED_VALUE"""),"Walk-In")</f>
        <v>Walk-In</v>
      </c>
      <c r="W2885" s="124" t="str">
        <f>IFERROR(__xludf.DUMMYFUNCTION("""COMPUTED_VALUE"""),"Patna")</f>
        <v>Patna</v>
      </c>
      <c r="X2885" s="124" t="str">
        <f>IFERROR(__xludf.DUMMYFUNCTION("""COMPUTED_VALUE"""),"Akash")</f>
        <v>Akash</v>
      </c>
      <c r="Y2885" s="124"/>
      <c r="Z2885" s="124">
        <f>IFERROR(__xludf.DUMMYFUNCTION("""COMPUTED_VALUE"""),1.0)</f>
        <v>1</v>
      </c>
      <c r="AA2885" s="124" t="str">
        <f>IFERROR(__xludf.DUMMYFUNCTION("""COMPUTED_VALUE"""),"Enrolled")</f>
        <v>Enrolled</v>
      </c>
      <c r="AB2885" s="124" t="str">
        <f>IFERROR(__xludf.DUMMYFUNCTION("""COMPUTED_VALUE"""),"State PCS")</f>
        <v>State PCS</v>
      </c>
    </row>
    <row r="2886">
      <c r="K2886" s="124"/>
      <c r="L2886" s="124"/>
      <c r="M2886" s="124"/>
      <c r="N2886" s="124"/>
      <c r="O2886" s="124"/>
      <c r="T2886" s="129">
        <f>IFERROR(__xludf.DUMMYFUNCTION("""COMPUTED_VALUE"""),46062.0)</f>
        <v>46062</v>
      </c>
      <c r="U2886" s="124" t="str">
        <f>IFERROR(__xludf.DUMMYFUNCTION("""COMPUTED_VALUE"""),"Event")</f>
        <v>Event</v>
      </c>
      <c r="V2886" s="124" t="str">
        <f>IFERROR(__xludf.DUMMYFUNCTION("""COMPUTED_VALUE"""),"Events")</f>
        <v>Events</v>
      </c>
      <c r="W2886" s="124" t="str">
        <f>IFERROR(__xludf.DUMMYFUNCTION("""COMPUTED_VALUE"""),"All Centre")</f>
        <v>All Centre</v>
      </c>
      <c r="X2886" s="124" t="str">
        <f>IFERROR(__xludf.DUMMYFUNCTION("""COMPUTED_VALUE"""),"Generic")</f>
        <v>Generic</v>
      </c>
      <c r="Y2886" s="124" t="str">
        <f>IFERROR(__xludf.DUMMYFUNCTION("""COMPUTED_VALUE"""),"Delhi")</f>
        <v>Delhi</v>
      </c>
      <c r="Z2886" s="124">
        <f>IFERROR(__xludf.DUMMYFUNCTION("""COMPUTED_VALUE"""),1.0)</f>
        <v>1</v>
      </c>
      <c r="AA2886" s="124" t="str">
        <f>IFERROR(__xludf.DUMMYFUNCTION("""COMPUTED_VALUE"""),"Cold")</f>
        <v>Cold</v>
      </c>
      <c r="AB2886" s="124" t="str">
        <f>IFERROR(__xludf.DUMMYFUNCTION("""COMPUTED_VALUE"""),"Other")</f>
        <v>Other</v>
      </c>
    </row>
    <row r="2887">
      <c r="K2887" s="124"/>
      <c r="L2887" s="124"/>
      <c r="M2887" s="124"/>
      <c r="N2887" s="124"/>
      <c r="O2887" s="124"/>
      <c r="T2887" s="129">
        <f>IFERROR(__xludf.DUMMYFUNCTION("""COMPUTED_VALUE"""),46058.0)</f>
        <v>46058</v>
      </c>
      <c r="U2887" s="124" t="str">
        <f>IFERROR(__xludf.DUMMYFUNCTION("""COMPUTED_VALUE"""),"Event")</f>
        <v>Event</v>
      </c>
      <c r="V2887" s="124" t="str">
        <f>IFERROR(__xludf.DUMMYFUNCTION("""COMPUTED_VALUE"""),"Events")</f>
        <v>Events</v>
      </c>
      <c r="W2887" s="124" t="str">
        <f>IFERROR(__xludf.DUMMYFUNCTION("""COMPUTED_VALUE"""),"All Centre")</f>
        <v>All Centre</v>
      </c>
      <c r="X2887" s="124" t="str">
        <f>IFERROR(__xludf.DUMMYFUNCTION("""COMPUTED_VALUE"""),"Generic")</f>
        <v>Generic</v>
      </c>
      <c r="Y2887" s="124" t="str">
        <f>IFERROR(__xludf.DUMMYFUNCTION("""COMPUTED_VALUE"""),"Delhi")</f>
        <v>Delhi</v>
      </c>
      <c r="Z2887" s="124">
        <f>IFERROR(__xludf.DUMMYFUNCTION("""COMPUTED_VALUE"""),1.0)</f>
        <v>1</v>
      </c>
      <c r="AA2887" s="124" t="str">
        <f>IFERROR(__xludf.DUMMYFUNCTION("""COMPUTED_VALUE"""),"Fake Lead")</f>
        <v>Fake Lead</v>
      </c>
      <c r="AB2887" s="124" t="str">
        <f>IFERROR(__xludf.DUMMYFUNCTION("""COMPUTED_VALUE"""),"Test Series")</f>
        <v>Test Series</v>
      </c>
    </row>
    <row r="2888">
      <c r="K2888" s="124"/>
      <c r="L2888" s="124"/>
      <c r="M2888" s="124"/>
      <c r="N2888" s="124"/>
      <c r="O2888" s="124"/>
      <c r="T2888" s="126">
        <f>IFERROR(__xludf.DUMMYFUNCTION("""COMPUTED_VALUE"""),46058.0)</f>
        <v>46058</v>
      </c>
      <c r="U2888" s="124" t="str">
        <f>IFERROR(__xludf.DUMMYFUNCTION("""COMPUTED_VALUE"""),"Event")</f>
        <v>Event</v>
      </c>
      <c r="V2888" s="124" t="str">
        <f>IFERROR(__xludf.DUMMYFUNCTION("""COMPUTED_VALUE"""),"Events")</f>
        <v>Events</v>
      </c>
      <c r="W2888" s="124" t="str">
        <f>IFERROR(__xludf.DUMMYFUNCTION("""COMPUTED_VALUE"""),"All Centre")</f>
        <v>All Centre</v>
      </c>
      <c r="X2888" s="124" t="str">
        <f>IFERROR(__xludf.DUMMYFUNCTION("""COMPUTED_VALUE"""),"Generic")</f>
        <v>Generic</v>
      </c>
      <c r="Y2888" s="124" t="str">
        <f>IFERROR(__xludf.DUMMYFUNCTION("""COMPUTED_VALUE"""),"Delhi")</f>
        <v>Delhi</v>
      </c>
      <c r="Z2888" s="124">
        <f>IFERROR(__xludf.DUMMYFUNCTION("""COMPUTED_VALUE"""),1.0)</f>
        <v>1</v>
      </c>
      <c r="AA2888" s="124" t="str">
        <f>IFERROR(__xludf.DUMMYFUNCTION("""COMPUTED_VALUE"""),"Engaged")</f>
        <v>Engaged</v>
      </c>
      <c r="AB2888" s="124" t="str">
        <f>IFERROR(__xludf.DUMMYFUNCTION("""COMPUTED_VALUE"""),"Mentorship")</f>
        <v>Mentorship</v>
      </c>
    </row>
    <row r="2889">
      <c r="K2889" s="124"/>
      <c r="L2889" s="124"/>
      <c r="M2889" s="124"/>
      <c r="N2889" s="124"/>
      <c r="O2889" s="124"/>
      <c r="T2889" s="126">
        <f>IFERROR(__xludf.DUMMYFUNCTION("""COMPUTED_VALUE"""),46089.0)</f>
        <v>46089</v>
      </c>
      <c r="U2889" s="124" t="str">
        <f>IFERROR(__xludf.DUMMYFUNCTION("""COMPUTED_VALUE"""),"Walk-Ins")</f>
        <v>Walk-Ins</v>
      </c>
      <c r="V2889" s="124" t="str">
        <f>IFERROR(__xludf.DUMMYFUNCTION("""COMPUTED_VALUE"""),"Walk-In")</f>
        <v>Walk-In</v>
      </c>
      <c r="W2889" s="124" t="str">
        <f>IFERROR(__xludf.DUMMYFUNCTION("""COMPUTED_VALUE"""),"Delhi")</f>
        <v>Delhi</v>
      </c>
      <c r="X2889" s="124" t="str">
        <f>IFERROR(__xludf.DUMMYFUNCTION("""COMPUTED_VALUE"""),"Netri")</f>
        <v>Netri</v>
      </c>
      <c r="Y2889" s="124" t="str">
        <f>IFERROR(__xludf.DUMMYFUNCTION("""COMPUTED_VALUE"""),"Delhi")</f>
        <v>Delhi</v>
      </c>
      <c r="Z2889" s="124">
        <f>IFERROR(__xludf.DUMMYFUNCTION("""COMPUTED_VALUE"""),1.0)</f>
        <v>1</v>
      </c>
      <c r="AA2889" s="124" t="str">
        <f>IFERROR(__xludf.DUMMYFUNCTION("""COMPUTED_VALUE"""),"Cold")</f>
        <v>Cold</v>
      </c>
      <c r="AB2889" s="124" t="str">
        <f>IFERROR(__xludf.DUMMYFUNCTION("""COMPUTED_VALUE"""),"GS Foundation")</f>
        <v>GS Foundation</v>
      </c>
    </row>
    <row r="2890">
      <c r="K2890" s="124"/>
      <c r="L2890" s="124"/>
      <c r="M2890" s="124"/>
      <c r="N2890" s="124"/>
      <c r="O2890" s="124"/>
      <c r="T2890" s="126">
        <f>IFERROR(__xludf.DUMMYFUNCTION("""COMPUTED_VALUE"""),46046.0)</f>
        <v>46046</v>
      </c>
      <c r="U2890" s="124" t="str">
        <f>IFERROR(__xludf.DUMMYFUNCTION("""COMPUTED_VALUE"""),"Walk-Ins")</f>
        <v>Walk-Ins</v>
      </c>
      <c r="V2890" s="124" t="str">
        <f>IFERROR(__xludf.DUMMYFUNCTION("""COMPUTED_VALUE"""),"Walk-In")</f>
        <v>Walk-In</v>
      </c>
      <c r="W2890" s="124" t="str">
        <f>IFERROR(__xludf.DUMMYFUNCTION("""COMPUTED_VALUE"""),"Delhi")</f>
        <v>Delhi</v>
      </c>
      <c r="X2890" s="124" t="str">
        <f>IFERROR(__xludf.DUMMYFUNCTION("""COMPUTED_VALUE"""),"Netri")</f>
        <v>Netri</v>
      </c>
      <c r="Y2890" s="124" t="str">
        <f>IFERROR(__xludf.DUMMYFUNCTION("""COMPUTED_VALUE"""),"Delhi")</f>
        <v>Delhi</v>
      </c>
      <c r="Z2890" s="124">
        <f>IFERROR(__xludf.DUMMYFUNCTION("""COMPUTED_VALUE"""),1.0)</f>
        <v>1</v>
      </c>
      <c r="AA2890" s="124" t="str">
        <f>IFERROR(__xludf.DUMMYFUNCTION("""COMPUTED_VALUE"""),"Future Prospects")</f>
        <v>Future Prospects</v>
      </c>
      <c r="AB2890" s="124" t="str">
        <f>IFERROR(__xludf.DUMMYFUNCTION("""COMPUTED_VALUE"""),"GS Foundation")</f>
        <v>GS Foundation</v>
      </c>
    </row>
    <row r="2891">
      <c r="K2891" s="124"/>
      <c r="L2891" s="124"/>
      <c r="M2891" s="124"/>
      <c r="N2891" s="124"/>
      <c r="O2891" s="124"/>
      <c r="T2891" s="126">
        <f>IFERROR(__xludf.DUMMYFUNCTION("""COMPUTED_VALUE"""),46053.0)</f>
        <v>46053</v>
      </c>
      <c r="U2891" s="124" t="str">
        <f>IFERROR(__xludf.DUMMYFUNCTION("""COMPUTED_VALUE"""),"Walk-Ins")</f>
        <v>Walk-Ins</v>
      </c>
      <c r="V2891" s="124" t="str">
        <f>IFERROR(__xludf.DUMMYFUNCTION("""COMPUTED_VALUE"""),"Walk-In")</f>
        <v>Walk-In</v>
      </c>
      <c r="W2891" s="124" t="str">
        <f>IFERROR(__xludf.DUMMYFUNCTION("""COMPUTED_VALUE"""),"Delhi")</f>
        <v>Delhi</v>
      </c>
      <c r="X2891" s="124" t="str">
        <f>IFERROR(__xludf.DUMMYFUNCTION("""COMPUTED_VALUE"""),"Netri")</f>
        <v>Netri</v>
      </c>
      <c r="Y2891" s="124" t="str">
        <f>IFERROR(__xludf.DUMMYFUNCTION("""COMPUTED_VALUE"""),"Delhi")</f>
        <v>Delhi</v>
      </c>
      <c r="Z2891" s="124">
        <f>IFERROR(__xludf.DUMMYFUNCTION("""COMPUTED_VALUE"""),1.0)</f>
        <v>1</v>
      </c>
      <c r="AA2891" s="124" t="str">
        <f>IFERROR(__xludf.DUMMYFUNCTION("""COMPUTED_VALUE"""),"Not Interested")</f>
        <v>Not Interested</v>
      </c>
      <c r="AB2891" s="124" t="str">
        <f>IFERROR(__xludf.DUMMYFUNCTION("""COMPUTED_VALUE"""),"GS Foundation")</f>
        <v>GS Foundation</v>
      </c>
    </row>
    <row r="2892">
      <c r="K2892" s="124"/>
      <c r="L2892" s="124"/>
      <c r="M2892" s="124"/>
      <c r="N2892" s="124"/>
      <c r="O2892" s="124"/>
      <c r="T2892" s="126">
        <f>IFERROR(__xludf.DUMMYFUNCTION("""COMPUTED_VALUE"""),46057.0)</f>
        <v>46057</v>
      </c>
      <c r="U2892" s="124" t="str">
        <f>IFERROR(__xludf.DUMMYFUNCTION("""COMPUTED_VALUE"""),"Walk-Ins")</f>
        <v>Walk-Ins</v>
      </c>
      <c r="V2892" s="124" t="str">
        <f>IFERROR(__xludf.DUMMYFUNCTION("""COMPUTED_VALUE"""),"Walk-In")</f>
        <v>Walk-In</v>
      </c>
      <c r="W2892" s="124" t="str">
        <f>IFERROR(__xludf.DUMMYFUNCTION("""COMPUTED_VALUE"""),"Delhi")</f>
        <v>Delhi</v>
      </c>
      <c r="X2892" s="124" t="str">
        <f>IFERROR(__xludf.DUMMYFUNCTION("""COMPUTED_VALUE"""),"Netri")</f>
        <v>Netri</v>
      </c>
      <c r="Y2892" s="124" t="str">
        <f>IFERROR(__xludf.DUMMYFUNCTION("""COMPUTED_VALUE"""),"Delhi")</f>
        <v>Delhi</v>
      </c>
      <c r="Z2892" s="124">
        <f>IFERROR(__xludf.DUMMYFUNCTION("""COMPUTED_VALUE"""),1.0)</f>
        <v>1</v>
      </c>
      <c r="AA2892" s="124" t="str">
        <f>IFERROR(__xludf.DUMMYFUNCTION("""COMPUTED_VALUE"""),"Enrolled")</f>
        <v>Enrolled</v>
      </c>
      <c r="AB2892" s="124" t="str">
        <f>IFERROR(__xludf.DUMMYFUNCTION("""COMPUTED_VALUE"""),"GS Foundation")</f>
        <v>GS Foundation</v>
      </c>
    </row>
    <row r="2893">
      <c r="K2893" s="124"/>
      <c r="L2893" s="124"/>
      <c r="M2893" s="124"/>
      <c r="N2893" s="124"/>
      <c r="O2893" s="124"/>
      <c r="T2893" s="126">
        <f>IFERROR(__xludf.DUMMYFUNCTION("""COMPUTED_VALUE"""),46046.0)</f>
        <v>46046</v>
      </c>
      <c r="U2893" s="124" t="str">
        <f>IFERROR(__xludf.DUMMYFUNCTION("""COMPUTED_VALUE"""),"Paid Ads")</f>
        <v>Paid Ads</v>
      </c>
      <c r="V2893" s="124" t="str">
        <f>IFERROR(__xludf.DUMMYFUNCTION("""COMPUTED_VALUE"""),"Facebook")</f>
        <v>Facebook</v>
      </c>
      <c r="W2893" s="124" t="str">
        <f>IFERROR(__xludf.DUMMYFUNCTION("""COMPUTED_VALUE"""),"LeadAd")</f>
        <v>LeadAd</v>
      </c>
      <c r="X2893" s="124" t="str">
        <f>IFERROR(__xludf.DUMMYFUNCTION("""COMPUTED_VALUE"""),"Upsc_Offline_26_Prygrj_FB_Creatives")</f>
        <v>Upsc_Offline_26_Prygrj_FB_Creatives</v>
      </c>
      <c r="Y2893" s="124" t="str">
        <f>IFERROR(__xludf.DUMMYFUNCTION("""COMPUTED_VALUE"""),"Prayagraj")</f>
        <v>Prayagraj</v>
      </c>
      <c r="Z2893" s="124">
        <f>IFERROR(__xludf.DUMMYFUNCTION("""COMPUTED_VALUE"""),1.0)</f>
        <v>1</v>
      </c>
      <c r="AA2893" s="124" t="str">
        <f>IFERROR(__xludf.DUMMYFUNCTION("""COMPUTED_VALUE"""),"Fake Lead")</f>
        <v>Fake Lead</v>
      </c>
      <c r="AB2893" s="124"/>
    </row>
    <row r="2894">
      <c r="K2894" s="124"/>
      <c r="L2894" s="124"/>
      <c r="M2894" s="124"/>
      <c r="N2894" s="124"/>
      <c r="O2894" s="124"/>
      <c r="T2894" s="126">
        <f>IFERROR(__xludf.DUMMYFUNCTION("""COMPUTED_VALUE"""),46109.0)</f>
        <v>46109</v>
      </c>
      <c r="U2894" s="124" t="str">
        <f>IFERROR(__xludf.DUMMYFUNCTION("""COMPUTED_VALUE"""),"Walk-Ins")</f>
        <v>Walk-Ins</v>
      </c>
      <c r="V2894" s="124" t="str">
        <f>IFERROR(__xludf.DUMMYFUNCTION("""COMPUTED_VALUE"""),"Walk-In")</f>
        <v>Walk-In</v>
      </c>
      <c r="W2894" s="124" t="str">
        <f>IFERROR(__xludf.DUMMYFUNCTION("""COMPUTED_VALUE"""),"Delhi")</f>
        <v>Delhi</v>
      </c>
      <c r="X2894" s="124" t="str">
        <f>IFERROR(__xludf.DUMMYFUNCTION("""COMPUTED_VALUE"""),"Netri")</f>
        <v>Netri</v>
      </c>
      <c r="Y2894" s="124" t="str">
        <f>IFERROR(__xludf.DUMMYFUNCTION("""COMPUTED_VALUE"""),"Delhi")</f>
        <v>Delhi</v>
      </c>
      <c r="Z2894" s="124">
        <f>IFERROR(__xludf.DUMMYFUNCTION("""COMPUTED_VALUE"""),1.0)</f>
        <v>1</v>
      </c>
      <c r="AA2894" s="124" t="str">
        <f>IFERROR(__xludf.DUMMYFUNCTION("""COMPUTED_VALUE"""),"Cold")</f>
        <v>Cold</v>
      </c>
      <c r="AB2894" s="124" t="str">
        <f>IFERROR(__xludf.DUMMYFUNCTION("""COMPUTED_VALUE"""),"GS Foundation")</f>
        <v>GS Foundation</v>
      </c>
    </row>
    <row r="2895">
      <c r="K2895" s="124"/>
      <c r="L2895" s="124"/>
      <c r="M2895" s="124"/>
      <c r="N2895" s="124"/>
      <c r="O2895" s="124"/>
      <c r="T2895" s="129">
        <f>IFERROR(__xludf.DUMMYFUNCTION("""COMPUTED_VALUE"""),46048.0)</f>
        <v>46048</v>
      </c>
      <c r="U2895" s="124" t="str">
        <f>IFERROR(__xludf.DUMMYFUNCTION("""COMPUTED_VALUE"""),"Paid Ads")</f>
        <v>Paid Ads</v>
      </c>
      <c r="V2895" s="124" t="str">
        <f>IFERROR(__xludf.DUMMYFUNCTION("""COMPUTED_VALUE"""),"Facebook")</f>
        <v>Facebook</v>
      </c>
      <c r="W2895" s="124" t="str">
        <f>IFERROR(__xludf.DUMMYFUNCTION("""COMPUTED_VALUE"""),"LeadAd")</f>
        <v>LeadAd</v>
      </c>
      <c r="X2895" s="124" t="str">
        <f>IFERROR(__xludf.DUMMYFUNCTION("""COMPUTED_VALUE"""),"Upsc_Offline_26_Indore_FB_Creatives")</f>
        <v>Upsc_Offline_26_Indore_FB_Creatives</v>
      </c>
      <c r="Y2895" s="124" t="str">
        <f>IFERROR(__xludf.DUMMYFUNCTION("""COMPUTED_VALUE"""),"Indore")</f>
        <v>Indore</v>
      </c>
      <c r="Z2895" s="124">
        <f>IFERROR(__xludf.DUMMYFUNCTION("""COMPUTED_VALUE"""),2.0)</f>
        <v>2</v>
      </c>
      <c r="AA2895" s="124" t="str">
        <f>IFERROR(__xludf.DUMMYFUNCTION("""COMPUTED_VALUE"""),"Fake Lead")</f>
        <v>Fake Lead</v>
      </c>
      <c r="AB2895" s="124"/>
    </row>
    <row r="2896">
      <c r="K2896" s="124"/>
      <c r="L2896" s="124"/>
      <c r="M2896" s="124"/>
      <c r="N2896" s="124"/>
      <c r="O2896" s="124"/>
      <c r="T2896" s="126">
        <f>IFERROR(__xludf.DUMMYFUNCTION("""COMPUTED_VALUE"""),46047.0)</f>
        <v>46047</v>
      </c>
      <c r="U2896" s="124" t="str">
        <f>IFERROR(__xludf.DUMMYFUNCTION("""COMPUTED_VALUE"""),"Paid Ads")</f>
        <v>Paid Ads</v>
      </c>
      <c r="V2896" s="124" t="str">
        <f>IFERROR(__xludf.DUMMYFUNCTION("""COMPUTED_VALUE"""),"Facebook")</f>
        <v>Facebook</v>
      </c>
      <c r="W2896" s="124" t="str">
        <f>IFERROR(__xludf.DUMMYFUNCTION("""COMPUTED_VALUE"""),"LeadAd")</f>
        <v>LeadAd</v>
      </c>
      <c r="X2896" s="124" t="str">
        <f>IFERROR(__xludf.DUMMYFUNCTION("""COMPUTED_VALUE"""),"Upsc_Offline_26_Indore_FB_Creatives")</f>
        <v>Upsc_Offline_26_Indore_FB_Creatives</v>
      </c>
      <c r="Y2896" s="124" t="str">
        <f>IFERROR(__xludf.DUMMYFUNCTION("""COMPUTED_VALUE"""),"Indore")</f>
        <v>Indore</v>
      </c>
      <c r="Z2896" s="124">
        <f>IFERROR(__xludf.DUMMYFUNCTION("""COMPUTED_VALUE"""),2.0)</f>
        <v>2</v>
      </c>
      <c r="AA2896" s="124" t="str">
        <f>IFERROR(__xludf.DUMMYFUNCTION("""COMPUTED_VALUE"""),"Fake Lead")</f>
        <v>Fake Lead</v>
      </c>
      <c r="AB2896" s="124"/>
    </row>
    <row r="2897">
      <c r="K2897" s="124"/>
      <c r="L2897" s="124"/>
      <c r="M2897" s="124"/>
      <c r="N2897" s="124"/>
      <c r="O2897" s="124"/>
      <c r="T2897" s="126">
        <f>IFERROR(__xludf.DUMMYFUNCTION("""COMPUTED_VALUE"""),46100.0)</f>
        <v>46100</v>
      </c>
      <c r="U2897" s="124" t="str">
        <f>IFERROR(__xludf.DUMMYFUNCTION("""COMPUTED_VALUE"""),"Walk-Ins")</f>
        <v>Walk-Ins</v>
      </c>
      <c r="V2897" s="124" t="str">
        <f>IFERROR(__xludf.DUMMYFUNCTION("""COMPUTED_VALUE"""),"Walk-In")</f>
        <v>Walk-In</v>
      </c>
      <c r="W2897" s="124" t="str">
        <f>IFERROR(__xludf.DUMMYFUNCTION("""COMPUTED_VALUE"""),"Delhi")</f>
        <v>Delhi</v>
      </c>
      <c r="X2897" s="124" t="str">
        <f>IFERROR(__xludf.DUMMYFUNCTION("""COMPUTED_VALUE"""),"Bijender")</f>
        <v>Bijender</v>
      </c>
      <c r="Y2897" s="124" t="str">
        <f>IFERROR(__xludf.DUMMYFUNCTION("""COMPUTED_VALUE"""),"Delhi")</f>
        <v>Delhi</v>
      </c>
      <c r="Z2897" s="124">
        <f>IFERROR(__xludf.DUMMYFUNCTION("""COMPUTED_VALUE"""),3.0)</f>
        <v>3</v>
      </c>
      <c r="AA2897" s="124" t="str">
        <f>IFERROR(__xludf.DUMMYFUNCTION("""COMPUTED_VALUE"""),"Future Prospects")</f>
        <v>Future Prospects</v>
      </c>
      <c r="AB2897" s="124" t="str">
        <f>IFERROR(__xludf.DUMMYFUNCTION("""COMPUTED_VALUE"""),"GS Foundation")</f>
        <v>GS Foundation</v>
      </c>
    </row>
    <row r="2898">
      <c r="K2898" s="124"/>
      <c r="L2898" s="124"/>
      <c r="M2898" s="124"/>
      <c r="N2898" s="124"/>
      <c r="O2898" s="124"/>
      <c r="T2898" s="126">
        <f>IFERROR(__xludf.DUMMYFUNCTION("""COMPUTED_VALUE"""),46074.0)</f>
        <v>46074</v>
      </c>
      <c r="U2898" s="124" t="str">
        <f>IFERROR(__xludf.DUMMYFUNCTION("""COMPUTED_VALUE"""),"Walk-Ins")</f>
        <v>Walk-Ins</v>
      </c>
      <c r="V2898" s="124" t="str">
        <f>IFERROR(__xludf.DUMMYFUNCTION("""COMPUTED_VALUE"""),"Walk-In")</f>
        <v>Walk-In</v>
      </c>
      <c r="W2898" s="124" t="str">
        <f>IFERROR(__xludf.DUMMYFUNCTION("""COMPUTED_VALUE"""),"New Delhi")</f>
        <v>New Delhi</v>
      </c>
      <c r="X2898" s="124" t="str">
        <f>IFERROR(__xludf.DUMMYFUNCTION("""COMPUTED_VALUE"""),"New Delhi")</f>
        <v>New Delhi</v>
      </c>
      <c r="Y2898" s="124" t="str">
        <f>IFERROR(__xludf.DUMMYFUNCTION("""COMPUTED_VALUE"""),"Delhi")</f>
        <v>Delhi</v>
      </c>
      <c r="Z2898" s="124">
        <f>IFERROR(__xludf.DUMMYFUNCTION("""COMPUTED_VALUE"""),1.0)</f>
        <v>1</v>
      </c>
      <c r="AA2898" s="124" t="str">
        <f>IFERROR(__xludf.DUMMYFUNCTION("""COMPUTED_VALUE"""),"Cold")</f>
        <v>Cold</v>
      </c>
      <c r="AB2898" s="124" t="str">
        <f>IFERROR(__xludf.DUMMYFUNCTION("""COMPUTED_VALUE"""),"GS Foundation")</f>
        <v>GS Foundation</v>
      </c>
    </row>
    <row r="2899">
      <c r="K2899" s="124"/>
      <c r="L2899" s="124"/>
      <c r="M2899" s="124"/>
      <c r="N2899" s="124"/>
      <c r="O2899" s="124"/>
      <c r="T2899" s="129">
        <f>IFERROR(__xludf.DUMMYFUNCTION("""COMPUTED_VALUE"""),46108.0)</f>
        <v>46108</v>
      </c>
      <c r="U2899" s="124" t="str">
        <f>IFERROR(__xludf.DUMMYFUNCTION("""COMPUTED_VALUE"""),"Walk-Ins")</f>
        <v>Walk-Ins</v>
      </c>
      <c r="V2899" s="124" t="str">
        <f>IFERROR(__xludf.DUMMYFUNCTION("""COMPUTED_VALUE"""),"Walk-In")</f>
        <v>Walk-In</v>
      </c>
      <c r="W2899" s="124" t="str">
        <f>IFERROR(__xludf.DUMMYFUNCTION("""COMPUTED_VALUE"""),"Delhi")</f>
        <v>Delhi</v>
      </c>
      <c r="X2899" s="124" t="str">
        <f>IFERROR(__xludf.DUMMYFUNCTION("""COMPUTED_VALUE"""),"Bijender")</f>
        <v>Bijender</v>
      </c>
      <c r="Y2899" s="124" t="str">
        <f>IFERROR(__xludf.DUMMYFUNCTION("""COMPUTED_VALUE"""),"Delhi")</f>
        <v>Delhi</v>
      </c>
      <c r="Z2899" s="124">
        <f>IFERROR(__xludf.DUMMYFUNCTION("""COMPUTED_VALUE"""),1.0)</f>
        <v>1</v>
      </c>
      <c r="AA2899" s="124" t="str">
        <f>IFERROR(__xludf.DUMMYFUNCTION("""COMPUTED_VALUE"""),"Future Prospects")</f>
        <v>Future Prospects</v>
      </c>
      <c r="AB2899" s="124" t="str">
        <f>IFERROR(__xludf.DUMMYFUNCTION("""COMPUTED_VALUE"""),"GS Foundation")</f>
        <v>GS Foundation</v>
      </c>
    </row>
    <row r="2900">
      <c r="K2900" s="124"/>
      <c r="L2900" s="124"/>
      <c r="M2900" s="124"/>
      <c r="N2900" s="124"/>
      <c r="O2900" s="124"/>
      <c r="T2900" s="126">
        <f>IFERROR(__xludf.DUMMYFUNCTION("""COMPUTED_VALUE"""),46046.0)</f>
        <v>46046</v>
      </c>
      <c r="U2900" s="124" t="str">
        <f>IFERROR(__xludf.DUMMYFUNCTION("""COMPUTED_VALUE"""),"Paid Ads")</f>
        <v>Paid Ads</v>
      </c>
      <c r="V2900" s="124" t="str">
        <f>IFERROR(__xludf.DUMMYFUNCTION("""COMPUTED_VALUE"""),"Facebook")</f>
        <v>Facebook</v>
      </c>
      <c r="W2900" s="124" t="str">
        <f>IFERROR(__xludf.DUMMYFUNCTION("""COMPUTED_VALUE"""),"LeadAd")</f>
        <v>LeadAd</v>
      </c>
      <c r="X2900" s="124" t="str">
        <f>IFERROR(__xludf.DUMMYFUNCTION("""COMPUTED_VALUE"""),"Upsc_Offline_26_Indore_FB_Creatives")</f>
        <v>Upsc_Offline_26_Indore_FB_Creatives</v>
      </c>
      <c r="Y2900" s="124" t="str">
        <f>IFERROR(__xludf.DUMMYFUNCTION("""COMPUTED_VALUE"""),"Indore")</f>
        <v>Indore</v>
      </c>
      <c r="Z2900" s="124">
        <f>IFERROR(__xludf.DUMMYFUNCTION("""COMPUTED_VALUE"""),1.0)</f>
        <v>1</v>
      </c>
      <c r="AA2900" s="124" t="str">
        <f>IFERROR(__xludf.DUMMYFUNCTION("""COMPUTED_VALUE"""),"Not Interested")</f>
        <v>Not Interested</v>
      </c>
      <c r="AB2900" s="124"/>
    </row>
    <row r="2901">
      <c r="K2901" s="124"/>
      <c r="L2901" s="124"/>
      <c r="M2901" s="124"/>
      <c r="N2901" s="124"/>
      <c r="O2901" s="124"/>
      <c r="T2901" s="126">
        <f>IFERROR(__xludf.DUMMYFUNCTION("""COMPUTED_VALUE"""),46070.0)</f>
        <v>46070</v>
      </c>
      <c r="U2901" s="124" t="str">
        <f>IFERROR(__xludf.DUMMYFUNCTION("""COMPUTED_VALUE"""),"Paid Ads")</f>
        <v>Paid Ads</v>
      </c>
      <c r="V2901" s="124" t="str">
        <f>IFERROR(__xludf.DUMMYFUNCTION("""COMPUTED_VALUE"""),"facebook")</f>
        <v>facebook</v>
      </c>
      <c r="W2901" s="124" t="str">
        <f>IFERROR(__xludf.DUMMYFUNCTION("""COMPUTED_VALUE"""),"indore")</f>
        <v>indore</v>
      </c>
      <c r="X2901" s="124" t="str">
        <f>IFERROR(__xludf.DUMMYFUNCTION("""COMPUTED_VALUE"""),"metaleads")</f>
        <v>metaleads</v>
      </c>
      <c r="Y2901" s="124" t="str">
        <f>IFERROR(__xludf.DUMMYFUNCTION("""COMPUTED_VALUE"""),"Indore")</f>
        <v>Indore</v>
      </c>
      <c r="Z2901" s="124">
        <f>IFERROR(__xludf.DUMMYFUNCTION("""COMPUTED_VALUE"""),1.0)</f>
        <v>1</v>
      </c>
      <c r="AA2901" s="124" t="str">
        <f>IFERROR(__xludf.DUMMYFUNCTION("""COMPUTED_VALUE"""),"Not Interested")</f>
        <v>Not Interested</v>
      </c>
      <c r="AB2901" s="124" t="str">
        <f>IFERROR(__xludf.DUMMYFUNCTION("""COMPUTED_VALUE"""),"GS Foundation")</f>
        <v>GS Foundation</v>
      </c>
    </row>
    <row r="2902">
      <c r="K2902" s="124"/>
      <c r="L2902" s="124"/>
      <c r="M2902" s="124"/>
      <c r="N2902" s="124"/>
      <c r="O2902" s="124"/>
      <c r="T2902" s="129">
        <f>IFERROR(__xludf.DUMMYFUNCTION("""COMPUTED_VALUE"""),46107.0)</f>
        <v>46107</v>
      </c>
      <c r="U2902" s="124" t="str">
        <f>IFERROR(__xludf.DUMMYFUNCTION("""COMPUTED_VALUE"""),"External Leads")</f>
        <v>External Leads</v>
      </c>
      <c r="V2902" s="124" t="str">
        <f>IFERROR(__xludf.DUMMYFUNCTION("""COMPUTED_VALUE"""),"External Leads")</f>
        <v>External Leads</v>
      </c>
      <c r="W2902" s="124" t="str">
        <f>IFERROR(__xludf.DUMMYFUNCTION("""COMPUTED_VALUE"""),"Patna")</f>
        <v>Patna</v>
      </c>
      <c r="X2902" s="124" t="str">
        <f>IFERROR(__xludf.DUMMYFUNCTION("""COMPUTED_VALUE"""),"Justdial")</f>
        <v>Justdial</v>
      </c>
      <c r="Y2902" s="124"/>
      <c r="Z2902" s="124">
        <f>IFERROR(__xludf.DUMMYFUNCTION("""COMPUTED_VALUE"""),1.0)</f>
        <v>1</v>
      </c>
      <c r="AA2902" s="124" t="str">
        <f>IFERROR(__xludf.DUMMYFUNCTION("""COMPUTED_VALUE"""),"Fake Lead")</f>
        <v>Fake Lead</v>
      </c>
      <c r="AB2902" s="124" t="str">
        <f>IFERROR(__xludf.DUMMYFUNCTION("""COMPUTED_VALUE"""),"Other")</f>
        <v>Other</v>
      </c>
    </row>
    <row r="2903">
      <c r="K2903" s="124"/>
      <c r="L2903" s="124"/>
      <c r="M2903" s="124"/>
      <c r="N2903" s="124"/>
      <c r="O2903" s="124"/>
      <c r="T2903" s="126">
        <f>IFERROR(__xludf.DUMMYFUNCTION("""COMPUTED_VALUE"""),46111.0)</f>
        <v>46111</v>
      </c>
      <c r="U2903" s="124" t="str">
        <f>IFERROR(__xludf.DUMMYFUNCTION("""COMPUTED_VALUE"""),"Event")</f>
        <v>Event</v>
      </c>
      <c r="V2903" s="124" t="str">
        <f>IFERROR(__xludf.DUMMYFUNCTION("""COMPUTED_VALUE"""),"events")</f>
        <v>events</v>
      </c>
      <c r="W2903" s="124" t="str">
        <f>IFERROR(__xludf.DUMMYFUNCTION("""COMPUTED_VALUE"""),"patna")</f>
        <v>patna</v>
      </c>
      <c r="X2903" s="124" t="str">
        <f>IFERROR(__xludf.DUMMYFUNCTION("""COMPUTED_VALUE"""),"seminar")</f>
        <v>seminar</v>
      </c>
      <c r="Y2903" s="124" t="str">
        <f>IFERROR(__xludf.DUMMYFUNCTION("""COMPUTED_VALUE"""),"Patna")</f>
        <v>Patna</v>
      </c>
      <c r="Z2903" s="124">
        <f>IFERROR(__xludf.DUMMYFUNCTION("""COMPUTED_VALUE"""),1.0)</f>
        <v>1</v>
      </c>
      <c r="AA2903" s="124" t="str">
        <f>IFERROR(__xludf.DUMMYFUNCTION("""COMPUTED_VALUE"""),"Warm")</f>
        <v>Warm</v>
      </c>
      <c r="AB2903" s="124" t="str">
        <f>IFERROR(__xludf.DUMMYFUNCTION("""COMPUTED_VALUE"""),"Test Series")</f>
        <v>Test Series</v>
      </c>
    </row>
    <row r="2904">
      <c r="K2904" s="124"/>
      <c r="L2904" s="124"/>
      <c r="M2904" s="124"/>
      <c r="N2904" s="124"/>
      <c r="O2904" s="124"/>
      <c r="T2904" s="129">
        <f>IFERROR(__xludf.DUMMYFUNCTION("""COMPUTED_VALUE"""),46053.0)</f>
        <v>46053</v>
      </c>
      <c r="U2904" s="124" t="str">
        <f>IFERROR(__xludf.DUMMYFUNCTION("""COMPUTED_VALUE"""),"Event")</f>
        <v>Event</v>
      </c>
      <c r="V2904" s="124" t="str">
        <f>IFERROR(__xludf.DUMMYFUNCTION("""COMPUTED_VALUE"""),"events")</f>
        <v>events</v>
      </c>
      <c r="W2904" s="124" t="str">
        <f>IFERROR(__xludf.DUMMYFUNCTION("""COMPUTED_VALUE"""),"indore")</f>
        <v>indore</v>
      </c>
      <c r="X2904" s="124" t="str">
        <f>IFERROR(__xludf.DUMMYFUNCTION("""COMPUTED_VALUE"""),"davv2509")</f>
        <v>davv2509</v>
      </c>
      <c r="Y2904" s="124"/>
      <c r="Z2904" s="124">
        <f>IFERROR(__xludf.DUMMYFUNCTION("""COMPUTED_VALUE"""),1.0)</f>
        <v>1</v>
      </c>
      <c r="AA2904" s="124" t="str">
        <f>IFERROR(__xludf.DUMMYFUNCTION("""COMPUTED_VALUE"""),"Enrolled")</f>
        <v>Enrolled</v>
      </c>
      <c r="AB2904" s="124" t="str">
        <f>IFERROR(__xludf.DUMMYFUNCTION("""COMPUTED_VALUE"""),"GS Foundation")</f>
        <v>GS Foundation</v>
      </c>
    </row>
    <row r="2905">
      <c r="K2905" s="124"/>
      <c r="L2905" s="124"/>
      <c r="M2905" s="124"/>
      <c r="N2905" s="124"/>
      <c r="O2905" s="124"/>
      <c r="T2905" s="126">
        <f>IFERROR(__xludf.DUMMYFUNCTION("""COMPUTED_VALUE"""),46068.0)</f>
        <v>46068</v>
      </c>
      <c r="U2905" s="124" t="str">
        <f>IFERROR(__xludf.DUMMYFUNCTION("""COMPUTED_VALUE"""),"Walk-Ins")</f>
        <v>Walk-Ins</v>
      </c>
      <c r="V2905" s="124" t="str">
        <f>IFERROR(__xludf.DUMMYFUNCTION("""COMPUTED_VALUE"""),"Walk-In")</f>
        <v>Walk-In</v>
      </c>
      <c r="W2905" s="124" t="str">
        <f>IFERROR(__xludf.DUMMYFUNCTION("""COMPUTED_VALUE"""),"Patna")</f>
        <v>Patna</v>
      </c>
      <c r="X2905" s="124" t="str">
        <f>IFERROR(__xludf.DUMMYFUNCTION("""COMPUTED_VALUE"""),"Patna")</f>
        <v>Patna</v>
      </c>
      <c r="Y2905" s="124" t="str">
        <f>IFERROR(__xludf.DUMMYFUNCTION("""COMPUTED_VALUE"""),"Patna")</f>
        <v>Patna</v>
      </c>
      <c r="Z2905" s="124">
        <f>IFERROR(__xludf.DUMMYFUNCTION("""COMPUTED_VALUE"""),1.0)</f>
        <v>1</v>
      </c>
      <c r="AA2905" s="124" t="str">
        <f>IFERROR(__xludf.DUMMYFUNCTION("""COMPUTED_VALUE"""),"Not Interested")</f>
        <v>Not Interested</v>
      </c>
      <c r="AB2905" s="124" t="str">
        <f>IFERROR(__xludf.DUMMYFUNCTION("""COMPUTED_VALUE"""),"State PCS")</f>
        <v>State PCS</v>
      </c>
    </row>
    <row r="2906">
      <c r="K2906" s="124"/>
      <c r="L2906" s="124"/>
      <c r="M2906" s="124"/>
      <c r="N2906" s="124"/>
      <c r="O2906" s="124"/>
      <c r="T2906" s="126">
        <f>IFERROR(__xludf.DUMMYFUNCTION("""COMPUTED_VALUE"""),46055.0)</f>
        <v>46055</v>
      </c>
      <c r="U2906" s="124" t="str">
        <f>IFERROR(__xludf.DUMMYFUNCTION("""COMPUTED_VALUE"""),"Walk-Ins")</f>
        <v>Walk-Ins</v>
      </c>
      <c r="V2906" s="124" t="str">
        <f>IFERROR(__xludf.DUMMYFUNCTION("""COMPUTED_VALUE"""),"Walk-In")</f>
        <v>Walk-In</v>
      </c>
      <c r="W2906" s="124" t="str">
        <f>IFERROR(__xludf.DUMMYFUNCTION("""COMPUTED_VALUE"""),"Patna")</f>
        <v>Patna</v>
      </c>
      <c r="X2906" s="124" t="str">
        <f>IFERROR(__xludf.DUMMYFUNCTION("""COMPUTED_VALUE"""),"Patna")</f>
        <v>Patna</v>
      </c>
      <c r="Y2906" s="124" t="str">
        <f>IFERROR(__xludf.DUMMYFUNCTION("""COMPUTED_VALUE"""),"Patna")</f>
        <v>Patna</v>
      </c>
      <c r="Z2906" s="124">
        <f>IFERROR(__xludf.DUMMYFUNCTION("""COMPUTED_VALUE"""),1.0)</f>
        <v>1</v>
      </c>
      <c r="AA2906" s="124" t="str">
        <f>IFERROR(__xludf.DUMMYFUNCTION("""COMPUTED_VALUE"""),"Fake Lead")</f>
        <v>Fake Lead</v>
      </c>
      <c r="AB2906" s="124" t="str">
        <f>IFERROR(__xludf.DUMMYFUNCTION("""COMPUTED_VALUE"""),"State PCS")</f>
        <v>State PCS</v>
      </c>
    </row>
    <row r="2907">
      <c r="K2907" s="124"/>
      <c r="L2907" s="124"/>
      <c r="M2907" s="124"/>
      <c r="N2907" s="124"/>
      <c r="O2907" s="124"/>
      <c r="T2907" s="126">
        <f>IFERROR(__xludf.DUMMYFUNCTION("""COMPUTED_VALUE"""),46048.0)</f>
        <v>46048</v>
      </c>
      <c r="U2907" s="124" t="str">
        <f>IFERROR(__xludf.DUMMYFUNCTION("""COMPUTED_VALUE"""),"Paid Ads")</f>
        <v>Paid Ads</v>
      </c>
      <c r="V2907" s="124" t="str">
        <f>IFERROR(__xludf.DUMMYFUNCTION("""COMPUTED_VALUE"""),"google")</f>
        <v>google</v>
      </c>
      <c r="W2907" s="124" t="str">
        <f>IFERROR(__xludf.DUMMYFUNCTION("""COMPUTED_VALUE"""),"cpc")</f>
        <v>cpc</v>
      </c>
      <c r="X2907" s="124">
        <f>IFERROR(__xludf.DUMMYFUNCTION("""COMPUTED_VALUE"""),2.2758016291E10)</f>
        <v>22758016291</v>
      </c>
      <c r="Y2907" s="124" t="str">
        <f>IFERROR(__xludf.DUMMYFUNCTION("""COMPUTED_VALUE"""),"Delhi")</f>
        <v>Delhi</v>
      </c>
      <c r="Z2907" s="124">
        <f>IFERROR(__xludf.DUMMYFUNCTION("""COMPUTED_VALUE"""),2.0)</f>
        <v>2</v>
      </c>
      <c r="AA2907" s="124" t="str">
        <f>IFERROR(__xludf.DUMMYFUNCTION("""COMPUTED_VALUE"""),"Fake Lead")</f>
        <v>Fake Lead</v>
      </c>
      <c r="AB2907" s="124" t="str">
        <f>IFERROR(__xludf.DUMMYFUNCTION("""COMPUTED_VALUE"""),"Mentorship")</f>
        <v>Mentorship</v>
      </c>
    </row>
    <row r="2908">
      <c r="K2908" s="124"/>
      <c r="L2908" s="124"/>
      <c r="M2908" s="124"/>
      <c r="N2908" s="124"/>
      <c r="O2908" s="124"/>
      <c r="T2908" s="126">
        <f>IFERROR(__xludf.DUMMYFUNCTION("""COMPUTED_VALUE"""),46074.0)</f>
        <v>46074</v>
      </c>
      <c r="U2908" s="124" t="str">
        <f>IFERROR(__xludf.DUMMYFUNCTION("""COMPUTED_VALUE"""),"Walk-Ins")</f>
        <v>Walk-Ins</v>
      </c>
      <c r="V2908" s="124" t="str">
        <f>IFERROR(__xludf.DUMMYFUNCTION("""COMPUTED_VALUE"""),"Walk-In")</f>
        <v>Walk-In</v>
      </c>
      <c r="W2908" s="124" t="str">
        <f>IFERROR(__xludf.DUMMYFUNCTION("""COMPUTED_VALUE"""),"Patna")</f>
        <v>Patna</v>
      </c>
      <c r="X2908" s="124" t="str">
        <f>IFERROR(__xludf.DUMMYFUNCTION("""COMPUTED_VALUE"""),"Patna")</f>
        <v>Patna</v>
      </c>
      <c r="Y2908" s="124"/>
      <c r="Z2908" s="124">
        <f>IFERROR(__xludf.DUMMYFUNCTION("""COMPUTED_VALUE"""),1.0)</f>
        <v>1</v>
      </c>
      <c r="AA2908" s="124" t="str">
        <f>IFERROR(__xludf.DUMMYFUNCTION("""COMPUTED_VALUE"""),"Cold")</f>
        <v>Cold</v>
      </c>
      <c r="AB2908" s="124" t="str">
        <f>IFERROR(__xludf.DUMMYFUNCTION("""COMPUTED_VALUE"""),"Test Series")</f>
        <v>Test Series</v>
      </c>
    </row>
    <row r="2909">
      <c r="K2909" s="124"/>
      <c r="L2909" s="124"/>
      <c r="M2909" s="124"/>
      <c r="N2909" s="124"/>
      <c r="O2909" s="124"/>
      <c r="T2909" s="126">
        <f>IFERROR(__xludf.DUMMYFUNCTION("""COMPUTED_VALUE"""),46048.0)</f>
        <v>46048</v>
      </c>
      <c r="U2909" s="124" t="str">
        <f>IFERROR(__xludf.DUMMYFUNCTION("""COMPUTED_VALUE"""),"Paid Ads")</f>
        <v>Paid Ads</v>
      </c>
      <c r="V2909" s="124" t="str">
        <f>IFERROR(__xludf.DUMMYFUNCTION("""COMPUTED_VALUE"""),"Facebook")</f>
        <v>Facebook</v>
      </c>
      <c r="W2909" s="124" t="str">
        <f>IFERROR(__xludf.DUMMYFUNCTION("""COMPUTED_VALUE"""),"LeadAd")</f>
        <v>LeadAd</v>
      </c>
      <c r="X2909" s="124" t="str">
        <f>IFERROR(__xludf.DUMMYFUNCTION("""COMPUTED_VALUE"""),"Upsc_offline_26_Lucknow_FB_Video")</f>
        <v>Upsc_offline_26_Lucknow_FB_Video</v>
      </c>
      <c r="Y2909" s="124" t="str">
        <f>IFERROR(__xludf.DUMMYFUNCTION("""COMPUTED_VALUE"""),"Lucknow")</f>
        <v>Lucknow</v>
      </c>
      <c r="Z2909" s="124">
        <f>IFERROR(__xludf.DUMMYFUNCTION("""COMPUTED_VALUE"""),2.0)</f>
        <v>2</v>
      </c>
      <c r="AA2909" s="124" t="str">
        <f>IFERROR(__xludf.DUMMYFUNCTION("""COMPUTED_VALUE"""),"Not Interested")</f>
        <v>Not Interested</v>
      </c>
      <c r="AB2909" s="124"/>
    </row>
    <row r="2910">
      <c r="K2910" s="124"/>
      <c r="L2910" s="124"/>
      <c r="M2910" s="124"/>
      <c r="N2910" s="124"/>
      <c r="O2910" s="124"/>
      <c r="T2910" s="126">
        <f>IFERROR(__xludf.DUMMYFUNCTION("""COMPUTED_VALUE"""),46046.0)</f>
        <v>46046</v>
      </c>
      <c r="U2910" s="124" t="str">
        <f>IFERROR(__xludf.DUMMYFUNCTION("""COMPUTED_VALUE"""),"Paid Ads")</f>
        <v>Paid Ads</v>
      </c>
      <c r="V2910" s="124" t="str">
        <f>IFERROR(__xludf.DUMMYFUNCTION("""COMPUTED_VALUE"""),"google")</f>
        <v>google</v>
      </c>
      <c r="W2910" s="124" t="str">
        <f>IFERROR(__xludf.DUMMYFUNCTION("""COMPUTED_VALUE"""),"cpc")</f>
        <v>cpc</v>
      </c>
      <c r="X2910" s="124">
        <f>IFERROR(__xludf.DUMMYFUNCTION("""COMPUTED_VALUE"""),2.2758016291E10)</f>
        <v>22758016291</v>
      </c>
      <c r="Y2910" s="124" t="str">
        <f>IFERROR(__xludf.DUMMYFUNCTION("""COMPUTED_VALUE"""),"Delhi")</f>
        <v>Delhi</v>
      </c>
      <c r="Z2910" s="124">
        <f>IFERROR(__xludf.DUMMYFUNCTION("""COMPUTED_VALUE"""),2.0)</f>
        <v>2</v>
      </c>
      <c r="AA2910" s="124" t="str">
        <f>IFERROR(__xludf.DUMMYFUNCTION("""COMPUTED_VALUE"""),"Fake Lead")</f>
        <v>Fake Lead</v>
      </c>
      <c r="AB2910" s="124" t="str">
        <f>IFERROR(__xludf.DUMMYFUNCTION("""COMPUTED_VALUE"""),"SIM")</f>
        <v>SIM</v>
      </c>
    </row>
    <row r="2911">
      <c r="K2911" s="124"/>
      <c r="L2911" s="124"/>
      <c r="M2911" s="124"/>
      <c r="N2911" s="124"/>
      <c r="O2911" s="124"/>
      <c r="T2911" s="126">
        <f>IFERROR(__xludf.DUMMYFUNCTION("""COMPUTED_VALUE"""),46070.0)</f>
        <v>46070</v>
      </c>
      <c r="U2911" s="124" t="str">
        <f>IFERROR(__xludf.DUMMYFUNCTION("""COMPUTED_VALUE"""),"Paid Ads")</f>
        <v>Paid Ads</v>
      </c>
      <c r="V2911" s="124" t="str">
        <f>IFERROR(__xludf.DUMMYFUNCTION("""COMPUTED_VALUE"""),"google")</f>
        <v>google</v>
      </c>
      <c r="W2911" s="124" t="str">
        <f>IFERROR(__xludf.DUMMYFUNCTION("""COMPUTED_VALUE"""),"cpc")</f>
        <v>cpc</v>
      </c>
      <c r="X2911" s="124">
        <f>IFERROR(__xludf.DUMMYFUNCTION("""COMPUTED_VALUE"""),2.2758016291E10)</f>
        <v>22758016291</v>
      </c>
      <c r="Y2911" s="124" t="str">
        <f>IFERROR(__xludf.DUMMYFUNCTION("""COMPUTED_VALUE"""),"Delhi")</f>
        <v>Delhi</v>
      </c>
      <c r="Z2911" s="124">
        <f>IFERROR(__xludf.DUMMYFUNCTION("""COMPUTED_VALUE"""),1.0)</f>
        <v>1</v>
      </c>
      <c r="AA2911" s="124" t="str">
        <f>IFERROR(__xludf.DUMMYFUNCTION("""COMPUTED_VALUE"""),"Not Interested")</f>
        <v>Not Interested</v>
      </c>
      <c r="AB2911" s="124" t="str">
        <f>IFERROR(__xludf.DUMMYFUNCTION("""COMPUTED_VALUE"""),"State PCS")</f>
        <v>State PCS</v>
      </c>
    </row>
    <row r="2912">
      <c r="K2912" s="124"/>
      <c r="L2912" s="124"/>
      <c r="M2912" s="124"/>
      <c r="N2912" s="124"/>
      <c r="O2912" s="124"/>
      <c r="T2912" s="129">
        <f>IFERROR(__xludf.DUMMYFUNCTION("""COMPUTED_VALUE"""),46063.0)</f>
        <v>46063</v>
      </c>
      <c r="U2912" s="124" t="str">
        <f>IFERROR(__xludf.DUMMYFUNCTION("""COMPUTED_VALUE"""),"Walk-Ins")</f>
        <v>Walk-Ins</v>
      </c>
      <c r="V2912" s="124" t="str">
        <f>IFERROR(__xludf.DUMMYFUNCTION("""COMPUTED_VALUE"""),"Walk-In")</f>
        <v>Walk-In</v>
      </c>
      <c r="W2912" s="124" t="str">
        <f>IFERROR(__xludf.DUMMYFUNCTION("""COMPUTED_VALUE"""),"Patna")</f>
        <v>Patna</v>
      </c>
      <c r="X2912" s="124" t="str">
        <f>IFERROR(__xludf.DUMMYFUNCTION("""COMPUTED_VALUE"""),"Patna")</f>
        <v>Patna</v>
      </c>
      <c r="Y2912" s="124"/>
      <c r="Z2912" s="124">
        <f>IFERROR(__xludf.DUMMYFUNCTION("""COMPUTED_VALUE"""),1.0)</f>
        <v>1</v>
      </c>
      <c r="AA2912" s="124" t="str">
        <f>IFERROR(__xludf.DUMMYFUNCTION("""COMPUTED_VALUE"""),"Fake Lead")</f>
        <v>Fake Lead</v>
      </c>
      <c r="AB2912" s="124" t="str">
        <f>IFERROR(__xludf.DUMMYFUNCTION("""COMPUTED_VALUE"""),"GS Foundation")</f>
        <v>GS Foundation</v>
      </c>
    </row>
    <row r="2913">
      <c r="K2913" s="124"/>
      <c r="L2913" s="124"/>
      <c r="M2913" s="124"/>
      <c r="N2913" s="124"/>
      <c r="O2913" s="124"/>
      <c r="T2913" s="129">
        <f>IFERROR(__xludf.DUMMYFUNCTION("""COMPUTED_VALUE"""),46097.0)</f>
        <v>46097</v>
      </c>
      <c r="U2913" s="124" t="str">
        <f>IFERROR(__xludf.DUMMYFUNCTION("""COMPUTED_VALUE"""),"Event")</f>
        <v>Event</v>
      </c>
      <c r="V2913" s="124" t="str">
        <f>IFERROR(__xludf.DUMMYFUNCTION("""COMPUTED_VALUE"""),"events")</f>
        <v>events</v>
      </c>
      <c r="W2913" s="124" t="str">
        <f>IFERROR(__xludf.DUMMYFUNCTION("""COMPUTED_VALUE"""),"prayagraj")</f>
        <v>prayagraj</v>
      </c>
      <c r="X2913" s="124" t="str">
        <f>IFERROR(__xludf.DUMMYFUNCTION("""COMPUTED_VALUE"""),"seminar")</f>
        <v>seminar</v>
      </c>
      <c r="Y2913" s="124" t="str">
        <f>IFERROR(__xludf.DUMMYFUNCTION("""COMPUTED_VALUE"""),"Prayagraj")</f>
        <v>Prayagraj</v>
      </c>
      <c r="Z2913" s="124">
        <f>IFERROR(__xludf.DUMMYFUNCTION("""COMPUTED_VALUE"""),1.0)</f>
        <v>1</v>
      </c>
      <c r="AA2913" s="124" t="str">
        <f>IFERROR(__xludf.DUMMYFUNCTION("""COMPUTED_VALUE"""),"Cold")</f>
        <v>Cold</v>
      </c>
      <c r="AB2913" s="124"/>
    </row>
    <row r="2914">
      <c r="K2914" s="124"/>
      <c r="L2914" s="124"/>
      <c r="M2914" s="124"/>
      <c r="N2914" s="124"/>
      <c r="O2914" s="124"/>
      <c r="T2914" s="129">
        <f>IFERROR(__xludf.DUMMYFUNCTION("""COMPUTED_VALUE"""),46094.0)</f>
        <v>46094</v>
      </c>
      <c r="U2914" s="124" t="str">
        <f>IFERROR(__xludf.DUMMYFUNCTION("""COMPUTED_VALUE"""),"External Leads")</f>
        <v>External Leads</v>
      </c>
      <c r="V2914" s="124" t="str">
        <f>IFERROR(__xludf.DUMMYFUNCTION("""COMPUTED_VALUE"""),"external leads")</f>
        <v>external leads</v>
      </c>
      <c r="W2914" s="124" t="str">
        <f>IFERROR(__xludf.DUMMYFUNCTION("""COMPUTED_VALUE"""),"lucknow")</f>
        <v>lucknow</v>
      </c>
      <c r="X2914" s="124" t="str">
        <f>IFERROR(__xludf.DUMMYFUNCTION("""COMPUTED_VALUE"""),"justdial")</f>
        <v>justdial</v>
      </c>
      <c r="Y2914" s="124" t="str">
        <f>IFERROR(__xludf.DUMMYFUNCTION("""COMPUTED_VALUE"""),"Lucknow")</f>
        <v>Lucknow</v>
      </c>
      <c r="Z2914" s="124">
        <f>IFERROR(__xludf.DUMMYFUNCTION("""COMPUTED_VALUE"""),1.0)</f>
        <v>1</v>
      </c>
      <c r="AA2914" s="124" t="str">
        <f>IFERROR(__xludf.DUMMYFUNCTION("""COMPUTED_VALUE"""),"Fake Lead")</f>
        <v>Fake Lead</v>
      </c>
      <c r="AB2914" s="124"/>
    </row>
    <row r="2915">
      <c r="K2915" s="124"/>
      <c r="L2915" s="124"/>
      <c r="M2915" s="124"/>
      <c r="N2915" s="124"/>
      <c r="O2915" s="124"/>
      <c r="T2915" s="129">
        <f>IFERROR(__xludf.DUMMYFUNCTION("""COMPUTED_VALUE"""),46089.0)</f>
        <v>46089</v>
      </c>
      <c r="U2915" s="124" t="str">
        <f>IFERROR(__xludf.DUMMYFUNCTION("""COMPUTED_VALUE"""),"Walk-Ins")</f>
        <v>Walk-Ins</v>
      </c>
      <c r="V2915" s="124" t="str">
        <f>IFERROR(__xludf.DUMMYFUNCTION("""COMPUTED_VALUE"""),"Walkin")</f>
        <v>Walkin</v>
      </c>
      <c r="W2915" s="124" t="str">
        <f>IFERROR(__xludf.DUMMYFUNCTION("""COMPUTED_VALUE"""),"Prayagraj")</f>
        <v>Prayagraj</v>
      </c>
      <c r="X2915" s="124" t="str">
        <f>IFERROR(__xludf.DUMMYFUNCTION("""COMPUTED_VALUE"""),"Walkin")</f>
        <v>Walkin</v>
      </c>
      <c r="Y2915" s="124" t="str">
        <f>IFERROR(__xludf.DUMMYFUNCTION("""COMPUTED_VALUE"""),"Prayagraj")</f>
        <v>Prayagraj</v>
      </c>
      <c r="Z2915" s="124">
        <f>IFERROR(__xludf.DUMMYFUNCTION("""COMPUTED_VALUE"""),1.0)</f>
        <v>1</v>
      </c>
      <c r="AA2915" s="124" t="str">
        <f>IFERROR(__xludf.DUMMYFUNCTION("""COMPUTED_VALUE"""),"Warm")</f>
        <v>Warm</v>
      </c>
      <c r="AB2915" s="124" t="str">
        <f>IFERROR(__xludf.DUMMYFUNCTION("""COMPUTED_VALUE"""),"GS Foundation")</f>
        <v>GS Foundation</v>
      </c>
    </row>
    <row r="2916">
      <c r="K2916" s="124"/>
      <c r="L2916" s="124"/>
      <c r="M2916" s="124"/>
      <c r="N2916" s="124"/>
      <c r="O2916" s="124"/>
      <c r="T2916" s="129">
        <f>IFERROR(__xludf.DUMMYFUNCTION("""COMPUTED_VALUE"""),46092.0)</f>
        <v>46092</v>
      </c>
      <c r="U2916" s="124" t="str">
        <f>IFERROR(__xludf.DUMMYFUNCTION("""COMPUTED_VALUE"""),"Walk-Ins")</f>
        <v>Walk-Ins</v>
      </c>
      <c r="V2916" s="124" t="str">
        <f>IFERROR(__xludf.DUMMYFUNCTION("""COMPUTED_VALUE"""),"Walkin")</f>
        <v>Walkin</v>
      </c>
      <c r="W2916" s="124" t="str">
        <f>IFERROR(__xludf.DUMMYFUNCTION("""COMPUTED_VALUE"""),"Lucknow")</f>
        <v>Lucknow</v>
      </c>
      <c r="X2916" s="124" t="str">
        <f>IFERROR(__xludf.DUMMYFUNCTION("""COMPUTED_VALUE"""),"Walkin")</f>
        <v>Walkin</v>
      </c>
      <c r="Y2916" s="124" t="str">
        <f>IFERROR(__xludf.DUMMYFUNCTION("""COMPUTED_VALUE"""),"Lucknow")</f>
        <v>Lucknow</v>
      </c>
      <c r="Z2916" s="124">
        <f>IFERROR(__xludf.DUMMYFUNCTION("""COMPUTED_VALUE"""),2.0)</f>
        <v>2</v>
      </c>
      <c r="AA2916" s="124" t="str">
        <f>IFERROR(__xludf.DUMMYFUNCTION("""COMPUTED_VALUE"""),"Not Interested")</f>
        <v>Not Interested</v>
      </c>
      <c r="AB2916" s="124" t="str">
        <f>IFERROR(__xludf.DUMMYFUNCTION("""COMPUTED_VALUE"""),"GS Foundation")</f>
        <v>GS Foundation</v>
      </c>
    </row>
    <row r="2917">
      <c r="K2917" s="124"/>
      <c r="L2917" s="124"/>
      <c r="M2917" s="124"/>
      <c r="N2917" s="124"/>
      <c r="O2917" s="124"/>
      <c r="T2917" s="129">
        <f>IFERROR(__xludf.DUMMYFUNCTION("""COMPUTED_VALUE"""),46060.0)</f>
        <v>46060</v>
      </c>
      <c r="U2917" s="124" t="str">
        <f>IFERROR(__xludf.DUMMYFUNCTION("""COMPUTED_VALUE"""),"Walk-Ins")</f>
        <v>Walk-Ins</v>
      </c>
      <c r="V2917" s="124" t="str">
        <f>IFERROR(__xludf.DUMMYFUNCTION("""COMPUTED_VALUE"""),"Walkin")</f>
        <v>Walkin</v>
      </c>
      <c r="W2917" s="124" t="str">
        <f>IFERROR(__xludf.DUMMYFUNCTION("""COMPUTED_VALUE"""),"Lucknow")</f>
        <v>Lucknow</v>
      </c>
      <c r="X2917" s="124" t="str">
        <f>IFERROR(__xludf.DUMMYFUNCTION("""COMPUTED_VALUE"""),"Walkin")</f>
        <v>Walkin</v>
      </c>
      <c r="Y2917" s="124" t="str">
        <f>IFERROR(__xludf.DUMMYFUNCTION("""COMPUTED_VALUE"""),"Lucknow")</f>
        <v>Lucknow</v>
      </c>
      <c r="Z2917" s="124">
        <f>IFERROR(__xludf.DUMMYFUNCTION("""COMPUTED_VALUE"""),1.0)</f>
        <v>1</v>
      </c>
      <c r="AA2917" s="124" t="str">
        <f>IFERROR(__xludf.DUMMYFUNCTION("""COMPUTED_VALUE"""),"Not Interested")</f>
        <v>Not Interested</v>
      </c>
      <c r="AB2917" s="124" t="str">
        <f>IFERROR(__xludf.DUMMYFUNCTION("""COMPUTED_VALUE"""),"State PCS")</f>
        <v>State PCS</v>
      </c>
    </row>
    <row r="2918">
      <c r="K2918" s="124"/>
      <c r="L2918" s="124"/>
      <c r="M2918" s="124"/>
      <c r="N2918" s="124"/>
      <c r="O2918" s="124"/>
      <c r="T2918" s="126">
        <f>IFERROR(__xludf.DUMMYFUNCTION("""COMPUTED_VALUE"""),46054.0)</f>
        <v>46054</v>
      </c>
      <c r="U2918" s="124" t="str">
        <f>IFERROR(__xludf.DUMMYFUNCTION("""COMPUTED_VALUE"""),"Walk-Ins")</f>
        <v>Walk-Ins</v>
      </c>
      <c r="V2918" s="124" t="str">
        <f>IFERROR(__xludf.DUMMYFUNCTION("""COMPUTED_VALUE"""),"Walkin")</f>
        <v>Walkin</v>
      </c>
      <c r="W2918" s="124" t="str">
        <f>IFERROR(__xludf.DUMMYFUNCTION("""COMPUTED_VALUE"""),"Indore")</f>
        <v>Indore</v>
      </c>
      <c r="X2918" s="124" t="str">
        <f>IFERROR(__xludf.DUMMYFUNCTION("""COMPUTED_VALUE"""),"Walkin")</f>
        <v>Walkin</v>
      </c>
      <c r="Y2918" s="124" t="str">
        <f>IFERROR(__xludf.DUMMYFUNCTION("""COMPUTED_VALUE"""),"Indore")</f>
        <v>Indore</v>
      </c>
      <c r="Z2918" s="124">
        <f>IFERROR(__xludf.DUMMYFUNCTION("""COMPUTED_VALUE"""),1.0)</f>
        <v>1</v>
      </c>
      <c r="AA2918" s="124" t="str">
        <f>IFERROR(__xludf.DUMMYFUNCTION("""COMPUTED_VALUE"""),"Cold")</f>
        <v>Cold</v>
      </c>
      <c r="AB2918" s="124" t="str">
        <f>IFERROR(__xludf.DUMMYFUNCTION("""COMPUTED_VALUE"""),"GS Foundation")</f>
        <v>GS Foundation</v>
      </c>
    </row>
    <row r="2919">
      <c r="K2919" s="124"/>
      <c r="L2919" s="124"/>
      <c r="M2919" s="124"/>
      <c r="N2919" s="124"/>
      <c r="O2919" s="124"/>
      <c r="T2919" s="126">
        <f>IFERROR(__xludf.DUMMYFUNCTION("""COMPUTED_VALUE"""),46104.0)</f>
        <v>46104</v>
      </c>
      <c r="U2919" s="124" t="str">
        <f>IFERROR(__xludf.DUMMYFUNCTION("""COMPUTED_VALUE"""),"Walk-Ins")</f>
        <v>Walk-Ins</v>
      </c>
      <c r="V2919" s="124" t="str">
        <f>IFERROR(__xludf.DUMMYFUNCTION("""COMPUTED_VALUE"""),"Walkin")</f>
        <v>Walkin</v>
      </c>
      <c r="W2919" s="124" t="str">
        <f>IFERROR(__xludf.DUMMYFUNCTION("""COMPUTED_VALUE"""),"Prayagraj")</f>
        <v>Prayagraj</v>
      </c>
      <c r="X2919" s="124" t="str">
        <f>IFERROR(__xludf.DUMMYFUNCTION("""COMPUTED_VALUE"""),"Walkin")</f>
        <v>Walkin</v>
      </c>
      <c r="Y2919" s="124" t="str">
        <f>IFERROR(__xludf.DUMMYFUNCTION("""COMPUTED_VALUE"""),"Prayagraj")</f>
        <v>Prayagraj</v>
      </c>
      <c r="Z2919" s="124">
        <f>IFERROR(__xludf.DUMMYFUNCTION("""COMPUTED_VALUE"""),6.0)</f>
        <v>6</v>
      </c>
      <c r="AA2919" s="124" t="str">
        <f>IFERROR(__xludf.DUMMYFUNCTION("""COMPUTED_VALUE"""),"Warm")</f>
        <v>Warm</v>
      </c>
      <c r="AB2919" s="124" t="str">
        <f>IFERROR(__xludf.DUMMYFUNCTION("""COMPUTED_VALUE"""),"GS Foundation")</f>
        <v>GS Foundation</v>
      </c>
    </row>
    <row r="2920">
      <c r="K2920" s="124"/>
      <c r="L2920" s="124"/>
      <c r="M2920" s="124"/>
      <c r="N2920" s="124"/>
      <c r="O2920" s="124"/>
      <c r="T2920" s="126">
        <f>IFERROR(__xludf.DUMMYFUNCTION("""COMPUTED_VALUE"""),46050.0)</f>
        <v>46050</v>
      </c>
      <c r="U2920" s="124" t="str">
        <f>IFERROR(__xludf.DUMMYFUNCTION("""COMPUTED_VALUE"""),"Walk-Ins")</f>
        <v>Walk-Ins</v>
      </c>
      <c r="V2920" s="124" t="str">
        <f>IFERROR(__xludf.DUMMYFUNCTION("""COMPUTED_VALUE"""),"Walkin")</f>
        <v>Walkin</v>
      </c>
      <c r="W2920" s="124" t="str">
        <f>IFERROR(__xludf.DUMMYFUNCTION("""COMPUTED_VALUE"""),"Prayagraj")</f>
        <v>Prayagraj</v>
      </c>
      <c r="X2920" s="124" t="str">
        <f>IFERROR(__xludf.DUMMYFUNCTION("""COMPUTED_VALUE"""),"Walkin")</f>
        <v>Walkin</v>
      </c>
      <c r="Y2920" s="124" t="str">
        <f>IFERROR(__xludf.DUMMYFUNCTION("""COMPUTED_VALUE"""),"Prayagraj")</f>
        <v>Prayagraj</v>
      </c>
      <c r="Z2920" s="124">
        <f>IFERROR(__xludf.DUMMYFUNCTION("""COMPUTED_VALUE"""),1.0)</f>
        <v>1</v>
      </c>
      <c r="AA2920" s="124" t="str">
        <f>IFERROR(__xludf.DUMMYFUNCTION("""COMPUTED_VALUE"""),"Warm")</f>
        <v>Warm</v>
      </c>
      <c r="AB2920" s="124" t="str">
        <f>IFERROR(__xludf.DUMMYFUNCTION("""COMPUTED_VALUE"""),"GS Foundation")</f>
        <v>GS Foundation</v>
      </c>
    </row>
    <row r="2921">
      <c r="K2921" s="124"/>
      <c r="L2921" s="124"/>
      <c r="M2921" s="124"/>
      <c r="N2921" s="124"/>
      <c r="O2921" s="124"/>
      <c r="T2921" s="126">
        <f>IFERROR(__xludf.DUMMYFUNCTION("""COMPUTED_VALUE"""),46104.0)</f>
        <v>46104</v>
      </c>
      <c r="U2921" s="124" t="str">
        <f>IFERROR(__xludf.DUMMYFUNCTION("""COMPUTED_VALUE"""),"Walk-Ins")</f>
        <v>Walk-Ins</v>
      </c>
      <c r="V2921" s="124" t="str">
        <f>IFERROR(__xludf.DUMMYFUNCTION("""COMPUTED_VALUE"""),"Walkin")</f>
        <v>Walkin</v>
      </c>
      <c r="W2921" s="124" t="str">
        <f>IFERROR(__xludf.DUMMYFUNCTION("""COMPUTED_VALUE"""),"Lucknow")</f>
        <v>Lucknow</v>
      </c>
      <c r="X2921" s="124" t="str">
        <f>IFERROR(__xludf.DUMMYFUNCTION("""COMPUTED_VALUE"""),"Walkin")</f>
        <v>Walkin</v>
      </c>
      <c r="Y2921" s="124" t="str">
        <f>IFERROR(__xludf.DUMMYFUNCTION("""COMPUTED_VALUE"""),"Lucknow")</f>
        <v>Lucknow</v>
      </c>
      <c r="Z2921" s="124">
        <f>IFERROR(__xludf.DUMMYFUNCTION("""COMPUTED_VALUE"""),1.0)</f>
        <v>1</v>
      </c>
      <c r="AA2921" s="124" t="str">
        <f>IFERROR(__xludf.DUMMYFUNCTION("""COMPUTED_VALUE"""),"Warm")</f>
        <v>Warm</v>
      </c>
      <c r="AB2921" s="124" t="str">
        <f>IFERROR(__xludf.DUMMYFUNCTION("""COMPUTED_VALUE"""),"Mentorship")</f>
        <v>Mentorship</v>
      </c>
    </row>
    <row r="2922">
      <c r="K2922" s="124"/>
      <c r="L2922" s="124"/>
      <c r="M2922" s="124"/>
      <c r="N2922" s="124"/>
      <c r="O2922" s="124"/>
      <c r="T2922" s="126">
        <f>IFERROR(__xludf.DUMMYFUNCTION("""COMPUTED_VALUE"""),46097.0)</f>
        <v>46097</v>
      </c>
      <c r="U2922" s="124" t="str">
        <f>IFERROR(__xludf.DUMMYFUNCTION("""COMPUTED_VALUE"""),"Walk-Ins")</f>
        <v>Walk-Ins</v>
      </c>
      <c r="V2922" s="124" t="str">
        <f>IFERROR(__xludf.DUMMYFUNCTION("""COMPUTED_VALUE"""),"Walkin")</f>
        <v>Walkin</v>
      </c>
      <c r="W2922" s="124" t="str">
        <f>IFERROR(__xludf.DUMMYFUNCTION("""COMPUTED_VALUE"""),"Indore")</f>
        <v>Indore</v>
      </c>
      <c r="X2922" s="124" t="str">
        <f>IFERROR(__xludf.DUMMYFUNCTION("""COMPUTED_VALUE"""),"Walkin")</f>
        <v>Walkin</v>
      </c>
      <c r="Y2922" s="124" t="str">
        <f>IFERROR(__xludf.DUMMYFUNCTION("""COMPUTED_VALUE"""),"Indore")</f>
        <v>Indore</v>
      </c>
      <c r="Z2922" s="124">
        <f>IFERROR(__xludf.DUMMYFUNCTION("""COMPUTED_VALUE"""),2.0)</f>
        <v>2</v>
      </c>
      <c r="AA2922" s="124" t="str">
        <f>IFERROR(__xludf.DUMMYFUNCTION("""COMPUTED_VALUE"""),"Enrolled")</f>
        <v>Enrolled</v>
      </c>
      <c r="AB2922" s="124" t="str">
        <f>IFERROR(__xludf.DUMMYFUNCTION("""COMPUTED_VALUE"""),"GS Foundation")</f>
        <v>GS Foundation</v>
      </c>
    </row>
    <row r="2923">
      <c r="K2923" s="124"/>
      <c r="L2923" s="124"/>
      <c r="M2923" s="124"/>
      <c r="N2923" s="124"/>
      <c r="O2923" s="124"/>
      <c r="T2923" s="126">
        <f>IFERROR(__xludf.DUMMYFUNCTION("""COMPUTED_VALUE"""),46090.0)</f>
        <v>46090</v>
      </c>
      <c r="U2923" s="124" t="str">
        <f>IFERROR(__xludf.DUMMYFUNCTION("""COMPUTED_VALUE"""),"Walk-Ins")</f>
        <v>Walk-Ins</v>
      </c>
      <c r="V2923" s="124" t="str">
        <f>IFERROR(__xludf.DUMMYFUNCTION("""COMPUTED_VALUE"""),"Walkin")</f>
        <v>Walkin</v>
      </c>
      <c r="W2923" s="124" t="str">
        <f>IFERROR(__xludf.DUMMYFUNCTION("""COMPUTED_VALUE"""),"Patna")</f>
        <v>Patna</v>
      </c>
      <c r="X2923" s="124" t="str">
        <f>IFERROR(__xludf.DUMMYFUNCTION("""COMPUTED_VALUE"""),"Walkin")</f>
        <v>Walkin</v>
      </c>
      <c r="Y2923" s="124" t="str">
        <f>IFERROR(__xludf.DUMMYFUNCTION("""COMPUTED_VALUE"""),"Patna")</f>
        <v>Patna</v>
      </c>
      <c r="Z2923" s="124">
        <f>IFERROR(__xludf.DUMMYFUNCTION("""COMPUTED_VALUE"""),2.0)</f>
        <v>2</v>
      </c>
      <c r="AA2923" s="124" t="str">
        <f>IFERROR(__xludf.DUMMYFUNCTION("""COMPUTED_VALUE"""),"Fake Lead")</f>
        <v>Fake Lead</v>
      </c>
      <c r="AB2923" s="124" t="str">
        <f>IFERROR(__xludf.DUMMYFUNCTION("""COMPUTED_VALUE"""),"State PCS")</f>
        <v>State PCS</v>
      </c>
    </row>
    <row r="2924">
      <c r="K2924" s="124"/>
      <c r="L2924" s="124"/>
      <c r="M2924" s="124"/>
      <c r="N2924" s="124"/>
      <c r="O2924" s="124"/>
      <c r="T2924" s="126">
        <f>IFERROR(__xludf.DUMMYFUNCTION("""COMPUTED_VALUE"""),46065.0)</f>
        <v>46065</v>
      </c>
      <c r="U2924" s="124" t="str">
        <f>IFERROR(__xludf.DUMMYFUNCTION("""COMPUTED_VALUE"""),"Walk-Ins")</f>
        <v>Walk-Ins</v>
      </c>
      <c r="V2924" s="124" t="str">
        <f>IFERROR(__xludf.DUMMYFUNCTION("""COMPUTED_VALUE"""),"Walkin")</f>
        <v>Walkin</v>
      </c>
      <c r="W2924" s="124" t="str">
        <f>IFERROR(__xludf.DUMMYFUNCTION("""COMPUTED_VALUE"""),"Indore")</f>
        <v>Indore</v>
      </c>
      <c r="X2924" s="124" t="str">
        <f>IFERROR(__xludf.DUMMYFUNCTION("""COMPUTED_VALUE"""),"Walkin")</f>
        <v>Walkin</v>
      </c>
      <c r="Y2924" s="124" t="str">
        <f>IFERROR(__xludf.DUMMYFUNCTION("""COMPUTED_VALUE"""),"Indore")</f>
        <v>Indore</v>
      </c>
      <c r="Z2924" s="124">
        <f>IFERROR(__xludf.DUMMYFUNCTION("""COMPUTED_VALUE"""),1.0)</f>
        <v>1</v>
      </c>
      <c r="AA2924" s="124" t="str">
        <f>IFERROR(__xludf.DUMMYFUNCTION("""COMPUTED_VALUE"""),"Future Prospects")</f>
        <v>Future Prospects</v>
      </c>
      <c r="AB2924" s="124" t="str">
        <f>IFERROR(__xludf.DUMMYFUNCTION("""COMPUTED_VALUE"""),"State PCS")</f>
        <v>State PCS</v>
      </c>
    </row>
    <row r="2925">
      <c r="K2925" s="124"/>
      <c r="L2925" s="124"/>
      <c r="M2925" s="124"/>
      <c r="N2925" s="124"/>
      <c r="O2925" s="124"/>
      <c r="T2925" s="129">
        <f>IFERROR(__xludf.DUMMYFUNCTION("""COMPUTED_VALUE"""),46062.0)</f>
        <v>46062</v>
      </c>
      <c r="U2925" s="124" t="str">
        <f>IFERROR(__xludf.DUMMYFUNCTION("""COMPUTED_VALUE"""),"Walk-Ins")</f>
        <v>Walk-Ins</v>
      </c>
      <c r="V2925" s="124" t="str">
        <f>IFERROR(__xludf.DUMMYFUNCTION("""COMPUTED_VALUE"""),"Walkin")</f>
        <v>Walkin</v>
      </c>
      <c r="W2925" s="124" t="str">
        <f>IFERROR(__xludf.DUMMYFUNCTION("""COMPUTED_VALUE"""),"Patna")</f>
        <v>Patna</v>
      </c>
      <c r="X2925" s="124" t="str">
        <f>IFERROR(__xludf.DUMMYFUNCTION("""COMPUTED_VALUE"""),"Walkin")</f>
        <v>Walkin</v>
      </c>
      <c r="Y2925" s="124" t="str">
        <f>IFERROR(__xludf.DUMMYFUNCTION("""COMPUTED_VALUE"""),"Patna")</f>
        <v>Patna</v>
      </c>
      <c r="Z2925" s="124">
        <f>IFERROR(__xludf.DUMMYFUNCTION("""COMPUTED_VALUE"""),1.0)</f>
        <v>1</v>
      </c>
      <c r="AA2925" s="124" t="str">
        <f>IFERROR(__xludf.DUMMYFUNCTION("""COMPUTED_VALUE"""),"Not Interested")</f>
        <v>Not Interested</v>
      </c>
      <c r="AB2925" s="124" t="str">
        <f>IFERROR(__xludf.DUMMYFUNCTION("""COMPUTED_VALUE"""),"State PCS")</f>
        <v>State PCS</v>
      </c>
    </row>
    <row r="2926">
      <c r="K2926" s="124"/>
      <c r="L2926" s="124"/>
      <c r="M2926" s="124"/>
      <c r="N2926" s="124"/>
      <c r="O2926" s="124"/>
      <c r="T2926" s="129">
        <f>IFERROR(__xludf.DUMMYFUNCTION("""COMPUTED_VALUE"""),46105.0)</f>
        <v>46105</v>
      </c>
      <c r="U2926" s="124" t="str">
        <f>IFERROR(__xludf.DUMMYFUNCTION("""COMPUTED_VALUE"""),"Walk-Ins")</f>
        <v>Walk-Ins</v>
      </c>
      <c r="V2926" s="124" t="str">
        <f>IFERROR(__xludf.DUMMYFUNCTION("""COMPUTED_VALUE"""),"Walkin")</f>
        <v>Walkin</v>
      </c>
      <c r="W2926" s="124" t="str">
        <f>IFERROR(__xludf.DUMMYFUNCTION("""COMPUTED_VALUE"""),"Prayagraj")</f>
        <v>Prayagraj</v>
      </c>
      <c r="X2926" s="124" t="str">
        <f>IFERROR(__xludf.DUMMYFUNCTION("""COMPUTED_VALUE"""),"Walkin")</f>
        <v>Walkin</v>
      </c>
      <c r="Y2926" s="124" t="str">
        <f>IFERROR(__xludf.DUMMYFUNCTION("""COMPUTED_VALUE"""),"Prayagraj")</f>
        <v>Prayagraj</v>
      </c>
      <c r="Z2926" s="124">
        <f>IFERROR(__xludf.DUMMYFUNCTION("""COMPUTED_VALUE"""),5.0)</f>
        <v>5</v>
      </c>
      <c r="AA2926" s="124" t="str">
        <f>IFERROR(__xludf.DUMMYFUNCTION("""COMPUTED_VALUE"""),"Warm")</f>
        <v>Warm</v>
      </c>
      <c r="AB2926" s="124" t="str">
        <f>IFERROR(__xludf.DUMMYFUNCTION("""COMPUTED_VALUE"""),"GS Foundation")</f>
        <v>GS Foundation</v>
      </c>
    </row>
    <row r="2927">
      <c r="K2927" s="124"/>
      <c r="L2927" s="124"/>
      <c r="M2927" s="124"/>
      <c r="N2927" s="124"/>
      <c r="O2927" s="124"/>
      <c r="T2927" s="129">
        <f>IFERROR(__xludf.DUMMYFUNCTION("""COMPUTED_VALUE"""),46058.0)</f>
        <v>46058</v>
      </c>
      <c r="U2927" s="124" t="str">
        <f>IFERROR(__xludf.DUMMYFUNCTION("""COMPUTED_VALUE"""),"Walk-Ins")</f>
        <v>Walk-Ins</v>
      </c>
      <c r="V2927" s="124" t="str">
        <f>IFERROR(__xludf.DUMMYFUNCTION("""COMPUTED_VALUE"""),"Walkin")</f>
        <v>Walkin</v>
      </c>
      <c r="W2927" s="124" t="str">
        <f>IFERROR(__xludf.DUMMYFUNCTION("""COMPUTED_VALUE"""),"Patna")</f>
        <v>Patna</v>
      </c>
      <c r="X2927" s="124" t="str">
        <f>IFERROR(__xludf.DUMMYFUNCTION("""COMPUTED_VALUE"""),"Walkin")</f>
        <v>Walkin</v>
      </c>
      <c r="Y2927" s="124" t="str">
        <f>IFERROR(__xludf.DUMMYFUNCTION("""COMPUTED_VALUE"""),"Patna")</f>
        <v>Patna</v>
      </c>
      <c r="Z2927" s="124">
        <f>IFERROR(__xludf.DUMMYFUNCTION("""COMPUTED_VALUE"""),2.0)</f>
        <v>2</v>
      </c>
      <c r="AA2927" s="124" t="str">
        <f>IFERROR(__xludf.DUMMYFUNCTION("""COMPUTED_VALUE"""),"Warm")</f>
        <v>Warm</v>
      </c>
      <c r="AB2927" s="124" t="str">
        <f>IFERROR(__xludf.DUMMYFUNCTION("""COMPUTED_VALUE"""),"State PCS")</f>
        <v>State PCS</v>
      </c>
    </row>
    <row r="2928">
      <c r="K2928" s="124"/>
      <c r="L2928" s="124"/>
      <c r="M2928" s="124"/>
      <c r="N2928" s="124"/>
      <c r="O2928" s="124"/>
      <c r="T2928" s="126">
        <f>IFERROR(__xludf.DUMMYFUNCTION("""COMPUTED_VALUE"""),46047.0)</f>
        <v>46047</v>
      </c>
      <c r="U2928" s="124" t="str">
        <f>IFERROR(__xludf.DUMMYFUNCTION("""COMPUTED_VALUE"""),"Walk-Ins")</f>
        <v>Walk-Ins</v>
      </c>
      <c r="V2928" s="124" t="str">
        <f>IFERROR(__xludf.DUMMYFUNCTION("""COMPUTED_VALUE"""),"Walkin")</f>
        <v>Walkin</v>
      </c>
      <c r="W2928" s="124" t="str">
        <f>IFERROR(__xludf.DUMMYFUNCTION("""COMPUTED_VALUE"""),"Lucknow")</f>
        <v>Lucknow</v>
      </c>
      <c r="X2928" s="124" t="str">
        <f>IFERROR(__xludf.DUMMYFUNCTION("""COMPUTED_VALUE"""),"Walkin")</f>
        <v>Walkin</v>
      </c>
      <c r="Y2928" s="124" t="str">
        <f>IFERROR(__xludf.DUMMYFUNCTION("""COMPUTED_VALUE"""),"Lucknow")</f>
        <v>Lucknow</v>
      </c>
      <c r="Z2928" s="124">
        <f>IFERROR(__xludf.DUMMYFUNCTION("""COMPUTED_VALUE"""),1.0)</f>
        <v>1</v>
      </c>
      <c r="AA2928" s="124" t="str">
        <f>IFERROR(__xludf.DUMMYFUNCTION("""COMPUTED_VALUE"""),"Future Prospects")</f>
        <v>Future Prospects</v>
      </c>
      <c r="AB2928" s="124" t="str">
        <f>IFERROR(__xludf.DUMMYFUNCTION("""COMPUTED_VALUE"""),"GS Foundation")</f>
        <v>GS Foundation</v>
      </c>
    </row>
    <row r="2929">
      <c r="K2929" s="124"/>
      <c r="L2929" s="124"/>
      <c r="M2929" s="124"/>
      <c r="N2929" s="124"/>
      <c r="O2929" s="124"/>
      <c r="T2929" s="129">
        <f>IFERROR(__xludf.DUMMYFUNCTION("""COMPUTED_VALUE"""),46065.0)</f>
        <v>46065</v>
      </c>
      <c r="U2929" s="124" t="str">
        <f>IFERROR(__xludf.DUMMYFUNCTION("""COMPUTED_VALUE"""),"Walk-Ins")</f>
        <v>Walk-Ins</v>
      </c>
      <c r="V2929" s="124" t="str">
        <f>IFERROR(__xludf.DUMMYFUNCTION("""COMPUTED_VALUE"""),"Walkin")</f>
        <v>Walkin</v>
      </c>
      <c r="W2929" s="124" t="str">
        <f>IFERROR(__xludf.DUMMYFUNCTION("""COMPUTED_VALUE"""),"Patna")</f>
        <v>Patna</v>
      </c>
      <c r="X2929" s="124" t="str">
        <f>IFERROR(__xludf.DUMMYFUNCTION("""COMPUTED_VALUE"""),"Walkin")</f>
        <v>Walkin</v>
      </c>
      <c r="Y2929" s="124" t="str">
        <f>IFERROR(__xludf.DUMMYFUNCTION("""COMPUTED_VALUE"""),"Patna")</f>
        <v>Patna</v>
      </c>
      <c r="Z2929" s="124">
        <f>IFERROR(__xludf.DUMMYFUNCTION("""COMPUTED_VALUE"""),1.0)</f>
        <v>1</v>
      </c>
      <c r="AA2929" s="124" t="str">
        <f>IFERROR(__xludf.DUMMYFUNCTION("""COMPUTED_VALUE"""),"Not Interested")</f>
        <v>Not Interested</v>
      </c>
      <c r="AB2929" s="124" t="str">
        <f>IFERROR(__xludf.DUMMYFUNCTION("""COMPUTED_VALUE"""),"State PCS")</f>
        <v>State PCS</v>
      </c>
    </row>
    <row r="2930">
      <c r="K2930" s="124"/>
      <c r="L2930" s="124"/>
      <c r="M2930" s="124"/>
      <c r="N2930" s="124"/>
      <c r="O2930" s="124"/>
      <c r="T2930" s="126">
        <f>IFERROR(__xludf.DUMMYFUNCTION("""COMPUTED_VALUE"""),46106.0)</f>
        <v>46106</v>
      </c>
      <c r="U2930" s="124" t="str">
        <f>IFERROR(__xludf.DUMMYFUNCTION("""COMPUTED_VALUE"""),"Walk-Ins")</f>
        <v>Walk-Ins</v>
      </c>
      <c r="V2930" s="124" t="str">
        <f>IFERROR(__xludf.DUMMYFUNCTION("""COMPUTED_VALUE"""),"Walkin")</f>
        <v>Walkin</v>
      </c>
      <c r="W2930" s="124" t="str">
        <f>IFERROR(__xludf.DUMMYFUNCTION("""COMPUTED_VALUE"""),"Prayagraj")</f>
        <v>Prayagraj</v>
      </c>
      <c r="X2930" s="124" t="str">
        <f>IFERROR(__xludf.DUMMYFUNCTION("""COMPUTED_VALUE"""),"Walkin")</f>
        <v>Walkin</v>
      </c>
      <c r="Y2930" s="124" t="str">
        <f>IFERROR(__xludf.DUMMYFUNCTION("""COMPUTED_VALUE"""),"Prayagraj")</f>
        <v>Prayagraj</v>
      </c>
      <c r="Z2930" s="124">
        <f>IFERROR(__xludf.DUMMYFUNCTION("""COMPUTED_VALUE"""),1.0)</f>
        <v>1</v>
      </c>
      <c r="AA2930" s="124" t="str">
        <f>IFERROR(__xludf.DUMMYFUNCTION("""COMPUTED_VALUE"""),"Future Prospects")</f>
        <v>Future Prospects</v>
      </c>
      <c r="AB2930" s="124" t="str">
        <f>IFERROR(__xludf.DUMMYFUNCTION("""COMPUTED_VALUE"""),"Mentorship")</f>
        <v>Mentorship</v>
      </c>
    </row>
    <row r="2931">
      <c r="K2931" s="124"/>
      <c r="L2931" s="124"/>
      <c r="M2931" s="124"/>
      <c r="N2931" s="124"/>
      <c r="O2931" s="124"/>
      <c r="T2931" s="126">
        <f>IFERROR(__xludf.DUMMYFUNCTION("""COMPUTED_VALUE"""),46069.0)</f>
        <v>46069</v>
      </c>
      <c r="U2931" s="124" t="str">
        <f>IFERROR(__xludf.DUMMYFUNCTION("""COMPUTED_VALUE"""),"Walk-Ins")</f>
        <v>Walk-Ins</v>
      </c>
      <c r="V2931" s="124" t="str">
        <f>IFERROR(__xludf.DUMMYFUNCTION("""COMPUTED_VALUE"""),"Walkin")</f>
        <v>Walkin</v>
      </c>
      <c r="W2931" s="124" t="str">
        <f>IFERROR(__xludf.DUMMYFUNCTION("""COMPUTED_VALUE"""),"Patna")</f>
        <v>Patna</v>
      </c>
      <c r="X2931" s="124" t="str">
        <f>IFERROR(__xludf.DUMMYFUNCTION("""COMPUTED_VALUE"""),"Walkin")</f>
        <v>Walkin</v>
      </c>
      <c r="Y2931" s="124" t="str">
        <f>IFERROR(__xludf.DUMMYFUNCTION("""COMPUTED_VALUE"""),"Patna")</f>
        <v>Patna</v>
      </c>
      <c r="Z2931" s="124">
        <f>IFERROR(__xludf.DUMMYFUNCTION("""COMPUTED_VALUE"""),1.0)</f>
        <v>1</v>
      </c>
      <c r="AA2931" s="124" t="str">
        <f>IFERROR(__xludf.DUMMYFUNCTION("""COMPUTED_VALUE"""),"Not Interested")</f>
        <v>Not Interested</v>
      </c>
      <c r="AB2931" s="124" t="str">
        <f>IFERROR(__xludf.DUMMYFUNCTION("""COMPUTED_VALUE"""),"State PCS")</f>
        <v>State PCS</v>
      </c>
    </row>
    <row r="2932">
      <c r="K2932" s="124"/>
      <c r="L2932" s="124"/>
      <c r="M2932" s="124"/>
      <c r="N2932" s="124"/>
      <c r="O2932" s="124"/>
      <c r="T2932" s="126">
        <f>IFERROR(__xludf.DUMMYFUNCTION("""COMPUTED_VALUE"""),46070.0)</f>
        <v>46070</v>
      </c>
      <c r="U2932" s="124" t="str">
        <f>IFERROR(__xludf.DUMMYFUNCTION("""COMPUTED_VALUE"""),"Walk-Ins")</f>
        <v>Walk-Ins</v>
      </c>
      <c r="V2932" s="124" t="str">
        <f>IFERROR(__xludf.DUMMYFUNCTION("""COMPUTED_VALUE"""),"Walkin")</f>
        <v>Walkin</v>
      </c>
      <c r="W2932" s="124" t="str">
        <f>IFERROR(__xludf.DUMMYFUNCTION("""COMPUTED_VALUE"""),"Indore")</f>
        <v>Indore</v>
      </c>
      <c r="X2932" s="124" t="str">
        <f>IFERROR(__xludf.DUMMYFUNCTION("""COMPUTED_VALUE"""),"Walkin")</f>
        <v>Walkin</v>
      </c>
      <c r="Y2932" s="124" t="str">
        <f>IFERROR(__xludf.DUMMYFUNCTION("""COMPUTED_VALUE"""),"Indore")</f>
        <v>Indore</v>
      </c>
      <c r="Z2932" s="124">
        <f>IFERROR(__xludf.DUMMYFUNCTION("""COMPUTED_VALUE"""),1.0)</f>
        <v>1</v>
      </c>
      <c r="AA2932" s="124" t="str">
        <f>IFERROR(__xludf.DUMMYFUNCTION("""COMPUTED_VALUE"""),"Future Prospects")</f>
        <v>Future Prospects</v>
      </c>
      <c r="AB2932" s="124" t="str">
        <f>IFERROR(__xludf.DUMMYFUNCTION("""COMPUTED_VALUE"""),"GS Foundation")</f>
        <v>GS Foundation</v>
      </c>
    </row>
    <row r="2933">
      <c r="K2933" s="124"/>
      <c r="L2933" s="124"/>
      <c r="M2933" s="124"/>
      <c r="N2933" s="124"/>
      <c r="O2933" s="124"/>
      <c r="T2933" s="129">
        <f>IFERROR(__xludf.DUMMYFUNCTION("""COMPUTED_VALUE"""),46104.0)</f>
        <v>46104</v>
      </c>
      <c r="U2933" s="124" t="str">
        <f>IFERROR(__xludf.DUMMYFUNCTION("""COMPUTED_VALUE"""),"Walk-Ins")</f>
        <v>Walk-Ins</v>
      </c>
      <c r="V2933" s="124" t="str">
        <f>IFERROR(__xludf.DUMMYFUNCTION("""COMPUTED_VALUE"""),"Walkin")</f>
        <v>Walkin</v>
      </c>
      <c r="W2933" s="124" t="str">
        <f>IFERROR(__xludf.DUMMYFUNCTION("""COMPUTED_VALUE"""),"Prayagraj")</f>
        <v>Prayagraj</v>
      </c>
      <c r="X2933" s="124" t="str">
        <f>IFERROR(__xludf.DUMMYFUNCTION("""COMPUTED_VALUE"""),"Walkin")</f>
        <v>Walkin</v>
      </c>
      <c r="Y2933" s="124" t="str">
        <f>IFERROR(__xludf.DUMMYFUNCTION("""COMPUTED_VALUE"""),"Prayagraj")</f>
        <v>Prayagraj</v>
      </c>
      <c r="Z2933" s="124">
        <f>IFERROR(__xludf.DUMMYFUNCTION("""COMPUTED_VALUE"""),2.0)</f>
        <v>2</v>
      </c>
      <c r="AA2933" s="124" t="str">
        <f>IFERROR(__xludf.DUMMYFUNCTION("""COMPUTED_VALUE"""),"Future Prospects")</f>
        <v>Future Prospects</v>
      </c>
      <c r="AB2933" s="124" t="str">
        <f>IFERROR(__xludf.DUMMYFUNCTION("""COMPUTED_VALUE"""),"GS Foundation")</f>
        <v>GS Foundation</v>
      </c>
    </row>
    <row r="2934">
      <c r="K2934" s="124"/>
      <c r="L2934" s="124"/>
      <c r="M2934" s="124"/>
      <c r="N2934" s="124"/>
      <c r="O2934" s="124"/>
      <c r="T2934" s="129">
        <f>IFERROR(__xludf.DUMMYFUNCTION("""COMPUTED_VALUE"""),46065.0)</f>
        <v>46065</v>
      </c>
      <c r="U2934" s="124" t="str">
        <f>IFERROR(__xludf.DUMMYFUNCTION("""COMPUTED_VALUE"""),"Walk-Ins")</f>
        <v>Walk-Ins</v>
      </c>
      <c r="V2934" s="124" t="str">
        <f>IFERROR(__xludf.DUMMYFUNCTION("""COMPUTED_VALUE"""),"Walkin")</f>
        <v>Walkin</v>
      </c>
      <c r="W2934" s="124" t="str">
        <f>IFERROR(__xludf.DUMMYFUNCTION("""COMPUTED_VALUE"""),"Lucknow")</f>
        <v>Lucknow</v>
      </c>
      <c r="X2934" s="124" t="str">
        <f>IFERROR(__xludf.DUMMYFUNCTION("""COMPUTED_VALUE"""),"Walkin")</f>
        <v>Walkin</v>
      </c>
      <c r="Y2934" s="124" t="str">
        <f>IFERROR(__xludf.DUMMYFUNCTION("""COMPUTED_VALUE"""),"Lucknow")</f>
        <v>Lucknow</v>
      </c>
      <c r="Z2934" s="124">
        <f>IFERROR(__xludf.DUMMYFUNCTION("""COMPUTED_VALUE"""),1.0)</f>
        <v>1</v>
      </c>
      <c r="AA2934" s="124" t="str">
        <f>IFERROR(__xludf.DUMMYFUNCTION("""COMPUTED_VALUE"""),"Not Interested")</f>
        <v>Not Interested</v>
      </c>
      <c r="AB2934" s="124" t="str">
        <f>IFERROR(__xludf.DUMMYFUNCTION("""COMPUTED_VALUE"""),"GS Foundation")</f>
        <v>GS Foundation</v>
      </c>
    </row>
    <row r="2935">
      <c r="K2935" s="124"/>
      <c r="L2935" s="124"/>
      <c r="M2935" s="124"/>
      <c r="N2935" s="124"/>
      <c r="O2935" s="124"/>
      <c r="T2935" s="126">
        <f>IFERROR(__xludf.DUMMYFUNCTION("""COMPUTED_VALUE"""),46060.0)</f>
        <v>46060</v>
      </c>
      <c r="U2935" s="124" t="str">
        <f>IFERROR(__xludf.DUMMYFUNCTION("""COMPUTED_VALUE"""),"Walk-Ins")</f>
        <v>Walk-Ins</v>
      </c>
      <c r="V2935" s="124" t="str">
        <f>IFERROR(__xludf.DUMMYFUNCTION("""COMPUTED_VALUE"""),"Walkin")</f>
        <v>Walkin</v>
      </c>
      <c r="W2935" s="124" t="str">
        <f>IFERROR(__xludf.DUMMYFUNCTION("""COMPUTED_VALUE"""),"Patna")</f>
        <v>Patna</v>
      </c>
      <c r="X2935" s="124" t="str">
        <f>IFERROR(__xludf.DUMMYFUNCTION("""COMPUTED_VALUE"""),"Walkin")</f>
        <v>Walkin</v>
      </c>
      <c r="Y2935" s="124" t="str">
        <f>IFERROR(__xludf.DUMMYFUNCTION("""COMPUTED_VALUE"""),"Patna")</f>
        <v>Patna</v>
      </c>
      <c r="Z2935" s="124">
        <f>IFERROR(__xludf.DUMMYFUNCTION("""COMPUTED_VALUE"""),1.0)</f>
        <v>1</v>
      </c>
      <c r="AA2935" s="124" t="str">
        <f>IFERROR(__xludf.DUMMYFUNCTION("""COMPUTED_VALUE"""),"Not Interested")</f>
        <v>Not Interested</v>
      </c>
      <c r="AB2935" s="124" t="str">
        <f>IFERROR(__xludf.DUMMYFUNCTION("""COMPUTED_VALUE"""),"State PCS")</f>
        <v>State PCS</v>
      </c>
    </row>
    <row r="2936">
      <c r="K2936" s="124"/>
      <c r="L2936" s="124"/>
      <c r="M2936" s="124"/>
      <c r="N2936" s="124"/>
      <c r="O2936" s="124"/>
      <c r="T2936" s="126">
        <f>IFERROR(__xludf.DUMMYFUNCTION("""COMPUTED_VALUE"""),46090.0)</f>
        <v>46090</v>
      </c>
      <c r="U2936" s="124" t="str">
        <f>IFERROR(__xludf.DUMMYFUNCTION("""COMPUTED_VALUE"""),"Walk-Ins")</f>
        <v>Walk-Ins</v>
      </c>
      <c r="V2936" s="124" t="str">
        <f>IFERROR(__xludf.DUMMYFUNCTION("""COMPUTED_VALUE"""),"Walkin")</f>
        <v>Walkin</v>
      </c>
      <c r="W2936" s="124" t="str">
        <f>IFERROR(__xludf.DUMMYFUNCTION("""COMPUTED_VALUE"""),"Patna")</f>
        <v>Patna</v>
      </c>
      <c r="X2936" s="124" t="str">
        <f>IFERROR(__xludf.DUMMYFUNCTION("""COMPUTED_VALUE"""),"Walkin")</f>
        <v>Walkin</v>
      </c>
      <c r="Y2936" s="124" t="str">
        <f>IFERROR(__xludf.DUMMYFUNCTION("""COMPUTED_VALUE"""),"Patna")</f>
        <v>Patna</v>
      </c>
      <c r="Z2936" s="124">
        <f>IFERROR(__xludf.DUMMYFUNCTION("""COMPUTED_VALUE"""),1.0)</f>
        <v>1</v>
      </c>
      <c r="AA2936" s="124" t="str">
        <f>IFERROR(__xludf.DUMMYFUNCTION("""COMPUTED_VALUE"""),"Not Interested")</f>
        <v>Not Interested</v>
      </c>
      <c r="AB2936" s="124" t="str">
        <f>IFERROR(__xludf.DUMMYFUNCTION("""COMPUTED_VALUE"""),"GS Foundation")</f>
        <v>GS Foundation</v>
      </c>
    </row>
    <row r="2937">
      <c r="K2937" s="124"/>
      <c r="L2937" s="124"/>
      <c r="M2937" s="124"/>
      <c r="N2937" s="124"/>
      <c r="O2937" s="124"/>
      <c r="T2937" s="126">
        <f>IFERROR(__xludf.DUMMYFUNCTION("""COMPUTED_VALUE"""),46047.0)</f>
        <v>46047</v>
      </c>
      <c r="U2937" s="124" t="str">
        <f>IFERROR(__xludf.DUMMYFUNCTION("""COMPUTED_VALUE"""),"Walk-Ins")</f>
        <v>Walk-Ins</v>
      </c>
      <c r="V2937" s="124" t="str">
        <f>IFERROR(__xludf.DUMMYFUNCTION("""COMPUTED_VALUE"""),"Walkin")</f>
        <v>Walkin</v>
      </c>
      <c r="W2937" s="124" t="str">
        <f>IFERROR(__xludf.DUMMYFUNCTION("""COMPUTED_VALUE"""),"Prayagraj")</f>
        <v>Prayagraj</v>
      </c>
      <c r="X2937" s="124" t="str">
        <f>IFERROR(__xludf.DUMMYFUNCTION("""COMPUTED_VALUE"""),"Walkin")</f>
        <v>Walkin</v>
      </c>
      <c r="Y2937" s="124" t="str">
        <f>IFERROR(__xludf.DUMMYFUNCTION("""COMPUTED_VALUE"""),"Prayagraj")</f>
        <v>Prayagraj</v>
      </c>
      <c r="Z2937" s="124">
        <f>IFERROR(__xludf.DUMMYFUNCTION("""COMPUTED_VALUE"""),4.0)</f>
        <v>4</v>
      </c>
      <c r="AA2937" s="124" t="str">
        <f>IFERROR(__xludf.DUMMYFUNCTION("""COMPUTED_VALUE"""),"Cold")</f>
        <v>Cold</v>
      </c>
      <c r="AB2937" s="124" t="str">
        <f>IFERROR(__xludf.DUMMYFUNCTION("""COMPUTED_VALUE"""),"GS Foundation")</f>
        <v>GS Foundation</v>
      </c>
    </row>
    <row r="2938">
      <c r="K2938" s="124"/>
      <c r="L2938" s="124"/>
      <c r="M2938" s="124"/>
      <c r="N2938" s="124"/>
      <c r="O2938" s="124"/>
      <c r="T2938" s="126">
        <f>IFERROR(__xludf.DUMMYFUNCTION("""COMPUTED_VALUE"""),46092.0)</f>
        <v>46092</v>
      </c>
      <c r="U2938" s="124" t="str">
        <f>IFERROR(__xludf.DUMMYFUNCTION("""COMPUTED_VALUE"""),"Walk-Ins")</f>
        <v>Walk-Ins</v>
      </c>
      <c r="V2938" s="124" t="str">
        <f>IFERROR(__xludf.DUMMYFUNCTION("""COMPUTED_VALUE"""),"Walkin")</f>
        <v>Walkin</v>
      </c>
      <c r="W2938" s="124" t="str">
        <f>IFERROR(__xludf.DUMMYFUNCTION("""COMPUTED_VALUE"""),"Prayagraj")</f>
        <v>Prayagraj</v>
      </c>
      <c r="X2938" s="124" t="str">
        <f>IFERROR(__xludf.DUMMYFUNCTION("""COMPUTED_VALUE"""),"Walkin")</f>
        <v>Walkin</v>
      </c>
      <c r="Y2938" s="124" t="str">
        <f>IFERROR(__xludf.DUMMYFUNCTION("""COMPUTED_VALUE"""),"Prayagraj")</f>
        <v>Prayagraj</v>
      </c>
      <c r="Z2938" s="124">
        <f>IFERROR(__xludf.DUMMYFUNCTION("""COMPUTED_VALUE"""),1.0)</f>
        <v>1</v>
      </c>
      <c r="AA2938" s="124" t="str">
        <f>IFERROR(__xludf.DUMMYFUNCTION("""COMPUTED_VALUE"""),"Not Interested")</f>
        <v>Not Interested</v>
      </c>
      <c r="AB2938" s="124" t="str">
        <f>IFERROR(__xludf.DUMMYFUNCTION("""COMPUTED_VALUE"""),"GS Foundation")</f>
        <v>GS Foundation</v>
      </c>
    </row>
    <row r="2939">
      <c r="K2939" s="124"/>
      <c r="L2939" s="124"/>
      <c r="M2939" s="124"/>
      <c r="N2939" s="124"/>
      <c r="O2939" s="124"/>
      <c r="T2939" s="126">
        <f>IFERROR(__xludf.DUMMYFUNCTION("""COMPUTED_VALUE"""),46104.0)</f>
        <v>46104</v>
      </c>
      <c r="U2939" s="124" t="str">
        <f>IFERROR(__xludf.DUMMYFUNCTION("""COMPUTED_VALUE"""),"Walk-Ins")</f>
        <v>Walk-Ins</v>
      </c>
      <c r="V2939" s="124" t="str">
        <f>IFERROR(__xludf.DUMMYFUNCTION("""COMPUTED_VALUE"""),"Walkin")</f>
        <v>Walkin</v>
      </c>
      <c r="W2939" s="124" t="str">
        <f>IFERROR(__xludf.DUMMYFUNCTION("""COMPUTED_VALUE"""),"Prayagraj")</f>
        <v>Prayagraj</v>
      </c>
      <c r="X2939" s="124" t="str">
        <f>IFERROR(__xludf.DUMMYFUNCTION("""COMPUTED_VALUE"""),"Walkin")</f>
        <v>Walkin</v>
      </c>
      <c r="Y2939" s="124" t="str">
        <f>IFERROR(__xludf.DUMMYFUNCTION("""COMPUTED_VALUE"""),"Prayagraj")</f>
        <v>Prayagraj</v>
      </c>
      <c r="Z2939" s="124">
        <f>IFERROR(__xludf.DUMMYFUNCTION("""COMPUTED_VALUE"""),1.0)</f>
        <v>1</v>
      </c>
      <c r="AA2939" s="124" t="str">
        <f>IFERROR(__xludf.DUMMYFUNCTION("""COMPUTED_VALUE"""),"Cold")</f>
        <v>Cold</v>
      </c>
      <c r="AB2939" s="124" t="str">
        <f>IFERROR(__xludf.DUMMYFUNCTION("""COMPUTED_VALUE"""),"GS Foundation")</f>
        <v>GS Foundation</v>
      </c>
    </row>
    <row r="2940">
      <c r="K2940" s="124"/>
      <c r="L2940" s="124"/>
      <c r="M2940" s="124"/>
      <c r="N2940" s="124"/>
      <c r="O2940" s="124"/>
      <c r="T2940" s="126">
        <f>IFERROR(__xludf.DUMMYFUNCTION("""COMPUTED_VALUE"""),46087.0)</f>
        <v>46087</v>
      </c>
      <c r="U2940" s="124" t="str">
        <f>IFERROR(__xludf.DUMMYFUNCTION("""COMPUTED_VALUE"""),"Walk-Ins")</f>
        <v>Walk-Ins</v>
      </c>
      <c r="V2940" s="124" t="str">
        <f>IFERROR(__xludf.DUMMYFUNCTION("""COMPUTED_VALUE"""),"Walkin")</f>
        <v>Walkin</v>
      </c>
      <c r="W2940" s="124" t="str">
        <f>IFERROR(__xludf.DUMMYFUNCTION("""COMPUTED_VALUE"""),"Indore")</f>
        <v>Indore</v>
      </c>
      <c r="X2940" s="124" t="str">
        <f>IFERROR(__xludf.DUMMYFUNCTION("""COMPUTED_VALUE"""),"Walkin")</f>
        <v>Walkin</v>
      </c>
      <c r="Y2940" s="124" t="str">
        <f>IFERROR(__xludf.DUMMYFUNCTION("""COMPUTED_VALUE"""),"Indore")</f>
        <v>Indore</v>
      </c>
      <c r="Z2940" s="124">
        <f>IFERROR(__xludf.DUMMYFUNCTION("""COMPUTED_VALUE"""),1.0)</f>
        <v>1</v>
      </c>
      <c r="AA2940" s="124" t="str">
        <f>IFERROR(__xludf.DUMMYFUNCTION("""COMPUTED_VALUE"""),"Fake Lead")</f>
        <v>Fake Lead</v>
      </c>
      <c r="AB2940" s="124" t="str">
        <f>IFERROR(__xludf.DUMMYFUNCTION("""COMPUTED_VALUE"""),"State PCS")</f>
        <v>State PCS</v>
      </c>
    </row>
    <row r="2941">
      <c r="K2941" s="124"/>
      <c r="L2941" s="124"/>
      <c r="M2941" s="124"/>
      <c r="N2941" s="124"/>
      <c r="O2941" s="124"/>
      <c r="T2941" s="126">
        <f>IFERROR(__xludf.DUMMYFUNCTION("""COMPUTED_VALUE"""),46045.0)</f>
        <v>46045</v>
      </c>
      <c r="U2941" s="124" t="str">
        <f>IFERROR(__xludf.DUMMYFUNCTION("""COMPUTED_VALUE"""),"Walk-Ins")</f>
        <v>Walk-Ins</v>
      </c>
      <c r="V2941" s="124" t="str">
        <f>IFERROR(__xludf.DUMMYFUNCTION("""COMPUTED_VALUE"""),"Walk-In")</f>
        <v>Walk-In</v>
      </c>
      <c r="W2941" s="124" t="str">
        <f>IFERROR(__xludf.DUMMYFUNCTION("""COMPUTED_VALUE"""),"Patna")</f>
        <v>Patna</v>
      </c>
      <c r="X2941" s="124" t="str">
        <f>IFERROR(__xludf.DUMMYFUNCTION("""COMPUTED_VALUE"""),"Others")</f>
        <v>Others</v>
      </c>
      <c r="Y2941" s="124" t="str">
        <f>IFERROR(__xludf.DUMMYFUNCTION("""COMPUTED_VALUE"""),"Patna")</f>
        <v>Patna</v>
      </c>
      <c r="Z2941" s="124">
        <f>IFERROR(__xludf.DUMMYFUNCTION("""COMPUTED_VALUE"""),3.0)</f>
        <v>3</v>
      </c>
      <c r="AA2941" s="124" t="str">
        <f>IFERROR(__xludf.DUMMYFUNCTION("""COMPUTED_VALUE"""),"Cold")</f>
        <v>Cold</v>
      </c>
      <c r="AB2941" s="124" t="str">
        <f>IFERROR(__xludf.DUMMYFUNCTION("""COMPUTED_VALUE"""),"State PCS")</f>
        <v>State PCS</v>
      </c>
    </row>
    <row r="2942">
      <c r="K2942" s="124"/>
      <c r="L2942" s="124"/>
      <c r="M2942" s="124"/>
      <c r="N2942" s="124"/>
      <c r="O2942" s="124"/>
      <c r="T2942" s="126">
        <f>IFERROR(__xludf.DUMMYFUNCTION("""COMPUTED_VALUE"""),46093.0)</f>
        <v>46093</v>
      </c>
      <c r="U2942" s="124" t="str">
        <f>IFERROR(__xludf.DUMMYFUNCTION("""COMPUTED_VALUE"""),"Walk-Ins")</f>
        <v>Walk-Ins</v>
      </c>
      <c r="V2942" s="124" t="str">
        <f>IFERROR(__xludf.DUMMYFUNCTION("""COMPUTED_VALUE"""),"Walkin")</f>
        <v>Walkin</v>
      </c>
      <c r="W2942" s="124" t="str">
        <f>IFERROR(__xludf.DUMMYFUNCTION("""COMPUTED_VALUE"""),"Prayagraj")</f>
        <v>Prayagraj</v>
      </c>
      <c r="X2942" s="124" t="str">
        <f>IFERROR(__xludf.DUMMYFUNCTION("""COMPUTED_VALUE"""),"Walkin")</f>
        <v>Walkin</v>
      </c>
      <c r="Y2942" s="124" t="str">
        <f>IFERROR(__xludf.DUMMYFUNCTION("""COMPUTED_VALUE"""),"Prayagraj")</f>
        <v>Prayagraj</v>
      </c>
      <c r="Z2942" s="124">
        <f>IFERROR(__xludf.DUMMYFUNCTION("""COMPUTED_VALUE"""),1.0)</f>
        <v>1</v>
      </c>
      <c r="AA2942" s="124" t="str">
        <f>IFERROR(__xludf.DUMMYFUNCTION("""COMPUTED_VALUE"""),"Warm")</f>
        <v>Warm</v>
      </c>
      <c r="AB2942" s="124" t="str">
        <f>IFERROR(__xludf.DUMMYFUNCTION("""COMPUTED_VALUE"""),"State PCS")</f>
        <v>State PCS</v>
      </c>
    </row>
    <row r="2943">
      <c r="K2943" s="124"/>
      <c r="L2943" s="124"/>
      <c r="M2943" s="124"/>
      <c r="N2943" s="124"/>
      <c r="O2943" s="124"/>
      <c r="T2943" s="126">
        <f>IFERROR(__xludf.DUMMYFUNCTION("""COMPUTED_VALUE"""),46076.0)</f>
        <v>46076</v>
      </c>
      <c r="U2943" s="124" t="str">
        <f>IFERROR(__xludf.DUMMYFUNCTION("""COMPUTED_VALUE"""),"Walk-Ins")</f>
        <v>Walk-Ins</v>
      </c>
      <c r="V2943" s="124" t="str">
        <f>IFERROR(__xludf.DUMMYFUNCTION("""COMPUTED_VALUE"""),"Walkin")</f>
        <v>Walkin</v>
      </c>
      <c r="W2943" s="124" t="str">
        <f>IFERROR(__xludf.DUMMYFUNCTION("""COMPUTED_VALUE"""),"Patna")</f>
        <v>Patna</v>
      </c>
      <c r="X2943" s="124" t="str">
        <f>IFERROR(__xludf.DUMMYFUNCTION("""COMPUTED_VALUE"""),"Walkin")</f>
        <v>Walkin</v>
      </c>
      <c r="Y2943" s="124" t="str">
        <f>IFERROR(__xludf.DUMMYFUNCTION("""COMPUTED_VALUE"""),"Patna")</f>
        <v>Patna</v>
      </c>
      <c r="Z2943" s="124">
        <f>IFERROR(__xludf.DUMMYFUNCTION("""COMPUTED_VALUE"""),1.0)</f>
        <v>1</v>
      </c>
      <c r="AA2943" s="124" t="str">
        <f>IFERROR(__xludf.DUMMYFUNCTION("""COMPUTED_VALUE"""),"Warm")</f>
        <v>Warm</v>
      </c>
      <c r="AB2943" s="124" t="str">
        <f>IFERROR(__xludf.DUMMYFUNCTION("""COMPUTED_VALUE"""),"State PCS")</f>
        <v>State PCS</v>
      </c>
    </row>
    <row r="2944">
      <c r="K2944" s="124"/>
      <c r="L2944" s="124"/>
      <c r="M2944" s="124"/>
      <c r="N2944" s="124"/>
      <c r="O2944" s="124"/>
      <c r="T2944" s="126">
        <f>IFERROR(__xludf.DUMMYFUNCTION("""COMPUTED_VALUE"""),46047.0)</f>
        <v>46047</v>
      </c>
      <c r="U2944" s="124" t="str">
        <f>IFERROR(__xludf.DUMMYFUNCTION("""COMPUTED_VALUE"""),"Walk-Ins")</f>
        <v>Walk-Ins</v>
      </c>
      <c r="V2944" s="124" t="str">
        <f>IFERROR(__xludf.DUMMYFUNCTION("""COMPUTED_VALUE"""),"Walkin")</f>
        <v>Walkin</v>
      </c>
      <c r="W2944" s="124" t="str">
        <f>IFERROR(__xludf.DUMMYFUNCTION("""COMPUTED_VALUE"""),"Patna")</f>
        <v>Patna</v>
      </c>
      <c r="X2944" s="124" t="str">
        <f>IFERROR(__xludf.DUMMYFUNCTION("""COMPUTED_VALUE"""),"Walkin")</f>
        <v>Walkin</v>
      </c>
      <c r="Y2944" s="124" t="str">
        <f>IFERROR(__xludf.DUMMYFUNCTION("""COMPUTED_VALUE"""),"Patna")</f>
        <v>Patna</v>
      </c>
      <c r="Z2944" s="124">
        <f>IFERROR(__xludf.DUMMYFUNCTION("""COMPUTED_VALUE"""),1.0)</f>
        <v>1</v>
      </c>
      <c r="AA2944" s="124" t="str">
        <f>IFERROR(__xludf.DUMMYFUNCTION("""COMPUTED_VALUE"""),"Future Prospects")</f>
        <v>Future Prospects</v>
      </c>
      <c r="AB2944" s="124" t="str">
        <f>IFERROR(__xludf.DUMMYFUNCTION("""COMPUTED_VALUE"""),"State PCS")</f>
        <v>State PCS</v>
      </c>
    </row>
    <row r="2945">
      <c r="K2945" s="124"/>
      <c r="L2945" s="124"/>
      <c r="M2945" s="124"/>
      <c r="N2945" s="124"/>
      <c r="O2945" s="124"/>
      <c r="T2945" s="126">
        <f>IFERROR(__xludf.DUMMYFUNCTION("""COMPUTED_VALUE"""),46065.0)</f>
        <v>46065</v>
      </c>
      <c r="U2945" s="124" t="str">
        <f>IFERROR(__xludf.DUMMYFUNCTION("""COMPUTED_VALUE"""),"Walk-Ins")</f>
        <v>Walk-Ins</v>
      </c>
      <c r="V2945" s="124" t="str">
        <f>IFERROR(__xludf.DUMMYFUNCTION("""COMPUTED_VALUE"""),"Walkin")</f>
        <v>Walkin</v>
      </c>
      <c r="W2945" s="124" t="str">
        <f>IFERROR(__xludf.DUMMYFUNCTION("""COMPUTED_VALUE"""),"Patna")</f>
        <v>Patna</v>
      </c>
      <c r="X2945" s="124" t="str">
        <f>IFERROR(__xludf.DUMMYFUNCTION("""COMPUTED_VALUE"""),"Walkin")</f>
        <v>Walkin</v>
      </c>
      <c r="Y2945" s="124" t="str">
        <f>IFERROR(__xludf.DUMMYFUNCTION("""COMPUTED_VALUE"""),"Patna")</f>
        <v>Patna</v>
      </c>
      <c r="Z2945" s="124">
        <f>IFERROR(__xludf.DUMMYFUNCTION("""COMPUTED_VALUE"""),1.0)</f>
        <v>1</v>
      </c>
      <c r="AA2945" s="124" t="str">
        <f>IFERROR(__xludf.DUMMYFUNCTION("""COMPUTED_VALUE"""),"Enrolled")</f>
        <v>Enrolled</v>
      </c>
      <c r="AB2945" s="124" t="str">
        <f>IFERROR(__xludf.DUMMYFUNCTION("""COMPUTED_VALUE"""),"State PCS")</f>
        <v>State PCS</v>
      </c>
    </row>
    <row r="2946">
      <c r="K2946" s="124"/>
      <c r="L2946" s="124"/>
      <c r="M2946" s="124"/>
      <c r="N2946" s="124"/>
      <c r="O2946" s="124"/>
      <c r="T2946" s="129">
        <f>IFERROR(__xludf.DUMMYFUNCTION("""COMPUTED_VALUE"""),46106.0)</f>
        <v>46106</v>
      </c>
      <c r="U2946" s="124" t="str">
        <f>IFERROR(__xludf.DUMMYFUNCTION("""COMPUTED_VALUE"""),"Walk-Ins")</f>
        <v>Walk-Ins</v>
      </c>
      <c r="V2946" s="124" t="str">
        <f>IFERROR(__xludf.DUMMYFUNCTION("""COMPUTED_VALUE"""),"Walkin")</f>
        <v>Walkin</v>
      </c>
      <c r="W2946" s="124" t="str">
        <f>IFERROR(__xludf.DUMMYFUNCTION("""COMPUTED_VALUE"""),"Prayagraj")</f>
        <v>Prayagraj</v>
      </c>
      <c r="X2946" s="124" t="str">
        <f>IFERROR(__xludf.DUMMYFUNCTION("""COMPUTED_VALUE"""),"Walkin")</f>
        <v>Walkin</v>
      </c>
      <c r="Y2946" s="124" t="str">
        <f>IFERROR(__xludf.DUMMYFUNCTION("""COMPUTED_VALUE"""),"Prayagraj")</f>
        <v>Prayagraj</v>
      </c>
      <c r="Z2946" s="124">
        <f>IFERROR(__xludf.DUMMYFUNCTION("""COMPUTED_VALUE"""),2.0)</f>
        <v>2</v>
      </c>
      <c r="AA2946" s="124" t="str">
        <f>IFERROR(__xludf.DUMMYFUNCTION("""COMPUTED_VALUE"""),"Warm")</f>
        <v>Warm</v>
      </c>
      <c r="AB2946" s="124" t="str">
        <f>IFERROR(__xludf.DUMMYFUNCTION("""COMPUTED_VALUE"""),"GS Foundation")</f>
        <v>GS Foundation</v>
      </c>
    </row>
    <row r="2947">
      <c r="K2947" s="124"/>
      <c r="L2947" s="124"/>
      <c r="M2947" s="124"/>
      <c r="N2947" s="124"/>
      <c r="O2947" s="124"/>
      <c r="T2947" s="129">
        <f>IFERROR(__xludf.DUMMYFUNCTION("""COMPUTED_VALUE"""),46099.0)</f>
        <v>46099</v>
      </c>
      <c r="U2947" s="124" t="str">
        <f>IFERROR(__xludf.DUMMYFUNCTION("""COMPUTED_VALUE"""),"Walk-Ins")</f>
        <v>Walk-Ins</v>
      </c>
      <c r="V2947" s="124" t="str">
        <f>IFERROR(__xludf.DUMMYFUNCTION("""COMPUTED_VALUE"""),"Walkin")</f>
        <v>Walkin</v>
      </c>
      <c r="W2947" s="124" t="str">
        <f>IFERROR(__xludf.DUMMYFUNCTION("""COMPUTED_VALUE"""),"Prayagraj")</f>
        <v>Prayagraj</v>
      </c>
      <c r="X2947" s="124" t="str">
        <f>IFERROR(__xludf.DUMMYFUNCTION("""COMPUTED_VALUE"""),"Walkin")</f>
        <v>Walkin</v>
      </c>
      <c r="Y2947" s="124" t="str">
        <f>IFERROR(__xludf.DUMMYFUNCTION("""COMPUTED_VALUE"""),"Prayagraj")</f>
        <v>Prayagraj</v>
      </c>
      <c r="Z2947" s="124">
        <f>IFERROR(__xludf.DUMMYFUNCTION("""COMPUTED_VALUE"""),1.0)</f>
        <v>1</v>
      </c>
      <c r="AA2947" s="124" t="str">
        <f>IFERROR(__xludf.DUMMYFUNCTION("""COMPUTED_VALUE"""),"Not Interested")</f>
        <v>Not Interested</v>
      </c>
      <c r="AB2947" s="124" t="str">
        <f>IFERROR(__xludf.DUMMYFUNCTION("""COMPUTED_VALUE"""),"GS Foundation")</f>
        <v>GS Foundation</v>
      </c>
    </row>
    <row r="2948">
      <c r="K2948" s="124"/>
      <c r="L2948" s="124"/>
      <c r="M2948" s="124"/>
      <c r="N2948" s="124"/>
      <c r="O2948" s="124"/>
      <c r="T2948" s="129">
        <f>IFERROR(__xludf.DUMMYFUNCTION("""COMPUTED_VALUE"""),46079.0)</f>
        <v>46079</v>
      </c>
      <c r="U2948" s="124" t="str">
        <f>IFERROR(__xludf.DUMMYFUNCTION("""COMPUTED_VALUE"""),"Walk-Ins")</f>
        <v>Walk-Ins</v>
      </c>
      <c r="V2948" s="124" t="str">
        <f>IFERROR(__xludf.DUMMYFUNCTION("""COMPUTED_VALUE"""),"Walkin")</f>
        <v>Walkin</v>
      </c>
      <c r="W2948" s="124" t="str">
        <f>IFERROR(__xludf.DUMMYFUNCTION("""COMPUTED_VALUE"""),"Prayagraj")</f>
        <v>Prayagraj</v>
      </c>
      <c r="X2948" s="124" t="str">
        <f>IFERROR(__xludf.DUMMYFUNCTION("""COMPUTED_VALUE"""),"Walkin")</f>
        <v>Walkin</v>
      </c>
      <c r="Y2948" s="124" t="str">
        <f>IFERROR(__xludf.DUMMYFUNCTION("""COMPUTED_VALUE"""),"Prayagraj")</f>
        <v>Prayagraj</v>
      </c>
      <c r="Z2948" s="124">
        <f>IFERROR(__xludf.DUMMYFUNCTION("""COMPUTED_VALUE"""),2.0)</f>
        <v>2</v>
      </c>
      <c r="AA2948" s="124" t="str">
        <f>IFERROR(__xludf.DUMMYFUNCTION("""COMPUTED_VALUE"""),"Not Interested")</f>
        <v>Not Interested</v>
      </c>
      <c r="AB2948" s="124" t="str">
        <f>IFERROR(__xludf.DUMMYFUNCTION("""COMPUTED_VALUE"""),"Mentorship")</f>
        <v>Mentorship</v>
      </c>
    </row>
    <row r="2949">
      <c r="K2949" s="124"/>
      <c r="L2949" s="124"/>
      <c r="M2949" s="124"/>
      <c r="N2949" s="124"/>
      <c r="O2949" s="124"/>
      <c r="T2949" s="129">
        <f>IFERROR(__xludf.DUMMYFUNCTION("""COMPUTED_VALUE"""),46107.0)</f>
        <v>46107</v>
      </c>
      <c r="U2949" s="124" t="str">
        <f>IFERROR(__xludf.DUMMYFUNCTION("""COMPUTED_VALUE"""),"Walk-Ins")</f>
        <v>Walk-Ins</v>
      </c>
      <c r="V2949" s="124" t="str">
        <f>IFERROR(__xludf.DUMMYFUNCTION("""COMPUTED_VALUE"""),"Walkin")</f>
        <v>Walkin</v>
      </c>
      <c r="W2949" s="124" t="str">
        <f>IFERROR(__xludf.DUMMYFUNCTION("""COMPUTED_VALUE"""),"Indore")</f>
        <v>Indore</v>
      </c>
      <c r="X2949" s="124" t="str">
        <f>IFERROR(__xludf.DUMMYFUNCTION("""COMPUTED_VALUE"""),"Walkin")</f>
        <v>Walkin</v>
      </c>
      <c r="Y2949" s="124" t="str">
        <f>IFERROR(__xludf.DUMMYFUNCTION("""COMPUTED_VALUE"""),"Indore")</f>
        <v>Indore</v>
      </c>
      <c r="Z2949" s="124">
        <f>IFERROR(__xludf.DUMMYFUNCTION("""COMPUTED_VALUE"""),1.0)</f>
        <v>1</v>
      </c>
      <c r="AA2949" s="124" t="str">
        <f>IFERROR(__xludf.DUMMYFUNCTION("""COMPUTED_VALUE"""),"Future Prospects")</f>
        <v>Future Prospects</v>
      </c>
      <c r="AB2949" s="124" t="str">
        <f>IFERROR(__xludf.DUMMYFUNCTION("""COMPUTED_VALUE"""),"GS Foundation")</f>
        <v>GS Foundation</v>
      </c>
    </row>
    <row r="2950">
      <c r="K2950" s="124"/>
      <c r="L2950" s="124"/>
      <c r="M2950" s="124"/>
      <c r="N2950" s="124"/>
      <c r="O2950" s="124"/>
      <c r="T2950" s="129">
        <f>IFERROR(__xludf.DUMMYFUNCTION("""COMPUTED_VALUE"""),46091.0)</f>
        <v>46091</v>
      </c>
      <c r="U2950" s="124" t="str">
        <f>IFERROR(__xludf.DUMMYFUNCTION("""COMPUTED_VALUE"""),"Walk-Ins")</f>
        <v>Walk-Ins</v>
      </c>
      <c r="V2950" s="124" t="str">
        <f>IFERROR(__xludf.DUMMYFUNCTION("""COMPUTED_VALUE"""),"Walk-In")</f>
        <v>Walk-In</v>
      </c>
      <c r="W2950" s="124" t="str">
        <f>IFERROR(__xludf.DUMMYFUNCTION("""COMPUTED_VALUE"""),"Prayagraj")</f>
        <v>Prayagraj</v>
      </c>
      <c r="X2950" s="124" t="str">
        <f>IFERROR(__xludf.DUMMYFUNCTION("""COMPUTED_VALUE"""),"Others")</f>
        <v>Others</v>
      </c>
      <c r="Y2950" s="124" t="str">
        <f>IFERROR(__xludf.DUMMYFUNCTION("""COMPUTED_VALUE"""),"Prayagraj")</f>
        <v>Prayagraj</v>
      </c>
      <c r="Z2950" s="124">
        <f>IFERROR(__xludf.DUMMYFUNCTION("""COMPUTED_VALUE"""),1.0)</f>
        <v>1</v>
      </c>
      <c r="AA2950" s="124" t="str">
        <f>IFERROR(__xludf.DUMMYFUNCTION("""COMPUTED_VALUE"""),"Enrolled")</f>
        <v>Enrolled</v>
      </c>
      <c r="AB2950" s="124" t="str">
        <f>IFERROR(__xludf.DUMMYFUNCTION("""COMPUTED_VALUE"""),"GS Foundation")</f>
        <v>GS Foundation</v>
      </c>
    </row>
    <row r="2951">
      <c r="K2951" s="124"/>
      <c r="L2951" s="124"/>
      <c r="M2951" s="124"/>
      <c r="N2951" s="124"/>
      <c r="O2951" s="124"/>
      <c r="T2951" s="126">
        <f>IFERROR(__xludf.DUMMYFUNCTION("""COMPUTED_VALUE"""),46045.0)</f>
        <v>46045</v>
      </c>
      <c r="U2951" s="124" t="str">
        <f>IFERROR(__xludf.DUMMYFUNCTION("""COMPUTED_VALUE"""),"Walk-Ins")</f>
        <v>Walk-Ins</v>
      </c>
      <c r="V2951" s="124" t="str">
        <f>IFERROR(__xludf.DUMMYFUNCTION("""COMPUTED_VALUE"""),"Walk-In")</f>
        <v>Walk-In</v>
      </c>
      <c r="W2951" s="124" t="str">
        <f>IFERROR(__xludf.DUMMYFUNCTION("""COMPUTED_VALUE"""),"Patna")</f>
        <v>Patna</v>
      </c>
      <c r="X2951" s="124" t="str">
        <f>IFERROR(__xludf.DUMMYFUNCTION("""COMPUTED_VALUE"""),"Others")</f>
        <v>Others</v>
      </c>
      <c r="Y2951" s="124" t="str">
        <f>IFERROR(__xludf.DUMMYFUNCTION("""COMPUTED_VALUE"""),"Patna")</f>
        <v>Patna</v>
      </c>
      <c r="Z2951" s="124">
        <f>IFERROR(__xludf.DUMMYFUNCTION("""COMPUTED_VALUE"""),1.0)</f>
        <v>1</v>
      </c>
      <c r="AA2951" s="124" t="str">
        <f>IFERROR(__xludf.DUMMYFUNCTION("""COMPUTED_VALUE"""),"Future Prospects")</f>
        <v>Future Prospects</v>
      </c>
      <c r="AB2951" s="124" t="str">
        <f>IFERROR(__xludf.DUMMYFUNCTION("""COMPUTED_VALUE"""),"GS Foundation")</f>
        <v>GS Foundation</v>
      </c>
    </row>
    <row r="2952">
      <c r="K2952" s="124"/>
      <c r="L2952" s="124"/>
      <c r="M2952" s="124"/>
      <c r="N2952" s="124"/>
      <c r="O2952" s="124"/>
      <c r="T2952" s="129">
        <f>IFERROR(__xludf.DUMMYFUNCTION("""COMPUTED_VALUE"""),46064.0)</f>
        <v>46064</v>
      </c>
      <c r="U2952" s="124" t="str">
        <f>IFERROR(__xludf.DUMMYFUNCTION("""COMPUTED_VALUE"""),"Walk-Ins")</f>
        <v>Walk-Ins</v>
      </c>
      <c r="V2952" s="124" t="str">
        <f>IFERROR(__xludf.DUMMYFUNCTION("""COMPUTED_VALUE"""),"Walkin")</f>
        <v>Walkin</v>
      </c>
      <c r="W2952" s="124" t="str">
        <f>IFERROR(__xludf.DUMMYFUNCTION("""COMPUTED_VALUE"""),"Patna")</f>
        <v>Patna</v>
      </c>
      <c r="X2952" s="124" t="str">
        <f>IFERROR(__xludf.DUMMYFUNCTION("""COMPUTED_VALUE"""),"Walkin")</f>
        <v>Walkin</v>
      </c>
      <c r="Y2952" s="124" t="str">
        <f>IFERROR(__xludf.DUMMYFUNCTION("""COMPUTED_VALUE"""),"Patna")</f>
        <v>Patna</v>
      </c>
      <c r="Z2952" s="124">
        <f>IFERROR(__xludf.DUMMYFUNCTION("""COMPUTED_VALUE"""),2.0)</f>
        <v>2</v>
      </c>
      <c r="AA2952" s="124" t="str">
        <f>IFERROR(__xludf.DUMMYFUNCTION("""COMPUTED_VALUE"""),"Future Prospects")</f>
        <v>Future Prospects</v>
      </c>
      <c r="AB2952" s="124" t="str">
        <f>IFERROR(__xludf.DUMMYFUNCTION("""COMPUTED_VALUE"""),"State PCS")</f>
        <v>State PCS</v>
      </c>
    </row>
    <row r="2953">
      <c r="K2953" s="124"/>
      <c r="L2953" s="124"/>
      <c r="M2953" s="124"/>
      <c r="N2953" s="124"/>
      <c r="O2953" s="124"/>
      <c r="T2953" s="126">
        <f>IFERROR(__xludf.DUMMYFUNCTION("""COMPUTED_VALUE"""),46078.0)</f>
        <v>46078</v>
      </c>
      <c r="U2953" s="124" t="str">
        <f>IFERROR(__xludf.DUMMYFUNCTION("""COMPUTED_VALUE"""),"Walk-Ins")</f>
        <v>Walk-Ins</v>
      </c>
      <c r="V2953" s="124" t="str">
        <f>IFERROR(__xludf.DUMMYFUNCTION("""COMPUTED_VALUE"""),"Walkin")</f>
        <v>Walkin</v>
      </c>
      <c r="W2953" s="124" t="str">
        <f>IFERROR(__xludf.DUMMYFUNCTION("""COMPUTED_VALUE"""),"Lucknow")</f>
        <v>Lucknow</v>
      </c>
      <c r="X2953" s="124" t="str">
        <f>IFERROR(__xludf.DUMMYFUNCTION("""COMPUTED_VALUE"""),"Walkin")</f>
        <v>Walkin</v>
      </c>
      <c r="Y2953" s="124" t="str">
        <f>IFERROR(__xludf.DUMMYFUNCTION("""COMPUTED_VALUE"""),"Lucknow")</f>
        <v>Lucknow</v>
      </c>
      <c r="Z2953" s="124">
        <f>IFERROR(__xludf.DUMMYFUNCTION("""COMPUTED_VALUE"""),1.0)</f>
        <v>1</v>
      </c>
      <c r="AA2953" s="124" t="str">
        <f>IFERROR(__xludf.DUMMYFUNCTION("""COMPUTED_VALUE"""),"Interested")</f>
        <v>Interested</v>
      </c>
      <c r="AB2953" s="124" t="str">
        <f>IFERROR(__xludf.DUMMYFUNCTION("""COMPUTED_VALUE"""),"GS Foundation")</f>
        <v>GS Foundation</v>
      </c>
    </row>
    <row r="2954">
      <c r="K2954" s="124"/>
      <c r="L2954" s="124"/>
      <c r="M2954" s="124"/>
      <c r="N2954" s="124"/>
      <c r="O2954" s="124"/>
      <c r="T2954" s="129">
        <f>IFERROR(__xludf.DUMMYFUNCTION("""COMPUTED_VALUE"""),46069.0)</f>
        <v>46069</v>
      </c>
      <c r="U2954" s="124" t="str">
        <f>IFERROR(__xludf.DUMMYFUNCTION("""COMPUTED_VALUE"""),"Walk-Ins")</f>
        <v>Walk-Ins</v>
      </c>
      <c r="V2954" s="124" t="str">
        <f>IFERROR(__xludf.DUMMYFUNCTION("""COMPUTED_VALUE"""),"Walkin")</f>
        <v>Walkin</v>
      </c>
      <c r="W2954" s="124" t="str">
        <f>IFERROR(__xludf.DUMMYFUNCTION("""COMPUTED_VALUE"""),"Prayagraj")</f>
        <v>Prayagraj</v>
      </c>
      <c r="X2954" s="124" t="str">
        <f>IFERROR(__xludf.DUMMYFUNCTION("""COMPUTED_VALUE"""),"Walkin")</f>
        <v>Walkin</v>
      </c>
      <c r="Y2954" s="124" t="str">
        <f>IFERROR(__xludf.DUMMYFUNCTION("""COMPUTED_VALUE"""),"Prayagraj")</f>
        <v>Prayagraj</v>
      </c>
      <c r="Z2954" s="124">
        <f>IFERROR(__xludf.DUMMYFUNCTION("""COMPUTED_VALUE"""),1.0)</f>
        <v>1</v>
      </c>
      <c r="AA2954" s="124" t="str">
        <f>IFERROR(__xludf.DUMMYFUNCTION("""COMPUTED_VALUE"""),"Cold")</f>
        <v>Cold</v>
      </c>
      <c r="AB2954" s="124" t="str">
        <f>IFERROR(__xludf.DUMMYFUNCTION("""COMPUTED_VALUE"""),"Other")</f>
        <v>Other</v>
      </c>
    </row>
    <row r="2955">
      <c r="K2955" s="124"/>
      <c r="L2955" s="124"/>
      <c r="M2955" s="124"/>
      <c r="N2955" s="124"/>
      <c r="O2955" s="124"/>
      <c r="T2955" s="129">
        <f>IFERROR(__xludf.DUMMYFUNCTION("""COMPUTED_VALUE"""),46052.0)</f>
        <v>46052</v>
      </c>
      <c r="U2955" s="124" t="str">
        <f>IFERROR(__xludf.DUMMYFUNCTION("""COMPUTED_VALUE"""),"Walk-Ins")</f>
        <v>Walk-Ins</v>
      </c>
      <c r="V2955" s="124" t="str">
        <f>IFERROR(__xludf.DUMMYFUNCTION("""COMPUTED_VALUE"""),"Walkin")</f>
        <v>Walkin</v>
      </c>
      <c r="W2955" s="124" t="str">
        <f>IFERROR(__xludf.DUMMYFUNCTION("""COMPUTED_VALUE"""),"Prayagraj")</f>
        <v>Prayagraj</v>
      </c>
      <c r="X2955" s="124" t="str">
        <f>IFERROR(__xludf.DUMMYFUNCTION("""COMPUTED_VALUE"""),"Walkin")</f>
        <v>Walkin</v>
      </c>
      <c r="Y2955" s="124" t="str">
        <f>IFERROR(__xludf.DUMMYFUNCTION("""COMPUTED_VALUE"""),"Prayagraj")</f>
        <v>Prayagraj</v>
      </c>
      <c r="Z2955" s="124">
        <f>IFERROR(__xludf.DUMMYFUNCTION("""COMPUTED_VALUE"""),2.0)</f>
        <v>2</v>
      </c>
      <c r="AA2955" s="124" t="str">
        <f>IFERROR(__xludf.DUMMYFUNCTION("""COMPUTED_VALUE"""),"Future Prospects")</f>
        <v>Future Prospects</v>
      </c>
      <c r="AB2955" s="124" t="str">
        <f>IFERROR(__xludf.DUMMYFUNCTION("""COMPUTED_VALUE"""),"GS Foundation")</f>
        <v>GS Foundation</v>
      </c>
    </row>
    <row r="2956">
      <c r="K2956" s="124"/>
      <c r="L2956" s="124"/>
      <c r="M2956" s="124"/>
      <c r="N2956" s="124"/>
      <c r="O2956" s="124"/>
      <c r="T2956" s="129">
        <f>IFERROR(__xludf.DUMMYFUNCTION("""COMPUTED_VALUE"""),46068.0)</f>
        <v>46068</v>
      </c>
      <c r="U2956" s="124" t="str">
        <f>IFERROR(__xludf.DUMMYFUNCTION("""COMPUTED_VALUE"""),"Walk-Ins")</f>
        <v>Walk-Ins</v>
      </c>
      <c r="V2956" s="124" t="str">
        <f>IFERROR(__xludf.DUMMYFUNCTION("""COMPUTED_VALUE"""),"Walkin")</f>
        <v>Walkin</v>
      </c>
      <c r="W2956" s="124" t="str">
        <f>IFERROR(__xludf.DUMMYFUNCTION("""COMPUTED_VALUE"""),"Lucknow")</f>
        <v>Lucknow</v>
      </c>
      <c r="X2956" s="124" t="str">
        <f>IFERROR(__xludf.DUMMYFUNCTION("""COMPUTED_VALUE"""),"Walkin")</f>
        <v>Walkin</v>
      </c>
      <c r="Y2956" s="124" t="str">
        <f>IFERROR(__xludf.DUMMYFUNCTION("""COMPUTED_VALUE"""),"Lucknow")</f>
        <v>Lucknow</v>
      </c>
      <c r="Z2956" s="124">
        <f>IFERROR(__xludf.DUMMYFUNCTION("""COMPUTED_VALUE"""),1.0)</f>
        <v>1</v>
      </c>
      <c r="AA2956" s="124" t="str">
        <f>IFERROR(__xludf.DUMMYFUNCTION("""COMPUTED_VALUE"""),"Cold")</f>
        <v>Cold</v>
      </c>
      <c r="AB2956" s="124" t="str">
        <f>IFERROR(__xludf.DUMMYFUNCTION("""COMPUTED_VALUE"""),"State PCS")</f>
        <v>State PCS</v>
      </c>
    </row>
    <row r="2957">
      <c r="K2957" s="124"/>
      <c r="L2957" s="124"/>
      <c r="M2957" s="124"/>
      <c r="N2957" s="124"/>
      <c r="O2957" s="124"/>
      <c r="T2957" s="126">
        <f>IFERROR(__xludf.DUMMYFUNCTION("""COMPUTED_VALUE"""),46044.0)</f>
        <v>46044</v>
      </c>
      <c r="U2957" s="124" t="str">
        <f>IFERROR(__xludf.DUMMYFUNCTION("""COMPUTED_VALUE"""),"Walk-Ins")</f>
        <v>Walk-Ins</v>
      </c>
      <c r="V2957" s="124" t="str">
        <f>IFERROR(__xludf.DUMMYFUNCTION("""COMPUTED_VALUE"""),"Walkin")</f>
        <v>Walkin</v>
      </c>
      <c r="W2957" s="124" t="str">
        <f>IFERROR(__xludf.DUMMYFUNCTION("""COMPUTED_VALUE"""),"Patna")</f>
        <v>Patna</v>
      </c>
      <c r="X2957" s="124" t="str">
        <f>IFERROR(__xludf.DUMMYFUNCTION("""COMPUTED_VALUE"""),"Walkin")</f>
        <v>Walkin</v>
      </c>
      <c r="Y2957" s="124" t="str">
        <f>IFERROR(__xludf.DUMMYFUNCTION("""COMPUTED_VALUE"""),"Patna")</f>
        <v>Patna</v>
      </c>
      <c r="Z2957" s="124">
        <f>IFERROR(__xludf.DUMMYFUNCTION("""COMPUTED_VALUE"""),2.0)</f>
        <v>2</v>
      </c>
      <c r="AA2957" s="124" t="str">
        <f>IFERROR(__xludf.DUMMYFUNCTION("""COMPUTED_VALUE"""),"Cold")</f>
        <v>Cold</v>
      </c>
      <c r="AB2957" s="124" t="str">
        <f>IFERROR(__xludf.DUMMYFUNCTION("""COMPUTED_VALUE"""),"Other")</f>
        <v>Other</v>
      </c>
    </row>
    <row r="2958">
      <c r="K2958" s="124"/>
      <c r="L2958" s="124"/>
      <c r="M2958" s="124"/>
      <c r="N2958" s="124"/>
      <c r="O2958" s="124"/>
      <c r="T2958" s="126">
        <f>IFERROR(__xludf.DUMMYFUNCTION("""COMPUTED_VALUE"""),46093.0)</f>
        <v>46093</v>
      </c>
      <c r="U2958" s="124" t="str">
        <f>IFERROR(__xludf.DUMMYFUNCTION("""COMPUTED_VALUE"""),"Walk-Ins")</f>
        <v>Walk-Ins</v>
      </c>
      <c r="V2958" s="124" t="str">
        <f>IFERROR(__xludf.DUMMYFUNCTION("""COMPUTED_VALUE"""),"Walkin")</f>
        <v>Walkin</v>
      </c>
      <c r="W2958" s="124" t="str">
        <f>IFERROR(__xludf.DUMMYFUNCTION("""COMPUTED_VALUE"""),"Lucknow")</f>
        <v>Lucknow</v>
      </c>
      <c r="X2958" s="124" t="str">
        <f>IFERROR(__xludf.DUMMYFUNCTION("""COMPUTED_VALUE"""),"Walkin")</f>
        <v>Walkin</v>
      </c>
      <c r="Y2958" s="124" t="str">
        <f>IFERROR(__xludf.DUMMYFUNCTION("""COMPUTED_VALUE"""),"Lucknow")</f>
        <v>Lucknow</v>
      </c>
      <c r="Z2958" s="124">
        <f>IFERROR(__xludf.DUMMYFUNCTION("""COMPUTED_VALUE"""),1.0)</f>
        <v>1</v>
      </c>
      <c r="AA2958" s="124" t="str">
        <f>IFERROR(__xludf.DUMMYFUNCTION("""COMPUTED_VALUE"""),"Enrolled")</f>
        <v>Enrolled</v>
      </c>
      <c r="AB2958" s="124" t="str">
        <f>IFERROR(__xludf.DUMMYFUNCTION("""COMPUTED_VALUE"""),"GS Foundation")</f>
        <v>GS Foundation</v>
      </c>
    </row>
    <row r="2959">
      <c r="K2959" s="124"/>
      <c r="L2959" s="124"/>
      <c r="M2959" s="124"/>
      <c r="N2959" s="124"/>
      <c r="O2959" s="124"/>
      <c r="T2959" s="129">
        <f>IFERROR(__xludf.DUMMYFUNCTION("""COMPUTED_VALUE"""),46103.0)</f>
        <v>46103</v>
      </c>
      <c r="U2959" s="124" t="str">
        <f>IFERROR(__xludf.DUMMYFUNCTION("""COMPUTED_VALUE"""),"Walk-Ins")</f>
        <v>Walk-Ins</v>
      </c>
      <c r="V2959" s="124" t="str">
        <f>IFERROR(__xludf.DUMMYFUNCTION("""COMPUTED_VALUE"""),"Walkin")</f>
        <v>Walkin</v>
      </c>
      <c r="W2959" s="124" t="str">
        <f>IFERROR(__xludf.DUMMYFUNCTION("""COMPUTED_VALUE"""),"Prayagraj")</f>
        <v>Prayagraj</v>
      </c>
      <c r="X2959" s="124" t="str">
        <f>IFERROR(__xludf.DUMMYFUNCTION("""COMPUTED_VALUE"""),"Walkin")</f>
        <v>Walkin</v>
      </c>
      <c r="Y2959" s="124" t="str">
        <f>IFERROR(__xludf.DUMMYFUNCTION("""COMPUTED_VALUE"""),"Prayagraj")</f>
        <v>Prayagraj</v>
      </c>
      <c r="Z2959" s="124">
        <f>IFERROR(__xludf.DUMMYFUNCTION("""COMPUTED_VALUE"""),1.0)</f>
        <v>1</v>
      </c>
      <c r="AA2959" s="124" t="str">
        <f>IFERROR(__xludf.DUMMYFUNCTION("""COMPUTED_VALUE"""),"Enrolled")</f>
        <v>Enrolled</v>
      </c>
      <c r="AB2959" s="124" t="str">
        <f>IFERROR(__xludf.DUMMYFUNCTION("""COMPUTED_VALUE"""),"Hybrid")</f>
        <v>Hybrid</v>
      </c>
    </row>
    <row r="2960">
      <c r="K2960" s="124"/>
      <c r="L2960" s="124"/>
      <c r="M2960" s="124"/>
      <c r="N2960" s="124"/>
      <c r="O2960" s="124"/>
      <c r="T2960" s="126">
        <f>IFERROR(__xludf.DUMMYFUNCTION("""COMPUTED_VALUE"""),46105.0)</f>
        <v>46105</v>
      </c>
      <c r="U2960" s="124" t="str">
        <f>IFERROR(__xludf.DUMMYFUNCTION("""COMPUTED_VALUE"""),"Walk-Ins")</f>
        <v>Walk-Ins</v>
      </c>
      <c r="V2960" s="124" t="str">
        <f>IFERROR(__xludf.DUMMYFUNCTION("""COMPUTED_VALUE"""),"Walkin")</f>
        <v>Walkin</v>
      </c>
      <c r="W2960" s="124" t="str">
        <f>IFERROR(__xludf.DUMMYFUNCTION("""COMPUTED_VALUE"""),"Indore")</f>
        <v>Indore</v>
      </c>
      <c r="X2960" s="124" t="str">
        <f>IFERROR(__xludf.DUMMYFUNCTION("""COMPUTED_VALUE"""),"Walkin")</f>
        <v>Walkin</v>
      </c>
      <c r="Y2960" s="124" t="str">
        <f>IFERROR(__xludf.DUMMYFUNCTION("""COMPUTED_VALUE"""),"Indore")</f>
        <v>Indore</v>
      </c>
      <c r="Z2960" s="124">
        <f>IFERROR(__xludf.DUMMYFUNCTION("""COMPUTED_VALUE"""),1.0)</f>
        <v>1</v>
      </c>
      <c r="AA2960" s="124" t="str">
        <f>IFERROR(__xludf.DUMMYFUNCTION("""COMPUTED_VALUE"""),"Future Prospects")</f>
        <v>Future Prospects</v>
      </c>
      <c r="AB2960" s="124" t="str">
        <f>IFERROR(__xludf.DUMMYFUNCTION("""COMPUTED_VALUE"""),"GS Foundation")</f>
        <v>GS Foundation</v>
      </c>
    </row>
    <row r="2961">
      <c r="K2961" s="124"/>
      <c r="L2961" s="124"/>
      <c r="M2961" s="124"/>
      <c r="N2961" s="124"/>
      <c r="O2961" s="124"/>
      <c r="T2961" s="129">
        <f>IFERROR(__xludf.DUMMYFUNCTION("""COMPUTED_VALUE"""),46057.0)</f>
        <v>46057</v>
      </c>
      <c r="U2961" s="124" t="str">
        <f>IFERROR(__xludf.DUMMYFUNCTION("""COMPUTED_VALUE"""),"Walk-Ins")</f>
        <v>Walk-Ins</v>
      </c>
      <c r="V2961" s="124" t="str">
        <f>IFERROR(__xludf.DUMMYFUNCTION("""COMPUTED_VALUE"""),"Walkin")</f>
        <v>Walkin</v>
      </c>
      <c r="W2961" s="124" t="str">
        <f>IFERROR(__xludf.DUMMYFUNCTION("""COMPUTED_VALUE"""),"Indore")</f>
        <v>Indore</v>
      </c>
      <c r="X2961" s="124" t="str">
        <f>IFERROR(__xludf.DUMMYFUNCTION("""COMPUTED_VALUE"""),"Walkin")</f>
        <v>Walkin</v>
      </c>
      <c r="Y2961" s="124" t="str">
        <f>IFERROR(__xludf.DUMMYFUNCTION("""COMPUTED_VALUE"""),"Indore")</f>
        <v>Indore</v>
      </c>
      <c r="Z2961" s="124">
        <f>IFERROR(__xludf.DUMMYFUNCTION("""COMPUTED_VALUE"""),2.0)</f>
        <v>2</v>
      </c>
      <c r="AA2961" s="124" t="str">
        <f>IFERROR(__xludf.DUMMYFUNCTION("""COMPUTED_VALUE"""),"Cold")</f>
        <v>Cold</v>
      </c>
      <c r="AB2961" s="124" t="str">
        <f>IFERROR(__xludf.DUMMYFUNCTION("""COMPUTED_VALUE"""),"State PCS")</f>
        <v>State PCS</v>
      </c>
    </row>
    <row r="2962">
      <c r="K2962" s="124"/>
      <c r="L2962" s="124"/>
      <c r="M2962" s="124"/>
      <c r="N2962" s="124"/>
      <c r="O2962" s="124"/>
      <c r="T2962" s="129">
        <f>IFERROR(__xludf.DUMMYFUNCTION("""COMPUTED_VALUE"""),46044.0)</f>
        <v>46044</v>
      </c>
      <c r="U2962" s="124" t="str">
        <f>IFERROR(__xludf.DUMMYFUNCTION("""COMPUTED_VALUE"""),"Walk-Ins")</f>
        <v>Walk-Ins</v>
      </c>
      <c r="V2962" s="124" t="str">
        <f>IFERROR(__xludf.DUMMYFUNCTION("""COMPUTED_VALUE"""),"Walkin")</f>
        <v>Walkin</v>
      </c>
      <c r="W2962" s="124" t="str">
        <f>IFERROR(__xludf.DUMMYFUNCTION("""COMPUTED_VALUE"""),"Lucknow")</f>
        <v>Lucknow</v>
      </c>
      <c r="X2962" s="124" t="str">
        <f>IFERROR(__xludf.DUMMYFUNCTION("""COMPUTED_VALUE"""),"Walkin")</f>
        <v>Walkin</v>
      </c>
      <c r="Y2962" s="124" t="str">
        <f>IFERROR(__xludf.DUMMYFUNCTION("""COMPUTED_VALUE"""),"Lucknow")</f>
        <v>Lucknow</v>
      </c>
      <c r="Z2962" s="124">
        <f>IFERROR(__xludf.DUMMYFUNCTION("""COMPUTED_VALUE"""),1.0)</f>
        <v>1</v>
      </c>
      <c r="AA2962" s="124" t="str">
        <f>IFERROR(__xludf.DUMMYFUNCTION("""COMPUTED_VALUE"""),"Not Interested")</f>
        <v>Not Interested</v>
      </c>
      <c r="AB2962" s="124" t="str">
        <f>IFERROR(__xludf.DUMMYFUNCTION("""COMPUTED_VALUE"""),"Other")</f>
        <v>Other</v>
      </c>
    </row>
    <row r="2963">
      <c r="K2963" s="124"/>
      <c r="L2963" s="124"/>
      <c r="M2963" s="124"/>
      <c r="N2963" s="124"/>
      <c r="O2963" s="124"/>
      <c r="T2963" s="129">
        <f>IFERROR(__xludf.DUMMYFUNCTION("""COMPUTED_VALUE"""),46090.0)</f>
        <v>46090</v>
      </c>
      <c r="U2963" s="124" t="str">
        <f>IFERROR(__xludf.DUMMYFUNCTION("""COMPUTED_VALUE"""),"Walk-Ins")</f>
        <v>Walk-Ins</v>
      </c>
      <c r="V2963" s="124" t="str">
        <f>IFERROR(__xludf.DUMMYFUNCTION("""COMPUTED_VALUE"""),"Walkin")</f>
        <v>Walkin</v>
      </c>
      <c r="W2963" s="124" t="str">
        <f>IFERROR(__xludf.DUMMYFUNCTION("""COMPUTED_VALUE"""),"Prayagraj")</f>
        <v>Prayagraj</v>
      </c>
      <c r="X2963" s="124" t="str">
        <f>IFERROR(__xludf.DUMMYFUNCTION("""COMPUTED_VALUE"""),"Walkin")</f>
        <v>Walkin</v>
      </c>
      <c r="Y2963" s="124" t="str">
        <f>IFERROR(__xludf.DUMMYFUNCTION("""COMPUTED_VALUE"""),"Prayagraj")</f>
        <v>Prayagraj</v>
      </c>
      <c r="Z2963" s="124">
        <f>IFERROR(__xludf.DUMMYFUNCTION("""COMPUTED_VALUE"""),1.0)</f>
        <v>1</v>
      </c>
      <c r="AA2963" s="124" t="str">
        <f>IFERROR(__xludf.DUMMYFUNCTION("""COMPUTED_VALUE"""),"Enrolled")</f>
        <v>Enrolled</v>
      </c>
      <c r="AB2963" s="124" t="str">
        <f>IFERROR(__xludf.DUMMYFUNCTION("""COMPUTED_VALUE"""),"State PCS")</f>
        <v>State PCS</v>
      </c>
    </row>
    <row r="2964">
      <c r="K2964" s="124"/>
      <c r="L2964" s="124"/>
      <c r="M2964" s="124"/>
      <c r="N2964" s="124"/>
      <c r="O2964" s="124"/>
      <c r="T2964" s="126">
        <f>IFERROR(__xludf.DUMMYFUNCTION("""COMPUTED_VALUE"""),46073.0)</f>
        <v>46073</v>
      </c>
      <c r="U2964" s="124" t="str">
        <f>IFERROR(__xludf.DUMMYFUNCTION("""COMPUTED_VALUE"""),"Walk-Ins")</f>
        <v>Walk-Ins</v>
      </c>
      <c r="V2964" s="124" t="str">
        <f>IFERROR(__xludf.DUMMYFUNCTION("""COMPUTED_VALUE"""),"Walkin")</f>
        <v>Walkin</v>
      </c>
      <c r="W2964" s="124" t="str">
        <f>IFERROR(__xludf.DUMMYFUNCTION("""COMPUTED_VALUE"""),"Indore")</f>
        <v>Indore</v>
      </c>
      <c r="X2964" s="124" t="str">
        <f>IFERROR(__xludf.DUMMYFUNCTION("""COMPUTED_VALUE"""),"Walkin")</f>
        <v>Walkin</v>
      </c>
      <c r="Y2964" s="124" t="str">
        <f>IFERROR(__xludf.DUMMYFUNCTION("""COMPUTED_VALUE"""),"Indore")</f>
        <v>Indore</v>
      </c>
      <c r="Z2964" s="124">
        <f>IFERROR(__xludf.DUMMYFUNCTION("""COMPUTED_VALUE"""),2.0)</f>
        <v>2</v>
      </c>
      <c r="AA2964" s="124" t="str">
        <f>IFERROR(__xludf.DUMMYFUNCTION("""COMPUTED_VALUE"""),"Cold")</f>
        <v>Cold</v>
      </c>
      <c r="AB2964" s="124" t="str">
        <f>IFERROR(__xludf.DUMMYFUNCTION("""COMPUTED_VALUE"""),"State PCS")</f>
        <v>State PCS</v>
      </c>
    </row>
    <row r="2965">
      <c r="K2965" s="124"/>
      <c r="L2965" s="124"/>
      <c r="M2965" s="124"/>
      <c r="N2965" s="124"/>
      <c r="O2965" s="124"/>
      <c r="T2965" s="126">
        <f>IFERROR(__xludf.DUMMYFUNCTION("""COMPUTED_VALUE"""),46050.0)</f>
        <v>46050</v>
      </c>
      <c r="U2965" s="124" t="str">
        <f>IFERROR(__xludf.DUMMYFUNCTION("""COMPUTED_VALUE"""),"Walk-Ins")</f>
        <v>Walk-Ins</v>
      </c>
      <c r="V2965" s="124" t="str">
        <f>IFERROR(__xludf.DUMMYFUNCTION("""COMPUTED_VALUE"""),"Walkin")</f>
        <v>Walkin</v>
      </c>
      <c r="W2965" s="124" t="str">
        <f>IFERROR(__xludf.DUMMYFUNCTION("""COMPUTED_VALUE"""),"Prayagraj")</f>
        <v>Prayagraj</v>
      </c>
      <c r="X2965" s="124" t="str">
        <f>IFERROR(__xludf.DUMMYFUNCTION("""COMPUTED_VALUE"""),"Walkin")</f>
        <v>Walkin</v>
      </c>
      <c r="Y2965" s="124" t="str">
        <f>IFERROR(__xludf.DUMMYFUNCTION("""COMPUTED_VALUE"""),"Prayagraj")</f>
        <v>Prayagraj</v>
      </c>
      <c r="Z2965" s="124">
        <f>IFERROR(__xludf.DUMMYFUNCTION("""COMPUTED_VALUE"""),1.0)</f>
        <v>1</v>
      </c>
      <c r="AA2965" s="124" t="str">
        <f>IFERROR(__xludf.DUMMYFUNCTION("""COMPUTED_VALUE"""),"Not Interested")</f>
        <v>Not Interested</v>
      </c>
      <c r="AB2965" s="124" t="str">
        <f>IFERROR(__xludf.DUMMYFUNCTION("""COMPUTED_VALUE"""),"GS Foundation")</f>
        <v>GS Foundation</v>
      </c>
    </row>
    <row r="2966">
      <c r="K2966" s="124"/>
      <c r="L2966" s="124"/>
      <c r="M2966" s="124"/>
      <c r="N2966" s="124"/>
      <c r="O2966" s="124"/>
      <c r="T2966" s="126">
        <f>IFERROR(__xludf.DUMMYFUNCTION("""COMPUTED_VALUE"""),46055.0)</f>
        <v>46055</v>
      </c>
      <c r="U2966" s="124" t="str">
        <f>IFERROR(__xludf.DUMMYFUNCTION("""COMPUTED_VALUE"""),"Walk-Ins")</f>
        <v>Walk-Ins</v>
      </c>
      <c r="V2966" s="124" t="str">
        <f>IFERROR(__xludf.DUMMYFUNCTION("""COMPUTED_VALUE"""),"Walkin")</f>
        <v>Walkin</v>
      </c>
      <c r="W2966" s="124" t="str">
        <f>IFERROR(__xludf.DUMMYFUNCTION("""COMPUTED_VALUE"""),"Patna")</f>
        <v>Patna</v>
      </c>
      <c r="X2966" s="124" t="str">
        <f>IFERROR(__xludf.DUMMYFUNCTION("""COMPUTED_VALUE"""),"Walkin")</f>
        <v>Walkin</v>
      </c>
      <c r="Y2966" s="124" t="str">
        <f>IFERROR(__xludf.DUMMYFUNCTION("""COMPUTED_VALUE"""),"Patna")</f>
        <v>Patna</v>
      </c>
      <c r="Z2966" s="124">
        <f>IFERROR(__xludf.DUMMYFUNCTION("""COMPUTED_VALUE"""),1.0)</f>
        <v>1</v>
      </c>
      <c r="AA2966" s="124" t="str">
        <f>IFERROR(__xludf.DUMMYFUNCTION("""COMPUTED_VALUE"""),"Cold")</f>
        <v>Cold</v>
      </c>
      <c r="AB2966" s="124" t="str">
        <f>IFERROR(__xludf.DUMMYFUNCTION("""COMPUTED_VALUE"""),"State PCS")</f>
        <v>State PCS</v>
      </c>
    </row>
    <row r="2967">
      <c r="K2967" s="124"/>
      <c r="L2967" s="124"/>
      <c r="M2967" s="124"/>
      <c r="N2967" s="124"/>
      <c r="O2967" s="124"/>
      <c r="T2967" s="126">
        <f>IFERROR(__xludf.DUMMYFUNCTION("""COMPUTED_VALUE"""),46104.0)</f>
        <v>46104</v>
      </c>
      <c r="U2967" s="124" t="str">
        <f>IFERROR(__xludf.DUMMYFUNCTION("""COMPUTED_VALUE"""),"Walk-Ins")</f>
        <v>Walk-Ins</v>
      </c>
      <c r="V2967" s="124" t="str">
        <f>IFERROR(__xludf.DUMMYFUNCTION("""COMPUTED_VALUE"""),"Walkin")</f>
        <v>Walkin</v>
      </c>
      <c r="W2967" s="124" t="str">
        <f>IFERROR(__xludf.DUMMYFUNCTION("""COMPUTED_VALUE"""),"Patna")</f>
        <v>Patna</v>
      </c>
      <c r="X2967" s="124" t="str">
        <f>IFERROR(__xludf.DUMMYFUNCTION("""COMPUTED_VALUE"""),"Walkin")</f>
        <v>Walkin</v>
      </c>
      <c r="Y2967" s="124" t="str">
        <f>IFERROR(__xludf.DUMMYFUNCTION("""COMPUTED_VALUE"""),"Patna")</f>
        <v>Patna</v>
      </c>
      <c r="Z2967" s="124">
        <f>IFERROR(__xludf.DUMMYFUNCTION("""COMPUTED_VALUE"""),1.0)</f>
        <v>1</v>
      </c>
      <c r="AA2967" s="124" t="str">
        <f>IFERROR(__xludf.DUMMYFUNCTION("""COMPUTED_VALUE"""),"Fake Lead")</f>
        <v>Fake Lead</v>
      </c>
      <c r="AB2967" s="124" t="str">
        <f>IFERROR(__xludf.DUMMYFUNCTION("""COMPUTED_VALUE"""),"GS Foundation")</f>
        <v>GS Foundation</v>
      </c>
    </row>
    <row r="2968">
      <c r="K2968" s="124"/>
      <c r="L2968" s="124"/>
      <c r="M2968" s="124"/>
      <c r="N2968" s="124"/>
      <c r="O2968" s="124"/>
      <c r="T2968" s="126">
        <f>IFERROR(__xludf.DUMMYFUNCTION("""COMPUTED_VALUE"""),46051.0)</f>
        <v>46051</v>
      </c>
      <c r="U2968" s="124" t="str">
        <f>IFERROR(__xludf.DUMMYFUNCTION("""COMPUTED_VALUE"""),"Walk-Ins")</f>
        <v>Walk-Ins</v>
      </c>
      <c r="V2968" s="124" t="str">
        <f>IFERROR(__xludf.DUMMYFUNCTION("""COMPUTED_VALUE"""),"Walkin")</f>
        <v>Walkin</v>
      </c>
      <c r="W2968" s="124" t="str">
        <f>IFERROR(__xludf.DUMMYFUNCTION("""COMPUTED_VALUE"""),"Indore")</f>
        <v>Indore</v>
      </c>
      <c r="X2968" s="124" t="str">
        <f>IFERROR(__xludf.DUMMYFUNCTION("""COMPUTED_VALUE"""),"Walkin")</f>
        <v>Walkin</v>
      </c>
      <c r="Y2968" s="124" t="str">
        <f>IFERROR(__xludf.DUMMYFUNCTION("""COMPUTED_VALUE"""),"Indore")</f>
        <v>Indore</v>
      </c>
      <c r="Z2968" s="124">
        <f>IFERROR(__xludf.DUMMYFUNCTION("""COMPUTED_VALUE"""),2.0)</f>
        <v>2</v>
      </c>
      <c r="AA2968" s="124" t="str">
        <f>IFERROR(__xludf.DUMMYFUNCTION("""COMPUTED_VALUE"""),"Not Interested")</f>
        <v>Not Interested</v>
      </c>
      <c r="AB2968" s="124" t="str">
        <f>IFERROR(__xludf.DUMMYFUNCTION("""COMPUTED_VALUE"""),"State PCS")</f>
        <v>State PCS</v>
      </c>
    </row>
    <row r="2969">
      <c r="K2969" s="124"/>
      <c r="L2969" s="124"/>
      <c r="M2969" s="124"/>
      <c r="N2969" s="124"/>
      <c r="O2969" s="124"/>
      <c r="T2969" s="126">
        <f>IFERROR(__xludf.DUMMYFUNCTION("""COMPUTED_VALUE"""),46060.0)</f>
        <v>46060</v>
      </c>
      <c r="U2969" s="124" t="str">
        <f>IFERROR(__xludf.DUMMYFUNCTION("""COMPUTED_VALUE"""),"Walk-Ins")</f>
        <v>Walk-Ins</v>
      </c>
      <c r="V2969" s="124" t="str">
        <f>IFERROR(__xludf.DUMMYFUNCTION("""COMPUTED_VALUE"""),"Walkin")</f>
        <v>Walkin</v>
      </c>
      <c r="W2969" s="124" t="str">
        <f>IFERROR(__xludf.DUMMYFUNCTION("""COMPUTED_VALUE"""),"Lucknow")</f>
        <v>Lucknow</v>
      </c>
      <c r="X2969" s="124" t="str">
        <f>IFERROR(__xludf.DUMMYFUNCTION("""COMPUTED_VALUE"""),"Walkin")</f>
        <v>Walkin</v>
      </c>
      <c r="Y2969" s="124" t="str">
        <f>IFERROR(__xludf.DUMMYFUNCTION("""COMPUTED_VALUE"""),"Lucknow")</f>
        <v>Lucknow</v>
      </c>
      <c r="Z2969" s="124">
        <f>IFERROR(__xludf.DUMMYFUNCTION("""COMPUTED_VALUE"""),1.0)</f>
        <v>1</v>
      </c>
      <c r="AA2969" s="124" t="str">
        <f>IFERROR(__xludf.DUMMYFUNCTION("""COMPUTED_VALUE"""),"Cold")</f>
        <v>Cold</v>
      </c>
      <c r="AB2969" s="124" t="str">
        <f>IFERROR(__xludf.DUMMYFUNCTION("""COMPUTED_VALUE"""),"Other")</f>
        <v>Other</v>
      </c>
    </row>
    <row r="2970">
      <c r="K2970" s="124"/>
      <c r="L2970" s="124"/>
      <c r="M2970" s="124"/>
      <c r="N2970" s="124"/>
      <c r="O2970" s="124"/>
      <c r="T2970" s="126">
        <f>IFERROR(__xludf.DUMMYFUNCTION("""COMPUTED_VALUE"""),46070.0)</f>
        <v>46070</v>
      </c>
      <c r="U2970" s="124" t="str">
        <f>IFERROR(__xludf.DUMMYFUNCTION("""COMPUTED_VALUE"""),"Walk-Ins")</f>
        <v>Walk-Ins</v>
      </c>
      <c r="V2970" s="124" t="str">
        <f>IFERROR(__xludf.DUMMYFUNCTION("""COMPUTED_VALUE"""),"Walkin")</f>
        <v>Walkin</v>
      </c>
      <c r="W2970" s="124" t="str">
        <f>IFERROR(__xludf.DUMMYFUNCTION("""COMPUTED_VALUE"""),"Patna")</f>
        <v>Patna</v>
      </c>
      <c r="X2970" s="124" t="str">
        <f>IFERROR(__xludf.DUMMYFUNCTION("""COMPUTED_VALUE"""),"Walkin")</f>
        <v>Walkin</v>
      </c>
      <c r="Y2970" s="124" t="str">
        <f>IFERROR(__xludf.DUMMYFUNCTION("""COMPUTED_VALUE"""),"Patna")</f>
        <v>Patna</v>
      </c>
      <c r="Z2970" s="124">
        <f>IFERROR(__xludf.DUMMYFUNCTION("""COMPUTED_VALUE"""),1.0)</f>
        <v>1</v>
      </c>
      <c r="AA2970" s="124" t="str">
        <f>IFERROR(__xludf.DUMMYFUNCTION("""COMPUTED_VALUE"""),"Fake Lead")</f>
        <v>Fake Lead</v>
      </c>
      <c r="AB2970" s="124" t="str">
        <f>IFERROR(__xludf.DUMMYFUNCTION("""COMPUTED_VALUE"""),"Other")</f>
        <v>Other</v>
      </c>
    </row>
    <row r="2971">
      <c r="K2971" s="124"/>
      <c r="L2971" s="124"/>
      <c r="M2971" s="124"/>
      <c r="N2971" s="124"/>
      <c r="O2971" s="124"/>
      <c r="T2971" s="126">
        <f>IFERROR(__xludf.DUMMYFUNCTION("""COMPUTED_VALUE"""),46094.0)</f>
        <v>46094</v>
      </c>
      <c r="U2971" s="124" t="str">
        <f>IFERROR(__xludf.DUMMYFUNCTION("""COMPUTED_VALUE"""),"Walk-Ins")</f>
        <v>Walk-Ins</v>
      </c>
      <c r="V2971" s="124" t="str">
        <f>IFERROR(__xludf.DUMMYFUNCTION("""COMPUTED_VALUE"""),"Walkin")</f>
        <v>Walkin</v>
      </c>
      <c r="W2971" s="124" t="str">
        <f>IFERROR(__xludf.DUMMYFUNCTION("""COMPUTED_VALUE"""),"Indore")</f>
        <v>Indore</v>
      </c>
      <c r="X2971" s="124" t="str">
        <f>IFERROR(__xludf.DUMMYFUNCTION("""COMPUTED_VALUE"""),"Walkin")</f>
        <v>Walkin</v>
      </c>
      <c r="Y2971" s="124" t="str">
        <f>IFERROR(__xludf.DUMMYFUNCTION("""COMPUTED_VALUE"""),"Indore")</f>
        <v>Indore</v>
      </c>
      <c r="Z2971" s="124">
        <f>IFERROR(__xludf.DUMMYFUNCTION("""COMPUTED_VALUE"""),1.0)</f>
        <v>1</v>
      </c>
      <c r="AA2971" s="124" t="str">
        <f>IFERROR(__xludf.DUMMYFUNCTION("""COMPUTED_VALUE"""),"Not Interested")</f>
        <v>Not Interested</v>
      </c>
      <c r="AB2971" s="124" t="str">
        <f>IFERROR(__xludf.DUMMYFUNCTION("""COMPUTED_VALUE"""),"State PCS")</f>
        <v>State PCS</v>
      </c>
    </row>
    <row r="2972">
      <c r="K2972" s="124"/>
      <c r="L2972" s="124"/>
      <c r="M2972" s="124"/>
      <c r="N2972" s="124"/>
      <c r="O2972" s="124"/>
      <c r="T2972" s="126">
        <f>IFERROR(__xludf.DUMMYFUNCTION("""COMPUTED_VALUE"""),46062.0)</f>
        <v>46062</v>
      </c>
      <c r="U2972" s="124" t="str">
        <f>IFERROR(__xludf.DUMMYFUNCTION("""COMPUTED_VALUE"""),"Walk-Ins")</f>
        <v>Walk-Ins</v>
      </c>
      <c r="V2972" s="124" t="str">
        <f>IFERROR(__xludf.DUMMYFUNCTION("""COMPUTED_VALUE"""),"Walkin")</f>
        <v>Walkin</v>
      </c>
      <c r="W2972" s="124" t="str">
        <f>IFERROR(__xludf.DUMMYFUNCTION("""COMPUTED_VALUE"""),"Prayagraj")</f>
        <v>Prayagraj</v>
      </c>
      <c r="X2972" s="124" t="str">
        <f>IFERROR(__xludf.DUMMYFUNCTION("""COMPUTED_VALUE"""),"Walkin")</f>
        <v>Walkin</v>
      </c>
      <c r="Y2972" s="124" t="str">
        <f>IFERROR(__xludf.DUMMYFUNCTION("""COMPUTED_VALUE"""),"Prayagraj")</f>
        <v>Prayagraj</v>
      </c>
      <c r="Z2972" s="124">
        <f>IFERROR(__xludf.DUMMYFUNCTION("""COMPUTED_VALUE"""),1.0)</f>
        <v>1</v>
      </c>
      <c r="AA2972" s="124" t="str">
        <f>IFERROR(__xludf.DUMMYFUNCTION("""COMPUTED_VALUE"""),"Enrolled")</f>
        <v>Enrolled</v>
      </c>
      <c r="AB2972" s="124" t="str">
        <f>IFERROR(__xludf.DUMMYFUNCTION("""COMPUTED_VALUE"""),"GS Foundation")</f>
        <v>GS Foundation</v>
      </c>
    </row>
    <row r="2973">
      <c r="K2973" s="124"/>
      <c r="L2973" s="124"/>
      <c r="M2973" s="124"/>
      <c r="N2973" s="124"/>
      <c r="O2973" s="124"/>
      <c r="T2973" s="126">
        <f>IFERROR(__xludf.DUMMYFUNCTION("""COMPUTED_VALUE"""),46060.0)</f>
        <v>46060</v>
      </c>
      <c r="U2973" s="124" t="str">
        <f>IFERROR(__xludf.DUMMYFUNCTION("""COMPUTED_VALUE"""),"Walk-Ins")</f>
        <v>Walk-Ins</v>
      </c>
      <c r="V2973" s="124" t="str">
        <f>IFERROR(__xludf.DUMMYFUNCTION("""COMPUTED_VALUE"""),"Walkin")</f>
        <v>Walkin</v>
      </c>
      <c r="W2973" s="124" t="str">
        <f>IFERROR(__xludf.DUMMYFUNCTION("""COMPUTED_VALUE"""),"Indore")</f>
        <v>Indore</v>
      </c>
      <c r="X2973" s="124" t="str">
        <f>IFERROR(__xludf.DUMMYFUNCTION("""COMPUTED_VALUE"""),"Walkin")</f>
        <v>Walkin</v>
      </c>
      <c r="Y2973" s="124" t="str">
        <f>IFERROR(__xludf.DUMMYFUNCTION("""COMPUTED_VALUE"""),"Indore")</f>
        <v>Indore</v>
      </c>
      <c r="Z2973" s="124">
        <f>IFERROR(__xludf.DUMMYFUNCTION("""COMPUTED_VALUE"""),1.0)</f>
        <v>1</v>
      </c>
      <c r="AA2973" s="124" t="str">
        <f>IFERROR(__xludf.DUMMYFUNCTION("""COMPUTED_VALUE"""),"Cold")</f>
        <v>Cold</v>
      </c>
      <c r="AB2973" s="124" t="str">
        <f>IFERROR(__xludf.DUMMYFUNCTION("""COMPUTED_VALUE"""),"State PCS")</f>
        <v>State PCS</v>
      </c>
    </row>
    <row r="2974">
      <c r="K2974" s="124"/>
      <c r="L2974" s="124"/>
      <c r="M2974" s="124"/>
      <c r="N2974" s="124"/>
      <c r="O2974" s="124"/>
      <c r="T2974" s="129">
        <f>IFERROR(__xludf.DUMMYFUNCTION("""COMPUTED_VALUE"""),46044.0)</f>
        <v>46044</v>
      </c>
      <c r="U2974" s="124" t="str">
        <f>IFERROR(__xludf.DUMMYFUNCTION("""COMPUTED_VALUE"""),"Walk-Ins")</f>
        <v>Walk-Ins</v>
      </c>
      <c r="V2974" s="124" t="str">
        <f>IFERROR(__xludf.DUMMYFUNCTION("""COMPUTED_VALUE"""),"Walkin")</f>
        <v>Walkin</v>
      </c>
      <c r="W2974" s="124" t="str">
        <f>IFERROR(__xludf.DUMMYFUNCTION("""COMPUTED_VALUE"""),"Indore")</f>
        <v>Indore</v>
      </c>
      <c r="X2974" s="124" t="str">
        <f>IFERROR(__xludf.DUMMYFUNCTION("""COMPUTED_VALUE"""),"Walkin")</f>
        <v>Walkin</v>
      </c>
      <c r="Y2974" s="124" t="str">
        <f>IFERROR(__xludf.DUMMYFUNCTION("""COMPUTED_VALUE"""),"Indore")</f>
        <v>Indore</v>
      </c>
      <c r="Z2974" s="124">
        <f>IFERROR(__xludf.DUMMYFUNCTION("""COMPUTED_VALUE"""),1.0)</f>
        <v>1</v>
      </c>
      <c r="AA2974" s="124" t="str">
        <f>IFERROR(__xludf.DUMMYFUNCTION("""COMPUTED_VALUE"""),"Warm")</f>
        <v>Warm</v>
      </c>
      <c r="AB2974" s="124" t="str">
        <f>IFERROR(__xludf.DUMMYFUNCTION("""COMPUTED_VALUE"""),"Other")</f>
        <v>Other</v>
      </c>
    </row>
    <row r="2975">
      <c r="K2975" s="124"/>
      <c r="L2975" s="124"/>
      <c r="M2975" s="124"/>
      <c r="N2975" s="124"/>
      <c r="O2975" s="124"/>
      <c r="T2975" s="129">
        <f>IFERROR(__xludf.DUMMYFUNCTION("""COMPUTED_VALUE"""),46096.0)</f>
        <v>46096</v>
      </c>
      <c r="U2975" s="124" t="str">
        <f>IFERROR(__xludf.DUMMYFUNCTION("""COMPUTED_VALUE"""),"Walk-Ins")</f>
        <v>Walk-Ins</v>
      </c>
      <c r="V2975" s="124" t="str">
        <f>IFERROR(__xludf.DUMMYFUNCTION("""COMPUTED_VALUE"""),"Walkin")</f>
        <v>Walkin</v>
      </c>
      <c r="W2975" s="124" t="str">
        <f>IFERROR(__xludf.DUMMYFUNCTION("""COMPUTED_VALUE"""),"Patna")</f>
        <v>Patna</v>
      </c>
      <c r="X2975" s="124" t="str">
        <f>IFERROR(__xludf.DUMMYFUNCTION("""COMPUTED_VALUE"""),"Walkin")</f>
        <v>Walkin</v>
      </c>
      <c r="Y2975" s="124" t="str">
        <f>IFERROR(__xludf.DUMMYFUNCTION("""COMPUTED_VALUE"""),"Patna")</f>
        <v>Patna</v>
      </c>
      <c r="Z2975" s="124">
        <f>IFERROR(__xludf.DUMMYFUNCTION("""COMPUTED_VALUE"""),1.0)</f>
        <v>1</v>
      </c>
      <c r="AA2975" s="124" t="str">
        <f>IFERROR(__xludf.DUMMYFUNCTION("""COMPUTED_VALUE"""),"Warm")</f>
        <v>Warm</v>
      </c>
      <c r="AB2975" s="124" t="str">
        <f>IFERROR(__xludf.DUMMYFUNCTION("""COMPUTED_VALUE"""),"GS Foundation")</f>
        <v>GS Foundation</v>
      </c>
    </row>
    <row r="2976">
      <c r="K2976" s="124"/>
      <c r="L2976" s="124"/>
      <c r="M2976" s="124"/>
      <c r="N2976" s="124"/>
      <c r="O2976" s="124"/>
      <c r="T2976" s="126">
        <f>IFERROR(__xludf.DUMMYFUNCTION("""COMPUTED_VALUE"""),46072.0)</f>
        <v>46072</v>
      </c>
      <c r="U2976" s="124" t="str">
        <f>IFERROR(__xludf.DUMMYFUNCTION("""COMPUTED_VALUE"""),"Walk-Ins")</f>
        <v>Walk-Ins</v>
      </c>
      <c r="V2976" s="124" t="str">
        <f>IFERROR(__xludf.DUMMYFUNCTION("""COMPUTED_VALUE"""),"Walkin")</f>
        <v>Walkin</v>
      </c>
      <c r="W2976" s="124" t="str">
        <f>IFERROR(__xludf.DUMMYFUNCTION("""COMPUTED_VALUE"""),"Lucknow")</f>
        <v>Lucknow</v>
      </c>
      <c r="X2976" s="124" t="str">
        <f>IFERROR(__xludf.DUMMYFUNCTION("""COMPUTED_VALUE"""),"Walkin")</f>
        <v>Walkin</v>
      </c>
      <c r="Y2976" s="124" t="str">
        <f>IFERROR(__xludf.DUMMYFUNCTION("""COMPUTED_VALUE"""),"Lucknow")</f>
        <v>Lucknow</v>
      </c>
      <c r="Z2976" s="124">
        <f>IFERROR(__xludf.DUMMYFUNCTION("""COMPUTED_VALUE"""),3.0)</f>
        <v>3</v>
      </c>
      <c r="AA2976" s="124" t="str">
        <f>IFERROR(__xludf.DUMMYFUNCTION("""COMPUTED_VALUE"""),"Cold")</f>
        <v>Cold</v>
      </c>
      <c r="AB2976" s="124" t="str">
        <f>IFERROR(__xludf.DUMMYFUNCTION("""COMPUTED_VALUE"""),"State PCS")</f>
        <v>State PCS</v>
      </c>
    </row>
    <row r="2977">
      <c r="K2977" s="124"/>
      <c r="L2977" s="124"/>
      <c r="M2977" s="124"/>
      <c r="N2977" s="124"/>
      <c r="O2977" s="124"/>
      <c r="T2977" s="129">
        <f>IFERROR(__xludf.DUMMYFUNCTION("""COMPUTED_VALUE"""),46058.0)</f>
        <v>46058</v>
      </c>
      <c r="U2977" s="124" t="str">
        <f>IFERROR(__xludf.DUMMYFUNCTION("""COMPUTED_VALUE"""),"Walk-Ins")</f>
        <v>Walk-Ins</v>
      </c>
      <c r="V2977" s="124" t="str">
        <f>IFERROR(__xludf.DUMMYFUNCTION("""COMPUTED_VALUE"""),"Walkin")</f>
        <v>Walkin</v>
      </c>
      <c r="W2977" s="124" t="str">
        <f>IFERROR(__xludf.DUMMYFUNCTION("""COMPUTED_VALUE"""),"Indore")</f>
        <v>Indore</v>
      </c>
      <c r="X2977" s="124" t="str">
        <f>IFERROR(__xludf.DUMMYFUNCTION("""COMPUTED_VALUE"""),"Walkin")</f>
        <v>Walkin</v>
      </c>
      <c r="Y2977" s="124" t="str">
        <f>IFERROR(__xludf.DUMMYFUNCTION("""COMPUTED_VALUE"""),"Indore")</f>
        <v>Indore</v>
      </c>
      <c r="Z2977" s="124">
        <f>IFERROR(__xludf.DUMMYFUNCTION("""COMPUTED_VALUE"""),2.0)</f>
        <v>2</v>
      </c>
      <c r="AA2977" s="124" t="str">
        <f>IFERROR(__xludf.DUMMYFUNCTION("""COMPUTED_VALUE"""),"Cold")</f>
        <v>Cold</v>
      </c>
      <c r="AB2977" s="124" t="str">
        <f>IFERROR(__xludf.DUMMYFUNCTION("""COMPUTED_VALUE"""),"State PCS")</f>
        <v>State PCS</v>
      </c>
    </row>
    <row r="2978">
      <c r="K2978" s="124"/>
      <c r="L2978" s="124"/>
      <c r="M2978" s="124"/>
      <c r="N2978" s="124"/>
      <c r="O2978" s="124"/>
      <c r="T2978" s="129">
        <f>IFERROR(__xludf.DUMMYFUNCTION("""COMPUTED_VALUE"""),46057.0)</f>
        <v>46057</v>
      </c>
      <c r="U2978" s="124" t="str">
        <f>IFERROR(__xludf.DUMMYFUNCTION("""COMPUTED_VALUE"""),"Walk-Ins")</f>
        <v>Walk-Ins</v>
      </c>
      <c r="V2978" s="124" t="str">
        <f>IFERROR(__xludf.DUMMYFUNCTION("""COMPUTED_VALUE"""),"Walkin")</f>
        <v>Walkin</v>
      </c>
      <c r="W2978" s="124" t="str">
        <f>IFERROR(__xludf.DUMMYFUNCTION("""COMPUTED_VALUE"""),"Prayagraj")</f>
        <v>Prayagraj</v>
      </c>
      <c r="X2978" s="124" t="str">
        <f>IFERROR(__xludf.DUMMYFUNCTION("""COMPUTED_VALUE"""),"Walkin")</f>
        <v>Walkin</v>
      </c>
      <c r="Y2978" s="124" t="str">
        <f>IFERROR(__xludf.DUMMYFUNCTION("""COMPUTED_VALUE"""),"Prayagraj")</f>
        <v>Prayagraj</v>
      </c>
      <c r="Z2978" s="124">
        <f>IFERROR(__xludf.DUMMYFUNCTION("""COMPUTED_VALUE"""),1.0)</f>
        <v>1</v>
      </c>
      <c r="AA2978" s="124" t="str">
        <f>IFERROR(__xludf.DUMMYFUNCTION("""COMPUTED_VALUE"""),"Cold")</f>
        <v>Cold</v>
      </c>
      <c r="AB2978" s="124" t="str">
        <f>IFERROR(__xludf.DUMMYFUNCTION("""COMPUTED_VALUE"""),"Other")</f>
        <v>Other</v>
      </c>
    </row>
    <row r="2979">
      <c r="K2979" s="124"/>
      <c r="L2979" s="124"/>
      <c r="M2979" s="124"/>
      <c r="N2979" s="124"/>
      <c r="O2979" s="124"/>
      <c r="T2979" s="129">
        <f>IFERROR(__xludf.DUMMYFUNCTION("""COMPUTED_VALUE"""),46088.0)</f>
        <v>46088</v>
      </c>
      <c r="U2979" s="124" t="str">
        <f>IFERROR(__xludf.DUMMYFUNCTION("""COMPUTED_VALUE"""),"Walk-Ins")</f>
        <v>Walk-Ins</v>
      </c>
      <c r="V2979" s="124" t="str">
        <f>IFERROR(__xludf.DUMMYFUNCTION("""COMPUTED_VALUE"""),"Walkin")</f>
        <v>Walkin</v>
      </c>
      <c r="W2979" s="124" t="str">
        <f>IFERROR(__xludf.DUMMYFUNCTION("""COMPUTED_VALUE"""),"Patna")</f>
        <v>Patna</v>
      </c>
      <c r="X2979" s="124" t="str">
        <f>IFERROR(__xludf.DUMMYFUNCTION("""COMPUTED_VALUE"""),"Walkin")</f>
        <v>Walkin</v>
      </c>
      <c r="Y2979" s="124" t="str">
        <f>IFERROR(__xludf.DUMMYFUNCTION("""COMPUTED_VALUE"""),"Patna")</f>
        <v>Patna</v>
      </c>
      <c r="Z2979" s="124">
        <f>IFERROR(__xludf.DUMMYFUNCTION("""COMPUTED_VALUE"""),1.0)</f>
        <v>1</v>
      </c>
      <c r="AA2979" s="124" t="str">
        <f>IFERROR(__xludf.DUMMYFUNCTION("""COMPUTED_VALUE"""),"Cold")</f>
        <v>Cold</v>
      </c>
      <c r="AB2979" s="124" t="str">
        <f>IFERROR(__xludf.DUMMYFUNCTION("""COMPUTED_VALUE"""),"State PCS")</f>
        <v>State PCS</v>
      </c>
    </row>
    <row r="2980">
      <c r="K2980" s="124"/>
      <c r="L2980" s="124"/>
      <c r="M2980" s="124"/>
      <c r="N2980" s="124"/>
      <c r="O2980" s="124"/>
      <c r="T2980" s="126">
        <f>IFERROR(__xludf.DUMMYFUNCTION("""COMPUTED_VALUE"""),46106.0)</f>
        <v>46106</v>
      </c>
      <c r="U2980" s="124" t="str">
        <f>IFERROR(__xludf.DUMMYFUNCTION("""COMPUTED_VALUE"""),"Walk-Ins")</f>
        <v>Walk-Ins</v>
      </c>
      <c r="V2980" s="124" t="str">
        <f>IFERROR(__xludf.DUMMYFUNCTION("""COMPUTED_VALUE"""),"Walkin")</f>
        <v>Walkin</v>
      </c>
      <c r="W2980" s="124" t="str">
        <f>IFERROR(__xludf.DUMMYFUNCTION("""COMPUTED_VALUE"""),"Indore")</f>
        <v>Indore</v>
      </c>
      <c r="X2980" s="124" t="str">
        <f>IFERROR(__xludf.DUMMYFUNCTION("""COMPUTED_VALUE"""),"Walkin")</f>
        <v>Walkin</v>
      </c>
      <c r="Y2980" s="124" t="str">
        <f>IFERROR(__xludf.DUMMYFUNCTION("""COMPUTED_VALUE"""),"Indore")</f>
        <v>Indore</v>
      </c>
      <c r="Z2980" s="124">
        <f>IFERROR(__xludf.DUMMYFUNCTION("""COMPUTED_VALUE"""),1.0)</f>
        <v>1</v>
      </c>
      <c r="AA2980" s="124" t="str">
        <f>IFERROR(__xludf.DUMMYFUNCTION("""COMPUTED_VALUE"""),"Cold")</f>
        <v>Cold</v>
      </c>
      <c r="AB2980" s="124" t="str">
        <f>IFERROR(__xludf.DUMMYFUNCTION("""COMPUTED_VALUE"""),"Other")</f>
        <v>Other</v>
      </c>
    </row>
    <row r="2981">
      <c r="K2981" s="124"/>
      <c r="L2981" s="124"/>
      <c r="M2981" s="124"/>
      <c r="N2981" s="124"/>
      <c r="O2981" s="124"/>
      <c r="T2981" s="129">
        <f>IFERROR(__xludf.DUMMYFUNCTION("""COMPUTED_VALUE"""),46112.0)</f>
        <v>46112</v>
      </c>
      <c r="U2981" s="124" t="str">
        <f>IFERROR(__xludf.DUMMYFUNCTION("""COMPUTED_VALUE"""),"Walk-Ins")</f>
        <v>Walk-Ins</v>
      </c>
      <c r="V2981" s="124" t="str">
        <f>IFERROR(__xludf.DUMMYFUNCTION("""COMPUTED_VALUE"""),"Walkin")</f>
        <v>Walkin</v>
      </c>
      <c r="W2981" s="124" t="str">
        <f>IFERROR(__xludf.DUMMYFUNCTION("""COMPUTED_VALUE"""),"Lucknow")</f>
        <v>Lucknow</v>
      </c>
      <c r="X2981" s="124" t="str">
        <f>IFERROR(__xludf.DUMMYFUNCTION("""COMPUTED_VALUE"""),"Walkin")</f>
        <v>Walkin</v>
      </c>
      <c r="Y2981" s="124" t="str">
        <f>IFERROR(__xludf.DUMMYFUNCTION("""COMPUTED_VALUE"""),"Lucknow")</f>
        <v>Lucknow</v>
      </c>
      <c r="Z2981" s="124">
        <f>IFERROR(__xludf.DUMMYFUNCTION("""COMPUTED_VALUE"""),1.0)</f>
        <v>1</v>
      </c>
      <c r="AA2981" s="124" t="str">
        <f>IFERROR(__xludf.DUMMYFUNCTION("""COMPUTED_VALUE"""),"Warm")</f>
        <v>Warm</v>
      </c>
      <c r="AB2981" s="124" t="str">
        <f>IFERROR(__xludf.DUMMYFUNCTION("""COMPUTED_VALUE"""),"GS Foundation")</f>
        <v>GS Foundation</v>
      </c>
    </row>
    <row r="2982">
      <c r="K2982" s="124"/>
      <c r="L2982" s="124"/>
      <c r="M2982" s="124"/>
      <c r="N2982" s="124"/>
      <c r="O2982" s="124"/>
      <c r="T2982" s="126">
        <f>IFERROR(__xludf.DUMMYFUNCTION("""COMPUTED_VALUE"""),46073.0)</f>
        <v>46073</v>
      </c>
      <c r="U2982" s="124" t="str">
        <f>IFERROR(__xludf.DUMMYFUNCTION("""COMPUTED_VALUE"""),"Walk-Ins")</f>
        <v>Walk-Ins</v>
      </c>
      <c r="V2982" s="124" t="str">
        <f>IFERROR(__xludf.DUMMYFUNCTION("""COMPUTED_VALUE"""),"Walkin")</f>
        <v>Walkin</v>
      </c>
      <c r="W2982" s="124" t="str">
        <f>IFERROR(__xludf.DUMMYFUNCTION("""COMPUTED_VALUE"""),"Prayagraj")</f>
        <v>Prayagraj</v>
      </c>
      <c r="X2982" s="124" t="str">
        <f>IFERROR(__xludf.DUMMYFUNCTION("""COMPUTED_VALUE"""),"Walkin")</f>
        <v>Walkin</v>
      </c>
      <c r="Y2982" s="124" t="str">
        <f>IFERROR(__xludf.DUMMYFUNCTION("""COMPUTED_VALUE"""),"Prayagraj")</f>
        <v>Prayagraj</v>
      </c>
      <c r="Z2982" s="124">
        <f>IFERROR(__xludf.DUMMYFUNCTION("""COMPUTED_VALUE"""),1.0)</f>
        <v>1</v>
      </c>
      <c r="AA2982" s="124" t="str">
        <f>IFERROR(__xludf.DUMMYFUNCTION("""COMPUTED_VALUE"""),"Future Prospects")</f>
        <v>Future Prospects</v>
      </c>
      <c r="AB2982" s="124" t="str">
        <f>IFERROR(__xludf.DUMMYFUNCTION("""COMPUTED_VALUE"""),"GS Foundation")</f>
        <v>GS Foundation</v>
      </c>
    </row>
    <row r="2983">
      <c r="K2983" s="124"/>
      <c r="L2983" s="124"/>
      <c r="M2983" s="124"/>
      <c r="N2983" s="124"/>
      <c r="O2983" s="124"/>
      <c r="T2983" s="126">
        <f>IFERROR(__xludf.DUMMYFUNCTION("""COMPUTED_VALUE"""),46103.0)</f>
        <v>46103</v>
      </c>
      <c r="U2983" s="124" t="str">
        <f>IFERROR(__xludf.DUMMYFUNCTION("""COMPUTED_VALUE"""),"Walk-Ins")</f>
        <v>Walk-Ins</v>
      </c>
      <c r="V2983" s="124" t="str">
        <f>IFERROR(__xludf.DUMMYFUNCTION("""COMPUTED_VALUE"""),"Walkin")</f>
        <v>Walkin</v>
      </c>
      <c r="W2983" s="124" t="str">
        <f>IFERROR(__xludf.DUMMYFUNCTION("""COMPUTED_VALUE"""),"Patna")</f>
        <v>Patna</v>
      </c>
      <c r="X2983" s="124" t="str">
        <f>IFERROR(__xludf.DUMMYFUNCTION("""COMPUTED_VALUE"""),"Walkin")</f>
        <v>Walkin</v>
      </c>
      <c r="Y2983" s="124" t="str">
        <f>IFERROR(__xludf.DUMMYFUNCTION("""COMPUTED_VALUE"""),"Patna")</f>
        <v>Patna</v>
      </c>
      <c r="Z2983" s="124">
        <f>IFERROR(__xludf.DUMMYFUNCTION("""COMPUTED_VALUE"""),2.0)</f>
        <v>2</v>
      </c>
      <c r="AA2983" s="124" t="str">
        <f>IFERROR(__xludf.DUMMYFUNCTION("""COMPUTED_VALUE"""),"Fake Lead")</f>
        <v>Fake Lead</v>
      </c>
      <c r="AB2983" s="124" t="str">
        <f>IFERROR(__xludf.DUMMYFUNCTION("""COMPUTED_VALUE"""),"State PCS")</f>
        <v>State PCS</v>
      </c>
    </row>
    <row r="2984">
      <c r="K2984" s="124"/>
      <c r="L2984" s="124"/>
      <c r="M2984" s="124"/>
      <c r="N2984" s="124"/>
      <c r="O2984" s="124"/>
      <c r="T2984" s="129">
        <f>IFERROR(__xludf.DUMMYFUNCTION("""COMPUTED_VALUE"""),46073.0)</f>
        <v>46073</v>
      </c>
      <c r="U2984" s="124" t="str">
        <f>IFERROR(__xludf.DUMMYFUNCTION("""COMPUTED_VALUE"""),"Walk-Ins")</f>
        <v>Walk-Ins</v>
      </c>
      <c r="V2984" s="124" t="str">
        <f>IFERROR(__xludf.DUMMYFUNCTION("""COMPUTED_VALUE"""),"Walkin")</f>
        <v>Walkin</v>
      </c>
      <c r="W2984" s="124" t="str">
        <f>IFERROR(__xludf.DUMMYFUNCTION("""COMPUTED_VALUE"""),"Patna")</f>
        <v>Patna</v>
      </c>
      <c r="X2984" s="124" t="str">
        <f>IFERROR(__xludf.DUMMYFUNCTION("""COMPUTED_VALUE"""),"Walkin")</f>
        <v>Walkin</v>
      </c>
      <c r="Y2984" s="124" t="str">
        <f>IFERROR(__xludf.DUMMYFUNCTION("""COMPUTED_VALUE"""),"Patna")</f>
        <v>Patna</v>
      </c>
      <c r="Z2984" s="124">
        <f>IFERROR(__xludf.DUMMYFUNCTION("""COMPUTED_VALUE"""),1.0)</f>
        <v>1</v>
      </c>
      <c r="AA2984" s="124" t="str">
        <f>IFERROR(__xludf.DUMMYFUNCTION("""COMPUTED_VALUE"""),"Cold")</f>
        <v>Cold</v>
      </c>
      <c r="AB2984" s="124" t="str">
        <f>IFERROR(__xludf.DUMMYFUNCTION("""COMPUTED_VALUE"""),"GS Foundation")</f>
        <v>GS Foundation</v>
      </c>
    </row>
    <row r="2985">
      <c r="K2985" s="124"/>
      <c r="L2985" s="124"/>
      <c r="M2985" s="124"/>
      <c r="N2985" s="124"/>
      <c r="O2985" s="124"/>
      <c r="T2985" s="126">
        <f>IFERROR(__xludf.DUMMYFUNCTION("""COMPUTED_VALUE"""),46094.0)</f>
        <v>46094</v>
      </c>
      <c r="U2985" s="124" t="str">
        <f>IFERROR(__xludf.DUMMYFUNCTION("""COMPUTED_VALUE"""),"External Leads")</f>
        <v>External Leads</v>
      </c>
      <c r="V2985" s="124" t="str">
        <f>IFERROR(__xludf.DUMMYFUNCTION("""COMPUTED_VALUE"""),"external leads")</f>
        <v>external leads</v>
      </c>
      <c r="W2985" s="124" t="str">
        <f>IFERROR(__xludf.DUMMYFUNCTION("""COMPUTED_VALUE"""),"patna")</f>
        <v>patna</v>
      </c>
      <c r="X2985" s="124" t="str">
        <f>IFERROR(__xludf.DUMMYFUNCTION("""COMPUTED_VALUE"""),"pat bulk - piyush")</f>
        <v>pat bulk - piyush</v>
      </c>
      <c r="Y2985" s="124" t="str">
        <f>IFERROR(__xludf.DUMMYFUNCTION("""COMPUTED_VALUE"""),"Patna")</f>
        <v>Patna</v>
      </c>
      <c r="Z2985" s="124">
        <f>IFERROR(__xludf.DUMMYFUNCTION("""COMPUTED_VALUE"""),1.0)</f>
        <v>1</v>
      </c>
      <c r="AA2985" s="124" t="str">
        <f>IFERROR(__xludf.DUMMYFUNCTION("""COMPUTED_VALUE"""),"Warm")</f>
        <v>Warm</v>
      </c>
      <c r="AB2985" s="124"/>
    </row>
    <row r="2986">
      <c r="K2986" s="124"/>
      <c r="L2986" s="124"/>
      <c r="M2986" s="124"/>
      <c r="N2986" s="124"/>
      <c r="O2986" s="124"/>
      <c r="T2986" s="126">
        <f>IFERROR(__xludf.DUMMYFUNCTION("""COMPUTED_VALUE"""),46073.0)</f>
        <v>46073</v>
      </c>
      <c r="U2986" s="124" t="str">
        <f>IFERROR(__xludf.DUMMYFUNCTION("""COMPUTED_VALUE"""),"Walk-Ins")</f>
        <v>Walk-Ins</v>
      </c>
      <c r="V2986" s="124" t="str">
        <f>IFERROR(__xludf.DUMMYFUNCTION("""COMPUTED_VALUE"""),"Walkin")</f>
        <v>Walkin</v>
      </c>
      <c r="W2986" s="124" t="str">
        <f>IFERROR(__xludf.DUMMYFUNCTION("""COMPUTED_VALUE"""),"Indore")</f>
        <v>Indore</v>
      </c>
      <c r="X2986" s="124" t="str">
        <f>IFERROR(__xludf.DUMMYFUNCTION("""COMPUTED_VALUE"""),"Walkin")</f>
        <v>Walkin</v>
      </c>
      <c r="Y2986" s="124" t="str">
        <f>IFERROR(__xludf.DUMMYFUNCTION("""COMPUTED_VALUE"""),"Indore")</f>
        <v>Indore</v>
      </c>
      <c r="Z2986" s="124">
        <f>IFERROR(__xludf.DUMMYFUNCTION("""COMPUTED_VALUE"""),1.0)</f>
        <v>1</v>
      </c>
      <c r="AA2986" s="124" t="str">
        <f>IFERROR(__xludf.DUMMYFUNCTION("""COMPUTED_VALUE"""),"Enrolled")</f>
        <v>Enrolled</v>
      </c>
      <c r="AB2986" s="124" t="str">
        <f>IFERROR(__xludf.DUMMYFUNCTION("""COMPUTED_VALUE"""),"Other")</f>
        <v>Other</v>
      </c>
    </row>
    <row r="2987">
      <c r="K2987" s="124"/>
      <c r="L2987" s="124"/>
      <c r="M2987" s="124"/>
      <c r="N2987" s="124"/>
      <c r="O2987" s="124"/>
      <c r="T2987" s="126">
        <f>IFERROR(__xludf.DUMMYFUNCTION("""COMPUTED_VALUE"""),46058.0)</f>
        <v>46058</v>
      </c>
      <c r="U2987" s="124" t="str">
        <f>IFERROR(__xludf.DUMMYFUNCTION("""COMPUTED_VALUE"""),"Walk-Ins")</f>
        <v>Walk-Ins</v>
      </c>
      <c r="V2987" s="124" t="str">
        <f>IFERROR(__xludf.DUMMYFUNCTION("""COMPUTED_VALUE"""),"Walkin")</f>
        <v>Walkin</v>
      </c>
      <c r="W2987" s="124" t="str">
        <f>IFERROR(__xludf.DUMMYFUNCTION("""COMPUTED_VALUE"""),"Prayagraj")</f>
        <v>Prayagraj</v>
      </c>
      <c r="X2987" s="124" t="str">
        <f>IFERROR(__xludf.DUMMYFUNCTION("""COMPUTED_VALUE"""),"Walkin")</f>
        <v>Walkin</v>
      </c>
      <c r="Y2987" s="124" t="str">
        <f>IFERROR(__xludf.DUMMYFUNCTION("""COMPUTED_VALUE"""),"Prayagraj")</f>
        <v>Prayagraj</v>
      </c>
      <c r="Z2987" s="124">
        <f>IFERROR(__xludf.DUMMYFUNCTION("""COMPUTED_VALUE"""),1.0)</f>
        <v>1</v>
      </c>
      <c r="AA2987" s="124" t="str">
        <f>IFERROR(__xludf.DUMMYFUNCTION("""COMPUTED_VALUE"""),"Interested")</f>
        <v>Interested</v>
      </c>
      <c r="AB2987" s="124" t="str">
        <f>IFERROR(__xludf.DUMMYFUNCTION("""COMPUTED_VALUE"""),"GS Foundation")</f>
        <v>GS Foundation</v>
      </c>
    </row>
    <row r="2988">
      <c r="K2988" s="124"/>
      <c r="L2988" s="124"/>
      <c r="M2988" s="124"/>
      <c r="N2988" s="124"/>
      <c r="O2988" s="124"/>
      <c r="T2988" s="129">
        <f>IFERROR(__xludf.DUMMYFUNCTION("""COMPUTED_VALUE"""),46050.0)</f>
        <v>46050</v>
      </c>
      <c r="U2988" s="124" t="str">
        <f>IFERROR(__xludf.DUMMYFUNCTION("""COMPUTED_VALUE"""),"Walk-Ins")</f>
        <v>Walk-Ins</v>
      </c>
      <c r="V2988" s="124" t="str">
        <f>IFERROR(__xludf.DUMMYFUNCTION("""COMPUTED_VALUE"""),"Walkin")</f>
        <v>Walkin</v>
      </c>
      <c r="W2988" s="124" t="str">
        <f>IFERROR(__xludf.DUMMYFUNCTION("""COMPUTED_VALUE"""),"Patna")</f>
        <v>Patna</v>
      </c>
      <c r="X2988" s="124" t="str">
        <f>IFERROR(__xludf.DUMMYFUNCTION("""COMPUTED_VALUE"""),"Walkin")</f>
        <v>Walkin</v>
      </c>
      <c r="Y2988" s="124" t="str">
        <f>IFERROR(__xludf.DUMMYFUNCTION("""COMPUTED_VALUE"""),"Patna")</f>
        <v>Patna</v>
      </c>
      <c r="Z2988" s="124">
        <f>IFERROR(__xludf.DUMMYFUNCTION("""COMPUTED_VALUE"""),1.0)</f>
        <v>1</v>
      </c>
      <c r="AA2988" s="124" t="str">
        <f>IFERROR(__xludf.DUMMYFUNCTION("""COMPUTED_VALUE"""),"Fake Lead")</f>
        <v>Fake Lead</v>
      </c>
      <c r="AB2988" s="124" t="str">
        <f>IFERROR(__xludf.DUMMYFUNCTION("""COMPUTED_VALUE"""),"State PCS")</f>
        <v>State PCS</v>
      </c>
    </row>
    <row r="2989">
      <c r="K2989" s="124"/>
      <c r="L2989" s="124"/>
      <c r="M2989" s="124"/>
      <c r="N2989" s="124"/>
      <c r="O2989" s="124"/>
      <c r="T2989" s="129">
        <f>IFERROR(__xludf.DUMMYFUNCTION("""COMPUTED_VALUE"""),46093.0)</f>
        <v>46093</v>
      </c>
      <c r="U2989" s="124" t="str">
        <f>IFERROR(__xludf.DUMMYFUNCTION("""COMPUTED_VALUE"""),"Walk-Ins")</f>
        <v>Walk-Ins</v>
      </c>
      <c r="V2989" s="124" t="str">
        <f>IFERROR(__xludf.DUMMYFUNCTION("""COMPUTED_VALUE"""),"Walkin")</f>
        <v>Walkin</v>
      </c>
      <c r="W2989" s="124" t="str">
        <f>IFERROR(__xludf.DUMMYFUNCTION("""COMPUTED_VALUE"""),"Lucknow")</f>
        <v>Lucknow</v>
      </c>
      <c r="X2989" s="124" t="str">
        <f>IFERROR(__xludf.DUMMYFUNCTION("""COMPUTED_VALUE"""),"Walkin")</f>
        <v>Walkin</v>
      </c>
      <c r="Y2989" s="124" t="str">
        <f>IFERROR(__xludf.DUMMYFUNCTION("""COMPUTED_VALUE"""),"Lucknow")</f>
        <v>Lucknow</v>
      </c>
      <c r="Z2989" s="124">
        <f>IFERROR(__xludf.DUMMYFUNCTION("""COMPUTED_VALUE"""),1.0)</f>
        <v>1</v>
      </c>
      <c r="AA2989" s="124" t="str">
        <f>IFERROR(__xludf.DUMMYFUNCTION("""COMPUTED_VALUE"""),"Cold")</f>
        <v>Cold</v>
      </c>
      <c r="AB2989" s="124" t="str">
        <f>IFERROR(__xludf.DUMMYFUNCTION("""COMPUTED_VALUE"""),"GS Foundation")</f>
        <v>GS Foundation</v>
      </c>
    </row>
    <row r="2990">
      <c r="K2990" s="124"/>
      <c r="L2990" s="124"/>
      <c r="M2990" s="124"/>
      <c r="N2990" s="124"/>
      <c r="O2990" s="124"/>
      <c r="T2990" s="129">
        <f>IFERROR(__xludf.DUMMYFUNCTION("""COMPUTED_VALUE"""),46063.0)</f>
        <v>46063</v>
      </c>
      <c r="U2990" s="124" t="str">
        <f>IFERROR(__xludf.DUMMYFUNCTION("""COMPUTED_VALUE"""),"Walk-Ins")</f>
        <v>Walk-Ins</v>
      </c>
      <c r="V2990" s="124" t="str">
        <f>IFERROR(__xludf.DUMMYFUNCTION("""COMPUTED_VALUE"""),"Walkin")</f>
        <v>Walkin</v>
      </c>
      <c r="W2990" s="124" t="str">
        <f>IFERROR(__xludf.DUMMYFUNCTION("""COMPUTED_VALUE"""),"Lucknow")</f>
        <v>Lucknow</v>
      </c>
      <c r="X2990" s="124" t="str">
        <f>IFERROR(__xludf.DUMMYFUNCTION("""COMPUTED_VALUE"""),"Walkin")</f>
        <v>Walkin</v>
      </c>
      <c r="Y2990" s="124" t="str">
        <f>IFERROR(__xludf.DUMMYFUNCTION("""COMPUTED_VALUE"""),"Lucknow")</f>
        <v>Lucknow</v>
      </c>
      <c r="Z2990" s="124">
        <f>IFERROR(__xludf.DUMMYFUNCTION("""COMPUTED_VALUE"""),1.0)</f>
        <v>1</v>
      </c>
      <c r="AA2990" s="124" t="str">
        <f>IFERROR(__xludf.DUMMYFUNCTION("""COMPUTED_VALUE"""),"Not Interested")</f>
        <v>Not Interested</v>
      </c>
      <c r="AB2990" s="124" t="str">
        <f>IFERROR(__xludf.DUMMYFUNCTION("""COMPUTED_VALUE"""),"GS Foundation")</f>
        <v>GS Foundation</v>
      </c>
    </row>
    <row r="2991">
      <c r="K2991" s="124"/>
      <c r="L2991" s="124"/>
      <c r="M2991" s="124"/>
      <c r="N2991" s="124"/>
      <c r="O2991" s="124"/>
      <c r="T2991" s="126">
        <f>IFERROR(__xludf.DUMMYFUNCTION("""COMPUTED_VALUE"""),46057.0)</f>
        <v>46057</v>
      </c>
      <c r="U2991" s="124" t="str">
        <f>IFERROR(__xludf.DUMMYFUNCTION("""COMPUTED_VALUE"""),"Walk-Ins")</f>
        <v>Walk-Ins</v>
      </c>
      <c r="V2991" s="124" t="str">
        <f>IFERROR(__xludf.DUMMYFUNCTION("""COMPUTED_VALUE"""),"Walk-In")</f>
        <v>Walk-In</v>
      </c>
      <c r="W2991" s="124" t="str">
        <f>IFERROR(__xludf.DUMMYFUNCTION("""COMPUTED_VALUE"""),"Patna")</f>
        <v>Patna</v>
      </c>
      <c r="X2991" s="124" t="str">
        <f>IFERROR(__xludf.DUMMYFUNCTION("""COMPUTED_VALUE"""),"Others")</f>
        <v>Others</v>
      </c>
      <c r="Y2991" s="124" t="str">
        <f>IFERROR(__xludf.DUMMYFUNCTION("""COMPUTED_VALUE"""),"Patna")</f>
        <v>Patna</v>
      </c>
      <c r="Z2991" s="124">
        <f>IFERROR(__xludf.DUMMYFUNCTION("""COMPUTED_VALUE"""),1.0)</f>
        <v>1</v>
      </c>
      <c r="AA2991" s="124" t="str">
        <f>IFERROR(__xludf.DUMMYFUNCTION("""COMPUTED_VALUE"""),"Enrolled")</f>
        <v>Enrolled</v>
      </c>
      <c r="AB2991" s="124" t="str">
        <f>IFERROR(__xludf.DUMMYFUNCTION("""COMPUTED_VALUE"""),"GS Foundation")</f>
        <v>GS Foundation</v>
      </c>
    </row>
    <row r="2992">
      <c r="K2992" s="124"/>
      <c r="L2992" s="124"/>
      <c r="M2992" s="124"/>
      <c r="N2992" s="124"/>
      <c r="O2992" s="124"/>
      <c r="T2992" s="126">
        <f>IFERROR(__xludf.DUMMYFUNCTION("""COMPUTED_VALUE"""),46109.0)</f>
        <v>46109</v>
      </c>
      <c r="U2992" s="124" t="str">
        <f>IFERROR(__xludf.DUMMYFUNCTION("""COMPUTED_VALUE"""),"Walk-Ins")</f>
        <v>Walk-Ins</v>
      </c>
      <c r="V2992" s="124" t="str">
        <f>IFERROR(__xludf.DUMMYFUNCTION("""COMPUTED_VALUE"""),"Walkin")</f>
        <v>Walkin</v>
      </c>
      <c r="W2992" s="124" t="str">
        <f>IFERROR(__xludf.DUMMYFUNCTION("""COMPUTED_VALUE"""),"Patna")</f>
        <v>Patna</v>
      </c>
      <c r="X2992" s="124" t="str">
        <f>IFERROR(__xludf.DUMMYFUNCTION("""COMPUTED_VALUE"""),"Walkin")</f>
        <v>Walkin</v>
      </c>
      <c r="Y2992" s="124" t="str">
        <f>IFERROR(__xludf.DUMMYFUNCTION("""COMPUTED_VALUE"""),"Patna")</f>
        <v>Patna</v>
      </c>
      <c r="Z2992" s="124">
        <f>IFERROR(__xludf.DUMMYFUNCTION("""COMPUTED_VALUE"""),1.0)</f>
        <v>1</v>
      </c>
      <c r="AA2992" s="124" t="str">
        <f>IFERROR(__xludf.DUMMYFUNCTION("""COMPUTED_VALUE"""),"Enrolled")</f>
        <v>Enrolled</v>
      </c>
      <c r="AB2992" s="124" t="str">
        <f>IFERROR(__xludf.DUMMYFUNCTION("""COMPUTED_VALUE"""),"State PCS")</f>
        <v>State PCS</v>
      </c>
    </row>
    <row r="2993">
      <c r="K2993" s="124"/>
      <c r="L2993" s="124"/>
      <c r="M2993" s="124"/>
      <c r="N2993" s="124"/>
      <c r="O2993" s="124"/>
      <c r="T2993" s="129">
        <f>IFERROR(__xludf.DUMMYFUNCTION("""COMPUTED_VALUE"""),46049.0)</f>
        <v>46049</v>
      </c>
      <c r="U2993" s="124" t="str">
        <f>IFERROR(__xludf.DUMMYFUNCTION("""COMPUTED_VALUE"""),"Walk-Ins")</f>
        <v>Walk-Ins</v>
      </c>
      <c r="V2993" s="124" t="str">
        <f>IFERROR(__xludf.DUMMYFUNCTION("""COMPUTED_VALUE"""),"Walkin")</f>
        <v>Walkin</v>
      </c>
      <c r="W2993" s="124" t="str">
        <f>IFERROR(__xludf.DUMMYFUNCTION("""COMPUTED_VALUE"""),"Indore")</f>
        <v>Indore</v>
      </c>
      <c r="X2993" s="124" t="str">
        <f>IFERROR(__xludf.DUMMYFUNCTION("""COMPUTED_VALUE"""),"Walkin")</f>
        <v>Walkin</v>
      </c>
      <c r="Y2993" s="124" t="str">
        <f>IFERROR(__xludf.DUMMYFUNCTION("""COMPUTED_VALUE"""),"Indore")</f>
        <v>Indore</v>
      </c>
      <c r="Z2993" s="124">
        <f>IFERROR(__xludf.DUMMYFUNCTION("""COMPUTED_VALUE"""),1.0)</f>
        <v>1</v>
      </c>
      <c r="AA2993" s="124" t="str">
        <f>IFERROR(__xludf.DUMMYFUNCTION("""COMPUTED_VALUE"""),"Not Interested")</f>
        <v>Not Interested</v>
      </c>
      <c r="AB2993" s="124" t="str">
        <f>IFERROR(__xludf.DUMMYFUNCTION("""COMPUTED_VALUE"""),"GS Foundation")</f>
        <v>GS Foundation</v>
      </c>
    </row>
    <row r="2994">
      <c r="K2994" s="124"/>
      <c r="L2994" s="124"/>
      <c r="M2994" s="124"/>
      <c r="N2994" s="124"/>
      <c r="O2994" s="124"/>
      <c r="T2994" s="126">
        <f>IFERROR(__xludf.DUMMYFUNCTION("""COMPUTED_VALUE"""),46091.0)</f>
        <v>46091</v>
      </c>
      <c r="U2994" s="124" t="str">
        <f>IFERROR(__xludf.DUMMYFUNCTION("""COMPUTED_VALUE"""),"Walk-Ins")</f>
        <v>Walk-Ins</v>
      </c>
      <c r="V2994" s="124" t="str">
        <f>IFERROR(__xludf.DUMMYFUNCTION("""COMPUTED_VALUE"""),"Walkin")</f>
        <v>Walkin</v>
      </c>
      <c r="W2994" s="124" t="str">
        <f>IFERROR(__xludf.DUMMYFUNCTION("""COMPUTED_VALUE"""),"Indore")</f>
        <v>Indore</v>
      </c>
      <c r="X2994" s="124" t="str">
        <f>IFERROR(__xludf.DUMMYFUNCTION("""COMPUTED_VALUE"""),"Walkin")</f>
        <v>Walkin</v>
      </c>
      <c r="Y2994" s="124" t="str">
        <f>IFERROR(__xludf.DUMMYFUNCTION("""COMPUTED_VALUE"""),"Indore")</f>
        <v>Indore</v>
      </c>
      <c r="Z2994" s="124">
        <f>IFERROR(__xludf.DUMMYFUNCTION("""COMPUTED_VALUE"""),1.0)</f>
        <v>1</v>
      </c>
      <c r="AA2994" s="124" t="str">
        <f>IFERROR(__xludf.DUMMYFUNCTION("""COMPUTED_VALUE"""),"Cold")</f>
        <v>Cold</v>
      </c>
      <c r="AB2994" s="124" t="str">
        <f>IFERROR(__xludf.DUMMYFUNCTION("""COMPUTED_VALUE"""),"GS Foundation")</f>
        <v>GS Foundation</v>
      </c>
    </row>
    <row r="2995">
      <c r="K2995" s="124"/>
      <c r="L2995" s="124"/>
      <c r="M2995" s="124"/>
      <c r="N2995" s="124"/>
      <c r="O2995" s="124"/>
      <c r="T2995" s="126">
        <f>IFERROR(__xludf.DUMMYFUNCTION("""COMPUTED_VALUE"""),46051.0)</f>
        <v>46051</v>
      </c>
      <c r="U2995" s="124" t="str">
        <f>IFERROR(__xludf.DUMMYFUNCTION("""COMPUTED_VALUE"""),"Walk-Ins")</f>
        <v>Walk-Ins</v>
      </c>
      <c r="V2995" s="124" t="str">
        <f>IFERROR(__xludf.DUMMYFUNCTION("""COMPUTED_VALUE"""),"Walkin")</f>
        <v>Walkin</v>
      </c>
      <c r="W2995" s="124" t="str">
        <f>IFERROR(__xludf.DUMMYFUNCTION("""COMPUTED_VALUE"""),"Lucknow")</f>
        <v>Lucknow</v>
      </c>
      <c r="X2995" s="124" t="str">
        <f>IFERROR(__xludf.DUMMYFUNCTION("""COMPUTED_VALUE"""),"Walkin")</f>
        <v>Walkin</v>
      </c>
      <c r="Y2995" s="124" t="str">
        <f>IFERROR(__xludf.DUMMYFUNCTION("""COMPUTED_VALUE"""),"Lucknow")</f>
        <v>Lucknow</v>
      </c>
      <c r="Z2995" s="124">
        <f>IFERROR(__xludf.DUMMYFUNCTION("""COMPUTED_VALUE"""),1.0)</f>
        <v>1</v>
      </c>
      <c r="AA2995" s="124" t="str">
        <f>IFERROR(__xludf.DUMMYFUNCTION("""COMPUTED_VALUE"""),"Cold")</f>
        <v>Cold</v>
      </c>
      <c r="AB2995" s="124" t="str">
        <f>IFERROR(__xludf.DUMMYFUNCTION("""COMPUTED_VALUE"""),"GS Foundation")</f>
        <v>GS Foundation</v>
      </c>
    </row>
    <row r="2996">
      <c r="K2996" s="124"/>
      <c r="L2996" s="124"/>
      <c r="M2996" s="124"/>
      <c r="N2996" s="124"/>
      <c r="O2996" s="124"/>
      <c r="T2996" s="126">
        <f>IFERROR(__xludf.DUMMYFUNCTION("""COMPUTED_VALUE"""),46101.0)</f>
        <v>46101</v>
      </c>
      <c r="U2996" s="124" t="str">
        <f>IFERROR(__xludf.DUMMYFUNCTION("""COMPUTED_VALUE"""),"Walk-Ins")</f>
        <v>Walk-Ins</v>
      </c>
      <c r="V2996" s="124" t="str">
        <f>IFERROR(__xludf.DUMMYFUNCTION("""COMPUTED_VALUE"""),"Walkin")</f>
        <v>Walkin</v>
      </c>
      <c r="W2996" s="124" t="str">
        <f>IFERROR(__xludf.DUMMYFUNCTION("""COMPUTED_VALUE"""),"Prayagraj")</f>
        <v>Prayagraj</v>
      </c>
      <c r="X2996" s="124" t="str">
        <f>IFERROR(__xludf.DUMMYFUNCTION("""COMPUTED_VALUE"""),"Walkin")</f>
        <v>Walkin</v>
      </c>
      <c r="Y2996" s="124" t="str">
        <f>IFERROR(__xludf.DUMMYFUNCTION("""COMPUTED_VALUE"""),"Prayagraj")</f>
        <v>Prayagraj</v>
      </c>
      <c r="Z2996" s="124">
        <f>IFERROR(__xludf.DUMMYFUNCTION("""COMPUTED_VALUE"""),3.0)</f>
        <v>3</v>
      </c>
      <c r="AA2996" s="124" t="str">
        <f>IFERROR(__xludf.DUMMYFUNCTION("""COMPUTED_VALUE"""),"Cold")</f>
        <v>Cold</v>
      </c>
      <c r="AB2996" s="124" t="str">
        <f>IFERROR(__xludf.DUMMYFUNCTION("""COMPUTED_VALUE"""),"GS Foundation")</f>
        <v>GS Foundation</v>
      </c>
    </row>
    <row r="2997">
      <c r="K2997" s="124"/>
      <c r="L2997" s="124"/>
      <c r="M2997" s="124"/>
      <c r="N2997" s="124"/>
      <c r="O2997" s="124"/>
      <c r="T2997" s="126">
        <f>IFERROR(__xludf.DUMMYFUNCTION("""COMPUTED_VALUE"""),46090.0)</f>
        <v>46090</v>
      </c>
      <c r="U2997" s="124" t="str">
        <f>IFERROR(__xludf.DUMMYFUNCTION("""COMPUTED_VALUE"""),"Walk-Ins")</f>
        <v>Walk-Ins</v>
      </c>
      <c r="V2997" s="124" t="str">
        <f>IFERROR(__xludf.DUMMYFUNCTION("""COMPUTED_VALUE"""),"Walkin")</f>
        <v>Walkin</v>
      </c>
      <c r="W2997" s="124" t="str">
        <f>IFERROR(__xludf.DUMMYFUNCTION("""COMPUTED_VALUE"""),"Patna")</f>
        <v>Patna</v>
      </c>
      <c r="X2997" s="124" t="str">
        <f>IFERROR(__xludf.DUMMYFUNCTION("""COMPUTED_VALUE"""),"Walkin")</f>
        <v>Walkin</v>
      </c>
      <c r="Y2997" s="124" t="str">
        <f>IFERROR(__xludf.DUMMYFUNCTION("""COMPUTED_VALUE"""),"Patna")</f>
        <v>Patna</v>
      </c>
      <c r="Z2997" s="124">
        <f>IFERROR(__xludf.DUMMYFUNCTION("""COMPUTED_VALUE"""),2.0)</f>
        <v>2</v>
      </c>
      <c r="AA2997" s="124" t="str">
        <f>IFERROR(__xludf.DUMMYFUNCTION("""COMPUTED_VALUE"""),"Cold")</f>
        <v>Cold</v>
      </c>
      <c r="AB2997" s="124" t="str">
        <f>IFERROR(__xludf.DUMMYFUNCTION("""COMPUTED_VALUE"""),"GS Foundation")</f>
        <v>GS Foundation</v>
      </c>
    </row>
    <row r="2998">
      <c r="K2998" s="124"/>
      <c r="L2998" s="124"/>
      <c r="M2998" s="124"/>
      <c r="N2998" s="124"/>
      <c r="O2998" s="124"/>
      <c r="T2998" s="129">
        <f>IFERROR(__xludf.DUMMYFUNCTION("""COMPUTED_VALUE"""),46047.0)</f>
        <v>46047</v>
      </c>
      <c r="U2998" s="124" t="str">
        <f>IFERROR(__xludf.DUMMYFUNCTION("""COMPUTED_VALUE"""),"Walk-Ins")</f>
        <v>Walk-Ins</v>
      </c>
      <c r="V2998" s="124" t="str">
        <f>IFERROR(__xludf.DUMMYFUNCTION("""COMPUTED_VALUE"""),"Walkin")</f>
        <v>Walkin</v>
      </c>
      <c r="W2998" s="124" t="str">
        <f>IFERROR(__xludf.DUMMYFUNCTION("""COMPUTED_VALUE"""),"Indore")</f>
        <v>Indore</v>
      </c>
      <c r="X2998" s="124" t="str">
        <f>IFERROR(__xludf.DUMMYFUNCTION("""COMPUTED_VALUE"""),"Walkin")</f>
        <v>Walkin</v>
      </c>
      <c r="Y2998" s="124" t="str">
        <f>IFERROR(__xludf.DUMMYFUNCTION("""COMPUTED_VALUE"""),"Indore")</f>
        <v>Indore</v>
      </c>
      <c r="Z2998" s="124">
        <f>IFERROR(__xludf.DUMMYFUNCTION("""COMPUTED_VALUE"""),1.0)</f>
        <v>1</v>
      </c>
      <c r="AA2998" s="124" t="str">
        <f>IFERROR(__xludf.DUMMYFUNCTION("""COMPUTED_VALUE"""),"Cold")</f>
        <v>Cold</v>
      </c>
      <c r="AB2998" s="124" t="str">
        <f>IFERROR(__xludf.DUMMYFUNCTION("""COMPUTED_VALUE"""),"GS Foundation")</f>
        <v>GS Foundation</v>
      </c>
    </row>
    <row r="2999">
      <c r="K2999" s="124"/>
      <c r="L2999" s="124"/>
      <c r="M2999" s="124"/>
      <c r="N2999" s="124"/>
      <c r="O2999" s="124"/>
      <c r="T2999" s="126">
        <f>IFERROR(__xludf.DUMMYFUNCTION("""COMPUTED_VALUE"""),46057.0)</f>
        <v>46057</v>
      </c>
      <c r="U2999" s="124" t="str">
        <f>IFERROR(__xludf.DUMMYFUNCTION("""COMPUTED_VALUE"""),"Walk-Ins")</f>
        <v>Walk-Ins</v>
      </c>
      <c r="V2999" s="124" t="str">
        <f>IFERROR(__xludf.DUMMYFUNCTION("""COMPUTED_VALUE"""),"Walkin")</f>
        <v>Walkin</v>
      </c>
      <c r="W2999" s="124" t="str">
        <f>IFERROR(__xludf.DUMMYFUNCTION("""COMPUTED_VALUE"""),"Indore")</f>
        <v>Indore</v>
      </c>
      <c r="X2999" s="124" t="str">
        <f>IFERROR(__xludf.DUMMYFUNCTION("""COMPUTED_VALUE"""),"Walkin")</f>
        <v>Walkin</v>
      </c>
      <c r="Y2999" s="124" t="str">
        <f>IFERROR(__xludf.DUMMYFUNCTION("""COMPUTED_VALUE"""),"Indore")</f>
        <v>Indore</v>
      </c>
      <c r="Z2999" s="124">
        <f>IFERROR(__xludf.DUMMYFUNCTION("""COMPUTED_VALUE"""),1.0)</f>
        <v>1</v>
      </c>
      <c r="AA2999" s="124" t="str">
        <f>IFERROR(__xludf.DUMMYFUNCTION("""COMPUTED_VALUE"""),"Future Prospects")</f>
        <v>Future Prospects</v>
      </c>
      <c r="AB2999" s="124" t="str">
        <f>IFERROR(__xludf.DUMMYFUNCTION("""COMPUTED_VALUE"""),"State PCS")</f>
        <v>State PCS</v>
      </c>
    </row>
    <row r="3000">
      <c r="K3000" s="124"/>
      <c r="L3000" s="124"/>
      <c r="M3000" s="124"/>
      <c r="N3000" s="124"/>
      <c r="O3000" s="124"/>
      <c r="T3000" s="126">
        <f>IFERROR(__xludf.DUMMYFUNCTION("""COMPUTED_VALUE"""),46050.0)</f>
        <v>46050</v>
      </c>
      <c r="U3000" s="124" t="str">
        <f>IFERROR(__xludf.DUMMYFUNCTION("""COMPUTED_VALUE"""),"Walk-Ins")</f>
        <v>Walk-Ins</v>
      </c>
      <c r="V3000" s="124" t="str">
        <f>IFERROR(__xludf.DUMMYFUNCTION("""COMPUTED_VALUE"""),"Walkin")</f>
        <v>Walkin</v>
      </c>
      <c r="W3000" s="124" t="str">
        <f>IFERROR(__xludf.DUMMYFUNCTION("""COMPUTED_VALUE"""),"Patna")</f>
        <v>Patna</v>
      </c>
      <c r="X3000" s="124" t="str">
        <f>IFERROR(__xludf.DUMMYFUNCTION("""COMPUTED_VALUE"""),"Walkin")</f>
        <v>Walkin</v>
      </c>
      <c r="Y3000" s="124" t="str">
        <f>IFERROR(__xludf.DUMMYFUNCTION("""COMPUTED_VALUE"""),"Patna")</f>
        <v>Patna</v>
      </c>
      <c r="Z3000" s="124">
        <f>IFERROR(__xludf.DUMMYFUNCTION("""COMPUTED_VALUE"""),2.0)</f>
        <v>2</v>
      </c>
      <c r="AA3000" s="124" t="str">
        <f>IFERROR(__xludf.DUMMYFUNCTION("""COMPUTED_VALUE"""),"Not Interested")</f>
        <v>Not Interested</v>
      </c>
      <c r="AB3000" s="124" t="str">
        <f>IFERROR(__xludf.DUMMYFUNCTION("""COMPUTED_VALUE"""),"State PCS")</f>
        <v>State PCS</v>
      </c>
    </row>
    <row r="3001">
      <c r="K3001" s="124"/>
      <c r="L3001" s="124"/>
      <c r="M3001" s="124"/>
      <c r="N3001" s="124"/>
      <c r="O3001" s="124"/>
      <c r="T3001" s="126">
        <f>IFERROR(__xludf.DUMMYFUNCTION("""COMPUTED_VALUE"""),46066.0)</f>
        <v>46066</v>
      </c>
      <c r="U3001" s="124" t="str">
        <f>IFERROR(__xludf.DUMMYFUNCTION("""COMPUTED_VALUE"""),"Walk-Ins")</f>
        <v>Walk-Ins</v>
      </c>
      <c r="V3001" s="124" t="str">
        <f>IFERROR(__xludf.DUMMYFUNCTION("""COMPUTED_VALUE"""),"Walkin")</f>
        <v>Walkin</v>
      </c>
      <c r="W3001" s="124" t="str">
        <f>IFERROR(__xludf.DUMMYFUNCTION("""COMPUTED_VALUE"""),"Prayagraj")</f>
        <v>Prayagraj</v>
      </c>
      <c r="X3001" s="124" t="str">
        <f>IFERROR(__xludf.DUMMYFUNCTION("""COMPUTED_VALUE"""),"Walkin")</f>
        <v>Walkin</v>
      </c>
      <c r="Y3001" s="124" t="str">
        <f>IFERROR(__xludf.DUMMYFUNCTION("""COMPUTED_VALUE"""),"Prayagraj")</f>
        <v>Prayagraj</v>
      </c>
      <c r="Z3001" s="124">
        <f>IFERROR(__xludf.DUMMYFUNCTION("""COMPUTED_VALUE"""),2.0)</f>
        <v>2</v>
      </c>
      <c r="AA3001" s="124" t="str">
        <f>IFERROR(__xludf.DUMMYFUNCTION("""COMPUTED_VALUE"""),"Future Prospects")</f>
        <v>Future Prospects</v>
      </c>
      <c r="AB3001" s="124" t="str">
        <f>IFERROR(__xludf.DUMMYFUNCTION("""COMPUTED_VALUE"""),"GS Foundation")</f>
        <v>GS Foundation</v>
      </c>
    </row>
    <row r="3002">
      <c r="K3002" s="124"/>
      <c r="L3002" s="124"/>
      <c r="M3002" s="124"/>
      <c r="N3002" s="124"/>
      <c r="O3002" s="124"/>
      <c r="T3002" s="126">
        <f>IFERROR(__xludf.DUMMYFUNCTION("""COMPUTED_VALUE"""),46100.0)</f>
        <v>46100</v>
      </c>
      <c r="U3002" s="124" t="str">
        <f>IFERROR(__xludf.DUMMYFUNCTION("""COMPUTED_VALUE"""),"Walk-Ins")</f>
        <v>Walk-Ins</v>
      </c>
      <c r="V3002" s="124" t="str">
        <f>IFERROR(__xludf.DUMMYFUNCTION("""COMPUTED_VALUE"""),"Walkin")</f>
        <v>Walkin</v>
      </c>
      <c r="W3002" s="124" t="str">
        <f>IFERROR(__xludf.DUMMYFUNCTION("""COMPUTED_VALUE"""),"Prayagraj")</f>
        <v>Prayagraj</v>
      </c>
      <c r="X3002" s="124" t="str">
        <f>IFERROR(__xludf.DUMMYFUNCTION("""COMPUTED_VALUE"""),"Walkin")</f>
        <v>Walkin</v>
      </c>
      <c r="Y3002" s="124" t="str">
        <f>IFERROR(__xludf.DUMMYFUNCTION("""COMPUTED_VALUE"""),"Prayagraj")</f>
        <v>Prayagraj</v>
      </c>
      <c r="Z3002" s="124">
        <f>IFERROR(__xludf.DUMMYFUNCTION("""COMPUTED_VALUE"""),1.0)</f>
        <v>1</v>
      </c>
      <c r="AA3002" s="124" t="str">
        <f>IFERROR(__xludf.DUMMYFUNCTION("""COMPUTED_VALUE"""),"Interested")</f>
        <v>Interested</v>
      </c>
      <c r="AB3002" s="124" t="str">
        <f>IFERROR(__xludf.DUMMYFUNCTION("""COMPUTED_VALUE"""),"Mentorship")</f>
        <v>Mentorship</v>
      </c>
    </row>
    <row r="3003">
      <c r="K3003" s="124"/>
      <c r="L3003" s="124"/>
      <c r="M3003" s="124"/>
      <c r="N3003" s="124"/>
      <c r="O3003" s="124"/>
      <c r="T3003" s="126">
        <f>IFERROR(__xludf.DUMMYFUNCTION("""COMPUTED_VALUE"""),46105.0)</f>
        <v>46105</v>
      </c>
      <c r="U3003" s="124" t="str">
        <f>IFERROR(__xludf.DUMMYFUNCTION("""COMPUTED_VALUE"""),"Walk-Ins")</f>
        <v>Walk-Ins</v>
      </c>
      <c r="V3003" s="124" t="str">
        <f>IFERROR(__xludf.DUMMYFUNCTION("""COMPUTED_VALUE"""),"Walkin")</f>
        <v>Walkin</v>
      </c>
      <c r="W3003" s="124" t="str">
        <f>IFERROR(__xludf.DUMMYFUNCTION("""COMPUTED_VALUE"""),"Indore")</f>
        <v>Indore</v>
      </c>
      <c r="X3003" s="124" t="str">
        <f>IFERROR(__xludf.DUMMYFUNCTION("""COMPUTED_VALUE"""),"Walkin")</f>
        <v>Walkin</v>
      </c>
      <c r="Y3003" s="124" t="str">
        <f>IFERROR(__xludf.DUMMYFUNCTION("""COMPUTED_VALUE"""),"Indore")</f>
        <v>Indore</v>
      </c>
      <c r="Z3003" s="124">
        <f>IFERROR(__xludf.DUMMYFUNCTION("""COMPUTED_VALUE"""),2.0)</f>
        <v>2</v>
      </c>
      <c r="AA3003" s="124" t="str">
        <f>IFERROR(__xludf.DUMMYFUNCTION("""COMPUTED_VALUE"""),"Enrolled")</f>
        <v>Enrolled</v>
      </c>
      <c r="AB3003" s="124" t="str">
        <f>IFERROR(__xludf.DUMMYFUNCTION("""COMPUTED_VALUE"""),"GS Foundation")</f>
        <v>GS Foundation</v>
      </c>
    </row>
    <row r="3004">
      <c r="K3004" s="124"/>
      <c r="L3004" s="124"/>
      <c r="M3004" s="124"/>
      <c r="N3004" s="124"/>
      <c r="O3004" s="124"/>
      <c r="T3004" s="126">
        <f>IFERROR(__xludf.DUMMYFUNCTION("""COMPUTED_VALUE"""),46087.0)</f>
        <v>46087</v>
      </c>
      <c r="U3004" s="124" t="str">
        <f>IFERROR(__xludf.DUMMYFUNCTION("""COMPUTED_VALUE"""),"Walk-Ins")</f>
        <v>Walk-Ins</v>
      </c>
      <c r="V3004" s="124" t="str">
        <f>IFERROR(__xludf.DUMMYFUNCTION("""COMPUTED_VALUE"""),"Walkin")</f>
        <v>Walkin</v>
      </c>
      <c r="W3004" s="124" t="str">
        <f>IFERROR(__xludf.DUMMYFUNCTION("""COMPUTED_VALUE"""),"Prayagraj")</f>
        <v>Prayagraj</v>
      </c>
      <c r="X3004" s="124" t="str">
        <f>IFERROR(__xludf.DUMMYFUNCTION("""COMPUTED_VALUE"""),"Walkin")</f>
        <v>Walkin</v>
      </c>
      <c r="Y3004" s="124" t="str">
        <f>IFERROR(__xludf.DUMMYFUNCTION("""COMPUTED_VALUE"""),"Prayagraj")</f>
        <v>Prayagraj</v>
      </c>
      <c r="Z3004" s="124">
        <f>IFERROR(__xludf.DUMMYFUNCTION("""COMPUTED_VALUE"""),2.0)</f>
        <v>2</v>
      </c>
      <c r="AA3004" s="124" t="str">
        <f>IFERROR(__xludf.DUMMYFUNCTION("""COMPUTED_VALUE"""),"Future Prospects")</f>
        <v>Future Prospects</v>
      </c>
      <c r="AB3004" s="124" t="str">
        <f>IFERROR(__xludf.DUMMYFUNCTION("""COMPUTED_VALUE"""),"GS Foundation")</f>
        <v>GS Foundation</v>
      </c>
    </row>
    <row r="3005">
      <c r="K3005" s="124"/>
      <c r="L3005" s="124"/>
      <c r="M3005" s="124"/>
      <c r="N3005" s="124"/>
      <c r="O3005" s="124"/>
      <c r="T3005" s="129">
        <f>IFERROR(__xludf.DUMMYFUNCTION("""COMPUTED_VALUE"""),46047.0)</f>
        <v>46047</v>
      </c>
      <c r="U3005" s="124" t="str">
        <f>IFERROR(__xludf.DUMMYFUNCTION("""COMPUTED_VALUE"""),"Walk-Ins")</f>
        <v>Walk-Ins</v>
      </c>
      <c r="V3005" s="124" t="str">
        <f>IFERROR(__xludf.DUMMYFUNCTION("""COMPUTED_VALUE"""),"Walk-In")</f>
        <v>Walk-In</v>
      </c>
      <c r="W3005" s="124" t="str">
        <f>IFERROR(__xludf.DUMMYFUNCTION("""COMPUTED_VALUE"""),"Patna")</f>
        <v>Patna</v>
      </c>
      <c r="X3005" s="124" t="str">
        <f>IFERROR(__xludf.DUMMYFUNCTION("""COMPUTED_VALUE"""),"Others")</f>
        <v>Others</v>
      </c>
      <c r="Y3005" s="124" t="str">
        <f>IFERROR(__xludf.DUMMYFUNCTION("""COMPUTED_VALUE"""),"Patna")</f>
        <v>Patna</v>
      </c>
      <c r="Z3005" s="124">
        <f>IFERROR(__xludf.DUMMYFUNCTION("""COMPUTED_VALUE"""),1.0)</f>
        <v>1</v>
      </c>
      <c r="AA3005" s="124" t="str">
        <f>IFERROR(__xludf.DUMMYFUNCTION("""COMPUTED_VALUE"""),"Cold")</f>
        <v>Cold</v>
      </c>
      <c r="AB3005" s="124" t="str">
        <f>IFERROR(__xludf.DUMMYFUNCTION("""COMPUTED_VALUE"""),"GS Foundation")</f>
        <v>GS Foundation</v>
      </c>
    </row>
    <row r="3006">
      <c r="K3006" s="124"/>
      <c r="L3006" s="124"/>
      <c r="M3006" s="124"/>
      <c r="N3006" s="124"/>
      <c r="O3006" s="124"/>
      <c r="T3006" s="126">
        <f>IFERROR(__xludf.DUMMYFUNCTION("""COMPUTED_VALUE"""),46044.0)</f>
        <v>46044</v>
      </c>
      <c r="U3006" s="124" t="str">
        <f>IFERROR(__xludf.DUMMYFUNCTION("""COMPUTED_VALUE"""),"Walk-Ins")</f>
        <v>Walk-Ins</v>
      </c>
      <c r="V3006" s="124" t="str">
        <f>IFERROR(__xludf.DUMMYFUNCTION("""COMPUTED_VALUE"""),"Walkin")</f>
        <v>Walkin</v>
      </c>
      <c r="W3006" s="124" t="str">
        <f>IFERROR(__xludf.DUMMYFUNCTION("""COMPUTED_VALUE"""),"Prayagraj")</f>
        <v>Prayagraj</v>
      </c>
      <c r="X3006" s="124" t="str">
        <f>IFERROR(__xludf.DUMMYFUNCTION("""COMPUTED_VALUE"""),"Walkin")</f>
        <v>Walkin</v>
      </c>
      <c r="Y3006" s="124" t="str">
        <f>IFERROR(__xludf.DUMMYFUNCTION("""COMPUTED_VALUE"""),"Prayagraj")</f>
        <v>Prayagraj</v>
      </c>
      <c r="Z3006" s="124">
        <f>IFERROR(__xludf.DUMMYFUNCTION("""COMPUTED_VALUE"""),3.0)</f>
        <v>3</v>
      </c>
      <c r="AA3006" s="124" t="str">
        <f>IFERROR(__xludf.DUMMYFUNCTION("""COMPUTED_VALUE"""),"Not Interested")</f>
        <v>Not Interested</v>
      </c>
      <c r="AB3006" s="124" t="str">
        <f>IFERROR(__xludf.DUMMYFUNCTION("""COMPUTED_VALUE"""),"GS Foundation")</f>
        <v>GS Foundation</v>
      </c>
    </row>
    <row r="3007">
      <c r="K3007" s="124"/>
      <c r="L3007" s="124"/>
      <c r="M3007" s="124"/>
      <c r="N3007" s="124"/>
      <c r="O3007" s="124"/>
      <c r="T3007" s="129">
        <f>IFERROR(__xludf.DUMMYFUNCTION("""COMPUTED_VALUE"""),46087.0)</f>
        <v>46087</v>
      </c>
      <c r="U3007" s="124" t="str">
        <f>IFERROR(__xludf.DUMMYFUNCTION("""COMPUTED_VALUE"""),"Walk-Ins")</f>
        <v>Walk-Ins</v>
      </c>
      <c r="V3007" s="124" t="str">
        <f>IFERROR(__xludf.DUMMYFUNCTION("""COMPUTED_VALUE"""),"Walkin")</f>
        <v>Walkin</v>
      </c>
      <c r="W3007" s="124" t="str">
        <f>IFERROR(__xludf.DUMMYFUNCTION("""COMPUTED_VALUE"""),"Prayagraj")</f>
        <v>Prayagraj</v>
      </c>
      <c r="X3007" s="124" t="str">
        <f>IFERROR(__xludf.DUMMYFUNCTION("""COMPUTED_VALUE"""),"Walkin")</f>
        <v>Walkin</v>
      </c>
      <c r="Y3007" s="124" t="str">
        <f>IFERROR(__xludf.DUMMYFUNCTION("""COMPUTED_VALUE"""),"Prayagraj")</f>
        <v>Prayagraj</v>
      </c>
      <c r="Z3007" s="124">
        <f>IFERROR(__xludf.DUMMYFUNCTION("""COMPUTED_VALUE"""),1.0)</f>
        <v>1</v>
      </c>
      <c r="AA3007" s="124" t="str">
        <f>IFERROR(__xludf.DUMMYFUNCTION("""COMPUTED_VALUE"""),"Enrolled")</f>
        <v>Enrolled</v>
      </c>
      <c r="AB3007" s="124" t="str">
        <f>IFERROR(__xludf.DUMMYFUNCTION("""COMPUTED_VALUE"""),"GS Foundation")</f>
        <v>GS Foundation</v>
      </c>
    </row>
    <row r="3008">
      <c r="K3008" s="124"/>
      <c r="L3008" s="124"/>
      <c r="M3008" s="124"/>
      <c r="N3008" s="124"/>
      <c r="O3008" s="124"/>
      <c r="T3008" s="126">
        <f>IFERROR(__xludf.DUMMYFUNCTION("""COMPUTED_VALUE"""),46065.0)</f>
        <v>46065</v>
      </c>
      <c r="U3008" s="124" t="str">
        <f>IFERROR(__xludf.DUMMYFUNCTION("""COMPUTED_VALUE"""),"Walk-Ins")</f>
        <v>Walk-Ins</v>
      </c>
      <c r="V3008" s="124" t="str">
        <f>IFERROR(__xludf.DUMMYFUNCTION("""COMPUTED_VALUE"""),"Walkin")</f>
        <v>Walkin</v>
      </c>
      <c r="W3008" s="124" t="str">
        <f>IFERROR(__xludf.DUMMYFUNCTION("""COMPUTED_VALUE"""),"Prayagraj")</f>
        <v>Prayagraj</v>
      </c>
      <c r="X3008" s="124" t="str">
        <f>IFERROR(__xludf.DUMMYFUNCTION("""COMPUTED_VALUE"""),"Walkin")</f>
        <v>Walkin</v>
      </c>
      <c r="Y3008" s="124" t="str">
        <f>IFERROR(__xludf.DUMMYFUNCTION("""COMPUTED_VALUE"""),"Prayagraj")</f>
        <v>Prayagraj</v>
      </c>
      <c r="Z3008" s="124">
        <f>IFERROR(__xludf.DUMMYFUNCTION("""COMPUTED_VALUE"""),1.0)</f>
        <v>1</v>
      </c>
      <c r="AA3008" s="124" t="str">
        <f>IFERROR(__xludf.DUMMYFUNCTION("""COMPUTED_VALUE"""),"Future Prospects")</f>
        <v>Future Prospects</v>
      </c>
      <c r="AB3008" s="124" t="str">
        <f>IFERROR(__xludf.DUMMYFUNCTION("""COMPUTED_VALUE"""),"State PCS")</f>
        <v>State PCS</v>
      </c>
    </row>
    <row r="3009">
      <c r="K3009" s="124"/>
      <c r="L3009" s="124"/>
      <c r="M3009" s="124"/>
      <c r="N3009" s="124"/>
      <c r="O3009" s="124"/>
      <c r="T3009" s="126">
        <f>IFERROR(__xludf.DUMMYFUNCTION("""COMPUTED_VALUE"""),46057.0)</f>
        <v>46057</v>
      </c>
      <c r="U3009" s="124" t="str">
        <f>IFERROR(__xludf.DUMMYFUNCTION("""COMPUTED_VALUE"""),"Walk-Ins")</f>
        <v>Walk-Ins</v>
      </c>
      <c r="V3009" s="124" t="str">
        <f>IFERROR(__xludf.DUMMYFUNCTION("""COMPUTED_VALUE"""),"Walkin")</f>
        <v>Walkin</v>
      </c>
      <c r="W3009" s="124" t="str">
        <f>IFERROR(__xludf.DUMMYFUNCTION("""COMPUTED_VALUE"""),"Lucknow")</f>
        <v>Lucknow</v>
      </c>
      <c r="X3009" s="124" t="str">
        <f>IFERROR(__xludf.DUMMYFUNCTION("""COMPUTED_VALUE"""),"Walkin")</f>
        <v>Walkin</v>
      </c>
      <c r="Y3009" s="124" t="str">
        <f>IFERROR(__xludf.DUMMYFUNCTION("""COMPUTED_VALUE"""),"Lucknow")</f>
        <v>Lucknow</v>
      </c>
      <c r="Z3009" s="124">
        <f>IFERROR(__xludf.DUMMYFUNCTION("""COMPUTED_VALUE"""),1.0)</f>
        <v>1</v>
      </c>
      <c r="AA3009" s="124" t="str">
        <f>IFERROR(__xludf.DUMMYFUNCTION("""COMPUTED_VALUE"""),"Enrolled")</f>
        <v>Enrolled</v>
      </c>
      <c r="AB3009" s="124" t="str">
        <f>IFERROR(__xludf.DUMMYFUNCTION("""COMPUTED_VALUE"""),"Mentorship")</f>
        <v>Mentorship</v>
      </c>
    </row>
    <row r="3010">
      <c r="K3010" s="124"/>
      <c r="L3010" s="124"/>
      <c r="M3010" s="124"/>
      <c r="N3010" s="124"/>
      <c r="O3010" s="124"/>
      <c r="T3010" s="126">
        <f>IFERROR(__xludf.DUMMYFUNCTION("""COMPUTED_VALUE"""),46088.0)</f>
        <v>46088</v>
      </c>
      <c r="U3010" s="124" t="str">
        <f>IFERROR(__xludf.DUMMYFUNCTION("""COMPUTED_VALUE"""),"Walk-Ins")</f>
        <v>Walk-Ins</v>
      </c>
      <c r="V3010" s="124" t="str">
        <f>IFERROR(__xludf.DUMMYFUNCTION("""COMPUTED_VALUE"""),"Walkin")</f>
        <v>Walkin</v>
      </c>
      <c r="W3010" s="124" t="str">
        <f>IFERROR(__xludf.DUMMYFUNCTION("""COMPUTED_VALUE"""),"Patna")</f>
        <v>Patna</v>
      </c>
      <c r="X3010" s="124" t="str">
        <f>IFERROR(__xludf.DUMMYFUNCTION("""COMPUTED_VALUE"""),"Walkin")</f>
        <v>Walkin</v>
      </c>
      <c r="Y3010" s="124" t="str">
        <f>IFERROR(__xludf.DUMMYFUNCTION("""COMPUTED_VALUE"""),"Patna")</f>
        <v>Patna</v>
      </c>
      <c r="Z3010" s="124">
        <f>IFERROR(__xludf.DUMMYFUNCTION("""COMPUTED_VALUE"""),2.0)</f>
        <v>2</v>
      </c>
      <c r="AA3010" s="124" t="str">
        <f>IFERROR(__xludf.DUMMYFUNCTION("""COMPUTED_VALUE"""),"Future Prospects")</f>
        <v>Future Prospects</v>
      </c>
      <c r="AB3010" s="124" t="str">
        <f>IFERROR(__xludf.DUMMYFUNCTION("""COMPUTED_VALUE"""),"State PCS")</f>
        <v>State PCS</v>
      </c>
    </row>
    <row r="3011">
      <c r="K3011" s="124"/>
      <c r="L3011" s="124"/>
      <c r="M3011" s="124"/>
      <c r="N3011" s="124"/>
      <c r="O3011" s="124"/>
      <c r="T3011" s="129">
        <f>IFERROR(__xludf.DUMMYFUNCTION("""COMPUTED_VALUE"""),46044.0)</f>
        <v>46044</v>
      </c>
      <c r="U3011" s="124" t="str">
        <f>IFERROR(__xludf.DUMMYFUNCTION("""COMPUTED_VALUE"""),"Walk-Ins")</f>
        <v>Walk-Ins</v>
      </c>
      <c r="V3011" s="124" t="str">
        <f>IFERROR(__xludf.DUMMYFUNCTION("""COMPUTED_VALUE"""),"Walkin")</f>
        <v>Walkin</v>
      </c>
      <c r="W3011" s="124" t="str">
        <f>IFERROR(__xludf.DUMMYFUNCTION("""COMPUTED_VALUE"""),"Prayagraj")</f>
        <v>Prayagraj</v>
      </c>
      <c r="X3011" s="124" t="str">
        <f>IFERROR(__xludf.DUMMYFUNCTION("""COMPUTED_VALUE"""),"Walkin")</f>
        <v>Walkin</v>
      </c>
      <c r="Y3011" s="124" t="str">
        <f>IFERROR(__xludf.DUMMYFUNCTION("""COMPUTED_VALUE"""),"Prayagraj")</f>
        <v>Prayagraj</v>
      </c>
      <c r="Z3011" s="124">
        <f>IFERROR(__xludf.DUMMYFUNCTION("""COMPUTED_VALUE"""),3.0)</f>
        <v>3</v>
      </c>
      <c r="AA3011" s="124" t="str">
        <f>IFERROR(__xludf.DUMMYFUNCTION("""COMPUTED_VALUE"""),"Cold")</f>
        <v>Cold</v>
      </c>
      <c r="AB3011" s="124" t="str">
        <f>IFERROR(__xludf.DUMMYFUNCTION("""COMPUTED_VALUE"""),"State PCS")</f>
        <v>State PCS</v>
      </c>
    </row>
    <row r="3012">
      <c r="K3012" s="124"/>
      <c r="L3012" s="124"/>
      <c r="M3012" s="124"/>
      <c r="N3012" s="124"/>
      <c r="O3012" s="124"/>
      <c r="T3012" s="129">
        <f>IFERROR(__xludf.DUMMYFUNCTION("""COMPUTED_VALUE"""),46063.0)</f>
        <v>46063</v>
      </c>
      <c r="U3012" s="124" t="str">
        <f>IFERROR(__xludf.DUMMYFUNCTION("""COMPUTED_VALUE"""),"Walk-Ins")</f>
        <v>Walk-Ins</v>
      </c>
      <c r="V3012" s="124" t="str">
        <f>IFERROR(__xludf.DUMMYFUNCTION("""COMPUTED_VALUE"""),"Walkin")</f>
        <v>Walkin</v>
      </c>
      <c r="W3012" s="124" t="str">
        <f>IFERROR(__xludf.DUMMYFUNCTION("""COMPUTED_VALUE"""),"Patna")</f>
        <v>Patna</v>
      </c>
      <c r="X3012" s="124" t="str">
        <f>IFERROR(__xludf.DUMMYFUNCTION("""COMPUTED_VALUE"""),"Walkin")</f>
        <v>Walkin</v>
      </c>
      <c r="Y3012" s="124" t="str">
        <f>IFERROR(__xludf.DUMMYFUNCTION("""COMPUTED_VALUE"""),"Patna")</f>
        <v>Patna</v>
      </c>
      <c r="Z3012" s="124">
        <f>IFERROR(__xludf.DUMMYFUNCTION("""COMPUTED_VALUE"""),1.0)</f>
        <v>1</v>
      </c>
      <c r="AA3012" s="124" t="str">
        <f>IFERROR(__xludf.DUMMYFUNCTION("""COMPUTED_VALUE"""),"Not Interested")</f>
        <v>Not Interested</v>
      </c>
      <c r="AB3012" s="124" t="str">
        <f>IFERROR(__xludf.DUMMYFUNCTION("""COMPUTED_VALUE"""),"State PCS")</f>
        <v>State PCS</v>
      </c>
    </row>
    <row r="3013">
      <c r="K3013" s="124"/>
      <c r="L3013" s="124"/>
      <c r="M3013" s="124"/>
      <c r="N3013" s="124"/>
      <c r="O3013" s="124"/>
      <c r="T3013" s="126">
        <f>IFERROR(__xludf.DUMMYFUNCTION("""COMPUTED_VALUE"""),46091.0)</f>
        <v>46091</v>
      </c>
      <c r="U3013" s="124" t="str">
        <f>IFERROR(__xludf.DUMMYFUNCTION("""COMPUTED_VALUE"""),"Walk-Ins")</f>
        <v>Walk-Ins</v>
      </c>
      <c r="V3013" s="124" t="str">
        <f>IFERROR(__xludf.DUMMYFUNCTION("""COMPUTED_VALUE"""),"Walkin")</f>
        <v>Walkin</v>
      </c>
      <c r="W3013" s="124" t="str">
        <f>IFERROR(__xludf.DUMMYFUNCTION("""COMPUTED_VALUE"""),"Patna")</f>
        <v>Patna</v>
      </c>
      <c r="X3013" s="124" t="str">
        <f>IFERROR(__xludf.DUMMYFUNCTION("""COMPUTED_VALUE"""),"Walkin")</f>
        <v>Walkin</v>
      </c>
      <c r="Y3013" s="124" t="str">
        <f>IFERROR(__xludf.DUMMYFUNCTION("""COMPUTED_VALUE"""),"Patna")</f>
        <v>Patna</v>
      </c>
      <c r="Z3013" s="124">
        <f>IFERROR(__xludf.DUMMYFUNCTION("""COMPUTED_VALUE"""),1.0)</f>
        <v>1</v>
      </c>
      <c r="AA3013" s="124" t="str">
        <f>IFERROR(__xludf.DUMMYFUNCTION("""COMPUTED_VALUE"""),"Enrolled")</f>
        <v>Enrolled</v>
      </c>
      <c r="AB3013" s="124" t="str">
        <f>IFERROR(__xludf.DUMMYFUNCTION("""COMPUTED_VALUE"""),"State PCS")</f>
        <v>State PCS</v>
      </c>
    </row>
    <row r="3014">
      <c r="K3014" s="124"/>
      <c r="L3014" s="124"/>
      <c r="M3014" s="124"/>
      <c r="N3014" s="124"/>
      <c r="O3014" s="124"/>
      <c r="T3014" s="129">
        <f>IFERROR(__xludf.DUMMYFUNCTION("""COMPUTED_VALUE"""),46093.0)</f>
        <v>46093</v>
      </c>
      <c r="U3014" s="124" t="str">
        <f>IFERROR(__xludf.DUMMYFUNCTION("""COMPUTED_VALUE"""),"Walk-Ins")</f>
        <v>Walk-Ins</v>
      </c>
      <c r="V3014" s="124" t="str">
        <f>IFERROR(__xludf.DUMMYFUNCTION("""COMPUTED_VALUE"""),"Walkin")</f>
        <v>Walkin</v>
      </c>
      <c r="W3014" s="124" t="str">
        <f>IFERROR(__xludf.DUMMYFUNCTION("""COMPUTED_VALUE"""),"Patna")</f>
        <v>Patna</v>
      </c>
      <c r="X3014" s="124" t="str">
        <f>IFERROR(__xludf.DUMMYFUNCTION("""COMPUTED_VALUE"""),"Walkin")</f>
        <v>Walkin</v>
      </c>
      <c r="Y3014" s="124" t="str">
        <f>IFERROR(__xludf.DUMMYFUNCTION("""COMPUTED_VALUE"""),"Patna")</f>
        <v>Patna</v>
      </c>
      <c r="Z3014" s="124">
        <f>IFERROR(__xludf.DUMMYFUNCTION("""COMPUTED_VALUE"""),1.0)</f>
        <v>1</v>
      </c>
      <c r="AA3014" s="124" t="str">
        <f>IFERROR(__xludf.DUMMYFUNCTION("""COMPUTED_VALUE"""),"Future Prospects")</f>
        <v>Future Prospects</v>
      </c>
      <c r="AB3014" s="124" t="str">
        <f>IFERROR(__xludf.DUMMYFUNCTION("""COMPUTED_VALUE"""),"State PCS")</f>
        <v>State PCS</v>
      </c>
    </row>
    <row r="3015">
      <c r="K3015" s="124"/>
      <c r="L3015" s="124"/>
      <c r="M3015" s="124"/>
      <c r="N3015" s="124"/>
      <c r="O3015" s="124"/>
      <c r="T3015" s="126">
        <f>IFERROR(__xludf.DUMMYFUNCTION("""COMPUTED_VALUE"""),46052.0)</f>
        <v>46052</v>
      </c>
      <c r="U3015" s="124" t="str">
        <f>IFERROR(__xludf.DUMMYFUNCTION("""COMPUTED_VALUE"""),"Walk-Ins")</f>
        <v>Walk-Ins</v>
      </c>
      <c r="V3015" s="124" t="str">
        <f>IFERROR(__xludf.DUMMYFUNCTION("""COMPUTED_VALUE"""),"Walkin")</f>
        <v>Walkin</v>
      </c>
      <c r="W3015" s="124" t="str">
        <f>IFERROR(__xludf.DUMMYFUNCTION("""COMPUTED_VALUE"""),"Prayagraj")</f>
        <v>Prayagraj</v>
      </c>
      <c r="X3015" s="124" t="str">
        <f>IFERROR(__xludf.DUMMYFUNCTION("""COMPUTED_VALUE"""),"Walkin")</f>
        <v>Walkin</v>
      </c>
      <c r="Y3015" s="124" t="str">
        <f>IFERROR(__xludf.DUMMYFUNCTION("""COMPUTED_VALUE"""),"Prayagraj")</f>
        <v>Prayagraj</v>
      </c>
      <c r="Z3015" s="124">
        <f>IFERROR(__xludf.DUMMYFUNCTION("""COMPUTED_VALUE"""),2.0)</f>
        <v>2</v>
      </c>
      <c r="AA3015" s="124" t="str">
        <f>IFERROR(__xludf.DUMMYFUNCTION("""COMPUTED_VALUE"""),"Cold")</f>
        <v>Cold</v>
      </c>
      <c r="AB3015" s="124" t="str">
        <f>IFERROR(__xludf.DUMMYFUNCTION("""COMPUTED_VALUE"""),"GS Foundation")</f>
        <v>GS Foundation</v>
      </c>
    </row>
    <row r="3016">
      <c r="K3016" s="124"/>
      <c r="L3016" s="124"/>
      <c r="M3016" s="124"/>
      <c r="N3016" s="124"/>
      <c r="O3016" s="124"/>
      <c r="T3016" s="129">
        <f>IFERROR(__xludf.DUMMYFUNCTION("""COMPUTED_VALUE"""),46055.0)</f>
        <v>46055</v>
      </c>
      <c r="U3016" s="124" t="str">
        <f>IFERROR(__xludf.DUMMYFUNCTION("""COMPUTED_VALUE"""),"Walk-Ins")</f>
        <v>Walk-Ins</v>
      </c>
      <c r="V3016" s="124" t="str">
        <f>IFERROR(__xludf.DUMMYFUNCTION("""COMPUTED_VALUE"""),"Walkin")</f>
        <v>Walkin</v>
      </c>
      <c r="W3016" s="124" t="str">
        <f>IFERROR(__xludf.DUMMYFUNCTION("""COMPUTED_VALUE"""),"Indore")</f>
        <v>Indore</v>
      </c>
      <c r="X3016" s="124" t="str">
        <f>IFERROR(__xludf.DUMMYFUNCTION("""COMPUTED_VALUE"""),"Walkin")</f>
        <v>Walkin</v>
      </c>
      <c r="Y3016" s="124" t="str">
        <f>IFERROR(__xludf.DUMMYFUNCTION("""COMPUTED_VALUE"""),"Indore")</f>
        <v>Indore</v>
      </c>
      <c r="Z3016" s="124">
        <f>IFERROR(__xludf.DUMMYFUNCTION("""COMPUTED_VALUE"""),1.0)</f>
        <v>1</v>
      </c>
      <c r="AA3016" s="124" t="str">
        <f>IFERROR(__xludf.DUMMYFUNCTION("""COMPUTED_VALUE"""),"Cold")</f>
        <v>Cold</v>
      </c>
      <c r="AB3016" s="124" t="str">
        <f>IFERROR(__xludf.DUMMYFUNCTION("""COMPUTED_VALUE"""),"GS Foundation")</f>
        <v>GS Foundation</v>
      </c>
    </row>
    <row r="3017">
      <c r="K3017" s="124"/>
      <c r="L3017" s="124"/>
      <c r="M3017" s="124"/>
      <c r="N3017" s="124"/>
      <c r="O3017" s="124"/>
      <c r="T3017" s="129">
        <f>IFERROR(__xludf.DUMMYFUNCTION("""COMPUTED_VALUE"""),46077.0)</f>
        <v>46077</v>
      </c>
      <c r="U3017" s="124" t="str">
        <f>IFERROR(__xludf.DUMMYFUNCTION("""COMPUTED_VALUE"""),"Walk-Ins")</f>
        <v>Walk-Ins</v>
      </c>
      <c r="V3017" s="124" t="str">
        <f>IFERROR(__xludf.DUMMYFUNCTION("""COMPUTED_VALUE"""),"Walkin")</f>
        <v>Walkin</v>
      </c>
      <c r="W3017" s="124" t="str">
        <f>IFERROR(__xludf.DUMMYFUNCTION("""COMPUTED_VALUE"""),"Indore")</f>
        <v>Indore</v>
      </c>
      <c r="X3017" s="124" t="str">
        <f>IFERROR(__xludf.DUMMYFUNCTION("""COMPUTED_VALUE"""),"Walkin")</f>
        <v>Walkin</v>
      </c>
      <c r="Y3017" s="124" t="str">
        <f>IFERROR(__xludf.DUMMYFUNCTION("""COMPUTED_VALUE"""),"Indore")</f>
        <v>Indore</v>
      </c>
      <c r="Z3017" s="124">
        <f>IFERROR(__xludf.DUMMYFUNCTION("""COMPUTED_VALUE"""),2.0)</f>
        <v>2</v>
      </c>
      <c r="AA3017" s="124" t="str">
        <f>IFERROR(__xludf.DUMMYFUNCTION("""COMPUTED_VALUE"""),"Cold")</f>
        <v>Cold</v>
      </c>
      <c r="AB3017" s="124" t="str">
        <f>IFERROR(__xludf.DUMMYFUNCTION("""COMPUTED_VALUE"""),"GS Foundation")</f>
        <v>GS Foundation</v>
      </c>
    </row>
    <row r="3018">
      <c r="K3018" s="124"/>
      <c r="L3018" s="124"/>
      <c r="M3018" s="124"/>
      <c r="N3018" s="124"/>
      <c r="O3018" s="124"/>
      <c r="T3018" s="129">
        <f>IFERROR(__xludf.DUMMYFUNCTION("""COMPUTED_VALUE"""),46091.0)</f>
        <v>46091</v>
      </c>
      <c r="U3018" s="124" t="str">
        <f>IFERROR(__xludf.DUMMYFUNCTION("""COMPUTED_VALUE"""),"Walk-Ins")</f>
        <v>Walk-Ins</v>
      </c>
      <c r="V3018" s="124" t="str">
        <f>IFERROR(__xludf.DUMMYFUNCTION("""COMPUTED_VALUE"""),"Walkin")</f>
        <v>Walkin</v>
      </c>
      <c r="W3018" s="124" t="str">
        <f>IFERROR(__xludf.DUMMYFUNCTION("""COMPUTED_VALUE"""),"Prayagraj")</f>
        <v>Prayagraj</v>
      </c>
      <c r="X3018" s="124" t="str">
        <f>IFERROR(__xludf.DUMMYFUNCTION("""COMPUTED_VALUE"""),"Walkin")</f>
        <v>Walkin</v>
      </c>
      <c r="Y3018" s="124" t="str">
        <f>IFERROR(__xludf.DUMMYFUNCTION("""COMPUTED_VALUE"""),"Prayagraj")</f>
        <v>Prayagraj</v>
      </c>
      <c r="Z3018" s="124">
        <f>IFERROR(__xludf.DUMMYFUNCTION("""COMPUTED_VALUE"""),1.0)</f>
        <v>1</v>
      </c>
      <c r="AA3018" s="124" t="str">
        <f>IFERROR(__xludf.DUMMYFUNCTION("""COMPUTED_VALUE"""),"Warm")</f>
        <v>Warm</v>
      </c>
      <c r="AB3018" s="124" t="str">
        <f>IFERROR(__xludf.DUMMYFUNCTION("""COMPUTED_VALUE"""),"GS Foundation")</f>
        <v>GS Foundation</v>
      </c>
    </row>
    <row r="3019">
      <c r="K3019" s="124"/>
      <c r="L3019" s="124"/>
      <c r="M3019" s="124"/>
      <c r="N3019" s="124"/>
      <c r="O3019" s="124"/>
      <c r="T3019" s="126">
        <f>IFERROR(__xludf.DUMMYFUNCTION("""COMPUTED_VALUE"""),46063.0)</f>
        <v>46063</v>
      </c>
      <c r="U3019" s="124" t="str">
        <f>IFERROR(__xludf.DUMMYFUNCTION("""COMPUTED_VALUE"""),"Walk-Ins")</f>
        <v>Walk-Ins</v>
      </c>
      <c r="V3019" s="124" t="str">
        <f>IFERROR(__xludf.DUMMYFUNCTION("""COMPUTED_VALUE"""),"Walkin")</f>
        <v>Walkin</v>
      </c>
      <c r="W3019" s="124" t="str">
        <f>IFERROR(__xludf.DUMMYFUNCTION("""COMPUTED_VALUE"""),"Lucknow")</f>
        <v>Lucknow</v>
      </c>
      <c r="X3019" s="124" t="str">
        <f>IFERROR(__xludf.DUMMYFUNCTION("""COMPUTED_VALUE"""),"Walkin")</f>
        <v>Walkin</v>
      </c>
      <c r="Y3019" s="124" t="str">
        <f>IFERROR(__xludf.DUMMYFUNCTION("""COMPUTED_VALUE"""),"Lucknow")</f>
        <v>Lucknow</v>
      </c>
      <c r="Z3019" s="124">
        <f>IFERROR(__xludf.DUMMYFUNCTION("""COMPUTED_VALUE"""),1.0)</f>
        <v>1</v>
      </c>
      <c r="AA3019" s="124" t="str">
        <f>IFERROR(__xludf.DUMMYFUNCTION("""COMPUTED_VALUE"""),"Enrolled")</f>
        <v>Enrolled</v>
      </c>
      <c r="AB3019" s="124" t="str">
        <f>IFERROR(__xludf.DUMMYFUNCTION("""COMPUTED_VALUE"""),"GS Foundation")</f>
        <v>GS Foundation</v>
      </c>
    </row>
    <row r="3020">
      <c r="K3020" s="124"/>
      <c r="L3020" s="124"/>
      <c r="M3020" s="124"/>
      <c r="N3020" s="124"/>
      <c r="O3020" s="124"/>
      <c r="T3020" s="126">
        <f>IFERROR(__xludf.DUMMYFUNCTION("""COMPUTED_VALUE"""),46057.0)</f>
        <v>46057</v>
      </c>
      <c r="U3020" s="124" t="str">
        <f>IFERROR(__xludf.DUMMYFUNCTION("""COMPUTED_VALUE"""),"Walk-Ins")</f>
        <v>Walk-Ins</v>
      </c>
      <c r="V3020" s="124" t="str">
        <f>IFERROR(__xludf.DUMMYFUNCTION("""COMPUTED_VALUE"""),"Walkin")</f>
        <v>Walkin</v>
      </c>
      <c r="W3020" s="124" t="str">
        <f>IFERROR(__xludf.DUMMYFUNCTION("""COMPUTED_VALUE"""),"Patna")</f>
        <v>Patna</v>
      </c>
      <c r="X3020" s="124" t="str">
        <f>IFERROR(__xludf.DUMMYFUNCTION("""COMPUTED_VALUE"""),"Walkin")</f>
        <v>Walkin</v>
      </c>
      <c r="Y3020" s="124" t="str">
        <f>IFERROR(__xludf.DUMMYFUNCTION("""COMPUTED_VALUE"""),"Patna")</f>
        <v>Patna</v>
      </c>
      <c r="Z3020" s="124">
        <f>IFERROR(__xludf.DUMMYFUNCTION("""COMPUTED_VALUE"""),1.0)</f>
        <v>1</v>
      </c>
      <c r="AA3020" s="124" t="str">
        <f>IFERROR(__xludf.DUMMYFUNCTION("""COMPUTED_VALUE"""),"Enrolled")</f>
        <v>Enrolled</v>
      </c>
      <c r="AB3020" s="124" t="str">
        <f>IFERROR(__xludf.DUMMYFUNCTION("""COMPUTED_VALUE"""),"State PCS")</f>
        <v>State PCS</v>
      </c>
    </row>
    <row r="3021">
      <c r="K3021" s="124"/>
      <c r="L3021" s="124"/>
      <c r="M3021" s="124"/>
      <c r="N3021" s="124"/>
      <c r="O3021" s="124"/>
      <c r="T3021" s="126">
        <f>IFERROR(__xludf.DUMMYFUNCTION("""COMPUTED_VALUE"""),46056.0)</f>
        <v>46056</v>
      </c>
      <c r="U3021" s="124" t="str">
        <f>IFERROR(__xludf.DUMMYFUNCTION("""COMPUTED_VALUE"""),"Walk-Ins")</f>
        <v>Walk-Ins</v>
      </c>
      <c r="V3021" s="124" t="str">
        <f>IFERROR(__xludf.DUMMYFUNCTION("""COMPUTED_VALUE"""),"Walkin")</f>
        <v>Walkin</v>
      </c>
      <c r="W3021" s="124" t="str">
        <f>IFERROR(__xludf.DUMMYFUNCTION("""COMPUTED_VALUE"""),"Indore")</f>
        <v>Indore</v>
      </c>
      <c r="X3021" s="124" t="str">
        <f>IFERROR(__xludf.DUMMYFUNCTION("""COMPUTED_VALUE"""),"Walkin")</f>
        <v>Walkin</v>
      </c>
      <c r="Y3021" s="124" t="str">
        <f>IFERROR(__xludf.DUMMYFUNCTION("""COMPUTED_VALUE"""),"Indore")</f>
        <v>Indore</v>
      </c>
      <c r="Z3021" s="124">
        <f>IFERROR(__xludf.DUMMYFUNCTION("""COMPUTED_VALUE"""),1.0)</f>
        <v>1</v>
      </c>
      <c r="AA3021" s="124" t="str">
        <f>IFERROR(__xludf.DUMMYFUNCTION("""COMPUTED_VALUE"""),"Not Interested")</f>
        <v>Not Interested</v>
      </c>
      <c r="AB3021" s="124" t="str">
        <f>IFERROR(__xludf.DUMMYFUNCTION("""COMPUTED_VALUE"""),"Other")</f>
        <v>Other</v>
      </c>
    </row>
    <row r="3022">
      <c r="K3022" s="124"/>
      <c r="L3022" s="124"/>
      <c r="M3022" s="124"/>
      <c r="N3022" s="124"/>
      <c r="O3022" s="124"/>
      <c r="T3022" s="126">
        <f>IFERROR(__xludf.DUMMYFUNCTION("""COMPUTED_VALUE"""),46095.0)</f>
        <v>46095</v>
      </c>
      <c r="U3022" s="124" t="str">
        <f>IFERROR(__xludf.DUMMYFUNCTION("""COMPUTED_VALUE"""),"Walk-Ins")</f>
        <v>Walk-Ins</v>
      </c>
      <c r="V3022" s="124" t="str">
        <f>IFERROR(__xludf.DUMMYFUNCTION("""COMPUTED_VALUE"""),"Walkin")</f>
        <v>Walkin</v>
      </c>
      <c r="W3022" s="124" t="str">
        <f>IFERROR(__xludf.DUMMYFUNCTION("""COMPUTED_VALUE"""),"Lucknow")</f>
        <v>Lucknow</v>
      </c>
      <c r="X3022" s="124" t="str">
        <f>IFERROR(__xludf.DUMMYFUNCTION("""COMPUTED_VALUE"""),"Walkin")</f>
        <v>Walkin</v>
      </c>
      <c r="Y3022" s="124" t="str">
        <f>IFERROR(__xludf.DUMMYFUNCTION("""COMPUTED_VALUE"""),"Lucknow")</f>
        <v>Lucknow</v>
      </c>
      <c r="Z3022" s="124">
        <f>IFERROR(__xludf.DUMMYFUNCTION("""COMPUTED_VALUE"""),1.0)</f>
        <v>1</v>
      </c>
      <c r="AA3022" s="124" t="str">
        <f>IFERROR(__xludf.DUMMYFUNCTION("""COMPUTED_VALUE"""),"Future Prospects")</f>
        <v>Future Prospects</v>
      </c>
      <c r="AB3022" s="124" t="str">
        <f>IFERROR(__xludf.DUMMYFUNCTION("""COMPUTED_VALUE"""),"GS Foundation")</f>
        <v>GS Foundation</v>
      </c>
    </row>
    <row r="3023">
      <c r="K3023" s="124"/>
      <c r="L3023" s="124"/>
      <c r="M3023" s="124"/>
      <c r="N3023" s="124"/>
      <c r="O3023" s="124"/>
      <c r="T3023" s="126">
        <f>IFERROR(__xludf.DUMMYFUNCTION("""COMPUTED_VALUE"""),46065.0)</f>
        <v>46065</v>
      </c>
      <c r="U3023" s="124" t="str">
        <f>IFERROR(__xludf.DUMMYFUNCTION("""COMPUTED_VALUE"""),"Walk-Ins")</f>
        <v>Walk-Ins</v>
      </c>
      <c r="V3023" s="124" t="str">
        <f>IFERROR(__xludf.DUMMYFUNCTION("""COMPUTED_VALUE"""),"Walkin")</f>
        <v>Walkin</v>
      </c>
      <c r="W3023" s="124" t="str">
        <f>IFERROR(__xludf.DUMMYFUNCTION("""COMPUTED_VALUE"""),"Indore")</f>
        <v>Indore</v>
      </c>
      <c r="X3023" s="124" t="str">
        <f>IFERROR(__xludf.DUMMYFUNCTION("""COMPUTED_VALUE"""),"Walkin")</f>
        <v>Walkin</v>
      </c>
      <c r="Y3023" s="124" t="str">
        <f>IFERROR(__xludf.DUMMYFUNCTION("""COMPUTED_VALUE"""),"Indore")</f>
        <v>Indore</v>
      </c>
      <c r="Z3023" s="124">
        <f>IFERROR(__xludf.DUMMYFUNCTION("""COMPUTED_VALUE"""),1.0)</f>
        <v>1</v>
      </c>
      <c r="AA3023" s="124" t="str">
        <f>IFERROR(__xludf.DUMMYFUNCTION("""COMPUTED_VALUE"""),"Cold")</f>
        <v>Cold</v>
      </c>
      <c r="AB3023" s="124" t="str">
        <f>IFERROR(__xludf.DUMMYFUNCTION("""COMPUTED_VALUE"""),"State PCS")</f>
        <v>State PCS</v>
      </c>
    </row>
    <row r="3024">
      <c r="K3024" s="124"/>
      <c r="L3024" s="124"/>
      <c r="M3024" s="124"/>
      <c r="N3024" s="124"/>
      <c r="O3024" s="124"/>
      <c r="T3024" s="126">
        <f>IFERROR(__xludf.DUMMYFUNCTION("""COMPUTED_VALUE"""),46105.0)</f>
        <v>46105</v>
      </c>
      <c r="U3024" s="124" t="str">
        <f>IFERROR(__xludf.DUMMYFUNCTION("""COMPUTED_VALUE"""),"Walk-Ins")</f>
        <v>Walk-Ins</v>
      </c>
      <c r="V3024" s="124" t="str">
        <f>IFERROR(__xludf.DUMMYFUNCTION("""COMPUTED_VALUE"""),"Walkin")</f>
        <v>Walkin</v>
      </c>
      <c r="W3024" s="124" t="str">
        <f>IFERROR(__xludf.DUMMYFUNCTION("""COMPUTED_VALUE"""),"Indore")</f>
        <v>Indore</v>
      </c>
      <c r="X3024" s="124" t="str">
        <f>IFERROR(__xludf.DUMMYFUNCTION("""COMPUTED_VALUE"""),"Walkin")</f>
        <v>Walkin</v>
      </c>
      <c r="Y3024" s="124" t="str">
        <f>IFERROR(__xludf.DUMMYFUNCTION("""COMPUTED_VALUE"""),"Indore")</f>
        <v>Indore</v>
      </c>
      <c r="Z3024" s="124">
        <f>IFERROR(__xludf.DUMMYFUNCTION("""COMPUTED_VALUE"""),1.0)</f>
        <v>1</v>
      </c>
      <c r="AA3024" s="124" t="str">
        <f>IFERROR(__xludf.DUMMYFUNCTION("""COMPUTED_VALUE"""),"Warm")</f>
        <v>Warm</v>
      </c>
      <c r="AB3024" s="124" t="str">
        <f>IFERROR(__xludf.DUMMYFUNCTION("""COMPUTED_VALUE"""),"State PCS")</f>
        <v>State PCS</v>
      </c>
    </row>
    <row r="3025">
      <c r="K3025" s="124"/>
      <c r="L3025" s="124"/>
      <c r="M3025" s="124"/>
      <c r="N3025" s="124"/>
      <c r="O3025" s="124"/>
      <c r="T3025" s="126">
        <f>IFERROR(__xludf.DUMMYFUNCTION("""COMPUTED_VALUE"""),46100.0)</f>
        <v>46100</v>
      </c>
      <c r="U3025" s="124" t="str">
        <f>IFERROR(__xludf.DUMMYFUNCTION("""COMPUTED_VALUE"""),"Walk-Ins")</f>
        <v>Walk-Ins</v>
      </c>
      <c r="V3025" s="124" t="str">
        <f>IFERROR(__xludf.DUMMYFUNCTION("""COMPUTED_VALUE"""),"Walkin")</f>
        <v>Walkin</v>
      </c>
      <c r="W3025" s="124" t="str">
        <f>IFERROR(__xludf.DUMMYFUNCTION("""COMPUTED_VALUE"""),"Patna")</f>
        <v>Patna</v>
      </c>
      <c r="X3025" s="124" t="str">
        <f>IFERROR(__xludf.DUMMYFUNCTION("""COMPUTED_VALUE"""),"Walkin")</f>
        <v>Walkin</v>
      </c>
      <c r="Y3025" s="124" t="str">
        <f>IFERROR(__xludf.DUMMYFUNCTION("""COMPUTED_VALUE"""),"Patna")</f>
        <v>Patna</v>
      </c>
      <c r="Z3025" s="124">
        <f>IFERROR(__xludf.DUMMYFUNCTION("""COMPUTED_VALUE"""),1.0)</f>
        <v>1</v>
      </c>
      <c r="AA3025" s="124" t="str">
        <f>IFERROR(__xludf.DUMMYFUNCTION("""COMPUTED_VALUE"""),"Warm")</f>
        <v>Warm</v>
      </c>
      <c r="AB3025" s="124" t="str">
        <f>IFERROR(__xludf.DUMMYFUNCTION("""COMPUTED_VALUE"""),"GS Foundation")</f>
        <v>GS Foundation</v>
      </c>
    </row>
    <row r="3026">
      <c r="K3026" s="124"/>
      <c r="L3026" s="124"/>
      <c r="M3026" s="124"/>
      <c r="N3026" s="124"/>
      <c r="O3026" s="124"/>
      <c r="T3026" s="126">
        <f>IFERROR(__xludf.DUMMYFUNCTION("""COMPUTED_VALUE"""),46080.0)</f>
        <v>46080</v>
      </c>
      <c r="U3026" s="124" t="str">
        <f>IFERROR(__xludf.DUMMYFUNCTION("""COMPUTED_VALUE"""),"Event")</f>
        <v>Event</v>
      </c>
      <c r="V3026" s="124" t="str">
        <f>IFERROR(__xludf.DUMMYFUNCTION("""COMPUTED_VALUE"""),"events")</f>
        <v>events</v>
      </c>
      <c r="W3026" s="124" t="str">
        <f>IFERROR(__xludf.DUMMYFUNCTION("""COMPUTED_VALUE"""),"prayagraj")</f>
        <v>prayagraj</v>
      </c>
      <c r="X3026" s="124" t="str">
        <f>IFERROR(__xludf.DUMMYFUNCTION("""COMPUTED_VALUE"""),"bhavanmehtapgcollege")</f>
        <v>bhavanmehtapgcollege</v>
      </c>
      <c r="Y3026" s="124"/>
      <c r="Z3026" s="124">
        <f>IFERROR(__xludf.DUMMYFUNCTION("""COMPUTED_VALUE"""),1.0)</f>
        <v>1</v>
      </c>
      <c r="AA3026" s="124" t="str">
        <f>IFERROR(__xludf.DUMMYFUNCTION("""COMPUTED_VALUE"""),"Cold")</f>
        <v>Cold</v>
      </c>
      <c r="AB3026" s="124"/>
    </row>
    <row r="3027">
      <c r="K3027" s="124"/>
      <c r="L3027" s="124"/>
      <c r="M3027" s="124"/>
      <c r="N3027" s="124"/>
      <c r="O3027" s="124"/>
      <c r="T3027" s="129">
        <f>IFERROR(__xludf.DUMMYFUNCTION("""COMPUTED_VALUE"""),46043.0)</f>
        <v>46043</v>
      </c>
      <c r="U3027" s="124" t="str">
        <f>IFERROR(__xludf.DUMMYFUNCTION("""COMPUTED_VALUE"""),"External Leads")</f>
        <v>External Leads</v>
      </c>
      <c r="V3027" s="124" t="str">
        <f>IFERROR(__xludf.DUMMYFUNCTION("""COMPUTED_VALUE"""),"external leads")</f>
        <v>external leads</v>
      </c>
      <c r="W3027" s="124" t="str">
        <f>IFERROR(__xludf.DUMMYFUNCTION("""COMPUTED_VALUE"""),"delhi")</f>
        <v>delhi</v>
      </c>
      <c r="X3027" s="124" t="str">
        <f>IFERROR(__xludf.DUMMYFUNCTION("""COMPUTED_VALUE"""),"wacommunityncert")</f>
        <v>wacommunityncert</v>
      </c>
      <c r="Y3027" s="124" t="str">
        <f>IFERROR(__xludf.DUMMYFUNCTION("""COMPUTED_VALUE"""),"Delhi")</f>
        <v>Delhi</v>
      </c>
      <c r="Z3027" s="124">
        <f>IFERROR(__xludf.DUMMYFUNCTION("""COMPUTED_VALUE"""),1.0)</f>
        <v>1</v>
      </c>
      <c r="AA3027" s="124" t="str">
        <f>IFERROR(__xludf.DUMMYFUNCTION("""COMPUTED_VALUE"""),"Future Prospects")</f>
        <v>Future Prospects</v>
      </c>
      <c r="AB3027" s="124" t="str">
        <f>IFERROR(__xludf.DUMMYFUNCTION("""COMPUTED_VALUE"""),"GS Foundation")</f>
        <v>GS Foundation</v>
      </c>
    </row>
    <row r="3028">
      <c r="K3028" s="124"/>
      <c r="L3028" s="124"/>
      <c r="M3028" s="124"/>
      <c r="N3028" s="124"/>
      <c r="O3028" s="124"/>
      <c r="T3028" s="126">
        <f>IFERROR(__xludf.DUMMYFUNCTION("""COMPUTED_VALUE"""),46112.0)</f>
        <v>46112</v>
      </c>
      <c r="U3028" s="124" t="str">
        <f>IFERROR(__xludf.DUMMYFUNCTION("""COMPUTED_VALUE"""),"Paid Ads")</f>
        <v>Paid Ads</v>
      </c>
      <c r="V3028" s="124" t="str">
        <f>IFERROR(__xludf.DUMMYFUNCTION("""COMPUTED_VALUE"""),"Facebook")</f>
        <v>Facebook</v>
      </c>
      <c r="W3028" s="124" t="str">
        <f>IFERROR(__xludf.DUMMYFUNCTION("""COMPUTED_VALUE"""),"LeadAd")</f>
        <v>LeadAd</v>
      </c>
      <c r="X3028" s="124" t="str">
        <f>IFERROR(__xludf.DUMMYFUNCTION("""COMPUTED_VALUE"""),"Upsc_Hindi_Leads_FB_Creatives")</f>
        <v>Upsc_Hindi_Leads_FB_Creatives</v>
      </c>
      <c r="Y3028" s="124" t="str">
        <f>IFERROR(__xludf.DUMMYFUNCTION("""COMPUTED_VALUE"""),"Lucknow")</f>
        <v>Lucknow</v>
      </c>
      <c r="Z3028" s="124">
        <f>IFERROR(__xludf.DUMMYFUNCTION("""COMPUTED_VALUE"""),2.0)</f>
        <v>2</v>
      </c>
      <c r="AA3028" s="124" t="str">
        <f>IFERROR(__xludf.DUMMYFUNCTION("""COMPUTED_VALUE"""),"Warm")</f>
        <v>Warm</v>
      </c>
      <c r="AB3028" s="124" t="str">
        <f>IFERROR(__xludf.DUMMYFUNCTION("""COMPUTED_VALUE"""),"GS Foundation")</f>
        <v>GS Foundation</v>
      </c>
    </row>
    <row r="3029">
      <c r="K3029" s="124"/>
      <c r="L3029" s="124"/>
      <c r="M3029" s="124"/>
      <c r="N3029" s="124"/>
      <c r="O3029" s="124"/>
      <c r="T3029" s="126">
        <f>IFERROR(__xludf.DUMMYFUNCTION("""COMPUTED_VALUE"""),46099.0)</f>
        <v>46099</v>
      </c>
      <c r="U3029" s="124" t="str">
        <f>IFERROR(__xludf.DUMMYFUNCTION("""COMPUTED_VALUE"""),"Publisher Campaign")</f>
        <v>Publisher Campaign</v>
      </c>
      <c r="V3029" s="124" t="str">
        <f>IFERROR(__xludf.DUMMYFUNCTION("""COMPUTED_VALUE"""),"Just Dial")</f>
        <v>Just Dial</v>
      </c>
      <c r="W3029" s="124" t="str">
        <f>IFERROR(__xludf.DUMMYFUNCTION("""COMPUTED_VALUE"""),"Manual")</f>
        <v>Manual</v>
      </c>
      <c r="X3029" s="124">
        <f>IFERROR(__xludf.DUMMYFUNCTION("""COMPUTED_VALUE"""),2.2012026E7)</f>
        <v>22012026</v>
      </c>
      <c r="Y3029" s="124" t="str">
        <f>IFERROR(__xludf.DUMMYFUNCTION("""COMPUTED_VALUE"""),"Indore")</f>
        <v>Indore</v>
      </c>
      <c r="Z3029" s="124">
        <f>IFERROR(__xludf.DUMMYFUNCTION("""COMPUTED_VALUE"""),2.0)</f>
        <v>2</v>
      </c>
      <c r="AA3029" s="124" t="str">
        <f>IFERROR(__xludf.DUMMYFUNCTION("""COMPUTED_VALUE"""),"Not Interested")</f>
        <v>Not Interested</v>
      </c>
      <c r="AB3029" s="124" t="str">
        <f>IFERROR(__xludf.DUMMYFUNCTION("""COMPUTED_VALUE"""),"GS Foundation")</f>
        <v>GS Foundation</v>
      </c>
    </row>
    <row r="3030">
      <c r="K3030" s="124"/>
      <c r="L3030" s="124"/>
      <c r="M3030" s="124"/>
      <c r="N3030" s="124"/>
      <c r="O3030" s="124"/>
      <c r="T3030" s="126">
        <f>IFERROR(__xludf.DUMMYFUNCTION("""COMPUTED_VALUE"""),46080.0)</f>
        <v>46080</v>
      </c>
      <c r="U3030" s="124" t="str">
        <f>IFERROR(__xludf.DUMMYFUNCTION("""COMPUTED_VALUE"""),"Publisher Campaign")</f>
        <v>Publisher Campaign</v>
      </c>
      <c r="V3030" s="124" t="str">
        <f>IFERROR(__xludf.DUMMYFUNCTION("""COMPUTED_VALUE"""),"Vaishnav college")</f>
        <v>Vaishnav college</v>
      </c>
      <c r="W3030" s="124" t="str">
        <f>IFERROR(__xludf.DUMMYFUNCTION("""COMPUTED_VALUE"""),"Seminar Vaishnav college")</f>
        <v>Seminar Vaishnav college</v>
      </c>
      <c r="X3030" s="124">
        <f>IFERROR(__xludf.DUMMYFUNCTION("""COMPUTED_VALUE"""),2.2012026E7)</f>
        <v>22012026</v>
      </c>
      <c r="Y3030" s="124" t="str">
        <f>IFERROR(__xludf.DUMMYFUNCTION("""COMPUTED_VALUE"""),"Indore")</f>
        <v>Indore</v>
      </c>
      <c r="Z3030" s="124">
        <f>IFERROR(__xludf.DUMMYFUNCTION("""COMPUTED_VALUE"""),4.0)</f>
        <v>4</v>
      </c>
      <c r="AA3030" s="124"/>
      <c r="AB3030" s="124" t="str">
        <f>IFERROR(__xludf.DUMMYFUNCTION("""COMPUTED_VALUE"""),"GS Advanced")</f>
        <v>GS Advanced</v>
      </c>
    </row>
    <row r="3031">
      <c r="K3031" s="124"/>
      <c r="L3031" s="124"/>
      <c r="M3031" s="124"/>
      <c r="N3031" s="124"/>
      <c r="O3031" s="124"/>
      <c r="T3031" s="126">
        <f>IFERROR(__xludf.DUMMYFUNCTION("""COMPUTED_VALUE"""),46050.0)</f>
        <v>46050</v>
      </c>
      <c r="U3031" s="124" t="str">
        <f>IFERROR(__xludf.DUMMYFUNCTION("""COMPUTED_VALUE"""),"External Leads")</f>
        <v>External Leads</v>
      </c>
      <c r="V3031" s="124" t="str">
        <f>IFERROR(__xludf.DUMMYFUNCTION("""COMPUTED_VALUE"""),"external leads")</f>
        <v>external leads</v>
      </c>
      <c r="W3031" s="124" t="str">
        <f>IFERROR(__xludf.DUMMYFUNCTION("""COMPUTED_VALUE"""),"lucknow")</f>
        <v>lucknow</v>
      </c>
      <c r="X3031" s="124" t="str">
        <f>IFERROR(__xludf.DUMMYFUNCTION("""COMPUTED_VALUE"""),"btl")</f>
        <v>btl</v>
      </c>
      <c r="Y3031" s="124" t="str">
        <f>IFERROR(__xludf.DUMMYFUNCTION("""COMPUTED_VALUE"""),"Lucknow")</f>
        <v>Lucknow</v>
      </c>
      <c r="Z3031" s="124">
        <f>IFERROR(__xludf.DUMMYFUNCTION("""COMPUTED_VALUE"""),1.0)</f>
        <v>1</v>
      </c>
      <c r="AA3031" s="124" t="str">
        <f>IFERROR(__xludf.DUMMYFUNCTION("""COMPUTED_VALUE"""),"Engaged")</f>
        <v>Engaged</v>
      </c>
      <c r="AB3031" s="124" t="str">
        <f>IFERROR(__xludf.DUMMYFUNCTION("""COMPUTED_VALUE"""),"GS Foundation")</f>
        <v>GS Foundation</v>
      </c>
    </row>
    <row r="3032">
      <c r="K3032" s="124"/>
      <c r="L3032" s="124"/>
      <c r="M3032" s="124"/>
      <c r="N3032" s="124"/>
      <c r="O3032" s="124"/>
      <c r="T3032" s="126">
        <f>IFERROR(__xludf.DUMMYFUNCTION("""COMPUTED_VALUE"""),46067.0)</f>
        <v>46067</v>
      </c>
      <c r="U3032" s="124" t="str">
        <f>IFERROR(__xludf.DUMMYFUNCTION("""COMPUTED_VALUE"""),"Walk-Ins")</f>
        <v>Walk-Ins</v>
      </c>
      <c r="V3032" s="124" t="str">
        <f>IFERROR(__xludf.DUMMYFUNCTION("""COMPUTED_VALUE"""),"Walk-In")</f>
        <v>Walk-In</v>
      </c>
      <c r="W3032" s="124" t="str">
        <f>IFERROR(__xludf.DUMMYFUNCTION("""COMPUTED_VALUE"""),"Prayagraj")</f>
        <v>Prayagraj</v>
      </c>
      <c r="X3032" s="124" t="str">
        <f>IFERROR(__xludf.DUMMYFUNCTION("""COMPUTED_VALUE"""),"Prayagraj")</f>
        <v>Prayagraj</v>
      </c>
      <c r="Y3032" s="124"/>
      <c r="Z3032" s="124">
        <f>IFERROR(__xludf.DUMMYFUNCTION("""COMPUTED_VALUE"""),1.0)</f>
        <v>1</v>
      </c>
      <c r="AA3032" s="124" t="str">
        <f>IFERROR(__xludf.DUMMYFUNCTION("""COMPUTED_VALUE"""),"Future Prospects")</f>
        <v>Future Prospects</v>
      </c>
      <c r="AB3032" s="124" t="str">
        <f>IFERROR(__xludf.DUMMYFUNCTION("""COMPUTED_VALUE"""),"GS Foundation")</f>
        <v>GS Foundation</v>
      </c>
    </row>
    <row r="3033">
      <c r="K3033" s="124"/>
      <c r="L3033" s="124"/>
      <c r="M3033" s="124"/>
      <c r="N3033" s="124"/>
      <c r="O3033" s="124"/>
      <c r="T3033" s="126">
        <f>IFERROR(__xludf.DUMMYFUNCTION("""COMPUTED_VALUE"""),46080.0)</f>
        <v>46080</v>
      </c>
      <c r="U3033" s="124" t="str">
        <f>IFERROR(__xludf.DUMMYFUNCTION("""COMPUTED_VALUE"""),"Publisher Campaign")</f>
        <v>Publisher Campaign</v>
      </c>
      <c r="V3033" s="124" t="str">
        <f>IFERROR(__xludf.DUMMYFUNCTION("""COMPUTED_VALUE"""),"Vaishnav college")</f>
        <v>Vaishnav college</v>
      </c>
      <c r="W3033" s="124" t="str">
        <f>IFERROR(__xludf.DUMMYFUNCTION("""COMPUTED_VALUE"""),"Seminar Vaishnav college")</f>
        <v>Seminar Vaishnav college</v>
      </c>
      <c r="X3033" s="124">
        <f>IFERROR(__xludf.DUMMYFUNCTION("""COMPUTED_VALUE"""),2.2012026E7)</f>
        <v>22012026</v>
      </c>
      <c r="Y3033" s="124" t="str">
        <f>IFERROR(__xludf.DUMMYFUNCTION("""COMPUTED_VALUE"""),"Indore")</f>
        <v>Indore</v>
      </c>
      <c r="Z3033" s="124">
        <f>IFERROR(__xludf.DUMMYFUNCTION("""COMPUTED_VALUE"""),1.0)</f>
        <v>1</v>
      </c>
      <c r="AA3033" s="124"/>
      <c r="AB3033" s="124" t="str">
        <f>IFERROR(__xludf.DUMMYFUNCTION("""COMPUTED_VALUE"""),"SIP Offline")</f>
        <v>SIP Offline</v>
      </c>
    </row>
    <row r="3034">
      <c r="K3034" s="124"/>
      <c r="L3034" s="124"/>
      <c r="M3034" s="124"/>
      <c r="N3034" s="124"/>
      <c r="O3034" s="124"/>
      <c r="T3034" s="126">
        <f>IFERROR(__xludf.DUMMYFUNCTION("""COMPUTED_VALUE"""),46067.0)</f>
        <v>46067</v>
      </c>
      <c r="U3034" s="124" t="str">
        <f>IFERROR(__xludf.DUMMYFUNCTION("""COMPUTED_VALUE"""),"Walk-Ins")</f>
        <v>Walk-Ins</v>
      </c>
      <c r="V3034" s="124" t="str">
        <f>IFERROR(__xludf.DUMMYFUNCTION("""COMPUTED_VALUE"""),"Walk-In")</f>
        <v>Walk-In</v>
      </c>
      <c r="W3034" s="124" t="str">
        <f>IFERROR(__xludf.DUMMYFUNCTION("""COMPUTED_VALUE"""),"Prayagraj")</f>
        <v>Prayagraj</v>
      </c>
      <c r="X3034" s="124" t="str">
        <f>IFERROR(__xludf.DUMMYFUNCTION("""COMPUTED_VALUE"""),"Prayagraj")</f>
        <v>Prayagraj</v>
      </c>
      <c r="Y3034" s="124" t="str">
        <f>IFERROR(__xludf.DUMMYFUNCTION("""COMPUTED_VALUE"""),"Prayagraj")</f>
        <v>Prayagraj</v>
      </c>
      <c r="Z3034" s="124">
        <f>IFERROR(__xludf.DUMMYFUNCTION("""COMPUTED_VALUE"""),2.0)</f>
        <v>2</v>
      </c>
      <c r="AA3034" s="124" t="str">
        <f>IFERROR(__xludf.DUMMYFUNCTION("""COMPUTED_VALUE"""),"Not Interested")</f>
        <v>Not Interested</v>
      </c>
      <c r="AB3034" s="124" t="str">
        <f>IFERROR(__xludf.DUMMYFUNCTION("""COMPUTED_VALUE"""),"State PCS")</f>
        <v>State PCS</v>
      </c>
    </row>
    <row r="3035">
      <c r="K3035" s="124"/>
      <c r="L3035" s="124"/>
      <c r="M3035" s="124"/>
      <c r="N3035" s="124"/>
      <c r="O3035" s="124"/>
      <c r="T3035" s="126">
        <f>IFERROR(__xludf.DUMMYFUNCTION("""COMPUTED_VALUE"""),46052.0)</f>
        <v>46052</v>
      </c>
      <c r="U3035" s="124" t="str">
        <f>IFERROR(__xludf.DUMMYFUNCTION("""COMPUTED_VALUE"""),"External Leads")</f>
        <v>External Leads</v>
      </c>
      <c r="V3035" s="124" t="str">
        <f>IFERROR(__xludf.DUMMYFUNCTION("""COMPUTED_VALUE"""),"External Leads")</f>
        <v>External Leads</v>
      </c>
      <c r="W3035" s="124" t="str">
        <f>IFERROR(__xludf.DUMMYFUNCTION("""COMPUTED_VALUE"""),"Delhi")</f>
        <v>Delhi</v>
      </c>
      <c r="X3035" s="124" t="str">
        <f>IFERROR(__xludf.DUMMYFUNCTION("""COMPUTED_VALUE"""),"DRC")</f>
        <v>DRC</v>
      </c>
      <c r="Y3035" s="124"/>
      <c r="Z3035" s="124">
        <f>IFERROR(__xludf.DUMMYFUNCTION("""COMPUTED_VALUE"""),1.0)</f>
        <v>1</v>
      </c>
      <c r="AA3035" s="124" t="str">
        <f>IFERROR(__xludf.DUMMYFUNCTION("""COMPUTED_VALUE"""),"Future Prospects")</f>
        <v>Future Prospects</v>
      </c>
      <c r="AB3035" s="124"/>
    </row>
    <row r="3036">
      <c r="K3036" s="124"/>
      <c r="L3036" s="124"/>
      <c r="M3036" s="124"/>
      <c r="N3036" s="124"/>
      <c r="O3036" s="124"/>
      <c r="T3036" s="126">
        <f>IFERROR(__xludf.DUMMYFUNCTION("""COMPUTED_VALUE"""),46104.0)</f>
        <v>46104</v>
      </c>
      <c r="U3036" s="124" t="str">
        <f>IFERROR(__xludf.DUMMYFUNCTION("""COMPUTED_VALUE"""),"Walk-Ins")</f>
        <v>Walk-Ins</v>
      </c>
      <c r="V3036" s="124" t="str">
        <f>IFERROR(__xludf.DUMMYFUNCTION("""COMPUTED_VALUE"""),"Walk-In")</f>
        <v>Walk-In</v>
      </c>
      <c r="W3036" s="124" t="str">
        <f>IFERROR(__xludf.DUMMYFUNCTION("""COMPUTED_VALUE"""),"Prayagraj")</f>
        <v>Prayagraj</v>
      </c>
      <c r="X3036" s="124" t="str">
        <f>IFERROR(__xludf.DUMMYFUNCTION("""COMPUTED_VALUE"""),"Shivanshi")</f>
        <v>Shivanshi</v>
      </c>
      <c r="Y3036" s="124" t="str">
        <f>IFERROR(__xludf.DUMMYFUNCTION("""COMPUTED_VALUE"""),"Prayagraj")</f>
        <v>Prayagraj</v>
      </c>
      <c r="Z3036" s="124">
        <f>IFERROR(__xludf.DUMMYFUNCTION("""COMPUTED_VALUE"""),1.0)</f>
        <v>1</v>
      </c>
      <c r="AA3036" s="124" t="str">
        <f>IFERROR(__xludf.DUMMYFUNCTION("""COMPUTED_VALUE"""),"Warm")</f>
        <v>Warm</v>
      </c>
      <c r="AB3036" s="124" t="str">
        <f>IFERROR(__xludf.DUMMYFUNCTION("""COMPUTED_VALUE"""),"Mentorship")</f>
        <v>Mentorship</v>
      </c>
    </row>
    <row r="3037">
      <c r="K3037" s="124"/>
      <c r="L3037" s="124"/>
      <c r="M3037" s="124"/>
      <c r="N3037" s="124"/>
      <c r="O3037" s="124"/>
      <c r="T3037" s="126">
        <f>IFERROR(__xludf.DUMMYFUNCTION("""COMPUTED_VALUE"""),46064.0)</f>
        <v>46064</v>
      </c>
      <c r="U3037" s="124" t="str">
        <f>IFERROR(__xludf.DUMMYFUNCTION("""COMPUTED_VALUE"""),"Walk-Ins")</f>
        <v>Walk-Ins</v>
      </c>
      <c r="V3037" s="124" t="str">
        <f>IFERROR(__xludf.DUMMYFUNCTION("""COMPUTED_VALUE"""),"Walk-In")</f>
        <v>Walk-In</v>
      </c>
      <c r="W3037" s="124" t="str">
        <f>IFERROR(__xludf.DUMMYFUNCTION("""COMPUTED_VALUE"""),"Prayagraj")</f>
        <v>Prayagraj</v>
      </c>
      <c r="X3037" s="124" t="str">
        <f>IFERROR(__xludf.DUMMYFUNCTION("""COMPUTED_VALUE"""),"Shivanshi")</f>
        <v>Shivanshi</v>
      </c>
      <c r="Y3037" s="124" t="str">
        <f>IFERROR(__xludf.DUMMYFUNCTION("""COMPUTED_VALUE"""),"Prayagraj")</f>
        <v>Prayagraj</v>
      </c>
      <c r="Z3037" s="124">
        <f>IFERROR(__xludf.DUMMYFUNCTION("""COMPUTED_VALUE"""),1.0)</f>
        <v>1</v>
      </c>
      <c r="AA3037" s="124" t="str">
        <f>IFERROR(__xludf.DUMMYFUNCTION("""COMPUTED_VALUE"""),"Warm")</f>
        <v>Warm</v>
      </c>
      <c r="AB3037" s="124" t="str">
        <f>IFERROR(__xludf.DUMMYFUNCTION("""COMPUTED_VALUE"""),"GS Foundation")</f>
        <v>GS Foundation</v>
      </c>
    </row>
    <row r="3038">
      <c r="K3038" s="124"/>
      <c r="L3038" s="124"/>
      <c r="M3038" s="124"/>
      <c r="N3038" s="124"/>
      <c r="O3038" s="124"/>
      <c r="T3038" s="126">
        <f>IFERROR(__xludf.DUMMYFUNCTION("""COMPUTED_VALUE"""),46048.0)</f>
        <v>46048</v>
      </c>
      <c r="U3038" s="124" t="str">
        <f>IFERROR(__xludf.DUMMYFUNCTION("""COMPUTED_VALUE"""),"Walk-Ins")</f>
        <v>Walk-Ins</v>
      </c>
      <c r="V3038" s="124" t="str">
        <f>IFERROR(__xludf.DUMMYFUNCTION("""COMPUTED_VALUE"""),"Walk-In")</f>
        <v>Walk-In</v>
      </c>
      <c r="W3038" s="124" t="str">
        <f>IFERROR(__xludf.DUMMYFUNCTION("""COMPUTED_VALUE"""),"Prayagraj")</f>
        <v>Prayagraj</v>
      </c>
      <c r="X3038" s="124" t="str">
        <f>IFERROR(__xludf.DUMMYFUNCTION("""COMPUTED_VALUE"""),"Shivanshi")</f>
        <v>Shivanshi</v>
      </c>
      <c r="Y3038" s="124" t="str">
        <f>IFERROR(__xludf.DUMMYFUNCTION("""COMPUTED_VALUE"""),"Prayagraj")</f>
        <v>Prayagraj</v>
      </c>
      <c r="Z3038" s="124">
        <f>IFERROR(__xludf.DUMMYFUNCTION("""COMPUTED_VALUE"""),2.0)</f>
        <v>2</v>
      </c>
      <c r="AA3038" s="124" t="str">
        <f>IFERROR(__xludf.DUMMYFUNCTION("""COMPUTED_VALUE"""),"Cold")</f>
        <v>Cold</v>
      </c>
      <c r="AB3038" s="124" t="str">
        <f>IFERROR(__xludf.DUMMYFUNCTION("""COMPUTED_VALUE"""),"Other")</f>
        <v>Other</v>
      </c>
    </row>
    <row r="3039">
      <c r="K3039" s="124"/>
      <c r="L3039" s="124"/>
      <c r="M3039" s="124"/>
      <c r="N3039" s="124"/>
      <c r="O3039" s="124"/>
      <c r="T3039" s="126">
        <f>IFERROR(__xludf.DUMMYFUNCTION("""COMPUTED_VALUE"""),46045.0)</f>
        <v>46045</v>
      </c>
      <c r="U3039" s="124" t="str">
        <f>IFERROR(__xludf.DUMMYFUNCTION("""COMPUTED_VALUE"""),"Walk-Ins")</f>
        <v>Walk-Ins</v>
      </c>
      <c r="V3039" s="124" t="str">
        <f>IFERROR(__xludf.DUMMYFUNCTION("""COMPUTED_VALUE"""),"Walk-In")</f>
        <v>Walk-In</v>
      </c>
      <c r="W3039" s="124" t="str">
        <f>IFERROR(__xludf.DUMMYFUNCTION("""COMPUTED_VALUE"""),"Prayagraj")</f>
        <v>Prayagraj</v>
      </c>
      <c r="X3039" s="124" t="str">
        <f>IFERROR(__xludf.DUMMYFUNCTION("""COMPUTED_VALUE"""),"Shivanshi")</f>
        <v>Shivanshi</v>
      </c>
      <c r="Y3039" s="124" t="str">
        <f>IFERROR(__xludf.DUMMYFUNCTION("""COMPUTED_VALUE"""),"Prayagraj")</f>
        <v>Prayagraj</v>
      </c>
      <c r="Z3039" s="124">
        <f>IFERROR(__xludf.DUMMYFUNCTION("""COMPUTED_VALUE"""),1.0)</f>
        <v>1</v>
      </c>
      <c r="AA3039" s="124" t="str">
        <f>IFERROR(__xludf.DUMMYFUNCTION("""COMPUTED_VALUE"""),"Not Interested")</f>
        <v>Not Interested</v>
      </c>
      <c r="AB3039" s="124" t="str">
        <f>IFERROR(__xludf.DUMMYFUNCTION("""COMPUTED_VALUE"""),"GS Foundation")</f>
        <v>GS Foundation</v>
      </c>
    </row>
    <row r="3040">
      <c r="K3040" s="124"/>
      <c r="L3040" s="124"/>
      <c r="M3040" s="124"/>
      <c r="N3040" s="124"/>
      <c r="O3040" s="124"/>
      <c r="T3040" s="129">
        <f>IFERROR(__xludf.DUMMYFUNCTION("""COMPUTED_VALUE"""),46050.0)</f>
        <v>46050</v>
      </c>
      <c r="U3040" s="124" t="str">
        <f>IFERROR(__xludf.DUMMYFUNCTION("""COMPUTED_VALUE"""),"Walk-Ins")</f>
        <v>Walk-Ins</v>
      </c>
      <c r="V3040" s="124" t="str">
        <f>IFERROR(__xludf.DUMMYFUNCTION("""COMPUTED_VALUE"""),"Walk-In")</f>
        <v>Walk-In</v>
      </c>
      <c r="W3040" s="124" t="str">
        <f>IFERROR(__xludf.DUMMYFUNCTION("""COMPUTED_VALUE"""),"Prayagraj")</f>
        <v>Prayagraj</v>
      </c>
      <c r="X3040" s="124" t="str">
        <f>IFERROR(__xludf.DUMMYFUNCTION("""COMPUTED_VALUE"""),"Shivanshi")</f>
        <v>Shivanshi</v>
      </c>
      <c r="Y3040" s="124" t="str">
        <f>IFERROR(__xludf.DUMMYFUNCTION("""COMPUTED_VALUE"""),"Prayagraj")</f>
        <v>Prayagraj</v>
      </c>
      <c r="Z3040" s="124">
        <f>IFERROR(__xludf.DUMMYFUNCTION("""COMPUTED_VALUE"""),2.0)</f>
        <v>2</v>
      </c>
      <c r="AA3040" s="124" t="str">
        <f>IFERROR(__xludf.DUMMYFUNCTION("""COMPUTED_VALUE"""),"Fake Lead")</f>
        <v>Fake Lead</v>
      </c>
      <c r="AB3040" s="124" t="str">
        <f>IFERROR(__xludf.DUMMYFUNCTION("""COMPUTED_VALUE"""),"GS Foundation")</f>
        <v>GS Foundation</v>
      </c>
    </row>
    <row r="3041">
      <c r="K3041" s="124"/>
      <c r="L3041" s="124"/>
      <c r="M3041" s="124"/>
      <c r="N3041" s="124"/>
      <c r="O3041" s="124"/>
      <c r="T3041" s="126">
        <f>IFERROR(__xludf.DUMMYFUNCTION("""COMPUTED_VALUE"""),46045.0)</f>
        <v>46045</v>
      </c>
      <c r="U3041" s="124" t="str">
        <f>IFERROR(__xludf.DUMMYFUNCTION("""COMPUTED_VALUE"""),"Walk-Ins")</f>
        <v>Walk-Ins</v>
      </c>
      <c r="V3041" s="124" t="str">
        <f>IFERROR(__xludf.DUMMYFUNCTION("""COMPUTED_VALUE"""),"Walk-In")</f>
        <v>Walk-In</v>
      </c>
      <c r="W3041" s="124" t="str">
        <f>IFERROR(__xludf.DUMMYFUNCTION("""COMPUTED_VALUE"""),"Prayagraj")</f>
        <v>Prayagraj</v>
      </c>
      <c r="X3041" s="124" t="str">
        <f>IFERROR(__xludf.DUMMYFUNCTION("""COMPUTED_VALUE"""),"Shivanshi")</f>
        <v>Shivanshi</v>
      </c>
      <c r="Y3041" s="124" t="str">
        <f>IFERROR(__xludf.DUMMYFUNCTION("""COMPUTED_VALUE"""),"Prayagraj")</f>
        <v>Prayagraj</v>
      </c>
      <c r="Z3041" s="124">
        <f>IFERROR(__xludf.DUMMYFUNCTION("""COMPUTED_VALUE"""),1.0)</f>
        <v>1</v>
      </c>
      <c r="AA3041" s="124" t="str">
        <f>IFERROR(__xludf.DUMMYFUNCTION("""COMPUTED_VALUE"""),"Future Prospects")</f>
        <v>Future Prospects</v>
      </c>
      <c r="AB3041" s="124" t="str">
        <f>IFERROR(__xludf.DUMMYFUNCTION("""COMPUTED_VALUE"""),"GS Foundation")</f>
        <v>GS Foundation</v>
      </c>
    </row>
    <row r="3042">
      <c r="K3042" s="124"/>
      <c r="L3042" s="124"/>
      <c r="M3042" s="124"/>
      <c r="N3042" s="124"/>
      <c r="O3042" s="124"/>
      <c r="T3042" s="126">
        <f>IFERROR(__xludf.DUMMYFUNCTION("""COMPUTED_VALUE"""),46096.0)</f>
        <v>46096</v>
      </c>
      <c r="U3042" s="124" t="str">
        <f>IFERROR(__xludf.DUMMYFUNCTION("""COMPUTED_VALUE"""),"Walk-Ins")</f>
        <v>Walk-Ins</v>
      </c>
      <c r="V3042" s="124" t="str">
        <f>IFERROR(__xludf.DUMMYFUNCTION("""COMPUTED_VALUE"""),"Walk-In")</f>
        <v>Walk-In</v>
      </c>
      <c r="W3042" s="124" t="str">
        <f>IFERROR(__xludf.DUMMYFUNCTION("""COMPUTED_VALUE"""),"Prayagraj")</f>
        <v>Prayagraj</v>
      </c>
      <c r="X3042" s="124" t="str">
        <f>IFERROR(__xludf.DUMMYFUNCTION("""COMPUTED_VALUE"""),"Shivanshi")</f>
        <v>Shivanshi</v>
      </c>
      <c r="Y3042" s="124" t="str">
        <f>IFERROR(__xludf.DUMMYFUNCTION("""COMPUTED_VALUE"""),"Prayagraj")</f>
        <v>Prayagraj</v>
      </c>
      <c r="Z3042" s="124">
        <f>IFERROR(__xludf.DUMMYFUNCTION("""COMPUTED_VALUE"""),1.0)</f>
        <v>1</v>
      </c>
      <c r="AA3042" s="124" t="str">
        <f>IFERROR(__xludf.DUMMYFUNCTION("""COMPUTED_VALUE"""),"Warm")</f>
        <v>Warm</v>
      </c>
      <c r="AB3042" s="124" t="str">
        <f>IFERROR(__xludf.DUMMYFUNCTION("""COMPUTED_VALUE"""),"State PCS")</f>
        <v>State PCS</v>
      </c>
    </row>
    <row r="3043">
      <c r="K3043" s="124"/>
      <c r="L3043" s="124"/>
      <c r="M3043" s="124"/>
      <c r="N3043" s="124"/>
      <c r="O3043" s="124"/>
      <c r="T3043" s="126">
        <f>IFERROR(__xludf.DUMMYFUNCTION("""COMPUTED_VALUE"""),46043.0)</f>
        <v>46043</v>
      </c>
      <c r="U3043" s="124" t="str">
        <f>IFERROR(__xludf.DUMMYFUNCTION("""COMPUTED_VALUE"""),"Walk-Ins")</f>
        <v>Walk-Ins</v>
      </c>
      <c r="V3043" s="124" t="str">
        <f>IFERROR(__xludf.DUMMYFUNCTION("""COMPUTED_VALUE"""),"Walk-In")</f>
        <v>Walk-In</v>
      </c>
      <c r="W3043" s="124" t="str">
        <f>IFERROR(__xludf.DUMMYFUNCTION("""COMPUTED_VALUE"""),"Prayagraj")</f>
        <v>Prayagraj</v>
      </c>
      <c r="X3043" s="124" t="str">
        <f>IFERROR(__xludf.DUMMYFUNCTION("""COMPUTED_VALUE"""),"Shivanshi")</f>
        <v>Shivanshi</v>
      </c>
      <c r="Y3043" s="124" t="str">
        <f>IFERROR(__xludf.DUMMYFUNCTION("""COMPUTED_VALUE"""),"Prayagraj")</f>
        <v>Prayagraj</v>
      </c>
      <c r="Z3043" s="124">
        <f>IFERROR(__xludf.DUMMYFUNCTION("""COMPUTED_VALUE"""),1.0)</f>
        <v>1</v>
      </c>
      <c r="AA3043" s="124" t="str">
        <f>IFERROR(__xludf.DUMMYFUNCTION("""COMPUTED_VALUE"""),"Cold")</f>
        <v>Cold</v>
      </c>
      <c r="AB3043" s="124" t="str">
        <f>IFERROR(__xludf.DUMMYFUNCTION("""COMPUTED_VALUE"""),"State PCS")</f>
        <v>State PCS</v>
      </c>
    </row>
    <row r="3044">
      <c r="K3044" s="124"/>
      <c r="L3044" s="124"/>
      <c r="M3044" s="124"/>
      <c r="N3044" s="124"/>
      <c r="O3044" s="124"/>
      <c r="T3044" s="126">
        <f>IFERROR(__xludf.DUMMYFUNCTION("""COMPUTED_VALUE"""),46048.0)</f>
        <v>46048</v>
      </c>
      <c r="U3044" s="124" t="str">
        <f>IFERROR(__xludf.DUMMYFUNCTION("""COMPUTED_VALUE"""),"Walk-Ins")</f>
        <v>Walk-Ins</v>
      </c>
      <c r="V3044" s="124" t="str">
        <f>IFERROR(__xludf.DUMMYFUNCTION("""COMPUTED_VALUE"""),"Walk-In")</f>
        <v>Walk-In</v>
      </c>
      <c r="W3044" s="124" t="str">
        <f>IFERROR(__xludf.DUMMYFUNCTION("""COMPUTED_VALUE"""),"Prayagraj")</f>
        <v>Prayagraj</v>
      </c>
      <c r="X3044" s="124" t="str">
        <f>IFERROR(__xludf.DUMMYFUNCTION("""COMPUTED_VALUE"""),"Shivanshi")</f>
        <v>Shivanshi</v>
      </c>
      <c r="Y3044" s="124" t="str">
        <f>IFERROR(__xludf.DUMMYFUNCTION("""COMPUTED_VALUE"""),"Prayagraj")</f>
        <v>Prayagraj</v>
      </c>
      <c r="Z3044" s="124">
        <f>IFERROR(__xludf.DUMMYFUNCTION("""COMPUTED_VALUE"""),1.0)</f>
        <v>1</v>
      </c>
      <c r="AA3044" s="124" t="str">
        <f>IFERROR(__xludf.DUMMYFUNCTION("""COMPUTED_VALUE"""),"Enrolled")</f>
        <v>Enrolled</v>
      </c>
      <c r="AB3044" s="124" t="str">
        <f>IFERROR(__xludf.DUMMYFUNCTION("""COMPUTED_VALUE"""),"Other")</f>
        <v>Other</v>
      </c>
    </row>
    <row r="3045">
      <c r="K3045" s="124"/>
      <c r="L3045" s="124"/>
      <c r="M3045" s="124"/>
      <c r="N3045" s="124"/>
      <c r="O3045" s="124"/>
      <c r="T3045" s="129">
        <f>IFERROR(__xludf.DUMMYFUNCTION("""COMPUTED_VALUE"""),46055.0)</f>
        <v>46055</v>
      </c>
      <c r="U3045" s="124" t="str">
        <f>IFERROR(__xludf.DUMMYFUNCTION("""COMPUTED_VALUE"""),"Walk-Ins")</f>
        <v>Walk-Ins</v>
      </c>
      <c r="V3045" s="124" t="str">
        <f>IFERROR(__xludf.DUMMYFUNCTION("""COMPUTED_VALUE"""),"Walk-In")</f>
        <v>Walk-In</v>
      </c>
      <c r="W3045" s="124" t="str">
        <f>IFERROR(__xludf.DUMMYFUNCTION("""COMPUTED_VALUE"""),"Prayagraj")</f>
        <v>Prayagraj</v>
      </c>
      <c r="X3045" s="124" t="str">
        <f>IFERROR(__xludf.DUMMYFUNCTION("""COMPUTED_VALUE"""),"Shivanshi")</f>
        <v>Shivanshi</v>
      </c>
      <c r="Y3045" s="124" t="str">
        <f>IFERROR(__xludf.DUMMYFUNCTION("""COMPUTED_VALUE"""),"Prayagraj")</f>
        <v>Prayagraj</v>
      </c>
      <c r="Z3045" s="124">
        <f>IFERROR(__xludf.DUMMYFUNCTION("""COMPUTED_VALUE"""),2.0)</f>
        <v>2</v>
      </c>
      <c r="AA3045" s="124" t="str">
        <f>IFERROR(__xludf.DUMMYFUNCTION("""COMPUTED_VALUE"""),"Cold")</f>
        <v>Cold</v>
      </c>
      <c r="AB3045" s="124" t="str">
        <f>IFERROR(__xludf.DUMMYFUNCTION("""COMPUTED_VALUE"""),"State PCS")</f>
        <v>State PCS</v>
      </c>
    </row>
    <row r="3046">
      <c r="K3046" s="124"/>
      <c r="L3046" s="124"/>
      <c r="M3046" s="124"/>
      <c r="N3046" s="124"/>
      <c r="O3046" s="124"/>
      <c r="T3046" s="126">
        <f>IFERROR(__xludf.DUMMYFUNCTION("""COMPUTED_VALUE"""),46112.0)</f>
        <v>46112</v>
      </c>
      <c r="U3046" s="124" t="str">
        <f>IFERROR(__xludf.DUMMYFUNCTION("""COMPUTED_VALUE"""),"Walk-Ins")</f>
        <v>Walk-Ins</v>
      </c>
      <c r="V3046" s="124" t="str">
        <f>IFERROR(__xludf.DUMMYFUNCTION("""COMPUTED_VALUE"""),"Walk-In")</f>
        <v>Walk-In</v>
      </c>
      <c r="W3046" s="124" t="str">
        <f>IFERROR(__xludf.DUMMYFUNCTION("""COMPUTED_VALUE"""),"Prayagraj")</f>
        <v>Prayagraj</v>
      </c>
      <c r="X3046" s="124" t="str">
        <f>IFERROR(__xludf.DUMMYFUNCTION("""COMPUTED_VALUE"""),"Shivanshi")</f>
        <v>Shivanshi</v>
      </c>
      <c r="Y3046" s="124" t="str">
        <f>IFERROR(__xludf.DUMMYFUNCTION("""COMPUTED_VALUE"""),"Prayagraj")</f>
        <v>Prayagraj</v>
      </c>
      <c r="Z3046" s="124">
        <f>IFERROR(__xludf.DUMMYFUNCTION("""COMPUTED_VALUE"""),1.0)</f>
        <v>1</v>
      </c>
      <c r="AA3046" s="124" t="str">
        <f>IFERROR(__xludf.DUMMYFUNCTION("""COMPUTED_VALUE"""),"Warm")</f>
        <v>Warm</v>
      </c>
      <c r="AB3046" s="124" t="str">
        <f>IFERROR(__xludf.DUMMYFUNCTION("""COMPUTED_VALUE"""),"State PCS")</f>
        <v>State PCS</v>
      </c>
    </row>
    <row r="3047">
      <c r="K3047" s="124"/>
      <c r="L3047" s="124"/>
      <c r="M3047" s="124"/>
      <c r="N3047" s="124"/>
      <c r="O3047" s="124"/>
      <c r="T3047" s="126">
        <f>IFERROR(__xludf.DUMMYFUNCTION("""COMPUTED_VALUE"""),46049.0)</f>
        <v>46049</v>
      </c>
      <c r="U3047" s="124" t="str">
        <f>IFERROR(__xludf.DUMMYFUNCTION("""COMPUTED_VALUE"""),"Walk-Ins")</f>
        <v>Walk-Ins</v>
      </c>
      <c r="V3047" s="124" t="str">
        <f>IFERROR(__xludf.DUMMYFUNCTION("""COMPUTED_VALUE"""),"Walk-In")</f>
        <v>Walk-In</v>
      </c>
      <c r="W3047" s="124" t="str">
        <f>IFERROR(__xludf.DUMMYFUNCTION("""COMPUTED_VALUE"""),"Prayagraj")</f>
        <v>Prayagraj</v>
      </c>
      <c r="X3047" s="124" t="str">
        <f>IFERROR(__xludf.DUMMYFUNCTION("""COMPUTED_VALUE"""),"Shivanshi")</f>
        <v>Shivanshi</v>
      </c>
      <c r="Y3047" s="124" t="str">
        <f>IFERROR(__xludf.DUMMYFUNCTION("""COMPUTED_VALUE"""),"Prayagraj")</f>
        <v>Prayagraj</v>
      </c>
      <c r="Z3047" s="124">
        <f>IFERROR(__xludf.DUMMYFUNCTION("""COMPUTED_VALUE"""),1.0)</f>
        <v>1</v>
      </c>
      <c r="AA3047" s="124" t="str">
        <f>IFERROR(__xludf.DUMMYFUNCTION("""COMPUTED_VALUE"""),"Enrolled")</f>
        <v>Enrolled</v>
      </c>
      <c r="AB3047" s="124" t="str">
        <f>IFERROR(__xludf.DUMMYFUNCTION("""COMPUTED_VALUE"""),"GS Foundation")</f>
        <v>GS Foundation</v>
      </c>
    </row>
    <row r="3048">
      <c r="K3048" s="124"/>
      <c r="L3048" s="124"/>
      <c r="M3048" s="124"/>
      <c r="N3048" s="124"/>
      <c r="O3048" s="124"/>
      <c r="T3048" s="126">
        <f>IFERROR(__xludf.DUMMYFUNCTION("""COMPUTED_VALUE"""),46063.0)</f>
        <v>46063</v>
      </c>
      <c r="U3048" s="124" t="str">
        <f>IFERROR(__xludf.DUMMYFUNCTION("""COMPUTED_VALUE"""),"Walk-Ins")</f>
        <v>Walk-Ins</v>
      </c>
      <c r="V3048" s="124" t="str">
        <f>IFERROR(__xludf.DUMMYFUNCTION("""COMPUTED_VALUE"""),"Walk-In")</f>
        <v>Walk-In</v>
      </c>
      <c r="W3048" s="124" t="str">
        <f>IFERROR(__xludf.DUMMYFUNCTION("""COMPUTED_VALUE"""),"Prayagraj")</f>
        <v>Prayagraj</v>
      </c>
      <c r="X3048" s="124" t="str">
        <f>IFERROR(__xludf.DUMMYFUNCTION("""COMPUTED_VALUE"""),"Shivanshi")</f>
        <v>Shivanshi</v>
      </c>
      <c r="Y3048" s="124" t="str">
        <f>IFERROR(__xludf.DUMMYFUNCTION("""COMPUTED_VALUE"""),"Prayagraj")</f>
        <v>Prayagraj</v>
      </c>
      <c r="Z3048" s="124">
        <f>IFERROR(__xludf.DUMMYFUNCTION("""COMPUTED_VALUE"""),1.0)</f>
        <v>1</v>
      </c>
      <c r="AA3048" s="124" t="str">
        <f>IFERROR(__xludf.DUMMYFUNCTION("""COMPUTED_VALUE"""),"Cold")</f>
        <v>Cold</v>
      </c>
      <c r="AB3048" s="124" t="str">
        <f>IFERROR(__xludf.DUMMYFUNCTION("""COMPUTED_VALUE"""),"GS Foundation")</f>
        <v>GS Foundation</v>
      </c>
    </row>
    <row r="3049">
      <c r="K3049" s="124"/>
      <c r="L3049" s="124"/>
      <c r="M3049" s="124"/>
      <c r="N3049" s="124"/>
      <c r="O3049" s="124"/>
      <c r="T3049" s="126">
        <f>IFERROR(__xludf.DUMMYFUNCTION("""COMPUTED_VALUE"""),46107.0)</f>
        <v>46107</v>
      </c>
      <c r="U3049" s="124" t="str">
        <f>IFERROR(__xludf.DUMMYFUNCTION("""COMPUTED_VALUE"""),"Telephony")</f>
        <v>Telephony</v>
      </c>
      <c r="V3049" s="124" t="str">
        <f>IFERROR(__xludf.DUMMYFUNCTION("""COMPUTED_VALUE"""),"Inbound Call")</f>
        <v>Inbound Call</v>
      </c>
      <c r="W3049" s="124">
        <f>IFERROR(__xludf.DUMMYFUNCTION("""COMPUTED_VALUE"""),9.18047861633E11)</f>
        <v>918047861633</v>
      </c>
      <c r="X3049" s="124" t="str">
        <f>IFERROR(__xludf.DUMMYFUNCTION("""COMPUTED_VALUE"""),"Inbound Call")</f>
        <v>Inbound Call</v>
      </c>
      <c r="Y3049" s="124"/>
      <c r="Z3049" s="124">
        <f>IFERROR(__xludf.DUMMYFUNCTION("""COMPUTED_VALUE"""),1.0)</f>
        <v>1</v>
      </c>
      <c r="AA3049" s="124" t="str">
        <f>IFERROR(__xludf.DUMMYFUNCTION("""COMPUTED_VALUE"""),"Cold")</f>
        <v>Cold</v>
      </c>
      <c r="AB3049" s="124" t="str">
        <f>IFERROR(__xludf.DUMMYFUNCTION("""COMPUTED_VALUE"""),"GS Foundation")</f>
        <v>GS Foundation</v>
      </c>
    </row>
    <row r="3050">
      <c r="K3050" s="124"/>
      <c r="L3050" s="124"/>
      <c r="M3050" s="124"/>
      <c r="N3050" s="124"/>
      <c r="O3050" s="124"/>
      <c r="T3050" s="126">
        <f>IFERROR(__xludf.DUMMYFUNCTION("""COMPUTED_VALUE"""),46043.0)</f>
        <v>46043</v>
      </c>
      <c r="U3050" s="124" t="str">
        <f>IFERROR(__xludf.DUMMYFUNCTION("""COMPUTED_VALUE"""),"Telephony")</f>
        <v>Telephony</v>
      </c>
      <c r="V3050" s="124" t="str">
        <f>IFERROR(__xludf.DUMMYFUNCTION("""COMPUTED_VALUE"""),"Inbound Call")</f>
        <v>Inbound Call</v>
      </c>
      <c r="W3050" s="124">
        <f>IFERROR(__xludf.DUMMYFUNCTION("""COMPUTED_VALUE"""),9.18047861631E11)</f>
        <v>918047861631</v>
      </c>
      <c r="X3050" s="124" t="str">
        <f>IFERROR(__xludf.DUMMYFUNCTION("""COMPUTED_VALUE"""),"Inbound Call")</f>
        <v>Inbound Call</v>
      </c>
      <c r="Y3050" s="124"/>
      <c r="Z3050" s="124">
        <f>IFERROR(__xludf.DUMMYFUNCTION("""COMPUTED_VALUE"""),1.0)</f>
        <v>1</v>
      </c>
      <c r="AA3050" s="124" t="str">
        <f>IFERROR(__xludf.DUMMYFUNCTION("""COMPUTED_VALUE"""),"Fake Lead")</f>
        <v>Fake Lead</v>
      </c>
      <c r="AB3050" s="124"/>
    </row>
    <row r="3051">
      <c r="K3051" s="124"/>
      <c r="L3051" s="124"/>
      <c r="M3051" s="124"/>
      <c r="N3051" s="124"/>
      <c r="O3051" s="124"/>
      <c r="T3051" s="126">
        <f>IFERROR(__xludf.DUMMYFUNCTION("""COMPUTED_VALUE"""),46065.0)</f>
        <v>46065</v>
      </c>
      <c r="U3051" s="124" t="str">
        <f>IFERROR(__xludf.DUMMYFUNCTION("""COMPUTED_VALUE"""),"Telephony")</f>
        <v>Telephony</v>
      </c>
      <c r="V3051" s="124" t="str">
        <f>IFERROR(__xludf.DUMMYFUNCTION("""COMPUTED_VALUE"""),"Inbound Call")</f>
        <v>Inbound Call</v>
      </c>
      <c r="W3051" s="124" t="str">
        <f>IFERROR(__xludf.DUMMYFUNCTION("""COMPUTED_VALUE"""),"Inbound Call")</f>
        <v>Inbound Call</v>
      </c>
      <c r="X3051" s="124" t="str">
        <f>IFERROR(__xludf.DUMMYFUNCTION("""COMPUTED_VALUE"""),"Inbound Call")</f>
        <v>Inbound Call</v>
      </c>
      <c r="Y3051" s="124"/>
      <c r="Z3051" s="124">
        <f>IFERROR(__xludf.DUMMYFUNCTION("""COMPUTED_VALUE"""),1.0)</f>
        <v>1</v>
      </c>
      <c r="AA3051" s="124" t="str">
        <f>IFERROR(__xludf.DUMMYFUNCTION("""COMPUTED_VALUE"""),"Cold")</f>
        <v>Cold</v>
      </c>
      <c r="AB3051" s="124" t="str">
        <f>IFERROR(__xludf.DUMMYFUNCTION("""COMPUTED_VALUE"""),"IGP UPPSC")</f>
        <v>IGP UPPSC</v>
      </c>
    </row>
    <row r="3052">
      <c r="K3052" s="124"/>
      <c r="L3052" s="124"/>
      <c r="M3052" s="124"/>
      <c r="N3052" s="124"/>
      <c r="O3052" s="124"/>
      <c r="T3052" s="129">
        <f>IFERROR(__xludf.DUMMYFUNCTION("""COMPUTED_VALUE"""),46060.0)</f>
        <v>46060</v>
      </c>
      <c r="U3052" s="124" t="str">
        <f>IFERROR(__xludf.DUMMYFUNCTION("""COMPUTED_VALUE"""),"Telephony")</f>
        <v>Telephony</v>
      </c>
      <c r="V3052" s="124" t="str">
        <f>IFERROR(__xludf.DUMMYFUNCTION("""COMPUTED_VALUE"""),"Inbound Call")</f>
        <v>Inbound Call</v>
      </c>
      <c r="W3052" s="124">
        <f>IFERROR(__xludf.DUMMYFUNCTION("""COMPUTED_VALUE"""),9.18047861635E11)</f>
        <v>918047861635</v>
      </c>
      <c r="X3052" s="124" t="str">
        <f>IFERROR(__xludf.DUMMYFUNCTION("""COMPUTED_VALUE"""),"Inbound Call")</f>
        <v>Inbound Call</v>
      </c>
      <c r="Y3052" s="124" t="str">
        <f>IFERROR(__xludf.DUMMYFUNCTION("""COMPUTED_VALUE"""),"Indore")</f>
        <v>Indore</v>
      </c>
      <c r="Z3052" s="124">
        <f>IFERROR(__xludf.DUMMYFUNCTION("""COMPUTED_VALUE"""),1.0)</f>
        <v>1</v>
      </c>
      <c r="AA3052" s="124" t="str">
        <f>IFERROR(__xludf.DUMMYFUNCTION("""COMPUTED_VALUE"""),"Not Interested")</f>
        <v>Not Interested</v>
      </c>
      <c r="AB3052" s="124" t="str">
        <f>IFERROR(__xludf.DUMMYFUNCTION("""COMPUTED_VALUE"""),"Other")</f>
        <v>Other</v>
      </c>
    </row>
    <row r="3053">
      <c r="K3053" s="124"/>
      <c r="L3053" s="124"/>
      <c r="M3053" s="124"/>
      <c r="N3053" s="124"/>
      <c r="O3053" s="124"/>
      <c r="T3053" s="126">
        <f>IFERROR(__xludf.DUMMYFUNCTION("""COMPUTED_VALUE"""),46086.0)</f>
        <v>46086</v>
      </c>
      <c r="U3053" s="124" t="str">
        <f>IFERROR(__xludf.DUMMYFUNCTION("""COMPUTED_VALUE"""),"Telephony")</f>
        <v>Telephony</v>
      </c>
      <c r="V3053" s="124" t="str">
        <f>IFERROR(__xludf.DUMMYFUNCTION("""COMPUTED_VALUE"""),"Inbound Call")</f>
        <v>Inbound Call</v>
      </c>
      <c r="W3053" s="124">
        <f>IFERROR(__xludf.DUMMYFUNCTION("""COMPUTED_VALUE"""),9.18047861663E11)</f>
        <v>918047861663</v>
      </c>
      <c r="X3053" s="124" t="str">
        <f>IFERROR(__xludf.DUMMYFUNCTION("""COMPUTED_VALUE"""),"Inbound Call")</f>
        <v>Inbound Call</v>
      </c>
      <c r="Y3053" s="124" t="str">
        <f>IFERROR(__xludf.DUMMYFUNCTION("""COMPUTED_VALUE"""),"Delhi")</f>
        <v>Delhi</v>
      </c>
      <c r="Z3053" s="124">
        <f>IFERROR(__xludf.DUMMYFUNCTION("""COMPUTED_VALUE"""),1.0)</f>
        <v>1</v>
      </c>
      <c r="AA3053" s="124" t="str">
        <f>IFERROR(__xludf.DUMMYFUNCTION("""COMPUTED_VALUE"""),"Cold")</f>
        <v>Cold</v>
      </c>
      <c r="AB3053" s="124" t="str">
        <f>IFERROR(__xludf.DUMMYFUNCTION("""COMPUTED_VALUE"""),"Mentorship")</f>
        <v>Mentorship</v>
      </c>
    </row>
    <row r="3054">
      <c r="K3054" s="124"/>
      <c r="L3054" s="124"/>
      <c r="M3054" s="124"/>
      <c r="N3054" s="124"/>
      <c r="O3054" s="124"/>
      <c r="T3054" s="126">
        <f>IFERROR(__xludf.DUMMYFUNCTION("""COMPUTED_VALUE"""),46088.0)</f>
        <v>46088</v>
      </c>
      <c r="U3054" s="124" t="str">
        <f>IFERROR(__xludf.DUMMYFUNCTION("""COMPUTED_VALUE"""),"Telephony")</f>
        <v>Telephony</v>
      </c>
      <c r="V3054" s="124" t="str">
        <f>IFERROR(__xludf.DUMMYFUNCTION("""COMPUTED_VALUE"""),"Inbound Call")</f>
        <v>Inbound Call</v>
      </c>
      <c r="W3054" s="124" t="str">
        <f>IFERROR(__xludf.DUMMYFUNCTION("""COMPUTED_VALUE"""),"Inbound Call")</f>
        <v>Inbound Call</v>
      </c>
      <c r="X3054" s="124" t="str">
        <f>IFERROR(__xludf.DUMMYFUNCTION("""COMPUTED_VALUE"""),"Inbound Call")</f>
        <v>Inbound Call</v>
      </c>
      <c r="Y3054" s="124" t="str">
        <f>IFERROR(__xludf.DUMMYFUNCTION("""COMPUTED_VALUE"""),"Prayagraj")</f>
        <v>Prayagraj</v>
      </c>
      <c r="Z3054" s="124">
        <f>IFERROR(__xludf.DUMMYFUNCTION("""COMPUTED_VALUE"""),1.0)</f>
        <v>1</v>
      </c>
      <c r="AA3054" s="124" t="str">
        <f>IFERROR(__xludf.DUMMYFUNCTION("""COMPUTED_VALUE"""),"Fake Lead")</f>
        <v>Fake Lead</v>
      </c>
      <c r="AB3054" s="124"/>
    </row>
    <row r="3055">
      <c r="K3055" s="124"/>
      <c r="L3055" s="124"/>
      <c r="M3055" s="124"/>
      <c r="N3055" s="124"/>
      <c r="O3055" s="124"/>
      <c r="T3055" s="126">
        <f>IFERROR(__xludf.DUMMYFUNCTION("""COMPUTED_VALUE"""),46090.0)</f>
        <v>46090</v>
      </c>
      <c r="U3055" s="124" t="str">
        <f>IFERROR(__xludf.DUMMYFUNCTION("""COMPUTED_VALUE"""),"Telephony")</f>
        <v>Telephony</v>
      </c>
      <c r="V3055" s="124" t="str">
        <f>IFERROR(__xludf.DUMMYFUNCTION("""COMPUTED_VALUE"""),"Inbound Call")</f>
        <v>Inbound Call</v>
      </c>
      <c r="W3055" s="124" t="str">
        <f>IFERROR(__xludf.DUMMYFUNCTION("""COMPUTED_VALUE"""),"Inbound Call")</f>
        <v>Inbound Call</v>
      </c>
      <c r="X3055" s="124" t="str">
        <f>IFERROR(__xludf.DUMMYFUNCTION("""COMPUTED_VALUE"""),"Inbound Call")</f>
        <v>Inbound Call</v>
      </c>
      <c r="Y3055" s="124" t="str">
        <f>IFERROR(__xludf.DUMMYFUNCTION("""COMPUTED_VALUE"""),"Delhi")</f>
        <v>Delhi</v>
      </c>
      <c r="Z3055" s="124">
        <f>IFERROR(__xludf.DUMMYFUNCTION("""COMPUTED_VALUE"""),1.0)</f>
        <v>1</v>
      </c>
      <c r="AA3055" s="124" t="str">
        <f>IFERROR(__xludf.DUMMYFUNCTION("""COMPUTED_VALUE"""),"Fake Lead")</f>
        <v>Fake Lead</v>
      </c>
      <c r="AB3055" s="124"/>
    </row>
    <row r="3056">
      <c r="K3056" s="124"/>
      <c r="L3056" s="124"/>
      <c r="M3056" s="124"/>
      <c r="N3056" s="124"/>
      <c r="O3056" s="124"/>
      <c r="T3056" s="126">
        <f>IFERROR(__xludf.DUMMYFUNCTION("""COMPUTED_VALUE"""),46095.0)</f>
        <v>46095</v>
      </c>
      <c r="U3056" s="124" t="str">
        <f>IFERROR(__xludf.DUMMYFUNCTION("""COMPUTED_VALUE"""),"Telephony")</f>
        <v>Telephony</v>
      </c>
      <c r="V3056" s="124" t="str">
        <f>IFERROR(__xludf.DUMMYFUNCTION("""COMPUTED_VALUE"""),"Inbound Call")</f>
        <v>Inbound Call</v>
      </c>
      <c r="W3056" s="124" t="str">
        <f>IFERROR(__xludf.DUMMYFUNCTION("""COMPUTED_VALUE"""),"Inbound Call")</f>
        <v>Inbound Call</v>
      </c>
      <c r="X3056" s="124" t="str">
        <f>IFERROR(__xludf.DUMMYFUNCTION("""COMPUTED_VALUE"""),"Inbound Call")</f>
        <v>Inbound Call</v>
      </c>
      <c r="Y3056" s="124"/>
      <c r="Z3056" s="124">
        <f>IFERROR(__xludf.DUMMYFUNCTION("""COMPUTED_VALUE"""),1.0)</f>
        <v>1</v>
      </c>
      <c r="AA3056" s="124" t="str">
        <f>IFERROR(__xludf.DUMMYFUNCTION("""COMPUTED_VALUE"""),"Cold")</f>
        <v>Cold</v>
      </c>
      <c r="AB3056" s="124"/>
    </row>
    <row r="3057">
      <c r="K3057" s="124"/>
      <c r="L3057" s="124"/>
      <c r="M3057" s="124"/>
      <c r="N3057" s="124"/>
      <c r="O3057" s="124"/>
      <c r="T3057" s="126">
        <f>IFERROR(__xludf.DUMMYFUNCTION("""COMPUTED_VALUE"""),46086.0)</f>
        <v>46086</v>
      </c>
      <c r="U3057" s="124" t="str">
        <f>IFERROR(__xludf.DUMMYFUNCTION("""COMPUTED_VALUE"""),"Telephony")</f>
        <v>Telephony</v>
      </c>
      <c r="V3057" s="124" t="str">
        <f>IFERROR(__xludf.DUMMYFUNCTION("""COMPUTED_VALUE"""),"Inbound Call")</f>
        <v>Inbound Call</v>
      </c>
      <c r="W3057" s="124">
        <f>IFERROR(__xludf.DUMMYFUNCTION("""COMPUTED_VALUE"""),9.18047861635E11)</f>
        <v>918047861635</v>
      </c>
      <c r="X3057" s="124" t="str">
        <f>IFERROR(__xludf.DUMMYFUNCTION("""COMPUTED_VALUE"""),"Inbound Call")</f>
        <v>Inbound Call</v>
      </c>
      <c r="Y3057" s="124" t="str">
        <f>IFERROR(__xludf.DUMMYFUNCTION("""COMPUTED_VALUE"""),"Indore")</f>
        <v>Indore</v>
      </c>
      <c r="Z3057" s="124">
        <f>IFERROR(__xludf.DUMMYFUNCTION("""COMPUTED_VALUE"""),1.0)</f>
        <v>1</v>
      </c>
      <c r="AA3057" s="124" t="str">
        <f>IFERROR(__xludf.DUMMYFUNCTION("""COMPUTED_VALUE"""),"Fake Lead")</f>
        <v>Fake Lead</v>
      </c>
      <c r="AB3057" s="124"/>
    </row>
    <row r="3058">
      <c r="K3058" s="124"/>
      <c r="L3058" s="124"/>
      <c r="M3058" s="124"/>
      <c r="N3058" s="124"/>
      <c r="O3058" s="124"/>
      <c r="T3058" s="126">
        <f>IFERROR(__xludf.DUMMYFUNCTION("""COMPUTED_VALUE"""),46067.0)</f>
        <v>46067</v>
      </c>
      <c r="U3058" s="124" t="str">
        <f>IFERROR(__xludf.DUMMYFUNCTION("""COMPUTED_VALUE"""),"Telephony")</f>
        <v>Telephony</v>
      </c>
      <c r="V3058" s="124" t="str">
        <f>IFERROR(__xludf.DUMMYFUNCTION("""COMPUTED_VALUE"""),"Inbound Call")</f>
        <v>Inbound Call</v>
      </c>
      <c r="W3058" s="124" t="str">
        <f>IFERROR(__xludf.DUMMYFUNCTION("""COMPUTED_VALUE"""),"Inbound Call")</f>
        <v>Inbound Call</v>
      </c>
      <c r="X3058" s="124" t="str">
        <f>IFERROR(__xludf.DUMMYFUNCTION("""COMPUTED_VALUE"""),"Inbound Call")</f>
        <v>Inbound Call</v>
      </c>
      <c r="Y3058" s="124"/>
      <c r="Z3058" s="124">
        <f>IFERROR(__xludf.DUMMYFUNCTION("""COMPUTED_VALUE"""),2.0)</f>
        <v>2</v>
      </c>
      <c r="AA3058" s="124" t="str">
        <f>IFERROR(__xludf.DUMMYFUNCTION("""COMPUTED_VALUE"""),"Cold")</f>
        <v>Cold</v>
      </c>
      <c r="AB3058" s="124" t="str">
        <f>IFERROR(__xludf.DUMMYFUNCTION("""COMPUTED_VALUE"""),"IGP UPPSC")</f>
        <v>IGP UPPSC</v>
      </c>
    </row>
    <row r="3059">
      <c r="K3059" s="124"/>
      <c r="L3059" s="124"/>
      <c r="M3059" s="124"/>
      <c r="N3059" s="124"/>
      <c r="O3059" s="124"/>
      <c r="T3059" s="126">
        <f>IFERROR(__xludf.DUMMYFUNCTION("""COMPUTED_VALUE"""),46110.0)</f>
        <v>46110</v>
      </c>
      <c r="U3059" s="124" t="str">
        <f>IFERROR(__xludf.DUMMYFUNCTION("""COMPUTED_VALUE"""),"Telephony")</f>
        <v>Telephony</v>
      </c>
      <c r="V3059" s="124" t="str">
        <f>IFERROR(__xludf.DUMMYFUNCTION("""COMPUTED_VALUE"""),"Inbound Call")</f>
        <v>Inbound Call</v>
      </c>
      <c r="W3059" s="124" t="str">
        <f>IFERROR(__xludf.DUMMYFUNCTION("""COMPUTED_VALUE"""),"Inbound Call")</f>
        <v>Inbound Call</v>
      </c>
      <c r="X3059" s="124" t="str">
        <f>IFERROR(__xludf.DUMMYFUNCTION("""COMPUTED_VALUE"""),"Inbound Call")</f>
        <v>Inbound Call</v>
      </c>
      <c r="Y3059" s="124" t="str">
        <f>IFERROR(__xludf.DUMMYFUNCTION("""COMPUTED_VALUE"""),"Lucknow")</f>
        <v>Lucknow</v>
      </c>
      <c r="Z3059" s="124">
        <f>IFERROR(__xludf.DUMMYFUNCTION("""COMPUTED_VALUE"""),1.0)</f>
        <v>1</v>
      </c>
      <c r="AA3059" s="124" t="str">
        <f>IFERROR(__xludf.DUMMYFUNCTION("""COMPUTED_VALUE"""),"Cold")</f>
        <v>Cold</v>
      </c>
      <c r="AB3059" s="124" t="str">
        <f>IFERROR(__xludf.DUMMYFUNCTION("""COMPUTED_VALUE"""),"Other")</f>
        <v>Other</v>
      </c>
    </row>
    <row r="3060">
      <c r="K3060" s="124"/>
      <c r="L3060" s="124"/>
      <c r="M3060" s="124"/>
      <c r="N3060" s="124"/>
      <c r="O3060" s="124"/>
      <c r="T3060" s="126">
        <f>IFERROR(__xludf.DUMMYFUNCTION("""COMPUTED_VALUE"""),46077.0)</f>
        <v>46077</v>
      </c>
      <c r="U3060" s="124" t="str">
        <f>IFERROR(__xludf.DUMMYFUNCTION("""COMPUTED_VALUE"""),"Telephony")</f>
        <v>Telephony</v>
      </c>
      <c r="V3060" s="124" t="str">
        <f>IFERROR(__xludf.DUMMYFUNCTION("""COMPUTED_VALUE"""),"Inbound Call")</f>
        <v>Inbound Call</v>
      </c>
      <c r="W3060" s="124">
        <f>IFERROR(__xludf.DUMMYFUNCTION("""COMPUTED_VALUE"""),9.18047861663E11)</f>
        <v>918047861663</v>
      </c>
      <c r="X3060" s="124" t="str">
        <f>IFERROR(__xludf.DUMMYFUNCTION("""COMPUTED_VALUE"""),"Inbound Call")</f>
        <v>Inbound Call</v>
      </c>
      <c r="Y3060" s="124"/>
      <c r="Z3060" s="124">
        <f>IFERROR(__xludf.DUMMYFUNCTION("""COMPUTED_VALUE"""),1.0)</f>
        <v>1</v>
      </c>
      <c r="AA3060" s="124" t="str">
        <f>IFERROR(__xludf.DUMMYFUNCTION("""COMPUTED_VALUE"""),"Not Interested")</f>
        <v>Not Interested</v>
      </c>
      <c r="AB3060" s="124" t="str">
        <f>IFERROR(__xludf.DUMMYFUNCTION("""COMPUTED_VALUE"""),"State PCS")</f>
        <v>State PCS</v>
      </c>
    </row>
    <row r="3061">
      <c r="K3061" s="124"/>
      <c r="L3061" s="124"/>
      <c r="M3061" s="124"/>
      <c r="N3061" s="124"/>
      <c r="O3061" s="124"/>
      <c r="T3061" s="126">
        <f>IFERROR(__xludf.DUMMYFUNCTION("""COMPUTED_VALUE"""),46044.0)</f>
        <v>46044</v>
      </c>
      <c r="U3061" s="124" t="str">
        <f>IFERROR(__xludf.DUMMYFUNCTION("""COMPUTED_VALUE"""),"Telephony")</f>
        <v>Telephony</v>
      </c>
      <c r="V3061" s="124" t="str">
        <f>IFERROR(__xludf.DUMMYFUNCTION("""COMPUTED_VALUE"""),"Inbound Call")</f>
        <v>Inbound Call</v>
      </c>
      <c r="W3061" s="124" t="str">
        <f>IFERROR(__xludf.DUMMYFUNCTION("""COMPUTED_VALUE"""),"Inbound Call")</f>
        <v>Inbound Call</v>
      </c>
      <c r="X3061" s="124" t="str">
        <f>IFERROR(__xludf.DUMMYFUNCTION("""COMPUTED_VALUE"""),"Inbound Call")</f>
        <v>Inbound Call</v>
      </c>
      <c r="Y3061" s="124"/>
      <c r="Z3061" s="124">
        <f>IFERROR(__xludf.DUMMYFUNCTION("""COMPUTED_VALUE"""),2.0)</f>
        <v>2</v>
      </c>
      <c r="AA3061" s="124" t="str">
        <f>IFERROR(__xludf.DUMMYFUNCTION("""COMPUTED_VALUE"""),"Cold")</f>
        <v>Cold</v>
      </c>
      <c r="AB3061" s="124"/>
    </row>
    <row r="3062">
      <c r="K3062" s="124"/>
      <c r="L3062" s="124"/>
      <c r="M3062" s="124"/>
      <c r="N3062" s="124"/>
      <c r="O3062" s="124"/>
      <c r="T3062" s="126">
        <f>IFERROR(__xludf.DUMMYFUNCTION("""COMPUTED_VALUE"""),46057.0)</f>
        <v>46057</v>
      </c>
      <c r="U3062" s="124" t="str">
        <f>IFERROR(__xludf.DUMMYFUNCTION("""COMPUTED_VALUE"""),"Telephony")</f>
        <v>Telephony</v>
      </c>
      <c r="V3062" s="124" t="str">
        <f>IFERROR(__xludf.DUMMYFUNCTION("""COMPUTED_VALUE"""),"Inbound Call")</f>
        <v>Inbound Call</v>
      </c>
      <c r="W3062" s="124">
        <f>IFERROR(__xludf.DUMMYFUNCTION("""COMPUTED_VALUE"""),9.18047861635E11)</f>
        <v>918047861635</v>
      </c>
      <c r="X3062" s="124" t="str">
        <f>IFERROR(__xludf.DUMMYFUNCTION("""COMPUTED_VALUE"""),"Inbound Call")</f>
        <v>Inbound Call</v>
      </c>
      <c r="Y3062" s="124" t="str">
        <f>IFERROR(__xludf.DUMMYFUNCTION("""COMPUTED_VALUE"""),"Indore")</f>
        <v>Indore</v>
      </c>
      <c r="Z3062" s="124">
        <f>IFERROR(__xludf.DUMMYFUNCTION("""COMPUTED_VALUE"""),1.0)</f>
        <v>1</v>
      </c>
      <c r="AA3062" s="124" t="str">
        <f>IFERROR(__xludf.DUMMYFUNCTION("""COMPUTED_VALUE"""),"Not Interested")</f>
        <v>Not Interested</v>
      </c>
      <c r="AB3062" s="124"/>
    </row>
    <row r="3063">
      <c r="K3063" s="124"/>
      <c r="L3063" s="124"/>
      <c r="M3063" s="124"/>
      <c r="N3063" s="124"/>
      <c r="O3063" s="124"/>
      <c r="T3063" s="129">
        <f>IFERROR(__xludf.DUMMYFUNCTION("""COMPUTED_VALUE"""),46100.0)</f>
        <v>46100</v>
      </c>
      <c r="U3063" s="124" t="str">
        <f>IFERROR(__xludf.DUMMYFUNCTION("""COMPUTED_VALUE"""),"Telephony")</f>
        <v>Telephony</v>
      </c>
      <c r="V3063" s="124" t="str">
        <f>IFERROR(__xludf.DUMMYFUNCTION("""COMPUTED_VALUE"""),"Inbound Call")</f>
        <v>Inbound Call</v>
      </c>
      <c r="W3063" s="124">
        <f>IFERROR(__xludf.DUMMYFUNCTION("""COMPUTED_VALUE"""),9.18047861632E11)</f>
        <v>918047861632</v>
      </c>
      <c r="X3063" s="124" t="str">
        <f>IFERROR(__xludf.DUMMYFUNCTION("""COMPUTED_VALUE"""),"Inbound Call")</f>
        <v>Inbound Call</v>
      </c>
      <c r="Y3063" s="124" t="str">
        <f>IFERROR(__xludf.DUMMYFUNCTION("""COMPUTED_VALUE"""),"Prayagraj")</f>
        <v>Prayagraj</v>
      </c>
      <c r="Z3063" s="124">
        <f>IFERROR(__xludf.DUMMYFUNCTION("""COMPUTED_VALUE"""),1.0)</f>
        <v>1</v>
      </c>
      <c r="AA3063" s="124" t="str">
        <f>IFERROR(__xludf.DUMMYFUNCTION("""COMPUTED_VALUE"""),"Warm")</f>
        <v>Warm</v>
      </c>
      <c r="AB3063" s="124" t="str">
        <f>IFERROR(__xludf.DUMMYFUNCTION("""COMPUTED_VALUE"""),"State PCS")</f>
        <v>State PCS</v>
      </c>
    </row>
    <row r="3064">
      <c r="K3064" s="124"/>
      <c r="L3064" s="124"/>
      <c r="M3064" s="124"/>
      <c r="N3064" s="124"/>
      <c r="O3064" s="124"/>
      <c r="T3064" s="126">
        <f>IFERROR(__xludf.DUMMYFUNCTION("""COMPUTED_VALUE"""),46063.0)</f>
        <v>46063</v>
      </c>
      <c r="U3064" s="124" t="str">
        <f>IFERROR(__xludf.DUMMYFUNCTION("""COMPUTED_VALUE"""),"Telephony")</f>
        <v>Telephony</v>
      </c>
      <c r="V3064" s="124" t="str">
        <f>IFERROR(__xludf.DUMMYFUNCTION("""COMPUTED_VALUE"""),"Inbound Call")</f>
        <v>Inbound Call</v>
      </c>
      <c r="W3064" s="124" t="str">
        <f>IFERROR(__xludf.DUMMYFUNCTION("""COMPUTED_VALUE"""),"Inbound Call")</f>
        <v>Inbound Call</v>
      </c>
      <c r="X3064" s="124" t="str">
        <f>IFERROR(__xludf.DUMMYFUNCTION("""COMPUTED_VALUE"""),"Inbound Call")</f>
        <v>Inbound Call</v>
      </c>
      <c r="Y3064" s="124" t="str">
        <f>IFERROR(__xludf.DUMMYFUNCTION("""COMPUTED_VALUE"""),"Indore")</f>
        <v>Indore</v>
      </c>
      <c r="Z3064" s="124">
        <f>IFERROR(__xludf.DUMMYFUNCTION("""COMPUTED_VALUE"""),1.0)</f>
        <v>1</v>
      </c>
      <c r="AA3064" s="124" t="str">
        <f>IFERROR(__xludf.DUMMYFUNCTION("""COMPUTED_VALUE"""),"Cold")</f>
        <v>Cold</v>
      </c>
      <c r="AB3064" s="124" t="str">
        <f>IFERROR(__xludf.DUMMYFUNCTION("""COMPUTED_VALUE"""),"GS Foundation")</f>
        <v>GS Foundation</v>
      </c>
    </row>
    <row r="3065">
      <c r="K3065" s="124"/>
      <c r="L3065" s="124"/>
      <c r="M3065" s="124"/>
      <c r="N3065" s="124"/>
      <c r="O3065" s="124"/>
      <c r="T3065" s="129">
        <f>IFERROR(__xludf.DUMMYFUNCTION("""COMPUTED_VALUE"""),46096.0)</f>
        <v>46096</v>
      </c>
      <c r="U3065" s="124" t="str">
        <f>IFERROR(__xludf.DUMMYFUNCTION("""COMPUTED_VALUE"""),"Telephony")</f>
        <v>Telephony</v>
      </c>
      <c r="V3065" s="124" t="str">
        <f>IFERROR(__xludf.DUMMYFUNCTION("""COMPUTED_VALUE"""),"Inbound Call")</f>
        <v>Inbound Call</v>
      </c>
      <c r="W3065" s="124">
        <f>IFERROR(__xludf.DUMMYFUNCTION("""COMPUTED_VALUE"""),9.18047861633E11)</f>
        <v>918047861633</v>
      </c>
      <c r="X3065" s="124" t="str">
        <f>IFERROR(__xludf.DUMMYFUNCTION("""COMPUTED_VALUE"""),"Inbound Call")</f>
        <v>Inbound Call</v>
      </c>
      <c r="Y3065" s="124"/>
      <c r="Z3065" s="124">
        <f>IFERROR(__xludf.DUMMYFUNCTION("""COMPUTED_VALUE"""),1.0)</f>
        <v>1</v>
      </c>
      <c r="AA3065" s="124" t="str">
        <f>IFERROR(__xludf.DUMMYFUNCTION("""COMPUTED_VALUE"""),"Cold")</f>
        <v>Cold</v>
      </c>
      <c r="AB3065" s="124"/>
    </row>
    <row r="3066">
      <c r="K3066" s="124"/>
      <c r="L3066" s="124"/>
      <c r="M3066" s="124"/>
      <c r="N3066" s="124"/>
      <c r="O3066" s="124"/>
      <c r="T3066" s="129">
        <f>IFERROR(__xludf.DUMMYFUNCTION("""COMPUTED_VALUE"""),46071.0)</f>
        <v>46071</v>
      </c>
      <c r="U3066" s="124" t="str">
        <f>IFERROR(__xludf.DUMMYFUNCTION("""COMPUTED_VALUE"""),"Telephony")</f>
        <v>Telephony</v>
      </c>
      <c r="V3066" s="124" t="str">
        <f>IFERROR(__xludf.DUMMYFUNCTION("""COMPUTED_VALUE"""),"Inbound Call")</f>
        <v>Inbound Call</v>
      </c>
      <c r="W3066" s="124">
        <f>IFERROR(__xludf.DUMMYFUNCTION("""COMPUTED_VALUE"""),9.18047861633E11)</f>
        <v>918047861633</v>
      </c>
      <c r="X3066" s="124" t="str">
        <f>IFERROR(__xludf.DUMMYFUNCTION("""COMPUTED_VALUE"""),"Inbound Call")</f>
        <v>Inbound Call</v>
      </c>
      <c r="Y3066" s="124"/>
      <c r="Z3066" s="124">
        <f>IFERROR(__xludf.DUMMYFUNCTION("""COMPUTED_VALUE"""),2.0)</f>
        <v>2</v>
      </c>
      <c r="AA3066" s="124" t="str">
        <f>IFERROR(__xludf.DUMMYFUNCTION("""COMPUTED_VALUE"""),"Cold")</f>
        <v>Cold</v>
      </c>
      <c r="AB3066" s="124"/>
    </row>
    <row r="3067">
      <c r="K3067" s="124"/>
      <c r="L3067" s="124"/>
      <c r="M3067" s="124"/>
      <c r="N3067" s="124"/>
      <c r="O3067" s="124"/>
      <c r="T3067" s="126">
        <f>IFERROR(__xludf.DUMMYFUNCTION("""COMPUTED_VALUE"""),46068.0)</f>
        <v>46068</v>
      </c>
      <c r="U3067" s="124" t="str">
        <f>IFERROR(__xludf.DUMMYFUNCTION("""COMPUTED_VALUE"""),"Telephony")</f>
        <v>Telephony</v>
      </c>
      <c r="V3067" s="124" t="str">
        <f>IFERROR(__xludf.DUMMYFUNCTION("""COMPUTED_VALUE"""),"Inbound Call")</f>
        <v>Inbound Call</v>
      </c>
      <c r="W3067" s="124">
        <f>IFERROR(__xludf.DUMMYFUNCTION("""COMPUTED_VALUE"""),9.18047861635E11)</f>
        <v>918047861635</v>
      </c>
      <c r="X3067" s="124" t="str">
        <f>IFERROR(__xludf.DUMMYFUNCTION("""COMPUTED_VALUE"""),"Inbound Call")</f>
        <v>Inbound Call</v>
      </c>
      <c r="Y3067" s="124" t="str">
        <f>IFERROR(__xludf.DUMMYFUNCTION("""COMPUTED_VALUE"""),"Indore")</f>
        <v>Indore</v>
      </c>
      <c r="Z3067" s="124">
        <f>IFERROR(__xludf.DUMMYFUNCTION("""COMPUTED_VALUE"""),1.0)</f>
        <v>1</v>
      </c>
      <c r="AA3067" s="124" t="str">
        <f>IFERROR(__xludf.DUMMYFUNCTION("""COMPUTED_VALUE"""),"Not Interested")</f>
        <v>Not Interested</v>
      </c>
      <c r="AB3067" s="124"/>
    </row>
    <row r="3068">
      <c r="K3068" s="124"/>
      <c r="L3068" s="124"/>
      <c r="M3068" s="124"/>
      <c r="N3068" s="124"/>
      <c r="O3068" s="124"/>
      <c r="T3068" s="129">
        <f>IFERROR(__xludf.DUMMYFUNCTION("""COMPUTED_VALUE"""),46090.0)</f>
        <v>46090</v>
      </c>
      <c r="U3068" s="124" t="str">
        <f>IFERROR(__xludf.DUMMYFUNCTION("""COMPUTED_VALUE"""),"Telephony")</f>
        <v>Telephony</v>
      </c>
      <c r="V3068" s="124" t="str">
        <f>IFERROR(__xludf.DUMMYFUNCTION("""COMPUTED_VALUE"""),"Inbound Call")</f>
        <v>Inbound Call</v>
      </c>
      <c r="W3068" s="124">
        <f>IFERROR(__xludf.DUMMYFUNCTION("""COMPUTED_VALUE"""),9.18047861633E11)</f>
        <v>918047861633</v>
      </c>
      <c r="X3068" s="124" t="str">
        <f>IFERROR(__xludf.DUMMYFUNCTION("""COMPUTED_VALUE"""),"Inbound Call")</f>
        <v>Inbound Call</v>
      </c>
      <c r="Y3068" s="124"/>
      <c r="Z3068" s="124">
        <f>IFERROR(__xludf.DUMMYFUNCTION("""COMPUTED_VALUE"""),1.0)</f>
        <v>1</v>
      </c>
      <c r="AA3068" s="124" t="str">
        <f>IFERROR(__xludf.DUMMYFUNCTION("""COMPUTED_VALUE"""),"Cold")</f>
        <v>Cold</v>
      </c>
      <c r="AB3068" s="124"/>
    </row>
    <row r="3069">
      <c r="K3069" s="124"/>
      <c r="L3069" s="124"/>
      <c r="M3069" s="124"/>
      <c r="N3069" s="124"/>
      <c r="O3069" s="124"/>
      <c r="T3069" s="126">
        <f>IFERROR(__xludf.DUMMYFUNCTION("""COMPUTED_VALUE"""),46101.0)</f>
        <v>46101</v>
      </c>
      <c r="U3069" s="124" t="str">
        <f>IFERROR(__xludf.DUMMYFUNCTION("""COMPUTED_VALUE"""),"Telephony")</f>
        <v>Telephony</v>
      </c>
      <c r="V3069" s="124" t="str">
        <f>IFERROR(__xludf.DUMMYFUNCTION("""COMPUTED_VALUE"""),"Inbound Call")</f>
        <v>Inbound Call</v>
      </c>
      <c r="W3069" s="124">
        <f>IFERROR(__xludf.DUMMYFUNCTION("""COMPUTED_VALUE"""),9.18047861635E11)</f>
        <v>918047861635</v>
      </c>
      <c r="X3069" s="124" t="str">
        <f>IFERROR(__xludf.DUMMYFUNCTION("""COMPUTED_VALUE"""),"Inbound Call")</f>
        <v>Inbound Call</v>
      </c>
      <c r="Y3069" s="124" t="str">
        <f>IFERROR(__xludf.DUMMYFUNCTION("""COMPUTED_VALUE"""),"Indore")</f>
        <v>Indore</v>
      </c>
      <c r="Z3069" s="124">
        <f>IFERROR(__xludf.DUMMYFUNCTION("""COMPUTED_VALUE"""),1.0)</f>
        <v>1</v>
      </c>
      <c r="AA3069" s="124" t="str">
        <f>IFERROR(__xludf.DUMMYFUNCTION("""COMPUTED_VALUE"""),"Not Interested")</f>
        <v>Not Interested</v>
      </c>
      <c r="AB3069" s="124" t="str">
        <f>IFERROR(__xludf.DUMMYFUNCTION("""COMPUTED_VALUE"""),"Other")</f>
        <v>Other</v>
      </c>
    </row>
    <row r="3070">
      <c r="K3070" s="124"/>
      <c r="L3070" s="124"/>
      <c r="M3070" s="124"/>
      <c r="N3070" s="124"/>
      <c r="O3070" s="124"/>
      <c r="T3070" s="129">
        <f>IFERROR(__xludf.DUMMYFUNCTION("""COMPUTED_VALUE"""),46087.0)</f>
        <v>46087</v>
      </c>
      <c r="U3070" s="124" t="str">
        <f>IFERROR(__xludf.DUMMYFUNCTION("""COMPUTED_VALUE"""),"Telephony")</f>
        <v>Telephony</v>
      </c>
      <c r="V3070" s="124" t="str">
        <f>IFERROR(__xludf.DUMMYFUNCTION("""COMPUTED_VALUE"""),"Inbound Call")</f>
        <v>Inbound Call</v>
      </c>
      <c r="W3070" s="124">
        <f>IFERROR(__xludf.DUMMYFUNCTION("""COMPUTED_VALUE"""),9.18047861631E11)</f>
        <v>918047861631</v>
      </c>
      <c r="X3070" s="124" t="str">
        <f>IFERROR(__xludf.DUMMYFUNCTION("""COMPUTED_VALUE"""),"Inbound Call")</f>
        <v>Inbound Call</v>
      </c>
      <c r="Y3070" s="124"/>
      <c r="Z3070" s="124">
        <f>IFERROR(__xludf.DUMMYFUNCTION("""COMPUTED_VALUE"""),2.0)</f>
        <v>2</v>
      </c>
      <c r="AA3070" s="124" t="str">
        <f>IFERROR(__xludf.DUMMYFUNCTION("""COMPUTED_VALUE"""),"Fake Lead")</f>
        <v>Fake Lead</v>
      </c>
      <c r="AB3070" s="124"/>
    </row>
    <row r="3071">
      <c r="K3071" s="124"/>
      <c r="L3071" s="124"/>
      <c r="M3071" s="124"/>
      <c r="N3071" s="124"/>
      <c r="O3071" s="124"/>
      <c r="T3071" s="126">
        <f>IFERROR(__xludf.DUMMYFUNCTION("""COMPUTED_VALUE"""),46070.0)</f>
        <v>46070</v>
      </c>
      <c r="U3071" s="124" t="str">
        <f>IFERROR(__xludf.DUMMYFUNCTION("""COMPUTED_VALUE"""),"Telephony")</f>
        <v>Telephony</v>
      </c>
      <c r="V3071" s="124" t="str">
        <f>IFERROR(__xludf.DUMMYFUNCTION("""COMPUTED_VALUE"""),"Inbound Call")</f>
        <v>Inbound Call</v>
      </c>
      <c r="W3071" s="124">
        <f>IFERROR(__xludf.DUMMYFUNCTION("""COMPUTED_VALUE"""),9.18047861635E11)</f>
        <v>918047861635</v>
      </c>
      <c r="X3071" s="124" t="str">
        <f>IFERROR(__xludf.DUMMYFUNCTION("""COMPUTED_VALUE"""),"Inbound Call")</f>
        <v>Inbound Call</v>
      </c>
      <c r="Y3071" s="124" t="str">
        <f>IFERROR(__xludf.DUMMYFUNCTION("""COMPUTED_VALUE"""),"Indore")</f>
        <v>Indore</v>
      </c>
      <c r="Z3071" s="124">
        <f>IFERROR(__xludf.DUMMYFUNCTION("""COMPUTED_VALUE"""),1.0)</f>
        <v>1</v>
      </c>
      <c r="AA3071" s="124" t="str">
        <f>IFERROR(__xludf.DUMMYFUNCTION("""COMPUTED_VALUE"""),"Fake Lead")</f>
        <v>Fake Lead</v>
      </c>
      <c r="AB3071" s="124"/>
    </row>
    <row r="3072">
      <c r="K3072" s="124"/>
      <c r="L3072" s="124"/>
      <c r="M3072" s="124"/>
      <c r="N3072" s="124"/>
      <c r="O3072" s="124"/>
      <c r="T3072" s="126">
        <f>IFERROR(__xludf.DUMMYFUNCTION("""COMPUTED_VALUE"""),46089.0)</f>
        <v>46089</v>
      </c>
      <c r="U3072" s="124" t="str">
        <f>IFERROR(__xludf.DUMMYFUNCTION("""COMPUTED_VALUE"""),"Telephony")</f>
        <v>Telephony</v>
      </c>
      <c r="V3072" s="124" t="str">
        <f>IFERROR(__xludf.DUMMYFUNCTION("""COMPUTED_VALUE"""),"Inbound Call")</f>
        <v>Inbound Call</v>
      </c>
      <c r="W3072" s="124" t="str">
        <f>IFERROR(__xludf.DUMMYFUNCTION("""COMPUTED_VALUE"""),"Inbound Call")</f>
        <v>Inbound Call</v>
      </c>
      <c r="X3072" s="124" t="str">
        <f>IFERROR(__xludf.DUMMYFUNCTION("""COMPUTED_VALUE"""),"Inbound Call")</f>
        <v>Inbound Call</v>
      </c>
      <c r="Y3072" s="124" t="str">
        <f>IFERROR(__xludf.DUMMYFUNCTION("""COMPUTED_VALUE"""),"Lucknow")</f>
        <v>Lucknow</v>
      </c>
      <c r="Z3072" s="124">
        <f>IFERROR(__xludf.DUMMYFUNCTION("""COMPUTED_VALUE"""),1.0)</f>
        <v>1</v>
      </c>
      <c r="AA3072" s="124" t="str">
        <f>IFERROR(__xludf.DUMMYFUNCTION("""COMPUTED_VALUE"""),"Cold")</f>
        <v>Cold</v>
      </c>
      <c r="AB3072" s="124" t="str">
        <f>IFERROR(__xludf.DUMMYFUNCTION("""COMPUTED_VALUE"""),"GS Foundation")</f>
        <v>GS Foundation</v>
      </c>
    </row>
    <row r="3073">
      <c r="K3073" s="124"/>
      <c r="L3073" s="124"/>
      <c r="M3073" s="124"/>
      <c r="N3073" s="124"/>
      <c r="O3073" s="124"/>
      <c r="T3073" s="126">
        <f>IFERROR(__xludf.DUMMYFUNCTION("""COMPUTED_VALUE"""),46071.0)</f>
        <v>46071</v>
      </c>
      <c r="U3073" s="124" t="str">
        <f>IFERROR(__xludf.DUMMYFUNCTION("""COMPUTED_VALUE"""),"Telephony")</f>
        <v>Telephony</v>
      </c>
      <c r="V3073" s="124" t="str">
        <f>IFERROR(__xludf.DUMMYFUNCTION("""COMPUTED_VALUE"""),"Inbound Call")</f>
        <v>Inbound Call</v>
      </c>
      <c r="W3073" s="124">
        <f>IFERROR(__xludf.DUMMYFUNCTION("""COMPUTED_VALUE"""),9.18047861635E11)</f>
        <v>918047861635</v>
      </c>
      <c r="X3073" s="124" t="str">
        <f>IFERROR(__xludf.DUMMYFUNCTION("""COMPUTED_VALUE"""),"Inbound Call")</f>
        <v>Inbound Call</v>
      </c>
      <c r="Y3073" s="124" t="str">
        <f>IFERROR(__xludf.DUMMYFUNCTION("""COMPUTED_VALUE"""),"Indore")</f>
        <v>Indore</v>
      </c>
      <c r="Z3073" s="124">
        <f>IFERROR(__xludf.DUMMYFUNCTION("""COMPUTED_VALUE"""),1.0)</f>
        <v>1</v>
      </c>
      <c r="AA3073" s="124" t="str">
        <f>IFERROR(__xludf.DUMMYFUNCTION("""COMPUTED_VALUE"""),"Enrolled")</f>
        <v>Enrolled</v>
      </c>
      <c r="AB3073" s="124" t="str">
        <f>IFERROR(__xludf.DUMMYFUNCTION("""COMPUTED_VALUE"""),"GS Foundation")</f>
        <v>GS Foundation</v>
      </c>
    </row>
    <row r="3074">
      <c r="K3074" s="124"/>
      <c r="L3074" s="124"/>
      <c r="M3074" s="124"/>
      <c r="N3074" s="124"/>
      <c r="O3074" s="124"/>
      <c r="T3074" s="126">
        <f>IFERROR(__xludf.DUMMYFUNCTION("""COMPUTED_VALUE"""),46079.0)</f>
        <v>46079</v>
      </c>
      <c r="U3074" s="124" t="str">
        <f>IFERROR(__xludf.DUMMYFUNCTION("""COMPUTED_VALUE"""),"Telephony")</f>
        <v>Telephony</v>
      </c>
      <c r="V3074" s="124" t="str">
        <f>IFERROR(__xludf.DUMMYFUNCTION("""COMPUTED_VALUE"""),"Inbound Call")</f>
        <v>Inbound Call</v>
      </c>
      <c r="W3074" s="124" t="str">
        <f>IFERROR(__xludf.DUMMYFUNCTION("""COMPUTED_VALUE"""),"Inbound Call")</f>
        <v>Inbound Call</v>
      </c>
      <c r="X3074" s="124" t="str">
        <f>IFERROR(__xludf.DUMMYFUNCTION("""COMPUTED_VALUE"""),"Inbound Call")</f>
        <v>Inbound Call</v>
      </c>
      <c r="Y3074" s="124" t="str">
        <f>IFERROR(__xludf.DUMMYFUNCTION("""COMPUTED_VALUE"""),"Prayagraj")</f>
        <v>Prayagraj</v>
      </c>
      <c r="Z3074" s="124">
        <f>IFERROR(__xludf.DUMMYFUNCTION("""COMPUTED_VALUE"""),1.0)</f>
        <v>1</v>
      </c>
      <c r="AA3074" s="124" t="str">
        <f>IFERROR(__xludf.DUMMYFUNCTION("""COMPUTED_VALUE"""),"Cold")</f>
        <v>Cold</v>
      </c>
      <c r="AB3074" s="124" t="str">
        <f>IFERROR(__xludf.DUMMYFUNCTION("""COMPUTED_VALUE"""),"GS Foundation")</f>
        <v>GS Foundation</v>
      </c>
    </row>
    <row r="3075">
      <c r="K3075" s="124"/>
      <c r="L3075" s="124"/>
      <c r="M3075" s="124"/>
      <c r="N3075" s="124"/>
      <c r="O3075" s="124"/>
      <c r="T3075" s="126">
        <f>IFERROR(__xludf.DUMMYFUNCTION("""COMPUTED_VALUE"""),46108.0)</f>
        <v>46108</v>
      </c>
      <c r="U3075" s="124" t="str">
        <f>IFERROR(__xludf.DUMMYFUNCTION("""COMPUTED_VALUE"""),"Telephony")</f>
        <v>Telephony</v>
      </c>
      <c r="V3075" s="124" t="str">
        <f>IFERROR(__xludf.DUMMYFUNCTION("""COMPUTED_VALUE"""),"Inbound Call")</f>
        <v>Inbound Call</v>
      </c>
      <c r="W3075" s="124">
        <f>IFERROR(__xludf.DUMMYFUNCTION("""COMPUTED_VALUE"""),9.18047861635E11)</f>
        <v>918047861635</v>
      </c>
      <c r="X3075" s="124" t="str">
        <f>IFERROR(__xludf.DUMMYFUNCTION("""COMPUTED_VALUE"""),"Inbound Call")</f>
        <v>Inbound Call</v>
      </c>
      <c r="Y3075" s="124" t="str">
        <f>IFERROR(__xludf.DUMMYFUNCTION("""COMPUTED_VALUE"""),"Indore")</f>
        <v>Indore</v>
      </c>
      <c r="Z3075" s="124">
        <f>IFERROR(__xludf.DUMMYFUNCTION("""COMPUTED_VALUE"""),1.0)</f>
        <v>1</v>
      </c>
      <c r="AA3075" s="124" t="str">
        <f>IFERROR(__xludf.DUMMYFUNCTION("""COMPUTED_VALUE"""),"Cold")</f>
        <v>Cold</v>
      </c>
      <c r="AB3075" s="124"/>
    </row>
    <row r="3076">
      <c r="K3076" s="124"/>
      <c r="L3076" s="124"/>
      <c r="M3076" s="124"/>
      <c r="N3076" s="124"/>
      <c r="O3076" s="124"/>
      <c r="T3076" s="129">
        <f>IFERROR(__xludf.DUMMYFUNCTION("""COMPUTED_VALUE"""),46083.0)</f>
        <v>46083</v>
      </c>
      <c r="U3076" s="124" t="str">
        <f>IFERROR(__xludf.DUMMYFUNCTION("""COMPUTED_VALUE"""),"Telephony")</f>
        <v>Telephony</v>
      </c>
      <c r="V3076" s="124" t="str">
        <f>IFERROR(__xludf.DUMMYFUNCTION("""COMPUTED_VALUE"""),"Inbound Call")</f>
        <v>Inbound Call</v>
      </c>
      <c r="W3076" s="124">
        <f>IFERROR(__xludf.DUMMYFUNCTION("""COMPUTED_VALUE"""),9.18047861635E11)</f>
        <v>918047861635</v>
      </c>
      <c r="X3076" s="124" t="str">
        <f>IFERROR(__xludf.DUMMYFUNCTION("""COMPUTED_VALUE"""),"Inbound Call")</f>
        <v>Inbound Call</v>
      </c>
      <c r="Y3076" s="124" t="str">
        <f>IFERROR(__xludf.DUMMYFUNCTION("""COMPUTED_VALUE"""),"Indore")</f>
        <v>Indore</v>
      </c>
      <c r="Z3076" s="124">
        <f>IFERROR(__xludf.DUMMYFUNCTION("""COMPUTED_VALUE"""),1.0)</f>
        <v>1</v>
      </c>
      <c r="AA3076" s="124" t="str">
        <f>IFERROR(__xludf.DUMMYFUNCTION("""COMPUTED_VALUE"""),"Not Interested")</f>
        <v>Not Interested</v>
      </c>
      <c r="AB3076" s="124"/>
    </row>
    <row r="3077">
      <c r="K3077" s="124"/>
      <c r="L3077" s="124"/>
      <c r="M3077" s="124"/>
      <c r="N3077" s="124"/>
      <c r="O3077" s="124"/>
      <c r="T3077" s="129">
        <f>IFERROR(__xludf.DUMMYFUNCTION("""COMPUTED_VALUE"""),46078.0)</f>
        <v>46078</v>
      </c>
      <c r="U3077" s="124" t="str">
        <f>IFERROR(__xludf.DUMMYFUNCTION("""COMPUTED_VALUE"""),"Telephony")</f>
        <v>Telephony</v>
      </c>
      <c r="V3077" s="124" t="str">
        <f>IFERROR(__xludf.DUMMYFUNCTION("""COMPUTED_VALUE"""),"Inbound Call")</f>
        <v>Inbound Call</v>
      </c>
      <c r="W3077" s="124" t="str">
        <f>IFERROR(__xludf.DUMMYFUNCTION("""COMPUTED_VALUE"""),"Inbound Call")</f>
        <v>Inbound Call</v>
      </c>
      <c r="X3077" s="124" t="str">
        <f>IFERROR(__xludf.DUMMYFUNCTION("""COMPUTED_VALUE"""),"Inbound Call")</f>
        <v>Inbound Call</v>
      </c>
      <c r="Y3077" s="124" t="str">
        <f>IFERROR(__xludf.DUMMYFUNCTION("""COMPUTED_VALUE"""),"Patna")</f>
        <v>Patna</v>
      </c>
      <c r="Z3077" s="124">
        <f>IFERROR(__xludf.DUMMYFUNCTION("""COMPUTED_VALUE"""),1.0)</f>
        <v>1</v>
      </c>
      <c r="AA3077" s="124" t="str">
        <f>IFERROR(__xludf.DUMMYFUNCTION("""COMPUTED_VALUE"""),"Cold")</f>
        <v>Cold</v>
      </c>
      <c r="AB3077" s="124" t="str">
        <f>IFERROR(__xludf.DUMMYFUNCTION("""COMPUTED_VALUE"""),"GS Foundation")</f>
        <v>GS Foundation</v>
      </c>
    </row>
    <row r="3078">
      <c r="K3078" s="124"/>
      <c r="L3078" s="124"/>
      <c r="M3078" s="124"/>
      <c r="N3078" s="124"/>
      <c r="O3078" s="124"/>
      <c r="T3078" s="129">
        <f>IFERROR(__xludf.DUMMYFUNCTION("""COMPUTED_VALUE"""),46112.0)</f>
        <v>46112</v>
      </c>
      <c r="U3078" s="124" t="str">
        <f>IFERROR(__xludf.DUMMYFUNCTION("""COMPUTED_VALUE"""),"Telephony")</f>
        <v>Telephony</v>
      </c>
      <c r="V3078" s="124" t="str">
        <f>IFERROR(__xludf.DUMMYFUNCTION("""COMPUTED_VALUE"""),"Inbound Call")</f>
        <v>Inbound Call</v>
      </c>
      <c r="W3078" s="124">
        <f>IFERROR(__xludf.DUMMYFUNCTION("""COMPUTED_VALUE"""),9.18047861635E11)</f>
        <v>918047861635</v>
      </c>
      <c r="X3078" s="124" t="str">
        <f>IFERROR(__xludf.DUMMYFUNCTION("""COMPUTED_VALUE"""),"Inbound Call")</f>
        <v>Inbound Call</v>
      </c>
      <c r="Y3078" s="124" t="str">
        <f>IFERROR(__xludf.DUMMYFUNCTION("""COMPUTED_VALUE"""),"Indore")</f>
        <v>Indore</v>
      </c>
      <c r="Z3078" s="124">
        <f>IFERROR(__xludf.DUMMYFUNCTION("""COMPUTED_VALUE"""),1.0)</f>
        <v>1</v>
      </c>
      <c r="AA3078" s="124" t="str">
        <f>IFERROR(__xludf.DUMMYFUNCTION("""COMPUTED_VALUE"""),"Not Interested")</f>
        <v>Not Interested</v>
      </c>
      <c r="AB3078" s="124"/>
    </row>
    <row r="3079">
      <c r="K3079" s="124"/>
      <c r="L3079" s="124"/>
      <c r="M3079" s="124"/>
      <c r="N3079" s="124"/>
      <c r="O3079" s="124"/>
      <c r="T3079" s="129">
        <f>IFERROR(__xludf.DUMMYFUNCTION("""COMPUTED_VALUE"""),46096.0)</f>
        <v>46096</v>
      </c>
      <c r="U3079" s="124" t="str">
        <f>IFERROR(__xludf.DUMMYFUNCTION("""COMPUTED_VALUE"""),"Telephony")</f>
        <v>Telephony</v>
      </c>
      <c r="V3079" s="124" t="str">
        <f>IFERROR(__xludf.DUMMYFUNCTION("""COMPUTED_VALUE"""),"Inbound Call")</f>
        <v>Inbound Call</v>
      </c>
      <c r="W3079" s="124">
        <f>IFERROR(__xludf.DUMMYFUNCTION("""COMPUTED_VALUE"""),9.18047861631E11)</f>
        <v>918047861631</v>
      </c>
      <c r="X3079" s="124" t="str">
        <f>IFERROR(__xludf.DUMMYFUNCTION("""COMPUTED_VALUE"""),"Inbound Call")</f>
        <v>Inbound Call</v>
      </c>
      <c r="Y3079" s="124" t="str">
        <f>IFERROR(__xludf.DUMMYFUNCTION("""COMPUTED_VALUE"""),"Delhi")</f>
        <v>Delhi</v>
      </c>
      <c r="Z3079" s="124">
        <f>IFERROR(__xludf.DUMMYFUNCTION("""COMPUTED_VALUE"""),2.0)</f>
        <v>2</v>
      </c>
      <c r="AA3079" s="124" t="str">
        <f>IFERROR(__xludf.DUMMYFUNCTION("""COMPUTED_VALUE"""),"Fake Lead")</f>
        <v>Fake Lead</v>
      </c>
      <c r="AB3079" s="124"/>
    </row>
    <row r="3080">
      <c r="K3080" s="124"/>
      <c r="L3080" s="124"/>
      <c r="M3080" s="124"/>
      <c r="N3080" s="124"/>
      <c r="O3080" s="124"/>
      <c r="T3080" s="129">
        <f>IFERROR(__xludf.DUMMYFUNCTION("""COMPUTED_VALUE"""),46102.0)</f>
        <v>46102</v>
      </c>
      <c r="U3080" s="124" t="str">
        <f>IFERROR(__xludf.DUMMYFUNCTION("""COMPUTED_VALUE"""),"Telephony")</f>
        <v>Telephony</v>
      </c>
      <c r="V3080" s="124" t="str">
        <f>IFERROR(__xludf.DUMMYFUNCTION("""COMPUTED_VALUE"""),"Inbound Call")</f>
        <v>Inbound Call</v>
      </c>
      <c r="W3080" s="124">
        <f>IFERROR(__xludf.DUMMYFUNCTION("""COMPUTED_VALUE"""),9.18047861635E11)</f>
        <v>918047861635</v>
      </c>
      <c r="X3080" s="124" t="str">
        <f>IFERROR(__xludf.DUMMYFUNCTION("""COMPUTED_VALUE"""),"Inbound Call")</f>
        <v>Inbound Call</v>
      </c>
      <c r="Y3080" s="124" t="str">
        <f>IFERROR(__xludf.DUMMYFUNCTION("""COMPUTED_VALUE"""),"Indore")</f>
        <v>Indore</v>
      </c>
      <c r="Z3080" s="124">
        <f>IFERROR(__xludf.DUMMYFUNCTION("""COMPUTED_VALUE"""),1.0)</f>
        <v>1</v>
      </c>
      <c r="AA3080" s="124" t="str">
        <f>IFERROR(__xludf.DUMMYFUNCTION("""COMPUTED_VALUE"""),"Not Interested")</f>
        <v>Not Interested</v>
      </c>
      <c r="AB3080" s="124"/>
    </row>
    <row r="3081">
      <c r="K3081" s="124"/>
      <c r="L3081" s="124"/>
      <c r="M3081" s="124"/>
      <c r="N3081" s="124"/>
      <c r="O3081" s="124"/>
      <c r="T3081" s="129">
        <f>IFERROR(__xludf.DUMMYFUNCTION("""COMPUTED_VALUE"""),46044.0)</f>
        <v>46044</v>
      </c>
      <c r="U3081" s="124" t="str">
        <f>IFERROR(__xludf.DUMMYFUNCTION("""COMPUTED_VALUE"""),"Telephony")</f>
        <v>Telephony</v>
      </c>
      <c r="V3081" s="124" t="str">
        <f>IFERROR(__xludf.DUMMYFUNCTION("""COMPUTED_VALUE"""),"Inbound Call")</f>
        <v>Inbound Call</v>
      </c>
      <c r="W3081" s="124">
        <f>IFERROR(__xludf.DUMMYFUNCTION("""COMPUTED_VALUE"""),9.18047861635E11)</f>
        <v>918047861635</v>
      </c>
      <c r="X3081" s="124" t="str">
        <f>IFERROR(__xludf.DUMMYFUNCTION("""COMPUTED_VALUE"""),"Inbound Call")</f>
        <v>Inbound Call</v>
      </c>
      <c r="Y3081" s="124"/>
      <c r="Z3081" s="124">
        <f>IFERROR(__xludf.DUMMYFUNCTION("""COMPUTED_VALUE"""),1.0)</f>
        <v>1</v>
      </c>
      <c r="AA3081" s="124" t="str">
        <f>IFERROR(__xludf.DUMMYFUNCTION("""COMPUTED_VALUE"""),"Not Interested")</f>
        <v>Not Interested</v>
      </c>
      <c r="AB3081" s="124"/>
    </row>
    <row r="3082">
      <c r="K3082" s="124"/>
      <c r="L3082" s="124"/>
      <c r="M3082" s="124"/>
      <c r="N3082" s="124"/>
      <c r="O3082" s="124"/>
      <c r="T3082" s="126">
        <f>IFERROR(__xludf.DUMMYFUNCTION("""COMPUTED_VALUE"""),46071.0)</f>
        <v>46071</v>
      </c>
      <c r="U3082" s="124" t="str">
        <f>IFERROR(__xludf.DUMMYFUNCTION("""COMPUTED_VALUE"""),"Telephony")</f>
        <v>Telephony</v>
      </c>
      <c r="V3082" s="124" t="str">
        <f>IFERROR(__xludf.DUMMYFUNCTION("""COMPUTED_VALUE"""),"Inbound Call")</f>
        <v>Inbound Call</v>
      </c>
      <c r="W3082" s="124">
        <f>IFERROR(__xludf.DUMMYFUNCTION("""COMPUTED_VALUE"""),9.18047861635E11)</f>
        <v>918047861635</v>
      </c>
      <c r="X3082" s="124" t="str">
        <f>IFERROR(__xludf.DUMMYFUNCTION("""COMPUTED_VALUE"""),"Inbound Call")</f>
        <v>Inbound Call</v>
      </c>
      <c r="Y3082" s="124" t="str">
        <f>IFERROR(__xludf.DUMMYFUNCTION("""COMPUTED_VALUE"""),"Indore")</f>
        <v>Indore</v>
      </c>
      <c r="Z3082" s="124">
        <f>IFERROR(__xludf.DUMMYFUNCTION("""COMPUTED_VALUE"""),1.0)</f>
        <v>1</v>
      </c>
      <c r="AA3082" s="124" t="str">
        <f>IFERROR(__xludf.DUMMYFUNCTION("""COMPUTED_VALUE"""),"Not Interested")</f>
        <v>Not Interested</v>
      </c>
      <c r="AB3082" s="124" t="str">
        <f>IFERROR(__xludf.DUMMYFUNCTION("""COMPUTED_VALUE"""),"Optionals")</f>
        <v>Optionals</v>
      </c>
    </row>
    <row r="3083">
      <c r="K3083" s="124"/>
      <c r="L3083" s="124"/>
      <c r="M3083" s="124"/>
      <c r="N3083" s="124"/>
      <c r="O3083" s="124"/>
      <c r="T3083" s="129">
        <f>IFERROR(__xludf.DUMMYFUNCTION("""COMPUTED_VALUE"""),46087.0)</f>
        <v>46087</v>
      </c>
      <c r="U3083" s="124" t="str">
        <f>IFERROR(__xludf.DUMMYFUNCTION("""COMPUTED_VALUE"""),"Telephony")</f>
        <v>Telephony</v>
      </c>
      <c r="V3083" s="124" t="str">
        <f>IFERROR(__xludf.DUMMYFUNCTION("""COMPUTED_VALUE"""),"Inbound Call")</f>
        <v>Inbound Call</v>
      </c>
      <c r="W3083" s="124" t="str">
        <f>IFERROR(__xludf.DUMMYFUNCTION("""COMPUTED_VALUE"""),"Inbound Call")</f>
        <v>Inbound Call</v>
      </c>
      <c r="X3083" s="124" t="str">
        <f>IFERROR(__xludf.DUMMYFUNCTION("""COMPUTED_VALUE"""),"Inbound Call")</f>
        <v>Inbound Call</v>
      </c>
      <c r="Y3083" s="124" t="str">
        <f>IFERROR(__xludf.DUMMYFUNCTION("""COMPUTED_VALUE"""),"Patna")</f>
        <v>Patna</v>
      </c>
      <c r="Z3083" s="124">
        <f>IFERROR(__xludf.DUMMYFUNCTION("""COMPUTED_VALUE"""),1.0)</f>
        <v>1</v>
      </c>
      <c r="AA3083" s="124" t="str">
        <f>IFERROR(__xludf.DUMMYFUNCTION("""COMPUTED_VALUE"""),"Fake Lead")</f>
        <v>Fake Lead</v>
      </c>
      <c r="AB3083" s="124"/>
    </row>
    <row r="3084">
      <c r="K3084" s="124"/>
      <c r="L3084" s="124"/>
      <c r="M3084" s="124"/>
      <c r="N3084" s="124"/>
      <c r="O3084" s="124"/>
      <c r="T3084" s="126">
        <f>IFERROR(__xludf.DUMMYFUNCTION("""COMPUTED_VALUE"""),46043.0)</f>
        <v>46043</v>
      </c>
      <c r="U3084" s="124" t="str">
        <f>IFERROR(__xludf.DUMMYFUNCTION("""COMPUTED_VALUE"""),"Walk-Ins")</f>
        <v>Walk-Ins</v>
      </c>
      <c r="V3084" s="124" t="str">
        <f>IFERROR(__xludf.DUMMYFUNCTION("""COMPUTED_VALUE"""),"Walk-In")</f>
        <v>Walk-In</v>
      </c>
      <c r="W3084" s="124" t="str">
        <f>IFERROR(__xludf.DUMMYFUNCTION("""COMPUTED_VALUE"""),"Delhi")</f>
        <v>Delhi</v>
      </c>
      <c r="X3084" s="124" t="str">
        <f>IFERROR(__xludf.DUMMYFUNCTION("""COMPUTED_VALUE"""),"Yogita")</f>
        <v>Yogita</v>
      </c>
      <c r="Y3084" s="124"/>
      <c r="Z3084" s="124">
        <f>IFERROR(__xludf.DUMMYFUNCTION("""COMPUTED_VALUE"""),1.0)</f>
        <v>1</v>
      </c>
      <c r="AA3084" s="124" t="str">
        <f>IFERROR(__xludf.DUMMYFUNCTION("""COMPUTED_VALUE"""),"Cold")</f>
        <v>Cold</v>
      </c>
      <c r="AB3084" s="124" t="str">
        <f>IFERROR(__xludf.DUMMYFUNCTION("""COMPUTED_VALUE"""),"Mentorship")</f>
        <v>Mentorship</v>
      </c>
    </row>
    <row r="3085">
      <c r="K3085" s="124"/>
      <c r="L3085" s="124"/>
      <c r="M3085" s="124"/>
      <c r="N3085" s="124"/>
      <c r="O3085" s="124"/>
      <c r="T3085" s="126">
        <f>IFERROR(__xludf.DUMMYFUNCTION("""COMPUTED_VALUE"""),46109.0)</f>
        <v>46109</v>
      </c>
      <c r="U3085" s="124" t="str">
        <f>IFERROR(__xludf.DUMMYFUNCTION("""COMPUTED_VALUE"""),"Telephony")</f>
        <v>Telephony</v>
      </c>
      <c r="V3085" s="124" t="str">
        <f>IFERROR(__xludf.DUMMYFUNCTION("""COMPUTED_VALUE"""),"Inbound Call")</f>
        <v>Inbound Call</v>
      </c>
      <c r="W3085" s="124">
        <f>IFERROR(__xludf.DUMMYFUNCTION("""COMPUTED_VALUE"""),9.18047861635E11)</f>
        <v>918047861635</v>
      </c>
      <c r="X3085" s="124" t="str">
        <f>IFERROR(__xludf.DUMMYFUNCTION("""COMPUTED_VALUE"""),"Inbound Call")</f>
        <v>Inbound Call</v>
      </c>
      <c r="Y3085" s="124" t="str">
        <f>IFERROR(__xludf.DUMMYFUNCTION("""COMPUTED_VALUE"""),"Indore")</f>
        <v>Indore</v>
      </c>
      <c r="Z3085" s="124">
        <f>IFERROR(__xludf.DUMMYFUNCTION("""COMPUTED_VALUE"""),2.0)</f>
        <v>2</v>
      </c>
      <c r="AA3085" s="124" t="str">
        <f>IFERROR(__xludf.DUMMYFUNCTION("""COMPUTED_VALUE"""),"Cold")</f>
        <v>Cold</v>
      </c>
      <c r="AB3085" s="124"/>
    </row>
    <row r="3086">
      <c r="K3086" s="124"/>
      <c r="L3086" s="124"/>
      <c r="M3086" s="124"/>
      <c r="N3086" s="124"/>
      <c r="O3086" s="124"/>
      <c r="T3086" s="129">
        <f>IFERROR(__xludf.DUMMYFUNCTION("""COMPUTED_VALUE"""),46101.0)</f>
        <v>46101</v>
      </c>
      <c r="U3086" s="124" t="str">
        <f>IFERROR(__xludf.DUMMYFUNCTION("""COMPUTED_VALUE"""),"Telephony")</f>
        <v>Telephony</v>
      </c>
      <c r="V3086" s="124" t="str">
        <f>IFERROR(__xludf.DUMMYFUNCTION("""COMPUTED_VALUE"""),"Inbound Call")</f>
        <v>Inbound Call</v>
      </c>
      <c r="W3086" s="124">
        <f>IFERROR(__xludf.DUMMYFUNCTION("""COMPUTED_VALUE"""),9.18047861635E11)</f>
        <v>918047861635</v>
      </c>
      <c r="X3086" s="124" t="str">
        <f>IFERROR(__xludf.DUMMYFUNCTION("""COMPUTED_VALUE"""),"Inbound Call")</f>
        <v>Inbound Call</v>
      </c>
      <c r="Y3086" s="124" t="str">
        <f>IFERROR(__xludf.DUMMYFUNCTION("""COMPUTED_VALUE"""),"Indore")</f>
        <v>Indore</v>
      </c>
      <c r="Z3086" s="124">
        <f>IFERROR(__xludf.DUMMYFUNCTION("""COMPUTED_VALUE"""),1.0)</f>
        <v>1</v>
      </c>
      <c r="AA3086" s="124" t="str">
        <f>IFERROR(__xludf.DUMMYFUNCTION("""COMPUTED_VALUE"""),"Fake Lead")</f>
        <v>Fake Lead</v>
      </c>
      <c r="AB3086" s="124"/>
    </row>
    <row r="3087">
      <c r="K3087" s="124"/>
      <c r="L3087" s="124"/>
      <c r="M3087" s="124"/>
      <c r="N3087" s="124"/>
      <c r="O3087" s="124"/>
      <c r="T3087" s="126">
        <f>IFERROR(__xludf.DUMMYFUNCTION("""COMPUTED_VALUE"""),46068.0)</f>
        <v>46068</v>
      </c>
      <c r="U3087" s="124" t="str">
        <f>IFERROR(__xludf.DUMMYFUNCTION("""COMPUTED_VALUE"""),"Telephony")</f>
        <v>Telephony</v>
      </c>
      <c r="V3087" s="124" t="str">
        <f>IFERROR(__xludf.DUMMYFUNCTION("""COMPUTED_VALUE"""),"Inbound Call")</f>
        <v>Inbound Call</v>
      </c>
      <c r="W3087" s="124" t="str">
        <f>IFERROR(__xludf.DUMMYFUNCTION("""COMPUTED_VALUE"""),"Inbound Call")</f>
        <v>Inbound Call</v>
      </c>
      <c r="X3087" s="124" t="str">
        <f>IFERROR(__xludf.DUMMYFUNCTION("""COMPUTED_VALUE"""),"Inbound Call")</f>
        <v>Inbound Call</v>
      </c>
      <c r="Y3087" s="124" t="str">
        <f>IFERROR(__xludf.DUMMYFUNCTION("""COMPUTED_VALUE"""),"Indore")</f>
        <v>Indore</v>
      </c>
      <c r="Z3087" s="124">
        <f>IFERROR(__xludf.DUMMYFUNCTION("""COMPUTED_VALUE"""),1.0)</f>
        <v>1</v>
      </c>
      <c r="AA3087" s="124" t="str">
        <f>IFERROR(__xludf.DUMMYFUNCTION("""COMPUTED_VALUE"""),"Not Interested")</f>
        <v>Not Interested</v>
      </c>
      <c r="AB3087" s="124"/>
    </row>
    <row r="3088">
      <c r="K3088" s="124"/>
      <c r="L3088" s="124"/>
      <c r="M3088" s="124"/>
      <c r="N3088" s="124"/>
      <c r="O3088" s="124"/>
      <c r="T3088" s="126">
        <f>IFERROR(__xludf.DUMMYFUNCTION("""COMPUTED_VALUE"""),46051.0)</f>
        <v>46051</v>
      </c>
      <c r="U3088" s="124" t="str">
        <f>IFERROR(__xludf.DUMMYFUNCTION("""COMPUTED_VALUE"""),"Telephony")</f>
        <v>Telephony</v>
      </c>
      <c r="V3088" s="124" t="str">
        <f>IFERROR(__xludf.DUMMYFUNCTION("""COMPUTED_VALUE"""),"Inbound Call")</f>
        <v>Inbound Call</v>
      </c>
      <c r="W3088" s="124">
        <f>IFERROR(__xludf.DUMMYFUNCTION("""COMPUTED_VALUE"""),9.18047861635E11)</f>
        <v>918047861635</v>
      </c>
      <c r="X3088" s="124" t="str">
        <f>IFERROR(__xludf.DUMMYFUNCTION("""COMPUTED_VALUE"""),"Inbound Call")</f>
        <v>Inbound Call</v>
      </c>
      <c r="Y3088" s="124"/>
      <c r="Z3088" s="124">
        <f>IFERROR(__xludf.DUMMYFUNCTION("""COMPUTED_VALUE"""),1.0)</f>
        <v>1</v>
      </c>
      <c r="AA3088" s="124" t="str">
        <f>IFERROR(__xludf.DUMMYFUNCTION("""COMPUTED_VALUE"""),"Enrolled")</f>
        <v>Enrolled</v>
      </c>
      <c r="AB3088" s="124" t="str">
        <f>IFERROR(__xludf.DUMMYFUNCTION("""COMPUTED_VALUE"""),"Other")</f>
        <v>Other</v>
      </c>
    </row>
    <row r="3089">
      <c r="K3089" s="124"/>
      <c r="L3089" s="124"/>
      <c r="M3089" s="124"/>
      <c r="N3089" s="124"/>
      <c r="O3089" s="124"/>
      <c r="T3089" s="126">
        <f>IFERROR(__xludf.DUMMYFUNCTION("""COMPUTED_VALUE"""),46049.0)</f>
        <v>46049</v>
      </c>
      <c r="U3089" s="124" t="str">
        <f>IFERROR(__xludf.DUMMYFUNCTION("""COMPUTED_VALUE"""),"Telephony")</f>
        <v>Telephony</v>
      </c>
      <c r="V3089" s="124" t="str">
        <f>IFERROR(__xludf.DUMMYFUNCTION("""COMPUTED_VALUE"""),"Inbound Call")</f>
        <v>Inbound Call</v>
      </c>
      <c r="W3089" s="124">
        <f>IFERROR(__xludf.DUMMYFUNCTION("""COMPUTED_VALUE"""),9.18047861635E11)</f>
        <v>918047861635</v>
      </c>
      <c r="X3089" s="124" t="str">
        <f>IFERROR(__xludf.DUMMYFUNCTION("""COMPUTED_VALUE"""),"Inbound Call")</f>
        <v>Inbound Call</v>
      </c>
      <c r="Y3089" s="124"/>
      <c r="Z3089" s="124">
        <f>IFERROR(__xludf.DUMMYFUNCTION("""COMPUTED_VALUE"""),1.0)</f>
        <v>1</v>
      </c>
      <c r="AA3089" s="124" t="str">
        <f>IFERROR(__xludf.DUMMYFUNCTION("""COMPUTED_VALUE"""),"Not Interested")</f>
        <v>Not Interested</v>
      </c>
      <c r="AB3089" s="124"/>
    </row>
    <row r="3090">
      <c r="K3090" s="124"/>
      <c r="L3090" s="124"/>
      <c r="M3090" s="124"/>
      <c r="N3090" s="124"/>
      <c r="O3090" s="124"/>
      <c r="T3090" s="126">
        <f>IFERROR(__xludf.DUMMYFUNCTION("""COMPUTED_VALUE"""),46109.0)</f>
        <v>46109</v>
      </c>
      <c r="U3090" s="124" t="str">
        <f>IFERROR(__xludf.DUMMYFUNCTION("""COMPUTED_VALUE"""),"Telephony")</f>
        <v>Telephony</v>
      </c>
      <c r="V3090" s="124" t="str">
        <f>IFERROR(__xludf.DUMMYFUNCTION("""COMPUTED_VALUE"""),"Inbound Call")</f>
        <v>Inbound Call</v>
      </c>
      <c r="W3090" s="124">
        <f>IFERROR(__xludf.DUMMYFUNCTION("""COMPUTED_VALUE"""),9.18047861635E11)</f>
        <v>918047861635</v>
      </c>
      <c r="X3090" s="124" t="str">
        <f>IFERROR(__xludf.DUMMYFUNCTION("""COMPUTED_VALUE"""),"Inbound Call")</f>
        <v>Inbound Call</v>
      </c>
      <c r="Y3090" s="124" t="str">
        <f>IFERROR(__xludf.DUMMYFUNCTION("""COMPUTED_VALUE"""),"Indore")</f>
        <v>Indore</v>
      </c>
      <c r="Z3090" s="124">
        <f>IFERROR(__xludf.DUMMYFUNCTION("""COMPUTED_VALUE"""),1.0)</f>
        <v>1</v>
      </c>
      <c r="AA3090" s="124" t="str">
        <f>IFERROR(__xludf.DUMMYFUNCTION("""COMPUTED_VALUE"""),"Not Interested")</f>
        <v>Not Interested</v>
      </c>
      <c r="AB3090" s="124"/>
    </row>
    <row r="3091">
      <c r="K3091" s="124"/>
      <c r="L3091" s="124"/>
      <c r="M3091" s="124"/>
      <c r="N3091" s="124"/>
      <c r="O3091" s="124"/>
      <c r="T3091" s="129">
        <f>IFERROR(__xludf.DUMMYFUNCTION("""COMPUTED_VALUE"""),46067.0)</f>
        <v>46067</v>
      </c>
      <c r="U3091" s="124" t="str">
        <f>IFERROR(__xludf.DUMMYFUNCTION("""COMPUTED_VALUE"""),"Telephony")</f>
        <v>Telephony</v>
      </c>
      <c r="V3091" s="124" t="str">
        <f>IFERROR(__xludf.DUMMYFUNCTION("""COMPUTED_VALUE"""),"Inbound Call")</f>
        <v>Inbound Call</v>
      </c>
      <c r="W3091" s="124">
        <f>IFERROR(__xludf.DUMMYFUNCTION("""COMPUTED_VALUE"""),9.18047861631E11)</f>
        <v>918047861631</v>
      </c>
      <c r="X3091" s="124" t="str">
        <f>IFERROR(__xludf.DUMMYFUNCTION("""COMPUTED_VALUE"""),"Inbound Call")</f>
        <v>Inbound Call</v>
      </c>
      <c r="Y3091" s="124"/>
      <c r="Z3091" s="124">
        <f>IFERROR(__xludf.DUMMYFUNCTION("""COMPUTED_VALUE"""),1.0)</f>
        <v>1</v>
      </c>
      <c r="AA3091" s="124" t="str">
        <f>IFERROR(__xludf.DUMMYFUNCTION("""COMPUTED_VALUE"""),"Fake Lead")</f>
        <v>Fake Lead</v>
      </c>
      <c r="AB3091" s="124"/>
    </row>
    <row r="3092">
      <c r="K3092" s="124"/>
      <c r="L3092" s="124"/>
      <c r="M3092" s="124"/>
      <c r="N3092" s="124"/>
      <c r="O3092" s="124"/>
      <c r="T3092" s="129">
        <f>IFERROR(__xludf.DUMMYFUNCTION("""COMPUTED_VALUE"""),46091.0)</f>
        <v>46091</v>
      </c>
      <c r="U3092" s="124" t="str">
        <f>IFERROR(__xludf.DUMMYFUNCTION("""COMPUTED_VALUE"""),"Telephony")</f>
        <v>Telephony</v>
      </c>
      <c r="V3092" s="124" t="str">
        <f>IFERROR(__xludf.DUMMYFUNCTION("""COMPUTED_VALUE"""),"Inbound Call")</f>
        <v>Inbound Call</v>
      </c>
      <c r="W3092" s="124">
        <f>IFERROR(__xludf.DUMMYFUNCTION("""COMPUTED_VALUE"""),9.18047861631E11)</f>
        <v>918047861631</v>
      </c>
      <c r="X3092" s="124" t="str">
        <f>IFERROR(__xludf.DUMMYFUNCTION("""COMPUTED_VALUE"""),"Inbound Call")</f>
        <v>Inbound Call</v>
      </c>
      <c r="Y3092" s="124"/>
      <c r="Z3092" s="124">
        <f>IFERROR(__xludf.DUMMYFUNCTION("""COMPUTED_VALUE"""),1.0)</f>
        <v>1</v>
      </c>
      <c r="AA3092" s="124" t="str">
        <f>IFERROR(__xludf.DUMMYFUNCTION("""COMPUTED_VALUE"""),"Fake Lead")</f>
        <v>Fake Lead</v>
      </c>
      <c r="AB3092" s="124"/>
    </row>
    <row r="3093">
      <c r="K3093" s="124"/>
      <c r="L3093" s="124"/>
      <c r="M3093" s="124"/>
      <c r="N3093" s="124"/>
      <c r="O3093" s="124"/>
      <c r="T3093" s="126">
        <f>IFERROR(__xludf.DUMMYFUNCTION("""COMPUTED_VALUE"""),46062.0)</f>
        <v>46062</v>
      </c>
      <c r="U3093" s="124" t="str">
        <f>IFERROR(__xludf.DUMMYFUNCTION("""COMPUTED_VALUE"""),"Telephony")</f>
        <v>Telephony</v>
      </c>
      <c r="V3093" s="124" t="str">
        <f>IFERROR(__xludf.DUMMYFUNCTION("""COMPUTED_VALUE"""),"Inbound Call")</f>
        <v>Inbound Call</v>
      </c>
      <c r="W3093" s="124">
        <f>IFERROR(__xludf.DUMMYFUNCTION("""COMPUTED_VALUE"""),9.18047861631E11)</f>
        <v>918047861631</v>
      </c>
      <c r="X3093" s="124" t="str">
        <f>IFERROR(__xludf.DUMMYFUNCTION("""COMPUTED_VALUE"""),"Inbound Call")</f>
        <v>Inbound Call</v>
      </c>
      <c r="Y3093" s="124"/>
      <c r="Z3093" s="124">
        <f>IFERROR(__xludf.DUMMYFUNCTION("""COMPUTED_VALUE"""),2.0)</f>
        <v>2</v>
      </c>
      <c r="AA3093" s="124" t="str">
        <f>IFERROR(__xludf.DUMMYFUNCTION("""COMPUTED_VALUE"""),"Cold")</f>
        <v>Cold</v>
      </c>
      <c r="AB3093" s="124"/>
    </row>
    <row r="3094">
      <c r="K3094" s="124"/>
      <c r="L3094" s="124"/>
      <c r="M3094" s="124"/>
      <c r="N3094" s="124"/>
      <c r="O3094" s="124"/>
      <c r="T3094" s="126">
        <f>IFERROR(__xludf.DUMMYFUNCTION("""COMPUTED_VALUE"""),46068.0)</f>
        <v>46068</v>
      </c>
      <c r="U3094" s="124" t="str">
        <f>IFERROR(__xludf.DUMMYFUNCTION("""COMPUTED_VALUE"""),"Telephony")</f>
        <v>Telephony</v>
      </c>
      <c r="V3094" s="124" t="str">
        <f>IFERROR(__xludf.DUMMYFUNCTION("""COMPUTED_VALUE"""),"Inbound Call")</f>
        <v>Inbound Call</v>
      </c>
      <c r="W3094" s="124">
        <f>IFERROR(__xludf.DUMMYFUNCTION("""COMPUTED_VALUE"""),9.18047861635E11)</f>
        <v>918047861635</v>
      </c>
      <c r="X3094" s="124" t="str">
        <f>IFERROR(__xludf.DUMMYFUNCTION("""COMPUTED_VALUE"""),"Inbound Call")</f>
        <v>Inbound Call</v>
      </c>
      <c r="Y3094" s="124" t="str">
        <f>IFERROR(__xludf.DUMMYFUNCTION("""COMPUTED_VALUE"""),"Indore")</f>
        <v>Indore</v>
      </c>
      <c r="Z3094" s="124">
        <f>IFERROR(__xludf.DUMMYFUNCTION("""COMPUTED_VALUE"""),1.0)</f>
        <v>1</v>
      </c>
      <c r="AA3094" s="124" t="str">
        <f>IFERROR(__xludf.DUMMYFUNCTION("""COMPUTED_VALUE"""),"Fake Lead")</f>
        <v>Fake Lead</v>
      </c>
      <c r="AB3094" s="124"/>
    </row>
    <row r="3095">
      <c r="K3095" s="124"/>
      <c r="L3095" s="124"/>
      <c r="M3095" s="124"/>
      <c r="N3095" s="124"/>
      <c r="O3095" s="124"/>
      <c r="T3095" s="126">
        <f>IFERROR(__xludf.DUMMYFUNCTION("""COMPUTED_VALUE"""),46069.0)</f>
        <v>46069</v>
      </c>
      <c r="U3095" s="124" t="str">
        <f>IFERROR(__xludf.DUMMYFUNCTION("""COMPUTED_VALUE"""),"Telephony")</f>
        <v>Telephony</v>
      </c>
      <c r="V3095" s="124" t="str">
        <f>IFERROR(__xludf.DUMMYFUNCTION("""COMPUTED_VALUE"""),"Inbound Call")</f>
        <v>Inbound Call</v>
      </c>
      <c r="W3095" s="124" t="str">
        <f>IFERROR(__xludf.DUMMYFUNCTION("""COMPUTED_VALUE"""),"Inbound Call")</f>
        <v>Inbound Call</v>
      </c>
      <c r="X3095" s="124" t="str">
        <f>IFERROR(__xludf.DUMMYFUNCTION("""COMPUTED_VALUE"""),"Inbound Call")</f>
        <v>Inbound Call</v>
      </c>
      <c r="Y3095" s="124" t="str">
        <f>IFERROR(__xludf.DUMMYFUNCTION("""COMPUTED_VALUE"""),"Indore")</f>
        <v>Indore</v>
      </c>
      <c r="Z3095" s="124">
        <f>IFERROR(__xludf.DUMMYFUNCTION("""COMPUTED_VALUE"""),1.0)</f>
        <v>1</v>
      </c>
      <c r="AA3095" s="124" t="str">
        <f>IFERROR(__xludf.DUMMYFUNCTION("""COMPUTED_VALUE"""),"Future Prospects")</f>
        <v>Future Prospects</v>
      </c>
      <c r="AB3095" s="124" t="str">
        <f>IFERROR(__xludf.DUMMYFUNCTION("""COMPUTED_VALUE"""),"State PCS")</f>
        <v>State PCS</v>
      </c>
    </row>
    <row r="3096">
      <c r="K3096" s="124"/>
      <c r="L3096" s="124"/>
      <c r="M3096" s="124"/>
      <c r="N3096" s="124"/>
      <c r="O3096" s="124"/>
      <c r="T3096" s="126">
        <f>IFERROR(__xludf.DUMMYFUNCTION("""COMPUTED_VALUE"""),46078.0)</f>
        <v>46078</v>
      </c>
      <c r="U3096" s="124" t="str">
        <f>IFERROR(__xludf.DUMMYFUNCTION("""COMPUTED_VALUE"""),"Telephony")</f>
        <v>Telephony</v>
      </c>
      <c r="V3096" s="124" t="str">
        <f>IFERROR(__xludf.DUMMYFUNCTION("""COMPUTED_VALUE"""),"Inbound Call")</f>
        <v>Inbound Call</v>
      </c>
      <c r="W3096" s="124" t="str">
        <f>IFERROR(__xludf.DUMMYFUNCTION("""COMPUTED_VALUE"""),"Inbound Call")</f>
        <v>Inbound Call</v>
      </c>
      <c r="X3096" s="124" t="str">
        <f>IFERROR(__xludf.DUMMYFUNCTION("""COMPUTED_VALUE"""),"Inbound Call")</f>
        <v>Inbound Call</v>
      </c>
      <c r="Y3096" s="124"/>
      <c r="Z3096" s="124">
        <f>IFERROR(__xludf.DUMMYFUNCTION("""COMPUTED_VALUE"""),1.0)</f>
        <v>1</v>
      </c>
      <c r="AA3096" s="124" t="str">
        <f>IFERROR(__xludf.DUMMYFUNCTION("""COMPUTED_VALUE"""),"Cold")</f>
        <v>Cold</v>
      </c>
      <c r="AB3096" s="124" t="str">
        <f>IFERROR(__xludf.DUMMYFUNCTION("""COMPUTED_VALUE"""),"IGP UPPSC")</f>
        <v>IGP UPPSC</v>
      </c>
    </row>
    <row r="3097">
      <c r="K3097" s="124"/>
      <c r="L3097" s="124"/>
      <c r="M3097" s="124"/>
      <c r="N3097" s="124"/>
      <c r="O3097" s="124"/>
      <c r="T3097" s="126">
        <f>IFERROR(__xludf.DUMMYFUNCTION("""COMPUTED_VALUE"""),46044.0)</f>
        <v>46044</v>
      </c>
      <c r="U3097" s="124" t="str">
        <f>IFERROR(__xludf.DUMMYFUNCTION("""COMPUTED_VALUE"""),"Telephony")</f>
        <v>Telephony</v>
      </c>
      <c r="V3097" s="124" t="str">
        <f>IFERROR(__xludf.DUMMYFUNCTION("""COMPUTED_VALUE"""),"Inbound Call")</f>
        <v>Inbound Call</v>
      </c>
      <c r="W3097" s="124">
        <f>IFERROR(__xludf.DUMMYFUNCTION("""COMPUTED_VALUE"""),9.18047861631E11)</f>
        <v>918047861631</v>
      </c>
      <c r="X3097" s="124" t="str">
        <f>IFERROR(__xludf.DUMMYFUNCTION("""COMPUTED_VALUE"""),"Inbound Call")</f>
        <v>Inbound Call</v>
      </c>
      <c r="Y3097" s="124"/>
      <c r="Z3097" s="124">
        <f>IFERROR(__xludf.DUMMYFUNCTION("""COMPUTED_VALUE"""),3.0)</f>
        <v>3</v>
      </c>
      <c r="AA3097" s="124" t="str">
        <f>IFERROR(__xludf.DUMMYFUNCTION("""COMPUTED_VALUE"""),"Cold")</f>
        <v>Cold</v>
      </c>
      <c r="AB3097" s="124"/>
    </row>
    <row r="3098">
      <c r="K3098" s="124"/>
      <c r="L3098" s="124"/>
      <c r="M3098" s="124"/>
      <c r="N3098" s="124"/>
      <c r="O3098" s="124"/>
      <c r="T3098" s="129">
        <f>IFERROR(__xludf.DUMMYFUNCTION("""COMPUTED_VALUE"""),46081.0)</f>
        <v>46081</v>
      </c>
      <c r="U3098" s="124" t="str">
        <f>IFERROR(__xludf.DUMMYFUNCTION("""COMPUTED_VALUE"""),"Telephony")</f>
        <v>Telephony</v>
      </c>
      <c r="V3098" s="124" t="str">
        <f>IFERROR(__xludf.DUMMYFUNCTION("""COMPUTED_VALUE"""),"Inbound Call")</f>
        <v>Inbound Call</v>
      </c>
      <c r="W3098" s="124">
        <f>IFERROR(__xludf.DUMMYFUNCTION("""COMPUTED_VALUE"""),9.18047861635E11)</f>
        <v>918047861635</v>
      </c>
      <c r="X3098" s="124" t="str">
        <f>IFERROR(__xludf.DUMMYFUNCTION("""COMPUTED_VALUE"""),"Inbound Call")</f>
        <v>Inbound Call</v>
      </c>
      <c r="Y3098" s="124" t="str">
        <f>IFERROR(__xludf.DUMMYFUNCTION("""COMPUTED_VALUE"""),"Indore")</f>
        <v>Indore</v>
      </c>
      <c r="Z3098" s="124">
        <f>IFERROR(__xludf.DUMMYFUNCTION("""COMPUTED_VALUE"""),1.0)</f>
        <v>1</v>
      </c>
      <c r="AA3098" s="124" t="str">
        <f>IFERROR(__xludf.DUMMYFUNCTION("""COMPUTED_VALUE"""),"Future Prospects")</f>
        <v>Future Prospects</v>
      </c>
      <c r="AB3098" s="124" t="str">
        <f>IFERROR(__xludf.DUMMYFUNCTION("""COMPUTED_VALUE"""),"GS Foundation")</f>
        <v>GS Foundation</v>
      </c>
    </row>
    <row r="3099">
      <c r="K3099" s="124"/>
      <c r="L3099" s="124"/>
      <c r="M3099" s="124"/>
      <c r="N3099" s="124"/>
      <c r="O3099" s="124"/>
      <c r="T3099" s="126">
        <f>IFERROR(__xludf.DUMMYFUNCTION("""COMPUTED_VALUE"""),46112.0)</f>
        <v>46112</v>
      </c>
      <c r="U3099" s="124" t="str">
        <f>IFERROR(__xludf.DUMMYFUNCTION("""COMPUTED_VALUE"""),"Telephony")</f>
        <v>Telephony</v>
      </c>
      <c r="V3099" s="124" t="str">
        <f>IFERROR(__xludf.DUMMYFUNCTION("""COMPUTED_VALUE"""),"Inbound Call")</f>
        <v>Inbound Call</v>
      </c>
      <c r="W3099" s="124">
        <f>IFERROR(__xludf.DUMMYFUNCTION("""COMPUTED_VALUE"""),9.18047861635E11)</f>
        <v>918047861635</v>
      </c>
      <c r="X3099" s="124" t="str">
        <f>IFERROR(__xludf.DUMMYFUNCTION("""COMPUTED_VALUE"""),"Inbound Call")</f>
        <v>Inbound Call</v>
      </c>
      <c r="Y3099" s="124" t="str">
        <f>IFERROR(__xludf.DUMMYFUNCTION("""COMPUTED_VALUE"""),"Indore")</f>
        <v>Indore</v>
      </c>
      <c r="Z3099" s="124">
        <f>IFERROR(__xludf.DUMMYFUNCTION("""COMPUTED_VALUE"""),1.0)</f>
        <v>1</v>
      </c>
      <c r="AA3099" s="124" t="str">
        <f>IFERROR(__xludf.DUMMYFUNCTION("""COMPUTED_VALUE"""),"Warm")</f>
        <v>Warm</v>
      </c>
      <c r="AB3099" s="124" t="str">
        <f>IFERROR(__xludf.DUMMYFUNCTION("""COMPUTED_VALUE"""),"State PCS")</f>
        <v>State PCS</v>
      </c>
    </row>
    <row r="3100">
      <c r="K3100" s="124"/>
      <c r="L3100" s="124"/>
      <c r="M3100" s="124"/>
      <c r="N3100" s="124"/>
      <c r="O3100" s="124"/>
      <c r="T3100" s="129">
        <f>IFERROR(__xludf.DUMMYFUNCTION("""COMPUTED_VALUE"""),46106.0)</f>
        <v>46106</v>
      </c>
      <c r="U3100" s="124" t="str">
        <f>IFERROR(__xludf.DUMMYFUNCTION("""COMPUTED_VALUE"""),"Telephony")</f>
        <v>Telephony</v>
      </c>
      <c r="V3100" s="124" t="str">
        <f>IFERROR(__xludf.DUMMYFUNCTION("""COMPUTED_VALUE"""),"Inbound Call")</f>
        <v>Inbound Call</v>
      </c>
      <c r="W3100" s="124" t="str">
        <f>IFERROR(__xludf.DUMMYFUNCTION("""COMPUTED_VALUE"""),"Inbound Call")</f>
        <v>Inbound Call</v>
      </c>
      <c r="X3100" s="124" t="str">
        <f>IFERROR(__xludf.DUMMYFUNCTION("""COMPUTED_VALUE"""),"Inbound Call")</f>
        <v>Inbound Call</v>
      </c>
      <c r="Y3100" s="124"/>
      <c r="Z3100" s="124">
        <f>IFERROR(__xludf.DUMMYFUNCTION("""COMPUTED_VALUE"""),1.0)</f>
        <v>1</v>
      </c>
      <c r="AA3100" s="124" t="str">
        <f>IFERROR(__xludf.DUMMYFUNCTION("""COMPUTED_VALUE"""),"Warm")</f>
        <v>Warm</v>
      </c>
      <c r="AB3100" s="124" t="str">
        <f>IFERROR(__xludf.DUMMYFUNCTION("""COMPUTED_VALUE"""),"GS Foundation")</f>
        <v>GS Foundation</v>
      </c>
    </row>
    <row r="3101">
      <c r="K3101" s="124"/>
      <c r="L3101" s="124"/>
      <c r="M3101" s="124"/>
      <c r="N3101" s="124"/>
      <c r="O3101" s="124"/>
      <c r="T3101" s="129">
        <f>IFERROR(__xludf.DUMMYFUNCTION("""COMPUTED_VALUE"""),46047.0)</f>
        <v>46047</v>
      </c>
      <c r="U3101" s="124" t="str">
        <f>IFERROR(__xludf.DUMMYFUNCTION("""COMPUTED_VALUE"""),"Telephony")</f>
        <v>Telephony</v>
      </c>
      <c r="V3101" s="124" t="str">
        <f>IFERROR(__xludf.DUMMYFUNCTION("""COMPUTED_VALUE"""),"Inbound Call")</f>
        <v>Inbound Call</v>
      </c>
      <c r="W3101" s="124">
        <f>IFERROR(__xludf.DUMMYFUNCTION("""COMPUTED_VALUE"""),9.18047861631E11)</f>
        <v>918047861631</v>
      </c>
      <c r="X3101" s="124" t="str">
        <f>IFERROR(__xludf.DUMMYFUNCTION("""COMPUTED_VALUE"""),"Inbound Call")</f>
        <v>Inbound Call</v>
      </c>
      <c r="Y3101" s="124"/>
      <c r="Z3101" s="124">
        <f>IFERROR(__xludf.DUMMYFUNCTION("""COMPUTED_VALUE"""),1.0)</f>
        <v>1</v>
      </c>
      <c r="AA3101" s="124" t="str">
        <f>IFERROR(__xludf.DUMMYFUNCTION("""COMPUTED_VALUE"""),"Fake Lead")</f>
        <v>Fake Lead</v>
      </c>
      <c r="AB3101" s="124"/>
    </row>
    <row r="3102">
      <c r="K3102" s="124"/>
      <c r="L3102" s="124"/>
      <c r="M3102" s="124"/>
      <c r="N3102" s="124"/>
      <c r="O3102" s="124"/>
      <c r="T3102" s="129">
        <f>IFERROR(__xludf.DUMMYFUNCTION("""COMPUTED_VALUE"""),46060.0)</f>
        <v>46060</v>
      </c>
      <c r="U3102" s="124" t="str">
        <f>IFERROR(__xludf.DUMMYFUNCTION("""COMPUTED_VALUE"""),"Telephony")</f>
        <v>Telephony</v>
      </c>
      <c r="V3102" s="124" t="str">
        <f>IFERROR(__xludf.DUMMYFUNCTION("""COMPUTED_VALUE"""),"Inbound Call")</f>
        <v>Inbound Call</v>
      </c>
      <c r="W3102" s="124" t="str">
        <f>IFERROR(__xludf.DUMMYFUNCTION("""COMPUTED_VALUE"""),"Inbound Call")</f>
        <v>Inbound Call</v>
      </c>
      <c r="X3102" s="124" t="str">
        <f>IFERROR(__xludf.DUMMYFUNCTION("""COMPUTED_VALUE"""),"Inbound Call")</f>
        <v>Inbound Call</v>
      </c>
      <c r="Y3102" s="124" t="str">
        <f>IFERROR(__xludf.DUMMYFUNCTION("""COMPUTED_VALUE"""),"Patna")</f>
        <v>Patna</v>
      </c>
      <c r="Z3102" s="124">
        <f>IFERROR(__xludf.DUMMYFUNCTION("""COMPUTED_VALUE"""),1.0)</f>
        <v>1</v>
      </c>
      <c r="AA3102" s="124" t="str">
        <f>IFERROR(__xludf.DUMMYFUNCTION("""COMPUTED_VALUE"""),"Cold")</f>
        <v>Cold</v>
      </c>
      <c r="AB3102" s="124" t="str">
        <f>IFERROR(__xludf.DUMMYFUNCTION("""COMPUTED_VALUE"""),"State PCS")</f>
        <v>State PCS</v>
      </c>
    </row>
    <row r="3103">
      <c r="K3103" s="124"/>
      <c r="L3103" s="124"/>
      <c r="M3103" s="124"/>
      <c r="N3103" s="124"/>
      <c r="O3103" s="124"/>
      <c r="T3103" s="129">
        <f>IFERROR(__xludf.DUMMYFUNCTION("""COMPUTED_VALUE"""),46091.0)</f>
        <v>46091</v>
      </c>
      <c r="U3103" s="124" t="str">
        <f>IFERROR(__xludf.DUMMYFUNCTION("""COMPUTED_VALUE"""),"Telephony")</f>
        <v>Telephony</v>
      </c>
      <c r="V3103" s="124" t="str">
        <f>IFERROR(__xludf.DUMMYFUNCTION("""COMPUTED_VALUE"""),"Inbound Call")</f>
        <v>Inbound Call</v>
      </c>
      <c r="W3103" s="124">
        <f>IFERROR(__xludf.DUMMYFUNCTION("""COMPUTED_VALUE"""),9.18047861633E11)</f>
        <v>918047861633</v>
      </c>
      <c r="X3103" s="124" t="str">
        <f>IFERROR(__xludf.DUMMYFUNCTION("""COMPUTED_VALUE"""),"Inbound Call")</f>
        <v>Inbound Call</v>
      </c>
      <c r="Y3103" s="124"/>
      <c r="Z3103" s="124">
        <f>IFERROR(__xludf.DUMMYFUNCTION("""COMPUTED_VALUE"""),2.0)</f>
        <v>2</v>
      </c>
      <c r="AA3103" s="124" t="str">
        <f>IFERROR(__xludf.DUMMYFUNCTION("""COMPUTED_VALUE"""),"Cold")</f>
        <v>Cold</v>
      </c>
      <c r="AB3103" s="124"/>
    </row>
    <row r="3104">
      <c r="K3104" s="124"/>
      <c r="L3104" s="124"/>
      <c r="M3104" s="124"/>
      <c r="N3104" s="124"/>
      <c r="O3104" s="124"/>
      <c r="T3104" s="129">
        <f>IFERROR(__xludf.DUMMYFUNCTION("""COMPUTED_VALUE"""),46051.0)</f>
        <v>46051</v>
      </c>
      <c r="U3104" s="124" t="str">
        <f>IFERROR(__xludf.DUMMYFUNCTION("""COMPUTED_VALUE"""),"Walk-Ins")</f>
        <v>Walk-Ins</v>
      </c>
      <c r="V3104" s="124" t="str">
        <f>IFERROR(__xludf.DUMMYFUNCTION("""COMPUTED_VALUE"""),"Walk-In")</f>
        <v>Walk-In</v>
      </c>
      <c r="W3104" s="124" t="str">
        <f>IFERROR(__xludf.DUMMYFUNCTION("""COMPUTED_VALUE"""),"Delhi")</f>
        <v>Delhi</v>
      </c>
      <c r="X3104" s="124" t="str">
        <f>IFERROR(__xludf.DUMMYFUNCTION("""COMPUTED_VALUE"""),"Ayush")</f>
        <v>Ayush</v>
      </c>
      <c r="Y3104" s="124" t="str">
        <f>IFERROR(__xludf.DUMMYFUNCTION("""COMPUTED_VALUE"""),"Delhi")</f>
        <v>Delhi</v>
      </c>
      <c r="Z3104" s="124">
        <f>IFERROR(__xludf.DUMMYFUNCTION("""COMPUTED_VALUE"""),1.0)</f>
        <v>1</v>
      </c>
      <c r="AA3104" s="124" t="str">
        <f>IFERROR(__xludf.DUMMYFUNCTION("""COMPUTED_VALUE"""),"Enrolled")</f>
        <v>Enrolled</v>
      </c>
      <c r="AB3104" s="124" t="str">
        <f>IFERROR(__xludf.DUMMYFUNCTION("""COMPUTED_VALUE"""),"GS Foundation")</f>
        <v>GS Foundation</v>
      </c>
    </row>
    <row r="3105">
      <c r="K3105" s="124"/>
      <c r="L3105" s="124"/>
      <c r="M3105" s="124"/>
      <c r="N3105" s="124"/>
      <c r="O3105" s="124"/>
      <c r="T3105" s="129">
        <f>IFERROR(__xludf.DUMMYFUNCTION("""COMPUTED_VALUE"""),46091.0)</f>
        <v>46091</v>
      </c>
      <c r="U3105" s="124" t="str">
        <f>IFERROR(__xludf.DUMMYFUNCTION("""COMPUTED_VALUE"""),"External Leads")</f>
        <v>External Leads</v>
      </c>
      <c r="V3105" s="124" t="str">
        <f>IFERROR(__xludf.DUMMYFUNCTION("""COMPUTED_VALUE"""),"external leads")</f>
        <v>external leads</v>
      </c>
      <c r="W3105" s="124" t="str">
        <f>IFERROR(__xludf.DUMMYFUNCTION("""COMPUTED_VALUE"""),"indore")</f>
        <v>indore</v>
      </c>
      <c r="X3105" s="124" t="str">
        <f>IFERROR(__xludf.DUMMYFUNCTION("""COMPUTED_VALUE"""),"davv")</f>
        <v>davv</v>
      </c>
      <c r="Y3105" s="124" t="str">
        <f>IFERROR(__xludf.DUMMYFUNCTION("""COMPUTED_VALUE"""),"Indore")</f>
        <v>Indore</v>
      </c>
      <c r="Z3105" s="124">
        <f>IFERROR(__xludf.DUMMYFUNCTION("""COMPUTED_VALUE"""),1.0)</f>
        <v>1</v>
      </c>
      <c r="AA3105" s="124" t="str">
        <f>IFERROR(__xludf.DUMMYFUNCTION("""COMPUTED_VALUE"""),"Cold")</f>
        <v>Cold</v>
      </c>
      <c r="AB3105" s="124" t="str">
        <f>IFERROR(__xludf.DUMMYFUNCTION("""COMPUTED_VALUE"""),"GS Foundation")</f>
        <v>GS Foundation</v>
      </c>
    </row>
    <row r="3106">
      <c r="K3106" s="124"/>
      <c r="L3106" s="124"/>
      <c r="M3106" s="124"/>
      <c r="N3106" s="124"/>
      <c r="O3106" s="124"/>
      <c r="T3106" s="126">
        <f>IFERROR(__xludf.DUMMYFUNCTION("""COMPUTED_VALUE"""),46044.0)</f>
        <v>46044</v>
      </c>
      <c r="U3106" s="124" t="str">
        <f>IFERROR(__xludf.DUMMYFUNCTION("""COMPUTED_VALUE"""),"Telephony")</f>
        <v>Telephony</v>
      </c>
      <c r="V3106" s="124" t="str">
        <f>IFERROR(__xludf.DUMMYFUNCTION("""COMPUTED_VALUE"""),"Inbound")</f>
        <v>Inbound</v>
      </c>
      <c r="W3106" s="124" t="str">
        <f>IFERROR(__xludf.DUMMYFUNCTION("""COMPUTED_VALUE"""),"Inbound")</f>
        <v>Inbound</v>
      </c>
      <c r="X3106" s="124" t="str">
        <f>IFERROR(__xludf.DUMMYFUNCTION("""COMPUTED_VALUE"""),"Inbound")</f>
        <v>Inbound</v>
      </c>
      <c r="Y3106" s="124" t="str">
        <f>IFERROR(__xludf.DUMMYFUNCTION("""COMPUTED_VALUE"""),"Delhi")</f>
        <v>Delhi</v>
      </c>
      <c r="Z3106" s="124">
        <f>IFERROR(__xludf.DUMMYFUNCTION("""COMPUTED_VALUE"""),1.0)</f>
        <v>1</v>
      </c>
      <c r="AA3106" s="124" t="str">
        <f>IFERROR(__xludf.DUMMYFUNCTION("""COMPUTED_VALUE"""),"Enrolled")</f>
        <v>Enrolled</v>
      </c>
      <c r="AB3106" s="124" t="str">
        <f>IFERROR(__xludf.DUMMYFUNCTION("""COMPUTED_VALUE"""),"GS Foundation")</f>
        <v>GS Foundation</v>
      </c>
    </row>
    <row r="3107">
      <c r="K3107" s="124"/>
      <c r="L3107" s="124"/>
      <c r="M3107" s="124"/>
      <c r="N3107" s="124"/>
      <c r="O3107" s="124"/>
      <c r="T3107" s="126">
        <f>IFERROR(__xludf.DUMMYFUNCTION("""COMPUTED_VALUE"""),46108.0)</f>
        <v>46108</v>
      </c>
      <c r="U3107" s="124" t="str">
        <f>IFERROR(__xludf.DUMMYFUNCTION("""COMPUTED_VALUE"""),"Paid Ads")</f>
        <v>Paid Ads</v>
      </c>
      <c r="V3107" s="124" t="str">
        <f>IFERROR(__xludf.DUMMYFUNCTION("""COMPUTED_VALUE"""),"Facebook")</f>
        <v>Facebook</v>
      </c>
      <c r="W3107" s="124" t="str">
        <f>IFERROR(__xludf.DUMMYFUNCTION("""COMPUTED_VALUE"""),"LeadAd")</f>
        <v>LeadAd</v>
      </c>
      <c r="X3107" s="124" t="str">
        <f>IFERROR(__xludf.DUMMYFUNCTION("""COMPUTED_VALUE"""),"Upsc_Offline_925_Video_Lead_FB")</f>
        <v>Upsc_Offline_925_Video_Lead_FB</v>
      </c>
      <c r="Y3107" s="124" t="str">
        <f>IFERROR(__xludf.DUMMYFUNCTION("""COMPUTED_VALUE"""),"Delhi")</f>
        <v>Delhi</v>
      </c>
      <c r="Z3107" s="124">
        <f>IFERROR(__xludf.DUMMYFUNCTION("""COMPUTED_VALUE"""),1.0)</f>
        <v>1</v>
      </c>
      <c r="AA3107" s="124" t="str">
        <f>IFERROR(__xludf.DUMMYFUNCTION("""COMPUTED_VALUE"""),"Warm")</f>
        <v>Warm</v>
      </c>
      <c r="AB3107" s="124"/>
    </row>
    <row r="3108">
      <c r="K3108" s="124"/>
      <c r="L3108" s="124"/>
      <c r="M3108" s="124"/>
      <c r="N3108" s="124"/>
      <c r="O3108" s="124"/>
      <c r="T3108" s="126">
        <f>IFERROR(__xludf.DUMMYFUNCTION("""COMPUTED_VALUE"""),46106.0)</f>
        <v>46106</v>
      </c>
      <c r="U3108" s="124" t="str">
        <f>IFERROR(__xludf.DUMMYFUNCTION("""COMPUTED_VALUE"""),"Telephony")</f>
        <v>Telephony</v>
      </c>
      <c r="V3108" s="124" t="str">
        <f>IFERROR(__xludf.DUMMYFUNCTION("""COMPUTED_VALUE"""),"Inbound")</f>
        <v>Inbound</v>
      </c>
      <c r="W3108" s="124" t="str">
        <f>IFERROR(__xludf.DUMMYFUNCTION("""COMPUTED_VALUE"""),"Inbound")</f>
        <v>Inbound</v>
      </c>
      <c r="X3108" s="124" t="str">
        <f>IFERROR(__xludf.DUMMYFUNCTION("""COMPUTED_VALUE"""),"Inbound")</f>
        <v>Inbound</v>
      </c>
      <c r="Y3108" s="124" t="str">
        <f>IFERROR(__xludf.DUMMYFUNCTION("""COMPUTED_VALUE"""),"Delhi")</f>
        <v>Delhi</v>
      </c>
      <c r="Z3108" s="124">
        <f>IFERROR(__xludf.DUMMYFUNCTION("""COMPUTED_VALUE"""),1.0)</f>
        <v>1</v>
      </c>
      <c r="AA3108" s="124" t="str">
        <f>IFERROR(__xludf.DUMMYFUNCTION("""COMPUTED_VALUE"""),"Enrolled")</f>
        <v>Enrolled</v>
      </c>
      <c r="AB3108" s="124" t="str">
        <f>IFERROR(__xludf.DUMMYFUNCTION("""COMPUTED_VALUE"""),"Other")</f>
        <v>Other</v>
      </c>
    </row>
    <row r="3109">
      <c r="K3109" s="124"/>
      <c r="L3109" s="124"/>
      <c r="M3109" s="124"/>
      <c r="N3109" s="124"/>
      <c r="O3109" s="124"/>
      <c r="T3109" s="126">
        <f>IFERROR(__xludf.DUMMYFUNCTION("""COMPUTED_VALUE"""),46088.0)</f>
        <v>46088</v>
      </c>
      <c r="U3109" s="124" t="str">
        <f>IFERROR(__xludf.DUMMYFUNCTION("""COMPUTED_VALUE"""),"Publisher Campaign")</f>
        <v>Publisher Campaign</v>
      </c>
      <c r="V3109" s="124" t="str">
        <f>IFERROR(__xludf.DUMMYFUNCTION("""COMPUTED_VALUE"""),"Webinar")</f>
        <v>Webinar</v>
      </c>
      <c r="W3109" s="124"/>
      <c r="X3109" s="124"/>
      <c r="Y3109" s="124" t="str">
        <f>IFERROR(__xludf.DUMMYFUNCTION("""COMPUTED_VALUE"""),"Delhi")</f>
        <v>Delhi</v>
      </c>
      <c r="Z3109" s="124">
        <f>IFERROR(__xludf.DUMMYFUNCTION("""COMPUTED_VALUE"""),1.0)</f>
        <v>1</v>
      </c>
      <c r="AA3109" s="124" t="str">
        <f>IFERROR(__xludf.DUMMYFUNCTION("""COMPUTED_VALUE"""),"Engaged")</f>
        <v>Engaged</v>
      </c>
      <c r="AB3109" s="124" t="str">
        <f>IFERROR(__xludf.DUMMYFUNCTION("""COMPUTED_VALUE"""),"Prelims Crash Course - SIP")</f>
        <v>Prelims Crash Course - SIP</v>
      </c>
    </row>
    <row r="3110">
      <c r="K3110" s="124"/>
      <c r="L3110" s="124"/>
      <c r="M3110" s="124"/>
      <c r="N3110" s="124"/>
      <c r="O3110" s="124"/>
      <c r="T3110" s="129">
        <f>IFERROR(__xludf.DUMMYFUNCTION("""COMPUTED_VALUE"""),46052.0)</f>
        <v>46052</v>
      </c>
      <c r="U3110" s="124" t="str">
        <f>IFERROR(__xludf.DUMMYFUNCTION("""COMPUTED_VALUE"""),"External Leads")</f>
        <v>External Leads</v>
      </c>
      <c r="V3110" s="124" t="str">
        <f>IFERROR(__xludf.DUMMYFUNCTION("""COMPUTED_VALUE"""),"external leads")</f>
        <v>external leads</v>
      </c>
      <c r="W3110" s="124"/>
      <c r="X3110" s="124"/>
      <c r="Y3110" s="124" t="str">
        <f>IFERROR(__xludf.DUMMYFUNCTION("""COMPUTED_VALUE"""),"Delhi")</f>
        <v>Delhi</v>
      </c>
      <c r="Z3110" s="124">
        <f>IFERROR(__xludf.DUMMYFUNCTION("""COMPUTED_VALUE"""),1.0)</f>
        <v>1</v>
      </c>
      <c r="AA3110" s="124" t="str">
        <f>IFERROR(__xludf.DUMMYFUNCTION("""COMPUTED_VALUE"""),"Enrolled")</f>
        <v>Enrolled</v>
      </c>
      <c r="AB3110" s="124" t="str">
        <f>IFERROR(__xludf.DUMMYFUNCTION("""COMPUTED_VALUE"""),"GS Foundation")</f>
        <v>GS Foundation</v>
      </c>
    </row>
    <row r="3111">
      <c r="K3111" s="124"/>
      <c r="L3111" s="124"/>
      <c r="M3111" s="124"/>
      <c r="N3111" s="124"/>
      <c r="O3111" s="124"/>
      <c r="T3111" s="126">
        <f>IFERROR(__xludf.DUMMYFUNCTION("""COMPUTED_VALUE"""),46050.0)</f>
        <v>46050</v>
      </c>
      <c r="U3111" s="124" t="str">
        <f>IFERROR(__xludf.DUMMYFUNCTION("""COMPUTED_VALUE"""),"Walk-Ins")</f>
        <v>Walk-Ins</v>
      </c>
      <c r="V3111" s="124" t="str">
        <f>IFERROR(__xludf.DUMMYFUNCTION("""COMPUTED_VALUE"""),"Walkin")</f>
        <v>Walkin</v>
      </c>
      <c r="W3111" s="124"/>
      <c r="X3111" s="124"/>
      <c r="Y3111" s="124" t="str">
        <f>IFERROR(__xludf.DUMMYFUNCTION("""COMPUTED_VALUE"""),"Delhi")</f>
        <v>Delhi</v>
      </c>
      <c r="Z3111" s="124">
        <f>IFERROR(__xludf.DUMMYFUNCTION("""COMPUTED_VALUE"""),2.0)</f>
        <v>2</v>
      </c>
      <c r="AA3111" s="124" t="str">
        <f>IFERROR(__xludf.DUMMYFUNCTION("""COMPUTED_VALUE"""),"Not Interested")</f>
        <v>Not Interested</v>
      </c>
      <c r="AB3111" s="124" t="str">
        <f>IFERROR(__xludf.DUMMYFUNCTION("""COMPUTED_VALUE"""),"GS Foundation")</f>
        <v>GS Foundation</v>
      </c>
    </row>
    <row r="3112">
      <c r="K3112" s="124"/>
      <c r="L3112" s="124"/>
      <c r="M3112" s="124"/>
      <c r="N3112" s="124"/>
      <c r="O3112" s="124"/>
      <c r="T3112" s="126">
        <f>IFERROR(__xludf.DUMMYFUNCTION("""COMPUTED_VALUE"""),46048.0)</f>
        <v>46048</v>
      </c>
      <c r="U3112" s="124" t="str">
        <f>IFERROR(__xludf.DUMMYFUNCTION("""COMPUTED_VALUE"""),"External Leads")</f>
        <v>External Leads</v>
      </c>
      <c r="V3112" s="124" t="str">
        <f>IFERROR(__xludf.DUMMYFUNCTION("""COMPUTED_VALUE"""),"external leads")</f>
        <v>external leads</v>
      </c>
      <c r="W3112" s="124"/>
      <c r="X3112" s="124"/>
      <c r="Y3112" s="124" t="str">
        <f>IFERROR(__xludf.DUMMYFUNCTION("""COMPUTED_VALUE"""),"Delhi")</f>
        <v>Delhi</v>
      </c>
      <c r="Z3112" s="124">
        <f>IFERROR(__xludf.DUMMYFUNCTION("""COMPUTED_VALUE"""),1.0)</f>
        <v>1</v>
      </c>
      <c r="AA3112" s="124" t="str">
        <f>IFERROR(__xludf.DUMMYFUNCTION("""COMPUTED_VALUE"""),"Not Interested")</f>
        <v>Not Interested</v>
      </c>
      <c r="AB3112" s="124" t="str">
        <f>IFERROR(__xludf.DUMMYFUNCTION("""COMPUTED_VALUE"""),"State PCS")</f>
        <v>State PCS</v>
      </c>
    </row>
    <row r="3113">
      <c r="K3113" s="124"/>
      <c r="L3113" s="124"/>
      <c r="M3113" s="124"/>
      <c r="N3113" s="124"/>
      <c r="O3113" s="124"/>
      <c r="T3113" s="126">
        <f>IFERROR(__xludf.DUMMYFUNCTION("""COMPUTED_VALUE"""),46069.0)</f>
        <v>46069</v>
      </c>
      <c r="U3113" s="124" t="str">
        <f>IFERROR(__xludf.DUMMYFUNCTION("""COMPUTED_VALUE"""),"Publisher Campaign")</f>
        <v>Publisher Campaign</v>
      </c>
      <c r="V3113" s="124" t="str">
        <f>IFERROR(__xludf.DUMMYFUNCTION("""COMPUTED_VALUE"""),"Webinar")</f>
        <v>Webinar</v>
      </c>
      <c r="W3113" s="124"/>
      <c r="X3113" s="124"/>
      <c r="Y3113" s="124" t="str">
        <f>IFERROR(__xludf.DUMMYFUNCTION("""COMPUTED_VALUE"""),"Delhi")</f>
        <v>Delhi</v>
      </c>
      <c r="Z3113" s="124">
        <f>IFERROR(__xludf.DUMMYFUNCTION("""COMPUTED_VALUE"""),2.0)</f>
        <v>2</v>
      </c>
      <c r="AA3113" s="124" t="str">
        <f>IFERROR(__xludf.DUMMYFUNCTION("""COMPUTED_VALUE"""),"Not Interested")</f>
        <v>Not Interested</v>
      </c>
      <c r="AB3113" s="124" t="str">
        <f>IFERROR(__xludf.DUMMYFUNCTION("""COMPUTED_VALUE"""),"CSAT")</f>
        <v>CSAT</v>
      </c>
    </row>
    <row r="3114">
      <c r="K3114" s="124"/>
      <c r="L3114" s="124"/>
      <c r="M3114" s="124"/>
      <c r="N3114" s="124"/>
      <c r="O3114" s="124"/>
      <c r="T3114" s="126">
        <f>IFERROR(__xludf.DUMMYFUNCTION("""COMPUTED_VALUE"""),46089.0)</f>
        <v>46089</v>
      </c>
      <c r="U3114" s="124" t="str">
        <f>IFERROR(__xludf.DUMMYFUNCTION("""COMPUTED_VALUE"""),"Publisher Campaign")</f>
        <v>Publisher Campaign</v>
      </c>
      <c r="V3114" s="124" t="str">
        <f>IFERROR(__xludf.DUMMYFUNCTION("""COMPUTED_VALUE"""),"Webinar")</f>
        <v>Webinar</v>
      </c>
      <c r="W3114" s="124"/>
      <c r="X3114" s="124"/>
      <c r="Y3114" s="124" t="str">
        <f>IFERROR(__xludf.DUMMYFUNCTION("""COMPUTED_VALUE"""),"Delhi")</f>
        <v>Delhi</v>
      </c>
      <c r="Z3114" s="124">
        <f>IFERROR(__xludf.DUMMYFUNCTION("""COMPUTED_VALUE"""),1.0)</f>
        <v>1</v>
      </c>
      <c r="AA3114" s="124" t="str">
        <f>IFERROR(__xludf.DUMMYFUNCTION("""COMPUTED_VALUE"""),"Cold")</f>
        <v>Cold</v>
      </c>
      <c r="AB3114" s="124" t="str">
        <f>IFERROR(__xludf.DUMMYFUNCTION("""COMPUTED_VALUE"""),"Other")</f>
        <v>Other</v>
      </c>
    </row>
    <row r="3115">
      <c r="K3115" s="124"/>
      <c r="L3115" s="124"/>
      <c r="M3115" s="124"/>
      <c r="N3115" s="124"/>
      <c r="O3115" s="124"/>
      <c r="T3115" s="126">
        <f>IFERROR(__xludf.DUMMYFUNCTION("""COMPUTED_VALUE"""),46068.0)</f>
        <v>46068</v>
      </c>
      <c r="U3115" s="124" t="str">
        <f>IFERROR(__xludf.DUMMYFUNCTION("""COMPUTED_VALUE"""),"Publisher Campaign")</f>
        <v>Publisher Campaign</v>
      </c>
      <c r="V3115" s="124" t="str">
        <f>IFERROR(__xludf.DUMMYFUNCTION("""COMPUTED_VALUE"""),"Webinar")</f>
        <v>Webinar</v>
      </c>
      <c r="W3115" s="124"/>
      <c r="X3115" s="124"/>
      <c r="Y3115" s="124" t="str">
        <f>IFERROR(__xludf.DUMMYFUNCTION("""COMPUTED_VALUE"""),"Delhi")</f>
        <v>Delhi</v>
      </c>
      <c r="Z3115" s="124">
        <f>IFERROR(__xludf.DUMMYFUNCTION("""COMPUTED_VALUE"""),4.0)</f>
        <v>4</v>
      </c>
      <c r="AA3115" s="124" t="str">
        <f>IFERROR(__xludf.DUMMYFUNCTION("""COMPUTED_VALUE"""),"Not Interested")</f>
        <v>Not Interested</v>
      </c>
      <c r="AB3115" s="124" t="str">
        <f>IFERROR(__xludf.DUMMYFUNCTION("""COMPUTED_VALUE"""),"Other")</f>
        <v>Other</v>
      </c>
    </row>
    <row r="3116">
      <c r="K3116" s="124"/>
      <c r="L3116" s="124"/>
      <c r="M3116" s="124"/>
      <c r="N3116" s="124"/>
      <c r="O3116" s="124"/>
      <c r="T3116" s="126">
        <f>IFERROR(__xludf.DUMMYFUNCTION("""COMPUTED_VALUE"""),46047.0)</f>
        <v>46047</v>
      </c>
      <c r="U3116" s="124" t="str">
        <f>IFERROR(__xludf.DUMMYFUNCTION("""COMPUTED_VALUE"""),"External Leads")</f>
        <v>External Leads</v>
      </c>
      <c r="V3116" s="124" t="str">
        <f>IFERROR(__xludf.DUMMYFUNCTION("""COMPUTED_VALUE"""),"external leads")</f>
        <v>external leads</v>
      </c>
      <c r="W3116" s="124" t="str">
        <f>IFERROR(__xludf.DUMMYFUNCTION("""COMPUTED_VALUE"""),"indore")</f>
        <v>indore</v>
      </c>
      <c r="X3116" s="124" t="str">
        <f>IFERROR(__xludf.DUMMYFUNCTION("""COMPUTED_VALUE"""),"unacademy")</f>
        <v>unacademy</v>
      </c>
      <c r="Y3116" s="124" t="str">
        <f>IFERROR(__xludf.DUMMYFUNCTION("""COMPUTED_VALUE"""),"Indore")</f>
        <v>Indore</v>
      </c>
      <c r="Z3116" s="124">
        <f>IFERROR(__xludf.DUMMYFUNCTION("""COMPUTED_VALUE"""),2.0)</f>
        <v>2</v>
      </c>
      <c r="AA3116" s="124" t="str">
        <f>IFERROR(__xludf.DUMMYFUNCTION("""COMPUTED_VALUE"""),"Future Prospects")</f>
        <v>Future Prospects</v>
      </c>
      <c r="AB3116" s="124"/>
    </row>
    <row r="3117">
      <c r="K3117" s="124"/>
      <c r="L3117" s="124"/>
      <c r="M3117" s="124"/>
      <c r="N3117" s="124"/>
      <c r="O3117" s="124"/>
      <c r="T3117" s="126">
        <f>IFERROR(__xludf.DUMMYFUNCTION("""COMPUTED_VALUE"""),46064.0)</f>
        <v>46064</v>
      </c>
      <c r="U3117" s="124" t="str">
        <f>IFERROR(__xludf.DUMMYFUNCTION("""COMPUTED_VALUE"""),"Paid Ads")</f>
        <v>Paid Ads</v>
      </c>
      <c r="V3117" s="124" t="str">
        <f>IFERROR(__xludf.DUMMYFUNCTION("""COMPUTED_VALUE"""),"google")</f>
        <v>google</v>
      </c>
      <c r="W3117" s="124" t="str">
        <f>IFERROR(__xludf.DUMMYFUNCTION("""COMPUTED_VALUE"""),"cpc")</f>
        <v>cpc</v>
      </c>
      <c r="X3117" s="124">
        <f>IFERROR(__xludf.DUMMYFUNCTION("""COMPUTED_VALUE"""),2.2754500514E10)</f>
        <v>22754500514</v>
      </c>
      <c r="Y3117" s="124" t="str">
        <f>IFERROR(__xludf.DUMMYFUNCTION("""COMPUTED_VALUE"""),"Delhi")</f>
        <v>Delhi</v>
      </c>
      <c r="Z3117" s="124">
        <f>IFERROR(__xludf.DUMMYFUNCTION("""COMPUTED_VALUE"""),1.0)</f>
        <v>1</v>
      </c>
      <c r="AA3117" s="124" t="str">
        <f>IFERROR(__xludf.DUMMYFUNCTION("""COMPUTED_VALUE"""),"Not Interested")</f>
        <v>Not Interested</v>
      </c>
      <c r="AB3117" s="124" t="str">
        <f>IFERROR(__xludf.DUMMYFUNCTION("""COMPUTED_VALUE"""),"CSAT")</f>
        <v>CSAT</v>
      </c>
    </row>
    <row r="3118">
      <c r="K3118" s="124"/>
      <c r="L3118" s="124"/>
      <c r="M3118" s="124"/>
      <c r="N3118" s="124"/>
      <c r="O3118" s="124"/>
      <c r="T3118" s="129">
        <f>IFERROR(__xludf.DUMMYFUNCTION("""COMPUTED_VALUE"""),46068.0)</f>
        <v>46068</v>
      </c>
      <c r="U3118" s="124" t="str">
        <f>IFERROR(__xludf.DUMMYFUNCTION("""COMPUTED_VALUE"""),"Publisher Campaign")</f>
        <v>Publisher Campaign</v>
      </c>
      <c r="V3118" s="124" t="str">
        <f>IFERROR(__xludf.DUMMYFUNCTION("""COMPUTED_VALUE"""),"Webinar")</f>
        <v>Webinar</v>
      </c>
      <c r="W3118" s="124"/>
      <c r="X3118" s="124"/>
      <c r="Y3118" s="124" t="str">
        <f>IFERROR(__xludf.DUMMYFUNCTION("""COMPUTED_VALUE"""),"Delhi")</f>
        <v>Delhi</v>
      </c>
      <c r="Z3118" s="124">
        <f>IFERROR(__xludf.DUMMYFUNCTION("""COMPUTED_VALUE"""),2.0)</f>
        <v>2</v>
      </c>
      <c r="AA3118" s="124" t="str">
        <f>IFERROR(__xludf.DUMMYFUNCTION("""COMPUTED_VALUE"""),"Cold")</f>
        <v>Cold</v>
      </c>
      <c r="AB3118" s="124" t="str">
        <f>IFERROR(__xludf.DUMMYFUNCTION("""COMPUTED_VALUE"""),"GS Advanced")</f>
        <v>GS Advanced</v>
      </c>
    </row>
    <row r="3119">
      <c r="K3119" s="124"/>
      <c r="L3119" s="124"/>
      <c r="M3119" s="124"/>
      <c r="N3119" s="124"/>
      <c r="O3119" s="124"/>
      <c r="T3119" s="126">
        <f>IFERROR(__xludf.DUMMYFUNCTION("""COMPUTED_VALUE"""),46060.0)</f>
        <v>46060</v>
      </c>
      <c r="U3119" s="124" t="str">
        <f>IFERROR(__xludf.DUMMYFUNCTION("""COMPUTED_VALUE"""),"Publisher Campaign")</f>
        <v>Publisher Campaign</v>
      </c>
      <c r="V3119" s="124" t="str">
        <f>IFERROR(__xludf.DUMMYFUNCTION("""COMPUTED_VALUE"""),"Webinar")</f>
        <v>Webinar</v>
      </c>
      <c r="W3119" s="124"/>
      <c r="X3119" s="124"/>
      <c r="Y3119" s="124" t="str">
        <f>IFERROR(__xludf.DUMMYFUNCTION("""COMPUTED_VALUE"""),"Delhi")</f>
        <v>Delhi</v>
      </c>
      <c r="Z3119" s="124">
        <f>IFERROR(__xludf.DUMMYFUNCTION("""COMPUTED_VALUE"""),1.0)</f>
        <v>1</v>
      </c>
      <c r="AA3119" s="124" t="str">
        <f>IFERROR(__xludf.DUMMYFUNCTION("""COMPUTED_VALUE"""),"Engaged")</f>
        <v>Engaged</v>
      </c>
      <c r="AB3119" s="124" t="str">
        <f>IFERROR(__xludf.DUMMYFUNCTION("""COMPUTED_VALUE"""),"Optionals")</f>
        <v>Optionals</v>
      </c>
    </row>
    <row r="3120">
      <c r="K3120" s="124"/>
      <c r="L3120" s="124"/>
      <c r="M3120" s="124"/>
      <c r="N3120" s="124"/>
      <c r="O3120" s="124"/>
      <c r="T3120" s="126">
        <f>IFERROR(__xludf.DUMMYFUNCTION("""COMPUTED_VALUE"""),46054.0)</f>
        <v>46054</v>
      </c>
      <c r="U3120" s="124" t="str">
        <f>IFERROR(__xludf.DUMMYFUNCTION("""COMPUTED_VALUE"""),"Paid Ads")</f>
        <v>Paid Ads</v>
      </c>
      <c r="V3120" s="124" t="str">
        <f>IFERROR(__xludf.DUMMYFUNCTION("""COMPUTED_VALUE"""),"google")</f>
        <v>google</v>
      </c>
      <c r="W3120" s="124" t="str">
        <f>IFERROR(__xludf.DUMMYFUNCTION("""COMPUTED_VALUE"""),"cpc")</f>
        <v>cpc</v>
      </c>
      <c r="X3120" s="124">
        <f>IFERROR(__xludf.DUMMYFUNCTION("""COMPUTED_VALUE"""),2.2754500514E10)</f>
        <v>22754500514</v>
      </c>
      <c r="Y3120" s="124" t="str">
        <f>IFERROR(__xludf.DUMMYFUNCTION("""COMPUTED_VALUE"""),"Delhi")</f>
        <v>Delhi</v>
      </c>
      <c r="Z3120" s="124">
        <f>IFERROR(__xludf.DUMMYFUNCTION("""COMPUTED_VALUE"""),1.0)</f>
        <v>1</v>
      </c>
      <c r="AA3120" s="124" t="str">
        <f>IFERROR(__xludf.DUMMYFUNCTION("""COMPUTED_VALUE"""),"Not Interested")</f>
        <v>Not Interested</v>
      </c>
      <c r="AB3120" s="124" t="str">
        <f>IFERROR(__xludf.DUMMYFUNCTION("""COMPUTED_VALUE"""),"Other")</f>
        <v>Other</v>
      </c>
    </row>
    <row r="3121">
      <c r="K3121" s="124"/>
      <c r="L3121" s="124"/>
      <c r="M3121" s="124"/>
      <c r="N3121" s="124"/>
      <c r="O3121" s="124"/>
      <c r="T3121" s="126">
        <f>IFERROR(__xludf.DUMMYFUNCTION("""COMPUTED_VALUE"""),46061.0)</f>
        <v>46061</v>
      </c>
      <c r="U3121" s="124" t="str">
        <f>IFERROR(__xludf.DUMMYFUNCTION("""COMPUTED_VALUE"""),"Publisher Campaign")</f>
        <v>Publisher Campaign</v>
      </c>
      <c r="V3121" s="124" t="str">
        <f>IFERROR(__xludf.DUMMYFUNCTION("""COMPUTED_VALUE"""),"BTL Activities")</f>
        <v>BTL Activities</v>
      </c>
      <c r="W3121" s="124"/>
      <c r="X3121" s="124"/>
      <c r="Y3121" s="124" t="str">
        <f>IFERROR(__xludf.DUMMYFUNCTION("""COMPUTED_VALUE"""),"Indore")</f>
        <v>Indore</v>
      </c>
      <c r="Z3121" s="124">
        <f>IFERROR(__xludf.DUMMYFUNCTION("""COMPUTED_VALUE"""),1.0)</f>
        <v>1</v>
      </c>
      <c r="AA3121" s="124" t="str">
        <f>IFERROR(__xludf.DUMMYFUNCTION("""COMPUTED_VALUE"""),"Future Prospects")</f>
        <v>Future Prospects</v>
      </c>
      <c r="AB3121" s="124" t="str">
        <f>IFERROR(__xludf.DUMMYFUNCTION("""COMPUTED_VALUE"""),"State PCS")</f>
        <v>State PCS</v>
      </c>
    </row>
    <row r="3122">
      <c r="K3122" s="124"/>
      <c r="L3122" s="124"/>
      <c r="M3122" s="124"/>
      <c r="N3122" s="124"/>
      <c r="O3122" s="124"/>
      <c r="T3122" s="129">
        <f>IFERROR(__xludf.DUMMYFUNCTION("""COMPUTED_VALUE"""),46084.0)</f>
        <v>46084</v>
      </c>
      <c r="U3122" s="124" t="str">
        <f>IFERROR(__xludf.DUMMYFUNCTION("""COMPUTED_VALUE"""),"Paid Ads")</f>
        <v>Paid Ads</v>
      </c>
      <c r="V3122" s="124" t="str">
        <f>IFERROR(__xludf.DUMMYFUNCTION("""COMPUTED_VALUE"""),"YouTube")</f>
        <v>YouTube</v>
      </c>
      <c r="W3122" s="124"/>
      <c r="X3122" s="124"/>
      <c r="Y3122" s="124" t="str">
        <f>IFERROR(__xludf.DUMMYFUNCTION("""COMPUTED_VALUE"""),"Prayagraj")</f>
        <v>Prayagraj</v>
      </c>
      <c r="Z3122" s="124">
        <f>IFERROR(__xludf.DUMMYFUNCTION("""COMPUTED_VALUE"""),2.0)</f>
        <v>2</v>
      </c>
      <c r="AA3122" s="124" t="str">
        <f>IFERROR(__xludf.DUMMYFUNCTION("""COMPUTED_VALUE"""),"Cold")</f>
        <v>Cold</v>
      </c>
      <c r="AB3122" s="124" t="str">
        <f>IFERROR(__xludf.DUMMYFUNCTION("""COMPUTED_VALUE"""),"IGP UPPSC")</f>
        <v>IGP UPPSC</v>
      </c>
    </row>
    <row r="3123">
      <c r="K3123" s="124"/>
      <c r="L3123" s="124"/>
      <c r="M3123" s="124"/>
      <c r="N3123" s="124"/>
      <c r="O3123" s="124"/>
      <c r="T3123" s="126">
        <f>IFERROR(__xludf.DUMMYFUNCTION("""COMPUTED_VALUE"""),46047.0)</f>
        <v>46047</v>
      </c>
      <c r="U3123" s="124" t="str">
        <f>IFERROR(__xludf.DUMMYFUNCTION("""COMPUTED_VALUE"""),"External Leads")</f>
        <v>External Leads</v>
      </c>
      <c r="V3123" s="124" t="str">
        <f>IFERROR(__xludf.DUMMYFUNCTION("""COMPUTED_VALUE"""),"external leads")</f>
        <v>external leads</v>
      </c>
      <c r="W3123" s="124"/>
      <c r="X3123" s="124"/>
      <c r="Y3123" s="124"/>
      <c r="Z3123" s="124">
        <f>IFERROR(__xludf.DUMMYFUNCTION("""COMPUTED_VALUE"""),1.0)</f>
        <v>1</v>
      </c>
      <c r="AA3123" s="124" t="str">
        <f>IFERROR(__xludf.DUMMYFUNCTION("""COMPUTED_VALUE"""),"Engaged")</f>
        <v>Engaged</v>
      </c>
      <c r="AB3123" s="124" t="str">
        <f>IFERROR(__xludf.DUMMYFUNCTION("""COMPUTED_VALUE"""),"GS Foundation")</f>
        <v>GS Foundation</v>
      </c>
    </row>
    <row r="3124">
      <c r="K3124" s="124"/>
      <c r="L3124" s="124"/>
      <c r="M3124" s="124"/>
      <c r="N3124" s="124"/>
      <c r="O3124" s="124"/>
      <c r="T3124" s="126">
        <f>IFERROR(__xludf.DUMMYFUNCTION("""COMPUTED_VALUE"""),46058.0)</f>
        <v>46058</v>
      </c>
      <c r="U3124" s="124" t="str">
        <f>IFERROR(__xludf.DUMMYFUNCTION("""COMPUTED_VALUE"""),"Publisher Campaign")</f>
        <v>Publisher Campaign</v>
      </c>
      <c r="V3124" s="124" t="str">
        <f>IFERROR(__xludf.DUMMYFUNCTION("""COMPUTED_VALUE"""),"Feeder Cities")</f>
        <v>Feeder Cities</v>
      </c>
      <c r="W3124" s="124"/>
      <c r="X3124" s="124"/>
      <c r="Y3124" s="124" t="str">
        <f>IFERROR(__xludf.DUMMYFUNCTION("""COMPUTED_VALUE"""),"Indore")</f>
        <v>Indore</v>
      </c>
      <c r="Z3124" s="124">
        <f>IFERROR(__xludf.DUMMYFUNCTION("""COMPUTED_VALUE"""),2.0)</f>
        <v>2</v>
      </c>
      <c r="AA3124" s="124" t="str">
        <f>IFERROR(__xludf.DUMMYFUNCTION("""COMPUTED_VALUE"""),"Not Interested")</f>
        <v>Not Interested</v>
      </c>
      <c r="AB3124" s="124" t="str">
        <f>IFERROR(__xludf.DUMMYFUNCTION("""COMPUTED_VALUE"""),"State PCS")</f>
        <v>State PCS</v>
      </c>
    </row>
    <row r="3125">
      <c r="K3125" s="124"/>
      <c r="L3125" s="124"/>
      <c r="M3125" s="124"/>
      <c r="N3125" s="124"/>
      <c r="O3125" s="124"/>
      <c r="T3125" s="126">
        <f>IFERROR(__xludf.DUMMYFUNCTION("""COMPUTED_VALUE"""),46076.0)</f>
        <v>46076</v>
      </c>
      <c r="U3125" s="124" t="str">
        <f>IFERROR(__xludf.DUMMYFUNCTION("""COMPUTED_VALUE"""),"Publisher Campaign")</f>
        <v>Publisher Campaign</v>
      </c>
      <c r="V3125" s="124" t="str">
        <f>IFERROR(__xludf.DUMMYFUNCTION("""COMPUTED_VALUE"""),"Webinar")</f>
        <v>Webinar</v>
      </c>
      <c r="W3125" s="124"/>
      <c r="X3125" s="124"/>
      <c r="Y3125" s="124" t="str">
        <f>IFERROR(__xludf.DUMMYFUNCTION("""COMPUTED_VALUE"""),"Delhi")</f>
        <v>Delhi</v>
      </c>
      <c r="Z3125" s="124">
        <f>IFERROR(__xludf.DUMMYFUNCTION("""COMPUTED_VALUE"""),1.0)</f>
        <v>1</v>
      </c>
      <c r="AA3125" s="124" t="str">
        <f>IFERROR(__xludf.DUMMYFUNCTION("""COMPUTED_VALUE"""),"Not Interested")</f>
        <v>Not Interested</v>
      </c>
      <c r="AB3125" s="124" t="str">
        <f>IFERROR(__xludf.DUMMYFUNCTION("""COMPUTED_VALUE"""),"Prelims Crash Course - SIP")</f>
        <v>Prelims Crash Course - SIP</v>
      </c>
    </row>
    <row r="3126">
      <c r="K3126" s="124"/>
      <c r="L3126" s="124"/>
      <c r="M3126" s="124"/>
      <c r="N3126" s="124"/>
      <c r="O3126" s="124"/>
      <c r="T3126" s="126">
        <f>IFERROR(__xludf.DUMMYFUNCTION("""COMPUTED_VALUE"""),46071.0)</f>
        <v>46071</v>
      </c>
      <c r="U3126" s="124" t="str">
        <f>IFERROR(__xludf.DUMMYFUNCTION("""COMPUTED_VALUE"""),"Publisher Campaign")</f>
        <v>Publisher Campaign</v>
      </c>
      <c r="V3126" s="124" t="str">
        <f>IFERROR(__xludf.DUMMYFUNCTION("""COMPUTED_VALUE"""),"Feeder Cities")</f>
        <v>Feeder Cities</v>
      </c>
      <c r="W3126" s="124"/>
      <c r="X3126" s="124"/>
      <c r="Y3126" s="124" t="str">
        <f>IFERROR(__xludf.DUMMYFUNCTION("""COMPUTED_VALUE"""),"Indore")</f>
        <v>Indore</v>
      </c>
      <c r="Z3126" s="124">
        <f>IFERROR(__xludf.DUMMYFUNCTION("""COMPUTED_VALUE"""),1.0)</f>
        <v>1</v>
      </c>
      <c r="AA3126" s="124" t="str">
        <f>IFERROR(__xludf.DUMMYFUNCTION("""COMPUTED_VALUE"""),"Not Interested")</f>
        <v>Not Interested</v>
      </c>
      <c r="AB3126" s="124" t="str">
        <f>IFERROR(__xludf.DUMMYFUNCTION("""COMPUTED_VALUE"""),"GS Advanced")</f>
        <v>GS Advanced</v>
      </c>
    </row>
    <row r="3127">
      <c r="K3127" s="124"/>
      <c r="L3127" s="124"/>
      <c r="M3127" s="124"/>
      <c r="N3127" s="124"/>
      <c r="O3127" s="124"/>
      <c r="T3127" s="126">
        <f>IFERROR(__xludf.DUMMYFUNCTION("""COMPUTED_VALUE"""),46082.0)</f>
        <v>46082</v>
      </c>
      <c r="U3127" s="124" t="str">
        <f>IFERROR(__xludf.DUMMYFUNCTION("""COMPUTED_VALUE"""),"Walk-Ins")</f>
        <v>Walk-Ins</v>
      </c>
      <c r="V3127" s="124" t="str">
        <f>IFERROR(__xludf.DUMMYFUNCTION("""COMPUTED_VALUE"""),"Walkin")</f>
        <v>Walkin</v>
      </c>
      <c r="W3127" s="124"/>
      <c r="X3127" s="124"/>
      <c r="Y3127" s="124" t="str">
        <f>IFERROR(__xludf.DUMMYFUNCTION("""COMPUTED_VALUE"""),"Delhi")</f>
        <v>Delhi</v>
      </c>
      <c r="Z3127" s="124">
        <f>IFERROR(__xludf.DUMMYFUNCTION("""COMPUTED_VALUE"""),1.0)</f>
        <v>1</v>
      </c>
      <c r="AA3127" s="124" t="str">
        <f>IFERROR(__xludf.DUMMYFUNCTION("""COMPUTED_VALUE"""),"Not Interested")</f>
        <v>Not Interested</v>
      </c>
      <c r="AB3127" s="124" t="str">
        <f>IFERROR(__xludf.DUMMYFUNCTION("""COMPUTED_VALUE"""),"GS Foundation")</f>
        <v>GS Foundation</v>
      </c>
    </row>
    <row r="3128">
      <c r="K3128" s="124"/>
      <c r="L3128" s="124"/>
      <c r="M3128" s="124"/>
      <c r="N3128" s="124"/>
      <c r="O3128" s="124"/>
      <c r="T3128" s="126">
        <f>IFERROR(__xludf.DUMMYFUNCTION("""COMPUTED_VALUE"""),46076.0)</f>
        <v>46076</v>
      </c>
      <c r="U3128" s="124" t="str">
        <f>IFERROR(__xludf.DUMMYFUNCTION("""COMPUTED_VALUE"""),"Publisher Campaign")</f>
        <v>Publisher Campaign</v>
      </c>
      <c r="V3128" s="124" t="str">
        <f>IFERROR(__xludf.DUMMYFUNCTION("""COMPUTED_VALUE"""),"Webinar")</f>
        <v>Webinar</v>
      </c>
      <c r="W3128" s="124"/>
      <c r="X3128" s="124"/>
      <c r="Y3128" s="124" t="str">
        <f>IFERROR(__xludf.DUMMYFUNCTION("""COMPUTED_VALUE"""),"Delhi")</f>
        <v>Delhi</v>
      </c>
      <c r="Z3128" s="124">
        <f>IFERROR(__xludf.DUMMYFUNCTION("""COMPUTED_VALUE"""),2.0)</f>
        <v>2</v>
      </c>
      <c r="AA3128" s="124" t="str">
        <f>IFERROR(__xludf.DUMMYFUNCTION("""COMPUTED_VALUE"""),"Cold")</f>
        <v>Cold</v>
      </c>
      <c r="AB3128" s="124" t="str">
        <f>IFERROR(__xludf.DUMMYFUNCTION("""COMPUTED_VALUE"""),"Optionals")</f>
        <v>Optionals</v>
      </c>
    </row>
    <row r="3129">
      <c r="K3129" s="124"/>
      <c r="L3129" s="124"/>
      <c r="M3129" s="124"/>
      <c r="N3129" s="124"/>
      <c r="O3129" s="124"/>
      <c r="T3129" s="129">
        <f>IFERROR(__xludf.DUMMYFUNCTION("""COMPUTED_VALUE"""),46060.0)</f>
        <v>46060</v>
      </c>
      <c r="U3129" s="124" t="str">
        <f>IFERROR(__xludf.DUMMYFUNCTION("""COMPUTED_VALUE"""),"Publisher Campaign")</f>
        <v>Publisher Campaign</v>
      </c>
      <c r="V3129" s="124" t="str">
        <f>IFERROR(__xludf.DUMMYFUNCTION("""COMPUTED_VALUE"""),"Webinar")</f>
        <v>Webinar</v>
      </c>
      <c r="W3129" s="124"/>
      <c r="X3129" s="124"/>
      <c r="Y3129" s="124" t="str">
        <f>IFERROR(__xludf.DUMMYFUNCTION("""COMPUTED_VALUE"""),"Delhi")</f>
        <v>Delhi</v>
      </c>
      <c r="Z3129" s="124">
        <f>IFERROR(__xludf.DUMMYFUNCTION("""COMPUTED_VALUE"""),1.0)</f>
        <v>1</v>
      </c>
      <c r="AA3129" s="124" t="str">
        <f>IFERROR(__xludf.DUMMYFUNCTION("""COMPUTED_VALUE"""),"Not Interested")</f>
        <v>Not Interested</v>
      </c>
      <c r="AB3129" s="124" t="str">
        <f>IFERROR(__xludf.DUMMYFUNCTION("""COMPUTED_VALUE"""),"Mentorship")</f>
        <v>Mentorship</v>
      </c>
    </row>
    <row r="3130">
      <c r="K3130" s="124"/>
      <c r="L3130" s="124"/>
      <c r="M3130" s="124"/>
      <c r="N3130" s="124"/>
      <c r="O3130" s="124"/>
      <c r="T3130" s="129">
        <f>IFERROR(__xludf.DUMMYFUNCTION("""COMPUTED_VALUE"""),46044.0)</f>
        <v>46044</v>
      </c>
      <c r="U3130" s="124" t="str">
        <f>IFERROR(__xludf.DUMMYFUNCTION("""COMPUTED_VALUE"""),"External Leads")</f>
        <v>External Leads</v>
      </c>
      <c r="V3130" s="124" t="str">
        <f>IFERROR(__xludf.DUMMYFUNCTION("""COMPUTED_VALUE"""),"external leads")</f>
        <v>external leads</v>
      </c>
      <c r="W3130" s="124"/>
      <c r="X3130" s="124"/>
      <c r="Y3130" s="124" t="str">
        <f>IFERROR(__xludf.DUMMYFUNCTION("""COMPUTED_VALUE"""),"Delhi")</f>
        <v>Delhi</v>
      </c>
      <c r="Z3130" s="124">
        <f>IFERROR(__xludf.DUMMYFUNCTION("""COMPUTED_VALUE"""),2.0)</f>
        <v>2</v>
      </c>
      <c r="AA3130" s="124" t="str">
        <f>IFERROR(__xludf.DUMMYFUNCTION("""COMPUTED_VALUE"""),"Not Interested")</f>
        <v>Not Interested</v>
      </c>
      <c r="AB3130" s="124"/>
    </row>
    <row r="3131">
      <c r="K3131" s="124"/>
      <c r="L3131" s="124"/>
      <c r="M3131" s="124"/>
      <c r="N3131" s="124"/>
      <c r="O3131" s="124"/>
      <c r="T3131" s="126">
        <f>IFERROR(__xludf.DUMMYFUNCTION("""COMPUTED_VALUE"""),46068.0)</f>
        <v>46068</v>
      </c>
      <c r="U3131" s="124" t="str">
        <f>IFERROR(__xludf.DUMMYFUNCTION("""COMPUTED_VALUE"""),"Publisher Campaign")</f>
        <v>Publisher Campaign</v>
      </c>
      <c r="V3131" s="124" t="str">
        <f>IFERROR(__xludf.DUMMYFUNCTION("""COMPUTED_VALUE"""),"Webinar")</f>
        <v>Webinar</v>
      </c>
      <c r="W3131" s="124"/>
      <c r="X3131" s="124"/>
      <c r="Y3131" s="124" t="str">
        <f>IFERROR(__xludf.DUMMYFUNCTION("""COMPUTED_VALUE"""),"Delhi")</f>
        <v>Delhi</v>
      </c>
      <c r="Z3131" s="124">
        <f>IFERROR(__xludf.DUMMYFUNCTION("""COMPUTED_VALUE"""),1.0)</f>
        <v>1</v>
      </c>
      <c r="AA3131" s="124" t="str">
        <f>IFERROR(__xludf.DUMMYFUNCTION("""COMPUTED_VALUE"""),"Not Interested")</f>
        <v>Not Interested</v>
      </c>
      <c r="AB3131" s="124" t="str">
        <f>IFERROR(__xludf.DUMMYFUNCTION("""COMPUTED_VALUE"""),"GS Advanced")</f>
        <v>GS Advanced</v>
      </c>
    </row>
    <row r="3132">
      <c r="K3132" s="124"/>
      <c r="L3132" s="124"/>
      <c r="M3132" s="124"/>
      <c r="N3132" s="124"/>
      <c r="O3132" s="124"/>
      <c r="T3132" s="126">
        <f>IFERROR(__xludf.DUMMYFUNCTION("""COMPUTED_VALUE"""),46053.0)</f>
        <v>46053</v>
      </c>
      <c r="U3132" s="124" t="str">
        <f>IFERROR(__xludf.DUMMYFUNCTION("""COMPUTED_VALUE"""),"Other Marketing Channels")</f>
        <v>Other Marketing Channels</v>
      </c>
      <c r="V3132" s="124" t="str">
        <f>IFERROR(__xludf.DUMMYFUNCTION("""COMPUTED_VALUE"""),"Online Leads")</f>
        <v>Online Leads</v>
      </c>
      <c r="W3132" s="124" t="str">
        <f>IFERROR(__xludf.DUMMYFUNCTION("""COMPUTED_VALUE"""),"Existing Students")</f>
        <v>Existing Students</v>
      </c>
      <c r="X3132" s="124" t="str">
        <f>IFERROR(__xludf.DUMMYFUNCTION("""COMPUTED_VALUE"""),"Lucknow")</f>
        <v>Lucknow</v>
      </c>
      <c r="Y3132" s="124" t="str">
        <f>IFERROR(__xludf.DUMMYFUNCTION("""COMPUTED_VALUE"""),"Lucknow")</f>
        <v>Lucknow</v>
      </c>
      <c r="Z3132" s="124">
        <f>IFERROR(__xludf.DUMMYFUNCTION("""COMPUTED_VALUE"""),1.0)</f>
        <v>1</v>
      </c>
      <c r="AA3132" s="124" t="str">
        <f>IFERROR(__xludf.DUMMYFUNCTION("""COMPUTED_VALUE"""),"Enrolled")</f>
        <v>Enrolled</v>
      </c>
      <c r="AB3132" s="124" t="str">
        <f>IFERROR(__xludf.DUMMYFUNCTION("""COMPUTED_VALUE"""),"GS Foundation")</f>
        <v>GS Foundation</v>
      </c>
    </row>
    <row r="3133">
      <c r="K3133" s="124"/>
      <c r="L3133" s="124"/>
      <c r="M3133" s="124"/>
      <c r="N3133" s="124"/>
      <c r="O3133" s="124"/>
      <c r="T3133" s="129">
        <f>IFERROR(__xludf.DUMMYFUNCTION("""COMPUTED_VALUE"""),46073.0)</f>
        <v>46073</v>
      </c>
      <c r="U3133" s="124" t="str">
        <f>IFERROR(__xludf.DUMMYFUNCTION("""COMPUTED_VALUE"""),"Walk-Ins")</f>
        <v>Walk-Ins</v>
      </c>
      <c r="V3133" s="124" t="str">
        <f>IFERROR(__xludf.DUMMYFUNCTION("""COMPUTED_VALUE"""),"Walkin")</f>
        <v>Walkin</v>
      </c>
      <c r="W3133" s="124"/>
      <c r="X3133" s="124"/>
      <c r="Y3133" s="124" t="str">
        <f>IFERROR(__xludf.DUMMYFUNCTION("""COMPUTED_VALUE"""),"Delhi")</f>
        <v>Delhi</v>
      </c>
      <c r="Z3133" s="124">
        <f>IFERROR(__xludf.DUMMYFUNCTION("""COMPUTED_VALUE"""),2.0)</f>
        <v>2</v>
      </c>
      <c r="AA3133" s="124" t="str">
        <f>IFERROR(__xludf.DUMMYFUNCTION("""COMPUTED_VALUE"""),"Not Interested")</f>
        <v>Not Interested</v>
      </c>
      <c r="AB3133" s="124" t="str">
        <f>IFERROR(__xludf.DUMMYFUNCTION("""COMPUTED_VALUE"""),"GS Foundation")</f>
        <v>GS Foundation</v>
      </c>
    </row>
    <row r="3134">
      <c r="K3134" s="124"/>
      <c r="L3134" s="124"/>
      <c r="M3134" s="124"/>
      <c r="N3134" s="124"/>
      <c r="O3134" s="124"/>
      <c r="T3134" s="126">
        <f>IFERROR(__xludf.DUMMYFUNCTION("""COMPUTED_VALUE"""),46080.0)</f>
        <v>46080</v>
      </c>
      <c r="U3134" s="124" t="str">
        <f>IFERROR(__xludf.DUMMYFUNCTION("""COMPUTED_VALUE"""),"Publisher Campaign")</f>
        <v>Publisher Campaign</v>
      </c>
      <c r="V3134" s="124" t="str">
        <f>IFERROR(__xludf.DUMMYFUNCTION("""COMPUTED_VALUE"""),"Webinar")</f>
        <v>Webinar</v>
      </c>
      <c r="W3134" s="124"/>
      <c r="X3134" s="124"/>
      <c r="Y3134" s="124" t="str">
        <f>IFERROR(__xludf.DUMMYFUNCTION("""COMPUTED_VALUE"""),"Hyderabad")</f>
        <v>Hyderabad</v>
      </c>
      <c r="Z3134" s="124">
        <f>IFERROR(__xludf.DUMMYFUNCTION("""COMPUTED_VALUE"""),1.0)</f>
        <v>1</v>
      </c>
      <c r="AA3134" s="124"/>
      <c r="AB3134" s="124" t="str">
        <f>IFERROR(__xludf.DUMMYFUNCTION("""COMPUTED_VALUE"""),"SIP Offline")</f>
        <v>SIP Offline</v>
      </c>
    </row>
    <row r="3135">
      <c r="K3135" s="124"/>
      <c r="L3135" s="124"/>
      <c r="M3135" s="124"/>
      <c r="N3135" s="124"/>
      <c r="O3135" s="124"/>
      <c r="T3135" s="126">
        <f>IFERROR(__xludf.DUMMYFUNCTION("""COMPUTED_VALUE"""),46046.0)</f>
        <v>46046</v>
      </c>
      <c r="U3135" s="124" t="str">
        <f>IFERROR(__xludf.DUMMYFUNCTION("""COMPUTED_VALUE"""),"External Leads")</f>
        <v>External Leads</v>
      </c>
      <c r="V3135" s="124" t="str">
        <f>IFERROR(__xludf.DUMMYFUNCTION("""COMPUTED_VALUE"""),"external leads")</f>
        <v>external leads</v>
      </c>
      <c r="W3135" s="124"/>
      <c r="X3135" s="124"/>
      <c r="Y3135" s="124" t="str">
        <f>IFERROR(__xludf.DUMMYFUNCTION("""COMPUTED_VALUE"""),"Delhi")</f>
        <v>Delhi</v>
      </c>
      <c r="Z3135" s="124">
        <f>IFERROR(__xludf.DUMMYFUNCTION("""COMPUTED_VALUE"""),2.0)</f>
        <v>2</v>
      </c>
      <c r="AA3135" s="124" t="str">
        <f>IFERROR(__xludf.DUMMYFUNCTION("""COMPUTED_VALUE"""),"Engaged")</f>
        <v>Engaged</v>
      </c>
      <c r="AB3135" s="124"/>
    </row>
    <row r="3136">
      <c r="K3136" s="124"/>
      <c r="L3136" s="124"/>
      <c r="M3136" s="124"/>
      <c r="N3136" s="124"/>
      <c r="O3136" s="124"/>
      <c r="T3136" s="126">
        <f>IFERROR(__xludf.DUMMYFUNCTION("""COMPUTED_VALUE"""),46079.0)</f>
        <v>46079</v>
      </c>
      <c r="U3136" s="124" t="str">
        <f>IFERROR(__xludf.DUMMYFUNCTION("""COMPUTED_VALUE"""),"Publisher Campaign")</f>
        <v>Publisher Campaign</v>
      </c>
      <c r="V3136" s="124" t="str">
        <f>IFERROR(__xludf.DUMMYFUNCTION("""COMPUTED_VALUE"""),"Webinar")</f>
        <v>Webinar</v>
      </c>
      <c r="W3136" s="124"/>
      <c r="X3136" s="124"/>
      <c r="Y3136" s="124" t="str">
        <f>IFERROR(__xludf.DUMMYFUNCTION("""COMPUTED_VALUE"""),"Lucknow")</f>
        <v>Lucknow</v>
      </c>
      <c r="Z3136" s="124">
        <f>IFERROR(__xludf.DUMMYFUNCTION("""COMPUTED_VALUE"""),1.0)</f>
        <v>1</v>
      </c>
      <c r="AA3136" s="124" t="str">
        <f>IFERROR(__xludf.DUMMYFUNCTION("""COMPUTED_VALUE"""),"Cold")</f>
        <v>Cold</v>
      </c>
      <c r="AB3136" s="124" t="str">
        <f>IFERROR(__xludf.DUMMYFUNCTION("""COMPUTED_VALUE"""),"GS Foundation")</f>
        <v>GS Foundation</v>
      </c>
    </row>
    <row r="3137">
      <c r="K3137" s="124"/>
      <c r="L3137" s="124"/>
      <c r="M3137" s="124"/>
      <c r="N3137" s="124"/>
      <c r="O3137" s="124"/>
      <c r="T3137" s="129">
        <f>IFERROR(__xludf.DUMMYFUNCTION("""COMPUTED_VALUE"""),46059.0)</f>
        <v>46059</v>
      </c>
      <c r="U3137" s="124" t="str">
        <f>IFERROR(__xludf.DUMMYFUNCTION("""COMPUTED_VALUE"""),"Publisher Campaign")</f>
        <v>Publisher Campaign</v>
      </c>
      <c r="V3137" s="124" t="str">
        <f>IFERROR(__xludf.DUMMYFUNCTION("""COMPUTED_VALUE"""),"BTL Activities")</f>
        <v>BTL Activities</v>
      </c>
      <c r="W3137" s="124"/>
      <c r="X3137" s="124"/>
      <c r="Y3137" s="124" t="str">
        <f>IFERROR(__xludf.DUMMYFUNCTION("""COMPUTED_VALUE"""),"Indore")</f>
        <v>Indore</v>
      </c>
      <c r="Z3137" s="124">
        <f>IFERROR(__xludf.DUMMYFUNCTION("""COMPUTED_VALUE"""),1.0)</f>
        <v>1</v>
      </c>
      <c r="AA3137" s="124" t="str">
        <f>IFERROR(__xludf.DUMMYFUNCTION("""COMPUTED_VALUE"""),"Future Prospects")</f>
        <v>Future Prospects</v>
      </c>
      <c r="AB3137" s="124" t="str">
        <f>IFERROR(__xludf.DUMMYFUNCTION("""COMPUTED_VALUE"""),"State PCS")</f>
        <v>State PCS</v>
      </c>
    </row>
    <row r="3138">
      <c r="K3138" s="124"/>
      <c r="L3138" s="124"/>
      <c r="M3138" s="124"/>
      <c r="N3138" s="124"/>
      <c r="O3138" s="124"/>
      <c r="T3138" s="126">
        <f>IFERROR(__xludf.DUMMYFUNCTION("""COMPUTED_VALUE"""),46088.0)</f>
        <v>46088</v>
      </c>
      <c r="U3138" s="124" t="str">
        <f>IFERROR(__xludf.DUMMYFUNCTION("""COMPUTED_VALUE"""),"Publisher Campaign")</f>
        <v>Publisher Campaign</v>
      </c>
      <c r="V3138" s="124" t="str">
        <f>IFERROR(__xludf.DUMMYFUNCTION("""COMPUTED_VALUE"""),"Webinar")</f>
        <v>Webinar</v>
      </c>
      <c r="W3138" s="124"/>
      <c r="X3138" s="124"/>
      <c r="Y3138" s="124" t="str">
        <f>IFERROR(__xludf.DUMMYFUNCTION("""COMPUTED_VALUE"""),"Delhi")</f>
        <v>Delhi</v>
      </c>
      <c r="Z3138" s="124">
        <f>IFERROR(__xludf.DUMMYFUNCTION("""COMPUTED_VALUE"""),1.0)</f>
        <v>1</v>
      </c>
      <c r="AA3138" s="124" t="str">
        <f>IFERROR(__xludf.DUMMYFUNCTION("""COMPUTED_VALUE"""),"Fake Lead")</f>
        <v>Fake Lead</v>
      </c>
      <c r="AB3138" s="124" t="str">
        <f>IFERROR(__xludf.DUMMYFUNCTION("""COMPUTED_VALUE"""),"GS Foundation")</f>
        <v>GS Foundation</v>
      </c>
    </row>
    <row r="3139">
      <c r="K3139" s="124"/>
      <c r="L3139" s="124"/>
      <c r="M3139" s="124"/>
      <c r="N3139" s="124"/>
      <c r="O3139" s="124"/>
      <c r="T3139" s="126">
        <f>IFERROR(__xludf.DUMMYFUNCTION("""COMPUTED_VALUE"""),46069.0)</f>
        <v>46069</v>
      </c>
      <c r="U3139" s="124" t="str">
        <f>IFERROR(__xludf.DUMMYFUNCTION("""COMPUTED_VALUE"""),"Paid Ads")</f>
        <v>Paid Ads</v>
      </c>
      <c r="V3139" s="124" t="str">
        <f>IFERROR(__xludf.DUMMYFUNCTION("""COMPUTED_VALUE"""),"google")</f>
        <v>google</v>
      </c>
      <c r="W3139" s="124" t="str">
        <f>IFERROR(__xludf.DUMMYFUNCTION("""COMPUTED_VALUE"""),"cpc")</f>
        <v>cpc</v>
      </c>
      <c r="X3139" s="124">
        <f>IFERROR(__xludf.DUMMYFUNCTION("""COMPUTED_VALUE"""),2.2754500514E10)</f>
        <v>22754500514</v>
      </c>
      <c r="Y3139" s="124" t="str">
        <f>IFERROR(__xludf.DUMMYFUNCTION("""COMPUTED_VALUE"""),"Delhi")</f>
        <v>Delhi</v>
      </c>
      <c r="Z3139" s="124">
        <f>IFERROR(__xludf.DUMMYFUNCTION("""COMPUTED_VALUE"""),1.0)</f>
        <v>1</v>
      </c>
      <c r="AA3139" s="124" t="str">
        <f>IFERROR(__xludf.DUMMYFUNCTION("""COMPUTED_VALUE"""),"Fake Lead")</f>
        <v>Fake Lead</v>
      </c>
      <c r="AB3139" s="124" t="str">
        <f>IFERROR(__xludf.DUMMYFUNCTION("""COMPUTED_VALUE"""),"GS Foundation")</f>
        <v>GS Foundation</v>
      </c>
    </row>
    <row r="3140">
      <c r="K3140" s="124"/>
      <c r="L3140" s="124"/>
      <c r="M3140" s="124"/>
      <c r="N3140" s="124"/>
      <c r="O3140" s="124"/>
      <c r="T3140" s="129">
        <f>IFERROR(__xludf.DUMMYFUNCTION("""COMPUTED_VALUE"""),46091.0)</f>
        <v>46091</v>
      </c>
      <c r="U3140" s="124" t="str">
        <f>IFERROR(__xludf.DUMMYFUNCTION("""COMPUTED_VALUE"""),"Publisher Campaign")</f>
        <v>Publisher Campaign</v>
      </c>
      <c r="V3140" s="124" t="str">
        <f>IFERROR(__xludf.DUMMYFUNCTION("""COMPUTED_VALUE"""),"BTL Activities")</f>
        <v>BTL Activities</v>
      </c>
      <c r="W3140" s="124"/>
      <c r="X3140" s="124"/>
      <c r="Y3140" s="124" t="str">
        <f>IFERROR(__xludf.DUMMYFUNCTION("""COMPUTED_VALUE"""),"Hyderabad")</f>
        <v>Hyderabad</v>
      </c>
      <c r="Z3140" s="124">
        <f>IFERROR(__xludf.DUMMYFUNCTION("""COMPUTED_VALUE"""),1.0)</f>
        <v>1</v>
      </c>
      <c r="AA3140" s="124" t="str">
        <f>IFERROR(__xludf.DUMMYFUNCTION("""COMPUTED_VALUE"""),"Not Interested")</f>
        <v>Not Interested</v>
      </c>
      <c r="AB3140" s="124" t="str">
        <f>IFERROR(__xludf.DUMMYFUNCTION("""COMPUTED_VALUE"""),"SIP Offline")</f>
        <v>SIP Offline</v>
      </c>
    </row>
    <row r="3141">
      <c r="K3141" s="124"/>
      <c r="L3141" s="124"/>
      <c r="M3141" s="124"/>
      <c r="N3141" s="124"/>
      <c r="O3141" s="124"/>
      <c r="T3141" s="129">
        <f>IFERROR(__xludf.DUMMYFUNCTION("""COMPUTED_VALUE"""),46071.0)</f>
        <v>46071</v>
      </c>
      <c r="U3141" s="124" t="str">
        <f>IFERROR(__xludf.DUMMYFUNCTION("""COMPUTED_VALUE"""),"Publisher Campaign")</f>
        <v>Publisher Campaign</v>
      </c>
      <c r="V3141" s="124" t="str">
        <f>IFERROR(__xludf.DUMMYFUNCTION("""COMPUTED_VALUE"""),"Feeder Cities")</f>
        <v>Feeder Cities</v>
      </c>
      <c r="W3141" s="124"/>
      <c r="X3141" s="124"/>
      <c r="Y3141" s="124" t="str">
        <f>IFERROR(__xludf.DUMMYFUNCTION("""COMPUTED_VALUE"""),"Indore")</f>
        <v>Indore</v>
      </c>
      <c r="Z3141" s="124">
        <f>IFERROR(__xludf.DUMMYFUNCTION("""COMPUTED_VALUE"""),1.0)</f>
        <v>1</v>
      </c>
      <c r="AA3141" s="124" t="str">
        <f>IFERROR(__xludf.DUMMYFUNCTION("""COMPUTED_VALUE"""),"Future Prospects")</f>
        <v>Future Prospects</v>
      </c>
      <c r="AB3141" s="124" t="str">
        <f>IFERROR(__xludf.DUMMYFUNCTION("""COMPUTED_VALUE"""),"GS Foundation")</f>
        <v>GS Foundation</v>
      </c>
    </row>
    <row r="3142">
      <c r="K3142" s="124"/>
      <c r="L3142" s="124"/>
      <c r="M3142" s="124"/>
      <c r="N3142" s="124"/>
      <c r="O3142" s="124"/>
      <c r="T3142" s="126">
        <f>IFERROR(__xludf.DUMMYFUNCTION("""COMPUTED_VALUE"""),46061.0)</f>
        <v>46061</v>
      </c>
      <c r="U3142" s="124" t="str">
        <f>IFERROR(__xludf.DUMMYFUNCTION("""COMPUTED_VALUE"""),"Publisher Campaign")</f>
        <v>Publisher Campaign</v>
      </c>
      <c r="V3142" s="124" t="str">
        <f>IFERROR(__xludf.DUMMYFUNCTION("""COMPUTED_VALUE"""),"Webinar")</f>
        <v>Webinar</v>
      </c>
      <c r="W3142" s="124"/>
      <c r="X3142" s="124"/>
      <c r="Y3142" s="124" t="str">
        <f>IFERROR(__xludf.DUMMYFUNCTION("""COMPUTED_VALUE"""),"Lucknow")</f>
        <v>Lucknow</v>
      </c>
      <c r="Z3142" s="124">
        <f>IFERROR(__xludf.DUMMYFUNCTION("""COMPUTED_VALUE"""),1.0)</f>
        <v>1</v>
      </c>
      <c r="AA3142" s="124" t="str">
        <f>IFERROR(__xludf.DUMMYFUNCTION("""COMPUTED_VALUE"""),"Cold")</f>
        <v>Cold</v>
      </c>
      <c r="AB3142" s="124" t="str">
        <f>IFERROR(__xludf.DUMMYFUNCTION("""COMPUTED_VALUE"""),"Mentorship")</f>
        <v>Mentorship</v>
      </c>
    </row>
    <row r="3143">
      <c r="K3143" s="124"/>
      <c r="L3143" s="124"/>
      <c r="M3143" s="124"/>
      <c r="N3143" s="124"/>
      <c r="O3143" s="124"/>
      <c r="T3143" s="126">
        <f>IFERROR(__xludf.DUMMYFUNCTION("""COMPUTED_VALUE"""),46061.0)</f>
        <v>46061</v>
      </c>
      <c r="U3143" s="124" t="str">
        <f>IFERROR(__xludf.DUMMYFUNCTION("""COMPUTED_VALUE"""),"Publisher Campaign")</f>
        <v>Publisher Campaign</v>
      </c>
      <c r="V3143" s="124" t="str">
        <f>IFERROR(__xludf.DUMMYFUNCTION("""COMPUTED_VALUE"""),"Webinar")</f>
        <v>Webinar</v>
      </c>
      <c r="W3143" s="124"/>
      <c r="X3143" s="124"/>
      <c r="Y3143" s="124" t="str">
        <f>IFERROR(__xludf.DUMMYFUNCTION("""COMPUTED_VALUE"""),"Lucknow")</f>
        <v>Lucknow</v>
      </c>
      <c r="Z3143" s="124">
        <f>IFERROR(__xludf.DUMMYFUNCTION("""COMPUTED_VALUE"""),1.0)</f>
        <v>1</v>
      </c>
      <c r="AA3143" s="124" t="str">
        <f>IFERROR(__xludf.DUMMYFUNCTION("""COMPUTED_VALUE"""),"Fake Lead")</f>
        <v>Fake Lead</v>
      </c>
      <c r="AB3143" s="124" t="str">
        <f>IFERROR(__xludf.DUMMYFUNCTION("""COMPUTED_VALUE"""),"IGP UPPSC")</f>
        <v>IGP UPPSC</v>
      </c>
    </row>
    <row r="3144">
      <c r="K3144" s="124"/>
      <c r="L3144" s="124"/>
      <c r="M3144" s="124"/>
      <c r="N3144" s="124"/>
      <c r="O3144" s="124"/>
      <c r="T3144" s="126">
        <f>IFERROR(__xludf.DUMMYFUNCTION("""COMPUTED_VALUE"""),46097.0)</f>
        <v>46097</v>
      </c>
      <c r="U3144" s="124" t="str">
        <f>IFERROR(__xludf.DUMMYFUNCTION("""COMPUTED_VALUE"""),"Paid Ads")</f>
        <v>Paid Ads</v>
      </c>
      <c r="V3144" s="124" t="str">
        <f>IFERROR(__xludf.DUMMYFUNCTION("""COMPUTED_VALUE"""),"google")</f>
        <v>google</v>
      </c>
      <c r="W3144" s="124" t="str">
        <f>IFERROR(__xludf.DUMMYFUNCTION("""COMPUTED_VALUE"""),"cpc")</f>
        <v>cpc</v>
      </c>
      <c r="X3144" s="124">
        <f>IFERROR(__xludf.DUMMYFUNCTION("""COMPUTED_VALUE"""),2.288825581E10)</f>
        <v>22888255810</v>
      </c>
      <c r="Y3144" s="124" t="str">
        <f>IFERROR(__xludf.DUMMYFUNCTION("""COMPUTED_VALUE"""),"Indore")</f>
        <v>Indore</v>
      </c>
      <c r="Z3144" s="124">
        <f>IFERROR(__xludf.DUMMYFUNCTION("""COMPUTED_VALUE"""),1.0)</f>
        <v>1</v>
      </c>
      <c r="AA3144" s="124" t="str">
        <f>IFERROR(__xludf.DUMMYFUNCTION("""COMPUTED_VALUE"""),"Cold")</f>
        <v>Cold</v>
      </c>
      <c r="AB3144" s="124" t="str">
        <f>IFERROR(__xludf.DUMMYFUNCTION("""COMPUTED_VALUE"""),"Other")</f>
        <v>Other</v>
      </c>
    </row>
    <row r="3145">
      <c r="K3145" s="124"/>
      <c r="L3145" s="124"/>
      <c r="M3145" s="124"/>
      <c r="N3145" s="124"/>
      <c r="O3145" s="124"/>
      <c r="T3145" s="129">
        <f>IFERROR(__xludf.DUMMYFUNCTION("""COMPUTED_VALUE"""),46077.0)</f>
        <v>46077</v>
      </c>
      <c r="U3145" s="124" t="str">
        <f>IFERROR(__xludf.DUMMYFUNCTION("""COMPUTED_VALUE"""),"Publisher Campaign")</f>
        <v>Publisher Campaign</v>
      </c>
      <c r="V3145" s="124" t="str">
        <f>IFERROR(__xludf.DUMMYFUNCTION("""COMPUTED_VALUE"""),"Webinar")</f>
        <v>Webinar</v>
      </c>
      <c r="W3145" s="124"/>
      <c r="X3145" s="124"/>
      <c r="Y3145" s="124" t="str">
        <f>IFERROR(__xludf.DUMMYFUNCTION("""COMPUTED_VALUE"""),"Delhi")</f>
        <v>Delhi</v>
      </c>
      <c r="Z3145" s="124">
        <f>IFERROR(__xludf.DUMMYFUNCTION("""COMPUTED_VALUE"""),1.0)</f>
        <v>1</v>
      </c>
      <c r="AA3145" s="124" t="str">
        <f>IFERROR(__xludf.DUMMYFUNCTION("""COMPUTED_VALUE"""),"Fake Lead")</f>
        <v>Fake Lead</v>
      </c>
      <c r="AB3145" s="124" t="str">
        <f>IFERROR(__xludf.DUMMYFUNCTION("""COMPUTED_VALUE"""),"GS Foundation")</f>
        <v>GS Foundation</v>
      </c>
    </row>
    <row r="3146">
      <c r="K3146" s="124"/>
      <c r="L3146" s="124"/>
      <c r="M3146" s="124"/>
      <c r="N3146" s="124"/>
      <c r="O3146" s="124"/>
      <c r="T3146" s="126">
        <f>IFERROR(__xludf.DUMMYFUNCTION("""COMPUTED_VALUE"""),46060.0)</f>
        <v>46060</v>
      </c>
      <c r="U3146" s="124" t="str">
        <f>IFERROR(__xludf.DUMMYFUNCTION("""COMPUTED_VALUE"""),"Publisher Campaign")</f>
        <v>Publisher Campaign</v>
      </c>
      <c r="V3146" s="124" t="str">
        <f>IFERROR(__xludf.DUMMYFUNCTION("""COMPUTED_VALUE"""),"Webinar")</f>
        <v>Webinar</v>
      </c>
      <c r="W3146" s="124"/>
      <c r="X3146" s="124"/>
      <c r="Y3146" s="124" t="str">
        <f>IFERROR(__xludf.DUMMYFUNCTION("""COMPUTED_VALUE"""),"Delhi")</f>
        <v>Delhi</v>
      </c>
      <c r="Z3146" s="124">
        <f>IFERROR(__xludf.DUMMYFUNCTION("""COMPUTED_VALUE"""),4.0)</f>
        <v>4</v>
      </c>
      <c r="AA3146" s="124" t="str">
        <f>IFERROR(__xludf.DUMMYFUNCTION("""COMPUTED_VALUE"""),"Cold")</f>
        <v>Cold</v>
      </c>
      <c r="AB3146" s="124" t="str">
        <f>IFERROR(__xludf.DUMMYFUNCTION("""COMPUTED_VALUE"""),"Hybrid")</f>
        <v>Hybrid</v>
      </c>
    </row>
    <row r="3147">
      <c r="K3147" s="124"/>
      <c r="L3147" s="124"/>
      <c r="M3147" s="124"/>
      <c r="N3147" s="124"/>
      <c r="O3147" s="124"/>
      <c r="T3147" s="126">
        <f>IFERROR(__xludf.DUMMYFUNCTION("""COMPUTED_VALUE"""),46053.0)</f>
        <v>46053</v>
      </c>
      <c r="U3147" s="124" t="str">
        <f>IFERROR(__xludf.DUMMYFUNCTION("""COMPUTED_VALUE"""),"Walk-Ins")</f>
        <v>Walk-Ins</v>
      </c>
      <c r="V3147" s="124" t="str">
        <f>IFERROR(__xludf.DUMMYFUNCTION("""COMPUTED_VALUE"""),"Walkin")</f>
        <v>Walkin</v>
      </c>
      <c r="W3147" s="124"/>
      <c r="X3147" s="124"/>
      <c r="Y3147" s="124" t="str">
        <f>IFERROR(__xludf.DUMMYFUNCTION("""COMPUTED_VALUE"""),"Delhi")</f>
        <v>Delhi</v>
      </c>
      <c r="Z3147" s="124">
        <f>IFERROR(__xludf.DUMMYFUNCTION("""COMPUTED_VALUE"""),1.0)</f>
        <v>1</v>
      </c>
      <c r="AA3147" s="124" t="str">
        <f>IFERROR(__xludf.DUMMYFUNCTION("""COMPUTED_VALUE"""),"Not Interested")</f>
        <v>Not Interested</v>
      </c>
      <c r="AB3147" s="124" t="str">
        <f>IFERROR(__xludf.DUMMYFUNCTION("""COMPUTED_VALUE"""),"Optionals")</f>
        <v>Optionals</v>
      </c>
    </row>
    <row r="3148">
      <c r="K3148" s="124"/>
      <c r="L3148" s="124"/>
      <c r="M3148" s="124"/>
      <c r="N3148" s="124"/>
      <c r="O3148" s="124"/>
      <c r="T3148" s="126">
        <f>IFERROR(__xludf.DUMMYFUNCTION("""COMPUTED_VALUE"""),46044.0)</f>
        <v>46044</v>
      </c>
      <c r="U3148" s="124" t="str">
        <f>IFERROR(__xludf.DUMMYFUNCTION("""COMPUTED_VALUE"""),"Event")</f>
        <v>Event</v>
      </c>
      <c r="V3148" s="124" t="str">
        <f>IFERROR(__xludf.DUMMYFUNCTION("""COMPUTED_VALUE"""),"Events")</f>
        <v>Events</v>
      </c>
      <c r="W3148" s="124" t="str">
        <f>IFERROR(__xludf.DUMMYFUNCTION("""COMPUTED_VALUE"""),"Delhi")</f>
        <v>Delhi</v>
      </c>
      <c r="X3148" s="124"/>
      <c r="Y3148" s="124"/>
      <c r="Z3148" s="124">
        <f>IFERROR(__xludf.DUMMYFUNCTION("""COMPUTED_VALUE"""),1.0)</f>
        <v>1</v>
      </c>
      <c r="AA3148" s="124" t="str">
        <f>IFERROR(__xludf.DUMMYFUNCTION("""COMPUTED_VALUE"""),"Fake Lead")</f>
        <v>Fake Lead</v>
      </c>
      <c r="AB3148" s="124"/>
    </row>
    <row r="3149">
      <c r="K3149" s="124"/>
      <c r="L3149" s="124"/>
      <c r="M3149" s="124"/>
      <c r="N3149" s="124"/>
      <c r="O3149" s="124"/>
      <c r="T3149" s="126">
        <f>IFERROR(__xludf.DUMMYFUNCTION("""COMPUTED_VALUE"""),46079.0)</f>
        <v>46079</v>
      </c>
      <c r="U3149" s="124" t="str">
        <f>IFERROR(__xludf.DUMMYFUNCTION("""COMPUTED_VALUE"""),"Publisher Campaign")</f>
        <v>Publisher Campaign</v>
      </c>
      <c r="V3149" s="124" t="str">
        <f>IFERROR(__xludf.DUMMYFUNCTION("""COMPUTED_VALUE"""),"Webinar")</f>
        <v>Webinar</v>
      </c>
      <c r="W3149" s="124"/>
      <c r="X3149" s="124"/>
      <c r="Y3149" s="124" t="str">
        <f>IFERROR(__xludf.DUMMYFUNCTION("""COMPUTED_VALUE"""),"Delhi")</f>
        <v>Delhi</v>
      </c>
      <c r="Z3149" s="124">
        <f>IFERROR(__xludf.DUMMYFUNCTION("""COMPUTED_VALUE"""),4.0)</f>
        <v>4</v>
      </c>
      <c r="AA3149" s="124" t="str">
        <f>IFERROR(__xludf.DUMMYFUNCTION("""COMPUTED_VALUE"""),"Warm")</f>
        <v>Warm</v>
      </c>
      <c r="AB3149" s="124" t="str">
        <f>IFERROR(__xludf.DUMMYFUNCTION("""COMPUTED_VALUE"""),"Test Series")</f>
        <v>Test Series</v>
      </c>
    </row>
    <row r="3150">
      <c r="K3150" s="124"/>
      <c r="L3150" s="124"/>
      <c r="M3150" s="124"/>
      <c r="N3150" s="124"/>
      <c r="O3150" s="124"/>
      <c r="T3150" s="129">
        <f>IFERROR(__xludf.DUMMYFUNCTION("""COMPUTED_VALUE"""),46080.0)</f>
        <v>46080</v>
      </c>
      <c r="U3150" s="124" t="str">
        <f>IFERROR(__xludf.DUMMYFUNCTION("""COMPUTED_VALUE"""),"Publisher Campaign")</f>
        <v>Publisher Campaign</v>
      </c>
      <c r="V3150" s="124" t="str">
        <f>IFERROR(__xludf.DUMMYFUNCTION("""COMPUTED_VALUE"""),"Webinar")</f>
        <v>Webinar</v>
      </c>
      <c r="W3150" s="124"/>
      <c r="X3150" s="124"/>
      <c r="Y3150" s="124" t="str">
        <f>IFERROR(__xludf.DUMMYFUNCTION("""COMPUTED_VALUE"""),"Lucknow")</f>
        <v>Lucknow</v>
      </c>
      <c r="Z3150" s="124">
        <f>IFERROR(__xludf.DUMMYFUNCTION("""COMPUTED_VALUE"""),1.0)</f>
        <v>1</v>
      </c>
      <c r="AA3150" s="124" t="str">
        <f>IFERROR(__xludf.DUMMYFUNCTION("""COMPUTED_VALUE"""),"Cold")</f>
        <v>Cold</v>
      </c>
      <c r="AB3150" s="124" t="str">
        <f>IFERROR(__xludf.DUMMYFUNCTION("""COMPUTED_VALUE"""),"State PCS")</f>
        <v>State PCS</v>
      </c>
    </row>
    <row r="3151">
      <c r="K3151" s="124"/>
      <c r="L3151" s="124"/>
      <c r="M3151" s="124"/>
      <c r="N3151" s="124"/>
      <c r="O3151" s="124"/>
      <c r="T3151" s="126">
        <f>IFERROR(__xludf.DUMMYFUNCTION("""COMPUTED_VALUE"""),46046.0)</f>
        <v>46046</v>
      </c>
      <c r="U3151" s="124" t="str">
        <f>IFERROR(__xludf.DUMMYFUNCTION("""COMPUTED_VALUE"""),"External Leads")</f>
        <v>External Leads</v>
      </c>
      <c r="V3151" s="124" t="str">
        <f>IFERROR(__xludf.DUMMYFUNCTION("""COMPUTED_VALUE"""),"external leads")</f>
        <v>external leads</v>
      </c>
      <c r="W3151" s="124"/>
      <c r="X3151" s="124"/>
      <c r="Y3151" s="124"/>
      <c r="Z3151" s="124">
        <f>IFERROR(__xludf.DUMMYFUNCTION("""COMPUTED_VALUE"""),1.0)</f>
        <v>1</v>
      </c>
      <c r="AA3151" s="124" t="str">
        <f>IFERROR(__xludf.DUMMYFUNCTION("""COMPUTED_VALUE"""),"Engaged")</f>
        <v>Engaged</v>
      </c>
      <c r="AB3151" s="124"/>
    </row>
    <row r="3152">
      <c r="K3152" s="124"/>
      <c r="L3152" s="124"/>
      <c r="M3152" s="124"/>
      <c r="N3152" s="124"/>
      <c r="O3152" s="124"/>
      <c r="T3152" s="126">
        <f>IFERROR(__xludf.DUMMYFUNCTION("""COMPUTED_VALUE"""),46067.0)</f>
        <v>46067</v>
      </c>
      <c r="U3152" s="124" t="str">
        <f>IFERROR(__xludf.DUMMYFUNCTION("""COMPUTED_VALUE"""),"Publisher Campaign")</f>
        <v>Publisher Campaign</v>
      </c>
      <c r="V3152" s="124" t="str">
        <f>IFERROR(__xludf.DUMMYFUNCTION("""COMPUTED_VALUE"""),"Webinar")</f>
        <v>Webinar</v>
      </c>
      <c r="W3152" s="124"/>
      <c r="X3152" s="124"/>
      <c r="Y3152" s="124" t="str">
        <f>IFERROR(__xludf.DUMMYFUNCTION("""COMPUTED_VALUE"""),"Delhi")</f>
        <v>Delhi</v>
      </c>
      <c r="Z3152" s="124">
        <f>IFERROR(__xludf.DUMMYFUNCTION("""COMPUTED_VALUE"""),1.0)</f>
        <v>1</v>
      </c>
      <c r="AA3152" s="124" t="str">
        <f>IFERROR(__xludf.DUMMYFUNCTION("""COMPUTED_VALUE"""),"Cold")</f>
        <v>Cold</v>
      </c>
      <c r="AB3152" s="124" t="str">
        <f>IFERROR(__xludf.DUMMYFUNCTION("""COMPUTED_VALUE"""),"IGP UPPSC")</f>
        <v>IGP UPPSC</v>
      </c>
    </row>
    <row r="3153">
      <c r="K3153" s="124"/>
      <c r="L3153" s="124"/>
      <c r="M3153" s="124"/>
      <c r="N3153" s="124"/>
      <c r="O3153" s="124"/>
      <c r="T3153" s="126">
        <f>IFERROR(__xludf.DUMMYFUNCTION("""COMPUTED_VALUE"""),46045.0)</f>
        <v>46045</v>
      </c>
      <c r="U3153" s="124" t="str">
        <f>IFERROR(__xludf.DUMMYFUNCTION("""COMPUTED_VALUE"""),"External Leads")</f>
        <v>External Leads</v>
      </c>
      <c r="V3153" s="124" t="str">
        <f>IFERROR(__xludf.DUMMYFUNCTION("""COMPUTED_VALUE"""),"external leads")</f>
        <v>external leads</v>
      </c>
      <c r="W3153" s="124"/>
      <c r="X3153" s="124"/>
      <c r="Y3153" s="124"/>
      <c r="Z3153" s="124">
        <f>IFERROR(__xludf.DUMMYFUNCTION("""COMPUTED_VALUE"""),2.0)</f>
        <v>2</v>
      </c>
      <c r="AA3153" s="124" t="str">
        <f>IFERROR(__xludf.DUMMYFUNCTION("""COMPUTED_VALUE"""),"Engaged")</f>
        <v>Engaged</v>
      </c>
      <c r="AB3153" s="124"/>
    </row>
    <row r="3154">
      <c r="K3154" s="124"/>
      <c r="L3154" s="124"/>
      <c r="M3154" s="124"/>
      <c r="N3154" s="124"/>
      <c r="O3154" s="124"/>
      <c r="T3154" s="126">
        <f>IFERROR(__xludf.DUMMYFUNCTION("""COMPUTED_VALUE"""),46065.0)</f>
        <v>46065</v>
      </c>
      <c r="U3154" s="124" t="str">
        <f>IFERROR(__xludf.DUMMYFUNCTION("""COMPUTED_VALUE"""),"Publisher Campaign")</f>
        <v>Publisher Campaign</v>
      </c>
      <c r="V3154" s="124" t="str">
        <f>IFERROR(__xludf.DUMMYFUNCTION("""COMPUTED_VALUE"""),"BTL Activities")</f>
        <v>BTL Activities</v>
      </c>
      <c r="W3154" s="124"/>
      <c r="X3154" s="124"/>
      <c r="Y3154" s="124" t="str">
        <f>IFERROR(__xludf.DUMMYFUNCTION("""COMPUTED_VALUE"""),"Prayagraj")</f>
        <v>Prayagraj</v>
      </c>
      <c r="Z3154" s="124">
        <f>IFERROR(__xludf.DUMMYFUNCTION("""COMPUTED_VALUE"""),1.0)</f>
        <v>1</v>
      </c>
      <c r="AA3154" s="124" t="str">
        <f>IFERROR(__xludf.DUMMYFUNCTION("""COMPUTED_VALUE"""),"Cold")</f>
        <v>Cold</v>
      </c>
      <c r="AB3154" s="124" t="str">
        <f>IFERROR(__xludf.DUMMYFUNCTION("""COMPUTED_VALUE"""),"Mentorship")</f>
        <v>Mentorship</v>
      </c>
    </row>
    <row r="3155">
      <c r="K3155" s="124"/>
      <c r="L3155" s="124"/>
      <c r="M3155" s="124"/>
      <c r="N3155" s="124"/>
      <c r="O3155" s="124"/>
      <c r="T3155" s="126">
        <f>IFERROR(__xludf.DUMMYFUNCTION("""COMPUTED_VALUE"""),46047.0)</f>
        <v>46047</v>
      </c>
      <c r="U3155" s="124" t="str">
        <f>IFERROR(__xludf.DUMMYFUNCTION("""COMPUTED_VALUE"""),"Walk-Ins")</f>
        <v>Walk-Ins</v>
      </c>
      <c r="V3155" s="124" t="str">
        <f>IFERROR(__xludf.DUMMYFUNCTION("""COMPUTED_VALUE"""),"Walkin")</f>
        <v>Walkin</v>
      </c>
      <c r="W3155" s="124" t="str">
        <f>IFERROR(__xludf.DUMMYFUNCTION("""COMPUTED_VALUE"""),"Delhi")</f>
        <v>Delhi</v>
      </c>
      <c r="X3155" s="124" t="str">
        <f>IFERROR(__xludf.DUMMYFUNCTION("""COMPUTED_VALUE"""),"walkin")</f>
        <v>walkin</v>
      </c>
      <c r="Y3155" s="124" t="str">
        <f>IFERROR(__xludf.DUMMYFUNCTION("""COMPUTED_VALUE"""),"Delhi")</f>
        <v>Delhi</v>
      </c>
      <c r="Z3155" s="124">
        <f>IFERROR(__xludf.DUMMYFUNCTION("""COMPUTED_VALUE"""),2.0)</f>
        <v>2</v>
      </c>
      <c r="AA3155" s="124" t="str">
        <f>IFERROR(__xludf.DUMMYFUNCTION("""COMPUTED_VALUE"""),"Fake Lead")</f>
        <v>Fake Lead</v>
      </c>
      <c r="AB3155" s="124" t="str">
        <f>IFERROR(__xludf.DUMMYFUNCTION("""COMPUTED_VALUE"""),"GS Foundation")</f>
        <v>GS Foundation</v>
      </c>
    </row>
    <row r="3156">
      <c r="K3156" s="124"/>
      <c r="L3156" s="124"/>
      <c r="M3156" s="124"/>
      <c r="N3156" s="124"/>
      <c r="O3156" s="124"/>
      <c r="T3156" s="126">
        <f>IFERROR(__xludf.DUMMYFUNCTION("""COMPUTED_VALUE"""),46050.0)</f>
        <v>46050</v>
      </c>
      <c r="U3156" s="124" t="str">
        <f>IFERROR(__xludf.DUMMYFUNCTION("""COMPUTED_VALUE"""),"External Leads")</f>
        <v>External Leads</v>
      </c>
      <c r="V3156" s="124" t="str">
        <f>IFERROR(__xludf.DUMMYFUNCTION("""COMPUTED_VALUE"""),"external leads")</f>
        <v>external leads</v>
      </c>
      <c r="W3156" s="124" t="str">
        <f>IFERROR(__xludf.DUMMYFUNCTION("""COMPUTED_VALUE"""),"delhi")</f>
        <v>delhi</v>
      </c>
      <c r="X3156" s="124" t="str">
        <f>IFERROR(__xludf.DUMMYFUNCTION("""COMPUTED_VALUE"""),"piyushunacademy")</f>
        <v>piyushunacademy</v>
      </c>
      <c r="Y3156" s="124" t="str">
        <f>IFERROR(__xludf.DUMMYFUNCTION("""COMPUTED_VALUE"""),"Delhi")</f>
        <v>Delhi</v>
      </c>
      <c r="Z3156" s="124">
        <f>IFERROR(__xludf.DUMMYFUNCTION("""COMPUTED_VALUE"""),1.0)</f>
        <v>1</v>
      </c>
      <c r="AA3156" s="124" t="str">
        <f>IFERROR(__xludf.DUMMYFUNCTION("""COMPUTED_VALUE"""),"Future Prospects")</f>
        <v>Future Prospects</v>
      </c>
      <c r="AB3156" s="124" t="str">
        <f>IFERROR(__xludf.DUMMYFUNCTION("""COMPUTED_VALUE"""),"GS Foundation")</f>
        <v>GS Foundation</v>
      </c>
    </row>
    <row r="3157">
      <c r="K3157" s="124"/>
      <c r="L3157" s="124"/>
      <c r="M3157" s="124"/>
      <c r="N3157" s="124"/>
      <c r="O3157" s="124"/>
      <c r="T3157" s="129">
        <f>IFERROR(__xludf.DUMMYFUNCTION("""COMPUTED_VALUE"""),46107.0)</f>
        <v>46107</v>
      </c>
      <c r="U3157" s="124" t="str">
        <f>IFERROR(__xludf.DUMMYFUNCTION("""COMPUTED_VALUE"""),"Walk-Ins")</f>
        <v>Walk-Ins</v>
      </c>
      <c r="V3157" s="124" t="str">
        <f>IFERROR(__xludf.DUMMYFUNCTION("""COMPUTED_VALUE"""),"Walkin")</f>
        <v>Walkin</v>
      </c>
      <c r="W3157" s="124" t="str">
        <f>IFERROR(__xludf.DUMMYFUNCTION("""COMPUTED_VALUE"""),"Delhi")</f>
        <v>Delhi</v>
      </c>
      <c r="X3157" s="124" t="str">
        <f>IFERROR(__xludf.DUMMYFUNCTION("""COMPUTED_VALUE"""),"walkin")</f>
        <v>walkin</v>
      </c>
      <c r="Y3157" s="124" t="str">
        <f>IFERROR(__xludf.DUMMYFUNCTION("""COMPUTED_VALUE"""),"Delhi")</f>
        <v>Delhi</v>
      </c>
      <c r="Z3157" s="124">
        <f>IFERROR(__xludf.DUMMYFUNCTION("""COMPUTED_VALUE"""),1.0)</f>
        <v>1</v>
      </c>
      <c r="AA3157" s="124" t="str">
        <f>IFERROR(__xludf.DUMMYFUNCTION("""COMPUTED_VALUE"""),"Enrolled")</f>
        <v>Enrolled</v>
      </c>
      <c r="AB3157" s="124" t="str">
        <f>IFERROR(__xludf.DUMMYFUNCTION("""COMPUTED_VALUE"""),"GS Foundation")</f>
        <v>GS Foundation</v>
      </c>
    </row>
    <row r="3158">
      <c r="K3158" s="124"/>
      <c r="L3158" s="124"/>
      <c r="M3158" s="124"/>
      <c r="N3158" s="124"/>
      <c r="O3158" s="124"/>
      <c r="T3158" s="129">
        <f>IFERROR(__xludf.DUMMYFUNCTION("""COMPUTED_VALUE"""),46057.0)</f>
        <v>46057</v>
      </c>
      <c r="U3158" s="124" t="str">
        <f>IFERROR(__xludf.DUMMYFUNCTION("""COMPUTED_VALUE"""),"Walk-Ins")</f>
        <v>Walk-Ins</v>
      </c>
      <c r="V3158" s="124" t="str">
        <f>IFERROR(__xludf.DUMMYFUNCTION("""COMPUTED_VALUE"""),"Walkin")</f>
        <v>Walkin</v>
      </c>
      <c r="W3158" s="124" t="str">
        <f>IFERROR(__xludf.DUMMYFUNCTION("""COMPUTED_VALUE"""),"Delhi")</f>
        <v>Delhi</v>
      </c>
      <c r="X3158" s="124" t="str">
        <f>IFERROR(__xludf.DUMMYFUNCTION("""COMPUTED_VALUE"""),"walkin")</f>
        <v>walkin</v>
      </c>
      <c r="Y3158" s="124" t="str">
        <f>IFERROR(__xludf.DUMMYFUNCTION("""COMPUTED_VALUE"""),"Delhi")</f>
        <v>Delhi</v>
      </c>
      <c r="Z3158" s="124">
        <f>IFERROR(__xludf.DUMMYFUNCTION("""COMPUTED_VALUE"""),1.0)</f>
        <v>1</v>
      </c>
      <c r="AA3158" s="124" t="str">
        <f>IFERROR(__xludf.DUMMYFUNCTION("""COMPUTED_VALUE"""),"Cold")</f>
        <v>Cold</v>
      </c>
      <c r="AB3158" s="124" t="str">
        <f>IFERROR(__xludf.DUMMYFUNCTION("""COMPUTED_VALUE"""),"Other")</f>
        <v>Other</v>
      </c>
    </row>
    <row r="3159">
      <c r="K3159" s="124"/>
      <c r="L3159" s="124"/>
      <c r="M3159" s="124"/>
      <c r="N3159" s="124"/>
      <c r="O3159" s="124"/>
      <c r="T3159" s="129">
        <f>IFERROR(__xludf.DUMMYFUNCTION("""COMPUTED_VALUE"""),46049.0)</f>
        <v>46049</v>
      </c>
      <c r="U3159" s="124" t="str">
        <f>IFERROR(__xludf.DUMMYFUNCTION("""COMPUTED_VALUE"""),"External Leads")</f>
        <v>External Leads</v>
      </c>
      <c r="V3159" s="124" t="str">
        <f>IFERROR(__xludf.DUMMYFUNCTION("""COMPUTED_VALUE"""),"external leads")</f>
        <v>external leads</v>
      </c>
      <c r="W3159" s="124" t="str">
        <f>IFERROR(__xludf.DUMMYFUNCTION("""COMPUTED_VALUE"""),"prayagraj")</f>
        <v>prayagraj</v>
      </c>
      <c r="X3159" s="124" t="str">
        <f>IFERROR(__xludf.DUMMYFUNCTION("""COMPUTED_VALUE"""),"piyushunacademy")</f>
        <v>piyushunacademy</v>
      </c>
      <c r="Y3159" s="124" t="str">
        <f>IFERROR(__xludf.DUMMYFUNCTION("""COMPUTED_VALUE"""),"Prayagraj")</f>
        <v>Prayagraj</v>
      </c>
      <c r="Z3159" s="124">
        <f>IFERROR(__xludf.DUMMYFUNCTION("""COMPUTED_VALUE"""),1.0)</f>
        <v>1</v>
      </c>
      <c r="AA3159" s="124" t="str">
        <f>IFERROR(__xludf.DUMMYFUNCTION("""COMPUTED_VALUE"""),"Enrolled")</f>
        <v>Enrolled</v>
      </c>
      <c r="AB3159" s="124" t="str">
        <f>IFERROR(__xludf.DUMMYFUNCTION("""COMPUTED_VALUE"""),"Mentorship")</f>
        <v>Mentorship</v>
      </c>
    </row>
    <row r="3160">
      <c r="K3160" s="124"/>
      <c r="L3160" s="124"/>
      <c r="M3160" s="124"/>
      <c r="N3160" s="124"/>
      <c r="O3160" s="124"/>
      <c r="T3160" s="126">
        <f>IFERROR(__xludf.DUMMYFUNCTION("""COMPUTED_VALUE"""),46086.0)</f>
        <v>46086</v>
      </c>
      <c r="U3160" s="124" t="str">
        <f>IFERROR(__xludf.DUMMYFUNCTION("""COMPUTED_VALUE"""),"Walk-Ins")</f>
        <v>Walk-Ins</v>
      </c>
      <c r="V3160" s="124" t="str">
        <f>IFERROR(__xludf.DUMMYFUNCTION("""COMPUTED_VALUE"""),"Walkin")</f>
        <v>Walkin</v>
      </c>
      <c r="W3160" s="124" t="str">
        <f>IFERROR(__xludf.DUMMYFUNCTION("""COMPUTED_VALUE"""),"Delhi")</f>
        <v>Delhi</v>
      </c>
      <c r="X3160" s="124" t="str">
        <f>IFERROR(__xludf.DUMMYFUNCTION("""COMPUTED_VALUE"""),"walkin")</f>
        <v>walkin</v>
      </c>
      <c r="Y3160" s="124" t="str">
        <f>IFERROR(__xludf.DUMMYFUNCTION("""COMPUTED_VALUE"""),"Delhi")</f>
        <v>Delhi</v>
      </c>
      <c r="Z3160" s="124">
        <f>IFERROR(__xludf.DUMMYFUNCTION("""COMPUTED_VALUE"""),1.0)</f>
        <v>1</v>
      </c>
      <c r="AA3160" s="124" t="str">
        <f>IFERROR(__xludf.DUMMYFUNCTION("""COMPUTED_VALUE"""),"Future Prospects")</f>
        <v>Future Prospects</v>
      </c>
      <c r="AB3160" s="124" t="str">
        <f>IFERROR(__xludf.DUMMYFUNCTION("""COMPUTED_VALUE"""),"State PCS")</f>
        <v>State PCS</v>
      </c>
    </row>
    <row r="3161">
      <c r="K3161" s="124"/>
      <c r="L3161" s="124"/>
      <c r="M3161" s="124"/>
      <c r="N3161" s="124"/>
      <c r="O3161" s="124"/>
      <c r="T3161" s="129">
        <f>IFERROR(__xludf.DUMMYFUNCTION("""COMPUTED_VALUE"""),46047.0)</f>
        <v>46047</v>
      </c>
      <c r="U3161" s="124" t="str">
        <f>IFERROR(__xludf.DUMMYFUNCTION("""COMPUTED_VALUE"""),"Walk-Ins")</f>
        <v>Walk-Ins</v>
      </c>
      <c r="V3161" s="124" t="str">
        <f>IFERROR(__xludf.DUMMYFUNCTION("""COMPUTED_VALUE"""),"Walkin")</f>
        <v>Walkin</v>
      </c>
      <c r="W3161" s="124" t="str">
        <f>IFERROR(__xludf.DUMMYFUNCTION("""COMPUTED_VALUE"""),"Delhi")</f>
        <v>Delhi</v>
      </c>
      <c r="X3161" s="124" t="str">
        <f>IFERROR(__xludf.DUMMYFUNCTION("""COMPUTED_VALUE"""),"walkin")</f>
        <v>walkin</v>
      </c>
      <c r="Y3161" s="124" t="str">
        <f>IFERROR(__xludf.DUMMYFUNCTION("""COMPUTED_VALUE"""),"Delhi")</f>
        <v>Delhi</v>
      </c>
      <c r="Z3161" s="124">
        <f>IFERROR(__xludf.DUMMYFUNCTION("""COMPUTED_VALUE"""),1.0)</f>
        <v>1</v>
      </c>
      <c r="AA3161" s="124" t="str">
        <f>IFERROR(__xludf.DUMMYFUNCTION("""COMPUTED_VALUE"""),"Enrolled")</f>
        <v>Enrolled</v>
      </c>
      <c r="AB3161" s="124" t="str">
        <f>IFERROR(__xludf.DUMMYFUNCTION("""COMPUTED_VALUE"""),"Optionals")</f>
        <v>Optionals</v>
      </c>
    </row>
    <row r="3162">
      <c r="K3162" s="124"/>
      <c r="L3162" s="124"/>
      <c r="M3162" s="124"/>
      <c r="N3162" s="124"/>
      <c r="O3162" s="124"/>
      <c r="T3162" s="129">
        <f>IFERROR(__xludf.DUMMYFUNCTION("""COMPUTED_VALUE"""),46100.0)</f>
        <v>46100</v>
      </c>
      <c r="U3162" s="124" t="str">
        <f>IFERROR(__xludf.DUMMYFUNCTION("""COMPUTED_VALUE"""),"Walk-Ins")</f>
        <v>Walk-Ins</v>
      </c>
      <c r="V3162" s="124" t="str">
        <f>IFERROR(__xludf.DUMMYFUNCTION("""COMPUTED_VALUE"""),"Walk-In")</f>
        <v>Walk-In</v>
      </c>
      <c r="W3162" s="124" t="str">
        <f>IFERROR(__xludf.DUMMYFUNCTION("""COMPUTED_VALUE"""),"Delhi")</f>
        <v>Delhi</v>
      </c>
      <c r="X3162" s="124" t="str">
        <f>IFERROR(__xludf.DUMMYFUNCTION("""COMPUTED_VALUE"""),"walkin")</f>
        <v>walkin</v>
      </c>
      <c r="Y3162" s="124" t="str">
        <f>IFERROR(__xludf.DUMMYFUNCTION("""COMPUTED_VALUE"""),"Delhi")</f>
        <v>Delhi</v>
      </c>
      <c r="Z3162" s="124">
        <f>IFERROR(__xludf.DUMMYFUNCTION("""COMPUTED_VALUE"""),1.0)</f>
        <v>1</v>
      </c>
      <c r="AA3162" s="124" t="str">
        <f>IFERROR(__xludf.DUMMYFUNCTION("""COMPUTED_VALUE"""),"Future Prospects")</f>
        <v>Future Prospects</v>
      </c>
      <c r="AB3162" s="124" t="str">
        <f>IFERROR(__xludf.DUMMYFUNCTION("""COMPUTED_VALUE"""),"GS Foundation")</f>
        <v>GS Foundation</v>
      </c>
    </row>
    <row r="3163">
      <c r="K3163" s="124"/>
      <c r="L3163" s="124"/>
      <c r="M3163" s="124"/>
      <c r="N3163" s="124"/>
      <c r="O3163" s="124"/>
      <c r="T3163" s="126">
        <f>IFERROR(__xludf.DUMMYFUNCTION("""COMPUTED_VALUE"""),46094.0)</f>
        <v>46094</v>
      </c>
      <c r="U3163" s="124" t="str">
        <f>IFERROR(__xludf.DUMMYFUNCTION("""COMPUTED_VALUE"""),"External Leads")</f>
        <v>External Leads</v>
      </c>
      <c r="V3163" s="124" t="str">
        <f>IFERROR(__xludf.DUMMYFUNCTION("""COMPUTED_VALUE"""),"external leads")</f>
        <v>external leads</v>
      </c>
      <c r="W3163" s="124" t="str">
        <f>IFERROR(__xludf.DUMMYFUNCTION("""COMPUTED_VALUE"""),"delhi")</f>
        <v>delhi</v>
      </c>
      <c r="X3163" s="124" t="str">
        <f>IFERROR(__xludf.DUMMYFUNCTION("""COMPUTED_VALUE"""),"delhi bulk - piyush")</f>
        <v>delhi bulk - piyush</v>
      </c>
      <c r="Y3163" s="124" t="str">
        <f>IFERROR(__xludf.DUMMYFUNCTION("""COMPUTED_VALUE"""),"Delhi")</f>
        <v>Delhi</v>
      </c>
      <c r="Z3163" s="124">
        <f>IFERROR(__xludf.DUMMYFUNCTION("""COMPUTED_VALUE"""),1.0)</f>
        <v>1</v>
      </c>
      <c r="AA3163" s="124" t="str">
        <f>IFERROR(__xludf.DUMMYFUNCTION("""COMPUTED_VALUE"""),"Fake Lead")</f>
        <v>Fake Lead</v>
      </c>
      <c r="AB3163" s="124"/>
    </row>
    <row r="3164">
      <c r="K3164" s="124"/>
      <c r="L3164" s="124"/>
      <c r="M3164" s="124"/>
      <c r="N3164" s="124"/>
      <c r="O3164" s="124"/>
      <c r="T3164" s="126">
        <f>IFERROR(__xludf.DUMMYFUNCTION("""COMPUTED_VALUE"""),46044.0)</f>
        <v>46044</v>
      </c>
      <c r="U3164" s="124" t="str">
        <f>IFERROR(__xludf.DUMMYFUNCTION("""COMPUTED_VALUE"""),"External Leads")</f>
        <v>External Leads</v>
      </c>
      <c r="V3164" s="124" t="str">
        <f>IFERROR(__xludf.DUMMYFUNCTION("""COMPUTED_VALUE"""),"external leads")</f>
        <v>external leads</v>
      </c>
      <c r="W3164" s="124" t="str">
        <f>IFERROR(__xludf.DUMMYFUNCTION("""COMPUTED_VALUE"""),"lucknow")</f>
        <v>lucknow</v>
      </c>
      <c r="X3164" s="124" t="str">
        <f>IFERROR(__xludf.DUMMYFUNCTION("""COMPUTED_VALUE"""),"university")</f>
        <v>university</v>
      </c>
      <c r="Y3164" s="124" t="str">
        <f>IFERROR(__xludf.DUMMYFUNCTION("""COMPUTED_VALUE"""),"Lucknow")</f>
        <v>Lucknow</v>
      </c>
      <c r="Z3164" s="124">
        <f>IFERROR(__xludf.DUMMYFUNCTION("""COMPUTED_VALUE"""),2.0)</f>
        <v>2</v>
      </c>
      <c r="AA3164" s="124" t="str">
        <f>IFERROR(__xludf.DUMMYFUNCTION("""COMPUTED_VALUE"""),"Fake Lead")</f>
        <v>Fake Lead</v>
      </c>
      <c r="AB3164" s="124"/>
    </row>
    <row r="3165">
      <c r="K3165" s="124"/>
      <c r="L3165" s="124"/>
      <c r="M3165" s="124"/>
      <c r="N3165" s="124"/>
      <c r="O3165" s="124"/>
      <c r="T3165" s="129">
        <f>IFERROR(__xludf.DUMMYFUNCTION("""COMPUTED_VALUE"""),46097.0)</f>
        <v>46097</v>
      </c>
      <c r="U3165" s="124" t="str">
        <f>IFERROR(__xludf.DUMMYFUNCTION("""COMPUTED_VALUE"""),"Walk-Ins")</f>
        <v>Walk-Ins</v>
      </c>
      <c r="V3165" s="124" t="str">
        <f>IFERROR(__xludf.DUMMYFUNCTION("""COMPUTED_VALUE"""),"walk-in")</f>
        <v>walk-in</v>
      </c>
      <c r="W3165" s="124" t="str">
        <f>IFERROR(__xludf.DUMMYFUNCTION("""COMPUTED_VALUE"""),"indore")</f>
        <v>indore</v>
      </c>
      <c r="X3165" s="124" t="str">
        <f>IFERROR(__xludf.DUMMYFUNCTION("""COMPUTED_VALUE"""),"suraj sharma")</f>
        <v>suraj sharma</v>
      </c>
      <c r="Y3165" s="124" t="str">
        <f>IFERROR(__xludf.DUMMYFUNCTION("""COMPUTED_VALUE"""),"Indore")</f>
        <v>Indore</v>
      </c>
      <c r="Z3165" s="124">
        <f>IFERROR(__xludf.DUMMYFUNCTION("""COMPUTED_VALUE"""),1.0)</f>
        <v>1</v>
      </c>
      <c r="AA3165" s="124" t="str">
        <f>IFERROR(__xludf.DUMMYFUNCTION("""COMPUTED_VALUE"""),"Cold")</f>
        <v>Cold</v>
      </c>
      <c r="AB3165" s="124" t="str">
        <f>IFERROR(__xludf.DUMMYFUNCTION("""COMPUTED_VALUE"""),"GS Foundation")</f>
        <v>GS Foundation</v>
      </c>
    </row>
    <row r="3166">
      <c r="K3166" s="124"/>
      <c r="L3166" s="124"/>
      <c r="M3166" s="124"/>
      <c r="N3166" s="124"/>
      <c r="O3166" s="124"/>
      <c r="T3166" s="129">
        <f>IFERROR(__xludf.DUMMYFUNCTION("""COMPUTED_VALUE"""),46049.0)</f>
        <v>46049</v>
      </c>
      <c r="U3166" s="124" t="str">
        <f>IFERROR(__xludf.DUMMYFUNCTION("""COMPUTED_VALUE"""),"Walk-Ins")</f>
        <v>Walk-Ins</v>
      </c>
      <c r="V3166" s="124" t="str">
        <f>IFERROR(__xludf.DUMMYFUNCTION("""COMPUTED_VALUE"""),"Walkin")</f>
        <v>Walkin</v>
      </c>
      <c r="W3166" s="124" t="str">
        <f>IFERROR(__xludf.DUMMYFUNCTION("""COMPUTED_VALUE"""),"Delhi")</f>
        <v>Delhi</v>
      </c>
      <c r="X3166" s="124" t="str">
        <f>IFERROR(__xludf.DUMMYFUNCTION("""COMPUTED_VALUE"""),"walkin")</f>
        <v>walkin</v>
      </c>
      <c r="Y3166" s="124" t="str">
        <f>IFERROR(__xludf.DUMMYFUNCTION("""COMPUTED_VALUE"""),"Delhi")</f>
        <v>Delhi</v>
      </c>
      <c r="Z3166" s="124">
        <f>IFERROR(__xludf.DUMMYFUNCTION("""COMPUTED_VALUE"""),4.0)</f>
        <v>4</v>
      </c>
      <c r="AA3166" s="124" t="str">
        <f>IFERROR(__xludf.DUMMYFUNCTION("""COMPUTED_VALUE"""),"Cold")</f>
        <v>Cold</v>
      </c>
      <c r="AB3166" s="124" t="str">
        <f>IFERROR(__xludf.DUMMYFUNCTION("""COMPUTED_VALUE"""),"GS Foundation")</f>
        <v>GS Foundation</v>
      </c>
    </row>
    <row r="3167">
      <c r="K3167" s="124"/>
      <c r="L3167" s="124"/>
      <c r="M3167" s="124"/>
      <c r="N3167" s="124"/>
      <c r="O3167" s="124"/>
      <c r="T3167" s="126">
        <f>IFERROR(__xludf.DUMMYFUNCTION("""COMPUTED_VALUE"""),46047.0)</f>
        <v>46047</v>
      </c>
      <c r="U3167" s="124" t="str">
        <f>IFERROR(__xludf.DUMMYFUNCTION("""COMPUTED_VALUE"""),"Walk-Ins")</f>
        <v>Walk-Ins</v>
      </c>
      <c r="V3167" s="124" t="str">
        <f>IFERROR(__xludf.DUMMYFUNCTION("""COMPUTED_VALUE"""),"Walkin")</f>
        <v>Walkin</v>
      </c>
      <c r="W3167" s="124" t="str">
        <f>IFERROR(__xludf.DUMMYFUNCTION("""COMPUTED_VALUE"""),"Delhi")</f>
        <v>Delhi</v>
      </c>
      <c r="X3167" s="124" t="str">
        <f>IFERROR(__xludf.DUMMYFUNCTION("""COMPUTED_VALUE"""),"walkin")</f>
        <v>walkin</v>
      </c>
      <c r="Y3167" s="124" t="str">
        <f>IFERROR(__xludf.DUMMYFUNCTION("""COMPUTED_VALUE"""),"Delhi")</f>
        <v>Delhi</v>
      </c>
      <c r="Z3167" s="124">
        <f>IFERROR(__xludf.DUMMYFUNCTION("""COMPUTED_VALUE"""),1.0)</f>
        <v>1</v>
      </c>
      <c r="AA3167" s="124" t="str">
        <f>IFERROR(__xludf.DUMMYFUNCTION("""COMPUTED_VALUE"""),"Not Interested")</f>
        <v>Not Interested</v>
      </c>
      <c r="AB3167" s="124" t="str">
        <f>IFERROR(__xludf.DUMMYFUNCTION("""COMPUTED_VALUE"""),"Test Series")</f>
        <v>Test Series</v>
      </c>
    </row>
    <row r="3168">
      <c r="K3168" s="124"/>
      <c r="L3168" s="124"/>
      <c r="M3168" s="124"/>
      <c r="N3168" s="124"/>
      <c r="O3168" s="124"/>
      <c r="T3168" s="126">
        <f>IFERROR(__xludf.DUMMYFUNCTION("""COMPUTED_VALUE"""),46050.0)</f>
        <v>46050</v>
      </c>
      <c r="U3168" s="124" t="str">
        <f>IFERROR(__xludf.DUMMYFUNCTION("""COMPUTED_VALUE"""),"External Leads")</f>
        <v>External Leads</v>
      </c>
      <c r="V3168" s="124" t="str">
        <f>IFERROR(__xludf.DUMMYFUNCTION("""COMPUTED_VALUE"""),"external leads")</f>
        <v>external leads</v>
      </c>
      <c r="W3168" s="124" t="str">
        <f>IFERROR(__xludf.DUMMYFUNCTION("""COMPUTED_VALUE"""),"patna")</f>
        <v>patna</v>
      </c>
      <c r="X3168" s="124" t="str">
        <f>IFERROR(__xludf.DUMMYFUNCTION("""COMPUTED_VALUE"""),"piyushunacademy")</f>
        <v>piyushunacademy</v>
      </c>
      <c r="Y3168" s="124" t="str">
        <f>IFERROR(__xludf.DUMMYFUNCTION("""COMPUTED_VALUE"""),"Prayagraj")</f>
        <v>Prayagraj</v>
      </c>
      <c r="Z3168" s="124">
        <f>IFERROR(__xludf.DUMMYFUNCTION("""COMPUTED_VALUE"""),2.0)</f>
        <v>2</v>
      </c>
      <c r="AA3168" s="124" t="str">
        <f>IFERROR(__xludf.DUMMYFUNCTION("""COMPUTED_VALUE"""),"Cold")</f>
        <v>Cold</v>
      </c>
      <c r="AB3168" s="124" t="str">
        <f>IFERROR(__xludf.DUMMYFUNCTION("""COMPUTED_VALUE"""),"GS Foundation")</f>
        <v>GS Foundation</v>
      </c>
    </row>
    <row r="3169">
      <c r="K3169" s="124"/>
      <c r="L3169" s="124"/>
      <c r="M3169" s="124"/>
      <c r="N3169" s="124"/>
      <c r="O3169" s="124"/>
      <c r="T3169" s="126">
        <f>IFERROR(__xludf.DUMMYFUNCTION("""COMPUTED_VALUE"""),46059.0)</f>
        <v>46059</v>
      </c>
      <c r="U3169" s="124" t="str">
        <f>IFERROR(__xludf.DUMMYFUNCTION("""COMPUTED_VALUE"""),"Walk-Ins")</f>
        <v>Walk-Ins</v>
      </c>
      <c r="V3169" s="124" t="str">
        <f>IFERROR(__xludf.DUMMYFUNCTION("""COMPUTED_VALUE"""),"Walkin")</f>
        <v>Walkin</v>
      </c>
      <c r="W3169" s="124" t="str">
        <f>IFERROR(__xludf.DUMMYFUNCTION("""COMPUTED_VALUE"""),"Delhi")</f>
        <v>Delhi</v>
      </c>
      <c r="X3169" s="124" t="str">
        <f>IFERROR(__xludf.DUMMYFUNCTION("""COMPUTED_VALUE"""),"walkin")</f>
        <v>walkin</v>
      </c>
      <c r="Y3169" s="124" t="str">
        <f>IFERROR(__xludf.DUMMYFUNCTION("""COMPUTED_VALUE"""),"Delhi")</f>
        <v>Delhi</v>
      </c>
      <c r="Z3169" s="124">
        <f>IFERROR(__xludf.DUMMYFUNCTION("""COMPUTED_VALUE"""),1.0)</f>
        <v>1</v>
      </c>
      <c r="AA3169" s="124" t="str">
        <f>IFERROR(__xludf.DUMMYFUNCTION("""COMPUTED_VALUE"""),"Not Interested")</f>
        <v>Not Interested</v>
      </c>
      <c r="AB3169" s="124" t="str">
        <f>IFERROR(__xludf.DUMMYFUNCTION("""COMPUTED_VALUE"""),"Optionals")</f>
        <v>Optionals</v>
      </c>
    </row>
    <row r="3170">
      <c r="K3170" s="124"/>
      <c r="L3170" s="124"/>
      <c r="M3170" s="124"/>
      <c r="N3170" s="124"/>
      <c r="O3170" s="124"/>
      <c r="T3170" s="126">
        <f>IFERROR(__xludf.DUMMYFUNCTION("""COMPUTED_VALUE"""),46049.0)</f>
        <v>46049</v>
      </c>
      <c r="U3170" s="124" t="str">
        <f>IFERROR(__xludf.DUMMYFUNCTION("""COMPUTED_VALUE"""),"External Leads")</f>
        <v>External Leads</v>
      </c>
      <c r="V3170" s="124" t="str">
        <f>IFERROR(__xludf.DUMMYFUNCTION("""COMPUTED_VALUE"""),"external leads")</f>
        <v>external leads</v>
      </c>
      <c r="W3170" s="124" t="str">
        <f>IFERROR(__xludf.DUMMYFUNCTION("""COMPUTED_VALUE"""),"patna")</f>
        <v>patna</v>
      </c>
      <c r="X3170" s="124" t="str">
        <f>IFERROR(__xludf.DUMMYFUNCTION("""COMPUTED_VALUE"""),"piyushunacademy")</f>
        <v>piyushunacademy</v>
      </c>
      <c r="Y3170" s="124" t="str">
        <f>IFERROR(__xludf.DUMMYFUNCTION("""COMPUTED_VALUE"""),"Patna")</f>
        <v>Patna</v>
      </c>
      <c r="Z3170" s="124">
        <f>IFERROR(__xludf.DUMMYFUNCTION("""COMPUTED_VALUE"""),2.0)</f>
        <v>2</v>
      </c>
      <c r="AA3170" s="124" t="str">
        <f>IFERROR(__xludf.DUMMYFUNCTION("""COMPUTED_VALUE"""),"Cold")</f>
        <v>Cold</v>
      </c>
      <c r="AB3170" s="124" t="str">
        <f>IFERROR(__xludf.DUMMYFUNCTION("""COMPUTED_VALUE"""),"Other")</f>
        <v>Other</v>
      </c>
    </row>
    <row r="3171">
      <c r="K3171" s="124"/>
      <c r="L3171" s="124"/>
      <c r="M3171" s="124"/>
      <c r="N3171" s="124"/>
      <c r="O3171" s="124"/>
      <c r="T3171" s="126">
        <f>IFERROR(__xludf.DUMMYFUNCTION("""COMPUTED_VALUE"""),46075.0)</f>
        <v>46075</v>
      </c>
      <c r="U3171" s="124" t="str">
        <f>IFERROR(__xludf.DUMMYFUNCTION("""COMPUTED_VALUE"""),"Walk-Ins")</f>
        <v>Walk-Ins</v>
      </c>
      <c r="V3171" s="124" t="str">
        <f>IFERROR(__xludf.DUMMYFUNCTION("""COMPUTED_VALUE"""),"Walkin")</f>
        <v>Walkin</v>
      </c>
      <c r="W3171" s="124" t="str">
        <f>IFERROR(__xludf.DUMMYFUNCTION("""COMPUTED_VALUE"""),"Delhi")</f>
        <v>Delhi</v>
      </c>
      <c r="X3171" s="124" t="str">
        <f>IFERROR(__xludf.DUMMYFUNCTION("""COMPUTED_VALUE"""),"walkin")</f>
        <v>walkin</v>
      </c>
      <c r="Y3171" s="124" t="str">
        <f>IFERROR(__xludf.DUMMYFUNCTION("""COMPUTED_VALUE"""),"Delhi")</f>
        <v>Delhi</v>
      </c>
      <c r="Z3171" s="124">
        <f>IFERROR(__xludf.DUMMYFUNCTION("""COMPUTED_VALUE"""),2.0)</f>
        <v>2</v>
      </c>
      <c r="AA3171" s="124" t="str">
        <f>IFERROR(__xludf.DUMMYFUNCTION("""COMPUTED_VALUE"""),"Enrolled")</f>
        <v>Enrolled</v>
      </c>
      <c r="AB3171" s="124" t="str">
        <f>IFERROR(__xludf.DUMMYFUNCTION("""COMPUTED_VALUE"""),"GS Foundation")</f>
        <v>GS Foundation</v>
      </c>
    </row>
    <row r="3172">
      <c r="K3172" s="124"/>
      <c r="L3172" s="124"/>
      <c r="M3172" s="124"/>
      <c r="N3172" s="124"/>
      <c r="O3172" s="124"/>
      <c r="T3172" s="126">
        <f>IFERROR(__xludf.DUMMYFUNCTION("""COMPUTED_VALUE"""),46070.0)</f>
        <v>46070</v>
      </c>
      <c r="U3172" s="124" t="str">
        <f>IFERROR(__xludf.DUMMYFUNCTION("""COMPUTED_VALUE"""),"Walk-Ins")</f>
        <v>Walk-Ins</v>
      </c>
      <c r="V3172" s="124" t="str">
        <f>IFERROR(__xludf.DUMMYFUNCTION("""COMPUTED_VALUE"""),"Walkin")</f>
        <v>Walkin</v>
      </c>
      <c r="W3172" s="124" t="str">
        <f>IFERROR(__xludf.DUMMYFUNCTION("""COMPUTED_VALUE"""),"Delhi")</f>
        <v>Delhi</v>
      </c>
      <c r="X3172" s="124" t="str">
        <f>IFERROR(__xludf.DUMMYFUNCTION("""COMPUTED_VALUE"""),"walkin")</f>
        <v>walkin</v>
      </c>
      <c r="Y3172" s="124" t="str">
        <f>IFERROR(__xludf.DUMMYFUNCTION("""COMPUTED_VALUE"""),"Delhi")</f>
        <v>Delhi</v>
      </c>
      <c r="Z3172" s="124">
        <f>IFERROR(__xludf.DUMMYFUNCTION("""COMPUTED_VALUE"""),4.0)</f>
        <v>4</v>
      </c>
      <c r="AA3172" s="124" t="str">
        <f>IFERROR(__xludf.DUMMYFUNCTION("""COMPUTED_VALUE"""),"Cold")</f>
        <v>Cold</v>
      </c>
      <c r="AB3172" s="124" t="str">
        <f>IFERROR(__xludf.DUMMYFUNCTION("""COMPUTED_VALUE"""),"GS Foundation")</f>
        <v>GS Foundation</v>
      </c>
    </row>
    <row r="3173">
      <c r="K3173" s="124"/>
      <c r="L3173" s="124"/>
      <c r="M3173" s="124"/>
      <c r="N3173" s="124"/>
      <c r="O3173" s="124"/>
      <c r="T3173" s="126">
        <f>IFERROR(__xludf.DUMMYFUNCTION("""COMPUTED_VALUE"""),46111.0)</f>
        <v>46111</v>
      </c>
      <c r="U3173" s="124" t="str">
        <f>IFERROR(__xludf.DUMMYFUNCTION("""COMPUTED_VALUE"""),"Walk-Ins")</f>
        <v>Walk-Ins</v>
      </c>
      <c r="V3173" s="124" t="str">
        <f>IFERROR(__xludf.DUMMYFUNCTION("""COMPUTED_VALUE"""),"walk-in")</f>
        <v>walk-in</v>
      </c>
      <c r="W3173" s="124" t="str">
        <f>IFERROR(__xludf.DUMMYFUNCTION("""COMPUTED_VALUE"""),"indore")</f>
        <v>indore</v>
      </c>
      <c r="X3173" s="124" t="str">
        <f>IFERROR(__xludf.DUMMYFUNCTION("""COMPUTED_VALUE"""),"suraj sharma")</f>
        <v>suraj sharma</v>
      </c>
      <c r="Y3173" s="124" t="str">
        <f>IFERROR(__xludf.DUMMYFUNCTION("""COMPUTED_VALUE"""),"Indore")</f>
        <v>Indore</v>
      </c>
      <c r="Z3173" s="124">
        <f>IFERROR(__xludf.DUMMYFUNCTION("""COMPUTED_VALUE"""),1.0)</f>
        <v>1</v>
      </c>
      <c r="AA3173" s="124" t="str">
        <f>IFERROR(__xludf.DUMMYFUNCTION("""COMPUTED_VALUE"""),"Warm")</f>
        <v>Warm</v>
      </c>
      <c r="AB3173" s="124" t="str">
        <f>IFERROR(__xludf.DUMMYFUNCTION("""COMPUTED_VALUE"""),"GS Foundation")</f>
        <v>GS Foundation</v>
      </c>
    </row>
    <row r="3174">
      <c r="K3174" s="124"/>
      <c r="L3174" s="124"/>
      <c r="M3174" s="124"/>
      <c r="N3174" s="124"/>
      <c r="O3174" s="124"/>
      <c r="T3174" s="129">
        <f>IFERROR(__xludf.DUMMYFUNCTION("""COMPUTED_VALUE"""),46056.0)</f>
        <v>46056</v>
      </c>
      <c r="U3174" s="124" t="str">
        <f>IFERROR(__xludf.DUMMYFUNCTION("""COMPUTED_VALUE"""),"Walk-Ins")</f>
        <v>Walk-Ins</v>
      </c>
      <c r="V3174" s="124" t="str">
        <f>IFERROR(__xludf.DUMMYFUNCTION("""COMPUTED_VALUE"""),"Walkin")</f>
        <v>Walkin</v>
      </c>
      <c r="W3174" s="124" t="str">
        <f>IFERROR(__xludf.DUMMYFUNCTION("""COMPUTED_VALUE"""),"Delhi")</f>
        <v>Delhi</v>
      </c>
      <c r="X3174" s="124" t="str">
        <f>IFERROR(__xludf.DUMMYFUNCTION("""COMPUTED_VALUE"""),"walkin")</f>
        <v>walkin</v>
      </c>
      <c r="Y3174" s="124" t="str">
        <f>IFERROR(__xludf.DUMMYFUNCTION("""COMPUTED_VALUE"""),"Delhi")</f>
        <v>Delhi</v>
      </c>
      <c r="Z3174" s="124">
        <f>IFERROR(__xludf.DUMMYFUNCTION("""COMPUTED_VALUE"""),2.0)</f>
        <v>2</v>
      </c>
      <c r="AA3174" s="124" t="str">
        <f>IFERROR(__xludf.DUMMYFUNCTION("""COMPUTED_VALUE"""),"Future Prospects")</f>
        <v>Future Prospects</v>
      </c>
      <c r="AB3174" s="124" t="str">
        <f>IFERROR(__xludf.DUMMYFUNCTION("""COMPUTED_VALUE"""),"GS Foundation")</f>
        <v>GS Foundation</v>
      </c>
    </row>
    <row r="3175">
      <c r="K3175" s="124"/>
      <c r="L3175" s="124"/>
      <c r="M3175" s="124"/>
      <c r="N3175" s="124"/>
      <c r="O3175" s="124"/>
      <c r="T3175" s="126">
        <f>IFERROR(__xludf.DUMMYFUNCTION("""COMPUTED_VALUE"""),46045.0)</f>
        <v>46045</v>
      </c>
      <c r="U3175" s="124" t="str">
        <f>IFERROR(__xludf.DUMMYFUNCTION("""COMPUTED_VALUE"""),"Walk-Ins")</f>
        <v>Walk-Ins</v>
      </c>
      <c r="V3175" s="124" t="str">
        <f>IFERROR(__xludf.DUMMYFUNCTION("""COMPUTED_VALUE"""),"walk-in")</f>
        <v>walk-in</v>
      </c>
      <c r="W3175" s="124" t="str">
        <f>IFERROR(__xludf.DUMMYFUNCTION("""COMPUTED_VALUE"""),"indore")</f>
        <v>indore</v>
      </c>
      <c r="X3175" s="124" t="str">
        <f>IFERROR(__xludf.DUMMYFUNCTION("""COMPUTED_VALUE"""),"suraj sharma")</f>
        <v>suraj sharma</v>
      </c>
      <c r="Y3175" s="124"/>
      <c r="Z3175" s="124">
        <f>IFERROR(__xludf.DUMMYFUNCTION("""COMPUTED_VALUE"""),1.0)</f>
        <v>1</v>
      </c>
      <c r="AA3175" s="124" t="str">
        <f>IFERROR(__xludf.DUMMYFUNCTION("""COMPUTED_VALUE"""),"Future Prospects")</f>
        <v>Future Prospects</v>
      </c>
      <c r="AB3175" s="124" t="str">
        <f>IFERROR(__xludf.DUMMYFUNCTION("""COMPUTED_VALUE"""),"GS Foundation")</f>
        <v>GS Foundation</v>
      </c>
    </row>
    <row r="3176">
      <c r="K3176" s="124"/>
      <c r="L3176" s="124"/>
      <c r="M3176" s="124"/>
      <c r="N3176" s="124"/>
      <c r="O3176" s="124"/>
      <c r="T3176" s="126">
        <f>IFERROR(__xludf.DUMMYFUNCTION("""COMPUTED_VALUE"""),46050.0)</f>
        <v>46050</v>
      </c>
      <c r="U3176" s="124" t="str">
        <f>IFERROR(__xludf.DUMMYFUNCTION("""COMPUTED_VALUE"""),"External Leads")</f>
        <v>External Leads</v>
      </c>
      <c r="V3176" s="124" t="str">
        <f>IFERROR(__xludf.DUMMYFUNCTION("""COMPUTED_VALUE"""),"direct")</f>
        <v>direct</v>
      </c>
      <c r="W3176" s="124" t="str">
        <f>IFERROR(__xludf.DUMMYFUNCTION("""COMPUTED_VALUE"""),"direct")</f>
        <v>direct</v>
      </c>
      <c r="X3176" s="124" t="str">
        <f>IFERROR(__xludf.DUMMYFUNCTION("""COMPUTED_VALUE"""),"direct")</f>
        <v>direct</v>
      </c>
      <c r="Y3176" s="124"/>
      <c r="Z3176" s="124">
        <f>IFERROR(__xludf.DUMMYFUNCTION("""COMPUTED_VALUE"""),1.0)</f>
        <v>1</v>
      </c>
      <c r="AA3176" s="124" t="str">
        <f>IFERROR(__xludf.DUMMYFUNCTION("""COMPUTED_VALUE"""),"Cold")</f>
        <v>Cold</v>
      </c>
      <c r="AB3176" s="124"/>
    </row>
    <row r="3177">
      <c r="K3177" s="124"/>
      <c r="L3177" s="124"/>
      <c r="M3177" s="124"/>
      <c r="N3177" s="124"/>
      <c r="O3177" s="124"/>
      <c r="T3177" s="126">
        <f>IFERROR(__xludf.DUMMYFUNCTION("""COMPUTED_VALUE"""),46045.0)</f>
        <v>46045</v>
      </c>
      <c r="U3177" s="124" t="str">
        <f>IFERROR(__xludf.DUMMYFUNCTION("""COMPUTED_VALUE"""),"Walk-Ins")</f>
        <v>Walk-Ins</v>
      </c>
      <c r="V3177" s="124" t="str">
        <f>IFERROR(__xludf.DUMMYFUNCTION("""COMPUTED_VALUE"""),"Walkin")</f>
        <v>Walkin</v>
      </c>
      <c r="W3177" s="124" t="str">
        <f>IFERROR(__xludf.DUMMYFUNCTION("""COMPUTED_VALUE"""),"Delhi")</f>
        <v>Delhi</v>
      </c>
      <c r="X3177" s="124" t="str">
        <f>IFERROR(__xludf.DUMMYFUNCTION("""COMPUTED_VALUE"""),"walkin")</f>
        <v>walkin</v>
      </c>
      <c r="Y3177" s="124" t="str">
        <f>IFERROR(__xludf.DUMMYFUNCTION("""COMPUTED_VALUE"""),"Delhi")</f>
        <v>Delhi</v>
      </c>
      <c r="Z3177" s="124">
        <f>IFERROR(__xludf.DUMMYFUNCTION("""COMPUTED_VALUE"""),1.0)</f>
        <v>1</v>
      </c>
      <c r="AA3177" s="124" t="str">
        <f>IFERROR(__xludf.DUMMYFUNCTION("""COMPUTED_VALUE"""),"Not Interested")</f>
        <v>Not Interested</v>
      </c>
      <c r="AB3177" s="124" t="str">
        <f>IFERROR(__xludf.DUMMYFUNCTION("""COMPUTED_VALUE"""),"GS Foundation")</f>
        <v>GS Foundation</v>
      </c>
    </row>
    <row r="3178">
      <c r="K3178" s="124"/>
      <c r="L3178" s="124"/>
      <c r="M3178" s="124"/>
      <c r="N3178" s="124"/>
      <c r="O3178" s="124"/>
      <c r="T3178" s="126">
        <f>IFERROR(__xludf.DUMMYFUNCTION("""COMPUTED_VALUE"""),46105.0)</f>
        <v>46105</v>
      </c>
      <c r="U3178" s="124" t="str">
        <f>IFERROR(__xludf.DUMMYFUNCTION("""COMPUTED_VALUE"""),"Walk-Ins")</f>
        <v>Walk-Ins</v>
      </c>
      <c r="V3178" s="124" t="str">
        <f>IFERROR(__xludf.DUMMYFUNCTION("""COMPUTED_VALUE"""),"Walkin")</f>
        <v>Walkin</v>
      </c>
      <c r="W3178" s="124" t="str">
        <f>IFERROR(__xludf.DUMMYFUNCTION("""COMPUTED_VALUE"""),"Delhi")</f>
        <v>Delhi</v>
      </c>
      <c r="X3178" s="124" t="str">
        <f>IFERROR(__xludf.DUMMYFUNCTION("""COMPUTED_VALUE"""),"walkin")</f>
        <v>walkin</v>
      </c>
      <c r="Y3178" s="124" t="str">
        <f>IFERROR(__xludf.DUMMYFUNCTION("""COMPUTED_VALUE"""),"Delhi")</f>
        <v>Delhi</v>
      </c>
      <c r="Z3178" s="124">
        <f>IFERROR(__xludf.DUMMYFUNCTION("""COMPUTED_VALUE"""),1.0)</f>
        <v>1</v>
      </c>
      <c r="AA3178" s="124" t="str">
        <f>IFERROR(__xludf.DUMMYFUNCTION("""COMPUTED_VALUE"""),"Interested")</f>
        <v>Interested</v>
      </c>
      <c r="AB3178" s="124" t="str">
        <f>IFERROR(__xludf.DUMMYFUNCTION("""COMPUTED_VALUE"""),"GS Foundation")</f>
        <v>GS Foundation</v>
      </c>
    </row>
    <row r="3179">
      <c r="K3179" s="124"/>
      <c r="L3179" s="124"/>
      <c r="M3179" s="124"/>
      <c r="N3179" s="124"/>
      <c r="O3179" s="124"/>
      <c r="T3179" s="126">
        <f>IFERROR(__xludf.DUMMYFUNCTION("""COMPUTED_VALUE"""),46067.0)</f>
        <v>46067</v>
      </c>
      <c r="U3179" s="124" t="str">
        <f>IFERROR(__xludf.DUMMYFUNCTION("""COMPUTED_VALUE"""),"Walk-Ins")</f>
        <v>Walk-Ins</v>
      </c>
      <c r="V3179" s="124" t="str">
        <f>IFERROR(__xludf.DUMMYFUNCTION("""COMPUTED_VALUE"""),"Walkin")</f>
        <v>Walkin</v>
      </c>
      <c r="W3179" s="124" t="str">
        <f>IFERROR(__xludf.DUMMYFUNCTION("""COMPUTED_VALUE"""),"Delhi")</f>
        <v>Delhi</v>
      </c>
      <c r="X3179" s="124" t="str">
        <f>IFERROR(__xludf.DUMMYFUNCTION("""COMPUTED_VALUE"""),"walkin")</f>
        <v>walkin</v>
      </c>
      <c r="Y3179" s="124" t="str">
        <f>IFERROR(__xludf.DUMMYFUNCTION("""COMPUTED_VALUE"""),"Delhi")</f>
        <v>Delhi</v>
      </c>
      <c r="Z3179" s="124">
        <f>IFERROR(__xludf.DUMMYFUNCTION("""COMPUTED_VALUE"""),3.0)</f>
        <v>3</v>
      </c>
      <c r="AA3179" s="124" t="str">
        <f>IFERROR(__xludf.DUMMYFUNCTION("""COMPUTED_VALUE"""),"Future Prospects")</f>
        <v>Future Prospects</v>
      </c>
      <c r="AB3179" s="124" t="str">
        <f>IFERROR(__xludf.DUMMYFUNCTION("""COMPUTED_VALUE"""),"GS Foundation")</f>
        <v>GS Foundation</v>
      </c>
    </row>
    <row r="3180">
      <c r="K3180" s="124"/>
      <c r="L3180" s="124"/>
      <c r="M3180" s="124"/>
      <c r="N3180" s="124"/>
      <c r="O3180" s="124"/>
      <c r="T3180" s="126">
        <f>IFERROR(__xludf.DUMMYFUNCTION("""COMPUTED_VALUE"""),46094.0)</f>
        <v>46094</v>
      </c>
      <c r="U3180" s="124" t="str">
        <f>IFERROR(__xludf.DUMMYFUNCTION("""COMPUTED_VALUE"""),"Walk-Ins")</f>
        <v>Walk-Ins</v>
      </c>
      <c r="V3180" s="124" t="str">
        <f>IFERROR(__xludf.DUMMYFUNCTION("""COMPUTED_VALUE"""),"Walkin")</f>
        <v>Walkin</v>
      </c>
      <c r="W3180" s="124" t="str">
        <f>IFERROR(__xludf.DUMMYFUNCTION("""COMPUTED_VALUE"""),"Delhi")</f>
        <v>Delhi</v>
      </c>
      <c r="X3180" s="124" t="str">
        <f>IFERROR(__xludf.DUMMYFUNCTION("""COMPUTED_VALUE"""),"walkin")</f>
        <v>walkin</v>
      </c>
      <c r="Y3180" s="124" t="str">
        <f>IFERROR(__xludf.DUMMYFUNCTION("""COMPUTED_VALUE"""),"Delhi")</f>
        <v>Delhi</v>
      </c>
      <c r="Z3180" s="124">
        <f>IFERROR(__xludf.DUMMYFUNCTION("""COMPUTED_VALUE"""),1.0)</f>
        <v>1</v>
      </c>
      <c r="AA3180" s="124" t="str">
        <f>IFERROR(__xludf.DUMMYFUNCTION("""COMPUTED_VALUE"""),"Not Interested")</f>
        <v>Not Interested</v>
      </c>
      <c r="AB3180" s="124" t="str">
        <f>IFERROR(__xludf.DUMMYFUNCTION("""COMPUTED_VALUE"""),"State PCS")</f>
        <v>State PCS</v>
      </c>
    </row>
    <row r="3181">
      <c r="K3181" s="124"/>
      <c r="L3181" s="124"/>
      <c r="M3181" s="124"/>
      <c r="N3181" s="124"/>
      <c r="O3181" s="124"/>
      <c r="T3181" s="126">
        <f>IFERROR(__xludf.DUMMYFUNCTION("""COMPUTED_VALUE"""),46057.0)</f>
        <v>46057</v>
      </c>
      <c r="U3181" s="124" t="str">
        <f>IFERROR(__xludf.DUMMYFUNCTION("""COMPUTED_VALUE"""),"Walk-Ins")</f>
        <v>Walk-Ins</v>
      </c>
      <c r="V3181" s="124" t="str">
        <f>IFERROR(__xludf.DUMMYFUNCTION("""COMPUTED_VALUE"""),"Walkin")</f>
        <v>Walkin</v>
      </c>
      <c r="W3181" s="124" t="str">
        <f>IFERROR(__xludf.DUMMYFUNCTION("""COMPUTED_VALUE"""),"Delhi")</f>
        <v>Delhi</v>
      </c>
      <c r="X3181" s="124" t="str">
        <f>IFERROR(__xludf.DUMMYFUNCTION("""COMPUTED_VALUE"""),"walkin")</f>
        <v>walkin</v>
      </c>
      <c r="Y3181" s="124" t="str">
        <f>IFERROR(__xludf.DUMMYFUNCTION("""COMPUTED_VALUE"""),"Delhi")</f>
        <v>Delhi</v>
      </c>
      <c r="Z3181" s="124">
        <f>IFERROR(__xludf.DUMMYFUNCTION("""COMPUTED_VALUE"""),1.0)</f>
        <v>1</v>
      </c>
      <c r="AA3181" s="124" t="str">
        <f>IFERROR(__xludf.DUMMYFUNCTION("""COMPUTED_VALUE"""),"Enrolled")</f>
        <v>Enrolled</v>
      </c>
      <c r="AB3181" s="124" t="str">
        <f>IFERROR(__xludf.DUMMYFUNCTION("""COMPUTED_VALUE"""),"SIP Offline")</f>
        <v>SIP Offline</v>
      </c>
    </row>
    <row r="3182">
      <c r="K3182" s="124"/>
      <c r="L3182" s="124"/>
      <c r="M3182" s="124"/>
      <c r="N3182" s="124"/>
      <c r="O3182" s="124"/>
      <c r="T3182" s="126">
        <f>IFERROR(__xludf.DUMMYFUNCTION("""COMPUTED_VALUE"""),46050.0)</f>
        <v>46050</v>
      </c>
      <c r="U3182" s="124" t="str">
        <f>IFERROR(__xludf.DUMMYFUNCTION("""COMPUTED_VALUE"""),"External Leads")</f>
        <v>External Leads</v>
      </c>
      <c r="V3182" s="124" t="str">
        <f>IFERROR(__xludf.DUMMYFUNCTION("""COMPUTED_VALUE"""),"external leads")</f>
        <v>external leads</v>
      </c>
      <c r="W3182" s="124" t="str">
        <f>IFERROR(__xludf.DUMMYFUNCTION("""COMPUTED_VALUE"""),"delhi")</f>
        <v>delhi</v>
      </c>
      <c r="X3182" s="124" t="str">
        <f>IFERROR(__xludf.DUMMYFUNCTION("""COMPUTED_VALUE"""),"piyushunacademy")</f>
        <v>piyushunacademy</v>
      </c>
      <c r="Y3182" s="124" t="str">
        <f>IFERROR(__xludf.DUMMYFUNCTION("""COMPUTED_VALUE"""),"Delhi")</f>
        <v>Delhi</v>
      </c>
      <c r="Z3182" s="124">
        <f>IFERROR(__xludf.DUMMYFUNCTION("""COMPUTED_VALUE"""),3.0)</f>
        <v>3</v>
      </c>
      <c r="AA3182" s="124" t="str">
        <f>IFERROR(__xludf.DUMMYFUNCTION("""COMPUTED_VALUE"""),"Warm")</f>
        <v>Warm</v>
      </c>
      <c r="AB3182" s="124"/>
    </row>
    <row r="3183">
      <c r="K3183" s="124"/>
      <c r="L3183" s="124"/>
      <c r="M3183" s="124"/>
      <c r="N3183" s="124"/>
      <c r="O3183" s="124"/>
      <c r="T3183" s="126">
        <f>IFERROR(__xludf.DUMMYFUNCTION("""COMPUTED_VALUE"""),46044.0)</f>
        <v>46044</v>
      </c>
      <c r="U3183" s="124" t="str">
        <f>IFERROR(__xludf.DUMMYFUNCTION("""COMPUTED_VALUE"""),"Walk-Ins")</f>
        <v>Walk-Ins</v>
      </c>
      <c r="V3183" s="124" t="str">
        <f>IFERROR(__xludf.DUMMYFUNCTION("""COMPUTED_VALUE"""),"Walkin")</f>
        <v>Walkin</v>
      </c>
      <c r="W3183" s="124" t="str">
        <f>IFERROR(__xludf.DUMMYFUNCTION("""COMPUTED_VALUE"""),"Delhi")</f>
        <v>Delhi</v>
      </c>
      <c r="X3183" s="124" t="str">
        <f>IFERROR(__xludf.DUMMYFUNCTION("""COMPUTED_VALUE"""),"walkin")</f>
        <v>walkin</v>
      </c>
      <c r="Y3183" s="124" t="str">
        <f>IFERROR(__xludf.DUMMYFUNCTION("""COMPUTED_VALUE"""),"Delhi")</f>
        <v>Delhi</v>
      </c>
      <c r="Z3183" s="124">
        <f>IFERROR(__xludf.DUMMYFUNCTION("""COMPUTED_VALUE"""),1.0)</f>
        <v>1</v>
      </c>
      <c r="AA3183" s="124" t="str">
        <f>IFERROR(__xludf.DUMMYFUNCTION("""COMPUTED_VALUE"""),"Warm")</f>
        <v>Warm</v>
      </c>
      <c r="AB3183" s="124" t="str">
        <f>IFERROR(__xludf.DUMMYFUNCTION("""COMPUTED_VALUE"""),"Test Series")</f>
        <v>Test Series</v>
      </c>
    </row>
    <row r="3184">
      <c r="K3184" s="124"/>
      <c r="L3184" s="124"/>
      <c r="M3184" s="124"/>
      <c r="N3184" s="124"/>
      <c r="O3184" s="124"/>
      <c r="T3184" s="126">
        <f>IFERROR(__xludf.DUMMYFUNCTION("""COMPUTED_VALUE"""),46067.0)</f>
        <v>46067</v>
      </c>
      <c r="U3184" s="124" t="str">
        <f>IFERROR(__xludf.DUMMYFUNCTION("""COMPUTED_VALUE"""),"Walk-Ins")</f>
        <v>Walk-Ins</v>
      </c>
      <c r="V3184" s="124" t="str">
        <f>IFERROR(__xludf.DUMMYFUNCTION("""COMPUTED_VALUE"""),"Walkin")</f>
        <v>Walkin</v>
      </c>
      <c r="W3184" s="124" t="str">
        <f>IFERROR(__xludf.DUMMYFUNCTION("""COMPUTED_VALUE"""),"Delhi")</f>
        <v>Delhi</v>
      </c>
      <c r="X3184" s="124" t="str">
        <f>IFERROR(__xludf.DUMMYFUNCTION("""COMPUTED_VALUE"""),"walkin")</f>
        <v>walkin</v>
      </c>
      <c r="Y3184" s="124" t="str">
        <f>IFERROR(__xludf.DUMMYFUNCTION("""COMPUTED_VALUE"""),"Delhi")</f>
        <v>Delhi</v>
      </c>
      <c r="Z3184" s="124">
        <f>IFERROR(__xludf.DUMMYFUNCTION("""COMPUTED_VALUE"""),1.0)</f>
        <v>1</v>
      </c>
      <c r="AA3184" s="124" t="str">
        <f>IFERROR(__xludf.DUMMYFUNCTION("""COMPUTED_VALUE"""),"Future Prospects")</f>
        <v>Future Prospects</v>
      </c>
      <c r="AB3184" s="124" t="str">
        <f>IFERROR(__xludf.DUMMYFUNCTION("""COMPUTED_VALUE"""),"Mentorship")</f>
        <v>Mentorship</v>
      </c>
    </row>
    <row r="3185">
      <c r="K3185" s="124"/>
      <c r="L3185" s="124"/>
      <c r="M3185" s="124"/>
      <c r="N3185" s="124"/>
      <c r="O3185" s="124"/>
      <c r="T3185" s="129">
        <f>IFERROR(__xludf.DUMMYFUNCTION("""COMPUTED_VALUE"""),46077.0)</f>
        <v>46077</v>
      </c>
      <c r="U3185" s="124" t="str">
        <f>IFERROR(__xludf.DUMMYFUNCTION("""COMPUTED_VALUE"""),"Walk-Ins")</f>
        <v>Walk-Ins</v>
      </c>
      <c r="V3185" s="124" t="str">
        <f>IFERROR(__xludf.DUMMYFUNCTION("""COMPUTED_VALUE"""),"Walkin")</f>
        <v>Walkin</v>
      </c>
      <c r="W3185" s="124" t="str">
        <f>IFERROR(__xludf.DUMMYFUNCTION("""COMPUTED_VALUE"""),"Delhi")</f>
        <v>Delhi</v>
      </c>
      <c r="X3185" s="124" t="str">
        <f>IFERROR(__xludf.DUMMYFUNCTION("""COMPUTED_VALUE"""),"walkin")</f>
        <v>walkin</v>
      </c>
      <c r="Y3185" s="124" t="str">
        <f>IFERROR(__xludf.DUMMYFUNCTION("""COMPUTED_VALUE"""),"Delhi")</f>
        <v>Delhi</v>
      </c>
      <c r="Z3185" s="124">
        <f>IFERROR(__xludf.DUMMYFUNCTION("""COMPUTED_VALUE"""),1.0)</f>
        <v>1</v>
      </c>
      <c r="AA3185" s="124" t="str">
        <f>IFERROR(__xludf.DUMMYFUNCTION("""COMPUTED_VALUE"""),"Cold")</f>
        <v>Cold</v>
      </c>
      <c r="AB3185" s="124" t="str">
        <f>IFERROR(__xludf.DUMMYFUNCTION("""COMPUTED_VALUE"""),"Mentorship")</f>
        <v>Mentorship</v>
      </c>
    </row>
    <row r="3186">
      <c r="K3186" s="124"/>
      <c r="L3186" s="124"/>
      <c r="M3186" s="124"/>
      <c r="N3186" s="124"/>
      <c r="O3186" s="124"/>
      <c r="T3186" s="126">
        <f>IFERROR(__xludf.DUMMYFUNCTION("""COMPUTED_VALUE"""),46112.0)</f>
        <v>46112</v>
      </c>
      <c r="U3186" s="124" t="str">
        <f>IFERROR(__xludf.DUMMYFUNCTION("""COMPUTED_VALUE"""),"Walk-Ins")</f>
        <v>Walk-Ins</v>
      </c>
      <c r="V3186" s="124" t="str">
        <f>IFERROR(__xludf.DUMMYFUNCTION("""COMPUTED_VALUE"""),"Walkin")</f>
        <v>Walkin</v>
      </c>
      <c r="W3186" s="124" t="str">
        <f>IFERROR(__xludf.DUMMYFUNCTION("""COMPUTED_VALUE"""),"Delhi")</f>
        <v>Delhi</v>
      </c>
      <c r="X3186" s="124" t="str">
        <f>IFERROR(__xludf.DUMMYFUNCTION("""COMPUTED_VALUE"""),"walkin")</f>
        <v>walkin</v>
      </c>
      <c r="Y3186" s="124" t="str">
        <f>IFERROR(__xludf.DUMMYFUNCTION("""COMPUTED_VALUE"""),"Delhi")</f>
        <v>Delhi</v>
      </c>
      <c r="Z3186" s="124">
        <f>IFERROR(__xludf.DUMMYFUNCTION("""COMPUTED_VALUE"""),1.0)</f>
        <v>1</v>
      </c>
      <c r="AA3186" s="124" t="str">
        <f>IFERROR(__xludf.DUMMYFUNCTION("""COMPUTED_VALUE"""),"Warm")</f>
        <v>Warm</v>
      </c>
      <c r="AB3186" s="124" t="str">
        <f>IFERROR(__xludf.DUMMYFUNCTION("""COMPUTED_VALUE"""),"Mentorship")</f>
        <v>Mentorship</v>
      </c>
    </row>
    <row r="3187">
      <c r="K3187" s="124"/>
      <c r="L3187" s="124"/>
      <c r="M3187" s="124"/>
      <c r="N3187" s="124"/>
      <c r="O3187" s="124"/>
      <c r="T3187" s="126">
        <f>IFERROR(__xludf.DUMMYFUNCTION("""COMPUTED_VALUE"""),46107.0)</f>
        <v>46107</v>
      </c>
      <c r="U3187" s="124" t="str">
        <f>IFERROR(__xludf.DUMMYFUNCTION("""COMPUTED_VALUE"""),"Walk-Ins")</f>
        <v>Walk-Ins</v>
      </c>
      <c r="V3187" s="124" t="str">
        <f>IFERROR(__xludf.DUMMYFUNCTION("""COMPUTED_VALUE"""),"Walkin")</f>
        <v>Walkin</v>
      </c>
      <c r="W3187" s="124" t="str">
        <f>IFERROR(__xludf.DUMMYFUNCTION("""COMPUTED_VALUE"""),"Delhi")</f>
        <v>Delhi</v>
      </c>
      <c r="X3187" s="124" t="str">
        <f>IFERROR(__xludf.DUMMYFUNCTION("""COMPUTED_VALUE"""),"walkin")</f>
        <v>walkin</v>
      </c>
      <c r="Y3187" s="124" t="str">
        <f>IFERROR(__xludf.DUMMYFUNCTION("""COMPUTED_VALUE"""),"Delhi")</f>
        <v>Delhi</v>
      </c>
      <c r="Z3187" s="124">
        <f>IFERROR(__xludf.DUMMYFUNCTION("""COMPUTED_VALUE"""),1.0)</f>
        <v>1</v>
      </c>
      <c r="AA3187" s="124" t="str">
        <f>IFERROR(__xludf.DUMMYFUNCTION("""COMPUTED_VALUE"""),"Future Prospects")</f>
        <v>Future Prospects</v>
      </c>
      <c r="AB3187" s="124" t="str">
        <f>IFERROR(__xludf.DUMMYFUNCTION("""COMPUTED_VALUE"""),"GS Foundation")</f>
        <v>GS Foundation</v>
      </c>
    </row>
    <row r="3188">
      <c r="K3188" s="124"/>
      <c r="L3188" s="124"/>
      <c r="M3188" s="124"/>
      <c r="N3188" s="124"/>
      <c r="O3188" s="124"/>
      <c r="T3188" s="126">
        <f>IFERROR(__xludf.DUMMYFUNCTION("""COMPUTED_VALUE"""),46096.0)</f>
        <v>46096</v>
      </c>
      <c r="U3188" s="124" t="str">
        <f>IFERROR(__xludf.DUMMYFUNCTION("""COMPUTED_VALUE"""),"Walk-Ins")</f>
        <v>Walk-Ins</v>
      </c>
      <c r="V3188" s="124" t="str">
        <f>IFERROR(__xludf.DUMMYFUNCTION("""COMPUTED_VALUE"""),"Walkin")</f>
        <v>Walkin</v>
      </c>
      <c r="W3188" s="124" t="str">
        <f>IFERROR(__xludf.DUMMYFUNCTION("""COMPUTED_VALUE"""),"Delhi")</f>
        <v>Delhi</v>
      </c>
      <c r="X3188" s="124" t="str">
        <f>IFERROR(__xludf.DUMMYFUNCTION("""COMPUTED_VALUE"""),"walkin")</f>
        <v>walkin</v>
      </c>
      <c r="Y3188" s="124" t="str">
        <f>IFERROR(__xludf.DUMMYFUNCTION("""COMPUTED_VALUE"""),"Delhi")</f>
        <v>Delhi</v>
      </c>
      <c r="Z3188" s="124">
        <f>IFERROR(__xludf.DUMMYFUNCTION("""COMPUTED_VALUE"""),1.0)</f>
        <v>1</v>
      </c>
      <c r="AA3188" s="124" t="str">
        <f>IFERROR(__xludf.DUMMYFUNCTION("""COMPUTED_VALUE"""),"Enrolled")</f>
        <v>Enrolled</v>
      </c>
      <c r="AB3188" s="124" t="str">
        <f>IFERROR(__xludf.DUMMYFUNCTION("""COMPUTED_VALUE"""),"GS Foundation")</f>
        <v>GS Foundation</v>
      </c>
    </row>
    <row r="3189">
      <c r="K3189" s="124"/>
      <c r="L3189" s="124"/>
      <c r="M3189" s="124"/>
      <c r="N3189" s="124"/>
      <c r="O3189" s="124"/>
      <c r="T3189" s="129">
        <f>IFERROR(__xludf.DUMMYFUNCTION("""COMPUTED_VALUE"""),46093.0)</f>
        <v>46093</v>
      </c>
      <c r="U3189" s="124" t="str">
        <f>IFERROR(__xludf.DUMMYFUNCTION("""COMPUTED_VALUE"""),"Walk-Ins")</f>
        <v>Walk-Ins</v>
      </c>
      <c r="V3189" s="124" t="str">
        <f>IFERROR(__xludf.DUMMYFUNCTION("""COMPUTED_VALUE"""),"Walkin")</f>
        <v>Walkin</v>
      </c>
      <c r="W3189" s="124" t="str">
        <f>IFERROR(__xludf.DUMMYFUNCTION("""COMPUTED_VALUE"""),"Delhi")</f>
        <v>Delhi</v>
      </c>
      <c r="X3189" s="124" t="str">
        <f>IFERROR(__xludf.DUMMYFUNCTION("""COMPUTED_VALUE"""),"walkin")</f>
        <v>walkin</v>
      </c>
      <c r="Y3189" s="124" t="str">
        <f>IFERROR(__xludf.DUMMYFUNCTION("""COMPUTED_VALUE"""),"Delhi")</f>
        <v>Delhi</v>
      </c>
      <c r="Z3189" s="124">
        <f>IFERROR(__xludf.DUMMYFUNCTION("""COMPUTED_VALUE"""),1.0)</f>
        <v>1</v>
      </c>
      <c r="AA3189" s="124" t="str">
        <f>IFERROR(__xludf.DUMMYFUNCTION("""COMPUTED_VALUE"""),"Enrolled")</f>
        <v>Enrolled</v>
      </c>
      <c r="AB3189" s="124" t="str">
        <f>IFERROR(__xludf.DUMMYFUNCTION("""COMPUTED_VALUE"""),"GS Foundation")</f>
        <v>GS Foundation</v>
      </c>
    </row>
    <row r="3190">
      <c r="K3190" s="124"/>
      <c r="L3190" s="124"/>
      <c r="M3190" s="124"/>
      <c r="N3190" s="124"/>
      <c r="O3190" s="124"/>
      <c r="T3190" s="126">
        <f>IFERROR(__xludf.DUMMYFUNCTION("""COMPUTED_VALUE"""),46047.0)</f>
        <v>46047</v>
      </c>
      <c r="U3190" s="124" t="str">
        <f>IFERROR(__xludf.DUMMYFUNCTION("""COMPUTED_VALUE"""),"Event")</f>
        <v>Event</v>
      </c>
      <c r="V3190" s="124" t="str">
        <f>IFERROR(__xludf.DUMMYFUNCTION("""COMPUTED_VALUE"""),"whatsapp")</f>
        <v>whatsapp</v>
      </c>
      <c r="W3190" s="124" t="str">
        <f>IFERROR(__xludf.DUMMYFUNCTION("""COMPUTED_VALUE"""),"api")</f>
        <v>api</v>
      </c>
      <c r="X3190" s="124" t="str">
        <f>IFERROR(__xludf.DUMMYFUNCTION("""COMPUTED_VALUE"""),"reply")</f>
        <v>reply</v>
      </c>
      <c r="Y3190" s="124"/>
      <c r="Z3190" s="124">
        <f>IFERROR(__xludf.DUMMYFUNCTION("""COMPUTED_VALUE"""),1.0)</f>
        <v>1</v>
      </c>
      <c r="AA3190" s="124" t="str">
        <f>IFERROR(__xludf.DUMMYFUNCTION("""COMPUTED_VALUE"""),"Fake Lead")</f>
        <v>Fake Lead</v>
      </c>
      <c r="AB3190" s="124"/>
    </row>
    <row r="3191">
      <c r="K3191" s="124"/>
      <c r="L3191" s="124"/>
      <c r="M3191" s="124"/>
      <c r="N3191" s="124"/>
      <c r="O3191" s="124"/>
      <c r="T3191" s="126">
        <f>IFERROR(__xludf.DUMMYFUNCTION("""COMPUTED_VALUE"""),46069.0)</f>
        <v>46069</v>
      </c>
      <c r="U3191" s="124" t="str">
        <f>IFERROR(__xludf.DUMMYFUNCTION("""COMPUTED_VALUE"""),"Event")</f>
        <v>Event</v>
      </c>
      <c r="V3191" s="124" t="str">
        <f>IFERROR(__xludf.DUMMYFUNCTION("""COMPUTED_VALUE"""),"whatsapp")</f>
        <v>whatsapp</v>
      </c>
      <c r="W3191" s="124" t="str">
        <f>IFERROR(__xludf.DUMMYFUNCTION("""COMPUTED_VALUE"""),"api")</f>
        <v>api</v>
      </c>
      <c r="X3191" s="124" t="str">
        <f>IFERROR(__xludf.DUMMYFUNCTION("""COMPUTED_VALUE"""),"reply")</f>
        <v>reply</v>
      </c>
      <c r="Y3191" s="124"/>
      <c r="Z3191" s="124">
        <f>IFERROR(__xludf.DUMMYFUNCTION("""COMPUTED_VALUE"""),2.0)</f>
        <v>2</v>
      </c>
      <c r="AA3191" s="124" t="str">
        <f>IFERROR(__xludf.DUMMYFUNCTION("""COMPUTED_VALUE"""),"Cold")</f>
        <v>Cold</v>
      </c>
      <c r="AB3191" s="124"/>
    </row>
    <row r="3192">
      <c r="K3192" s="124"/>
      <c r="L3192" s="124"/>
      <c r="M3192" s="124"/>
      <c r="N3192" s="124"/>
      <c r="O3192" s="124"/>
      <c r="T3192" s="129">
        <f>IFERROR(__xludf.DUMMYFUNCTION("""COMPUTED_VALUE"""),46110.0)</f>
        <v>46110</v>
      </c>
      <c r="U3192" s="124" t="str">
        <f>IFERROR(__xludf.DUMMYFUNCTION("""COMPUTED_VALUE"""),"Event")</f>
        <v>Event</v>
      </c>
      <c r="V3192" s="124" t="str">
        <f>IFERROR(__xludf.DUMMYFUNCTION("""COMPUTED_VALUE"""),"whatsapp")</f>
        <v>whatsapp</v>
      </c>
      <c r="W3192" s="124" t="str">
        <f>IFERROR(__xludf.DUMMYFUNCTION("""COMPUTED_VALUE"""),"api")</f>
        <v>api</v>
      </c>
      <c r="X3192" s="124" t="str">
        <f>IFERROR(__xludf.DUMMYFUNCTION("""COMPUTED_VALUE"""),"reply")</f>
        <v>reply</v>
      </c>
      <c r="Y3192" s="124"/>
      <c r="Z3192" s="124">
        <f>IFERROR(__xludf.DUMMYFUNCTION("""COMPUTED_VALUE"""),1.0)</f>
        <v>1</v>
      </c>
      <c r="AA3192" s="124" t="str">
        <f>IFERROR(__xludf.DUMMYFUNCTION("""COMPUTED_VALUE"""),"Not Interested")</f>
        <v>Not Interested</v>
      </c>
      <c r="AB3192" s="124"/>
    </row>
    <row r="3193">
      <c r="K3193" s="124"/>
      <c r="L3193" s="124"/>
      <c r="M3193" s="124"/>
      <c r="N3193" s="124"/>
      <c r="O3193" s="124"/>
      <c r="T3193" s="126">
        <f>IFERROR(__xludf.DUMMYFUNCTION("""COMPUTED_VALUE"""),46112.0)</f>
        <v>46112</v>
      </c>
      <c r="U3193" s="124" t="str">
        <f>IFERROR(__xludf.DUMMYFUNCTION("""COMPUTED_VALUE"""),"Paid Ads")</f>
        <v>Paid Ads</v>
      </c>
      <c r="V3193" s="124" t="str">
        <f>IFERROR(__xludf.DUMMYFUNCTION("""COMPUTED_VALUE"""),"Facebook")</f>
        <v>Facebook</v>
      </c>
      <c r="W3193" s="124" t="str">
        <f>IFERROR(__xludf.DUMMYFUNCTION("""COMPUTED_VALUE"""),"LeadAd")</f>
        <v>LeadAd</v>
      </c>
      <c r="X3193" s="124" t="str">
        <f>IFERROR(__xludf.DUMMYFUNCTION("""COMPUTED_VALUE"""),"Upsc_Lead_English_South_FB_Video")</f>
        <v>Upsc_Lead_English_South_FB_Video</v>
      </c>
      <c r="Y3193" s="124"/>
      <c r="Z3193" s="124">
        <f>IFERROR(__xludf.DUMMYFUNCTION("""COMPUTED_VALUE"""),2.0)</f>
        <v>2</v>
      </c>
      <c r="AA3193" s="124"/>
      <c r="AB3193" s="124"/>
    </row>
    <row r="3194">
      <c r="K3194" s="124"/>
      <c r="L3194" s="124"/>
      <c r="M3194" s="124"/>
      <c r="N3194" s="124"/>
      <c r="O3194" s="124"/>
      <c r="T3194" s="126">
        <f>IFERROR(__xludf.DUMMYFUNCTION("""COMPUTED_VALUE"""),46094.0)</f>
        <v>46094</v>
      </c>
      <c r="U3194" s="124" t="str">
        <f>IFERROR(__xludf.DUMMYFUNCTION("""COMPUTED_VALUE"""),"Event")</f>
        <v>Event</v>
      </c>
      <c r="V3194" s="124" t="str">
        <f>IFERROR(__xludf.DUMMYFUNCTION("""COMPUTED_VALUE"""),"whatsapp")</f>
        <v>whatsapp</v>
      </c>
      <c r="W3194" s="124" t="str">
        <f>IFERROR(__xludf.DUMMYFUNCTION("""COMPUTED_VALUE"""),"api")</f>
        <v>api</v>
      </c>
      <c r="X3194" s="124" t="str">
        <f>IFERROR(__xludf.DUMMYFUNCTION("""COMPUTED_VALUE"""),"reply")</f>
        <v>reply</v>
      </c>
      <c r="Y3194" s="124"/>
      <c r="Z3194" s="124">
        <f>IFERROR(__xludf.DUMMYFUNCTION("""COMPUTED_VALUE"""),1.0)</f>
        <v>1</v>
      </c>
      <c r="AA3194" s="124" t="str">
        <f>IFERROR(__xludf.DUMMYFUNCTION("""COMPUTED_VALUE"""),"Cold")</f>
        <v>Cold</v>
      </c>
      <c r="AB3194" s="124"/>
    </row>
    <row r="3195">
      <c r="K3195" s="124"/>
      <c r="L3195" s="124"/>
      <c r="M3195" s="124"/>
      <c r="N3195" s="124"/>
      <c r="O3195" s="124"/>
      <c r="T3195" s="126">
        <f>IFERROR(__xludf.DUMMYFUNCTION("""COMPUTED_VALUE"""),46049.0)</f>
        <v>46049</v>
      </c>
      <c r="U3195" s="124" t="str">
        <f>IFERROR(__xludf.DUMMYFUNCTION("""COMPUTED_VALUE"""),"External Leads")</f>
        <v>External Leads</v>
      </c>
      <c r="V3195" s="124" t="str">
        <f>IFERROR(__xludf.DUMMYFUNCTION("""COMPUTED_VALUE"""),"Outbound Call")</f>
        <v>Outbound Call</v>
      </c>
      <c r="W3195" s="124" t="str">
        <f>IFERROR(__xludf.DUMMYFUNCTION("""COMPUTED_VALUE"""),"Outbound Call")</f>
        <v>Outbound Call</v>
      </c>
      <c r="X3195" s="124" t="str">
        <f>IFERROR(__xludf.DUMMYFUNCTION("""COMPUTED_VALUE"""),"Outbound Call")</f>
        <v>Outbound Call</v>
      </c>
      <c r="Y3195" s="124"/>
      <c r="Z3195" s="124">
        <f>IFERROR(__xludf.DUMMYFUNCTION("""COMPUTED_VALUE"""),1.0)</f>
        <v>1</v>
      </c>
      <c r="AA3195" s="124"/>
      <c r="AB3195" s="124"/>
    </row>
    <row r="3196">
      <c r="K3196" s="124"/>
      <c r="L3196" s="124"/>
      <c r="M3196" s="124"/>
      <c r="N3196" s="124"/>
      <c r="O3196" s="124"/>
      <c r="T3196" s="126">
        <f>IFERROR(__xludf.DUMMYFUNCTION("""COMPUTED_VALUE"""),46088.0)</f>
        <v>46088</v>
      </c>
      <c r="U3196" s="124" t="str">
        <f>IFERROR(__xludf.DUMMYFUNCTION("""COMPUTED_VALUE"""),"Event")</f>
        <v>Event</v>
      </c>
      <c r="V3196" s="124" t="str">
        <f>IFERROR(__xludf.DUMMYFUNCTION("""COMPUTED_VALUE"""),"whatsapp")</f>
        <v>whatsapp</v>
      </c>
      <c r="W3196" s="124" t="str">
        <f>IFERROR(__xludf.DUMMYFUNCTION("""COMPUTED_VALUE"""),"api")</f>
        <v>api</v>
      </c>
      <c r="X3196" s="124" t="str">
        <f>IFERROR(__xludf.DUMMYFUNCTION("""COMPUTED_VALUE"""),"reply")</f>
        <v>reply</v>
      </c>
      <c r="Y3196" s="124"/>
      <c r="Z3196" s="124">
        <f>IFERROR(__xludf.DUMMYFUNCTION("""COMPUTED_VALUE"""),1.0)</f>
        <v>1</v>
      </c>
      <c r="AA3196" s="124" t="str">
        <f>IFERROR(__xludf.DUMMYFUNCTION("""COMPUTED_VALUE"""),"Cold")</f>
        <v>Cold</v>
      </c>
      <c r="AB3196" s="124"/>
    </row>
    <row r="3197">
      <c r="K3197" s="124"/>
      <c r="L3197" s="124"/>
      <c r="M3197" s="124"/>
      <c r="N3197" s="124"/>
      <c r="O3197" s="124"/>
      <c r="T3197" s="126">
        <f>IFERROR(__xludf.DUMMYFUNCTION("""COMPUTED_VALUE"""),46102.0)</f>
        <v>46102</v>
      </c>
      <c r="U3197" s="124" t="str">
        <f>IFERROR(__xludf.DUMMYFUNCTION("""COMPUTED_VALUE"""),"Event")</f>
        <v>Event</v>
      </c>
      <c r="V3197" s="124" t="str">
        <f>IFERROR(__xludf.DUMMYFUNCTION("""COMPUTED_VALUE"""),"whatsapp")</f>
        <v>whatsapp</v>
      </c>
      <c r="W3197" s="124" t="str">
        <f>IFERROR(__xludf.DUMMYFUNCTION("""COMPUTED_VALUE"""),"api")</f>
        <v>api</v>
      </c>
      <c r="X3197" s="124" t="str">
        <f>IFERROR(__xludf.DUMMYFUNCTION("""COMPUTED_VALUE"""),"reply")</f>
        <v>reply</v>
      </c>
      <c r="Y3197" s="124" t="str">
        <f>IFERROR(__xludf.DUMMYFUNCTION("""COMPUTED_VALUE"""),"Delhi")</f>
        <v>Delhi</v>
      </c>
      <c r="Z3197" s="124">
        <f>IFERROR(__xludf.DUMMYFUNCTION("""COMPUTED_VALUE"""),1.0)</f>
        <v>1</v>
      </c>
      <c r="AA3197" s="124" t="str">
        <f>IFERROR(__xludf.DUMMYFUNCTION("""COMPUTED_VALUE"""),"Cold")</f>
        <v>Cold</v>
      </c>
      <c r="AB3197" s="124"/>
    </row>
    <row r="3198">
      <c r="K3198" s="124"/>
      <c r="L3198" s="124"/>
      <c r="M3198" s="124"/>
      <c r="N3198" s="124"/>
      <c r="O3198" s="124"/>
      <c r="T3198" s="129">
        <f>IFERROR(__xludf.DUMMYFUNCTION("""COMPUTED_VALUE"""),46043.0)</f>
        <v>46043</v>
      </c>
      <c r="U3198" s="124" t="str">
        <f>IFERROR(__xludf.DUMMYFUNCTION("""COMPUTED_VALUE"""),"Event")</f>
        <v>Event</v>
      </c>
      <c r="V3198" s="124" t="str">
        <f>IFERROR(__xludf.DUMMYFUNCTION("""COMPUTED_VALUE"""),"whatsapp")</f>
        <v>whatsapp</v>
      </c>
      <c r="W3198" s="124" t="str">
        <f>IFERROR(__xludf.DUMMYFUNCTION("""COMPUTED_VALUE"""),"api")</f>
        <v>api</v>
      </c>
      <c r="X3198" s="124" t="str">
        <f>IFERROR(__xludf.DUMMYFUNCTION("""COMPUTED_VALUE"""),"reply")</f>
        <v>reply</v>
      </c>
      <c r="Y3198" s="124"/>
      <c r="Z3198" s="124">
        <f>IFERROR(__xludf.DUMMYFUNCTION("""COMPUTED_VALUE"""),1.0)</f>
        <v>1</v>
      </c>
      <c r="AA3198" s="124" t="str">
        <f>IFERROR(__xludf.DUMMYFUNCTION("""COMPUTED_VALUE"""),"Fake Lead")</f>
        <v>Fake Lead</v>
      </c>
      <c r="AB3198" s="124"/>
    </row>
    <row r="3199">
      <c r="K3199" s="124"/>
      <c r="L3199" s="124"/>
      <c r="M3199" s="124"/>
      <c r="N3199" s="124"/>
      <c r="O3199" s="124"/>
      <c r="T3199" s="126">
        <f>IFERROR(__xludf.DUMMYFUNCTION("""COMPUTED_VALUE"""),46063.0)</f>
        <v>46063</v>
      </c>
      <c r="U3199" s="124" t="str">
        <f>IFERROR(__xludf.DUMMYFUNCTION("""COMPUTED_VALUE"""),"Event")</f>
        <v>Event</v>
      </c>
      <c r="V3199" s="124" t="str">
        <f>IFERROR(__xludf.DUMMYFUNCTION("""COMPUTED_VALUE"""),"Events")</f>
        <v>Events</v>
      </c>
      <c r="W3199" s="124" t="str">
        <f>IFERROR(__xludf.DUMMYFUNCTION("""COMPUTED_VALUE"""),"All Centre")</f>
        <v>All Centre</v>
      </c>
      <c r="X3199" s="124" t="str">
        <f>IFERROR(__xludf.DUMMYFUNCTION("""COMPUTED_VALUE"""),"Generic")</f>
        <v>Generic</v>
      </c>
      <c r="Y3199" s="124" t="str">
        <f>IFERROR(__xludf.DUMMYFUNCTION("""COMPUTED_VALUE"""),"Delhi")</f>
        <v>Delhi</v>
      </c>
      <c r="Z3199" s="124">
        <f>IFERROR(__xludf.DUMMYFUNCTION("""COMPUTED_VALUE"""),1.0)</f>
        <v>1</v>
      </c>
      <c r="AA3199" s="124" t="str">
        <f>IFERROR(__xludf.DUMMYFUNCTION("""COMPUTED_VALUE"""),"Warm")</f>
        <v>Warm</v>
      </c>
      <c r="AB3199" s="124" t="str">
        <f>IFERROR(__xludf.DUMMYFUNCTION("""COMPUTED_VALUE"""),"GS Foundation")</f>
        <v>GS Foundation</v>
      </c>
    </row>
    <row r="3200">
      <c r="K3200" s="124"/>
      <c r="L3200" s="124"/>
      <c r="M3200" s="124"/>
      <c r="N3200" s="124"/>
      <c r="O3200" s="124"/>
      <c r="T3200" s="126">
        <f>IFERROR(__xludf.DUMMYFUNCTION("""COMPUTED_VALUE"""),46105.0)</f>
        <v>46105</v>
      </c>
      <c r="U3200" s="124" t="str">
        <f>IFERROR(__xludf.DUMMYFUNCTION("""COMPUTED_VALUE"""),"Paid Ads")</f>
        <v>Paid Ads</v>
      </c>
      <c r="V3200" s="124" t="str">
        <f>IFERROR(__xludf.DUMMYFUNCTION("""COMPUTED_VALUE"""),"facebook")</f>
        <v>facebook</v>
      </c>
      <c r="W3200" s="124" t="str">
        <f>IFERROR(__xludf.DUMMYFUNCTION("""COMPUTED_VALUE"""),"patna")</f>
        <v>patna</v>
      </c>
      <c r="X3200" s="124" t="str">
        <f>IFERROR(__xludf.DUMMYFUNCTION("""COMPUTED_VALUE"""),"paidleads")</f>
        <v>paidleads</v>
      </c>
      <c r="Y3200" s="124"/>
      <c r="Z3200" s="124">
        <f>IFERROR(__xludf.DUMMYFUNCTION("""COMPUTED_VALUE"""),1.0)</f>
        <v>1</v>
      </c>
      <c r="AA3200" s="124" t="str">
        <f>IFERROR(__xludf.DUMMYFUNCTION("""COMPUTED_VALUE"""),"Cold")</f>
        <v>Cold</v>
      </c>
      <c r="AB3200" s="124" t="str">
        <f>IFERROR(__xludf.DUMMYFUNCTION("""COMPUTED_VALUE"""),"State PCS")</f>
        <v>State PCS</v>
      </c>
    </row>
    <row r="3201">
      <c r="K3201" s="124"/>
      <c r="L3201" s="124"/>
      <c r="M3201" s="124"/>
      <c r="N3201" s="124"/>
      <c r="O3201" s="124"/>
      <c r="T3201" s="129">
        <f>IFERROR(__xludf.DUMMYFUNCTION("""COMPUTED_VALUE"""),46049.0)</f>
        <v>46049</v>
      </c>
      <c r="U3201" s="124" t="str">
        <f>IFERROR(__xludf.DUMMYFUNCTION("""COMPUTED_VALUE"""),"Event")</f>
        <v>Event</v>
      </c>
      <c r="V3201" s="124" t="str">
        <f>IFERROR(__xludf.DUMMYFUNCTION("""COMPUTED_VALUE"""),"Events")</f>
        <v>Events</v>
      </c>
      <c r="W3201" s="124" t="str">
        <f>IFERROR(__xludf.DUMMYFUNCTION("""COMPUTED_VALUE"""),"Delhi")</f>
        <v>Delhi</v>
      </c>
      <c r="X3201" s="124" t="str">
        <f>IFERROR(__xludf.DUMMYFUNCTION("""COMPUTED_VALUE"""),"DRCSEMINAR(CTC)")</f>
        <v>DRCSEMINAR(CTC)</v>
      </c>
      <c r="Y3201" s="124"/>
      <c r="Z3201" s="124">
        <f>IFERROR(__xludf.DUMMYFUNCTION("""COMPUTED_VALUE"""),1.0)</f>
        <v>1</v>
      </c>
      <c r="AA3201" s="124" t="str">
        <f>IFERROR(__xludf.DUMMYFUNCTION("""COMPUTED_VALUE"""),"Cold")</f>
        <v>Cold</v>
      </c>
      <c r="AB3201" s="124"/>
    </row>
    <row r="3202">
      <c r="K3202" s="124"/>
      <c r="L3202" s="124"/>
      <c r="M3202" s="124"/>
      <c r="N3202" s="124"/>
      <c r="O3202" s="124"/>
      <c r="T3202" s="129">
        <f>IFERROR(__xludf.DUMMYFUNCTION("""COMPUTED_VALUE"""),46078.0)</f>
        <v>46078</v>
      </c>
      <c r="U3202" s="124" t="str">
        <f>IFERROR(__xludf.DUMMYFUNCTION("""COMPUTED_VALUE"""),"Event")</f>
        <v>Event</v>
      </c>
      <c r="V3202" s="124" t="str">
        <f>IFERROR(__xludf.DUMMYFUNCTION("""COMPUTED_VALUE"""),"Events")</f>
        <v>Events</v>
      </c>
      <c r="W3202" s="124" t="str">
        <f>IFERROR(__xludf.DUMMYFUNCTION("""COMPUTED_VALUE"""),"All Centre")</f>
        <v>All Centre</v>
      </c>
      <c r="X3202" s="124" t="str">
        <f>IFERROR(__xludf.DUMMYFUNCTION("""COMPUTED_VALUE"""),"Generic")</f>
        <v>Generic</v>
      </c>
      <c r="Y3202" s="124" t="str">
        <f>IFERROR(__xludf.DUMMYFUNCTION("""COMPUTED_VALUE"""),"Delhi")</f>
        <v>Delhi</v>
      </c>
      <c r="Z3202" s="124">
        <f>IFERROR(__xludf.DUMMYFUNCTION("""COMPUTED_VALUE"""),1.0)</f>
        <v>1</v>
      </c>
      <c r="AA3202" s="124" t="str">
        <f>IFERROR(__xludf.DUMMYFUNCTION("""COMPUTED_VALUE"""),"Cold")</f>
        <v>Cold</v>
      </c>
      <c r="AB3202" s="124" t="str">
        <f>IFERROR(__xludf.DUMMYFUNCTION("""COMPUTED_VALUE"""),"Prelims Crash Course - SIP")</f>
        <v>Prelims Crash Course - SIP</v>
      </c>
    </row>
    <row r="3203">
      <c r="K3203" s="124"/>
      <c r="L3203" s="124"/>
      <c r="M3203" s="124"/>
      <c r="N3203" s="124"/>
      <c r="O3203" s="124"/>
      <c r="T3203" s="126">
        <f>IFERROR(__xludf.DUMMYFUNCTION("""COMPUTED_VALUE"""),46057.0)</f>
        <v>46057</v>
      </c>
      <c r="U3203" s="124" t="str">
        <f>IFERROR(__xludf.DUMMYFUNCTION("""COMPUTED_VALUE"""),"Event")</f>
        <v>Event</v>
      </c>
      <c r="V3203" s="124" t="str">
        <f>IFERROR(__xludf.DUMMYFUNCTION("""COMPUTED_VALUE"""),"Events")</f>
        <v>Events</v>
      </c>
      <c r="W3203" s="124" t="str">
        <f>IFERROR(__xludf.DUMMYFUNCTION("""COMPUTED_VALUE"""),"All Centre")</f>
        <v>All Centre</v>
      </c>
      <c r="X3203" s="124" t="str">
        <f>IFERROR(__xludf.DUMMYFUNCTION("""COMPUTED_VALUE"""),"Generic")</f>
        <v>Generic</v>
      </c>
      <c r="Y3203" s="124" t="str">
        <f>IFERROR(__xludf.DUMMYFUNCTION("""COMPUTED_VALUE"""),"Delhi")</f>
        <v>Delhi</v>
      </c>
      <c r="Z3203" s="124">
        <f>IFERROR(__xludf.DUMMYFUNCTION("""COMPUTED_VALUE"""),2.0)</f>
        <v>2</v>
      </c>
      <c r="AA3203" s="124" t="str">
        <f>IFERROR(__xludf.DUMMYFUNCTION("""COMPUTED_VALUE"""),"Cold")</f>
        <v>Cold</v>
      </c>
      <c r="AB3203" s="124" t="str">
        <f>IFERROR(__xludf.DUMMYFUNCTION("""COMPUTED_VALUE"""),"State PCS")</f>
        <v>State PCS</v>
      </c>
    </row>
    <row r="3204">
      <c r="K3204" s="124"/>
      <c r="L3204" s="124"/>
      <c r="M3204" s="124"/>
      <c r="N3204" s="124"/>
      <c r="O3204" s="124"/>
      <c r="T3204" s="126">
        <f>IFERROR(__xludf.DUMMYFUNCTION("""COMPUTED_VALUE"""),46051.0)</f>
        <v>46051</v>
      </c>
      <c r="U3204" s="124" t="str">
        <f>IFERROR(__xludf.DUMMYFUNCTION("""COMPUTED_VALUE"""),"Event")</f>
        <v>Event</v>
      </c>
      <c r="V3204" s="124" t="str">
        <f>IFERROR(__xludf.DUMMYFUNCTION("""COMPUTED_VALUE"""),"Events")</f>
        <v>Events</v>
      </c>
      <c r="W3204" s="124" t="str">
        <f>IFERROR(__xludf.DUMMYFUNCTION("""COMPUTED_VALUE"""),"Delhi")</f>
        <v>Delhi</v>
      </c>
      <c r="X3204" s="124" t="str">
        <f>IFERROR(__xludf.DUMMYFUNCTION("""COMPUTED_VALUE"""),"DRCSEMINAR(CTC)")</f>
        <v>DRCSEMINAR(CTC)</v>
      </c>
      <c r="Y3204" s="124" t="str">
        <f>IFERROR(__xludf.DUMMYFUNCTION("""COMPUTED_VALUE"""),"Delhi")</f>
        <v>Delhi</v>
      </c>
      <c r="Z3204" s="124">
        <f>IFERROR(__xludf.DUMMYFUNCTION("""COMPUTED_VALUE"""),1.0)</f>
        <v>1</v>
      </c>
      <c r="AA3204" s="124" t="str">
        <f>IFERROR(__xludf.DUMMYFUNCTION("""COMPUTED_VALUE"""),"Warm")</f>
        <v>Warm</v>
      </c>
      <c r="AB3204" s="124" t="str">
        <f>IFERROR(__xludf.DUMMYFUNCTION("""COMPUTED_VALUE"""),"GS Foundation")</f>
        <v>GS Foundation</v>
      </c>
    </row>
    <row r="3205">
      <c r="K3205" s="124"/>
      <c r="L3205" s="124"/>
      <c r="M3205" s="124"/>
      <c r="N3205" s="124"/>
      <c r="O3205" s="124"/>
      <c r="T3205" s="126">
        <f>IFERROR(__xludf.DUMMYFUNCTION("""COMPUTED_VALUE"""),46058.0)</f>
        <v>46058</v>
      </c>
      <c r="U3205" s="124" t="str">
        <f>IFERROR(__xludf.DUMMYFUNCTION("""COMPUTED_VALUE"""),"Event")</f>
        <v>Event</v>
      </c>
      <c r="V3205" s="124" t="str">
        <f>IFERROR(__xludf.DUMMYFUNCTION("""COMPUTED_VALUE"""),"Events")</f>
        <v>Events</v>
      </c>
      <c r="W3205" s="124" t="str">
        <f>IFERROR(__xludf.DUMMYFUNCTION("""COMPUTED_VALUE"""),"All Centre")</f>
        <v>All Centre</v>
      </c>
      <c r="X3205" s="124" t="str">
        <f>IFERROR(__xludf.DUMMYFUNCTION("""COMPUTED_VALUE"""),"Generic")</f>
        <v>Generic</v>
      </c>
      <c r="Y3205" s="124" t="str">
        <f>IFERROR(__xludf.DUMMYFUNCTION("""COMPUTED_VALUE"""),"Delhi")</f>
        <v>Delhi</v>
      </c>
      <c r="Z3205" s="124">
        <f>IFERROR(__xludf.DUMMYFUNCTION("""COMPUTED_VALUE"""),1.0)</f>
        <v>1</v>
      </c>
      <c r="AA3205" s="124" t="str">
        <f>IFERROR(__xludf.DUMMYFUNCTION("""COMPUTED_VALUE"""),"Not Interested")</f>
        <v>Not Interested</v>
      </c>
      <c r="AB3205" s="124" t="str">
        <f>IFERROR(__xludf.DUMMYFUNCTION("""COMPUTED_VALUE"""),"Other")</f>
        <v>Other</v>
      </c>
    </row>
    <row r="3206">
      <c r="K3206" s="124"/>
      <c r="L3206" s="124"/>
      <c r="M3206" s="124"/>
      <c r="N3206" s="124"/>
      <c r="O3206" s="124"/>
      <c r="T3206" s="126">
        <f>IFERROR(__xludf.DUMMYFUNCTION("""COMPUTED_VALUE"""),46104.0)</f>
        <v>46104</v>
      </c>
      <c r="U3206" s="124" t="str">
        <f>IFERROR(__xludf.DUMMYFUNCTION("""COMPUTED_VALUE"""),"Event")</f>
        <v>Event</v>
      </c>
      <c r="V3206" s="124" t="str">
        <f>IFERROR(__xludf.DUMMYFUNCTION("""COMPUTED_VALUE"""),"Events")</f>
        <v>Events</v>
      </c>
      <c r="W3206" s="124" t="str">
        <f>IFERROR(__xludf.DUMMYFUNCTION("""COMPUTED_VALUE"""),"All Centre")</f>
        <v>All Centre</v>
      </c>
      <c r="X3206" s="124" t="str">
        <f>IFERROR(__xludf.DUMMYFUNCTION("""COMPUTED_VALUE"""),"Generic")</f>
        <v>Generic</v>
      </c>
      <c r="Y3206" s="124" t="str">
        <f>IFERROR(__xludf.DUMMYFUNCTION("""COMPUTED_VALUE"""),"Prayagraj")</f>
        <v>Prayagraj</v>
      </c>
      <c r="Z3206" s="124">
        <f>IFERROR(__xludf.DUMMYFUNCTION("""COMPUTED_VALUE"""),1.0)</f>
        <v>1</v>
      </c>
      <c r="AA3206" s="124" t="str">
        <f>IFERROR(__xludf.DUMMYFUNCTION("""COMPUTED_VALUE"""),"Cold")</f>
        <v>Cold</v>
      </c>
      <c r="AB3206" s="124" t="str">
        <f>IFERROR(__xludf.DUMMYFUNCTION("""COMPUTED_VALUE"""),"GS Foundation")</f>
        <v>GS Foundation</v>
      </c>
    </row>
    <row r="3207">
      <c r="K3207" s="124"/>
      <c r="L3207" s="124"/>
      <c r="M3207" s="124"/>
      <c r="N3207" s="124"/>
      <c r="O3207" s="124"/>
      <c r="T3207" s="126">
        <f>IFERROR(__xludf.DUMMYFUNCTION("""COMPUTED_VALUE"""),46050.0)</f>
        <v>46050</v>
      </c>
      <c r="U3207" s="124" t="str">
        <f>IFERROR(__xludf.DUMMYFUNCTION("""COMPUTED_VALUE"""),"Event")</f>
        <v>Event</v>
      </c>
      <c r="V3207" s="124" t="str">
        <f>IFERROR(__xludf.DUMMYFUNCTION("""COMPUTED_VALUE"""),"Events")</f>
        <v>Events</v>
      </c>
      <c r="W3207" s="124" t="str">
        <f>IFERROR(__xludf.DUMMYFUNCTION("""COMPUTED_VALUE"""),"Delhi")</f>
        <v>Delhi</v>
      </c>
      <c r="X3207" s="124" t="str">
        <f>IFERROR(__xludf.DUMMYFUNCTION("""COMPUTED_VALUE"""),"DRCSEMINAR(CTC)")</f>
        <v>DRCSEMINAR(CTC)</v>
      </c>
      <c r="Y3207" s="124"/>
      <c r="Z3207" s="124">
        <f>IFERROR(__xludf.DUMMYFUNCTION("""COMPUTED_VALUE"""),1.0)</f>
        <v>1</v>
      </c>
      <c r="AA3207" s="124" t="str">
        <f>IFERROR(__xludf.DUMMYFUNCTION("""COMPUTED_VALUE"""),"Engaged")</f>
        <v>Engaged</v>
      </c>
      <c r="AB3207" s="124"/>
    </row>
    <row r="3208">
      <c r="K3208" s="124"/>
      <c r="L3208" s="124"/>
      <c r="M3208" s="124"/>
      <c r="N3208" s="124"/>
      <c r="O3208" s="124"/>
      <c r="T3208" s="126">
        <f>IFERROR(__xludf.DUMMYFUNCTION("""COMPUTED_VALUE"""),46057.0)</f>
        <v>46057</v>
      </c>
      <c r="U3208" s="124" t="str">
        <f>IFERROR(__xludf.DUMMYFUNCTION("""COMPUTED_VALUE"""),"Event")</f>
        <v>Event</v>
      </c>
      <c r="V3208" s="124" t="str">
        <f>IFERROR(__xludf.DUMMYFUNCTION("""COMPUTED_VALUE"""),"Events")</f>
        <v>Events</v>
      </c>
      <c r="W3208" s="124" t="str">
        <f>IFERROR(__xludf.DUMMYFUNCTION("""COMPUTED_VALUE"""),"All Centre")</f>
        <v>All Centre</v>
      </c>
      <c r="X3208" s="124" t="str">
        <f>IFERROR(__xludf.DUMMYFUNCTION("""COMPUTED_VALUE"""),"Generic")</f>
        <v>Generic</v>
      </c>
      <c r="Y3208" s="124" t="str">
        <f>IFERROR(__xludf.DUMMYFUNCTION("""COMPUTED_VALUE"""),"Delhi")</f>
        <v>Delhi</v>
      </c>
      <c r="Z3208" s="124">
        <f>IFERROR(__xludf.DUMMYFUNCTION("""COMPUTED_VALUE"""),1.0)</f>
        <v>1</v>
      </c>
      <c r="AA3208" s="124" t="str">
        <f>IFERROR(__xludf.DUMMYFUNCTION("""COMPUTED_VALUE"""),"Cold")</f>
        <v>Cold</v>
      </c>
      <c r="AB3208" s="124" t="str">
        <f>IFERROR(__xludf.DUMMYFUNCTION("""COMPUTED_VALUE"""),"Other")</f>
        <v>Other</v>
      </c>
    </row>
    <row r="3209">
      <c r="K3209" s="124"/>
      <c r="L3209" s="124"/>
      <c r="M3209" s="124"/>
      <c r="N3209" s="124"/>
      <c r="O3209" s="124"/>
      <c r="T3209" s="126">
        <f>IFERROR(__xludf.DUMMYFUNCTION("""COMPUTED_VALUE"""),46063.0)</f>
        <v>46063</v>
      </c>
      <c r="U3209" s="124" t="str">
        <f>IFERROR(__xludf.DUMMYFUNCTION("""COMPUTED_VALUE"""),"Event")</f>
        <v>Event</v>
      </c>
      <c r="V3209" s="124" t="str">
        <f>IFERROR(__xludf.DUMMYFUNCTION("""COMPUTED_VALUE"""),"Events")</f>
        <v>Events</v>
      </c>
      <c r="W3209" s="124" t="str">
        <f>IFERROR(__xludf.DUMMYFUNCTION("""COMPUTED_VALUE"""),"All Centre")</f>
        <v>All Centre</v>
      </c>
      <c r="X3209" s="124" t="str">
        <f>IFERROR(__xludf.DUMMYFUNCTION("""COMPUTED_VALUE"""),"Generic")</f>
        <v>Generic</v>
      </c>
      <c r="Y3209" s="124" t="str">
        <f>IFERROR(__xludf.DUMMYFUNCTION("""COMPUTED_VALUE"""),"Delhi")</f>
        <v>Delhi</v>
      </c>
      <c r="Z3209" s="124">
        <f>IFERROR(__xludf.DUMMYFUNCTION("""COMPUTED_VALUE"""),1.0)</f>
        <v>1</v>
      </c>
      <c r="AA3209" s="124" t="str">
        <f>IFERROR(__xludf.DUMMYFUNCTION("""COMPUTED_VALUE"""),"Cold")</f>
        <v>Cold</v>
      </c>
      <c r="AB3209" s="124" t="str">
        <f>IFERROR(__xludf.DUMMYFUNCTION("""COMPUTED_VALUE"""),"Hybrid")</f>
        <v>Hybrid</v>
      </c>
    </row>
    <row r="3210">
      <c r="K3210" s="124"/>
      <c r="L3210" s="124"/>
      <c r="M3210" s="124"/>
      <c r="N3210" s="124"/>
      <c r="O3210" s="124"/>
      <c r="T3210" s="129">
        <f>IFERROR(__xludf.DUMMYFUNCTION("""COMPUTED_VALUE"""),46062.0)</f>
        <v>46062</v>
      </c>
      <c r="U3210" s="124" t="str">
        <f>IFERROR(__xludf.DUMMYFUNCTION("""COMPUTED_VALUE"""),"Event")</f>
        <v>Event</v>
      </c>
      <c r="V3210" s="124" t="str">
        <f>IFERROR(__xludf.DUMMYFUNCTION("""COMPUTED_VALUE"""),"Events")</f>
        <v>Events</v>
      </c>
      <c r="W3210" s="124" t="str">
        <f>IFERROR(__xludf.DUMMYFUNCTION("""COMPUTED_VALUE"""),"All Centre")</f>
        <v>All Centre</v>
      </c>
      <c r="X3210" s="124" t="str">
        <f>IFERROR(__xludf.DUMMYFUNCTION("""COMPUTED_VALUE"""),"Generic")</f>
        <v>Generic</v>
      </c>
      <c r="Y3210" s="124" t="str">
        <f>IFERROR(__xludf.DUMMYFUNCTION("""COMPUTED_VALUE"""),"Delhi")</f>
        <v>Delhi</v>
      </c>
      <c r="Z3210" s="124">
        <f>IFERROR(__xludf.DUMMYFUNCTION("""COMPUTED_VALUE"""),2.0)</f>
        <v>2</v>
      </c>
      <c r="AA3210" s="124" t="str">
        <f>IFERROR(__xludf.DUMMYFUNCTION("""COMPUTED_VALUE"""),"Cold")</f>
        <v>Cold</v>
      </c>
      <c r="AB3210" s="124" t="str">
        <f>IFERROR(__xludf.DUMMYFUNCTION("""COMPUTED_VALUE"""),"State PCS")</f>
        <v>State PCS</v>
      </c>
    </row>
    <row r="3211">
      <c r="K3211" s="124"/>
      <c r="L3211" s="124"/>
      <c r="M3211" s="124"/>
      <c r="N3211" s="124"/>
      <c r="O3211" s="124"/>
      <c r="T3211" s="126">
        <f>IFERROR(__xludf.DUMMYFUNCTION("""COMPUTED_VALUE"""),46059.0)</f>
        <v>46059</v>
      </c>
      <c r="U3211" s="124" t="str">
        <f>IFERROR(__xludf.DUMMYFUNCTION("""COMPUTED_VALUE"""),"External Leads")</f>
        <v>External Leads</v>
      </c>
      <c r="V3211" s="124" t="str">
        <f>IFERROR(__xludf.DUMMYFUNCTION("""COMPUTED_VALUE"""),"external leads")</f>
        <v>external leads</v>
      </c>
      <c r="W3211" s="124" t="str">
        <f>IFERROR(__xludf.DUMMYFUNCTION("""COMPUTED_VALUE"""),"lucknow")</f>
        <v>lucknow</v>
      </c>
      <c r="X3211" s="124" t="str">
        <f>IFERROR(__xludf.DUMMYFUNCTION("""COMPUTED_VALUE"""),"library")</f>
        <v>library</v>
      </c>
      <c r="Y3211" s="124" t="str">
        <f>IFERROR(__xludf.DUMMYFUNCTION("""COMPUTED_VALUE"""),"Lucknow")</f>
        <v>Lucknow</v>
      </c>
      <c r="Z3211" s="124">
        <f>IFERROR(__xludf.DUMMYFUNCTION("""COMPUTED_VALUE"""),1.0)</f>
        <v>1</v>
      </c>
      <c r="AA3211" s="124" t="str">
        <f>IFERROR(__xludf.DUMMYFUNCTION("""COMPUTED_VALUE"""),"Fake Lead")</f>
        <v>Fake Lead</v>
      </c>
      <c r="AB3211" s="124"/>
    </row>
    <row r="3212">
      <c r="K3212" s="124"/>
      <c r="L3212" s="124"/>
      <c r="M3212" s="124"/>
      <c r="N3212" s="124"/>
      <c r="O3212" s="124"/>
      <c r="T3212" s="126">
        <f>IFERROR(__xludf.DUMMYFUNCTION("""COMPUTED_VALUE"""),46077.0)</f>
        <v>46077</v>
      </c>
      <c r="U3212" s="124" t="str">
        <f>IFERROR(__xludf.DUMMYFUNCTION("""COMPUTED_VALUE"""),"Event")</f>
        <v>Event</v>
      </c>
      <c r="V3212" s="124" t="str">
        <f>IFERROR(__xludf.DUMMYFUNCTION("""COMPUTED_VALUE"""),"Events")</f>
        <v>Events</v>
      </c>
      <c r="W3212" s="124" t="str">
        <f>IFERROR(__xludf.DUMMYFUNCTION("""COMPUTED_VALUE"""),"All Centre")</f>
        <v>All Centre</v>
      </c>
      <c r="X3212" s="124" t="str">
        <f>IFERROR(__xludf.DUMMYFUNCTION("""COMPUTED_VALUE"""),"Generic")</f>
        <v>Generic</v>
      </c>
      <c r="Y3212" s="124" t="str">
        <f>IFERROR(__xludf.DUMMYFUNCTION("""COMPUTED_VALUE"""),"Delhi")</f>
        <v>Delhi</v>
      </c>
      <c r="Z3212" s="124">
        <f>IFERROR(__xludf.DUMMYFUNCTION("""COMPUTED_VALUE"""),1.0)</f>
        <v>1</v>
      </c>
      <c r="AA3212" s="124" t="str">
        <f>IFERROR(__xludf.DUMMYFUNCTION("""COMPUTED_VALUE"""),"Not Interested")</f>
        <v>Not Interested</v>
      </c>
      <c r="AB3212" s="124" t="str">
        <f>IFERROR(__xludf.DUMMYFUNCTION("""COMPUTED_VALUE"""),"Prelims Crash Course - SIP")</f>
        <v>Prelims Crash Course - SIP</v>
      </c>
    </row>
    <row r="3213">
      <c r="K3213" s="124"/>
      <c r="L3213" s="124"/>
      <c r="M3213" s="124"/>
      <c r="N3213" s="124"/>
      <c r="O3213" s="124"/>
      <c r="T3213" s="126">
        <f>IFERROR(__xludf.DUMMYFUNCTION("""COMPUTED_VALUE"""),46058.0)</f>
        <v>46058</v>
      </c>
      <c r="U3213" s="124" t="str">
        <f>IFERROR(__xludf.DUMMYFUNCTION("""COMPUTED_VALUE"""),"Event")</f>
        <v>Event</v>
      </c>
      <c r="V3213" s="124" t="str">
        <f>IFERROR(__xludf.DUMMYFUNCTION("""COMPUTED_VALUE"""),"Events")</f>
        <v>Events</v>
      </c>
      <c r="W3213" s="124" t="str">
        <f>IFERROR(__xludf.DUMMYFUNCTION("""COMPUTED_VALUE"""),"All Centre")</f>
        <v>All Centre</v>
      </c>
      <c r="X3213" s="124" t="str">
        <f>IFERROR(__xludf.DUMMYFUNCTION("""COMPUTED_VALUE"""),"Generic")</f>
        <v>Generic</v>
      </c>
      <c r="Y3213" s="124" t="str">
        <f>IFERROR(__xludf.DUMMYFUNCTION("""COMPUTED_VALUE"""),"Delhi")</f>
        <v>Delhi</v>
      </c>
      <c r="Z3213" s="124">
        <f>IFERROR(__xludf.DUMMYFUNCTION("""COMPUTED_VALUE"""),1.0)</f>
        <v>1</v>
      </c>
      <c r="AA3213" s="124" t="str">
        <f>IFERROR(__xludf.DUMMYFUNCTION("""COMPUTED_VALUE"""),"Not Interested")</f>
        <v>Not Interested</v>
      </c>
      <c r="AB3213" s="124" t="str">
        <f>IFERROR(__xludf.DUMMYFUNCTION("""COMPUTED_VALUE"""),"GS Foundation")</f>
        <v>GS Foundation</v>
      </c>
    </row>
    <row r="3214">
      <c r="K3214" s="124"/>
      <c r="L3214" s="124"/>
      <c r="M3214" s="124"/>
      <c r="N3214" s="124"/>
      <c r="O3214" s="124"/>
      <c r="T3214" s="126">
        <f>IFERROR(__xludf.DUMMYFUNCTION("""COMPUTED_VALUE"""),46057.0)</f>
        <v>46057</v>
      </c>
      <c r="U3214" s="124" t="str">
        <f>IFERROR(__xludf.DUMMYFUNCTION("""COMPUTED_VALUE"""),"Event")</f>
        <v>Event</v>
      </c>
      <c r="V3214" s="124" t="str">
        <f>IFERROR(__xludf.DUMMYFUNCTION("""COMPUTED_VALUE"""),"Events")</f>
        <v>Events</v>
      </c>
      <c r="W3214" s="124" t="str">
        <f>IFERROR(__xludf.DUMMYFUNCTION("""COMPUTED_VALUE"""),"Delhi")</f>
        <v>Delhi</v>
      </c>
      <c r="X3214" s="124" t="str">
        <f>IFERROR(__xludf.DUMMYFUNCTION("""COMPUTED_VALUE"""),"DRCSEMINAR(CTC)")</f>
        <v>DRCSEMINAR(CTC)</v>
      </c>
      <c r="Y3214" s="124" t="str">
        <f>IFERROR(__xludf.DUMMYFUNCTION("""COMPUTED_VALUE"""),"Delhi")</f>
        <v>Delhi</v>
      </c>
      <c r="Z3214" s="124">
        <f>IFERROR(__xludf.DUMMYFUNCTION("""COMPUTED_VALUE"""),1.0)</f>
        <v>1</v>
      </c>
      <c r="AA3214" s="124" t="str">
        <f>IFERROR(__xludf.DUMMYFUNCTION("""COMPUTED_VALUE"""),"Engaged")</f>
        <v>Engaged</v>
      </c>
      <c r="AB3214" s="124"/>
    </row>
    <row r="3215">
      <c r="K3215" s="124"/>
      <c r="L3215" s="124"/>
      <c r="M3215" s="124"/>
      <c r="N3215" s="124"/>
      <c r="O3215" s="124"/>
      <c r="T3215" s="126">
        <f>IFERROR(__xludf.DUMMYFUNCTION("""COMPUTED_VALUE"""),46063.0)</f>
        <v>46063</v>
      </c>
      <c r="U3215" s="124" t="str">
        <f>IFERROR(__xludf.DUMMYFUNCTION("""COMPUTED_VALUE"""),"Event")</f>
        <v>Event</v>
      </c>
      <c r="V3215" s="124" t="str">
        <f>IFERROR(__xludf.DUMMYFUNCTION("""COMPUTED_VALUE"""),"Events")</f>
        <v>Events</v>
      </c>
      <c r="W3215" s="124" t="str">
        <f>IFERROR(__xludf.DUMMYFUNCTION("""COMPUTED_VALUE"""),"All Centre")</f>
        <v>All Centre</v>
      </c>
      <c r="X3215" s="124" t="str">
        <f>IFERROR(__xludf.DUMMYFUNCTION("""COMPUTED_VALUE"""),"Generic")</f>
        <v>Generic</v>
      </c>
      <c r="Y3215" s="124" t="str">
        <f>IFERROR(__xludf.DUMMYFUNCTION("""COMPUTED_VALUE"""),"Delhi")</f>
        <v>Delhi</v>
      </c>
      <c r="Z3215" s="124">
        <f>IFERROR(__xludf.DUMMYFUNCTION("""COMPUTED_VALUE"""),1.0)</f>
        <v>1</v>
      </c>
      <c r="AA3215" s="124" t="str">
        <f>IFERROR(__xludf.DUMMYFUNCTION("""COMPUTED_VALUE"""),"Not Interested")</f>
        <v>Not Interested</v>
      </c>
      <c r="AB3215" s="124" t="str">
        <f>IFERROR(__xludf.DUMMYFUNCTION("""COMPUTED_VALUE"""),"State PCS")</f>
        <v>State PCS</v>
      </c>
    </row>
    <row r="3216">
      <c r="K3216" s="124"/>
      <c r="L3216" s="124"/>
      <c r="M3216" s="124"/>
      <c r="N3216" s="124"/>
      <c r="O3216" s="124"/>
      <c r="T3216" s="126">
        <f>IFERROR(__xludf.DUMMYFUNCTION("""COMPUTED_VALUE"""),46045.0)</f>
        <v>46045</v>
      </c>
      <c r="U3216" s="124" t="str">
        <f>IFERROR(__xludf.DUMMYFUNCTION("""COMPUTED_VALUE"""),"Walk-Ins")</f>
        <v>Walk-Ins</v>
      </c>
      <c r="V3216" s="124" t="str">
        <f>IFERROR(__xludf.DUMMYFUNCTION("""COMPUTED_VALUE"""),"Walk-In")</f>
        <v>Walk-In</v>
      </c>
      <c r="W3216" s="124" t="str">
        <f>IFERROR(__xludf.DUMMYFUNCTION("""COMPUTED_VALUE"""),"Patna")</f>
        <v>Patna</v>
      </c>
      <c r="X3216" s="124" t="str">
        <f>IFERROR(__xludf.DUMMYFUNCTION("""COMPUTED_VALUE"""),"Ashish Sinha")</f>
        <v>Ashish Sinha</v>
      </c>
      <c r="Y3216" s="124" t="str">
        <f>IFERROR(__xludf.DUMMYFUNCTION("""COMPUTED_VALUE"""),"Patna")</f>
        <v>Patna</v>
      </c>
      <c r="Z3216" s="124">
        <f>IFERROR(__xludf.DUMMYFUNCTION("""COMPUTED_VALUE"""),1.0)</f>
        <v>1</v>
      </c>
      <c r="AA3216" s="124" t="str">
        <f>IFERROR(__xludf.DUMMYFUNCTION("""COMPUTED_VALUE"""),"Enrolled")</f>
        <v>Enrolled</v>
      </c>
      <c r="AB3216" s="124" t="str">
        <f>IFERROR(__xludf.DUMMYFUNCTION("""COMPUTED_VALUE"""),"GS Foundation")</f>
        <v>GS Foundation</v>
      </c>
    </row>
    <row r="3217">
      <c r="K3217" s="124"/>
      <c r="L3217" s="124"/>
      <c r="M3217" s="124"/>
      <c r="N3217" s="124"/>
      <c r="O3217" s="124"/>
      <c r="T3217" s="126">
        <f>IFERROR(__xludf.DUMMYFUNCTION("""COMPUTED_VALUE"""),46078.0)</f>
        <v>46078</v>
      </c>
      <c r="U3217" s="124" t="str">
        <f>IFERROR(__xludf.DUMMYFUNCTION("""COMPUTED_VALUE"""),"Event")</f>
        <v>Event</v>
      </c>
      <c r="V3217" s="124" t="str">
        <f>IFERROR(__xludf.DUMMYFUNCTION("""COMPUTED_VALUE"""),"Events")</f>
        <v>Events</v>
      </c>
      <c r="W3217" s="124" t="str">
        <f>IFERROR(__xludf.DUMMYFUNCTION("""COMPUTED_VALUE"""),"All Centre")</f>
        <v>All Centre</v>
      </c>
      <c r="X3217" s="124" t="str">
        <f>IFERROR(__xludf.DUMMYFUNCTION("""COMPUTED_VALUE"""),"Generic")</f>
        <v>Generic</v>
      </c>
      <c r="Y3217" s="124" t="str">
        <f>IFERROR(__xludf.DUMMYFUNCTION("""COMPUTED_VALUE"""),"Delhi")</f>
        <v>Delhi</v>
      </c>
      <c r="Z3217" s="124">
        <f>IFERROR(__xludf.DUMMYFUNCTION("""COMPUTED_VALUE"""),1.0)</f>
        <v>1</v>
      </c>
      <c r="AA3217" s="124" t="str">
        <f>IFERROR(__xludf.DUMMYFUNCTION("""COMPUTED_VALUE"""),"Not Interested")</f>
        <v>Not Interested</v>
      </c>
      <c r="AB3217" s="124" t="str">
        <f>IFERROR(__xludf.DUMMYFUNCTION("""COMPUTED_VALUE"""),"Prelims Crash Course - SIP")</f>
        <v>Prelims Crash Course - SIP</v>
      </c>
    </row>
    <row r="3218">
      <c r="K3218" s="124"/>
      <c r="L3218" s="124"/>
      <c r="M3218" s="124"/>
      <c r="N3218" s="124"/>
      <c r="O3218" s="124"/>
      <c r="T3218" s="126">
        <f>IFERROR(__xludf.DUMMYFUNCTION("""COMPUTED_VALUE"""),46097.0)</f>
        <v>46097</v>
      </c>
      <c r="U3218" s="124" t="str">
        <f>IFERROR(__xludf.DUMMYFUNCTION("""COMPUTED_VALUE"""),"Event")</f>
        <v>Event</v>
      </c>
      <c r="V3218" s="124" t="str">
        <f>IFERROR(__xludf.DUMMYFUNCTION("""COMPUTED_VALUE"""),"Events")</f>
        <v>Events</v>
      </c>
      <c r="W3218" s="124" t="str">
        <f>IFERROR(__xludf.DUMMYFUNCTION("""COMPUTED_VALUE"""),"All Centre")</f>
        <v>All Centre</v>
      </c>
      <c r="X3218" s="124" t="str">
        <f>IFERROR(__xludf.DUMMYFUNCTION("""COMPUTED_VALUE"""),"Generic")</f>
        <v>Generic</v>
      </c>
      <c r="Y3218" s="124" t="str">
        <f>IFERROR(__xludf.DUMMYFUNCTION("""COMPUTED_VALUE"""),"Delhi")</f>
        <v>Delhi</v>
      </c>
      <c r="Z3218" s="124">
        <f>IFERROR(__xludf.DUMMYFUNCTION("""COMPUTED_VALUE"""),1.0)</f>
        <v>1</v>
      </c>
      <c r="AA3218" s="124" t="str">
        <f>IFERROR(__xludf.DUMMYFUNCTION("""COMPUTED_VALUE"""),"Engaged")</f>
        <v>Engaged</v>
      </c>
      <c r="AB3218" s="124" t="str">
        <f>IFERROR(__xludf.DUMMYFUNCTION("""COMPUTED_VALUE"""),"GS Foundation")</f>
        <v>GS Foundation</v>
      </c>
    </row>
    <row r="3219">
      <c r="K3219" s="124"/>
      <c r="L3219" s="124"/>
      <c r="M3219" s="124"/>
      <c r="N3219" s="124"/>
      <c r="O3219" s="124"/>
      <c r="T3219" s="129">
        <f>IFERROR(__xludf.DUMMYFUNCTION("""COMPUTED_VALUE"""),46043.0)</f>
        <v>46043</v>
      </c>
      <c r="U3219" s="124" t="str">
        <f>IFERROR(__xludf.DUMMYFUNCTION("""COMPUTED_VALUE"""),"Event")</f>
        <v>Event</v>
      </c>
      <c r="V3219" s="124" t="str">
        <f>IFERROR(__xludf.DUMMYFUNCTION("""COMPUTED_VALUE"""),"Events")</f>
        <v>Events</v>
      </c>
      <c r="W3219" s="124" t="str">
        <f>IFERROR(__xludf.DUMMYFUNCTION("""COMPUTED_VALUE"""),"Delhi")</f>
        <v>Delhi</v>
      </c>
      <c r="X3219" s="124" t="str">
        <f>IFERROR(__xludf.DUMMYFUNCTION("""COMPUTED_VALUE"""),"DRCSEMINAR(CTC)")</f>
        <v>DRCSEMINAR(CTC)</v>
      </c>
      <c r="Y3219" s="124"/>
      <c r="Z3219" s="124">
        <f>IFERROR(__xludf.DUMMYFUNCTION("""COMPUTED_VALUE"""),1.0)</f>
        <v>1</v>
      </c>
      <c r="AA3219" s="124" t="str">
        <f>IFERROR(__xludf.DUMMYFUNCTION("""COMPUTED_VALUE"""),"Cold")</f>
        <v>Cold</v>
      </c>
      <c r="AB3219" s="124"/>
    </row>
    <row r="3220">
      <c r="K3220" s="124"/>
      <c r="L3220" s="124"/>
      <c r="M3220" s="124"/>
      <c r="N3220" s="124"/>
      <c r="O3220" s="124"/>
      <c r="T3220" s="126">
        <f>IFERROR(__xludf.DUMMYFUNCTION("""COMPUTED_VALUE"""),46049.0)</f>
        <v>46049</v>
      </c>
      <c r="U3220" s="124" t="str">
        <f>IFERROR(__xludf.DUMMYFUNCTION("""COMPUTED_VALUE"""),"Event")</f>
        <v>Event</v>
      </c>
      <c r="V3220" s="124" t="str">
        <f>IFERROR(__xludf.DUMMYFUNCTION("""COMPUTED_VALUE"""),"Events")</f>
        <v>Events</v>
      </c>
      <c r="W3220" s="124" t="str">
        <f>IFERROR(__xludf.DUMMYFUNCTION("""COMPUTED_VALUE"""),"Delhi")</f>
        <v>Delhi</v>
      </c>
      <c r="X3220" s="124" t="str">
        <f>IFERROR(__xludf.DUMMYFUNCTION("""COMPUTED_VALUE"""),"DRCSEMINAR(CTC)")</f>
        <v>DRCSEMINAR(CTC)</v>
      </c>
      <c r="Y3220" s="124" t="str">
        <f>IFERROR(__xludf.DUMMYFUNCTION("""COMPUTED_VALUE"""),"Delhi")</f>
        <v>Delhi</v>
      </c>
      <c r="Z3220" s="124">
        <f>IFERROR(__xludf.DUMMYFUNCTION("""COMPUTED_VALUE"""),1.0)</f>
        <v>1</v>
      </c>
      <c r="AA3220" s="124" t="str">
        <f>IFERROR(__xludf.DUMMYFUNCTION("""COMPUTED_VALUE"""),"Cold")</f>
        <v>Cold</v>
      </c>
      <c r="AB3220" s="124" t="str">
        <f>IFERROR(__xludf.DUMMYFUNCTION("""COMPUTED_VALUE"""),"Test Series")</f>
        <v>Test Series</v>
      </c>
    </row>
    <row r="3221">
      <c r="K3221" s="124"/>
      <c r="L3221" s="124"/>
      <c r="M3221" s="124"/>
      <c r="N3221" s="124"/>
      <c r="O3221" s="124"/>
      <c r="T3221" s="126">
        <f>IFERROR(__xludf.DUMMYFUNCTION("""COMPUTED_VALUE"""),46047.0)</f>
        <v>46047</v>
      </c>
      <c r="U3221" s="124" t="str">
        <f>IFERROR(__xludf.DUMMYFUNCTION("""COMPUTED_VALUE"""),"Paid Ads")</f>
        <v>Paid Ads</v>
      </c>
      <c r="V3221" s="124" t="str">
        <f>IFERROR(__xludf.DUMMYFUNCTION("""COMPUTED_VALUE"""),"Facebook")</f>
        <v>Facebook</v>
      </c>
      <c r="W3221" s="124" t="str">
        <f>IFERROR(__xludf.DUMMYFUNCTION("""COMPUTED_VALUE"""),"LeadAd")</f>
        <v>LeadAd</v>
      </c>
      <c r="X3221" s="124" t="str">
        <f>IFERROR(__xludf.DUMMYFUNCTION("""COMPUTED_VALUE"""),"Upsc_Offline_26_Prygrj_FB_Creatives")</f>
        <v>Upsc_Offline_26_Prygrj_FB_Creatives</v>
      </c>
      <c r="Y3221" s="124" t="str">
        <f>IFERROR(__xludf.DUMMYFUNCTION("""COMPUTED_VALUE"""),"Prayagraj")</f>
        <v>Prayagraj</v>
      </c>
      <c r="Z3221" s="124">
        <f>IFERROR(__xludf.DUMMYFUNCTION("""COMPUTED_VALUE"""),1.0)</f>
        <v>1</v>
      </c>
      <c r="AA3221" s="124" t="str">
        <f>IFERROR(__xludf.DUMMYFUNCTION("""COMPUTED_VALUE"""),"Fake Lead")</f>
        <v>Fake Lead</v>
      </c>
      <c r="AB3221" s="124"/>
    </row>
    <row r="3222">
      <c r="K3222" s="124"/>
      <c r="L3222" s="124"/>
      <c r="M3222" s="124"/>
      <c r="N3222" s="124"/>
      <c r="O3222" s="124"/>
      <c r="T3222" s="126">
        <f>IFERROR(__xludf.DUMMYFUNCTION("""COMPUTED_VALUE"""),46107.0)</f>
        <v>46107</v>
      </c>
      <c r="U3222" s="124" t="str">
        <f>IFERROR(__xludf.DUMMYFUNCTION("""COMPUTED_VALUE"""),"Walk-Ins")</f>
        <v>Walk-Ins</v>
      </c>
      <c r="V3222" s="124" t="str">
        <f>IFERROR(__xludf.DUMMYFUNCTION("""COMPUTED_VALUE"""),"Walk-In")</f>
        <v>Walk-In</v>
      </c>
      <c r="W3222" s="124" t="str">
        <f>IFERROR(__xludf.DUMMYFUNCTION("""COMPUTED_VALUE"""),"Patna")</f>
        <v>Patna</v>
      </c>
      <c r="X3222" s="124" t="str">
        <f>IFERROR(__xludf.DUMMYFUNCTION("""COMPUTED_VALUE"""),"Tejaswi")</f>
        <v>Tejaswi</v>
      </c>
      <c r="Y3222" s="124"/>
      <c r="Z3222" s="124">
        <f>IFERROR(__xludf.DUMMYFUNCTION("""COMPUTED_VALUE"""),1.0)</f>
        <v>1</v>
      </c>
      <c r="AA3222" s="124" t="str">
        <f>IFERROR(__xludf.DUMMYFUNCTION("""COMPUTED_VALUE"""),"Fake Lead")</f>
        <v>Fake Lead</v>
      </c>
      <c r="AB3222" s="124" t="str">
        <f>IFERROR(__xludf.DUMMYFUNCTION("""COMPUTED_VALUE"""),"GS Foundation")</f>
        <v>GS Foundation</v>
      </c>
    </row>
    <row r="3223">
      <c r="K3223" s="124"/>
      <c r="L3223" s="124"/>
      <c r="M3223" s="124"/>
      <c r="N3223" s="124"/>
      <c r="O3223" s="124"/>
      <c r="T3223" s="126">
        <f>IFERROR(__xludf.DUMMYFUNCTION("""COMPUTED_VALUE"""),46109.0)</f>
        <v>46109</v>
      </c>
      <c r="U3223" s="124" t="str">
        <f>IFERROR(__xludf.DUMMYFUNCTION("""COMPUTED_VALUE"""),"Walk-Ins")</f>
        <v>Walk-Ins</v>
      </c>
      <c r="V3223" s="124" t="str">
        <f>IFERROR(__xludf.DUMMYFUNCTION("""COMPUTED_VALUE"""),"Walk-In")</f>
        <v>Walk-In</v>
      </c>
      <c r="W3223" s="124" t="str">
        <f>IFERROR(__xludf.DUMMYFUNCTION("""COMPUTED_VALUE"""),"Patna")</f>
        <v>Patna</v>
      </c>
      <c r="X3223" s="124" t="str">
        <f>IFERROR(__xludf.DUMMYFUNCTION("""COMPUTED_VALUE"""),"Tejaswi")</f>
        <v>Tejaswi</v>
      </c>
      <c r="Y3223" s="124" t="str">
        <f>IFERROR(__xludf.DUMMYFUNCTION("""COMPUTED_VALUE"""),"Patna")</f>
        <v>Patna</v>
      </c>
      <c r="Z3223" s="124">
        <f>IFERROR(__xludf.DUMMYFUNCTION("""COMPUTED_VALUE"""),1.0)</f>
        <v>1</v>
      </c>
      <c r="AA3223" s="124" t="str">
        <f>IFERROR(__xludf.DUMMYFUNCTION("""COMPUTED_VALUE"""),"Warm")</f>
        <v>Warm</v>
      </c>
      <c r="AB3223" s="124" t="str">
        <f>IFERROR(__xludf.DUMMYFUNCTION("""COMPUTED_VALUE"""),"State PCS")</f>
        <v>State PCS</v>
      </c>
    </row>
    <row r="3224">
      <c r="K3224" s="124"/>
      <c r="L3224" s="124"/>
      <c r="M3224" s="124"/>
      <c r="N3224" s="124"/>
      <c r="O3224" s="124"/>
      <c r="T3224" s="126">
        <f>IFERROR(__xludf.DUMMYFUNCTION("""COMPUTED_VALUE"""),46092.0)</f>
        <v>46092</v>
      </c>
      <c r="U3224" s="124" t="str">
        <f>IFERROR(__xludf.DUMMYFUNCTION("""COMPUTED_VALUE"""),"Walk-Ins")</f>
        <v>Walk-Ins</v>
      </c>
      <c r="V3224" s="124" t="str">
        <f>IFERROR(__xludf.DUMMYFUNCTION("""COMPUTED_VALUE"""),"Walk-In")</f>
        <v>Walk-In</v>
      </c>
      <c r="W3224" s="124" t="str">
        <f>IFERROR(__xludf.DUMMYFUNCTION("""COMPUTED_VALUE"""),"Delhi")</f>
        <v>Delhi</v>
      </c>
      <c r="X3224" s="124" t="str">
        <f>IFERROR(__xludf.DUMMYFUNCTION("""COMPUTED_VALUE"""),"Netri")</f>
        <v>Netri</v>
      </c>
      <c r="Y3224" s="124" t="str">
        <f>IFERROR(__xludf.DUMMYFUNCTION("""COMPUTED_VALUE"""),"Delhi")</f>
        <v>Delhi</v>
      </c>
      <c r="Z3224" s="124">
        <f>IFERROR(__xludf.DUMMYFUNCTION("""COMPUTED_VALUE"""),1.0)</f>
        <v>1</v>
      </c>
      <c r="AA3224" s="124" t="str">
        <f>IFERROR(__xludf.DUMMYFUNCTION("""COMPUTED_VALUE"""),"Not Interested")</f>
        <v>Not Interested</v>
      </c>
      <c r="AB3224" s="124" t="str">
        <f>IFERROR(__xludf.DUMMYFUNCTION("""COMPUTED_VALUE"""),"GS Foundation")</f>
        <v>GS Foundation</v>
      </c>
    </row>
    <row r="3225">
      <c r="K3225" s="124"/>
      <c r="L3225" s="124"/>
      <c r="M3225" s="124"/>
      <c r="N3225" s="124"/>
      <c r="O3225" s="124"/>
      <c r="T3225" s="126">
        <f>IFERROR(__xludf.DUMMYFUNCTION("""COMPUTED_VALUE"""),46094.0)</f>
        <v>46094</v>
      </c>
      <c r="U3225" s="124" t="str">
        <f>IFERROR(__xludf.DUMMYFUNCTION("""COMPUTED_VALUE"""),"Walk-Ins")</f>
        <v>Walk-Ins</v>
      </c>
      <c r="V3225" s="124" t="str">
        <f>IFERROR(__xludf.DUMMYFUNCTION("""COMPUTED_VALUE"""),"Walk-In")</f>
        <v>Walk-In</v>
      </c>
      <c r="W3225" s="124" t="str">
        <f>IFERROR(__xludf.DUMMYFUNCTION("""COMPUTED_VALUE"""),"Lucknow")</f>
        <v>Lucknow</v>
      </c>
      <c r="X3225" s="124" t="str">
        <f>IFERROR(__xludf.DUMMYFUNCTION("""COMPUTED_VALUE"""),"Swapnil")</f>
        <v>Swapnil</v>
      </c>
      <c r="Y3225" s="124" t="str">
        <f>IFERROR(__xludf.DUMMYFUNCTION("""COMPUTED_VALUE"""),"Lucknow")</f>
        <v>Lucknow</v>
      </c>
      <c r="Z3225" s="124">
        <f>IFERROR(__xludf.DUMMYFUNCTION("""COMPUTED_VALUE"""),1.0)</f>
        <v>1</v>
      </c>
      <c r="AA3225" s="124" t="str">
        <f>IFERROR(__xludf.DUMMYFUNCTION("""COMPUTED_VALUE"""),"Enrolled")</f>
        <v>Enrolled</v>
      </c>
      <c r="AB3225" s="124" t="str">
        <f>IFERROR(__xludf.DUMMYFUNCTION("""COMPUTED_VALUE"""),"GS Foundation")</f>
        <v>GS Foundation</v>
      </c>
    </row>
    <row r="3226">
      <c r="K3226" s="124"/>
      <c r="L3226" s="124"/>
      <c r="M3226" s="124"/>
      <c r="N3226" s="124"/>
      <c r="O3226" s="124"/>
      <c r="T3226" s="126">
        <f>IFERROR(__xludf.DUMMYFUNCTION("""COMPUTED_VALUE"""),46069.0)</f>
        <v>46069</v>
      </c>
      <c r="U3226" s="124" t="str">
        <f>IFERROR(__xludf.DUMMYFUNCTION("""COMPUTED_VALUE"""),"Walk-Ins")</f>
        <v>Walk-Ins</v>
      </c>
      <c r="V3226" s="124" t="str">
        <f>IFERROR(__xludf.DUMMYFUNCTION("""COMPUTED_VALUE"""),"Walk-In")</f>
        <v>Walk-In</v>
      </c>
      <c r="W3226" s="124" t="str">
        <f>IFERROR(__xludf.DUMMYFUNCTION("""COMPUTED_VALUE"""),"New Delhi")</f>
        <v>New Delhi</v>
      </c>
      <c r="X3226" s="124" t="str">
        <f>IFERROR(__xludf.DUMMYFUNCTION("""COMPUTED_VALUE"""),"New Delhi")</f>
        <v>New Delhi</v>
      </c>
      <c r="Y3226" s="124" t="str">
        <f>IFERROR(__xludf.DUMMYFUNCTION("""COMPUTED_VALUE"""),"Delhi")</f>
        <v>Delhi</v>
      </c>
      <c r="Z3226" s="124">
        <f>IFERROR(__xludf.DUMMYFUNCTION("""COMPUTED_VALUE"""),1.0)</f>
        <v>1</v>
      </c>
      <c r="AA3226" s="124" t="str">
        <f>IFERROR(__xludf.DUMMYFUNCTION("""COMPUTED_VALUE"""),"Fake Lead")</f>
        <v>Fake Lead</v>
      </c>
      <c r="AB3226" s="124" t="str">
        <f>IFERROR(__xludf.DUMMYFUNCTION("""COMPUTED_VALUE"""),"GS Foundation")</f>
        <v>GS Foundation</v>
      </c>
    </row>
    <row r="3227">
      <c r="K3227" s="124"/>
      <c r="L3227" s="124"/>
      <c r="M3227" s="124"/>
      <c r="N3227" s="124"/>
      <c r="O3227" s="124"/>
      <c r="T3227" s="126">
        <f>IFERROR(__xludf.DUMMYFUNCTION("""COMPUTED_VALUE"""),46073.0)</f>
        <v>46073</v>
      </c>
      <c r="U3227" s="124" t="str">
        <f>IFERROR(__xludf.DUMMYFUNCTION("""COMPUTED_VALUE"""),"Walk-Ins")</f>
        <v>Walk-Ins</v>
      </c>
      <c r="V3227" s="124" t="str">
        <f>IFERROR(__xludf.DUMMYFUNCTION("""COMPUTED_VALUE"""),"Walk-In")</f>
        <v>Walk-In</v>
      </c>
      <c r="W3227" s="124" t="str">
        <f>IFERROR(__xludf.DUMMYFUNCTION("""COMPUTED_VALUE"""),"New Delhi")</f>
        <v>New Delhi</v>
      </c>
      <c r="X3227" s="124" t="str">
        <f>IFERROR(__xludf.DUMMYFUNCTION("""COMPUTED_VALUE"""),"New Delhi")</f>
        <v>New Delhi</v>
      </c>
      <c r="Y3227" s="124" t="str">
        <f>IFERROR(__xludf.DUMMYFUNCTION("""COMPUTED_VALUE"""),"Delhi")</f>
        <v>Delhi</v>
      </c>
      <c r="Z3227" s="124">
        <f>IFERROR(__xludf.DUMMYFUNCTION("""COMPUTED_VALUE"""),1.0)</f>
        <v>1</v>
      </c>
      <c r="AA3227" s="124" t="str">
        <f>IFERROR(__xludf.DUMMYFUNCTION("""COMPUTED_VALUE"""),"Enrolled")</f>
        <v>Enrolled</v>
      </c>
      <c r="AB3227" s="124" t="str">
        <f>IFERROR(__xludf.DUMMYFUNCTION("""COMPUTED_VALUE"""),"GS Foundation")</f>
        <v>GS Foundation</v>
      </c>
    </row>
    <row r="3228">
      <c r="K3228" s="124"/>
      <c r="L3228" s="124"/>
      <c r="M3228" s="124"/>
      <c r="N3228" s="124"/>
      <c r="O3228" s="124"/>
      <c r="T3228" s="126">
        <f>IFERROR(__xludf.DUMMYFUNCTION("""COMPUTED_VALUE"""),46068.0)</f>
        <v>46068</v>
      </c>
      <c r="U3228" s="124" t="str">
        <f>IFERROR(__xludf.DUMMYFUNCTION("""COMPUTED_VALUE"""),"Walk-Ins")</f>
        <v>Walk-Ins</v>
      </c>
      <c r="V3228" s="124" t="str">
        <f>IFERROR(__xludf.DUMMYFUNCTION("""COMPUTED_VALUE"""),"Walk-In")</f>
        <v>Walk-In</v>
      </c>
      <c r="W3228" s="124" t="str">
        <f>IFERROR(__xludf.DUMMYFUNCTION("""COMPUTED_VALUE"""),"New Delhi")</f>
        <v>New Delhi</v>
      </c>
      <c r="X3228" s="124" t="str">
        <f>IFERROR(__xludf.DUMMYFUNCTION("""COMPUTED_VALUE"""),"New Delhi")</f>
        <v>New Delhi</v>
      </c>
      <c r="Y3228" s="124" t="str">
        <f>IFERROR(__xludf.DUMMYFUNCTION("""COMPUTED_VALUE"""),"Delhi")</f>
        <v>Delhi</v>
      </c>
      <c r="Z3228" s="124">
        <f>IFERROR(__xludf.DUMMYFUNCTION("""COMPUTED_VALUE"""),1.0)</f>
        <v>1</v>
      </c>
      <c r="AA3228" s="124" t="str">
        <f>IFERROR(__xludf.DUMMYFUNCTION("""COMPUTED_VALUE"""),"Fake Lead")</f>
        <v>Fake Lead</v>
      </c>
      <c r="AB3228" s="124" t="str">
        <f>IFERROR(__xludf.DUMMYFUNCTION("""COMPUTED_VALUE"""),"GS Foundation")</f>
        <v>GS Foundation</v>
      </c>
    </row>
    <row r="3229">
      <c r="K3229" s="124"/>
      <c r="L3229" s="124"/>
      <c r="M3229" s="124"/>
      <c r="N3229" s="124"/>
      <c r="O3229" s="124"/>
      <c r="T3229" s="126">
        <f>IFERROR(__xludf.DUMMYFUNCTION("""COMPUTED_VALUE"""),46078.0)</f>
        <v>46078</v>
      </c>
      <c r="U3229" s="124" t="str">
        <f>IFERROR(__xludf.DUMMYFUNCTION("""COMPUTED_VALUE"""),"Walk-Ins")</f>
        <v>Walk-Ins</v>
      </c>
      <c r="V3229" s="124" t="str">
        <f>IFERROR(__xludf.DUMMYFUNCTION("""COMPUTED_VALUE"""),"Walk-In")</f>
        <v>Walk-In</v>
      </c>
      <c r="W3229" s="124" t="str">
        <f>IFERROR(__xludf.DUMMYFUNCTION("""COMPUTED_VALUE"""),"New Delhi")</f>
        <v>New Delhi</v>
      </c>
      <c r="X3229" s="124" t="str">
        <f>IFERROR(__xludf.DUMMYFUNCTION("""COMPUTED_VALUE"""),"New Delhi")</f>
        <v>New Delhi</v>
      </c>
      <c r="Y3229" s="124" t="str">
        <f>IFERROR(__xludf.DUMMYFUNCTION("""COMPUTED_VALUE"""),"Delhi")</f>
        <v>Delhi</v>
      </c>
      <c r="Z3229" s="124">
        <f>IFERROR(__xludf.DUMMYFUNCTION("""COMPUTED_VALUE"""),2.0)</f>
        <v>2</v>
      </c>
      <c r="AA3229" s="124" t="str">
        <f>IFERROR(__xludf.DUMMYFUNCTION("""COMPUTED_VALUE"""),"Not Interested")</f>
        <v>Not Interested</v>
      </c>
      <c r="AB3229" s="124" t="str">
        <f>IFERROR(__xludf.DUMMYFUNCTION("""COMPUTED_VALUE"""),"GS Foundation")</f>
        <v>GS Foundation</v>
      </c>
    </row>
    <row r="3230">
      <c r="K3230" s="124"/>
      <c r="L3230" s="124"/>
      <c r="M3230" s="124"/>
      <c r="N3230" s="124"/>
      <c r="O3230" s="124"/>
      <c r="T3230" s="126">
        <f>IFERROR(__xludf.DUMMYFUNCTION("""COMPUTED_VALUE"""),46078.0)</f>
        <v>46078</v>
      </c>
      <c r="U3230" s="124" t="str">
        <f>IFERROR(__xludf.DUMMYFUNCTION("""COMPUTED_VALUE"""),"Walk-Ins")</f>
        <v>Walk-Ins</v>
      </c>
      <c r="V3230" s="124" t="str">
        <f>IFERROR(__xludf.DUMMYFUNCTION("""COMPUTED_VALUE"""),"Walk-In")</f>
        <v>Walk-In</v>
      </c>
      <c r="W3230" s="124" t="str">
        <f>IFERROR(__xludf.DUMMYFUNCTION("""COMPUTED_VALUE"""),"Patna")</f>
        <v>Patna</v>
      </c>
      <c r="X3230" s="124" t="str">
        <f>IFERROR(__xludf.DUMMYFUNCTION("""COMPUTED_VALUE"""),"Patna")</f>
        <v>Patna</v>
      </c>
      <c r="Y3230" s="124" t="str">
        <f>IFERROR(__xludf.DUMMYFUNCTION("""COMPUTED_VALUE"""),"Patna")</f>
        <v>Patna</v>
      </c>
      <c r="Z3230" s="124">
        <f>IFERROR(__xludf.DUMMYFUNCTION("""COMPUTED_VALUE"""),1.0)</f>
        <v>1</v>
      </c>
      <c r="AA3230" s="124" t="str">
        <f>IFERROR(__xludf.DUMMYFUNCTION("""COMPUTED_VALUE"""),"Cold")</f>
        <v>Cold</v>
      </c>
      <c r="AB3230" s="124" t="str">
        <f>IFERROR(__xludf.DUMMYFUNCTION("""COMPUTED_VALUE"""),"State PCS")</f>
        <v>State PCS</v>
      </c>
    </row>
    <row r="3231">
      <c r="K3231" s="124"/>
      <c r="L3231" s="124"/>
      <c r="M3231" s="124"/>
      <c r="N3231" s="124"/>
      <c r="O3231" s="124"/>
      <c r="T3231" s="126">
        <f>IFERROR(__xludf.DUMMYFUNCTION("""COMPUTED_VALUE"""),46097.0)</f>
        <v>46097</v>
      </c>
      <c r="U3231" s="124" t="str">
        <f>IFERROR(__xludf.DUMMYFUNCTION("""COMPUTED_VALUE"""),"Event")</f>
        <v>Event</v>
      </c>
      <c r="V3231" s="124" t="str">
        <f>IFERROR(__xludf.DUMMYFUNCTION("""COMPUTED_VALUE"""),"events")</f>
        <v>events</v>
      </c>
      <c r="W3231" s="124" t="str">
        <f>IFERROR(__xludf.DUMMYFUNCTION("""COMPUTED_VALUE"""),"prayagraj")</f>
        <v>prayagraj</v>
      </c>
      <c r="X3231" s="124" t="str">
        <f>IFERROR(__xludf.DUMMYFUNCTION("""COMPUTED_VALUE"""),"seminar")</f>
        <v>seminar</v>
      </c>
      <c r="Y3231" s="124" t="str">
        <f>IFERROR(__xludf.DUMMYFUNCTION("""COMPUTED_VALUE"""),"Prayagraj")</f>
        <v>Prayagraj</v>
      </c>
      <c r="Z3231" s="124">
        <f>IFERROR(__xludf.DUMMYFUNCTION("""COMPUTED_VALUE"""),1.0)</f>
        <v>1</v>
      </c>
      <c r="AA3231" s="124" t="str">
        <f>IFERROR(__xludf.DUMMYFUNCTION("""COMPUTED_VALUE"""),"Future Prospects")</f>
        <v>Future Prospects</v>
      </c>
      <c r="AB3231" s="124"/>
    </row>
    <row r="3232">
      <c r="K3232" s="124"/>
      <c r="L3232" s="124"/>
      <c r="M3232" s="124"/>
      <c r="N3232" s="124"/>
      <c r="O3232" s="124"/>
      <c r="T3232" s="126">
        <f>IFERROR(__xludf.DUMMYFUNCTION("""COMPUTED_VALUE"""),46048.0)</f>
        <v>46048</v>
      </c>
      <c r="U3232" s="124" t="str">
        <f>IFERROR(__xludf.DUMMYFUNCTION("""COMPUTED_VALUE"""),"Paid Ads")</f>
        <v>Paid Ads</v>
      </c>
      <c r="V3232" s="124" t="str">
        <f>IFERROR(__xludf.DUMMYFUNCTION("""COMPUTED_VALUE"""),"google")</f>
        <v>google</v>
      </c>
      <c r="W3232" s="124" t="str">
        <f>IFERROR(__xludf.DUMMYFUNCTION("""COMPUTED_VALUE"""),"cpc")</f>
        <v>cpc</v>
      </c>
      <c r="X3232" s="124">
        <f>IFERROR(__xludf.DUMMYFUNCTION("""COMPUTED_VALUE"""),2.2758016291E10)</f>
        <v>22758016291</v>
      </c>
      <c r="Y3232" s="124" t="str">
        <f>IFERROR(__xludf.DUMMYFUNCTION("""COMPUTED_VALUE"""),"Delhi")</f>
        <v>Delhi</v>
      </c>
      <c r="Z3232" s="124">
        <f>IFERROR(__xludf.DUMMYFUNCTION("""COMPUTED_VALUE"""),1.0)</f>
        <v>1</v>
      </c>
      <c r="AA3232" s="124" t="str">
        <f>IFERROR(__xludf.DUMMYFUNCTION("""COMPUTED_VALUE"""),"Fake Lead")</f>
        <v>Fake Lead</v>
      </c>
      <c r="AB3232" s="124" t="str">
        <f>IFERROR(__xludf.DUMMYFUNCTION("""COMPUTED_VALUE"""),"Other")</f>
        <v>Other</v>
      </c>
    </row>
    <row r="3233">
      <c r="K3233" s="124"/>
      <c r="L3233" s="124"/>
      <c r="M3233" s="124"/>
      <c r="N3233" s="124"/>
      <c r="O3233" s="124"/>
      <c r="T3233" s="126">
        <f>IFERROR(__xludf.DUMMYFUNCTION("""COMPUTED_VALUE"""),46045.0)</f>
        <v>46045</v>
      </c>
      <c r="U3233" s="124" t="str">
        <f>IFERROR(__xludf.DUMMYFUNCTION("""COMPUTED_VALUE"""),"Paid Ads")</f>
        <v>Paid Ads</v>
      </c>
      <c r="V3233" s="124" t="str">
        <f>IFERROR(__xludf.DUMMYFUNCTION("""COMPUTED_VALUE"""),"google")</f>
        <v>google</v>
      </c>
      <c r="W3233" s="124" t="str">
        <f>IFERROR(__xludf.DUMMYFUNCTION("""COMPUTED_VALUE"""),"cpc")</f>
        <v>cpc</v>
      </c>
      <c r="X3233" s="124">
        <f>IFERROR(__xludf.DUMMYFUNCTION("""COMPUTED_VALUE"""),2.2758016291E10)</f>
        <v>22758016291</v>
      </c>
      <c r="Y3233" s="124" t="str">
        <f>IFERROR(__xludf.DUMMYFUNCTION("""COMPUTED_VALUE"""),"Patna")</f>
        <v>Patna</v>
      </c>
      <c r="Z3233" s="124">
        <f>IFERROR(__xludf.DUMMYFUNCTION("""COMPUTED_VALUE"""),1.0)</f>
        <v>1</v>
      </c>
      <c r="AA3233" s="124" t="str">
        <f>IFERROR(__xludf.DUMMYFUNCTION("""COMPUTED_VALUE"""),"Fake Lead")</f>
        <v>Fake Lead</v>
      </c>
      <c r="AB3233" s="124" t="str">
        <f>IFERROR(__xludf.DUMMYFUNCTION("""COMPUTED_VALUE"""),"Test Series")</f>
        <v>Test Series</v>
      </c>
    </row>
    <row r="3234">
      <c r="K3234" s="124"/>
      <c r="L3234" s="124"/>
      <c r="M3234" s="124"/>
      <c r="N3234" s="124"/>
      <c r="O3234" s="124"/>
      <c r="T3234" s="126">
        <f>IFERROR(__xludf.DUMMYFUNCTION("""COMPUTED_VALUE"""),46046.0)</f>
        <v>46046</v>
      </c>
      <c r="U3234" s="124" t="str">
        <f>IFERROR(__xludf.DUMMYFUNCTION("""COMPUTED_VALUE"""),"Paid Ads")</f>
        <v>Paid Ads</v>
      </c>
      <c r="V3234" s="124" t="str">
        <f>IFERROR(__xludf.DUMMYFUNCTION("""COMPUTED_VALUE"""),"google")</f>
        <v>google</v>
      </c>
      <c r="W3234" s="124" t="str">
        <f>IFERROR(__xludf.DUMMYFUNCTION("""COMPUTED_VALUE"""),"cpc")</f>
        <v>cpc</v>
      </c>
      <c r="X3234" s="124">
        <f>IFERROR(__xludf.DUMMYFUNCTION("""COMPUTED_VALUE"""),2.2758016291E10)</f>
        <v>22758016291</v>
      </c>
      <c r="Y3234" s="124" t="str">
        <f>IFERROR(__xludf.DUMMYFUNCTION("""COMPUTED_VALUE"""),"Lucknow")</f>
        <v>Lucknow</v>
      </c>
      <c r="Z3234" s="124">
        <f>IFERROR(__xludf.DUMMYFUNCTION("""COMPUTED_VALUE"""),1.0)</f>
        <v>1</v>
      </c>
      <c r="AA3234" s="124" t="str">
        <f>IFERROR(__xludf.DUMMYFUNCTION("""COMPUTED_VALUE"""),"Not Interested")</f>
        <v>Not Interested</v>
      </c>
      <c r="AB3234" s="124" t="str">
        <f>IFERROR(__xludf.DUMMYFUNCTION("""COMPUTED_VALUE"""),"Test Series")</f>
        <v>Test Series</v>
      </c>
    </row>
    <row r="3235">
      <c r="K3235" s="124"/>
      <c r="L3235" s="124"/>
      <c r="M3235" s="124"/>
      <c r="N3235" s="124"/>
      <c r="O3235" s="124"/>
      <c r="T3235" s="126">
        <f>IFERROR(__xludf.DUMMYFUNCTION("""COMPUTED_VALUE"""),46099.0)</f>
        <v>46099</v>
      </c>
      <c r="U3235" s="124" t="str">
        <f>IFERROR(__xludf.DUMMYFUNCTION("""COMPUTED_VALUE"""),"Event")</f>
        <v>Event</v>
      </c>
      <c r="V3235" s="124" t="str">
        <f>IFERROR(__xludf.DUMMYFUNCTION("""COMPUTED_VALUE"""),"events")</f>
        <v>events</v>
      </c>
      <c r="W3235" s="124" t="str">
        <f>IFERROR(__xludf.DUMMYFUNCTION("""COMPUTED_VALUE"""),"prayagraj")</f>
        <v>prayagraj</v>
      </c>
      <c r="X3235" s="124" t="str">
        <f>IFERROR(__xludf.DUMMYFUNCTION("""COMPUTED_VALUE"""),"seminar")</f>
        <v>seminar</v>
      </c>
      <c r="Y3235" s="124" t="str">
        <f>IFERROR(__xludf.DUMMYFUNCTION("""COMPUTED_VALUE"""),"Prayagraj")</f>
        <v>Prayagraj</v>
      </c>
      <c r="Z3235" s="124">
        <f>IFERROR(__xludf.DUMMYFUNCTION("""COMPUTED_VALUE"""),1.0)</f>
        <v>1</v>
      </c>
      <c r="AA3235" s="124"/>
      <c r="AB3235" s="124" t="str">
        <f>IFERROR(__xludf.DUMMYFUNCTION("""COMPUTED_VALUE"""),"Test Series")</f>
        <v>Test Series</v>
      </c>
    </row>
    <row r="3236">
      <c r="K3236" s="124"/>
      <c r="L3236" s="124"/>
      <c r="M3236" s="124"/>
      <c r="N3236" s="124"/>
      <c r="O3236" s="124"/>
      <c r="T3236" s="126">
        <f>IFERROR(__xludf.DUMMYFUNCTION("""COMPUTED_VALUE"""),46074.0)</f>
        <v>46074</v>
      </c>
      <c r="U3236" s="124" t="str">
        <f>IFERROR(__xludf.DUMMYFUNCTION("""COMPUTED_VALUE"""),"Walk-Ins")</f>
        <v>Walk-Ins</v>
      </c>
      <c r="V3236" s="124" t="str">
        <f>IFERROR(__xludf.DUMMYFUNCTION("""COMPUTED_VALUE"""),"Walk-In")</f>
        <v>Walk-In</v>
      </c>
      <c r="W3236" s="124" t="str">
        <f>IFERROR(__xludf.DUMMYFUNCTION("""COMPUTED_VALUE"""),"Patna")</f>
        <v>Patna</v>
      </c>
      <c r="X3236" s="124" t="str">
        <f>IFERROR(__xludf.DUMMYFUNCTION("""COMPUTED_VALUE"""),"Patna")</f>
        <v>Patna</v>
      </c>
      <c r="Y3236" s="124"/>
      <c r="Z3236" s="124">
        <f>IFERROR(__xludf.DUMMYFUNCTION("""COMPUTED_VALUE"""),1.0)</f>
        <v>1</v>
      </c>
      <c r="AA3236" s="124" t="str">
        <f>IFERROR(__xludf.DUMMYFUNCTION("""COMPUTED_VALUE"""),"Warm")</f>
        <v>Warm</v>
      </c>
      <c r="AB3236" s="124" t="str">
        <f>IFERROR(__xludf.DUMMYFUNCTION("""COMPUTED_VALUE"""),"State PCS")</f>
        <v>State PCS</v>
      </c>
    </row>
    <row r="3237">
      <c r="K3237" s="124"/>
      <c r="L3237" s="124"/>
      <c r="M3237" s="124"/>
      <c r="N3237" s="124"/>
      <c r="O3237" s="124"/>
      <c r="T3237" s="129">
        <f>IFERROR(__xludf.DUMMYFUNCTION("""COMPUTED_VALUE"""),46059.0)</f>
        <v>46059</v>
      </c>
      <c r="U3237" s="124" t="str">
        <f>IFERROR(__xludf.DUMMYFUNCTION("""COMPUTED_VALUE"""),"External Leads")</f>
        <v>External Leads</v>
      </c>
      <c r="V3237" s="124" t="str">
        <f>IFERROR(__xludf.DUMMYFUNCTION("""COMPUTED_VALUE"""),"Instagram")</f>
        <v>Instagram</v>
      </c>
      <c r="W3237" s="124" t="str">
        <f>IFERROR(__xludf.DUMMYFUNCTION("""COMPUTED_VALUE"""),"Indore")</f>
        <v>Indore</v>
      </c>
      <c r="X3237" s="124" t="str">
        <f>IFERROR(__xludf.DUMMYFUNCTION("""COMPUTED_VALUE"""),"BioLink")</f>
        <v>BioLink</v>
      </c>
      <c r="Y3237" s="124" t="str">
        <f>IFERROR(__xludf.DUMMYFUNCTION("""COMPUTED_VALUE"""),"Indore")</f>
        <v>Indore</v>
      </c>
      <c r="Z3237" s="124">
        <f>IFERROR(__xludf.DUMMYFUNCTION("""COMPUTED_VALUE"""),1.0)</f>
        <v>1</v>
      </c>
      <c r="AA3237" s="124" t="str">
        <f>IFERROR(__xludf.DUMMYFUNCTION("""COMPUTED_VALUE"""),"Cold")</f>
        <v>Cold</v>
      </c>
      <c r="AB3237" s="124" t="str">
        <f>IFERROR(__xludf.DUMMYFUNCTION("""COMPUTED_VALUE"""),"State PCS")</f>
        <v>State PCS</v>
      </c>
    </row>
    <row r="3238">
      <c r="K3238" s="124"/>
      <c r="L3238" s="124"/>
      <c r="M3238" s="124"/>
      <c r="N3238" s="124"/>
      <c r="O3238" s="124"/>
      <c r="T3238" s="126">
        <f>IFERROR(__xludf.DUMMYFUNCTION("""COMPUTED_VALUE"""),46101.0)</f>
        <v>46101</v>
      </c>
      <c r="U3238" s="124" t="str">
        <f>IFERROR(__xludf.DUMMYFUNCTION("""COMPUTED_VALUE"""),"Event")</f>
        <v>Event</v>
      </c>
      <c r="V3238" s="124" t="str">
        <f>IFERROR(__xludf.DUMMYFUNCTION("""COMPUTED_VALUE"""),"events")</f>
        <v>events</v>
      </c>
      <c r="W3238" s="124" t="str">
        <f>IFERROR(__xludf.DUMMYFUNCTION("""COMPUTED_VALUE"""),"prayagraj")</f>
        <v>prayagraj</v>
      </c>
      <c r="X3238" s="124" t="str">
        <f>IFERROR(__xludf.DUMMYFUNCTION("""COMPUTED_VALUE"""),"seminar")</f>
        <v>seminar</v>
      </c>
      <c r="Y3238" s="124" t="str">
        <f>IFERROR(__xludf.DUMMYFUNCTION("""COMPUTED_VALUE"""),"Prayagraj")</f>
        <v>Prayagraj</v>
      </c>
      <c r="Z3238" s="124">
        <f>IFERROR(__xludf.DUMMYFUNCTION("""COMPUTED_VALUE"""),3.0)</f>
        <v>3</v>
      </c>
      <c r="AA3238" s="124" t="str">
        <f>IFERROR(__xludf.DUMMYFUNCTION("""COMPUTED_VALUE"""),"Fake Lead")</f>
        <v>Fake Lead</v>
      </c>
      <c r="AB3238" s="124"/>
    </row>
    <row r="3239">
      <c r="K3239" s="124"/>
      <c r="L3239" s="124"/>
      <c r="M3239" s="124"/>
      <c r="N3239" s="124"/>
      <c r="O3239" s="124"/>
      <c r="T3239" s="126">
        <f>IFERROR(__xludf.DUMMYFUNCTION("""COMPUTED_VALUE"""),46050.0)</f>
        <v>46050</v>
      </c>
      <c r="U3239" s="124" t="str">
        <f>IFERROR(__xludf.DUMMYFUNCTION("""COMPUTED_VALUE"""),"Paid Ads")</f>
        <v>Paid Ads</v>
      </c>
      <c r="V3239" s="124" t="str">
        <f>IFERROR(__xludf.DUMMYFUNCTION("""COMPUTED_VALUE"""),"google")</f>
        <v>google</v>
      </c>
      <c r="W3239" s="124" t="str">
        <f>IFERROR(__xludf.DUMMYFUNCTION("""COMPUTED_VALUE"""),"cpc")</f>
        <v>cpc</v>
      </c>
      <c r="X3239" s="124">
        <f>IFERROR(__xludf.DUMMYFUNCTION("""COMPUTED_VALUE"""),2.2758016291E10)</f>
        <v>22758016291</v>
      </c>
      <c r="Y3239" s="124" t="str">
        <f>IFERROR(__xludf.DUMMYFUNCTION("""COMPUTED_VALUE"""),"Delhi")</f>
        <v>Delhi</v>
      </c>
      <c r="Z3239" s="124">
        <f>IFERROR(__xludf.DUMMYFUNCTION("""COMPUTED_VALUE"""),1.0)</f>
        <v>1</v>
      </c>
      <c r="AA3239" s="124" t="str">
        <f>IFERROR(__xludf.DUMMYFUNCTION("""COMPUTED_VALUE"""),"Fake Lead")</f>
        <v>Fake Lead</v>
      </c>
      <c r="AB3239" s="124" t="str">
        <f>IFERROR(__xludf.DUMMYFUNCTION("""COMPUTED_VALUE"""),"GS Foundation")</f>
        <v>GS Foundation</v>
      </c>
    </row>
    <row r="3240">
      <c r="K3240" s="124"/>
      <c r="L3240" s="124"/>
      <c r="M3240" s="124"/>
      <c r="N3240" s="124"/>
      <c r="O3240" s="124"/>
      <c r="T3240" s="126">
        <f>IFERROR(__xludf.DUMMYFUNCTION("""COMPUTED_VALUE"""),46107.0)</f>
        <v>46107</v>
      </c>
      <c r="U3240" s="124" t="str">
        <f>IFERROR(__xludf.DUMMYFUNCTION("""COMPUTED_VALUE"""),"Event")</f>
        <v>Event</v>
      </c>
      <c r="V3240" s="124" t="str">
        <f>IFERROR(__xludf.DUMMYFUNCTION("""COMPUTED_VALUE"""),"events")</f>
        <v>events</v>
      </c>
      <c r="W3240" s="124" t="str">
        <f>IFERROR(__xludf.DUMMYFUNCTION("""COMPUTED_VALUE"""),"indore")</f>
        <v>indore</v>
      </c>
      <c r="X3240" s="124" t="str">
        <f>IFERROR(__xludf.DUMMYFUNCTION("""COMPUTED_VALUE"""),"seminar")</f>
        <v>seminar</v>
      </c>
      <c r="Y3240" s="124" t="str">
        <f>IFERROR(__xludf.DUMMYFUNCTION("""COMPUTED_VALUE"""),"Indore")</f>
        <v>Indore</v>
      </c>
      <c r="Z3240" s="124">
        <f>IFERROR(__xludf.DUMMYFUNCTION("""COMPUTED_VALUE"""),1.0)</f>
        <v>1</v>
      </c>
      <c r="AA3240" s="124" t="str">
        <f>IFERROR(__xludf.DUMMYFUNCTION("""COMPUTED_VALUE"""),"Warm")</f>
        <v>Warm</v>
      </c>
      <c r="AB3240" s="124"/>
    </row>
    <row r="3241">
      <c r="K3241" s="124"/>
      <c r="L3241" s="124"/>
      <c r="M3241" s="124"/>
      <c r="N3241" s="124"/>
      <c r="O3241" s="124"/>
      <c r="T3241" s="126">
        <f>IFERROR(__xludf.DUMMYFUNCTION("""COMPUTED_VALUE"""),46047.0)</f>
        <v>46047</v>
      </c>
      <c r="U3241" s="124" t="str">
        <f>IFERROR(__xludf.DUMMYFUNCTION("""COMPUTED_VALUE"""),"Paid Ads")</f>
        <v>Paid Ads</v>
      </c>
      <c r="V3241" s="124" t="str">
        <f>IFERROR(__xludf.DUMMYFUNCTION("""COMPUTED_VALUE"""),"google")</f>
        <v>google</v>
      </c>
      <c r="W3241" s="124" t="str">
        <f>IFERROR(__xludf.DUMMYFUNCTION("""COMPUTED_VALUE"""),"cpc")</f>
        <v>cpc</v>
      </c>
      <c r="X3241" s="124">
        <f>IFERROR(__xludf.DUMMYFUNCTION("""COMPUTED_VALUE"""),2.2758016291E10)</f>
        <v>22758016291</v>
      </c>
      <c r="Y3241" s="124" t="str">
        <f>IFERROR(__xludf.DUMMYFUNCTION("""COMPUTED_VALUE"""),"Delhi")</f>
        <v>Delhi</v>
      </c>
      <c r="Z3241" s="124">
        <f>IFERROR(__xludf.DUMMYFUNCTION("""COMPUTED_VALUE"""),1.0)</f>
        <v>1</v>
      </c>
      <c r="AA3241" s="124" t="str">
        <f>IFERROR(__xludf.DUMMYFUNCTION("""COMPUTED_VALUE"""),"Fake Lead")</f>
        <v>Fake Lead</v>
      </c>
      <c r="AB3241" s="124" t="str">
        <f>IFERROR(__xludf.DUMMYFUNCTION("""COMPUTED_VALUE"""),"Other")</f>
        <v>Other</v>
      </c>
    </row>
    <row r="3242">
      <c r="K3242" s="124"/>
      <c r="L3242" s="124"/>
      <c r="M3242" s="124"/>
      <c r="N3242" s="124"/>
      <c r="O3242" s="124"/>
      <c r="T3242" s="126">
        <f>IFERROR(__xludf.DUMMYFUNCTION("""COMPUTED_VALUE"""),46050.0)</f>
        <v>46050</v>
      </c>
      <c r="U3242" s="124" t="str">
        <f>IFERROR(__xludf.DUMMYFUNCTION("""COMPUTED_VALUE"""),"Paid Ads")</f>
        <v>Paid Ads</v>
      </c>
      <c r="V3242" s="124" t="str">
        <f>IFERROR(__xludf.DUMMYFUNCTION("""COMPUTED_VALUE"""),"google")</f>
        <v>google</v>
      </c>
      <c r="W3242" s="124" t="str">
        <f>IFERROR(__xludf.DUMMYFUNCTION("""COMPUTED_VALUE"""),"cpc")</f>
        <v>cpc</v>
      </c>
      <c r="X3242" s="124">
        <f>IFERROR(__xludf.DUMMYFUNCTION("""COMPUTED_VALUE"""),2.2758016291E10)</f>
        <v>22758016291</v>
      </c>
      <c r="Y3242" s="124" t="str">
        <f>IFERROR(__xludf.DUMMYFUNCTION("""COMPUTED_VALUE"""),"Delhi")</f>
        <v>Delhi</v>
      </c>
      <c r="Z3242" s="124">
        <f>IFERROR(__xludf.DUMMYFUNCTION("""COMPUTED_VALUE"""),1.0)</f>
        <v>1</v>
      </c>
      <c r="AA3242" s="124" t="str">
        <f>IFERROR(__xludf.DUMMYFUNCTION("""COMPUTED_VALUE"""),"Cold")</f>
        <v>Cold</v>
      </c>
      <c r="AB3242" s="124" t="str">
        <f>IFERROR(__xludf.DUMMYFUNCTION("""COMPUTED_VALUE"""),"GS Foundation")</f>
        <v>GS Foundation</v>
      </c>
    </row>
    <row r="3243">
      <c r="K3243" s="124"/>
      <c r="L3243" s="124"/>
      <c r="M3243" s="124"/>
      <c r="N3243" s="124"/>
      <c r="O3243" s="124"/>
      <c r="T3243" s="126">
        <f>IFERROR(__xludf.DUMMYFUNCTION("""COMPUTED_VALUE"""),46066.0)</f>
        <v>46066</v>
      </c>
      <c r="U3243" s="124" t="str">
        <f>IFERROR(__xludf.DUMMYFUNCTION("""COMPUTED_VALUE"""),"Walk-Ins")</f>
        <v>Walk-Ins</v>
      </c>
      <c r="V3243" s="124" t="str">
        <f>IFERROR(__xludf.DUMMYFUNCTION("""COMPUTED_VALUE"""),"Walkin")</f>
        <v>Walkin</v>
      </c>
      <c r="W3243" s="124" t="str">
        <f>IFERROR(__xludf.DUMMYFUNCTION("""COMPUTED_VALUE"""),"Indore")</f>
        <v>Indore</v>
      </c>
      <c r="X3243" s="124" t="str">
        <f>IFERROR(__xludf.DUMMYFUNCTION("""COMPUTED_VALUE"""),"Walkin")</f>
        <v>Walkin</v>
      </c>
      <c r="Y3243" s="124" t="str">
        <f>IFERROR(__xludf.DUMMYFUNCTION("""COMPUTED_VALUE"""),"Indore")</f>
        <v>Indore</v>
      </c>
      <c r="Z3243" s="124">
        <f>IFERROR(__xludf.DUMMYFUNCTION("""COMPUTED_VALUE"""),1.0)</f>
        <v>1</v>
      </c>
      <c r="AA3243" s="124" t="str">
        <f>IFERROR(__xludf.DUMMYFUNCTION("""COMPUTED_VALUE"""),"Not Interested")</f>
        <v>Not Interested</v>
      </c>
      <c r="AB3243" s="124" t="str">
        <f>IFERROR(__xludf.DUMMYFUNCTION("""COMPUTED_VALUE"""),"Other")</f>
        <v>Other</v>
      </c>
    </row>
    <row r="3244">
      <c r="K3244" s="124"/>
      <c r="L3244" s="124"/>
      <c r="M3244" s="124"/>
      <c r="N3244" s="124"/>
      <c r="O3244" s="124"/>
      <c r="T3244" s="126">
        <f>IFERROR(__xludf.DUMMYFUNCTION("""COMPUTED_VALUE"""),46075.0)</f>
        <v>46075</v>
      </c>
      <c r="U3244" s="124" t="str">
        <f>IFERROR(__xludf.DUMMYFUNCTION("""COMPUTED_VALUE"""),"Walk-Ins")</f>
        <v>Walk-Ins</v>
      </c>
      <c r="V3244" s="124" t="str">
        <f>IFERROR(__xludf.DUMMYFUNCTION("""COMPUTED_VALUE"""),"Walkin")</f>
        <v>Walkin</v>
      </c>
      <c r="W3244" s="124" t="str">
        <f>IFERROR(__xludf.DUMMYFUNCTION("""COMPUTED_VALUE"""),"Lucknow")</f>
        <v>Lucknow</v>
      </c>
      <c r="X3244" s="124" t="str">
        <f>IFERROR(__xludf.DUMMYFUNCTION("""COMPUTED_VALUE"""),"Walkin")</f>
        <v>Walkin</v>
      </c>
      <c r="Y3244" s="124" t="str">
        <f>IFERROR(__xludf.DUMMYFUNCTION("""COMPUTED_VALUE"""),"Lucknow")</f>
        <v>Lucknow</v>
      </c>
      <c r="Z3244" s="124">
        <f>IFERROR(__xludf.DUMMYFUNCTION("""COMPUTED_VALUE"""),1.0)</f>
        <v>1</v>
      </c>
      <c r="AA3244" s="124" t="str">
        <f>IFERROR(__xludf.DUMMYFUNCTION("""COMPUTED_VALUE"""),"Future Prospects")</f>
        <v>Future Prospects</v>
      </c>
      <c r="AB3244" s="124" t="str">
        <f>IFERROR(__xludf.DUMMYFUNCTION("""COMPUTED_VALUE"""),"Hybrid")</f>
        <v>Hybrid</v>
      </c>
    </row>
    <row r="3245">
      <c r="K3245" s="124"/>
      <c r="L3245" s="124"/>
      <c r="M3245" s="124"/>
      <c r="N3245" s="124"/>
      <c r="O3245" s="124"/>
      <c r="T3245" s="126">
        <f>IFERROR(__xludf.DUMMYFUNCTION("""COMPUTED_VALUE"""),46072.0)</f>
        <v>46072</v>
      </c>
      <c r="U3245" s="124" t="str">
        <f>IFERROR(__xludf.DUMMYFUNCTION("""COMPUTED_VALUE"""),"Walk-Ins")</f>
        <v>Walk-Ins</v>
      </c>
      <c r="V3245" s="124" t="str">
        <f>IFERROR(__xludf.DUMMYFUNCTION("""COMPUTED_VALUE"""),"Walkin")</f>
        <v>Walkin</v>
      </c>
      <c r="W3245" s="124" t="str">
        <f>IFERROR(__xludf.DUMMYFUNCTION("""COMPUTED_VALUE"""),"Patna")</f>
        <v>Patna</v>
      </c>
      <c r="X3245" s="124" t="str">
        <f>IFERROR(__xludf.DUMMYFUNCTION("""COMPUTED_VALUE"""),"Walkin")</f>
        <v>Walkin</v>
      </c>
      <c r="Y3245" s="124" t="str">
        <f>IFERROR(__xludf.DUMMYFUNCTION("""COMPUTED_VALUE"""),"Patna")</f>
        <v>Patna</v>
      </c>
      <c r="Z3245" s="124">
        <f>IFERROR(__xludf.DUMMYFUNCTION("""COMPUTED_VALUE"""),2.0)</f>
        <v>2</v>
      </c>
      <c r="AA3245" s="124" t="str">
        <f>IFERROR(__xludf.DUMMYFUNCTION("""COMPUTED_VALUE"""),"Future Prospects")</f>
        <v>Future Prospects</v>
      </c>
      <c r="AB3245" s="124" t="str">
        <f>IFERROR(__xludf.DUMMYFUNCTION("""COMPUTED_VALUE"""),"State PCS")</f>
        <v>State PCS</v>
      </c>
    </row>
    <row r="3246">
      <c r="K3246" s="124"/>
      <c r="L3246" s="124"/>
      <c r="M3246" s="124"/>
      <c r="N3246" s="124"/>
      <c r="O3246" s="124"/>
      <c r="T3246" s="129">
        <f>IFERROR(__xludf.DUMMYFUNCTION("""COMPUTED_VALUE"""),46086.0)</f>
        <v>46086</v>
      </c>
      <c r="U3246" s="124" t="str">
        <f>IFERROR(__xludf.DUMMYFUNCTION("""COMPUTED_VALUE"""),"Walk-Ins")</f>
        <v>Walk-Ins</v>
      </c>
      <c r="V3246" s="124" t="str">
        <f>IFERROR(__xludf.DUMMYFUNCTION("""COMPUTED_VALUE"""),"Walk-In")</f>
        <v>Walk-In</v>
      </c>
      <c r="W3246" s="124" t="str">
        <f>IFERROR(__xludf.DUMMYFUNCTION("""COMPUTED_VALUE"""),"Lucknow")</f>
        <v>Lucknow</v>
      </c>
      <c r="X3246" s="124" t="str">
        <f>IFERROR(__xludf.DUMMYFUNCTION("""COMPUTED_VALUE"""),"Others")</f>
        <v>Others</v>
      </c>
      <c r="Y3246" s="124" t="str">
        <f>IFERROR(__xludf.DUMMYFUNCTION("""COMPUTED_VALUE"""),"Lucknow")</f>
        <v>Lucknow</v>
      </c>
      <c r="Z3246" s="124">
        <f>IFERROR(__xludf.DUMMYFUNCTION("""COMPUTED_VALUE"""),1.0)</f>
        <v>1</v>
      </c>
      <c r="AA3246" s="124" t="str">
        <f>IFERROR(__xludf.DUMMYFUNCTION("""COMPUTED_VALUE"""),"Enrolled")</f>
        <v>Enrolled</v>
      </c>
      <c r="AB3246" s="124" t="str">
        <f>IFERROR(__xludf.DUMMYFUNCTION("""COMPUTED_VALUE"""),"Hybrid")</f>
        <v>Hybrid</v>
      </c>
    </row>
    <row r="3247">
      <c r="K3247" s="124"/>
      <c r="L3247" s="124"/>
      <c r="M3247" s="124"/>
      <c r="N3247" s="124"/>
      <c r="O3247" s="124"/>
      <c r="T3247" s="126">
        <f>IFERROR(__xludf.DUMMYFUNCTION("""COMPUTED_VALUE"""),46074.0)</f>
        <v>46074</v>
      </c>
      <c r="U3247" s="124" t="str">
        <f>IFERROR(__xludf.DUMMYFUNCTION("""COMPUTED_VALUE"""),"Walk-Ins")</f>
        <v>Walk-Ins</v>
      </c>
      <c r="V3247" s="124" t="str">
        <f>IFERROR(__xludf.DUMMYFUNCTION("""COMPUTED_VALUE"""),"Walkin")</f>
        <v>Walkin</v>
      </c>
      <c r="W3247" s="124" t="str">
        <f>IFERROR(__xludf.DUMMYFUNCTION("""COMPUTED_VALUE"""),"Indore")</f>
        <v>Indore</v>
      </c>
      <c r="X3247" s="124" t="str">
        <f>IFERROR(__xludf.DUMMYFUNCTION("""COMPUTED_VALUE"""),"Walkin")</f>
        <v>Walkin</v>
      </c>
      <c r="Y3247" s="124" t="str">
        <f>IFERROR(__xludf.DUMMYFUNCTION("""COMPUTED_VALUE"""),"Indore")</f>
        <v>Indore</v>
      </c>
      <c r="Z3247" s="124">
        <f>IFERROR(__xludf.DUMMYFUNCTION("""COMPUTED_VALUE"""),1.0)</f>
        <v>1</v>
      </c>
      <c r="AA3247" s="124" t="str">
        <f>IFERROR(__xludf.DUMMYFUNCTION("""COMPUTED_VALUE"""),"Not Interested")</f>
        <v>Not Interested</v>
      </c>
      <c r="AB3247" s="124" t="str">
        <f>IFERROR(__xludf.DUMMYFUNCTION("""COMPUTED_VALUE"""),"State PCS")</f>
        <v>State PCS</v>
      </c>
    </row>
    <row r="3248">
      <c r="K3248" s="124"/>
      <c r="L3248" s="124"/>
      <c r="M3248" s="124"/>
      <c r="N3248" s="124"/>
      <c r="O3248" s="124"/>
      <c r="T3248" s="126">
        <f>IFERROR(__xludf.DUMMYFUNCTION("""COMPUTED_VALUE"""),46078.0)</f>
        <v>46078</v>
      </c>
      <c r="U3248" s="124" t="str">
        <f>IFERROR(__xludf.DUMMYFUNCTION("""COMPUTED_VALUE"""),"Walk-Ins")</f>
        <v>Walk-Ins</v>
      </c>
      <c r="V3248" s="124" t="str">
        <f>IFERROR(__xludf.DUMMYFUNCTION("""COMPUTED_VALUE"""),"Walkin")</f>
        <v>Walkin</v>
      </c>
      <c r="W3248" s="124" t="str">
        <f>IFERROR(__xludf.DUMMYFUNCTION("""COMPUTED_VALUE"""),"Indore")</f>
        <v>Indore</v>
      </c>
      <c r="X3248" s="124" t="str">
        <f>IFERROR(__xludf.DUMMYFUNCTION("""COMPUTED_VALUE"""),"Walkin")</f>
        <v>Walkin</v>
      </c>
      <c r="Y3248" s="124" t="str">
        <f>IFERROR(__xludf.DUMMYFUNCTION("""COMPUTED_VALUE"""),"Indore")</f>
        <v>Indore</v>
      </c>
      <c r="Z3248" s="124">
        <f>IFERROR(__xludf.DUMMYFUNCTION("""COMPUTED_VALUE"""),1.0)</f>
        <v>1</v>
      </c>
      <c r="AA3248" s="124" t="str">
        <f>IFERROR(__xludf.DUMMYFUNCTION("""COMPUTED_VALUE"""),"Cold")</f>
        <v>Cold</v>
      </c>
      <c r="AB3248" s="124" t="str">
        <f>IFERROR(__xludf.DUMMYFUNCTION("""COMPUTED_VALUE"""),"State PCS")</f>
        <v>State PCS</v>
      </c>
    </row>
    <row r="3249">
      <c r="K3249" s="124"/>
      <c r="L3249" s="124"/>
      <c r="M3249" s="124"/>
      <c r="N3249" s="124"/>
      <c r="O3249" s="124"/>
      <c r="T3249" s="129">
        <f>IFERROR(__xludf.DUMMYFUNCTION("""COMPUTED_VALUE"""),46060.0)</f>
        <v>46060</v>
      </c>
      <c r="U3249" s="124" t="str">
        <f>IFERROR(__xludf.DUMMYFUNCTION("""COMPUTED_VALUE"""),"Walk-Ins")</f>
        <v>Walk-Ins</v>
      </c>
      <c r="V3249" s="124" t="str">
        <f>IFERROR(__xludf.DUMMYFUNCTION("""COMPUTED_VALUE"""),"Walkin")</f>
        <v>Walkin</v>
      </c>
      <c r="W3249" s="124" t="str">
        <f>IFERROR(__xludf.DUMMYFUNCTION("""COMPUTED_VALUE"""),"Indore")</f>
        <v>Indore</v>
      </c>
      <c r="X3249" s="124" t="str">
        <f>IFERROR(__xludf.DUMMYFUNCTION("""COMPUTED_VALUE"""),"Walkin")</f>
        <v>Walkin</v>
      </c>
      <c r="Y3249" s="124" t="str">
        <f>IFERROR(__xludf.DUMMYFUNCTION("""COMPUTED_VALUE"""),"Indore")</f>
        <v>Indore</v>
      </c>
      <c r="Z3249" s="124">
        <f>IFERROR(__xludf.DUMMYFUNCTION("""COMPUTED_VALUE"""),1.0)</f>
        <v>1</v>
      </c>
      <c r="AA3249" s="124" t="str">
        <f>IFERROR(__xludf.DUMMYFUNCTION("""COMPUTED_VALUE"""),"Cold")</f>
        <v>Cold</v>
      </c>
      <c r="AB3249" s="124" t="str">
        <f>IFERROR(__xludf.DUMMYFUNCTION("""COMPUTED_VALUE"""),"Test Series")</f>
        <v>Test Series</v>
      </c>
    </row>
    <row r="3250">
      <c r="K3250" s="124"/>
      <c r="L3250" s="124"/>
      <c r="M3250" s="124"/>
      <c r="N3250" s="124"/>
      <c r="O3250" s="124"/>
      <c r="T3250" s="126">
        <f>IFERROR(__xludf.DUMMYFUNCTION("""COMPUTED_VALUE"""),46069.0)</f>
        <v>46069</v>
      </c>
      <c r="U3250" s="124" t="str">
        <f>IFERROR(__xludf.DUMMYFUNCTION("""COMPUTED_VALUE"""),"Walk-Ins")</f>
        <v>Walk-Ins</v>
      </c>
      <c r="V3250" s="124" t="str">
        <f>IFERROR(__xludf.DUMMYFUNCTION("""COMPUTED_VALUE"""),"Walkin")</f>
        <v>Walkin</v>
      </c>
      <c r="W3250" s="124" t="str">
        <f>IFERROR(__xludf.DUMMYFUNCTION("""COMPUTED_VALUE"""),"Prayagraj")</f>
        <v>Prayagraj</v>
      </c>
      <c r="X3250" s="124" t="str">
        <f>IFERROR(__xludf.DUMMYFUNCTION("""COMPUTED_VALUE"""),"Walkin")</f>
        <v>Walkin</v>
      </c>
      <c r="Y3250" s="124" t="str">
        <f>IFERROR(__xludf.DUMMYFUNCTION("""COMPUTED_VALUE"""),"Prayagraj")</f>
        <v>Prayagraj</v>
      </c>
      <c r="Z3250" s="124">
        <f>IFERROR(__xludf.DUMMYFUNCTION("""COMPUTED_VALUE"""),1.0)</f>
        <v>1</v>
      </c>
      <c r="AA3250" s="124" t="str">
        <f>IFERROR(__xludf.DUMMYFUNCTION("""COMPUTED_VALUE"""),"Not Interested")</f>
        <v>Not Interested</v>
      </c>
      <c r="AB3250" s="124" t="str">
        <f>IFERROR(__xludf.DUMMYFUNCTION("""COMPUTED_VALUE"""),"State PCS")</f>
        <v>State PCS</v>
      </c>
    </row>
    <row r="3251">
      <c r="K3251" s="124"/>
      <c r="L3251" s="124"/>
      <c r="M3251" s="124"/>
      <c r="N3251" s="124"/>
      <c r="O3251" s="124"/>
      <c r="T3251" s="129">
        <f>IFERROR(__xludf.DUMMYFUNCTION("""COMPUTED_VALUE"""),46057.0)</f>
        <v>46057</v>
      </c>
      <c r="U3251" s="124" t="str">
        <f>IFERROR(__xludf.DUMMYFUNCTION("""COMPUTED_VALUE"""),"Walk-Ins")</f>
        <v>Walk-Ins</v>
      </c>
      <c r="V3251" s="124" t="str">
        <f>IFERROR(__xludf.DUMMYFUNCTION("""COMPUTED_VALUE"""),"Walkin")</f>
        <v>Walkin</v>
      </c>
      <c r="W3251" s="124" t="str">
        <f>IFERROR(__xludf.DUMMYFUNCTION("""COMPUTED_VALUE"""),"Prayagraj")</f>
        <v>Prayagraj</v>
      </c>
      <c r="X3251" s="124" t="str">
        <f>IFERROR(__xludf.DUMMYFUNCTION("""COMPUTED_VALUE"""),"Walkin")</f>
        <v>Walkin</v>
      </c>
      <c r="Y3251" s="124" t="str">
        <f>IFERROR(__xludf.DUMMYFUNCTION("""COMPUTED_VALUE"""),"Prayagraj")</f>
        <v>Prayagraj</v>
      </c>
      <c r="Z3251" s="124">
        <f>IFERROR(__xludf.DUMMYFUNCTION("""COMPUTED_VALUE"""),1.0)</f>
        <v>1</v>
      </c>
      <c r="AA3251" s="124" t="str">
        <f>IFERROR(__xludf.DUMMYFUNCTION("""COMPUTED_VALUE"""),"Not Interested")</f>
        <v>Not Interested</v>
      </c>
      <c r="AB3251" s="124" t="str">
        <f>IFERROR(__xludf.DUMMYFUNCTION("""COMPUTED_VALUE"""),"GS Foundation")</f>
        <v>GS Foundation</v>
      </c>
    </row>
    <row r="3252">
      <c r="K3252" s="124"/>
      <c r="L3252" s="124"/>
      <c r="M3252" s="124"/>
      <c r="N3252" s="124"/>
      <c r="O3252" s="124"/>
      <c r="T3252" s="126">
        <f>IFERROR(__xludf.DUMMYFUNCTION("""COMPUTED_VALUE"""),46074.0)</f>
        <v>46074</v>
      </c>
      <c r="U3252" s="124" t="str">
        <f>IFERROR(__xludf.DUMMYFUNCTION("""COMPUTED_VALUE"""),"Walk-Ins")</f>
        <v>Walk-Ins</v>
      </c>
      <c r="V3252" s="124" t="str">
        <f>IFERROR(__xludf.DUMMYFUNCTION("""COMPUTED_VALUE"""),"Walkin")</f>
        <v>Walkin</v>
      </c>
      <c r="W3252" s="124" t="str">
        <f>IFERROR(__xludf.DUMMYFUNCTION("""COMPUTED_VALUE"""),"Prayagraj")</f>
        <v>Prayagraj</v>
      </c>
      <c r="X3252" s="124" t="str">
        <f>IFERROR(__xludf.DUMMYFUNCTION("""COMPUTED_VALUE"""),"Walkin")</f>
        <v>Walkin</v>
      </c>
      <c r="Y3252" s="124" t="str">
        <f>IFERROR(__xludf.DUMMYFUNCTION("""COMPUTED_VALUE"""),"Prayagraj")</f>
        <v>Prayagraj</v>
      </c>
      <c r="Z3252" s="124">
        <f>IFERROR(__xludf.DUMMYFUNCTION("""COMPUTED_VALUE"""),1.0)</f>
        <v>1</v>
      </c>
      <c r="AA3252" s="124" t="str">
        <f>IFERROR(__xludf.DUMMYFUNCTION("""COMPUTED_VALUE"""),"Future Prospects")</f>
        <v>Future Prospects</v>
      </c>
      <c r="AB3252" s="124" t="str">
        <f>IFERROR(__xludf.DUMMYFUNCTION("""COMPUTED_VALUE"""),"Optionals")</f>
        <v>Optionals</v>
      </c>
    </row>
    <row r="3253">
      <c r="K3253" s="124"/>
      <c r="L3253" s="124"/>
      <c r="M3253" s="124"/>
      <c r="N3253" s="124"/>
      <c r="O3253" s="124"/>
      <c r="T3253" s="126">
        <f>IFERROR(__xludf.DUMMYFUNCTION("""COMPUTED_VALUE"""),46100.0)</f>
        <v>46100</v>
      </c>
      <c r="U3253" s="124" t="str">
        <f>IFERROR(__xludf.DUMMYFUNCTION("""COMPUTED_VALUE"""),"Walk-Ins")</f>
        <v>Walk-Ins</v>
      </c>
      <c r="V3253" s="124" t="str">
        <f>IFERROR(__xludf.DUMMYFUNCTION("""COMPUTED_VALUE"""),"Walkin")</f>
        <v>Walkin</v>
      </c>
      <c r="W3253" s="124" t="str">
        <f>IFERROR(__xludf.DUMMYFUNCTION("""COMPUTED_VALUE"""),"Lucknow")</f>
        <v>Lucknow</v>
      </c>
      <c r="X3253" s="124" t="str">
        <f>IFERROR(__xludf.DUMMYFUNCTION("""COMPUTED_VALUE"""),"Walkin")</f>
        <v>Walkin</v>
      </c>
      <c r="Y3253" s="124" t="str">
        <f>IFERROR(__xludf.DUMMYFUNCTION("""COMPUTED_VALUE"""),"Lucknow")</f>
        <v>Lucknow</v>
      </c>
      <c r="Z3253" s="124">
        <f>IFERROR(__xludf.DUMMYFUNCTION("""COMPUTED_VALUE"""),1.0)</f>
        <v>1</v>
      </c>
      <c r="AA3253" s="124" t="str">
        <f>IFERROR(__xludf.DUMMYFUNCTION("""COMPUTED_VALUE"""),"Warm")</f>
        <v>Warm</v>
      </c>
      <c r="AB3253" s="124" t="str">
        <f>IFERROR(__xludf.DUMMYFUNCTION("""COMPUTED_VALUE"""),"GS Foundation")</f>
        <v>GS Foundation</v>
      </c>
    </row>
    <row r="3254">
      <c r="K3254" s="124"/>
      <c r="L3254" s="124"/>
      <c r="M3254" s="124"/>
      <c r="N3254" s="124"/>
      <c r="O3254" s="124"/>
      <c r="T3254" s="126">
        <f>IFERROR(__xludf.DUMMYFUNCTION("""COMPUTED_VALUE"""),46098.0)</f>
        <v>46098</v>
      </c>
      <c r="U3254" s="124" t="str">
        <f>IFERROR(__xludf.DUMMYFUNCTION("""COMPUTED_VALUE"""),"Walk-Ins")</f>
        <v>Walk-Ins</v>
      </c>
      <c r="V3254" s="124" t="str">
        <f>IFERROR(__xludf.DUMMYFUNCTION("""COMPUTED_VALUE"""),"Walkin")</f>
        <v>Walkin</v>
      </c>
      <c r="W3254" s="124" t="str">
        <f>IFERROR(__xludf.DUMMYFUNCTION("""COMPUTED_VALUE"""),"Indore")</f>
        <v>Indore</v>
      </c>
      <c r="X3254" s="124" t="str">
        <f>IFERROR(__xludf.DUMMYFUNCTION("""COMPUTED_VALUE"""),"Walkin")</f>
        <v>Walkin</v>
      </c>
      <c r="Y3254" s="124" t="str">
        <f>IFERROR(__xludf.DUMMYFUNCTION("""COMPUTED_VALUE"""),"Indore")</f>
        <v>Indore</v>
      </c>
      <c r="Z3254" s="124">
        <f>IFERROR(__xludf.DUMMYFUNCTION("""COMPUTED_VALUE"""),1.0)</f>
        <v>1</v>
      </c>
      <c r="AA3254" s="124" t="str">
        <f>IFERROR(__xludf.DUMMYFUNCTION("""COMPUTED_VALUE"""),"Warm")</f>
        <v>Warm</v>
      </c>
      <c r="AB3254" s="124" t="str">
        <f>IFERROR(__xludf.DUMMYFUNCTION("""COMPUTED_VALUE"""),"GS Foundation")</f>
        <v>GS Foundation</v>
      </c>
    </row>
    <row r="3255">
      <c r="K3255" s="124"/>
      <c r="L3255" s="124"/>
      <c r="M3255" s="124"/>
      <c r="N3255" s="124"/>
      <c r="O3255" s="124"/>
      <c r="T3255" s="126">
        <f>IFERROR(__xludf.DUMMYFUNCTION("""COMPUTED_VALUE"""),46103.0)</f>
        <v>46103</v>
      </c>
      <c r="U3255" s="124" t="str">
        <f>IFERROR(__xludf.DUMMYFUNCTION("""COMPUTED_VALUE"""),"Walk-Ins")</f>
        <v>Walk-Ins</v>
      </c>
      <c r="V3255" s="124" t="str">
        <f>IFERROR(__xludf.DUMMYFUNCTION("""COMPUTED_VALUE"""),"Walk-In")</f>
        <v>Walk-In</v>
      </c>
      <c r="W3255" s="124" t="str">
        <f>IFERROR(__xludf.DUMMYFUNCTION("""COMPUTED_VALUE"""),"Patna")</f>
        <v>Patna</v>
      </c>
      <c r="X3255" s="124" t="str">
        <f>IFERROR(__xludf.DUMMYFUNCTION("""COMPUTED_VALUE"""),"Others")</f>
        <v>Others</v>
      </c>
      <c r="Y3255" s="124"/>
      <c r="Z3255" s="124">
        <f>IFERROR(__xludf.DUMMYFUNCTION("""COMPUTED_VALUE"""),1.0)</f>
        <v>1</v>
      </c>
      <c r="AA3255" s="124" t="str">
        <f>IFERROR(__xludf.DUMMYFUNCTION("""COMPUTED_VALUE"""),"Fake Lead")</f>
        <v>Fake Lead</v>
      </c>
      <c r="AB3255" s="124" t="str">
        <f>IFERROR(__xludf.DUMMYFUNCTION("""COMPUTED_VALUE"""),"State PCS")</f>
        <v>State PCS</v>
      </c>
    </row>
    <row r="3256">
      <c r="K3256" s="124"/>
      <c r="L3256" s="124"/>
      <c r="M3256" s="124"/>
      <c r="N3256" s="124"/>
      <c r="O3256" s="124"/>
      <c r="T3256" s="129">
        <f>IFERROR(__xludf.DUMMYFUNCTION("""COMPUTED_VALUE"""),46060.0)</f>
        <v>46060</v>
      </c>
      <c r="U3256" s="124" t="str">
        <f>IFERROR(__xludf.DUMMYFUNCTION("""COMPUTED_VALUE"""),"Walk-Ins")</f>
        <v>Walk-Ins</v>
      </c>
      <c r="V3256" s="124" t="str">
        <f>IFERROR(__xludf.DUMMYFUNCTION("""COMPUTED_VALUE"""),"Walkin")</f>
        <v>Walkin</v>
      </c>
      <c r="W3256" s="124" t="str">
        <f>IFERROR(__xludf.DUMMYFUNCTION("""COMPUTED_VALUE"""),"Indore")</f>
        <v>Indore</v>
      </c>
      <c r="X3256" s="124" t="str">
        <f>IFERROR(__xludf.DUMMYFUNCTION("""COMPUTED_VALUE"""),"Walkin")</f>
        <v>Walkin</v>
      </c>
      <c r="Y3256" s="124" t="str">
        <f>IFERROR(__xludf.DUMMYFUNCTION("""COMPUTED_VALUE"""),"Indore")</f>
        <v>Indore</v>
      </c>
      <c r="Z3256" s="124">
        <f>IFERROR(__xludf.DUMMYFUNCTION("""COMPUTED_VALUE"""),3.0)</f>
        <v>3</v>
      </c>
      <c r="AA3256" s="124" t="str">
        <f>IFERROR(__xludf.DUMMYFUNCTION("""COMPUTED_VALUE"""),"Future Prospects")</f>
        <v>Future Prospects</v>
      </c>
      <c r="AB3256" s="124" t="str">
        <f>IFERROR(__xludf.DUMMYFUNCTION("""COMPUTED_VALUE"""),"GS Foundation")</f>
        <v>GS Foundation</v>
      </c>
    </row>
    <row r="3257">
      <c r="K3257" s="124"/>
      <c r="L3257" s="124"/>
      <c r="M3257" s="124"/>
      <c r="N3257" s="124"/>
      <c r="O3257" s="124"/>
      <c r="T3257" s="126">
        <f>IFERROR(__xludf.DUMMYFUNCTION("""COMPUTED_VALUE"""),46111.0)</f>
        <v>46111</v>
      </c>
      <c r="U3257" s="124" t="str">
        <f>IFERROR(__xludf.DUMMYFUNCTION("""COMPUTED_VALUE"""),"Walk-Ins")</f>
        <v>Walk-Ins</v>
      </c>
      <c r="V3257" s="124" t="str">
        <f>IFERROR(__xludf.DUMMYFUNCTION("""COMPUTED_VALUE"""),"Walkin")</f>
        <v>Walkin</v>
      </c>
      <c r="W3257" s="124" t="str">
        <f>IFERROR(__xludf.DUMMYFUNCTION("""COMPUTED_VALUE"""),"Patna")</f>
        <v>Patna</v>
      </c>
      <c r="X3257" s="124" t="str">
        <f>IFERROR(__xludf.DUMMYFUNCTION("""COMPUTED_VALUE"""),"Walkin")</f>
        <v>Walkin</v>
      </c>
      <c r="Y3257" s="124" t="str">
        <f>IFERROR(__xludf.DUMMYFUNCTION("""COMPUTED_VALUE"""),"Patna")</f>
        <v>Patna</v>
      </c>
      <c r="Z3257" s="124">
        <f>IFERROR(__xludf.DUMMYFUNCTION("""COMPUTED_VALUE"""),1.0)</f>
        <v>1</v>
      </c>
      <c r="AA3257" s="124" t="str">
        <f>IFERROR(__xludf.DUMMYFUNCTION("""COMPUTED_VALUE"""),"Enrolled")</f>
        <v>Enrolled</v>
      </c>
      <c r="AB3257" s="124" t="str">
        <f>IFERROR(__xludf.DUMMYFUNCTION("""COMPUTED_VALUE"""),"GS Foundation")</f>
        <v>GS Foundation</v>
      </c>
    </row>
    <row r="3258">
      <c r="K3258" s="124"/>
      <c r="L3258" s="124"/>
      <c r="M3258" s="124"/>
      <c r="N3258" s="124"/>
      <c r="O3258" s="124"/>
      <c r="T3258" s="126">
        <f>IFERROR(__xludf.DUMMYFUNCTION("""COMPUTED_VALUE"""),46043.0)</f>
        <v>46043</v>
      </c>
      <c r="U3258" s="124" t="str">
        <f>IFERROR(__xludf.DUMMYFUNCTION("""COMPUTED_VALUE"""),"Walk-Ins")</f>
        <v>Walk-Ins</v>
      </c>
      <c r="V3258" s="124" t="str">
        <f>IFERROR(__xludf.DUMMYFUNCTION("""COMPUTED_VALUE"""),"Walkin")</f>
        <v>Walkin</v>
      </c>
      <c r="W3258" s="124" t="str">
        <f>IFERROR(__xludf.DUMMYFUNCTION("""COMPUTED_VALUE"""),"Prayagraj")</f>
        <v>Prayagraj</v>
      </c>
      <c r="X3258" s="124" t="str">
        <f>IFERROR(__xludf.DUMMYFUNCTION("""COMPUTED_VALUE"""),"Walkin")</f>
        <v>Walkin</v>
      </c>
      <c r="Y3258" s="124" t="str">
        <f>IFERROR(__xludf.DUMMYFUNCTION("""COMPUTED_VALUE"""),"Prayagraj")</f>
        <v>Prayagraj</v>
      </c>
      <c r="Z3258" s="124">
        <f>IFERROR(__xludf.DUMMYFUNCTION("""COMPUTED_VALUE"""),2.0)</f>
        <v>2</v>
      </c>
      <c r="AA3258" s="124" t="str">
        <f>IFERROR(__xludf.DUMMYFUNCTION("""COMPUTED_VALUE"""),"Cold")</f>
        <v>Cold</v>
      </c>
      <c r="AB3258" s="124" t="str">
        <f>IFERROR(__xludf.DUMMYFUNCTION("""COMPUTED_VALUE"""),"State PCS")</f>
        <v>State PCS</v>
      </c>
    </row>
    <row r="3259">
      <c r="K3259" s="124"/>
      <c r="L3259" s="124"/>
      <c r="M3259" s="124"/>
      <c r="N3259" s="124"/>
      <c r="O3259" s="124"/>
      <c r="T3259" s="126">
        <f>IFERROR(__xludf.DUMMYFUNCTION("""COMPUTED_VALUE"""),46107.0)</f>
        <v>46107</v>
      </c>
      <c r="U3259" s="124" t="str">
        <f>IFERROR(__xludf.DUMMYFUNCTION("""COMPUTED_VALUE"""),"Walk-Ins")</f>
        <v>Walk-Ins</v>
      </c>
      <c r="V3259" s="124" t="str">
        <f>IFERROR(__xludf.DUMMYFUNCTION("""COMPUTED_VALUE"""),"Walkin")</f>
        <v>Walkin</v>
      </c>
      <c r="W3259" s="124" t="str">
        <f>IFERROR(__xludf.DUMMYFUNCTION("""COMPUTED_VALUE"""),"Patna")</f>
        <v>Patna</v>
      </c>
      <c r="X3259" s="124" t="str">
        <f>IFERROR(__xludf.DUMMYFUNCTION("""COMPUTED_VALUE"""),"Walkin")</f>
        <v>Walkin</v>
      </c>
      <c r="Y3259" s="124" t="str">
        <f>IFERROR(__xludf.DUMMYFUNCTION("""COMPUTED_VALUE"""),"Patna")</f>
        <v>Patna</v>
      </c>
      <c r="Z3259" s="124">
        <f>IFERROR(__xludf.DUMMYFUNCTION("""COMPUTED_VALUE"""),2.0)</f>
        <v>2</v>
      </c>
      <c r="AA3259" s="124" t="str">
        <f>IFERROR(__xludf.DUMMYFUNCTION("""COMPUTED_VALUE"""),"Future Prospects")</f>
        <v>Future Prospects</v>
      </c>
      <c r="AB3259" s="124" t="str">
        <f>IFERROR(__xludf.DUMMYFUNCTION("""COMPUTED_VALUE"""),"SIM")</f>
        <v>SIM</v>
      </c>
    </row>
    <row r="3260">
      <c r="K3260" s="124"/>
      <c r="L3260" s="124"/>
      <c r="M3260" s="124"/>
      <c r="N3260" s="124"/>
      <c r="O3260" s="124"/>
      <c r="T3260" s="126">
        <f>IFERROR(__xludf.DUMMYFUNCTION("""COMPUTED_VALUE"""),46101.0)</f>
        <v>46101</v>
      </c>
      <c r="U3260" s="124" t="str">
        <f>IFERROR(__xludf.DUMMYFUNCTION("""COMPUTED_VALUE"""),"Walk-Ins")</f>
        <v>Walk-Ins</v>
      </c>
      <c r="V3260" s="124" t="str">
        <f>IFERROR(__xludf.DUMMYFUNCTION("""COMPUTED_VALUE"""),"Walkin")</f>
        <v>Walkin</v>
      </c>
      <c r="W3260" s="124" t="str">
        <f>IFERROR(__xludf.DUMMYFUNCTION("""COMPUTED_VALUE"""),"Prayagraj")</f>
        <v>Prayagraj</v>
      </c>
      <c r="X3260" s="124" t="str">
        <f>IFERROR(__xludf.DUMMYFUNCTION("""COMPUTED_VALUE"""),"Walkin")</f>
        <v>Walkin</v>
      </c>
      <c r="Y3260" s="124" t="str">
        <f>IFERROR(__xludf.DUMMYFUNCTION("""COMPUTED_VALUE"""),"Prayagraj")</f>
        <v>Prayagraj</v>
      </c>
      <c r="Z3260" s="124">
        <f>IFERROR(__xludf.DUMMYFUNCTION("""COMPUTED_VALUE"""),1.0)</f>
        <v>1</v>
      </c>
      <c r="AA3260" s="124" t="str">
        <f>IFERROR(__xludf.DUMMYFUNCTION("""COMPUTED_VALUE"""),"Warm")</f>
        <v>Warm</v>
      </c>
      <c r="AB3260" s="124" t="str">
        <f>IFERROR(__xludf.DUMMYFUNCTION("""COMPUTED_VALUE"""),"State PCS")</f>
        <v>State PCS</v>
      </c>
    </row>
    <row r="3261">
      <c r="K3261" s="124"/>
      <c r="L3261" s="124"/>
      <c r="M3261" s="124"/>
      <c r="N3261" s="124"/>
      <c r="O3261" s="124"/>
      <c r="T3261" s="129">
        <f>IFERROR(__xludf.DUMMYFUNCTION("""COMPUTED_VALUE"""),46059.0)</f>
        <v>46059</v>
      </c>
      <c r="U3261" s="124" t="str">
        <f>IFERROR(__xludf.DUMMYFUNCTION("""COMPUTED_VALUE"""),"Walk-Ins")</f>
        <v>Walk-Ins</v>
      </c>
      <c r="V3261" s="124" t="str">
        <f>IFERROR(__xludf.DUMMYFUNCTION("""COMPUTED_VALUE"""),"Walkin")</f>
        <v>Walkin</v>
      </c>
      <c r="W3261" s="124" t="str">
        <f>IFERROR(__xludf.DUMMYFUNCTION("""COMPUTED_VALUE"""),"Patna")</f>
        <v>Patna</v>
      </c>
      <c r="X3261" s="124" t="str">
        <f>IFERROR(__xludf.DUMMYFUNCTION("""COMPUTED_VALUE"""),"Walkin")</f>
        <v>Walkin</v>
      </c>
      <c r="Y3261" s="124" t="str">
        <f>IFERROR(__xludf.DUMMYFUNCTION("""COMPUTED_VALUE"""),"Patna")</f>
        <v>Patna</v>
      </c>
      <c r="Z3261" s="124">
        <f>IFERROR(__xludf.DUMMYFUNCTION("""COMPUTED_VALUE"""),1.0)</f>
        <v>1</v>
      </c>
      <c r="AA3261" s="124" t="str">
        <f>IFERROR(__xludf.DUMMYFUNCTION("""COMPUTED_VALUE"""),"Fake Lead")</f>
        <v>Fake Lead</v>
      </c>
      <c r="AB3261" s="124" t="str">
        <f>IFERROR(__xludf.DUMMYFUNCTION("""COMPUTED_VALUE"""),"GS Foundation")</f>
        <v>GS Foundation</v>
      </c>
    </row>
    <row r="3262">
      <c r="K3262" s="124"/>
      <c r="L3262" s="124"/>
      <c r="M3262" s="124"/>
      <c r="N3262" s="124"/>
      <c r="O3262" s="124"/>
      <c r="T3262" s="129">
        <f>IFERROR(__xludf.DUMMYFUNCTION("""COMPUTED_VALUE"""),46057.0)</f>
        <v>46057</v>
      </c>
      <c r="U3262" s="124" t="str">
        <f>IFERROR(__xludf.DUMMYFUNCTION("""COMPUTED_VALUE"""),"Walk-Ins")</f>
        <v>Walk-Ins</v>
      </c>
      <c r="V3262" s="124" t="str">
        <f>IFERROR(__xludf.DUMMYFUNCTION("""COMPUTED_VALUE"""),"Walkin")</f>
        <v>Walkin</v>
      </c>
      <c r="W3262" s="124" t="str">
        <f>IFERROR(__xludf.DUMMYFUNCTION("""COMPUTED_VALUE"""),"Patna")</f>
        <v>Patna</v>
      </c>
      <c r="X3262" s="124" t="str">
        <f>IFERROR(__xludf.DUMMYFUNCTION("""COMPUTED_VALUE"""),"Walkin")</f>
        <v>Walkin</v>
      </c>
      <c r="Y3262" s="124" t="str">
        <f>IFERROR(__xludf.DUMMYFUNCTION("""COMPUTED_VALUE"""),"Patna")</f>
        <v>Patna</v>
      </c>
      <c r="Z3262" s="124">
        <f>IFERROR(__xludf.DUMMYFUNCTION("""COMPUTED_VALUE"""),1.0)</f>
        <v>1</v>
      </c>
      <c r="AA3262" s="124" t="str">
        <f>IFERROR(__xludf.DUMMYFUNCTION("""COMPUTED_VALUE"""),"Enrolled")</f>
        <v>Enrolled</v>
      </c>
      <c r="AB3262" s="124" t="str">
        <f>IFERROR(__xludf.DUMMYFUNCTION("""COMPUTED_VALUE"""),"GS Foundation")</f>
        <v>GS Foundation</v>
      </c>
    </row>
    <row r="3263">
      <c r="K3263" s="124"/>
      <c r="L3263" s="124"/>
      <c r="M3263" s="124"/>
      <c r="N3263" s="124"/>
      <c r="O3263" s="124"/>
      <c r="T3263" s="126">
        <f>IFERROR(__xludf.DUMMYFUNCTION("""COMPUTED_VALUE"""),46094.0)</f>
        <v>46094</v>
      </c>
      <c r="U3263" s="124" t="str">
        <f>IFERROR(__xludf.DUMMYFUNCTION("""COMPUTED_VALUE"""),"Walk-Ins")</f>
        <v>Walk-Ins</v>
      </c>
      <c r="V3263" s="124" t="str">
        <f>IFERROR(__xludf.DUMMYFUNCTION("""COMPUTED_VALUE"""),"Walkin")</f>
        <v>Walkin</v>
      </c>
      <c r="W3263" s="124" t="str">
        <f>IFERROR(__xludf.DUMMYFUNCTION("""COMPUTED_VALUE"""),"Patna")</f>
        <v>Patna</v>
      </c>
      <c r="X3263" s="124" t="str">
        <f>IFERROR(__xludf.DUMMYFUNCTION("""COMPUTED_VALUE"""),"Walkin")</f>
        <v>Walkin</v>
      </c>
      <c r="Y3263" s="124" t="str">
        <f>IFERROR(__xludf.DUMMYFUNCTION("""COMPUTED_VALUE"""),"Patna")</f>
        <v>Patna</v>
      </c>
      <c r="Z3263" s="124">
        <f>IFERROR(__xludf.DUMMYFUNCTION("""COMPUTED_VALUE"""),1.0)</f>
        <v>1</v>
      </c>
      <c r="AA3263" s="124" t="str">
        <f>IFERROR(__xludf.DUMMYFUNCTION("""COMPUTED_VALUE"""),"Not Interested")</f>
        <v>Not Interested</v>
      </c>
      <c r="AB3263" s="124" t="str">
        <f>IFERROR(__xludf.DUMMYFUNCTION("""COMPUTED_VALUE"""),"State PCS")</f>
        <v>State PCS</v>
      </c>
    </row>
    <row r="3264">
      <c r="K3264" s="124"/>
      <c r="L3264" s="124"/>
      <c r="M3264" s="124"/>
      <c r="N3264" s="124"/>
      <c r="O3264" s="124"/>
      <c r="T3264" s="126">
        <f>IFERROR(__xludf.DUMMYFUNCTION("""COMPUTED_VALUE"""),46098.0)</f>
        <v>46098</v>
      </c>
      <c r="U3264" s="124" t="str">
        <f>IFERROR(__xludf.DUMMYFUNCTION("""COMPUTED_VALUE"""),"Walk-Ins")</f>
        <v>Walk-Ins</v>
      </c>
      <c r="V3264" s="124" t="str">
        <f>IFERROR(__xludf.DUMMYFUNCTION("""COMPUTED_VALUE"""),"Walkin")</f>
        <v>Walkin</v>
      </c>
      <c r="W3264" s="124" t="str">
        <f>IFERROR(__xludf.DUMMYFUNCTION("""COMPUTED_VALUE"""),"Indore")</f>
        <v>Indore</v>
      </c>
      <c r="X3264" s="124" t="str">
        <f>IFERROR(__xludf.DUMMYFUNCTION("""COMPUTED_VALUE"""),"Walkin")</f>
        <v>Walkin</v>
      </c>
      <c r="Y3264" s="124" t="str">
        <f>IFERROR(__xludf.DUMMYFUNCTION("""COMPUTED_VALUE"""),"Indore")</f>
        <v>Indore</v>
      </c>
      <c r="Z3264" s="124">
        <f>IFERROR(__xludf.DUMMYFUNCTION("""COMPUTED_VALUE"""),1.0)</f>
        <v>1</v>
      </c>
      <c r="AA3264" s="124" t="str">
        <f>IFERROR(__xludf.DUMMYFUNCTION("""COMPUTED_VALUE"""),"Future Prospects")</f>
        <v>Future Prospects</v>
      </c>
      <c r="AB3264" s="124" t="str">
        <f>IFERROR(__xludf.DUMMYFUNCTION("""COMPUTED_VALUE"""),"GS Foundation")</f>
        <v>GS Foundation</v>
      </c>
    </row>
    <row r="3265">
      <c r="K3265" s="124"/>
      <c r="L3265" s="124"/>
      <c r="M3265" s="124"/>
      <c r="N3265" s="124"/>
      <c r="O3265" s="124"/>
      <c r="T3265" s="129">
        <f>IFERROR(__xludf.DUMMYFUNCTION("""COMPUTED_VALUE"""),46082.0)</f>
        <v>46082</v>
      </c>
      <c r="U3265" s="124" t="str">
        <f>IFERROR(__xludf.DUMMYFUNCTION("""COMPUTED_VALUE"""),"Walk-Ins")</f>
        <v>Walk-Ins</v>
      </c>
      <c r="V3265" s="124" t="str">
        <f>IFERROR(__xludf.DUMMYFUNCTION("""COMPUTED_VALUE"""),"Walkin")</f>
        <v>Walkin</v>
      </c>
      <c r="W3265" s="124" t="str">
        <f>IFERROR(__xludf.DUMMYFUNCTION("""COMPUTED_VALUE"""),"Indore")</f>
        <v>Indore</v>
      </c>
      <c r="X3265" s="124" t="str">
        <f>IFERROR(__xludf.DUMMYFUNCTION("""COMPUTED_VALUE"""),"Walkin")</f>
        <v>Walkin</v>
      </c>
      <c r="Y3265" s="124" t="str">
        <f>IFERROR(__xludf.DUMMYFUNCTION("""COMPUTED_VALUE"""),"Indore")</f>
        <v>Indore</v>
      </c>
      <c r="Z3265" s="124">
        <f>IFERROR(__xludf.DUMMYFUNCTION("""COMPUTED_VALUE"""),1.0)</f>
        <v>1</v>
      </c>
      <c r="AA3265" s="124" t="str">
        <f>IFERROR(__xludf.DUMMYFUNCTION("""COMPUTED_VALUE"""),"Cold")</f>
        <v>Cold</v>
      </c>
      <c r="AB3265" s="124" t="str">
        <f>IFERROR(__xludf.DUMMYFUNCTION("""COMPUTED_VALUE"""),"State PCS")</f>
        <v>State PCS</v>
      </c>
    </row>
    <row r="3266">
      <c r="K3266" s="124"/>
      <c r="L3266" s="124"/>
      <c r="M3266" s="124"/>
      <c r="N3266" s="124"/>
      <c r="O3266" s="124"/>
      <c r="T3266" s="126">
        <f>IFERROR(__xludf.DUMMYFUNCTION("""COMPUTED_VALUE"""),46112.0)</f>
        <v>46112</v>
      </c>
      <c r="U3266" s="124" t="str">
        <f>IFERROR(__xludf.DUMMYFUNCTION("""COMPUTED_VALUE"""),"Walk-Ins")</f>
        <v>Walk-Ins</v>
      </c>
      <c r="V3266" s="124" t="str">
        <f>IFERROR(__xludf.DUMMYFUNCTION("""COMPUTED_VALUE"""),"Walkin")</f>
        <v>Walkin</v>
      </c>
      <c r="W3266" s="124" t="str">
        <f>IFERROR(__xludf.DUMMYFUNCTION("""COMPUTED_VALUE"""),"Patna")</f>
        <v>Patna</v>
      </c>
      <c r="X3266" s="124" t="str">
        <f>IFERROR(__xludf.DUMMYFUNCTION("""COMPUTED_VALUE"""),"Walkin")</f>
        <v>Walkin</v>
      </c>
      <c r="Y3266" s="124" t="str">
        <f>IFERROR(__xludf.DUMMYFUNCTION("""COMPUTED_VALUE"""),"Patna")</f>
        <v>Patna</v>
      </c>
      <c r="Z3266" s="124">
        <f>IFERROR(__xludf.DUMMYFUNCTION("""COMPUTED_VALUE"""),1.0)</f>
        <v>1</v>
      </c>
      <c r="AA3266" s="124" t="str">
        <f>IFERROR(__xludf.DUMMYFUNCTION("""COMPUTED_VALUE"""),"Warm")</f>
        <v>Warm</v>
      </c>
      <c r="AB3266" s="124" t="str">
        <f>IFERROR(__xludf.DUMMYFUNCTION("""COMPUTED_VALUE"""),"GS Foundation")</f>
        <v>GS Foundation</v>
      </c>
    </row>
    <row r="3267">
      <c r="K3267" s="124"/>
      <c r="L3267" s="124"/>
      <c r="M3267" s="124"/>
      <c r="N3267" s="124"/>
      <c r="O3267" s="124"/>
      <c r="T3267" s="129">
        <f>IFERROR(__xludf.DUMMYFUNCTION("""COMPUTED_VALUE"""),46055.0)</f>
        <v>46055</v>
      </c>
      <c r="U3267" s="124" t="str">
        <f>IFERROR(__xludf.DUMMYFUNCTION("""COMPUTED_VALUE"""),"Walk-Ins")</f>
        <v>Walk-Ins</v>
      </c>
      <c r="V3267" s="124" t="str">
        <f>IFERROR(__xludf.DUMMYFUNCTION("""COMPUTED_VALUE"""),"Walkin")</f>
        <v>Walkin</v>
      </c>
      <c r="W3267" s="124" t="str">
        <f>IFERROR(__xludf.DUMMYFUNCTION("""COMPUTED_VALUE"""),"Indore")</f>
        <v>Indore</v>
      </c>
      <c r="X3267" s="124" t="str">
        <f>IFERROR(__xludf.DUMMYFUNCTION("""COMPUTED_VALUE"""),"Walkin")</f>
        <v>Walkin</v>
      </c>
      <c r="Y3267" s="124" t="str">
        <f>IFERROR(__xludf.DUMMYFUNCTION("""COMPUTED_VALUE"""),"Indore")</f>
        <v>Indore</v>
      </c>
      <c r="Z3267" s="124">
        <f>IFERROR(__xludf.DUMMYFUNCTION("""COMPUTED_VALUE"""),1.0)</f>
        <v>1</v>
      </c>
      <c r="AA3267" s="124" t="str">
        <f>IFERROR(__xludf.DUMMYFUNCTION("""COMPUTED_VALUE"""),"Not Interested")</f>
        <v>Not Interested</v>
      </c>
      <c r="AB3267" s="124" t="str">
        <f>IFERROR(__xludf.DUMMYFUNCTION("""COMPUTED_VALUE"""),"State PCS")</f>
        <v>State PCS</v>
      </c>
    </row>
    <row r="3268">
      <c r="K3268" s="124"/>
      <c r="L3268" s="124"/>
      <c r="M3268" s="124"/>
      <c r="N3268" s="124"/>
      <c r="O3268" s="124"/>
      <c r="T3268" s="126">
        <f>IFERROR(__xludf.DUMMYFUNCTION("""COMPUTED_VALUE"""),46044.0)</f>
        <v>46044</v>
      </c>
      <c r="U3268" s="124" t="str">
        <f>IFERROR(__xludf.DUMMYFUNCTION("""COMPUTED_VALUE"""),"Walk-Ins")</f>
        <v>Walk-Ins</v>
      </c>
      <c r="V3268" s="124" t="str">
        <f>IFERROR(__xludf.DUMMYFUNCTION("""COMPUTED_VALUE"""),"Walkin")</f>
        <v>Walkin</v>
      </c>
      <c r="W3268" s="124" t="str">
        <f>IFERROR(__xludf.DUMMYFUNCTION("""COMPUTED_VALUE"""),"Prayagraj")</f>
        <v>Prayagraj</v>
      </c>
      <c r="X3268" s="124" t="str">
        <f>IFERROR(__xludf.DUMMYFUNCTION("""COMPUTED_VALUE"""),"Walkin")</f>
        <v>Walkin</v>
      </c>
      <c r="Y3268" s="124" t="str">
        <f>IFERROR(__xludf.DUMMYFUNCTION("""COMPUTED_VALUE"""),"Prayagraj")</f>
        <v>Prayagraj</v>
      </c>
      <c r="Z3268" s="124">
        <f>IFERROR(__xludf.DUMMYFUNCTION("""COMPUTED_VALUE"""),2.0)</f>
        <v>2</v>
      </c>
      <c r="AA3268" s="124" t="str">
        <f>IFERROR(__xludf.DUMMYFUNCTION("""COMPUTED_VALUE"""),"Fake Lead")</f>
        <v>Fake Lead</v>
      </c>
      <c r="AB3268" s="124" t="str">
        <f>IFERROR(__xludf.DUMMYFUNCTION("""COMPUTED_VALUE"""),"Other")</f>
        <v>Other</v>
      </c>
    </row>
    <row r="3269">
      <c r="K3269" s="124"/>
      <c r="L3269" s="124"/>
      <c r="M3269" s="124"/>
      <c r="N3269" s="124"/>
      <c r="O3269" s="124"/>
      <c r="T3269" s="126">
        <f>IFERROR(__xludf.DUMMYFUNCTION("""COMPUTED_VALUE"""),46066.0)</f>
        <v>46066</v>
      </c>
      <c r="U3269" s="124" t="str">
        <f>IFERROR(__xludf.DUMMYFUNCTION("""COMPUTED_VALUE"""),"Walk-Ins")</f>
        <v>Walk-Ins</v>
      </c>
      <c r="V3269" s="124" t="str">
        <f>IFERROR(__xludf.DUMMYFUNCTION("""COMPUTED_VALUE"""),"Walkin")</f>
        <v>Walkin</v>
      </c>
      <c r="W3269" s="124" t="str">
        <f>IFERROR(__xludf.DUMMYFUNCTION("""COMPUTED_VALUE"""),"Prayagraj")</f>
        <v>Prayagraj</v>
      </c>
      <c r="X3269" s="124" t="str">
        <f>IFERROR(__xludf.DUMMYFUNCTION("""COMPUTED_VALUE"""),"Walkin")</f>
        <v>Walkin</v>
      </c>
      <c r="Y3269" s="124" t="str">
        <f>IFERROR(__xludf.DUMMYFUNCTION("""COMPUTED_VALUE"""),"Prayagraj")</f>
        <v>Prayagraj</v>
      </c>
      <c r="Z3269" s="124">
        <f>IFERROR(__xludf.DUMMYFUNCTION("""COMPUTED_VALUE"""),1.0)</f>
        <v>1</v>
      </c>
      <c r="AA3269" s="124" t="str">
        <f>IFERROR(__xludf.DUMMYFUNCTION("""COMPUTED_VALUE"""),"Cold")</f>
        <v>Cold</v>
      </c>
      <c r="AB3269" s="124" t="str">
        <f>IFERROR(__xludf.DUMMYFUNCTION("""COMPUTED_VALUE"""),"State PCS")</f>
        <v>State PCS</v>
      </c>
    </row>
    <row r="3270">
      <c r="K3270" s="124"/>
      <c r="L3270" s="124"/>
      <c r="M3270" s="124"/>
      <c r="N3270" s="124"/>
      <c r="O3270" s="124"/>
      <c r="T3270" s="126">
        <f>IFERROR(__xludf.DUMMYFUNCTION("""COMPUTED_VALUE"""),46070.0)</f>
        <v>46070</v>
      </c>
      <c r="U3270" s="124" t="str">
        <f>IFERROR(__xludf.DUMMYFUNCTION("""COMPUTED_VALUE"""),"Walk-Ins")</f>
        <v>Walk-Ins</v>
      </c>
      <c r="V3270" s="124" t="str">
        <f>IFERROR(__xludf.DUMMYFUNCTION("""COMPUTED_VALUE"""),"Walkin")</f>
        <v>Walkin</v>
      </c>
      <c r="W3270" s="124" t="str">
        <f>IFERROR(__xludf.DUMMYFUNCTION("""COMPUTED_VALUE"""),"Prayagraj")</f>
        <v>Prayagraj</v>
      </c>
      <c r="X3270" s="124" t="str">
        <f>IFERROR(__xludf.DUMMYFUNCTION("""COMPUTED_VALUE"""),"Walkin")</f>
        <v>Walkin</v>
      </c>
      <c r="Y3270" s="124" t="str">
        <f>IFERROR(__xludf.DUMMYFUNCTION("""COMPUTED_VALUE"""),"Prayagraj")</f>
        <v>Prayagraj</v>
      </c>
      <c r="Z3270" s="124">
        <f>IFERROR(__xludf.DUMMYFUNCTION("""COMPUTED_VALUE"""),2.0)</f>
        <v>2</v>
      </c>
      <c r="AA3270" s="124" t="str">
        <f>IFERROR(__xludf.DUMMYFUNCTION("""COMPUTED_VALUE"""),"Not Interested")</f>
        <v>Not Interested</v>
      </c>
      <c r="AB3270" s="124" t="str">
        <f>IFERROR(__xludf.DUMMYFUNCTION("""COMPUTED_VALUE"""),"GS Foundation")</f>
        <v>GS Foundation</v>
      </c>
    </row>
    <row r="3271">
      <c r="K3271" s="124"/>
      <c r="L3271" s="124"/>
      <c r="M3271" s="124"/>
      <c r="N3271" s="124"/>
      <c r="O3271" s="124"/>
      <c r="T3271" s="126">
        <f>IFERROR(__xludf.DUMMYFUNCTION("""COMPUTED_VALUE"""),46103.0)</f>
        <v>46103</v>
      </c>
      <c r="U3271" s="124" t="str">
        <f>IFERROR(__xludf.DUMMYFUNCTION("""COMPUTED_VALUE"""),"Walk-Ins")</f>
        <v>Walk-Ins</v>
      </c>
      <c r="V3271" s="124" t="str">
        <f>IFERROR(__xludf.DUMMYFUNCTION("""COMPUTED_VALUE"""),"Walkin")</f>
        <v>Walkin</v>
      </c>
      <c r="W3271" s="124" t="str">
        <f>IFERROR(__xludf.DUMMYFUNCTION("""COMPUTED_VALUE"""),"Prayagraj")</f>
        <v>Prayagraj</v>
      </c>
      <c r="X3271" s="124" t="str">
        <f>IFERROR(__xludf.DUMMYFUNCTION("""COMPUTED_VALUE"""),"Walkin")</f>
        <v>Walkin</v>
      </c>
      <c r="Y3271" s="124" t="str">
        <f>IFERROR(__xludf.DUMMYFUNCTION("""COMPUTED_VALUE"""),"Prayagraj")</f>
        <v>Prayagraj</v>
      </c>
      <c r="Z3271" s="124">
        <f>IFERROR(__xludf.DUMMYFUNCTION("""COMPUTED_VALUE"""),1.0)</f>
        <v>1</v>
      </c>
      <c r="AA3271" s="124" t="str">
        <f>IFERROR(__xludf.DUMMYFUNCTION("""COMPUTED_VALUE"""),"Enrolled")</f>
        <v>Enrolled</v>
      </c>
      <c r="AB3271" s="124" t="str">
        <f>IFERROR(__xludf.DUMMYFUNCTION("""COMPUTED_VALUE"""),"Mentorship")</f>
        <v>Mentorship</v>
      </c>
    </row>
    <row r="3272">
      <c r="K3272" s="124"/>
      <c r="L3272" s="124"/>
      <c r="M3272" s="124"/>
      <c r="N3272" s="124"/>
      <c r="O3272" s="124"/>
      <c r="T3272" s="126">
        <f>IFERROR(__xludf.DUMMYFUNCTION("""COMPUTED_VALUE"""),46051.0)</f>
        <v>46051</v>
      </c>
      <c r="U3272" s="124" t="str">
        <f>IFERROR(__xludf.DUMMYFUNCTION("""COMPUTED_VALUE"""),"Walk-Ins")</f>
        <v>Walk-Ins</v>
      </c>
      <c r="V3272" s="124" t="str">
        <f>IFERROR(__xludf.DUMMYFUNCTION("""COMPUTED_VALUE"""),"Walk-In")</f>
        <v>Walk-In</v>
      </c>
      <c r="W3272" s="124" t="str">
        <f>IFERROR(__xludf.DUMMYFUNCTION("""COMPUTED_VALUE"""),"Patna")</f>
        <v>Patna</v>
      </c>
      <c r="X3272" s="124" t="str">
        <f>IFERROR(__xludf.DUMMYFUNCTION("""COMPUTED_VALUE"""),"Others")</f>
        <v>Others</v>
      </c>
      <c r="Y3272" s="124" t="str">
        <f>IFERROR(__xludf.DUMMYFUNCTION("""COMPUTED_VALUE"""),"Delhi")</f>
        <v>Delhi</v>
      </c>
      <c r="Z3272" s="124">
        <f>IFERROR(__xludf.DUMMYFUNCTION("""COMPUTED_VALUE"""),2.0)</f>
        <v>2</v>
      </c>
      <c r="AA3272" s="124" t="str">
        <f>IFERROR(__xludf.DUMMYFUNCTION("""COMPUTED_VALUE"""),"Enrolled")</f>
        <v>Enrolled</v>
      </c>
      <c r="AB3272" s="124" t="str">
        <f>IFERROR(__xludf.DUMMYFUNCTION("""COMPUTED_VALUE"""),"GS Foundation")</f>
        <v>GS Foundation</v>
      </c>
    </row>
    <row r="3273">
      <c r="K3273" s="124"/>
      <c r="L3273" s="124"/>
      <c r="M3273" s="124"/>
      <c r="N3273" s="124"/>
      <c r="O3273" s="124"/>
      <c r="T3273" s="126">
        <f>IFERROR(__xludf.DUMMYFUNCTION("""COMPUTED_VALUE"""),46081.0)</f>
        <v>46081</v>
      </c>
      <c r="U3273" s="124" t="str">
        <f>IFERROR(__xludf.DUMMYFUNCTION("""COMPUTED_VALUE"""),"Walk-Ins")</f>
        <v>Walk-Ins</v>
      </c>
      <c r="V3273" s="124" t="str">
        <f>IFERROR(__xludf.DUMMYFUNCTION("""COMPUTED_VALUE"""),"Walkin")</f>
        <v>Walkin</v>
      </c>
      <c r="W3273" s="124" t="str">
        <f>IFERROR(__xludf.DUMMYFUNCTION("""COMPUTED_VALUE"""),"Prayagraj")</f>
        <v>Prayagraj</v>
      </c>
      <c r="X3273" s="124" t="str">
        <f>IFERROR(__xludf.DUMMYFUNCTION("""COMPUTED_VALUE"""),"Walkin")</f>
        <v>Walkin</v>
      </c>
      <c r="Y3273" s="124" t="str">
        <f>IFERROR(__xludf.DUMMYFUNCTION("""COMPUTED_VALUE"""),"Prayagraj")</f>
        <v>Prayagraj</v>
      </c>
      <c r="Z3273" s="124">
        <f>IFERROR(__xludf.DUMMYFUNCTION("""COMPUTED_VALUE"""),1.0)</f>
        <v>1</v>
      </c>
      <c r="AA3273" s="124" t="str">
        <f>IFERROR(__xludf.DUMMYFUNCTION("""COMPUTED_VALUE"""),"Enrolled")</f>
        <v>Enrolled</v>
      </c>
      <c r="AB3273" s="124" t="str">
        <f>IFERROR(__xludf.DUMMYFUNCTION("""COMPUTED_VALUE"""),"GS Foundation")</f>
        <v>GS Foundation</v>
      </c>
    </row>
    <row r="3274">
      <c r="K3274" s="124"/>
      <c r="L3274" s="124"/>
      <c r="M3274" s="124"/>
      <c r="N3274" s="124"/>
      <c r="O3274" s="124"/>
      <c r="T3274" s="129">
        <f>IFERROR(__xludf.DUMMYFUNCTION("""COMPUTED_VALUE"""),46056.0)</f>
        <v>46056</v>
      </c>
      <c r="U3274" s="124" t="str">
        <f>IFERROR(__xludf.DUMMYFUNCTION("""COMPUTED_VALUE"""),"Walk-Ins")</f>
        <v>Walk-Ins</v>
      </c>
      <c r="V3274" s="124" t="str">
        <f>IFERROR(__xludf.DUMMYFUNCTION("""COMPUTED_VALUE"""),"Walkin")</f>
        <v>Walkin</v>
      </c>
      <c r="W3274" s="124" t="str">
        <f>IFERROR(__xludf.DUMMYFUNCTION("""COMPUTED_VALUE"""),"Indore")</f>
        <v>Indore</v>
      </c>
      <c r="X3274" s="124" t="str">
        <f>IFERROR(__xludf.DUMMYFUNCTION("""COMPUTED_VALUE"""),"Walkin")</f>
        <v>Walkin</v>
      </c>
      <c r="Y3274" s="124" t="str">
        <f>IFERROR(__xludf.DUMMYFUNCTION("""COMPUTED_VALUE"""),"Indore")</f>
        <v>Indore</v>
      </c>
      <c r="Z3274" s="124">
        <f>IFERROR(__xludf.DUMMYFUNCTION("""COMPUTED_VALUE"""),1.0)</f>
        <v>1</v>
      </c>
      <c r="AA3274" s="124" t="str">
        <f>IFERROR(__xludf.DUMMYFUNCTION("""COMPUTED_VALUE"""),"Not Interested")</f>
        <v>Not Interested</v>
      </c>
      <c r="AB3274" s="124" t="str">
        <f>IFERROR(__xludf.DUMMYFUNCTION("""COMPUTED_VALUE"""),"State PCS")</f>
        <v>State PCS</v>
      </c>
    </row>
    <row r="3275">
      <c r="K3275" s="124"/>
      <c r="L3275" s="124"/>
      <c r="M3275" s="124"/>
      <c r="N3275" s="124"/>
      <c r="O3275" s="124"/>
      <c r="T3275" s="126">
        <f>IFERROR(__xludf.DUMMYFUNCTION("""COMPUTED_VALUE"""),46109.0)</f>
        <v>46109</v>
      </c>
      <c r="U3275" s="124" t="str">
        <f>IFERROR(__xludf.DUMMYFUNCTION("""COMPUTED_VALUE"""),"Walk-Ins")</f>
        <v>Walk-Ins</v>
      </c>
      <c r="V3275" s="124" t="str">
        <f>IFERROR(__xludf.DUMMYFUNCTION("""COMPUTED_VALUE"""),"Walkin")</f>
        <v>Walkin</v>
      </c>
      <c r="W3275" s="124" t="str">
        <f>IFERROR(__xludf.DUMMYFUNCTION("""COMPUTED_VALUE"""),"Patna")</f>
        <v>Patna</v>
      </c>
      <c r="X3275" s="124" t="str">
        <f>IFERROR(__xludf.DUMMYFUNCTION("""COMPUTED_VALUE"""),"Walkin")</f>
        <v>Walkin</v>
      </c>
      <c r="Y3275" s="124" t="str">
        <f>IFERROR(__xludf.DUMMYFUNCTION("""COMPUTED_VALUE"""),"Patna")</f>
        <v>Patna</v>
      </c>
      <c r="Z3275" s="124">
        <f>IFERROR(__xludf.DUMMYFUNCTION("""COMPUTED_VALUE"""),2.0)</f>
        <v>2</v>
      </c>
      <c r="AA3275" s="124" t="str">
        <f>IFERROR(__xludf.DUMMYFUNCTION("""COMPUTED_VALUE"""),"Warm")</f>
        <v>Warm</v>
      </c>
      <c r="AB3275" s="124" t="str">
        <f>IFERROR(__xludf.DUMMYFUNCTION("""COMPUTED_VALUE"""),"State PCS")</f>
        <v>State PCS</v>
      </c>
    </row>
    <row r="3276">
      <c r="K3276" s="124"/>
      <c r="L3276" s="124"/>
      <c r="M3276" s="124"/>
      <c r="N3276" s="124"/>
      <c r="O3276" s="124"/>
      <c r="T3276" s="126">
        <f>IFERROR(__xludf.DUMMYFUNCTION("""COMPUTED_VALUE"""),46071.0)</f>
        <v>46071</v>
      </c>
      <c r="U3276" s="124" t="str">
        <f>IFERROR(__xludf.DUMMYFUNCTION("""COMPUTED_VALUE"""),"Walk-Ins")</f>
        <v>Walk-Ins</v>
      </c>
      <c r="V3276" s="124" t="str">
        <f>IFERROR(__xludf.DUMMYFUNCTION("""COMPUTED_VALUE"""),"Walkin")</f>
        <v>Walkin</v>
      </c>
      <c r="W3276" s="124" t="str">
        <f>IFERROR(__xludf.DUMMYFUNCTION("""COMPUTED_VALUE"""),"Lucknow")</f>
        <v>Lucknow</v>
      </c>
      <c r="X3276" s="124" t="str">
        <f>IFERROR(__xludf.DUMMYFUNCTION("""COMPUTED_VALUE"""),"Walkin")</f>
        <v>Walkin</v>
      </c>
      <c r="Y3276" s="124" t="str">
        <f>IFERROR(__xludf.DUMMYFUNCTION("""COMPUTED_VALUE"""),"Lucknow")</f>
        <v>Lucknow</v>
      </c>
      <c r="Z3276" s="124">
        <f>IFERROR(__xludf.DUMMYFUNCTION("""COMPUTED_VALUE"""),1.0)</f>
        <v>1</v>
      </c>
      <c r="AA3276" s="124" t="str">
        <f>IFERROR(__xludf.DUMMYFUNCTION("""COMPUTED_VALUE"""),"Future Prospects")</f>
        <v>Future Prospects</v>
      </c>
      <c r="AB3276" s="124" t="str">
        <f>IFERROR(__xludf.DUMMYFUNCTION("""COMPUTED_VALUE"""),"GS Foundation")</f>
        <v>GS Foundation</v>
      </c>
    </row>
    <row r="3277">
      <c r="K3277" s="124"/>
      <c r="L3277" s="124"/>
      <c r="M3277" s="124"/>
      <c r="N3277" s="124"/>
      <c r="O3277" s="124"/>
      <c r="T3277" s="126">
        <f>IFERROR(__xludf.DUMMYFUNCTION("""COMPUTED_VALUE"""),46100.0)</f>
        <v>46100</v>
      </c>
      <c r="U3277" s="124" t="str">
        <f>IFERROR(__xludf.DUMMYFUNCTION("""COMPUTED_VALUE"""),"Walk-Ins")</f>
        <v>Walk-Ins</v>
      </c>
      <c r="V3277" s="124" t="str">
        <f>IFERROR(__xludf.DUMMYFUNCTION("""COMPUTED_VALUE"""),"Walkin")</f>
        <v>Walkin</v>
      </c>
      <c r="W3277" s="124" t="str">
        <f>IFERROR(__xludf.DUMMYFUNCTION("""COMPUTED_VALUE"""),"Indore")</f>
        <v>Indore</v>
      </c>
      <c r="X3277" s="124" t="str">
        <f>IFERROR(__xludf.DUMMYFUNCTION("""COMPUTED_VALUE"""),"Walkin")</f>
        <v>Walkin</v>
      </c>
      <c r="Y3277" s="124" t="str">
        <f>IFERROR(__xludf.DUMMYFUNCTION("""COMPUTED_VALUE"""),"Indore")</f>
        <v>Indore</v>
      </c>
      <c r="Z3277" s="124">
        <f>IFERROR(__xludf.DUMMYFUNCTION("""COMPUTED_VALUE"""),1.0)</f>
        <v>1</v>
      </c>
      <c r="AA3277" s="124" t="str">
        <f>IFERROR(__xludf.DUMMYFUNCTION("""COMPUTED_VALUE"""),"Fake Lead")</f>
        <v>Fake Lead</v>
      </c>
      <c r="AB3277" s="124" t="str">
        <f>IFERROR(__xludf.DUMMYFUNCTION("""COMPUTED_VALUE"""),"State PCS")</f>
        <v>State PCS</v>
      </c>
    </row>
    <row r="3278">
      <c r="K3278" s="124"/>
      <c r="L3278" s="124"/>
      <c r="M3278" s="124"/>
      <c r="N3278" s="124"/>
      <c r="O3278" s="124"/>
      <c r="T3278" s="129">
        <f>IFERROR(__xludf.DUMMYFUNCTION("""COMPUTED_VALUE"""),46058.0)</f>
        <v>46058</v>
      </c>
      <c r="U3278" s="124" t="str">
        <f>IFERROR(__xludf.DUMMYFUNCTION("""COMPUTED_VALUE"""),"Walk-Ins")</f>
        <v>Walk-Ins</v>
      </c>
      <c r="V3278" s="124" t="str">
        <f>IFERROR(__xludf.DUMMYFUNCTION("""COMPUTED_VALUE"""),"Walkin")</f>
        <v>Walkin</v>
      </c>
      <c r="W3278" s="124" t="str">
        <f>IFERROR(__xludf.DUMMYFUNCTION("""COMPUTED_VALUE"""),"Patna")</f>
        <v>Patna</v>
      </c>
      <c r="X3278" s="124" t="str">
        <f>IFERROR(__xludf.DUMMYFUNCTION("""COMPUTED_VALUE"""),"Walkin")</f>
        <v>Walkin</v>
      </c>
      <c r="Y3278" s="124" t="str">
        <f>IFERROR(__xludf.DUMMYFUNCTION("""COMPUTED_VALUE"""),"Patna")</f>
        <v>Patna</v>
      </c>
      <c r="Z3278" s="124">
        <f>IFERROR(__xludf.DUMMYFUNCTION("""COMPUTED_VALUE"""),2.0)</f>
        <v>2</v>
      </c>
      <c r="AA3278" s="124" t="str">
        <f>IFERROR(__xludf.DUMMYFUNCTION("""COMPUTED_VALUE"""),"Cold")</f>
        <v>Cold</v>
      </c>
      <c r="AB3278" s="124" t="str">
        <f>IFERROR(__xludf.DUMMYFUNCTION("""COMPUTED_VALUE"""),"State PCS")</f>
        <v>State PCS</v>
      </c>
    </row>
    <row r="3279">
      <c r="K3279" s="124"/>
      <c r="L3279" s="124"/>
      <c r="M3279" s="124"/>
      <c r="N3279" s="124"/>
      <c r="O3279" s="124"/>
      <c r="T3279" s="126">
        <f>IFERROR(__xludf.DUMMYFUNCTION("""COMPUTED_VALUE"""),46108.0)</f>
        <v>46108</v>
      </c>
      <c r="U3279" s="124" t="str">
        <f>IFERROR(__xludf.DUMMYFUNCTION("""COMPUTED_VALUE"""),"Walk-Ins")</f>
        <v>Walk-Ins</v>
      </c>
      <c r="V3279" s="124" t="str">
        <f>IFERROR(__xludf.DUMMYFUNCTION("""COMPUTED_VALUE"""),"Walkin")</f>
        <v>Walkin</v>
      </c>
      <c r="W3279" s="124" t="str">
        <f>IFERROR(__xludf.DUMMYFUNCTION("""COMPUTED_VALUE"""),"Prayagraj")</f>
        <v>Prayagraj</v>
      </c>
      <c r="X3279" s="124" t="str">
        <f>IFERROR(__xludf.DUMMYFUNCTION("""COMPUTED_VALUE"""),"Walkin")</f>
        <v>Walkin</v>
      </c>
      <c r="Y3279" s="124" t="str">
        <f>IFERROR(__xludf.DUMMYFUNCTION("""COMPUTED_VALUE"""),"Prayagraj")</f>
        <v>Prayagraj</v>
      </c>
      <c r="Z3279" s="124">
        <f>IFERROR(__xludf.DUMMYFUNCTION("""COMPUTED_VALUE"""),1.0)</f>
        <v>1</v>
      </c>
      <c r="AA3279" s="124" t="str">
        <f>IFERROR(__xludf.DUMMYFUNCTION("""COMPUTED_VALUE"""),"Cold")</f>
        <v>Cold</v>
      </c>
      <c r="AB3279" s="124" t="str">
        <f>IFERROR(__xludf.DUMMYFUNCTION("""COMPUTED_VALUE"""),"Other")</f>
        <v>Other</v>
      </c>
    </row>
    <row r="3280">
      <c r="K3280" s="124"/>
      <c r="L3280" s="124"/>
      <c r="M3280" s="124"/>
      <c r="N3280" s="124"/>
      <c r="O3280" s="124"/>
      <c r="T3280" s="126">
        <f>IFERROR(__xludf.DUMMYFUNCTION("""COMPUTED_VALUE"""),46095.0)</f>
        <v>46095</v>
      </c>
      <c r="U3280" s="124" t="str">
        <f>IFERROR(__xludf.DUMMYFUNCTION("""COMPUTED_VALUE"""),"Walk-Ins")</f>
        <v>Walk-Ins</v>
      </c>
      <c r="V3280" s="124" t="str">
        <f>IFERROR(__xludf.DUMMYFUNCTION("""COMPUTED_VALUE"""),"Walkin")</f>
        <v>Walkin</v>
      </c>
      <c r="W3280" s="124" t="str">
        <f>IFERROR(__xludf.DUMMYFUNCTION("""COMPUTED_VALUE"""),"Lucknow")</f>
        <v>Lucknow</v>
      </c>
      <c r="X3280" s="124" t="str">
        <f>IFERROR(__xludf.DUMMYFUNCTION("""COMPUTED_VALUE"""),"Walkin")</f>
        <v>Walkin</v>
      </c>
      <c r="Y3280" s="124" t="str">
        <f>IFERROR(__xludf.DUMMYFUNCTION("""COMPUTED_VALUE"""),"Delhi")</f>
        <v>Delhi</v>
      </c>
      <c r="Z3280" s="124">
        <f>IFERROR(__xludf.DUMMYFUNCTION("""COMPUTED_VALUE"""),1.0)</f>
        <v>1</v>
      </c>
      <c r="AA3280" s="124" t="str">
        <f>IFERROR(__xludf.DUMMYFUNCTION("""COMPUTED_VALUE"""),"Cold")</f>
        <v>Cold</v>
      </c>
      <c r="AB3280" s="124" t="str">
        <f>IFERROR(__xludf.DUMMYFUNCTION("""COMPUTED_VALUE"""),"GS Foundation")</f>
        <v>GS Foundation</v>
      </c>
    </row>
    <row r="3281">
      <c r="K3281" s="124"/>
      <c r="L3281" s="124"/>
      <c r="M3281" s="124"/>
      <c r="N3281" s="124"/>
      <c r="O3281" s="124"/>
      <c r="T3281" s="126">
        <f>IFERROR(__xludf.DUMMYFUNCTION("""COMPUTED_VALUE"""),46101.0)</f>
        <v>46101</v>
      </c>
      <c r="U3281" s="124" t="str">
        <f>IFERROR(__xludf.DUMMYFUNCTION("""COMPUTED_VALUE"""),"Walk-Ins")</f>
        <v>Walk-Ins</v>
      </c>
      <c r="V3281" s="124" t="str">
        <f>IFERROR(__xludf.DUMMYFUNCTION("""COMPUTED_VALUE"""),"Walkin")</f>
        <v>Walkin</v>
      </c>
      <c r="W3281" s="124" t="str">
        <f>IFERROR(__xludf.DUMMYFUNCTION("""COMPUTED_VALUE"""),"Prayagraj")</f>
        <v>Prayagraj</v>
      </c>
      <c r="X3281" s="124" t="str">
        <f>IFERROR(__xludf.DUMMYFUNCTION("""COMPUTED_VALUE"""),"Walkin")</f>
        <v>Walkin</v>
      </c>
      <c r="Y3281" s="124" t="str">
        <f>IFERROR(__xludf.DUMMYFUNCTION("""COMPUTED_VALUE"""),"Prayagraj")</f>
        <v>Prayagraj</v>
      </c>
      <c r="Z3281" s="124">
        <f>IFERROR(__xludf.DUMMYFUNCTION("""COMPUTED_VALUE"""),2.0)</f>
        <v>2</v>
      </c>
      <c r="AA3281" s="124" t="str">
        <f>IFERROR(__xludf.DUMMYFUNCTION("""COMPUTED_VALUE"""),"Not Interested")</f>
        <v>Not Interested</v>
      </c>
      <c r="AB3281" s="124" t="str">
        <f>IFERROR(__xludf.DUMMYFUNCTION("""COMPUTED_VALUE"""),"GS Foundation")</f>
        <v>GS Foundation</v>
      </c>
    </row>
    <row r="3282">
      <c r="K3282" s="124"/>
      <c r="L3282" s="124"/>
      <c r="M3282" s="124"/>
      <c r="N3282" s="124"/>
      <c r="O3282" s="124"/>
      <c r="T3282" s="126">
        <f>IFERROR(__xludf.DUMMYFUNCTION("""COMPUTED_VALUE"""),46077.0)</f>
        <v>46077</v>
      </c>
      <c r="U3282" s="124" t="str">
        <f>IFERROR(__xludf.DUMMYFUNCTION("""COMPUTED_VALUE"""),"Walk-Ins")</f>
        <v>Walk-Ins</v>
      </c>
      <c r="V3282" s="124" t="str">
        <f>IFERROR(__xludf.DUMMYFUNCTION("""COMPUTED_VALUE"""),"Walkin")</f>
        <v>Walkin</v>
      </c>
      <c r="W3282" s="124" t="str">
        <f>IFERROR(__xludf.DUMMYFUNCTION("""COMPUTED_VALUE"""),"Prayagraj")</f>
        <v>Prayagraj</v>
      </c>
      <c r="X3282" s="124" t="str">
        <f>IFERROR(__xludf.DUMMYFUNCTION("""COMPUTED_VALUE"""),"Walkin")</f>
        <v>Walkin</v>
      </c>
      <c r="Y3282" s="124" t="str">
        <f>IFERROR(__xludf.DUMMYFUNCTION("""COMPUTED_VALUE"""),"Prayagraj")</f>
        <v>Prayagraj</v>
      </c>
      <c r="Z3282" s="124">
        <f>IFERROR(__xludf.DUMMYFUNCTION("""COMPUTED_VALUE"""),1.0)</f>
        <v>1</v>
      </c>
      <c r="AA3282" s="124" t="str">
        <f>IFERROR(__xludf.DUMMYFUNCTION("""COMPUTED_VALUE"""),"Cold")</f>
        <v>Cold</v>
      </c>
      <c r="AB3282" s="124" t="str">
        <f>IFERROR(__xludf.DUMMYFUNCTION("""COMPUTED_VALUE"""),"Other")</f>
        <v>Other</v>
      </c>
    </row>
    <row r="3283">
      <c r="K3283" s="124"/>
      <c r="L3283" s="124"/>
      <c r="M3283" s="124"/>
      <c r="N3283" s="124"/>
      <c r="O3283" s="124"/>
      <c r="T3283" s="126">
        <f>IFERROR(__xludf.DUMMYFUNCTION("""COMPUTED_VALUE"""),46051.0)</f>
        <v>46051</v>
      </c>
      <c r="U3283" s="124" t="str">
        <f>IFERROR(__xludf.DUMMYFUNCTION("""COMPUTED_VALUE"""),"Walk-Ins")</f>
        <v>Walk-Ins</v>
      </c>
      <c r="V3283" s="124" t="str">
        <f>IFERROR(__xludf.DUMMYFUNCTION("""COMPUTED_VALUE"""),"Walkin")</f>
        <v>Walkin</v>
      </c>
      <c r="W3283" s="124" t="str">
        <f>IFERROR(__xludf.DUMMYFUNCTION("""COMPUTED_VALUE"""),"Prayagraj")</f>
        <v>Prayagraj</v>
      </c>
      <c r="X3283" s="124" t="str">
        <f>IFERROR(__xludf.DUMMYFUNCTION("""COMPUTED_VALUE"""),"Walkin")</f>
        <v>Walkin</v>
      </c>
      <c r="Y3283" s="124" t="str">
        <f>IFERROR(__xludf.DUMMYFUNCTION("""COMPUTED_VALUE"""),"Prayagraj")</f>
        <v>Prayagraj</v>
      </c>
      <c r="Z3283" s="124">
        <f>IFERROR(__xludf.DUMMYFUNCTION("""COMPUTED_VALUE"""),2.0)</f>
        <v>2</v>
      </c>
      <c r="AA3283" s="124" t="str">
        <f>IFERROR(__xludf.DUMMYFUNCTION("""COMPUTED_VALUE"""),"Enrolled")</f>
        <v>Enrolled</v>
      </c>
      <c r="AB3283" s="124" t="str">
        <f>IFERROR(__xludf.DUMMYFUNCTION("""COMPUTED_VALUE"""),"GS Foundation")</f>
        <v>GS Foundation</v>
      </c>
    </row>
    <row r="3284">
      <c r="K3284" s="124"/>
      <c r="L3284" s="124"/>
      <c r="M3284" s="124"/>
      <c r="N3284" s="124"/>
      <c r="O3284" s="124"/>
      <c r="T3284" s="126">
        <f>IFERROR(__xludf.DUMMYFUNCTION("""COMPUTED_VALUE"""),46101.0)</f>
        <v>46101</v>
      </c>
      <c r="U3284" s="124" t="str">
        <f>IFERROR(__xludf.DUMMYFUNCTION("""COMPUTED_VALUE"""),"Walk-Ins")</f>
        <v>Walk-Ins</v>
      </c>
      <c r="V3284" s="124" t="str">
        <f>IFERROR(__xludf.DUMMYFUNCTION("""COMPUTED_VALUE"""),"Walkin")</f>
        <v>Walkin</v>
      </c>
      <c r="W3284" s="124" t="str">
        <f>IFERROR(__xludf.DUMMYFUNCTION("""COMPUTED_VALUE"""),"Indore")</f>
        <v>Indore</v>
      </c>
      <c r="X3284" s="124" t="str">
        <f>IFERROR(__xludf.DUMMYFUNCTION("""COMPUTED_VALUE"""),"Walkin")</f>
        <v>Walkin</v>
      </c>
      <c r="Y3284" s="124" t="str">
        <f>IFERROR(__xludf.DUMMYFUNCTION("""COMPUTED_VALUE"""),"Indore")</f>
        <v>Indore</v>
      </c>
      <c r="Z3284" s="124">
        <f>IFERROR(__xludf.DUMMYFUNCTION("""COMPUTED_VALUE"""),1.0)</f>
        <v>1</v>
      </c>
      <c r="AA3284" s="124" t="str">
        <f>IFERROR(__xludf.DUMMYFUNCTION("""COMPUTED_VALUE"""),"Warm")</f>
        <v>Warm</v>
      </c>
      <c r="AB3284" s="124" t="str">
        <f>IFERROR(__xludf.DUMMYFUNCTION("""COMPUTED_VALUE"""),"GS Foundation")</f>
        <v>GS Foundation</v>
      </c>
    </row>
    <row r="3285">
      <c r="K3285" s="124"/>
      <c r="L3285" s="124"/>
      <c r="M3285" s="124"/>
      <c r="N3285" s="124"/>
      <c r="O3285" s="124"/>
      <c r="T3285" s="126">
        <f>IFERROR(__xludf.DUMMYFUNCTION("""COMPUTED_VALUE"""),46095.0)</f>
        <v>46095</v>
      </c>
      <c r="U3285" s="124" t="str">
        <f>IFERROR(__xludf.DUMMYFUNCTION("""COMPUTED_VALUE"""),"Walk-Ins")</f>
        <v>Walk-Ins</v>
      </c>
      <c r="V3285" s="124" t="str">
        <f>IFERROR(__xludf.DUMMYFUNCTION("""COMPUTED_VALUE"""),"Walkin")</f>
        <v>Walkin</v>
      </c>
      <c r="W3285" s="124" t="str">
        <f>IFERROR(__xludf.DUMMYFUNCTION("""COMPUTED_VALUE"""),"Prayagraj")</f>
        <v>Prayagraj</v>
      </c>
      <c r="X3285" s="124" t="str">
        <f>IFERROR(__xludf.DUMMYFUNCTION("""COMPUTED_VALUE"""),"Walkin")</f>
        <v>Walkin</v>
      </c>
      <c r="Y3285" s="124" t="str">
        <f>IFERROR(__xludf.DUMMYFUNCTION("""COMPUTED_VALUE"""),"Prayagraj")</f>
        <v>Prayagraj</v>
      </c>
      <c r="Z3285" s="124">
        <f>IFERROR(__xludf.DUMMYFUNCTION("""COMPUTED_VALUE"""),1.0)</f>
        <v>1</v>
      </c>
      <c r="AA3285" s="124" t="str">
        <f>IFERROR(__xludf.DUMMYFUNCTION("""COMPUTED_VALUE"""),"Cold")</f>
        <v>Cold</v>
      </c>
      <c r="AB3285" s="124" t="str">
        <f>IFERROR(__xludf.DUMMYFUNCTION("""COMPUTED_VALUE"""),"GS Foundation")</f>
        <v>GS Foundation</v>
      </c>
    </row>
    <row r="3286">
      <c r="K3286" s="124"/>
      <c r="L3286" s="124"/>
      <c r="M3286" s="124"/>
      <c r="N3286" s="124"/>
      <c r="O3286" s="124"/>
      <c r="T3286" s="129">
        <f>IFERROR(__xludf.DUMMYFUNCTION("""COMPUTED_VALUE"""),46054.0)</f>
        <v>46054</v>
      </c>
      <c r="U3286" s="124" t="str">
        <f>IFERROR(__xludf.DUMMYFUNCTION("""COMPUTED_VALUE"""),"Walk-Ins")</f>
        <v>Walk-Ins</v>
      </c>
      <c r="V3286" s="124" t="str">
        <f>IFERROR(__xludf.DUMMYFUNCTION("""COMPUTED_VALUE"""),"Walkin")</f>
        <v>Walkin</v>
      </c>
      <c r="W3286" s="124" t="str">
        <f>IFERROR(__xludf.DUMMYFUNCTION("""COMPUTED_VALUE"""),"Indore")</f>
        <v>Indore</v>
      </c>
      <c r="X3286" s="124" t="str">
        <f>IFERROR(__xludf.DUMMYFUNCTION("""COMPUTED_VALUE"""),"Walkin")</f>
        <v>Walkin</v>
      </c>
      <c r="Y3286" s="124" t="str">
        <f>IFERROR(__xludf.DUMMYFUNCTION("""COMPUTED_VALUE"""),"Indore")</f>
        <v>Indore</v>
      </c>
      <c r="Z3286" s="124">
        <f>IFERROR(__xludf.DUMMYFUNCTION("""COMPUTED_VALUE"""),1.0)</f>
        <v>1</v>
      </c>
      <c r="AA3286" s="124" t="str">
        <f>IFERROR(__xludf.DUMMYFUNCTION("""COMPUTED_VALUE"""),"Not Interested")</f>
        <v>Not Interested</v>
      </c>
      <c r="AB3286" s="124" t="str">
        <f>IFERROR(__xludf.DUMMYFUNCTION("""COMPUTED_VALUE"""),"State PCS")</f>
        <v>State PCS</v>
      </c>
    </row>
    <row r="3287">
      <c r="K3287" s="124"/>
      <c r="L3287" s="124"/>
      <c r="M3287" s="124"/>
      <c r="N3287" s="124"/>
      <c r="O3287" s="124"/>
      <c r="T3287" s="126">
        <f>IFERROR(__xludf.DUMMYFUNCTION("""COMPUTED_VALUE"""),46072.0)</f>
        <v>46072</v>
      </c>
      <c r="U3287" s="124" t="str">
        <f>IFERROR(__xludf.DUMMYFUNCTION("""COMPUTED_VALUE"""),"Walk-Ins")</f>
        <v>Walk-Ins</v>
      </c>
      <c r="V3287" s="124" t="str">
        <f>IFERROR(__xludf.DUMMYFUNCTION("""COMPUTED_VALUE"""),"Walkin")</f>
        <v>Walkin</v>
      </c>
      <c r="W3287" s="124" t="str">
        <f>IFERROR(__xludf.DUMMYFUNCTION("""COMPUTED_VALUE"""),"Patna")</f>
        <v>Patna</v>
      </c>
      <c r="X3287" s="124" t="str">
        <f>IFERROR(__xludf.DUMMYFUNCTION("""COMPUTED_VALUE"""),"Walkin")</f>
        <v>Walkin</v>
      </c>
      <c r="Y3287" s="124" t="str">
        <f>IFERROR(__xludf.DUMMYFUNCTION("""COMPUTED_VALUE"""),"Patna")</f>
        <v>Patna</v>
      </c>
      <c r="Z3287" s="124">
        <f>IFERROR(__xludf.DUMMYFUNCTION("""COMPUTED_VALUE"""),1.0)</f>
        <v>1</v>
      </c>
      <c r="AA3287" s="124" t="str">
        <f>IFERROR(__xludf.DUMMYFUNCTION("""COMPUTED_VALUE"""),"Cold")</f>
        <v>Cold</v>
      </c>
      <c r="AB3287" s="124" t="str">
        <f>IFERROR(__xludf.DUMMYFUNCTION("""COMPUTED_VALUE"""),"Prelims Crash Course - SIP")</f>
        <v>Prelims Crash Course - SIP</v>
      </c>
    </row>
    <row r="3288">
      <c r="K3288" s="124"/>
      <c r="L3288" s="124"/>
      <c r="M3288" s="124"/>
      <c r="N3288" s="124"/>
      <c r="O3288" s="124"/>
      <c r="T3288" s="126">
        <f>IFERROR(__xludf.DUMMYFUNCTION("""COMPUTED_VALUE"""),46046.0)</f>
        <v>46046</v>
      </c>
      <c r="U3288" s="124" t="str">
        <f>IFERROR(__xludf.DUMMYFUNCTION("""COMPUTED_VALUE"""),"Walk-Ins")</f>
        <v>Walk-Ins</v>
      </c>
      <c r="V3288" s="124" t="str">
        <f>IFERROR(__xludf.DUMMYFUNCTION("""COMPUTED_VALUE"""),"Walkin")</f>
        <v>Walkin</v>
      </c>
      <c r="W3288" s="124" t="str">
        <f>IFERROR(__xludf.DUMMYFUNCTION("""COMPUTED_VALUE"""),"Prayagraj")</f>
        <v>Prayagraj</v>
      </c>
      <c r="X3288" s="124" t="str">
        <f>IFERROR(__xludf.DUMMYFUNCTION("""COMPUTED_VALUE"""),"Walkin")</f>
        <v>Walkin</v>
      </c>
      <c r="Y3288" s="124" t="str">
        <f>IFERROR(__xludf.DUMMYFUNCTION("""COMPUTED_VALUE"""),"Prayagraj")</f>
        <v>Prayagraj</v>
      </c>
      <c r="Z3288" s="124">
        <f>IFERROR(__xludf.DUMMYFUNCTION("""COMPUTED_VALUE"""),1.0)</f>
        <v>1</v>
      </c>
      <c r="AA3288" s="124" t="str">
        <f>IFERROR(__xludf.DUMMYFUNCTION("""COMPUTED_VALUE"""),"Not Interested")</f>
        <v>Not Interested</v>
      </c>
      <c r="AB3288" s="124" t="str">
        <f>IFERROR(__xludf.DUMMYFUNCTION("""COMPUTED_VALUE"""),"State PCS")</f>
        <v>State PCS</v>
      </c>
    </row>
    <row r="3289">
      <c r="K3289" s="124"/>
      <c r="L3289" s="124"/>
      <c r="M3289" s="124"/>
      <c r="N3289" s="124"/>
      <c r="O3289" s="124"/>
      <c r="T3289" s="126">
        <f>IFERROR(__xludf.DUMMYFUNCTION("""COMPUTED_VALUE"""),46075.0)</f>
        <v>46075</v>
      </c>
      <c r="U3289" s="124" t="str">
        <f>IFERROR(__xludf.DUMMYFUNCTION("""COMPUTED_VALUE"""),"Walk-Ins")</f>
        <v>Walk-Ins</v>
      </c>
      <c r="V3289" s="124" t="str">
        <f>IFERROR(__xludf.DUMMYFUNCTION("""COMPUTED_VALUE"""),"Walkin")</f>
        <v>Walkin</v>
      </c>
      <c r="W3289" s="124" t="str">
        <f>IFERROR(__xludf.DUMMYFUNCTION("""COMPUTED_VALUE"""),"Prayagraj")</f>
        <v>Prayagraj</v>
      </c>
      <c r="X3289" s="124" t="str">
        <f>IFERROR(__xludf.DUMMYFUNCTION("""COMPUTED_VALUE"""),"Walkin")</f>
        <v>Walkin</v>
      </c>
      <c r="Y3289" s="124" t="str">
        <f>IFERROR(__xludf.DUMMYFUNCTION("""COMPUTED_VALUE"""),"Prayagraj")</f>
        <v>Prayagraj</v>
      </c>
      <c r="Z3289" s="124">
        <f>IFERROR(__xludf.DUMMYFUNCTION("""COMPUTED_VALUE"""),1.0)</f>
        <v>1</v>
      </c>
      <c r="AA3289" s="124" t="str">
        <f>IFERROR(__xludf.DUMMYFUNCTION("""COMPUTED_VALUE"""),"Warm")</f>
        <v>Warm</v>
      </c>
      <c r="AB3289" s="124" t="str">
        <f>IFERROR(__xludf.DUMMYFUNCTION("""COMPUTED_VALUE"""),"GS Foundation")</f>
        <v>GS Foundation</v>
      </c>
    </row>
    <row r="3290">
      <c r="K3290" s="124"/>
      <c r="L3290" s="124"/>
      <c r="M3290" s="124"/>
      <c r="N3290" s="124"/>
      <c r="O3290" s="124"/>
      <c r="T3290" s="129">
        <f>IFERROR(__xludf.DUMMYFUNCTION("""COMPUTED_VALUE"""),46055.0)</f>
        <v>46055</v>
      </c>
      <c r="U3290" s="124" t="str">
        <f>IFERROR(__xludf.DUMMYFUNCTION("""COMPUTED_VALUE"""),"Walk-Ins")</f>
        <v>Walk-Ins</v>
      </c>
      <c r="V3290" s="124" t="str">
        <f>IFERROR(__xludf.DUMMYFUNCTION("""COMPUTED_VALUE"""),"Walkin")</f>
        <v>Walkin</v>
      </c>
      <c r="W3290" s="124" t="str">
        <f>IFERROR(__xludf.DUMMYFUNCTION("""COMPUTED_VALUE"""),"Indore")</f>
        <v>Indore</v>
      </c>
      <c r="X3290" s="124" t="str">
        <f>IFERROR(__xludf.DUMMYFUNCTION("""COMPUTED_VALUE"""),"Walkin")</f>
        <v>Walkin</v>
      </c>
      <c r="Y3290" s="124" t="str">
        <f>IFERROR(__xludf.DUMMYFUNCTION("""COMPUTED_VALUE"""),"Indore")</f>
        <v>Indore</v>
      </c>
      <c r="Z3290" s="124">
        <f>IFERROR(__xludf.DUMMYFUNCTION("""COMPUTED_VALUE"""),1.0)</f>
        <v>1</v>
      </c>
      <c r="AA3290" s="124" t="str">
        <f>IFERROR(__xludf.DUMMYFUNCTION("""COMPUTED_VALUE"""),"Not Interested")</f>
        <v>Not Interested</v>
      </c>
      <c r="AB3290" s="124" t="str">
        <f>IFERROR(__xludf.DUMMYFUNCTION("""COMPUTED_VALUE"""),"SIP Offline")</f>
        <v>SIP Offline</v>
      </c>
    </row>
    <row r="3291">
      <c r="K3291" s="124"/>
      <c r="L3291" s="124"/>
      <c r="M3291" s="124"/>
      <c r="N3291" s="124"/>
      <c r="O3291" s="124"/>
      <c r="T3291" s="126">
        <f>IFERROR(__xludf.DUMMYFUNCTION("""COMPUTED_VALUE"""),46099.0)</f>
        <v>46099</v>
      </c>
      <c r="U3291" s="124" t="str">
        <f>IFERROR(__xludf.DUMMYFUNCTION("""COMPUTED_VALUE"""),"Walk-Ins")</f>
        <v>Walk-Ins</v>
      </c>
      <c r="V3291" s="124" t="str">
        <f>IFERROR(__xludf.DUMMYFUNCTION("""COMPUTED_VALUE"""),"Walkin")</f>
        <v>Walkin</v>
      </c>
      <c r="W3291" s="124" t="str">
        <f>IFERROR(__xludf.DUMMYFUNCTION("""COMPUTED_VALUE"""),"Lucknow")</f>
        <v>Lucknow</v>
      </c>
      <c r="X3291" s="124" t="str">
        <f>IFERROR(__xludf.DUMMYFUNCTION("""COMPUTED_VALUE"""),"Walkin")</f>
        <v>Walkin</v>
      </c>
      <c r="Y3291" s="124" t="str">
        <f>IFERROR(__xludf.DUMMYFUNCTION("""COMPUTED_VALUE"""),"Lucknow")</f>
        <v>Lucknow</v>
      </c>
      <c r="Z3291" s="124">
        <f>IFERROR(__xludf.DUMMYFUNCTION("""COMPUTED_VALUE"""),1.0)</f>
        <v>1</v>
      </c>
      <c r="AA3291" s="124" t="str">
        <f>IFERROR(__xludf.DUMMYFUNCTION("""COMPUTED_VALUE"""),"Enrolled")</f>
        <v>Enrolled</v>
      </c>
      <c r="AB3291" s="124" t="str">
        <f>IFERROR(__xludf.DUMMYFUNCTION("""COMPUTED_VALUE"""),"GS Foundation")</f>
        <v>GS Foundation</v>
      </c>
    </row>
    <row r="3292">
      <c r="K3292" s="124"/>
      <c r="L3292" s="124"/>
      <c r="M3292" s="124"/>
      <c r="N3292" s="124"/>
      <c r="O3292" s="124"/>
      <c r="T3292" s="126">
        <f>IFERROR(__xludf.DUMMYFUNCTION("""COMPUTED_VALUE"""),46102.0)</f>
        <v>46102</v>
      </c>
      <c r="U3292" s="124" t="str">
        <f>IFERROR(__xludf.DUMMYFUNCTION("""COMPUTED_VALUE"""),"Walk-Ins")</f>
        <v>Walk-Ins</v>
      </c>
      <c r="V3292" s="124" t="str">
        <f>IFERROR(__xludf.DUMMYFUNCTION("""COMPUTED_VALUE"""),"Walkin")</f>
        <v>Walkin</v>
      </c>
      <c r="W3292" s="124" t="str">
        <f>IFERROR(__xludf.DUMMYFUNCTION("""COMPUTED_VALUE"""),"Indore")</f>
        <v>Indore</v>
      </c>
      <c r="X3292" s="124" t="str">
        <f>IFERROR(__xludf.DUMMYFUNCTION("""COMPUTED_VALUE"""),"Walkin")</f>
        <v>Walkin</v>
      </c>
      <c r="Y3292" s="124" t="str">
        <f>IFERROR(__xludf.DUMMYFUNCTION("""COMPUTED_VALUE"""),"Indore")</f>
        <v>Indore</v>
      </c>
      <c r="Z3292" s="124">
        <f>IFERROR(__xludf.DUMMYFUNCTION("""COMPUTED_VALUE"""),1.0)</f>
        <v>1</v>
      </c>
      <c r="AA3292" s="124" t="str">
        <f>IFERROR(__xludf.DUMMYFUNCTION("""COMPUTED_VALUE"""),"Warm")</f>
        <v>Warm</v>
      </c>
      <c r="AB3292" s="124" t="str">
        <f>IFERROR(__xludf.DUMMYFUNCTION("""COMPUTED_VALUE"""),"Mentorship")</f>
        <v>Mentorship</v>
      </c>
    </row>
    <row r="3293">
      <c r="K3293" s="124"/>
      <c r="L3293" s="124"/>
      <c r="M3293" s="124"/>
      <c r="N3293" s="124"/>
      <c r="O3293" s="124"/>
      <c r="T3293" s="129">
        <f>IFERROR(__xludf.DUMMYFUNCTION("""COMPUTED_VALUE"""),46055.0)</f>
        <v>46055</v>
      </c>
      <c r="U3293" s="124" t="str">
        <f>IFERROR(__xludf.DUMMYFUNCTION("""COMPUTED_VALUE"""),"Walk-Ins")</f>
        <v>Walk-Ins</v>
      </c>
      <c r="V3293" s="124" t="str">
        <f>IFERROR(__xludf.DUMMYFUNCTION("""COMPUTED_VALUE"""),"Walkin")</f>
        <v>Walkin</v>
      </c>
      <c r="W3293" s="124" t="str">
        <f>IFERROR(__xludf.DUMMYFUNCTION("""COMPUTED_VALUE"""),"Prayagraj")</f>
        <v>Prayagraj</v>
      </c>
      <c r="X3293" s="124" t="str">
        <f>IFERROR(__xludf.DUMMYFUNCTION("""COMPUTED_VALUE"""),"Walkin")</f>
        <v>Walkin</v>
      </c>
      <c r="Y3293" s="124" t="str">
        <f>IFERROR(__xludf.DUMMYFUNCTION("""COMPUTED_VALUE"""),"Prayagraj")</f>
        <v>Prayagraj</v>
      </c>
      <c r="Z3293" s="124">
        <f>IFERROR(__xludf.DUMMYFUNCTION("""COMPUTED_VALUE"""),1.0)</f>
        <v>1</v>
      </c>
      <c r="AA3293" s="124" t="str">
        <f>IFERROR(__xludf.DUMMYFUNCTION("""COMPUTED_VALUE"""),"Cold")</f>
        <v>Cold</v>
      </c>
      <c r="AB3293" s="124" t="str">
        <f>IFERROR(__xludf.DUMMYFUNCTION("""COMPUTED_VALUE"""),"Mentorship")</f>
        <v>Mentorship</v>
      </c>
    </row>
    <row r="3294">
      <c r="K3294" s="124"/>
      <c r="L3294" s="124"/>
      <c r="M3294" s="124"/>
      <c r="N3294" s="124"/>
      <c r="O3294" s="124"/>
      <c r="T3294" s="129">
        <f>IFERROR(__xludf.DUMMYFUNCTION("""COMPUTED_VALUE"""),46062.0)</f>
        <v>46062</v>
      </c>
      <c r="U3294" s="124" t="str">
        <f>IFERROR(__xludf.DUMMYFUNCTION("""COMPUTED_VALUE"""),"Walk-Ins")</f>
        <v>Walk-Ins</v>
      </c>
      <c r="V3294" s="124" t="str">
        <f>IFERROR(__xludf.DUMMYFUNCTION("""COMPUTED_VALUE"""),"Walkin")</f>
        <v>Walkin</v>
      </c>
      <c r="W3294" s="124" t="str">
        <f>IFERROR(__xludf.DUMMYFUNCTION("""COMPUTED_VALUE"""),"Lucknow")</f>
        <v>Lucknow</v>
      </c>
      <c r="X3294" s="124" t="str">
        <f>IFERROR(__xludf.DUMMYFUNCTION("""COMPUTED_VALUE"""),"Walkin")</f>
        <v>Walkin</v>
      </c>
      <c r="Y3294" s="124" t="str">
        <f>IFERROR(__xludf.DUMMYFUNCTION("""COMPUTED_VALUE"""),"Lucknow")</f>
        <v>Lucknow</v>
      </c>
      <c r="Z3294" s="124">
        <f>IFERROR(__xludf.DUMMYFUNCTION("""COMPUTED_VALUE"""),1.0)</f>
        <v>1</v>
      </c>
      <c r="AA3294" s="124" t="str">
        <f>IFERROR(__xludf.DUMMYFUNCTION("""COMPUTED_VALUE"""),"Cold")</f>
        <v>Cold</v>
      </c>
      <c r="AB3294" s="124" t="str">
        <f>IFERROR(__xludf.DUMMYFUNCTION("""COMPUTED_VALUE"""),"Test Series")</f>
        <v>Test Series</v>
      </c>
    </row>
    <row r="3295">
      <c r="K3295" s="124"/>
      <c r="L3295" s="124"/>
      <c r="M3295" s="124"/>
      <c r="N3295" s="124"/>
      <c r="O3295" s="124"/>
      <c r="T3295" s="126">
        <f>IFERROR(__xludf.DUMMYFUNCTION("""COMPUTED_VALUE"""),46097.0)</f>
        <v>46097</v>
      </c>
      <c r="U3295" s="124" t="str">
        <f>IFERROR(__xludf.DUMMYFUNCTION("""COMPUTED_VALUE"""),"Walk-Ins")</f>
        <v>Walk-Ins</v>
      </c>
      <c r="V3295" s="124" t="str">
        <f>IFERROR(__xludf.DUMMYFUNCTION("""COMPUTED_VALUE"""),"Walkin")</f>
        <v>Walkin</v>
      </c>
      <c r="W3295" s="124" t="str">
        <f>IFERROR(__xludf.DUMMYFUNCTION("""COMPUTED_VALUE"""),"Patna")</f>
        <v>Patna</v>
      </c>
      <c r="X3295" s="124" t="str">
        <f>IFERROR(__xludf.DUMMYFUNCTION("""COMPUTED_VALUE"""),"Walkin")</f>
        <v>Walkin</v>
      </c>
      <c r="Y3295" s="124" t="str">
        <f>IFERROR(__xludf.DUMMYFUNCTION("""COMPUTED_VALUE"""),"Patna")</f>
        <v>Patna</v>
      </c>
      <c r="Z3295" s="124">
        <f>IFERROR(__xludf.DUMMYFUNCTION("""COMPUTED_VALUE"""),1.0)</f>
        <v>1</v>
      </c>
      <c r="AA3295" s="124" t="str">
        <f>IFERROR(__xludf.DUMMYFUNCTION("""COMPUTED_VALUE"""),"Future Prospects")</f>
        <v>Future Prospects</v>
      </c>
      <c r="AB3295" s="124" t="str">
        <f>IFERROR(__xludf.DUMMYFUNCTION("""COMPUTED_VALUE"""),"State PCS")</f>
        <v>State PCS</v>
      </c>
    </row>
    <row r="3296">
      <c r="K3296" s="124"/>
      <c r="L3296" s="124"/>
      <c r="M3296" s="124"/>
      <c r="N3296" s="124"/>
      <c r="O3296" s="124"/>
      <c r="T3296" s="126">
        <f>IFERROR(__xludf.DUMMYFUNCTION("""COMPUTED_VALUE"""),46065.0)</f>
        <v>46065</v>
      </c>
      <c r="U3296" s="124" t="str">
        <f>IFERROR(__xludf.DUMMYFUNCTION("""COMPUTED_VALUE"""),"Walk-Ins")</f>
        <v>Walk-Ins</v>
      </c>
      <c r="V3296" s="124" t="str">
        <f>IFERROR(__xludf.DUMMYFUNCTION("""COMPUTED_VALUE"""),"Walkin")</f>
        <v>Walkin</v>
      </c>
      <c r="W3296" s="124" t="str">
        <f>IFERROR(__xludf.DUMMYFUNCTION("""COMPUTED_VALUE"""),"Lucknow")</f>
        <v>Lucknow</v>
      </c>
      <c r="X3296" s="124" t="str">
        <f>IFERROR(__xludf.DUMMYFUNCTION("""COMPUTED_VALUE"""),"Walkin")</f>
        <v>Walkin</v>
      </c>
      <c r="Y3296" s="124" t="str">
        <f>IFERROR(__xludf.DUMMYFUNCTION("""COMPUTED_VALUE"""),"Lucknow")</f>
        <v>Lucknow</v>
      </c>
      <c r="Z3296" s="124">
        <f>IFERROR(__xludf.DUMMYFUNCTION("""COMPUTED_VALUE"""),2.0)</f>
        <v>2</v>
      </c>
      <c r="AA3296" s="124" t="str">
        <f>IFERROR(__xludf.DUMMYFUNCTION("""COMPUTED_VALUE"""),"Cold")</f>
        <v>Cold</v>
      </c>
      <c r="AB3296" s="124" t="str">
        <f>IFERROR(__xludf.DUMMYFUNCTION("""COMPUTED_VALUE"""),"IGP UPPSC")</f>
        <v>IGP UPPSC</v>
      </c>
    </row>
    <row r="3297">
      <c r="K3297" s="124"/>
      <c r="L3297" s="124"/>
      <c r="M3297" s="124"/>
      <c r="N3297" s="124"/>
      <c r="O3297" s="124"/>
      <c r="T3297" s="126">
        <f>IFERROR(__xludf.DUMMYFUNCTION("""COMPUTED_VALUE"""),46069.0)</f>
        <v>46069</v>
      </c>
      <c r="U3297" s="124" t="str">
        <f>IFERROR(__xludf.DUMMYFUNCTION("""COMPUTED_VALUE"""),"Walk-Ins")</f>
        <v>Walk-Ins</v>
      </c>
      <c r="V3297" s="124" t="str">
        <f>IFERROR(__xludf.DUMMYFUNCTION("""COMPUTED_VALUE"""),"Walkin")</f>
        <v>Walkin</v>
      </c>
      <c r="W3297" s="124" t="str">
        <f>IFERROR(__xludf.DUMMYFUNCTION("""COMPUTED_VALUE"""),"Indore")</f>
        <v>Indore</v>
      </c>
      <c r="X3297" s="124" t="str">
        <f>IFERROR(__xludf.DUMMYFUNCTION("""COMPUTED_VALUE"""),"Walkin")</f>
        <v>Walkin</v>
      </c>
      <c r="Y3297" s="124" t="str">
        <f>IFERROR(__xludf.DUMMYFUNCTION("""COMPUTED_VALUE"""),"Indore")</f>
        <v>Indore</v>
      </c>
      <c r="Z3297" s="124">
        <f>IFERROR(__xludf.DUMMYFUNCTION("""COMPUTED_VALUE"""),1.0)</f>
        <v>1</v>
      </c>
      <c r="AA3297" s="124" t="str">
        <f>IFERROR(__xludf.DUMMYFUNCTION("""COMPUTED_VALUE"""),"Cold")</f>
        <v>Cold</v>
      </c>
      <c r="AB3297" s="124" t="str">
        <f>IFERROR(__xludf.DUMMYFUNCTION("""COMPUTED_VALUE"""),"GS Foundation")</f>
        <v>GS Foundation</v>
      </c>
    </row>
    <row r="3298">
      <c r="K3298" s="124"/>
      <c r="L3298" s="124"/>
      <c r="M3298" s="124"/>
      <c r="N3298" s="124"/>
      <c r="O3298" s="124"/>
      <c r="T3298" s="126">
        <f>IFERROR(__xludf.DUMMYFUNCTION("""COMPUTED_VALUE"""),46052.0)</f>
        <v>46052</v>
      </c>
      <c r="U3298" s="124" t="str">
        <f>IFERROR(__xludf.DUMMYFUNCTION("""COMPUTED_VALUE"""),"Walk-Ins")</f>
        <v>Walk-Ins</v>
      </c>
      <c r="V3298" s="124" t="str">
        <f>IFERROR(__xludf.DUMMYFUNCTION("""COMPUTED_VALUE"""),"Walkin")</f>
        <v>Walkin</v>
      </c>
      <c r="W3298" s="124" t="str">
        <f>IFERROR(__xludf.DUMMYFUNCTION("""COMPUTED_VALUE"""),"Patna")</f>
        <v>Patna</v>
      </c>
      <c r="X3298" s="124" t="str">
        <f>IFERROR(__xludf.DUMMYFUNCTION("""COMPUTED_VALUE"""),"Walkin")</f>
        <v>Walkin</v>
      </c>
      <c r="Y3298" s="124" t="str">
        <f>IFERROR(__xludf.DUMMYFUNCTION("""COMPUTED_VALUE"""),"Patna")</f>
        <v>Patna</v>
      </c>
      <c r="Z3298" s="124">
        <f>IFERROR(__xludf.DUMMYFUNCTION("""COMPUTED_VALUE"""),2.0)</f>
        <v>2</v>
      </c>
      <c r="AA3298" s="124" t="str">
        <f>IFERROR(__xludf.DUMMYFUNCTION("""COMPUTED_VALUE"""),"Future Prospects")</f>
        <v>Future Prospects</v>
      </c>
      <c r="AB3298" s="124" t="str">
        <f>IFERROR(__xludf.DUMMYFUNCTION("""COMPUTED_VALUE"""),"GS Foundation")</f>
        <v>GS Foundation</v>
      </c>
    </row>
    <row r="3299">
      <c r="K3299" s="124"/>
      <c r="L3299" s="124"/>
      <c r="M3299" s="124"/>
      <c r="N3299" s="124"/>
      <c r="O3299" s="124"/>
      <c r="T3299" s="126">
        <f>IFERROR(__xludf.DUMMYFUNCTION("""COMPUTED_VALUE"""),46046.0)</f>
        <v>46046</v>
      </c>
      <c r="U3299" s="124" t="str">
        <f>IFERROR(__xludf.DUMMYFUNCTION("""COMPUTED_VALUE"""),"Walk-Ins")</f>
        <v>Walk-Ins</v>
      </c>
      <c r="V3299" s="124" t="str">
        <f>IFERROR(__xludf.DUMMYFUNCTION("""COMPUTED_VALUE"""),"Walkin")</f>
        <v>Walkin</v>
      </c>
      <c r="W3299" s="124" t="str">
        <f>IFERROR(__xludf.DUMMYFUNCTION("""COMPUTED_VALUE"""),"Patna")</f>
        <v>Patna</v>
      </c>
      <c r="X3299" s="124" t="str">
        <f>IFERROR(__xludf.DUMMYFUNCTION("""COMPUTED_VALUE"""),"Walkin")</f>
        <v>Walkin</v>
      </c>
      <c r="Y3299" s="124" t="str">
        <f>IFERROR(__xludf.DUMMYFUNCTION("""COMPUTED_VALUE"""),"Patna")</f>
        <v>Patna</v>
      </c>
      <c r="Z3299" s="124">
        <f>IFERROR(__xludf.DUMMYFUNCTION("""COMPUTED_VALUE"""),1.0)</f>
        <v>1</v>
      </c>
      <c r="AA3299" s="124" t="str">
        <f>IFERROR(__xludf.DUMMYFUNCTION("""COMPUTED_VALUE"""),"Future Prospects")</f>
        <v>Future Prospects</v>
      </c>
      <c r="AB3299" s="124" t="str">
        <f>IFERROR(__xludf.DUMMYFUNCTION("""COMPUTED_VALUE"""),"State PCS")</f>
        <v>State PCS</v>
      </c>
    </row>
    <row r="3300">
      <c r="K3300" s="124"/>
      <c r="L3300" s="124"/>
      <c r="M3300" s="124"/>
      <c r="N3300" s="124"/>
      <c r="O3300" s="124"/>
      <c r="T3300" s="129">
        <f>IFERROR(__xludf.DUMMYFUNCTION("""COMPUTED_VALUE"""),46061.0)</f>
        <v>46061</v>
      </c>
      <c r="U3300" s="124" t="str">
        <f>IFERROR(__xludf.DUMMYFUNCTION("""COMPUTED_VALUE"""),"Walk-Ins")</f>
        <v>Walk-Ins</v>
      </c>
      <c r="V3300" s="124" t="str">
        <f>IFERROR(__xludf.DUMMYFUNCTION("""COMPUTED_VALUE"""),"Walkin")</f>
        <v>Walkin</v>
      </c>
      <c r="W3300" s="124" t="str">
        <f>IFERROR(__xludf.DUMMYFUNCTION("""COMPUTED_VALUE"""),"Prayagraj")</f>
        <v>Prayagraj</v>
      </c>
      <c r="X3300" s="124" t="str">
        <f>IFERROR(__xludf.DUMMYFUNCTION("""COMPUTED_VALUE"""),"Walkin")</f>
        <v>Walkin</v>
      </c>
      <c r="Y3300" s="124" t="str">
        <f>IFERROR(__xludf.DUMMYFUNCTION("""COMPUTED_VALUE"""),"Prayagraj")</f>
        <v>Prayagraj</v>
      </c>
      <c r="Z3300" s="124">
        <f>IFERROR(__xludf.DUMMYFUNCTION("""COMPUTED_VALUE"""),1.0)</f>
        <v>1</v>
      </c>
      <c r="AA3300" s="124" t="str">
        <f>IFERROR(__xludf.DUMMYFUNCTION("""COMPUTED_VALUE"""),"Future Prospects")</f>
        <v>Future Prospects</v>
      </c>
      <c r="AB3300" s="124" t="str">
        <f>IFERROR(__xludf.DUMMYFUNCTION("""COMPUTED_VALUE"""),"GS Foundation")</f>
        <v>GS Foundation</v>
      </c>
    </row>
    <row r="3301">
      <c r="K3301" s="124"/>
      <c r="L3301" s="124"/>
      <c r="M3301" s="124"/>
      <c r="N3301" s="124"/>
      <c r="O3301" s="124"/>
      <c r="T3301" s="126">
        <f>IFERROR(__xludf.DUMMYFUNCTION("""COMPUTED_VALUE"""),46097.0)</f>
        <v>46097</v>
      </c>
      <c r="U3301" s="124" t="str">
        <f>IFERROR(__xludf.DUMMYFUNCTION("""COMPUTED_VALUE"""),"Walk-Ins")</f>
        <v>Walk-Ins</v>
      </c>
      <c r="V3301" s="124" t="str">
        <f>IFERROR(__xludf.DUMMYFUNCTION("""COMPUTED_VALUE"""),"Walkin")</f>
        <v>Walkin</v>
      </c>
      <c r="W3301" s="124" t="str">
        <f>IFERROR(__xludf.DUMMYFUNCTION("""COMPUTED_VALUE"""),"Lucknow")</f>
        <v>Lucknow</v>
      </c>
      <c r="X3301" s="124" t="str">
        <f>IFERROR(__xludf.DUMMYFUNCTION("""COMPUTED_VALUE"""),"Walkin")</f>
        <v>Walkin</v>
      </c>
      <c r="Y3301" s="124" t="str">
        <f>IFERROR(__xludf.DUMMYFUNCTION("""COMPUTED_VALUE"""),"Lucknow")</f>
        <v>Lucknow</v>
      </c>
      <c r="Z3301" s="124">
        <f>IFERROR(__xludf.DUMMYFUNCTION("""COMPUTED_VALUE"""),1.0)</f>
        <v>1</v>
      </c>
      <c r="AA3301" s="124" t="str">
        <f>IFERROR(__xludf.DUMMYFUNCTION("""COMPUTED_VALUE"""),"Warm")</f>
        <v>Warm</v>
      </c>
      <c r="AB3301" s="124" t="str">
        <f>IFERROR(__xludf.DUMMYFUNCTION("""COMPUTED_VALUE"""),"GS Foundation")</f>
        <v>GS Foundation</v>
      </c>
    </row>
    <row r="3302">
      <c r="K3302" s="124"/>
      <c r="L3302" s="124"/>
      <c r="M3302" s="124"/>
      <c r="N3302" s="124"/>
      <c r="O3302" s="124"/>
      <c r="T3302" s="129">
        <f>IFERROR(__xludf.DUMMYFUNCTION("""COMPUTED_VALUE"""),46056.0)</f>
        <v>46056</v>
      </c>
      <c r="U3302" s="124" t="str">
        <f>IFERROR(__xludf.DUMMYFUNCTION("""COMPUTED_VALUE"""),"Walk-Ins")</f>
        <v>Walk-Ins</v>
      </c>
      <c r="V3302" s="124" t="str">
        <f>IFERROR(__xludf.DUMMYFUNCTION("""COMPUTED_VALUE"""),"Walk-In")</f>
        <v>Walk-In</v>
      </c>
      <c r="W3302" s="124" t="str">
        <f>IFERROR(__xludf.DUMMYFUNCTION("""COMPUTED_VALUE"""),"Patna")</f>
        <v>Patna</v>
      </c>
      <c r="X3302" s="124" t="str">
        <f>IFERROR(__xludf.DUMMYFUNCTION("""COMPUTED_VALUE"""),"Others")</f>
        <v>Others</v>
      </c>
      <c r="Y3302" s="124" t="str">
        <f>IFERROR(__xludf.DUMMYFUNCTION("""COMPUTED_VALUE"""),"Patna")</f>
        <v>Patna</v>
      </c>
      <c r="Z3302" s="124">
        <f>IFERROR(__xludf.DUMMYFUNCTION("""COMPUTED_VALUE"""),1.0)</f>
        <v>1</v>
      </c>
      <c r="AA3302" s="124" t="str">
        <f>IFERROR(__xludf.DUMMYFUNCTION("""COMPUTED_VALUE"""),"Future Prospects")</f>
        <v>Future Prospects</v>
      </c>
      <c r="AB3302" s="124" t="str">
        <f>IFERROR(__xludf.DUMMYFUNCTION("""COMPUTED_VALUE"""),"State PCS")</f>
        <v>State PCS</v>
      </c>
    </row>
    <row r="3303">
      <c r="K3303" s="124"/>
      <c r="L3303" s="124"/>
      <c r="M3303" s="124"/>
      <c r="N3303" s="124"/>
      <c r="O3303" s="124"/>
      <c r="T3303" s="126">
        <f>IFERROR(__xludf.DUMMYFUNCTION("""COMPUTED_VALUE"""),46101.0)</f>
        <v>46101</v>
      </c>
      <c r="U3303" s="124" t="str">
        <f>IFERROR(__xludf.DUMMYFUNCTION("""COMPUTED_VALUE"""),"Walk-Ins")</f>
        <v>Walk-Ins</v>
      </c>
      <c r="V3303" s="124" t="str">
        <f>IFERROR(__xludf.DUMMYFUNCTION("""COMPUTED_VALUE"""),"Walkin")</f>
        <v>Walkin</v>
      </c>
      <c r="W3303" s="124" t="str">
        <f>IFERROR(__xludf.DUMMYFUNCTION("""COMPUTED_VALUE"""),"Prayagraj")</f>
        <v>Prayagraj</v>
      </c>
      <c r="X3303" s="124" t="str">
        <f>IFERROR(__xludf.DUMMYFUNCTION("""COMPUTED_VALUE"""),"Walkin")</f>
        <v>Walkin</v>
      </c>
      <c r="Y3303" s="124" t="str">
        <f>IFERROR(__xludf.DUMMYFUNCTION("""COMPUTED_VALUE"""),"Prayagraj")</f>
        <v>Prayagraj</v>
      </c>
      <c r="Z3303" s="124">
        <f>IFERROR(__xludf.DUMMYFUNCTION("""COMPUTED_VALUE"""),3.0)</f>
        <v>3</v>
      </c>
      <c r="AA3303" s="124" t="str">
        <f>IFERROR(__xludf.DUMMYFUNCTION("""COMPUTED_VALUE"""),"Fake Lead")</f>
        <v>Fake Lead</v>
      </c>
      <c r="AB3303" s="124" t="str">
        <f>IFERROR(__xludf.DUMMYFUNCTION("""COMPUTED_VALUE"""),"GS Foundation")</f>
        <v>GS Foundation</v>
      </c>
    </row>
    <row r="3304">
      <c r="K3304" s="124"/>
      <c r="L3304" s="124"/>
      <c r="M3304" s="124"/>
      <c r="N3304" s="124"/>
      <c r="O3304" s="124"/>
      <c r="T3304" s="126">
        <f>IFERROR(__xludf.DUMMYFUNCTION("""COMPUTED_VALUE"""),46050.0)</f>
        <v>46050</v>
      </c>
      <c r="U3304" s="124" t="str">
        <f>IFERROR(__xludf.DUMMYFUNCTION("""COMPUTED_VALUE"""),"Walk-Ins")</f>
        <v>Walk-Ins</v>
      </c>
      <c r="V3304" s="124" t="str">
        <f>IFERROR(__xludf.DUMMYFUNCTION("""COMPUTED_VALUE"""),"Walkin")</f>
        <v>Walkin</v>
      </c>
      <c r="W3304" s="124" t="str">
        <f>IFERROR(__xludf.DUMMYFUNCTION("""COMPUTED_VALUE"""),"Patna")</f>
        <v>Patna</v>
      </c>
      <c r="X3304" s="124" t="str">
        <f>IFERROR(__xludf.DUMMYFUNCTION("""COMPUTED_VALUE"""),"Walkin")</f>
        <v>Walkin</v>
      </c>
      <c r="Y3304" s="124" t="str">
        <f>IFERROR(__xludf.DUMMYFUNCTION("""COMPUTED_VALUE"""),"Patna")</f>
        <v>Patna</v>
      </c>
      <c r="Z3304" s="124">
        <f>IFERROR(__xludf.DUMMYFUNCTION("""COMPUTED_VALUE"""),1.0)</f>
        <v>1</v>
      </c>
      <c r="AA3304" s="124" t="str">
        <f>IFERROR(__xludf.DUMMYFUNCTION("""COMPUTED_VALUE"""),"Enrolled")</f>
        <v>Enrolled</v>
      </c>
      <c r="AB3304" s="124" t="str">
        <f>IFERROR(__xludf.DUMMYFUNCTION("""COMPUTED_VALUE"""),"State PCS")</f>
        <v>State PCS</v>
      </c>
    </row>
    <row r="3305">
      <c r="K3305" s="124"/>
      <c r="L3305" s="124"/>
      <c r="M3305" s="124"/>
      <c r="N3305" s="124"/>
      <c r="O3305" s="124"/>
      <c r="T3305" s="126">
        <f>IFERROR(__xludf.DUMMYFUNCTION("""COMPUTED_VALUE"""),46078.0)</f>
        <v>46078</v>
      </c>
      <c r="U3305" s="124" t="str">
        <f>IFERROR(__xludf.DUMMYFUNCTION("""COMPUTED_VALUE"""),"Walk-Ins")</f>
        <v>Walk-Ins</v>
      </c>
      <c r="V3305" s="124" t="str">
        <f>IFERROR(__xludf.DUMMYFUNCTION("""COMPUTED_VALUE"""),"Walkin")</f>
        <v>Walkin</v>
      </c>
      <c r="W3305" s="124" t="str">
        <f>IFERROR(__xludf.DUMMYFUNCTION("""COMPUTED_VALUE"""),"Patna")</f>
        <v>Patna</v>
      </c>
      <c r="X3305" s="124" t="str">
        <f>IFERROR(__xludf.DUMMYFUNCTION("""COMPUTED_VALUE"""),"Walkin")</f>
        <v>Walkin</v>
      </c>
      <c r="Y3305" s="124" t="str">
        <f>IFERROR(__xludf.DUMMYFUNCTION("""COMPUTED_VALUE"""),"Patna")</f>
        <v>Patna</v>
      </c>
      <c r="Z3305" s="124">
        <f>IFERROR(__xludf.DUMMYFUNCTION("""COMPUTED_VALUE"""),1.0)</f>
        <v>1</v>
      </c>
      <c r="AA3305" s="124" t="str">
        <f>IFERROR(__xludf.DUMMYFUNCTION("""COMPUTED_VALUE"""),"Enrolled")</f>
        <v>Enrolled</v>
      </c>
      <c r="AB3305" s="124" t="str">
        <f>IFERROR(__xludf.DUMMYFUNCTION("""COMPUTED_VALUE"""),"State PCS")</f>
        <v>State PCS</v>
      </c>
    </row>
    <row r="3306">
      <c r="K3306" s="124"/>
      <c r="L3306" s="124"/>
      <c r="M3306" s="124"/>
      <c r="N3306" s="124"/>
      <c r="O3306" s="124"/>
      <c r="T3306" s="126">
        <f>IFERROR(__xludf.DUMMYFUNCTION("""COMPUTED_VALUE"""),46073.0)</f>
        <v>46073</v>
      </c>
      <c r="U3306" s="124" t="str">
        <f>IFERROR(__xludf.DUMMYFUNCTION("""COMPUTED_VALUE"""),"Walk-Ins")</f>
        <v>Walk-Ins</v>
      </c>
      <c r="V3306" s="124" t="str">
        <f>IFERROR(__xludf.DUMMYFUNCTION("""COMPUTED_VALUE"""),"Walkin")</f>
        <v>Walkin</v>
      </c>
      <c r="W3306" s="124" t="str">
        <f>IFERROR(__xludf.DUMMYFUNCTION("""COMPUTED_VALUE"""),"Patna")</f>
        <v>Patna</v>
      </c>
      <c r="X3306" s="124" t="str">
        <f>IFERROR(__xludf.DUMMYFUNCTION("""COMPUTED_VALUE"""),"Walkin")</f>
        <v>Walkin</v>
      </c>
      <c r="Y3306" s="124" t="str">
        <f>IFERROR(__xludf.DUMMYFUNCTION("""COMPUTED_VALUE"""),"Patna")</f>
        <v>Patna</v>
      </c>
      <c r="Z3306" s="124">
        <f>IFERROR(__xludf.DUMMYFUNCTION("""COMPUTED_VALUE"""),2.0)</f>
        <v>2</v>
      </c>
      <c r="AA3306" s="124" t="str">
        <f>IFERROR(__xludf.DUMMYFUNCTION("""COMPUTED_VALUE"""),"Cold")</f>
        <v>Cold</v>
      </c>
      <c r="AB3306" s="124" t="str">
        <f>IFERROR(__xludf.DUMMYFUNCTION("""COMPUTED_VALUE"""),"State PCS")</f>
        <v>State PCS</v>
      </c>
    </row>
    <row r="3307">
      <c r="K3307" s="124"/>
      <c r="L3307" s="124"/>
      <c r="M3307" s="124"/>
      <c r="N3307" s="124"/>
      <c r="O3307" s="124"/>
      <c r="T3307" s="126">
        <f>IFERROR(__xludf.DUMMYFUNCTION("""COMPUTED_VALUE"""),46077.0)</f>
        <v>46077</v>
      </c>
      <c r="U3307" s="124" t="str">
        <f>IFERROR(__xludf.DUMMYFUNCTION("""COMPUTED_VALUE"""),"Walk-Ins")</f>
        <v>Walk-Ins</v>
      </c>
      <c r="V3307" s="124" t="str">
        <f>IFERROR(__xludf.DUMMYFUNCTION("""COMPUTED_VALUE"""),"Walkin")</f>
        <v>Walkin</v>
      </c>
      <c r="W3307" s="124" t="str">
        <f>IFERROR(__xludf.DUMMYFUNCTION("""COMPUTED_VALUE"""),"Patna")</f>
        <v>Patna</v>
      </c>
      <c r="X3307" s="124" t="str">
        <f>IFERROR(__xludf.DUMMYFUNCTION("""COMPUTED_VALUE"""),"Walkin")</f>
        <v>Walkin</v>
      </c>
      <c r="Y3307" s="124" t="str">
        <f>IFERROR(__xludf.DUMMYFUNCTION("""COMPUTED_VALUE"""),"Patna")</f>
        <v>Patna</v>
      </c>
      <c r="Z3307" s="124">
        <f>IFERROR(__xludf.DUMMYFUNCTION("""COMPUTED_VALUE"""),1.0)</f>
        <v>1</v>
      </c>
      <c r="AA3307" s="124" t="str">
        <f>IFERROR(__xludf.DUMMYFUNCTION("""COMPUTED_VALUE"""),"Cold")</f>
        <v>Cold</v>
      </c>
      <c r="AB3307" s="124" t="str">
        <f>IFERROR(__xludf.DUMMYFUNCTION("""COMPUTED_VALUE"""),"Test Series")</f>
        <v>Test Series</v>
      </c>
    </row>
    <row r="3308">
      <c r="K3308" s="124"/>
      <c r="L3308" s="124"/>
      <c r="M3308" s="124"/>
      <c r="N3308" s="124"/>
      <c r="O3308" s="124"/>
      <c r="T3308" s="126">
        <f>IFERROR(__xludf.DUMMYFUNCTION("""COMPUTED_VALUE"""),46102.0)</f>
        <v>46102</v>
      </c>
      <c r="U3308" s="124" t="str">
        <f>IFERROR(__xludf.DUMMYFUNCTION("""COMPUTED_VALUE"""),"Walk-Ins")</f>
        <v>Walk-Ins</v>
      </c>
      <c r="V3308" s="124" t="str">
        <f>IFERROR(__xludf.DUMMYFUNCTION("""COMPUTED_VALUE"""),"Walkin")</f>
        <v>Walkin</v>
      </c>
      <c r="W3308" s="124" t="str">
        <f>IFERROR(__xludf.DUMMYFUNCTION("""COMPUTED_VALUE"""),"Prayagraj")</f>
        <v>Prayagraj</v>
      </c>
      <c r="X3308" s="124" t="str">
        <f>IFERROR(__xludf.DUMMYFUNCTION("""COMPUTED_VALUE"""),"Walkin")</f>
        <v>Walkin</v>
      </c>
      <c r="Y3308" s="124" t="str">
        <f>IFERROR(__xludf.DUMMYFUNCTION("""COMPUTED_VALUE"""),"Prayagraj")</f>
        <v>Prayagraj</v>
      </c>
      <c r="Z3308" s="124">
        <f>IFERROR(__xludf.DUMMYFUNCTION("""COMPUTED_VALUE"""),1.0)</f>
        <v>1</v>
      </c>
      <c r="AA3308" s="124" t="str">
        <f>IFERROR(__xludf.DUMMYFUNCTION("""COMPUTED_VALUE"""),"Enrolled")</f>
        <v>Enrolled</v>
      </c>
      <c r="AB3308" s="124" t="str">
        <f>IFERROR(__xludf.DUMMYFUNCTION("""COMPUTED_VALUE"""),"State PCS")</f>
        <v>State PCS</v>
      </c>
    </row>
    <row r="3309">
      <c r="K3309" s="124"/>
      <c r="L3309" s="124"/>
      <c r="M3309" s="124"/>
      <c r="N3309" s="124"/>
      <c r="O3309" s="124"/>
      <c r="T3309" s="129">
        <f>IFERROR(__xludf.DUMMYFUNCTION("""COMPUTED_VALUE"""),46090.0)</f>
        <v>46090</v>
      </c>
      <c r="U3309" s="124" t="str">
        <f>IFERROR(__xludf.DUMMYFUNCTION("""COMPUTED_VALUE"""),"Walk-Ins")</f>
        <v>Walk-Ins</v>
      </c>
      <c r="V3309" s="124" t="str">
        <f>IFERROR(__xludf.DUMMYFUNCTION("""COMPUTED_VALUE"""),"Walk-In")</f>
        <v>Walk-In</v>
      </c>
      <c r="W3309" s="124" t="str">
        <f>IFERROR(__xludf.DUMMYFUNCTION("""COMPUTED_VALUE"""),"Prayagraj")</f>
        <v>Prayagraj</v>
      </c>
      <c r="X3309" s="124" t="str">
        <f>IFERROR(__xludf.DUMMYFUNCTION("""COMPUTED_VALUE"""),"Abhishek Mishra")</f>
        <v>Abhishek Mishra</v>
      </c>
      <c r="Y3309" s="124" t="str">
        <f>IFERROR(__xludf.DUMMYFUNCTION("""COMPUTED_VALUE"""),"Prayagraj")</f>
        <v>Prayagraj</v>
      </c>
      <c r="Z3309" s="124">
        <f>IFERROR(__xludf.DUMMYFUNCTION("""COMPUTED_VALUE"""),1.0)</f>
        <v>1</v>
      </c>
      <c r="AA3309" s="124" t="str">
        <f>IFERROR(__xludf.DUMMYFUNCTION("""COMPUTED_VALUE"""),"Cold")</f>
        <v>Cold</v>
      </c>
      <c r="AB3309" s="124" t="str">
        <f>IFERROR(__xludf.DUMMYFUNCTION("""COMPUTED_VALUE"""),"GS Foundation")</f>
        <v>GS Foundation</v>
      </c>
    </row>
    <row r="3310">
      <c r="K3310" s="124"/>
      <c r="L3310" s="124"/>
      <c r="M3310" s="124"/>
      <c r="N3310" s="124"/>
      <c r="O3310" s="124"/>
      <c r="T3310" s="126">
        <f>IFERROR(__xludf.DUMMYFUNCTION("""COMPUTED_VALUE"""),46064.0)</f>
        <v>46064</v>
      </c>
      <c r="U3310" s="124" t="str">
        <f>IFERROR(__xludf.DUMMYFUNCTION("""COMPUTED_VALUE"""),"Walk-Ins")</f>
        <v>Walk-Ins</v>
      </c>
      <c r="V3310" s="124" t="str">
        <f>IFERROR(__xludf.DUMMYFUNCTION("""COMPUTED_VALUE"""),"Walkin")</f>
        <v>Walkin</v>
      </c>
      <c r="W3310" s="124" t="str">
        <f>IFERROR(__xludf.DUMMYFUNCTION("""COMPUTED_VALUE"""),"Prayagraj")</f>
        <v>Prayagraj</v>
      </c>
      <c r="X3310" s="124" t="str">
        <f>IFERROR(__xludf.DUMMYFUNCTION("""COMPUTED_VALUE"""),"Walkin")</f>
        <v>Walkin</v>
      </c>
      <c r="Y3310" s="124" t="str">
        <f>IFERROR(__xludf.DUMMYFUNCTION("""COMPUTED_VALUE"""),"Prayagraj")</f>
        <v>Prayagraj</v>
      </c>
      <c r="Z3310" s="124">
        <f>IFERROR(__xludf.DUMMYFUNCTION("""COMPUTED_VALUE"""),1.0)</f>
        <v>1</v>
      </c>
      <c r="AA3310" s="124" t="str">
        <f>IFERROR(__xludf.DUMMYFUNCTION("""COMPUTED_VALUE"""),"Cold")</f>
        <v>Cold</v>
      </c>
      <c r="AB3310" s="124" t="str">
        <f>IFERROR(__xludf.DUMMYFUNCTION("""COMPUTED_VALUE"""),"Other")</f>
        <v>Other</v>
      </c>
    </row>
    <row r="3311">
      <c r="K3311" s="124"/>
      <c r="L3311" s="124"/>
      <c r="M3311" s="124"/>
      <c r="N3311" s="124"/>
      <c r="O3311" s="124"/>
      <c r="T3311" s="126">
        <f>IFERROR(__xludf.DUMMYFUNCTION("""COMPUTED_VALUE"""),46073.0)</f>
        <v>46073</v>
      </c>
      <c r="U3311" s="124" t="str">
        <f>IFERROR(__xludf.DUMMYFUNCTION("""COMPUTED_VALUE"""),"Walk-Ins")</f>
        <v>Walk-Ins</v>
      </c>
      <c r="V3311" s="124" t="str">
        <f>IFERROR(__xludf.DUMMYFUNCTION("""COMPUTED_VALUE"""),"Walkin")</f>
        <v>Walkin</v>
      </c>
      <c r="W3311" s="124" t="str">
        <f>IFERROR(__xludf.DUMMYFUNCTION("""COMPUTED_VALUE"""),"Patna")</f>
        <v>Patna</v>
      </c>
      <c r="X3311" s="124" t="str">
        <f>IFERROR(__xludf.DUMMYFUNCTION("""COMPUTED_VALUE"""),"Walkin")</f>
        <v>Walkin</v>
      </c>
      <c r="Y3311" s="124" t="str">
        <f>IFERROR(__xludf.DUMMYFUNCTION("""COMPUTED_VALUE"""),"Patna")</f>
        <v>Patna</v>
      </c>
      <c r="Z3311" s="124">
        <f>IFERROR(__xludf.DUMMYFUNCTION("""COMPUTED_VALUE"""),1.0)</f>
        <v>1</v>
      </c>
      <c r="AA3311" s="124" t="str">
        <f>IFERROR(__xludf.DUMMYFUNCTION("""COMPUTED_VALUE"""),"Not Interested")</f>
        <v>Not Interested</v>
      </c>
      <c r="AB3311" s="124" t="str">
        <f>IFERROR(__xludf.DUMMYFUNCTION("""COMPUTED_VALUE"""),"State PCS")</f>
        <v>State PCS</v>
      </c>
    </row>
    <row r="3312">
      <c r="K3312" s="124"/>
      <c r="L3312" s="124"/>
      <c r="M3312" s="124"/>
      <c r="N3312" s="124"/>
      <c r="O3312" s="124"/>
      <c r="T3312" s="129">
        <f>IFERROR(__xludf.DUMMYFUNCTION("""COMPUTED_VALUE"""),46055.0)</f>
        <v>46055</v>
      </c>
      <c r="U3312" s="124" t="str">
        <f>IFERROR(__xludf.DUMMYFUNCTION("""COMPUTED_VALUE"""),"Walk-Ins")</f>
        <v>Walk-Ins</v>
      </c>
      <c r="V3312" s="124" t="str">
        <f>IFERROR(__xludf.DUMMYFUNCTION("""COMPUTED_VALUE"""),"Walkin")</f>
        <v>Walkin</v>
      </c>
      <c r="W3312" s="124" t="str">
        <f>IFERROR(__xludf.DUMMYFUNCTION("""COMPUTED_VALUE"""),"Patna")</f>
        <v>Patna</v>
      </c>
      <c r="X3312" s="124" t="str">
        <f>IFERROR(__xludf.DUMMYFUNCTION("""COMPUTED_VALUE"""),"Walkin")</f>
        <v>Walkin</v>
      </c>
      <c r="Y3312" s="124" t="str">
        <f>IFERROR(__xludf.DUMMYFUNCTION("""COMPUTED_VALUE"""),"Patna")</f>
        <v>Patna</v>
      </c>
      <c r="Z3312" s="124">
        <f>IFERROR(__xludf.DUMMYFUNCTION("""COMPUTED_VALUE"""),2.0)</f>
        <v>2</v>
      </c>
      <c r="AA3312" s="124" t="str">
        <f>IFERROR(__xludf.DUMMYFUNCTION("""COMPUTED_VALUE"""),"Enrolled")</f>
        <v>Enrolled</v>
      </c>
      <c r="AB3312" s="124" t="str">
        <f>IFERROR(__xludf.DUMMYFUNCTION("""COMPUTED_VALUE"""),"State PCS")</f>
        <v>State PCS</v>
      </c>
    </row>
    <row r="3313">
      <c r="K3313" s="124"/>
      <c r="L3313" s="124"/>
      <c r="M3313" s="124"/>
      <c r="N3313" s="124"/>
      <c r="O3313" s="124"/>
      <c r="T3313" s="126">
        <f>IFERROR(__xludf.DUMMYFUNCTION("""COMPUTED_VALUE"""),46079.0)</f>
        <v>46079</v>
      </c>
      <c r="U3313" s="124" t="str">
        <f>IFERROR(__xludf.DUMMYFUNCTION("""COMPUTED_VALUE"""),"Walk-Ins")</f>
        <v>Walk-Ins</v>
      </c>
      <c r="V3313" s="124" t="str">
        <f>IFERROR(__xludf.DUMMYFUNCTION("""COMPUTED_VALUE"""),"Walkin")</f>
        <v>Walkin</v>
      </c>
      <c r="W3313" s="124" t="str">
        <f>IFERROR(__xludf.DUMMYFUNCTION("""COMPUTED_VALUE"""),"Patna")</f>
        <v>Patna</v>
      </c>
      <c r="X3313" s="124" t="str">
        <f>IFERROR(__xludf.DUMMYFUNCTION("""COMPUTED_VALUE"""),"Walkin")</f>
        <v>Walkin</v>
      </c>
      <c r="Y3313" s="124" t="str">
        <f>IFERROR(__xludf.DUMMYFUNCTION("""COMPUTED_VALUE"""),"Patna")</f>
        <v>Patna</v>
      </c>
      <c r="Z3313" s="124">
        <f>IFERROR(__xludf.DUMMYFUNCTION("""COMPUTED_VALUE"""),1.0)</f>
        <v>1</v>
      </c>
      <c r="AA3313" s="124" t="str">
        <f>IFERROR(__xludf.DUMMYFUNCTION("""COMPUTED_VALUE"""),"Enrolled")</f>
        <v>Enrolled</v>
      </c>
      <c r="AB3313" s="124" t="str">
        <f>IFERROR(__xludf.DUMMYFUNCTION("""COMPUTED_VALUE"""),"State PCS")</f>
        <v>State PCS</v>
      </c>
    </row>
    <row r="3314">
      <c r="K3314" s="124"/>
      <c r="L3314" s="124"/>
      <c r="M3314" s="124"/>
      <c r="N3314" s="124"/>
      <c r="O3314" s="124"/>
      <c r="T3314" s="129">
        <f>IFERROR(__xludf.DUMMYFUNCTION("""COMPUTED_VALUE"""),46082.0)</f>
        <v>46082</v>
      </c>
      <c r="U3314" s="124" t="str">
        <f>IFERROR(__xludf.DUMMYFUNCTION("""COMPUTED_VALUE"""),"Walk-Ins")</f>
        <v>Walk-Ins</v>
      </c>
      <c r="V3314" s="124" t="str">
        <f>IFERROR(__xludf.DUMMYFUNCTION("""COMPUTED_VALUE"""),"Walkin")</f>
        <v>Walkin</v>
      </c>
      <c r="W3314" s="124" t="str">
        <f>IFERROR(__xludf.DUMMYFUNCTION("""COMPUTED_VALUE"""),"Patna")</f>
        <v>Patna</v>
      </c>
      <c r="X3314" s="124" t="str">
        <f>IFERROR(__xludf.DUMMYFUNCTION("""COMPUTED_VALUE"""),"Walkin")</f>
        <v>Walkin</v>
      </c>
      <c r="Y3314" s="124" t="str">
        <f>IFERROR(__xludf.DUMMYFUNCTION("""COMPUTED_VALUE"""),"Patna")</f>
        <v>Patna</v>
      </c>
      <c r="Z3314" s="124">
        <f>IFERROR(__xludf.DUMMYFUNCTION("""COMPUTED_VALUE"""),1.0)</f>
        <v>1</v>
      </c>
      <c r="AA3314" s="124" t="str">
        <f>IFERROR(__xludf.DUMMYFUNCTION("""COMPUTED_VALUE"""),"Cold")</f>
        <v>Cold</v>
      </c>
      <c r="AB3314" s="124" t="str">
        <f>IFERROR(__xludf.DUMMYFUNCTION("""COMPUTED_VALUE"""),"GS Foundation")</f>
        <v>GS Foundation</v>
      </c>
    </row>
    <row r="3315">
      <c r="K3315" s="124"/>
      <c r="L3315" s="124"/>
      <c r="M3315" s="124"/>
      <c r="N3315" s="124"/>
      <c r="O3315" s="124"/>
      <c r="T3315" s="126">
        <f>IFERROR(__xludf.DUMMYFUNCTION("""COMPUTED_VALUE"""),46071.0)</f>
        <v>46071</v>
      </c>
      <c r="U3315" s="124" t="str">
        <f>IFERROR(__xludf.DUMMYFUNCTION("""COMPUTED_VALUE"""),"Walk-Ins")</f>
        <v>Walk-Ins</v>
      </c>
      <c r="V3315" s="124" t="str">
        <f>IFERROR(__xludf.DUMMYFUNCTION("""COMPUTED_VALUE"""),"Walkin")</f>
        <v>Walkin</v>
      </c>
      <c r="W3315" s="124" t="str">
        <f>IFERROR(__xludf.DUMMYFUNCTION("""COMPUTED_VALUE"""),"Lucknow")</f>
        <v>Lucknow</v>
      </c>
      <c r="X3315" s="124" t="str">
        <f>IFERROR(__xludf.DUMMYFUNCTION("""COMPUTED_VALUE"""),"Walkin")</f>
        <v>Walkin</v>
      </c>
      <c r="Y3315" s="124" t="str">
        <f>IFERROR(__xludf.DUMMYFUNCTION("""COMPUTED_VALUE"""),"Lucknow")</f>
        <v>Lucknow</v>
      </c>
      <c r="Z3315" s="124">
        <f>IFERROR(__xludf.DUMMYFUNCTION("""COMPUTED_VALUE"""),2.0)</f>
        <v>2</v>
      </c>
      <c r="AA3315" s="124" t="str">
        <f>IFERROR(__xludf.DUMMYFUNCTION("""COMPUTED_VALUE"""),"Cold")</f>
        <v>Cold</v>
      </c>
      <c r="AB3315" s="124" t="str">
        <f>IFERROR(__xludf.DUMMYFUNCTION("""COMPUTED_VALUE"""),"GS Foundation")</f>
        <v>GS Foundation</v>
      </c>
    </row>
    <row r="3316">
      <c r="K3316" s="124"/>
      <c r="L3316" s="124"/>
      <c r="M3316" s="124"/>
      <c r="N3316" s="124"/>
      <c r="O3316" s="124"/>
      <c r="T3316" s="129">
        <f>IFERROR(__xludf.DUMMYFUNCTION("""COMPUTED_VALUE"""),46054.0)</f>
        <v>46054</v>
      </c>
      <c r="U3316" s="124" t="str">
        <f>IFERROR(__xludf.DUMMYFUNCTION("""COMPUTED_VALUE"""),"Walk-Ins")</f>
        <v>Walk-Ins</v>
      </c>
      <c r="V3316" s="124" t="str">
        <f>IFERROR(__xludf.DUMMYFUNCTION("""COMPUTED_VALUE"""),"Walkin")</f>
        <v>Walkin</v>
      </c>
      <c r="W3316" s="124" t="str">
        <f>IFERROR(__xludf.DUMMYFUNCTION("""COMPUTED_VALUE"""),"Patna")</f>
        <v>Patna</v>
      </c>
      <c r="X3316" s="124" t="str">
        <f>IFERROR(__xludf.DUMMYFUNCTION("""COMPUTED_VALUE"""),"Walkin")</f>
        <v>Walkin</v>
      </c>
      <c r="Y3316" s="124" t="str">
        <f>IFERROR(__xludf.DUMMYFUNCTION("""COMPUTED_VALUE"""),"Patna")</f>
        <v>Patna</v>
      </c>
      <c r="Z3316" s="124">
        <f>IFERROR(__xludf.DUMMYFUNCTION("""COMPUTED_VALUE"""),1.0)</f>
        <v>1</v>
      </c>
      <c r="AA3316" s="124" t="str">
        <f>IFERROR(__xludf.DUMMYFUNCTION("""COMPUTED_VALUE"""),"Enrolled")</f>
        <v>Enrolled</v>
      </c>
      <c r="AB3316" s="124" t="str">
        <f>IFERROR(__xludf.DUMMYFUNCTION("""COMPUTED_VALUE"""),"State PCS")</f>
        <v>State PCS</v>
      </c>
    </row>
    <row r="3317">
      <c r="K3317" s="124"/>
      <c r="L3317" s="124"/>
      <c r="M3317" s="124"/>
      <c r="N3317" s="124"/>
      <c r="O3317" s="124"/>
      <c r="T3317" s="126">
        <f>IFERROR(__xludf.DUMMYFUNCTION("""COMPUTED_VALUE"""),46050.0)</f>
        <v>46050</v>
      </c>
      <c r="U3317" s="124" t="str">
        <f>IFERROR(__xludf.DUMMYFUNCTION("""COMPUTED_VALUE"""),"Walk-Ins")</f>
        <v>Walk-Ins</v>
      </c>
      <c r="V3317" s="124" t="str">
        <f>IFERROR(__xludf.DUMMYFUNCTION("""COMPUTED_VALUE"""),"Walkin")</f>
        <v>Walkin</v>
      </c>
      <c r="W3317" s="124" t="str">
        <f>IFERROR(__xludf.DUMMYFUNCTION("""COMPUTED_VALUE"""),"Patna")</f>
        <v>Patna</v>
      </c>
      <c r="X3317" s="124" t="str">
        <f>IFERROR(__xludf.DUMMYFUNCTION("""COMPUTED_VALUE"""),"Walkin")</f>
        <v>Walkin</v>
      </c>
      <c r="Y3317" s="124" t="str">
        <f>IFERROR(__xludf.DUMMYFUNCTION("""COMPUTED_VALUE"""),"Patna")</f>
        <v>Patna</v>
      </c>
      <c r="Z3317" s="124">
        <f>IFERROR(__xludf.DUMMYFUNCTION("""COMPUTED_VALUE"""),1.0)</f>
        <v>1</v>
      </c>
      <c r="AA3317" s="124" t="str">
        <f>IFERROR(__xludf.DUMMYFUNCTION("""COMPUTED_VALUE"""),"Not Interested")</f>
        <v>Not Interested</v>
      </c>
      <c r="AB3317" s="124" t="str">
        <f>IFERROR(__xludf.DUMMYFUNCTION("""COMPUTED_VALUE"""),"Other")</f>
        <v>Other</v>
      </c>
    </row>
    <row r="3318">
      <c r="K3318" s="124"/>
      <c r="L3318" s="124"/>
      <c r="M3318" s="124"/>
      <c r="N3318" s="124"/>
      <c r="O3318" s="124"/>
      <c r="T3318" s="126">
        <f>IFERROR(__xludf.DUMMYFUNCTION("""COMPUTED_VALUE"""),46104.0)</f>
        <v>46104</v>
      </c>
      <c r="U3318" s="124" t="str">
        <f>IFERROR(__xludf.DUMMYFUNCTION("""COMPUTED_VALUE"""),"Walk-Ins")</f>
        <v>Walk-Ins</v>
      </c>
      <c r="V3318" s="124" t="str">
        <f>IFERROR(__xludf.DUMMYFUNCTION("""COMPUTED_VALUE"""),"Walkin")</f>
        <v>Walkin</v>
      </c>
      <c r="W3318" s="124" t="str">
        <f>IFERROR(__xludf.DUMMYFUNCTION("""COMPUTED_VALUE"""),"Prayagraj")</f>
        <v>Prayagraj</v>
      </c>
      <c r="X3318" s="124" t="str">
        <f>IFERROR(__xludf.DUMMYFUNCTION("""COMPUTED_VALUE"""),"Walkin")</f>
        <v>Walkin</v>
      </c>
      <c r="Y3318" s="124" t="str">
        <f>IFERROR(__xludf.DUMMYFUNCTION("""COMPUTED_VALUE"""),"Prayagraj")</f>
        <v>Prayagraj</v>
      </c>
      <c r="Z3318" s="124">
        <f>IFERROR(__xludf.DUMMYFUNCTION("""COMPUTED_VALUE"""),1.0)</f>
        <v>1</v>
      </c>
      <c r="AA3318" s="124" t="str">
        <f>IFERROR(__xludf.DUMMYFUNCTION("""COMPUTED_VALUE"""),"Cold")</f>
        <v>Cold</v>
      </c>
      <c r="AB3318" s="124" t="str">
        <f>IFERROR(__xludf.DUMMYFUNCTION("""COMPUTED_VALUE"""),"Mentorship")</f>
        <v>Mentorship</v>
      </c>
    </row>
    <row r="3319">
      <c r="K3319" s="124"/>
      <c r="L3319" s="124"/>
      <c r="M3319" s="124"/>
      <c r="N3319" s="124"/>
      <c r="O3319" s="124"/>
      <c r="T3319" s="126">
        <f>IFERROR(__xludf.DUMMYFUNCTION("""COMPUTED_VALUE"""),46073.0)</f>
        <v>46073</v>
      </c>
      <c r="U3319" s="124" t="str">
        <f>IFERROR(__xludf.DUMMYFUNCTION("""COMPUTED_VALUE"""),"Walk-Ins")</f>
        <v>Walk-Ins</v>
      </c>
      <c r="V3319" s="124" t="str">
        <f>IFERROR(__xludf.DUMMYFUNCTION("""COMPUTED_VALUE"""),"Walkin")</f>
        <v>Walkin</v>
      </c>
      <c r="W3319" s="124" t="str">
        <f>IFERROR(__xludf.DUMMYFUNCTION("""COMPUTED_VALUE"""),"Patna")</f>
        <v>Patna</v>
      </c>
      <c r="X3319" s="124" t="str">
        <f>IFERROR(__xludf.DUMMYFUNCTION("""COMPUTED_VALUE"""),"Walkin")</f>
        <v>Walkin</v>
      </c>
      <c r="Y3319" s="124" t="str">
        <f>IFERROR(__xludf.DUMMYFUNCTION("""COMPUTED_VALUE"""),"Patna")</f>
        <v>Patna</v>
      </c>
      <c r="Z3319" s="124">
        <f>IFERROR(__xludf.DUMMYFUNCTION("""COMPUTED_VALUE"""),1.0)</f>
        <v>1</v>
      </c>
      <c r="AA3319" s="124" t="str">
        <f>IFERROR(__xludf.DUMMYFUNCTION("""COMPUTED_VALUE"""),"Fake Lead")</f>
        <v>Fake Lead</v>
      </c>
      <c r="AB3319" s="124" t="str">
        <f>IFERROR(__xludf.DUMMYFUNCTION("""COMPUTED_VALUE"""),"GS Foundation")</f>
        <v>GS Foundation</v>
      </c>
    </row>
    <row r="3320">
      <c r="K3320" s="124"/>
      <c r="L3320" s="124"/>
      <c r="M3320" s="124"/>
      <c r="N3320" s="124"/>
      <c r="O3320" s="124"/>
      <c r="T3320" s="129">
        <f>IFERROR(__xludf.DUMMYFUNCTION("""COMPUTED_VALUE"""),46062.0)</f>
        <v>46062</v>
      </c>
      <c r="U3320" s="124" t="str">
        <f>IFERROR(__xludf.DUMMYFUNCTION("""COMPUTED_VALUE"""),"Walk-Ins")</f>
        <v>Walk-Ins</v>
      </c>
      <c r="V3320" s="124" t="str">
        <f>IFERROR(__xludf.DUMMYFUNCTION("""COMPUTED_VALUE"""),"Walkin")</f>
        <v>Walkin</v>
      </c>
      <c r="W3320" s="124" t="str">
        <f>IFERROR(__xludf.DUMMYFUNCTION("""COMPUTED_VALUE"""),"Patna")</f>
        <v>Patna</v>
      </c>
      <c r="X3320" s="124" t="str">
        <f>IFERROR(__xludf.DUMMYFUNCTION("""COMPUTED_VALUE"""),"Walkin")</f>
        <v>Walkin</v>
      </c>
      <c r="Y3320" s="124" t="str">
        <f>IFERROR(__xludf.DUMMYFUNCTION("""COMPUTED_VALUE"""),"Patna")</f>
        <v>Patna</v>
      </c>
      <c r="Z3320" s="124">
        <f>IFERROR(__xludf.DUMMYFUNCTION("""COMPUTED_VALUE"""),2.0)</f>
        <v>2</v>
      </c>
      <c r="AA3320" s="124" t="str">
        <f>IFERROR(__xludf.DUMMYFUNCTION("""COMPUTED_VALUE"""),"Not Interested")</f>
        <v>Not Interested</v>
      </c>
      <c r="AB3320" s="124" t="str">
        <f>IFERROR(__xludf.DUMMYFUNCTION("""COMPUTED_VALUE"""),"GS Foundation")</f>
        <v>GS Foundation</v>
      </c>
    </row>
    <row r="3321">
      <c r="K3321" s="124"/>
      <c r="L3321" s="124"/>
      <c r="M3321" s="124"/>
      <c r="N3321" s="124"/>
      <c r="O3321" s="124"/>
      <c r="T3321" s="126">
        <f>IFERROR(__xludf.DUMMYFUNCTION("""COMPUTED_VALUE"""),46072.0)</f>
        <v>46072</v>
      </c>
      <c r="U3321" s="124" t="str">
        <f>IFERROR(__xludf.DUMMYFUNCTION("""COMPUTED_VALUE"""),"Walk-Ins")</f>
        <v>Walk-Ins</v>
      </c>
      <c r="V3321" s="124" t="str">
        <f>IFERROR(__xludf.DUMMYFUNCTION("""COMPUTED_VALUE"""),"Walkin")</f>
        <v>Walkin</v>
      </c>
      <c r="W3321" s="124" t="str">
        <f>IFERROR(__xludf.DUMMYFUNCTION("""COMPUTED_VALUE"""),"Prayagraj")</f>
        <v>Prayagraj</v>
      </c>
      <c r="X3321" s="124" t="str">
        <f>IFERROR(__xludf.DUMMYFUNCTION("""COMPUTED_VALUE"""),"Walkin")</f>
        <v>Walkin</v>
      </c>
      <c r="Y3321" s="124" t="str">
        <f>IFERROR(__xludf.DUMMYFUNCTION("""COMPUTED_VALUE"""),"Prayagraj")</f>
        <v>Prayagraj</v>
      </c>
      <c r="Z3321" s="124">
        <f>IFERROR(__xludf.DUMMYFUNCTION("""COMPUTED_VALUE"""),1.0)</f>
        <v>1</v>
      </c>
      <c r="AA3321" s="124" t="str">
        <f>IFERROR(__xludf.DUMMYFUNCTION("""COMPUTED_VALUE"""),"Cold")</f>
        <v>Cold</v>
      </c>
      <c r="AB3321" s="124" t="str">
        <f>IFERROR(__xludf.DUMMYFUNCTION("""COMPUTED_VALUE"""),"GS Advanced")</f>
        <v>GS Advanced</v>
      </c>
    </row>
    <row r="3322">
      <c r="K3322" s="124"/>
      <c r="L3322" s="124"/>
      <c r="M3322" s="124"/>
      <c r="N3322" s="124"/>
      <c r="O3322" s="124"/>
      <c r="T3322" s="126">
        <f>IFERROR(__xludf.DUMMYFUNCTION("""COMPUTED_VALUE"""),46065.0)</f>
        <v>46065</v>
      </c>
      <c r="U3322" s="124" t="str">
        <f>IFERROR(__xludf.DUMMYFUNCTION("""COMPUTED_VALUE"""),"Walk-Ins")</f>
        <v>Walk-Ins</v>
      </c>
      <c r="V3322" s="124" t="str">
        <f>IFERROR(__xludf.DUMMYFUNCTION("""COMPUTED_VALUE"""),"Walkin")</f>
        <v>Walkin</v>
      </c>
      <c r="W3322" s="124" t="str">
        <f>IFERROR(__xludf.DUMMYFUNCTION("""COMPUTED_VALUE"""),"Prayagraj")</f>
        <v>Prayagraj</v>
      </c>
      <c r="X3322" s="124" t="str">
        <f>IFERROR(__xludf.DUMMYFUNCTION("""COMPUTED_VALUE"""),"Walkin")</f>
        <v>Walkin</v>
      </c>
      <c r="Y3322" s="124" t="str">
        <f>IFERROR(__xludf.DUMMYFUNCTION("""COMPUTED_VALUE"""),"Prayagraj")</f>
        <v>Prayagraj</v>
      </c>
      <c r="Z3322" s="124">
        <f>IFERROR(__xludf.DUMMYFUNCTION("""COMPUTED_VALUE"""),2.0)</f>
        <v>2</v>
      </c>
      <c r="AA3322" s="124" t="str">
        <f>IFERROR(__xludf.DUMMYFUNCTION("""COMPUTED_VALUE"""),"Not Interested")</f>
        <v>Not Interested</v>
      </c>
      <c r="AB3322" s="124" t="str">
        <f>IFERROR(__xludf.DUMMYFUNCTION("""COMPUTED_VALUE"""),"GS Foundation")</f>
        <v>GS Foundation</v>
      </c>
    </row>
    <row r="3323">
      <c r="K3323" s="124"/>
      <c r="L3323" s="124"/>
      <c r="M3323" s="124"/>
      <c r="N3323" s="124"/>
      <c r="O3323" s="124"/>
      <c r="T3323" s="126">
        <f>IFERROR(__xludf.DUMMYFUNCTION("""COMPUTED_VALUE"""),46091.0)</f>
        <v>46091</v>
      </c>
      <c r="U3323" s="124" t="str">
        <f>IFERROR(__xludf.DUMMYFUNCTION("""COMPUTED_VALUE"""),"Walk-Ins")</f>
        <v>Walk-Ins</v>
      </c>
      <c r="V3323" s="124" t="str">
        <f>IFERROR(__xludf.DUMMYFUNCTION("""COMPUTED_VALUE"""),"Walkin")</f>
        <v>Walkin</v>
      </c>
      <c r="W3323" s="124" t="str">
        <f>IFERROR(__xludf.DUMMYFUNCTION("""COMPUTED_VALUE"""),"Patna")</f>
        <v>Patna</v>
      </c>
      <c r="X3323" s="124" t="str">
        <f>IFERROR(__xludf.DUMMYFUNCTION("""COMPUTED_VALUE"""),"Walkin")</f>
        <v>Walkin</v>
      </c>
      <c r="Y3323" s="124" t="str">
        <f>IFERROR(__xludf.DUMMYFUNCTION("""COMPUTED_VALUE"""),"Patna")</f>
        <v>Patna</v>
      </c>
      <c r="Z3323" s="124">
        <f>IFERROR(__xludf.DUMMYFUNCTION("""COMPUTED_VALUE"""),1.0)</f>
        <v>1</v>
      </c>
      <c r="AA3323" s="124" t="str">
        <f>IFERROR(__xludf.DUMMYFUNCTION("""COMPUTED_VALUE"""),"Cold")</f>
        <v>Cold</v>
      </c>
      <c r="AB3323" s="124" t="str">
        <f>IFERROR(__xludf.DUMMYFUNCTION("""COMPUTED_VALUE"""),"Test Series")</f>
        <v>Test Series</v>
      </c>
    </row>
    <row r="3324">
      <c r="K3324" s="124"/>
      <c r="L3324" s="124"/>
      <c r="M3324" s="124"/>
      <c r="N3324" s="124"/>
      <c r="O3324" s="124"/>
      <c r="T3324" s="126">
        <f>IFERROR(__xludf.DUMMYFUNCTION("""COMPUTED_VALUE"""),46072.0)</f>
        <v>46072</v>
      </c>
      <c r="U3324" s="124" t="str">
        <f>IFERROR(__xludf.DUMMYFUNCTION("""COMPUTED_VALUE"""),"Walk-Ins")</f>
        <v>Walk-Ins</v>
      </c>
      <c r="V3324" s="124" t="str">
        <f>IFERROR(__xludf.DUMMYFUNCTION("""COMPUTED_VALUE"""),"Walkin")</f>
        <v>Walkin</v>
      </c>
      <c r="W3324" s="124" t="str">
        <f>IFERROR(__xludf.DUMMYFUNCTION("""COMPUTED_VALUE"""),"Patna")</f>
        <v>Patna</v>
      </c>
      <c r="X3324" s="124" t="str">
        <f>IFERROR(__xludf.DUMMYFUNCTION("""COMPUTED_VALUE"""),"Walkin")</f>
        <v>Walkin</v>
      </c>
      <c r="Y3324" s="124" t="str">
        <f>IFERROR(__xludf.DUMMYFUNCTION("""COMPUTED_VALUE"""),"Patna")</f>
        <v>Patna</v>
      </c>
      <c r="Z3324" s="124">
        <f>IFERROR(__xludf.DUMMYFUNCTION("""COMPUTED_VALUE"""),1.0)</f>
        <v>1</v>
      </c>
      <c r="AA3324" s="124" t="str">
        <f>IFERROR(__xludf.DUMMYFUNCTION("""COMPUTED_VALUE"""),"Enrolled")</f>
        <v>Enrolled</v>
      </c>
      <c r="AB3324" s="124" t="str">
        <f>IFERROR(__xludf.DUMMYFUNCTION("""COMPUTED_VALUE"""),"GS Advanced")</f>
        <v>GS Advanced</v>
      </c>
    </row>
    <row r="3325">
      <c r="K3325" s="124"/>
      <c r="L3325" s="124"/>
      <c r="M3325" s="124"/>
      <c r="N3325" s="124"/>
      <c r="O3325" s="124"/>
      <c r="T3325" s="126">
        <f>IFERROR(__xludf.DUMMYFUNCTION("""COMPUTED_VALUE"""),46072.0)</f>
        <v>46072</v>
      </c>
      <c r="U3325" s="124" t="str">
        <f>IFERROR(__xludf.DUMMYFUNCTION("""COMPUTED_VALUE"""),"Walk-Ins")</f>
        <v>Walk-Ins</v>
      </c>
      <c r="V3325" s="124" t="str">
        <f>IFERROR(__xludf.DUMMYFUNCTION("""COMPUTED_VALUE"""),"Walkin")</f>
        <v>Walkin</v>
      </c>
      <c r="W3325" s="124" t="str">
        <f>IFERROR(__xludf.DUMMYFUNCTION("""COMPUTED_VALUE"""),"Indore")</f>
        <v>Indore</v>
      </c>
      <c r="X3325" s="124" t="str">
        <f>IFERROR(__xludf.DUMMYFUNCTION("""COMPUTED_VALUE"""),"Walkin")</f>
        <v>Walkin</v>
      </c>
      <c r="Y3325" s="124" t="str">
        <f>IFERROR(__xludf.DUMMYFUNCTION("""COMPUTED_VALUE"""),"Indore")</f>
        <v>Indore</v>
      </c>
      <c r="Z3325" s="124">
        <f>IFERROR(__xludf.DUMMYFUNCTION("""COMPUTED_VALUE"""),1.0)</f>
        <v>1</v>
      </c>
      <c r="AA3325" s="124" t="str">
        <f>IFERROR(__xludf.DUMMYFUNCTION("""COMPUTED_VALUE"""),"Cold")</f>
        <v>Cold</v>
      </c>
      <c r="AB3325" s="124" t="str">
        <f>IFERROR(__xludf.DUMMYFUNCTION("""COMPUTED_VALUE"""),"Other")</f>
        <v>Other</v>
      </c>
    </row>
    <row r="3326">
      <c r="K3326" s="124"/>
      <c r="L3326" s="124"/>
      <c r="M3326" s="124"/>
      <c r="N3326" s="124"/>
      <c r="O3326" s="124"/>
      <c r="T3326" s="126">
        <f>IFERROR(__xludf.DUMMYFUNCTION("""COMPUTED_VALUE"""),46103.0)</f>
        <v>46103</v>
      </c>
      <c r="U3326" s="124" t="str">
        <f>IFERROR(__xludf.DUMMYFUNCTION("""COMPUTED_VALUE"""),"Walk-Ins")</f>
        <v>Walk-Ins</v>
      </c>
      <c r="V3326" s="124" t="str">
        <f>IFERROR(__xludf.DUMMYFUNCTION("""COMPUTED_VALUE"""),"Walkin")</f>
        <v>Walkin</v>
      </c>
      <c r="W3326" s="124" t="str">
        <f>IFERROR(__xludf.DUMMYFUNCTION("""COMPUTED_VALUE"""),"Patna")</f>
        <v>Patna</v>
      </c>
      <c r="X3326" s="124" t="str">
        <f>IFERROR(__xludf.DUMMYFUNCTION("""COMPUTED_VALUE"""),"Walkin")</f>
        <v>Walkin</v>
      </c>
      <c r="Y3326" s="124" t="str">
        <f>IFERROR(__xludf.DUMMYFUNCTION("""COMPUTED_VALUE"""),"Patna")</f>
        <v>Patna</v>
      </c>
      <c r="Z3326" s="124">
        <f>IFERROR(__xludf.DUMMYFUNCTION("""COMPUTED_VALUE"""),1.0)</f>
        <v>1</v>
      </c>
      <c r="AA3326" s="124" t="str">
        <f>IFERROR(__xludf.DUMMYFUNCTION("""COMPUTED_VALUE"""),"Cold")</f>
        <v>Cold</v>
      </c>
      <c r="AB3326" s="124" t="str">
        <f>IFERROR(__xludf.DUMMYFUNCTION("""COMPUTED_VALUE"""),"GS Foundation")</f>
        <v>GS Foundation</v>
      </c>
    </row>
    <row r="3327">
      <c r="K3327" s="124"/>
      <c r="L3327" s="124"/>
      <c r="M3327" s="124"/>
      <c r="N3327" s="124"/>
      <c r="O3327" s="124"/>
      <c r="T3327" s="126">
        <f>IFERROR(__xludf.DUMMYFUNCTION("""COMPUTED_VALUE"""),46102.0)</f>
        <v>46102</v>
      </c>
      <c r="U3327" s="124" t="str">
        <f>IFERROR(__xludf.DUMMYFUNCTION("""COMPUTED_VALUE"""),"Walk-Ins")</f>
        <v>Walk-Ins</v>
      </c>
      <c r="V3327" s="124" t="str">
        <f>IFERROR(__xludf.DUMMYFUNCTION("""COMPUTED_VALUE"""),"Walkin")</f>
        <v>Walkin</v>
      </c>
      <c r="W3327" s="124" t="str">
        <f>IFERROR(__xludf.DUMMYFUNCTION("""COMPUTED_VALUE"""),"Patna")</f>
        <v>Patna</v>
      </c>
      <c r="X3327" s="124" t="str">
        <f>IFERROR(__xludf.DUMMYFUNCTION("""COMPUTED_VALUE"""),"Walkin")</f>
        <v>Walkin</v>
      </c>
      <c r="Y3327" s="124" t="str">
        <f>IFERROR(__xludf.DUMMYFUNCTION("""COMPUTED_VALUE"""),"Patna")</f>
        <v>Patna</v>
      </c>
      <c r="Z3327" s="124">
        <f>IFERROR(__xludf.DUMMYFUNCTION("""COMPUTED_VALUE"""),1.0)</f>
        <v>1</v>
      </c>
      <c r="AA3327" s="124" t="str">
        <f>IFERROR(__xludf.DUMMYFUNCTION("""COMPUTED_VALUE"""),"Future Prospects")</f>
        <v>Future Prospects</v>
      </c>
      <c r="AB3327" s="124" t="str">
        <f>IFERROR(__xludf.DUMMYFUNCTION("""COMPUTED_VALUE"""),"GS Foundation")</f>
        <v>GS Foundation</v>
      </c>
    </row>
    <row r="3328">
      <c r="K3328" s="124"/>
      <c r="L3328" s="124"/>
      <c r="M3328" s="124"/>
      <c r="N3328" s="124"/>
      <c r="O3328" s="124"/>
      <c r="T3328" s="126">
        <f>IFERROR(__xludf.DUMMYFUNCTION("""COMPUTED_VALUE"""),46099.0)</f>
        <v>46099</v>
      </c>
      <c r="U3328" s="124" t="str">
        <f>IFERROR(__xludf.DUMMYFUNCTION("""COMPUTED_VALUE"""),"Walk-Ins")</f>
        <v>Walk-Ins</v>
      </c>
      <c r="V3328" s="124" t="str">
        <f>IFERROR(__xludf.DUMMYFUNCTION("""COMPUTED_VALUE"""),"Walkin")</f>
        <v>Walkin</v>
      </c>
      <c r="W3328" s="124" t="str">
        <f>IFERROR(__xludf.DUMMYFUNCTION("""COMPUTED_VALUE"""),"Lucknow")</f>
        <v>Lucknow</v>
      </c>
      <c r="X3328" s="124" t="str">
        <f>IFERROR(__xludf.DUMMYFUNCTION("""COMPUTED_VALUE"""),"Walkin")</f>
        <v>Walkin</v>
      </c>
      <c r="Y3328" s="124" t="str">
        <f>IFERROR(__xludf.DUMMYFUNCTION("""COMPUTED_VALUE"""),"Lucknow")</f>
        <v>Lucknow</v>
      </c>
      <c r="Z3328" s="124">
        <f>IFERROR(__xludf.DUMMYFUNCTION("""COMPUTED_VALUE"""),1.0)</f>
        <v>1</v>
      </c>
      <c r="AA3328" s="124" t="str">
        <f>IFERROR(__xludf.DUMMYFUNCTION("""COMPUTED_VALUE"""),"Warm")</f>
        <v>Warm</v>
      </c>
      <c r="AB3328" s="124" t="str">
        <f>IFERROR(__xludf.DUMMYFUNCTION("""COMPUTED_VALUE"""),"GS Foundation")</f>
        <v>GS Foundation</v>
      </c>
    </row>
    <row r="3329">
      <c r="K3329" s="124"/>
      <c r="L3329" s="124"/>
      <c r="M3329" s="124"/>
      <c r="N3329" s="124"/>
      <c r="O3329" s="124"/>
      <c r="T3329" s="126">
        <f>IFERROR(__xludf.DUMMYFUNCTION("""COMPUTED_VALUE"""),46107.0)</f>
        <v>46107</v>
      </c>
      <c r="U3329" s="124" t="str">
        <f>IFERROR(__xludf.DUMMYFUNCTION("""COMPUTED_VALUE"""),"Walk-Ins")</f>
        <v>Walk-Ins</v>
      </c>
      <c r="V3329" s="124" t="str">
        <f>IFERROR(__xludf.DUMMYFUNCTION("""COMPUTED_VALUE"""),"Walkin")</f>
        <v>Walkin</v>
      </c>
      <c r="W3329" s="124" t="str">
        <f>IFERROR(__xludf.DUMMYFUNCTION("""COMPUTED_VALUE"""),"Patna")</f>
        <v>Patna</v>
      </c>
      <c r="X3329" s="124" t="str">
        <f>IFERROR(__xludf.DUMMYFUNCTION("""COMPUTED_VALUE"""),"Walkin")</f>
        <v>Walkin</v>
      </c>
      <c r="Y3329" s="124" t="str">
        <f>IFERROR(__xludf.DUMMYFUNCTION("""COMPUTED_VALUE"""),"Patna")</f>
        <v>Patna</v>
      </c>
      <c r="Z3329" s="124">
        <f>IFERROR(__xludf.DUMMYFUNCTION("""COMPUTED_VALUE"""),1.0)</f>
        <v>1</v>
      </c>
      <c r="AA3329" s="124" t="str">
        <f>IFERROR(__xludf.DUMMYFUNCTION("""COMPUTED_VALUE"""),"Enrolled")</f>
        <v>Enrolled</v>
      </c>
      <c r="AB3329" s="124" t="str">
        <f>IFERROR(__xludf.DUMMYFUNCTION("""COMPUTED_VALUE"""),"State PCS")</f>
        <v>State PCS</v>
      </c>
    </row>
    <row r="3330">
      <c r="K3330" s="124"/>
      <c r="L3330" s="124"/>
      <c r="M3330" s="124"/>
      <c r="N3330" s="124"/>
      <c r="O3330" s="124"/>
      <c r="T3330" s="126">
        <f>IFERROR(__xludf.DUMMYFUNCTION("""COMPUTED_VALUE"""),46110.0)</f>
        <v>46110</v>
      </c>
      <c r="U3330" s="124" t="str">
        <f>IFERROR(__xludf.DUMMYFUNCTION("""COMPUTED_VALUE"""),"Walk-Ins")</f>
        <v>Walk-Ins</v>
      </c>
      <c r="V3330" s="124" t="str">
        <f>IFERROR(__xludf.DUMMYFUNCTION("""COMPUTED_VALUE"""),"Walkin")</f>
        <v>Walkin</v>
      </c>
      <c r="W3330" s="124" t="str">
        <f>IFERROR(__xludf.DUMMYFUNCTION("""COMPUTED_VALUE"""),"Patna")</f>
        <v>Patna</v>
      </c>
      <c r="X3330" s="124" t="str">
        <f>IFERROR(__xludf.DUMMYFUNCTION("""COMPUTED_VALUE"""),"Walkin")</f>
        <v>Walkin</v>
      </c>
      <c r="Y3330" s="124" t="str">
        <f>IFERROR(__xludf.DUMMYFUNCTION("""COMPUTED_VALUE"""),"Patna")</f>
        <v>Patna</v>
      </c>
      <c r="Z3330" s="124">
        <f>IFERROR(__xludf.DUMMYFUNCTION("""COMPUTED_VALUE"""),1.0)</f>
        <v>1</v>
      </c>
      <c r="AA3330" s="124" t="str">
        <f>IFERROR(__xludf.DUMMYFUNCTION("""COMPUTED_VALUE"""),"Fake Lead")</f>
        <v>Fake Lead</v>
      </c>
      <c r="AB3330" s="124" t="str">
        <f>IFERROR(__xludf.DUMMYFUNCTION("""COMPUTED_VALUE"""),"State PCS")</f>
        <v>State PCS</v>
      </c>
    </row>
    <row r="3331">
      <c r="K3331" s="124"/>
      <c r="L3331" s="124"/>
      <c r="M3331" s="124"/>
      <c r="N3331" s="124"/>
      <c r="O3331" s="124"/>
      <c r="T3331" s="126">
        <f>IFERROR(__xludf.DUMMYFUNCTION("""COMPUTED_VALUE"""),46047.0)</f>
        <v>46047</v>
      </c>
      <c r="U3331" s="124" t="str">
        <f>IFERROR(__xludf.DUMMYFUNCTION("""COMPUTED_VALUE"""),"Walk-Ins")</f>
        <v>Walk-Ins</v>
      </c>
      <c r="V3331" s="124" t="str">
        <f>IFERROR(__xludf.DUMMYFUNCTION("""COMPUTED_VALUE"""),"Walkin")</f>
        <v>Walkin</v>
      </c>
      <c r="W3331" s="124" t="str">
        <f>IFERROR(__xludf.DUMMYFUNCTION("""COMPUTED_VALUE"""),"Patna")</f>
        <v>Patna</v>
      </c>
      <c r="X3331" s="124" t="str">
        <f>IFERROR(__xludf.DUMMYFUNCTION("""COMPUTED_VALUE"""),"Walkin")</f>
        <v>Walkin</v>
      </c>
      <c r="Y3331" s="124" t="str">
        <f>IFERROR(__xludf.DUMMYFUNCTION("""COMPUTED_VALUE"""),"Patna")</f>
        <v>Patna</v>
      </c>
      <c r="Z3331" s="124">
        <f>IFERROR(__xludf.DUMMYFUNCTION("""COMPUTED_VALUE"""),1.0)</f>
        <v>1</v>
      </c>
      <c r="AA3331" s="124" t="str">
        <f>IFERROR(__xludf.DUMMYFUNCTION("""COMPUTED_VALUE"""),"Fake Lead")</f>
        <v>Fake Lead</v>
      </c>
      <c r="AB3331" s="124" t="str">
        <f>IFERROR(__xludf.DUMMYFUNCTION("""COMPUTED_VALUE"""),"State PCS")</f>
        <v>State PCS</v>
      </c>
    </row>
    <row r="3332">
      <c r="K3332" s="124"/>
      <c r="L3332" s="124"/>
      <c r="M3332" s="124"/>
      <c r="N3332" s="124"/>
      <c r="O3332" s="124"/>
      <c r="T3332" s="126">
        <f>IFERROR(__xludf.DUMMYFUNCTION("""COMPUTED_VALUE"""),46043.0)</f>
        <v>46043</v>
      </c>
      <c r="U3332" s="124" t="str">
        <f>IFERROR(__xludf.DUMMYFUNCTION("""COMPUTED_VALUE"""),"Walk-Ins")</f>
        <v>Walk-Ins</v>
      </c>
      <c r="V3332" s="124" t="str">
        <f>IFERROR(__xludf.DUMMYFUNCTION("""COMPUTED_VALUE"""),"Walkin")</f>
        <v>Walkin</v>
      </c>
      <c r="W3332" s="124" t="str">
        <f>IFERROR(__xludf.DUMMYFUNCTION("""COMPUTED_VALUE"""),"Prayagraj")</f>
        <v>Prayagraj</v>
      </c>
      <c r="X3332" s="124" t="str">
        <f>IFERROR(__xludf.DUMMYFUNCTION("""COMPUTED_VALUE"""),"Walkin")</f>
        <v>Walkin</v>
      </c>
      <c r="Y3332" s="124" t="str">
        <f>IFERROR(__xludf.DUMMYFUNCTION("""COMPUTED_VALUE"""),"Prayagraj")</f>
        <v>Prayagraj</v>
      </c>
      <c r="Z3332" s="124">
        <f>IFERROR(__xludf.DUMMYFUNCTION("""COMPUTED_VALUE"""),1.0)</f>
        <v>1</v>
      </c>
      <c r="AA3332" s="124" t="str">
        <f>IFERROR(__xludf.DUMMYFUNCTION("""COMPUTED_VALUE"""),"Cold")</f>
        <v>Cold</v>
      </c>
      <c r="AB3332" s="124" t="str">
        <f>IFERROR(__xludf.DUMMYFUNCTION("""COMPUTED_VALUE"""),"Other")</f>
        <v>Other</v>
      </c>
    </row>
    <row r="3333">
      <c r="K3333" s="124"/>
      <c r="L3333" s="124"/>
      <c r="M3333" s="124"/>
      <c r="N3333" s="124"/>
      <c r="O3333" s="124"/>
      <c r="T3333" s="126">
        <f>IFERROR(__xludf.DUMMYFUNCTION("""COMPUTED_VALUE"""),46098.0)</f>
        <v>46098</v>
      </c>
      <c r="U3333" s="124" t="str">
        <f>IFERROR(__xludf.DUMMYFUNCTION("""COMPUTED_VALUE"""),"Walk-Ins")</f>
        <v>Walk-Ins</v>
      </c>
      <c r="V3333" s="124" t="str">
        <f>IFERROR(__xludf.DUMMYFUNCTION("""COMPUTED_VALUE"""),"Walkin")</f>
        <v>Walkin</v>
      </c>
      <c r="W3333" s="124" t="str">
        <f>IFERROR(__xludf.DUMMYFUNCTION("""COMPUTED_VALUE"""),"Prayagraj")</f>
        <v>Prayagraj</v>
      </c>
      <c r="X3333" s="124" t="str">
        <f>IFERROR(__xludf.DUMMYFUNCTION("""COMPUTED_VALUE"""),"Walkin")</f>
        <v>Walkin</v>
      </c>
      <c r="Y3333" s="124" t="str">
        <f>IFERROR(__xludf.DUMMYFUNCTION("""COMPUTED_VALUE"""),"Prayagraj")</f>
        <v>Prayagraj</v>
      </c>
      <c r="Z3333" s="124">
        <f>IFERROR(__xludf.DUMMYFUNCTION("""COMPUTED_VALUE"""),1.0)</f>
        <v>1</v>
      </c>
      <c r="AA3333" s="124" t="str">
        <f>IFERROR(__xludf.DUMMYFUNCTION("""COMPUTED_VALUE"""),"Cold")</f>
        <v>Cold</v>
      </c>
      <c r="AB3333" s="124" t="str">
        <f>IFERROR(__xludf.DUMMYFUNCTION("""COMPUTED_VALUE"""),"State PCS")</f>
        <v>State PCS</v>
      </c>
    </row>
    <row r="3334">
      <c r="K3334" s="124"/>
      <c r="L3334" s="124"/>
      <c r="M3334" s="124"/>
      <c r="N3334" s="124"/>
      <c r="O3334" s="124"/>
      <c r="T3334" s="126">
        <f>IFERROR(__xludf.DUMMYFUNCTION("""COMPUTED_VALUE"""),46108.0)</f>
        <v>46108</v>
      </c>
      <c r="U3334" s="124" t="str">
        <f>IFERROR(__xludf.DUMMYFUNCTION("""COMPUTED_VALUE"""),"Walk-Ins")</f>
        <v>Walk-Ins</v>
      </c>
      <c r="V3334" s="124" t="str">
        <f>IFERROR(__xludf.DUMMYFUNCTION("""COMPUTED_VALUE"""),"Walkin")</f>
        <v>Walkin</v>
      </c>
      <c r="W3334" s="124" t="str">
        <f>IFERROR(__xludf.DUMMYFUNCTION("""COMPUTED_VALUE"""),"Prayagraj")</f>
        <v>Prayagraj</v>
      </c>
      <c r="X3334" s="124" t="str">
        <f>IFERROR(__xludf.DUMMYFUNCTION("""COMPUTED_VALUE"""),"Walkin")</f>
        <v>Walkin</v>
      </c>
      <c r="Y3334" s="124" t="str">
        <f>IFERROR(__xludf.DUMMYFUNCTION("""COMPUTED_VALUE"""),"Prayagraj")</f>
        <v>Prayagraj</v>
      </c>
      <c r="Z3334" s="124">
        <f>IFERROR(__xludf.DUMMYFUNCTION("""COMPUTED_VALUE"""),1.0)</f>
        <v>1</v>
      </c>
      <c r="AA3334" s="124" t="str">
        <f>IFERROR(__xludf.DUMMYFUNCTION("""COMPUTED_VALUE"""),"Warm")</f>
        <v>Warm</v>
      </c>
      <c r="AB3334" s="124" t="str">
        <f>IFERROR(__xludf.DUMMYFUNCTION("""COMPUTED_VALUE"""),"Mentorship")</f>
        <v>Mentorship</v>
      </c>
    </row>
    <row r="3335">
      <c r="K3335" s="124"/>
      <c r="L3335" s="124"/>
      <c r="M3335" s="124"/>
      <c r="N3335" s="124"/>
      <c r="O3335" s="124"/>
      <c r="T3335" s="126">
        <f>IFERROR(__xludf.DUMMYFUNCTION("""COMPUTED_VALUE"""),46093.0)</f>
        <v>46093</v>
      </c>
      <c r="U3335" s="124" t="str">
        <f>IFERROR(__xludf.DUMMYFUNCTION("""COMPUTED_VALUE"""),"Walk-Ins")</f>
        <v>Walk-Ins</v>
      </c>
      <c r="V3335" s="124" t="str">
        <f>IFERROR(__xludf.DUMMYFUNCTION("""COMPUTED_VALUE"""),"Walkin")</f>
        <v>Walkin</v>
      </c>
      <c r="W3335" s="124" t="str">
        <f>IFERROR(__xludf.DUMMYFUNCTION("""COMPUTED_VALUE"""),"Patna")</f>
        <v>Patna</v>
      </c>
      <c r="X3335" s="124" t="str">
        <f>IFERROR(__xludf.DUMMYFUNCTION("""COMPUTED_VALUE"""),"Walkin")</f>
        <v>Walkin</v>
      </c>
      <c r="Y3335" s="124" t="str">
        <f>IFERROR(__xludf.DUMMYFUNCTION("""COMPUTED_VALUE"""),"Patna")</f>
        <v>Patna</v>
      </c>
      <c r="Z3335" s="124">
        <f>IFERROR(__xludf.DUMMYFUNCTION("""COMPUTED_VALUE"""),2.0)</f>
        <v>2</v>
      </c>
      <c r="AA3335" s="124" t="str">
        <f>IFERROR(__xludf.DUMMYFUNCTION("""COMPUTED_VALUE"""),"Warm")</f>
        <v>Warm</v>
      </c>
      <c r="AB3335" s="124" t="str">
        <f>IFERROR(__xludf.DUMMYFUNCTION("""COMPUTED_VALUE"""),"State PCS")</f>
        <v>State PCS</v>
      </c>
    </row>
    <row r="3336">
      <c r="K3336" s="124"/>
      <c r="L3336" s="124"/>
      <c r="M3336" s="124"/>
      <c r="N3336" s="124"/>
      <c r="O3336" s="124"/>
      <c r="T3336" s="126">
        <f>IFERROR(__xludf.DUMMYFUNCTION("""COMPUTED_VALUE"""),46072.0)</f>
        <v>46072</v>
      </c>
      <c r="U3336" s="124" t="str">
        <f>IFERROR(__xludf.DUMMYFUNCTION("""COMPUTED_VALUE"""),"Walk-Ins")</f>
        <v>Walk-Ins</v>
      </c>
      <c r="V3336" s="124" t="str">
        <f>IFERROR(__xludf.DUMMYFUNCTION("""COMPUTED_VALUE"""),"Walkin")</f>
        <v>Walkin</v>
      </c>
      <c r="W3336" s="124" t="str">
        <f>IFERROR(__xludf.DUMMYFUNCTION("""COMPUTED_VALUE"""),"Indore")</f>
        <v>Indore</v>
      </c>
      <c r="X3336" s="124" t="str">
        <f>IFERROR(__xludf.DUMMYFUNCTION("""COMPUTED_VALUE"""),"Walkin")</f>
        <v>Walkin</v>
      </c>
      <c r="Y3336" s="124" t="str">
        <f>IFERROR(__xludf.DUMMYFUNCTION("""COMPUTED_VALUE"""),"Indore")</f>
        <v>Indore</v>
      </c>
      <c r="Z3336" s="124">
        <f>IFERROR(__xludf.DUMMYFUNCTION("""COMPUTED_VALUE"""),1.0)</f>
        <v>1</v>
      </c>
      <c r="AA3336" s="124" t="str">
        <f>IFERROR(__xludf.DUMMYFUNCTION("""COMPUTED_VALUE"""),"Not Interested")</f>
        <v>Not Interested</v>
      </c>
      <c r="AB3336" s="124" t="str">
        <f>IFERROR(__xludf.DUMMYFUNCTION("""COMPUTED_VALUE"""),"GS Foundation")</f>
        <v>GS Foundation</v>
      </c>
    </row>
    <row r="3337">
      <c r="K3337" s="124"/>
      <c r="L3337" s="124"/>
      <c r="M3337" s="124"/>
      <c r="N3337" s="124"/>
      <c r="O3337" s="124"/>
      <c r="T3337" s="126">
        <f>IFERROR(__xludf.DUMMYFUNCTION("""COMPUTED_VALUE"""),46073.0)</f>
        <v>46073</v>
      </c>
      <c r="U3337" s="124" t="str">
        <f>IFERROR(__xludf.DUMMYFUNCTION("""COMPUTED_VALUE"""),"Walk-Ins")</f>
        <v>Walk-Ins</v>
      </c>
      <c r="V3337" s="124" t="str">
        <f>IFERROR(__xludf.DUMMYFUNCTION("""COMPUTED_VALUE"""),"Walkin")</f>
        <v>Walkin</v>
      </c>
      <c r="W3337" s="124" t="str">
        <f>IFERROR(__xludf.DUMMYFUNCTION("""COMPUTED_VALUE"""),"Indore")</f>
        <v>Indore</v>
      </c>
      <c r="X3337" s="124" t="str">
        <f>IFERROR(__xludf.DUMMYFUNCTION("""COMPUTED_VALUE"""),"Walkin")</f>
        <v>Walkin</v>
      </c>
      <c r="Y3337" s="124" t="str">
        <f>IFERROR(__xludf.DUMMYFUNCTION("""COMPUTED_VALUE"""),"Indore")</f>
        <v>Indore</v>
      </c>
      <c r="Z3337" s="124">
        <f>IFERROR(__xludf.DUMMYFUNCTION("""COMPUTED_VALUE"""),1.0)</f>
        <v>1</v>
      </c>
      <c r="AA3337" s="124" t="str">
        <f>IFERROR(__xludf.DUMMYFUNCTION("""COMPUTED_VALUE"""),"Not Interested")</f>
        <v>Not Interested</v>
      </c>
      <c r="AB3337" s="124" t="str">
        <f>IFERROR(__xludf.DUMMYFUNCTION("""COMPUTED_VALUE"""),"State PCS")</f>
        <v>State PCS</v>
      </c>
    </row>
    <row r="3338">
      <c r="K3338" s="124"/>
      <c r="L3338" s="124"/>
      <c r="M3338" s="124"/>
      <c r="N3338" s="124"/>
      <c r="O3338" s="124"/>
      <c r="T3338" s="126">
        <f>IFERROR(__xludf.DUMMYFUNCTION("""COMPUTED_VALUE"""),46045.0)</f>
        <v>46045</v>
      </c>
      <c r="U3338" s="124" t="str">
        <f>IFERROR(__xludf.DUMMYFUNCTION("""COMPUTED_VALUE"""),"Walk-Ins")</f>
        <v>Walk-Ins</v>
      </c>
      <c r="V3338" s="124" t="str">
        <f>IFERROR(__xludf.DUMMYFUNCTION("""COMPUTED_VALUE"""),"Walkin")</f>
        <v>Walkin</v>
      </c>
      <c r="W3338" s="124" t="str">
        <f>IFERROR(__xludf.DUMMYFUNCTION("""COMPUTED_VALUE"""),"Lucknow")</f>
        <v>Lucknow</v>
      </c>
      <c r="X3338" s="124" t="str">
        <f>IFERROR(__xludf.DUMMYFUNCTION("""COMPUTED_VALUE"""),"Walkin")</f>
        <v>Walkin</v>
      </c>
      <c r="Y3338" s="124" t="str">
        <f>IFERROR(__xludf.DUMMYFUNCTION("""COMPUTED_VALUE"""),"Lucknow")</f>
        <v>Lucknow</v>
      </c>
      <c r="Z3338" s="124">
        <f>IFERROR(__xludf.DUMMYFUNCTION("""COMPUTED_VALUE"""),1.0)</f>
        <v>1</v>
      </c>
      <c r="AA3338" s="124" t="str">
        <f>IFERROR(__xludf.DUMMYFUNCTION("""COMPUTED_VALUE"""),"Warm")</f>
        <v>Warm</v>
      </c>
      <c r="AB3338" s="124" t="str">
        <f>IFERROR(__xludf.DUMMYFUNCTION("""COMPUTED_VALUE"""),"GS Foundation")</f>
        <v>GS Foundation</v>
      </c>
    </row>
    <row r="3339">
      <c r="K3339" s="124"/>
      <c r="L3339" s="124"/>
      <c r="M3339" s="124"/>
      <c r="N3339" s="124"/>
      <c r="O3339" s="124"/>
      <c r="T3339" s="129">
        <f>IFERROR(__xludf.DUMMYFUNCTION("""COMPUTED_VALUE"""),46087.0)</f>
        <v>46087</v>
      </c>
      <c r="U3339" s="124" t="str">
        <f>IFERROR(__xludf.DUMMYFUNCTION("""COMPUTED_VALUE"""),"Walk-Ins")</f>
        <v>Walk-Ins</v>
      </c>
      <c r="V3339" s="124" t="str">
        <f>IFERROR(__xludf.DUMMYFUNCTION("""COMPUTED_VALUE"""),"Walkin")</f>
        <v>Walkin</v>
      </c>
      <c r="W3339" s="124" t="str">
        <f>IFERROR(__xludf.DUMMYFUNCTION("""COMPUTED_VALUE"""),"Indore")</f>
        <v>Indore</v>
      </c>
      <c r="X3339" s="124" t="str">
        <f>IFERROR(__xludf.DUMMYFUNCTION("""COMPUTED_VALUE"""),"Walkin")</f>
        <v>Walkin</v>
      </c>
      <c r="Y3339" s="124" t="str">
        <f>IFERROR(__xludf.DUMMYFUNCTION("""COMPUTED_VALUE"""),"Indore")</f>
        <v>Indore</v>
      </c>
      <c r="Z3339" s="124">
        <f>IFERROR(__xludf.DUMMYFUNCTION("""COMPUTED_VALUE"""),1.0)</f>
        <v>1</v>
      </c>
      <c r="AA3339" s="124" t="str">
        <f>IFERROR(__xludf.DUMMYFUNCTION("""COMPUTED_VALUE"""),"Future Prospects")</f>
        <v>Future Prospects</v>
      </c>
      <c r="AB3339" s="124" t="str">
        <f>IFERROR(__xludf.DUMMYFUNCTION("""COMPUTED_VALUE"""),"State PCS")</f>
        <v>State PCS</v>
      </c>
    </row>
    <row r="3340">
      <c r="K3340" s="124"/>
      <c r="L3340" s="124"/>
      <c r="M3340" s="124"/>
      <c r="N3340" s="124"/>
      <c r="O3340" s="124"/>
      <c r="T3340" s="129">
        <f>IFERROR(__xludf.DUMMYFUNCTION("""COMPUTED_VALUE"""),46062.0)</f>
        <v>46062</v>
      </c>
      <c r="U3340" s="124" t="str">
        <f>IFERROR(__xludf.DUMMYFUNCTION("""COMPUTED_VALUE"""),"Walk-Ins")</f>
        <v>Walk-Ins</v>
      </c>
      <c r="V3340" s="124" t="str">
        <f>IFERROR(__xludf.DUMMYFUNCTION("""COMPUTED_VALUE"""),"Walkin")</f>
        <v>Walkin</v>
      </c>
      <c r="W3340" s="124" t="str">
        <f>IFERROR(__xludf.DUMMYFUNCTION("""COMPUTED_VALUE"""),"Indore")</f>
        <v>Indore</v>
      </c>
      <c r="X3340" s="124" t="str">
        <f>IFERROR(__xludf.DUMMYFUNCTION("""COMPUTED_VALUE"""),"Walkin")</f>
        <v>Walkin</v>
      </c>
      <c r="Y3340" s="124" t="str">
        <f>IFERROR(__xludf.DUMMYFUNCTION("""COMPUTED_VALUE"""),"Indore")</f>
        <v>Indore</v>
      </c>
      <c r="Z3340" s="124">
        <f>IFERROR(__xludf.DUMMYFUNCTION("""COMPUTED_VALUE"""),2.0)</f>
        <v>2</v>
      </c>
      <c r="AA3340" s="124" t="str">
        <f>IFERROR(__xludf.DUMMYFUNCTION("""COMPUTED_VALUE"""),"Enrolled")</f>
        <v>Enrolled</v>
      </c>
      <c r="AB3340" s="124" t="str">
        <f>IFERROR(__xludf.DUMMYFUNCTION("""COMPUTED_VALUE"""),"State PCS")</f>
        <v>State PCS</v>
      </c>
    </row>
    <row r="3341">
      <c r="K3341" s="124"/>
      <c r="L3341" s="124"/>
      <c r="M3341" s="124"/>
      <c r="N3341" s="124"/>
      <c r="O3341" s="124"/>
      <c r="T3341" s="126">
        <f>IFERROR(__xludf.DUMMYFUNCTION("""COMPUTED_VALUE"""),46097.0)</f>
        <v>46097</v>
      </c>
      <c r="U3341" s="124" t="str">
        <f>IFERROR(__xludf.DUMMYFUNCTION("""COMPUTED_VALUE"""),"Walk-Ins")</f>
        <v>Walk-Ins</v>
      </c>
      <c r="V3341" s="124" t="str">
        <f>IFERROR(__xludf.DUMMYFUNCTION("""COMPUTED_VALUE"""),"Walkin")</f>
        <v>Walkin</v>
      </c>
      <c r="W3341" s="124" t="str">
        <f>IFERROR(__xludf.DUMMYFUNCTION("""COMPUTED_VALUE"""),"Prayagraj")</f>
        <v>Prayagraj</v>
      </c>
      <c r="X3341" s="124" t="str">
        <f>IFERROR(__xludf.DUMMYFUNCTION("""COMPUTED_VALUE"""),"Walkin")</f>
        <v>Walkin</v>
      </c>
      <c r="Y3341" s="124" t="str">
        <f>IFERROR(__xludf.DUMMYFUNCTION("""COMPUTED_VALUE"""),"Prayagraj")</f>
        <v>Prayagraj</v>
      </c>
      <c r="Z3341" s="124">
        <f>IFERROR(__xludf.DUMMYFUNCTION("""COMPUTED_VALUE"""),1.0)</f>
        <v>1</v>
      </c>
      <c r="AA3341" s="124" t="str">
        <f>IFERROR(__xludf.DUMMYFUNCTION("""COMPUTED_VALUE"""),"Cold")</f>
        <v>Cold</v>
      </c>
      <c r="AB3341" s="124" t="str">
        <f>IFERROR(__xludf.DUMMYFUNCTION("""COMPUTED_VALUE"""),"Mentorship")</f>
        <v>Mentorship</v>
      </c>
    </row>
    <row r="3342">
      <c r="K3342" s="124"/>
      <c r="L3342" s="124"/>
      <c r="M3342" s="124"/>
      <c r="N3342" s="124"/>
      <c r="O3342" s="124"/>
      <c r="T3342" s="126">
        <f>IFERROR(__xludf.DUMMYFUNCTION("""COMPUTED_VALUE"""),46099.0)</f>
        <v>46099</v>
      </c>
      <c r="U3342" s="124" t="str">
        <f>IFERROR(__xludf.DUMMYFUNCTION("""COMPUTED_VALUE"""),"Walk-Ins")</f>
        <v>Walk-Ins</v>
      </c>
      <c r="V3342" s="124" t="str">
        <f>IFERROR(__xludf.DUMMYFUNCTION("""COMPUTED_VALUE"""),"Walkin")</f>
        <v>Walkin</v>
      </c>
      <c r="W3342" s="124" t="str">
        <f>IFERROR(__xludf.DUMMYFUNCTION("""COMPUTED_VALUE"""),"Lucknow")</f>
        <v>Lucknow</v>
      </c>
      <c r="X3342" s="124" t="str">
        <f>IFERROR(__xludf.DUMMYFUNCTION("""COMPUTED_VALUE"""),"Walkin")</f>
        <v>Walkin</v>
      </c>
      <c r="Y3342" s="124" t="str">
        <f>IFERROR(__xludf.DUMMYFUNCTION("""COMPUTED_VALUE"""),"Lucknow")</f>
        <v>Lucknow</v>
      </c>
      <c r="Z3342" s="124">
        <f>IFERROR(__xludf.DUMMYFUNCTION("""COMPUTED_VALUE"""),1.0)</f>
        <v>1</v>
      </c>
      <c r="AA3342" s="124" t="str">
        <f>IFERROR(__xludf.DUMMYFUNCTION("""COMPUTED_VALUE"""),"Future Prospects")</f>
        <v>Future Prospects</v>
      </c>
      <c r="AB3342" s="124" t="str">
        <f>IFERROR(__xludf.DUMMYFUNCTION("""COMPUTED_VALUE"""),"GS Foundation")</f>
        <v>GS Foundation</v>
      </c>
    </row>
    <row r="3343">
      <c r="K3343" s="124"/>
      <c r="L3343" s="124"/>
      <c r="M3343" s="124"/>
      <c r="N3343" s="124"/>
      <c r="O3343" s="124"/>
      <c r="T3343" s="126">
        <f>IFERROR(__xludf.DUMMYFUNCTION("""COMPUTED_VALUE"""),46101.0)</f>
        <v>46101</v>
      </c>
      <c r="U3343" s="124" t="str">
        <f>IFERROR(__xludf.DUMMYFUNCTION("""COMPUTED_VALUE"""),"Walk-Ins")</f>
        <v>Walk-Ins</v>
      </c>
      <c r="V3343" s="124" t="str">
        <f>IFERROR(__xludf.DUMMYFUNCTION("""COMPUTED_VALUE"""),"Walkin")</f>
        <v>Walkin</v>
      </c>
      <c r="W3343" s="124" t="str">
        <f>IFERROR(__xludf.DUMMYFUNCTION("""COMPUTED_VALUE"""),"Indore")</f>
        <v>Indore</v>
      </c>
      <c r="X3343" s="124" t="str">
        <f>IFERROR(__xludf.DUMMYFUNCTION("""COMPUTED_VALUE"""),"Walkin")</f>
        <v>Walkin</v>
      </c>
      <c r="Y3343" s="124" t="str">
        <f>IFERROR(__xludf.DUMMYFUNCTION("""COMPUTED_VALUE"""),"Indore")</f>
        <v>Indore</v>
      </c>
      <c r="Z3343" s="124">
        <f>IFERROR(__xludf.DUMMYFUNCTION("""COMPUTED_VALUE"""),1.0)</f>
        <v>1</v>
      </c>
      <c r="AA3343" s="124" t="str">
        <f>IFERROR(__xludf.DUMMYFUNCTION("""COMPUTED_VALUE"""),"Enrolled")</f>
        <v>Enrolled</v>
      </c>
      <c r="AB3343" s="124" t="str">
        <f>IFERROR(__xludf.DUMMYFUNCTION("""COMPUTED_VALUE"""),"State PCS")</f>
        <v>State PCS</v>
      </c>
    </row>
    <row r="3344">
      <c r="K3344" s="124"/>
      <c r="L3344" s="124"/>
      <c r="M3344" s="124"/>
      <c r="N3344" s="124"/>
      <c r="O3344" s="124"/>
      <c r="T3344" s="126">
        <f>IFERROR(__xludf.DUMMYFUNCTION("""COMPUTED_VALUE"""),46063.0)</f>
        <v>46063</v>
      </c>
      <c r="U3344" s="124" t="str">
        <f>IFERROR(__xludf.DUMMYFUNCTION("""COMPUTED_VALUE"""),"Walk-Ins")</f>
        <v>Walk-Ins</v>
      </c>
      <c r="V3344" s="124" t="str">
        <f>IFERROR(__xludf.DUMMYFUNCTION("""COMPUTED_VALUE"""),"Walkin")</f>
        <v>Walkin</v>
      </c>
      <c r="W3344" s="124" t="str">
        <f>IFERROR(__xludf.DUMMYFUNCTION("""COMPUTED_VALUE"""),"Prayagraj")</f>
        <v>Prayagraj</v>
      </c>
      <c r="X3344" s="124" t="str">
        <f>IFERROR(__xludf.DUMMYFUNCTION("""COMPUTED_VALUE"""),"Walkin")</f>
        <v>Walkin</v>
      </c>
      <c r="Y3344" s="124" t="str">
        <f>IFERROR(__xludf.DUMMYFUNCTION("""COMPUTED_VALUE"""),"Prayagraj")</f>
        <v>Prayagraj</v>
      </c>
      <c r="Z3344" s="124">
        <f>IFERROR(__xludf.DUMMYFUNCTION("""COMPUTED_VALUE"""),1.0)</f>
        <v>1</v>
      </c>
      <c r="AA3344" s="124" t="str">
        <f>IFERROR(__xludf.DUMMYFUNCTION("""COMPUTED_VALUE"""),"Cold")</f>
        <v>Cold</v>
      </c>
      <c r="AB3344" s="124" t="str">
        <f>IFERROR(__xludf.DUMMYFUNCTION("""COMPUTED_VALUE"""),"Mentorship")</f>
        <v>Mentorship</v>
      </c>
    </row>
    <row r="3345">
      <c r="K3345" s="124"/>
      <c r="L3345" s="124"/>
      <c r="M3345" s="124"/>
      <c r="N3345" s="124"/>
      <c r="O3345" s="124"/>
      <c r="T3345" s="126">
        <f>IFERROR(__xludf.DUMMYFUNCTION("""COMPUTED_VALUE"""),46100.0)</f>
        <v>46100</v>
      </c>
      <c r="U3345" s="124" t="str">
        <f>IFERROR(__xludf.DUMMYFUNCTION("""COMPUTED_VALUE"""),"Paid Ads")</f>
        <v>Paid Ads</v>
      </c>
      <c r="V3345" s="124" t="str">
        <f>IFERROR(__xludf.DUMMYFUNCTION("""COMPUTED_VALUE"""),"Facebook")</f>
        <v>Facebook</v>
      </c>
      <c r="W3345" s="124" t="str">
        <f>IFERROR(__xludf.DUMMYFUNCTION("""COMPUTED_VALUE"""),"LeadAd")</f>
        <v>LeadAd</v>
      </c>
      <c r="X3345" s="124" t="str">
        <f>IFERROR(__xludf.DUMMYFUNCTION("""COMPUTED_VALUE"""),"Upsc_Hindi_Leads_FB_Creatives")</f>
        <v>Upsc_Hindi_Leads_FB_Creatives</v>
      </c>
      <c r="Y3345" s="124" t="str">
        <f>IFERROR(__xludf.DUMMYFUNCTION("""COMPUTED_VALUE"""),"Lucknow")</f>
        <v>Lucknow</v>
      </c>
      <c r="Z3345" s="124">
        <f>IFERROR(__xludf.DUMMYFUNCTION("""COMPUTED_VALUE"""),1.0)</f>
        <v>1</v>
      </c>
      <c r="AA3345" s="124" t="str">
        <f>IFERROR(__xludf.DUMMYFUNCTION("""COMPUTED_VALUE"""),"Warm")</f>
        <v>Warm</v>
      </c>
      <c r="AB3345" s="124" t="str">
        <f>IFERROR(__xludf.DUMMYFUNCTION("""COMPUTED_VALUE"""),"GS Foundation")</f>
        <v>GS Foundation</v>
      </c>
    </row>
    <row r="3346">
      <c r="K3346" s="124"/>
      <c r="L3346" s="124"/>
      <c r="M3346" s="124"/>
      <c r="N3346" s="124"/>
      <c r="O3346" s="124"/>
      <c r="T3346" s="126">
        <f>IFERROR(__xludf.DUMMYFUNCTION("""COMPUTED_VALUE"""),46102.0)</f>
        <v>46102</v>
      </c>
      <c r="U3346" s="124" t="str">
        <f>IFERROR(__xludf.DUMMYFUNCTION("""COMPUTED_VALUE"""),"Paid Ads")</f>
        <v>Paid Ads</v>
      </c>
      <c r="V3346" s="124" t="str">
        <f>IFERROR(__xludf.DUMMYFUNCTION("""COMPUTED_VALUE"""),"Facebook")</f>
        <v>Facebook</v>
      </c>
      <c r="W3346" s="124" t="str">
        <f>IFERROR(__xludf.DUMMYFUNCTION("""COMPUTED_VALUE"""),"LeadAd")</f>
        <v>LeadAd</v>
      </c>
      <c r="X3346" s="124" t="str">
        <f>IFERROR(__xludf.DUMMYFUNCTION("""COMPUTED_VALUE"""),"Upsc_Hindi_Leads_FB_Creatives")</f>
        <v>Upsc_Hindi_Leads_FB_Creatives</v>
      </c>
      <c r="Y3346" s="124" t="str">
        <f>IFERROR(__xludf.DUMMYFUNCTION("""COMPUTED_VALUE"""),"Lucknow")</f>
        <v>Lucknow</v>
      </c>
      <c r="Z3346" s="124">
        <f>IFERROR(__xludf.DUMMYFUNCTION("""COMPUTED_VALUE"""),1.0)</f>
        <v>1</v>
      </c>
      <c r="AA3346" s="124" t="str">
        <f>IFERROR(__xludf.DUMMYFUNCTION("""COMPUTED_VALUE"""),"Cold")</f>
        <v>Cold</v>
      </c>
      <c r="AB3346" s="124" t="str">
        <f>IFERROR(__xludf.DUMMYFUNCTION("""COMPUTED_VALUE"""),"State PCS")</f>
        <v>State PCS</v>
      </c>
    </row>
    <row r="3347">
      <c r="K3347" s="124"/>
      <c r="L3347" s="124"/>
      <c r="M3347" s="124"/>
      <c r="N3347" s="124"/>
      <c r="O3347" s="124"/>
      <c r="T3347" s="126">
        <f>IFERROR(__xludf.DUMMYFUNCTION("""COMPUTED_VALUE"""),46106.0)</f>
        <v>46106</v>
      </c>
      <c r="U3347" s="124" t="str">
        <f>IFERROR(__xludf.DUMMYFUNCTION("""COMPUTED_VALUE"""),"Paid Ads")</f>
        <v>Paid Ads</v>
      </c>
      <c r="V3347" s="124" t="str">
        <f>IFERROR(__xludf.DUMMYFUNCTION("""COMPUTED_VALUE"""),"Facebook")</f>
        <v>Facebook</v>
      </c>
      <c r="W3347" s="124" t="str">
        <f>IFERROR(__xludf.DUMMYFUNCTION("""COMPUTED_VALUE"""),"LeadAd")</f>
        <v>LeadAd</v>
      </c>
      <c r="X3347" s="124" t="str">
        <f>IFERROR(__xludf.DUMMYFUNCTION("""COMPUTED_VALUE"""),"Upsc_Hindi_Leads_FB_Creatives")</f>
        <v>Upsc_Hindi_Leads_FB_Creatives</v>
      </c>
      <c r="Y3347" s="124"/>
      <c r="Z3347" s="124">
        <f>IFERROR(__xludf.DUMMYFUNCTION("""COMPUTED_VALUE"""),2.0)</f>
        <v>2</v>
      </c>
      <c r="AA3347" s="124"/>
      <c r="AB3347" s="124"/>
    </row>
    <row r="3348">
      <c r="K3348" s="124"/>
      <c r="L3348" s="124"/>
      <c r="M3348" s="124"/>
      <c r="N3348" s="124"/>
      <c r="O3348" s="124"/>
      <c r="T3348" s="126">
        <f>IFERROR(__xludf.DUMMYFUNCTION("""COMPUTED_VALUE"""),46097.0)</f>
        <v>46097</v>
      </c>
      <c r="U3348" s="124" t="str">
        <f>IFERROR(__xludf.DUMMYFUNCTION("""COMPUTED_VALUE"""),"Walk-Ins")</f>
        <v>Walk-Ins</v>
      </c>
      <c r="V3348" s="124" t="str">
        <f>IFERROR(__xludf.DUMMYFUNCTION("""COMPUTED_VALUE"""),"Walk-In")</f>
        <v>Walk-In</v>
      </c>
      <c r="W3348" s="124" t="str">
        <f>IFERROR(__xludf.DUMMYFUNCTION("""COMPUTED_VALUE"""),"Lucknow")</f>
        <v>Lucknow</v>
      </c>
      <c r="X3348" s="124" t="str">
        <f>IFERROR(__xludf.DUMMYFUNCTION("""COMPUTED_VALUE"""),"Rajwardhan")</f>
        <v>Rajwardhan</v>
      </c>
      <c r="Y3348" s="124" t="str">
        <f>IFERROR(__xludf.DUMMYFUNCTION("""COMPUTED_VALUE"""),"Lucknow")</f>
        <v>Lucknow</v>
      </c>
      <c r="Z3348" s="124">
        <f>IFERROR(__xludf.DUMMYFUNCTION("""COMPUTED_VALUE"""),1.0)</f>
        <v>1</v>
      </c>
      <c r="AA3348" s="124" t="str">
        <f>IFERROR(__xludf.DUMMYFUNCTION("""COMPUTED_VALUE"""),"Not Interested")</f>
        <v>Not Interested</v>
      </c>
      <c r="AB3348" s="124" t="str">
        <f>IFERROR(__xludf.DUMMYFUNCTION("""COMPUTED_VALUE"""),"State PCS")</f>
        <v>State PCS</v>
      </c>
    </row>
    <row r="3349">
      <c r="K3349" s="124"/>
      <c r="L3349" s="124"/>
      <c r="M3349" s="124"/>
      <c r="N3349" s="124"/>
      <c r="O3349" s="124"/>
      <c r="T3349" s="126">
        <f>IFERROR(__xludf.DUMMYFUNCTION("""COMPUTED_VALUE"""),46080.0)</f>
        <v>46080</v>
      </c>
      <c r="U3349" s="124" t="str">
        <f>IFERROR(__xludf.DUMMYFUNCTION("""COMPUTED_VALUE"""),"Publisher Campaign")</f>
        <v>Publisher Campaign</v>
      </c>
      <c r="V3349" s="124" t="str">
        <f>IFERROR(__xludf.DUMMYFUNCTION("""COMPUTED_VALUE"""),"Vaishnav college")</f>
        <v>Vaishnav college</v>
      </c>
      <c r="W3349" s="124" t="str">
        <f>IFERROR(__xludf.DUMMYFUNCTION("""COMPUTED_VALUE"""),"Seminar Vaishnav college")</f>
        <v>Seminar Vaishnav college</v>
      </c>
      <c r="X3349" s="124">
        <f>IFERROR(__xludf.DUMMYFUNCTION("""COMPUTED_VALUE"""),2.2012026E7)</f>
        <v>22012026</v>
      </c>
      <c r="Y3349" s="124" t="str">
        <f>IFERROR(__xludf.DUMMYFUNCTION("""COMPUTED_VALUE"""),"Indore")</f>
        <v>Indore</v>
      </c>
      <c r="Z3349" s="124">
        <f>IFERROR(__xludf.DUMMYFUNCTION("""COMPUTED_VALUE"""),3.0)</f>
        <v>3</v>
      </c>
      <c r="AA3349" s="124"/>
      <c r="AB3349" s="124" t="str">
        <f>IFERROR(__xludf.DUMMYFUNCTION("""COMPUTED_VALUE"""),"Test Series")</f>
        <v>Test Series</v>
      </c>
    </row>
    <row r="3350">
      <c r="K3350" s="124"/>
      <c r="L3350" s="124"/>
      <c r="M3350" s="124"/>
      <c r="N3350" s="124"/>
      <c r="O3350" s="124"/>
      <c r="T3350" s="126">
        <f>IFERROR(__xludf.DUMMYFUNCTION("""COMPUTED_VALUE"""),46097.0)</f>
        <v>46097</v>
      </c>
      <c r="U3350" s="124" t="str">
        <f>IFERROR(__xludf.DUMMYFUNCTION("""COMPUTED_VALUE"""),"External Leads")</f>
        <v>External Leads</v>
      </c>
      <c r="V3350" s="124" t="str">
        <f>IFERROR(__xludf.DUMMYFUNCTION("""COMPUTED_VALUE"""),"external leads")</f>
        <v>external leads</v>
      </c>
      <c r="W3350" s="124" t="str">
        <f>IFERROR(__xludf.DUMMYFUNCTION("""COMPUTED_VALUE"""),"indore")</f>
        <v>indore</v>
      </c>
      <c r="X3350" s="124" t="str">
        <f>IFERROR(__xludf.DUMMYFUNCTION("""COMPUTED_VALUE"""),"btl")</f>
        <v>btl</v>
      </c>
      <c r="Y3350" s="124" t="str">
        <f>IFERROR(__xludf.DUMMYFUNCTION("""COMPUTED_VALUE"""),"Indore")</f>
        <v>Indore</v>
      </c>
      <c r="Z3350" s="124">
        <f>IFERROR(__xludf.DUMMYFUNCTION("""COMPUTED_VALUE"""),2.0)</f>
        <v>2</v>
      </c>
      <c r="AA3350" s="124" t="str">
        <f>IFERROR(__xludf.DUMMYFUNCTION("""COMPUTED_VALUE"""),"Not Interested")</f>
        <v>Not Interested</v>
      </c>
      <c r="AB3350" s="124"/>
    </row>
    <row r="3351">
      <c r="K3351" s="124"/>
      <c r="L3351" s="124"/>
      <c r="M3351" s="124"/>
      <c r="N3351" s="124"/>
      <c r="O3351" s="124"/>
      <c r="T3351" s="126">
        <f>IFERROR(__xludf.DUMMYFUNCTION("""COMPUTED_VALUE"""),46067.0)</f>
        <v>46067</v>
      </c>
      <c r="U3351" s="124" t="str">
        <f>IFERROR(__xludf.DUMMYFUNCTION("""COMPUTED_VALUE"""),"Walk-Ins")</f>
        <v>Walk-Ins</v>
      </c>
      <c r="V3351" s="124" t="str">
        <f>IFERROR(__xludf.DUMMYFUNCTION("""COMPUTED_VALUE"""),"Walk-In")</f>
        <v>Walk-In</v>
      </c>
      <c r="W3351" s="124" t="str">
        <f>IFERROR(__xludf.DUMMYFUNCTION("""COMPUTED_VALUE"""),"Prayagraj")</f>
        <v>Prayagraj</v>
      </c>
      <c r="X3351" s="124" t="str">
        <f>IFERROR(__xludf.DUMMYFUNCTION("""COMPUTED_VALUE"""),"Prayagraj")</f>
        <v>Prayagraj</v>
      </c>
      <c r="Y3351" s="124" t="str">
        <f>IFERROR(__xludf.DUMMYFUNCTION("""COMPUTED_VALUE"""),"Prayagraj")</f>
        <v>Prayagraj</v>
      </c>
      <c r="Z3351" s="124">
        <f>IFERROR(__xludf.DUMMYFUNCTION("""COMPUTED_VALUE"""),1.0)</f>
        <v>1</v>
      </c>
      <c r="AA3351" s="124" t="str">
        <f>IFERROR(__xludf.DUMMYFUNCTION("""COMPUTED_VALUE"""),"Future Prospects")</f>
        <v>Future Prospects</v>
      </c>
      <c r="AB3351" s="124" t="str">
        <f>IFERROR(__xludf.DUMMYFUNCTION("""COMPUTED_VALUE"""),"GS Foundation")</f>
        <v>GS Foundation</v>
      </c>
    </row>
    <row r="3352">
      <c r="K3352" s="124"/>
      <c r="L3352" s="124"/>
      <c r="M3352" s="124"/>
      <c r="N3352" s="124"/>
      <c r="O3352" s="124"/>
      <c r="T3352" s="126">
        <f>IFERROR(__xludf.DUMMYFUNCTION("""COMPUTED_VALUE"""),46097.0)</f>
        <v>46097</v>
      </c>
      <c r="U3352" s="124" t="str">
        <f>IFERROR(__xludf.DUMMYFUNCTION("""COMPUTED_VALUE"""),"External Leads")</f>
        <v>External Leads</v>
      </c>
      <c r="V3352" s="124" t="str">
        <f>IFERROR(__xludf.DUMMYFUNCTION("""COMPUTED_VALUE"""),"external leads")</f>
        <v>external leads</v>
      </c>
      <c r="W3352" s="124" t="str">
        <f>IFERROR(__xludf.DUMMYFUNCTION("""COMPUTED_VALUE"""),"indore")</f>
        <v>indore</v>
      </c>
      <c r="X3352" s="124" t="str">
        <f>IFERROR(__xludf.DUMMYFUNCTION("""COMPUTED_VALUE"""),"btl")</f>
        <v>btl</v>
      </c>
      <c r="Y3352" s="124" t="str">
        <f>IFERROR(__xludf.DUMMYFUNCTION("""COMPUTED_VALUE"""),"Indore")</f>
        <v>Indore</v>
      </c>
      <c r="Z3352" s="124">
        <f>IFERROR(__xludf.DUMMYFUNCTION("""COMPUTED_VALUE"""),1.0)</f>
        <v>1</v>
      </c>
      <c r="AA3352" s="124" t="str">
        <f>IFERROR(__xludf.DUMMYFUNCTION("""COMPUTED_VALUE"""),"Warm")</f>
        <v>Warm</v>
      </c>
      <c r="AB3352" s="124"/>
    </row>
    <row r="3353">
      <c r="K3353" s="124"/>
      <c r="L3353" s="124"/>
      <c r="M3353" s="124"/>
      <c r="N3353" s="124"/>
      <c r="O3353" s="124"/>
      <c r="T3353" s="129">
        <f>IFERROR(__xludf.DUMMYFUNCTION("""COMPUTED_VALUE"""),46060.0)</f>
        <v>46060</v>
      </c>
      <c r="U3353" s="124" t="str">
        <f>IFERROR(__xludf.DUMMYFUNCTION("""COMPUTED_VALUE"""),"External Leads")</f>
        <v>External Leads</v>
      </c>
      <c r="V3353" s="124" t="str">
        <f>IFERROR(__xludf.DUMMYFUNCTION("""COMPUTED_VALUE"""),"External Leads")</f>
        <v>External Leads</v>
      </c>
      <c r="W3353" s="124" t="str">
        <f>IFERROR(__xludf.DUMMYFUNCTION("""COMPUTED_VALUE"""),"Delhi")</f>
        <v>Delhi</v>
      </c>
      <c r="X3353" s="124" t="str">
        <f>IFERROR(__xludf.DUMMYFUNCTION("""COMPUTED_VALUE"""),"DRC")</f>
        <v>DRC</v>
      </c>
      <c r="Y3353" s="124"/>
      <c r="Z3353" s="124">
        <f>IFERROR(__xludf.DUMMYFUNCTION("""COMPUTED_VALUE"""),1.0)</f>
        <v>1</v>
      </c>
      <c r="AA3353" s="124" t="str">
        <f>IFERROR(__xludf.DUMMYFUNCTION("""COMPUTED_VALUE"""),"Cold")</f>
        <v>Cold</v>
      </c>
      <c r="AB3353" s="124"/>
    </row>
    <row r="3354">
      <c r="K3354" s="124"/>
      <c r="L3354" s="124"/>
      <c r="M3354" s="124"/>
      <c r="N3354" s="124"/>
      <c r="O3354" s="124"/>
      <c r="T3354" s="126">
        <f>IFERROR(__xludf.DUMMYFUNCTION("""COMPUTED_VALUE"""),46052.0)</f>
        <v>46052</v>
      </c>
      <c r="U3354" s="124" t="str">
        <f>IFERROR(__xludf.DUMMYFUNCTION("""COMPUTED_VALUE"""),"External Leads")</f>
        <v>External Leads</v>
      </c>
      <c r="V3354" s="124" t="str">
        <f>IFERROR(__xludf.DUMMYFUNCTION("""COMPUTED_VALUE"""),"External Leads")</f>
        <v>External Leads</v>
      </c>
      <c r="W3354" s="124" t="str">
        <f>IFERROR(__xludf.DUMMYFUNCTION("""COMPUTED_VALUE"""),"Delhi")</f>
        <v>Delhi</v>
      </c>
      <c r="X3354" s="124" t="str">
        <f>IFERROR(__xludf.DUMMYFUNCTION("""COMPUTED_VALUE"""),"DRC")</f>
        <v>DRC</v>
      </c>
      <c r="Y3354" s="124"/>
      <c r="Z3354" s="124">
        <f>IFERROR(__xludf.DUMMYFUNCTION("""COMPUTED_VALUE"""),1.0)</f>
        <v>1</v>
      </c>
      <c r="AA3354" s="124" t="str">
        <f>IFERROR(__xludf.DUMMYFUNCTION("""COMPUTED_VALUE"""),"Fake Lead")</f>
        <v>Fake Lead</v>
      </c>
      <c r="AB3354" s="124"/>
    </row>
    <row r="3355">
      <c r="K3355" s="124"/>
      <c r="L3355" s="124"/>
      <c r="M3355" s="124"/>
      <c r="N3355" s="124"/>
      <c r="O3355" s="124"/>
      <c r="T3355" s="126">
        <f>IFERROR(__xludf.DUMMYFUNCTION("""COMPUTED_VALUE"""),46112.0)</f>
        <v>46112</v>
      </c>
      <c r="U3355" s="124" t="str">
        <f>IFERROR(__xludf.DUMMYFUNCTION("""COMPUTED_VALUE"""),"Walk-Ins")</f>
        <v>Walk-Ins</v>
      </c>
      <c r="V3355" s="124" t="str">
        <f>IFERROR(__xludf.DUMMYFUNCTION("""COMPUTED_VALUE"""),"Walk-In")</f>
        <v>Walk-In</v>
      </c>
      <c r="W3355" s="124" t="str">
        <f>IFERROR(__xludf.DUMMYFUNCTION("""COMPUTED_VALUE"""),"Prayagraj")</f>
        <v>Prayagraj</v>
      </c>
      <c r="X3355" s="124" t="str">
        <f>IFERROR(__xludf.DUMMYFUNCTION("""COMPUTED_VALUE"""),"Shivanshi")</f>
        <v>Shivanshi</v>
      </c>
      <c r="Y3355" s="124" t="str">
        <f>IFERROR(__xludf.DUMMYFUNCTION("""COMPUTED_VALUE"""),"Prayagraj")</f>
        <v>Prayagraj</v>
      </c>
      <c r="Z3355" s="124">
        <f>IFERROR(__xludf.DUMMYFUNCTION("""COMPUTED_VALUE"""),1.0)</f>
        <v>1</v>
      </c>
      <c r="AA3355" s="124" t="str">
        <f>IFERROR(__xludf.DUMMYFUNCTION("""COMPUTED_VALUE"""),"Warm")</f>
        <v>Warm</v>
      </c>
      <c r="AB3355" s="124" t="str">
        <f>IFERROR(__xludf.DUMMYFUNCTION("""COMPUTED_VALUE"""),"GS Foundation")</f>
        <v>GS Foundation</v>
      </c>
    </row>
    <row r="3356">
      <c r="K3356" s="124"/>
      <c r="L3356" s="124"/>
      <c r="M3356" s="124"/>
      <c r="N3356" s="124"/>
      <c r="O3356" s="124"/>
      <c r="T3356" s="129">
        <f>IFERROR(__xludf.DUMMYFUNCTION("""COMPUTED_VALUE"""),46087.0)</f>
        <v>46087</v>
      </c>
      <c r="U3356" s="124" t="str">
        <f>IFERROR(__xludf.DUMMYFUNCTION("""COMPUTED_VALUE"""),"Walk-Ins")</f>
        <v>Walk-Ins</v>
      </c>
      <c r="V3356" s="124" t="str">
        <f>IFERROR(__xludf.DUMMYFUNCTION("""COMPUTED_VALUE"""),"Walk-In")</f>
        <v>Walk-In</v>
      </c>
      <c r="W3356" s="124" t="str">
        <f>IFERROR(__xludf.DUMMYFUNCTION("""COMPUTED_VALUE"""),"Prayagraj")</f>
        <v>Prayagraj</v>
      </c>
      <c r="X3356" s="124" t="str">
        <f>IFERROR(__xludf.DUMMYFUNCTION("""COMPUTED_VALUE"""),"Shivanshi")</f>
        <v>Shivanshi</v>
      </c>
      <c r="Y3356" s="124" t="str">
        <f>IFERROR(__xludf.DUMMYFUNCTION("""COMPUTED_VALUE"""),"Prayagraj")</f>
        <v>Prayagraj</v>
      </c>
      <c r="Z3356" s="124">
        <f>IFERROR(__xludf.DUMMYFUNCTION("""COMPUTED_VALUE"""),1.0)</f>
        <v>1</v>
      </c>
      <c r="AA3356" s="124" t="str">
        <f>IFERROR(__xludf.DUMMYFUNCTION("""COMPUTED_VALUE"""),"Cold")</f>
        <v>Cold</v>
      </c>
      <c r="AB3356" s="124" t="str">
        <f>IFERROR(__xludf.DUMMYFUNCTION("""COMPUTED_VALUE"""),"Other")</f>
        <v>Other</v>
      </c>
    </row>
    <row r="3357">
      <c r="K3357" s="124"/>
      <c r="L3357" s="124"/>
      <c r="M3357" s="124"/>
      <c r="N3357" s="124"/>
      <c r="O3357" s="124"/>
      <c r="T3357" s="126">
        <f>IFERROR(__xludf.DUMMYFUNCTION("""COMPUTED_VALUE"""),46104.0)</f>
        <v>46104</v>
      </c>
      <c r="U3357" s="124" t="str">
        <f>IFERROR(__xludf.DUMMYFUNCTION("""COMPUTED_VALUE"""),"Walk-Ins")</f>
        <v>Walk-Ins</v>
      </c>
      <c r="V3357" s="124" t="str">
        <f>IFERROR(__xludf.DUMMYFUNCTION("""COMPUTED_VALUE"""),"Walk-In")</f>
        <v>Walk-In</v>
      </c>
      <c r="W3357" s="124" t="str">
        <f>IFERROR(__xludf.DUMMYFUNCTION("""COMPUTED_VALUE"""),"Prayagraj")</f>
        <v>Prayagraj</v>
      </c>
      <c r="X3357" s="124" t="str">
        <f>IFERROR(__xludf.DUMMYFUNCTION("""COMPUTED_VALUE"""),"Shivanshi")</f>
        <v>Shivanshi</v>
      </c>
      <c r="Y3357" s="124" t="str">
        <f>IFERROR(__xludf.DUMMYFUNCTION("""COMPUTED_VALUE"""),"Prayagraj")</f>
        <v>Prayagraj</v>
      </c>
      <c r="Z3357" s="124">
        <f>IFERROR(__xludf.DUMMYFUNCTION("""COMPUTED_VALUE"""),1.0)</f>
        <v>1</v>
      </c>
      <c r="AA3357" s="124" t="str">
        <f>IFERROR(__xludf.DUMMYFUNCTION("""COMPUTED_VALUE"""),"Warm")</f>
        <v>Warm</v>
      </c>
      <c r="AB3357" s="124" t="str">
        <f>IFERROR(__xludf.DUMMYFUNCTION("""COMPUTED_VALUE"""),"State PCS")</f>
        <v>State PCS</v>
      </c>
    </row>
    <row r="3358">
      <c r="K3358" s="124"/>
      <c r="L3358" s="124"/>
      <c r="M3358" s="124"/>
      <c r="N3358" s="124"/>
      <c r="O3358" s="124"/>
      <c r="T3358" s="126">
        <f>IFERROR(__xludf.DUMMYFUNCTION("""COMPUTED_VALUE"""),46106.0)</f>
        <v>46106</v>
      </c>
      <c r="U3358" s="124" t="str">
        <f>IFERROR(__xludf.DUMMYFUNCTION("""COMPUTED_VALUE"""),"Walk-Ins")</f>
        <v>Walk-Ins</v>
      </c>
      <c r="V3358" s="124" t="str">
        <f>IFERROR(__xludf.DUMMYFUNCTION("""COMPUTED_VALUE"""),"Walk-In")</f>
        <v>Walk-In</v>
      </c>
      <c r="W3358" s="124" t="str">
        <f>IFERROR(__xludf.DUMMYFUNCTION("""COMPUTED_VALUE"""),"Prayagraj")</f>
        <v>Prayagraj</v>
      </c>
      <c r="X3358" s="124" t="str">
        <f>IFERROR(__xludf.DUMMYFUNCTION("""COMPUTED_VALUE"""),"Shivanshi")</f>
        <v>Shivanshi</v>
      </c>
      <c r="Y3358" s="124" t="str">
        <f>IFERROR(__xludf.DUMMYFUNCTION("""COMPUTED_VALUE"""),"Prayagraj")</f>
        <v>Prayagraj</v>
      </c>
      <c r="Z3358" s="124">
        <f>IFERROR(__xludf.DUMMYFUNCTION("""COMPUTED_VALUE"""),1.0)</f>
        <v>1</v>
      </c>
      <c r="AA3358" s="124" t="str">
        <f>IFERROR(__xludf.DUMMYFUNCTION("""COMPUTED_VALUE"""),"Fake Lead")</f>
        <v>Fake Lead</v>
      </c>
      <c r="AB3358" s="124" t="str">
        <f>IFERROR(__xludf.DUMMYFUNCTION("""COMPUTED_VALUE"""),"GS Foundation")</f>
        <v>GS Foundation</v>
      </c>
    </row>
    <row r="3359">
      <c r="K3359" s="124"/>
      <c r="L3359" s="124"/>
      <c r="M3359" s="124"/>
      <c r="N3359" s="124"/>
      <c r="O3359" s="124"/>
      <c r="T3359" s="126">
        <f>IFERROR(__xludf.DUMMYFUNCTION("""COMPUTED_VALUE"""),46063.0)</f>
        <v>46063</v>
      </c>
      <c r="U3359" s="124" t="str">
        <f>IFERROR(__xludf.DUMMYFUNCTION("""COMPUTED_VALUE"""),"Telephony")</f>
        <v>Telephony</v>
      </c>
      <c r="V3359" s="124" t="str">
        <f>IFERROR(__xludf.DUMMYFUNCTION("""COMPUTED_VALUE"""),"Inbound Call")</f>
        <v>Inbound Call</v>
      </c>
      <c r="W3359" s="124" t="str">
        <f>IFERROR(__xludf.DUMMYFUNCTION("""COMPUTED_VALUE"""),"Inbound Call")</f>
        <v>Inbound Call</v>
      </c>
      <c r="X3359" s="124" t="str">
        <f>IFERROR(__xludf.DUMMYFUNCTION("""COMPUTED_VALUE"""),"Inbound Call")</f>
        <v>Inbound Call</v>
      </c>
      <c r="Y3359" s="124" t="str">
        <f>IFERROR(__xludf.DUMMYFUNCTION("""COMPUTED_VALUE"""),"Indore")</f>
        <v>Indore</v>
      </c>
      <c r="Z3359" s="124">
        <f>IFERROR(__xludf.DUMMYFUNCTION("""COMPUTED_VALUE"""),1.0)</f>
        <v>1</v>
      </c>
      <c r="AA3359" s="124" t="str">
        <f>IFERROR(__xludf.DUMMYFUNCTION("""COMPUTED_VALUE"""),"Fake Lead")</f>
        <v>Fake Lead</v>
      </c>
      <c r="AB3359" s="124"/>
    </row>
    <row r="3360">
      <c r="K3360" s="124"/>
      <c r="L3360" s="124"/>
      <c r="M3360" s="124"/>
      <c r="N3360" s="124"/>
      <c r="O3360" s="124"/>
      <c r="T3360" s="126">
        <f>IFERROR(__xludf.DUMMYFUNCTION("""COMPUTED_VALUE"""),46078.0)</f>
        <v>46078</v>
      </c>
      <c r="U3360" s="124" t="str">
        <f>IFERROR(__xludf.DUMMYFUNCTION("""COMPUTED_VALUE"""),"Telephony")</f>
        <v>Telephony</v>
      </c>
      <c r="V3360" s="124" t="str">
        <f>IFERROR(__xludf.DUMMYFUNCTION("""COMPUTED_VALUE"""),"Inbound Call")</f>
        <v>Inbound Call</v>
      </c>
      <c r="W3360" s="124" t="str">
        <f>IFERROR(__xludf.DUMMYFUNCTION("""COMPUTED_VALUE"""),"Inbound Call")</f>
        <v>Inbound Call</v>
      </c>
      <c r="X3360" s="124" t="str">
        <f>IFERROR(__xludf.DUMMYFUNCTION("""COMPUTED_VALUE"""),"Inbound Call")</f>
        <v>Inbound Call</v>
      </c>
      <c r="Y3360" s="124" t="str">
        <f>IFERROR(__xludf.DUMMYFUNCTION("""COMPUTED_VALUE"""),"Prayagraj")</f>
        <v>Prayagraj</v>
      </c>
      <c r="Z3360" s="124">
        <f>IFERROR(__xludf.DUMMYFUNCTION("""COMPUTED_VALUE"""),1.0)</f>
        <v>1</v>
      </c>
      <c r="AA3360" s="124" t="str">
        <f>IFERROR(__xludf.DUMMYFUNCTION("""COMPUTED_VALUE"""),"Cold")</f>
        <v>Cold</v>
      </c>
      <c r="AB3360" s="124" t="str">
        <f>IFERROR(__xludf.DUMMYFUNCTION("""COMPUTED_VALUE"""),"GS Foundation")</f>
        <v>GS Foundation</v>
      </c>
    </row>
    <row r="3361">
      <c r="K3361" s="124"/>
      <c r="L3361" s="124"/>
      <c r="M3361" s="124"/>
      <c r="N3361" s="124"/>
      <c r="O3361" s="124"/>
      <c r="T3361" s="126">
        <f>IFERROR(__xludf.DUMMYFUNCTION("""COMPUTED_VALUE"""),46097.0)</f>
        <v>46097</v>
      </c>
      <c r="U3361" s="124" t="str">
        <f>IFERROR(__xludf.DUMMYFUNCTION("""COMPUTED_VALUE"""),"Telephony")</f>
        <v>Telephony</v>
      </c>
      <c r="V3361" s="124" t="str">
        <f>IFERROR(__xludf.DUMMYFUNCTION("""COMPUTED_VALUE"""),"Inbound Call")</f>
        <v>Inbound Call</v>
      </c>
      <c r="W3361" s="124">
        <f>IFERROR(__xludf.DUMMYFUNCTION("""COMPUTED_VALUE"""),9.18047861633E11)</f>
        <v>918047861633</v>
      </c>
      <c r="X3361" s="124" t="str">
        <f>IFERROR(__xludf.DUMMYFUNCTION("""COMPUTED_VALUE"""),"Inbound Call")</f>
        <v>Inbound Call</v>
      </c>
      <c r="Y3361" s="124" t="str">
        <f>IFERROR(__xludf.DUMMYFUNCTION("""COMPUTED_VALUE"""),"Patna")</f>
        <v>Patna</v>
      </c>
      <c r="Z3361" s="124">
        <f>IFERROR(__xludf.DUMMYFUNCTION("""COMPUTED_VALUE"""),1.0)</f>
        <v>1</v>
      </c>
      <c r="AA3361" s="124" t="str">
        <f>IFERROR(__xludf.DUMMYFUNCTION("""COMPUTED_VALUE"""),"Warm")</f>
        <v>Warm</v>
      </c>
      <c r="AB3361" s="124" t="str">
        <f>IFERROR(__xludf.DUMMYFUNCTION("""COMPUTED_VALUE"""),"Test Series")</f>
        <v>Test Series</v>
      </c>
    </row>
    <row r="3362">
      <c r="K3362" s="124"/>
      <c r="L3362" s="124"/>
      <c r="M3362" s="124"/>
      <c r="N3362" s="124"/>
      <c r="O3362" s="124"/>
      <c r="T3362" s="126">
        <f>IFERROR(__xludf.DUMMYFUNCTION("""COMPUTED_VALUE"""),46093.0)</f>
        <v>46093</v>
      </c>
      <c r="U3362" s="124" t="str">
        <f>IFERROR(__xludf.DUMMYFUNCTION("""COMPUTED_VALUE"""),"Telephony")</f>
        <v>Telephony</v>
      </c>
      <c r="V3362" s="124" t="str">
        <f>IFERROR(__xludf.DUMMYFUNCTION("""COMPUTED_VALUE"""),"Inbound Call")</f>
        <v>Inbound Call</v>
      </c>
      <c r="W3362" s="124">
        <f>IFERROR(__xludf.DUMMYFUNCTION("""COMPUTED_VALUE"""),9.18047861631E11)</f>
        <v>918047861631</v>
      </c>
      <c r="X3362" s="124" t="str">
        <f>IFERROR(__xludf.DUMMYFUNCTION("""COMPUTED_VALUE"""),"Inbound Call")</f>
        <v>Inbound Call</v>
      </c>
      <c r="Y3362" s="124"/>
      <c r="Z3362" s="124">
        <f>IFERROR(__xludf.DUMMYFUNCTION("""COMPUTED_VALUE"""),3.0)</f>
        <v>3</v>
      </c>
      <c r="AA3362" s="124" t="str">
        <f>IFERROR(__xludf.DUMMYFUNCTION("""COMPUTED_VALUE"""),"Cold")</f>
        <v>Cold</v>
      </c>
      <c r="AB3362" s="124"/>
    </row>
    <row r="3363">
      <c r="K3363" s="124"/>
      <c r="L3363" s="124"/>
      <c r="M3363" s="124"/>
      <c r="N3363" s="124"/>
      <c r="O3363" s="124"/>
      <c r="T3363" s="126">
        <f>IFERROR(__xludf.DUMMYFUNCTION("""COMPUTED_VALUE"""),46053.0)</f>
        <v>46053</v>
      </c>
      <c r="U3363" s="124" t="str">
        <f>IFERROR(__xludf.DUMMYFUNCTION("""COMPUTED_VALUE"""),"Telephony")</f>
        <v>Telephony</v>
      </c>
      <c r="V3363" s="124" t="str">
        <f>IFERROR(__xludf.DUMMYFUNCTION("""COMPUTED_VALUE"""),"Inbound Call")</f>
        <v>Inbound Call</v>
      </c>
      <c r="W3363" s="124" t="str">
        <f>IFERROR(__xludf.DUMMYFUNCTION("""COMPUTED_VALUE"""),"Inbound Call")</f>
        <v>Inbound Call</v>
      </c>
      <c r="X3363" s="124" t="str">
        <f>IFERROR(__xludf.DUMMYFUNCTION("""COMPUTED_VALUE"""),"Inbound Call")</f>
        <v>Inbound Call</v>
      </c>
      <c r="Y3363" s="124" t="str">
        <f>IFERROR(__xludf.DUMMYFUNCTION("""COMPUTED_VALUE"""),"Patna")</f>
        <v>Patna</v>
      </c>
      <c r="Z3363" s="124">
        <f>IFERROR(__xludf.DUMMYFUNCTION("""COMPUTED_VALUE"""),1.0)</f>
        <v>1</v>
      </c>
      <c r="AA3363" s="124" t="str">
        <f>IFERROR(__xludf.DUMMYFUNCTION("""COMPUTED_VALUE"""),"Enrolled")</f>
        <v>Enrolled</v>
      </c>
      <c r="AB3363" s="124" t="str">
        <f>IFERROR(__xludf.DUMMYFUNCTION("""COMPUTED_VALUE"""),"State PCS")</f>
        <v>State PCS</v>
      </c>
    </row>
    <row r="3364">
      <c r="K3364" s="124"/>
      <c r="L3364" s="124"/>
      <c r="M3364" s="124"/>
      <c r="N3364" s="124"/>
      <c r="O3364" s="124"/>
      <c r="T3364" s="126">
        <f>IFERROR(__xludf.DUMMYFUNCTION("""COMPUTED_VALUE"""),46109.0)</f>
        <v>46109</v>
      </c>
      <c r="U3364" s="124" t="str">
        <f>IFERROR(__xludf.DUMMYFUNCTION("""COMPUTED_VALUE"""),"Telephony")</f>
        <v>Telephony</v>
      </c>
      <c r="V3364" s="124" t="str">
        <f>IFERROR(__xludf.DUMMYFUNCTION("""COMPUTED_VALUE"""),"Inbound Call")</f>
        <v>Inbound Call</v>
      </c>
      <c r="W3364" s="124" t="str">
        <f>IFERROR(__xludf.DUMMYFUNCTION("""COMPUTED_VALUE"""),"Inbound Call")</f>
        <v>Inbound Call</v>
      </c>
      <c r="X3364" s="124" t="str">
        <f>IFERROR(__xludf.DUMMYFUNCTION("""COMPUTED_VALUE"""),"Inbound Call")</f>
        <v>Inbound Call</v>
      </c>
      <c r="Y3364" s="124" t="str">
        <f>IFERROR(__xludf.DUMMYFUNCTION("""COMPUTED_VALUE"""),"Lucknow")</f>
        <v>Lucknow</v>
      </c>
      <c r="Z3364" s="124">
        <f>IFERROR(__xludf.DUMMYFUNCTION("""COMPUTED_VALUE"""),1.0)</f>
        <v>1</v>
      </c>
      <c r="AA3364" s="124" t="str">
        <f>IFERROR(__xludf.DUMMYFUNCTION("""COMPUTED_VALUE"""),"Enrolled")</f>
        <v>Enrolled</v>
      </c>
      <c r="AB3364" s="124" t="str">
        <f>IFERROR(__xludf.DUMMYFUNCTION("""COMPUTED_VALUE"""),"GS Foundation")</f>
        <v>GS Foundation</v>
      </c>
    </row>
    <row r="3365">
      <c r="K3365" s="124"/>
      <c r="L3365" s="124"/>
      <c r="M3365" s="124"/>
      <c r="N3365" s="124"/>
      <c r="O3365" s="124"/>
      <c r="T3365" s="126">
        <f>IFERROR(__xludf.DUMMYFUNCTION("""COMPUTED_VALUE"""),46045.0)</f>
        <v>46045</v>
      </c>
      <c r="U3365" s="124" t="str">
        <f>IFERROR(__xludf.DUMMYFUNCTION("""COMPUTED_VALUE"""),"Telephony")</f>
        <v>Telephony</v>
      </c>
      <c r="V3365" s="124" t="str">
        <f>IFERROR(__xludf.DUMMYFUNCTION("""COMPUTED_VALUE"""),"Inbound Call")</f>
        <v>Inbound Call</v>
      </c>
      <c r="W3365" s="124">
        <f>IFERROR(__xludf.DUMMYFUNCTION("""COMPUTED_VALUE"""),9.18047861635E11)</f>
        <v>918047861635</v>
      </c>
      <c r="X3365" s="124" t="str">
        <f>IFERROR(__xludf.DUMMYFUNCTION("""COMPUTED_VALUE"""),"Inbound Call")</f>
        <v>Inbound Call</v>
      </c>
      <c r="Y3365" s="124"/>
      <c r="Z3365" s="124">
        <f>IFERROR(__xludf.DUMMYFUNCTION("""COMPUTED_VALUE"""),1.0)</f>
        <v>1</v>
      </c>
      <c r="AA3365" s="124" t="str">
        <f>IFERROR(__xludf.DUMMYFUNCTION("""COMPUTED_VALUE"""),"Fake Lead")</f>
        <v>Fake Lead</v>
      </c>
      <c r="AB3365" s="124"/>
    </row>
    <row r="3366">
      <c r="K3366" s="124"/>
      <c r="L3366" s="124"/>
      <c r="M3366" s="124"/>
      <c r="N3366" s="124"/>
      <c r="O3366" s="124"/>
      <c r="T3366" s="129">
        <f>IFERROR(__xludf.DUMMYFUNCTION("""COMPUTED_VALUE"""),46083.0)</f>
        <v>46083</v>
      </c>
      <c r="U3366" s="124" t="str">
        <f>IFERROR(__xludf.DUMMYFUNCTION("""COMPUTED_VALUE"""),"Telephony")</f>
        <v>Telephony</v>
      </c>
      <c r="V3366" s="124" t="str">
        <f>IFERROR(__xludf.DUMMYFUNCTION("""COMPUTED_VALUE"""),"Inbound Call")</f>
        <v>Inbound Call</v>
      </c>
      <c r="W3366" s="124">
        <f>IFERROR(__xludf.DUMMYFUNCTION("""COMPUTED_VALUE"""),9.18047861631E11)</f>
        <v>918047861631</v>
      </c>
      <c r="X3366" s="124" t="str">
        <f>IFERROR(__xludf.DUMMYFUNCTION("""COMPUTED_VALUE"""),"Inbound Call")</f>
        <v>Inbound Call</v>
      </c>
      <c r="Y3366" s="124"/>
      <c r="Z3366" s="124">
        <f>IFERROR(__xludf.DUMMYFUNCTION("""COMPUTED_VALUE"""),3.0)</f>
        <v>3</v>
      </c>
      <c r="AA3366" s="124" t="str">
        <f>IFERROR(__xludf.DUMMYFUNCTION("""COMPUTED_VALUE"""),"Cold")</f>
        <v>Cold</v>
      </c>
      <c r="AB3366" s="124"/>
    </row>
    <row r="3367">
      <c r="K3367" s="124"/>
      <c r="L3367" s="124"/>
      <c r="M3367" s="124"/>
      <c r="N3367" s="124"/>
      <c r="O3367" s="124"/>
      <c r="T3367" s="129">
        <f>IFERROR(__xludf.DUMMYFUNCTION("""COMPUTED_VALUE"""),46087.0)</f>
        <v>46087</v>
      </c>
      <c r="U3367" s="124" t="str">
        <f>IFERROR(__xludf.DUMMYFUNCTION("""COMPUTED_VALUE"""),"Telephony")</f>
        <v>Telephony</v>
      </c>
      <c r="V3367" s="124" t="str">
        <f>IFERROR(__xludf.DUMMYFUNCTION("""COMPUTED_VALUE"""),"Inbound Call")</f>
        <v>Inbound Call</v>
      </c>
      <c r="W3367" s="124">
        <f>IFERROR(__xludf.DUMMYFUNCTION("""COMPUTED_VALUE"""),9.18047861663E11)</f>
        <v>918047861663</v>
      </c>
      <c r="X3367" s="124" t="str">
        <f>IFERROR(__xludf.DUMMYFUNCTION("""COMPUTED_VALUE"""),"Inbound Call")</f>
        <v>Inbound Call</v>
      </c>
      <c r="Y3367" s="124" t="str">
        <f>IFERROR(__xludf.DUMMYFUNCTION("""COMPUTED_VALUE"""),"Delhi")</f>
        <v>Delhi</v>
      </c>
      <c r="Z3367" s="124">
        <f>IFERROR(__xludf.DUMMYFUNCTION("""COMPUTED_VALUE"""),1.0)</f>
        <v>1</v>
      </c>
      <c r="AA3367" s="124" t="str">
        <f>IFERROR(__xludf.DUMMYFUNCTION("""COMPUTED_VALUE"""),"Enrolled")</f>
        <v>Enrolled</v>
      </c>
      <c r="AB3367" s="124" t="str">
        <f>IFERROR(__xludf.DUMMYFUNCTION("""COMPUTED_VALUE"""),"GS Foundation")</f>
        <v>GS Foundation</v>
      </c>
    </row>
    <row r="3368">
      <c r="K3368" s="124"/>
      <c r="L3368" s="124"/>
      <c r="M3368" s="124"/>
      <c r="N3368" s="124"/>
      <c r="O3368" s="124"/>
      <c r="T3368" s="126">
        <f>IFERROR(__xludf.DUMMYFUNCTION("""COMPUTED_VALUE"""),46051.0)</f>
        <v>46051</v>
      </c>
      <c r="U3368" s="124" t="str">
        <f>IFERROR(__xludf.DUMMYFUNCTION("""COMPUTED_VALUE"""),"Telephony")</f>
        <v>Telephony</v>
      </c>
      <c r="V3368" s="124" t="str">
        <f>IFERROR(__xludf.DUMMYFUNCTION("""COMPUTED_VALUE"""),"Inbound Call")</f>
        <v>Inbound Call</v>
      </c>
      <c r="W3368" s="124">
        <f>IFERROR(__xludf.DUMMYFUNCTION("""COMPUTED_VALUE"""),9.18047861663E11)</f>
        <v>918047861663</v>
      </c>
      <c r="X3368" s="124" t="str">
        <f>IFERROR(__xludf.DUMMYFUNCTION("""COMPUTED_VALUE"""),"Inbound Call")</f>
        <v>Inbound Call</v>
      </c>
      <c r="Y3368" s="124" t="str">
        <f>IFERROR(__xludf.DUMMYFUNCTION("""COMPUTED_VALUE"""),"Delhi")</f>
        <v>Delhi</v>
      </c>
      <c r="Z3368" s="124">
        <f>IFERROR(__xludf.DUMMYFUNCTION("""COMPUTED_VALUE"""),1.0)</f>
        <v>1</v>
      </c>
      <c r="AA3368" s="124" t="str">
        <f>IFERROR(__xludf.DUMMYFUNCTION("""COMPUTED_VALUE"""),"Cold")</f>
        <v>Cold</v>
      </c>
      <c r="AB3368" s="124" t="str">
        <f>IFERROR(__xludf.DUMMYFUNCTION("""COMPUTED_VALUE"""),"GS Foundation")</f>
        <v>GS Foundation</v>
      </c>
    </row>
    <row r="3369">
      <c r="K3369" s="124"/>
      <c r="L3369" s="124"/>
      <c r="M3369" s="124"/>
      <c r="N3369" s="124"/>
      <c r="O3369" s="124"/>
      <c r="T3369" s="126">
        <f>IFERROR(__xludf.DUMMYFUNCTION("""COMPUTED_VALUE"""),46076.0)</f>
        <v>46076</v>
      </c>
      <c r="U3369" s="124" t="str">
        <f>IFERROR(__xludf.DUMMYFUNCTION("""COMPUTED_VALUE"""),"Telephony")</f>
        <v>Telephony</v>
      </c>
      <c r="V3369" s="124" t="str">
        <f>IFERROR(__xludf.DUMMYFUNCTION("""COMPUTED_VALUE"""),"Inbound Call")</f>
        <v>Inbound Call</v>
      </c>
      <c r="W3369" s="124" t="str">
        <f>IFERROR(__xludf.DUMMYFUNCTION("""COMPUTED_VALUE"""),"Inbound Call")</f>
        <v>Inbound Call</v>
      </c>
      <c r="X3369" s="124" t="str">
        <f>IFERROR(__xludf.DUMMYFUNCTION("""COMPUTED_VALUE"""),"Inbound Call")</f>
        <v>Inbound Call</v>
      </c>
      <c r="Y3369" s="124"/>
      <c r="Z3369" s="124">
        <f>IFERROR(__xludf.DUMMYFUNCTION("""COMPUTED_VALUE"""),1.0)</f>
        <v>1</v>
      </c>
      <c r="AA3369" s="124" t="str">
        <f>IFERROR(__xludf.DUMMYFUNCTION("""COMPUTED_VALUE"""),"Cold")</f>
        <v>Cold</v>
      </c>
      <c r="AB3369" s="124"/>
    </row>
    <row r="3370">
      <c r="K3370" s="124"/>
      <c r="L3370" s="124"/>
      <c r="M3370" s="124"/>
      <c r="N3370" s="124"/>
      <c r="O3370" s="124"/>
      <c r="T3370" s="126">
        <f>IFERROR(__xludf.DUMMYFUNCTION("""COMPUTED_VALUE"""),46112.0)</f>
        <v>46112</v>
      </c>
      <c r="U3370" s="124" t="str">
        <f>IFERROR(__xludf.DUMMYFUNCTION("""COMPUTED_VALUE"""),"Telephony")</f>
        <v>Telephony</v>
      </c>
      <c r="V3370" s="124" t="str">
        <f>IFERROR(__xludf.DUMMYFUNCTION("""COMPUTED_VALUE"""),"Inbound Call")</f>
        <v>Inbound Call</v>
      </c>
      <c r="W3370" s="124">
        <f>IFERROR(__xludf.DUMMYFUNCTION("""COMPUTED_VALUE"""),9.18047861631E11)</f>
        <v>918047861631</v>
      </c>
      <c r="X3370" s="124" t="str">
        <f>IFERROR(__xludf.DUMMYFUNCTION("""COMPUTED_VALUE"""),"Inbound Call")</f>
        <v>Inbound Call</v>
      </c>
      <c r="Y3370" s="124"/>
      <c r="Z3370" s="124">
        <f>IFERROR(__xludf.DUMMYFUNCTION("""COMPUTED_VALUE"""),1.0)</f>
        <v>1</v>
      </c>
      <c r="AA3370" s="124"/>
      <c r="AB3370" s="124"/>
    </row>
    <row r="3371">
      <c r="K3371" s="124"/>
      <c r="L3371" s="124"/>
      <c r="M3371" s="124"/>
      <c r="N3371" s="124"/>
      <c r="O3371" s="124"/>
      <c r="T3371" s="126">
        <f>IFERROR(__xludf.DUMMYFUNCTION("""COMPUTED_VALUE"""),46045.0)</f>
        <v>46045</v>
      </c>
      <c r="U3371" s="124" t="str">
        <f>IFERROR(__xludf.DUMMYFUNCTION("""COMPUTED_VALUE"""),"Telephony")</f>
        <v>Telephony</v>
      </c>
      <c r="V3371" s="124" t="str">
        <f>IFERROR(__xludf.DUMMYFUNCTION("""COMPUTED_VALUE"""),"Inbound Call")</f>
        <v>Inbound Call</v>
      </c>
      <c r="W3371" s="124">
        <f>IFERROR(__xludf.DUMMYFUNCTION("""COMPUTED_VALUE"""),9.18047861631E11)</f>
        <v>918047861631</v>
      </c>
      <c r="X3371" s="124" t="str">
        <f>IFERROR(__xludf.DUMMYFUNCTION("""COMPUTED_VALUE"""),"Inbound Call")</f>
        <v>Inbound Call</v>
      </c>
      <c r="Y3371" s="124"/>
      <c r="Z3371" s="124">
        <f>IFERROR(__xludf.DUMMYFUNCTION("""COMPUTED_VALUE"""),1.0)</f>
        <v>1</v>
      </c>
      <c r="AA3371" s="124" t="str">
        <f>IFERROR(__xludf.DUMMYFUNCTION("""COMPUTED_VALUE"""),"Fake Lead")</f>
        <v>Fake Lead</v>
      </c>
      <c r="AB3371" s="124"/>
    </row>
    <row r="3372">
      <c r="K3372" s="124"/>
      <c r="L3372" s="124"/>
      <c r="M3372" s="124"/>
      <c r="N3372" s="124"/>
      <c r="O3372" s="124"/>
      <c r="T3372" s="126">
        <f>IFERROR(__xludf.DUMMYFUNCTION("""COMPUTED_VALUE"""),46103.0)</f>
        <v>46103</v>
      </c>
      <c r="U3372" s="124" t="str">
        <f>IFERROR(__xludf.DUMMYFUNCTION("""COMPUTED_VALUE"""),"Telephony")</f>
        <v>Telephony</v>
      </c>
      <c r="V3372" s="124" t="str">
        <f>IFERROR(__xludf.DUMMYFUNCTION("""COMPUTED_VALUE"""),"Inbound Call")</f>
        <v>Inbound Call</v>
      </c>
      <c r="W3372" s="124" t="str">
        <f>IFERROR(__xludf.DUMMYFUNCTION("""COMPUTED_VALUE"""),"Inbound Call")</f>
        <v>Inbound Call</v>
      </c>
      <c r="X3372" s="124" t="str">
        <f>IFERROR(__xludf.DUMMYFUNCTION("""COMPUTED_VALUE"""),"Inbound Call")</f>
        <v>Inbound Call</v>
      </c>
      <c r="Y3372" s="124" t="str">
        <f>IFERROR(__xludf.DUMMYFUNCTION("""COMPUTED_VALUE"""),"Lucknow")</f>
        <v>Lucknow</v>
      </c>
      <c r="Z3372" s="124">
        <f>IFERROR(__xludf.DUMMYFUNCTION("""COMPUTED_VALUE"""),1.0)</f>
        <v>1</v>
      </c>
      <c r="AA3372" s="124" t="str">
        <f>IFERROR(__xludf.DUMMYFUNCTION("""COMPUTED_VALUE"""),"Enrolled")</f>
        <v>Enrolled</v>
      </c>
      <c r="AB3372" s="124" t="str">
        <f>IFERROR(__xludf.DUMMYFUNCTION("""COMPUTED_VALUE"""),"GS Foundation")</f>
        <v>GS Foundation</v>
      </c>
    </row>
    <row r="3373">
      <c r="K3373" s="124"/>
      <c r="L3373" s="124"/>
      <c r="M3373" s="124"/>
      <c r="N3373" s="124"/>
      <c r="O3373" s="124"/>
      <c r="T3373" s="126">
        <f>IFERROR(__xludf.DUMMYFUNCTION("""COMPUTED_VALUE"""),46111.0)</f>
        <v>46111</v>
      </c>
      <c r="U3373" s="124" t="str">
        <f>IFERROR(__xludf.DUMMYFUNCTION("""COMPUTED_VALUE"""),"Telephony")</f>
        <v>Telephony</v>
      </c>
      <c r="V3373" s="124" t="str">
        <f>IFERROR(__xludf.DUMMYFUNCTION("""COMPUTED_VALUE"""),"Inbound Call")</f>
        <v>Inbound Call</v>
      </c>
      <c r="W3373" s="124">
        <f>IFERROR(__xludf.DUMMYFUNCTION("""COMPUTED_VALUE"""),9.18047861663E11)</f>
        <v>918047861663</v>
      </c>
      <c r="X3373" s="124" t="str">
        <f>IFERROR(__xludf.DUMMYFUNCTION("""COMPUTED_VALUE"""),"Inbound Call")</f>
        <v>Inbound Call</v>
      </c>
      <c r="Y3373" s="124" t="str">
        <f>IFERROR(__xludf.DUMMYFUNCTION("""COMPUTED_VALUE"""),"Patna")</f>
        <v>Patna</v>
      </c>
      <c r="Z3373" s="124">
        <f>IFERROR(__xludf.DUMMYFUNCTION("""COMPUTED_VALUE"""),1.0)</f>
        <v>1</v>
      </c>
      <c r="AA3373" s="124" t="str">
        <f>IFERROR(__xludf.DUMMYFUNCTION("""COMPUTED_VALUE"""),"Warm")</f>
        <v>Warm</v>
      </c>
      <c r="AB3373" s="124" t="str">
        <f>IFERROR(__xludf.DUMMYFUNCTION("""COMPUTED_VALUE"""),"GS Foundation")</f>
        <v>GS Foundation</v>
      </c>
    </row>
    <row r="3374">
      <c r="K3374" s="124"/>
      <c r="L3374" s="124"/>
      <c r="M3374" s="124"/>
      <c r="N3374" s="124"/>
      <c r="O3374" s="124"/>
      <c r="T3374" s="129">
        <f>IFERROR(__xludf.DUMMYFUNCTION("""COMPUTED_VALUE"""),46090.0)</f>
        <v>46090</v>
      </c>
      <c r="U3374" s="124" t="str">
        <f>IFERROR(__xludf.DUMMYFUNCTION("""COMPUTED_VALUE"""),"Telephony")</f>
        <v>Telephony</v>
      </c>
      <c r="V3374" s="124" t="str">
        <f>IFERROR(__xludf.DUMMYFUNCTION("""COMPUTED_VALUE"""),"Inbound Call")</f>
        <v>Inbound Call</v>
      </c>
      <c r="W3374" s="124">
        <f>IFERROR(__xludf.DUMMYFUNCTION("""COMPUTED_VALUE"""),9.18047861635E11)</f>
        <v>918047861635</v>
      </c>
      <c r="X3374" s="124" t="str">
        <f>IFERROR(__xludf.DUMMYFUNCTION("""COMPUTED_VALUE"""),"Inbound Call")</f>
        <v>Inbound Call</v>
      </c>
      <c r="Y3374" s="124" t="str">
        <f>IFERROR(__xludf.DUMMYFUNCTION("""COMPUTED_VALUE"""),"Indore")</f>
        <v>Indore</v>
      </c>
      <c r="Z3374" s="124">
        <f>IFERROR(__xludf.DUMMYFUNCTION("""COMPUTED_VALUE"""),1.0)</f>
        <v>1</v>
      </c>
      <c r="AA3374" s="124" t="str">
        <f>IFERROR(__xludf.DUMMYFUNCTION("""COMPUTED_VALUE"""),"Not Interested")</f>
        <v>Not Interested</v>
      </c>
      <c r="AB3374" s="124" t="str">
        <f>IFERROR(__xludf.DUMMYFUNCTION("""COMPUTED_VALUE"""),"GS Foundation")</f>
        <v>GS Foundation</v>
      </c>
    </row>
    <row r="3375">
      <c r="K3375" s="124"/>
      <c r="L3375" s="124"/>
      <c r="M3375" s="124"/>
      <c r="N3375" s="124"/>
      <c r="O3375" s="124"/>
      <c r="T3375" s="129">
        <f>IFERROR(__xludf.DUMMYFUNCTION("""COMPUTED_VALUE"""),46059.0)</f>
        <v>46059</v>
      </c>
      <c r="U3375" s="124" t="str">
        <f>IFERROR(__xludf.DUMMYFUNCTION("""COMPUTED_VALUE"""),"Paid Ads")</f>
        <v>Paid Ads</v>
      </c>
      <c r="V3375" s="124" t="str">
        <f>IFERROR(__xludf.DUMMYFUNCTION("""COMPUTED_VALUE"""),"facebook")</f>
        <v>facebook</v>
      </c>
      <c r="W3375" s="124" t="str">
        <f>IFERROR(__xludf.DUMMYFUNCTION("""COMPUTED_VALUE"""),"delhi")</f>
        <v>delhi</v>
      </c>
      <c r="X3375" s="124" t="str">
        <f>IFERROR(__xludf.DUMMYFUNCTION("""COMPUTED_VALUE"""),"fbleads")</f>
        <v>fbleads</v>
      </c>
      <c r="Y3375" s="124" t="str">
        <f>IFERROR(__xludf.DUMMYFUNCTION("""COMPUTED_VALUE"""),"Delhi")</f>
        <v>Delhi</v>
      </c>
      <c r="Z3375" s="124">
        <f>IFERROR(__xludf.DUMMYFUNCTION("""COMPUTED_VALUE"""),1.0)</f>
        <v>1</v>
      </c>
      <c r="AA3375" s="124" t="str">
        <f>IFERROR(__xludf.DUMMYFUNCTION("""COMPUTED_VALUE"""),"Not Interested")</f>
        <v>Not Interested</v>
      </c>
      <c r="AB3375" s="124"/>
    </row>
    <row r="3376">
      <c r="K3376" s="124"/>
      <c r="L3376" s="124"/>
      <c r="M3376" s="124"/>
      <c r="N3376" s="124"/>
      <c r="O3376" s="124"/>
      <c r="T3376" s="126">
        <f>IFERROR(__xludf.DUMMYFUNCTION("""COMPUTED_VALUE"""),46102.0)</f>
        <v>46102</v>
      </c>
      <c r="U3376" s="124" t="str">
        <f>IFERROR(__xludf.DUMMYFUNCTION("""COMPUTED_VALUE"""),"Telephony")</f>
        <v>Telephony</v>
      </c>
      <c r="V3376" s="124" t="str">
        <f>IFERROR(__xludf.DUMMYFUNCTION("""COMPUTED_VALUE"""),"Inbound Call")</f>
        <v>Inbound Call</v>
      </c>
      <c r="W3376" s="124">
        <f>IFERROR(__xludf.DUMMYFUNCTION("""COMPUTED_VALUE"""),9.18047861635E11)</f>
        <v>918047861635</v>
      </c>
      <c r="X3376" s="124" t="str">
        <f>IFERROR(__xludf.DUMMYFUNCTION("""COMPUTED_VALUE"""),"Inbound Call")</f>
        <v>Inbound Call</v>
      </c>
      <c r="Y3376" s="124" t="str">
        <f>IFERROR(__xludf.DUMMYFUNCTION("""COMPUTED_VALUE"""),"Indore")</f>
        <v>Indore</v>
      </c>
      <c r="Z3376" s="124">
        <f>IFERROR(__xludf.DUMMYFUNCTION("""COMPUTED_VALUE"""),1.0)</f>
        <v>1</v>
      </c>
      <c r="AA3376" s="124" t="str">
        <f>IFERROR(__xludf.DUMMYFUNCTION("""COMPUTED_VALUE"""),"Cold")</f>
        <v>Cold</v>
      </c>
      <c r="AB3376" s="124"/>
    </row>
    <row r="3377">
      <c r="K3377" s="124"/>
      <c r="L3377" s="124"/>
      <c r="M3377" s="124"/>
      <c r="N3377" s="124"/>
      <c r="O3377" s="124"/>
      <c r="T3377" s="126">
        <f>IFERROR(__xludf.DUMMYFUNCTION("""COMPUTED_VALUE"""),46103.0)</f>
        <v>46103</v>
      </c>
      <c r="U3377" s="124" t="str">
        <f>IFERROR(__xludf.DUMMYFUNCTION("""COMPUTED_VALUE"""),"Telephony")</f>
        <v>Telephony</v>
      </c>
      <c r="V3377" s="124" t="str">
        <f>IFERROR(__xludf.DUMMYFUNCTION("""COMPUTED_VALUE"""),"Inbound Call")</f>
        <v>Inbound Call</v>
      </c>
      <c r="W3377" s="124">
        <f>IFERROR(__xludf.DUMMYFUNCTION("""COMPUTED_VALUE"""),9.18047861663E11)</f>
        <v>918047861663</v>
      </c>
      <c r="X3377" s="124" t="str">
        <f>IFERROR(__xludf.DUMMYFUNCTION("""COMPUTED_VALUE"""),"Inbound Call")</f>
        <v>Inbound Call</v>
      </c>
      <c r="Y3377" s="124"/>
      <c r="Z3377" s="124">
        <f>IFERROR(__xludf.DUMMYFUNCTION("""COMPUTED_VALUE"""),1.0)</f>
        <v>1</v>
      </c>
      <c r="AA3377" s="124" t="str">
        <f>IFERROR(__xludf.DUMMYFUNCTION("""COMPUTED_VALUE"""),"Cold")</f>
        <v>Cold</v>
      </c>
      <c r="AB3377" s="124"/>
    </row>
    <row r="3378">
      <c r="K3378" s="124"/>
      <c r="L3378" s="124"/>
      <c r="M3378" s="124"/>
      <c r="N3378" s="124"/>
      <c r="O3378" s="124"/>
      <c r="T3378" s="126">
        <f>IFERROR(__xludf.DUMMYFUNCTION("""COMPUTED_VALUE"""),46097.0)</f>
        <v>46097</v>
      </c>
      <c r="U3378" s="124" t="str">
        <f>IFERROR(__xludf.DUMMYFUNCTION("""COMPUTED_VALUE"""),"Telephony")</f>
        <v>Telephony</v>
      </c>
      <c r="V3378" s="124" t="str">
        <f>IFERROR(__xludf.DUMMYFUNCTION("""COMPUTED_VALUE"""),"Inbound Call")</f>
        <v>Inbound Call</v>
      </c>
      <c r="W3378" s="124">
        <f>IFERROR(__xludf.DUMMYFUNCTION("""COMPUTED_VALUE"""),9.18047861633E11)</f>
        <v>918047861633</v>
      </c>
      <c r="X3378" s="124" t="str">
        <f>IFERROR(__xludf.DUMMYFUNCTION("""COMPUTED_VALUE"""),"Inbound Call")</f>
        <v>Inbound Call</v>
      </c>
      <c r="Y3378" s="124"/>
      <c r="Z3378" s="124">
        <f>IFERROR(__xludf.DUMMYFUNCTION("""COMPUTED_VALUE"""),1.0)</f>
        <v>1</v>
      </c>
      <c r="AA3378" s="124" t="str">
        <f>IFERROR(__xludf.DUMMYFUNCTION("""COMPUTED_VALUE"""),"Enrolled")</f>
        <v>Enrolled</v>
      </c>
      <c r="AB3378" s="124" t="str">
        <f>IFERROR(__xludf.DUMMYFUNCTION("""COMPUTED_VALUE"""),"State PCS")</f>
        <v>State PCS</v>
      </c>
    </row>
    <row r="3379">
      <c r="K3379" s="124"/>
      <c r="L3379" s="124"/>
      <c r="M3379" s="124"/>
      <c r="N3379" s="124"/>
      <c r="O3379" s="124"/>
      <c r="T3379" s="129">
        <f>IFERROR(__xludf.DUMMYFUNCTION("""COMPUTED_VALUE"""),46057.0)</f>
        <v>46057</v>
      </c>
      <c r="U3379" s="124" t="str">
        <f>IFERROR(__xludf.DUMMYFUNCTION("""COMPUTED_VALUE"""),"Telephony")</f>
        <v>Telephony</v>
      </c>
      <c r="V3379" s="124" t="str">
        <f>IFERROR(__xludf.DUMMYFUNCTION("""COMPUTED_VALUE"""),"Inbound Call")</f>
        <v>Inbound Call</v>
      </c>
      <c r="W3379" s="124" t="str">
        <f>IFERROR(__xludf.DUMMYFUNCTION("""COMPUTED_VALUE"""),"Inbound Call")</f>
        <v>Inbound Call</v>
      </c>
      <c r="X3379" s="124" t="str">
        <f>IFERROR(__xludf.DUMMYFUNCTION("""COMPUTED_VALUE"""),"Inbound Call")</f>
        <v>Inbound Call</v>
      </c>
      <c r="Y3379" s="124" t="str">
        <f>IFERROR(__xludf.DUMMYFUNCTION("""COMPUTED_VALUE"""),"Indore")</f>
        <v>Indore</v>
      </c>
      <c r="Z3379" s="124">
        <f>IFERROR(__xludf.DUMMYFUNCTION("""COMPUTED_VALUE"""),1.0)</f>
        <v>1</v>
      </c>
      <c r="AA3379" s="124" t="str">
        <f>IFERROR(__xludf.DUMMYFUNCTION("""COMPUTED_VALUE"""),"Cold")</f>
        <v>Cold</v>
      </c>
      <c r="AB3379" s="124" t="str">
        <f>IFERROR(__xludf.DUMMYFUNCTION("""COMPUTED_VALUE"""),"GS Foundation")</f>
        <v>GS Foundation</v>
      </c>
    </row>
    <row r="3380">
      <c r="K3380" s="124"/>
      <c r="L3380" s="124"/>
      <c r="M3380" s="124"/>
      <c r="N3380" s="124"/>
      <c r="O3380" s="124"/>
      <c r="T3380" s="126">
        <f>IFERROR(__xludf.DUMMYFUNCTION("""COMPUTED_VALUE"""),46044.0)</f>
        <v>46044</v>
      </c>
      <c r="U3380" s="124" t="str">
        <f>IFERROR(__xludf.DUMMYFUNCTION("""COMPUTED_VALUE"""),"Telephony")</f>
        <v>Telephony</v>
      </c>
      <c r="V3380" s="124" t="str">
        <f>IFERROR(__xludf.DUMMYFUNCTION("""COMPUTED_VALUE"""),"Inbound Call")</f>
        <v>Inbound Call</v>
      </c>
      <c r="W3380" s="124">
        <f>IFERROR(__xludf.DUMMYFUNCTION("""COMPUTED_VALUE"""),9.18047861635E11)</f>
        <v>918047861635</v>
      </c>
      <c r="X3380" s="124" t="str">
        <f>IFERROR(__xludf.DUMMYFUNCTION("""COMPUTED_VALUE"""),"Inbound Call")</f>
        <v>Inbound Call</v>
      </c>
      <c r="Y3380" s="124"/>
      <c r="Z3380" s="124">
        <f>IFERROR(__xludf.DUMMYFUNCTION("""COMPUTED_VALUE"""),1.0)</f>
        <v>1</v>
      </c>
      <c r="AA3380" s="124" t="str">
        <f>IFERROR(__xludf.DUMMYFUNCTION("""COMPUTED_VALUE"""),"Fake Lead")</f>
        <v>Fake Lead</v>
      </c>
      <c r="AB3380" s="124"/>
    </row>
    <row r="3381">
      <c r="K3381" s="124"/>
      <c r="L3381" s="124"/>
      <c r="M3381" s="124"/>
      <c r="N3381" s="124"/>
      <c r="O3381" s="124"/>
      <c r="T3381" s="126">
        <f>IFERROR(__xludf.DUMMYFUNCTION("""COMPUTED_VALUE"""),46071.0)</f>
        <v>46071</v>
      </c>
      <c r="U3381" s="124" t="str">
        <f>IFERROR(__xludf.DUMMYFUNCTION("""COMPUTED_VALUE"""),"Telephony")</f>
        <v>Telephony</v>
      </c>
      <c r="V3381" s="124" t="str">
        <f>IFERROR(__xludf.DUMMYFUNCTION("""COMPUTED_VALUE"""),"Inbound Call")</f>
        <v>Inbound Call</v>
      </c>
      <c r="W3381" s="124">
        <f>IFERROR(__xludf.DUMMYFUNCTION("""COMPUTED_VALUE"""),9.18047861631E11)</f>
        <v>918047861631</v>
      </c>
      <c r="X3381" s="124" t="str">
        <f>IFERROR(__xludf.DUMMYFUNCTION("""COMPUTED_VALUE"""),"Inbound Call")</f>
        <v>Inbound Call</v>
      </c>
      <c r="Y3381" s="124"/>
      <c r="Z3381" s="124">
        <f>IFERROR(__xludf.DUMMYFUNCTION("""COMPUTED_VALUE"""),1.0)</f>
        <v>1</v>
      </c>
      <c r="AA3381" s="124" t="str">
        <f>IFERROR(__xludf.DUMMYFUNCTION("""COMPUTED_VALUE"""),"Cold")</f>
        <v>Cold</v>
      </c>
      <c r="AB3381" s="124"/>
    </row>
    <row r="3382">
      <c r="K3382" s="124"/>
      <c r="L3382" s="124"/>
      <c r="M3382" s="124"/>
      <c r="N3382" s="124"/>
      <c r="O3382" s="124"/>
      <c r="T3382" s="129">
        <f>IFERROR(__xludf.DUMMYFUNCTION("""COMPUTED_VALUE"""),46057.0)</f>
        <v>46057</v>
      </c>
      <c r="U3382" s="124" t="str">
        <f>IFERROR(__xludf.DUMMYFUNCTION("""COMPUTED_VALUE"""),"Telephony")</f>
        <v>Telephony</v>
      </c>
      <c r="V3382" s="124" t="str">
        <f>IFERROR(__xludf.DUMMYFUNCTION("""COMPUTED_VALUE"""),"Inbound Call")</f>
        <v>Inbound Call</v>
      </c>
      <c r="W3382" s="124" t="str">
        <f>IFERROR(__xludf.DUMMYFUNCTION("""COMPUTED_VALUE"""),"Inbound Call")</f>
        <v>Inbound Call</v>
      </c>
      <c r="X3382" s="124" t="str">
        <f>IFERROR(__xludf.DUMMYFUNCTION("""COMPUTED_VALUE"""),"Inbound Call")</f>
        <v>Inbound Call</v>
      </c>
      <c r="Y3382" s="124"/>
      <c r="Z3382" s="124">
        <f>IFERROR(__xludf.DUMMYFUNCTION("""COMPUTED_VALUE"""),1.0)</f>
        <v>1</v>
      </c>
      <c r="AA3382" s="124" t="str">
        <f>IFERROR(__xludf.DUMMYFUNCTION("""COMPUTED_VALUE"""),"Fake Lead")</f>
        <v>Fake Lead</v>
      </c>
      <c r="AB3382" s="124"/>
    </row>
    <row r="3383">
      <c r="K3383" s="124"/>
      <c r="L3383" s="124"/>
      <c r="M3383" s="124"/>
      <c r="N3383" s="124"/>
      <c r="O3383" s="124"/>
      <c r="T3383" s="126">
        <f>IFERROR(__xludf.DUMMYFUNCTION("""COMPUTED_VALUE"""),46078.0)</f>
        <v>46078</v>
      </c>
      <c r="U3383" s="124" t="str">
        <f>IFERROR(__xludf.DUMMYFUNCTION("""COMPUTED_VALUE"""),"Telephony")</f>
        <v>Telephony</v>
      </c>
      <c r="V3383" s="124" t="str">
        <f>IFERROR(__xludf.DUMMYFUNCTION("""COMPUTED_VALUE"""),"Inbound Call")</f>
        <v>Inbound Call</v>
      </c>
      <c r="W3383" s="124">
        <f>IFERROR(__xludf.DUMMYFUNCTION("""COMPUTED_VALUE"""),9.18047861631E11)</f>
        <v>918047861631</v>
      </c>
      <c r="X3383" s="124" t="str">
        <f>IFERROR(__xludf.DUMMYFUNCTION("""COMPUTED_VALUE"""),"Inbound Call")</f>
        <v>Inbound Call</v>
      </c>
      <c r="Y3383" s="124" t="str">
        <f>IFERROR(__xludf.DUMMYFUNCTION("""COMPUTED_VALUE"""),"Delhi")</f>
        <v>Delhi</v>
      </c>
      <c r="Z3383" s="124">
        <f>IFERROR(__xludf.DUMMYFUNCTION("""COMPUTED_VALUE"""),1.0)</f>
        <v>1</v>
      </c>
      <c r="AA3383" s="124" t="str">
        <f>IFERROR(__xludf.DUMMYFUNCTION("""COMPUTED_VALUE"""),"Cold")</f>
        <v>Cold</v>
      </c>
      <c r="AB3383" s="124"/>
    </row>
    <row r="3384">
      <c r="K3384" s="124"/>
      <c r="L3384" s="124"/>
      <c r="M3384" s="124"/>
      <c r="N3384" s="124"/>
      <c r="O3384" s="124"/>
      <c r="T3384" s="129">
        <f>IFERROR(__xludf.DUMMYFUNCTION("""COMPUTED_VALUE"""),46086.0)</f>
        <v>46086</v>
      </c>
      <c r="U3384" s="124" t="str">
        <f>IFERROR(__xludf.DUMMYFUNCTION("""COMPUTED_VALUE"""),"Telephony")</f>
        <v>Telephony</v>
      </c>
      <c r="V3384" s="124" t="str">
        <f>IFERROR(__xludf.DUMMYFUNCTION("""COMPUTED_VALUE"""),"Inbound Call")</f>
        <v>Inbound Call</v>
      </c>
      <c r="W3384" s="124">
        <f>IFERROR(__xludf.DUMMYFUNCTION("""COMPUTED_VALUE"""),9.18047861635E11)</f>
        <v>918047861635</v>
      </c>
      <c r="X3384" s="124" t="str">
        <f>IFERROR(__xludf.DUMMYFUNCTION("""COMPUTED_VALUE"""),"Inbound Call")</f>
        <v>Inbound Call</v>
      </c>
      <c r="Y3384" s="124" t="str">
        <f>IFERROR(__xludf.DUMMYFUNCTION("""COMPUTED_VALUE"""),"Indore")</f>
        <v>Indore</v>
      </c>
      <c r="Z3384" s="124">
        <f>IFERROR(__xludf.DUMMYFUNCTION("""COMPUTED_VALUE"""),2.0)</f>
        <v>2</v>
      </c>
      <c r="AA3384" s="124" t="str">
        <f>IFERROR(__xludf.DUMMYFUNCTION("""COMPUTED_VALUE"""),"Cold")</f>
        <v>Cold</v>
      </c>
      <c r="AB3384" s="124"/>
    </row>
    <row r="3385">
      <c r="K3385" s="124"/>
      <c r="L3385" s="124"/>
      <c r="M3385" s="124"/>
      <c r="N3385" s="124"/>
      <c r="O3385" s="124"/>
      <c r="T3385" s="126">
        <f>IFERROR(__xludf.DUMMYFUNCTION("""COMPUTED_VALUE"""),46050.0)</f>
        <v>46050</v>
      </c>
      <c r="U3385" s="124" t="str">
        <f>IFERROR(__xludf.DUMMYFUNCTION("""COMPUTED_VALUE"""),"Telephony")</f>
        <v>Telephony</v>
      </c>
      <c r="V3385" s="124" t="str">
        <f>IFERROR(__xludf.DUMMYFUNCTION("""COMPUTED_VALUE"""),"Inbound Call")</f>
        <v>Inbound Call</v>
      </c>
      <c r="W3385" s="124">
        <f>IFERROR(__xludf.DUMMYFUNCTION("""COMPUTED_VALUE"""),9.18047861633E11)</f>
        <v>918047861633</v>
      </c>
      <c r="X3385" s="124" t="str">
        <f>IFERROR(__xludf.DUMMYFUNCTION("""COMPUTED_VALUE"""),"Inbound Call")</f>
        <v>Inbound Call</v>
      </c>
      <c r="Y3385" s="124"/>
      <c r="Z3385" s="124">
        <f>IFERROR(__xludf.DUMMYFUNCTION("""COMPUTED_VALUE"""),2.0)</f>
        <v>2</v>
      </c>
      <c r="AA3385" s="124" t="str">
        <f>IFERROR(__xludf.DUMMYFUNCTION("""COMPUTED_VALUE"""),"Cold")</f>
        <v>Cold</v>
      </c>
      <c r="AB3385" s="124"/>
    </row>
    <row r="3386">
      <c r="K3386" s="124"/>
      <c r="L3386" s="124"/>
      <c r="M3386" s="124"/>
      <c r="N3386" s="124"/>
      <c r="O3386" s="124"/>
      <c r="T3386" s="126">
        <f>IFERROR(__xludf.DUMMYFUNCTION("""COMPUTED_VALUE"""),46047.0)</f>
        <v>46047</v>
      </c>
      <c r="U3386" s="124" t="str">
        <f>IFERROR(__xludf.DUMMYFUNCTION("""COMPUTED_VALUE"""),"Telephony")</f>
        <v>Telephony</v>
      </c>
      <c r="V3386" s="124" t="str">
        <f>IFERROR(__xludf.DUMMYFUNCTION("""COMPUTED_VALUE"""),"Inbound Call")</f>
        <v>Inbound Call</v>
      </c>
      <c r="W3386" s="124">
        <f>IFERROR(__xludf.DUMMYFUNCTION("""COMPUTED_VALUE"""),9.18047861663E11)</f>
        <v>918047861663</v>
      </c>
      <c r="X3386" s="124" t="str">
        <f>IFERROR(__xludf.DUMMYFUNCTION("""COMPUTED_VALUE"""),"Inbound Call")</f>
        <v>Inbound Call</v>
      </c>
      <c r="Y3386" s="124"/>
      <c r="Z3386" s="124">
        <f>IFERROR(__xludf.DUMMYFUNCTION("""COMPUTED_VALUE"""),1.0)</f>
        <v>1</v>
      </c>
      <c r="AA3386" s="124" t="str">
        <f>IFERROR(__xludf.DUMMYFUNCTION("""COMPUTED_VALUE"""),"Fake Lead")</f>
        <v>Fake Lead</v>
      </c>
      <c r="AB3386" s="124"/>
    </row>
    <row r="3387">
      <c r="K3387" s="124"/>
      <c r="L3387" s="124"/>
      <c r="M3387" s="124"/>
      <c r="N3387" s="124"/>
      <c r="O3387" s="124"/>
      <c r="T3387" s="126">
        <f>IFERROR(__xludf.DUMMYFUNCTION("""COMPUTED_VALUE"""),46103.0)</f>
        <v>46103</v>
      </c>
      <c r="U3387" s="124" t="str">
        <f>IFERROR(__xludf.DUMMYFUNCTION("""COMPUTED_VALUE"""),"Telephony")</f>
        <v>Telephony</v>
      </c>
      <c r="V3387" s="124" t="str">
        <f>IFERROR(__xludf.DUMMYFUNCTION("""COMPUTED_VALUE"""),"Inbound Call")</f>
        <v>Inbound Call</v>
      </c>
      <c r="W3387" s="124">
        <f>IFERROR(__xludf.DUMMYFUNCTION("""COMPUTED_VALUE"""),9.18047861663E11)</f>
        <v>918047861663</v>
      </c>
      <c r="X3387" s="124" t="str">
        <f>IFERROR(__xludf.DUMMYFUNCTION("""COMPUTED_VALUE"""),"Inbound Call")</f>
        <v>Inbound Call</v>
      </c>
      <c r="Y3387" s="124"/>
      <c r="Z3387" s="124">
        <f>IFERROR(__xludf.DUMMYFUNCTION("""COMPUTED_VALUE"""),1.0)</f>
        <v>1</v>
      </c>
      <c r="AA3387" s="124" t="str">
        <f>IFERROR(__xludf.DUMMYFUNCTION("""COMPUTED_VALUE"""),"Not Interested")</f>
        <v>Not Interested</v>
      </c>
      <c r="AB3387" s="124"/>
    </row>
    <row r="3388">
      <c r="K3388" s="124"/>
      <c r="L3388" s="124"/>
      <c r="M3388" s="124"/>
      <c r="N3388" s="124"/>
      <c r="O3388" s="124"/>
      <c r="T3388" s="126">
        <f>IFERROR(__xludf.DUMMYFUNCTION("""COMPUTED_VALUE"""),46079.0)</f>
        <v>46079</v>
      </c>
      <c r="U3388" s="124" t="str">
        <f>IFERROR(__xludf.DUMMYFUNCTION("""COMPUTED_VALUE"""),"Telephony")</f>
        <v>Telephony</v>
      </c>
      <c r="V3388" s="124" t="str">
        <f>IFERROR(__xludf.DUMMYFUNCTION("""COMPUTED_VALUE"""),"Inbound Call")</f>
        <v>Inbound Call</v>
      </c>
      <c r="W3388" s="124">
        <f>IFERROR(__xludf.DUMMYFUNCTION("""COMPUTED_VALUE"""),9.18047861663E11)</f>
        <v>918047861663</v>
      </c>
      <c r="X3388" s="124" t="str">
        <f>IFERROR(__xludf.DUMMYFUNCTION("""COMPUTED_VALUE"""),"Inbound Call")</f>
        <v>Inbound Call</v>
      </c>
      <c r="Y3388" s="124" t="str">
        <f>IFERROR(__xludf.DUMMYFUNCTION("""COMPUTED_VALUE"""),"Delhi")</f>
        <v>Delhi</v>
      </c>
      <c r="Z3388" s="124">
        <f>IFERROR(__xludf.DUMMYFUNCTION("""COMPUTED_VALUE"""),1.0)</f>
        <v>1</v>
      </c>
      <c r="AA3388" s="124" t="str">
        <f>IFERROR(__xludf.DUMMYFUNCTION("""COMPUTED_VALUE"""),"Warm")</f>
        <v>Warm</v>
      </c>
      <c r="AB3388" s="124" t="str">
        <f>IFERROR(__xludf.DUMMYFUNCTION("""COMPUTED_VALUE"""),"GS Foundation")</f>
        <v>GS Foundation</v>
      </c>
    </row>
    <row r="3389">
      <c r="K3389" s="124"/>
      <c r="L3389" s="124"/>
      <c r="M3389" s="124"/>
      <c r="N3389" s="124"/>
      <c r="O3389" s="124"/>
      <c r="T3389" s="129">
        <f>IFERROR(__xludf.DUMMYFUNCTION("""COMPUTED_VALUE"""),46089.0)</f>
        <v>46089</v>
      </c>
      <c r="U3389" s="124" t="str">
        <f>IFERROR(__xludf.DUMMYFUNCTION("""COMPUTED_VALUE"""),"Telephony")</f>
        <v>Telephony</v>
      </c>
      <c r="V3389" s="124" t="str">
        <f>IFERROR(__xludf.DUMMYFUNCTION("""COMPUTED_VALUE"""),"Inbound Call")</f>
        <v>Inbound Call</v>
      </c>
      <c r="W3389" s="124">
        <f>IFERROR(__xludf.DUMMYFUNCTION("""COMPUTED_VALUE"""),9.18047861631E11)</f>
        <v>918047861631</v>
      </c>
      <c r="X3389" s="124" t="str">
        <f>IFERROR(__xludf.DUMMYFUNCTION("""COMPUTED_VALUE"""),"Inbound Call")</f>
        <v>Inbound Call</v>
      </c>
      <c r="Y3389" s="124" t="str">
        <f>IFERROR(__xludf.DUMMYFUNCTION("""COMPUTED_VALUE"""),"Delhi")</f>
        <v>Delhi</v>
      </c>
      <c r="Z3389" s="124">
        <f>IFERROR(__xludf.DUMMYFUNCTION("""COMPUTED_VALUE"""),1.0)</f>
        <v>1</v>
      </c>
      <c r="AA3389" s="124" t="str">
        <f>IFERROR(__xludf.DUMMYFUNCTION("""COMPUTED_VALUE"""),"Fake Lead")</f>
        <v>Fake Lead</v>
      </c>
      <c r="AB3389" s="124"/>
    </row>
    <row r="3390">
      <c r="K3390" s="124"/>
      <c r="L3390" s="124"/>
      <c r="M3390" s="124"/>
      <c r="N3390" s="124"/>
      <c r="O3390" s="124"/>
      <c r="T3390" s="129">
        <f>IFERROR(__xludf.DUMMYFUNCTION("""COMPUTED_VALUE"""),46061.0)</f>
        <v>46061</v>
      </c>
      <c r="U3390" s="124" t="str">
        <f>IFERROR(__xludf.DUMMYFUNCTION("""COMPUTED_VALUE"""),"Telephony")</f>
        <v>Telephony</v>
      </c>
      <c r="V3390" s="124" t="str">
        <f>IFERROR(__xludf.DUMMYFUNCTION("""COMPUTED_VALUE"""),"Inbound Call")</f>
        <v>Inbound Call</v>
      </c>
      <c r="W3390" s="124">
        <f>IFERROR(__xludf.DUMMYFUNCTION("""COMPUTED_VALUE"""),9.18047861633E11)</f>
        <v>918047861633</v>
      </c>
      <c r="X3390" s="124" t="str">
        <f>IFERROR(__xludf.DUMMYFUNCTION("""COMPUTED_VALUE"""),"Inbound Call")</f>
        <v>Inbound Call</v>
      </c>
      <c r="Y3390" s="124"/>
      <c r="Z3390" s="124">
        <f>IFERROR(__xludf.DUMMYFUNCTION("""COMPUTED_VALUE"""),1.0)</f>
        <v>1</v>
      </c>
      <c r="AA3390" s="124" t="str">
        <f>IFERROR(__xludf.DUMMYFUNCTION("""COMPUTED_VALUE"""),"Cold")</f>
        <v>Cold</v>
      </c>
      <c r="AB3390" s="124"/>
    </row>
    <row r="3391">
      <c r="K3391" s="124"/>
      <c r="L3391" s="124"/>
      <c r="M3391" s="124"/>
      <c r="N3391" s="124"/>
      <c r="O3391" s="124"/>
      <c r="T3391" s="126">
        <f>IFERROR(__xludf.DUMMYFUNCTION("""COMPUTED_VALUE"""),46112.0)</f>
        <v>46112</v>
      </c>
      <c r="U3391" s="124" t="str">
        <f>IFERROR(__xludf.DUMMYFUNCTION("""COMPUTED_VALUE"""),"Telephony")</f>
        <v>Telephony</v>
      </c>
      <c r="V3391" s="124" t="str">
        <f>IFERROR(__xludf.DUMMYFUNCTION("""COMPUTED_VALUE"""),"Inbound Call")</f>
        <v>Inbound Call</v>
      </c>
      <c r="W3391" s="124">
        <f>IFERROR(__xludf.DUMMYFUNCTION("""COMPUTED_VALUE"""),9.18047861635E11)</f>
        <v>918047861635</v>
      </c>
      <c r="X3391" s="124" t="str">
        <f>IFERROR(__xludf.DUMMYFUNCTION("""COMPUTED_VALUE"""),"Inbound Call")</f>
        <v>Inbound Call</v>
      </c>
      <c r="Y3391" s="124" t="str">
        <f>IFERROR(__xludf.DUMMYFUNCTION("""COMPUTED_VALUE"""),"Indore")</f>
        <v>Indore</v>
      </c>
      <c r="Z3391" s="124">
        <f>IFERROR(__xludf.DUMMYFUNCTION("""COMPUTED_VALUE"""),1.0)</f>
        <v>1</v>
      </c>
      <c r="AA3391" s="124" t="str">
        <f>IFERROR(__xludf.DUMMYFUNCTION("""COMPUTED_VALUE"""),"Cold")</f>
        <v>Cold</v>
      </c>
      <c r="AB3391" s="124"/>
    </row>
    <row r="3392">
      <c r="K3392" s="124"/>
      <c r="L3392" s="124"/>
      <c r="M3392" s="124"/>
      <c r="N3392" s="124"/>
      <c r="O3392" s="124"/>
      <c r="T3392" s="126">
        <f>IFERROR(__xludf.DUMMYFUNCTION("""COMPUTED_VALUE"""),46081.0)</f>
        <v>46081</v>
      </c>
      <c r="U3392" s="124" t="str">
        <f>IFERROR(__xludf.DUMMYFUNCTION("""COMPUTED_VALUE"""),"Telephony")</f>
        <v>Telephony</v>
      </c>
      <c r="V3392" s="124" t="str">
        <f>IFERROR(__xludf.DUMMYFUNCTION("""COMPUTED_VALUE"""),"Inbound Call")</f>
        <v>Inbound Call</v>
      </c>
      <c r="W3392" s="124">
        <f>IFERROR(__xludf.DUMMYFUNCTION("""COMPUTED_VALUE"""),9.18047861631E11)</f>
        <v>918047861631</v>
      </c>
      <c r="X3392" s="124" t="str">
        <f>IFERROR(__xludf.DUMMYFUNCTION("""COMPUTED_VALUE"""),"Inbound Call")</f>
        <v>Inbound Call</v>
      </c>
      <c r="Y3392" s="124"/>
      <c r="Z3392" s="124">
        <f>IFERROR(__xludf.DUMMYFUNCTION("""COMPUTED_VALUE"""),1.0)</f>
        <v>1</v>
      </c>
      <c r="AA3392" s="124" t="str">
        <f>IFERROR(__xludf.DUMMYFUNCTION("""COMPUTED_VALUE"""),"Fake Lead")</f>
        <v>Fake Lead</v>
      </c>
      <c r="AB3392" s="124"/>
    </row>
    <row r="3393">
      <c r="K3393" s="124"/>
      <c r="L3393" s="124"/>
      <c r="M3393" s="124"/>
      <c r="N3393" s="124"/>
      <c r="O3393" s="124"/>
      <c r="T3393" s="126">
        <f>IFERROR(__xludf.DUMMYFUNCTION("""COMPUTED_VALUE"""),46077.0)</f>
        <v>46077</v>
      </c>
      <c r="U3393" s="124" t="str">
        <f>IFERROR(__xludf.DUMMYFUNCTION("""COMPUTED_VALUE"""),"Telephony")</f>
        <v>Telephony</v>
      </c>
      <c r="V3393" s="124" t="str">
        <f>IFERROR(__xludf.DUMMYFUNCTION("""COMPUTED_VALUE"""),"Inbound Call")</f>
        <v>Inbound Call</v>
      </c>
      <c r="W3393" s="124" t="str">
        <f>IFERROR(__xludf.DUMMYFUNCTION("""COMPUTED_VALUE"""),"Inbound Call")</f>
        <v>Inbound Call</v>
      </c>
      <c r="X3393" s="124" t="str">
        <f>IFERROR(__xludf.DUMMYFUNCTION("""COMPUTED_VALUE"""),"Inbound Call")</f>
        <v>Inbound Call</v>
      </c>
      <c r="Y3393" s="124" t="str">
        <f>IFERROR(__xludf.DUMMYFUNCTION("""COMPUTED_VALUE"""),"Delhi")</f>
        <v>Delhi</v>
      </c>
      <c r="Z3393" s="124">
        <f>IFERROR(__xludf.DUMMYFUNCTION("""COMPUTED_VALUE"""),1.0)</f>
        <v>1</v>
      </c>
      <c r="AA3393" s="124" t="str">
        <f>IFERROR(__xludf.DUMMYFUNCTION("""COMPUTED_VALUE"""),"Not Interested")</f>
        <v>Not Interested</v>
      </c>
      <c r="AB3393" s="124" t="str">
        <f>IFERROR(__xludf.DUMMYFUNCTION("""COMPUTED_VALUE"""),"GS Foundation")</f>
        <v>GS Foundation</v>
      </c>
    </row>
    <row r="3394">
      <c r="K3394" s="124"/>
      <c r="L3394" s="124"/>
      <c r="M3394" s="124"/>
      <c r="N3394" s="124"/>
      <c r="O3394" s="124"/>
      <c r="T3394" s="126">
        <f>IFERROR(__xludf.DUMMYFUNCTION("""COMPUTED_VALUE"""),46079.0)</f>
        <v>46079</v>
      </c>
      <c r="U3394" s="124" t="str">
        <f>IFERROR(__xludf.DUMMYFUNCTION("""COMPUTED_VALUE"""),"Telephony")</f>
        <v>Telephony</v>
      </c>
      <c r="V3394" s="124" t="str">
        <f>IFERROR(__xludf.DUMMYFUNCTION("""COMPUTED_VALUE"""),"Inbound Call")</f>
        <v>Inbound Call</v>
      </c>
      <c r="W3394" s="124" t="str">
        <f>IFERROR(__xludf.DUMMYFUNCTION("""COMPUTED_VALUE"""),"Inbound Call")</f>
        <v>Inbound Call</v>
      </c>
      <c r="X3394" s="124" t="str">
        <f>IFERROR(__xludf.DUMMYFUNCTION("""COMPUTED_VALUE"""),"Inbound Call")</f>
        <v>Inbound Call</v>
      </c>
      <c r="Y3394" s="124"/>
      <c r="Z3394" s="124">
        <f>IFERROR(__xludf.DUMMYFUNCTION("""COMPUTED_VALUE"""),1.0)</f>
        <v>1</v>
      </c>
      <c r="AA3394" s="124" t="str">
        <f>IFERROR(__xludf.DUMMYFUNCTION("""COMPUTED_VALUE"""),"Cold")</f>
        <v>Cold</v>
      </c>
      <c r="AB3394" s="124" t="str">
        <f>IFERROR(__xludf.DUMMYFUNCTION("""COMPUTED_VALUE"""),"IGP UPPSC")</f>
        <v>IGP UPPSC</v>
      </c>
    </row>
    <row r="3395">
      <c r="K3395" s="124"/>
      <c r="L3395" s="124"/>
      <c r="M3395" s="124"/>
      <c r="N3395" s="124"/>
      <c r="O3395" s="124"/>
      <c r="T3395" s="126">
        <f>IFERROR(__xludf.DUMMYFUNCTION("""COMPUTED_VALUE"""),46077.0)</f>
        <v>46077</v>
      </c>
      <c r="U3395" s="124" t="str">
        <f>IFERROR(__xludf.DUMMYFUNCTION("""COMPUTED_VALUE"""),"Telephony")</f>
        <v>Telephony</v>
      </c>
      <c r="V3395" s="124" t="str">
        <f>IFERROR(__xludf.DUMMYFUNCTION("""COMPUTED_VALUE"""),"Inbound Call")</f>
        <v>Inbound Call</v>
      </c>
      <c r="W3395" s="124" t="str">
        <f>IFERROR(__xludf.DUMMYFUNCTION("""COMPUTED_VALUE"""),"Inbound Call")</f>
        <v>Inbound Call</v>
      </c>
      <c r="X3395" s="124" t="str">
        <f>IFERROR(__xludf.DUMMYFUNCTION("""COMPUTED_VALUE"""),"Inbound Call")</f>
        <v>Inbound Call</v>
      </c>
      <c r="Y3395" s="124"/>
      <c r="Z3395" s="124">
        <f>IFERROR(__xludf.DUMMYFUNCTION("""COMPUTED_VALUE"""),1.0)</f>
        <v>1</v>
      </c>
      <c r="AA3395" s="124" t="str">
        <f>IFERROR(__xludf.DUMMYFUNCTION("""COMPUTED_VALUE"""),"Cold")</f>
        <v>Cold</v>
      </c>
      <c r="AB3395" s="124" t="str">
        <f>IFERROR(__xludf.DUMMYFUNCTION("""COMPUTED_VALUE"""),"IGP UPPSC")</f>
        <v>IGP UPPSC</v>
      </c>
    </row>
    <row r="3396">
      <c r="K3396" s="124"/>
      <c r="L3396" s="124"/>
      <c r="M3396" s="124"/>
      <c r="N3396" s="124"/>
      <c r="O3396" s="124"/>
      <c r="T3396" s="129">
        <f>IFERROR(__xludf.DUMMYFUNCTION("""COMPUTED_VALUE"""),46056.0)</f>
        <v>46056</v>
      </c>
      <c r="U3396" s="124" t="str">
        <f>IFERROR(__xludf.DUMMYFUNCTION("""COMPUTED_VALUE"""),"Telephony")</f>
        <v>Telephony</v>
      </c>
      <c r="V3396" s="124" t="str">
        <f>IFERROR(__xludf.DUMMYFUNCTION("""COMPUTED_VALUE"""),"Inbound Call")</f>
        <v>Inbound Call</v>
      </c>
      <c r="W3396" s="124">
        <f>IFERROR(__xludf.DUMMYFUNCTION("""COMPUTED_VALUE"""),9.18047861633E11)</f>
        <v>918047861633</v>
      </c>
      <c r="X3396" s="124" t="str">
        <f>IFERROR(__xludf.DUMMYFUNCTION("""COMPUTED_VALUE"""),"Inbound Call")</f>
        <v>Inbound Call</v>
      </c>
      <c r="Y3396" s="124"/>
      <c r="Z3396" s="124">
        <f>IFERROR(__xludf.DUMMYFUNCTION("""COMPUTED_VALUE"""),1.0)</f>
        <v>1</v>
      </c>
      <c r="AA3396" s="124" t="str">
        <f>IFERROR(__xludf.DUMMYFUNCTION("""COMPUTED_VALUE"""),"Not Interested")</f>
        <v>Not Interested</v>
      </c>
      <c r="AB3396" s="124"/>
    </row>
    <row r="3397">
      <c r="K3397" s="124"/>
      <c r="L3397" s="124"/>
      <c r="M3397" s="124"/>
      <c r="N3397" s="124"/>
      <c r="O3397" s="124"/>
      <c r="T3397" s="126">
        <f>IFERROR(__xludf.DUMMYFUNCTION("""COMPUTED_VALUE"""),46098.0)</f>
        <v>46098</v>
      </c>
      <c r="U3397" s="124" t="str">
        <f>IFERROR(__xludf.DUMMYFUNCTION("""COMPUTED_VALUE"""),"Telephony")</f>
        <v>Telephony</v>
      </c>
      <c r="V3397" s="124" t="str">
        <f>IFERROR(__xludf.DUMMYFUNCTION("""COMPUTED_VALUE"""),"Inbound Call")</f>
        <v>Inbound Call</v>
      </c>
      <c r="W3397" s="124">
        <f>IFERROR(__xludf.DUMMYFUNCTION("""COMPUTED_VALUE"""),9.18047861634E11)</f>
        <v>918047861634</v>
      </c>
      <c r="X3397" s="124" t="str">
        <f>IFERROR(__xludf.DUMMYFUNCTION("""COMPUTED_VALUE"""),"Inbound Call")</f>
        <v>Inbound Call</v>
      </c>
      <c r="Y3397" s="124" t="str">
        <f>IFERROR(__xludf.DUMMYFUNCTION("""COMPUTED_VALUE"""),"Lucknow")</f>
        <v>Lucknow</v>
      </c>
      <c r="Z3397" s="124">
        <f>IFERROR(__xludf.DUMMYFUNCTION("""COMPUTED_VALUE"""),1.0)</f>
        <v>1</v>
      </c>
      <c r="AA3397" s="124" t="str">
        <f>IFERROR(__xludf.DUMMYFUNCTION("""COMPUTED_VALUE"""),"Cold")</f>
        <v>Cold</v>
      </c>
      <c r="AB3397" s="124" t="str">
        <f>IFERROR(__xludf.DUMMYFUNCTION("""COMPUTED_VALUE"""),"State PCS")</f>
        <v>State PCS</v>
      </c>
    </row>
    <row r="3398">
      <c r="K3398" s="124"/>
      <c r="L3398" s="124"/>
      <c r="M3398" s="124"/>
      <c r="N3398" s="124"/>
      <c r="O3398" s="124"/>
      <c r="T3398" s="126">
        <f>IFERROR(__xludf.DUMMYFUNCTION("""COMPUTED_VALUE"""),46105.0)</f>
        <v>46105</v>
      </c>
      <c r="U3398" s="124" t="str">
        <f>IFERROR(__xludf.DUMMYFUNCTION("""COMPUTED_VALUE"""),"Telephony")</f>
        <v>Telephony</v>
      </c>
      <c r="V3398" s="124" t="str">
        <f>IFERROR(__xludf.DUMMYFUNCTION("""COMPUTED_VALUE"""),"Inbound Call")</f>
        <v>Inbound Call</v>
      </c>
      <c r="W3398" s="124">
        <f>IFERROR(__xludf.DUMMYFUNCTION("""COMPUTED_VALUE"""),9.18047861635E11)</f>
        <v>918047861635</v>
      </c>
      <c r="X3398" s="124" t="str">
        <f>IFERROR(__xludf.DUMMYFUNCTION("""COMPUTED_VALUE"""),"Inbound Call")</f>
        <v>Inbound Call</v>
      </c>
      <c r="Y3398" s="124" t="str">
        <f>IFERROR(__xludf.DUMMYFUNCTION("""COMPUTED_VALUE"""),"Indore")</f>
        <v>Indore</v>
      </c>
      <c r="Z3398" s="124">
        <f>IFERROR(__xludf.DUMMYFUNCTION("""COMPUTED_VALUE"""),1.0)</f>
        <v>1</v>
      </c>
      <c r="AA3398" s="124" t="str">
        <f>IFERROR(__xludf.DUMMYFUNCTION("""COMPUTED_VALUE"""),"Fake Lead")</f>
        <v>Fake Lead</v>
      </c>
      <c r="AB3398" s="124"/>
    </row>
    <row r="3399">
      <c r="K3399" s="124"/>
      <c r="L3399" s="124"/>
      <c r="M3399" s="124"/>
      <c r="N3399" s="124"/>
      <c r="O3399" s="124"/>
      <c r="T3399" s="129">
        <f>IFERROR(__xludf.DUMMYFUNCTION("""COMPUTED_VALUE"""),46061.0)</f>
        <v>46061</v>
      </c>
      <c r="U3399" s="124" t="str">
        <f>IFERROR(__xludf.DUMMYFUNCTION("""COMPUTED_VALUE"""),"Telephony")</f>
        <v>Telephony</v>
      </c>
      <c r="V3399" s="124" t="str">
        <f>IFERROR(__xludf.DUMMYFUNCTION("""COMPUTED_VALUE"""),"Inbound Call")</f>
        <v>Inbound Call</v>
      </c>
      <c r="W3399" s="124" t="str">
        <f>IFERROR(__xludf.DUMMYFUNCTION("""COMPUTED_VALUE"""),"Inbound Call")</f>
        <v>Inbound Call</v>
      </c>
      <c r="X3399" s="124" t="str">
        <f>IFERROR(__xludf.DUMMYFUNCTION("""COMPUTED_VALUE"""),"Inbound Call")</f>
        <v>Inbound Call</v>
      </c>
      <c r="Y3399" s="124"/>
      <c r="Z3399" s="124">
        <f>IFERROR(__xludf.DUMMYFUNCTION("""COMPUTED_VALUE"""),1.0)</f>
        <v>1</v>
      </c>
      <c r="AA3399" s="124" t="str">
        <f>IFERROR(__xludf.DUMMYFUNCTION("""COMPUTED_VALUE"""),"Cold")</f>
        <v>Cold</v>
      </c>
      <c r="AB3399" s="124"/>
    </row>
    <row r="3400">
      <c r="K3400" s="124"/>
      <c r="L3400" s="124"/>
      <c r="M3400" s="124"/>
      <c r="N3400" s="124"/>
      <c r="O3400" s="124"/>
      <c r="T3400" s="126">
        <f>IFERROR(__xludf.DUMMYFUNCTION("""COMPUTED_VALUE"""),46094.0)</f>
        <v>46094</v>
      </c>
      <c r="U3400" s="124" t="str">
        <f>IFERROR(__xludf.DUMMYFUNCTION("""COMPUTED_VALUE"""),"Telephony")</f>
        <v>Telephony</v>
      </c>
      <c r="V3400" s="124" t="str">
        <f>IFERROR(__xludf.DUMMYFUNCTION("""COMPUTED_VALUE"""),"Inbound Call")</f>
        <v>Inbound Call</v>
      </c>
      <c r="W3400" s="124" t="str">
        <f>IFERROR(__xludf.DUMMYFUNCTION("""COMPUTED_VALUE"""),"Inbound Call")</f>
        <v>Inbound Call</v>
      </c>
      <c r="X3400" s="124" t="str">
        <f>IFERROR(__xludf.DUMMYFUNCTION("""COMPUTED_VALUE"""),"Inbound Call")</f>
        <v>Inbound Call</v>
      </c>
      <c r="Y3400" s="124"/>
      <c r="Z3400" s="124">
        <f>IFERROR(__xludf.DUMMYFUNCTION("""COMPUTED_VALUE"""),1.0)</f>
        <v>1</v>
      </c>
      <c r="AA3400" s="124" t="str">
        <f>IFERROR(__xludf.DUMMYFUNCTION("""COMPUTED_VALUE"""),"Cold")</f>
        <v>Cold</v>
      </c>
      <c r="AB3400" s="124"/>
    </row>
    <row r="3401">
      <c r="K3401" s="124"/>
      <c r="L3401" s="124"/>
      <c r="M3401" s="124"/>
      <c r="N3401" s="124"/>
      <c r="O3401" s="124"/>
      <c r="T3401" s="129">
        <f>IFERROR(__xludf.DUMMYFUNCTION("""COMPUTED_VALUE"""),46060.0)</f>
        <v>46060</v>
      </c>
      <c r="U3401" s="124" t="str">
        <f>IFERROR(__xludf.DUMMYFUNCTION("""COMPUTED_VALUE"""),"Telephony")</f>
        <v>Telephony</v>
      </c>
      <c r="V3401" s="124" t="str">
        <f>IFERROR(__xludf.DUMMYFUNCTION("""COMPUTED_VALUE"""),"Inbound Call")</f>
        <v>Inbound Call</v>
      </c>
      <c r="W3401" s="124" t="str">
        <f>IFERROR(__xludf.DUMMYFUNCTION("""COMPUTED_VALUE"""),"Inbound Call")</f>
        <v>Inbound Call</v>
      </c>
      <c r="X3401" s="124" t="str">
        <f>IFERROR(__xludf.DUMMYFUNCTION("""COMPUTED_VALUE"""),"Inbound Call")</f>
        <v>Inbound Call</v>
      </c>
      <c r="Y3401" s="124"/>
      <c r="Z3401" s="124">
        <f>IFERROR(__xludf.DUMMYFUNCTION("""COMPUTED_VALUE"""),2.0)</f>
        <v>2</v>
      </c>
      <c r="AA3401" s="124" t="str">
        <f>IFERROR(__xludf.DUMMYFUNCTION("""COMPUTED_VALUE"""),"Cold")</f>
        <v>Cold</v>
      </c>
      <c r="AB3401" s="124"/>
    </row>
    <row r="3402">
      <c r="K3402" s="124"/>
      <c r="L3402" s="124"/>
      <c r="M3402" s="124"/>
      <c r="N3402" s="124"/>
      <c r="O3402" s="124"/>
      <c r="T3402" s="126">
        <f>IFERROR(__xludf.DUMMYFUNCTION("""COMPUTED_VALUE"""),46046.0)</f>
        <v>46046</v>
      </c>
      <c r="U3402" s="124" t="str">
        <f>IFERROR(__xludf.DUMMYFUNCTION("""COMPUTED_VALUE"""),"Telephony")</f>
        <v>Telephony</v>
      </c>
      <c r="V3402" s="124" t="str">
        <f>IFERROR(__xludf.DUMMYFUNCTION("""COMPUTED_VALUE"""),"Inbound Call")</f>
        <v>Inbound Call</v>
      </c>
      <c r="W3402" s="124">
        <f>IFERROR(__xludf.DUMMYFUNCTION("""COMPUTED_VALUE"""),9.18047861633E11)</f>
        <v>918047861633</v>
      </c>
      <c r="X3402" s="124" t="str">
        <f>IFERROR(__xludf.DUMMYFUNCTION("""COMPUTED_VALUE"""),"Inbound Call")</f>
        <v>Inbound Call</v>
      </c>
      <c r="Y3402" s="124"/>
      <c r="Z3402" s="124">
        <f>IFERROR(__xludf.DUMMYFUNCTION("""COMPUTED_VALUE"""),1.0)</f>
        <v>1</v>
      </c>
      <c r="AA3402" s="124" t="str">
        <f>IFERROR(__xludf.DUMMYFUNCTION("""COMPUTED_VALUE"""),"Enrolled")</f>
        <v>Enrolled</v>
      </c>
      <c r="AB3402" s="124"/>
    </row>
    <row r="3403">
      <c r="K3403" s="124"/>
      <c r="L3403" s="124"/>
      <c r="M3403" s="124"/>
      <c r="N3403" s="124"/>
      <c r="O3403" s="124"/>
      <c r="T3403" s="126">
        <f>IFERROR(__xludf.DUMMYFUNCTION("""COMPUTED_VALUE"""),46066.0)</f>
        <v>46066</v>
      </c>
      <c r="U3403" s="124" t="str">
        <f>IFERROR(__xludf.DUMMYFUNCTION("""COMPUTED_VALUE"""),"Telephony")</f>
        <v>Telephony</v>
      </c>
      <c r="V3403" s="124" t="str">
        <f>IFERROR(__xludf.DUMMYFUNCTION("""COMPUTED_VALUE"""),"Inbound Call")</f>
        <v>Inbound Call</v>
      </c>
      <c r="W3403" s="124">
        <f>IFERROR(__xludf.DUMMYFUNCTION("""COMPUTED_VALUE"""),9.18047861635E11)</f>
        <v>918047861635</v>
      </c>
      <c r="X3403" s="124" t="str">
        <f>IFERROR(__xludf.DUMMYFUNCTION("""COMPUTED_VALUE"""),"Inbound Call")</f>
        <v>Inbound Call</v>
      </c>
      <c r="Y3403" s="124" t="str">
        <f>IFERROR(__xludf.DUMMYFUNCTION("""COMPUTED_VALUE"""),"Indore")</f>
        <v>Indore</v>
      </c>
      <c r="Z3403" s="124">
        <f>IFERROR(__xludf.DUMMYFUNCTION("""COMPUTED_VALUE"""),1.0)</f>
        <v>1</v>
      </c>
      <c r="AA3403" s="124" t="str">
        <f>IFERROR(__xludf.DUMMYFUNCTION("""COMPUTED_VALUE"""),"Cold")</f>
        <v>Cold</v>
      </c>
      <c r="AB3403" s="124"/>
    </row>
    <row r="3404">
      <c r="K3404" s="124"/>
      <c r="L3404" s="124"/>
      <c r="M3404" s="124"/>
      <c r="N3404" s="124"/>
      <c r="O3404" s="124"/>
      <c r="T3404" s="126">
        <f>IFERROR(__xludf.DUMMYFUNCTION("""COMPUTED_VALUE"""),46078.0)</f>
        <v>46078</v>
      </c>
      <c r="U3404" s="124" t="str">
        <f>IFERROR(__xludf.DUMMYFUNCTION("""COMPUTED_VALUE"""),"Telephony")</f>
        <v>Telephony</v>
      </c>
      <c r="V3404" s="124" t="str">
        <f>IFERROR(__xludf.DUMMYFUNCTION("""COMPUTED_VALUE"""),"Inbound Call")</f>
        <v>Inbound Call</v>
      </c>
      <c r="W3404" s="124" t="str">
        <f>IFERROR(__xludf.DUMMYFUNCTION("""COMPUTED_VALUE"""),"Inbound Call")</f>
        <v>Inbound Call</v>
      </c>
      <c r="X3404" s="124" t="str">
        <f>IFERROR(__xludf.DUMMYFUNCTION("""COMPUTED_VALUE"""),"Inbound Call")</f>
        <v>Inbound Call</v>
      </c>
      <c r="Y3404" s="124" t="str">
        <f>IFERROR(__xludf.DUMMYFUNCTION("""COMPUTED_VALUE"""),"Indore")</f>
        <v>Indore</v>
      </c>
      <c r="Z3404" s="124">
        <f>IFERROR(__xludf.DUMMYFUNCTION("""COMPUTED_VALUE"""),1.0)</f>
        <v>1</v>
      </c>
      <c r="AA3404" s="124" t="str">
        <f>IFERROR(__xludf.DUMMYFUNCTION("""COMPUTED_VALUE"""),"Not Interested")</f>
        <v>Not Interested</v>
      </c>
      <c r="AB3404" s="124" t="str">
        <f>IFERROR(__xludf.DUMMYFUNCTION("""COMPUTED_VALUE"""),"Other")</f>
        <v>Other</v>
      </c>
    </row>
    <row r="3405">
      <c r="K3405" s="124"/>
      <c r="L3405" s="124"/>
      <c r="M3405" s="124"/>
      <c r="N3405" s="124"/>
      <c r="O3405" s="124"/>
      <c r="T3405" s="126">
        <f>IFERROR(__xludf.DUMMYFUNCTION("""COMPUTED_VALUE"""),46053.0)</f>
        <v>46053</v>
      </c>
      <c r="U3405" s="124" t="str">
        <f>IFERROR(__xludf.DUMMYFUNCTION("""COMPUTED_VALUE"""),"Telephony")</f>
        <v>Telephony</v>
      </c>
      <c r="V3405" s="124" t="str">
        <f>IFERROR(__xludf.DUMMYFUNCTION("""COMPUTED_VALUE"""),"Inbound Call")</f>
        <v>Inbound Call</v>
      </c>
      <c r="W3405" s="124">
        <f>IFERROR(__xludf.DUMMYFUNCTION("""COMPUTED_VALUE"""),9.18047861663E11)</f>
        <v>918047861663</v>
      </c>
      <c r="X3405" s="124" t="str">
        <f>IFERROR(__xludf.DUMMYFUNCTION("""COMPUTED_VALUE"""),"Inbound Call")</f>
        <v>Inbound Call</v>
      </c>
      <c r="Y3405" s="124"/>
      <c r="Z3405" s="124">
        <f>IFERROR(__xludf.DUMMYFUNCTION("""COMPUTED_VALUE"""),2.0)</f>
        <v>2</v>
      </c>
      <c r="AA3405" s="124" t="str">
        <f>IFERROR(__xludf.DUMMYFUNCTION("""COMPUTED_VALUE"""),"Fake Lead")</f>
        <v>Fake Lead</v>
      </c>
      <c r="AB3405" s="124"/>
    </row>
    <row r="3406">
      <c r="K3406" s="124"/>
      <c r="L3406" s="124"/>
      <c r="M3406" s="124"/>
      <c r="N3406" s="124"/>
      <c r="O3406" s="124"/>
      <c r="T3406" s="129">
        <f>IFERROR(__xludf.DUMMYFUNCTION("""COMPUTED_VALUE"""),46083.0)</f>
        <v>46083</v>
      </c>
      <c r="U3406" s="124" t="str">
        <f>IFERROR(__xludf.DUMMYFUNCTION("""COMPUTED_VALUE"""),"Telephony")</f>
        <v>Telephony</v>
      </c>
      <c r="V3406" s="124" t="str">
        <f>IFERROR(__xludf.DUMMYFUNCTION("""COMPUTED_VALUE"""),"Inbound Call")</f>
        <v>Inbound Call</v>
      </c>
      <c r="W3406" s="124">
        <f>IFERROR(__xludf.DUMMYFUNCTION("""COMPUTED_VALUE"""),9.18047861663E11)</f>
        <v>918047861663</v>
      </c>
      <c r="X3406" s="124" t="str">
        <f>IFERROR(__xludf.DUMMYFUNCTION("""COMPUTED_VALUE"""),"Inbound Call")</f>
        <v>Inbound Call</v>
      </c>
      <c r="Y3406" s="124" t="str">
        <f>IFERROR(__xludf.DUMMYFUNCTION("""COMPUTED_VALUE"""),"Delhi")</f>
        <v>Delhi</v>
      </c>
      <c r="Z3406" s="124">
        <f>IFERROR(__xludf.DUMMYFUNCTION("""COMPUTED_VALUE"""),1.0)</f>
        <v>1</v>
      </c>
      <c r="AA3406" s="124" t="str">
        <f>IFERROR(__xludf.DUMMYFUNCTION("""COMPUTED_VALUE"""),"Not Interested")</f>
        <v>Not Interested</v>
      </c>
      <c r="AB3406" s="124"/>
    </row>
    <row r="3407">
      <c r="K3407" s="124"/>
      <c r="L3407" s="124"/>
      <c r="M3407" s="124"/>
      <c r="N3407" s="124"/>
      <c r="O3407" s="124"/>
      <c r="T3407" s="126">
        <f>IFERROR(__xludf.DUMMYFUNCTION("""COMPUTED_VALUE"""),46076.0)</f>
        <v>46076</v>
      </c>
      <c r="U3407" s="124" t="str">
        <f>IFERROR(__xludf.DUMMYFUNCTION("""COMPUTED_VALUE"""),"Telephony")</f>
        <v>Telephony</v>
      </c>
      <c r="V3407" s="124" t="str">
        <f>IFERROR(__xludf.DUMMYFUNCTION("""COMPUTED_VALUE"""),"Inbound Call")</f>
        <v>Inbound Call</v>
      </c>
      <c r="W3407" s="124">
        <f>IFERROR(__xludf.DUMMYFUNCTION("""COMPUTED_VALUE"""),9.18047861663E11)</f>
        <v>918047861663</v>
      </c>
      <c r="X3407" s="124" t="str">
        <f>IFERROR(__xludf.DUMMYFUNCTION("""COMPUTED_VALUE"""),"Inbound Call")</f>
        <v>Inbound Call</v>
      </c>
      <c r="Y3407" s="124"/>
      <c r="Z3407" s="124">
        <f>IFERROR(__xludf.DUMMYFUNCTION("""COMPUTED_VALUE"""),1.0)</f>
        <v>1</v>
      </c>
      <c r="AA3407" s="124" t="str">
        <f>IFERROR(__xludf.DUMMYFUNCTION("""COMPUTED_VALUE"""),"Not Interested")</f>
        <v>Not Interested</v>
      </c>
      <c r="AB3407" s="124"/>
    </row>
    <row r="3408">
      <c r="K3408" s="124"/>
      <c r="L3408" s="124"/>
      <c r="M3408" s="124"/>
      <c r="N3408" s="124"/>
      <c r="O3408" s="124"/>
      <c r="T3408" s="126">
        <f>IFERROR(__xludf.DUMMYFUNCTION("""COMPUTED_VALUE"""),46077.0)</f>
        <v>46077</v>
      </c>
      <c r="U3408" s="124" t="str">
        <f>IFERROR(__xludf.DUMMYFUNCTION("""COMPUTED_VALUE"""),"Telephony")</f>
        <v>Telephony</v>
      </c>
      <c r="V3408" s="124" t="str">
        <f>IFERROR(__xludf.DUMMYFUNCTION("""COMPUTED_VALUE"""),"Inbound Call")</f>
        <v>Inbound Call</v>
      </c>
      <c r="W3408" s="124">
        <f>IFERROR(__xludf.DUMMYFUNCTION("""COMPUTED_VALUE"""),9.18047861663E11)</f>
        <v>918047861663</v>
      </c>
      <c r="X3408" s="124" t="str">
        <f>IFERROR(__xludf.DUMMYFUNCTION("""COMPUTED_VALUE"""),"Inbound Call")</f>
        <v>Inbound Call</v>
      </c>
      <c r="Y3408" s="124" t="str">
        <f>IFERROR(__xludf.DUMMYFUNCTION("""COMPUTED_VALUE"""),"Patna")</f>
        <v>Patna</v>
      </c>
      <c r="Z3408" s="124">
        <f>IFERROR(__xludf.DUMMYFUNCTION("""COMPUTED_VALUE"""),1.0)</f>
        <v>1</v>
      </c>
      <c r="AA3408" s="124" t="str">
        <f>IFERROR(__xludf.DUMMYFUNCTION("""COMPUTED_VALUE"""),"Cold")</f>
        <v>Cold</v>
      </c>
      <c r="AB3408" s="124" t="str">
        <f>IFERROR(__xludf.DUMMYFUNCTION("""COMPUTED_VALUE"""),"State PCS")</f>
        <v>State PCS</v>
      </c>
    </row>
    <row r="3409">
      <c r="K3409" s="124"/>
      <c r="L3409" s="124"/>
      <c r="M3409" s="124"/>
      <c r="N3409" s="124"/>
      <c r="O3409" s="124"/>
      <c r="T3409" s="129">
        <f>IFERROR(__xludf.DUMMYFUNCTION("""COMPUTED_VALUE"""),46089.0)</f>
        <v>46089</v>
      </c>
      <c r="U3409" s="124" t="str">
        <f>IFERROR(__xludf.DUMMYFUNCTION("""COMPUTED_VALUE"""),"Telephony")</f>
        <v>Telephony</v>
      </c>
      <c r="V3409" s="124" t="str">
        <f>IFERROR(__xludf.DUMMYFUNCTION("""COMPUTED_VALUE"""),"Inbound Call")</f>
        <v>Inbound Call</v>
      </c>
      <c r="W3409" s="124">
        <f>IFERROR(__xludf.DUMMYFUNCTION("""COMPUTED_VALUE"""),9.18047861663E11)</f>
        <v>918047861663</v>
      </c>
      <c r="X3409" s="124" t="str">
        <f>IFERROR(__xludf.DUMMYFUNCTION("""COMPUTED_VALUE"""),"Inbound Call")</f>
        <v>Inbound Call</v>
      </c>
      <c r="Y3409" s="124" t="str">
        <f>IFERROR(__xludf.DUMMYFUNCTION("""COMPUTED_VALUE"""),"Delhi")</f>
        <v>Delhi</v>
      </c>
      <c r="Z3409" s="124">
        <f>IFERROR(__xludf.DUMMYFUNCTION("""COMPUTED_VALUE"""),2.0)</f>
        <v>2</v>
      </c>
      <c r="AA3409" s="124" t="str">
        <f>IFERROR(__xludf.DUMMYFUNCTION("""COMPUTED_VALUE"""),"Fake Lead")</f>
        <v>Fake Lead</v>
      </c>
      <c r="AB3409" s="124"/>
    </row>
    <row r="3410">
      <c r="K3410" s="124"/>
      <c r="L3410" s="124"/>
      <c r="M3410" s="124"/>
      <c r="N3410" s="124"/>
      <c r="O3410" s="124"/>
      <c r="T3410" s="129">
        <f>IFERROR(__xludf.DUMMYFUNCTION("""COMPUTED_VALUE"""),46087.0)</f>
        <v>46087</v>
      </c>
      <c r="U3410" s="124" t="str">
        <f>IFERROR(__xludf.DUMMYFUNCTION("""COMPUTED_VALUE"""),"External Leads")</f>
        <v>External Leads</v>
      </c>
      <c r="V3410" s="124" t="str">
        <f>IFERROR(__xludf.DUMMYFUNCTION("""COMPUTED_VALUE"""),"external leads")</f>
        <v>external leads</v>
      </c>
      <c r="W3410" s="124" t="str">
        <f>IFERROR(__xludf.DUMMYFUNCTION("""COMPUTED_VALUE"""),"indore")</f>
        <v>indore</v>
      </c>
      <c r="X3410" s="124" t="str">
        <f>IFERROR(__xludf.DUMMYFUNCTION("""COMPUTED_VALUE"""),"vaishnavcollege")</f>
        <v>vaishnavcollege</v>
      </c>
      <c r="Y3410" s="124" t="str">
        <f>IFERROR(__xludf.DUMMYFUNCTION("""COMPUTED_VALUE"""),"Indore")</f>
        <v>Indore</v>
      </c>
      <c r="Z3410" s="124">
        <f>IFERROR(__xludf.DUMMYFUNCTION("""COMPUTED_VALUE"""),1.0)</f>
        <v>1</v>
      </c>
      <c r="AA3410" s="124" t="str">
        <f>IFERROR(__xludf.DUMMYFUNCTION("""COMPUTED_VALUE"""),"Not Interested")</f>
        <v>Not Interested</v>
      </c>
      <c r="AB3410" s="124"/>
    </row>
    <row r="3411">
      <c r="K3411" s="124"/>
      <c r="L3411" s="124"/>
      <c r="M3411" s="124"/>
      <c r="N3411" s="124"/>
      <c r="O3411" s="124"/>
      <c r="T3411" s="126">
        <f>IFERROR(__xludf.DUMMYFUNCTION("""COMPUTED_VALUE"""),46109.0)</f>
        <v>46109</v>
      </c>
      <c r="U3411" s="124" t="str">
        <f>IFERROR(__xludf.DUMMYFUNCTION("""COMPUTED_VALUE"""),"Paid Ads")</f>
        <v>Paid Ads</v>
      </c>
      <c r="V3411" s="124" t="str">
        <f>IFERROR(__xludf.DUMMYFUNCTION("""COMPUTED_VALUE"""),"Facebook")</f>
        <v>Facebook</v>
      </c>
      <c r="W3411" s="124" t="str">
        <f>IFERROR(__xludf.DUMMYFUNCTION("""COMPUTED_VALUE"""),"LeadAd")</f>
        <v>LeadAd</v>
      </c>
      <c r="X3411" s="124" t="str">
        <f>IFERROR(__xludf.DUMMYFUNCTION("""COMPUTED_VALUE"""),"Upsc_Offline_925_Video_Lead_FB")</f>
        <v>Upsc_Offline_925_Video_Lead_FB</v>
      </c>
      <c r="Y3411" s="124" t="str">
        <f>IFERROR(__xludf.DUMMYFUNCTION("""COMPUTED_VALUE"""),"Delhi")</f>
        <v>Delhi</v>
      </c>
      <c r="Z3411" s="124">
        <f>IFERROR(__xludf.DUMMYFUNCTION("""COMPUTED_VALUE"""),2.0)</f>
        <v>2</v>
      </c>
      <c r="AA3411" s="124" t="str">
        <f>IFERROR(__xludf.DUMMYFUNCTION("""COMPUTED_VALUE"""),"Fake Lead")</f>
        <v>Fake Lead</v>
      </c>
      <c r="AB3411" s="124"/>
    </row>
    <row r="3412">
      <c r="K3412" s="124"/>
      <c r="L3412" s="124"/>
      <c r="M3412" s="124"/>
      <c r="N3412" s="124"/>
      <c r="O3412" s="124"/>
      <c r="T3412" s="126">
        <f>IFERROR(__xludf.DUMMYFUNCTION("""COMPUTED_VALUE"""),46099.0)</f>
        <v>46099</v>
      </c>
      <c r="U3412" s="124" t="str">
        <f>IFERROR(__xludf.DUMMYFUNCTION("""COMPUTED_VALUE"""),"Event")</f>
        <v>Event</v>
      </c>
      <c r="V3412" s="124" t="str">
        <f>IFERROR(__xludf.DUMMYFUNCTION("""COMPUTED_VALUE"""),"events")</f>
        <v>events</v>
      </c>
      <c r="W3412" s="124" t="str">
        <f>IFERROR(__xludf.DUMMYFUNCTION("""COMPUTED_VALUE"""),"delhi")</f>
        <v>delhi</v>
      </c>
      <c r="X3412" s="124" t="str">
        <f>IFERROR(__xludf.DUMMYFUNCTION("""COMPUTED_VALUE"""),"zakirhusainseminar")</f>
        <v>zakirhusainseminar</v>
      </c>
      <c r="Y3412" s="124" t="str">
        <f>IFERROR(__xludf.DUMMYFUNCTION("""COMPUTED_VALUE"""),"Delhi")</f>
        <v>Delhi</v>
      </c>
      <c r="Z3412" s="124">
        <f>IFERROR(__xludf.DUMMYFUNCTION("""COMPUTED_VALUE"""),1.0)</f>
        <v>1</v>
      </c>
      <c r="AA3412" s="124" t="str">
        <f>IFERROR(__xludf.DUMMYFUNCTION("""COMPUTED_VALUE"""),"Future Prospects")</f>
        <v>Future Prospects</v>
      </c>
      <c r="AB3412" s="124"/>
    </row>
    <row r="3413">
      <c r="K3413" s="124"/>
      <c r="L3413" s="124"/>
      <c r="M3413" s="124"/>
      <c r="N3413" s="124"/>
      <c r="O3413" s="124"/>
      <c r="T3413" s="126">
        <f>IFERROR(__xludf.DUMMYFUNCTION("""COMPUTED_VALUE"""),46079.0)</f>
        <v>46079</v>
      </c>
      <c r="U3413" s="124" t="str">
        <f>IFERROR(__xludf.DUMMYFUNCTION("""COMPUTED_VALUE"""),"Publisher Campaign")</f>
        <v>Publisher Campaign</v>
      </c>
      <c r="V3413" s="124" t="str">
        <f>IFERROR(__xludf.DUMMYFUNCTION("""COMPUTED_VALUE"""),"Webinar")</f>
        <v>Webinar</v>
      </c>
      <c r="W3413" s="124"/>
      <c r="X3413" s="124"/>
      <c r="Y3413" s="124" t="str">
        <f>IFERROR(__xludf.DUMMYFUNCTION("""COMPUTED_VALUE"""),"Delhi")</f>
        <v>Delhi</v>
      </c>
      <c r="Z3413" s="124">
        <f>IFERROR(__xludf.DUMMYFUNCTION("""COMPUTED_VALUE"""),2.0)</f>
        <v>2</v>
      </c>
      <c r="AA3413" s="124" t="str">
        <f>IFERROR(__xludf.DUMMYFUNCTION("""COMPUTED_VALUE"""),"Warm")</f>
        <v>Warm</v>
      </c>
      <c r="AB3413" s="124" t="str">
        <f>IFERROR(__xludf.DUMMYFUNCTION("""COMPUTED_VALUE"""),"SIM")</f>
        <v>SIM</v>
      </c>
    </row>
    <row r="3414">
      <c r="K3414" s="124"/>
      <c r="L3414" s="124"/>
      <c r="M3414" s="124"/>
      <c r="N3414" s="124"/>
      <c r="O3414" s="124"/>
      <c r="T3414" s="129">
        <f>IFERROR(__xludf.DUMMYFUNCTION("""COMPUTED_VALUE"""),46061.0)</f>
        <v>46061</v>
      </c>
      <c r="U3414" s="124" t="str">
        <f>IFERROR(__xludf.DUMMYFUNCTION("""COMPUTED_VALUE"""),"Publisher Campaign")</f>
        <v>Publisher Campaign</v>
      </c>
      <c r="V3414" s="124" t="str">
        <f>IFERROR(__xludf.DUMMYFUNCTION("""COMPUTED_VALUE"""),"Webinar")</f>
        <v>Webinar</v>
      </c>
      <c r="W3414" s="124"/>
      <c r="X3414" s="124"/>
      <c r="Y3414" s="124" t="str">
        <f>IFERROR(__xludf.DUMMYFUNCTION("""COMPUTED_VALUE"""),"Patna")</f>
        <v>Patna</v>
      </c>
      <c r="Z3414" s="124">
        <f>IFERROR(__xludf.DUMMYFUNCTION("""COMPUTED_VALUE"""),1.0)</f>
        <v>1</v>
      </c>
      <c r="AA3414" s="124" t="str">
        <f>IFERROR(__xludf.DUMMYFUNCTION("""COMPUTED_VALUE"""),"Cold")</f>
        <v>Cold</v>
      </c>
      <c r="AB3414" s="124" t="str">
        <f>IFERROR(__xludf.DUMMYFUNCTION("""COMPUTED_VALUE"""),"SIP Offline")</f>
        <v>SIP Offline</v>
      </c>
    </row>
    <row r="3415">
      <c r="K3415" s="124"/>
      <c r="L3415" s="124"/>
      <c r="M3415" s="124"/>
      <c r="N3415" s="124"/>
      <c r="O3415" s="124"/>
      <c r="T3415" s="129">
        <f>IFERROR(__xludf.DUMMYFUNCTION("""COMPUTED_VALUE"""),46087.0)</f>
        <v>46087</v>
      </c>
      <c r="U3415" s="124" t="str">
        <f>IFERROR(__xludf.DUMMYFUNCTION("""COMPUTED_VALUE"""),"Publisher Campaign")</f>
        <v>Publisher Campaign</v>
      </c>
      <c r="V3415" s="124" t="str">
        <f>IFERROR(__xludf.DUMMYFUNCTION("""COMPUTED_VALUE"""),"Webinar")</f>
        <v>Webinar</v>
      </c>
      <c r="W3415" s="124"/>
      <c r="X3415" s="124"/>
      <c r="Y3415" s="124" t="str">
        <f>IFERROR(__xludf.DUMMYFUNCTION("""COMPUTED_VALUE"""),"Delhi")</f>
        <v>Delhi</v>
      </c>
      <c r="Z3415" s="124">
        <f>IFERROR(__xludf.DUMMYFUNCTION("""COMPUTED_VALUE"""),1.0)</f>
        <v>1</v>
      </c>
      <c r="AA3415" s="124" t="str">
        <f>IFERROR(__xludf.DUMMYFUNCTION("""COMPUTED_VALUE"""),"Cold")</f>
        <v>Cold</v>
      </c>
      <c r="AB3415" s="124" t="str">
        <f>IFERROR(__xludf.DUMMYFUNCTION("""COMPUTED_VALUE"""),"GS Advanced")</f>
        <v>GS Advanced</v>
      </c>
    </row>
    <row r="3416">
      <c r="K3416" s="124"/>
      <c r="L3416" s="124"/>
      <c r="M3416" s="124"/>
      <c r="N3416" s="124"/>
      <c r="O3416" s="124"/>
      <c r="T3416" s="126">
        <f>IFERROR(__xludf.DUMMYFUNCTION("""COMPUTED_VALUE"""),46069.0)</f>
        <v>46069</v>
      </c>
      <c r="U3416" s="124" t="str">
        <f>IFERROR(__xludf.DUMMYFUNCTION("""COMPUTED_VALUE"""),"Publisher Campaign")</f>
        <v>Publisher Campaign</v>
      </c>
      <c r="V3416" s="124" t="str">
        <f>IFERROR(__xludf.DUMMYFUNCTION("""COMPUTED_VALUE"""),"BTL Activities")</f>
        <v>BTL Activities</v>
      </c>
      <c r="W3416" s="124"/>
      <c r="X3416" s="124"/>
      <c r="Y3416" s="124" t="str">
        <f>IFERROR(__xludf.DUMMYFUNCTION("""COMPUTED_VALUE"""),"Indore")</f>
        <v>Indore</v>
      </c>
      <c r="Z3416" s="124">
        <f>IFERROR(__xludf.DUMMYFUNCTION("""COMPUTED_VALUE"""),1.0)</f>
        <v>1</v>
      </c>
      <c r="AA3416" s="124" t="str">
        <f>IFERROR(__xludf.DUMMYFUNCTION("""COMPUTED_VALUE"""),"Not Interested")</f>
        <v>Not Interested</v>
      </c>
      <c r="AB3416" s="124" t="str">
        <f>IFERROR(__xludf.DUMMYFUNCTION("""COMPUTED_VALUE"""),"Other")</f>
        <v>Other</v>
      </c>
    </row>
    <row r="3417">
      <c r="K3417" s="124"/>
      <c r="L3417" s="124"/>
      <c r="M3417" s="124"/>
      <c r="N3417" s="124"/>
      <c r="O3417" s="124"/>
      <c r="T3417" s="126">
        <f>IFERROR(__xludf.DUMMYFUNCTION("""COMPUTED_VALUE"""),46091.0)</f>
        <v>46091</v>
      </c>
      <c r="U3417" s="124" t="str">
        <f>IFERROR(__xludf.DUMMYFUNCTION("""COMPUTED_VALUE"""),"Publisher Campaign")</f>
        <v>Publisher Campaign</v>
      </c>
      <c r="V3417" s="124" t="str">
        <f>IFERROR(__xludf.DUMMYFUNCTION("""COMPUTED_VALUE"""),"Webinar")</f>
        <v>Webinar</v>
      </c>
      <c r="W3417" s="124"/>
      <c r="X3417" s="124"/>
      <c r="Y3417" s="124" t="str">
        <f>IFERROR(__xludf.DUMMYFUNCTION("""COMPUTED_VALUE"""),"Delhi")</f>
        <v>Delhi</v>
      </c>
      <c r="Z3417" s="124">
        <f>IFERROR(__xludf.DUMMYFUNCTION("""COMPUTED_VALUE"""),1.0)</f>
        <v>1</v>
      </c>
      <c r="AA3417" s="124" t="str">
        <f>IFERROR(__xludf.DUMMYFUNCTION("""COMPUTED_VALUE"""),"Not Interested")</f>
        <v>Not Interested</v>
      </c>
      <c r="AB3417" s="124" t="str">
        <f>IFERROR(__xludf.DUMMYFUNCTION("""COMPUTED_VALUE"""),"IGP UPPSC")</f>
        <v>IGP UPPSC</v>
      </c>
    </row>
    <row r="3418">
      <c r="K3418" s="124"/>
      <c r="L3418" s="124"/>
      <c r="M3418" s="124"/>
      <c r="N3418" s="124"/>
      <c r="O3418" s="124"/>
      <c r="T3418" s="126">
        <f>IFERROR(__xludf.DUMMYFUNCTION("""COMPUTED_VALUE"""),46098.0)</f>
        <v>46098</v>
      </c>
      <c r="U3418" s="124" t="str">
        <f>IFERROR(__xludf.DUMMYFUNCTION("""COMPUTED_VALUE"""),"Libraries")</f>
        <v>Libraries</v>
      </c>
      <c r="V3418" s="124" t="str">
        <f>IFERROR(__xludf.DUMMYFUNCTION("""COMPUTED_VALUE"""),"Libraries")</f>
        <v>Libraries</v>
      </c>
      <c r="W3418" s="124"/>
      <c r="X3418" s="124"/>
      <c r="Y3418" s="124" t="str">
        <f>IFERROR(__xludf.DUMMYFUNCTION("""COMPUTED_VALUE"""),"Prayagraj")</f>
        <v>Prayagraj</v>
      </c>
      <c r="Z3418" s="124">
        <f>IFERROR(__xludf.DUMMYFUNCTION("""COMPUTED_VALUE"""),2.0)</f>
        <v>2</v>
      </c>
      <c r="AA3418" s="124" t="str">
        <f>IFERROR(__xludf.DUMMYFUNCTION("""COMPUTED_VALUE"""),"Engaged")</f>
        <v>Engaged</v>
      </c>
      <c r="AB3418" s="124" t="str">
        <f>IFERROR(__xludf.DUMMYFUNCTION("""COMPUTED_VALUE"""),"Other")</f>
        <v>Other</v>
      </c>
    </row>
    <row r="3419">
      <c r="K3419" s="124"/>
      <c r="L3419" s="124"/>
      <c r="M3419" s="124"/>
      <c r="N3419" s="124"/>
      <c r="O3419" s="124"/>
      <c r="T3419" s="129">
        <f>IFERROR(__xludf.DUMMYFUNCTION("""COMPUTED_VALUE"""),46088.0)</f>
        <v>46088</v>
      </c>
      <c r="U3419" s="124" t="str">
        <f>IFERROR(__xludf.DUMMYFUNCTION("""COMPUTED_VALUE"""),"Publisher Campaign")</f>
        <v>Publisher Campaign</v>
      </c>
      <c r="V3419" s="124" t="str">
        <f>IFERROR(__xludf.DUMMYFUNCTION("""COMPUTED_VALUE"""),"Webinar")</f>
        <v>Webinar</v>
      </c>
      <c r="W3419" s="124"/>
      <c r="X3419" s="124"/>
      <c r="Y3419" s="124" t="str">
        <f>IFERROR(__xludf.DUMMYFUNCTION("""COMPUTED_VALUE"""),"Delhi")</f>
        <v>Delhi</v>
      </c>
      <c r="Z3419" s="124">
        <f>IFERROR(__xludf.DUMMYFUNCTION("""COMPUTED_VALUE"""),1.0)</f>
        <v>1</v>
      </c>
      <c r="AA3419" s="124" t="str">
        <f>IFERROR(__xludf.DUMMYFUNCTION("""COMPUTED_VALUE"""),"Fake Lead")</f>
        <v>Fake Lead</v>
      </c>
      <c r="AB3419" s="124" t="str">
        <f>IFERROR(__xludf.DUMMYFUNCTION("""COMPUTED_VALUE"""),"Test Series")</f>
        <v>Test Series</v>
      </c>
    </row>
    <row r="3420">
      <c r="K3420" s="124"/>
      <c r="L3420" s="124"/>
      <c r="M3420" s="124"/>
      <c r="N3420" s="124"/>
      <c r="O3420" s="124"/>
      <c r="T3420" s="126">
        <f>IFERROR(__xludf.DUMMYFUNCTION("""COMPUTED_VALUE"""),46079.0)</f>
        <v>46079</v>
      </c>
      <c r="U3420" s="124" t="str">
        <f>IFERROR(__xludf.DUMMYFUNCTION("""COMPUTED_VALUE"""),"Publisher Campaign")</f>
        <v>Publisher Campaign</v>
      </c>
      <c r="V3420" s="124" t="str">
        <f>IFERROR(__xludf.DUMMYFUNCTION("""COMPUTED_VALUE"""),"Webinar")</f>
        <v>Webinar</v>
      </c>
      <c r="W3420" s="124"/>
      <c r="X3420" s="124"/>
      <c r="Y3420" s="124" t="str">
        <f>IFERROR(__xludf.DUMMYFUNCTION("""COMPUTED_VALUE"""),"Delhi")</f>
        <v>Delhi</v>
      </c>
      <c r="Z3420" s="124">
        <f>IFERROR(__xludf.DUMMYFUNCTION("""COMPUTED_VALUE"""),1.0)</f>
        <v>1</v>
      </c>
      <c r="AA3420" s="124" t="str">
        <f>IFERROR(__xludf.DUMMYFUNCTION("""COMPUTED_VALUE"""),"Engaged")</f>
        <v>Engaged</v>
      </c>
      <c r="AB3420" s="124" t="str">
        <f>IFERROR(__xludf.DUMMYFUNCTION("""COMPUTED_VALUE"""),"State PCS")</f>
        <v>State PCS</v>
      </c>
    </row>
    <row r="3421">
      <c r="K3421" s="124"/>
      <c r="L3421" s="124"/>
      <c r="M3421" s="124"/>
      <c r="N3421" s="124"/>
      <c r="O3421" s="124"/>
      <c r="T3421" s="126">
        <f>IFERROR(__xludf.DUMMYFUNCTION("""COMPUTED_VALUE"""),46067.0)</f>
        <v>46067</v>
      </c>
      <c r="U3421" s="124" t="str">
        <f>IFERROR(__xludf.DUMMYFUNCTION("""COMPUTED_VALUE"""),"Publisher Campaign")</f>
        <v>Publisher Campaign</v>
      </c>
      <c r="V3421" s="124" t="str">
        <f>IFERROR(__xludf.DUMMYFUNCTION("""COMPUTED_VALUE"""),"Webinar")</f>
        <v>Webinar</v>
      </c>
      <c r="W3421" s="124"/>
      <c r="X3421" s="124"/>
      <c r="Y3421" s="124" t="str">
        <f>IFERROR(__xludf.DUMMYFUNCTION("""COMPUTED_VALUE"""),"Delhi")</f>
        <v>Delhi</v>
      </c>
      <c r="Z3421" s="124">
        <f>IFERROR(__xludf.DUMMYFUNCTION("""COMPUTED_VALUE"""),1.0)</f>
        <v>1</v>
      </c>
      <c r="AA3421" s="124" t="str">
        <f>IFERROR(__xludf.DUMMYFUNCTION("""COMPUTED_VALUE"""),"Cold")</f>
        <v>Cold</v>
      </c>
      <c r="AB3421" s="124" t="str">
        <f>IFERROR(__xludf.DUMMYFUNCTION("""COMPUTED_VALUE"""),"Hybrid")</f>
        <v>Hybrid</v>
      </c>
    </row>
    <row r="3422">
      <c r="K3422" s="124"/>
      <c r="L3422" s="124"/>
      <c r="M3422" s="124"/>
      <c r="N3422" s="124"/>
      <c r="O3422" s="124"/>
      <c r="T3422" s="126">
        <f>IFERROR(__xludf.DUMMYFUNCTION("""COMPUTED_VALUE"""),46068.0)</f>
        <v>46068</v>
      </c>
      <c r="U3422" s="124" t="str">
        <f>IFERROR(__xludf.DUMMYFUNCTION("""COMPUTED_VALUE"""),"Publisher Campaign")</f>
        <v>Publisher Campaign</v>
      </c>
      <c r="V3422" s="124" t="str">
        <f>IFERROR(__xludf.DUMMYFUNCTION("""COMPUTED_VALUE"""),"Webinar")</f>
        <v>Webinar</v>
      </c>
      <c r="W3422" s="124"/>
      <c r="X3422" s="124"/>
      <c r="Y3422" s="124" t="str">
        <f>IFERROR(__xludf.DUMMYFUNCTION("""COMPUTED_VALUE"""),"Delhi")</f>
        <v>Delhi</v>
      </c>
      <c r="Z3422" s="124">
        <f>IFERROR(__xludf.DUMMYFUNCTION("""COMPUTED_VALUE"""),1.0)</f>
        <v>1</v>
      </c>
      <c r="AA3422" s="124" t="str">
        <f>IFERROR(__xludf.DUMMYFUNCTION("""COMPUTED_VALUE"""),"Cold")</f>
        <v>Cold</v>
      </c>
      <c r="AB3422" s="124" t="str">
        <f>IFERROR(__xludf.DUMMYFUNCTION("""COMPUTED_VALUE"""),"State PCS")</f>
        <v>State PCS</v>
      </c>
    </row>
    <row r="3423">
      <c r="K3423" s="124"/>
      <c r="L3423" s="124"/>
      <c r="M3423" s="124"/>
      <c r="N3423" s="124"/>
      <c r="O3423" s="124"/>
      <c r="T3423" s="126">
        <f>IFERROR(__xludf.DUMMYFUNCTION("""COMPUTED_VALUE"""),46092.0)</f>
        <v>46092</v>
      </c>
      <c r="U3423" s="124" t="str">
        <f>IFERROR(__xludf.DUMMYFUNCTION("""COMPUTED_VALUE"""),"Publisher Campaign")</f>
        <v>Publisher Campaign</v>
      </c>
      <c r="V3423" s="124" t="str">
        <f>IFERROR(__xludf.DUMMYFUNCTION("""COMPUTED_VALUE"""),"BTL Activities")</f>
        <v>BTL Activities</v>
      </c>
      <c r="W3423" s="124"/>
      <c r="X3423" s="124"/>
      <c r="Y3423" s="124" t="str">
        <f>IFERROR(__xludf.DUMMYFUNCTION("""COMPUTED_VALUE"""),"Indore")</f>
        <v>Indore</v>
      </c>
      <c r="Z3423" s="124">
        <f>IFERROR(__xludf.DUMMYFUNCTION("""COMPUTED_VALUE"""),1.0)</f>
        <v>1</v>
      </c>
      <c r="AA3423" s="124" t="str">
        <f>IFERROR(__xludf.DUMMYFUNCTION("""COMPUTED_VALUE"""),"Cold")</f>
        <v>Cold</v>
      </c>
      <c r="AB3423" s="124" t="str">
        <f>IFERROR(__xludf.DUMMYFUNCTION("""COMPUTED_VALUE"""),"CSAT")</f>
        <v>CSAT</v>
      </c>
    </row>
    <row r="3424">
      <c r="K3424" s="124"/>
      <c r="L3424" s="124"/>
      <c r="M3424" s="124"/>
      <c r="N3424" s="124"/>
      <c r="O3424" s="124"/>
      <c r="T3424" s="129">
        <f>IFERROR(__xludf.DUMMYFUNCTION("""COMPUTED_VALUE"""),46090.0)</f>
        <v>46090</v>
      </c>
      <c r="U3424" s="124" t="str">
        <f>IFERROR(__xludf.DUMMYFUNCTION("""COMPUTED_VALUE"""),"Publisher Campaign")</f>
        <v>Publisher Campaign</v>
      </c>
      <c r="V3424" s="124" t="str">
        <f>IFERROR(__xludf.DUMMYFUNCTION("""COMPUTED_VALUE"""),"BTL Activities")</f>
        <v>BTL Activities</v>
      </c>
      <c r="W3424" s="124"/>
      <c r="X3424" s="124"/>
      <c r="Y3424" s="124" t="str">
        <f>IFERROR(__xludf.DUMMYFUNCTION("""COMPUTED_VALUE"""),"Indore")</f>
        <v>Indore</v>
      </c>
      <c r="Z3424" s="124">
        <f>IFERROR(__xludf.DUMMYFUNCTION("""COMPUTED_VALUE"""),2.0)</f>
        <v>2</v>
      </c>
      <c r="AA3424" s="124" t="str">
        <f>IFERROR(__xludf.DUMMYFUNCTION("""COMPUTED_VALUE"""),"Cold")</f>
        <v>Cold</v>
      </c>
      <c r="AB3424" s="124" t="str">
        <f>IFERROR(__xludf.DUMMYFUNCTION("""COMPUTED_VALUE"""),"GS Foundation")</f>
        <v>GS Foundation</v>
      </c>
    </row>
    <row r="3425">
      <c r="K3425" s="124"/>
      <c r="L3425" s="124"/>
      <c r="M3425" s="124"/>
      <c r="N3425" s="124"/>
      <c r="O3425" s="124"/>
      <c r="T3425" s="126">
        <f>IFERROR(__xludf.DUMMYFUNCTION("""COMPUTED_VALUE"""),46092.0)</f>
        <v>46092</v>
      </c>
      <c r="U3425" s="124" t="str">
        <f>IFERROR(__xludf.DUMMYFUNCTION("""COMPUTED_VALUE"""),"Publisher Campaign")</f>
        <v>Publisher Campaign</v>
      </c>
      <c r="V3425" s="124" t="str">
        <f>IFERROR(__xludf.DUMMYFUNCTION("""COMPUTED_VALUE"""),"BTL Activities")</f>
        <v>BTL Activities</v>
      </c>
      <c r="W3425" s="124"/>
      <c r="X3425" s="124"/>
      <c r="Y3425" s="124" t="str">
        <f>IFERROR(__xludf.DUMMYFUNCTION("""COMPUTED_VALUE"""),"Indore")</f>
        <v>Indore</v>
      </c>
      <c r="Z3425" s="124">
        <f>IFERROR(__xludf.DUMMYFUNCTION("""COMPUTED_VALUE"""),1.0)</f>
        <v>1</v>
      </c>
      <c r="AA3425" s="124" t="str">
        <f>IFERROR(__xludf.DUMMYFUNCTION("""COMPUTED_VALUE"""),"Cold")</f>
        <v>Cold</v>
      </c>
      <c r="AB3425" s="124" t="str">
        <f>IFERROR(__xludf.DUMMYFUNCTION("""COMPUTED_VALUE"""),"Test Series")</f>
        <v>Test Series</v>
      </c>
    </row>
    <row r="3426">
      <c r="K3426" s="124"/>
      <c r="L3426" s="124"/>
      <c r="M3426" s="124"/>
      <c r="N3426" s="124"/>
      <c r="O3426" s="124"/>
      <c r="T3426" s="126">
        <f>IFERROR(__xludf.DUMMYFUNCTION("""COMPUTED_VALUE"""),46079.0)</f>
        <v>46079</v>
      </c>
      <c r="U3426" s="124" t="str">
        <f>IFERROR(__xludf.DUMMYFUNCTION("""COMPUTED_VALUE"""),"Publisher Campaign")</f>
        <v>Publisher Campaign</v>
      </c>
      <c r="V3426" s="124" t="str">
        <f>IFERROR(__xludf.DUMMYFUNCTION("""COMPUTED_VALUE"""),"Webinar")</f>
        <v>Webinar</v>
      </c>
      <c r="W3426" s="124"/>
      <c r="X3426" s="124"/>
      <c r="Y3426" s="124" t="str">
        <f>IFERROR(__xludf.DUMMYFUNCTION("""COMPUTED_VALUE"""),"Lucknow")</f>
        <v>Lucknow</v>
      </c>
      <c r="Z3426" s="124">
        <f>IFERROR(__xludf.DUMMYFUNCTION("""COMPUTED_VALUE"""),1.0)</f>
        <v>1</v>
      </c>
      <c r="AA3426" s="124" t="str">
        <f>IFERROR(__xludf.DUMMYFUNCTION("""COMPUTED_VALUE"""),"Not Interested")</f>
        <v>Not Interested</v>
      </c>
      <c r="AB3426" s="124" t="str">
        <f>IFERROR(__xludf.DUMMYFUNCTION("""COMPUTED_VALUE"""),"GS Foundation")</f>
        <v>GS Foundation</v>
      </c>
    </row>
    <row r="3427">
      <c r="K3427" s="124"/>
      <c r="L3427" s="124"/>
      <c r="M3427" s="124"/>
      <c r="N3427" s="124"/>
      <c r="O3427" s="124"/>
      <c r="T3427" s="129">
        <f>IFERROR(__xludf.DUMMYFUNCTION("""COMPUTED_VALUE"""),46062.0)</f>
        <v>46062</v>
      </c>
      <c r="U3427" s="124" t="str">
        <f>IFERROR(__xludf.DUMMYFUNCTION("""COMPUTED_VALUE"""),"Publisher Campaign")</f>
        <v>Publisher Campaign</v>
      </c>
      <c r="V3427" s="124" t="str">
        <f>IFERROR(__xludf.DUMMYFUNCTION("""COMPUTED_VALUE"""),"Webinar")</f>
        <v>Webinar</v>
      </c>
      <c r="W3427" s="124"/>
      <c r="X3427" s="124"/>
      <c r="Y3427" s="124" t="str">
        <f>IFERROR(__xludf.DUMMYFUNCTION("""COMPUTED_VALUE"""),"Delhi")</f>
        <v>Delhi</v>
      </c>
      <c r="Z3427" s="124">
        <f>IFERROR(__xludf.DUMMYFUNCTION("""COMPUTED_VALUE"""),1.0)</f>
        <v>1</v>
      </c>
      <c r="AA3427" s="124" t="str">
        <f>IFERROR(__xludf.DUMMYFUNCTION("""COMPUTED_VALUE"""),"Not Interested")</f>
        <v>Not Interested</v>
      </c>
      <c r="AB3427" s="124" t="str">
        <f>IFERROR(__xludf.DUMMYFUNCTION("""COMPUTED_VALUE"""),"GS Foundation")</f>
        <v>GS Foundation</v>
      </c>
    </row>
    <row r="3428">
      <c r="K3428" s="124"/>
      <c r="L3428" s="124"/>
      <c r="M3428" s="124"/>
      <c r="N3428" s="124"/>
      <c r="O3428" s="124"/>
      <c r="T3428" s="126">
        <f>IFERROR(__xludf.DUMMYFUNCTION("""COMPUTED_VALUE"""),46092.0)</f>
        <v>46092</v>
      </c>
      <c r="U3428" s="124" t="str">
        <f>IFERROR(__xludf.DUMMYFUNCTION("""COMPUTED_VALUE"""),"Publisher Campaign")</f>
        <v>Publisher Campaign</v>
      </c>
      <c r="V3428" s="124" t="str">
        <f>IFERROR(__xludf.DUMMYFUNCTION("""COMPUTED_VALUE"""),"BTL Activities")</f>
        <v>BTL Activities</v>
      </c>
      <c r="W3428" s="124"/>
      <c r="X3428" s="124"/>
      <c r="Y3428" s="124" t="str">
        <f>IFERROR(__xludf.DUMMYFUNCTION("""COMPUTED_VALUE"""),"Indore")</f>
        <v>Indore</v>
      </c>
      <c r="Z3428" s="124">
        <f>IFERROR(__xludf.DUMMYFUNCTION("""COMPUTED_VALUE"""),3.0)</f>
        <v>3</v>
      </c>
      <c r="AA3428" s="124" t="str">
        <f>IFERROR(__xludf.DUMMYFUNCTION("""COMPUTED_VALUE"""),"Cold")</f>
        <v>Cold</v>
      </c>
      <c r="AB3428" s="124" t="str">
        <f>IFERROR(__xludf.DUMMYFUNCTION("""COMPUTED_VALUE"""),"GS Foundation")</f>
        <v>GS Foundation</v>
      </c>
    </row>
    <row r="3429">
      <c r="K3429" s="124"/>
      <c r="L3429" s="124"/>
      <c r="M3429" s="124"/>
      <c r="N3429" s="124"/>
      <c r="O3429" s="124"/>
      <c r="T3429" s="126">
        <f>IFERROR(__xludf.DUMMYFUNCTION("""COMPUTED_VALUE"""),46075.0)</f>
        <v>46075</v>
      </c>
      <c r="U3429" s="124" t="str">
        <f>IFERROR(__xludf.DUMMYFUNCTION("""COMPUTED_VALUE"""),"Publisher Campaign")</f>
        <v>Publisher Campaign</v>
      </c>
      <c r="V3429" s="124" t="str">
        <f>IFERROR(__xludf.DUMMYFUNCTION("""COMPUTED_VALUE"""),"Webinar")</f>
        <v>Webinar</v>
      </c>
      <c r="W3429" s="124"/>
      <c r="X3429" s="124"/>
      <c r="Y3429" s="124" t="str">
        <f>IFERROR(__xludf.DUMMYFUNCTION("""COMPUTED_VALUE"""),"Delhi")</f>
        <v>Delhi</v>
      </c>
      <c r="Z3429" s="124">
        <f>IFERROR(__xludf.DUMMYFUNCTION("""COMPUTED_VALUE"""),1.0)</f>
        <v>1</v>
      </c>
      <c r="AA3429" s="124" t="str">
        <f>IFERROR(__xludf.DUMMYFUNCTION("""COMPUTED_VALUE"""),"Cold")</f>
        <v>Cold</v>
      </c>
      <c r="AB3429" s="124" t="str">
        <f>IFERROR(__xludf.DUMMYFUNCTION("""COMPUTED_VALUE"""),"Prelims Crash Course - SIP")</f>
        <v>Prelims Crash Course - SIP</v>
      </c>
    </row>
    <row r="3430">
      <c r="K3430" s="124"/>
      <c r="L3430" s="124"/>
      <c r="M3430" s="124"/>
      <c r="N3430" s="124"/>
      <c r="O3430" s="124"/>
      <c r="T3430" s="129">
        <f>IFERROR(__xludf.DUMMYFUNCTION("""COMPUTED_VALUE"""),46059.0)</f>
        <v>46059</v>
      </c>
      <c r="U3430" s="124" t="str">
        <f>IFERROR(__xludf.DUMMYFUNCTION("""COMPUTED_VALUE"""),"Publisher Campaign")</f>
        <v>Publisher Campaign</v>
      </c>
      <c r="V3430" s="124" t="str">
        <f>IFERROR(__xludf.DUMMYFUNCTION("""COMPUTED_VALUE"""),"BTL Activities")</f>
        <v>BTL Activities</v>
      </c>
      <c r="W3430" s="124"/>
      <c r="X3430" s="124"/>
      <c r="Y3430" s="124" t="str">
        <f>IFERROR(__xludf.DUMMYFUNCTION("""COMPUTED_VALUE"""),"Indore")</f>
        <v>Indore</v>
      </c>
      <c r="Z3430" s="124">
        <f>IFERROR(__xludf.DUMMYFUNCTION("""COMPUTED_VALUE"""),2.0)</f>
        <v>2</v>
      </c>
      <c r="AA3430" s="124" t="str">
        <f>IFERROR(__xludf.DUMMYFUNCTION("""COMPUTED_VALUE"""),"Not Interested")</f>
        <v>Not Interested</v>
      </c>
      <c r="AB3430" s="124" t="str">
        <f>IFERROR(__xludf.DUMMYFUNCTION("""COMPUTED_VALUE"""),"GS Foundation")</f>
        <v>GS Foundation</v>
      </c>
    </row>
    <row r="3431">
      <c r="K3431" s="124"/>
      <c r="L3431" s="124"/>
      <c r="M3431" s="124"/>
      <c r="N3431" s="124"/>
      <c r="O3431" s="124"/>
      <c r="T3431" s="126">
        <f>IFERROR(__xludf.DUMMYFUNCTION("""COMPUTED_VALUE"""),46093.0)</f>
        <v>46093</v>
      </c>
      <c r="U3431" s="124" t="str">
        <f>IFERROR(__xludf.DUMMYFUNCTION("""COMPUTED_VALUE"""),"Paid Ads")</f>
        <v>Paid Ads</v>
      </c>
      <c r="V3431" s="124" t="str">
        <f>IFERROR(__xludf.DUMMYFUNCTION("""COMPUTED_VALUE"""),"google")</f>
        <v>google</v>
      </c>
      <c r="W3431" s="124" t="str">
        <f>IFERROR(__xludf.DUMMYFUNCTION("""COMPUTED_VALUE"""),"cpc")</f>
        <v>cpc</v>
      </c>
      <c r="X3431" s="124">
        <f>IFERROR(__xludf.DUMMYFUNCTION("""COMPUTED_VALUE"""),2.288825581E10)</f>
        <v>22888255810</v>
      </c>
      <c r="Y3431" s="124" t="str">
        <f>IFERROR(__xludf.DUMMYFUNCTION("""COMPUTED_VALUE"""),"Delhi")</f>
        <v>Delhi</v>
      </c>
      <c r="Z3431" s="124">
        <f>IFERROR(__xludf.DUMMYFUNCTION("""COMPUTED_VALUE"""),1.0)</f>
        <v>1</v>
      </c>
      <c r="AA3431" s="124" t="str">
        <f>IFERROR(__xludf.DUMMYFUNCTION("""COMPUTED_VALUE"""),"Cold")</f>
        <v>Cold</v>
      </c>
      <c r="AB3431" s="124" t="str">
        <f>IFERROR(__xludf.DUMMYFUNCTION("""COMPUTED_VALUE"""),"IGP UPPSC")</f>
        <v>IGP UPPSC</v>
      </c>
    </row>
    <row r="3432">
      <c r="K3432" s="124"/>
      <c r="L3432" s="124"/>
      <c r="M3432" s="124"/>
      <c r="N3432" s="124"/>
      <c r="O3432" s="124"/>
      <c r="T3432" s="126">
        <f>IFERROR(__xludf.DUMMYFUNCTION("""COMPUTED_VALUE"""),46091.0)</f>
        <v>46091</v>
      </c>
      <c r="U3432" s="124" t="str">
        <f>IFERROR(__xludf.DUMMYFUNCTION("""COMPUTED_VALUE"""),"Publisher Campaign")</f>
        <v>Publisher Campaign</v>
      </c>
      <c r="V3432" s="124" t="str">
        <f>IFERROR(__xludf.DUMMYFUNCTION("""COMPUTED_VALUE"""),"Webinar")</f>
        <v>Webinar</v>
      </c>
      <c r="W3432" s="124"/>
      <c r="X3432" s="124"/>
      <c r="Y3432" s="124" t="str">
        <f>IFERROR(__xludf.DUMMYFUNCTION("""COMPUTED_VALUE"""),"Delhi")</f>
        <v>Delhi</v>
      </c>
      <c r="Z3432" s="124">
        <f>IFERROR(__xludf.DUMMYFUNCTION("""COMPUTED_VALUE"""),1.0)</f>
        <v>1</v>
      </c>
      <c r="AA3432" s="124" t="str">
        <f>IFERROR(__xludf.DUMMYFUNCTION("""COMPUTED_VALUE"""),"Not Interested")</f>
        <v>Not Interested</v>
      </c>
      <c r="AB3432" s="124" t="str">
        <f>IFERROR(__xludf.DUMMYFUNCTION("""COMPUTED_VALUE"""),"State PCS")</f>
        <v>State PCS</v>
      </c>
    </row>
    <row r="3433">
      <c r="K3433" s="124"/>
      <c r="L3433" s="124"/>
      <c r="M3433" s="124"/>
      <c r="N3433" s="124"/>
      <c r="O3433" s="124"/>
      <c r="T3433" s="126">
        <f>IFERROR(__xludf.DUMMYFUNCTION("""COMPUTED_VALUE"""),46079.0)</f>
        <v>46079</v>
      </c>
      <c r="U3433" s="124" t="str">
        <f>IFERROR(__xludf.DUMMYFUNCTION("""COMPUTED_VALUE"""),"Walk-Ins")</f>
        <v>Walk-Ins</v>
      </c>
      <c r="V3433" s="124" t="str">
        <f>IFERROR(__xludf.DUMMYFUNCTION("""COMPUTED_VALUE"""),"Walkin")</f>
        <v>Walkin</v>
      </c>
      <c r="W3433" s="124"/>
      <c r="X3433" s="124"/>
      <c r="Y3433" s="124" t="str">
        <f>IFERROR(__xludf.DUMMYFUNCTION("""COMPUTED_VALUE"""),"Delhi")</f>
        <v>Delhi</v>
      </c>
      <c r="Z3433" s="124">
        <f>IFERROR(__xludf.DUMMYFUNCTION("""COMPUTED_VALUE"""),1.0)</f>
        <v>1</v>
      </c>
      <c r="AA3433" s="124" t="str">
        <f>IFERROR(__xludf.DUMMYFUNCTION("""COMPUTED_VALUE"""),"Warm")</f>
        <v>Warm</v>
      </c>
      <c r="AB3433" s="124" t="str">
        <f>IFERROR(__xludf.DUMMYFUNCTION("""COMPUTED_VALUE"""),"GS Foundation")</f>
        <v>GS Foundation</v>
      </c>
    </row>
    <row r="3434">
      <c r="K3434" s="124"/>
      <c r="L3434" s="124"/>
      <c r="M3434" s="124"/>
      <c r="N3434" s="124"/>
      <c r="O3434" s="124"/>
      <c r="T3434" s="126">
        <f>IFERROR(__xludf.DUMMYFUNCTION("""COMPUTED_VALUE"""),46091.0)</f>
        <v>46091</v>
      </c>
      <c r="U3434" s="124" t="str">
        <f>IFERROR(__xludf.DUMMYFUNCTION("""COMPUTED_VALUE"""),"Publisher Campaign")</f>
        <v>Publisher Campaign</v>
      </c>
      <c r="V3434" s="124" t="str">
        <f>IFERROR(__xludf.DUMMYFUNCTION("""COMPUTED_VALUE"""),"Webinar")</f>
        <v>Webinar</v>
      </c>
      <c r="W3434" s="124"/>
      <c r="X3434" s="124"/>
      <c r="Y3434" s="124" t="str">
        <f>IFERROR(__xludf.DUMMYFUNCTION("""COMPUTED_VALUE"""),"Hyderabad")</f>
        <v>Hyderabad</v>
      </c>
      <c r="Z3434" s="124">
        <f>IFERROR(__xludf.DUMMYFUNCTION("""COMPUTED_VALUE"""),1.0)</f>
        <v>1</v>
      </c>
      <c r="AA3434" s="124" t="str">
        <f>IFERROR(__xludf.DUMMYFUNCTION("""COMPUTED_VALUE"""),"Cold")</f>
        <v>Cold</v>
      </c>
      <c r="AB3434" s="124" t="str">
        <f>IFERROR(__xludf.DUMMYFUNCTION("""COMPUTED_VALUE"""),"Prelims Crash Course - SIP")</f>
        <v>Prelims Crash Course - SIP</v>
      </c>
    </row>
    <row r="3435">
      <c r="K3435" s="124"/>
      <c r="L3435" s="124"/>
      <c r="M3435" s="124"/>
      <c r="N3435" s="124"/>
      <c r="O3435" s="124"/>
      <c r="T3435" s="126">
        <f>IFERROR(__xludf.DUMMYFUNCTION("""COMPUTED_VALUE"""),46078.0)</f>
        <v>46078</v>
      </c>
      <c r="U3435" s="124" t="str">
        <f>IFERROR(__xludf.DUMMYFUNCTION("""COMPUTED_VALUE"""),"Publisher Campaign")</f>
        <v>Publisher Campaign</v>
      </c>
      <c r="V3435" s="124" t="str">
        <f>IFERROR(__xludf.DUMMYFUNCTION("""COMPUTED_VALUE"""),"Webinar")</f>
        <v>Webinar</v>
      </c>
      <c r="W3435" s="124"/>
      <c r="X3435" s="124"/>
      <c r="Y3435" s="124" t="str">
        <f>IFERROR(__xludf.DUMMYFUNCTION("""COMPUTED_VALUE"""),"Delhi")</f>
        <v>Delhi</v>
      </c>
      <c r="Z3435" s="124">
        <f>IFERROR(__xludf.DUMMYFUNCTION("""COMPUTED_VALUE"""),1.0)</f>
        <v>1</v>
      </c>
      <c r="AA3435" s="124" t="str">
        <f>IFERROR(__xludf.DUMMYFUNCTION("""COMPUTED_VALUE"""),"Cold")</f>
        <v>Cold</v>
      </c>
      <c r="AB3435" s="124" t="str">
        <f>IFERROR(__xludf.DUMMYFUNCTION("""COMPUTED_VALUE"""),"State PCS")</f>
        <v>State PCS</v>
      </c>
    </row>
    <row r="3436">
      <c r="K3436" s="124"/>
      <c r="L3436" s="124"/>
      <c r="M3436" s="124"/>
      <c r="N3436" s="124"/>
      <c r="O3436" s="124"/>
      <c r="T3436" s="126">
        <f>IFERROR(__xludf.DUMMYFUNCTION("""COMPUTED_VALUE"""),46067.0)</f>
        <v>46067</v>
      </c>
      <c r="U3436" s="124" t="str">
        <f>IFERROR(__xludf.DUMMYFUNCTION("""COMPUTED_VALUE"""),"Publisher Campaign")</f>
        <v>Publisher Campaign</v>
      </c>
      <c r="V3436" s="124" t="str">
        <f>IFERROR(__xludf.DUMMYFUNCTION("""COMPUTED_VALUE"""),"Webinar")</f>
        <v>Webinar</v>
      </c>
      <c r="W3436" s="124"/>
      <c r="X3436" s="124"/>
      <c r="Y3436" s="124" t="str">
        <f>IFERROR(__xludf.DUMMYFUNCTION("""COMPUTED_VALUE"""),"Delhi")</f>
        <v>Delhi</v>
      </c>
      <c r="Z3436" s="124">
        <f>IFERROR(__xludf.DUMMYFUNCTION("""COMPUTED_VALUE"""),1.0)</f>
        <v>1</v>
      </c>
      <c r="AA3436" s="124" t="str">
        <f>IFERROR(__xludf.DUMMYFUNCTION("""COMPUTED_VALUE"""),"Not Interested")</f>
        <v>Not Interested</v>
      </c>
      <c r="AB3436" s="124" t="str">
        <f>IFERROR(__xludf.DUMMYFUNCTION("""COMPUTED_VALUE"""),"Optionals")</f>
        <v>Optionals</v>
      </c>
    </row>
    <row r="3437">
      <c r="K3437" s="124"/>
      <c r="L3437" s="124"/>
      <c r="M3437" s="124"/>
      <c r="N3437" s="124"/>
      <c r="O3437" s="124"/>
      <c r="T3437" s="126">
        <f>IFERROR(__xludf.DUMMYFUNCTION("""COMPUTED_VALUE"""),46098.0)</f>
        <v>46098</v>
      </c>
      <c r="U3437" s="124" t="str">
        <f>IFERROR(__xludf.DUMMYFUNCTION("""COMPUTED_VALUE"""),"Libraries")</f>
        <v>Libraries</v>
      </c>
      <c r="V3437" s="124" t="str">
        <f>IFERROR(__xludf.DUMMYFUNCTION("""COMPUTED_VALUE"""),"Libraries")</f>
        <v>Libraries</v>
      </c>
      <c r="W3437" s="124"/>
      <c r="X3437" s="124"/>
      <c r="Y3437" s="124" t="str">
        <f>IFERROR(__xludf.DUMMYFUNCTION("""COMPUTED_VALUE"""),"Prayagraj")</f>
        <v>Prayagraj</v>
      </c>
      <c r="Z3437" s="124">
        <f>IFERROR(__xludf.DUMMYFUNCTION("""COMPUTED_VALUE"""),1.0)</f>
        <v>1</v>
      </c>
      <c r="AA3437" s="124"/>
      <c r="AB3437" s="124" t="str">
        <f>IFERROR(__xludf.DUMMYFUNCTION("""COMPUTED_VALUE"""),"IGP UPPSC")</f>
        <v>IGP UPPSC</v>
      </c>
    </row>
    <row r="3438">
      <c r="K3438" s="124"/>
      <c r="L3438" s="124"/>
      <c r="M3438" s="124"/>
      <c r="N3438" s="124"/>
      <c r="O3438" s="124"/>
      <c r="T3438" s="126">
        <f>IFERROR(__xludf.DUMMYFUNCTION("""COMPUTED_VALUE"""),46046.0)</f>
        <v>46046</v>
      </c>
      <c r="U3438" s="124" t="str">
        <f>IFERROR(__xludf.DUMMYFUNCTION("""COMPUTED_VALUE"""),"Walk-Ins")</f>
        <v>Walk-Ins</v>
      </c>
      <c r="V3438" s="124" t="str">
        <f>IFERROR(__xludf.DUMMYFUNCTION("""COMPUTED_VALUE"""),"Walk-In")</f>
        <v>Walk-In</v>
      </c>
      <c r="W3438" s="124" t="str">
        <f>IFERROR(__xludf.DUMMYFUNCTION("""COMPUTED_VALUE"""),"Delhi")</f>
        <v>Delhi</v>
      </c>
      <c r="X3438" s="124" t="str">
        <f>IFERROR(__xludf.DUMMYFUNCTION("""COMPUTED_VALUE"""),"Missbahuddin Ahmad")</f>
        <v>Missbahuddin Ahmad</v>
      </c>
      <c r="Y3438" s="124"/>
      <c r="Z3438" s="124">
        <f>IFERROR(__xludf.DUMMYFUNCTION("""COMPUTED_VALUE"""),2.0)</f>
        <v>2</v>
      </c>
      <c r="AA3438" s="124" t="str">
        <f>IFERROR(__xludf.DUMMYFUNCTION("""COMPUTED_VALUE"""),"Cold")</f>
        <v>Cold</v>
      </c>
      <c r="AB3438" s="124" t="str">
        <f>IFERROR(__xludf.DUMMYFUNCTION("""COMPUTED_VALUE"""),"GS Foundation")</f>
        <v>GS Foundation</v>
      </c>
    </row>
    <row r="3439">
      <c r="K3439" s="124"/>
      <c r="L3439" s="124"/>
      <c r="M3439" s="124"/>
      <c r="N3439" s="124"/>
      <c r="O3439" s="124"/>
      <c r="T3439" s="126">
        <f>IFERROR(__xludf.DUMMYFUNCTION("""COMPUTED_VALUE"""),46051.0)</f>
        <v>46051</v>
      </c>
      <c r="U3439" s="124" t="str">
        <f>IFERROR(__xludf.DUMMYFUNCTION("""COMPUTED_VALUE"""),"External Leads")</f>
        <v>External Leads</v>
      </c>
      <c r="V3439" s="124" t="str">
        <f>IFERROR(__xludf.DUMMYFUNCTION("""COMPUTED_VALUE"""),"external leads")</f>
        <v>external leads</v>
      </c>
      <c r="W3439" s="124"/>
      <c r="X3439" s="124"/>
      <c r="Y3439" s="124" t="str">
        <f>IFERROR(__xludf.DUMMYFUNCTION("""COMPUTED_VALUE"""),"Delhi")</f>
        <v>Delhi</v>
      </c>
      <c r="Z3439" s="124">
        <f>IFERROR(__xludf.DUMMYFUNCTION("""COMPUTED_VALUE"""),1.0)</f>
        <v>1</v>
      </c>
      <c r="AA3439" s="124" t="str">
        <f>IFERROR(__xludf.DUMMYFUNCTION("""COMPUTED_VALUE"""),"Cold")</f>
        <v>Cold</v>
      </c>
      <c r="AB3439" s="124" t="str">
        <f>IFERROR(__xludf.DUMMYFUNCTION("""COMPUTED_VALUE"""),"GS Foundation")</f>
        <v>GS Foundation</v>
      </c>
    </row>
    <row r="3440">
      <c r="K3440" s="124"/>
      <c r="L3440" s="124"/>
      <c r="M3440" s="124"/>
      <c r="N3440" s="124"/>
      <c r="O3440" s="124"/>
      <c r="T3440" s="126">
        <f>IFERROR(__xludf.DUMMYFUNCTION("""COMPUTED_VALUE"""),46100.0)</f>
        <v>46100</v>
      </c>
      <c r="U3440" s="124" t="str">
        <f>IFERROR(__xludf.DUMMYFUNCTION("""COMPUTED_VALUE"""),"Libraries")</f>
        <v>Libraries</v>
      </c>
      <c r="V3440" s="124" t="str">
        <f>IFERROR(__xludf.DUMMYFUNCTION("""COMPUTED_VALUE"""),"Libraries")</f>
        <v>Libraries</v>
      </c>
      <c r="W3440" s="124"/>
      <c r="X3440" s="124"/>
      <c r="Y3440" s="124" t="str">
        <f>IFERROR(__xludf.DUMMYFUNCTION("""COMPUTED_VALUE"""),"Delhi")</f>
        <v>Delhi</v>
      </c>
      <c r="Z3440" s="124">
        <f>IFERROR(__xludf.DUMMYFUNCTION("""COMPUTED_VALUE"""),1.0)</f>
        <v>1</v>
      </c>
      <c r="AA3440" s="124"/>
      <c r="AB3440" s="124" t="str">
        <f>IFERROR(__xludf.DUMMYFUNCTION("""COMPUTED_VALUE"""),"State PCS")</f>
        <v>State PCS</v>
      </c>
    </row>
    <row r="3441">
      <c r="K3441" s="124"/>
      <c r="L3441" s="124"/>
      <c r="M3441" s="124"/>
      <c r="N3441" s="124"/>
      <c r="O3441" s="124"/>
      <c r="T3441" s="126">
        <f>IFERROR(__xludf.DUMMYFUNCTION("""COMPUTED_VALUE"""),46098.0)</f>
        <v>46098</v>
      </c>
      <c r="U3441" s="124" t="str">
        <f>IFERROR(__xludf.DUMMYFUNCTION("""COMPUTED_VALUE"""),"Other Marketing Channels")</f>
        <v>Other Marketing Channels</v>
      </c>
      <c r="V3441" s="124" t="str">
        <f>IFERROR(__xludf.DUMMYFUNCTION("""COMPUTED_VALUE"""),"Online Leads")</f>
        <v>Online Leads</v>
      </c>
      <c r="W3441" s="124" t="str">
        <f>IFERROR(__xludf.DUMMYFUNCTION("""COMPUTED_VALUE"""),"Existing Students")</f>
        <v>Existing Students</v>
      </c>
      <c r="X3441" s="124" t="str">
        <f>IFERROR(__xludf.DUMMYFUNCTION("""COMPUTED_VALUE"""),"Lucknow")</f>
        <v>Lucknow</v>
      </c>
      <c r="Y3441" s="124" t="str">
        <f>IFERROR(__xludf.DUMMYFUNCTION("""COMPUTED_VALUE"""),"Lucknow")</f>
        <v>Lucknow</v>
      </c>
      <c r="Z3441" s="124">
        <f>IFERROR(__xludf.DUMMYFUNCTION("""COMPUTED_VALUE"""),1.0)</f>
        <v>1</v>
      </c>
      <c r="AA3441" s="124" t="str">
        <f>IFERROR(__xludf.DUMMYFUNCTION("""COMPUTED_VALUE"""),"Enrolled")</f>
        <v>Enrolled</v>
      </c>
      <c r="AB3441" s="124" t="str">
        <f>IFERROR(__xludf.DUMMYFUNCTION("""COMPUTED_VALUE"""),"GS Foundation")</f>
        <v>GS Foundation</v>
      </c>
    </row>
    <row r="3442">
      <c r="K3442" s="124"/>
      <c r="L3442" s="124"/>
      <c r="M3442" s="124"/>
      <c r="N3442" s="124"/>
      <c r="O3442" s="124"/>
      <c r="T3442" s="126">
        <f>IFERROR(__xludf.DUMMYFUNCTION("""COMPUTED_VALUE"""),46051.0)</f>
        <v>46051</v>
      </c>
      <c r="U3442" s="124" t="str">
        <f>IFERROR(__xludf.DUMMYFUNCTION("""COMPUTED_VALUE"""),"Walk-Ins")</f>
        <v>Walk-Ins</v>
      </c>
      <c r="V3442" s="124" t="str">
        <f>IFERROR(__xludf.DUMMYFUNCTION("""COMPUTED_VALUE"""),"Walkin")</f>
        <v>Walkin</v>
      </c>
      <c r="W3442" s="124"/>
      <c r="X3442" s="124"/>
      <c r="Y3442" s="124" t="str">
        <f>IFERROR(__xludf.DUMMYFUNCTION("""COMPUTED_VALUE"""),"Delhi")</f>
        <v>Delhi</v>
      </c>
      <c r="Z3442" s="124">
        <f>IFERROR(__xludf.DUMMYFUNCTION("""COMPUTED_VALUE"""),1.0)</f>
        <v>1</v>
      </c>
      <c r="AA3442" s="124" t="str">
        <f>IFERROR(__xludf.DUMMYFUNCTION("""COMPUTED_VALUE"""),"Cold")</f>
        <v>Cold</v>
      </c>
      <c r="AB3442" s="124" t="str">
        <f>IFERROR(__xludf.DUMMYFUNCTION("""COMPUTED_VALUE"""),"Optionals")</f>
        <v>Optionals</v>
      </c>
    </row>
    <row r="3443">
      <c r="K3443" s="124"/>
      <c r="L3443" s="124"/>
      <c r="M3443" s="124"/>
      <c r="N3443" s="124"/>
      <c r="O3443" s="124"/>
      <c r="T3443" s="126">
        <f>IFERROR(__xludf.DUMMYFUNCTION("""COMPUTED_VALUE"""),46079.0)</f>
        <v>46079</v>
      </c>
      <c r="U3443" s="124" t="str">
        <f>IFERROR(__xludf.DUMMYFUNCTION("""COMPUTED_VALUE"""),"Publisher Campaign")</f>
        <v>Publisher Campaign</v>
      </c>
      <c r="V3443" s="124" t="str">
        <f>IFERROR(__xludf.DUMMYFUNCTION("""COMPUTED_VALUE"""),"Webinar")</f>
        <v>Webinar</v>
      </c>
      <c r="W3443" s="124"/>
      <c r="X3443" s="124"/>
      <c r="Y3443" s="124" t="str">
        <f>IFERROR(__xludf.DUMMYFUNCTION("""COMPUTED_VALUE"""),"Indore")</f>
        <v>Indore</v>
      </c>
      <c r="Z3443" s="124">
        <f>IFERROR(__xludf.DUMMYFUNCTION("""COMPUTED_VALUE"""),1.0)</f>
        <v>1</v>
      </c>
      <c r="AA3443" s="124"/>
      <c r="AB3443" s="124" t="str">
        <f>IFERROR(__xludf.DUMMYFUNCTION("""COMPUTED_VALUE"""),"Test Series")</f>
        <v>Test Series</v>
      </c>
    </row>
    <row r="3444">
      <c r="K3444" s="124"/>
      <c r="L3444" s="124"/>
      <c r="M3444" s="124"/>
      <c r="N3444" s="124"/>
      <c r="O3444" s="124"/>
      <c r="T3444" s="126">
        <f>IFERROR(__xludf.DUMMYFUNCTION("""COMPUTED_VALUE"""),46081.0)</f>
        <v>46081</v>
      </c>
      <c r="U3444" s="124" t="str">
        <f>IFERROR(__xludf.DUMMYFUNCTION("""COMPUTED_VALUE"""),"Publisher Campaign")</f>
        <v>Publisher Campaign</v>
      </c>
      <c r="V3444" s="124" t="str">
        <f>IFERROR(__xludf.DUMMYFUNCTION("""COMPUTED_VALUE"""),"Feeder Cities")</f>
        <v>Feeder Cities</v>
      </c>
      <c r="W3444" s="124"/>
      <c r="X3444" s="124"/>
      <c r="Y3444" s="124" t="str">
        <f>IFERROR(__xludf.DUMMYFUNCTION("""COMPUTED_VALUE"""),"Indore")</f>
        <v>Indore</v>
      </c>
      <c r="Z3444" s="124">
        <f>IFERROR(__xludf.DUMMYFUNCTION("""COMPUTED_VALUE"""),1.0)</f>
        <v>1</v>
      </c>
      <c r="AA3444" s="124"/>
      <c r="AB3444" s="124" t="str">
        <f>IFERROR(__xludf.DUMMYFUNCTION("""COMPUTED_VALUE"""),"Optionals")</f>
        <v>Optionals</v>
      </c>
    </row>
    <row r="3445">
      <c r="K3445" s="124"/>
      <c r="L3445" s="124"/>
      <c r="M3445" s="124"/>
      <c r="N3445" s="124"/>
      <c r="O3445" s="124"/>
      <c r="T3445" s="126">
        <f>IFERROR(__xludf.DUMMYFUNCTION("""COMPUTED_VALUE"""),46097.0)</f>
        <v>46097</v>
      </c>
      <c r="U3445" s="124" t="str">
        <f>IFERROR(__xludf.DUMMYFUNCTION("""COMPUTED_VALUE"""),"Walk-Ins")</f>
        <v>Walk-Ins</v>
      </c>
      <c r="V3445" s="124" t="str">
        <f>IFERROR(__xludf.DUMMYFUNCTION("""COMPUTED_VALUE"""),"Walk-In")</f>
        <v>Walk-In</v>
      </c>
      <c r="W3445" s="124" t="str">
        <f>IFERROR(__xludf.DUMMYFUNCTION("""COMPUTED_VALUE"""),"Delhi")</f>
        <v>Delhi</v>
      </c>
      <c r="X3445" s="124" t="str">
        <f>IFERROR(__xludf.DUMMYFUNCTION("""COMPUTED_VALUE"""),"Missbah")</f>
        <v>Missbah</v>
      </c>
      <c r="Y3445" s="124" t="str">
        <f>IFERROR(__xludf.DUMMYFUNCTION("""COMPUTED_VALUE"""),"Delhi")</f>
        <v>Delhi</v>
      </c>
      <c r="Z3445" s="124">
        <f>IFERROR(__xludf.DUMMYFUNCTION("""COMPUTED_VALUE"""),1.0)</f>
        <v>1</v>
      </c>
      <c r="AA3445" s="124" t="str">
        <f>IFERROR(__xludf.DUMMYFUNCTION("""COMPUTED_VALUE"""),"Cold")</f>
        <v>Cold</v>
      </c>
      <c r="AB3445" s="124" t="str">
        <f>IFERROR(__xludf.DUMMYFUNCTION("""COMPUTED_VALUE"""),"GS Foundation")</f>
        <v>GS Foundation</v>
      </c>
    </row>
    <row r="3446">
      <c r="K3446" s="124"/>
      <c r="L3446" s="124"/>
      <c r="M3446" s="124"/>
      <c r="N3446" s="124"/>
      <c r="O3446" s="124"/>
      <c r="T3446" s="126">
        <f>IFERROR(__xludf.DUMMYFUNCTION("""COMPUTED_VALUE"""),46043.0)</f>
        <v>46043</v>
      </c>
      <c r="U3446" s="124" t="str">
        <f>IFERROR(__xludf.DUMMYFUNCTION("""COMPUTED_VALUE"""),"External Leads")</f>
        <v>External Leads</v>
      </c>
      <c r="V3446" s="124" t="str">
        <f>IFERROR(__xludf.DUMMYFUNCTION("""COMPUTED_VALUE"""),"external leads")</f>
        <v>external leads</v>
      </c>
      <c r="W3446" s="124"/>
      <c r="X3446" s="124"/>
      <c r="Y3446" s="124"/>
      <c r="Z3446" s="124">
        <f>IFERROR(__xludf.DUMMYFUNCTION("""COMPUTED_VALUE"""),3.0)</f>
        <v>3</v>
      </c>
      <c r="AA3446" s="124" t="str">
        <f>IFERROR(__xludf.DUMMYFUNCTION("""COMPUTED_VALUE"""),"Fake Lead")</f>
        <v>Fake Lead</v>
      </c>
      <c r="AB3446" s="124"/>
    </row>
    <row r="3447">
      <c r="K3447" s="124"/>
      <c r="L3447" s="124"/>
      <c r="M3447" s="124"/>
      <c r="N3447" s="124"/>
      <c r="O3447" s="124"/>
      <c r="T3447" s="126">
        <f>IFERROR(__xludf.DUMMYFUNCTION("""COMPUTED_VALUE"""),46051.0)</f>
        <v>46051</v>
      </c>
      <c r="U3447" s="124" t="str">
        <f>IFERROR(__xludf.DUMMYFUNCTION("""COMPUTED_VALUE"""),"External Leads")</f>
        <v>External Leads</v>
      </c>
      <c r="V3447" s="124" t="str">
        <f>IFERROR(__xludf.DUMMYFUNCTION("""COMPUTED_VALUE"""),"external leads")</f>
        <v>external leads</v>
      </c>
      <c r="W3447" s="124"/>
      <c r="X3447" s="124"/>
      <c r="Y3447" s="124" t="str">
        <f>IFERROR(__xludf.DUMMYFUNCTION("""COMPUTED_VALUE"""),"Delhi")</f>
        <v>Delhi</v>
      </c>
      <c r="Z3447" s="124">
        <f>IFERROR(__xludf.DUMMYFUNCTION("""COMPUTED_VALUE"""),1.0)</f>
        <v>1</v>
      </c>
      <c r="AA3447" s="124" t="str">
        <f>IFERROR(__xludf.DUMMYFUNCTION("""COMPUTED_VALUE"""),"Cold")</f>
        <v>Cold</v>
      </c>
      <c r="AB3447" s="124" t="str">
        <f>IFERROR(__xludf.DUMMYFUNCTION("""COMPUTED_VALUE"""),"Prelims Crash Course - SIP")</f>
        <v>Prelims Crash Course - SIP</v>
      </c>
    </row>
    <row r="3448">
      <c r="K3448" s="124"/>
      <c r="L3448" s="124"/>
      <c r="M3448" s="124"/>
      <c r="N3448" s="124"/>
      <c r="O3448" s="124"/>
      <c r="T3448" s="126">
        <f>IFERROR(__xludf.DUMMYFUNCTION("""COMPUTED_VALUE"""),46080.0)</f>
        <v>46080</v>
      </c>
      <c r="U3448" s="124" t="str">
        <f>IFERROR(__xludf.DUMMYFUNCTION("""COMPUTED_VALUE"""),"Publisher Campaign")</f>
        <v>Publisher Campaign</v>
      </c>
      <c r="V3448" s="124" t="str">
        <f>IFERROR(__xludf.DUMMYFUNCTION("""COMPUTED_VALUE"""),"Webinar")</f>
        <v>Webinar</v>
      </c>
      <c r="W3448" s="124"/>
      <c r="X3448" s="124"/>
      <c r="Y3448" s="124" t="str">
        <f>IFERROR(__xludf.DUMMYFUNCTION("""COMPUTED_VALUE"""),"Indore")</f>
        <v>Indore</v>
      </c>
      <c r="Z3448" s="124">
        <f>IFERROR(__xludf.DUMMYFUNCTION("""COMPUTED_VALUE"""),1.0)</f>
        <v>1</v>
      </c>
      <c r="AA3448" s="124"/>
      <c r="AB3448" s="124" t="str">
        <f>IFERROR(__xludf.DUMMYFUNCTION("""COMPUTED_VALUE"""),"SIM")</f>
        <v>SIM</v>
      </c>
    </row>
    <row r="3449">
      <c r="K3449" s="124"/>
      <c r="L3449" s="124"/>
      <c r="M3449" s="124"/>
      <c r="N3449" s="124"/>
      <c r="O3449" s="124"/>
      <c r="T3449" s="126">
        <f>IFERROR(__xludf.DUMMYFUNCTION("""COMPUTED_VALUE"""),46080.0)</f>
        <v>46080</v>
      </c>
      <c r="U3449" s="124" t="str">
        <f>IFERROR(__xludf.DUMMYFUNCTION("""COMPUTED_VALUE"""),"Publisher Campaign")</f>
        <v>Publisher Campaign</v>
      </c>
      <c r="V3449" s="124" t="str">
        <f>IFERROR(__xludf.DUMMYFUNCTION("""COMPUTED_VALUE"""),"Webinar")</f>
        <v>Webinar</v>
      </c>
      <c r="W3449" s="124"/>
      <c r="X3449" s="124"/>
      <c r="Y3449" s="124" t="str">
        <f>IFERROR(__xludf.DUMMYFUNCTION("""COMPUTED_VALUE"""),"Delhi")</f>
        <v>Delhi</v>
      </c>
      <c r="Z3449" s="124">
        <f>IFERROR(__xludf.DUMMYFUNCTION("""COMPUTED_VALUE"""),1.0)</f>
        <v>1</v>
      </c>
      <c r="AA3449" s="124" t="str">
        <f>IFERROR(__xludf.DUMMYFUNCTION("""COMPUTED_VALUE"""),"Cold")</f>
        <v>Cold</v>
      </c>
      <c r="AB3449" s="124" t="str">
        <f>IFERROR(__xludf.DUMMYFUNCTION("""COMPUTED_VALUE"""),"Prelims Crash Course - SIP")</f>
        <v>Prelims Crash Course - SIP</v>
      </c>
    </row>
    <row r="3450">
      <c r="K3450" s="124"/>
      <c r="L3450" s="124"/>
      <c r="M3450" s="124"/>
      <c r="N3450" s="124"/>
      <c r="O3450" s="124"/>
      <c r="T3450" s="126">
        <f>IFERROR(__xludf.DUMMYFUNCTION("""COMPUTED_VALUE"""),46100.0)</f>
        <v>46100</v>
      </c>
      <c r="U3450" s="124" t="str">
        <f>IFERROR(__xludf.DUMMYFUNCTION("""COMPUTED_VALUE"""),"Publisher Campaign")</f>
        <v>Publisher Campaign</v>
      </c>
      <c r="V3450" s="124" t="str">
        <f>IFERROR(__xludf.DUMMYFUNCTION("""COMPUTED_VALUE"""),"Institutions")</f>
        <v>Institutions</v>
      </c>
      <c r="W3450" s="124"/>
      <c r="X3450" s="124"/>
      <c r="Y3450" s="124" t="str">
        <f>IFERROR(__xludf.DUMMYFUNCTION("""COMPUTED_VALUE"""),"Indore")</f>
        <v>Indore</v>
      </c>
      <c r="Z3450" s="124">
        <f>IFERROR(__xludf.DUMMYFUNCTION("""COMPUTED_VALUE"""),1.0)</f>
        <v>1</v>
      </c>
      <c r="AA3450" s="124" t="str">
        <f>IFERROR(__xludf.DUMMYFUNCTION("""COMPUTED_VALUE"""),"Cold")</f>
        <v>Cold</v>
      </c>
      <c r="AB3450" s="124" t="str">
        <f>IFERROR(__xludf.DUMMYFUNCTION("""COMPUTED_VALUE"""),"Mentorship")</f>
        <v>Mentorship</v>
      </c>
    </row>
    <row r="3451">
      <c r="K3451" s="124"/>
      <c r="L3451" s="124"/>
      <c r="M3451" s="124"/>
      <c r="N3451" s="124"/>
      <c r="O3451" s="124"/>
      <c r="T3451" s="129">
        <f>IFERROR(__xludf.DUMMYFUNCTION("""COMPUTED_VALUE"""),46060.0)</f>
        <v>46060</v>
      </c>
      <c r="U3451" s="124" t="str">
        <f>IFERROR(__xludf.DUMMYFUNCTION("""COMPUTED_VALUE"""),"Publisher Campaign")</f>
        <v>Publisher Campaign</v>
      </c>
      <c r="V3451" s="124" t="str">
        <f>IFERROR(__xludf.DUMMYFUNCTION("""COMPUTED_VALUE"""),"Webinar")</f>
        <v>Webinar</v>
      </c>
      <c r="W3451" s="124"/>
      <c r="X3451" s="124"/>
      <c r="Y3451" s="124" t="str">
        <f>IFERROR(__xludf.DUMMYFUNCTION("""COMPUTED_VALUE"""),"Indore")</f>
        <v>Indore</v>
      </c>
      <c r="Z3451" s="124">
        <f>IFERROR(__xludf.DUMMYFUNCTION("""COMPUTED_VALUE"""),1.0)</f>
        <v>1</v>
      </c>
      <c r="AA3451" s="124" t="str">
        <f>IFERROR(__xludf.DUMMYFUNCTION("""COMPUTED_VALUE"""),"Cold")</f>
        <v>Cold</v>
      </c>
      <c r="AB3451" s="124" t="str">
        <f>IFERROR(__xludf.DUMMYFUNCTION("""COMPUTED_VALUE"""),"Mentorship")</f>
        <v>Mentorship</v>
      </c>
    </row>
    <row r="3452">
      <c r="K3452" s="124"/>
      <c r="L3452" s="124"/>
      <c r="M3452" s="124"/>
      <c r="N3452" s="124"/>
      <c r="O3452" s="124"/>
      <c r="T3452" s="126">
        <f>IFERROR(__xludf.DUMMYFUNCTION("""COMPUTED_VALUE"""),46080.0)</f>
        <v>46080</v>
      </c>
      <c r="U3452" s="124" t="str">
        <f>IFERROR(__xludf.DUMMYFUNCTION("""COMPUTED_VALUE"""),"Publisher Campaign")</f>
        <v>Publisher Campaign</v>
      </c>
      <c r="V3452" s="124" t="str">
        <f>IFERROR(__xludf.DUMMYFUNCTION("""COMPUTED_VALUE"""),"Webinar")</f>
        <v>Webinar</v>
      </c>
      <c r="W3452" s="124"/>
      <c r="X3452" s="124"/>
      <c r="Y3452" s="124" t="str">
        <f>IFERROR(__xludf.DUMMYFUNCTION("""COMPUTED_VALUE"""),"Prayagraj")</f>
        <v>Prayagraj</v>
      </c>
      <c r="Z3452" s="124">
        <f>IFERROR(__xludf.DUMMYFUNCTION("""COMPUTED_VALUE"""),1.0)</f>
        <v>1</v>
      </c>
      <c r="AA3452" s="124" t="str">
        <f>IFERROR(__xludf.DUMMYFUNCTION("""COMPUTED_VALUE"""),"Fake Lead")</f>
        <v>Fake Lead</v>
      </c>
      <c r="AB3452" s="124" t="str">
        <f>IFERROR(__xludf.DUMMYFUNCTION("""COMPUTED_VALUE"""),"GS Advanced")</f>
        <v>GS Advanced</v>
      </c>
    </row>
    <row r="3453">
      <c r="K3453" s="124"/>
      <c r="L3453" s="124"/>
      <c r="M3453" s="124"/>
      <c r="N3453" s="124"/>
      <c r="O3453" s="124"/>
      <c r="T3453" s="129">
        <f>IFERROR(__xludf.DUMMYFUNCTION("""COMPUTED_VALUE"""),46084.0)</f>
        <v>46084</v>
      </c>
      <c r="U3453" s="124" t="str">
        <f>IFERROR(__xludf.DUMMYFUNCTION("""COMPUTED_VALUE"""),"Paid Ads")</f>
        <v>Paid Ads</v>
      </c>
      <c r="V3453" s="124" t="str">
        <f>IFERROR(__xludf.DUMMYFUNCTION("""COMPUTED_VALUE"""),"YouTube")</f>
        <v>YouTube</v>
      </c>
      <c r="W3453" s="124"/>
      <c r="X3453" s="124"/>
      <c r="Y3453" s="124" t="str">
        <f>IFERROR(__xludf.DUMMYFUNCTION("""COMPUTED_VALUE"""),"Delhi")</f>
        <v>Delhi</v>
      </c>
      <c r="Z3453" s="124">
        <f>IFERROR(__xludf.DUMMYFUNCTION("""COMPUTED_VALUE"""),1.0)</f>
        <v>1</v>
      </c>
      <c r="AA3453" s="124" t="str">
        <f>IFERROR(__xludf.DUMMYFUNCTION("""COMPUTED_VALUE"""),"Cold")</f>
        <v>Cold</v>
      </c>
      <c r="AB3453" s="124" t="str">
        <f>IFERROR(__xludf.DUMMYFUNCTION("""COMPUTED_VALUE"""),"State PCS")</f>
        <v>State PCS</v>
      </c>
    </row>
    <row r="3454">
      <c r="K3454" s="124"/>
      <c r="L3454" s="124"/>
      <c r="M3454" s="124"/>
      <c r="N3454" s="124"/>
      <c r="O3454" s="124"/>
      <c r="T3454" s="126">
        <f>IFERROR(__xludf.DUMMYFUNCTION("""COMPUTED_VALUE"""),46091.0)</f>
        <v>46091</v>
      </c>
      <c r="U3454" s="124" t="str">
        <f>IFERROR(__xludf.DUMMYFUNCTION("""COMPUTED_VALUE"""),"Publisher Campaign")</f>
        <v>Publisher Campaign</v>
      </c>
      <c r="V3454" s="124" t="str">
        <f>IFERROR(__xludf.DUMMYFUNCTION("""COMPUTED_VALUE"""),"Webinar")</f>
        <v>Webinar</v>
      </c>
      <c r="W3454" s="124"/>
      <c r="X3454" s="124"/>
      <c r="Y3454" s="124" t="str">
        <f>IFERROR(__xludf.DUMMYFUNCTION("""COMPUTED_VALUE"""),"Delhi")</f>
        <v>Delhi</v>
      </c>
      <c r="Z3454" s="124">
        <f>IFERROR(__xludf.DUMMYFUNCTION("""COMPUTED_VALUE"""),1.0)</f>
        <v>1</v>
      </c>
      <c r="AA3454" s="124" t="str">
        <f>IFERROR(__xludf.DUMMYFUNCTION("""COMPUTED_VALUE"""),"Cold")</f>
        <v>Cold</v>
      </c>
      <c r="AB3454" s="124" t="str">
        <f>IFERROR(__xludf.DUMMYFUNCTION("""COMPUTED_VALUE"""),"State PCS")</f>
        <v>State PCS</v>
      </c>
    </row>
    <row r="3455">
      <c r="K3455" s="124"/>
      <c r="L3455" s="124"/>
      <c r="M3455" s="124"/>
      <c r="N3455" s="124"/>
      <c r="O3455" s="124"/>
      <c r="T3455" s="129">
        <f>IFERROR(__xludf.DUMMYFUNCTION("""COMPUTED_VALUE"""),46083.0)</f>
        <v>46083</v>
      </c>
      <c r="U3455" s="124" t="str">
        <f>IFERROR(__xludf.DUMMYFUNCTION("""COMPUTED_VALUE"""),"Event")</f>
        <v>Event</v>
      </c>
      <c r="V3455" s="124" t="str">
        <f>IFERROR(__xludf.DUMMYFUNCTION("""COMPUTED_VALUE"""),"events")</f>
        <v>events</v>
      </c>
      <c r="W3455" s="124" t="str">
        <f>IFERROR(__xludf.DUMMYFUNCTION("""COMPUTED_VALUE"""),"indore")</f>
        <v>indore</v>
      </c>
      <c r="X3455" s="124" t="str">
        <f>IFERROR(__xludf.DUMMYFUNCTION("""COMPUTED_VALUE"""),"mahamarathon")</f>
        <v>mahamarathon</v>
      </c>
      <c r="Y3455" s="124" t="str">
        <f>IFERROR(__xludf.DUMMYFUNCTION("""COMPUTED_VALUE"""),"Indore")</f>
        <v>Indore</v>
      </c>
      <c r="Z3455" s="124">
        <f>IFERROR(__xludf.DUMMYFUNCTION("""COMPUTED_VALUE"""),1.0)</f>
        <v>1</v>
      </c>
      <c r="AA3455" s="124" t="str">
        <f>IFERROR(__xludf.DUMMYFUNCTION("""COMPUTED_VALUE"""),"Cold")</f>
        <v>Cold</v>
      </c>
      <c r="AB3455" s="124" t="str">
        <f>IFERROR(__xludf.DUMMYFUNCTION("""COMPUTED_VALUE"""),"GS Foundation")</f>
        <v>GS Foundation</v>
      </c>
    </row>
    <row r="3456">
      <c r="K3456" s="124"/>
      <c r="L3456" s="124"/>
      <c r="M3456" s="124"/>
      <c r="N3456" s="124"/>
      <c r="O3456" s="124"/>
      <c r="T3456" s="129">
        <f>IFERROR(__xludf.DUMMYFUNCTION("""COMPUTED_VALUE"""),46090.0)</f>
        <v>46090</v>
      </c>
      <c r="U3456" s="124" t="str">
        <f>IFERROR(__xludf.DUMMYFUNCTION("""COMPUTED_VALUE"""),"Publisher Campaign")</f>
        <v>Publisher Campaign</v>
      </c>
      <c r="V3456" s="124" t="str">
        <f>IFERROR(__xludf.DUMMYFUNCTION("""COMPUTED_VALUE"""),"BTL Activities")</f>
        <v>BTL Activities</v>
      </c>
      <c r="W3456" s="124"/>
      <c r="X3456" s="124"/>
      <c r="Y3456" s="124" t="str">
        <f>IFERROR(__xludf.DUMMYFUNCTION("""COMPUTED_VALUE"""),"Indore")</f>
        <v>Indore</v>
      </c>
      <c r="Z3456" s="124">
        <f>IFERROR(__xludf.DUMMYFUNCTION("""COMPUTED_VALUE"""),1.0)</f>
        <v>1</v>
      </c>
      <c r="AA3456" s="124" t="str">
        <f>IFERROR(__xludf.DUMMYFUNCTION("""COMPUTED_VALUE"""),"Cold")</f>
        <v>Cold</v>
      </c>
      <c r="AB3456" s="124" t="str">
        <f>IFERROR(__xludf.DUMMYFUNCTION("""COMPUTED_VALUE"""),"GS Advanced")</f>
        <v>GS Advanced</v>
      </c>
    </row>
    <row r="3457">
      <c r="K3457" s="124"/>
      <c r="L3457" s="124"/>
      <c r="M3457" s="124"/>
      <c r="N3457" s="124"/>
      <c r="O3457" s="124"/>
      <c r="T3457" s="126">
        <f>IFERROR(__xludf.DUMMYFUNCTION("""COMPUTED_VALUE"""),46072.0)</f>
        <v>46072</v>
      </c>
      <c r="U3457" s="124" t="str">
        <f>IFERROR(__xludf.DUMMYFUNCTION("""COMPUTED_VALUE"""),"Walk-Ins")</f>
        <v>Walk-Ins</v>
      </c>
      <c r="V3457" s="124" t="str">
        <f>IFERROR(__xludf.DUMMYFUNCTION("""COMPUTED_VALUE"""),"Walk-In")</f>
        <v>Walk-In</v>
      </c>
      <c r="W3457" s="124" t="str">
        <f>IFERROR(__xludf.DUMMYFUNCTION("""COMPUTED_VALUE"""),"Indore")</f>
        <v>Indore</v>
      </c>
      <c r="X3457" s="124" t="str">
        <f>IFERROR(__xludf.DUMMYFUNCTION("""COMPUTED_VALUE"""),"Indore")</f>
        <v>Indore</v>
      </c>
      <c r="Y3457" s="124" t="str">
        <f>IFERROR(__xludf.DUMMYFUNCTION("""COMPUTED_VALUE"""),"Indore")</f>
        <v>Indore</v>
      </c>
      <c r="Z3457" s="124">
        <f>IFERROR(__xludf.DUMMYFUNCTION("""COMPUTED_VALUE"""),1.0)</f>
        <v>1</v>
      </c>
      <c r="AA3457" s="124" t="str">
        <f>IFERROR(__xludf.DUMMYFUNCTION("""COMPUTED_VALUE"""),"Enrolled")</f>
        <v>Enrolled</v>
      </c>
      <c r="AB3457" s="124" t="str">
        <f>IFERROR(__xludf.DUMMYFUNCTION("""COMPUTED_VALUE"""),"GS Foundation")</f>
        <v>GS Foundation</v>
      </c>
    </row>
    <row r="3458">
      <c r="K3458" s="124"/>
      <c r="L3458" s="124"/>
      <c r="M3458" s="124"/>
      <c r="N3458" s="124"/>
      <c r="O3458" s="124"/>
      <c r="T3458" s="129">
        <f>IFERROR(__xludf.DUMMYFUNCTION("""COMPUTED_VALUE"""),46090.0)</f>
        <v>46090</v>
      </c>
      <c r="U3458" s="124" t="str">
        <f>IFERROR(__xludf.DUMMYFUNCTION("""COMPUTED_VALUE"""),"Publisher Campaign")</f>
        <v>Publisher Campaign</v>
      </c>
      <c r="V3458" s="124" t="str">
        <f>IFERROR(__xludf.DUMMYFUNCTION("""COMPUTED_VALUE"""),"BTL Activities")</f>
        <v>BTL Activities</v>
      </c>
      <c r="W3458" s="124"/>
      <c r="X3458" s="124"/>
      <c r="Y3458" s="124" t="str">
        <f>IFERROR(__xludf.DUMMYFUNCTION("""COMPUTED_VALUE"""),"Indore")</f>
        <v>Indore</v>
      </c>
      <c r="Z3458" s="124">
        <f>IFERROR(__xludf.DUMMYFUNCTION("""COMPUTED_VALUE"""),4.0)</f>
        <v>4</v>
      </c>
      <c r="AA3458" s="124" t="str">
        <f>IFERROR(__xludf.DUMMYFUNCTION("""COMPUTED_VALUE"""),"Cold")</f>
        <v>Cold</v>
      </c>
      <c r="AB3458" s="124" t="str">
        <f>IFERROR(__xludf.DUMMYFUNCTION("""COMPUTED_VALUE"""),"IGP UPPSC")</f>
        <v>IGP UPPSC</v>
      </c>
    </row>
    <row r="3459">
      <c r="K3459" s="124"/>
      <c r="L3459" s="124"/>
      <c r="M3459" s="124"/>
      <c r="N3459" s="124"/>
      <c r="O3459" s="124"/>
      <c r="T3459" s="126">
        <f>IFERROR(__xludf.DUMMYFUNCTION("""COMPUTED_VALUE"""),46076.0)</f>
        <v>46076</v>
      </c>
      <c r="U3459" s="124" t="str">
        <f>IFERROR(__xludf.DUMMYFUNCTION("""COMPUTED_VALUE"""),"Publisher Campaign")</f>
        <v>Publisher Campaign</v>
      </c>
      <c r="V3459" s="124" t="str">
        <f>IFERROR(__xludf.DUMMYFUNCTION("""COMPUTED_VALUE"""),"Webinar")</f>
        <v>Webinar</v>
      </c>
      <c r="W3459" s="124"/>
      <c r="X3459" s="124"/>
      <c r="Y3459" s="124" t="str">
        <f>IFERROR(__xludf.DUMMYFUNCTION("""COMPUTED_VALUE"""),"Delhi")</f>
        <v>Delhi</v>
      </c>
      <c r="Z3459" s="124">
        <f>IFERROR(__xludf.DUMMYFUNCTION("""COMPUTED_VALUE"""),1.0)</f>
        <v>1</v>
      </c>
      <c r="AA3459" s="124" t="str">
        <f>IFERROR(__xludf.DUMMYFUNCTION("""COMPUTED_VALUE"""),"Engaged")</f>
        <v>Engaged</v>
      </c>
      <c r="AB3459" s="124" t="str">
        <f>IFERROR(__xludf.DUMMYFUNCTION("""COMPUTED_VALUE"""),"Mentorship")</f>
        <v>Mentorship</v>
      </c>
    </row>
    <row r="3460">
      <c r="K3460" s="124"/>
      <c r="L3460" s="124"/>
      <c r="M3460" s="124"/>
      <c r="N3460" s="124"/>
      <c r="O3460" s="124"/>
      <c r="T3460" s="126">
        <f>IFERROR(__xludf.DUMMYFUNCTION("""COMPUTED_VALUE"""),46051.0)</f>
        <v>46051</v>
      </c>
      <c r="U3460" s="124" t="str">
        <f>IFERROR(__xludf.DUMMYFUNCTION("""COMPUTED_VALUE"""),"External Leads")</f>
        <v>External Leads</v>
      </c>
      <c r="V3460" s="124" t="str">
        <f>IFERROR(__xludf.DUMMYFUNCTION("""COMPUTED_VALUE"""),"external leads")</f>
        <v>external leads</v>
      </c>
      <c r="W3460" s="124"/>
      <c r="X3460" s="124"/>
      <c r="Y3460" s="124" t="str">
        <f>IFERROR(__xludf.DUMMYFUNCTION("""COMPUTED_VALUE"""),"Delhi")</f>
        <v>Delhi</v>
      </c>
      <c r="Z3460" s="124">
        <f>IFERROR(__xludf.DUMMYFUNCTION("""COMPUTED_VALUE"""),1.0)</f>
        <v>1</v>
      </c>
      <c r="AA3460" s="124" t="str">
        <f>IFERROR(__xludf.DUMMYFUNCTION("""COMPUTED_VALUE"""),"Warm")</f>
        <v>Warm</v>
      </c>
      <c r="AB3460" s="124"/>
    </row>
    <row r="3461">
      <c r="K3461" s="124"/>
      <c r="L3461" s="124"/>
      <c r="M3461" s="124"/>
      <c r="N3461" s="124"/>
      <c r="O3461" s="124"/>
      <c r="T3461" s="126">
        <f>IFERROR(__xludf.DUMMYFUNCTION("""COMPUTED_VALUE"""),46091.0)</f>
        <v>46091</v>
      </c>
      <c r="U3461" s="124" t="str">
        <f>IFERROR(__xludf.DUMMYFUNCTION("""COMPUTED_VALUE"""),"Publisher Campaign")</f>
        <v>Publisher Campaign</v>
      </c>
      <c r="V3461" s="124" t="str">
        <f>IFERROR(__xludf.DUMMYFUNCTION("""COMPUTED_VALUE"""),"Webinar")</f>
        <v>Webinar</v>
      </c>
      <c r="W3461" s="124"/>
      <c r="X3461" s="124"/>
      <c r="Y3461" s="124" t="str">
        <f>IFERROR(__xludf.DUMMYFUNCTION("""COMPUTED_VALUE"""),"Delhi")</f>
        <v>Delhi</v>
      </c>
      <c r="Z3461" s="124">
        <f>IFERROR(__xludf.DUMMYFUNCTION("""COMPUTED_VALUE"""),1.0)</f>
        <v>1</v>
      </c>
      <c r="AA3461" s="124" t="str">
        <f>IFERROR(__xludf.DUMMYFUNCTION("""COMPUTED_VALUE"""),"Cold")</f>
        <v>Cold</v>
      </c>
      <c r="AB3461" s="124" t="str">
        <f>IFERROR(__xludf.DUMMYFUNCTION("""COMPUTED_VALUE"""),"GS Advanced")</f>
        <v>GS Advanced</v>
      </c>
    </row>
    <row r="3462">
      <c r="K3462" s="124"/>
      <c r="L3462" s="124"/>
      <c r="M3462" s="124"/>
      <c r="N3462" s="124"/>
      <c r="O3462" s="124"/>
      <c r="T3462" s="129">
        <f>IFERROR(__xludf.DUMMYFUNCTION("""COMPUTED_VALUE"""),46084.0)</f>
        <v>46084</v>
      </c>
      <c r="U3462" s="124" t="str">
        <f>IFERROR(__xludf.DUMMYFUNCTION("""COMPUTED_VALUE"""),"Paid Ads")</f>
        <v>Paid Ads</v>
      </c>
      <c r="V3462" s="124" t="str">
        <f>IFERROR(__xludf.DUMMYFUNCTION("""COMPUTED_VALUE"""),"YouTube")</f>
        <v>YouTube</v>
      </c>
      <c r="W3462" s="124"/>
      <c r="X3462" s="124"/>
      <c r="Y3462" s="124" t="str">
        <f>IFERROR(__xludf.DUMMYFUNCTION("""COMPUTED_VALUE"""),"Lucknow")</f>
        <v>Lucknow</v>
      </c>
      <c r="Z3462" s="124">
        <f>IFERROR(__xludf.DUMMYFUNCTION("""COMPUTED_VALUE"""),1.0)</f>
        <v>1</v>
      </c>
      <c r="AA3462" s="124" t="str">
        <f>IFERROR(__xludf.DUMMYFUNCTION("""COMPUTED_VALUE"""),"Cold")</f>
        <v>Cold</v>
      </c>
      <c r="AB3462" s="124" t="str">
        <f>IFERROR(__xludf.DUMMYFUNCTION("""COMPUTED_VALUE"""),"State PCS")</f>
        <v>State PCS</v>
      </c>
    </row>
    <row r="3463">
      <c r="K3463" s="124"/>
      <c r="L3463" s="124"/>
      <c r="M3463" s="124"/>
      <c r="N3463" s="124"/>
      <c r="O3463" s="124"/>
      <c r="T3463" s="129">
        <f>IFERROR(__xludf.DUMMYFUNCTION("""COMPUTED_VALUE"""),46087.0)</f>
        <v>46087</v>
      </c>
      <c r="U3463" s="124" t="str">
        <f>IFERROR(__xludf.DUMMYFUNCTION("""COMPUTED_VALUE"""),"Publisher Campaign")</f>
        <v>Publisher Campaign</v>
      </c>
      <c r="V3463" s="124" t="str">
        <f>IFERROR(__xludf.DUMMYFUNCTION("""COMPUTED_VALUE"""),"Webinar")</f>
        <v>Webinar</v>
      </c>
      <c r="W3463" s="124"/>
      <c r="X3463" s="124"/>
      <c r="Y3463" s="124" t="str">
        <f>IFERROR(__xludf.DUMMYFUNCTION("""COMPUTED_VALUE"""),"Delhi")</f>
        <v>Delhi</v>
      </c>
      <c r="Z3463" s="124">
        <f>IFERROR(__xludf.DUMMYFUNCTION("""COMPUTED_VALUE"""),1.0)</f>
        <v>1</v>
      </c>
      <c r="AA3463" s="124" t="str">
        <f>IFERROR(__xludf.DUMMYFUNCTION("""COMPUTED_VALUE"""),"Not Interested")</f>
        <v>Not Interested</v>
      </c>
      <c r="AB3463" s="124" t="str">
        <f>IFERROR(__xludf.DUMMYFUNCTION("""COMPUTED_VALUE"""),"Test Series")</f>
        <v>Test Series</v>
      </c>
    </row>
    <row r="3464">
      <c r="K3464" s="124"/>
      <c r="L3464" s="124"/>
      <c r="M3464" s="124"/>
      <c r="N3464" s="124"/>
      <c r="O3464" s="124"/>
      <c r="T3464" s="129">
        <f>IFERROR(__xludf.DUMMYFUNCTION("""COMPUTED_VALUE"""),46058.0)</f>
        <v>46058</v>
      </c>
      <c r="U3464" s="124" t="str">
        <f>IFERROR(__xludf.DUMMYFUNCTION("""COMPUTED_VALUE"""),"Publisher Campaign")</f>
        <v>Publisher Campaign</v>
      </c>
      <c r="V3464" s="124" t="str">
        <f>IFERROR(__xludf.DUMMYFUNCTION("""COMPUTED_VALUE"""),"Feeder Cities")</f>
        <v>Feeder Cities</v>
      </c>
      <c r="W3464" s="124"/>
      <c r="X3464" s="124"/>
      <c r="Y3464" s="124" t="str">
        <f>IFERROR(__xludf.DUMMYFUNCTION("""COMPUTED_VALUE"""),"Indore")</f>
        <v>Indore</v>
      </c>
      <c r="Z3464" s="124">
        <f>IFERROR(__xludf.DUMMYFUNCTION("""COMPUTED_VALUE"""),1.0)</f>
        <v>1</v>
      </c>
      <c r="AA3464" s="124" t="str">
        <f>IFERROR(__xludf.DUMMYFUNCTION("""COMPUTED_VALUE"""),"Fake Lead")</f>
        <v>Fake Lead</v>
      </c>
      <c r="AB3464" s="124" t="str">
        <f>IFERROR(__xludf.DUMMYFUNCTION("""COMPUTED_VALUE"""),"State PCS")</f>
        <v>State PCS</v>
      </c>
    </row>
    <row r="3465">
      <c r="K3465" s="124"/>
      <c r="L3465" s="124"/>
      <c r="M3465" s="124"/>
      <c r="N3465" s="124"/>
      <c r="O3465" s="124"/>
      <c r="T3465" s="126">
        <f>IFERROR(__xludf.DUMMYFUNCTION("""COMPUTED_VALUE"""),46047.0)</f>
        <v>46047</v>
      </c>
      <c r="U3465" s="124" t="str">
        <f>IFERROR(__xludf.DUMMYFUNCTION("""COMPUTED_VALUE"""),"Paid Ads")</f>
        <v>Paid Ads</v>
      </c>
      <c r="V3465" s="124" t="str">
        <f>IFERROR(__xludf.DUMMYFUNCTION("""COMPUTED_VALUE"""),"Facebook")</f>
        <v>Facebook</v>
      </c>
      <c r="W3465" s="124" t="str">
        <f>IFERROR(__xludf.DUMMYFUNCTION("""COMPUTED_VALUE"""),"LeadAd")</f>
        <v>LeadAd</v>
      </c>
      <c r="X3465" s="124" t="str">
        <f>IFERROR(__xludf.DUMMYFUNCTION("""COMPUTED_VALUE"""),"Upsc_Offline_Lead_26_Patna_FB_Creatives")</f>
        <v>Upsc_Offline_Lead_26_Patna_FB_Creatives</v>
      </c>
      <c r="Y3465" s="124" t="str">
        <f>IFERROR(__xludf.DUMMYFUNCTION("""COMPUTED_VALUE"""),"Patna")</f>
        <v>Patna</v>
      </c>
      <c r="Z3465" s="124">
        <f>IFERROR(__xludf.DUMMYFUNCTION("""COMPUTED_VALUE"""),1.0)</f>
        <v>1</v>
      </c>
      <c r="AA3465" s="124" t="str">
        <f>IFERROR(__xludf.DUMMYFUNCTION("""COMPUTED_VALUE"""),"Fake Lead")</f>
        <v>Fake Lead</v>
      </c>
      <c r="AB3465" s="124"/>
    </row>
    <row r="3466">
      <c r="K3466" s="124"/>
      <c r="L3466" s="124"/>
      <c r="M3466" s="124"/>
      <c r="N3466" s="124"/>
      <c r="O3466" s="124"/>
      <c r="T3466" s="126">
        <f>IFERROR(__xludf.DUMMYFUNCTION("""COMPUTED_VALUE"""),46050.0)</f>
        <v>46050</v>
      </c>
      <c r="U3466" s="124" t="str">
        <f>IFERROR(__xludf.DUMMYFUNCTION("""COMPUTED_VALUE"""),"Paid Ads")</f>
        <v>Paid Ads</v>
      </c>
      <c r="V3466" s="124" t="str">
        <f>IFERROR(__xludf.DUMMYFUNCTION("""COMPUTED_VALUE"""),"Facebook")</f>
        <v>Facebook</v>
      </c>
      <c r="W3466" s="124" t="str">
        <f>IFERROR(__xludf.DUMMYFUNCTION("""COMPUTED_VALUE"""),"LeadAd")</f>
        <v>LeadAd</v>
      </c>
      <c r="X3466" s="124" t="str">
        <f>IFERROR(__xludf.DUMMYFUNCTION("""COMPUTED_VALUE"""),"Upsc_Offline_Lead_26_Patna_FB_Creatives")</f>
        <v>Upsc_Offline_Lead_26_Patna_FB_Creatives</v>
      </c>
      <c r="Y3466" s="124" t="str">
        <f>IFERROR(__xludf.DUMMYFUNCTION("""COMPUTED_VALUE"""),"Patna")</f>
        <v>Patna</v>
      </c>
      <c r="Z3466" s="124">
        <f>IFERROR(__xludf.DUMMYFUNCTION("""COMPUTED_VALUE"""),2.0)</f>
        <v>2</v>
      </c>
      <c r="AA3466" s="124" t="str">
        <f>IFERROR(__xludf.DUMMYFUNCTION("""COMPUTED_VALUE"""),"Fake Lead")</f>
        <v>Fake Lead</v>
      </c>
      <c r="AB3466" s="124"/>
    </row>
    <row r="3467">
      <c r="K3467" s="124"/>
      <c r="L3467" s="124"/>
      <c r="M3467" s="124"/>
      <c r="N3467" s="124"/>
      <c r="O3467" s="124"/>
      <c r="T3467" s="129">
        <f>IFERROR(__xludf.DUMMYFUNCTION("""COMPUTED_VALUE"""),46087.0)</f>
        <v>46087</v>
      </c>
      <c r="U3467" s="124" t="str">
        <f>IFERROR(__xludf.DUMMYFUNCTION("""COMPUTED_VALUE"""),"Walk-Ins")</f>
        <v>Walk-Ins</v>
      </c>
      <c r="V3467" s="124" t="str">
        <f>IFERROR(__xludf.DUMMYFUNCTION("""COMPUTED_VALUE"""),"Walkin")</f>
        <v>Walkin</v>
      </c>
      <c r="W3467" s="124" t="str">
        <f>IFERROR(__xludf.DUMMYFUNCTION("""COMPUTED_VALUE"""),"Delhi")</f>
        <v>Delhi</v>
      </c>
      <c r="X3467" s="124" t="str">
        <f>IFERROR(__xludf.DUMMYFUNCTION("""COMPUTED_VALUE"""),"walkin")</f>
        <v>walkin</v>
      </c>
      <c r="Y3467" s="124" t="str">
        <f>IFERROR(__xludf.DUMMYFUNCTION("""COMPUTED_VALUE"""),"Delhi")</f>
        <v>Delhi</v>
      </c>
      <c r="Z3467" s="124">
        <f>IFERROR(__xludf.DUMMYFUNCTION("""COMPUTED_VALUE"""),3.0)</f>
        <v>3</v>
      </c>
      <c r="AA3467" s="124" t="str">
        <f>IFERROR(__xludf.DUMMYFUNCTION("""COMPUTED_VALUE"""),"Cold")</f>
        <v>Cold</v>
      </c>
      <c r="AB3467" s="124" t="str">
        <f>IFERROR(__xludf.DUMMYFUNCTION("""COMPUTED_VALUE"""),"GS Foundation")</f>
        <v>GS Foundation</v>
      </c>
    </row>
    <row r="3468">
      <c r="K3468" s="124"/>
      <c r="L3468" s="124"/>
      <c r="M3468" s="124"/>
      <c r="N3468" s="124"/>
      <c r="O3468" s="124"/>
      <c r="T3468" s="126">
        <f>IFERROR(__xludf.DUMMYFUNCTION("""COMPUTED_VALUE"""),46051.0)</f>
        <v>46051</v>
      </c>
      <c r="U3468" s="124" t="str">
        <f>IFERROR(__xludf.DUMMYFUNCTION("""COMPUTED_VALUE"""),"External Leads")</f>
        <v>External Leads</v>
      </c>
      <c r="V3468" s="124" t="str">
        <f>IFERROR(__xludf.DUMMYFUNCTION("""COMPUTED_VALUE"""),"direct")</f>
        <v>direct</v>
      </c>
      <c r="W3468" s="124" t="str">
        <f>IFERROR(__xludf.DUMMYFUNCTION("""COMPUTED_VALUE"""),"direct")</f>
        <v>direct</v>
      </c>
      <c r="X3468" s="124" t="str">
        <f>IFERROR(__xludf.DUMMYFUNCTION("""COMPUTED_VALUE"""),"direct")</f>
        <v>direct</v>
      </c>
      <c r="Y3468" s="124" t="str">
        <f>IFERROR(__xludf.DUMMYFUNCTION("""COMPUTED_VALUE"""),"Delhi")</f>
        <v>Delhi</v>
      </c>
      <c r="Z3468" s="124">
        <f>IFERROR(__xludf.DUMMYFUNCTION("""COMPUTED_VALUE"""),1.0)</f>
        <v>1</v>
      </c>
      <c r="AA3468" s="124" t="str">
        <f>IFERROR(__xludf.DUMMYFUNCTION("""COMPUTED_VALUE"""),"Cold")</f>
        <v>Cold</v>
      </c>
      <c r="AB3468" s="124" t="str">
        <f>IFERROR(__xludf.DUMMYFUNCTION("""COMPUTED_VALUE"""),"Test Series")</f>
        <v>Test Series</v>
      </c>
    </row>
    <row r="3469">
      <c r="K3469" s="124"/>
      <c r="L3469" s="124"/>
      <c r="M3469" s="124"/>
      <c r="N3469" s="124"/>
      <c r="O3469" s="124"/>
      <c r="T3469" s="126">
        <f>IFERROR(__xludf.DUMMYFUNCTION("""COMPUTED_VALUE"""),46092.0)</f>
        <v>46092</v>
      </c>
      <c r="U3469" s="124" t="str">
        <f>IFERROR(__xludf.DUMMYFUNCTION("""COMPUTED_VALUE"""),"Walk-Ins")</f>
        <v>Walk-Ins</v>
      </c>
      <c r="V3469" s="124" t="str">
        <f>IFERROR(__xludf.DUMMYFUNCTION("""COMPUTED_VALUE"""),"Walk-In")</f>
        <v>Walk-In</v>
      </c>
      <c r="W3469" s="124" t="str">
        <f>IFERROR(__xludf.DUMMYFUNCTION("""COMPUTED_VALUE"""),"Prayagraj")</f>
        <v>Prayagraj</v>
      </c>
      <c r="X3469" s="124" t="str">
        <f>IFERROR(__xludf.DUMMYFUNCTION("""COMPUTED_VALUE"""),"Aditi")</f>
        <v>Aditi</v>
      </c>
      <c r="Y3469" s="124" t="str">
        <f>IFERROR(__xludf.DUMMYFUNCTION("""COMPUTED_VALUE"""),"Prayagraj")</f>
        <v>Prayagraj</v>
      </c>
      <c r="Z3469" s="124">
        <f>IFERROR(__xludf.DUMMYFUNCTION("""COMPUTED_VALUE"""),1.0)</f>
        <v>1</v>
      </c>
      <c r="AA3469" s="124" t="str">
        <f>IFERROR(__xludf.DUMMYFUNCTION("""COMPUTED_VALUE"""),"Future Prospects")</f>
        <v>Future Prospects</v>
      </c>
      <c r="AB3469" s="124" t="str">
        <f>IFERROR(__xludf.DUMMYFUNCTION("""COMPUTED_VALUE"""),"GS Foundation")</f>
        <v>GS Foundation</v>
      </c>
    </row>
    <row r="3470">
      <c r="K3470" s="124"/>
      <c r="L3470" s="124"/>
      <c r="M3470" s="124"/>
      <c r="N3470" s="124"/>
      <c r="O3470" s="124"/>
      <c r="T3470" s="126">
        <f>IFERROR(__xludf.DUMMYFUNCTION("""COMPUTED_VALUE"""),46100.0)</f>
        <v>46100</v>
      </c>
      <c r="U3470" s="124" t="str">
        <f>IFERROR(__xludf.DUMMYFUNCTION("""COMPUTED_VALUE"""),"Walk-Ins")</f>
        <v>Walk-Ins</v>
      </c>
      <c r="V3470" s="124" t="str">
        <f>IFERROR(__xludf.DUMMYFUNCTION("""COMPUTED_VALUE"""),"Walkin")</f>
        <v>Walkin</v>
      </c>
      <c r="W3470" s="124" t="str">
        <f>IFERROR(__xludf.DUMMYFUNCTION("""COMPUTED_VALUE"""),"Delhi")</f>
        <v>Delhi</v>
      </c>
      <c r="X3470" s="124" t="str">
        <f>IFERROR(__xludf.DUMMYFUNCTION("""COMPUTED_VALUE"""),"walkin")</f>
        <v>walkin</v>
      </c>
      <c r="Y3470" s="124" t="str">
        <f>IFERROR(__xludf.DUMMYFUNCTION("""COMPUTED_VALUE"""),"Delhi")</f>
        <v>Delhi</v>
      </c>
      <c r="Z3470" s="124">
        <f>IFERROR(__xludf.DUMMYFUNCTION("""COMPUTED_VALUE"""),3.0)</f>
        <v>3</v>
      </c>
      <c r="AA3470" s="124" t="str">
        <f>IFERROR(__xludf.DUMMYFUNCTION("""COMPUTED_VALUE"""),"Warm")</f>
        <v>Warm</v>
      </c>
      <c r="AB3470" s="124" t="str">
        <f>IFERROR(__xludf.DUMMYFUNCTION("""COMPUTED_VALUE"""),"GS Foundation")</f>
        <v>GS Foundation</v>
      </c>
    </row>
    <row r="3471">
      <c r="K3471" s="124"/>
      <c r="L3471" s="124"/>
      <c r="M3471" s="124"/>
      <c r="N3471" s="124"/>
      <c r="O3471" s="124"/>
      <c r="T3471" s="126">
        <f>IFERROR(__xludf.DUMMYFUNCTION("""COMPUTED_VALUE"""),46070.0)</f>
        <v>46070</v>
      </c>
      <c r="U3471" s="124" t="str">
        <f>IFERROR(__xludf.DUMMYFUNCTION("""COMPUTED_VALUE"""),"Walk-Ins")</f>
        <v>Walk-Ins</v>
      </c>
      <c r="V3471" s="124" t="str">
        <f>IFERROR(__xludf.DUMMYFUNCTION("""COMPUTED_VALUE"""),"Walkin")</f>
        <v>Walkin</v>
      </c>
      <c r="W3471" s="124" t="str">
        <f>IFERROR(__xludf.DUMMYFUNCTION("""COMPUTED_VALUE"""),"Delhi")</f>
        <v>Delhi</v>
      </c>
      <c r="X3471" s="124" t="str">
        <f>IFERROR(__xludf.DUMMYFUNCTION("""COMPUTED_VALUE"""),"walkin")</f>
        <v>walkin</v>
      </c>
      <c r="Y3471" s="124" t="str">
        <f>IFERROR(__xludf.DUMMYFUNCTION("""COMPUTED_VALUE"""),"Delhi")</f>
        <v>Delhi</v>
      </c>
      <c r="Z3471" s="124">
        <f>IFERROR(__xludf.DUMMYFUNCTION("""COMPUTED_VALUE"""),1.0)</f>
        <v>1</v>
      </c>
      <c r="AA3471" s="124" t="str">
        <f>IFERROR(__xludf.DUMMYFUNCTION("""COMPUTED_VALUE"""),"Fake Lead")</f>
        <v>Fake Lead</v>
      </c>
      <c r="AB3471" s="124" t="str">
        <f>IFERROR(__xludf.DUMMYFUNCTION("""COMPUTED_VALUE"""),"State PCS")</f>
        <v>State PCS</v>
      </c>
    </row>
    <row r="3472">
      <c r="K3472" s="124"/>
      <c r="L3472" s="124"/>
      <c r="M3472" s="124"/>
      <c r="N3472" s="124"/>
      <c r="O3472" s="124"/>
      <c r="T3472" s="126">
        <f>IFERROR(__xludf.DUMMYFUNCTION("""COMPUTED_VALUE"""),46049.0)</f>
        <v>46049</v>
      </c>
      <c r="U3472" s="124" t="str">
        <f>IFERROR(__xludf.DUMMYFUNCTION("""COMPUTED_VALUE"""),"External Leads")</f>
        <v>External Leads</v>
      </c>
      <c r="V3472" s="124" t="str">
        <f>IFERROR(__xludf.DUMMYFUNCTION("""COMPUTED_VALUE"""),"external leads")</f>
        <v>external leads</v>
      </c>
      <c r="W3472" s="124" t="str">
        <f>IFERROR(__xludf.DUMMYFUNCTION("""COMPUTED_VALUE"""),"delhi")</f>
        <v>delhi</v>
      </c>
      <c r="X3472" s="124" t="str">
        <f>IFERROR(__xludf.DUMMYFUNCTION("""COMPUTED_VALUE"""),"piyushunacademy")</f>
        <v>piyushunacademy</v>
      </c>
      <c r="Y3472" s="124" t="str">
        <f>IFERROR(__xludf.DUMMYFUNCTION("""COMPUTED_VALUE"""),"Delhi")</f>
        <v>Delhi</v>
      </c>
      <c r="Z3472" s="124">
        <f>IFERROR(__xludf.DUMMYFUNCTION("""COMPUTED_VALUE"""),1.0)</f>
        <v>1</v>
      </c>
      <c r="AA3472" s="124" t="str">
        <f>IFERROR(__xludf.DUMMYFUNCTION("""COMPUTED_VALUE"""),"Warm")</f>
        <v>Warm</v>
      </c>
      <c r="AB3472" s="124"/>
    </row>
    <row r="3473">
      <c r="K3473" s="124"/>
      <c r="L3473" s="124"/>
      <c r="M3473" s="124"/>
      <c r="N3473" s="124"/>
      <c r="O3473" s="124"/>
      <c r="T3473" s="129">
        <f>IFERROR(__xludf.DUMMYFUNCTION("""COMPUTED_VALUE"""),46059.0)</f>
        <v>46059</v>
      </c>
      <c r="U3473" s="124" t="str">
        <f>IFERROR(__xludf.DUMMYFUNCTION("""COMPUTED_VALUE"""),"Walk-Ins")</f>
        <v>Walk-Ins</v>
      </c>
      <c r="V3473" s="124" t="str">
        <f>IFERROR(__xludf.DUMMYFUNCTION("""COMPUTED_VALUE"""),"Walkin")</f>
        <v>Walkin</v>
      </c>
      <c r="W3473" s="124" t="str">
        <f>IFERROR(__xludf.DUMMYFUNCTION("""COMPUTED_VALUE"""),"Delhi")</f>
        <v>Delhi</v>
      </c>
      <c r="X3473" s="124" t="str">
        <f>IFERROR(__xludf.DUMMYFUNCTION("""COMPUTED_VALUE"""),"walkin")</f>
        <v>walkin</v>
      </c>
      <c r="Y3473" s="124" t="str">
        <f>IFERROR(__xludf.DUMMYFUNCTION("""COMPUTED_VALUE"""),"Delhi")</f>
        <v>Delhi</v>
      </c>
      <c r="Z3473" s="124">
        <f>IFERROR(__xludf.DUMMYFUNCTION("""COMPUTED_VALUE"""),1.0)</f>
        <v>1</v>
      </c>
      <c r="AA3473" s="124" t="str">
        <f>IFERROR(__xludf.DUMMYFUNCTION("""COMPUTED_VALUE"""),"Enrolled")</f>
        <v>Enrolled</v>
      </c>
      <c r="AB3473" s="124" t="str">
        <f>IFERROR(__xludf.DUMMYFUNCTION("""COMPUTED_VALUE"""),"GS Foundation")</f>
        <v>GS Foundation</v>
      </c>
    </row>
    <row r="3474">
      <c r="K3474" s="124"/>
      <c r="L3474" s="124"/>
      <c r="M3474" s="124"/>
      <c r="N3474" s="124"/>
      <c r="O3474" s="124"/>
      <c r="T3474" s="126">
        <f>IFERROR(__xludf.DUMMYFUNCTION("""COMPUTED_VALUE"""),46049.0)</f>
        <v>46049</v>
      </c>
      <c r="U3474" s="124" t="str">
        <f>IFERROR(__xludf.DUMMYFUNCTION("""COMPUTED_VALUE"""),"External Leads")</f>
        <v>External Leads</v>
      </c>
      <c r="V3474" s="124" t="str">
        <f>IFERROR(__xludf.DUMMYFUNCTION("""COMPUTED_VALUE"""),"external leads")</f>
        <v>external leads</v>
      </c>
      <c r="W3474" s="124" t="str">
        <f>IFERROR(__xludf.DUMMYFUNCTION("""COMPUTED_VALUE"""),"patna")</f>
        <v>patna</v>
      </c>
      <c r="X3474" s="124" t="str">
        <f>IFERROR(__xludf.DUMMYFUNCTION("""COMPUTED_VALUE"""),"piyushunacademy")</f>
        <v>piyushunacademy</v>
      </c>
      <c r="Y3474" s="124" t="str">
        <f>IFERROR(__xludf.DUMMYFUNCTION("""COMPUTED_VALUE"""),"Patna")</f>
        <v>Patna</v>
      </c>
      <c r="Z3474" s="124">
        <f>IFERROR(__xludf.DUMMYFUNCTION("""COMPUTED_VALUE"""),1.0)</f>
        <v>1</v>
      </c>
      <c r="AA3474" s="124" t="str">
        <f>IFERROR(__xludf.DUMMYFUNCTION("""COMPUTED_VALUE"""),"Enrolled")</f>
        <v>Enrolled</v>
      </c>
      <c r="AB3474" s="124" t="str">
        <f>IFERROR(__xludf.DUMMYFUNCTION("""COMPUTED_VALUE"""),"State PCS")</f>
        <v>State PCS</v>
      </c>
    </row>
    <row r="3475">
      <c r="K3475" s="124"/>
      <c r="L3475" s="124"/>
      <c r="M3475" s="124"/>
      <c r="N3475" s="124"/>
      <c r="O3475" s="124"/>
      <c r="T3475" s="126">
        <f>IFERROR(__xludf.DUMMYFUNCTION("""COMPUTED_VALUE"""),46101.0)</f>
        <v>46101</v>
      </c>
      <c r="U3475" s="124" t="str">
        <f>IFERROR(__xludf.DUMMYFUNCTION("""COMPUTED_VALUE"""),"Walk-Ins")</f>
        <v>Walk-Ins</v>
      </c>
      <c r="V3475" s="124" t="str">
        <f>IFERROR(__xludf.DUMMYFUNCTION("""COMPUTED_VALUE"""),"Walkin")</f>
        <v>Walkin</v>
      </c>
      <c r="W3475" s="124" t="str">
        <f>IFERROR(__xludf.DUMMYFUNCTION("""COMPUTED_VALUE"""),"Delhi")</f>
        <v>Delhi</v>
      </c>
      <c r="X3475" s="124" t="str">
        <f>IFERROR(__xludf.DUMMYFUNCTION("""COMPUTED_VALUE"""),"walkin")</f>
        <v>walkin</v>
      </c>
      <c r="Y3475" s="124" t="str">
        <f>IFERROR(__xludf.DUMMYFUNCTION("""COMPUTED_VALUE"""),"Delhi")</f>
        <v>Delhi</v>
      </c>
      <c r="Z3475" s="124">
        <f>IFERROR(__xludf.DUMMYFUNCTION("""COMPUTED_VALUE"""),1.0)</f>
        <v>1</v>
      </c>
      <c r="AA3475" s="124" t="str">
        <f>IFERROR(__xludf.DUMMYFUNCTION("""COMPUTED_VALUE"""),"Cold")</f>
        <v>Cold</v>
      </c>
      <c r="AB3475" s="124" t="str">
        <f>IFERROR(__xludf.DUMMYFUNCTION("""COMPUTED_VALUE"""),"GS Foundation")</f>
        <v>GS Foundation</v>
      </c>
    </row>
    <row r="3476">
      <c r="K3476" s="124"/>
      <c r="L3476" s="124"/>
      <c r="M3476" s="124"/>
      <c r="N3476" s="124"/>
      <c r="O3476" s="124"/>
      <c r="T3476" s="126">
        <f>IFERROR(__xludf.DUMMYFUNCTION("""COMPUTED_VALUE"""),46069.0)</f>
        <v>46069</v>
      </c>
      <c r="U3476" s="124" t="str">
        <f>IFERROR(__xludf.DUMMYFUNCTION("""COMPUTED_VALUE"""),"Walk-Ins")</f>
        <v>Walk-Ins</v>
      </c>
      <c r="V3476" s="124" t="str">
        <f>IFERROR(__xludf.DUMMYFUNCTION("""COMPUTED_VALUE"""),"Walkin")</f>
        <v>Walkin</v>
      </c>
      <c r="W3476" s="124" t="str">
        <f>IFERROR(__xludf.DUMMYFUNCTION("""COMPUTED_VALUE"""),"Delhi")</f>
        <v>Delhi</v>
      </c>
      <c r="X3476" s="124" t="str">
        <f>IFERROR(__xludf.DUMMYFUNCTION("""COMPUTED_VALUE"""),"walkin")</f>
        <v>walkin</v>
      </c>
      <c r="Y3476" s="124" t="str">
        <f>IFERROR(__xludf.DUMMYFUNCTION("""COMPUTED_VALUE"""),"Delhi")</f>
        <v>Delhi</v>
      </c>
      <c r="Z3476" s="124">
        <f>IFERROR(__xludf.DUMMYFUNCTION("""COMPUTED_VALUE"""),1.0)</f>
        <v>1</v>
      </c>
      <c r="AA3476" s="124" t="str">
        <f>IFERROR(__xludf.DUMMYFUNCTION("""COMPUTED_VALUE"""),"Future Prospects")</f>
        <v>Future Prospects</v>
      </c>
      <c r="AB3476" s="124" t="str">
        <f>IFERROR(__xludf.DUMMYFUNCTION("""COMPUTED_VALUE"""),"GS Foundation")</f>
        <v>GS Foundation</v>
      </c>
    </row>
    <row r="3477">
      <c r="K3477" s="124"/>
      <c r="L3477" s="124"/>
      <c r="M3477" s="124"/>
      <c r="N3477" s="124"/>
      <c r="O3477" s="124"/>
      <c r="T3477" s="126">
        <f>IFERROR(__xludf.DUMMYFUNCTION("""COMPUTED_VALUE"""),46091.0)</f>
        <v>46091</v>
      </c>
      <c r="U3477" s="124" t="str">
        <f>IFERROR(__xludf.DUMMYFUNCTION("""COMPUTED_VALUE"""),"Walk-Ins")</f>
        <v>Walk-Ins</v>
      </c>
      <c r="V3477" s="124" t="str">
        <f>IFERROR(__xludf.DUMMYFUNCTION("""COMPUTED_VALUE"""),"Walk-In")</f>
        <v>Walk-In</v>
      </c>
      <c r="W3477" s="124" t="str">
        <f>IFERROR(__xludf.DUMMYFUNCTION("""COMPUTED_VALUE"""),"Prayagraj")</f>
        <v>Prayagraj</v>
      </c>
      <c r="X3477" s="124" t="str">
        <f>IFERROR(__xludf.DUMMYFUNCTION("""COMPUTED_VALUE"""),"Aditi")</f>
        <v>Aditi</v>
      </c>
      <c r="Y3477" s="124" t="str">
        <f>IFERROR(__xludf.DUMMYFUNCTION("""COMPUTED_VALUE"""),"Prayagraj")</f>
        <v>Prayagraj</v>
      </c>
      <c r="Z3477" s="124">
        <f>IFERROR(__xludf.DUMMYFUNCTION("""COMPUTED_VALUE"""),1.0)</f>
        <v>1</v>
      </c>
      <c r="AA3477" s="124" t="str">
        <f>IFERROR(__xludf.DUMMYFUNCTION("""COMPUTED_VALUE"""),"Enrolled")</f>
        <v>Enrolled</v>
      </c>
      <c r="AB3477" s="124" t="str">
        <f>IFERROR(__xludf.DUMMYFUNCTION("""COMPUTED_VALUE"""),"GS Foundation")</f>
        <v>GS Foundation</v>
      </c>
    </row>
    <row r="3478">
      <c r="K3478" s="124"/>
      <c r="L3478" s="124"/>
      <c r="M3478" s="124"/>
      <c r="N3478" s="124"/>
      <c r="O3478" s="124"/>
      <c r="T3478" s="126">
        <f>IFERROR(__xludf.DUMMYFUNCTION("""COMPUTED_VALUE"""),46094.0)</f>
        <v>46094</v>
      </c>
      <c r="U3478" s="124" t="str">
        <f>IFERROR(__xludf.DUMMYFUNCTION("""COMPUTED_VALUE"""),"Walk-Ins")</f>
        <v>Walk-Ins</v>
      </c>
      <c r="V3478" s="124" t="str">
        <f>IFERROR(__xludf.DUMMYFUNCTION("""COMPUTED_VALUE"""),"Walkin")</f>
        <v>Walkin</v>
      </c>
      <c r="W3478" s="124" t="str">
        <f>IFERROR(__xludf.DUMMYFUNCTION("""COMPUTED_VALUE"""),"Delhi")</f>
        <v>Delhi</v>
      </c>
      <c r="X3478" s="124" t="str">
        <f>IFERROR(__xludf.DUMMYFUNCTION("""COMPUTED_VALUE"""),"walkin")</f>
        <v>walkin</v>
      </c>
      <c r="Y3478" s="124" t="str">
        <f>IFERROR(__xludf.DUMMYFUNCTION("""COMPUTED_VALUE"""),"Delhi")</f>
        <v>Delhi</v>
      </c>
      <c r="Z3478" s="124">
        <f>IFERROR(__xludf.DUMMYFUNCTION("""COMPUTED_VALUE"""),1.0)</f>
        <v>1</v>
      </c>
      <c r="AA3478" s="124" t="str">
        <f>IFERROR(__xludf.DUMMYFUNCTION("""COMPUTED_VALUE"""),"Enrolled")</f>
        <v>Enrolled</v>
      </c>
      <c r="AB3478" s="124" t="str">
        <f>IFERROR(__xludf.DUMMYFUNCTION("""COMPUTED_VALUE"""),"GS Foundation")</f>
        <v>GS Foundation</v>
      </c>
    </row>
    <row r="3479">
      <c r="K3479" s="124"/>
      <c r="L3479" s="124"/>
      <c r="M3479" s="124"/>
      <c r="N3479" s="124"/>
      <c r="O3479" s="124"/>
      <c r="T3479" s="126">
        <f>IFERROR(__xludf.DUMMYFUNCTION("""COMPUTED_VALUE"""),46105.0)</f>
        <v>46105</v>
      </c>
      <c r="U3479" s="124" t="str">
        <f>IFERROR(__xludf.DUMMYFUNCTION("""COMPUTED_VALUE"""),"Walk-Ins")</f>
        <v>Walk-Ins</v>
      </c>
      <c r="V3479" s="124" t="str">
        <f>IFERROR(__xludf.DUMMYFUNCTION("""COMPUTED_VALUE"""),"Walkin")</f>
        <v>Walkin</v>
      </c>
      <c r="W3479" s="124" t="str">
        <f>IFERROR(__xludf.DUMMYFUNCTION("""COMPUTED_VALUE"""),"Delhi")</f>
        <v>Delhi</v>
      </c>
      <c r="X3479" s="124" t="str">
        <f>IFERROR(__xludf.DUMMYFUNCTION("""COMPUTED_VALUE"""),"walkin")</f>
        <v>walkin</v>
      </c>
      <c r="Y3479" s="124" t="str">
        <f>IFERROR(__xludf.DUMMYFUNCTION("""COMPUTED_VALUE"""),"Delhi")</f>
        <v>Delhi</v>
      </c>
      <c r="Z3479" s="124">
        <f>IFERROR(__xludf.DUMMYFUNCTION("""COMPUTED_VALUE"""),1.0)</f>
        <v>1</v>
      </c>
      <c r="AA3479" s="124" t="str">
        <f>IFERROR(__xludf.DUMMYFUNCTION("""COMPUTED_VALUE"""),"Fake Lead")</f>
        <v>Fake Lead</v>
      </c>
      <c r="AB3479" s="124" t="str">
        <f>IFERROR(__xludf.DUMMYFUNCTION("""COMPUTED_VALUE"""),"State PCS")</f>
        <v>State PCS</v>
      </c>
    </row>
    <row r="3480">
      <c r="K3480" s="124"/>
      <c r="L3480" s="124"/>
      <c r="M3480" s="124"/>
      <c r="N3480" s="124"/>
      <c r="O3480" s="124"/>
      <c r="T3480" s="126">
        <f>IFERROR(__xludf.DUMMYFUNCTION("""COMPUTED_VALUE"""),46102.0)</f>
        <v>46102</v>
      </c>
      <c r="U3480" s="124" t="str">
        <f>IFERROR(__xludf.DUMMYFUNCTION("""COMPUTED_VALUE"""),"Walk-Ins")</f>
        <v>Walk-Ins</v>
      </c>
      <c r="V3480" s="124" t="str">
        <f>IFERROR(__xludf.DUMMYFUNCTION("""COMPUTED_VALUE"""),"Walkin")</f>
        <v>Walkin</v>
      </c>
      <c r="W3480" s="124" t="str">
        <f>IFERROR(__xludf.DUMMYFUNCTION("""COMPUTED_VALUE"""),"Delhi")</f>
        <v>Delhi</v>
      </c>
      <c r="X3480" s="124" t="str">
        <f>IFERROR(__xludf.DUMMYFUNCTION("""COMPUTED_VALUE"""),"walkin")</f>
        <v>walkin</v>
      </c>
      <c r="Y3480" s="124" t="str">
        <f>IFERROR(__xludf.DUMMYFUNCTION("""COMPUTED_VALUE"""),"Delhi")</f>
        <v>Delhi</v>
      </c>
      <c r="Z3480" s="124">
        <f>IFERROR(__xludf.DUMMYFUNCTION("""COMPUTED_VALUE"""),2.0)</f>
        <v>2</v>
      </c>
      <c r="AA3480" s="124" t="str">
        <f>IFERROR(__xludf.DUMMYFUNCTION("""COMPUTED_VALUE"""),"Cold")</f>
        <v>Cold</v>
      </c>
      <c r="AB3480" s="124" t="str">
        <f>IFERROR(__xludf.DUMMYFUNCTION("""COMPUTED_VALUE"""),"GS Foundation")</f>
        <v>GS Foundation</v>
      </c>
    </row>
    <row r="3481">
      <c r="K3481" s="124"/>
      <c r="L3481" s="124"/>
      <c r="M3481" s="124"/>
      <c r="N3481" s="124"/>
      <c r="O3481" s="124"/>
      <c r="T3481" s="126">
        <f>IFERROR(__xludf.DUMMYFUNCTION("""COMPUTED_VALUE"""),46052.0)</f>
        <v>46052</v>
      </c>
      <c r="U3481" s="124" t="str">
        <f>IFERROR(__xludf.DUMMYFUNCTION("""COMPUTED_VALUE"""),"Walk-Ins")</f>
        <v>Walk-Ins</v>
      </c>
      <c r="V3481" s="124" t="str">
        <f>IFERROR(__xludf.DUMMYFUNCTION("""COMPUTED_VALUE"""),"Walkin")</f>
        <v>Walkin</v>
      </c>
      <c r="W3481" s="124" t="str">
        <f>IFERROR(__xludf.DUMMYFUNCTION("""COMPUTED_VALUE"""),"Delhi")</f>
        <v>Delhi</v>
      </c>
      <c r="X3481" s="124" t="str">
        <f>IFERROR(__xludf.DUMMYFUNCTION("""COMPUTED_VALUE"""),"walkin")</f>
        <v>walkin</v>
      </c>
      <c r="Y3481" s="124" t="str">
        <f>IFERROR(__xludf.DUMMYFUNCTION("""COMPUTED_VALUE"""),"Delhi")</f>
        <v>Delhi</v>
      </c>
      <c r="Z3481" s="124">
        <f>IFERROR(__xludf.DUMMYFUNCTION("""COMPUTED_VALUE"""),3.0)</f>
        <v>3</v>
      </c>
      <c r="AA3481" s="124" t="str">
        <f>IFERROR(__xludf.DUMMYFUNCTION("""COMPUTED_VALUE"""),"Not Interested")</f>
        <v>Not Interested</v>
      </c>
      <c r="AB3481" s="124" t="str">
        <f>IFERROR(__xludf.DUMMYFUNCTION("""COMPUTED_VALUE"""),"GS Foundation")</f>
        <v>GS Foundation</v>
      </c>
    </row>
    <row r="3482">
      <c r="K3482" s="124"/>
      <c r="L3482" s="124"/>
      <c r="M3482" s="124"/>
      <c r="N3482" s="124"/>
      <c r="O3482" s="124"/>
      <c r="T3482" s="126">
        <f>IFERROR(__xludf.DUMMYFUNCTION("""COMPUTED_VALUE"""),46112.0)</f>
        <v>46112</v>
      </c>
      <c r="U3482" s="124" t="str">
        <f>IFERROR(__xludf.DUMMYFUNCTION("""COMPUTED_VALUE"""),"Walk-Ins")</f>
        <v>Walk-Ins</v>
      </c>
      <c r="V3482" s="124" t="str">
        <f>IFERROR(__xludf.DUMMYFUNCTION("""COMPUTED_VALUE"""),"Walkin")</f>
        <v>Walkin</v>
      </c>
      <c r="W3482" s="124" t="str">
        <f>IFERROR(__xludf.DUMMYFUNCTION("""COMPUTED_VALUE"""),"Delhi")</f>
        <v>Delhi</v>
      </c>
      <c r="X3482" s="124" t="str">
        <f>IFERROR(__xludf.DUMMYFUNCTION("""COMPUTED_VALUE"""),"walkin")</f>
        <v>walkin</v>
      </c>
      <c r="Y3482" s="124" t="str">
        <f>IFERROR(__xludf.DUMMYFUNCTION("""COMPUTED_VALUE"""),"Delhi")</f>
        <v>Delhi</v>
      </c>
      <c r="Z3482" s="124">
        <f>IFERROR(__xludf.DUMMYFUNCTION("""COMPUTED_VALUE"""),1.0)</f>
        <v>1</v>
      </c>
      <c r="AA3482" s="124" t="str">
        <f>IFERROR(__xludf.DUMMYFUNCTION("""COMPUTED_VALUE"""),"Not Interested")</f>
        <v>Not Interested</v>
      </c>
      <c r="AB3482" s="124" t="str">
        <f>IFERROR(__xludf.DUMMYFUNCTION("""COMPUTED_VALUE"""),"GS Foundation")</f>
        <v>GS Foundation</v>
      </c>
    </row>
    <row r="3483">
      <c r="K3483" s="124"/>
      <c r="L3483" s="124"/>
      <c r="M3483" s="124"/>
      <c r="N3483" s="124"/>
      <c r="O3483" s="124"/>
      <c r="T3483" s="126">
        <f>IFERROR(__xludf.DUMMYFUNCTION("""COMPUTED_VALUE"""),46092.0)</f>
        <v>46092</v>
      </c>
      <c r="U3483" s="124" t="str">
        <f>IFERROR(__xludf.DUMMYFUNCTION("""COMPUTED_VALUE"""),"Walk-Ins")</f>
        <v>Walk-Ins</v>
      </c>
      <c r="V3483" s="124" t="str">
        <f>IFERROR(__xludf.DUMMYFUNCTION("""COMPUTED_VALUE"""),"Walkin")</f>
        <v>Walkin</v>
      </c>
      <c r="W3483" s="124" t="str">
        <f>IFERROR(__xludf.DUMMYFUNCTION("""COMPUTED_VALUE"""),"Delhi")</f>
        <v>Delhi</v>
      </c>
      <c r="X3483" s="124" t="str">
        <f>IFERROR(__xludf.DUMMYFUNCTION("""COMPUTED_VALUE"""),"walkin")</f>
        <v>walkin</v>
      </c>
      <c r="Y3483" s="124" t="str">
        <f>IFERROR(__xludf.DUMMYFUNCTION("""COMPUTED_VALUE"""),"Delhi")</f>
        <v>Delhi</v>
      </c>
      <c r="Z3483" s="124">
        <f>IFERROR(__xludf.DUMMYFUNCTION("""COMPUTED_VALUE"""),1.0)</f>
        <v>1</v>
      </c>
      <c r="AA3483" s="124" t="str">
        <f>IFERROR(__xludf.DUMMYFUNCTION("""COMPUTED_VALUE"""),"Cold")</f>
        <v>Cold</v>
      </c>
      <c r="AB3483" s="124" t="str">
        <f>IFERROR(__xludf.DUMMYFUNCTION("""COMPUTED_VALUE"""),"GS Foundation")</f>
        <v>GS Foundation</v>
      </c>
    </row>
    <row r="3484">
      <c r="K3484" s="124"/>
      <c r="L3484" s="124"/>
      <c r="M3484" s="124"/>
      <c r="N3484" s="124"/>
      <c r="O3484" s="124"/>
      <c r="T3484" s="126">
        <f>IFERROR(__xludf.DUMMYFUNCTION("""COMPUTED_VALUE"""),46107.0)</f>
        <v>46107</v>
      </c>
      <c r="U3484" s="124" t="str">
        <f>IFERROR(__xludf.DUMMYFUNCTION("""COMPUTED_VALUE"""),"Walk-Ins")</f>
        <v>Walk-Ins</v>
      </c>
      <c r="V3484" s="124" t="str">
        <f>IFERROR(__xludf.DUMMYFUNCTION("""COMPUTED_VALUE"""),"Walkin")</f>
        <v>Walkin</v>
      </c>
      <c r="W3484" s="124" t="str">
        <f>IFERROR(__xludf.DUMMYFUNCTION("""COMPUTED_VALUE"""),"Delhi")</f>
        <v>Delhi</v>
      </c>
      <c r="X3484" s="124" t="str">
        <f>IFERROR(__xludf.DUMMYFUNCTION("""COMPUTED_VALUE"""),"walkin")</f>
        <v>walkin</v>
      </c>
      <c r="Y3484" s="124" t="str">
        <f>IFERROR(__xludf.DUMMYFUNCTION("""COMPUTED_VALUE"""),"Delhi")</f>
        <v>Delhi</v>
      </c>
      <c r="Z3484" s="124">
        <f>IFERROR(__xludf.DUMMYFUNCTION("""COMPUTED_VALUE"""),1.0)</f>
        <v>1</v>
      </c>
      <c r="AA3484" s="124" t="str">
        <f>IFERROR(__xludf.DUMMYFUNCTION("""COMPUTED_VALUE"""),"Fake Lead")</f>
        <v>Fake Lead</v>
      </c>
      <c r="AB3484" s="124" t="str">
        <f>IFERROR(__xludf.DUMMYFUNCTION("""COMPUTED_VALUE"""),"Mentorship")</f>
        <v>Mentorship</v>
      </c>
    </row>
    <row r="3485">
      <c r="K3485" s="124"/>
      <c r="L3485" s="124"/>
      <c r="M3485" s="124"/>
      <c r="N3485" s="124"/>
      <c r="O3485" s="124"/>
      <c r="T3485" s="129">
        <f>IFERROR(__xludf.DUMMYFUNCTION("""COMPUTED_VALUE"""),46059.0)</f>
        <v>46059</v>
      </c>
      <c r="U3485" s="124" t="str">
        <f>IFERROR(__xludf.DUMMYFUNCTION("""COMPUTED_VALUE"""),"Walk-Ins")</f>
        <v>Walk-Ins</v>
      </c>
      <c r="V3485" s="124" t="str">
        <f>IFERROR(__xludf.DUMMYFUNCTION("""COMPUTED_VALUE"""),"Walkin")</f>
        <v>Walkin</v>
      </c>
      <c r="W3485" s="124" t="str">
        <f>IFERROR(__xludf.DUMMYFUNCTION("""COMPUTED_VALUE"""),"Delhi")</f>
        <v>Delhi</v>
      </c>
      <c r="X3485" s="124" t="str">
        <f>IFERROR(__xludf.DUMMYFUNCTION("""COMPUTED_VALUE"""),"walkin")</f>
        <v>walkin</v>
      </c>
      <c r="Y3485" s="124" t="str">
        <f>IFERROR(__xludf.DUMMYFUNCTION("""COMPUTED_VALUE"""),"Delhi")</f>
        <v>Delhi</v>
      </c>
      <c r="Z3485" s="124">
        <f>IFERROR(__xludf.DUMMYFUNCTION("""COMPUTED_VALUE"""),2.0)</f>
        <v>2</v>
      </c>
      <c r="AA3485" s="124" t="str">
        <f>IFERROR(__xludf.DUMMYFUNCTION("""COMPUTED_VALUE"""),"Not Interested")</f>
        <v>Not Interested</v>
      </c>
      <c r="AB3485" s="124" t="str">
        <f>IFERROR(__xludf.DUMMYFUNCTION("""COMPUTED_VALUE"""),"GS Foundation")</f>
        <v>GS Foundation</v>
      </c>
    </row>
    <row r="3486">
      <c r="K3486" s="124"/>
      <c r="L3486" s="124"/>
      <c r="M3486" s="124"/>
      <c r="N3486" s="124"/>
      <c r="O3486" s="124"/>
      <c r="T3486" s="129">
        <f>IFERROR(__xludf.DUMMYFUNCTION("""COMPUTED_VALUE"""),46056.0)</f>
        <v>46056</v>
      </c>
      <c r="U3486" s="124" t="str">
        <f>IFERROR(__xludf.DUMMYFUNCTION("""COMPUTED_VALUE"""),"Walk-Ins")</f>
        <v>Walk-Ins</v>
      </c>
      <c r="V3486" s="124" t="str">
        <f>IFERROR(__xludf.DUMMYFUNCTION("""COMPUTED_VALUE"""),"Walkin")</f>
        <v>Walkin</v>
      </c>
      <c r="W3486" s="124" t="str">
        <f>IFERROR(__xludf.DUMMYFUNCTION("""COMPUTED_VALUE"""),"Delhi")</f>
        <v>Delhi</v>
      </c>
      <c r="X3486" s="124" t="str">
        <f>IFERROR(__xludf.DUMMYFUNCTION("""COMPUTED_VALUE"""),"walkin")</f>
        <v>walkin</v>
      </c>
      <c r="Y3486" s="124" t="str">
        <f>IFERROR(__xludf.DUMMYFUNCTION("""COMPUTED_VALUE"""),"Delhi")</f>
        <v>Delhi</v>
      </c>
      <c r="Z3486" s="124">
        <f>IFERROR(__xludf.DUMMYFUNCTION("""COMPUTED_VALUE"""),1.0)</f>
        <v>1</v>
      </c>
      <c r="AA3486" s="124" t="str">
        <f>IFERROR(__xludf.DUMMYFUNCTION("""COMPUTED_VALUE"""),"Cold")</f>
        <v>Cold</v>
      </c>
      <c r="AB3486" s="124" t="str">
        <f>IFERROR(__xludf.DUMMYFUNCTION("""COMPUTED_VALUE"""),"SIP Offline")</f>
        <v>SIP Offline</v>
      </c>
    </row>
    <row r="3487">
      <c r="K3487" s="124"/>
      <c r="L3487" s="124"/>
      <c r="M3487" s="124"/>
      <c r="N3487" s="124"/>
      <c r="O3487" s="124"/>
      <c r="T3487" s="126">
        <f>IFERROR(__xludf.DUMMYFUNCTION("""COMPUTED_VALUE"""),46094.0)</f>
        <v>46094</v>
      </c>
      <c r="U3487" s="124" t="str">
        <f>IFERROR(__xludf.DUMMYFUNCTION("""COMPUTED_VALUE"""),"Walk-Ins")</f>
        <v>Walk-Ins</v>
      </c>
      <c r="V3487" s="124" t="str">
        <f>IFERROR(__xludf.DUMMYFUNCTION("""COMPUTED_VALUE"""),"walk-in")</f>
        <v>walk-in</v>
      </c>
      <c r="W3487" s="124" t="str">
        <f>IFERROR(__xludf.DUMMYFUNCTION("""COMPUTED_VALUE"""),"indore")</f>
        <v>indore</v>
      </c>
      <c r="X3487" s="124" t="str">
        <f>IFERROR(__xludf.DUMMYFUNCTION("""COMPUTED_VALUE"""),"suraj sharma")</f>
        <v>suraj sharma</v>
      </c>
      <c r="Y3487" s="124" t="str">
        <f>IFERROR(__xludf.DUMMYFUNCTION("""COMPUTED_VALUE"""),"Indore")</f>
        <v>Indore</v>
      </c>
      <c r="Z3487" s="124">
        <f>IFERROR(__xludf.DUMMYFUNCTION("""COMPUTED_VALUE"""),1.0)</f>
        <v>1</v>
      </c>
      <c r="AA3487" s="124" t="str">
        <f>IFERROR(__xludf.DUMMYFUNCTION("""COMPUTED_VALUE"""),"Enrolled")</f>
        <v>Enrolled</v>
      </c>
      <c r="AB3487" s="124" t="str">
        <f>IFERROR(__xludf.DUMMYFUNCTION("""COMPUTED_VALUE"""),"GS Foundation")</f>
        <v>GS Foundation</v>
      </c>
    </row>
    <row r="3488">
      <c r="K3488" s="124"/>
      <c r="L3488" s="124"/>
      <c r="M3488" s="124"/>
      <c r="N3488" s="124"/>
      <c r="O3488" s="124"/>
      <c r="T3488" s="126">
        <f>IFERROR(__xludf.DUMMYFUNCTION("""COMPUTED_VALUE"""),46103.0)</f>
        <v>46103</v>
      </c>
      <c r="U3488" s="124" t="str">
        <f>IFERROR(__xludf.DUMMYFUNCTION("""COMPUTED_VALUE"""),"Walk-Ins")</f>
        <v>Walk-Ins</v>
      </c>
      <c r="V3488" s="124" t="str">
        <f>IFERROR(__xludf.DUMMYFUNCTION("""COMPUTED_VALUE"""),"Walkin")</f>
        <v>Walkin</v>
      </c>
      <c r="W3488" s="124" t="str">
        <f>IFERROR(__xludf.DUMMYFUNCTION("""COMPUTED_VALUE"""),"Delhi")</f>
        <v>Delhi</v>
      </c>
      <c r="X3488" s="124" t="str">
        <f>IFERROR(__xludf.DUMMYFUNCTION("""COMPUTED_VALUE"""),"walkin")</f>
        <v>walkin</v>
      </c>
      <c r="Y3488" s="124" t="str">
        <f>IFERROR(__xludf.DUMMYFUNCTION("""COMPUTED_VALUE"""),"Delhi")</f>
        <v>Delhi</v>
      </c>
      <c r="Z3488" s="124">
        <f>IFERROR(__xludf.DUMMYFUNCTION("""COMPUTED_VALUE"""),1.0)</f>
        <v>1</v>
      </c>
      <c r="AA3488" s="124" t="str">
        <f>IFERROR(__xludf.DUMMYFUNCTION("""COMPUTED_VALUE"""),"Interested")</f>
        <v>Interested</v>
      </c>
      <c r="AB3488" s="124" t="str">
        <f>IFERROR(__xludf.DUMMYFUNCTION("""COMPUTED_VALUE"""),"GS Foundation")</f>
        <v>GS Foundation</v>
      </c>
    </row>
    <row r="3489">
      <c r="K3489" s="124"/>
      <c r="L3489" s="124"/>
      <c r="M3489" s="124"/>
      <c r="N3489" s="124"/>
      <c r="O3489" s="124"/>
      <c r="T3489" s="126">
        <f>IFERROR(__xludf.DUMMYFUNCTION("""COMPUTED_VALUE"""),46107.0)</f>
        <v>46107</v>
      </c>
      <c r="U3489" s="124" t="str">
        <f>IFERROR(__xludf.DUMMYFUNCTION("""COMPUTED_VALUE"""),"Walk-Ins")</f>
        <v>Walk-Ins</v>
      </c>
      <c r="V3489" s="124" t="str">
        <f>IFERROR(__xludf.DUMMYFUNCTION("""COMPUTED_VALUE"""),"Walkin")</f>
        <v>Walkin</v>
      </c>
      <c r="W3489" s="124" t="str">
        <f>IFERROR(__xludf.DUMMYFUNCTION("""COMPUTED_VALUE"""),"Delhi")</f>
        <v>Delhi</v>
      </c>
      <c r="X3489" s="124" t="str">
        <f>IFERROR(__xludf.DUMMYFUNCTION("""COMPUTED_VALUE"""),"walkin")</f>
        <v>walkin</v>
      </c>
      <c r="Y3489" s="124" t="str">
        <f>IFERROR(__xludf.DUMMYFUNCTION("""COMPUTED_VALUE"""),"Delhi")</f>
        <v>Delhi</v>
      </c>
      <c r="Z3489" s="124">
        <f>IFERROR(__xludf.DUMMYFUNCTION("""COMPUTED_VALUE"""),1.0)</f>
        <v>1</v>
      </c>
      <c r="AA3489" s="124" t="str">
        <f>IFERROR(__xludf.DUMMYFUNCTION("""COMPUTED_VALUE"""),"Warm")</f>
        <v>Warm</v>
      </c>
      <c r="AB3489" s="124" t="str">
        <f>IFERROR(__xludf.DUMMYFUNCTION("""COMPUTED_VALUE"""),"Mentorship")</f>
        <v>Mentorship</v>
      </c>
    </row>
    <row r="3490">
      <c r="K3490" s="124"/>
      <c r="L3490" s="124"/>
      <c r="M3490" s="124"/>
      <c r="N3490" s="124"/>
      <c r="O3490" s="124"/>
      <c r="T3490" s="126">
        <f>IFERROR(__xludf.DUMMYFUNCTION("""COMPUTED_VALUE"""),46076.0)</f>
        <v>46076</v>
      </c>
      <c r="U3490" s="124" t="str">
        <f>IFERROR(__xludf.DUMMYFUNCTION("""COMPUTED_VALUE"""),"Walk-Ins")</f>
        <v>Walk-Ins</v>
      </c>
      <c r="V3490" s="124" t="str">
        <f>IFERROR(__xludf.DUMMYFUNCTION("""COMPUTED_VALUE"""),"Walkin")</f>
        <v>Walkin</v>
      </c>
      <c r="W3490" s="124" t="str">
        <f>IFERROR(__xludf.DUMMYFUNCTION("""COMPUTED_VALUE"""),"Delhi")</f>
        <v>Delhi</v>
      </c>
      <c r="X3490" s="124" t="str">
        <f>IFERROR(__xludf.DUMMYFUNCTION("""COMPUTED_VALUE"""),"walkin")</f>
        <v>walkin</v>
      </c>
      <c r="Y3490" s="124" t="str">
        <f>IFERROR(__xludf.DUMMYFUNCTION("""COMPUTED_VALUE"""),"Delhi")</f>
        <v>Delhi</v>
      </c>
      <c r="Z3490" s="124">
        <f>IFERROR(__xludf.DUMMYFUNCTION("""COMPUTED_VALUE"""),2.0)</f>
        <v>2</v>
      </c>
      <c r="AA3490" s="124" t="str">
        <f>IFERROR(__xludf.DUMMYFUNCTION("""COMPUTED_VALUE"""),"Future Prospects")</f>
        <v>Future Prospects</v>
      </c>
      <c r="AB3490" s="124" t="str">
        <f>IFERROR(__xludf.DUMMYFUNCTION("""COMPUTED_VALUE"""),"GS Foundation")</f>
        <v>GS Foundation</v>
      </c>
    </row>
    <row r="3491">
      <c r="K3491" s="124"/>
      <c r="L3491" s="124"/>
      <c r="M3491" s="124"/>
      <c r="N3491" s="124"/>
      <c r="O3491" s="124"/>
      <c r="T3491" s="126">
        <f>IFERROR(__xludf.DUMMYFUNCTION("""COMPUTED_VALUE"""),46068.0)</f>
        <v>46068</v>
      </c>
      <c r="U3491" s="124" t="str">
        <f>IFERROR(__xludf.DUMMYFUNCTION("""COMPUTED_VALUE"""),"Walk-Ins")</f>
        <v>Walk-Ins</v>
      </c>
      <c r="V3491" s="124" t="str">
        <f>IFERROR(__xludf.DUMMYFUNCTION("""COMPUTED_VALUE"""),"Walkin")</f>
        <v>Walkin</v>
      </c>
      <c r="W3491" s="124" t="str">
        <f>IFERROR(__xludf.DUMMYFUNCTION("""COMPUTED_VALUE"""),"Delhi")</f>
        <v>Delhi</v>
      </c>
      <c r="X3491" s="124" t="str">
        <f>IFERROR(__xludf.DUMMYFUNCTION("""COMPUTED_VALUE"""),"walkin")</f>
        <v>walkin</v>
      </c>
      <c r="Y3491" s="124" t="str">
        <f>IFERROR(__xludf.DUMMYFUNCTION("""COMPUTED_VALUE"""),"Delhi")</f>
        <v>Delhi</v>
      </c>
      <c r="Z3491" s="124">
        <f>IFERROR(__xludf.DUMMYFUNCTION("""COMPUTED_VALUE"""),1.0)</f>
        <v>1</v>
      </c>
      <c r="AA3491" s="124" t="str">
        <f>IFERROR(__xludf.DUMMYFUNCTION("""COMPUTED_VALUE"""),"Cold")</f>
        <v>Cold</v>
      </c>
      <c r="AB3491" s="124" t="str">
        <f>IFERROR(__xludf.DUMMYFUNCTION("""COMPUTED_VALUE"""),"GS Foundation")</f>
        <v>GS Foundation</v>
      </c>
    </row>
    <row r="3492">
      <c r="K3492" s="124"/>
      <c r="L3492" s="124"/>
      <c r="M3492" s="124"/>
      <c r="N3492" s="124"/>
      <c r="O3492" s="124"/>
      <c r="T3492" s="126">
        <f>IFERROR(__xludf.DUMMYFUNCTION("""COMPUTED_VALUE"""),46047.0)</f>
        <v>46047</v>
      </c>
      <c r="U3492" s="124" t="str">
        <f>IFERROR(__xludf.DUMMYFUNCTION("""COMPUTED_VALUE"""),"Walk-Ins")</f>
        <v>Walk-Ins</v>
      </c>
      <c r="V3492" s="124" t="str">
        <f>IFERROR(__xludf.DUMMYFUNCTION("""COMPUTED_VALUE"""),"Walk-In")</f>
        <v>Walk-In</v>
      </c>
      <c r="W3492" s="124" t="str">
        <f>IFERROR(__xludf.DUMMYFUNCTION("""COMPUTED_VALUE"""),"Delhi")</f>
        <v>Delhi</v>
      </c>
      <c r="X3492" s="124" t="str">
        <f>IFERROR(__xludf.DUMMYFUNCTION("""COMPUTED_VALUE"""),"walkin")</f>
        <v>walkin</v>
      </c>
      <c r="Y3492" s="124"/>
      <c r="Z3492" s="124">
        <f>IFERROR(__xludf.DUMMYFUNCTION("""COMPUTED_VALUE"""),1.0)</f>
        <v>1</v>
      </c>
      <c r="AA3492" s="124" t="str">
        <f>IFERROR(__xludf.DUMMYFUNCTION("""COMPUTED_VALUE"""),"Cold")</f>
        <v>Cold</v>
      </c>
      <c r="AB3492" s="124" t="str">
        <f>IFERROR(__xludf.DUMMYFUNCTION("""COMPUTED_VALUE"""),"Optionals")</f>
        <v>Optionals</v>
      </c>
    </row>
    <row r="3493">
      <c r="K3493" s="124"/>
      <c r="L3493" s="124"/>
      <c r="M3493" s="124"/>
      <c r="N3493" s="124"/>
      <c r="O3493" s="124"/>
      <c r="T3493" s="126">
        <f>IFERROR(__xludf.DUMMYFUNCTION("""COMPUTED_VALUE"""),46074.0)</f>
        <v>46074</v>
      </c>
      <c r="U3493" s="124" t="str">
        <f>IFERROR(__xludf.DUMMYFUNCTION("""COMPUTED_VALUE"""),"Walk-Ins")</f>
        <v>Walk-Ins</v>
      </c>
      <c r="V3493" s="124" t="str">
        <f>IFERROR(__xludf.DUMMYFUNCTION("""COMPUTED_VALUE"""),"Walkin")</f>
        <v>Walkin</v>
      </c>
      <c r="W3493" s="124" t="str">
        <f>IFERROR(__xludf.DUMMYFUNCTION("""COMPUTED_VALUE"""),"Delhi")</f>
        <v>Delhi</v>
      </c>
      <c r="X3493" s="124" t="str">
        <f>IFERROR(__xludf.DUMMYFUNCTION("""COMPUTED_VALUE"""),"walkin")</f>
        <v>walkin</v>
      </c>
      <c r="Y3493" s="124" t="str">
        <f>IFERROR(__xludf.DUMMYFUNCTION("""COMPUTED_VALUE"""),"Delhi")</f>
        <v>Delhi</v>
      </c>
      <c r="Z3493" s="124">
        <f>IFERROR(__xludf.DUMMYFUNCTION("""COMPUTED_VALUE"""),1.0)</f>
        <v>1</v>
      </c>
      <c r="AA3493" s="124" t="str">
        <f>IFERROR(__xludf.DUMMYFUNCTION("""COMPUTED_VALUE"""),"Cold")</f>
        <v>Cold</v>
      </c>
      <c r="AB3493" s="124" t="str">
        <f>IFERROR(__xludf.DUMMYFUNCTION("""COMPUTED_VALUE"""),"Mentorship")</f>
        <v>Mentorship</v>
      </c>
    </row>
    <row r="3494">
      <c r="K3494" s="124"/>
      <c r="L3494" s="124"/>
      <c r="M3494" s="124"/>
      <c r="N3494" s="124"/>
      <c r="O3494" s="124"/>
      <c r="T3494" s="126">
        <f>IFERROR(__xludf.DUMMYFUNCTION("""COMPUTED_VALUE"""),46106.0)</f>
        <v>46106</v>
      </c>
      <c r="U3494" s="124" t="str">
        <f>IFERROR(__xludf.DUMMYFUNCTION("""COMPUTED_VALUE"""),"Walk-Ins")</f>
        <v>Walk-Ins</v>
      </c>
      <c r="V3494" s="124" t="str">
        <f>IFERROR(__xludf.DUMMYFUNCTION("""COMPUTED_VALUE"""),"Walkin")</f>
        <v>Walkin</v>
      </c>
      <c r="W3494" s="124" t="str">
        <f>IFERROR(__xludf.DUMMYFUNCTION("""COMPUTED_VALUE"""),"Delhi")</f>
        <v>Delhi</v>
      </c>
      <c r="X3494" s="124" t="str">
        <f>IFERROR(__xludf.DUMMYFUNCTION("""COMPUTED_VALUE"""),"walkin")</f>
        <v>walkin</v>
      </c>
      <c r="Y3494" s="124" t="str">
        <f>IFERROR(__xludf.DUMMYFUNCTION("""COMPUTED_VALUE"""),"Delhi")</f>
        <v>Delhi</v>
      </c>
      <c r="Z3494" s="124">
        <f>IFERROR(__xludf.DUMMYFUNCTION("""COMPUTED_VALUE"""),1.0)</f>
        <v>1</v>
      </c>
      <c r="AA3494" s="124" t="str">
        <f>IFERROR(__xludf.DUMMYFUNCTION("""COMPUTED_VALUE"""),"Enrolled")</f>
        <v>Enrolled</v>
      </c>
      <c r="AB3494" s="124" t="str">
        <f>IFERROR(__xludf.DUMMYFUNCTION("""COMPUTED_VALUE"""),"GS Foundation")</f>
        <v>GS Foundation</v>
      </c>
    </row>
    <row r="3495">
      <c r="K3495" s="124"/>
      <c r="L3495" s="124"/>
      <c r="M3495" s="124"/>
      <c r="N3495" s="124"/>
      <c r="O3495" s="124"/>
      <c r="T3495" s="126">
        <f>IFERROR(__xludf.DUMMYFUNCTION("""COMPUTED_VALUE"""),46043.0)</f>
        <v>46043</v>
      </c>
      <c r="U3495" s="124" t="str">
        <f>IFERROR(__xludf.DUMMYFUNCTION("""COMPUTED_VALUE"""),"External Leads")</f>
        <v>External Leads</v>
      </c>
      <c r="V3495" s="124" t="str">
        <f>IFERROR(__xludf.DUMMYFUNCTION("""COMPUTED_VALUE"""),"external leads")</f>
        <v>external leads</v>
      </c>
      <c r="W3495" s="124" t="str">
        <f>IFERROR(__xludf.DUMMYFUNCTION("""COMPUTED_VALUE"""),"lucknow")</f>
        <v>lucknow</v>
      </c>
      <c r="X3495" s="124" t="str">
        <f>IFERROR(__xludf.DUMMYFUNCTION("""COMPUTED_VALUE"""),"university")</f>
        <v>university</v>
      </c>
      <c r="Y3495" s="124" t="str">
        <f>IFERROR(__xludf.DUMMYFUNCTION("""COMPUTED_VALUE"""),"Lucknow")</f>
        <v>Lucknow</v>
      </c>
      <c r="Z3495" s="124">
        <f>IFERROR(__xludf.DUMMYFUNCTION("""COMPUTED_VALUE"""),1.0)</f>
        <v>1</v>
      </c>
      <c r="AA3495" s="124" t="str">
        <f>IFERROR(__xludf.DUMMYFUNCTION("""COMPUTED_VALUE"""),"Cold")</f>
        <v>Cold</v>
      </c>
      <c r="AB3495" s="124" t="str">
        <f>IFERROR(__xludf.DUMMYFUNCTION("""COMPUTED_VALUE"""),"GS Foundation")</f>
        <v>GS Foundation</v>
      </c>
    </row>
    <row r="3496">
      <c r="K3496" s="124"/>
      <c r="L3496" s="124"/>
      <c r="M3496" s="124"/>
      <c r="N3496" s="124"/>
      <c r="O3496" s="124"/>
      <c r="T3496" s="129">
        <f>IFERROR(__xludf.DUMMYFUNCTION("""COMPUTED_VALUE"""),46054.0)</f>
        <v>46054</v>
      </c>
      <c r="U3496" s="124" t="str">
        <f>IFERROR(__xludf.DUMMYFUNCTION("""COMPUTED_VALUE"""),"Walk-Ins")</f>
        <v>Walk-Ins</v>
      </c>
      <c r="V3496" s="124" t="str">
        <f>IFERROR(__xludf.DUMMYFUNCTION("""COMPUTED_VALUE"""),"Walkin")</f>
        <v>Walkin</v>
      </c>
      <c r="W3496" s="124" t="str">
        <f>IFERROR(__xludf.DUMMYFUNCTION("""COMPUTED_VALUE"""),"Delhi")</f>
        <v>Delhi</v>
      </c>
      <c r="X3496" s="124" t="str">
        <f>IFERROR(__xludf.DUMMYFUNCTION("""COMPUTED_VALUE"""),"walkin")</f>
        <v>walkin</v>
      </c>
      <c r="Y3496" s="124" t="str">
        <f>IFERROR(__xludf.DUMMYFUNCTION("""COMPUTED_VALUE"""),"Delhi")</f>
        <v>Delhi</v>
      </c>
      <c r="Z3496" s="124">
        <f>IFERROR(__xludf.DUMMYFUNCTION("""COMPUTED_VALUE"""),2.0)</f>
        <v>2</v>
      </c>
      <c r="AA3496" s="124" t="str">
        <f>IFERROR(__xludf.DUMMYFUNCTION("""COMPUTED_VALUE"""),"Future Prospects")</f>
        <v>Future Prospects</v>
      </c>
      <c r="AB3496" s="124" t="str">
        <f>IFERROR(__xludf.DUMMYFUNCTION("""COMPUTED_VALUE"""),"GS Foundation")</f>
        <v>GS Foundation</v>
      </c>
    </row>
    <row r="3497">
      <c r="K3497" s="124"/>
      <c r="L3497" s="124"/>
      <c r="M3497" s="124"/>
      <c r="N3497" s="124"/>
      <c r="O3497" s="124"/>
      <c r="T3497" s="126">
        <f>IFERROR(__xludf.DUMMYFUNCTION("""COMPUTED_VALUE"""),46094.0)</f>
        <v>46094</v>
      </c>
      <c r="U3497" s="124" t="str">
        <f>IFERROR(__xludf.DUMMYFUNCTION("""COMPUTED_VALUE"""),"Walk-Ins")</f>
        <v>Walk-Ins</v>
      </c>
      <c r="V3497" s="124" t="str">
        <f>IFERROR(__xludf.DUMMYFUNCTION("""COMPUTED_VALUE"""),"Walkin")</f>
        <v>Walkin</v>
      </c>
      <c r="W3497" s="124" t="str">
        <f>IFERROR(__xludf.DUMMYFUNCTION("""COMPUTED_VALUE"""),"Delhi")</f>
        <v>Delhi</v>
      </c>
      <c r="X3497" s="124" t="str">
        <f>IFERROR(__xludf.DUMMYFUNCTION("""COMPUTED_VALUE"""),"walkin")</f>
        <v>walkin</v>
      </c>
      <c r="Y3497" s="124" t="str">
        <f>IFERROR(__xludf.DUMMYFUNCTION("""COMPUTED_VALUE"""),"Delhi")</f>
        <v>Delhi</v>
      </c>
      <c r="Z3497" s="124">
        <f>IFERROR(__xludf.DUMMYFUNCTION("""COMPUTED_VALUE"""),1.0)</f>
        <v>1</v>
      </c>
      <c r="AA3497" s="124" t="str">
        <f>IFERROR(__xludf.DUMMYFUNCTION("""COMPUTED_VALUE"""),"Warm")</f>
        <v>Warm</v>
      </c>
      <c r="AB3497" s="124" t="str">
        <f>IFERROR(__xludf.DUMMYFUNCTION("""COMPUTED_VALUE"""),"State PCS")</f>
        <v>State PCS</v>
      </c>
    </row>
    <row r="3498">
      <c r="K3498" s="124"/>
      <c r="L3498" s="124"/>
      <c r="M3498" s="124"/>
      <c r="N3498" s="124"/>
      <c r="O3498" s="124"/>
      <c r="T3498" s="129">
        <f>IFERROR(__xludf.DUMMYFUNCTION("""COMPUTED_VALUE"""),46060.0)</f>
        <v>46060</v>
      </c>
      <c r="U3498" s="124" t="str">
        <f>IFERROR(__xludf.DUMMYFUNCTION("""COMPUTED_VALUE"""),"Walk-Ins")</f>
        <v>Walk-Ins</v>
      </c>
      <c r="V3498" s="124" t="str">
        <f>IFERROR(__xludf.DUMMYFUNCTION("""COMPUTED_VALUE"""),"Walk-In")</f>
        <v>Walk-In</v>
      </c>
      <c r="W3498" s="124" t="str">
        <f>IFERROR(__xludf.DUMMYFUNCTION("""COMPUTED_VALUE"""),"Delhi")</f>
        <v>Delhi</v>
      </c>
      <c r="X3498" s="124" t="str">
        <f>IFERROR(__xludf.DUMMYFUNCTION("""COMPUTED_VALUE"""),"walkin")</f>
        <v>walkin</v>
      </c>
      <c r="Y3498" s="124" t="str">
        <f>IFERROR(__xludf.DUMMYFUNCTION("""COMPUTED_VALUE"""),"Delhi")</f>
        <v>Delhi</v>
      </c>
      <c r="Z3498" s="124">
        <f>IFERROR(__xludf.DUMMYFUNCTION("""COMPUTED_VALUE"""),1.0)</f>
        <v>1</v>
      </c>
      <c r="AA3498" s="124" t="str">
        <f>IFERROR(__xludf.DUMMYFUNCTION("""COMPUTED_VALUE"""),"Enrolled")</f>
        <v>Enrolled</v>
      </c>
      <c r="AB3498" s="124" t="str">
        <f>IFERROR(__xludf.DUMMYFUNCTION("""COMPUTED_VALUE"""),"GS Foundation")</f>
        <v>GS Foundation</v>
      </c>
    </row>
    <row r="3499">
      <c r="K3499" s="124"/>
      <c r="L3499" s="124"/>
      <c r="M3499" s="124"/>
      <c r="N3499" s="124"/>
      <c r="O3499" s="124"/>
      <c r="T3499" s="129">
        <f>IFERROR(__xludf.DUMMYFUNCTION("""COMPUTED_VALUE"""),46056.0)</f>
        <v>46056</v>
      </c>
      <c r="U3499" s="124" t="str">
        <f>IFERROR(__xludf.DUMMYFUNCTION("""COMPUTED_VALUE"""),"Walk-Ins")</f>
        <v>Walk-Ins</v>
      </c>
      <c r="V3499" s="124" t="str">
        <f>IFERROR(__xludf.DUMMYFUNCTION("""COMPUTED_VALUE"""),"Walkin")</f>
        <v>Walkin</v>
      </c>
      <c r="W3499" s="124" t="str">
        <f>IFERROR(__xludf.DUMMYFUNCTION("""COMPUTED_VALUE"""),"Delhi")</f>
        <v>Delhi</v>
      </c>
      <c r="X3499" s="124" t="str">
        <f>IFERROR(__xludf.DUMMYFUNCTION("""COMPUTED_VALUE"""),"walkin")</f>
        <v>walkin</v>
      </c>
      <c r="Y3499" s="124" t="str">
        <f>IFERROR(__xludf.DUMMYFUNCTION("""COMPUTED_VALUE"""),"Delhi")</f>
        <v>Delhi</v>
      </c>
      <c r="Z3499" s="124">
        <f>IFERROR(__xludf.DUMMYFUNCTION("""COMPUTED_VALUE"""),3.0)</f>
        <v>3</v>
      </c>
      <c r="AA3499" s="124" t="str">
        <f>IFERROR(__xludf.DUMMYFUNCTION("""COMPUTED_VALUE"""),"Fake Lead")</f>
        <v>Fake Lead</v>
      </c>
      <c r="AB3499" s="124" t="str">
        <f>IFERROR(__xludf.DUMMYFUNCTION("""COMPUTED_VALUE"""),"GS Foundation")</f>
        <v>GS Foundation</v>
      </c>
    </row>
    <row r="3500">
      <c r="K3500" s="124"/>
      <c r="L3500" s="124"/>
      <c r="M3500" s="124"/>
      <c r="N3500" s="124"/>
      <c r="O3500" s="124"/>
      <c r="T3500" s="126">
        <f>IFERROR(__xludf.DUMMYFUNCTION("""COMPUTED_VALUE"""),46097.0)</f>
        <v>46097</v>
      </c>
      <c r="U3500" s="124" t="str">
        <f>IFERROR(__xludf.DUMMYFUNCTION("""COMPUTED_VALUE"""),"Walk-Ins")</f>
        <v>Walk-Ins</v>
      </c>
      <c r="V3500" s="124" t="str">
        <f>IFERROR(__xludf.DUMMYFUNCTION("""COMPUTED_VALUE"""),"Walkin")</f>
        <v>Walkin</v>
      </c>
      <c r="W3500" s="124" t="str">
        <f>IFERROR(__xludf.DUMMYFUNCTION("""COMPUTED_VALUE"""),"Delhi")</f>
        <v>Delhi</v>
      </c>
      <c r="X3500" s="124" t="str">
        <f>IFERROR(__xludf.DUMMYFUNCTION("""COMPUTED_VALUE"""),"walkin")</f>
        <v>walkin</v>
      </c>
      <c r="Y3500" s="124" t="str">
        <f>IFERROR(__xludf.DUMMYFUNCTION("""COMPUTED_VALUE"""),"Delhi")</f>
        <v>Delhi</v>
      </c>
      <c r="Z3500" s="124">
        <f>IFERROR(__xludf.DUMMYFUNCTION("""COMPUTED_VALUE"""),1.0)</f>
        <v>1</v>
      </c>
      <c r="AA3500" s="124" t="str">
        <f>IFERROR(__xludf.DUMMYFUNCTION("""COMPUTED_VALUE"""),"Future Prospects")</f>
        <v>Future Prospects</v>
      </c>
      <c r="AB3500" s="124" t="str">
        <f>IFERROR(__xludf.DUMMYFUNCTION("""COMPUTED_VALUE"""),"Optionals")</f>
        <v>Optionals</v>
      </c>
    </row>
    <row r="3501">
      <c r="K3501" s="124"/>
      <c r="L3501" s="124"/>
      <c r="M3501" s="124"/>
      <c r="N3501" s="124"/>
      <c r="O3501" s="124"/>
      <c r="T3501" s="126">
        <f>IFERROR(__xludf.DUMMYFUNCTION("""COMPUTED_VALUE"""),46050.0)</f>
        <v>46050</v>
      </c>
      <c r="U3501" s="124" t="str">
        <f>IFERROR(__xludf.DUMMYFUNCTION("""COMPUTED_VALUE"""),"External Leads")</f>
        <v>External Leads</v>
      </c>
      <c r="V3501" s="124" t="str">
        <f>IFERROR(__xludf.DUMMYFUNCTION("""COMPUTED_VALUE"""),"external leads")</f>
        <v>external leads</v>
      </c>
      <c r="W3501" s="124" t="str">
        <f>IFERROR(__xludf.DUMMYFUNCTION("""COMPUTED_VALUE"""),"delhi")</f>
        <v>delhi</v>
      </c>
      <c r="X3501" s="124" t="str">
        <f>IFERROR(__xludf.DUMMYFUNCTION("""COMPUTED_VALUE"""),"piyushunacademy")</f>
        <v>piyushunacademy</v>
      </c>
      <c r="Y3501" s="124" t="str">
        <f>IFERROR(__xludf.DUMMYFUNCTION("""COMPUTED_VALUE"""),"Delhi")</f>
        <v>Delhi</v>
      </c>
      <c r="Z3501" s="124">
        <f>IFERROR(__xludf.DUMMYFUNCTION("""COMPUTED_VALUE"""),1.0)</f>
        <v>1</v>
      </c>
      <c r="AA3501" s="124" t="str">
        <f>IFERROR(__xludf.DUMMYFUNCTION("""COMPUTED_VALUE"""),"Not Interested")</f>
        <v>Not Interested</v>
      </c>
      <c r="AB3501" s="124" t="str">
        <f>IFERROR(__xludf.DUMMYFUNCTION("""COMPUTED_VALUE"""),"Optionals")</f>
        <v>Optionals</v>
      </c>
    </row>
    <row r="3502">
      <c r="K3502" s="124"/>
      <c r="L3502" s="124"/>
      <c r="M3502" s="124"/>
      <c r="N3502" s="124"/>
      <c r="O3502" s="124"/>
      <c r="T3502" s="126">
        <f>IFERROR(__xludf.DUMMYFUNCTION("""COMPUTED_VALUE"""),46098.0)</f>
        <v>46098</v>
      </c>
      <c r="U3502" s="124" t="str">
        <f>IFERROR(__xludf.DUMMYFUNCTION("""COMPUTED_VALUE"""),"Walk-Ins")</f>
        <v>Walk-Ins</v>
      </c>
      <c r="V3502" s="124" t="str">
        <f>IFERROR(__xludf.DUMMYFUNCTION("""COMPUTED_VALUE"""),"Walkin")</f>
        <v>Walkin</v>
      </c>
      <c r="W3502" s="124" t="str">
        <f>IFERROR(__xludf.DUMMYFUNCTION("""COMPUTED_VALUE"""),"Delhi")</f>
        <v>Delhi</v>
      </c>
      <c r="X3502" s="124" t="str">
        <f>IFERROR(__xludf.DUMMYFUNCTION("""COMPUTED_VALUE"""),"walkin")</f>
        <v>walkin</v>
      </c>
      <c r="Y3502" s="124" t="str">
        <f>IFERROR(__xludf.DUMMYFUNCTION("""COMPUTED_VALUE"""),"Delhi")</f>
        <v>Delhi</v>
      </c>
      <c r="Z3502" s="124">
        <f>IFERROR(__xludf.DUMMYFUNCTION("""COMPUTED_VALUE"""),1.0)</f>
        <v>1</v>
      </c>
      <c r="AA3502" s="124" t="str">
        <f>IFERROR(__xludf.DUMMYFUNCTION("""COMPUTED_VALUE"""),"Future Prospects")</f>
        <v>Future Prospects</v>
      </c>
      <c r="AB3502" s="124" t="str">
        <f>IFERROR(__xludf.DUMMYFUNCTION("""COMPUTED_VALUE"""),"GS Advanced")</f>
        <v>GS Advanced</v>
      </c>
    </row>
    <row r="3503">
      <c r="K3503" s="124"/>
      <c r="L3503" s="124"/>
      <c r="M3503" s="124"/>
      <c r="N3503" s="124"/>
      <c r="O3503" s="124"/>
      <c r="T3503" s="126">
        <f>IFERROR(__xludf.DUMMYFUNCTION("""COMPUTED_VALUE"""),46063.0)</f>
        <v>46063</v>
      </c>
      <c r="U3503" s="124" t="str">
        <f>IFERROR(__xludf.DUMMYFUNCTION("""COMPUTED_VALUE"""),"Walk-Ins")</f>
        <v>Walk-Ins</v>
      </c>
      <c r="V3503" s="124" t="str">
        <f>IFERROR(__xludf.DUMMYFUNCTION("""COMPUTED_VALUE"""),"Walkin")</f>
        <v>Walkin</v>
      </c>
      <c r="W3503" s="124" t="str">
        <f>IFERROR(__xludf.DUMMYFUNCTION("""COMPUTED_VALUE"""),"Delhi")</f>
        <v>Delhi</v>
      </c>
      <c r="X3503" s="124" t="str">
        <f>IFERROR(__xludf.DUMMYFUNCTION("""COMPUTED_VALUE"""),"walkin")</f>
        <v>walkin</v>
      </c>
      <c r="Y3503" s="124" t="str">
        <f>IFERROR(__xludf.DUMMYFUNCTION("""COMPUTED_VALUE"""),"Delhi")</f>
        <v>Delhi</v>
      </c>
      <c r="Z3503" s="124">
        <f>IFERROR(__xludf.DUMMYFUNCTION("""COMPUTED_VALUE"""),1.0)</f>
        <v>1</v>
      </c>
      <c r="AA3503" s="124" t="str">
        <f>IFERROR(__xludf.DUMMYFUNCTION("""COMPUTED_VALUE"""),"Fake Lead")</f>
        <v>Fake Lead</v>
      </c>
      <c r="AB3503" s="124" t="str">
        <f>IFERROR(__xludf.DUMMYFUNCTION("""COMPUTED_VALUE"""),"GS Foundation")</f>
        <v>GS Foundation</v>
      </c>
    </row>
    <row r="3504">
      <c r="K3504" s="124"/>
      <c r="L3504" s="124"/>
      <c r="M3504" s="124"/>
      <c r="N3504" s="124"/>
      <c r="O3504" s="124"/>
      <c r="T3504" s="129">
        <f>IFERROR(__xludf.DUMMYFUNCTION("""COMPUTED_VALUE"""),46054.0)</f>
        <v>46054</v>
      </c>
      <c r="U3504" s="124" t="str">
        <f>IFERROR(__xludf.DUMMYFUNCTION("""COMPUTED_VALUE"""),"Walk-Ins")</f>
        <v>Walk-Ins</v>
      </c>
      <c r="V3504" s="124" t="str">
        <f>IFERROR(__xludf.DUMMYFUNCTION("""COMPUTED_VALUE"""),"Walk-In")</f>
        <v>Walk-In</v>
      </c>
      <c r="W3504" s="124" t="str">
        <f>IFERROR(__xludf.DUMMYFUNCTION("""COMPUTED_VALUE"""),"Prayagraj")</f>
        <v>Prayagraj</v>
      </c>
      <c r="X3504" s="124" t="str">
        <f>IFERROR(__xludf.DUMMYFUNCTION("""COMPUTED_VALUE"""),"Aditi")</f>
        <v>Aditi</v>
      </c>
      <c r="Y3504" s="124" t="str">
        <f>IFERROR(__xludf.DUMMYFUNCTION("""COMPUTED_VALUE"""),"Prayagraj")</f>
        <v>Prayagraj</v>
      </c>
      <c r="Z3504" s="124">
        <f>IFERROR(__xludf.DUMMYFUNCTION("""COMPUTED_VALUE"""),1.0)</f>
        <v>1</v>
      </c>
      <c r="AA3504" s="124" t="str">
        <f>IFERROR(__xludf.DUMMYFUNCTION("""COMPUTED_VALUE"""),"Future Prospects")</f>
        <v>Future Prospects</v>
      </c>
      <c r="AB3504" s="124" t="str">
        <f>IFERROR(__xludf.DUMMYFUNCTION("""COMPUTED_VALUE"""),"State PCS")</f>
        <v>State PCS</v>
      </c>
    </row>
    <row r="3505">
      <c r="K3505" s="124"/>
      <c r="L3505" s="124"/>
      <c r="M3505" s="124"/>
      <c r="N3505" s="124"/>
      <c r="O3505" s="124"/>
      <c r="T3505" s="126">
        <f>IFERROR(__xludf.DUMMYFUNCTION("""COMPUTED_VALUE"""),46044.0)</f>
        <v>46044</v>
      </c>
      <c r="U3505" s="124" t="str">
        <f>IFERROR(__xludf.DUMMYFUNCTION("""COMPUTED_VALUE"""),"Walk-Ins")</f>
        <v>Walk-Ins</v>
      </c>
      <c r="V3505" s="124" t="str">
        <f>IFERROR(__xludf.DUMMYFUNCTION("""COMPUTED_VALUE"""),"Walk-In")</f>
        <v>Walk-In</v>
      </c>
      <c r="W3505" s="124" t="str">
        <f>IFERROR(__xludf.DUMMYFUNCTION("""COMPUTED_VALUE"""),"Delhi")</f>
        <v>Delhi</v>
      </c>
      <c r="X3505" s="124" t="str">
        <f>IFERROR(__xludf.DUMMYFUNCTION("""COMPUTED_VALUE"""),"walkin")</f>
        <v>walkin</v>
      </c>
      <c r="Y3505" s="124"/>
      <c r="Z3505" s="124">
        <f>IFERROR(__xludf.DUMMYFUNCTION("""COMPUTED_VALUE"""),1.0)</f>
        <v>1</v>
      </c>
      <c r="AA3505" s="124" t="str">
        <f>IFERROR(__xludf.DUMMYFUNCTION("""COMPUTED_VALUE"""),"Cold")</f>
        <v>Cold</v>
      </c>
      <c r="AB3505" s="124" t="str">
        <f>IFERROR(__xludf.DUMMYFUNCTION("""COMPUTED_VALUE"""),"Optionals")</f>
        <v>Optionals</v>
      </c>
    </row>
    <row r="3506">
      <c r="K3506" s="124"/>
      <c r="L3506" s="124"/>
      <c r="M3506" s="124"/>
      <c r="N3506" s="124"/>
      <c r="O3506" s="124"/>
      <c r="T3506" s="126">
        <f>IFERROR(__xludf.DUMMYFUNCTION("""COMPUTED_VALUE"""),46105.0)</f>
        <v>46105</v>
      </c>
      <c r="U3506" s="124" t="str">
        <f>IFERROR(__xludf.DUMMYFUNCTION("""COMPUTED_VALUE"""),"Walk-Ins")</f>
        <v>Walk-Ins</v>
      </c>
      <c r="V3506" s="124" t="str">
        <f>IFERROR(__xludf.DUMMYFUNCTION("""COMPUTED_VALUE"""),"Walk-In")</f>
        <v>Walk-In</v>
      </c>
      <c r="W3506" s="124" t="str">
        <f>IFERROR(__xludf.DUMMYFUNCTION("""COMPUTED_VALUE"""),"Delhi")</f>
        <v>Delhi</v>
      </c>
      <c r="X3506" s="124" t="str">
        <f>IFERROR(__xludf.DUMMYFUNCTION("""COMPUTED_VALUE"""),"walkin")</f>
        <v>walkin</v>
      </c>
      <c r="Y3506" s="124" t="str">
        <f>IFERROR(__xludf.DUMMYFUNCTION("""COMPUTED_VALUE"""),"Delhi")</f>
        <v>Delhi</v>
      </c>
      <c r="Z3506" s="124">
        <f>IFERROR(__xludf.DUMMYFUNCTION("""COMPUTED_VALUE"""),1.0)</f>
        <v>1</v>
      </c>
      <c r="AA3506" s="124" t="str">
        <f>IFERROR(__xludf.DUMMYFUNCTION("""COMPUTED_VALUE"""),"Warm")</f>
        <v>Warm</v>
      </c>
      <c r="AB3506" s="124" t="str">
        <f>IFERROR(__xludf.DUMMYFUNCTION("""COMPUTED_VALUE"""),"GS Foundation")</f>
        <v>GS Foundation</v>
      </c>
    </row>
    <row r="3507">
      <c r="K3507" s="124"/>
      <c r="L3507" s="124"/>
      <c r="M3507" s="124"/>
      <c r="N3507" s="124"/>
      <c r="O3507" s="124"/>
      <c r="T3507" s="126">
        <f>IFERROR(__xludf.DUMMYFUNCTION("""COMPUTED_VALUE"""),46107.0)</f>
        <v>46107</v>
      </c>
      <c r="U3507" s="124" t="str">
        <f>IFERROR(__xludf.DUMMYFUNCTION("""COMPUTED_VALUE"""),"Walk-Ins")</f>
        <v>Walk-Ins</v>
      </c>
      <c r="V3507" s="124" t="str">
        <f>IFERROR(__xludf.DUMMYFUNCTION("""COMPUTED_VALUE"""),"Walk-In")</f>
        <v>Walk-In</v>
      </c>
      <c r="W3507" s="124" t="str">
        <f>IFERROR(__xludf.DUMMYFUNCTION("""COMPUTED_VALUE"""),"Delhi")</f>
        <v>Delhi</v>
      </c>
      <c r="X3507" s="124" t="str">
        <f>IFERROR(__xludf.DUMMYFUNCTION("""COMPUTED_VALUE"""),"walkin")</f>
        <v>walkin</v>
      </c>
      <c r="Y3507" s="124" t="str">
        <f>IFERROR(__xludf.DUMMYFUNCTION("""COMPUTED_VALUE"""),"Delhi")</f>
        <v>Delhi</v>
      </c>
      <c r="Z3507" s="124">
        <f>IFERROR(__xludf.DUMMYFUNCTION("""COMPUTED_VALUE"""),1.0)</f>
        <v>1</v>
      </c>
      <c r="AA3507" s="124" t="str">
        <f>IFERROR(__xludf.DUMMYFUNCTION("""COMPUTED_VALUE"""),"Warm")</f>
        <v>Warm</v>
      </c>
      <c r="AB3507" s="124" t="str">
        <f>IFERROR(__xludf.DUMMYFUNCTION("""COMPUTED_VALUE"""),"GS Foundation")</f>
        <v>GS Foundation</v>
      </c>
    </row>
    <row r="3508">
      <c r="K3508" s="124"/>
      <c r="L3508" s="124"/>
      <c r="M3508" s="124"/>
      <c r="N3508" s="124"/>
      <c r="O3508" s="124"/>
      <c r="T3508" s="126">
        <f>IFERROR(__xludf.DUMMYFUNCTION("""COMPUTED_VALUE"""),46049.0)</f>
        <v>46049</v>
      </c>
      <c r="U3508" s="124" t="str">
        <f>IFERROR(__xludf.DUMMYFUNCTION("""COMPUTED_VALUE"""),"External Leads")</f>
        <v>External Leads</v>
      </c>
      <c r="V3508" s="124" t="str">
        <f>IFERROR(__xludf.DUMMYFUNCTION("""COMPUTED_VALUE"""),"external leads")</f>
        <v>external leads</v>
      </c>
      <c r="W3508" s="124" t="str">
        <f>IFERROR(__xludf.DUMMYFUNCTION("""COMPUTED_VALUE"""),"patna")</f>
        <v>patna</v>
      </c>
      <c r="X3508" s="124" t="str">
        <f>IFERROR(__xludf.DUMMYFUNCTION("""COMPUTED_VALUE"""),"piyushunacademy")</f>
        <v>piyushunacademy</v>
      </c>
      <c r="Y3508" s="124" t="str">
        <f>IFERROR(__xludf.DUMMYFUNCTION("""COMPUTED_VALUE"""),"Patna")</f>
        <v>Patna</v>
      </c>
      <c r="Z3508" s="124">
        <f>IFERROR(__xludf.DUMMYFUNCTION("""COMPUTED_VALUE"""),1.0)</f>
        <v>1</v>
      </c>
      <c r="AA3508" s="124"/>
      <c r="AB3508" s="124" t="str">
        <f>IFERROR(__xludf.DUMMYFUNCTION("""COMPUTED_VALUE"""),"Test Series")</f>
        <v>Test Series</v>
      </c>
    </row>
    <row r="3509">
      <c r="K3509" s="124"/>
      <c r="L3509" s="124"/>
      <c r="M3509" s="124"/>
      <c r="N3509" s="124"/>
      <c r="O3509" s="124"/>
      <c r="T3509" s="126">
        <f>IFERROR(__xludf.DUMMYFUNCTION("""COMPUTED_VALUE"""),46049.0)</f>
        <v>46049</v>
      </c>
      <c r="U3509" s="124" t="str">
        <f>IFERROR(__xludf.DUMMYFUNCTION("""COMPUTED_VALUE"""),"External Leads")</f>
        <v>External Leads</v>
      </c>
      <c r="V3509" s="124" t="str">
        <f>IFERROR(__xludf.DUMMYFUNCTION("""COMPUTED_VALUE"""),"external leads")</f>
        <v>external leads</v>
      </c>
      <c r="W3509" s="124" t="str">
        <f>IFERROR(__xludf.DUMMYFUNCTION("""COMPUTED_VALUE"""),"delhi")</f>
        <v>delhi</v>
      </c>
      <c r="X3509" s="124" t="str">
        <f>IFERROR(__xludf.DUMMYFUNCTION("""COMPUTED_VALUE"""),"piyushunacademy")</f>
        <v>piyushunacademy</v>
      </c>
      <c r="Y3509" s="124" t="str">
        <f>IFERROR(__xludf.DUMMYFUNCTION("""COMPUTED_VALUE"""),"Delhi")</f>
        <v>Delhi</v>
      </c>
      <c r="Z3509" s="124">
        <f>IFERROR(__xludf.DUMMYFUNCTION("""COMPUTED_VALUE"""),1.0)</f>
        <v>1</v>
      </c>
      <c r="AA3509" s="124" t="str">
        <f>IFERROR(__xludf.DUMMYFUNCTION("""COMPUTED_VALUE"""),"Cold")</f>
        <v>Cold</v>
      </c>
      <c r="AB3509" s="124" t="str">
        <f>IFERROR(__xludf.DUMMYFUNCTION("""COMPUTED_VALUE"""),"Optionals")</f>
        <v>Optionals</v>
      </c>
    </row>
    <row r="3510">
      <c r="K3510" s="124"/>
      <c r="L3510" s="124"/>
      <c r="M3510" s="124"/>
      <c r="N3510" s="124"/>
      <c r="O3510" s="124"/>
      <c r="T3510" s="126">
        <f>IFERROR(__xludf.DUMMYFUNCTION("""COMPUTED_VALUE"""),46050.0)</f>
        <v>46050</v>
      </c>
      <c r="U3510" s="124" t="str">
        <f>IFERROR(__xludf.DUMMYFUNCTION("""COMPUTED_VALUE"""),"External Leads")</f>
        <v>External Leads</v>
      </c>
      <c r="V3510" s="124" t="str">
        <f>IFERROR(__xludf.DUMMYFUNCTION("""COMPUTED_VALUE"""),"external leads")</f>
        <v>external leads</v>
      </c>
      <c r="W3510" s="124" t="str">
        <f>IFERROR(__xludf.DUMMYFUNCTION("""COMPUTED_VALUE"""),"patna")</f>
        <v>patna</v>
      </c>
      <c r="X3510" s="124" t="str">
        <f>IFERROR(__xludf.DUMMYFUNCTION("""COMPUTED_VALUE"""),"piyushunacademy")</f>
        <v>piyushunacademy</v>
      </c>
      <c r="Y3510" s="124" t="str">
        <f>IFERROR(__xludf.DUMMYFUNCTION("""COMPUTED_VALUE"""),"Patna")</f>
        <v>Patna</v>
      </c>
      <c r="Z3510" s="124">
        <f>IFERROR(__xludf.DUMMYFUNCTION("""COMPUTED_VALUE"""),1.0)</f>
        <v>1</v>
      </c>
      <c r="AA3510" s="124" t="str">
        <f>IFERROR(__xludf.DUMMYFUNCTION("""COMPUTED_VALUE"""),"Cold")</f>
        <v>Cold</v>
      </c>
      <c r="AB3510" s="124" t="str">
        <f>IFERROR(__xludf.DUMMYFUNCTION("""COMPUTED_VALUE"""),"Prelims Crash Course - SIP")</f>
        <v>Prelims Crash Course - SIP</v>
      </c>
    </row>
    <row r="3511">
      <c r="K3511" s="124"/>
      <c r="L3511" s="124"/>
      <c r="M3511" s="124"/>
      <c r="N3511" s="124"/>
      <c r="O3511" s="124"/>
      <c r="T3511" s="126">
        <f>IFERROR(__xludf.DUMMYFUNCTION("""COMPUTED_VALUE"""),46074.0)</f>
        <v>46074</v>
      </c>
      <c r="U3511" s="124" t="str">
        <f>IFERROR(__xludf.DUMMYFUNCTION("""COMPUTED_VALUE"""),"Event")</f>
        <v>Event</v>
      </c>
      <c r="V3511" s="124" t="str">
        <f>IFERROR(__xludf.DUMMYFUNCTION("""COMPUTED_VALUE"""),"whatsapp")</f>
        <v>whatsapp</v>
      </c>
      <c r="W3511" s="124" t="str">
        <f>IFERROR(__xludf.DUMMYFUNCTION("""COMPUTED_VALUE"""),"api")</f>
        <v>api</v>
      </c>
      <c r="X3511" s="124" t="str">
        <f>IFERROR(__xludf.DUMMYFUNCTION("""COMPUTED_VALUE"""),"reply")</f>
        <v>reply</v>
      </c>
      <c r="Y3511" s="124"/>
      <c r="Z3511" s="124">
        <f>IFERROR(__xludf.DUMMYFUNCTION("""COMPUTED_VALUE"""),1.0)</f>
        <v>1</v>
      </c>
      <c r="AA3511" s="124" t="str">
        <f>IFERROR(__xludf.DUMMYFUNCTION("""COMPUTED_VALUE"""),"Cold")</f>
        <v>Cold</v>
      </c>
      <c r="AB3511" s="124"/>
    </row>
    <row r="3512">
      <c r="K3512" s="124"/>
      <c r="L3512" s="124"/>
      <c r="M3512" s="124"/>
      <c r="N3512" s="124"/>
      <c r="O3512" s="124"/>
      <c r="T3512" s="129">
        <f>IFERROR(__xludf.DUMMYFUNCTION("""COMPUTED_VALUE"""),46061.0)</f>
        <v>46061</v>
      </c>
      <c r="U3512" s="124" t="str">
        <f>IFERROR(__xludf.DUMMYFUNCTION("""COMPUTED_VALUE"""),"Event")</f>
        <v>Event</v>
      </c>
      <c r="V3512" s="124" t="str">
        <f>IFERROR(__xludf.DUMMYFUNCTION("""COMPUTED_VALUE"""),"whatsapp")</f>
        <v>whatsapp</v>
      </c>
      <c r="W3512" s="124" t="str">
        <f>IFERROR(__xludf.DUMMYFUNCTION("""COMPUTED_VALUE"""),"api")</f>
        <v>api</v>
      </c>
      <c r="X3512" s="124" t="str">
        <f>IFERROR(__xludf.DUMMYFUNCTION("""COMPUTED_VALUE"""),"reply")</f>
        <v>reply</v>
      </c>
      <c r="Y3512" s="124"/>
      <c r="Z3512" s="124">
        <f>IFERROR(__xludf.DUMMYFUNCTION("""COMPUTED_VALUE"""),1.0)</f>
        <v>1</v>
      </c>
      <c r="AA3512" s="124" t="str">
        <f>IFERROR(__xludf.DUMMYFUNCTION("""COMPUTED_VALUE"""),"Cold")</f>
        <v>Cold</v>
      </c>
      <c r="AB3512" s="124"/>
    </row>
    <row r="3513">
      <c r="K3513" s="124"/>
      <c r="L3513" s="124"/>
      <c r="M3513" s="124"/>
      <c r="N3513" s="124"/>
      <c r="O3513" s="124"/>
      <c r="T3513" s="129">
        <f>IFERROR(__xludf.DUMMYFUNCTION("""COMPUTED_VALUE"""),46060.0)</f>
        <v>46060</v>
      </c>
      <c r="U3513" s="124" t="str">
        <f>IFERROR(__xludf.DUMMYFUNCTION("""COMPUTED_VALUE"""),"Event")</f>
        <v>Event</v>
      </c>
      <c r="V3513" s="124" t="str">
        <f>IFERROR(__xludf.DUMMYFUNCTION("""COMPUTED_VALUE"""),"whatsapp")</f>
        <v>whatsapp</v>
      </c>
      <c r="W3513" s="124" t="str">
        <f>IFERROR(__xludf.DUMMYFUNCTION("""COMPUTED_VALUE"""),"api")</f>
        <v>api</v>
      </c>
      <c r="X3513" s="124" t="str">
        <f>IFERROR(__xludf.DUMMYFUNCTION("""COMPUTED_VALUE"""),"reply")</f>
        <v>reply</v>
      </c>
      <c r="Y3513" s="124"/>
      <c r="Z3513" s="124">
        <f>IFERROR(__xludf.DUMMYFUNCTION("""COMPUTED_VALUE"""),1.0)</f>
        <v>1</v>
      </c>
      <c r="AA3513" s="124" t="str">
        <f>IFERROR(__xludf.DUMMYFUNCTION("""COMPUTED_VALUE"""),"Cold")</f>
        <v>Cold</v>
      </c>
      <c r="AB3513" s="124"/>
    </row>
    <row r="3514">
      <c r="K3514" s="124"/>
      <c r="L3514" s="124"/>
      <c r="M3514" s="124"/>
      <c r="N3514" s="124"/>
      <c r="O3514" s="124"/>
      <c r="T3514" s="126">
        <f>IFERROR(__xludf.DUMMYFUNCTION("""COMPUTED_VALUE"""),46100.0)</f>
        <v>46100</v>
      </c>
      <c r="U3514" s="124" t="str">
        <f>IFERROR(__xludf.DUMMYFUNCTION("""COMPUTED_VALUE"""),"Event")</f>
        <v>Event</v>
      </c>
      <c r="V3514" s="124" t="str">
        <f>IFERROR(__xludf.DUMMYFUNCTION("""COMPUTED_VALUE"""),"whatsapp")</f>
        <v>whatsapp</v>
      </c>
      <c r="W3514" s="124" t="str">
        <f>IFERROR(__xludf.DUMMYFUNCTION("""COMPUTED_VALUE"""),"api")</f>
        <v>api</v>
      </c>
      <c r="X3514" s="124" t="str">
        <f>IFERROR(__xludf.DUMMYFUNCTION("""COMPUTED_VALUE"""),"reply")</f>
        <v>reply</v>
      </c>
      <c r="Y3514" s="124" t="str">
        <f>IFERROR(__xludf.DUMMYFUNCTION("""COMPUTED_VALUE"""),"Delhi")</f>
        <v>Delhi</v>
      </c>
      <c r="Z3514" s="124">
        <f>IFERROR(__xludf.DUMMYFUNCTION("""COMPUTED_VALUE"""),2.0)</f>
        <v>2</v>
      </c>
      <c r="AA3514" s="124" t="str">
        <f>IFERROR(__xludf.DUMMYFUNCTION("""COMPUTED_VALUE"""),"Cold")</f>
        <v>Cold</v>
      </c>
      <c r="AB3514" s="124"/>
    </row>
    <row r="3515">
      <c r="K3515" s="124"/>
      <c r="L3515" s="124"/>
      <c r="M3515" s="124"/>
      <c r="N3515" s="124"/>
      <c r="O3515" s="124"/>
      <c r="T3515" s="126">
        <f>IFERROR(__xludf.DUMMYFUNCTION("""COMPUTED_VALUE"""),46044.0)</f>
        <v>46044</v>
      </c>
      <c r="U3515" s="124" t="str">
        <f>IFERROR(__xludf.DUMMYFUNCTION("""COMPUTED_VALUE"""),"Event")</f>
        <v>Event</v>
      </c>
      <c r="V3515" s="124" t="str">
        <f>IFERROR(__xludf.DUMMYFUNCTION("""COMPUTED_VALUE"""),"whatsapp")</f>
        <v>whatsapp</v>
      </c>
      <c r="W3515" s="124" t="str">
        <f>IFERROR(__xludf.DUMMYFUNCTION("""COMPUTED_VALUE"""),"api")</f>
        <v>api</v>
      </c>
      <c r="X3515" s="124" t="str">
        <f>IFERROR(__xludf.DUMMYFUNCTION("""COMPUTED_VALUE"""),"reply")</f>
        <v>reply</v>
      </c>
      <c r="Y3515" s="124"/>
      <c r="Z3515" s="124">
        <f>IFERROR(__xludf.DUMMYFUNCTION("""COMPUTED_VALUE"""),1.0)</f>
        <v>1</v>
      </c>
      <c r="AA3515" s="124" t="str">
        <f>IFERROR(__xludf.DUMMYFUNCTION("""COMPUTED_VALUE"""),"Fake Lead")</f>
        <v>Fake Lead</v>
      </c>
      <c r="AB3515" s="124"/>
    </row>
    <row r="3516">
      <c r="K3516" s="124"/>
      <c r="L3516" s="124"/>
      <c r="M3516" s="124"/>
      <c r="N3516" s="124"/>
      <c r="O3516" s="124"/>
      <c r="T3516" s="126">
        <f>IFERROR(__xludf.DUMMYFUNCTION("""COMPUTED_VALUE"""),46066.0)</f>
        <v>46066</v>
      </c>
      <c r="U3516" s="124" t="str">
        <f>IFERROR(__xludf.DUMMYFUNCTION("""COMPUTED_VALUE"""),"Event")</f>
        <v>Event</v>
      </c>
      <c r="V3516" s="124" t="str">
        <f>IFERROR(__xludf.DUMMYFUNCTION("""COMPUTED_VALUE"""),"whatsapp")</f>
        <v>whatsapp</v>
      </c>
      <c r="W3516" s="124" t="str">
        <f>IFERROR(__xludf.DUMMYFUNCTION("""COMPUTED_VALUE"""),"api")</f>
        <v>api</v>
      </c>
      <c r="X3516" s="124" t="str">
        <f>IFERROR(__xludf.DUMMYFUNCTION("""COMPUTED_VALUE"""),"reply")</f>
        <v>reply</v>
      </c>
      <c r="Y3516" s="124"/>
      <c r="Z3516" s="124">
        <f>IFERROR(__xludf.DUMMYFUNCTION("""COMPUTED_VALUE"""),1.0)</f>
        <v>1</v>
      </c>
      <c r="AA3516" s="124" t="str">
        <f>IFERROR(__xludf.DUMMYFUNCTION("""COMPUTED_VALUE"""),"Fake Lead")</f>
        <v>Fake Lead</v>
      </c>
      <c r="AB3516" s="124"/>
    </row>
    <row r="3517">
      <c r="K3517" s="124"/>
      <c r="L3517" s="124"/>
      <c r="M3517" s="124"/>
      <c r="N3517" s="124"/>
      <c r="O3517" s="124"/>
      <c r="T3517" s="126">
        <f>IFERROR(__xludf.DUMMYFUNCTION("""COMPUTED_VALUE"""),46053.0)</f>
        <v>46053</v>
      </c>
      <c r="U3517" s="124" t="str">
        <f>IFERROR(__xludf.DUMMYFUNCTION("""COMPUTED_VALUE"""),"Event")</f>
        <v>Event</v>
      </c>
      <c r="V3517" s="124" t="str">
        <f>IFERROR(__xludf.DUMMYFUNCTION("""COMPUTED_VALUE"""),"whatsapp")</f>
        <v>whatsapp</v>
      </c>
      <c r="W3517" s="124" t="str">
        <f>IFERROR(__xludf.DUMMYFUNCTION("""COMPUTED_VALUE"""),"api")</f>
        <v>api</v>
      </c>
      <c r="X3517" s="124" t="str">
        <f>IFERROR(__xludf.DUMMYFUNCTION("""COMPUTED_VALUE"""),"reply")</f>
        <v>reply</v>
      </c>
      <c r="Y3517" s="124"/>
      <c r="Z3517" s="124">
        <f>IFERROR(__xludf.DUMMYFUNCTION("""COMPUTED_VALUE"""),1.0)</f>
        <v>1</v>
      </c>
      <c r="AA3517" s="124" t="str">
        <f>IFERROR(__xludf.DUMMYFUNCTION("""COMPUTED_VALUE"""),"Fake Lead")</f>
        <v>Fake Lead</v>
      </c>
      <c r="AB3517" s="124"/>
    </row>
    <row r="3518">
      <c r="K3518" s="124"/>
      <c r="L3518" s="124"/>
      <c r="M3518" s="124"/>
      <c r="N3518" s="124"/>
      <c r="O3518" s="124"/>
      <c r="T3518" s="126">
        <f>IFERROR(__xludf.DUMMYFUNCTION("""COMPUTED_VALUE"""),46044.0)</f>
        <v>46044</v>
      </c>
      <c r="U3518" s="124" t="str">
        <f>IFERROR(__xludf.DUMMYFUNCTION("""COMPUTED_VALUE"""),"Event")</f>
        <v>Event</v>
      </c>
      <c r="V3518" s="124" t="str">
        <f>IFERROR(__xludf.DUMMYFUNCTION("""COMPUTED_VALUE"""),"whatsapp")</f>
        <v>whatsapp</v>
      </c>
      <c r="W3518" s="124" t="str">
        <f>IFERROR(__xludf.DUMMYFUNCTION("""COMPUTED_VALUE"""),"api")</f>
        <v>api</v>
      </c>
      <c r="X3518" s="124" t="str">
        <f>IFERROR(__xludf.DUMMYFUNCTION("""COMPUTED_VALUE"""),"reply")</f>
        <v>reply</v>
      </c>
      <c r="Y3518" s="124"/>
      <c r="Z3518" s="124">
        <f>IFERROR(__xludf.DUMMYFUNCTION("""COMPUTED_VALUE"""),1.0)</f>
        <v>1</v>
      </c>
      <c r="AA3518" s="124" t="str">
        <f>IFERROR(__xludf.DUMMYFUNCTION("""COMPUTED_VALUE"""),"Cold")</f>
        <v>Cold</v>
      </c>
      <c r="AB3518" s="124"/>
    </row>
    <row r="3519">
      <c r="K3519" s="124"/>
      <c r="L3519" s="124"/>
      <c r="M3519" s="124"/>
      <c r="N3519" s="124"/>
      <c r="O3519" s="124"/>
      <c r="T3519" s="126">
        <f>IFERROR(__xludf.DUMMYFUNCTION("""COMPUTED_VALUE"""),46063.0)</f>
        <v>46063</v>
      </c>
      <c r="U3519" s="124" t="str">
        <f>IFERROR(__xludf.DUMMYFUNCTION("""COMPUTED_VALUE"""),"Event")</f>
        <v>Event</v>
      </c>
      <c r="V3519" s="124" t="str">
        <f>IFERROR(__xludf.DUMMYFUNCTION("""COMPUTED_VALUE"""),"whatsapp")</f>
        <v>whatsapp</v>
      </c>
      <c r="W3519" s="124" t="str">
        <f>IFERROR(__xludf.DUMMYFUNCTION("""COMPUTED_VALUE"""),"api")</f>
        <v>api</v>
      </c>
      <c r="X3519" s="124" t="str">
        <f>IFERROR(__xludf.DUMMYFUNCTION("""COMPUTED_VALUE"""),"reply")</f>
        <v>reply</v>
      </c>
      <c r="Y3519" s="124"/>
      <c r="Z3519" s="124">
        <f>IFERROR(__xludf.DUMMYFUNCTION("""COMPUTED_VALUE"""),2.0)</f>
        <v>2</v>
      </c>
      <c r="AA3519" s="124" t="str">
        <f>IFERROR(__xludf.DUMMYFUNCTION("""COMPUTED_VALUE"""),"Not Interested")</f>
        <v>Not Interested</v>
      </c>
      <c r="AB3519" s="124"/>
    </row>
    <row r="3520">
      <c r="K3520" s="124"/>
      <c r="L3520" s="124"/>
      <c r="M3520" s="124"/>
      <c r="N3520" s="124"/>
      <c r="O3520" s="124"/>
      <c r="T3520" s="126">
        <f>IFERROR(__xludf.DUMMYFUNCTION("""COMPUTED_VALUE"""),46077.0)</f>
        <v>46077</v>
      </c>
      <c r="U3520" s="124" t="str">
        <f>IFERROR(__xludf.DUMMYFUNCTION("""COMPUTED_VALUE"""),"Event")</f>
        <v>Event</v>
      </c>
      <c r="V3520" s="124" t="str">
        <f>IFERROR(__xludf.DUMMYFUNCTION("""COMPUTED_VALUE"""),"Events")</f>
        <v>Events</v>
      </c>
      <c r="W3520" s="124" t="str">
        <f>IFERROR(__xludf.DUMMYFUNCTION("""COMPUTED_VALUE"""),"All Centre")</f>
        <v>All Centre</v>
      </c>
      <c r="X3520" s="124" t="str">
        <f>IFERROR(__xludf.DUMMYFUNCTION("""COMPUTED_VALUE"""),"Generic")</f>
        <v>Generic</v>
      </c>
      <c r="Y3520" s="124" t="str">
        <f>IFERROR(__xludf.DUMMYFUNCTION("""COMPUTED_VALUE"""),"Delhi")</f>
        <v>Delhi</v>
      </c>
      <c r="Z3520" s="124">
        <f>IFERROR(__xludf.DUMMYFUNCTION("""COMPUTED_VALUE"""),5.0)</f>
        <v>5</v>
      </c>
      <c r="AA3520" s="124" t="str">
        <f>IFERROR(__xludf.DUMMYFUNCTION("""COMPUTED_VALUE"""),"Cold")</f>
        <v>Cold</v>
      </c>
      <c r="AB3520" s="124" t="str">
        <f>IFERROR(__xludf.DUMMYFUNCTION("""COMPUTED_VALUE"""),"Prelims Crash Course - SIP")</f>
        <v>Prelims Crash Course - SIP</v>
      </c>
    </row>
    <row r="3521">
      <c r="K3521" s="124"/>
      <c r="L3521" s="124"/>
      <c r="M3521" s="124"/>
      <c r="N3521" s="124"/>
      <c r="O3521" s="124"/>
      <c r="T3521" s="126">
        <f>IFERROR(__xludf.DUMMYFUNCTION("""COMPUTED_VALUE"""),46065.0)</f>
        <v>46065</v>
      </c>
      <c r="U3521" s="124" t="str">
        <f>IFERROR(__xludf.DUMMYFUNCTION("""COMPUTED_VALUE"""),"Event")</f>
        <v>Event</v>
      </c>
      <c r="V3521" s="124" t="str">
        <f>IFERROR(__xludf.DUMMYFUNCTION("""COMPUTED_VALUE"""),"Events")</f>
        <v>Events</v>
      </c>
      <c r="W3521" s="124" t="str">
        <f>IFERROR(__xludf.DUMMYFUNCTION("""COMPUTED_VALUE"""),"All Centre")</f>
        <v>All Centre</v>
      </c>
      <c r="X3521" s="124" t="str">
        <f>IFERROR(__xludf.DUMMYFUNCTION("""COMPUTED_VALUE"""),"Generic")</f>
        <v>Generic</v>
      </c>
      <c r="Y3521" s="124" t="str">
        <f>IFERROR(__xludf.DUMMYFUNCTION("""COMPUTED_VALUE"""),"Delhi")</f>
        <v>Delhi</v>
      </c>
      <c r="Z3521" s="124">
        <f>IFERROR(__xludf.DUMMYFUNCTION("""COMPUTED_VALUE"""),2.0)</f>
        <v>2</v>
      </c>
      <c r="AA3521" s="124" t="str">
        <f>IFERROR(__xludf.DUMMYFUNCTION("""COMPUTED_VALUE"""),"Not Interested")</f>
        <v>Not Interested</v>
      </c>
      <c r="AB3521" s="124" t="str">
        <f>IFERROR(__xludf.DUMMYFUNCTION("""COMPUTED_VALUE"""),"CSAT")</f>
        <v>CSAT</v>
      </c>
    </row>
    <row r="3522">
      <c r="K3522" s="124"/>
      <c r="L3522" s="124"/>
      <c r="M3522" s="124"/>
      <c r="N3522" s="124"/>
      <c r="O3522" s="124"/>
      <c r="T3522" s="126">
        <f>IFERROR(__xludf.DUMMYFUNCTION("""COMPUTED_VALUE"""),46065.0)</f>
        <v>46065</v>
      </c>
      <c r="U3522" s="124" t="str">
        <f>IFERROR(__xludf.DUMMYFUNCTION("""COMPUTED_VALUE"""),"Event")</f>
        <v>Event</v>
      </c>
      <c r="V3522" s="124" t="str">
        <f>IFERROR(__xludf.DUMMYFUNCTION("""COMPUTED_VALUE"""),"Events")</f>
        <v>Events</v>
      </c>
      <c r="W3522" s="124" t="str">
        <f>IFERROR(__xludf.DUMMYFUNCTION("""COMPUTED_VALUE"""),"All Centre")</f>
        <v>All Centre</v>
      </c>
      <c r="X3522" s="124" t="str">
        <f>IFERROR(__xludf.DUMMYFUNCTION("""COMPUTED_VALUE"""),"Generic")</f>
        <v>Generic</v>
      </c>
      <c r="Y3522" s="124" t="str">
        <f>IFERROR(__xludf.DUMMYFUNCTION("""COMPUTED_VALUE"""),"Delhi")</f>
        <v>Delhi</v>
      </c>
      <c r="Z3522" s="124">
        <f>IFERROR(__xludf.DUMMYFUNCTION("""COMPUTED_VALUE"""),2.0)</f>
        <v>2</v>
      </c>
      <c r="AA3522" s="124" t="str">
        <f>IFERROR(__xludf.DUMMYFUNCTION("""COMPUTED_VALUE"""),"Cold")</f>
        <v>Cold</v>
      </c>
      <c r="AB3522" s="124" t="str">
        <f>IFERROR(__xludf.DUMMYFUNCTION("""COMPUTED_VALUE"""),"SIP Offline")</f>
        <v>SIP Offline</v>
      </c>
    </row>
    <row r="3523">
      <c r="K3523" s="124"/>
      <c r="L3523" s="124"/>
      <c r="M3523" s="124"/>
      <c r="N3523" s="124"/>
      <c r="O3523" s="124"/>
      <c r="T3523" s="129">
        <f>IFERROR(__xludf.DUMMYFUNCTION("""COMPUTED_VALUE"""),46056.0)</f>
        <v>46056</v>
      </c>
      <c r="U3523" s="124" t="str">
        <f>IFERROR(__xludf.DUMMYFUNCTION("""COMPUTED_VALUE"""),"Event")</f>
        <v>Event</v>
      </c>
      <c r="V3523" s="124" t="str">
        <f>IFERROR(__xludf.DUMMYFUNCTION("""COMPUTED_VALUE"""),"Events")</f>
        <v>Events</v>
      </c>
      <c r="W3523" s="124" t="str">
        <f>IFERROR(__xludf.DUMMYFUNCTION("""COMPUTED_VALUE"""),"All Centre")</f>
        <v>All Centre</v>
      </c>
      <c r="X3523" s="124" t="str">
        <f>IFERROR(__xludf.DUMMYFUNCTION("""COMPUTED_VALUE"""),"Generic")</f>
        <v>Generic</v>
      </c>
      <c r="Y3523" s="124" t="str">
        <f>IFERROR(__xludf.DUMMYFUNCTION("""COMPUTED_VALUE"""),"Delhi")</f>
        <v>Delhi</v>
      </c>
      <c r="Z3523" s="124">
        <f>IFERROR(__xludf.DUMMYFUNCTION("""COMPUTED_VALUE"""),1.0)</f>
        <v>1</v>
      </c>
      <c r="AA3523" s="124" t="str">
        <f>IFERROR(__xludf.DUMMYFUNCTION("""COMPUTED_VALUE"""),"Not Interested")</f>
        <v>Not Interested</v>
      </c>
      <c r="AB3523" s="124" t="str">
        <f>IFERROR(__xludf.DUMMYFUNCTION("""COMPUTED_VALUE"""),"Mentorship")</f>
        <v>Mentorship</v>
      </c>
    </row>
    <row r="3524">
      <c r="K3524" s="124"/>
      <c r="L3524" s="124"/>
      <c r="M3524" s="124"/>
      <c r="N3524" s="124"/>
      <c r="O3524" s="124"/>
      <c r="T3524" s="126">
        <f>IFERROR(__xludf.DUMMYFUNCTION("""COMPUTED_VALUE"""),46052.0)</f>
        <v>46052</v>
      </c>
      <c r="U3524" s="124" t="str">
        <f>IFERROR(__xludf.DUMMYFUNCTION("""COMPUTED_VALUE"""),"Event")</f>
        <v>Event</v>
      </c>
      <c r="V3524" s="124" t="str">
        <f>IFERROR(__xludf.DUMMYFUNCTION("""COMPUTED_VALUE"""),"Events")</f>
        <v>Events</v>
      </c>
      <c r="W3524" s="124" t="str">
        <f>IFERROR(__xludf.DUMMYFUNCTION("""COMPUTED_VALUE"""),"Delhi")</f>
        <v>Delhi</v>
      </c>
      <c r="X3524" s="124" t="str">
        <f>IFERROR(__xludf.DUMMYFUNCTION("""COMPUTED_VALUE"""),"DRCSEMINAR(CTC)")</f>
        <v>DRCSEMINAR(CTC)</v>
      </c>
      <c r="Y3524" s="124"/>
      <c r="Z3524" s="124">
        <f>IFERROR(__xludf.DUMMYFUNCTION("""COMPUTED_VALUE"""),1.0)</f>
        <v>1</v>
      </c>
      <c r="AA3524" s="124" t="str">
        <f>IFERROR(__xludf.DUMMYFUNCTION("""COMPUTED_VALUE"""),"Engaged")</f>
        <v>Engaged</v>
      </c>
      <c r="AB3524" s="124"/>
    </row>
    <row r="3525">
      <c r="K3525" s="124"/>
      <c r="L3525" s="124"/>
      <c r="M3525" s="124"/>
      <c r="N3525" s="124"/>
      <c r="O3525" s="124"/>
      <c r="T3525" s="126">
        <f>IFERROR(__xludf.DUMMYFUNCTION("""COMPUTED_VALUE"""),46064.0)</f>
        <v>46064</v>
      </c>
      <c r="U3525" s="124" t="str">
        <f>IFERROR(__xludf.DUMMYFUNCTION("""COMPUTED_VALUE"""),"Event")</f>
        <v>Event</v>
      </c>
      <c r="V3525" s="124" t="str">
        <f>IFERROR(__xludf.DUMMYFUNCTION("""COMPUTED_VALUE"""),"Events")</f>
        <v>Events</v>
      </c>
      <c r="W3525" s="124" t="str">
        <f>IFERROR(__xludf.DUMMYFUNCTION("""COMPUTED_VALUE"""),"All Centre")</f>
        <v>All Centre</v>
      </c>
      <c r="X3525" s="124" t="str">
        <f>IFERROR(__xludf.DUMMYFUNCTION("""COMPUTED_VALUE"""),"Generic")</f>
        <v>Generic</v>
      </c>
      <c r="Y3525" s="124" t="str">
        <f>IFERROR(__xludf.DUMMYFUNCTION("""COMPUTED_VALUE"""),"Delhi")</f>
        <v>Delhi</v>
      </c>
      <c r="Z3525" s="124">
        <f>IFERROR(__xludf.DUMMYFUNCTION("""COMPUTED_VALUE"""),1.0)</f>
        <v>1</v>
      </c>
      <c r="AA3525" s="124" t="str">
        <f>IFERROR(__xludf.DUMMYFUNCTION("""COMPUTED_VALUE"""),"Engaged")</f>
        <v>Engaged</v>
      </c>
      <c r="AB3525" s="124" t="str">
        <f>IFERROR(__xludf.DUMMYFUNCTION("""COMPUTED_VALUE"""),"CSAT")</f>
        <v>CSAT</v>
      </c>
    </row>
    <row r="3526">
      <c r="K3526" s="124"/>
      <c r="L3526" s="124"/>
      <c r="M3526" s="124"/>
      <c r="N3526" s="124"/>
      <c r="O3526" s="124"/>
      <c r="T3526" s="126">
        <f>IFERROR(__xludf.DUMMYFUNCTION("""COMPUTED_VALUE"""),46105.0)</f>
        <v>46105</v>
      </c>
      <c r="U3526" s="124" t="str">
        <f>IFERROR(__xludf.DUMMYFUNCTION("""COMPUTED_VALUE"""),"Event")</f>
        <v>Event</v>
      </c>
      <c r="V3526" s="124" t="str">
        <f>IFERROR(__xludf.DUMMYFUNCTION("""COMPUTED_VALUE"""),"Events")</f>
        <v>Events</v>
      </c>
      <c r="W3526" s="124" t="str">
        <f>IFERROR(__xludf.DUMMYFUNCTION("""COMPUTED_VALUE"""),"All Centre")</f>
        <v>All Centre</v>
      </c>
      <c r="X3526" s="124" t="str">
        <f>IFERROR(__xludf.DUMMYFUNCTION("""COMPUTED_VALUE"""),"Generic")</f>
        <v>Generic</v>
      </c>
      <c r="Y3526" s="124" t="str">
        <f>IFERROR(__xludf.DUMMYFUNCTION("""COMPUTED_VALUE"""),"Prayagraj")</f>
        <v>Prayagraj</v>
      </c>
      <c r="Z3526" s="124">
        <f>IFERROR(__xludf.DUMMYFUNCTION("""COMPUTED_VALUE"""),1.0)</f>
        <v>1</v>
      </c>
      <c r="AA3526" s="124" t="str">
        <f>IFERROR(__xludf.DUMMYFUNCTION("""COMPUTED_VALUE"""),"Cold")</f>
        <v>Cold</v>
      </c>
      <c r="AB3526" s="124" t="str">
        <f>IFERROR(__xludf.DUMMYFUNCTION("""COMPUTED_VALUE"""),"GS Foundation")</f>
        <v>GS Foundation</v>
      </c>
    </row>
    <row r="3527">
      <c r="K3527" s="124"/>
      <c r="L3527" s="124"/>
      <c r="M3527" s="124"/>
      <c r="N3527" s="124"/>
      <c r="O3527" s="124"/>
      <c r="T3527" s="129">
        <f>IFERROR(__xludf.DUMMYFUNCTION("""COMPUTED_VALUE"""),46058.0)</f>
        <v>46058</v>
      </c>
      <c r="U3527" s="124" t="str">
        <f>IFERROR(__xludf.DUMMYFUNCTION("""COMPUTED_VALUE"""),"Event")</f>
        <v>Event</v>
      </c>
      <c r="V3527" s="124" t="str">
        <f>IFERROR(__xludf.DUMMYFUNCTION("""COMPUTED_VALUE"""),"Events")</f>
        <v>Events</v>
      </c>
      <c r="W3527" s="124" t="str">
        <f>IFERROR(__xludf.DUMMYFUNCTION("""COMPUTED_VALUE"""),"Delhi")</f>
        <v>Delhi</v>
      </c>
      <c r="X3527" s="124" t="str">
        <f>IFERROR(__xludf.DUMMYFUNCTION("""COMPUTED_VALUE"""),"DRCSEMINAR(CTC)")</f>
        <v>DRCSEMINAR(CTC)</v>
      </c>
      <c r="Y3527" s="124"/>
      <c r="Z3527" s="124">
        <f>IFERROR(__xludf.DUMMYFUNCTION("""COMPUTED_VALUE"""),2.0)</f>
        <v>2</v>
      </c>
      <c r="AA3527" s="124" t="str">
        <f>IFERROR(__xludf.DUMMYFUNCTION("""COMPUTED_VALUE"""),"Engaged")</f>
        <v>Engaged</v>
      </c>
      <c r="AB3527" s="124"/>
    </row>
    <row r="3528">
      <c r="K3528" s="124"/>
      <c r="L3528" s="124"/>
      <c r="M3528" s="124"/>
      <c r="N3528" s="124"/>
      <c r="O3528" s="124"/>
      <c r="T3528" s="129">
        <f>IFERROR(__xludf.DUMMYFUNCTION("""COMPUTED_VALUE"""),46058.0)</f>
        <v>46058</v>
      </c>
      <c r="U3528" s="124" t="str">
        <f>IFERROR(__xludf.DUMMYFUNCTION("""COMPUTED_VALUE"""),"Event")</f>
        <v>Event</v>
      </c>
      <c r="V3528" s="124" t="str">
        <f>IFERROR(__xludf.DUMMYFUNCTION("""COMPUTED_VALUE"""),"Events")</f>
        <v>Events</v>
      </c>
      <c r="W3528" s="124" t="str">
        <f>IFERROR(__xludf.DUMMYFUNCTION("""COMPUTED_VALUE"""),"All Centre")</f>
        <v>All Centre</v>
      </c>
      <c r="X3528" s="124" t="str">
        <f>IFERROR(__xludf.DUMMYFUNCTION("""COMPUTED_VALUE"""),"Generic")</f>
        <v>Generic</v>
      </c>
      <c r="Y3528" s="124" t="str">
        <f>IFERROR(__xludf.DUMMYFUNCTION("""COMPUTED_VALUE"""),"Delhi")</f>
        <v>Delhi</v>
      </c>
      <c r="Z3528" s="124">
        <f>IFERROR(__xludf.DUMMYFUNCTION("""COMPUTED_VALUE"""),1.0)</f>
        <v>1</v>
      </c>
      <c r="AA3528" s="124" t="str">
        <f>IFERROR(__xludf.DUMMYFUNCTION("""COMPUTED_VALUE"""),"Cold")</f>
        <v>Cold</v>
      </c>
      <c r="AB3528" s="124" t="str">
        <f>IFERROR(__xludf.DUMMYFUNCTION("""COMPUTED_VALUE"""),"State PCS")</f>
        <v>State PCS</v>
      </c>
    </row>
    <row r="3529">
      <c r="K3529" s="124"/>
      <c r="L3529" s="124"/>
      <c r="M3529" s="124"/>
      <c r="N3529" s="124"/>
      <c r="O3529" s="124"/>
      <c r="T3529" s="126">
        <f>IFERROR(__xludf.DUMMYFUNCTION("""COMPUTED_VALUE"""),46101.0)</f>
        <v>46101</v>
      </c>
      <c r="U3529" s="124" t="str">
        <f>IFERROR(__xludf.DUMMYFUNCTION("""COMPUTED_VALUE"""),"Event")</f>
        <v>Event</v>
      </c>
      <c r="V3529" s="124" t="str">
        <f>IFERROR(__xludf.DUMMYFUNCTION("""COMPUTED_VALUE"""),"Events")</f>
        <v>Events</v>
      </c>
      <c r="W3529" s="124" t="str">
        <f>IFERROR(__xludf.DUMMYFUNCTION("""COMPUTED_VALUE"""),"All Centre")</f>
        <v>All Centre</v>
      </c>
      <c r="X3529" s="124" t="str">
        <f>IFERROR(__xludf.DUMMYFUNCTION("""COMPUTED_VALUE"""),"Generic")</f>
        <v>Generic</v>
      </c>
      <c r="Y3529" s="124" t="str">
        <f>IFERROR(__xludf.DUMMYFUNCTION("""COMPUTED_VALUE"""),"Delhi")</f>
        <v>Delhi</v>
      </c>
      <c r="Z3529" s="124">
        <f>IFERROR(__xludf.DUMMYFUNCTION("""COMPUTED_VALUE"""),1.0)</f>
        <v>1</v>
      </c>
      <c r="AA3529" s="124" t="str">
        <f>IFERROR(__xludf.DUMMYFUNCTION("""COMPUTED_VALUE"""),"Warm")</f>
        <v>Warm</v>
      </c>
      <c r="AB3529" s="124" t="str">
        <f>IFERROR(__xludf.DUMMYFUNCTION("""COMPUTED_VALUE"""),"GS Foundation")</f>
        <v>GS Foundation</v>
      </c>
    </row>
    <row r="3530">
      <c r="K3530" s="124"/>
      <c r="L3530" s="124"/>
      <c r="M3530" s="124"/>
      <c r="N3530" s="124"/>
      <c r="O3530" s="124"/>
      <c r="T3530" s="126">
        <f>IFERROR(__xludf.DUMMYFUNCTION("""COMPUTED_VALUE"""),46065.0)</f>
        <v>46065</v>
      </c>
      <c r="U3530" s="124" t="str">
        <f>IFERROR(__xludf.DUMMYFUNCTION("""COMPUTED_VALUE"""),"Event")</f>
        <v>Event</v>
      </c>
      <c r="V3530" s="124" t="str">
        <f>IFERROR(__xludf.DUMMYFUNCTION("""COMPUTED_VALUE"""),"Events")</f>
        <v>Events</v>
      </c>
      <c r="W3530" s="124" t="str">
        <f>IFERROR(__xludf.DUMMYFUNCTION("""COMPUTED_VALUE"""),"All Centre")</f>
        <v>All Centre</v>
      </c>
      <c r="X3530" s="124" t="str">
        <f>IFERROR(__xludf.DUMMYFUNCTION("""COMPUTED_VALUE"""),"Generic")</f>
        <v>Generic</v>
      </c>
      <c r="Y3530" s="124" t="str">
        <f>IFERROR(__xludf.DUMMYFUNCTION("""COMPUTED_VALUE"""),"Lucknow")</f>
        <v>Lucknow</v>
      </c>
      <c r="Z3530" s="124">
        <f>IFERROR(__xludf.DUMMYFUNCTION("""COMPUTED_VALUE"""),1.0)</f>
        <v>1</v>
      </c>
      <c r="AA3530" s="124" t="str">
        <f>IFERROR(__xludf.DUMMYFUNCTION("""COMPUTED_VALUE"""),"Not Interested")</f>
        <v>Not Interested</v>
      </c>
      <c r="AB3530" s="124" t="str">
        <f>IFERROR(__xludf.DUMMYFUNCTION("""COMPUTED_VALUE"""),"GS Advanced")</f>
        <v>GS Advanced</v>
      </c>
    </row>
    <row r="3531">
      <c r="K3531" s="124"/>
      <c r="L3531" s="124"/>
      <c r="M3531" s="124"/>
      <c r="N3531" s="124"/>
      <c r="O3531" s="124"/>
      <c r="T3531" s="126">
        <f>IFERROR(__xludf.DUMMYFUNCTION("""COMPUTED_VALUE"""),46063.0)</f>
        <v>46063</v>
      </c>
      <c r="U3531" s="124" t="str">
        <f>IFERROR(__xludf.DUMMYFUNCTION("""COMPUTED_VALUE"""),"Event")</f>
        <v>Event</v>
      </c>
      <c r="V3531" s="124" t="str">
        <f>IFERROR(__xludf.DUMMYFUNCTION("""COMPUTED_VALUE"""),"Events")</f>
        <v>Events</v>
      </c>
      <c r="W3531" s="124" t="str">
        <f>IFERROR(__xludf.DUMMYFUNCTION("""COMPUTED_VALUE"""),"All Centre")</f>
        <v>All Centre</v>
      </c>
      <c r="X3531" s="124" t="str">
        <f>IFERROR(__xludf.DUMMYFUNCTION("""COMPUTED_VALUE"""),"Generic")</f>
        <v>Generic</v>
      </c>
      <c r="Y3531" s="124" t="str">
        <f>IFERROR(__xludf.DUMMYFUNCTION("""COMPUTED_VALUE"""),"Delhi")</f>
        <v>Delhi</v>
      </c>
      <c r="Z3531" s="124">
        <f>IFERROR(__xludf.DUMMYFUNCTION("""COMPUTED_VALUE"""),1.0)</f>
        <v>1</v>
      </c>
      <c r="AA3531" s="124" t="str">
        <f>IFERROR(__xludf.DUMMYFUNCTION("""COMPUTED_VALUE"""),"Not Interested")</f>
        <v>Not Interested</v>
      </c>
      <c r="AB3531" s="124" t="str">
        <f>IFERROR(__xludf.DUMMYFUNCTION("""COMPUTED_VALUE"""),"CSAT")</f>
        <v>CSAT</v>
      </c>
    </row>
    <row r="3532">
      <c r="K3532" s="124"/>
      <c r="L3532" s="124"/>
      <c r="M3532" s="124"/>
      <c r="N3532" s="124"/>
      <c r="O3532" s="124"/>
      <c r="T3532" s="126">
        <f>IFERROR(__xludf.DUMMYFUNCTION("""COMPUTED_VALUE"""),46078.0)</f>
        <v>46078</v>
      </c>
      <c r="U3532" s="124" t="str">
        <f>IFERROR(__xludf.DUMMYFUNCTION("""COMPUTED_VALUE"""),"Event")</f>
        <v>Event</v>
      </c>
      <c r="V3532" s="124" t="str">
        <f>IFERROR(__xludf.DUMMYFUNCTION("""COMPUTED_VALUE"""),"Events")</f>
        <v>Events</v>
      </c>
      <c r="W3532" s="124" t="str">
        <f>IFERROR(__xludf.DUMMYFUNCTION("""COMPUTED_VALUE"""),"All Centre")</f>
        <v>All Centre</v>
      </c>
      <c r="X3532" s="124" t="str">
        <f>IFERROR(__xludf.DUMMYFUNCTION("""COMPUTED_VALUE"""),"Generic")</f>
        <v>Generic</v>
      </c>
      <c r="Y3532" s="124" t="str">
        <f>IFERROR(__xludf.DUMMYFUNCTION("""COMPUTED_VALUE"""),"Delhi")</f>
        <v>Delhi</v>
      </c>
      <c r="Z3532" s="124">
        <f>IFERROR(__xludf.DUMMYFUNCTION("""COMPUTED_VALUE"""),1.0)</f>
        <v>1</v>
      </c>
      <c r="AA3532" s="124" t="str">
        <f>IFERROR(__xludf.DUMMYFUNCTION("""COMPUTED_VALUE"""),"Cold")</f>
        <v>Cold</v>
      </c>
      <c r="AB3532" s="124" t="str">
        <f>IFERROR(__xludf.DUMMYFUNCTION("""COMPUTED_VALUE"""),"IGP UPPSC")</f>
        <v>IGP UPPSC</v>
      </c>
    </row>
    <row r="3533">
      <c r="K3533" s="124"/>
      <c r="L3533" s="124"/>
      <c r="M3533" s="124"/>
      <c r="N3533" s="124"/>
      <c r="O3533" s="124"/>
      <c r="T3533" s="126">
        <f>IFERROR(__xludf.DUMMYFUNCTION("""COMPUTED_VALUE"""),46098.0)</f>
        <v>46098</v>
      </c>
      <c r="U3533" s="124" t="str">
        <f>IFERROR(__xludf.DUMMYFUNCTION("""COMPUTED_VALUE"""),"Event")</f>
        <v>Event</v>
      </c>
      <c r="V3533" s="124" t="str">
        <f>IFERROR(__xludf.DUMMYFUNCTION("""COMPUTED_VALUE"""),"Events")</f>
        <v>Events</v>
      </c>
      <c r="W3533" s="124" t="str">
        <f>IFERROR(__xludf.DUMMYFUNCTION("""COMPUTED_VALUE"""),"All Centre")</f>
        <v>All Centre</v>
      </c>
      <c r="X3533" s="124" t="str">
        <f>IFERROR(__xludf.DUMMYFUNCTION("""COMPUTED_VALUE"""),"Generic")</f>
        <v>Generic</v>
      </c>
      <c r="Y3533" s="124" t="str">
        <f>IFERROR(__xludf.DUMMYFUNCTION("""COMPUTED_VALUE"""),"Delhi")</f>
        <v>Delhi</v>
      </c>
      <c r="Z3533" s="124">
        <f>IFERROR(__xludf.DUMMYFUNCTION("""COMPUTED_VALUE"""),1.0)</f>
        <v>1</v>
      </c>
      <c r="AA3533" s="124" t="str">
        <f>IFERROR(__xludf.DUMMYFUNCTION("""COMPUTED_VALUE"""),"Fake Lead")</f>
        <v>Fake Lead</v>
      </c>
      <c r="AB3533" s="124" t="str">
        <f>IFERROR(__xludf.DUMMYFUNCTION("""COMPUTED_VALUE"""),"GS Foundation")</f>
        <v>GS Foundation</v>
      </c>
    </row>
    <row r="3534">
      <c r="K3534" s="124"/>
      <c r="L3534" s="124"/>
      <c r="M3534" s="124"/>
      <c r="N3534" s="124"/>
      <c r="O3534" s="124"/>
      <c r="T3534" s="126">
        <f>IFERROR(__xludf.DUMMYFUNCTION("""COMPUTED_VALUE"""),46043.0)</f>
        <v>46043</v>
      </c>
      <c r="U3534" s="124" t="str">
        <f>IFERROR(__xludf.DUMMYFUNCTION("""COMPUTED_VALUE"""),"Event")</f>
        <v>Event</v>
      </c>
      <c r="V3534" s="124" t="str">
        <f>IFERROR(__xludf.DUMMYFUNCTION("""COMPUTED_VALUE"""),"Events")</f>
        <v>Events</v>
      </c>
      <c r="W3534" s="124" t="str">
        <f>IFERROR(__xludf.DUMMYFUNCTION("""COMPUTED_VALUE"""),"Delhi")</f>
        <v>Delhi</v>
      </c>
      <c r="X3534" s="124" t="str">
        <f>IFERROR(__xludf.DUMMYFUNCTION("""COMPUTED_VALUE"""),"DRCSEMINAR(CTC)")</f>
        <v>DRCSEMINAR(CTC)</v>
      </c>
      <c r="Y3534" s="124" t="str">
        <f>IFERROR(__xludf.DUMMYFUNCTION("""COMPUTED_VALUE"""),"Delhi")</f>
        <v>Delhi</v>
      </c>
      <c r="Z3534" s="124">
        <f>IFERROR(__xludf.DUMMYFUNCTION("""COMPUTED_VALUE"""),1.0)</f>
        <v>1</v>
      </c>
      <c r="AA3534" s="124" t="str">
        <f>IFERROR(__xludf.DUMMYFUNCTION("""COMPUTED_VALUE"""),"Cold")</f>
        <v>Cold</v>
      </c>
      <c r="AB3534" s="124" t="str">
        <f>IFERROR(__xludf.DUMMYFUNCTION("""COMPUTED_VALUE"""),"GS Foundation")</f>
        <v>GS Foundation</v>
      </c>
    </row>
    <row r="3535">
      <c r="K3535" s="124"/>
      <c r="L3535" s="124"/>
      <c r="M3535" s="124"/>
      <c r="N3535" s="124"/>
      <c r="O3535" s="124"/>
      <c r="T3535" s="126">
        <f>IFERROR(__xludf.DUMMYFUNCTION("""COMPUTED_VALUE"""),46078.0)</f>
        <v>46078</v>
      </c>
      <c r="U3535" s="124" t="str">
        <f>IFERROR(__xludf.DUMMYFUNCTION("""COMPUTED_VALUE"""),"Event")</f>
        <v>Event</v>
      </c>
      <c r="V3535" s="124" t="str">
        <f>IFERROR(__xludf.DUMMYFUNCTION("""COMPUTED_VALUE"""),"Events")</f>
        <v>Events</v>
      </c>
      <c r="W3535" s="124" t="str">
        <f>IFERROR(__xludf.DUMMYFUNCTION("""COMPUTED_VALUE"""),"All Centre")</f>
        <v>All Centre</v>
      </c>
      <c r="X3535" s="124" t="str">
        <f>IFERROR(__xludf.DUMMYFUNCTION("""COMPUTED_VALUE"""),"Generic")</f>
        <v>Generic</v>
      </c>
      <c r="Y3535" s="124" t="str">
        <f>IFERROR(__xludf.DUMMYFUNCTION("""COMPUTED_VALUE"""),"Delhi")</f>
        <v>Delhi</v>
      </c>
      <c r="Z3535" s="124">
        <f>IFERROR(__xludf.DUMMYFUNCTION("""COMPUTED_VALUE"""),3.0)</f>
        <v>3</v>
      </c>
      <c r="AA3535" s="124" t="str">
        <f>IFERROR(__xludf.DUMMYFUNCTION("""COMPUTED_VALUE"""),"Cold")</f>
        <v>Cold</v>
      </c>
      <c r="AB3535" s="124" t="str">
        <f>IFERROR(__xludf.DUMMYFUNCTION("""COMPUTED_VALUE"""),"Optionals")</f>
        <v>Optionals</v>
      </c>
    </row>
    <row r="3536">
      <c r="K3536" s="124"/>
      <c r="L3536" s="124"/>
      <c r="M3536" s="124"/>
      <c r="N3536" s="124"/>
      <c r="O3536" s="124"/>
      <c r="T3536" s="126">
        <f>IFERROR(__xludf.DUMMYFUNCTION("""COMPUTED_VALUE"""),46050.0)</f>
        <v>46050</v>
      </c>
      <c r="U3536" s="124" t="str">
        <f>IFERROR(__xludf.DUMMYFUNCTION("""COMPUTED_VALUE"""),"Event")</f>
        <v>Event</v>
      </c>
      <c r="V3536" s="124" t="str">
        <f>IFERROR(__xludf.DUMMYFUNCTION("""COMPUTED_VALUE"""),"Events")</f>
        <v>Events</v>
      </c>
      <c r="W3536" s="124" t="str">
        <f>IFERROR(__xludf.DUMMYFUNCTION("""COMPUTED_VALUE"""),"Delhi")</f>
        <v>Delhi</v>
      </c>
      <c r="X3536" s="124" t="str">
        <f>IFERROR(__xludf.DUMMYFUNCTION("""COMPUTED_VALUE"""),"DRCSEMINAR(CTC)")</f>
        <v>DRCSEMINAR(CTC)</v>
      </c>
      <c r="Y3536" s="124" t="str">
        <f>IFERROR(__xludf.DUMMYFUNCTION("""COMPUTED_VALUE"""),"Delhi")</f>
        <v>Delhi</v>
      </c>
      <c r="Z3536" s="124">
        <f>IFERROR(__xludf.DUMMYFUNCTION("""COMPUTED_VALUE"""),1.0)</f>
        <v>1</v>
      </c>
      <c r="AA3536" s="124" t="str">
        <f>IFERROR(__xludf.DUMMYFUNCTION("""COMPUTED_VALUE"""),"Fake Lead")</f>
        <v>Fake Lead</v>
      </c>
      <c r="AB3536" s="124"/>
    </row>
    <row r="3537">
      <c r="K3537" s="124"/>
      <c r="L3537" s="124"/>
      <c r="M3537" s="124"/>
      <c r="N3537" s="124"/>
      <c r="O3537" s="124"/>
      <c r="T3537" s="129">
        <f>IFERROR(__xludf.DUMMYFUNCTION("""COMPUTED_VALUE"""),46057.0)</f>
        <v>46057</v>
      </c>
      <c r="U3537" s="124" t="str">
        <f>IFERROR(__xludf.DUMMYFUNCTION("""COMPUTED_VALUE"""),"Event")</f>
        <v>Event</v>
      </c>
      <c r="V3537" s="124" t="str">
        <f>IFERROR(__xludf.DUMMYFUNCTION("""COMPUTED_VALUE"""),"Events")</f>
        <v>Events</v>
      </c>
      <c r="W3537" s="124" t="str">
        <f>IFERROR(__xludf.DUMMYFUNCTION("""COMPUTED_VALUE"""),"All Centre")</f>
        <v>All Centre</v>
      </c>
      <c r="X3537" s="124" t="str">
        <f>IFERROR(__xludf.DUMMYFUNCTION("""COMPUTED_VALUE"""),"Generic")</f>
        <v>Generic</v>
      </c>
      <c r="Y3537" s="124" t="str">
        <f>IFERROR(__xludf.DUMMYFUNCTION("""COMPUTED_VALUE"""),"Delhi")</f>
        <v>Delhi</v>
      </c>
      <c r="Z3537" s="124">
        <f>IFERROR(__xludf.DUMMYFUNCTION("""COMPUTED_VALUE"""),1.0)</f>
        <v>1</v>
      </c>
      <c r="AA3537" s="124" t="str">
        <f>IFERROR(__xludf.DUMMYFUNCTION("""COMPUTED_VALUE"""),"Fake Lead")</f>
        <v>Fake Lead</v>
      </c>
      <c r="AB3537" s="124" t="str">
        <f>IFERROR(__xludf.DUMMYFUNCTION("""COMPUTED_VALUE"""),"Optionals")</f>
        <v>Optionals</v>
      </c>
    </row>
    <row r="3538">
      <c r="K3538" s="124"/>
      <c r="L3538" s="124"/>
      <c r="M3538" s="124"/>
      <c r="N3538" s="124"/>
      <c r="O3538" s="124"/>
      <c r="T3538" s="126">
        <f>IFERROR(__xludf.DUMMYFUNCTION("""COMPUTED_VALUE"""),46051.0)</f>
        <v>46051</v>
      </c>
      <c r="U3538" s="124" t="str">
        <f>IFERROR(__xludf.DUMMYFUNCTION("""COMPUTED_VALUE"""),"Event")</f>
        <v>Event</v>
      </c>
      <c r="V3538" s="124" t="str">
        <f>IFERROR(__xludf.DUMMYFUNCTION("""COMPUTED_VALUE"""),"Events")</f>
        <v>Events</v>
      </c>
      <c r="W3538" s="124" t="str">
        <f>IFERROR(__xludf.DUMMYFUNCTION("""COMPUTED_VALUE"""),"Delhi")</f>
        <v>Delhi</v>
      </c>
      <c r="X3538" s="124" t="str">
        <f>IFERROR(__xludf.DUMMYFUNCTION("""COMPUTED_VALUE"""),"DRCSEMINAR(CTC)")</f>
        <v>DRCSEMINAR(CTC)</v>
      </c>
      <c r="Y3538" s="124"/>
      <c r="Z3538" s="124">
        <f>IFERROR(__xludf.DUMMYFUNCTION("""COMPUTED_VALUE"""),1.0)</f>
        <v>1</v>
      </c>
      <c r="AA3538" s="124" t="str">
        <f>IFERROR(__xludf.DUMMYFUNCTION("""COMPUTED_VALUE"""),"Future Prospects")</f>
        <v>Future Prospects</v>
      </c>
      <c r="AB3538" s="124"/>
    </row>
    <row r="3539">
      <c r="K3539" s="124"/>
      <c r="L3539" s="124"/>
      <c r="M3539" s="124"/>
      <c r="N3539" s="124"/>
      <c r="O3539" s="124"/>
      <c r="T3539" s="129">
        <f>IFERROR(__xludf.DUMMYFUNCTION("""COMPUTED_VALUE"""),46058.0)</f>
        <v>46058</v>
      </c>
      <c r="U3539" s="124" t="str">
        <f>IFERROR(__xludf.DUMMYFUNCTION("""COMPUTED_VALUE"""),"Event")</f>
        <v>Event</v>
      </c>
      <c r="V3539" s="124" t="str">
        <f>IFERROR(__xludf.DUMMYFUNCTION("""COMPUTED_VALUE"""),"Events")</f>
        <v>Events</v>
      </c>
      <c r="W3539" s="124" t="str">
        <f>IFERROR(__xludf.DUMMYFUNCTION("""COMPUTED_VALUE"""),"All Centre")</f>
        <v>All Centre</v>
      </c>
      <c r="X3539" s="124" t="str">
        <f>IFERROR(__xludf.DUMMYFUNCTION("""COMPUTED_VALUE"""),"Generic")</f>
        <v>Generic</v>
      </c>
      <c r="Y3539" s="124" t="str">
        <f>IFERROR(__xludf.DUMMYFUNCTION("""COMPUTED_VALUE"""),"Delhi")</f>
        <v>Delhi</v>
      </c>
      <c r="Z3539" s="124">
        <f>IFERROR(__xludf.DUMMYFUNCTION("""COMPUTED_VALUE"""),1.0)</f>
        <v>1</v>
      </c>
      <c r="AA3539" s="124" t="str">
        <f>IFERROR(__xludf.DUMMYFUNCTION("""COMPUTED_VALUE"""),"Cold")</f>
        <v>Cold</v>
      </c>
      <c r="AB3539" s="124" t="str">
        <f>IFERROR(__xludf.DUMMYFUNCTION("""COMPUTED_VALUE"""),"Mentorship")</f>
        <v>Mentorship</v>
      </c>
    </row>
    <row r="3540">
      <c r="K3540" s="124"/>
      <c r="L3540" s="124"/>
      <c r="M3540" s="124"/>
      <c r="N3540" s="124"/>
      <c r="O3540" s="124"/>
      <c r="T3540" s="126">
        <f>IFERROR(__xludf.DUMMYFUNCTION("""COMPUTED_VALUE"""),46046.0)</f>
        <v>46046</v>
      </c>
      <c r="U3540" s="124" t="str">
        <f>IFERROR(__xludf.DUMMYFUNCTION("""COMPUTED_VALUE"""),"Walk-Ins")</f>
        <v>Walk-Ins</v>
      </c>
      <c r="V3540" s="124" t="str">
        <f>IFERROR(__xludf.DUMMYFUNCTION("""COMPUTED_VALUE"""),"Walk-In")</f>
        <v>Walk-In</v>
      </c>
      <c r="W3540" s="124" t="str">
        <f>IFERROR(__xludf.DUMMYFUNCTION("""COMPUTED_VALUE"""),"Delhi")</f>
        <v>Delhi</v>
      </c>
      <c r="X3540" s="124" t="str">
        <f>IFERROR(__xludf.DUMMYFUNCTION("""COMPUTED_VALUE"""),"Netri")</f>
        <v>Netri</v>
      </c>
      <c r="Y3540" s="124"/>
      <c r="Z3540" s="124">
        <f>IFERROR(__xludf.DUMMYFUNCTION("""COMPUTED_VALUE"""),1.0)</f>
        <v>1</v>
      </c>
      <c r="AA3540" s="124" t="str">
        <f>IFERROR(__xludf.DUMMYFUNCTION("""COMPUTED_VALUE"""),"Cold")</f>
        <v>Cold</v>
      </c>
      <c r="AB3540" s="124" t="str">
        <f>IFERROR(__xludf.DUMMYFUNCTION("""COMPUTED_VALUE"""),"GS Foundation")</f>
        <v>GS Foundation</v>
      </c>
    </row>
    <row r="3541">
      <c r="K3541" s="124"/>
      <c r="L3541" s="124"/>
      <c r="M3541" s="124"/>
      <c r="N3541" s="124"/>
      <c r="O3541" s="124"/>
      <c r="T3541" s="126">
        <f>IFERROR(__xludf.DUMMYFUNCTION("""COMPUTED_VALUE"""),46103.0)</f>
        <v>46103</v>
      </c>
      <c r="U3541" s="124" t="str">
        <f>IFERROR(__xludf.DUMMYFUNCTION("""COMPUTED_VALUE"""),"Walk-Ins")</f>
        <v>Walk-Ins</v>
      </c>
      <c r="V3541" s="124" t="str">
        <f>IFERROR(__xludf.DUMMYFUNCTION("""COMPUTED_VALUE"""),"Walk-In")</f>
        <v>Walk-In</v>
      </c>
      <c r="W3541" s="124" t="str">
        <f>IFERROR(__xludf.DUMMYFUNCTION("""COMPUTED_VALUE"""),"Delhi")</f>
        <v>Delhi</v>
      </c>
      <c r="X3541" s="124" t="str">
        <f>IFERROR(__xludf.DUMMYFUNCTION("""COMPUTED_VALUE"""),"Netri")</f>
        <v>Netri</v>
      </c>
      <c r="Y3541" s="124" t="str">
        <f>IFERROR(__xludf.DUMMYFUNCTION("""COMPUTED_VALUE"""),"Delhi")</f>
        <v>Delhi</v>
      </c>
      <c r="Z3541" s="124">
        <f>IFERROR(__xludf.DUMMYFUNCTION("""COMPUTED_VALUE"""),1.0)</f>
        <v>1</v>
      </c>
      <c r="AA3541" s="124" t="str">
        <f>IFERROR(__xludf.DUMMYFUNCTION("""COMPUTED_VALUE"""),"Not Interested")</f>
        <v>Not Interested</v>
      </c>
      <c r="AB3541" s="124" t="str">
        <f>IFERROR(__xludf.DUMMYFUNCTION("""COMPUTED_VALUE"""),"GS Foundation")</f>
        <v>GS Foundation</v>
      </c>
    </row>
    <row r="3542">
      <c r="K3542" s="124"/>
      <c r="L3542" s="124"/>
      <c r="M3542" s="124"/>
      <c r="N3542" s="124"/>
      <c r="O3542" s="124"/>
      <c r="T3542" s="126">
        <f>IFERROR(__xludf.DUMMYFUNCTION("""COMPUTED_VALUE"""),46046.0)</f>
        <v>46046</v>
      </c>
      <c r="U3542" s="124" t="str">
        <f>IFERROR(__xludf.DUMMYFUNCTION("""COMPUTED_VALUE"""),"Paid Ads")</f>
        <v>Paid Ads</v>
      </c>
      <c r="V3542" s="124" t="str">
        <f>IFERROR(__xludf.DUMMYFUNCTION("""COMPUTED_VALUE"""),"Facebook")</f>
        <v>Facebook</v>
      </c>
      <c r="W3542" s="124" t="str">
        <f>IFERROR(__xludf.DUMMYFUNCTION("""COMPUTED_VALUE"""),"LeadAd")</f>
        <v>LeadAd</v>
      </c>
      <c r="X3542" s="124" t="str">
        <f>IFERROR(__xludf.DUMMYFUNCTION("""COMPUTED_VALUE"""),"Upsc_Offline_26_Prygrj_FB_Creatives")</f>
        <v>Upsc_Offline_26_Prygrj_FB_Creatives</v>
      </c>
      <c r="Y3542" s="124" t="str">
        <f>IFERROR(__xludf.DUMMYFUNCTION("""COMPUTED_VALUE"""),"Prayagraj")</f>
        <v>Prayagraj</v>
      </c>
      <c r="Z3542" s="124">
        <f>IFERROR(__xludf.DUMMYFUNCTION("""COMPUTED_VALUE"""),1.0)</f>
        <v>1</v>
      </c>
      <c r="AA3542" s="124" t="str">
        <f>IFERROR(__xludf.DUMMYFUNCTION("""COMPUTED_VALUE"""),"Cold")</f>
        <v>Cold</v>
      </c>
      <c r="AB3542" s="124" t="str">
        <f>IFERROR(__xludf.DUMMYFUNCTION("""COMPUTED_VALUE"""),"GS Foundation")</f>
        <v>GS Foundation</v>
      </c>
    </row>
    <row r="3543">
      <c r="K3543" s="124"/>
      <c r="L3543" s="124"/>
      <c r="M3543" s="124"/>
      <c r="N3543" s="124"/>
      <c r="O3543" s="124"/>
      <c r="T3543" s="126">
        <f>IFERROR(__xludf.DUMMYFUNCTION("""COMPUTED_VALUE"""),46044.0)</f>
        <v>46044</v>
      </c>
      <c r="U3543" s="124" t="str">
        <f>IFERROR(__xludf.DUMMYFUNCTION("""COMPUTED_VALUE"""),"Walk-Ins")</f>
        <v>Walk-Ins</v>
      </c>
      <c r="V3543" s="124" t="str">
        <f>IFERROR(__xludf.DUMMYFUNCTION("""COMPUTED_VALUE"""),"Walk-In")</f>
        <v>Walk-In</v>
      </c>
      <c r="W3543" s="124" t="str">
        <f>IFERROR(__xludf.DUMMYFUNCTION("""COMPUTED_VALUE"""),"Delhi")</f>
        <v>Delhi</v>
      </c>
      <c r="X3543" s="124" t="str">
        <f>IFERROR(__xludf.DUMMYFUNCTION("""COMPUTED_VALUE"""),"Netri")</f>
        <v>Netri</v>
      </c>
      <c r="Y3543" s="124" t="str">
        <f>IFERROR(__xludf.DUMMYFUNCTION("""COMPUTED_VALUE"""),"Delhi")</f>
        <v>Delhi</v>
      </c>
      <c r="Z3543" s="124">
        <f>IFERROR(__xludf.DUMMYFUNCTION("""COMPUTED_VALUE"""),1.0)</f>
        <v>1</v>
      </c>
      <c r="AA3543" s="124" t="str">
        <f>IFERROR(__xludf.DUMMYFUNCTION("""COMPUTED_VALUE"""),"Cold")</f>
        <v>Cold</v>
      </c>
      <c r="AB3543" s="124" t="str">
        <f>IFERROR(__xludf.DUMMYFUNCTION("""COMPUTED_VALUE"""),"GS Foundation")</f>
        <v>GS Foundation</v>
      </c>
    </row>
    <row r="3544">
      <c r="K3544" s="124"/>
      <c r="L3544" s="124"/>
      <c r="M3544" s="124"/>
      <c r="N3544" s="124"/>
      <c r="O3544" s="124"/>
      <c r="T3544" s="126">
        <f>IFERROR(__xludf.DUMMYFUNCTION("""COMPUTED_VALUE"""),46072.0)</f>
        <v>46072</v>
      </c>
      <c r="U3544" s="124" t="str">
        <f>IFERROR(__xludf.DUMMYFUNCTION("""COMPUTED_VALUE"""),"Event")</f>
        <v>Event</v>
      </c>
      <c r="V3544" s="124" t="str">
        <f>IFERROR(__xludf.DUMMYFUNCTION("""COMPUTED_VALUE"""),"Other")</f>
        <v>Other</v>
      </c>
      <c r="W3544" s="124" t="str">
        <f>IFERROR(__xludf.DUMMYFUNCTION("""COMPUTED_VALUE"""),"New Delhi")</f>
        <v>New Delhi</v>
      </c>
      <c r="X3544" s="124" t="str">
        <f>IFERROR(__xludf.DUMMYFUNCTION("""COMPUTED_VALUE"""),"New Delhi")</f>
        <v>New Delhi</v>
      </c>
      <c r="Y3544" s="124" t="str">
        <f>IFERROR(__xludf.DUMMYFUNCTION("""COMPUTED_VALUE"""),"Delhi")</f>
        <v>Delhi</v>
      </c>
      <c r="Z3544" s="124">
        <f>IFERROR(__xludf.DUMMYFUNCTION("""COMPUTED_VALUE"""),1.0)</f>
        <v>1</v>
      </c>
      <c r="AA3544" s="124" t="str">
        <f>IFERROR(__xludf.DUMMYFUNCTION("""COMPUTED_VALUE"""),"Enrolled")</f>
        <v>Enrolled</v>
      </c>
      <c r="AB3544" s="124" t="str">
        <f>IFERROR(__xludf.DUMMYFUNCTION("""COMPUTED_VALUE"""),"Other")</f>
        <v>Other</v>
      </c>
    </row>
    <row r="3545">
      <c r="K3545" s="124"/>
      <c r="L3545" s="124"/>
      <c r="M3545" s="124"/>
      <c r="N3545" s="124"/>
      <c r="O3545" s="124"/>
      <c r="T3545" s="129">
        <f>IFERROR(__xludf.DUMMYFUNCTION("""COMPUTED_VALUE"""),46061.0)</f>
        <v>46061</v>
      </c>
      <c r="U3545" s="124" t="str">
        <f>IFERROR(__xludf.DUMMYFUNCTION("""COMPUTED_VALUE"""),"Walk-Ins")</f>
        <v>Walk-Ins</v>
      </c>
      <c r="V3545" s="124" t="str">
        <f>IFERROR(__xludf.DUMMYFUNCTION("""COMPUTED_VALUE"""),"Walk-In")</f>
        <v>Walk-In</v>
      </c>
      <c r="W3545" s="124" t="str">
        <f>IFERROR(__xludf.DUMMYFUNCTION("""COMPUTED_VALUE"""),"New Delhi")</f>
        <v>New Delhi</v>
      </c>
      <c r="X3545" s="124" t="str">
        <f>IFERROR(__xludf.DUMMYFUNCTION("""COMPUTED_VALUE"""),"New Delhi")</f>
        <v>New Delhi</v>
      </c>
      <c r="Y3545" s="124" t="str">
        <f>IFERROR(__xludf.DUMMYFUNCTION("""COMPUTED_VALUE"""),"Delhi")</f>
        <v>Delhi</v>
      </c>
      <c r="Z3545" s="124">
        <f>IFERROR(__xludf.DUMMYFUNCTION("""COMPUTED_VALUE"""),1.0)</f>
        <v>1</v>
      </c>
      <c r="AA3545" s="124" t="str">
        <f>IFERROR(__xludf.DUMMYFUNCTION("""COMPUTED_VALUE"""),"Enrolled")</f>
        <v>Enrolled</v>
      </c>
      <c r="AB3545" s="124" t="str">
        <f>IFERROR(__xludf.DUMMYFUNCTION("""COMPUTED_VALUE"""),"GS Foundation")</f>
        <v>GS Foundation</v>
      </c>
    </row>
    <row r="3546">
      <c r="K3546" s="124"/>
      <c r="L3546" s="124"/>
      <c r="M3546" s="124"/>
      <c r="N3546" s="124"/>
      <c r="O3546" s="124"/>
      <c r="T3546" s="126">
        <f>IFERROR(__xludf.DUMMYFUNCTION("""COMPUTED_VALUE"""),46053.0)</f>
        <v>46053</v>
      </c>
      <c r="U3546" s="124" t="str">
        <f>IFERROR(__xludf.DUMMYFUNCTION("""COMPUTED_VALUE"""),"Walk-Ins")</f>
        <v>Walk-Ins</v>
      </c>
      <c r="V3546" s="124" t="str">
        <f>IFERROR(__xludf.DUMMYFUNCTION("""COMPUTED_VALUE"""),"Walk-In")</f>
        <v>Walk-In</v>
      </c>
      <c r="W3546" s="124" t="str">
        <f>IFERROR(__xludf.DUMMYFUNCTION("""COMPUTED_VALUE"""),"Delhi")</f>
        <v>Delhi</v>
      </c>
      <c r="X3546" s="124" t="str">
        <f>IFERROR(__xludf.DUMMYFUNCTION("""COMPUTED_VALUE"""),"Bijender")</f>
        <v>Bijender</v>
      </c>
      <c r="Y3546" s="124" t="str">
        <f>IFERROR(__xludf.DUMMYFUNCTION("""COMPUTED_VALUE"""),"Delhi")</f>
        <v>Delhi</v>
      </c>
      <c r="Z3546" s="124">
        <f>IFERROR(__xludf.DUMMYFUNCTION("""COMPUTED_VALUE"""),2.0)</f>
        <v>2</v>
      </c>
      <c r="AA3546" s="124" t="str">
        <f>IFERROR(__xludf.DUMMYFUNCTION("""COMPUTED_VALUE"""),"Fake Lead")</f>
        <v>Fake Lead</v>
      </c>
      <c r="AB3546" s="124" t="str">
        <f>IFERROR(__xludf.DUMMYFUNCTION("""COMPUTED_VALUE"""),"GS Foundation")</f>
        <v>GS Foundation</v>
      </c>
    </row>
    <row r="3547">
      <c r="K3547" s="124"/>
      <c r="L3547" s="124"/>
      <c r="M3547" s="124"/>
      <c r="N3547" s="124"/>
      <c r="O3547" s="124"/>
      <c r="T3547" s="126">
        <f>IFERROR(__xludf.DUMMYFUNCTION("""COMPUTED_VALUE"""),46111.0)</f>
        <v>46111</v>
      </c>
      <c r="U3547" s="124" t="str">
        <f>IFERROR(__xludf.DUMMYFUNCTION("""COMPUTED_VALUE"""),"Walk-Ins")</f>
        <v>Walk-Ins</v>
      </c>
      <c r="V3547" s="124" t="str">
        <f>IFERROR(__xludf.DUMMYFUNCTION("""COMPUTED_VALUE"""),"Walk-In")</f>
        <v>Walk-In</v>
      </c>
      <c r="W3547" s="124" t="str">
        <f>IFERROR(__xludf.DUMMYFUNCTION("""COMPUTED_VALUE"""),"Delhi")</f>
        <v>Delhi</v>
      </c>
      <c r="X3547" s="124" t="str">
        <f>IFERROR(__xludf.DUMMYFUNCTION("""COMPUTED_VALUE"""),"Aryan")</f>
        <v>Aryan</v>
      </c>
      <c r="Y3547" s="124" t="str">
        <f>IFERROR(__xludf.DUMMYFUNCTION("""COMPUTED_VALUE"""),"Delhi")</f>
        <v>Delhi</v>
      </c>
      <c r="Z3547" s="124">
        <f>IFERROR(__xludf.DUMMYFUNCTION("""COMPUTED_VALUE"""),1.0)</f>
        <v>1</v>
      </c>
      <c r="AA3547" s="124" t="str">
        <f>IFERROR(__xludf.DUMMYFUNCTION("""COMPUTED_VALUE"""),"Fake Lead")</f>
        <v>Fake Lead</v>
      </c>
      <c r="AB3547" s="124" t="str">
        <f>IFERROR(__xludf.DUMMYFUNCTION("""COMPUTED_VALUE"""),"Mentorship")</f>
        <v>Mentorship</v>
      </c>
    </row>
    <row r="3548">
      <c r="K3548" s="124"/>
      <c r="L3548" s="124"/>
      <c r="M3548" s="124"/>
      <c r="N3548" s="124"/>
      <c r="O3548" s="124"/>
      <c r="T3548" s="126">
        <f>IFERROR(__xludf.DUMMYFUNCTION("""COMPUTED_VALUE"""),46097.0)</f>
        <v>46097</v>
      </c>
      <c r="U3548" s="124" t="str">
        <f>IFERROR(__xludf.DUMMYFUNCTION("""COMPUTED_VALUE"""),"Event")</f>
        <v>Event</v>
      </c>
      <c r="V3548" s="124" t="str">
        <f>IFERROR(__xludf.DUMMYFUNCTION("""COMPUTED_VALUE"""),"events")</f>
        <v>events</v>
      </c>
      <c r="W3548" s="124" t="str">
        <f>IFERROR(__xludf.DUMMYFUNCTION("""COMPUTED_VALUE"""),"indore")</f>
        <v>indore</v>
      </c>
      <c r="X3548" s="124" t="str">
        <f>IFERROR(__xludf.DUMMYFUNCTION("""COMPUTED_VALUE"""),"seminar")</f>
        <v>seminar</v>
      </c>
      <c r="Y3548" s="124" t="str">
        <f>IFERROR(__xludf.DUMMYFUNCTION("""COMPUTED_VALUE"""),"Indore")</f>
        <v>Indore</v>
      </c>
      <c r="Z3548" s="124">
        <f>IFERROR(__xludf.DUMMYFUNCTION("""COMPUTED_VALUE"""),1.0)</f>
        <v>1</v>
      </c>
      <c r="AA3548" s="124" t="str">
        <f>IFERROR(__xludf.DUMMYFUNCTION("""COMPUTED_VALUE"""),"Warm")</f>
        <v>Warm</v>
      </c>
      <c r="AB3548" s="124"/>
    </row>
    <row r="3549">
      <c r="K3549" s="124"/>
      <c r="L3549" s="124"/>
      <c r="M3549" s="124"/>
      <c r="N3549" s="124"/>
      <c r="O3549" s="124"/>
      <c r="T3549" s="129">
        <f>IFERROR(__xludf.DUMMYFUNCTION("""COMPUTED_VALUE"""),46055.0)</f>
        <v>46055</v>
      </c>
      <c r="U3549" s="124" t="str">
        <f>IFERROR(__xludf.DUMMYFUNCTION("""COMPUTED_VALUE"""),"Walk-Ins")</f>
        <v>Walk-Ins</v>
      </c>
      <c r="V3549" s="124" t="str">
        <f>IFERROR(__xludf.DUMMYFUNCTION("""COMPUTED_VALUE"""),"Walk-In")</f>
        <v>Walk-In</v>
      </c>
      <c r="W3549" s="124" t="str">
        <f>IFERROR(__xludf.DUMMYFUNCTION("""COMPUTED_VALUE"""),"Patna")</f>
        <v>Patna</v>
      </c>
      <c r="X3549" s="124" t="str">
        <f>IFERROR(__xludf.DUMMYFUNCTION("""COMPUTED_VALUE"""),"Patna")</f>
        <v>Patna</v>
      </c>
      <c r="Y3549" s="124" t="str">
        <f>IFERROR(__xludf.DUMMYFUNCTION("""COMPUTED_VALUE"""),"Patna")</f>
        <v>Patna</v>
      </c>
      <c r="Z3549" s="124">
        <f>IFERROR(__xludf.DUMMYFUNCTION("""COMPUTED_VALUE"""),1.0)</f>
        <v>1</v>
      </c>
      <c r="AA3549" s="124" t="str">
        <f>IFERROR(__xludf.DUMMYFUNCTION("""COMPUTED_VALUE"""),"Not Interested")</f>
        <v>Not Interested</v>
      </c>
      <c r="AB3549" s="124" t="str">
        <f>IFERROR(__xludf.DUMMYFUNCTION("""COMPUTED_VALUE"""),"Mentorship")</f>
        <v>Mentorship</v>
      </c>
    </row>
    <row r="3550">
      <c r="K3550" s="124"/>
      <c r="L3550" s="124"/>
      <c r="M3550" s="124"/>
      <c r="N3550" s="124"/>
      <c r="O3550" s="124"/>
      <c r="T3550" s="129">
        <f>IFERROR(__xludf.DUMMYFUNCTION("""COMPUTED_VALUE"""),46055.0)</f>
        <v>46055</v>
      </c>
      <c r="U3550" s="124" t="str">
        <f>IFERROR(__xludf.DUMMYFUNCTION("""COMPUTED_VALUE"""),"Walk-Ins")</f>
        <v>Walk-Ins</v>
      </c>
      <c r="V3550" s="124" t="str">
        <f>IFERROR(__xludf.DUMMYFUNCTION("""COMPUTED_VALUE"""),"Walk-In")</f>
        <v>Walk-In</v>
      </c>
      <c r="W3550" s="124" t="str">
        <f>IFERROR(__xludf.DUMMYFUNCTION("""COMPUTED_VALUE"""),"Patna")</f>
        <v>Patna</v>
      </c>
      <c r="X3550" s="124" t="str">
        <f>IFERROR(__xludf.DUMMYFUNCTION("""COMPUTED_VALUE"""),"Patna")</f>
        <v>Patna</v>
      </c>
      <c r="Y3550" s="124" t="str">
        <f>IFERROR(__xludf.DUMMYFUNCTION("""COMPUTED_VALUE"""),"Patna")</f>
        <v>Patna</v>
      </c>
      <c r="Z3550" s="124">
        <f>IFERROR(__xludf.DUMMYFUNCTION("""COMPUTED_VALUE"""),1.0)</f>
        <v>1</v>
      </c>
      <c r="AA3550" s="124" t="str">
        <f>IFERROR(__xludf.DUMMYFUNCTION("""COMPUTED_VALUE"""),"Cold")</f>
        <v>Cold</v>
      </c>
      <c r="AB3550" s="124" t="str">
        <f>IFERROR(__xludf.DUMMYFUNCTION("""COMPUTED_VALUE"""),"State PCS")</f>
        <v>State PCS</v>
      </c>
    </row>
    <row r="3551">
      <c r="K3551" s="124"/>
      <c r="L3551" s="124"/>
      <c r="M3551" s="124"/>
      <c r="N3551" s="124"/>
      <c r="O3551" s="124"/>
      <c r="T3551" s="126">
        <f>IFERROR(__xludf.DUMMYFUNCTION("""COMPUTED_VALUE"""),46073.0)</f>
        <v>46073</v>
      </c>
      <c r="U3551" s="124" t="str">
        <f>IFERROR(__xludf.DUMMYFUNCTION("""COMPUTED_VALUE"""),"Walk-Ins")</f>
        <v>Walk-Ins</v>
      </c>
      <c r="V3551" s="124" t="str">
        <f>IFERROR(__xludf.DUMMYFUNCTION("""COMPUTED_VALUE"""),"Walk-In")</f>
        <v>Walk-In</v>
      </c>
      <c r="W3551" s="124" t="str">
        <f>IFERROR(__xludf.DUMMYFUNCTION("""COMPUTED_VALUE"""),"Patna")</f>
        <v>Patna</v>
      </c>
      <c r="X3551" s="124" t="str">
        <f>IFERROR(__xludf.DUMMYFUNCTION("""COMPUTED_VALUE"""),"Patna")</f>
        <v>Patna</v>
      </c>
      <c r="Y3551" s="124"/>
      <c r="Z3551" s="124">
        <f>IFERROR(__xludf.DUMMYFUNCTION("""COMPUTED_VALUE"""),1.0)</f>
        <v>1</v>
      </c>
      <c r="AA3551" s="124" t="str">
        <f>IFERROR(__xludf.DUMMYFUNCTION("""COMPUTED_VALUE"""),"Fake Lead")</f>
        <v>Fake Lead</v>
      </c>
      <c r="AB3551" s="124" t="str">
        <f>IFERROR(__xludf.DUMMYFUNCTION("""COMPUTED_VALUE"""),"State PCS")</f>
        <v>State PCS</v>
      </c>
    </row>
    <row r="3552">
      <c r="K3552" s="124"/>
      <c r="L3552" s="124"/>
      <c r="M3552" s="124"/>
      <c r="N3552" s="124"/>
      <c r="O3552" s="124"/>
      <c r="T3552" s="126">
        <f>IFERROR(__xludf.DUMMYFUNCTION("""COMPUTED_VALUE"""),46050.0)</f>
        <v>46050</v>
      </c>
      <c r="U3552" s="124" t="str">
        <f>IFERROR(__xludf.DUMMYFUNCTION("""COMPUTED_VALUE"""),"Paid Ads")</f>
        <v>Paid Ads</v>
      </c>
      <c r="V3552" s="124" t="str">
        <f>IFERROR(__xludf.DUMMYFUNCTION("""COMPUTED_VALUE"""),"google")</f>
        <v>google</v>
      </c>
      <c r="W3552" s="124" t="str">
        <f>IFERROR(__xludf.DUMMYFUNCTION("""COMPUTED_VALUE"""),"cpc")</f>
        <v>cpc</v>
      </c>
      <c r="X3552" s="124">
        <f>IFERROR(__xludf.DUMMYFUNCTION("""COMPUTED_VALUE"""),2.2758016291E10)</f>
        <v>22758016291</v>
      </c>
      <c r="Y3552" s="124" t="str">
        <f>IFERROR(__xludf.DUMMYFUNCTION("""COMPUTED_VALUE"""),"Patna")</f>
        <v>Patna</v>
      </c>
      <c r="Z3552" s="124">
        <f>IFERROR(__xludf.DUMMYFUNCTION("""COMPUTED_VALUE"""),1.0)</f>
        <v>1</v>
      </c>
      <c r="AA3552" s="124" t="str">
        <f>IFERROR(__xludf.DUMMYFUNCTION("""COMPUTED_VALUE"""),"Fake Lead")</f>
        <v>Fake Lead</v>
      </c>
      <c r="AB3552" s="124" t="str">
        <f>IFERROR(__xludf.DUMMYFUNCTION("""COMPUTED_VALUE"""),"SIM")</f>
        <v>SIM</v>
      </c>
    </row>
    <row r="3553">
      <c r="K3553" s="124"/>
      <c r="L3553" s="124"/>
      <c r="M3553" s="124"/>
      <c r="N3553" s="124"/>
      <c r="O3553" s="124"/>
      <c r="T3553" s="126">
        <f>IFERROR(__xludf.DUMMYFUNCTION("""COMPUTED_VALUE"""),46047.0)</f>
        <v>46047</v>
      </c>
      <c r="U3553" s="124" t="str">
        <f>IFERROR(__xludf.DUMMYFUNCTION("""COMPUTED_VALUE"""),"Paid Ads")</f>
        <v>Paid Ads</v>
      </c>
      <c r="V3553" s="124" t="str">
        <f>IFERROR(__xludf.DUMMYFUNCTION("""COMPUTED_VALUE"""),"google")</f>
        <v>google</v>
      </c>
      <c r="W3553" s="124" t="str">
        <f>IFERROR(__xludf.DUMMYFUNCTION("""COMPUTED_VALUE"""),"cpc")</f>
        <v>cpc</v>
      </c>
      <c r="X3553" s="124">
        <f>IFERROR(__xludf.DUMMYFUNCTION("""COMPUTED_VALUE"""),2.2758016291E10)</f>
        <v>22758016291</v>
      </c>
      <c r="Y3553" s="124" t="str">
        <f>IFERROR(__xludf.DUMMYFUNCTION("""COMPUTED_VALUE"""),"Lucknow")</f>
        <v>Lucknow</v>
      </c>
      <c r="Z3553" s="124">
        <f>IFERROR(__xludf.DUMMYFUNCTION("""COMPUTED_VALUE"""),1.0)</f>
        <v>1</v>
      </c>
      <c r="AA3553" s="124" t="str">
        <f>IFERROR(__xludf.DUMMYFUNCTION("""COMPUTED_VALUE"""),"Fake Lead")</f>
        <v>Fake Lead</v>
      </c>
      <c r="AB3553" s="124" t="str">
        <f>IFERROR(__xludf.DUMMYFUNCTION("""COMPUTED_VALUE"""),"SIM")</f>
        <v>SIM</v>
      </c>
    </row>
    <row r="3554">
      <c r="K3554" s="124"/>
      <c r="L3554" s="124"/>
      <c r="M3554" s="124"/>
      <c r="N3554" s="124"/>
      <c r="O3554" s="124"/>
      <c r="T3554" s="126">
        <f>IFERROR(__xludf.DUMMYFUNCTION("""COMPUTED_VALUE"""),46048.0)</f>
        <v>46048</v>
      </c>
      <c r="U3554" s="124" t="str">
        <f>IFERROR(__xludf.DUMMYFUNCTION("""COMPUTED_VALUE"""),"Paid Ads")</f>
        <v>Paid Ads</v>
      </c>
      <c r="V3554" s="124" t="str">
        <f>IFERROR(__xludf.DUMMYFUNCTION("""COMPUTED_VALUE"""),"google")</f>
        <v>google</v>
      </c>
      <c r="W3554" s="124" t="str">
        <f>IFERROR(__xludf.DUMMYFUNCTION("""COMPUTED_VALUE"""),"cpc")</f>
        <v>cpc</v>
      </c>
      <c r="X3554" s="124">
        <f>IFERROR(__xludf.DUMMYFUNCTION("""COMPUTED_VALUE"""),2.2758016291E10)</f>
        <v>22758016291</v>
      </c>
      <c r="Y3554" s="124" t="str">
        <f>IFERROR(__xludf.DUMMYFUNCTION("""COMPUTED_VALUE"""),"Delhi")</f>
        <v>Delhi</v>
      </c>
      <c r="Z3554" s="124">
        <f>IFERROR(__xludf.DUMMYFUNCTION("""COMPUTED_VALUE"""),1.0)</f>
        <v>1</v>
      </c>
      <c r="AA3554" s="124" t="str">
        <f>IFERROR(__xludf.DUMMYFUNCTION("""COMPUTED_VALUE"""),"Cold")</f>
        <v>Cold</v>
      </c>
      <c r="AB3554" s="124" t="str">
        <f>IFERROR(__xludf.DUMMYFUNCTION("""COMPUTED_VALUE"""),"SIM")</f>
        <v>SIM</v>
      </c>
    </row>
    <row r="3555">
      <c r="K3555" s="124"/>
      <c r="L3555" s="124"/>
      <c r="M3555" s="124"/>
      <c r="N3555" s="124"/>
      <c r="O3555" s="124"/>
      <c r="T3555" s="129">
        <f>IFERROR(__xludf.DUMMYFUNCTION("""COMPUTED_VALUE"""),46061.0)</f>
        <v>46061</v>
      </c>
      <c r="U3555" s="124" t="str">
        <f>IFERROR(__xludf.DUMMYFUNCTION("""COMPUTED_VALUE"""),"Paid Ads")</f>
        <v>Paid Ads</v>
      </c>
      <c r="V3555" s="124" t="str">
        <f>IFERROR(__xludf.DUMMYFUNCTION("""COMPUTED_VALUE"""),"google")</f>
        <v>google</v>
      </c>
      <c r="W3555" s="124" t="str">
        <f>IFERROR(__xludf.DUMMYFUNCTION("""COMPUTED_VALUE"""),"cpc")</f>
        <v>cpc</v>
      </c>
      <c r="X3555" s="124">
        <f>IFERROR(__xludf.DUMMYFUNCTION("""COMPUTED_VALUE"""),2.2758016291E10)</f>
        <v>22758016291</v>
      </c>
      <c r="Y3555" s="124" t="str">
        <f>IFERROR(__xludf.DUMMYFUNCTION("""COMPUTED_VALUE"""),"Delhi")</f>
        <v>Delhi</v>
      </c>
      <c r="Z3555" s="124">
        <f>IFERROR(__xludf.DUMMYFUNCTION("""COMPUTED_VALUE"""),1.0)</f>
        <v>1</v>
      </c>
      <c r="AA3555" s="124" t="str">
        <f>IFERROR(__xludf.DUMMYFUNCTION("""COMPUTED_VALUE"""),"Cold")</f>
        <v>Cold</v>
      </c>
      <c r="AB3555" s="124" t="str">
        <f>IFERROR(__xludf.DUMMYFUNCTION("""COMPUTED_VALUE"""),"GS Foundation")</f>
        <v>GS Foundation</v>
      </c>
    </row>
    <row r="3556">
      <c r="K3556" s="124"/>
      <c r="L3556" s="124"/>
      <c r="M3556" s="124"/>
      <c r="N3556" s="124"/>
      <c r="O3556" s="124"/>
      <c r="T3556" s="126">
        <f>IFERROR(__xludf.DUMMYFUNCTION("""COMPUTED_VALUE"""),46097.0)</f>
        <v>46097</v>
      </c>
      <c r="U3556" s="124" t="str">
        <f>IFERROR(__xludf.DUMMYFUNCTION("""COMPUTED_VALUE"""),"Event")</f>
        <v>Event</v>
      </c>
      <c r="V3556" s="124" t="str">
        <f>IFERROR(__xludf.DUMMYFUNCTION("""COMPUTED_VALUE"""),"events")</f>
        <v>events</v>
      </c>
      <c r="W3556" s="124" t="str">
        <f>IFERROR(__xludf.DUMMYFUNCTION("""COMPUTED_VALUE"""),"prayagraj")</f>
        <v>prayagraj</v>
      </c>
      <c r="X3556" s="124" t="str">
        <f>IFERROR(__xludf.DUMMYFUNCTION("""COMPUTED_VALUE"""),"seminar")</f>
        <v>seminar</v>
      </c>
      <c r="Y3556" s="124" t="str">
        <f>IFERROR(__xludf.DUMMYFUNCTION("""COMPUTED_VALUE"""),"Prayagraj")</f>
        <v>Prayagraj</v>
      </c>
      <c r="Z3556" s="124">
        <f>IFERROR(__xludf.DUMMYFUNCTION("""COMPUTED_VALUE"""),1.0)</f>
        <v>1</v>
      </c>
      <c r="AA3556" s="124" t="str">
        <f>IFERROR(__xludf.DUMMYFUNCTION("""COMPUTED_VALUE"""),"Cold")</f>
        <v>Cold</v>
      </c>
      <c r="AB3556" s="124" t="str">
        <f>IFERROR(__xludf.DUMMYFUNCTION("""COMPUTED_VALUE"""),"State PCS")</f>
        <v>State PCS</v>
      </c>
    </row>
    <row r="3557">
      <c r="K3557" s="124"/>
      <c r="L3557" s="124"/>
      <c r="M3557" s="124"/>
      <c r="N3557" s="124"/>
      <c r="O3557" s="124"/>
      <c r="T3557" s="129">
        <f>IFERROR(__xludf.DUMMYFUNCTION("""COMPUTED_VALUE"""),46061.0)</f>
        <v>46061</v>
      </c>
      <c r="U3557" s="124" t="str">
        <f>IFERROR(__xludf.DUMMYFUNCTION("""COMPUTED_VALUE"""),"Walk-Ins")</f>
        <v>Walk-Ins</v>
      </c>
      <c r="V3557" s="124" t="str">
        <f>IFERROR(__xludf.DUMMYFUNCTION("""COMPUTED_VALUE"""),"Walk-In")</f>
        <v>Walk-In</v>
      </c>
      <c r="W3557" s="124" t="str">
        <f>IFERROR(__xludf.DUMMYFUNCTION("""COMPUTED_VALUE"""),"Patna")</f>
        <v>Patna</v>
      </c>
      <c r="X3557" s="124" t="str">
        <f>IFERROR(__xludf.DUMMYFUNCTION("""COMPUTED_VALUE"""),"Patna")</f>
        <v>Patna</v>
      </c>
      <c r="Y3557" s="124" t="str">
        <f>IFERROR(__xludf.DUMMYFUNCTION("""COMPUTED_VALUE"""),"Patna")</f>
        <v>Patna</v>
      </c>
      <c r="Z3557" s="124">
        <f>IFERROR(__xludf.DUMMYFUNCTION("""COMPUTED_VALUE"""),1.0)</f>
        <v>1</v>
      </c>
      <c r="AA3557" s="124" t="str">
        <f>IFERROR(__xludf.DUMMYFUNCTION("""COMPUTED_VALUE"""),"Cold")</f>
        <v>Cold</v>
      </c>
      <c r="AB3557" s="124" t="str">
        <f>IFERROR(__xludf.DUMMYFUNCTION("""COMPUTED_VALUE"""),"GS Foundation")</f>
        <v>GS Foundation</v>
      </c>
    </row>
    <row r="3558">
      <c r="K3558" s="124"/>
      <c r="L3558" s="124"/>
      <c r="M3558" s="124"/>
      <c r="N3558" s="124"/>
      <c r="O3558" s="124"/>
      <c r="T3558" s="126">
        <f>IFERROR(__xludf.DUMMYFUNCTION("""COMPUTED_VALUE"""),46048.0)</f>
        <v>46048</v>
      </c>
      <c r="U3558" s="124" t="str">
        <f>IFERROR(__xludf.DUMMYFUNCTION("""COMPUTED_VALUE"""),"Paid Ads")</f>
        <v>Paid Ads</v>
      </c>
      <c r="V3558" s="124" t="str">
        <f>IFERROR(__xludf.DUMMYFUNCTION("""COMPUTED_VALUE"""),"google")</f>
        <v>google</v>
      </c>
      <c r="W3558" s="124" t="str">
        <f>IFERROR(__xludf.DUMMYFUNCTION("""COMPUTED_VALUE"""),"cpc")</f>
        <v>cpc</v>
      </c>
      <c r="X3558" s="124">
        <f>IFERROR(__xludf.DUMMYFUNCTION("""COMPUTED_VALUE"""),2.2758016291E10)</f>
        <v>22758016291</v>
      </c>
      <c r="Y3558" s="124" t="str">
        <f>IFERROR(__xludf.DUMMYFUNCTION("""COMPUTED_VALUE"""),"Prayagraj")</f>
        <v>Prayagraj</v>
      </c>
      <c r="Z3558" s="124">
        <f>IFERROR(__xludf.DUMMYFUNCTION("""COMPUTED_VALUE"""),1.0)</f>
        <v>1</v>
      </c>
      <c r="AA3558" s="124" t="str">
        <f>IFERROR(__xludf.DUMMYFUNCTION("""COMPUTED_VALUE"""),"Fake Lead")</f>
        <v>Fake Lead</v>
      </c>
      <c r="AB3558" s="124" t="str">
        <f>IFERROR(__xludf.DUMMYFUNCTION("""COMPUTED_VALUE"""),"Other")</f>
        <v>Other</v>
      </c>
    </row>
    <row r="3559">
      <c r="K3559" s="124"/>
      <c r="L3559" s="124"/>
      <c r="M3559" s="124"/>
      <c r="N3559" s="124"/>
      <c r="O3559" s="124"/>
      <c r="T3559" s="126">
        <f>IFERROR(__xludf.DUMMYFUNCTION("""COMPUTED_VALUE"""),46045.0)</f>
        <v>46045</v>
      </c>
      <c r="U3559" s="124" t="str">
        <f>IFERROR(__xludf.DUMMYFUNCTION("""COMPUTED_VALUE"""),"Paid Ads")</f>
        <v>Paid Ads</v>
      </c>
      <c r="V3559" s="124" t="str">
        <f>IFERROR(__xludf.DUMMYFUNCTION("""COMPUTED_VALUE"""),"Facebook")</f>
        <v>Facebook</v>
      </c>
      <c r="W3559" s="124" t="str">
        <f>IFERROR(__xludf.DUMMYFUNCTION("""COMPUTED_VALUE"""),"LeadAd")</f>
        <v>LeadAd</v>
      </c>
      <c r="X3559" s="124" t="str">
        <f>IFERROR(__xludf.DUMMYFUNCTION("""COMPUTED_VALUE"""),"Upsc_offline_26_Lucknow_FB_Video")</f>
        <v>Upsc_offline_26_Lucknow_FB_Video</v>
      </c>
      <c r="Y3559" s="124" t="str">
        <f>IFERROR(__xludf.DUMMYFUNCTION("""COMPUTED_VALUE"""),"Lucknow")</f>
        <v>Lucknow</v>
      </c>
      <c r="Z3559" s="124">
        <f>IFERROR(__xludf.DUMMYFUNCTION("""COMPUTED_VALUE"""),1.0)</f>
        <v>1</v>
      </c>
      <c r="AA3559" s="124" t="str">
        <f>IFERROR(__xludf.DUMMYFUNCTION("""COMPUTED_VALUE"""),"Cold")</f>
        <v>Cold</v>
      </c>
      <c r="AB3559" s="124" t="str">
        <f>IFERROR(__xludf.DUMMYFUNCTION("""COMPUTED_VALUE"""),"GS Foundation")</f>
        <v>GS Foundation</v>
      </c>
    </row>
    <row r="3560">
      <c r="K3560" s="124"/>
      <c r="L3560" s="124"/>
      <c r="M3560" s="124"/>
      <c r="N3560" s="124"/>
      <c r="O3560" s="124"/>
      <c r="T3560" s="126">
        <f>IFERROR(__xludf.DUMMYFUNCTION("""COMPUTED_VALUE"""),46101.0)</f>
        <v>46101</v>
      </c>
      <c r="U3560" s="124" t="str">
        <f>IFERROR(__xludf.DUMMYFUNCTION("""COMPUTED_VALUE"""),"Event")</f>
        <v>Event</v>
      </c>
      <c r="V3560" s="124" t="str">
        <f>IFERROR(__xludf.DUMMYFUNCTION("""COMPUTED_VALUE"""),"events")</f>
        <v>events</v>
      </c>
      <c r="W3560" s="124" t="str">
        <f>IFERROR(__xludf.DUMMYFUNCTION("""COMPUTED_VALUE"""),"prayagraj")</f>
        <v>prayagraj</v>
      </c>
      <c r="X3560" s="124" t="str">
        <f>IFERROR(__xludf.DUMMYFUNCTION("""COMPUTED_VALUE"""),"seminar")</f>
        <v>seminar</v>
      </c>
      <c r="Y3560" s="124" t="str">
        <f>IFERROR(__xludf.DUMMYFUNCTION("""COMPUTED_VALUE"""),"Prayagraj")</f>
        <v>Prayagraj</v>
      </c>
      <c r="Z3560" s="124">
        <f>IFERROR(__xludf.DUMMYFUNCTION("""COMPUTED_VALUE"""),1.0)</f>
        <v>1</v>
      </c>
      <c r="AA3560" s="124" t="str">
        <f>IFERROR(__xludf.DUMMYFUNCTION("""COMPUTED_VALUE"""),"Cold")</f>
        <v>Cold</v>
      </c>
      <c r="AB3560" s="124"/>
    </row>
    <row r="3561">
      <c r="K3561" s="124"/>
      <c r="L3561" s="124"/>
      <c r="M3561" s="124"/>
      <c r="N3561" s="124"/>
      <c r="O3561" s="124"/>
      <c r="T3561" s="126">
        <f>IFERROR(__xludf.DUMMYFUNCTION("""COMPUTED_VALUE"""),46046.0)</f>
        <v>46046</v>
      </c>
      <c r="U3561" s="124" t="str">
        <f>IFERROR(__xludf.DUMMYFUNCTION("""COMPUTED_VALUE"""),"Paid Ads")</f>
        <v>Paid Ads</v>
      </c>
      <c r="V3561" s="124" t="str">
        <f>IFERROR(__xludf.DUMMYFUNCTION("""COMPUTED_VALUE"""),"Facebook")</f>
        <v>Facebook</v>
      </c>
      <c r="W3561" s="124" t="str">
        <f>IFERROR(__xludf.DUMMYFUNCTION("""COMPUTED_VALUE"""),"LeadAd")</f>
        <v>LeadAd</v>
      </c>
      <c r="X3561" s="124" t="str">
        <f>IFERROR(__xludf.DUMMYFUNCTION("""COMPUTED_VALUE"""),"Upsc_offline_26_Lucknow_FB_Video")</f>
        <v>Upsc_offline_26_Lucknow_FB_Video</v>
      </c>
      <c r="Y3561" s="124" t="str">
        <f>IFERROR(__xludf.DUMMYFUNCTION("""COMPUTED_VALUE"""),"Lucknow")</f>
        <v>Lucknow</v>
      </c>
      <c r="Z3561" s="124">
        <f>IFERROR(__xludf.DUMMYFUNCTION("""COMPUTED_VALUE"""),3.0)</f>
        <v>3</v>
      </c>
      <c r="AA3561" s="124" t="str">
        <f>IFERROR(__xludf.DUMMYFUNCTION("""COMPUTED_VALUE"""),"Cold")</f>
        <v>Cold</v>
      </c>
      <c r="AB3561" s="124"/>
    </row>
    <row r="3562">
      <c r="K3562" s="124"/>
      <c r="L3562" s="124"/>
      <c r="M3562" s="124"/>
      <c r="N3562" s="124"/>
      <c r="O3562" s="124"/>
      <c r="T3562" s="126">
        <f>IFERROR(__xludf.DUMMYFUNCTION("""COMPUTED_VALUE"""),46102.0)</f>
        <v>46102</v>
      </c>
      <c r="U3562" s="124" t="str">
        <f>IFERROR(__xludf.DUMMYFUNCTION("""COMPUTED_VALUE"""),"Event")</f>
        <v>Event</v>
      </c>
      <c r="V3562" s="124" t="str">
        <f>IFERROR(__xludf.DUMMYFUNCTION("""COMPUTED_VALUE"""),"events")</f>
        <v>events</v>
      </c>
      <c r="W3562" s="124" t="str">
        <f>IFERROR(__xludf.DUMMYFUNCTION("""COMPUTED_VALUE"""),"indore")</f>
        <v>indore</v>
      </c>
      <c r="X3562" s="124" t="str">
        <f>IFERROR(__xludf.DUMMYFUNCTION("""COMPUTED_VALUE"""),"seminar")</f>
        <v>seminar</v>
      </c>
      <c r="Y3562" s="124" t="str">
        <f>IFERROR(__xludf.DUMMYFUNCTION("""COMPUTED_VALUE"""),"Indore")</f>
        <v>Indore</v>
      </c>
      <c r="Z3562" s="124">
        <f>IFERROR(__xludf.DUMMYFUNCTION("""COMPUTED_VALUE"""),2.0)</f>
        <v>2</v>
      </c>
      <c r="AA3562" s="124" t="str">
        <f>IFERROR(__xludf.DUMMYFUNCTION("""COMPUTED_VALUE"""),"Warm")</f>
        <v>Warm</v>
      </c>
      <c r="AB3562" s="124"/>
    </row>
    <row r="3563">
      <c r="K3563" s="124"/>
      <c r="L3563" s="124"/>
      <c r="M3563" s="124"/>
      <c r="N3563" s="124"/>
      <c r="O3563" s="124"/>
      <c r="T3563" s="126">
        <f>IFERROR(__xludf.DUMMYFUNCTION("""COMPUTED_VALUE"""),46044.0)</f>
        <v>46044</v>
      </c>
      <c r="U3563" s="124" t="str">
        <f>IFERROR(__xludf.DUMMYFUNCTION("""COMPUTED_VALUE"""),"Paid Ads")</f>
        <v>Paid Ads</v>
      </c>
      <c r="V3563" s="124" t="str">
        <f>IFERROR(__xludf.DUMMYFUNCTION("""COMPUTED_VALUE"""),"google")</f>
        <v>google</v>
      </c>
      <c r="W3563" s="124" t="str">
        <f>IFERROR(__xludf.DUMMYFUNCTION("""COMPUTED_VALUE"""),"cpc")</f>
        <v>cpc</v>
      </c>
      <c r="X3563" s="124">
        <f>IFERROR(__xludf.DUMMYFUNCTION("""COMPUTED_VALUE"""),2.2758016291E10)</f>
        <v>22758016291</v>
      </c>
      <c r="Y3563" s="124" t="str">
        <f>IFERROR(__xludf.DUMMYFUNCTION("""COMPUTED_VALUE"""),"Delhi")</f>
        <v>Delhi</v>
      </c>
      <c r="Z3563" s="124">
        <f>IFERROR(__xludf.DUMMYFUNCTION("""COMPUTED_VALUE"""),1.0)</f>
        <v>1</v>
      </c>
      <c r="AA3563" s="124" t="str">
        <f>IFERROR(__xludf.DUMMYFUNCTION("""COMPUTED_VALUE"""),"Cold")</f>
        <v>Cold</v>
      </c>
      <c r="AB3563" s="124" t="str">
        <f>IFERROR(__xludf.DUMMYFUNCTION("""COMPUTED_VALUE"""),"Other")</f>
        <v>Other</v>
      </c>
    </row>
    <row r="3564">
      <c r="K3564" s="124"/>
      <c r="L3564" s="124"/>
      <c r="M3564" s="124"/>
      <c r="N3564" s="124"/>
      <c r="O3564" s="124"/>
      <c r="T3564" s="126">
        <f>IFERROR(__xludf.DUMMYFUNCTION("""COMPUTED_VALUE"""),46064.0)</f>
        <v>46064</v>
      </c>
      <c r="U3564" s="124" t="str">
        <f>IFERROR(__xludf.DUMMYFUNCTION("""COMPUTED_VALUE"""),"Walk-Ins")</f>
        <v>Walk-Ins</v>
      </c>
      <c r="V3564" s="124" t="str">
        <f>IFERROR(__xludf.DUMMYFUNCTION("""COMPUTED_VALUE"""),"Walkin")</f>
        <v>Walkin</v>
      </c>
      <c r="W3564" s="124" t="str">
        <f>IFERROR(__xludf.DUMMYFUNCTION("""COMPUTED_VALUE"""),"Indore")</f>
        <v>Indore</v>
      </c>
      <c r="X3564" s="124" t="str">
        <f>IFERROR(__xludf.DUMMYFUNCTION("""COMPUTED_VALUE"""),"Walkin")</f>
        <v>Walkin</v>
      </c>
      <c r="Y3564" s="124" t="str">
        <f>IFERROR(__xludf.DUMMYFUNCTION("""COMPUTED_VALUE"""),"Indore")</f>
        <v>Indore</v>
      </c>
      <c r="Z3564" s="124">
        <f>IFERROR(__xludf.DUMMYFUNCTION("""COMPUTED_VALUE"""),1.0)</f>
        <v>1</v>
      </c>
      <c r="AA3564" s="124" t="str">
        <f>IFERROR(__xludf.DUMMYFUNCTION("""COMPUTED_VALUE"""),"Cold")</f>
        <v>Cold</v>
      </c>
      <c r="AB3564" s="124" t="str">
        <f>IFERROR(__xludf.DUMMYFUNCTION("""COMPUTED_VALUE"""),"State PCS")</f>
        <v>State PCS</v>
      </c>
    </row>
    <row r="3565">
      <c r="K3565" s="124"/>
      <c r="L3565" s="124"/>
      <c r="M3565" s="124"/>
      <c r="N3565" s="124"/>
      <c r="O3565" s="124"/>
      <c r="T3565" s="129">
        <f>IFERROR(__xludf.DUMMYFUNCTION("""COMPUTED_VALUE"""),46062.0)</f>
        <v>46062</v>
      </c>
      <c r="U3565" s="124" t="str">
        <f>IFERROR(__xludf.DUMMYFUNCTION("""COMPUTED_VALUE"""),"Walk-Ins")</f>
        <v>Walk-Ins</v>
      </c>
      <c r="V3565" s="124" t="str">
        <f>IFERROR(__xludf.DUMMYFUNCTION("""COMPUTED_VALUE"""),"Walkin")</f>
        <v>Walkin</v>
      </c>
      <c r="W3565" s="124" t="str">
        <f>IFERROR(__xludf.DUMMYFUNCTION("""COMPUTED_VALUE"""),"Indore")</f>
        <v>Indore</v>
      </c>
      <c r="X3565" s="124" t="str">
        <f>IFERROR(__xludf.DUMMYFUNCTION("""COMPUTED_VALUE"""),"Walkin")</f>
        <v>Walkin</v>
      </c>
      <c r="Y3565" s="124" t="str">
        <f>IFERROR(__xludf.DUMMYFUNCTION("""COMPUTED_VALUE"""),"Indore")</f>
        <v>Indore</v>
      </c>
      <c r="Z3565" s="124">
        <f>IFERROR(__xludf.DUMMYFUNCTION("""COMPUTED_VALUE"""),1.0)</f>
        <v>1</v>
      </c>
      <c r="AA3565" s="124" t="str">
        <f>IFERROR(__xludf.DUMMYFUNCTION("""COMPUTED_VALUE"""),"Cold")</f>
        <v>Cold</v>
      </c>
      <c r="AB3565" s="124" t="str">
        <f>IFERROR(__xludf.DUMMYFUNCTION("""COMPUTED_VALUE"""),"Test Series")</f>
        <v>Test Series</v>
      </c>
    </row>
    <row r="3566">
      <c r="K3566" s="124"/>
      <c r="L3566" s="124"/>
      <c r="M3566" s="124"/>
      <c r="N3566" s="124"/>
      <c r="O3566" s="124"/>
      <c r="T3566" s="126">
        <f>IFERROR(__xludf.DUMMYFUNCTION("""COMPUTED_VALUE"""),46094.0)</f>
        <v>46094</v>
      </c>
      <c r="U3566" s="124" t="str">
        <f>IFERROR(__xludf.DUMMYFUNCTION("""COMPUTED_VALUE"""),"Walk-Ins")</f>
        <v>Walk-Ins</v>
      </c>
      <c r="V3566" s="124" t="str">
        <f>IFERROR(__xludf.DUMMYFUNCTION("""COMPUTED_VALUE"""),"Walkin")</f>
        <v>Walkin</v>
      </c>
      <c r="W3566" s="124" t="str">
        <f>IFERROR(__xludf.DUMMYFUNCTION("""COMPUTED_VALUE"""),"Prayagraj")</f>
        <v>Prayagraj</v>
      </c>
      <c r="X3566" s="124" t="str">
        <f>IFERROR(__xludf.DUMMYFUNCTION("""COMPUTED_VALUE"""),"Walkin")</f>
        <v>Walkin</v>
      </c>
      <c r="Y3566" s="124" t="str">
        <f>IFERROR(__xludf.DUMMYFUNCTION("""COMPUTED_VALUE"""),"Prayagraj")</f>
        <v>Prayagraj</v>
      </c>
      <c r="Z3566" s="124">
        <f>IFERROR(__xludf.DUMMYFUNCTION("""COMPUTED_VALUE"""),2.0)</f>
        <v>2</v>
      </c>
      <c r="AA3566" s="124" t="str">
        <f>IFERROR(__xludf.DUMMYFUNCTION("""COMPUTED_VALUE"""),"Future Prospects")</f>
        <v>Future Prospects</v>
      </c>
      <c r="AB3566" s="124" t="str">
        <f>IFERROR(__xludf.DUMMYFUNCTION("""COMPUTED_VALUE"""),"GS Foundation")</f>
        <v>GS Foundation</v>
      </c>
    </row>
    <row r="3567">
      <c r="K3567" s="124"/>
      <c r="L3567" s="124"/>
      <c r="M3567" s="124"/>
      <c r="N3567" s="124"/>
      <c r="O3567" s="124"/>
      <c r="T3567" s="126">
        <f>IFERROR(__xludf.DUMMYFUNCTION("""COMPUTED_VALUE"""),46107.0)</f>
        <v>46107</v>
      </c>
      <c r="U3567" s="124" t="str">
        <f>IFERROR(__xludf.DUMMYFUNCTION("""COMPUTED_VALUE"""),"Walk-Ins")</f>
        <v>Walk-Ins</v>
      </c>
      <c r="V3567" s="124" t="str">
        <f>IFERROR(__xludf.DUMMYFUNCTION("""COMPUTED_VALUE"""),"Walkin")</f>
        <v>Walkin</v>
      </c>
      <c r="W3567" s="124" t="str">
        <f>IFERROR(__xludf.DUMMYFUNCTION("""COMPUTED_VALUE"""),"Indore")</f>
        <v>Indore</v>
      </c>
      <c r="X3567" s="124" t="str">
        <f>IFERROR(__xludf.DUMMYFUNCTION("""COMPUTED_VALUE"""),"Walkin")</f>
        <v>Walkin</v>
      </c>
      <c r="Y3567" s="124" t="str">
        <f>IFERROR(__xludf.DUMMYFUNCTION("""COMPUTED_VALUE"""),"Indore")</f>
        <v>Indore</v>
      </c>
      <c r="Z3567" s="124">
        <f>IFERROR(__xludf.DUMMYFUNCTION("""COMPUTED_VALUE"""),1.0)</f>
        <v>1</v>
      </c>
      <c r="AA3567" s="124" t="str">
        <f>IFERROR(__xludf.DUMMYFUNCTION("""COMPUTED_VALUE"""),"Enrolled")</f>
        <v>Enrolled</v>
      </c>
      <c r="AB3567" s="124" t="str">
        <f>IFERROR(__xludf.DUMMYFUNCTION("""COMPUTED_VALUE"""),"State PCS")</f>
        <v>State PCS</v>
      </c>
    </row>
    <row r="3568">
      <c r="K3568" s="124"/>
      <c r="L3568" s="124"/>
      <c r="M3568" s="124"/>
      <c r="N3568" s="124"/>
      <c r="O3568" s="124"/>
      <c r="T3568" s="126">
        <f>IFERROR(__xludf.DUMMYFUNCTION("""COMPUTED_VALUE"""),46071.0)</f>
        <v>46071</v>
      </c>
      <c r="U3568" s="124" t="str">
        <f>IFERROR(__xludf.DUMMYFUNCTION("""COMPUTED_VALUE"""),"Walk-Ins")</f>
        <v>Walk-Ins</v>
      </c>
      <c r="V3568" s="124" t="str">
        <f>IFERROR(__xludf.DUMMYFUNCTION("""COMPUTED_VALUE"""),"Walkin")</f>
        <v>Walkin</v>
      </c>
      <c r="W3568" s="124" t="str">
        <f>IFERROR(__xludf.DUMMYFUNCTION("""COMPUTED_VALUE"""),"Patna")</f>
        <v>Patna</v>
      </c>
      <c r="X3568" s="124" t="str">
        <f>IFERROR(__xludf.DUMMYFUNCTION("""COMPUTED_VALUE"""),"Walkin")</f>
        <v>Walkin</v>
      </c>
      <c r="Y3568" s="124" t="str">
        <f>IFERROR(__xludf.DUMMYFUNCTION("""COMPUTED_VALUE"""),"Patna")</f>
        <v>Patna</v>
      </c>
      <c r="Z3568" s="124">
        <f>IFERROR(__xludf.DUMMYFUNCTION("""COMPUTED_VALUE"""),1.0)</f>
        <v>1</v>
      </c>
      <c r="AA3568" s="124" t="str">
        <f>IFERROR(__xludf.DUMMYFUNCTION("""COMPUTED_VALUE"""),"Not Interested")</f>
        <v>Not Interested</v>
      </c>
      <c r="AB3568" s="124" t="str">
        <f>IFERROR(__xludf.DUMMYFUNCTION("""COMPUTED_VALUE"""),"State PCS")</f>
        <v>State PCS</v>
      </c>
    </row>
    <row r="3569">
      <c r="K3569" s="124"/>
      <c r="L3569" s="124"/>
      <c r="M3569" s="124"/>
      <c r="N3569" s="124"/>
      <c r="O3569" s="124"/>
      <c r="T3569" s="126">
        <f>IFERROR(__xludf.DUMMYFUNCTION("""COMPUTED_VALUE"""),46111.0)</f>
        <v>46111</v>
      </c>
      <c r="U3569" s="124" t="str">
        <f>IFERROR(__xludf.DUMMYFUNCTION("""COMPUTED_VALUE"""),"Walk-Ins")</f>
        <v>Walk-Ins</v>
      </c>
      <c r="V3569" s="124" t="str">
        <f>IFERROR(__xludf.DUMMYFUNCTION("""COMPUTED_VALUE"""),"Walkin")</f>
        <v>Walkin</v>
      </c>
      <c r="W3569" s="124" t="str">
        <f>IFERROR(__xludf.DUMMYFUNCTION("""COMPUTED_VALUE"""),"Patna")</f>
        <v>Patna</v>
      </c>
      <c r="X3569" s="124" t="str">
        <f>IFERROR(__xludf.DUMMYFUNCTION("""COMPUTED_VALUE"""),"Walkin")</f>
        <v>Walkin</v>
      </c>
      <c r="Y3569" s="124" t="str">
        <f>IFERROR(__xludf.DUMMYFUNCTION("""COMPUTED_VALUE"""),"Patna")</f>
        <v>Patna</v>
      </c>
      <c r="Z3569" s="124">
        <f>IFERROR(__xludf.DUMMYFUNCTION("""COMPUTED_VALUE"""),3.0)</f>
        <v>3</v>
      </c>
      <c r="AA3569" s="124" t="str">
        <f>IFERROR(__xludf.DUMMYFUNCTION("""COMPUTED_VALUE"""),"Enrolled")</f>
        <v>Enrolled</v>
      </c>
      <c r="AB3569" s="124" t="str">
        <f>IFERROR(__xludf.DUMMYFUNCTION("""COMPUTED_VALUE"""),"State PCS")</f>
        <v>State PCS</v>
      </c>
    </row>
    <row r="3570">
      <c r="K3570" s="124"/>
      <c r="L3570" s="124"/>
      <c r="M3570" s="124"/>
      <c r="N3570" s="124"/>
      <c r="O3570" s="124"/>
      <c r="T3570" s="126">
        <f>IFERROR(__xludf.DUMMYFUNCTION("""COMPUTED_VALUE"""),46103.0)</f>
        <v>46103</v>
      </c>
      <c r="U3570" s="124" t="str">
        <f>IFERROR(__xludf.DUMMYFUNCTION("""COMPUTED_VALUE"""),"Walk-Ins")</f>
        <v>Walk-Ins</v>
      </c>
      <c r="V3570" s="124" t="str">
        <f>IFERROR(__xludf.DUMMYFUNCTION("""COMPUTED_VALUE"""),"Walkin")</f>
        <v>Walkin</v>
      </c>
      <c r="W3570" s="124" t="str">
        <f>IFERROR(__xludf.DUMMYFUNCTION("""COMPUTED_VALUE"""),"Prayagraj")</f>
        <v>Prayagraj</v>
      </c>
      <c r="X3570" s="124" t="str">
        <f>IFERROR(__xludf.DUMMYFUNCTION("""COMPUTED_VALUE"""),"Walkin")</f>
        <v>Walkin</v>
      </c>
      <c r="Y3570" s="124" t="str">
        <f>IFERROR(__xludf.DUMMYFUNCTION("""COMPUTED_VALUE"""),"Prayagraj")</f>
        <v>Prayagraj</v>
      </c>
      <c r="Z3570" s="124">
        <f>IFERROR(__xludf.DUMMYFUNCTION("""COMPUTED_VALUE"""),1.0)</f>
        <v>1</v>
      </c>
      <c r="AA3570" s="124" t="str">
        <f>IFERROR(__xludf.DUMMYFUNCTION("""COMPUTED_VALUE"""),"Cold")</f>
        <v>Cold</v>
      </c>
      <c r="AB3570" s="124" t="str">
        <f>IFERROR(__xludf.DUMMYFUNCTION("""COMPUTED_VALUE"""),"GS Foundation")</f>
        <v>GS Foundation</v>
      </c>
    </row>
    <row r="3571">
      <c r="K3571" s="124"/>
      <c r="L3571" s="124"/>
      <c r="M3571" s="124"/>
      <c r="N3571" s="124"/>
      <c r="O3571" s="124"/>
      <c r="T3571" s="126">
        <f>IFERROR(__xludf.DUMMYFUNCTION("""COMPUTED_VALUE"""),46100.0)</f>
        <v>46100</v>
      </c>
      <c r="U3571" s="124" t="str">
        <f>IFERROR(__xludf.DUMMYFUNCTION("""COMPUTED_VALUE"""),"Walk-Ins")</f>
        <v>Walk-Ins</v>
      </c>
      <c r="V3571" s="124" t="str">
        <f>IFERROR(__xludf.DUMMYFUNCTION("""COMPUTED_VALUE"""),"Walkin")</f>
        <v>Walkin</v>
      </c>
      <c r="W3571" s="124" t="str">
        <f>IFERROR(__xludf.DUMMYFUNCTION("""COMPUTED_VALUE"""),"Indore")</f>
        <v>Indore</v>
      </c>
      <c r="X3571" s="124" t="str">
        <f>IFERROR(__xludf.DUMMYFUNCTION("""COMPUTED_VALUE"""),"Walkin")</f>
        <v>Walkin</v>
      </c>
      <c r="Y3571" s="124" t="str">
        <f>IFERROR(__xludf.DUMMYFUNCTION("""COMPUTED_VALUE"""),"Indore")</f>
        <v>Indore</v>
      </c>
      <c r="Z3571" s="124">
        <f>IFERROR(__xludf.DUMMYFUNCTION("""COMPUTED_VALUE"""),1.0)</f>
        <v>1</v>
      </c>
      <c r="AA3571" s="124" t="str">
        <f>IFERROR(__xludf.DUMMYFUNCTION("""COMPUTED_VALUE"""),"Not Interested")</f>
        <v>Not Interested</v>
      </c>
      <c r="AB3571" s="124" t="str">
        <f>IFERROR(__xludf.DUMMYFUNCTION("""COMPUTED_VALUE"""),"Other")</f>
        <v>Other</v>
      </c>
    </row>
    <row r="3572">
      <c r="K3572" s="124"/>
      <c r="L3572" s="124"/>
      <c r="M3572" s="124"/>
      <c r="N3572" s="124"/>
      <c r="O3572" s="124"/>
      <c r="T3572" s="126">
        <f>IFERROR(__xludf.DUMMYFUNCTION("""COMPUTED_VALUE"""),46044.0)</f>
        <v>46044</v>
      </c>
      <c r="U3572" s="124" t="str">
        <f>IFERROR(__xludf.DUMMYFUNCTION("""COMPUTED_VALUE"""),"Walk-Ins")</f>
        <v>Walk-Ins</v>
      </c>
      <c r="V3572" s="124" t="str">
        <f>IFERROR(__xludf.DUMMYFUNCTION("""COMPUTED_VALUE"""),"Walkin")</f>
        <v>Walkin</v>
      </c>
      <c r="W3572" s="124" t="str">
        <f>IFERROR(__xludf.DUMMYFUNCTION("""COMPUTED_VALUE"""),"Patna")</f>
        <v>Patna</v>
      </c>
      <c r="X3572" s="124" t="str">
        <f>IFERROR(__xludf.DUMMYFUNCTION("""COMPUTED_VALUE"""),"Walkin")</f>
        <v>Walkin</v>
      </c>
      <c r="Y3572" s="124" t="str">
        <f>IFERROR(__xludf.DUMMYFUNCTION("""COMPUTED_VALUE"""),"Patna")</f>
        <v>Patna</v>
      </c>
      <c r="Z3572" s="124">
        <f>IFERROR(__xludf.DUMMYFUNCTION("""COMPUTED_VALUE"""),1.0)</f>
        <v>1</v>
      </c>
      <c r="AA3572" s="124" t="str">
        <f>IFERROR(__xludf.DUMMYFUNCTION("""COMPUTED_VALUE"""),"Not Interested")</f>
        <v>Not Interested</v>
      </c>
      <c r="AB3572" s="124" t="str">
        <f>IFERROR(__xludf.DUMMYFUNCTION("""COMPUTED_VALUE"""),"State PCS")</f>
        <v>State PCS</v>
      </c>
    </row>
    <row r="3573">
      <c r="K3573" s="124"/>
      <c r="L3573" s="124"/>
      <c r="M3573" s="124"/>
      <c r="N3573" s="124"/>
      <c r="O3573" s="124"/>
      <c r="T3573" s="126">
        <f>IFERROR(__xludf.DUMMYFUNCTION("""COMPUTED_VALUE"""),46049.0)</f>
        <v>46049</v>
      </c>
      <c r="U3573" s="124" t="str">
        <f>IFERROR(__xludf.DUMMYFUNCTION("""COMPUTED_VALUE"""),"Walk-Ins")</f>
        <v>Walk-Ins</v>
      </c>
      <c r="V3573" s="124" t="str">
        <f>IFERROR(__xludf.DUMMYFUNCTION("""COMPUTED_VALUE"""),"Walk-In")</f>
        <v>Walk-In</v>
      </c>
      <c r="W3573" s="124" t="str">
        <f>IFERROR(__xludf.DUMMYFUNCTION("""COMPUTED_VALUE"""),"Patna")</f>
        <v>Patna</v>
      </c>
      <c r="X3573" s="124" t="str">
        <f>IFERROR(__xludf.DUMMYFUNCTION("""COMPUTED_VALUE"""),"Others")</f>
        <v>Others</v>
      </c>
      <c r="Y3573" s="124" t="str">
        <f>IFERROR(__xludf.DUMMYFUNCTION("""COMPUTED_VALUE"""),"Patna")</f>
        <v>Patna</v>
      </c>
      <c r="Z3573" s="124">
        <f>IFERROR(__xludf.DUMMYFUNCTION("""COMPUTED_VALUE"""),1.0)</f>
        <v>1</v>
      </c>
      <c r="AA3573" s="124" t="str">
        <f>IFERROR(__xludf.DUMMYFUNCTION("""COMPUTED_VALUE"""),"Cold")</f>
        <v>Cold</v>
      </c>
      <c r="AB3573" s="124" t="str">
        <f>IFERROR(__xludf.DUMMYFUNCTION("""COMPUTED_VALUE"""),"GS Foundation")</f>
        <v>GS Foundation</v>
      </c>
    </row>
    <row r="3574">
      <c r="K3574" s="124"/>
      <c r="L3574" s="124"/>
      <c r="M3574" s="124"/>
      <c r="N3574" s="124"/>
      <c r="O3574" s="124"/>
      <c r="T3574" s="126">
        <f>IFERROR(__xludf.DUMMYFUNCTION("""COMPUTED_VALUE"""),46066.0)</f>
        <v>46066</v>
      </c>
      <c r="U3574" s="124" t="str">
        <f>IFERROR(__xludf.DUMMYFUNCTION("""COMPUTED_VALUE"""),"Walk-Ins")</f>
        <v>Walk-Ins</v>
      </c>
      <c r="V3574" s="124" t="str">
        <f>IFERROR(__xludf.DUMMYFUNCTION("""COMPUTED_VALUE"""),"Walkin")</f>
        <v>Walkin</v>
      </c>
      <c r="W3574" s="124" t="str">
        <f>IFERROR(__xludf.DUMMYFUNCTION("""COMPUTED_VALUE"""),"Prayagraj")</f>
        <v>Prayagraj</v>
      </c>
      <c r="X3574" s="124" t="str">
        <f>IFERROR(__xludf.DUMMYFUNCTION("""COMPUTED_VALUE"""),"Walkin")</f>
        <v>Walkin</v>
      </c>
      <c r="Y3574" s="124" t="str">
        <f>IFERROR(__xludf.DUMMYFUNCTION("""COMPUTED_VALUE"""),"Prayagraj")</f>
        <v>Prayagraj</v>
      </c>
      <c r="Z3574" s="124">
        <f>IFERROR(__xludf.DUMMYFUNCTION("""COMPUTED_VALUE"""),1.0)</f>
        <v>1</v>
      </c>
      <c r="AA3574" s="124" t="str">
        <f>IFERROR(__xludf.DUMMYFUNCTION("""COMPUTED_VALUE"""),"Enrolled")</f>
        <v>Enrolled</v>
      </c>
      <c r="AB3574" s="124" t="str">
        <f>IFERROR(__xludf.DUMMYFUNCTION("""COMPUTED_VALUE"""),"GS Foundation")</f>
        <v>GS Foundation</v>
      </c>
    </row>
    <row r="3575">
      <c r="K3575" s="124"/>
      <c r="L3575" s="124"/>
      <c r="M3575" s="124"/>
      <c r="N3575" s="124"/>
      <c r="O3575" s="124"/>
      <c r="T3575" s="126">
        <f>IFERROR(__xludf.DUMMYFUNCTION("""COMPUTED_VALUE"""),46101.0)</f>
        <v>46101</v>
      </c>
      <c r="U3575" s="124" t="str">
        <f>IFERROR(__xludf.DUMMYFUNCTION("""COMPUTED_VALUE"""),"Walk-Ins")</f>
        <v>Walk-Ins</v>
      </c>
      <c r="V3575" s="124" t="str">
        <f>IFERROR(__xludf.DUMMYFUNCTION("""COMPUTED_VALUE"""),"Walkin")</f>
        <v>Walkin</v>
      </c>
      <c r="W3575" s="124" t="str">
        <f>IFERROR(__xludf.DUMMYFUNCTION("""COMPUTED_VALUE"""),"Prayagraj")</f>
        <v>Prayagraj</v>
      </c>
      <c r="X3575" s="124" t="str">
        <f>IFERROR(__xludf.DUMMYFUNCTION("""COMPUTED_VALUE"""),"Walkin")</f>
        <v>Walkin</v>
      </c>
      <c r="Y3575" s="124" t="str">
        <f>IFERROR(__xludf.DUMMYFUNCTION("""COMPUTED_VALUE"""),"Prayagraj")</f>
        <v>Prayagraj</v>
      </c>
      <c r="Z3575" s="124">
        <f>IFERROR(__xludf.DUMMYFUNCTION("""COMPUTED_VALUE"""),1.0)</f>
        <v>1</v>
      </c>
      <c r="AA3575" s="124" t="str">
        <f>IFERROR(__xludf.DUMMYFUNCTION("""COMPUTED_VALUE"""),"Future Prospects")</f>
        <v>Future Prospects</v>
      </c>
      <c r="AB3575" s="124" t="str">
        <f>IFERROR(__xludf.DUMMYFUNCTION("""COMPUTED_VALUE"""),"GS Foundation")</f>
        <v>GS Foundation</v>
      </c>
    </row>
    <row r="3576">
      <c r="K3576" s="124"/>
      <c r="L3576" s="124"/>
      <c r="M3576" s="124"/>
      <c r="N3576" s="124"/>
      <c r="O3576" s="124"/>
      <c r="T3576" s="126">
        <f>IFERROR(__xludf.DUMMYFUNCTION("""COMPUTED_VALUE"""),46095.0)</f>
        <v>46095</v>
      </c>
      <c r="U3576" s="124" t="str">
        <f>IFERROR(__xludf.DUMMYFUNCTION("""COMPUTED_VALUE"""),"Walk-Ins")</f>
        <v>Walk-Ins</v>
      </c>
      <c r="V3576" s="124" t="str">
        <f>IFERROR(__xludf.DUMMYFUNCTION("""COMPUTED_VALUE"""),"Walkin")</f>
        <v>Walkin</v>
      </c>
      <c r="W3576" s="124" t="str">
        <f>IFERROR(__xludf.DUMMYFUNCTION("""COMPUTED_VALUE"""),"Indore")</f>
        <v>Indore</v>
      </c>
      <c r="X3576" s="124" t="str">
        <f>IFERROR(__xludf.DUMMYFUNCTION("""COMPUTED_VALUE"""),"Walkin")</f>
        <v>Walkin</v>
      </c>
      <c r="Y3576" s="124" t="str">
        <f>IFERROR(__xludf.DUMMYFUNCTION("""COMPUTED_VALUE"""),"Indore")</f>
        <v>Indore</v>
      </c>
      <c r="Z3576" s="124">
        <f>IFERROR(__xludf.DUMMYFUNCTION("""COMPUTED_VALUE"""),1.0)</f>
        <v>1</v>
      </c>
      <c r="AA3576" s="124" t="str">
        <f>IFERROR(__xludf.DUMMYFUNCTION("""COMPUTED_VALUE"""),"Enrolled")</f>
        <v>Enrolled</v>
      </c>
      <c r="AB3576" s="124" t="str">
        <f>IFERROR(__xludf.DUMMYFUNCTION("""COMPUTED_VALUE"""),"GS Foundation")</f>
        <v>GS Foundation</v>
      </c>
    </row>
    <row r="3577">
      <c r="K3577" s="124"/>
      <c r="L3577" s="124"/>
      <c r="M3577" s="124"/>
      <c r="N3577" s="124"/>
      <c r="O3577" s="124"/>
      <c r="T3577" s="126">
        <f>IFERROR(__xludf.DUMMYFUNCTION("""COMPUTED_VALUE"""),46049.0)</f>
        <v>46049</v>
      </c>
      <c r="U3577" s="124" t="str">
        <f>IFERROR(__xludf.DUMMYFUNCTION("""COMPUTED_VALUE"""),"Walk-Ins")</f>
        <v>Walk-Ins</v>
      </c>
      <c r="V3577" s="124" t="str">
        <f>IFERROR(__xludf.DUMMYFUNCTION("""COMPUTED_VALUE"""),"Walkin")</f>
        <v>Walkin</v>
      </c>
      <c r="W3577" s="124" t="str">
        <f>IFERROR(__xludf.DUMMYFUNCTION("""COMPUTED_VALUE"""),"Patna")</f>
        <v>Patna</v>
      </c>
      <c r="X3577" s="124" t="str">
        <f>IFERROR(__xludf.DUMMYFUNCTION("""COMPUTED_VALUE"""),"Walkin")</f>
        <v>Walkin</v>
      </c>
      <c r="Y3577" s="124" t="str">
        <f>IFERROR(__xludf.DUMMYFUNCTION("""COMPUTED_VALUE"""),"Patna")</f>
        <v>Patna</v>
      </c>
      <c r="Z3577" s="124">
        <f>IFERROR(__xludf.DUMMYFUNCTION("""COMPUTED_VALUE"""),1.0)</f>
        <v>1</v>
      </c>
      <c r="AA3577" s="124" t="str">
        <f>IFERROR(__xludf.DUMMYFUNCTION("""COMPUTED_VALUE"""),"Not Interested")</f>
        <v>Not Interested</v>
      </c>
      <c r="AB3577" s="124" t="str">
        <f>IFERROR(__xludf.DUMMYFUNCTION("""COMPUTED_VALUE"""),"State PCS")</f>
        <v>State PCS</v>
      </c>
    </row>
    <row r="3578">
      <c r="K3578" s="124"/>
      <c r="L3578" s="124"/>
      <c r="M3578" s="124"/>
      <c r="N3578" s="124"/>
      <c r="O3578" s="124"/>
      <c r="T3578" s="126">
        <f>IFERROR(__xludf.DUMMYFUNCTION("""COMPUTED_VALUE"""),46098.0)</f>
        <v>46098</v>
      </c>
      <c r="U3578" s="124" t="str">
        <f>IFERROR(__xludf.DUMMYFUNCTION("""COMPUTED_VALUE"""),"Walk-Ins")</f>
        <v>Walk-Ins</v>
      </c>
      <c r="V3578" s="124" t="str">
        <f>IFERROR(__xludf.DUMMYFUNCTION("""COMPUTED_VALUE"""),"Walkin")</f>
        <v>Walkin</v>
      </c>
      <c r="W3578" s="124" t="str">
        <f>IFERROR(__xludf.DUMMYFUNCTION("""COMPUTED_VALUE"""),"Patna")</f>
        <v>Patna</v>
      </c>
      <c r="X3578" s="124" t="str">
        <f>IFERROR(__xludf.DUMMYFUNCTION("""COMPUTED_VALUE"""),"Walkin")</f>
        <v>Walkin</v>
      </c>
      <c r="Y3578" s="124" t="str">
        <f>IFERROR(__xludf.DUMMYFUNCTION("""COMPUTED_VALUE"""),"Patna")</f>
        <v>Patna</v>
      </c>
      <c r="Z3578" s="124">
        <f>IFERROR(__xludf.DUMMYFUNCTION("""COMPUTED_VALUE"""),2.0)</f>
        <v>2</v>
      </c>
      <c r="AA3578" s="124" t="str">
        <f>IFERROR(__xludf.DUMMYFUNCTION("""COMPUTED_VALUE"""),"Cold")</f>
        <v>Cold</v>
      </c>
      <c r="AB3578" s="124" t="str">
        <f>IFERROR(__xludf.DUMMYFUNCTION("""COMPUTED_VALUE"""),"State PCS")</f>
        <v>State PCS</v>
      </c>
    </row>
    <row r="3579">
      <c r="K3579" s="124"/>
      <c r="L3579" s="124"/>
      <c r="M3579" s="124"/>
      <c r="N3579" s="124"/>
      <c r="O3579" s="124"/>
      <c r="T3579" s="126">
        <f>IFERROR(__xludf.DUMMYFUNCTION("""COMPUTED_VALUE"""),46051.0)</f>
        <v>46051</v>
      </c>
      <c r="U3579" s="124" t="str">
        <f>IFERROR(__xludf.DUMMYFUNCTION("""COMPUTED_VALUE"""),"Walk-Ins")</f>
        <v>Walk-Ins</v>
      </c>
      <c r="V3579" s="124" t="str">
        <f>IFERROR(__xludf.DUMMYFUNCTION("""COMPUTED_VALUE"""),"Walkin")</f>
        <v>Walkin</v>
      </c>
      <c r="W3579" s="124" t="str">
        <f>IFERROR(__xludf.DUMMYFUNCTION("""COMPUTED_VALUE"""),"Indore")</f>
        <v>Indore</v>
      </c>
      <c r="X3579" s="124" t="str">
        <f>IFERROR(__xludf.DUMMYFUNCTION("""COMPUTED_VALUE"""),"Walkin")</f>
        <v>Walkin</v>
      </c>
      <c r="Y3579" s="124" t="str">
        <f>IFERROR(__xludf.DUMMYFUNCTION("""COMPUTED_VALUE"""),"Indore")</f>
        <v>Indore</v>
      </c>
      <c r="Z3579" s="124">
        <f>IFERROR(__xludf.DUMMYFUNCTION("""COMPUTED_VALUE"""),1.0)</f>
        <v>1</v>
      </c>
      <c r="AA3579" s="124" t="str">
        <f>IFERROR(__xludf.DUMMYFUNCTION("""COMPUTED_VALUE"""),"Cold")</f>
        <v>Cold</v>
      </c>
      <c r="AB3579" s="124" t="str">
        <f>IFERROR(__xludf.DUMMYFUNCTION("""COMPUTED_VALUE"""),"Test Series")</f>
        <v>Test Series</v>
      </c>
    </row>
    <row r="3580">
      <c r="K3580" s="124"/>
      <c r="L3580" s="124"/>
      <c r="M3580" s="124"/>
      <c r="N3580" s="124"/>
      <c r="O3580" s="124"/>
      <c r="T3580" s="126">
        <f>IFERROR(__xludf.DUMMYFUNCTION("""COMPUTED_VALUE"""),46069.0)</f>
        <v>46069</v>
      </c>
      <c r="U3580" s="124" t="str">
        <f>IFERROR(__xludf.DUMMYFUNCTION("""COMPUTED_VALUE"""),"Walk-Ins")</f>
        <v>Walk-Ins</v>
      </c>
      <c r="V3580" s="124" t="str">
        <f>IFERROR(__xludf.DUMMYFUNCTION("""COMPUTED_VALUE"""),"Walkin")</f>
        <v>Walkin</v>
      </c>
      <c r="W3580" s="124" t="str">
        <f>IFERROR(__xludf.DUMMYFUNCTION("""COMPUTED_VALUE"""),"Indore")</f>
        <v>Indore</v>
      </c>
      <c r="X3580" s="124" t="str">
        <f>IFERROR(__xludf.DUMMYFUNCTION("""COMPUTED_VALUE"""),"Walkin")</f>
        <v>Walkin</v>
      </c>
      <c r="Y3580" s="124" t="str">
        <f>IFERROR(__xludf.DUMMYFUNCTION("""COMPUTED_VALUE"""),"Indore")</f>
        <v>Indore</v>
      </c>
      <c r="Z3580" s="124">
        <f>IFERROR(__xludf.DUMMYFUNCTION("""COMPUTED_VALUE"""),1.0)</f>
        <v>1</v>
      </c>
      <c r="AA3580" s="124" t="str">
        <f>IFERROR(__xludf.DUMMYFUNCTION("""COMPUTED_VALUE"""),"Not Interested")</f>
        <v>Not Interested</v>
      </c>
      <c r="AB3580" s="124" t="str">
        <f>IFERROR(__xludf.DUMMYFUNCTION("""COMPUTED_VALUE"""),"Other")</f>
        <v>Other</v>
      </c>
    </row>
    <row r="3581">
      <c r="K3581" s="124"/>
      <c r="L3581" s="124"/>
      <c r="M3581" s="124"/>
      <c r="N3581" s="124"/>
      <c r="O3581" s="124"/>
      <c r="T3581" s="126">
        <f>IFERROR(__xludf.DUMMYFUNCTION("""COMPUTED_VALUE"""),46109.0)</f>
        <v>46109</v>
      </c>
      <c r="U3581" s="124" t="str">
        <f>IFERROR(__xludf.DUMMYFUNCTION("""COMPUTED_VALUE"""),"Walk-Ins")</f>
        <v>Walk-Ins</v>
      </c>
      <c r="V3581" s="124" t="str">
        <f>IFERROR(__xludf.DUMMYFUNCTION("""COMPUTED_VALUE"""),"Walkin")</f>
        <v>Walkin</v>
      </c>
      <c r="W3581" s="124" t="str">
        <f>IFERROR(__xludf.DUMMYFUNCTION("""COMPUTED_VALUE"""),"Indore")</f>
        <v>Indore</v>
      </c>
      <c r="X3581" s="124" t="str">
        <f>IFERROR(__xludf.DUMMYFUNCTION("""COMPUTED_VALUE"""),"Walkin")</f>
        <v>Walkin</v>
      </c>
      <c r="Y3581" s="124" t="str">
        <f>IFERROR(__xludf.DUMMYFUNCTION("""COMPUTED_VALUE"""),"Indore")</f>
        <v>Indore</v>
      </c>
      <c r="Z3581" s="124">
        <f>IFERROR(__xludf.DUMMYFUNCTION("""COMPUTED_VALUE"""),1.0)</f>
        <v>1</v>
      </c>
      <c r="AA3581" s="124" t="str">
        <f>IFERROR(__xludf.DUMMYFUNCTION("""COMPUTED_VALUE"""),"Warm")</f>
        <v>Warm</v>
      </c>
      <c r="AB3581" s="124" t="str">
        <f>IFERROR(__xludf.DUMMYFUNCTION("""COMPUTED_VALUE"""),"GS Foundation")</f>
        <v>GS Foundation</v>
      </c>
    </row>
    <row r="3582">
      <c r="K3582" s="124"/>
      <c r="L3582" s="124"/>
      <c r="M3582" s="124"/>
      <c r="N3582" s="124"/>
      <c r="O3582" s="124"/>
      <c r="T3582" s="126">
        <f>IFERROR(__xludf.DUMMYFUNCTION("""COMPUTED_VALUE"""),46109.0)</f>
        <v>46109</v>
      </c>
      <c r="U3582" s="124" t="str">
        <f>IFERROR(__xludf.DUMMYFUNCTION("""COMPUTED_VALUE"""),"Walk-Ins")</f>
        <v>Walk-Ins</v>
      </c>
      <c r="V3582" s="124" t="str">
        <f>IFERROR(__xludf.DUMMYFUNCTION("""COMPUTED_VALUE"""),"Walkin")</f>
        <v>Walkin</v>
      </c>
      <c r="W3582" s="124" t="str">
        <f>IFERROR(__xludf.DUMMYFUNCTION("""COMPUTED_VALUE"""),"Indore")</f>
        <v>Indore</v>
      </c>
      <c r="X3582" s="124" t="str">
        <f>IFERROR(__xludf.DUMMYFUNCTION("""COMPUTED_VALUE"""),"Walkin")</f>
        <v>Walkin</v>
      </c>
      <c r="Y3582" s="124" t="str">
        <f>IFERROR(__xludf.DUMMYFUNCTION("""COMPUTED_VALUE"""),"Indore")</f>
        <v>Indore</v>
      </c>
      <c r="Z3582" s="124">
        <f>IFERROR(__xludf.DUMMYFUNCTION("""COMPUTED_VALUE"""),1.0)</f>
        <v>1</v>
      </c>
      <c r="AA3582" s="124" t="str">
        <f>IFERROR(__xludf.DUMMYFUNCTION("""COMPUTED_VALUE"""),"Future Prospects")</f>
        <v>Future Prospects</v>
      </c>
      <c r="AB3582" s="124" t="str">
        <f>IFERROR(__xludf.DUMMYFUNCTION("""COMPUTED_VALUE"""),"GS Foundation")</f>
        <v>GS Foundation</v>
      </c>
    </row>
    <row r="3583">
      <c r="K3583" s="124"/>
      <c r="L3583" s="124"/>
      <c r="M3583" s="124"/>
      <c r="N3583" s="124"/>
      <c r="O3583" s="124"/>
      <c r="T3583" s="126">
        <f>IFERROR(__xludf.DUMMYFUNCTION("""COMPUTED_VALUE"""),46045.0)</f>
        <v>46045</v>
      </c>
      <c r="U3583" s="124" t="str">
        <f>IFERROR(__xludf.DUMMYFUNCTION("""COMPUTED_VALUE"""),"Walk-Ins")</f>
        <v>Walk-Ins</v>
      </c>
      <c r="V3583" s="124" t="str">
        <f>IFERROR(__xludf.DUMMYFUNCTION("""COMPUTED_VALUE"""),"Walkin")</f>
        <v>Walkin</v>
      </c>
      <c r="W3583" s="124" t="str">
        <f>IFERROR(__xludf.DUMMYFUNCTION("""COMPUTED_VALUE"""),"Indore")</f>
        <v>Indore</v>
      </c>
      <c r="X3583" s="124" t="str">
        <f>IFERROR(__xludf.DUMMYFUNCTION("""COMPUTED_VALUE"""),"Walkin")</f>
        <v>Walkin</v>
      </c>
      <c r="Y3583" s="124" t="str">
        <f>IFERROR(__xludf.DUMMYFUNCTION("""COMPUTED_VALUE"""),"Indore")</f>
        <v>Indore</v>
      </c>
      <c r="Z3583" s="124">
        <f>IFERROR(__xludf.DUMMYFUNCTION("""COMPUTED_VALUE"""),2.0)</f>
        <v>2</v>
      </c>
      <c r="AA3583" s="124" t="str">
        <f>IFERROR(__xludf.DUMMYFUNCTION("""COMPUTED_VALUE"""),"Enrolled")</f>
        <v>Enrolled</v>
      </c>
      <c r="AB3583" s="124" t="str">
        <f>IFERROR(__xludf.DUMMYFUNCTION("""COMPUTED_VALUE"""),"GS Foundation")</f>
        <v>GS Foundation</v>
      </c>
    </row>
    <row r="3584">
      <c r="K3584" s="124"/>
      <c r="L3584" s="124"/>
      <c r="M3584" s="124"/>
      <c r="N3584" s="124"/>
      <c r="O3584" s="124"/>
      <c r="T3584" s="126">
        <f>IFERROR(__xludf.DUMMYFUNCTION("""COMPUTED_VALUE"""),46072.0)</f>
        <v>46072</v>
      </c>
      <c r="U3584" s="124" t="str">
        <f>IFERROR(__xludf.DUMMYFUNCTION("""COMPUTED_VALUE"""),"Walk-Ins")</f>
        <v>Walk-Ins</v>
      </c>
      <c r="V3584" s="124" t="str">
        <f>IFERROR(__xludf.DUMMYFUNCTION("""COMPUTED_VALUE"""),"Walkin")</f>
        <v>Walkin</v>
      </c>
      <c r="W3584" s="124" t="str">
        <f>IFERROR(__xludf.DUMMYFUNCTION("""COMPUTED_VALUE"""),"Patna")</f>
        <v>Patna</v>
      </c>
      <c r="X3584" s="124" t="str">
        <f>IFERROR(__xludf.DUMMYFUNCTION("""COMPUTED_VALUE"""),"Walkin")</f>
        <v>Walkin</v>
      </c>
      <c r="Y3584" s="124" t="str">
        <f>IFERROR(__xludf.DUMMYFUNCTION("""COMPUTED_VALUE"""),"Patna")</f>
        <v>Patna</v>
      </c>
      <c r="Z3584" s="124">
        <f>IFERROR(__xludf.DUMMYFUNCTION("""COMPUTED_VALUE"""),1.0)</f>
        <v>1</v>
      </c>
      <c r="AA3584" s="124" t="str">
        <f>IFERROR(__xludf.DUMMYFUNCTION("""COMPUTED_VALUE"""),"Not Interested")</f>
        <v>Not Interested</v>
      </c>
      <c r="AB3584" s="124" t="str">
        <f>IFERROR(__xludf.DUMMYFUNCTION("""COMPUTED_VALUE"""),"State PCS")</f>
        <v>State PCS</v>
      </c>
    </row>
    <row r="3585">
      <c r="K3585" s="124"/>
      <c r="L3585" s="124"/>
      <c r="M3585" s="124"/>
      <c r="N3585" s="124"/>
      <c r="O3585" s="124"/>
      <c r="T3585" s="126">
        <f>IFERROR(__xludf.DUMMYFUNCTION("""COMPUTED_VALUE"""),46050.0)</f>
        <v>46050</v>
      </c>
      <c r="U3585" s="124" t="str">
        <f>IFERROR(__xludf.DUMMYFUNCTION("""COMPUTED_VALUE"""),"Walk-Ins")</f>
        <v>Walk-Ins</v>
      </c>
      <c r="V3585" s="124" t="str">
        <f>IFERROR(__xludf.DUMMYFUNCTION("""COMPUTED_VALUE"""),"Walkin")</f>
        <v>Walkin</v>
      </c>
      <c r="W3585" s="124" t="str">
        <f>IFERROR(__xludf.DUMMYFUNCTION("""COMPUTED_VALUE"""),"Indore")</f>
        <v>Indore</v>
      </c>
      <c r="X3585" s="124" t="str">
        <f>IFERROR(__xludf.DUMMYFUNCTION("""COMPUTED_VALUE"""),"Walkin")</f>
        <v>Walkin</v>
      </c>
      <c r="Y3585" s="124" t="str">
        <f>IFERROR(__xludf.DUMMYFUNCTION("""COMPUTED_VALUE"""),"Indore")</f>
        <v>Indore</v>
      </c>
      <c r="Z3585" s="124">
        <f>IFERROR(__xludf.DUMMYFUNCTION("""COMPUTED_VALUE"""),1.0)</f>
        <v>1</v>
      </c>
      <c r="AA3585" s="124" t="str">
        <f>IFERROR(__xludf.DUMMYFUNCTION("""COMPUTED_VALUE"""),"Not Interested")</f>
        <v>Not Interested</v>
      </c>
      <c r="AB3585" s="124" t="str">
        <f>IFERROR(__xludf.DUMMYFUNCTION("""COMPUTED_VALUE"""),"State PCS")</f>
        <v>State PCS</v>
      </c>
    </row>
    <row r="3586">
      <c r="K3586" s="124"/>
      <c r="L3586" s="124"/>
      <c r="M3586" s="124"/>
      <c r="N3586" s="124"/>
      <c r="O3586" s="124"/>
      <c r="T3586" s="129">
        <f>IFERROR(__xludf.DUMMYFUNCTION("""COMPUTED_VALUE"""),46087.0)</f>
        <v>46087</v>
      </c>
      <c r="U3586" s="124" t="str">
        <f>IFERROR(__xludf.DUMMYFUNCTION("""COMPUTED_VALUE"""),"Walk-Ins")</f>
        <v>Walk-Ins</v>
      </c>
      <c r="V3586" s="124" t="str">
        <f>IFERROR(__xludf.DUMMYFUNCTION("""COMPUTED_VALUE"""),"Walkin")</f>
        <v>Walkin</v>
      </c>
      <c r="W3586" s="124" t="str">
        <f>IFERROR(__xludf.DUMMYFUNCTION("""COMPUTED_VALUE"""),"Indore")</f>
        <v>Indore</v>
      </c>
      <c r="X3586" s="124" t="str">
        <f>IFERROR(__xludf.DUMMYFUNCTION("""COMPUTED_VALUE"""),"Walkin")</f>
        <v>Walkin</v>
      </c>
      <c r="Y3586" s="124" t="str">
        <f>IFERROR(__xludf.DUMMYFUNCTION("""COMPUTED_VALUE"""),"Indore")</f>
        <v>Indore</v>
      </c>
      <c r="Z3586" s="124">
        <f>IFERROR(__xludf.DUMMYFUNCTION("""COMPUTED_VALUE"""),1.0)</f>
        <v>1</v>
      </c>
      <c r="AA3586" s="124" t="str">
        <f>IFERROR(__xludf.DUMMYFUNCTION("""COMPUTED_VALUE"""),"Cold")</f>
        <v>Cold</v>
      </c>
      <c r="AB3586" s="124" t="str">
        <f>IFERROR(__xludf.DUMMYFUNCTION("""COMPUTED_VALUE"""),"Mentorship")</f>
        <v>Mentorship</v>
      </c>
    </row>
    <row r="3587">
      <c r="K3587" s="124"/>
      <c r="L3587" s="124"/>
      <c r="M3587" s="124"/>
      <c r="N3587" s="124"/>
      <c r="O3587" s="124"/>
      <c r="T3587" s="126">
        <f>IFERROR(__xludf.DUMMYFUNCTION("""COMPUTED_VALUE"""),46096.0)</f>
        <v>46096</v>
      </c>
      <c r="U3587" s="124" t="str">
        <f>IFERROR(__xludf.DUMMYFUNCTION("""COMPUTED_VALUE"""),"Walk-Ins")</f>
        <v>Walk-Ins</v>
      </c>
      <c r="V3587" s="124" t="str">
        <f>IFERROR(__xludf.DUMMYFUNCTION("""COMPUTED_VALUE"""),"Walkin")</f>
        <v>Walkin</v>
      </c>
      <c r="W3587" s="124" t="str">
        <f>IFERROR(__xludf.DUMMYFUNCTION("""COMPUTED_VALUE"""),"Lucknow")</f>
        <v>Lucknow</v>
      </c>
      <c r="X3587" s="124" t="str">
        <f>IFERROR(__xludf.DUMMYFUNCTION("""COMPUTED_VALUE"""),"Walkin")</f>
        <v>Walkin</v>
      </c>
      <c r="Y3587" s="124" t="str">
        <f>IFERROR(__xludf.DUMMYFUNCTION("""COMPUTED_VALUE"""),"Lucknow")</f>
        <v>Lucknow</v>
      </c>
      <c r="Z3587" s="124">
        <f>IFERROR(__xludf.DUMMYFUNCTION("""COMPUTED_VALUE"""),1.0)</f>
        <v>1</v>
      </c>
      <c r="AA3587" s="124" t="str">
        <f>IFERROR(__xludf.DUMMYFUNCTION("""COMPUTED_VALUE"""),"Cold")</f>
        <v>Cold</v>
      </c>
      <c r="AB3587" s="124" t="str">
        <f>IFERROR(__xludf.DUMMYFUNCTION("""COMPUTED_VALUE"""),"GS Foundation")</f>
        <v>GS Foundation</v>
      </c>
    </row>
    <row r="3588">
      <c r="K3588" s="124"/>
      <c r="L3588" s="124"/>
      <c r="M3588" s="124"/>
      <c r="N3588" s="124"/>
      <c r="O3588" s="124"/>
      <c r="T3588" s="129">
        <f>IFERROR(__xludf.DUMMYFUNCTION("""COMPUTED_VALUE"""),46057.0)</f>
        <v>46057</v>
      </c>
      <c r="U3588" s="124" t="str">
        <f>IFERROR(__xludf.DUMMYFUNCTION("""COMPUTED_VALUE"""),"Walk-Ins")</f>
        <v>Walk-Ins</v>
      </c>
      <c r="V3588" s="124" t="str">
        <f>IFERROR(__xludf.DUMMYFUNCTION("""COMPUTED_VALUE"""),"Walk-In")</f>
        <v>Walk-In</v>
      </c>
      <c r="W3588" s="124" t="str">
        <f>IFERROR(__xludf.DUMMYFUNCTION("""COMPUTED_VALUE"""),"Patna")</f>
        <v>Patna</v>
      </c>
      <c r="X3588" s="124" t="str">
        <f>IFERROR(__xludf.DUMMYFUNCTION("""COMPUTED_VALUE"""),"Others")</f>
        <v>Others</v>
      </c>
      <c r="Y3588" s="124" t="str">
        <f>IFERROR(__xludf.DUMMYFUNCTION("""COMPUTED_VALUE"""),"Patna")</f>
        <v>Patna</v>
      </c>
      <c r="Z3588" s="124">
        <f>IFERROR(__xludf.DUMMYFUNCTION("""COMPUTED_VALUE"""),1.0)</f>
        <v>1</v>
      </c>
      <c r="AA3588" s="124" t="str">
        <f>IFERROR(__xludf.DUMMYFUNCTION("""COMPUTED_VALUE"""),"Not Interested")</f>
        <v>Not Interested</v>
      </c>
      <c r="AB3588" s="124" t="str">
        <f>IFERROR(__xludf.DUMMYFUNCTION("""COMPUTED_VALUE"""),"State PCS")</f>
        <v>State PCS</v>
      </c>
    </row>
    <row r="3589">
      <c r="K3589" s="124"/>
      <c r="L3589" s="124"/>
      <c r="M3589" s="124"/>
      <c r="N3589" s="124"/>
      <c r="O3589" s="124"/>
      <c r="T3589" s="129">
        <f>IFERROR(__xludf.DUMMYFUNCTION("""COMPUTED_VALUE"""),46060.0)</f>
        <v>46060</v>
      </c>
      <c r="U3589" s="124" t="str">
        <f>IFERROR(__xludf.DUMMYFUNCTION("""COMPUTED_VALUE"""),"Walk-Ins")</f>
        <v>Walk-Ins</v>
      </c>
      <c r="V3589" s="124" t="str">
        <f>IFERROR(__xludf.DUMMYFUNCTION("""COMPUTED_VALUE"""),"Walkin")</f>
        <v>Walkin</v>
      </c>
      <c r="W3589" s="124" t="str">
        <f>IFERROR(__xludf.DUMMYFUNCTION("""COMPUTED_VALUE"""),"Lucknow")</f>
        <v>Lucknow</v>
      </c>
      <c r="X3589" s="124" t="str">
        <f>IFERROR(__xludf.DUMMYFUNCTION("""COMPUTED_VALUE"""),"Walkin")</f>
        <v>Walkin</v>
      </c>
      <c r="Y3589" s="124" t="str">
        <f>IFERROR(__xludf.DUMMYFUNCTION("""COMPUTED_VALUE"""),"Lucknow")</f>
        <v>Lucknow</v>
      </c>
      <c r="Z3589" s="124">
        <f>IFERROR(__xludf.DUMMYFUNCTION("""COMPUTED_VALUE"""),2.0)</f>
        <v>2</v>
      </c>
      <c r="AA3589" s="124" t="str">
        <f>IFERROR(__xludf.DUMMYFUNCTION("""COMPUTED_VALUE"""),"Cold")</f>
        <v>Cold</v>
      </c>
      <c r="AB3589" s="124" t="str">
        <f>IFERROR(__xludf.DUMMYFUNCTION("""COMPUTED_VALUE"""),"IGP UPPSC")</f>
        <v>IGP UPPSC</v>
      </c>
    </row>
    <row r="3590">
      <c r="K3590" s="124"/>
      <c r="L3590" s="124"/>
      <c r="M3590" s="124"/>
      <c r="N3590" s="124"/>
      <c r="O3590" s="124"/>
      <c r="T3590" s="129">
        <f>IFERROR(__xludf.DUMMYFUNCTION("""COMPUTED_VALUE"""),46058.0)</f>
        <v>46058</v>
      </c>
      <c r="U3590" s="124" t="str">
        <f>IFERROR(__xludf.DUMMYFUNCTION("""COMPUTED_VALUE"""),"Walk-Ins")</f>
        <v>Walk-Ins</v>
      </c>
      <c r="V3590" s="124" t="str">
        <f>IFERROR(__xludf.DUMMYFUNCTION("""COMPUTED_VALUE"""),"Walkin")</f>
        <v>Walkin</v>
      </c>
      <c r="W3590" s="124" t="str">
        <f>IFERROR(__xludf.DUMMYFUNCTION("""COMPUTED_VALUE"""),"Prayagraj")</f>
        <v>Prayagraj</v>
      </c>
      <c r="X3590" s="124" t="str">
        <f>IFERROR(__xludf.DUMMYFUNCTION("""COMPUTED_VALUE"""),"Walkin")</f>
        <v>Walkin</v>
      </c>
      <c r="Y3590" s="124" t="str">
        <f>IFERROR(__xludf.DUMMYFUNCTION("""COMPUTED_VALUE"""),"Prayagraj")</f>
        <v>Prayagraj</v>
      </c>
      <c r="Z3590" s="124">
        <f>IFERROR(__xludf.DUMMYFUNCTION("""COMPUTED_VALUE"""),1.0)</f>
        <v>1</v>
      </c>
      <c r="AA3590" s="124" t="str">
        <f>IFERROR(__xludf.DUMMYFUNCTION("""COMPUTED_VALUE"""),"Warm")</f>
        <v>Warm</v>
      </c>
      <c r="AB3590" s="124" t="str">
        <f>IFERROR(__xludf.DUMMYFUNCTION("""COMPUTED_VALUE"""),"GS Foundation")</f>
        <v>GS Foundation</v>
      </c>
    </row>
    <row r="3591">
      <c r="K3591" s="124"/>
      <c r="L3591" s="124"/>
      <c r="M3591" s="124"/>
      <c r="N3591" s="124"/>
      <c r="O3591" s="124"/>
      <c r="T3591" s="129">
        <f>IFERROR(__xludf.DUMMYFUNCTION("""COMPUTED_VALUE"""),46059.0)</f>
        <v>46059</v>
      </c>
      <c r="U3591" s="124" t="str">
        <f>IFERROR(__xludf.DUMMYFUNCTION("""COMPUTED_VALUE"""),"Walk-Ins")</f>
        <v>Walk-Ins</v>
      </c>
      <c r="V3591" s="124" t="str">
        <f>IFERROR(__xludf.DUMMYFUNCTION("""COMPUTED_VALUE"""),"Walkin")</f>
        <v>Walkin</v>
      </c>
      <c r="W3591" s="124" t="str">
        <f>IFERROR(__xludf.DUMMYFUNCTION("""COMPUTED_VALUE"""),"Patna")</f>
        <v>Patna</v>
      </c>
      <c r="X3591" s="124" t="str">
        <f>IFERROR(__xludf.DUMMYFUNCTION("""COMPUTED_VALUE"""),"Walkin")</f>
        <v>Walkin</v>
      </c>
      <c r="Y3591" s="124" t="str">
        <f>IFERROR(__xludf.DUMMYFUNCTION("""COMPUTED_VALUE"""),"Patna")</f>
        <v>Patna</v>
      </c>
      <c r="Z3591" s="124">
        <f>IFERROR(__xludf.DUMMYFUNCTION("""COMPUTED_VALUE"""),1.0)</f>
        <v>1</v>
      </c>
      <c r="AA3591" s="124" t="str">
        <f>IFERROR(__xludf.DUMMYFUNCTION("""COMPUTED_VALUE"""),"Future Prospects")</f>
        <v>Future Prospects</v>
      </c>
      <c r="AB3591" s="124" t="str">
        <f>IFERROR(__xludf.DUMMYFUNCTION("""COMPUTED_VALUE"""),"State PCS")</f>
        <v>State PCS</v>
      </c>
    </row>
    <row r="3592">
      <c r="K3592" s="124"/>
      <c r="L3592" s="124"/>
      <c r="M3592" s="124"/>
      <c r="N3592" s="124"/>
      <c r="O3592" s="124"/>
      <c r="T3592" s="126">
        <f>IFERROR(__xludf.DUMMYFUNCTION("""COMPUTED_VALUE"""),46101.0)</f>
        <v>46101</v>
      </c>
      <c r="U3592" s="124" t="str">
        <f>IFERROR(__xludf.DUMMYFUNCTION("""COMPUTED_VALUE"""),"Walk-Ins")</f>
        <v>Walk-Ins</v>
      </c>
      <c r="V3592" s="124" t="str">
        <f>IFERROR(__xludf.DUMMYFUNCTION("""COMPUTED_VALUE"""),"Walkin")</f>
        <v>Walkin</v>
      </c>
      <c r="W3592" s="124" t="str">
        <f>IFERROR(__xludf.DUMMYFUNCTION("""COMPUTED_VALUE"""),"Prayagraj")</f>
        <v>Prayagraj</v>
      </c>
      <c r="X3592" s="124" t="str">
        <f>IFERROR(__xludf.DUMMYFUNCTION("""COMPUTED_VALUE"""),"Walkin")</f>
        <v>Walkin</v>
      </c>
      <c r="Y3592" s="124" t="str">
        <f>IFERROR(__xludf.DUMMYFUNCTION("""COMPUTED_VALUE"""),"Prayagraj")</f>
        <v>Prayagraj</v>
      </c>
      <c r="Z3592" s="124">
        <f>IFERROR(__xludf.DUMMYFUNCTION("""COMPUTED_VALUE"""),1.0)</f>
        <v>1</v>
      </c>
      <c r="AA3592" s="124" t="str">
        <f>IFERROR(__xludf.DUMMYFUNCTION("""COMPUTED_VALUE"""),"Enrolled")</f>
        <v>Enrolled</v>
      </c>
      <c r="AB3592" s="124" t="str">
        <f>IFERROR(__xludf.DUMMYFUNCTION("""COMPUTED_VALUE"""),"Mentorship")</f>
        <v>Mentorship</v>
      </c>
    </row>
    <row r="3593">
      <c r="K3593" s="124"/>
      <c r="L3593" s="124"/>
      <c r="M3593" s="124"/>
      <c r="N3593" s="124"/>
      <c r="O3593" s="124"/>
      <c r="T3593" s="129">
        <f>IFERROR(__xludf.DUMMYFUNCTION("""COMPUTED_VALUE"""),46058.0)</f>
        <v>46058</v>
      </c>
      <c r="U3593" s="124" t="str">
        <f>IFERROR(__xludf.DUMMYFUNCTION("""COMPUTED_VALUE"""),"Walk-Ins")</f>
        <v>Walk-Ins</v>
      </c>
      <c r="V3593" s="124" t="str">
        <f>IFERROR(__xludf.DUMMYFUNCTION("""COMPUTED_VALUE"""),"Walkin")</f>
        <v>Walkin</v>
      </c>
      <c r="W3593" s="124" t="str">
        <f>IFERROR(__xludf.DUMMYFUNCTION("""COMPUTED_VALUE"""),"Indore")</f>
        <v>Indore</v>
      </c>
      <c r="X3593" s="124" t="str">
        <f>IFERROR(__xludf.DUMMYFUNCTION("""COMPUTED_VALUE"""),"Walkin")</f>
        <v>Walkin</v>
      </c>
      <c r="Y3593" s="124" t="str">
        <f>IFERROR(__xludf.DUMMYFUNCTION("""COMPUTED_VALUE"""),"Indore")</f>
        <v>Indore</v>
      </c>
      <c r="Z3593" s="124">
        <f>IFERROR(__xludf.DUMMYFUNCTION("""COMPUTED_VALUE"""),1.0)</f>
        <v>1</v>
      </c>
      <c r="AA3593" s="124" t="str">
        <f>IFERROR(__xludf.DUMMYFUNCTION("""COMPUTED_VALUE"""),"Not Interested")</f>
        <v>Not Interested</v>
      </c>
      <c r="AB3593" s="124" t="str">
        <f>IFERROR(__xludf.DUMMYFUNCTION("""COMPUTED_VALUE"""),"Mentorship")</f>
        <v>Mentorship</v>
      </c>
    </row>
    <row r="3594">
      <c r="K3594" s="124"/>
      <c r="L3594" s="124"/>
      <c r="M3594" s="124"/>
      <c r="N3594" s="124"/>
      <c r="O3594" s="124"/>
      <c r="T3594" s="126">
        <f>IFERROR(__xludf.DUMMYFUNCTION("""COMPUTED_VALUE"""),46103.0)</f>
        <v>46103</v>
      </c>
      <c r="U3594" s="124" t="str">
        <f>IFERROR(__xludf.DUMMYFUNCTION("""COMPUTED_VALUE"""),"Walk-Ins")</f>
        <v>Walk-Ins</v>
      </c>
      <c r="V3594" s="124" t="str">
        <f>IFERROR(__xludf.DUMMYFUNCTION("""COMPUTED_VALUE"""),"Walkin")</f>
        <v>Walkin</v>
      </c>
      <c r="W3594" s="124" t="str">
        <f>IFERROR(__xludf.DUMMYFUNCTION("""COMPUTED_VALUE"""),"Indore")</f>
        <v>Indore</v>
      </c>
      <c r="X3594" s="124" t="str">
        <f>IFERROR(__xludf.DUMMYFUNCTION("""COMPUTED_VALUE"""),"Walkin")</f>
        <v>Walkin</v>
      </c>
      <c r="Y3594" s="124" t="str">
        <f>IFERROR(__xludf.DUMMYFUNCTION("""COMPUTED_VALUE"""),"Indore")</f>
        <v>Indore</v>
      </c>
      <c r="Z3594" s="124">
        <f>IFERROR(__xludf.DUMMYFUNCTION("""COMPUTED_VALUE"""),1.0)</f>
        <v>1</v>
      </c>
      <c r="AA3594" s="124" t="str">
        <f>IFERROR(__xludf.DUMMYFUNCTION("""COMPUTED_VALUE"""),"Interested")</f>
        <v>Interested</v>
      </c>
      <c r="AB3594" s="124" t="str">
        <f>IFERROR(__xludf.DUMMYFUNCTION("""COMPUTED_VALUE"""),"GS Foundation")</f>
        <v>GS Foundation</v>
      </c>
    </row>
    <row r="3595">
      <c r="K3595" s="124"/>
      <c r="L3595" s="124"/>
      <c r="M3595" s="124"/>
      <c r="N3595" s="124"/>
      <c r="O3595" s="124"/>
      <c r="T3595" s="129">
        <f>IFERROR(__xludf.DUMMYFUNCTION("""COMPUTED_VALUE"""),46087.0)</f>
        <v>46087</v>
      </c>
      <c r="U3595" s="124" t="str">
        <f>IFERROR(__xludf.DUMMYFUNCTION("""COMPUTED_VALUE"""),"Walk-Ins")</f>
        <v>Walk-Ins</v>
      </c>
      <c r="V3595" s="124" t="str">
        <f>IFERROR(__xludf.DUMMYFUNCTION("""COMPUTED_VALUE"""),"Walkin")</f>
        <v>Walkin</v>
      </c>
      <c r="W3595" s="124" t="str">
        <f>IFERROR(__xludf.DUMMYFUNCTION("""COMPUTED_VALUE"""),"Patna")</f>
        <v>Patna</v>
      </c>
      <c r="X3595" s="124" t="str">
        <f>IFERROR(__xludf.DUMMYFUNCTION("""COMPUTED_VALUE"""),"Walkin")</f>
        <v>Walkin</v>
      </c>
      <c r="Y3595" s="124" t="str">
        <f>IFERROR(__xludf.DUMMYFUNCTION("""COMPUTED_VALUE"""),"Patna")</f>
        <v>Patna</v>
      </c>
      <c r="Z3595" s="124">
        <f>IFERROR(__xludf.DUMMYFUNCTION("""COMPUTED_VALUE"""),1.0)</f>
        <v>1</v>
      </c>
      <c r="AA3595" s="124" t="str">
        <f>IFERROR(__xludf.DUMMYFUNCTION("""COMPUTED_VALUE"""),"Future Prospects")</f>
        <v>Future Prospects</v>
      </c>
      <c r="AB3595" s="124" t="str">
        <f>IFERROR(__xludf.DUMMYFUNCTION("""COMPUTED_VALUE"""),"Hybrid")</f>
        <v>Hybrid</v>
      </c>
    </row>
    <row r="3596">
      <c r="K3596" s="124"/>
      <c r="L3596" s="124"/>
      <c r="M3596" s="124"/>
      <c r="N3596" s="124"/>
      <c r="O3596" s="124"/>
      <c r="T3596" s="126">
        <f>IFERROR(__xludf.DUMMYFUNCTION("""COMPUTED_VALUE"""),46049.0)</f>
        <v>46049</v>
      </c>
      <c r="U3596" s="124" t="str">
        <f>IFERROR(__xludf.DUMMYFUNCTION("""COMPUTED_VALUE"""),"Walk-Ins")</f>
        <v>Walk-Ins</v>
      </c>
      <c r="V3596" s="124" t="str">
        <f>IFERROR(__xludf.DUMMYFUNCTION("""COMPUTED_VALUE"""),"Walkin")</f>
        <v>Walkin</v>
      </c>
      <c r="W3596" s="124" t="str">
        <f>IFERROR(__xludf.DUMMYFUNCTION("""COMPUTED_VALUE"""),"Prayagraj")</f>
        <v>Prayagraj</v>
      </c>
      <c r="X3596" s="124" t="str">
        <f>IFERROR(__xludf.DUMMYFUNCTION("""COMPUTED_VALUE"""),"Walkin")</f>
        <v>Walkin</v>
      </c>
      <c r="Y3596" s="124" t="str">
        <f>IFERROR(__xludf.DUMMYFUNCTION("""COMPUTED_VALUE"""),"Prayagraj")</f>
        <v>Prayagraj</v>
      </c>
      <c r="Z3596" s="124">
        <f>IFERROR(__xludf.DUMMYFUNCTION("""COMPUTED_VALUE"""),1.0)</f>
        <v>1</v>
      </c>
      <c r="AA3596" s="124" t="str">
        <f>IFERROR(__xludf.DUMMYFUNCTION("""COMPUTED_VALUE"""),"Not Interested")</f>
        <v>Not Interested</v>
      </c>
      <c r="AB3596" s="124" t="str">
        <f>IFERROR(__xludf.DUMMYFUNCTION("""COMPUTED_VALUE"""),"GS Foundation")</f>
        <v>GS Foundation</v>
      </c>
    </row>
    <row r="3597">
      <c r="K3597" s="124"/>
      <c r="L3597" s="124"/>
      <c r="M3597" s="124"/>
      <c r="N3597" s="124"/>
      <c r="O3597" s="124"/>
      <c r="T3597" s="129">
        <f>IFERROR(__xludf.DUMMYFUNCTION("""COMPUTED_VALUE"""),46060.0)</f>
        <v>46060</v>
      </c>
      <c r="U3597" s="124" t="str">
        <f>IFERROR(__xludf.DUMMYFUNCTION("""COMPUTED_VALUE"""),"Walk-Ins")</f>
        <v>Walk-Ins</v>
      </c>
      <c r="V3597" s="124" t="str">
        <f>IFERROR(__xludf.DUMMYFUNCTION("""COMPUTED_VALUE"""),"Walkin")</f>
        <v>Walkin</v>
      </c>
      <c r="W3597" s="124" t="str">
        <f>IFERROR(__xludf.DUMMYFUNCTION("""COMPUTED_VALUE"""),"Patna")</f>
        <v>Patna</v>
      </c>
      <c r="X3597" s="124" t="str">
        <f>IFERROR(__xludf.DUMMYFUNCTION("""COMPUTED_VALUE"""),"Walkin")</f>
        <v>Walkin</v>
      </c>
      <c r="Y3597" s="124" t="str">
        <f>IFERROR(__xludf.DUMMYFUNCTION("""COMPUTED_VALUE"""),"Patna")</f>
        <v>Patna</v>
      </c>
      <c r="Z3597" s="124">
        <f>IFERROR(__xludf.DUMMYFUNCTION("""COMPUTED_VALUE"""),1.0)</f>
        <v>1</v>
      </c>
      <c r="AA3597" s="124" t="str">
        <f>IFERROR(__xludf.DUMMYFUNCTION("""COMPUTED_VALUE"""),"Cold")</f>
        <v>Cold</v>
      </c>
      <c r="AB3597" s="124" t="str">
        <f>IFERROR(__xludf.DUMMYFUNCTION("""COMPUTED_VALUE"""),"Other")</f>
        <v>Other</v>
      </c>
    </row>
    <row r="3598">
      <c r="K3598" s="124"/>
      <c r="L3598" s="124"/>
      <c r="M3598" s="124"/>
      <c r="N3598" s="124"/>
      <c r="O3598" s="124"/>
      <c r="T3598" s="126">
        <f>IFERROR(__xludf.DUMMYFUNCTION("""COMPUTED_VALUE"""),46092.0)</f>
        <v>46092</v>
      </c>
      <c r="U3598" s="124" t="str">
        <f>IFERROR(__xludf.DUMMYFUNCTION("""COMPUTED_VALUE"""),"Walk-Ins")</f>
        <v>Walk-Ins</v>
      </c>
      <c r="V3598" s="124" t="str">
        <f>IFERROR(__xludf.DUMMYFUNCTION("""COMPUTED_VALUE"""),"Walkin")</f>
        <v>Walkin</v>
      </c>
      <c r="W3598" s="124" t="str">
        <f>IFERROR(__xludf.DUMMYFUNCTION("""COMPUTED_VALUE"""),"Prayagraj")</f>
        <v>Prayagraj</v>
      </c>
      <c r="X3598" s="124" t="str">
        <f>IFERROR(__xludf.DUMMYFUNCTION("""COMPUTED_VALUE"""),"Walkin")</f>
        <v>Walkin</v>
      </c>
      <c r="Y3598" s="124" t="str">
        <f>IFERROR(__xludf.DUMMYFUNCTION("""COMPUTED_VALUE"""),"Prayagraj")</f>
        <v>Prayagraj</v>
      </c>
      <c r="Z3598" s="124">
        <f>IFERROR(__xludf.DUMMYFUNCTION("""COMPUTED_VALUE"""),1.0)</f>
        <v>1</v>
      </c>
      <c r="AA3598" s="124" t="str">
        <f>IFERROR(__xludf.DUMMYFUNCTION("""COMPUTED_VALUE"""),"Enrolled")</f>
        <v>Enrolled</v>
      </c>
      <c r="AB3598" s="124" t="str">
        <f>IFERROR(__xludf.DUMMYFUNCTION("""COMPUTED_VALUE"""),"GS Foundation")</f>
        <v>GS Foundation</v>
      </c>
    </row>
    <row r="3599">
      <c r="K3599" s="124"/>
      <c r="L3599" s="124"/>
      <c r="M3599" s="124"/>
      <c r="N3599" s="124"/>
      <c r="O3599" s="124"/>
      <c r="T3599" s="126">
        <f>IFERROR(__xludf.DUMMYFUNCTION("""COMPUTED_VALUE"""),46105.0)</f>
        <v>46105</v>
      </c>
      <c r="U3599" s="124" t="str">
        <f>IFERROR(__xludf.DUMMYFUNCTION("""COMPUTED_VALUE"""),"Walk-Ins")</f>
        <v>Walk-Ins</v>
      </c>
      <c r="V3599" s="124" t="str">
        <f>IFERROR(__xludf.DUMMYFUNCTION("""COMPUTED_VALUE"""),"Walkin")</f>
        <v>Walkin</v>
      </c>
      <c r="W3599" s="124" t="str">
        <f>IFERROR(__xludf.DUMMYFUNCTION("""COMPUTED_VALUE"""),"Patna")</f>
        <v>Patna</v>
      </c>
      <c r="X3599" s="124" t="str">
        <f>IFERROR(__xludf.DUMMYFUNCTION("""COMPUTED_VALUE"""),"Walkin")</f>
        <v>Walkin</v>
      </c>
      <c r="Y3599" s="124" t="str">
        <f>IFERROR(__xludf.DUMMYFUNCTION("""COMPUTED_VALUE"""),"Patna")</f>
        <v>Patna</v>
      </c>
      <c r="Z3599" s="124">
        <f>IFERROR(__xludf.DUMMYFUNCTION("""COMPUTED_VALUE"""),1.0)</f>
        <v>1</v>
      </c>
      <c r="AA3599" s="124" t="str">
        <f>IFERROR(__xludf.DUMMYFUNCTION("""COMPUTED_VALUE"""),"Fake Lead")</f>
        <v>Fake Lead</v>
      </c>
      <c r="AB3599" s="124" t="str">
        <f>IFERROR(__xludf.DUMMYFUNCTION("""COMPUTED_VALUE"""),"GS Foundation")</f>
        <v>GS Foundation</v>
      </c>
    </row>
    <row r="3600">
      <c r="K3600" s="124"/>
      <c r="L3600" s="124"/>
      <c r="M3600" s="124"/>
      <c r="N3600" s="124"/>
      <c r="O3600" s="124"/>
      <c r="T3600" s="129">
        <f>IFERROR(__xludf.DUMMYFUNCTION("""COMPUTED_VALUE"""),46062.0)</f>
        <v>46062</v>
      </c>
      <c r="U3600" s="124" t="str">
        <f>IFERROR(__xludf.DUMMYFUNCTION("""COMPUTED_VALUE"""),"Walk-Ins")</f>
        <v>Walk-Ins</v>
      </c>
      <c r="V3600" s="124" t="str">
        <f>IFERROR(__xludf.DUMMYFUNCTION("""COMPUTED_VALUE"""),"Walkin")</f>
        <v>Walkin</v>
      </c>
      <c r="W3600" s="124" t="str">
        <f>IFERROR(__xludf.DUMMYFUNCTION("""COMPUTED_VALUE"""),"Prayagraj")</f>
        <v>Prayagraj</v>
      </c>
      <c r="X3600" s="124" t="str">
        <f>IFERROR(__xludf.DUMMYFUNCTION("""COMPUTED_VALUE"""),"Walkin")</f>
        <v>Walkin</v>
      </c>
      <c r="Y3600" s="124" t="str">
        <f>IFERROR(__xludf.DUMMYFUNCTION("""COMPUTED_VALUE"""),"Prayagraj")</f>
        <v>Prayagraj</v>
      </c>
      <c r="Z3600" s="124">
        <f>IFERROR(__xludf.DUMMYFUNCTION("""COMPUTED_VALUE"""),2.0)</f>
        <v>2</v>
      </c>
      <c r="AA3600" s="124" t="str">
        <f>IFERROR(__xludf.DUMMYFUNCTION("""COMPUTED_VALUE"""),"Fake Lead")</f>
        <v>Fake Lead</v>
      </c>
      <c r="AB3600" s="124" t="str">
        <f>IFERROR(__xludf.DUMMYFUNCTION("""COMPUTED_VALUE"""),"GS Foundation")</f>
        <v>GS Foundation</v>
      </c>
    </row>
    <row r="3601">
      <c r="K3601" s="124"/>
      <c r="L3601" s="124"/>
      <c r="M3601" s="124"/>
      <c r="N3601" s="124"/>
      <c r="O3601" s="124"/>
      <c r="T3601" s="126">
        <f>IFERROR(__xludf.DUMMYFUNCTION("""COMPUTED_VALUE"""),46106.0)</f>
        <v>46106</v>
      </c>
      <c r="U3601" s="124" t="str">
        <f>IFERROR(__xludf.DUMMYFUNCTION("""COMPUTED_VALUE"""),"Walk-Ins")</f>
        <v>Walk-Ins</v>
      </c>
      <c r="V3601" s="124" t="str">
        <f>IFERROR(__xludf.DUMMYFUNCTION("""COMPUTED_VALUE"""),"Walkin")</f>
        <v>Walkin</v>
      </c>
      <c r="W3601" s="124" t="str">
        <f>IFERROR(__xludf.DUMMYFUNCTION("""COMPUTED_VALUE"""),"Prayagraj")</f>
        <v>Prayagraj</v>
      </c>
      <c r="X3601" s="124" t="str">
        <f>IFERROR(__xludf.DUMMYFUNCTION("""COMPUTED_VALUE"""),"Walkin")</f>
        <v>Walkin</v>
      </c>
      <c r="Y3601" s="124" t="str">
        <f>IFERROR(__xludf.DUMMYFUNCTION("""COMPUTED_VALUE"""),"Prayagraj")</f>
        <v>Prayagraj</v>
      </c>
      <c r="Z3601" s="124">
        <f>IFERROR(__xludf.DUMMYFUNCTION("""COMPUTED_VALUE"""),1.0)</f>
        <v>1</v>
      </c>
      <c r="AA3601" s="124" t="str">
        <f>IFERROR(__xludf.DUMMYFUNCTION("""COMPUTED_VALUE"""),"Warm")</f>
        <v>Warm</v>
      </c>
      <c r="AB3601" s="124" t="str">
        <f>IFERROR(__xludf.DUMMYFUNCTION("""COMPUTED_VALUE"""),"Mentorship")</f>
        <v>Mentorship</v>
      </c>
    </row>
    <row r="3602">
      <c r="K3602" s="124"/>
      <c r="L3602" s="124"/>
      <c r="M3602" s="124"/>
      <c r="N3602" s="124"/>
      <c r="O3602" s="124"/>
      <c r="T3602" s="126">
        <f>IFERROR(__xludf.DUMMYFUNCTION("""COMPUTED_VALUE"""),46110.0)</f>
        <v>46110</v>
      </c>
      <c r="U3602" s="124" t="str">
        <f>IFERROR(__xludf.DUMMYFUNCTION("""COMPUTED_VALUE"""),"Walk-Ins")</f>
        <v>Walk-Ins</v>
      </c>
      <c r="V3602" s="124" t="str">
        <f>IFERROR(__xludf.DUMMYFUNCTION("""COMPUTED_VALUE"""),"Walkin")</f>
        <v>Walkin</v>
      </c>
      <c r="W3602" s="124" t="str">
        <f>IFERROR(__xludf.DUMMYFUNCTION("""COMPUTED_VALUE"""),"Patna")</f>
        <v>Patna</v>
      </c>
      <c r="X3602" s="124" t="str">
        <f>IFERROR(__xludf.DUMMYFUNCTION("""COMPUTED_VALUE"""),"Walkin")</f>
        <v>Walkin</v>
      </c>
      <c r="Y3602" s="124" t="str">
        <f>IFERROR(__xludf.DUMMYFUNCTION("""COMPUTED_VALUE"""),"Patna")</f>
        <v>Patna</v>
      </c>
      <c r="Z3602" s="124">
        <f>IFERROR(__xludf.DUMMYFUNCTION("""COMPUTED_VALUE"""),2.0)</f>
        <v>2</v>
      </c>
      <c r="AA3602" s="124" t="str">
        <f>IFERROR(__xludf.DUMMYFUNCTION("""COMPUTED_VALUE"""),"Warm")</f>
        <v>Warm</v>
      </c>
      <c r="AB3602" s="124" t="str">
        <f>IFERROR(__xludf.DUMMYFUNCTION("""COMPUTED_VALUE"""),"GS Advanced")</f>
        <v>GS Advanced</v>
      </c>
    </row>
    <row r="3603">
      <c r="K3603" s="124"/>
      <c r="L3603" s="124"/>
      <c r="M3603" s="124"/>
      <c r="N3603" s="124"/>
      <c r="O3603" s="124"/>
      <c r="T3603" s="126">
        <f>IFERROR(__xludf.DUMMYFUNCTION("""COMPUTED_VALUE"""),46092.0)</f>
        <v>46092</v>
      </c>
      <c r="U3603" s="124" t="str">
        <f>IFERROR(__xludf.DUMMYFUNCTION("""COMPUTED_VALUE"""),"Walk-Ins")</f>
        <v>Walk-Ins</v>
      </c>
      <c r="V3603" s="124" t="str">
        <f>IFERROR(__xludf.DUMMYFUNCTION("""COMPUTED_VALUE"""),"Walkin")</f>
        <v>Walkin</v>
      </c>
      <c r="W3603" s="124" t="str">
        <f>IFERROR(__xludf.DUMMYFUNCTION("""COMPUTED_VALUE"""),"Indore")</f>
        <v>Indore</v>
      </c>
      <c r="X3603" s="124" t="str">
        <f>IFERROR(__xludf.DUMMYFUNCTION("""COMPUTED_VALUE"""),"Walkin")</f>
        <v>Walkin</v>
      </c>
      <c r="Y3603" s="124" t="str">
        <f>IFERROR(__xludf.DUMMYFUNCTION("""COMPUTED_VALUE"""),"Indore")</f>
        <v>Indore</v>
      </c>
      <c r="Z3603" s="124">
        <f>IFERROR(__xludf.DUMMYFUNCTION("""COMPUTED_VALUE"""),1.0)</f>
        <v>1</v>
      </c>
      <c r="AA3603" s="124" t="str">
        <f>IFERROR(__xludf.DUMMYFUNCTION("""COMPUTED_VALUE"""),"Fake Lead")</f>
        <v>Fake Lead</v>
      </c>
      <c r="AB3603" s="124" t="str">
        <f>IFERROR(__xludf.DUMMYFUNCTION("""COMPUTED_VALUE"""),"State PCS")</f>
        <v>State PCS</v>
      </c>
    </row>
    <row r="3604">
      <c r="K3604" s="124"/>
      <c r="L3604" s="124"/>
      <c r="M3604" s="124"/>
      <c r="N3604" s="124"/>
      <c r="O3604" s="124"/>
      <c r="T3604" s="126">
        <f>IFERROR(__xludf.DUMMYFUNCTION("""COMPUTED_VALUE"""),46046.0)</f>
        <v>46046</v>
      </c>
      <c r="U3604" s="124" t="str">
        <f>IFERROR(__xludf.DUMMYFUNCTION("""COMPUTED_VALUE"""),"Walk-Ins")</f>
        <v>Walk-Ins</v>
      </c>
      <c r="V3604" s="124" t="str">
        <f>IFERROR(__xludf.DUMMYFUNCTION("""COMPUTED_VALUE"""),"Walkin")</f>
        <v>Walkin</v>
      </c>
      <c r="W3604" s="124" t="str">
        <f>IFERROR(__xludf.DUMMYFUNCTION("""COMPUTED_VALUE"""),"Indore")</f>
        <v>Indore</v>
      </c>
      <c r="X3604" s="124" t="str">
        <f>IFERROR(__xludf.DUMMYFUNCTION("""COMPUTED_VALUE"""),"Walkin")</f>
        <v>Walkin</v>
      </c>
      <c r="Y3604" s="124" t="str">
        <f>IFERROR(__xludf.DUMMYFUNCTION("""COMPUTED_VALUE"""),"Indore")</f>
        <v>Indore</v>
      </c>
      <c r="Z3604" s="124">
        <f>IFERROR(__xludf.DUMMYFUNCTION("""COMPUTED_VALUE"""),2.0)</f>
        <v>2</v>
      </c>
      <c r="AA3604" s="124" t="str">
        <f>IFERROR(__xludf.DUMMYFUNCTION("""COMPUTED_VALUE"""),"Not Interested")</f>
        <v>Not Interested</v>
      </c>
      <c r="AB3604" s="124" t="str">
        <f>IFERROR(__xludf.DUMMYFUNCTION("""COMPUTED_VALUE"""),"State PCS")</f>
        <v>State PCS</v>
      </c>
    </row>
    <row r="3605">
      <c r="K3605" s="124"/>
      <c r="L3605" s="124"/>
      <c r="M3605" s="124"/>
      <c r="N3605" s="124"/>
      <c r="O3605" s="124"/>
      <c r="T3605" s="126">
        <f>IFERROR(__xludf.DUMMYFUNCTION("""COMPUTED_VALUE"""),46043.0)</f>
        <v>46043</v>
      </c>
      <c r="U3605" s="124" t="str">
        <f>IFERROR(__xludf.DUMMYFUNCTION("""COMPUTED_VALUE"""),"Walk-Ins")</f>
        <v>Walk-Ins</v>
      </c>
      <c r="V3605" s="124" t="str">
        <f>IFERROR(__xludf.DUMMYFUNCTION("""COMPUTED_VALUE"""),"Walkin")</f>
        <v>Walkin</v>
      </c>
      <c r="W3605" s="124" t="str">
        <f>IFERROR(__xludf.DUMMYFUNCTION("""COMPUTED_VALUE"""),"Indore")</f>
        <v>Indore</v>
      </c>
      <c r="X3605" s="124" t="str">
        <f>IFERROR(__xludf.DUMMYFUNCTION("""COMPUTED_VALUE"""),"Walkin")</f>
        <v>Walkin</v>
      </c>
      <c r="Y3605" s="124" t="str">
        <f>IFERROR(__xludf.DUMMYFUNCTION("""COMPUTED_VALUE"""),"Indore")</f>
        <v>Indore</v>
      </c>
      <c r="Z3605" s="124">
        <f>IFERROR(__xludf.DUMMYFUNCTION("""COMPUTED_VALUE"""),2.0)</f>
        <v>2</v>
      </c>
      <c r="AA3605" s="124" t="str">
        <f>IFERROR(__xludf.DUMMYFUNCTION("""COMPUTED_VALUE"""),"Future Prospects")</f>
        <v>Future Prospects</v>
      </c>
      <c r="AB3605" s="124" t="str">
        <f>IFERROR(__xludf.DUMMYFUNCTION("""COMPUTED_VALUE"""),"GS Foundation")</f>
        <v>GS Foundation</v>
      </c>
    </row>
    <row r="3606">
      <c r="K3606" s="124"/>
      <c r="L3606" s="124"/>
      <c r="M3606" s="124"/>
      <c r="N3606" s="124"/>
      <c r="O3606" s="124"/>
      <c r="T3606" s="126">
        <f>IFERROR(__xludf.DUMMYFUNCTION("""COMPUTED_VALUE"""),46105.0)</f>
        <v>46105</v>
      </c>
      <c r="U3606" s="124" t="str">
        <f>IFERROR(__xludf.DUMMYFUNCTION("""COMPUTED_VALUE"""),"Walk-Ins")</f>
        <v>Walk-Ins</v>
      </c>
      <c r="V3606" s="124" t="str">
        <f>IFERROR(__xludf.DUMMYFUNCTION("""COMPUTED_VALUE"""),"Walkin")</f>
        <v>Walkin</v>
      </c>
      <c r="W3606" s="124" t="str">
        <f>IFERROR(__xludf.DUMMYFUNCTION("""COMPUTED_VALUE"""),"Patna")</f>
        <v>Patna</v>
      </c>
      <c r="X3606" s="124" t="str">
        <f>IFERROR(__xludf.DUMMYFUNCTION("""COMPUTED_VALUE"""),"Walkin")</f>
        <v>Walkin</v>
      </c>
      <c r="Y3606" s="124" t="str">
        <f>IFERROR(__xludf.DUMMYFUNCTION("""COMPUTED_VALUE"""),"Patna")</f>
        <v>Patna</v>
      </c>
      <c r="Z3606" s="124">
        <f>IFERROR(__xludf.DUMMYFUNCTION("""COMPUTED_VALUE"""),2.0)</f>
        <v>2</v>
      </c>
      <c r="AA3606" s="124" t="str">
        <f>IFERROR(__xludf.DUMMYFUNCTION("""COMPUTED_VALUE"""),"Warm")</f>
        <v>Warm</v>
      </c>
      <c r="AB3606" s="124" t="str">
        <f>IFERROR(__xludf.DUMMYFUNCTION("""COMPUTED_VALUE"""),"Prelims Crash Course - SIP")</f>
        <v>Prelims Crash Course - SIP</v>
      </c>
    </row>
    <row r="3607">
      <c r="K3607" s="124"/>
      <c r="L3607" s="124"/>
      <c r="M3607" s="124"/>
      <c r="N3607" s="124"/>
      <c r="O3607" s="124"/>
      <c r="T3607" s="126">
        <f>IFERROR(__xludf.DUMMYFUNCTION("""COMPUTED_VALUE"""),46075.0)</f>
        <v>46075</v>
      </c>
      <c r="U3607" s="124" t="str">
        <f>IFERROR(__xludf.DUMMYFUNCTION("""COMPUTED_VALUE"""),"Walk-Ins")</f>
        <v>Walk-Ins</v>
      </c>
      <c r="V3607" s="124" t="str">
        <f>IFERROR(__xludf.DUMMYFUNCTION("""COMPUTED_VALUE"""),"Walkin")</f>
        <v>Walkin</v>
      </c>
      <c r="W3607" s="124" t="str">
        <f>IFERROR(__xludf.DUMMYFUNCTION("""COMPUTED_VALUE"""),"Indore")</f>
        <v>Indore</v>
      </c>
      <c r="X3607" s="124" t="str">
        <f>IFERROR(__xludf.DUMMYFUNCTION("""COMPUTED_VALUE"""),"Walkin")</f>
        <v>Walkin</v>
      </c>
      <c r="Y3607" s="124" t="str">
        <f>IFERROR(__xludf.DUMMYFUNCTION("""COMPUTED_VALUE"""),"Indore")</f>
        <v>Indore</v>
      </c>
      <c r="Z3607" s="124">
        <f>IFERROR(__xludf.DUMMYFUNCTION("""COMPUTED_VALUE"""),1.0)</f>
        <v>1</v>
      </c>
      <c r="AA3607" s="124" t="str">
        <f>IFERROR(__xludf.DUMMYFUNCTION("""COMPUTED_VALUE"""),"Future Prospects")</f>
        <v>Future Prospects</v>
      </c>
      <c r="AB3607" s="124" t="str">
        <f>IFERROR(__xludf.DUMMYFUNCTION("""COMPUTED_VALUE"""),"State PCS")</f>
        <v>State PCS</v>
      </c>
    </row>
    <row r="3608">
      <c r="K3608" s="124"/>
      <c r="L3608" s="124"/>
      <c r="M3608" s="124"/>
      <c r="N3608" s="124"/>
      <c r="O3608" s="124"/>
      <c r="T3608" s="126">
        <f>IFERROR(__xludf.DUMMYFUNCTION("""COMPUTED_VALUE"""),46101.0)</f>
        <v>46101</v>
      </c>
      <c r="U3608" s="124" t="str">
        <f>IFERROR(__xludf.DUMMYFUNCTION("""COMPUTED_VALUE"""),"Walk-Ins")</f>
        <v>Walk-Ins</v>
      </c>
      <c r="V3608" s="124" t="str">
        <f>IFERROR(__xludf.DUMMYFUNCTION("""COMPUTED_VALUE"""),"Walkin")</f>
        <v>Walkin</v>
      </c>
      <c r="W3608" s="124" t="str">
        <f>IFERROR(__xludf.DUMMYFUNCTION("""COMPUTED_VALUE"""),"Prayagraj")</f>
        <v>Prayagraj</v>
      </c>
      <c r="X3608" s="124" t="str">
        <f>IFERROR(__xludf.DUMMYFUNCTION("""COMPUTED_VALUE"""),"Walkin")</f>
        <v>Walkin</v>
      </c>
      <c r="Y3608" s="124" t="str">
        <f>IFERROR(__xludf.DUMMYFUNCTION("""COMPUTED_VALUE"""),"Prayagraj")</f>
        <v>Prayagraj</v>
      </c>
      <c r="Z3608" s="124">
        <f>IFERROR(__xludf.DUMMYFUNCTION("""COMPUTED_VALUE"""),1.0)</f>
        <v>1</v>
      </c>
      <c r="AA3608" s="124" t="str">
        <f>IFERROR(__xludf.DUMMYFUNCTION("""COMPUTED_VALUE"""),"Cold")</f>
        <v>Cold</v>
      </c>
      <c r="AB3608" s="124" t="str">
        <f>IFERROR(__xludf.DUMMYFUNCTION("""COMPUTED_VALUE"""),"State PCS")</f>
        <v>State PCS</v>
      </c>
    </row>
    <row r="3609">
      <c r="K3609" s="124"/>
      <c r="L3609" s="124"/>
      <c r="M3609" s="124"/>
      <c r="N3609" s="124"/>
      <c r="O3609" s="124"/>
      <c r="T3609" s="126">
        <f>IFERROR(__xludf.DUMMYFUNCTION("""COMPUTED_VALUE"""),46068.0)</f>
        <v>46068</v>
      </c>
      <c r="U3609" s="124" t="str">
        <f>IFERROR(__xludf.DUMMYFUNCTION("""COMPUTED_VALUE"""),"Walk-Ins")</f>
        <v>Walk-Ins</v>
      </c>
      <c r="V3609" s="124" t="str">
        <f>IFERROR(__xludf.DUMMYFUNCTION("""COMPUTED_VALUE"""),"Walkin")</f>
        <v>Walkin</v>
      </c>
      <c r="W3609" s="124" t="str">
        <f>IFERROR(__xludf.DUMMYFUNCTION("""COMPUTED_VALUE"""),"Patna")</f>
        <v>Patna</v>
      </c>
      <c r="X3609" s="124" t="str">
        <f>IFERROR(__xludf.DUMMYFUNCTION("""COMPUTED_VALUE"""),"Walkin")</f>
        <v>Walkin</v>
      </c>
      <c r="Y3609" s="124" t="str">
        <f>IFERROR(__xludf.DUMMYFUNCTION("""COMPUTED_VALUE"""),"Patna")</f>
        <v>Patna</v>
      </c>
      <c r="Z3609" s="124">
        <f>IFERROR(__xludf.DUMMYFUNCTION("""COMPUTED_VALUE"""),2.0)</f>
        <v>2</v>
      </c>
      <c r="AA3609" s="124" t="str">
        <f>IFERROR(__xludf.DUMMYFUNCTION("""COMPUTED_VALUE"""),"Future Prospects")</f>
        <v>Future Prospects</v>
      </c>
      <c r="AB3609" s="124" t="str">
        <f>IFERROR(__xludf.DUMMYFUNCTION("""COMPUTED_VALUE"""),"GS Foundation")</f>
        <v>GS Foundation</v>
      </c>
    </row>
    <row r="3610">
      <c r="K3610" s="124"/>
      <c r="L3610" s="124"/>
      <c r="M3610" s="124"/>
      <c r="N3610" s="124"/>
      <c r="O3610" s="124"/>
      <c r="T3610" s="129">
        <f>IFERROR(__xludf.DUMMYFUNCTION("""COMPUTED_VALUE"""),46056.0)</f>
        <v>46056</v>
      </c>
      <c r="U3610" s="124" t="str">
        <f>IFERROR(__xludf.DUMMYFUNCTION("""COMPUTED_VALUE"""),"Walk-Ins")</f>
        <v>Walk-Ins</v>
      </c>
      <c r="V3610" s="124" t="str">
        <f>IFERROR(__xludf.DUMMYFUNCTION("""COMPUTED_VALUE"""),"Walk-In")</f>
        <v>Walk-In</v>
      </c>
      <c r="W3610" s="124" t="str">
        <f>IFERROR(__xludf.DUMMYFUNCTION("""COMPUTED_VALUE"""),"Patna")</f>
        <v>Patna</v>
      </c>
      <c r="X3610" s="124" t="str">
        <f>IFERROR(__xludf.DUMMYFUNCTION("""COMPUTED_VALUE"""),"Others")</f>
        <v>Others</v>
      </c>
      <c r="Y3610" s="124" t="str">
        <f>IFERROR(__xludf.DUMMYFUNCTION("""COMPUTED_VALUE"""),"Patna")</f>
        <v>Patna</v>
      </c>
      <c r="Z3610" s="124">
        <f>IFERROR(__xludf.DUMMYFUNCTION("""COMPUTED_VALUE"""),2.0)</f>
        <v>2</v>
      </c>
      <c r="AA3610" s="124" t="str">
        <f>IFERROR(__xludf.DUMMYFUNCTION("""COMPUTED_VALUE"""),"Fake Lead")</f>
        <v>Fake Lead</v>
      </c>
      <c r="AB3610" s="124" t="str">
        <f>IFERROR(__xludf.DUMMYFUNCTION("""COMPUTED_VALUE"""),"GS Foundation")</f>
        <v>GS Foundation</v>
      </c>
    </row>
    <row r="3611">
      <c r="K3611" s="124"/>
      <c r="L3611" s="124"/>
      <c r="M3611" s="124"/>
      <c r="N3611" s="124"/>
      <c r="O3611" s="124"/>
      <c r="T3611" s="126">
        <f>IFERROR(__xludf.DUMMYFUNCTION("""COMPUTED_VALUE"""),46102.0)</f>
        <v>46102</v>
      </c>
      <c r="U3611" s="124" t="str">
        <f>IFERROR(__xludf.DUMMYFUNCTION("""COMPUTED_VALUE"""),"Walk-Ins")</f>
        <v>Walk-Ins</v>
      </c>
      <c r="V3611" s="124" t="str">
        <f>IFERROR(__xludf.DUMMYFUNCTION("""COMPUTED_VALUE"""),"Walkin")</f>
        <v>Walkin</v>
      </c>
      <c r="W3611" s="124" t="str">
        <f>IFERROR(__xludf.DUMMYFUNCTION("""COMPUTED_VALUE"""),"Patna")</f>
        <v>Patna</v>
      </c>
      <c r="X3611" s="124" t="str">
        <f>IFERROR(__xludf.DUMMYFUNCTION("""COMPUTED_VALUE"""),"Walkin")</f>
        <v>Walkin</v>
      </c>
      <c r="Y3611" s="124" t="str">
        <f>IFERROR(__xludf.DUMMYFUNCTION("""COMPUTED_VALUE"""),"Patna")</f>
        <v>Patna</v>
      </c>
      <c r="Z3611" s="124">
        <f>IFERROR(__xludf.DUMMYFUNCTION("""COMPUTED_VALUE"""),2.0)</f>
        <v>2</v>
      </c>
      <c r="AA3611" s="124" t="str">
        <f>IFERROR(__xludf.DUMMYFUNCTION("""COMPUTED_VALUE"""),"Warm")</f>
        <v>Warm</v>
      </c>
      <c r="AB3611" s="124" t="str">
        <f>IFERROR(__xludf.DUMMYFUNCTION("""COMPUTED_VALUE"""),"GS Foundation")</f>
        <v>GS Foundation</v>
      </c>
    </row>
    <row r="3612">
      <c r="K3612" s="124"/>
      <c r="L3612" s="124"/>
      <c r="M3612" s="124"/>
      <c r="N3612" s="124"/>
      <c r="O3612" s="124"/>
      <c r="T3612" s="126">
        <f>IFERROR(__xludf.DUMMYFUNCTION("""COMPUTED_VALUE"""),46112.0)</f>
        <v>46112</v>
      </c>
      <c r="U3612" s="124" t="str">
        <f>IFERROR(__xludf.DUMMYFUNCTION("""COMPUTED_VALUE"""),"Walk-Ins")</f>
        <v>Walk-Ins</v>
      </c>
      <c r="V3612" s="124" t="str">
        <f>IFERROR(__xludf.DUMMYFUNCTION("""COMPUTED_VALUE"""),"Walkin")</f>
        <v>Walkin</v>
      </c>
      <c r="W3612" s="124" t="str">
        <f>IFERROR(__xludf.DUMMYFUNCTION("""COMPUTED_VALUE"""),"Indore")</f>
        <v>Indore</v>
      </c>
      <c r="X3612" s="124" t="str">
        <f>IFERROR(__xludf.DUMMYFUNCTION("""COMPUTED_VALUE"""),"Walkin")</f>
        <v>Walkin</v>
      </c>
      <c r="Y3612" s="124" t="str">
        <f>IFERROR(__xludf.DUMMYFUNCTION("""COMPUTED_VALUE"""),"Indore")</f>
        <v>Indore</v>
      </c>
      <c r="Z3612" s="124">
        <f>IFERROR(__xludf.DUMMYFUNCTION("""COMPUTED_VALUE"""),1.0)</f>
        <v>1</v>
      </c>
      <c r="AA3612" s="124" t="str">
        <f>IFERROR(__xludf.DUMMYFUNCTION("""COMPUTED_VALUE"""),"Interested")</f>
        <v>Interested</v>
      </c>
      <c r="AB3612" s="124" t="str">
        <f>IFERROR(__xludf.DUMMYFUNCTION("""COMPUTED_VALUE"""),"GS Foundation")</f>
        <v>GS Foundation</v>
      </c>
    </row>
    <row r="3613">
      <c r="K3613" s="124"/>
      <c r="L3613" s="124"/>
      <c r="M3613" s="124"/>
      <c r="N3613" s="124"/>
      <c r="O3613" s="124"/>
      <c r="T3613" s="126">
        <f>IFERROR(__xludf.DUMMYFUNCTION("""COMPUTED_VALUE"""),46109.0)</f>
        <v>46109</v>
      </c>
      <c r="U3613" s="124" t="str">
        <f>IFERROR(__xludf.DUMMYFUNCTION("""COMPUTED_VALUE"""),"Walk-Ins")</f>
        <v>Walk-Ins</v>
      </c>
      <c r="V3613" s="124" t="str">
        <f>IFERROR(__xludf.DUMMYFUNCTION("""COMPUTED_VALUE"""),"Walkin")</f>
        <v>Walkin</v>
      </c>
      <c r="W3613" s="124" t="str">
        <f>IFERROR(__xludf.DUMMYFUNCTION("""COMPUTED_VALUE"""),"Prayagraj")</f>
        <v>Prayagraj</v>
      </c>
      <c r="X3613" s="124" t="str">
        <f>IFERROR(__xludf.DUMMYFUNCTION("""COMPUTED_VALUE"""),"Walkin")</f>
        <v>Walkin</v>
      </c>
      <c r="Y3613" s="124" t="str">
        <f>IFERROR(__xludf.DUMMYFUNCTION("""COMPUTED_VALUE"""),"Prayagraj")</f>
        <v>Prayagraj</v>
      </c>
      <c r="Z3613" s="124">
        <f>IFERROR(__xludf.DUMMYFUNCTION("""COMPUTED_VALUE"""),1.0)</f>
        <v>1</v>
      </c>
      <c r="AA3613" s="124" t="str">
        <f>IFERROR(__xludf.DUMMYFUNCTION("""COMPUTED_VALUE"""),"Interested")</f>
        <v>Interested</v>
      </c>
      <c r="AB3613" s="124" t="str">
        <f>IFERROR(__xludf.DUMMYFUNCTION("""COMPUTED_VALUE"""),"Mentorship")</f>
        <v>Mentorship</v>
      </c>
    </row>
    <row r="3614">
      <c r="K3614" s="124"/>
      <c r="L3614" s="124"/>
      <c r="M3614" s="124"/>
      <c r="N3614" s="124"/>
      <c r="O3614" s="124"/>
      <c r="T3614" s="126">
        <f>IFERROR(__xludf.DUMMYFUNCTION("""COMPUTED_VALUE"""),46067.0)</f>
        <v>46067</v>
      </c>
      <c r="U3614" s="124" t="str">
        <f>IFERROR(__xludf.DUMMYFUNCTION("""COMPUTED_VALUE"""),"Walk-Ins")</f>
        <v>Walk-Ins</v>
      </c>
      <c r="V3614" s="124" t="str">
        <f>IFERROR(__xludf.DUMMYFUNCTION("""COMPUTED_VALUE"""),"Walkin")</f>
        <v>Walkin</v>
      </c>
      <c r="W3614" s="124" t="str">
        <f>IFERROR(__xludf.DUMMYFUNCTION("""COMPUTED_VALUE"""),"Lucknow")</f>
        <v>Lucknow</v>
      </c>
      <c r="X3614" s="124" t="str">
        <f>IFERROR(__xludf.DUMMYFUNCTION("""COMPUTED_VALUE"""),"Walkin")</f>
        <v>Walkin</v>
      </c>
      <c r="Y3614" s="124" t="str">
        <f>IFERROR(__xludf.DUMMYFUNCTION("""COMPUTED_VALUE"""),"Lucknow")</f>
        <v>Lucknow</v>
      </c>
      <c r="Z3614" s="124">
        <f>IFERROR(__xludf.DUMMYFUNCTION("""COMPUTED_VALUE"""),1.0)</f>
        <v>1</v>
      </c>
      <c r="AA3614" s="124" t="str">
        <f>IFERROR(__xludf.DUMMYFUNCTION("""COMPUTED_VALUE"""),"Enrolled")</f>
        <v>Enrolled</v>
      </c>
      <c r="AB3614" s="124" t="str">
        <f>IFERROR(__xludf.DUMMYFUNCTION("""COMPUTED_VALUE"""),"State PCS")</f>
        <v>State PCS</v>
      </c>
    </row>
    <row r="3615">
      <c r="K3615" s="124"/>
      <c r="L3615" s="124"/>
      <c r="M3615" s="124"/>
      <c r="N3615" s="124"/>
      <c r="O3615" s="124"/>
      <c r="T3615" s="126">
        <f>IFERROR(__xludf.DUMMYFUNCTION("""COMPUTED_VALUE"""),46075.0)</f>
        <v>46075</v>
      </c>
      <c r="U3615" s="124" t="str">
        <f>IFERROR(__xludf.DUMMYFUNCTION("""COMPUTED_VALUE"""),"Walk-Ins")</f>
        <v>Walk-Ins</v>
      </c>
      <c r="V3615" s="124" t="str">
        <f>IFERROR(__xludf.DUMMYFUNCTION("""COMPUTED_VALUE"""),"Walkin")</f>
        <v>Walkin</v>
      </c>
      <c r="W3615" s="124" t="str">
        <f>IFERROR(__xludf.DUMMYFUNCTION("""COMPUTED_VALUE"""),"Patna")</f>
        <v>Patna</v>
      </c>
      <c r="X3615" s="124" t="str">
        <f>IFERROR(__xludf.DUMMYFUNCTION("""COMPUTED_VALUE"""),"Walkin")</f>
        <v>Walkin</v>
      </c>
      <c r="Y3615" s="124" t="str">
        <f>IFERROR(__xludf.DUMMYFUNCTION("""COMPUTED_VALUE"""),"Patna")</f>
        <v>Patna</v>
      </c>
      <c r="Z3615" s="124">
        <f>IFERROR(__xludf.DUMMYFUNCTION("""COMPUTED_VALUE"""),2.0)</f>
        <v>2</v>
      </c>
      <c r="AA3615" s="124" t="str">
        <f>IFERROR(__xludf.DUMMYFUNCTION("""COMPUTED_VALUE"""),"Fake Lead")</f>
        <v>Fake Lead</v>
      </c>
      <c r="AB3615" s="124" t="str">
        <f>IFERROR(__xludf.DUMMYFUNCTION("""COMPUTED_VALUE"""),"State PCS")</f>
        <v>State PCS</v>
      </c>
    </row>
    <row r="3616">
      <c r="K3616" s="124"/>
      <c r="L3616" s="124"/>
      <c r="M3616" s="124"/>
      <c r="N3616" s="124"/>
      <c r="O3616" s="124"/>
      <c r="T3616" s="126">
        <f>IFERROR(__xludf.DUMMYFUNCTION("""COMPUTED_VALUE"""),46110.0)</f>
        <v>46110</v>
      </c>
      <c r="U3616" s="124" t="str">
        <f>IFERROR(__xludf.DUMMYFUNCTION("""COMPUTED_VALUE"""),"Walk-Ins")</f>
        <v>Walk-Ins</v>
      </c>
      <c r="V3616" s="124" t="str">
        <f>IFERROR(__xludf.DUMMYFUNCTION("""COMPUTED_VALUE"""),"Walkin")</f>
        <v>Walkin</v>
      </c>
      <c r="W3616" s="124" t="str">
        <f>IFERROR(__xludf.DUMMYFUNCTION("""COMPUTED_VALUE"""),"Patna")</f>
        <v>Patna</v>
      </c>
      <c r="X3616" s="124" t="str">
        <f>IFERROR(__xludf.DUMMYFUNCTION("""COMPUTED_VALUE"""),"Walkin")</f>
        <v>Walkin</v>
      </c>
      <c r="Y3616" s="124" t="str">
        <f>IFERROR(__xludf.DUMMYFUNCTION("""COMPUTED_VALUE"""),"Patna")</f>
        <v>Patna</v>
      </c>
      <c r="Z3616" s="124">
        <f>IFERROR(__xludf.DUMMYFUNCTION("""COMPUTED_VALUE"""),1.0)</f>
        <v>1</v>
      </c>
      <c r="AA3616" s="124" t="str">
        <f>IFERROR(__xludf.DUMMYFUNCTION("""COMPUTED_VALUE"""),"Cold")</f>
        <v>Cold</v>
      </c>
      <c r="AB3616" s="124" t="str">
        <f>IFERROR(__xludf.DUMMYFUNCTION("""COMPUTED_VALUE"""),"GS Foundation")</f>
        <v>GS Foundation</v>
      </c>
    </row>
    <row r="3617">
      <c r="K3617" s="124"/>
      <c r="L3617" s="124"/>
      <c r="M3617" s="124"/>
      <c r="N3617" s="124"/>
      <c r="O3617" s="124"/>
      <c r="T3617" s="126">
        <f>IFERROR(__xludf.DUMMYFUNCTION("""COMPUTED_VALUE"""),46110.0)</f>
        <v>46110</v>
      </c>
      <c r="U3617" s="124" t="str">
        <f>IFERROR(__xludf.DUMMYFUNCTION("""COMPUTED_VALUE"""),"Walk-Ins")</f>
        <v>Walk-Ins</v>
      </c>
      <c r="V3617" s="124" t="str">
        <f>IFERROR(__xludf.DUMMYFUNCTION("""COMPUTED_VALUE"""),"Walkin")</f>
        <v>Walkin</v>
      </c>
      <c r="W3617" s="124" t="str">
        <f>IFERROR(__xludf.DUMMYFUNCTION("""COMPUTED_VALUE"""),"Indore")</f>
        <v>Indore</v>
      </c>
      <c r="X3617" s="124" t="str">
        <f>IFERROR(__xludf.DUMMYFUNCTION("""COMPUTED_VALUE"""),"Walkin")</f>
        <v>Walkin</v>
      </c>
      <c r="Y3617" s="124" t="str">
        <f>IFERROR(__xludf.DUMMYFUNCTION("""COMPUTED_VALUE"""),"Indore")</f>
        <v>Indore</v>
      </c>
      <c r="Z3617" s="124">
        <f>IFERROR(__xludf.DUMMYFUNCTION("""COMPUTED_VALUE"""),1.0)</f>
        <v>1</v>
      </c>
      <c r="AA3617" s="124" t="str">
        <f>IFERROR(__xludf.DUMMYFUNCTION("""COMPUTED_VALUE"""),"Future Prospects")</f>
        <v>Future Prospects</v>
      </c>
      <c r="AB3617" s="124" t="str">
        <f>IFERROR(__xludf.DUMMYFUNCTION("""COMPUTED_VALUE"""),"GS Foundation")</f>
        <v>GS Foundation</v>
      </c>
    </row>
    <row r="3618">
      <c r="K3618" s="124"/>
      <c r="L3618" s="124"/>
      <c r="M3618" s="124"/>
      <c r="N3618" s="124"/>
      <c r="O3618" s="124"/>
      <c r="T3618" s="126">
        <f>IFERROR(__xludf.DUMMYFUNCTION("""COMPUTED_VALUE"""),46092.0)</f>
        <v>46092</v>
      </c>
      <c r="U3618" s="124" t="str">
        <f>IFERROR(__xludf.DUMMYFUNCTION("""COMPUTED_VALUE"""),"Walk-Ins")</f>
        <v>Walk-Ins</v>
      </c>
      <c r="V3618" s="124" t="str">
        <f>IFERROR(__xludf.DUMMYFUNCTION("""COMPUTED_VALUE"""),"Walkin")</f>
        <v>Walkin</v>
      </c>
      <c r="W3618" s="124" t="str">
        <f>IFERROR(__xludf.DUMMYFUNCTION("""COMPUTED_VALUE"""),"Patna")</f>
        <v>Patna</v>
      </c>
      <c r="X3618" s="124" t="str">
        <f>IFERROR(__xludf.DUMMYFUNCTION("""COMPUTED_VALUE"""),"Walkin")</f>
        <v>Walkin</v>
      </c>
      <c r="Y3618" s="124" t="str">
        <f>IFERROR(__xludf.DUMMYFUNCTION("""COMPUTED_VALUE"""),"Patna")</f>
        <v>Patna</v>
      </c>
      <c r="Z3618" s="124">
        <f>IFERROR(__xludf.DUMMYFUNCTION("""COMPUTED_VALUE"""),1.0)</f>
        <v>1</v>
      </c>
      <c r="AA3618" s="124" t="str">
        <f>IFERROR(__xludf.DUMMYFUNCTION("""COMPUTED_VALUE"""),"Warm")</f>
        <v>Warm</v>
      </c>
      <c r="AB3618" s="124" t="str">
        <f>IFERROR(__xludf.DUMMYFUNCTION("""COMPUTED_VALUE"""),"GS Foundation")</f>
        <v>GS Foundation</v>
      </c>
    </row>
    <row r="3619">
      <c r="K3619" s="124"/>
      <c r="L3619" s="124"/>
      <c r="M3619" s="124"/>
      <c r="N3619" s="124"/>
      <c r="O3619" s="124"/>
      <c r="T3619" s="126">
        <f>IFERROR(__xludf.DUMMYFUNCTION("""COMPUTED_VALUE"""),46103.0)</f>
        <v>46103</v>
      </c>
      <c r="U3619" s="124" t="str">
        <f>IFERROR(__xludf.DUMMYFUNCTION("""COMPUTED_VALUE"""),"Walk-Ins")</f>
        <v>Walk-Ins</v>
      </c>
      <c r="V3619" s="124" t="str">
        <f>IFERROR(__xludf.DUMMYFUNCTION("""COMPUTED_VALUE"""),"Walkin")</f>
        <v>Walkin</v>
      </c>
      <c r="W3619" s="124" t="str">
        <f>IFERROR(__xludf.DUMMYFUNCTION("""COMPUTED_VALUE"""),"Prayagraj")</f>
        <v>Prayagraj</v>
      </c>
      <c r="X3619" s="124" t="str">
        <f>IFERROR(__xludf.DUMMYFUNCTION("""COMPUTED_VALUE"""),"Walkin")</f>
        <v>Walkin</v>
      </c>
      <c r="Y3619" s="124" t="str">
        <f>IFERROR(__xludf.DUMMYFUNCTION("""COMPUTED_VALUE"""),"Prayagraj")</f>
        <v>Prayagraj</v>
      </c>
      <c r="Z3619" s="124">
        <f>IFERROR(__xludf.DUMMYFUNCTION("""COMPUTED_VALUE"""),1.0)</f>
        <v>1</v>
      </c>
      <c r="AA3619" s="124" t="str">
        <f>IFERROR(__xludf.DUMMYFUNCTION("""COMPUTED_VALUE"""),"Cold")</f>
        <v>Cold</v>
      </c>
      <c r="AB3619" s="124" t="str">
        <f>IFERROR(__xludf.DUMMYFUNCTION("""COMPUTED_VALUE"""),"Other")</f>
        <v>Other</v>
      </c>
    </row>
    <row r="3620">
      <c r="K3620" s="124"/>
      <c r="L3620" s="124"/>
      <c r="M3620" s="124"/>
      <c r="N3620" s="124"/>
      <c r="O3620" s="124"/>
      <c r="T3620" s="126">
        <f>IFERROR(__xludf.DUMMYFUNCTION("""COMPUTED_VALUE"""),46096.0)</f>
        <v>46096</v>
      </c>
      <c r="U3620" s="124" t="str">
        <f>IFERROR(__xludf.DUMMYFUNCTION("""COMPUTED_VALUE"""),"Walk-Ins")</f>
        <v>Walk-Ins</v>
      </c>
      <c r="V3620" s="124" t="str">
        <f>IFERROR(__xludf.DUMMYFUNCTION("""COMPUTED_VALUE"""),"Walkin")</f>
        <v>Walkin</v>
      </c>
      <c r="W3620" s="124" t="str">
        <f>IFERROR(__xludf.DUMMYFUNCTION("""COMPUTED_VALUE"""),"Indore")</f>
        <v>Indore</v>
      </c>
      <c r="X3620" s="124" t="str">
        <f>IFERROR(__xludf.DUMMYFUNCTION("""COMPUTED_VALUE"""),"Walkin")</f>
        <v>Walkin</v>
      </c>
      <c r="Y3620" s="124" t="str">
        <f>IFERROR(__xludf.DUMMYFUNCTION("""COMPUTED_VALUE"""),"Indore")</f>
        <v>Indore</v>
      </c>
      <c r="Z3620" s="124">
        <f>IFERROR(__xludf.DUMMYFUNCTION("""COMPUTED_VALUE"""),1.0)</f>
        <v>1</v>
      </c>
      <c r="AA3620" s="124" t="str">
        <f>IFERROR(__xludf.DUMMYFUNCTION("""COMPUTED_VALUE"""),"Not Interested")</f>
        <v>Not Interested</v>
      </c>
      <c r="AB3620" s="124" t="str">
        <f>IFERROR(__xludf.DUMMYFUNCTION("""COMPUTED_VALUE"""),"Test Series")</f>
        <v>Test Series</v>
      </c>
    </row>
    <row r="3621">
      <c r="K3621" s="124"/>
      <c r="L3621" s="124"/>
      <c r="M3621" s="124"/>
      <c r="N3621" s="124"/>
      <c r="O3621" s="124"/>
      <c r="T3621" s="126">
        <f>IFERROR(__xludf.DUMMYFUNCTION("""COMPUTED_VALUE"""),46067.0)</f>
        <v>46067</v>
      </c>
      <c r="U3621" s="124" t="str">
        <f>IFERROR(__xludf.DUMMYFUNCTION("""COMPUTED_VALUE"""),"Walk-Ins")</f>
        <v>Walk-Ins</v>
      </c>
      <c r="V3621" s="124" t="str">
        <f>IFERROR(__xludf.DUMMYFUNCTION("""COMPUTED_VALUE"""),"Walkin")</f>
        <v>Walkin</v>
      </c>
      <c r="W3621" s="124" t="str">
        <f>IFERROR(__xludf.DUMMYFUNCTION("""COMPUTED_VALUE"""),"Indore")</f>
        <v>Indore</v>
      </c>
      <c r="X3621" s="124" t="str">
        <f>IFERROR(__xludf.DUMMYFUNCTION("""COMPUTED_VALUE"""),"Walkin")</f>
        <v>Walkin</v>
      </c>
      <c r="Y3621" s="124" t="str">
        <f>IFERROR(__xludf.DUMMYFUNCTION("""COMPUTED_VALUE"""),"Indore")</f>
        <v>Indore</v>
      </c>
      <c r="Z3621" s="124">
        <f>IFERROR(__xludf.DUMMYFUNCTION("""COMPUTED_VALUE"""),1.0)</f>
        <v>1</v>
      </c>
      <c r="AA3621" s="124" t="str">
        <f>IFERROR(__xludf.DUMMYFUNCTION("""COMPUTED_VALUE"""),"Cold")</f>
        <v>Cold</v>
      </c>
      <c r="AB3621" s="124" t="str">
        <f>IFERROR(__xludf.DUMMYFUNCTION("""COMPUTED_VALUE"""),"Other")</f>
        <v>Other</v>
      </c>
    </row>
    <row r="3622">
      <c r="K3622" s="124"/>
      <c r="L3622" s="124"/>
      <c r="M3622" s="124"/>
      <c r="N3622" s="124"/>
      <c r="O3622" s="124"/>
      <c r="T3622" s="126">
        <f>IFERROR(__xludf.DUMMYFUNCTION("""COMPUTED_VALUE"""),46074.0)</f>
        <v>46074</v>
      </c>
      <c r="U3622" s="124" t="str">
        <f>IFERROR(__xludf.DUMMYFUNCTION("""COMPUTED_VALUE"""),"Walk-Ins")</f>
        <v>Walk-Ins</v>
      </c>
      <c r="V3622" s="124" t="str">
        <f>IFERROR(__xludf.DUMMYFUNCTION("""COMPUTED_VALUE"""),"Walkin")</f>
        <v>Walkin</v>
      </c>
      <c r="W3622" s="124" t="str">
        <f>IFERROR(__xludf.DUMMYFUNCTION("""COMPUTED_VALUE"""),"Patna")</f>
        <v>Patna</v>
      </c>
      <c r="X3622" s="124" t="str">
        <f>IFERROR(__xludf.DUMMYFUNCTION("""COMPUTED_VALUE"""),"Walkin")</f>
        <v>Walkin</v>
      </c>
      <c r="Y3622" s="124" t="str">
        <f>IFERROR(__xludf.DUMMYFUNCTION("""COMPUTED_VALUE"""),"Patna")</f>
        <v>Patna</v>
      </c>
      <c r="Z3622" s="124">
        <f>IFERROR(__xludf.DUMMYFUNCTION("""COMPUTED_VALUE"""),1.0)</f>
        <v>1</v>
      </c>
      <c r="AA3622" s="124" t="str">
        <f>IFERROR(__xludf.DUMMYFUNCTION("""COMPUTED_VALUE"""),"Future Prospects")</f>
        <v>Future Prospects</v>
      </c>
      <c r="AB3622" s="124" t="str">
        <f>IFERROR(__xludf.DUMMYFUNCTION("""COMPUTED_VALUE"""),"State PCS")</f>
        <v>State PCS</v>
      </c>
    </row>
    <row r="3623">
      <c r="K3623" s="124"/>
      <c r="L3623" s="124"/>
      <c r="M3623" s="124"/>
      <c r="N3623" s="124"/>
      <c r="O3623" s="124"/>
      <c r="T3623" s="126">
        <f>IFERROR(__xludf.DUMMYFUNCTION("""COMPUTED_VALUE"""),46070.0)</f>
        <v>46070</v>
      </c>
      <c r="U3623" s="124" t="str">
        <f>IFERROR(__xludf.DUMMYFUNCTION("""COMPUTED_VALUE"""),"Walk-Ins")</f>
        <v>Walk-Ins</v>
      </c>
      <c r="V3623" s="124" t="str">
        <f>IFERROR(__xludf.DUMMYFUNCTION("""COMPUTED_VALUE"""),"Walkin")</f>
        <v>Walkin</v>
      </c>
      <c r="W3623" s="124" t="str">
        <f>IFERROR(__xludf.DUMMYFUNCTION("""COMPUTED_VALUE"""),"Prayagraj")</f>
        <v>Prayagraj</v>
      </c>
      <c r="X3623" s="124" t="str">
        <f>IFERROR(__xludf.DUMMYFUNCTION("""COMPUTED_VALUE"""),"Walkin")</f>
        <v>Walkin</v>
      </c>
      <c r="Y3623" s="124" t="str">
        <f>IFERROR(__xludf.DUMMYFUNCTION("""COMPUTED_VALUE"""),"Prayagraj")</f>
        <v>Prayagraj</v>
      </c>
      <c r="Z3623" s="124">
        <f>IFERROR(__xludf.DUMMYFUNCTION("""COMPUTED_VALUE"""),1.0)</f>
        <v>1</v>
      </c>
      <c r="AA3623" s="124" t="str">
        <f>IFERROR(__xludf.DUMMYFUNCTION("""COMPUTED_VALUE"""),"Warm")</f>
        <v>Warm</v>
      </c>
      <c r="AB3623" s="124" t="str">
        <f>IFERROR(__xludf.DUMMYFUNCTION("""COMPUTED_VALUE"""),"GS Foundation")</f>
        <v>GS Foundation</v>
      </c>
    </row>
    <row r="3624">
      <c r="K3624" s="124"/>
      <c r="L3624" s="124"/>
      <c r="M3624" s="124"/>
      <c r="N3624" s="124"/>
      <c r="O3624" s="124"/>
      <c r="T3624" s="126">
        <f>IFERROR(__xludf.DUMMYFUNCTION("""COMPUTED_VALUE"""),46052.0)</f>
        <v>46052</v>
      </c>
      <c r="U3624" s="124" t="str">
        <f>IFERROR(__xludf.DUMMYFUNCTION("""COMPUTED_VALUE"""),"Walk-Ins")</f>
        <v>Walk-Ins</v>
      </c>
      <c r="V3624" s="124" t="str">
        <f>IFERROR(__xludf.DUMMYFUNCTION("""COMPUTED_VALUE"""),"Walkin")</f>
        <v>Walkin</v>
      </c>
      <c r="W3624" s="124" t="str">
        <f>IFERROR(__xludf.DUMMYFUNCTION("""COMPUTED_VALUE"""),"Prayagraj")</f>
        <v>Prayagraj</v>
      </c>
      <c r="X3624" s="124" t="str">
        <f>IFERROR(__xludf.DUMMYFUNCTION("""COMPUTED_VALUE"""),"Walkin")</f>
        <v>Walkin</v>
      </c>
      <c r="Y3624" s="124" t="str">
        <f>IFERROR(__xludf.DUMMYFUNCTION("""COMPUTED_VALUE"""),"Prayagraj")</f>
        <v>Prayagraj</v>
      </c>
      <c r="Z3624" s="124">
        <f>IFERROR(__xludf.DUMMYFUNCTION("""COMPUTED_VALUE"""),2.0)</f>
        <v>2</v>
      </c>
      <c r="AA3624" s="124" t="str">
        <f>IFERROR(__xludf.DUMMYFUNCTION("""COMPUTED_VALUE"""),"Cold")</f>
        <v>Cold</v>
      </c>
      <c r="AB3624" s="124" t="str">
        <f>IFERROR(__xludf.DUMMYFUNCTION("""COMPUTED_VALUE"""),"State PCS")</f>
        <v>State PCS</v>
      </c>
    </row>
    <row r="3625">
      <c r="K3625" s="124"/>
      <c r="L3625" s="124"/>
      <c r="M3625" s="124"/>
      <c r="N3625" s="124"/>
      <c r="O3625" s="124"/>
      <c r="T3625" s="126">
        <f>IFERROR(__xludf.DUMMYFUNCTION("""COMPUTED_VALUE"""),46105.0)</f>
        <v>46105</v>
      </c>
      <c r="U3625" s="124" t="str">
        <f>IFERROR(__xludf.DUMMYFUNCTION("""COMPUTED_VALUE"""),"Walk-Ins")</f>
        <v>Walk-Ins</v>
      </c>
      <c r="V3625" s="124" t="str">
        <f>IFERROR(__xludf.DUMMYFUNCTION("""COMPUTED_VALUE"""),"Walkin")</f>
        <v>Walkin</v>
      </c>
      <c r="W3625" s="124" t="str">
        <f>IFERROR(__xludf.DUMMYFUNCTION("""COMPUTED_VALUE"""),"Patna")</f>
        <v>Patna</v>
      </c>
      <c r="X3625" s="124" t="str">
        <f>IFERROR(__xludf.DUMMYFUNCTION("""COMPUTED_VALUE"""),"Walkin")</f>
        <v>Walkin</v>
      </c>
      <c r="Y3625" s="124" t="str">
        <f>IFERROR(__xludf.DUMMYFUNCTION("""COMPUTED_VALUE"""),"Patna")</f>
        <v>Patna</v>
      </c>
      <c r="Z3625" s="124">
        <f>IFERROR(__xludf.DUMMYFUNCTION("""COMPUTED_VALUE"""),1.0)</f>
        <v>1</v>
      </c>
      <c r="AA3625" s="124" t="str">
        <f>IFERROR(__xludf.DUMMYFUNCTION("""COMPUTED_VALUE"""),"Not Interested")</f>
        <v>Not Interested</v>
      </c>
      <c r="AB3625" s="124" t="str">
        <f>IFERROR(__xludf.DUMMYFUNCTION("""COMPUTED_VALUE"""),"GS Foundation")</f>
        <v>GS Foundation</v>
      </c>
    </row>
    <row r="3626">
      <c r="K3626" s="124"/>
      <c r="L3626" s="124"/>
      <c r="M3626" s="124"/>
      <c r="N3626" s="124"/>
      <c r="O3626" s="124"/>
      <c r="T3626" s="126">
        <f>IFERROR(__xludf.DUMMYFUNCTION("""COMPUTED_VALUE"""),46075.0)</f>
        <v>46075</v>
      </c>
      <c r="U3626" s="124" t="str">
        <f>IFERROR(__xludf.DUMMYFUNCTION("""COMPUTED_VALUE"""),"Walk-Ins")</f>
        <v>Walk-Ins</v>
      </c>
      <c r="V3626" s="124" t="str">
        <f>IFERROR(__xludf.DUMMYFUNCTION("""COMPUTED_VALUE"""),"Walkin")</f>
        <v>Walkin</v>
      </c>
      <c r="W3626" s="124" t="str">
        <f>IFERROR(__xludf.DUMMYFUNCTION("""COMPUTED_VALUE"""),"Prayagraj")</f>
        <v>Prayagraj</v>
      </c>
      <c r="X3626" s="124" t="str">
        <f>IFERROR(__xludf.DUMMYFUNCTION("""COMPUTED_VALUE"""),"Walkin")</f>
        <v>Walkin</v>
      </c>
      <c r="Y3626" s="124" t="str">
        <f>IFERROR(__xludf.DUMMYFUNCTION("""COMPUTED_VALUE"""),"Prayagraj")</f>
        <v>Prayagraj</v>
      </c>
      <c r="Z3626" s="124">
        <f>IFERROR(__xludf.DUMMYFUNCTION("""COMPUTED_VALUE"""),1.0)</f>
        <v>1</v>
      </c>
      <c r="AA3626" s="124" t="str">
        <f>IFERROR(__xludf.DUMMYFUNCTION("""COMPUTED_VALUE"""),"Future Prospects")</f>
        <v>Future Prospects</v>
      </c>
      <c r="AB3626" s="124" t="str">
        <f>IFERROR(__xludf.DUMMYFUNCTION("""COMPUTED_VALUE"""),"State PCS")</f>
        <v>State PCS</v>
      </c>
    </row>
    <row r="3627">
      <c r="K3627" s="124"/>
      <c r="L3627" s="124"/>
      <c r="M3627" s="124"/>
      <c r="N3627" s="124"/>
      <c r="O3627" s="124"/>
      <c r="T3627" s="126">
        <f>IFERROR(__xludf.DUMMYFUNCTION("""COMPUTED_VALUE"""),46109.0)</f>
        <v>46109</v>
      </c>
      <c r="U3627" s="124" t="str">
        <f>IFERROR(__xludf.DUMMYFUNCTION("""COMPUTED_VALUE"""),"Walk-Ins")</f>
        <v>Walk-Ins</v>
      </c>
      <c r="V3627" s="124" t="str">
        <f>IFERROR(__xludf.DUMMYFUNCTION("""COMPUTED_VALUE"""),"Walkin")</f>
        <v>Walkin</v>
      </c>
      <c r="W3627" s="124" t="str">
        <f>IFERROR(__xludf.DUMMYFUNCTION("""COMPUTED_VALUE"""),"Patna")</f>
        <v>Patna</v>
      </c>
      <c r="X3627" s="124" t="str">
        <f>IFERROR(__xludf.DUMMYFUNCTION("""COMPUTED_VALUE"""),"Walkin")</f>
        <v>Walkin</v>
      </c>
      <c r="Y3627" s="124" t="str">
        <f>IFERROR(__xludf.DUMMYFUNCTION("""COMPUTED_VALUE"""),"Patna")</f>
        <v>Patna</v>
      </c>
      <c r="Z3627" s="124">
        <f>IFERROR(__xludf.DUMMYFUNCTION("""COMPUTED_VALUE"""),1.0)</f>
        <v>1</v>
      </c>
      <c r="AA3627" s="124" t="str">
        <f>IFERROR(__xludf.DUMMYFUNCTION("""COMPUTED_VALUE"""),"Fake Lead")</f>
        <v>Fake Lead</v>
      </c>
      <c r="AB3627" s="124" t="str">
        <f>IFERROR(__xludf.DUMMYFUNCTION("""COMPUTED_VALUE"""),"GS Foundation")</f>
        <v>GS Foundation</v>
      </c>
    </row>
    <row r="3628">
      <c r="K3628" s="124"/>
      <c r="L3628" s="124"/>
      <c r="M3628" s="124"/>
      <c r="N3628" s="124"/>
      <c r="O3628" s="124"/>
      <c r="T3628" s="129">
        <f>IFERROR(__xludf.DUMMYFUNCTION("""COMPUTED_VALUE"""),46058.0)</f>
        <v>46058</v>
      </c>
      <c r="U3628" s="124" t="str">
        <f>IFERROR(__xludf.DUMMYFUNCTION("""COMPUTED_VALUE"""),"Walk-Ins")</f>
        <v>Walk-Ins</v>
      </c>
      <c r="V3628" s="124" t="str">
        <f>IFERROR(__xludf.DUMMYFUNCTION("""COMPUTED_VALUE"""),"Walkin")</f>
        <v>Walkin</v>
      </c>
      <c r="W3628" s="124" t="str">
        <f>IFERROR(__xludf.DUMMYFUNCTION("""COMPUTED_VALUE"""),"Patna")</f>
        <v>Patna</v>
      </c>
      <c r="X3628" s="124" t="str">
        <f>IFERROR(__xludf.DUMMYFUNCTION("""COMPUTED_VALUE"""),"Walkin")</f>
        <v>Walkin</v>
      </c>
      <c r="Y3628" s="124" t="str">
        <f>IFERROR(__xludf.DUMMYFUNCTION("""COMPUTED_VALUE"""),"Patna")</f>
        <v>Patna</v>
      </c>
      <c r="Z3628" s="124">
        <f>IFERROR(__xludf.DUMMYFUNCTION("""COMPUTED_VALUE"""),1.0)</f>
        <v>1</v>
      </c>
      <c r="AA3628" s="124" t="str">
        <f>IFERROR(__xludf.DUMMYFUNCTION("""COMPUTED_VALUE"""),"Fake Lead")</f>
        <v>Fake Lead</v>
      </c>
      <c r="AB3628" s="124" t="str">
        <f>IFERROR(__xludf.DUMMYFUNCTION("""COMPUTED_VALUE"""),"GS Foundation")</f>
        <v>GS Foundation</v>
      </c>
    </row>
    <row r="3629">
      <c r="K3629" s="124"/>
      <c r="L3629" s="124"/>
      <c r="M3629" s="124"/>
      <c r="N3629" s="124"/>
      <c r="O3629" s="124"/>
      <c r="T3629" s="129">
        <f>IFERROR(__xludf.DUMMYFUNCTION("""COMPUTED_VALUE"""),46088.0)</f>
        <v>46088</v>
      </c>
      <c r="U3629" s="124" t="str">
        <f>IFERROR(__xludf.DUMMYFUNCTION("""COMPUTED_VALUE"""),"Walk-Ins")</f>
        <v>Walk-Ins</v>
      </c>
      <c r="V3629" s="124" t="str">
        <f>IFERROR(__xludf.DUMMYFUNCTION("""COMPUTED_VALUE"""),"Walkin")</f>
        <v>Walkin</v>
      </c>
      <c r="W3629" s="124" t="str">
        <f>IFERROR(__xludf.DUMMYFUNCTION("""COMPUTED_VALUE"""),"Prayagraj")</f>
        <v>Prayagraj</v>
      </c>
      <c r="X3629" s="124" t="str">
        <f>IFERROR(__xludf.DUMMYFUNCTION("""COMPUTED_VALUE"""),"Walkin")</f>
        <v>Walkin</v>
      </c>
      <c r="Y3629" s="124" t="str">
        <f>IFERROR(__xludf.DUMMYFUNCTION("""COMPUTED_VALUE"""),"Prayagraj")</f>
        <v>Prayagraj</v>
      </c>
      <c r="Z3629" s="124">
        <f>IFERROR(__xludf.DUMMYFUNCTION("""COMPUTED_VALUE"""),1.0)</f>
        <v>1</v>
      </c>
      <c r="AA3629" s="124" t="str">
        <f>IFERROR(__xludf.DUMMYFUNCTION("""COMPUTED_VALUE"""),"Warm")</f>
        <v>Warm</v>
      </c>
      <c r="AB3629" s="124" t="str">
        <f>IFERROR(__xludf.DUMMYFUNCTION("""COMPUTED_VALUE"""),"State PCS")</f>
        <v>State PCS</v>
      </c>
    </row>
    <row r="3630">
      <c r="K3630" s="124"/>
      <c r="L3630" s="124"/>
      <c r="M3630" s="124"/>
      <c r="N3630" s="124"/>
      <c r="O3630" s="124"/>
      <c r="T3630" s="126">
        <f>IFERROR(__xludf.DUMMYFUNCTION("""COMPUTED_VALUE"""),46063.0)</f>
        <v>46063</v>
      </c>
      <c r="U3630" s="124" t="str">
        <f>IFERROR(__xludf.DUMMYFUNCTION("""COMPUTED_VALUE"""),"Walk-Ins")</f>
        <v>Walk-Ins</v>
      </c>
      <c r="V3630" s="124" t="str">
        <f>IFERROR(__xludf.DUMMYFUNCTION("""COMPUTED_VALUE"""),"Walkin")</f>
        <v>Walkin</v>
      </c>
      <c r="W3630" s="124" t="str">
        <f>IFERROR(__xludf.DUMMYFUNCTION("""COMPUTED_VALUE"""),"Indore")</f>
        <v>Indore</v>
      </c>
      <c r="X3630" s="124" t="str">
        <f>IFERROR(__xludf.DUMMYFUNCTION("""COMPUTED_VALUE"""),"Walkin")</f>
        <v>Walkin</v>
      </c>
      <c r="Y3630" s="124" t="str">
        <f>IFERROR(__xludf.DUMMYFUNCTION("""COMPUTED_VALUE"""),"Indore")</f>
        <v>Indore</v>
      </c>
      <c r="Z3630" s="124">
        <f>IFERROR(__xludf.DUMMYFUNCTION("""COMPUTED_VALUE"""),1.0)</f>
        <v>1</v>
      </c>
      <c r="AA3630" s="124" t="str">
        <f>IFERROR(__xludf.DUMMYFUNCTION("""COMPUTED_VALUE"""),"Enrolled")</f>
        <v>Enrolled</v>
      </c>
      <c r="AB3630" s="124" t="str">
        <f>IFERROR(__xludf.DUMMYFUNCTION("""COMPUTED_VALUE"""),"GS Foundation")</f>
        <v>GS Foundation</v>
      </c>
    </row>
    <row r="3631">
      <c r="K3631" s="124"/>
      <c r="L3631" s="124"/>
      <c r="M3631" s="124"/>
      <c r="N3631" s="124"/>
      <c r="O3631" s="124"/>
      <c r="T3631" s="129">
        <f>IFERROR(__xludf.DUMMYFUNCTION("""COMPUTED_VALUE"""),46054.0)</f>
        <v>46054</v>
      </c>
      <c r="U3631" s="124" t="str">
        <f>IFERROR(__xludf.DUMMYFUNCTION("""COMPUTED_VALUE"""),"Walk-Ins")</f>
        <v>Walk-Ins</v>
      </c>
      <c r="V3631" s="124" t="str">
        <f>IFERROR(__xludf.DUMMYFUNCTION("""COMPUTED_VALUE"""),"Walkin")</f>
        <v>Walkin</v>
      </c>
      <c r="W3631" s="124" t="str">
        <f>IFERROR(__xludf.DUMMYFUNCTION("""COMPUTED_VALUE"""),"Patna")</f>
        <v>Patna</v>
      </c>
      <c r="X3631" s="124" t="str">
        <f>IFERROR(__xludf.DUMMYFUNCTION("""COMPUTED_VALUE"""),"Walkin")</f>
        <v>Walkin</v>
      </c>
      <c r="Y3631" s="124" t="str">
        <f>IFERROR(__xludf.DUMMYFUNCTION("""COMPUTED_VALUE"""),"Patna")</f>
        <v>Patna</v>
      </c>
      <c r="Z3631" s="124">
        <f>IFERROR(__xludf.DUMMYFUNCTION("""COMPUTED_VALUE"""),1.0)</f>
        <v>1</v>
      </c>
      <c r="AA3631" s="124" t="str">
        <f>IFERROR(__xludf.DUMMYFUNCTION("""COMPUTED_VALUE"""),"Cold")</f>
        <v>Cold</v>
      </c>
      <c r="AB3631" s="124" t="str">
        <f>IFERROR(__xludf.DUMMYFUNCTION("""COMPUTED_VALUE"""),"State PCS")</f>
        <v>State PCS</v>
      </c>
    </row>
    <row r="3632">
      <c r="K3632" s="124"/>
      <c r="L3632" s="124"/>
      <c r="M3632" s="124"/>
      <c r="N3632" s="124"/>
      <c r="O3632" s="124"/>
      <c r="T3632" s="126">
        <f>IFERROR(__xludf.DUMMYFUNCTION("""COMPUTED_VALUE"""),46063.0)</f>
        <v>46063</v>
      </c>
      <c r="U3632" s="124" t="str">
        <f>IFERROR(__xludf.DUMMYFUNCTION("""COMPUTED_VALUE"""),"Walk-Ins")</f>
        <v>Walk-Ins</v>
      </c>
      <c r="V3632" s="124" t="str">
        <f>IFERROR(__xludf.DUMMYFUNCTION("""COMPUTED_VALUE"""),"Walkin")</f>
        <v>Walkin</v>
      </c>
      <c r="W3632" s="124" t="str">
        <f>IFERROR(__xludf.DUMMYFUNCTION("""COMPUTED_VALUE"""),"Prayagraj")</f>
        <v>Prayagraj</v>
      </c>
      <c r="X3632" s="124" t="str">
        <f>IFERROR(__xludf.DUMMYFUNCTION("""COMPUTED_VALUE"""),"Walkin")</f>
        <v>Walkin</v>
      </c>
      <c r="Y3632" s="124" t="str">
        <f>IFERROR(__xludf.DUMMYFUNCTION("""COMPUTED_VALUE"""),"Prayagraj")</f>
        <v>Prayagraj</v>
      </c>
      <c r="Z3632" s="124">
        <f>IFERROR(__xludf.DUMMYFUNCTION("""COMPUTED_VALUE"""),1.0)</f>
        <v>1</v>
      </c>
      <c r="AA3632" s="124" t="str">
        <f>IFERROR(__xludf.DUMMYFUNCTION("""COMPUTED_VALUE"""),"Not Interested")</f>
        <v>Not Interested</v>
      </c>
      <c r="AB3632" s="124" t="str">
        <f>IFERROR(__xludf.DUMMYFUNCTION("""COMPUTED_VALUE"""),"State PCS")</f>
        <v>State PCS</v>
      </c>
    </row>
    <row r="3633">
      <c r="K3633" s="124"/>
      <c r="L3633" s="124"/>
      <c r="M3633" s="124"/>
      <c r="N3633" s="124"/>
      <c r="O3633" s="124"/>
      <c r="T3633" s="126">
        <f>IFERROR(__xludf.DUMMYFUNCTION("""COMPUTED_VALUE"""),46064.0)</f>
        <v>46064</v>
      </c>
      <c r="U3633" s="124" t="str">
        <f>IFERROR(__xludf.DUMMYFUNCTION("""COMPUTED_VALUE"""),"Walk-Ins")</f>
        <v>Walk-Ins</v>
      </c>
      <c r="V3633" s="124" t="str">
        <f>IFERROR(__xludf.DUMMYFUNCTION("""COMPUTED_VALUE"""),"Walkin")</f>
        <v>Walkin</v>
      </c>
      <c r="W3633" s="124" t="str">
        <f>IFERROR(__xludf.DUMMYFUNCTION("""COMPUTED_VALUE"""),"Indore")</f>
        <v>Indore</v>
      </c>
      <c r="X3633" s="124" t="str">
        <f>IFERROR(__xludf.DUMMYFUNCTION("""COMPUTED_VALUE"""),"Walkin")</f>
        <v>Walkin</v>
      </c>
      <c r="Y3633" s="124" t="str">
        <f>IFERROR(__xludf.DUMMYFUNCTION("""COMPUTED_VALUE"""),"Indore")</f>
        <v>Indore</v>
      </c>
      <c r="Z3633" s="124">
        <f>IFERROR(__xludf.DUMMYFUNCTION("""COMPUTED_VALUE"""),1.0)</f>
        <v>1</v>
      </c>
      <c r="AA3633" s="124" t="str">
        <f>IFERROR(__xludf.DUMMYFUNCTION("""COMPUTED_VALUE"""),"Future Prospects")</f>
        <v>Future Prospects</v>
      </c>
      <c r="AB3633" s="124" t="str">
        <f>IFERROR(__xludf.DUMMYFUNCTION("""COMPUTED_VALUE"""),"State PCS")</f>
        <v>State PCS</v>
      </c>
    </row>
    <row r="3634">
      <c r="K3634" s="124"/>
      <c r="L3634" s="124"/>
      <c r="M3634" s="124"/>
      <c r="N3634" s="124"/>
      <c r="O3634" s="124"/>
      <c r="T3634" s="126">
        <f>IFERROR(__xludf.DUMMYFUNCTION("""COMPUTED_VALUE"""),46046.0)</f>
        <v>46046</v>
      </c>
      <c r="U3634" s="124" t="str">
        <f>IFERROR(__xludf.DUMMYFUNCTION("""COMPUTED_VALUE"""),"Walk-Ins")</f>
        <v>Walk-Ins</v>
      </c>
      <c r="V3634" s="124" t="str">
        <f>IFERROR(__xludf.DUMMYFUNCTION("""COMPUTED_VALUE"""),"Walkin")</f>
        <v>Walkin</v>
      </c>
      <c r="W3634" s="124" t="str">
        <f>IFERROR(__xludf.DUMMYFUNCTION("""COMPUTED_VALUE"""),"Prayagraj")</f>
        <v>Prayagraj</v>
      </c>
      <c r="X3634" s="124" t="str">
        <f>IFERROR(__xludf.DUMMYFUNCTION("""COMPUTED_VALUE"""),"Walkin")</f>
        <v>Walkin</v>
      </c>
      <c r="Y3634" s="124" t="str">
        <f>IFERROR(__xludf.DUMMYFUNCTION("""COMPUTED_VALUE"""),"Prayagraj")</f>
        <v>Prayagraj</v>
      </c>
      <c r="Z3634" s="124">
        <f>IFERROR(__xludf.DUMMYFUNCTION("""COMPUTED_VALUE"""),1.0)</f>
        <v>1</v>
      </c>
      <c r="AA3634" s="124" t="str">
        <f>IFERROR(__xludf.DUMMYFUNCTION("""COMPUTED_VALUE"""),"Fake Lead")</f>
        <v>Fake Lead</v>
      </c>
      <c r="AB3634" s="124" t="str">
        <f>IFERROR(__xludf.DUMMYFUNCTION("""COMPUTED_VALUE"""),"Other")</f>
        <v>Other</v>
      </c>
    </row>
    <row r="3635">
      <c r="K3635" s="124"/>
      <c r="L3635" s="124"/>
      <c r="M3635" s="124"/>
      <c r="N3635" s="124"/>
      <c r="O3635" s="124"/>
      <c r="T3635" s="126">
        <f>IFERROR(__xludf.DUMMYFUNCTION("""COMPUTED_VALUE"""),46072.0)</f>
        <v>46072</v>
      </c>
      <c r="U3635" s="124" t="str">
        <f>IFERROR(__xludf.DUMMYFUNCTION("""COMPUTED_VALUE"""),"Walk-Ins")</f>
        <v>Walk-Ins</v>
      </c>
      <c r="V3635" s="124" t="str">
        <f>IFERROR(__xludf.DUMMYFUNCTION("""COMPUTED_VALUE"""),"Walkin")</f>
        <v>Walkin</v>
      </c>
      <c r="W3635" s="124" t="str">
        <f>IFERROR(__xludf.DUMMYFUNCTION("""COMPUTED_VALUE"""),"Patna")</f>
        <v>Patna</v>
      </c>
      <c r="X3635" s="124" t="str">
        <f>IFERROR(__xludf.DUMMYFUNCTION("""COMPUTED_VALUE"""),"Walkin")</f>
        <v>Walkin</v>
      </c>
      <c r="Y3635" s="124" t="str">
        <f>IFERROR(__xludf.DUMMYFUNCTION("""COMPUTED_VALUE"""),"Patna")</f>
        <v>Patna</v>
      </c>
      <c r="Z3635" s="124">
        <f>IFERROR(__xludf.DUMMYFUNCTION("""COMPUTED_VALUE"""),1.0)</f>
        <v>1</v>
      </c>
      <c r="AA3635" s="124" t="str">
        <f>IFERROR(__xludf.DUMMYFUNCTION("""COMPUTED_VALUE"""),"Enrolled")</f>
        <v>Enrolled</v>
      </c>
      <c r="AB3635" s="124" t="str">
        <f>IFERROR(__xludf.DUMMYFUNCTION("""COMPUTED_VALUE"""),"State PCS")</f>
        <v>State PCS</v>
      </c>
    </row>
    <row r="3636">
      <c r="K3636" s="124"/>
      <c r="L3636" s="124"/>
      <c r="M3636" s="124"/>
      <c r="N3636" s="124"/>
      <c r="O3636" s="124"/>
      <c r="T3636" s="126">
        <f>IFERROR(__xludf.DUMMYFUNCTION("""COMPUTED_VALUE"""),46099.0)</f>
        <v>46099</v>
      </c>
      <c r="U3636" s="124" t="str">
        <f>IFERROR(__xludf.DUMMYFUNCTION("""COMPUTED_VALUE"""),"Walk-Ins")</f>
        <v>Walk-Ins</v>
      </c>
      <c r="V3636" s="124" t="str">
        <f>IFERROR(__xludf.DUMMYFUNCTION("""COMPUTED_VALUE"""),"Walkin")</f>
        <v>Walkin</v>
      </c>
      <c r="W3636" s="124" t="str">
        <f>IFERROR(__xludf.DUMMYFUNCTION("""COMPUTED_VALUE"""),"Indore")</f>
        <v>Indore</v>
      </c>
      <c r="X3636" s="124" t="str">
        <f>IFERROR(__xludf.DUMMYFUNCTION("""COMPUTED_VALUE"""),"Walkin")</f>
        <v>Walkin</v>
      </c>
      <c r="Y3636" s="124" t="str">
        <f>IFERROR(__xludf.DUMMYFUNCTION("""COMPUTED_VALUE"""),"Indore")</f>
        <v>Indore</v>
      </c>
      <c r="Z3636" s="124">
        <f>IFERROR(__xludf.DUMMYFUNCTION("""COMPUTED_VALUE"""),2.0)</f>
        <v>2</v>
      </c>
      <c r="AA3636" s="124" t="str">
        <f>IFERROR(__xludf.DUMMYFUNCTION("""COMPUTED_VALUE"""),"Cold")</f>
        <v>Cold</v>
      </c>
      <c r="AB3636" s="124" t="str">
        <f>IFERROR(__xludf.DUMMYFUNCTION("""COMPUTED_VALUE"""),"Other")</f>
        <v>Other</v>
      </c>
    </row>
    <row r="3637">
      <c r="K3637" s="124"/>
      <c r="L3637" s="124"/>
      <c r="M3637" s="124"/>
      <c r="N3637" s="124"/>
      <c r="O3637" s="124"/>
      <c r="T3637" s="126">
        <f>IFERROR(__xludf.DUMMYFUNCTION("""COMPUTED_VALUE"""),46107.0)</f>
        <v>46107</v>
      </c>
      <c r="U3637" s="124" t="str">
        <f>IFERROR(__xludf.DUMMYFUNCTION("""COMPUTED_VALUE"""),"Walk-Ins")</f>
        <v>Walk-Ins</v>
      </c>
      <c r="V3637" s="124" t="str">
        <f>IFERROR(__xludf.DUMMYFUNCTION("""COMPUTED_VALUE"""),"Walkin")</f>
        <v>Walkin</v>
      </c>
      <c r="W3637" s="124" t="str">
        <f>IFERROR(__xludf.DUMMYFUNCTION("""COMPUTED_VALUE"""),"Prayagraj")</f>
        <v>Prayagraj</v>
      </c>
      <c r="X3637" s="124" t="str">
        <f>IFERROR(__xludf.DUMMYFUNCTION("""COMPUTED_VALUE"""),"Walkin")</f>
        <v>Walkin</v>
      </c>
      <c r="Y3637" s="124" t="str">
        <f>IFERROR(__xludf.DUMMYFUNCTION("""COMPUTED_VALUE"""),"Prayagraj")</f>
        <v>Prayagraj</v>
      </c>
      <c r="Z3637" s="124">
        <f>IFERROR(__xludf.DUMMYFUNCTION("""COMPUTED_VALUE"""),1.0)</f>
        <v>1</v>
      </c>
      <c r="AA3637" s="124" t="str">
        <f>IFERROR(__xludf.DUMMYFUNCTION("""COMPUTED_VALUE"""),"Enrolled")</f>
        <v>Enrolled</v>
      </c>
      <c r="AB3637" s="124" t="str">
        <f>IFERROR(__xludf.DUMMYFUNCTION("""COMPUTED_VALUE"""),"State PCS")</f>
        <v>State PCS</v>
      </c>
    </row>
    <row r="3638">
      <c r="K3638" s="124"/>
      <c r="L3638" s="124"/>
      <c r="M3638" s="124"/>
      <c r="N3638" s="124"/>
      <c r="O3638" s="124"/>
      <c r="T3638" s="126">
        <f>IFERROR(__xludf.DUMMYFUNCTION("""COMPUTED_VALUE"""),46101.0)</f>
        <v>46101</v>
      </c>
      <c r="U3638" s="124" t="str">
        <f>IFERROR(__xludf.DUMMYFUNCTION("""COMPUTED_VALUE"""),"Walk-Ins")</f>
        <v>Walk-Ins</v>
      </c>
      <c r="V3638" s="124" t="str">
        <f>IFERROR(__xludf.DUMMYFUNCTION("""COMPUTED_VALUE"""),"Walkin")</f>
        <v>Walkin</v>
      </c>
      <c r="W3638" s="124" t="str">
        <f>IFERROR(__xludf.DUMMYFUNCTION("""COMPUTED_VALUE"""),"Patna")</f>
        <v>Patna</v>
      </c>
      <c r="X3638" s="124" t="str">
        <f>IFERROR(__xludf.DUMMYFUNCTION("""COMPUTED_VALUE"""),"Walkin")</f>
        <v>Walkin</v>
      </c>
      <c r="Y3638" s="124" t="str">
        <f>IFERROR(__xludf.DUMMYFUNCTION("""COMPUTED_VALUE"""),"Patna")</f>
        <v>Patna</v>
      </c>
      <c r="Z3638" s="124">
        <f>IFERROR(__xludf.DUMMYFUNCTION("""COMPUTED_VALUE"""),1.0)</f>
        <v>1</v>
      </c>
      <c r="AA3638" s="124" t="str">
        <f>IFERROR(__xludf.DUMMYFUNCTION("""COMPUTED_VALUE"""),"Not Interested")</f>
        <v>Not Interested</v>
      </c>
      <c r="AB3638" s="124" t="str">
        <f>IFERROR(__xludf.DUMMYFUNCTION("""COMPUTED_VALUE"""),"State PCS")</f>
        <v>State PCS</v>
      </c>
    </row>
    <row r="3639">
      <c r="K3639" s="124"/>
      <c r="L3639" s="124"/>
      <c r="M3639" s="124"/>
      <c r="N3639" s="124"/>
      <c r="O3639" s="124"/>
      <c r="T3639" s="126">
        <f>IFERROR(__xludf.DUMMYFUNCTION("""COMPUTED_VALUE"""),46052.0)</f>
        <v>46052</v>
      </c>
      <c r="U3639" s="124" t="str">
        <f>IFERROR(__xludf.DUMMYFUNCTION("""COMPUTED_VALUE"""),"Walk-Ins")</f>
        <v>Walk-Ins</v>
      </c>
      <c r="V3639" s="124" t="str">
        <f>IFERROR(__xludf.DUMMYFUNCTION("""COMPUTED_VALUE"""),"Walkin")</f>
        <v>Walkin</v>
      </c>
      <c r="W3639" s="124" t="str">
        <f>IFERROR(__xludf.DUMMYFUNCTION("""COMPUTED_VALUE"""),"Patna")</f>
        <v>Patna</v>
      </c>
      <c r="X3639" s="124" t="str">
        <f>IFERROR(__xludf.DUMMYFUNCTION("""COMPUTED_VALUE"""),"Walkin")</f>
        <v>Walkin</v>
      </c>
      <c r="Y3639" s="124" t="str">
        <f>IFERROR(__xludf.DUMMYFUNCTION("""COMPUTED_VALUE"""),"Patna")</f>
        <v>Patna</v>
      </c>
      <c r="Z3639" s="124">
        <f>IFERROR(__xludf.DUMMYFUNCTION("""COMPUTED_VALUE"""),1.0)</f>
        <v>1</v>
      </c>
      <c r="AA3639" s="124" t="str">
        <f>IFERROR(__xludf.DUMMYFUNCTION("""COMPUTED_VALUE"""),"Not Interested")</f>
        <v>Not Interested</v>
      </c>
      <c r="AB3639" s="124" t="str">
        <f>IFERROR(__xludf.DUMMYFUNCTION("""COMPUTED_VALUE"""),"Mentorship")</f>
        <v>Mentorship</v>
      </c>
    </row>
    <row r="3640">
      <c r="K3640" s="124"/>
      <c r="L3640" s="124"/>
      <c r="M3640" s="124"/>
      <c r="N3640" s="124"/>
      <c r="O3640" s="124"/>
      <c r="T3640" s="126">
        <f>IFERROR(__xludf.DUMMYFUNCTION("""COMPUTED_VALUE"""),46078.0)</f>
        <v>46078</v>
      </c>
      <c r="U3640" s="124" t="str">
        <f>IFERROR(__xludf.DUMMYFUNCTION("""COMPUTED_VALUE"""),"Walk-Ins")</f>
        <v>Walk-Ins</v>
      </c>
      <c r="V3640" s="124" t="str">
        <f>IFERROR(__xludf.DUMMYFUNCTION("""COMPUTED_VALUE"""),"Walkin")</f>
        <v>Walkin</v>
      </c>
      <c r="W3640" s="124" t="str">
        <f>IFERROR(__xludf.DUMMYFUNCTION("""COMPUTED_VALUE"""),"Patna")</f>
        <v>Patna</v>
      </c>
      <c r="X3640" s="124" t="str">
        <f>IFERROR(__xludf.DUMMYFUNCTION("""COMPUTED_VALUE"""),"Walkin")</f>
        <v>Walkin</v>
      </c>
      <c r="Y3640" s="124" t="str">
        <f>IFERROR(__xludf.DUMMYFUNCTION("""COMPUTED_VALUE"""),"Patna")</f>
        <v>Patna</v>
      </c>
      <c r="Z3640" s="124">
        <f>IFERROR(__xludf.DUMMYFUNCTION("""COMPUTED_VALUE"""),1.0)</f>
        <v>1</v>
      </c>
      <c r="AA3640" s="124" t="str">
        <f>IFERROR(__xludf.DUMMYFUNCTION("""COMPUTED_VALUE"""),"Enrolled")</f>
        <v>Enrolled</v>
      </c>
      <c r="AB3640" s="124" t="str">
        <f>IFERROR(__xludf.DUMMYFUNCTION("""COMPUTED_VALUE"""),"Optionals")</f>
        <v>Optionals</v>
      </c>
    </row>
    <row r="3641">
      <c r="K3641" s="124"/>
      <c r="L3641" s="124"/>
      <c r="M3641" s="124"/>
      <c r="N3641" s="124"/>
      <c r="O3641" s="124"/>
      <c r="T3641" s="129">
        <f>IFERROR(__xludf.DUMMYFUNCTION("""COMPUTED_VALUE"""),46083.0)</f>
        <v>46083</v>
      </c>
      <c r="U3641" s="124" t="str">
        <f>IFERROR(__xludf.DUMMYFUNCTION("""COMPUTED_VALUE"""),"Walk-Ins")</f>
        <v>Walk-Ins</v>
      </c>
      <c r="V3641" s="124" t="str">
        <f>IFERROR(__xludf.DUMMYFUNCTION("""COMPUTED_VALUE"""),"Walkin")</f>
        <v>Walkin</v>
      </c>
      <c r="W3641" s="124" t="str">
        <f>IFERROR(__xludf.DUMMYFUNCTION("""COMPUTED_VALUE"""),"Indore")</f>
        <v>Indore</v>
      </c>
      <c r="X3641" s="124" t="str">
        <f>IFERROR(__xludf.DUMMYFUNCTION("""COMPUTED_VALUE"""),"Walkin")</f>
        <v>Walkin</v>
      </c>
      <c r="Y3641" s="124" t="str">
        <f>IFERROR(__xludf.DUMMYFUNCTION("""COMPUTED_VALUE"""),"Indore")</f>
        <v>Indore</v>
      </c>
      <c r="Z3641" s="124">
        <f>IFERROR(__xludf.DUMMYFUNCTION("""COMPUTED_VALUE"""),1.0)</f>
        <v>1</v>
      </c>
      <c r="AA3641" s="124" t="str">
        <f>IFERROR(__xludf.DUMMYFUNCTION("""COMPUTED_VALUE"""),"Not Interested")</f>
        <v>Not Interested</v>
      </c>
      <c r="AB3641" s="124" t="str">
        <f>IFERROR(__xludf.DUMMYFUNCTION("""COMPUTED_VALUE"""),"State PCS")</f>
        <v>State PCS</v>
      </c>
    </row>
    <row r="3642">
      <c r="K3642" s="124"/>
      <c r="L3642" s="124"/>
      <c r="M3642" s="124"/>
      <c r="N3642" s="124"/>
      <c r="O3642" s="124"/>
      <c r="T3642" s="126">
        <f>IFERROR(__xludf.DUMMYFUNCTION("""COMPUTED_VALUE"""),46071.0)</f>
        <v>46071</v>
      </c>
      <c r="U3642" s="124" t="str">
        <f>IFERROR(__xludf.DUMMYFUNCTION("""COMPUTED_VALUE"""),"Walk-Ins")</f>
        <v>Walk-Ins</v>
      </c>
      <c r="V3642" s="124" t="str">
        <f>IFERROR(__xludf.DUMMYFUNCTION("""COMPUTED_VALUE"""),"Walkin")</f>
        <v>Walkin</v>
      </c>
      <c r="W3642" s="124" t="str">
        <f>IFERROR(__xludf.DUMMYFUNCTION("""COMPUTED_VALUE"""),"Lucknow")</f>
        <v>Lucknow</v>
      </c>
      <c r="X3642" s="124" t="str">
        <f>IFERROR(__xludf.DUMMYFUNCTION("""COMPUTED_VALUE"""),"Walkin")</f>
        <v>Walkin</v>
      </c>
      <c r="Y3642" s="124" t="str">
        <f>IFERROR(__xludf.DUMMYFUNCTION("""COMPUTED_VALUE"""),"Lucknow")</f>
        <v>Lucknow</v>
      </c>
      <c r="Z3642" s="124">
        <f>IFERROR(__xludf.DUMMYFUNCTION("""COMPUTED_VALUE"""),1.0)</f>
        <v>1</v>
      </c>
      <c r="AA3642" s="124" t="str">
        <f>IFERROR(__xludf.DUMMYFUNCTION("""COMPUTED_VALUE"""),"Engaged")</f>
        <v>Engaged</v>
      </c>
      <c r="AB3642" s="124" t="str">
        <f>IFERROR(__xludf.DUMMYFUNCTION("""COMPUTED_VALUE"""),"GS Foundation")</f>
        <v>GS Foundation</v>
      </c>
    </row>
    <row r="3643">
      <c r="K3643" s="124"/>
      <c r="L3643" s="124"/>
      <c r="M3643" s="124"/>
      <c r="N3643" s="124"/>
      <c r="O3643" s="124"/>
      <c r="T3643" s="126">
        <f>IFERROR(__xludf.DUMMYFUNCTION("""COMPUTED_VALUE"""),46053.0)</f>
        <v>46053</v>
      </c>
      <c r="U3643" s="124" t="str">
        <f>IFERROR(__xludf.DUMMYFUNCTION("""COMPUTED_VALUE"""),"Walk-Ins")</f>
        <v>Walk-Ins</v>
      </c>
      <c r="V3643" s="124" t="str">
        <f>IFERROR(__xludf.DUMMYFUNCTION("""COMPUTED_VALUE"""),"Walkin")</f>
        <v>Walkin</v>
      </c>
      <c r="W3643" s="124" t="str">
        <f>IFERROR(__xludf.DUMMYFUNCTION("""COMPUTED_VALUE"""),"Prayagraj")</f>
        <v>Prayagraj</v>
      </c>
      <c r="X3643" s="124" t="str">
        <f>IFERROR(__xludf.DUMMYFUNCTION("""COMPUTED_VALUE"""),"Walkin")</f>
        <v>Walkin</v>
      </c>
      <c r="Y3643" s="124" t="str">
        <f>IFERROR(__xludf.DUMMYFUNCTION("""COMPUTED_VALUE"""),"Prayagraj")</f>
        <v>Prayagraj</v>
      </c>
      <c r="Z3643" s="124">
        <f>IFERROR(__xludf.DUMMYFUNCTION("""COMPUTED_VALUE"""),1.0)</f>
        <v>1</v>
      </c>
      <c r="AA3643" s="124" t="str">
        <f>IFERROR(__xludf.DUMMYFUNCTION("""COMPUTED_VALUE"""),"Enrolled")</f>
        <v>Enrolled</v>
      </c>
      <c r="AB3643" s="124" t="str">
        <f>IFERROR(__xludf.DUMMYFUNCTION("""COMPUTED_VALUE"""),"GS Foundation")</f>
        <v>GS Foundation</v>
      </c>
    </row>
    <row r="3644">
      <c r="K3644" s="124"/>
      <c r="L3644" s="124"/>
      <c r="M3644" s="124"/>
      <c r="N3644" s="124"/>
      <c r="O3644" s="124"/>
      <c r="T3644" s="126">
        <f>IFERROR(__xludf.DUMMYFUNCTION("""COMPUTED_VALUE"""),46100.0)</f>
        <v>46100</v>
      </c>
      <c r="U3644" s="124" t="str">
        <f>IFERROR(__xludf.DUMMYFUNCTION("""COMPUTED_VALUE"""),"Walk-Ins")</f>
        <v>Walk-Ins</v>
      </c>
      <c r="V3644" s="124" t="str">
        <f>IFERROR(__xludf.DUMMYFUNCTION("""COMPUTED_VALUE"""),"Walkin")</f>
        <v>Walkin</v>
      </c>
      <c r="W3644" s="124" t="str">
        <f>IFERROR(__xludf.DUMMYFUNCTION("""COMPUTED_VALUE"""),"Patna")</f>
        <v>Patna</v>
      </c>
      <c r="X3644" s="124" t="str">
        <f>IFERROR(__xludf.DUMMYFUNCTION("""COMPUTED_VALUE"""),"Walkin")</f>
        <v>Walkin</v>
      </c>
      <c r="Y3644" s="124" t="str">
        <f>IFERROR(__xludf.DUMMYFUNCTION("""COMPUTED_VALUE"""),"Patna")</f>
        <v>Patna</v>
      </c>
      <c r="Z3644" s="124">
        <f>IFERROR(__xludf.DUMMYFUNCTION("""COMPUTED_VALUE"""),2.0)</f>
        <v>2</v>
      </c>
      <c r="AA3644" s="124" t="str">
        <f>IFERROR(__xludf.DUMMYFUNCTION("""COMPUTED_VALUE"""),"Cold")</f>
        <v>Cold</v>
      </c>
      <c r="AB3644" s="124" t="str">
        <f>IFERROR(__xludf.DUMMYFUNCTION("""COMPUTED_VALUE"""),"State PCS")</f>
        <v>State PCS</v>
      </c>
    </row>
    <row r="3645">
      <c r="K3645" s="124"/>
      <c r="L3645" s="124"/>
      <c r="M3645" s="124"/>
      <c r="N3645" s="124"/>
      <c r="O3645" s="124"/>
      <c r="T3645" s="126">
        <f>IFERROR(__xludf.DUMMYFUNCTION("""COMPUTED_VALUE"""),46068.0)</f>
        <v>46068</v>
      </c>
      <c r="U3645" s="124" t="str">
        <f>IFERROR(__xludf.DUMMYFUNCTION("""COMPUTED_VALUE"""),"Walk-Ins")</f>
        <v>Walk-Ins</v>
      </c>
      <c r="V3645" s="124" t="str">
        <f>IFERROR(__xludf.DUMMYFUNCTION("""COMPUTED_VALUE"""),"Walkin")</f>
        <v>Walkin</v>
      </c>
      <c r="W3645" s="124" t="str">
        <f>IFERROR(__xludf.DUMMYFUNCTION("""COMPUTED_VALUE"""),"Lucknow")</f>
        <v>Lucknow</v>
      </c>
      <c r="X3645" s="124" t="str">
        <f>IFERROR(__xludf.DUMMYFUNCTION("""COMPUTED_VALUE"""),"Walkin")</f>
        <v>Walkin</v>
      </c>
      <c r="Y3645" s="124" t="str">
        <f>IFERROR(__xludf.DUMMYFUNCTION("""COMPUTED_VALUE"""),"Lucknow")</f>
        <v>Lucknow</v>
      </c>
      <c r="Z3645" s="124">
        <f>IFERROR(__xludf.DUMMYFUNCTION("""COMPUTED_VALUE"""),1.0)</f>
        <v>1</v>
      </c>
      <c r="AA3645" s="124" t="str">
        <f>IFERROR(__xludf.DUMMYFUNCTION("""COMPUTED_VALUE"""),"Cold")</f>
        <v>Cold</v>
      </c>
      <c r="AB3645" s="124" t="str">
        <f>IFERROR(__xludf.DUMMYFUNCTION("""COMPUTED_VALUE"""),"Mentorship")</f>
        <v>Mentorship</v>
      </c>
    </row>
    <row r="3646">
      <c r="K3646" s="124"/>
      <c r="L3646" s="124"/>
      <c r="M3646" s="124"/>
      <c r="N3646" s="124"/>
      <c r="O3646" s="124"/>
      <c r="T3646" s="126">
        <f>IFERROR(__xludf.DUMMYFUNCTION("""COMPUTED_VALUE"""),46110.0)</f>
        <v>46110</v>
      </c>
      <c r="U3646" s="124" t="str">
        <f>IFERROR(__xludf.DUMMYFUNCTION("""COMPUTED_VALUE"""),"Walk-Ins")</f>
        <v>Walk-Ins</v>
      </c>
      <c r="V3646" s="124" t="str">
        <f>IFERROR(__xludf.DUMMYFUNCTION("""COMPUTED_VALUE"""),"Walkin")</f>
        <v>Walkin</v>
      </c>
      <c r="W3646" s="124" t="str">
        <f>IFERROR(__xludf.DUMMYFUNCTION("""COMPUTED_VALUE"""),"Patna")</f>
        <v>Patna</v>
      </c>
      <c r="X3646" s="124" t="str">
        <f>IFERROR(__xludf.DUMMYFUNCTION("""COMPUTED_VALUE"""),"Walkin")</f>
        <v>Walkin</v>
      </c>
      <c r="Y3646" s="124" t="str">
        <f>IFERROR(__xludf.DUMMYFUNCTION("""COMPUTED_VALUE"""),"Patna")</f>
        <v>Patna</v>
      </c>
      <c r="Z3646" s="124">
        <f>IFERROR(__xludf.DUMMYFUNCTION("""COMPUTED_VALUE"""),1.0)</f>
        <v>1</v>
      </c>
      <c r="AA3646" s="124" t="str">
        <f>IFERROR(__xludf.DUMMYFUNCTION("""COMPUTED_VALUE"""),"Enrolled")</f>
        <v>Enrolled</v>
      </c>
      <c r="AB3646" s="124" t="str">
        <f>IFERROR(__xludf.DUMMYFUNCTION("""COMPUTED_VALUE"""),"State PCS")</f>
        <v>State PCS</v>
      </c>
    </row>
    <row r="3647">
      <c r="K3647" s="124"/>
      <c r="L3647" s="124"/>
      <c r="M3647" s="124"/>
      <c r="N3647" s="124"/>
      <c r="O3647" s="124"/>
      <c r="T3647" s="126">
        <f>IFERROR(__xludf.DUMMYFUNCTION("""COMPUTED_VALUE"""),46103.0)</f>
        <v>46103</v>
      </c>
      <c r="U3647" s="124" t="str">
        <f>IFERROR(__xludf.DUMMYFUNCTION("""COMPUTED_VALUE"""),"Walk-Ins")</f>
        <v>Walk-Ins</v>
      </c>
      <c r="V3647" s="124" t="str">
        <f>IFERROR(__xludf.DUMMYFUNCTION("""COMPUTED_VALUE"""),"Walkin")</f>
        <v>Walkin</v>
      </c>
      <c r="W3647" s="124" t="str">
        <f>IFERROR(__xludf.DUMMYFUNCTION("""COMPUTED_VALUE"""),"Lucknow")</f>
        <v>Lucknow</v>
      </c>
      <c r="X3647" s="124" t="str">
        <f>IFERROR(__xludf.DUMMYFUNCTION("""COMPUTED_VALUE"""),"Walkin")</f>
        <v>Walkin</v>
      </c>
      <c r="Y3647" s="124" t="str">
        <f>IFERROR(__xludf.DUMMYFUNCTION("""COMPUTED_VALUE"""),"Lucknow")</f>
        <v>Lucknow</v>
      </c>
      <c r="Z3647" s="124">
        <f>IFERROR(__xludf.DUMMYFUNCTION("""COMPUTED_VALUE"""),1.0)</f>
        <v>1</v>
      </c>
      <c r="AA3647" s="124" t="str">
        <f>IFERROR(__xludf.DUMMYFUNCTION("""COMPUTED_VALUE"""),"Cold")</f>
        <v>Cold</v>
      </c>
      <c r="AB3647" s="124" t="str">
        <f>IFERROR(__xludf.DUMMYFUNCTION("""COMPUTED_VALUE"""),"GS Foundation")</f>
        <v>GS Foundation</v>
      </c>
    </row>
    <row r="3648">
      <c r="K3648" s="124"/>
      <c r="L3648" s="124"/>
      <c r="M3648" s="124"/>
      <c r="N3648" s="124"/>
      <c r="O3648" s="124"/>
      <c r="T3648" s="126">
        <f>IFERROR(__xludf.DUMMYFUNCTION("""COMPUTED_VALUE"""),46075.0)</f>
        <v>46075</v>
      </c>
      <c r="U3648" s="124" t="str">
        <f>IFERROR(__xludf.DUMMYFUNCTION("""COMPUTED_VALUE"""),"Walk-Ins")</f>
        <v>Walk-Ins</v>
      </c>
      <c r="V3648" s="124" t="str">
        <f>IFERROR(__xludf.DUMMYFUNCTION("""COMPUTED_VALUE"""),"Walkin")</f>
        <v>Walkin</v>
      </c>
      <c r="W3648" s="124" t="str">
        <f>IFERROR(__xludf.DUMMYFUNCTION("""COMPUTED_VALUE"""),"Patna")</f>
        <v>Patna</v>
      </c>
      <c r="X3648" s="124" t="str">
        <f>IFERROR(__xludf.DUMMYFUNCTION("""COMPUTED_VALUE"""),"Walkin")</f>
        <v>Walkin</v>
      </c>
      <c r="Y3648" s="124" t="str">
        <f>IFERROR(__xludf.DUMMYFUNCTION("""COMPUTED_VALUE"""),"Patna")</f>
        <v>Patna</v>
      </c>
      <c r="Z3648" s="124">
        <f>IFERROR(__xludf.DUMMYFUNCTION("""COMPUTED_VALUE"""),1.0)</f>
        <v>1</v>
      </c>
      <c r="AA3648" s="124" t="str">
        <f>IFERROR(__xludf.DUMMYFUNCTION("""COMPUTED_VALUE"""),"Cold")</f>
        <v>Cold</v>
      </c>
      <c r="AB3648" s="124" t="str">
        <f>IFERROR(__xludf.DUMMYFUNCTION("""COMPUTED_VALUE"""),"GS Foundation")</f>
        <v>GS Foundation</v>
      </c>
    </row>
    <row r="3649">
      <c r="K3649" s="124"/>
      <c r="L3649" s="124"/>
      <c r="M3649" s="124"/>
      <c r="N3649" s="124"/>
      <c r="O3649" s="124"/>
      <c r="T3649" s="126">
        <f>IFERROR(__xludf.DUMMYFUNCTION("""COMPUTED_VALUE"""),46098.0)</f>
        <v>46098</v>
      </c>
      <c r="U3649" s="124" t="str">
        <f>IFERROR(__xludf.DUMMYFUNCTION("""COMPUTED_VALUE"""),"Walk-Ins")</f>
        <v>Walk-Ins</v>
      </c>
      <c r="V3649" s="124" t="str">
        <f>IFERROR(__xludf.DUMMYFUNCTION("""COMPUTED_VALUE"""),"Walkin")</f>
        <v>Walkin</v>
      </c>
      <c r="W3649" s="124" t="str">
        <f>IFERROR(__xludf.DUMMYFUNCTION("""COMPUTED_VALUE"""),"Prayagraj")</f>
        <v>Prayagraj</v>
      </c>
      <c r="X3649" s="124" t="str">
        <f>IFERROR(__xludf.DUMMYFUNCTION("""COMPUTED_VALUE"""),"Walkin")</f>
        <v>Walkin</v>
      </c>
      <c r="Y3649" s="124" t="str">
        <f>IFERROR(__xludf.DUMMYFUNCTION("""COMPUTED_VALUE"""),"Prayagraj")</f>
        <v>Prayagraj</v>
      </c>
      <c r="Z3649" s="124">
        <f>IFERROR(__xludf.DUMMYFUNCTION("""COMPUTED_VALUE"""),1.0)</f>
        <v>1</v>
      </c>
      <c r="AA3649" s="124" t="str">
        <f>IFERROR(__xludf.DUMMYFUNCTION("""COMPUTED_VALUE"""),"Warm")</f>
        <v>Warm</v>
      </c>
      <c r="AB3649" s="124" t="str">
        <f>IFERROR(__xludf.DUMMYFUNCTION("""COMPUTED_VALUE"""),"GS Foundation")</f>
        <v>GS Foundation</v>
      </c>
    </row>
    <row r="3650">
      <c r="K3650" s="124"/>
      <c r="L3650" s="124"/>
      <c r="M3650" s="124"/>
      <c r="N3650" s="124"/>
      <c r="O3650" s="124"/>
      <c r="T3650" s="126">
        <f>IFERROR(__xludf.DUMMYFUNCTION("""COMPUTED_VALUE"""),46107.0)</f>
        <v>46107</v>
      </c>
      <c r="U3650" s="124" t="str">
        <f>IFERROR(__xludf.DUMMYFUNCTION("""COMPUTED_VALUE"""),"Walk-Ins")</f>
        <v>Walk-Ins</v>
      </c>
      <c r="V3650" s="124" t="str">
        <f>IFERROR(__xludf.DUMMYFUNCTION("""COMPUTED_VALUE"""),"Walkin")</f>
        <v>Walkin</v>
      </c>
      <c r="W3650" s="124" t="str">
        <f>IFERROR(__xludf.DUMMYFUNCTION("""COMPUTED_VALUE"""),"Prayagraj")</f>
        <v>Prayagraj</v>
      </c>
      <c r="X3650" s="124" t="str">
        <f>IFERROR(__xludf.DUMMYFUNCTION("""COMPUTED_VALUE"""),"Walkin")</f>
        <v>Walkin</v>
      </c>
      <c r="Y3650" s="124" t="str">
        <f>IFERROR(__xludf.DUMMYFUNCTION("""COMPUTED_VALUE"""),"Prayagraj")</f>
        <v>Prayagraj</v>
      </c>
      <c r="Z3650" s="124">
        <f>IFERROR(__xludf.DUMMYFUNCTION("""COMPUTED_VALUE"""),1.0)</f>
        <v>1</v>
      </c>
      <c r="AA3650" s="124" t="str">
        <f>IFERROR(__xludf.DUMMYFUNCTION("""COMPUTED_VALUE"""),"Cold")</f>
        <v>Cold</v>
      </c>
      <c r="AB3650" s="124" t="str">
        <f>IFERROR(__xludf.DUMMYFUNCTION("""COMPUTED_VALUE"""),"Mentorship")</f>
        <v>Mentorship</v>
      </c>
    </row>
    <row r="3651">
      <c r="K3651" s="124"/>
      <c r="L3651" s="124"/>
      <c r="M3651" s="124"/>
      <c r="N3651" s="124"/>
      <c r="O3651" s="124"/>
      <c r="T3651" s="126">
        <f>IFERROR(__xludf.DUMMYFUNCTION("""COMPUTED_VALUE"""),46071.0)</f>
        <v>46071</v>
      </c>
      <c r="U3651" s="124" t="str">
        <f>IFERROR(__xludf.DUMMYFUNCTION("""COMPUTED_VALUE"""),"Walk-Ins")</f>
        <v>Walk-Ins</v>
      </c>
      <c r="V3651" s="124" t="str">
        <f>IFERROR(__xludf.DUMMYFUNCTION("""COMPUTED_VALUE"""),"Walkin")</f>
        <v>Walkin</v>
      </c>
      <c r="W3651" s="124" t="str">
        <f>IFERROR(__xludf.DUMMYFUNCTION("""COMPUTED_VALUE"""),"Patna")</f>
        <v>Patna</v>
      </c>
      <c r="X3651" s="124" t="str">
        <f>IFERROR(__xludf.DUMMYFUNCTION("""COMPUTED_VALUE"""),"Walkin")</f>
        <v>Walkin</v>
      </c>
      <c r="Y3651" s="124" t="str">
        <f>IFERROR(__xludf.DUMMYFUNCTION("""COMPUTED_VALUE"""),"Patna")</f>
        <v>Patna</v>
      </c>
      <c r="Z3651" s="124">
        <f>IFERROR(__xludf.DUMMYFUNCTION("""COMPUTED_VALUE"""),1.0)</f>
        <v>1</v>
      </c>
      <c r="AA3651" s="124" t="str">
        <f>IFERROR(__xludf.DUMMYFUNCTION("""COMPUTED_VALUE"""),"Not Interested")</f>
        <v>Not Interested</v>
      </c>
      <c r="AB3651" s="124" t="str">
        <f>IFERROR(__xludf.DUMMYFUNCTION("""COMPUTED_VALUE"""),"GS Advanced")</f>
        <v>GS Advanced</v>
      </c>
    </row>
    <row r="3652">
      <c r="K3652" s="124"/>
      <c r="L3652" s="124"/>
      <c r="M3652" s="124"/>
      <c r="N3652" s="124"/>
      <c r="O3652" s="124"/>
      <c r="T3652" s="126">
        <f>IFERROR(__xludf.DUMMYFUNCTION("""COMPUTED_VALUE"""),46052.0)</f>
        <v>46052</v>
      </c>
      <c r="U3652" s="124" t="str">
        <f>IFERROR(__xludf.DUMMYFUNCTION("""COMPUTED_VALUE"""),"Walk-Ins")</f>
        <v>Walk-Ins</v>
      </c>
      <c r="V3652" s="124" t="str">
        <f>IFERROR(__xludf.DUMMYFUNCTION("""COMPUTED_VALUE"""),"Walk-In")</f>
        <v>Walk-In</v>
      </c>
      <c r="W3652" s="124" t="str">
        <f>IFERROR(__xludf.DUMMYFUNCTION("""COMPUTED_VALUE"""),"Patna")</f>
        <v>Patna</v>
      </c>
      <c r="X3652" s="124" t="str">
        <f>IFERROR(__xludf.DUMMYFUNCTION("""COMPUTED_VALUE"""),"Others")</f>
        <v>Others</v>
      </c>
      <c r="Y3652" s="124"/>
      <c r="Z3652" s="124">
        <f>IFERROR(__xludf.DUMMYFUNCTION("""COMPUTED_VALUE"""),1.0)</f>
        <v>1</v>
      </c>
      <c r="AA3652" s="124" t="str">
        <f>IFERROR(__xludf.DUMMYFUNCTION("""COMPUTED_VALUE"""),"Cold")</f>
        <v>Cold</v>
      </c>
      <c r="AB3652" s="124" t="str">
        <f>IFERROR(__xludf.DUMMYFUNCTION("""COMPUTED_VALUE"""),"GS Foundation")</f>
        <v>GS Foundation</v>
      </c>
    </row>
    <row r="3653">
      <c r="K3653" s="124"/>
      <c r="L3653" s="124"/>
      <c r="M3653" s="124"/>
      <c r="N3653" s="124"/>
      <c r="O3653" s="124"/>
      <c r="T3653" s="126">
        <f>IFERROR(__xludf.DUMMYFUNCTION("""COMPUTED_VALUE"""),46049.0)</f>
        <v>46049</v>
      </c>
      <c r="U3653" s="124" t="str">
        <f>IFERROR(__xludf.DUMMYFUNCTION("""COMPUTED_VALUE"""),"Walk-Ins")</f>
        <v>Walk-Ins</v>
      </c>
      <c r="V3653" s="124" t="str">
        <f>IFERROR(__xludf.DUMMYFUNCTION("""COMPUTED_VALUE"""),"Walk-In")</f>
        <v>Walk-In</v>
      </c>
      <c r="W3653" s="124" t="str">
        <f>IFERROR(__xludf.DUMMYFUNCTION("""COMPUTED_VALUE"""),"Patna")</f>
        <v>Patna</v>
      </c>
      <c r="X3653" s="124" t="str">
        <f>IFERROR(__xludf.DUMMYFUNCTION("""COMPUTED_VALUE"""),"Others")</f>
        <v>Others</v>
      </c>
      <c r="Y3653" s="124" t="str">
        <f>IFERROR(__xludf.DUMMYFUNCTION("""COMPUTED_VALUE"""),"Patna")</f>
        <v>Patna</v>
      </c>
      <c r="Z3653" s="124">
        <f>IFERROR(__xludf.DUMMYFUNCTION("""COMPUTED_VALUE"""),1.0)</f>
        <v>1</v>
      </c>
      <c r="AA3653" s="124" t="str">
        <f>IFERROR(__xludf.DUMMYFUNCTION("""COMPUTED_VALUE"""),"Warm")</f>
        <v>Warm</v>
      </c>
      <c r="AB3653" s="124" t="str">
        <f>IFERROR(__xludf.DUMMYFUNCTION("""COMPUTED_VALUE"""),"GS Foundation")</f>
        <v>GS Foundation</v>
      </c>
    </row>
    <row r="3654">
      <c r="K3654" s="124"/>
      <c r="L3654" s="124"/>
      <c r="M3654" s="124"/>
      <c r="N3654" s="124"/>
      <c r="O3654" s="124"/>
      <c r="T3654" s="129">
        <f>IFERROR(__xludf.DUMMYFUNCTION("""COMPUTED_VALUE"""),46056.0)</f>
        <v>46056</v>
      </c>
      <c r="U3654" s="124" t="str">
        <f>IFERROR(__xludf.DUMMYFUNCTION("""COMPUTED_VALUE"""),"Walk-Ins")</f>
        <v>Walk-Ins</v>
      </c>
      <c r="V3654" s="124" t="str">
        <f>IFERROR(__xludf.DUMMYFUNCTION("""COMPUTED_VALUE"""),"Walkin")</f>
        <v>Walkin</v>
      </c>
      <c r="W3654" s="124" t="str">
        <f>IFERROR(__xludf.DUMMYFUNCTION("""COMPUTED_VALUE"""),"Indore")</f>
        <v>Indore</v>
      </c>
      <c r="X3654" s="124" t="str">
        <f>IFERROR(__xludf.DUMMYFUNCTION("""COMPUTED_VALUE"""),"Walkin")</f>
        <v>Walkin</v>
      </c>
      <c r="Y3654" s="124" t="str">
        <f>IFERROR(__xludf.DUMMYFUNCTION("""COMPUTED_VALUE"""),"Indore")</f>
        <v>Indore</v>
      </c>
      <c r="Z3654" s="124">
        <f>IFERROR(__xludf.DUMMYFUNCTION("""COMPUTED_VALUE"""),1.0)</f>
        <v>1</v>
      </c>
      <c r="AA3654" s="124" t="str">
        <f>IFERROR(__xludf.DUMMYFUNCTION("""COMPUTED_VALUE"""),"Not Interested")</f>
        <v>Not Interested</v>
      </c>
      <c r="AB3654" s="124" t="str">
        <f>IFERROR(__xludf.DUMMYFUNCTION("""COMPUTED_VALUE"""),"GS Foundation")</f>
        <v>GS Foundation</v>
      </c>
    </row>
    <row r="3655">
      <c r="K3655" s="124"/>
      <c r="L3655" s="124"/>
      <c r="M3655" s="124"/>
      <c r="N3655" s="124"/>
      <c r="O3655" s="124"/>
      <c r="T3655" s="126">
        <f>IFERROR(__xludf.DUMMYFUNCTION("""COMPUTED_VALUE"""),46063.0)</f>
        <v>46063</v>
      </c>
      <c r="U3655" s="124" t="str">
        <f>IFERROR(__xludf.DUMMYFUNCTION("""COMPUTED_VALUE"""),"Walk-Ins")</f>
        <v>Walk-Ins</v>
      </c>
      <c r="V3655" s="124" t="str">
        <f>IFERROR(__xludf.DUMMYFUNCTION("""COMPUTED_VALUE"""),"Walkin")</f>
        <v>Walkin</v>
      </c>
      <c r="W3655" s="124" t="str">
        <f>IFERROR(__xludf.DUMMYFUNCTION("""COMPUTED_VALUE"""),"Patna")</f>
        <v>Patna</v>
      </c>
      <c r="X3655" s="124" t="str">
        <f>IFERROR(__xludf.DUMMYFUNCTION("""COMPUTED_VALUE"""),"Walkin")</f>
        <v>Walkin</v>
      </c>
      <c r="Y3655" s="124" t="str">
        <f>IFERROR(__xludf.DUMMYFUNCTION("""COMPUTED_VALUE"""),"Patna")</f>
        <v>Patna</v>
      </c>
      <c r="Z3655" s="124">
        <f>IFERROR(__xludf.DUMMYFUNCTION("""COMPUTED_VALUE"""),1.0)</f>
        <v>1</v>
      </c>
      <c r="AA3655" s="124" t="str">
        <f>IFERROR(__xludf.DUMMYFUNCTION("""COMPUTED_VALUE"""),"Enrolled")</f>
        <v>Enrolled</v>
      </c>
      <c r="AB3655" s="124" t="str">
        <f>IFERROR(__xludf.DUMMYFUNCTION("""COMPUTED_VALUE"""),"GS Foundation")</f>
        <v>GS Foundation</v>
      </c>
    </row>
    <row r="3656">
      <c r="K3656" s="124"/>
      <c r="L3656" s="124"/>
      <c r="M3656" s="124"/>
      <c r="N3656" s="124"/>
      <c r="O3656" s="124"/>
      <c r="T3656" s="126">
        <f>IFERROR(__xludf.DUMMYFUNCTION("""COMPUTED_VALUE"""),46051.0)</f>
        <v>46051</v>
      </c>
      <c r="U3656" s="124" t="str">
        <f>IFERROR(__xludf.DUMMYFUNCTION("""COMPUTED_VALUE"""),"Walk-Ins")</f>
        <v>Walk-Ins</v>
      </c>
      <c r="V3656" s="124" t="str">
        <f>IFERROR(__xludf.DUMMYFUNCTION("""COMPUTED_VALUE"""),"Walkin")</f>
        <v>Walkin</v>
      </c>
      <c r="W3656" s="124" t="str">
        <f>IFERROR(__xludf.DUMMYFUNCTION("""COMPUTED_VALUE"""),"Indore")</f>
        <v>Indore</v>
      </c>
      <c r="X3656" s="124" t="str">
        <f>IFERROR(__xludf.DUMMYFUNCTION("""COMPUTED_VALUE"""),"Walkin")</f>
        <v>Walkin</v>
      </c>
      <c r="Y3656" s="124" t="str">
        <f>IFERROR(__xludf.DUMMYFUNCTION("""COMPUTED_VALUE"""),"Indore")</f>
        <v>Indore</v>
      </c>
      <c r="Z3656" s="124">
        <f>IFERROR(__xludf.DUMMYFUNCTION("""COMPUTED_VALUE"""),1.0)</f>
        <v>1</v>
      </c>
      <c r="AA3656" s="124" t="str">
        <f>IFERROR(__xludf.DUMMYFUNCTION("""COMPUTED_VALUE"""),"Warm")</f>
        <v>Warm</v>
      </c>
      <c r="AB3656" s="124" t="str">
        <f>IFERROR(__xludf.DUMMYFUNCTION("""COMPUTED_VALUE"""),"Test Series")</f>
        <v>Test Series</v>
      </c>
    </row>
    <row r="3657">
      <c r="K3657" s="124"/>
      <c r="L3657" s="124"/>
      <c r="M3657" s="124"/>
      <c r="N3657" s="124"/>
      <c r="O3657" s="124"/>
      <c r="T3657" s="126">
        <f>IFERROR(__xludf.DUMMYFUNCTION("""COMPUTED_VALUE"""),46073.0)</f>
        <v>46073</v>
      </c>
      <c r="U3657" s="124" t="str">
        <f>IFERROR(__xludf.DUMMYFUNCTION("""COMPUTED_VALUE"""),"Walk-Ins")</f>
        <v>Walk-Ins</v>
      </c>
      <c r="V3657" s="124" t="str">
        <f>IFERROR(__xludf.DUMMYFUNCTION("""COMPUTED_VALUE"""),"Walkin")</f>
        <v>Walkin</v>
      </c>
      <c r="W3657" s="124" t="str">
        <f>IFERROR(__xludf.DUMMYFUNCTION("""COMPUTED_VALUE"""),"Prayagraj")</f>
        <v>Prayagraj</v>
      </c>
      <c r="X3657" s="124" t="str">
        <f>IFERROR(__xludf.DUMMYFUNCTION("""COMPUTED_VALUE"""),"Walkin")</f>
        <v>Walkin</v>
      </c>
      <c r="Y3657" s="124" t="str">
        <f>IFERROR(__xludf.DUMMYFUNCTION("""COMPUTED_VALUE"""),"Prayagraj")</f>
        <v>Prayagraj</v>
      </c>
      <c r="Z3657" s="124">
        <f>IFERROR(__xludf.DUMMYFUNCTION("""COMPUTED_VALUE"""),1.0)</f>
        <v>1</v>
      </c>
      <c r="AA3657" s="124" t="str">
        <f>IFERROR(__xludf.DUMMYFUNCTION("""COMPUTED_VALUE"""),"Warm")</f>
        <v>Warm</v>
      </c>
      <c r="AB3657" s="124" t="str">
        <f>IFERROR(__xludf.DUMMYFUNCTION("""COMPUTED_VALUE"""),"State PCS")</f>
        <v>State PCS</v>
      </c>
    </row>
    <row r="3658">
      <c r="K3658" s="124"/>
      <c r="L3658" s="124"/>
      <c r="M3658" s="124"/>
      <c r="N3658" s="124"/>
      <c r="O3658" s="124"/>
      <c r="T3658" s="129">
        <f>IFERROR(__xludf.DUMMYFUNCTION("""COMPUTED_VALUE"""),46056.0)</f>
        <v>46056</v>
      </c>
      <c r="U3658" s="124" t="str">
        <f>IFERROR(__xludf.DUMMYFUNCTION("""COMPUTED_VALUE"""),"Walk-Ins")</f>
        <v>Walk-Ins</v>
      </c>
      <c r="V3658" s="124" t="str">
        <f>IFERROR(__xludf.DUMMYFUNCTION("""COMPUTED_VALUE"""),"Walk-In")</f>
        <v>Walk-In</v>
      </c>
      <c r="W3658" s="124" t="str">
        <f>IFERROR(__xludf.DUMMYFUNCTION("""COMPUTED_VALUE"""),"Patna")</f>
        <v>Patna</v>
      </c>
      <c r="X3658" s="124" t="str">
        <f>IFERROR(__xludf.DUMMYFUNCTION("""COMPUTED_VALUE"""),"Others")</f>
        <v>Others</v>
      </c>
      <c r="Y3658" s="124" t="str">
        <f>IFERROR(__xludf.DUMMYFUNCTION("""COMPUTED_VALUE"""),"Patna")</f>
        <v>Patna</v>
      </c>
      <c r="Z3658" s="124">
        <f>IFERROR(__xludf.DUMMYFUNCTION("""COMPUTED_VALUE"""),1.0)</f>
        <v>1</v>
      </c>
      <c r="AA3658" s="124" t="str">
        <f>IFERROR(__xludf.DUMMYFUNCTION("""COMPUTED_VALUE"""),"Cold")</f>
        <v>Cold</v>
      </c>
      <c r="AB3658" s="124" t="str">
        <f>IFERROR(__xludf.DUMMYFUNCTION("""COMPUTED_VALUE"""),"GS Foundation")</f>
        <v>GS Foundation</v>
      </c>
    </row>
    <row r="3659">
      <c r="K3659" s="124"/>
      <c r="L3659" s="124"/>
      <c r="M3659" s="124"/>
      <c r="N3659" s="124"/>
      <c r="O3659" s="124"/>
      <c r="T3659" s="129">
        <f>IFERROR(__xludf.DUMMYFUNCTION("""COMPUTED_VALUE"""),46055.0)</f>
        <v>46055</v>
      </c>
      <c r="U3659" s="124" t="str">
        <f>IFERROR(__xludf.DUMMYFUNCTION("""COMPUTED_VALUE"""),"Walk-Ins")</f>
        <v>Walk-Ins</v>
      </c>
      <c r="V3659" s="124" t="str">
        <f>IFERROR(__xludf.DUMMYFUNCTION("""COMPUTED_VALUE"""),"Walkin")</f>
        <v>Walkin</v>
      </c>
      <c r="W3659" s="124" t="str">
        <f>IFERROR(__xludf.DUMMYFUNCTION("""COMPUTED_VALUE"""),"Indore")</f>
        <v>Indore</v>
      </c>
      <c r="X3659" s="124" t="str">
        <f>IFERROR(__xludf.DUMMYFUNCTION("""COMPUTED_VALUE"""),"Walkin")</f>
        <v>Walkin</v>
      </c>
      <c r="Y3659" s="124" t="str">
        <f>IFERROR(__xludf.DUMMYFUNCTION("""COMPUTED_VALUE"""),"Indore")</f>
        <v>Indore</v>
      </c>
      <c r="Z3659" s="124">
        <f>IFERROR(__xludf.DUMMYFUNCTION("""COMPUTED_VALUE"""),1.0)</f>
        <v>1</v>
      </c>
      <c r="AA3659" s="124" t="str">
        <f>IFERROR(__xludf.DUMMYFUNCTION("""COMPUTED_VALUE"""),"Future Prospects")</f>
        <v>Future Prospects</v>
      </c>
      <c r="AB3659" s="124" t="str">
        <f>IFERROR(__xludf.DUMMYFUNCTION("""COMPUTED_VALUE"""),"State PCS")</f>
        <v>State PCS</v>
      </c>
    </row>
    <row r="3660">
      <c r="K3660" s="124"/>
      <c r="L3660" s="124"/>
      <c r="M3660" s="124"/>
      <c r="N3660" s="124"/>
      <c r="O3660" s="124"/>
      <c r="T3660" s="126">
        <f>IFERROR(__xludf.DUMMYFUNCTION("""COMPUTED_VALUE"""),46104.0)</f>
        <v>46104</v>
      </c>
      <c r="U3660" s="124" t="str">
        <f>IFERROR(__xludf.DUMMYFUNCTION("""COMPUTED_VALUE"""),"Walk-Ins")</f>
        <v>Walk-Ins</v>
      </c>
      <c r="V3660" s="124" t="str">
        <f>IFERROR(__xludf.DUMMYFUNCTION("""COMPUTED_VALUE"""),"Walkin")</f>
        <v>Walkin</v>
      </c>
      <c r="W3660" s="124" t="str">
        <f>IFERROR(__xludf.DUMMYFUNCTION("""COMPUTED_VALUE"""),"Indore")</f>
        <v>Indore</v>
      </c>
      <c r="X3660" s="124" t="str">
        <f>IFERROR(__xludf.DUMMYFUNCTION("""COMPUTED_VALUE"""),"Walkin")</f>
        <v>Walkin</v>
      </c>
      <c r="Y3660" s="124" t="str">
        <f>IFERROR(__xludf.DUMMYFUNCTION("""COMPUTED_VALUE"""),"Indore")</f>
        <v>Indore</v>
      </c>
      <c r="Z3660" s="124">
        <f>IFERROR(__xludf.DUMMYFUNCTION("""COMPUTED_VALUE"""),2.0)</f>
        <v>2</v>
      </c>
      <c r="AA3660" s="124" t="str">
        <f>IFERROR(__xludf.DUMMYFUNCTION("""COMPUTED_VALUE"""),"Future Prospects")</f>
        <v>Future Prospects</v>
      </c>
      <c r="AB3660" s="124" t="str">
        <f>IFERROR(__xludf.DUMMYFUNCTION("""COMPUTED_VALUE"""),"GS Foundation")</f>
        <v>GS Foundation</v>
      </c>
    </row>
    <row r="3661">
      <c r="K3661" s="124"/>
      <c r="L3661" s="124"/>
      <c r="M3661" s="124"/>
      <c r="N3661" s="124"/>
      <c r="O3661" s="124"/>
      <c r="T3661" s="126">
        <f>IFERROR(__xludf.DUMMYFUNCTION("""COMPUTED_VALUE"""),46110.0)</f>
        <v>46110</v>
      </c>
      <c r="U3661" s="124" t="str">
        <f>IFERROR(__xludf.DUMMYFUNCTION("""COMPUTED_VALUE"""),"Walk-Ins")</f>
        <v>Walk-Ins</v>
      </c>
      <c r="V3661" s="124" t="str">
        <f>IFERROR(__xludf.DUMMYFUNCTION("""COMPUTED_VALUE"""),"Walkin")</f>
        <v>Walkin</v>
      </c>
      <c r="W3661" s="124" t="str">
        <f>IFERROR(__xludf.DUMMYFUNCTION("""COMPUTED_VALUE"""),"Patna")</f>
        <v>Patna</v>
      </c>
      <c r="X3661" s="124" t="str">
        <f>IFERROR(__xludf.DUMMYFUNCTION("""COMPUTED_VALUE"""),"Walkin")</f>
        <v>Walkin</v>
      </c>
      <c r="Y3661" s="124" t="str">
        <f>IFERROR(__xludf.DUMMYFUNCTION("""COMPUTED_VALUE"""),"Patna")</f>
        <v>Patna</v>
      </c>
      <c r="Z3661" s="124">
        <f>IFERROR(__xludf.DUMMYFUNCTION("""COMPUTED_VALUE"""),1.0)</f>
        <v>1</v>
      </c>
      <c r="AA3661" s="124" t="str">
        <f>IFERROR(__xludf.DUMMYFUNCTION("""COMPUTED_VALUE"""),"Cold")</f>
        <v>Cold</v>
      </c>
      <c r="AB3661" s="124" t="str">
        <f>IFERROR(__xludf.DUMMYFUNCTION("""COMPUTED_VALUE"""),"Test Series")</f>
        <v>Test Series</v>
      </c>
    </row>
    <row r="3662">
      <c r="K3662" s="124"/>
      <c r="L3662" s="124"/>
      <c r="M3662" s="124"/>
      <c r="N3662" s="124"/>
      <c r="O3662" s="124"/>
      <c r="T3662" s="129">
        <f>IFERROR(__xludf.DUMMYFUNCTION("""COMPUTED_VALUE"""),46060.0)</f>
        <v>46060</v>
      </c>
      <c r="U3662" s="124" t="str">
        <f>IFERROR(__xludf.DUMMYFUNCTION("""COMPUTED_VALUE"""),"Walk-Ins")</f>
        <v>Walk-Ins</v>
      </c>
      <c r="V3662" s="124" t="str">
        <f>IFERROR(__xludf.DUMMYFUNCTION("""COMPUTED_VALUE"""),"Walk-In")</f>
        <v>Walk-In</v>
      </c>
      <c r="W3662" s="124" t="str">
        <f>IFERROR(__xludf.DUMMYFUNCTION("""COMPUTED_VALUE"""),"Lucknow")</f>
        <v>Lucknow</v>
      </c>
      <c r="X3662" s="124" t="str">
        <f>IFERROR(__xludf.DUMMYFUNCTION("""COMPUTED_VALUE"""),"Others")</f>
        <v>Others</v>
      </c>
      <c r="Y3662" s="124" t="str">
        <f>IFERROR(__xludf.DUMMYFUNCTION("""COMPUTED_VALUE"""),"Lucknow")</f>
        <v>Lucknow</v>
      </c>
      <c r="Z3662" s="124">
        <f>IFERROR(__xludf.DUMMYFUNCTION("""COMPUTED_VALUE"""),1.0)</f>
        <v>1</v>
      </c>
      <c r="AA3662" s="124" t="str">
        <f>IFERROR(__xludf.DUMMYFUNCTION("""COMPUTED_VALUE"""),"Not Interested")</f>
        <v>Not Interested</v>
      </c>
      <c r="AB3662" s="124" t="str">
        <f>IFERROR(__xludf.DUMMYFUNCTION("""COMPUTED_VALUE"""),"Other")</f>
        <v>Other</v>
      </c>
    </row>
    <row r="3663">
      <c r="K3663" s="124"/>
      <c r="L3663" s="124"/>
      <c r="M3663" s="124"/>
      <c r="N3663" s="124"/>
      <c r="O3663" s="124"/>
      <c r="T3663" s="129">
        <f>IFERROR(__xludf.DUMMYFUNCTION("""COMPUTED_VALUE"""),46057.0)</f>
        <v>46057</v>
      </c>
      <c r="U3663" s="124" t="str">
        <f>IFERROR(__xludf.DUMMYFUNCTION("""COMPUTED_VALUE"""),"Walk-Ins")</f>
        <v>Walk-Ins</v>
      </c>
      <c r="V3663" s="124" t="str">
        <f>IFERROR(__xludf.DUMMYFUNCTION("""COMPUTED_VALUE"""),"Walkin")</f>
        <v>Walkin</v>
      </c>
      <c r="W3663" s="124" t="str">
        <f>IFERROR(__xludf.DUMMYFUNCTION("""COMPUTED_VALUE"""),"Prayagraj")</f>
        <v>Prayagraj</v>
      </c>
      <c r="X3663" s="124" t="str">
        <f>IFERROR(__xludf.DUMMYFUNCTION("""COMPUTED_VALUE"""),"Walkin")</f>
        <v>Walkin</v>
      </c>
      <c r="Y3663" s="124" t="str">
        <f>IFERROR(__xludf.DUMMYFUNCTION("""COMPUTED_VALUE"""),"Prayagraj")</f>
        <v>Prayagraj</v>
      </c>
      <c r="Z3663" s="124">
        <f>IFERROR(__xludf.DUMMYFUNCTION("""COMPUTED_VALUE"""),1.0)</f>
        <v>1</v>
      </c>
      <c r="AA3663" s="124" t="str">
        <f>IFERROR(__xludf.DUMMYFUNCTION("""COMPUTED_VALUE"""),"Future Prospects")</f>
        <v>Future Prospects</v>
      </c>
      <c r="AB3663" s="124" t="str">
        <f>IFERROR(__xludf.DUMMYFUNCTION("""COMPUTED_VALUE"""),"GS Foundation")</f>
        <v>GS Foundation</v>
      </c>
    </row>
    <row r="3664">
      <c r="K3664" s="124"/>
      <c r="L3664" s="124"/>
      <c r="M3664" s="124"/>
      <c r="N3664" s="124"/>
      <c r="O3664" s="124"/>
      <c r="T3664" s="126">
        <f>IFERROR(__xludf.DUMMYFUNCTION("""COMPUTED_VALUE"""),46095.0)</f>
        <v>46095</v>
      </c>
      <c r="U3664" s="124" t="str">
        <f>IFERROR(__xludf.DUMMYFUNCTION("""COMPUTED_VALUE"""),"Walk-Ins")</f>
        <v>Walk-Ins</v>
      </c>
      <c r="V3664" s="124" t="str">
        <f>IFERROR(__xludf.DUMMYFUNCTION("""COMPUTED_VALUE"""),"Walkin")</f>
        <v>Walkin</v>
      </c>
      <c r="W3664" s="124" t="str">
        <f>IFERROR(__xludf.DUMMYFUNCTION("""COMPUTED_VALUE"""),"Lucknow")</f>
        <v>Lucknow</v>
      </c>
      <c r="X3664" s="124" t="str">
        <f>IFERROR(__xludf.DUMMYFUNCTION("""COMPUTED_VALUE"""),"Walkin")</f>
        <v>Walkin</v>
      </c>
      <c r="Y3664" s="124" t="str">
        <f>IFERROR(__xludf.DUMMYFUNCTION("""COMPUTED_VALUE"""),"Lucknow")</f>
        <v>Lucknow</v>
      </c>
      <c r="Z3664" s="124">
        <f>IFERROR(__xludf.DUMMYFUNCTION("""COMPUTED_VALUE"""),1.0)</f>
        <v>1</v>
      </c>
      <c r="AA3664" s="124" t="str">
        <f>IFERROR(__xludf.DUMMYFUNCTION("""COMPUTED_VALUE"""),"Enrolled")</f>
        <v>Enrolled</v>
      </c>
      <c r="AB3664" s="124" t="str">
        <f>IFERROR(__xludf.DUMMYFUNCTION("""COMPUTED_VALUE"""),"GS Foundation")</f>
        <v>GS Foundation</v>
      </c>
    </row>
    <row r="3665">
      <c r="K3665" s="124"/>
      <c r="L3665" s="124"/>
      <c r="M3665" s="124"/>
      <c r="N3665" s="124"/>
      <c r="O3665" s="124"/>
      <c r="T3665" s="126">
        <f>IFERROR(__xludf.DUMMYFUNCTION("""COMPUTED_VALUE"""),46074.0)</f>
        <v>46074</v>
      </c>
      <c r="U3665" s="124" t="str">
        <f>IFERROR(__xludf.DUMMYFUNCTION("""COMPUTED_VALUE"""),"Walk-Ins")</f>
        <v>Walk-Ins</v>
      </c>
      <c r="V3665" s="124" t="str">
        <f>IFERROR(__xludf.DUMMYFUNCTION("""COMPUTED_VALUE"""),"Walkin")</f>
        <v>Walkin</v>
      </c>
      <c r="W3665" s="124" t="str">
        <f>IFERROR(__xludf.DUMMYFUNCTION("""COMPUTED_VALUE"""),"Indore")</f>
        <v>Indore</v>
      </c>
      <c r="X3665" s="124" t="str">
        <f>IFERROR(__xludf.DUMMYFUNCTION("""COMPUTED_VALUE"""),"Walkin")</f>
        <v>Walkin</v>
      </c>
      <c r="Y3665" s="124" t="str">
        <f>IFERROR(__xludf.DUMMYFUNCTION("""COMPUTED_VALUE"""),"Indore")</f>
        <v>Indore</v>
      </c>
      <c r="Z3665" s="124">
        <f>IFERROR(__xludf.DUMMYFUNCTION("""COMPUTED_VALUE"""),2.0)</f>
        <v>2</v>
      </c>
      <c r="AA3665" s="124" t="str">
        <f>IFERROR(__xludf.DUMMYFUNCTION("""COMPUTED_VALUE"""),"Not Interested")</f>
        <v>Not Interested</v>
      </c>
      <c r="AB3665" s="124" t="str">
        <f>IFERROR(__xludf.DUMMYFUNCTION("""COMPUTED_VALUE"""),"Mentorship")</f>
        <v>Mentorship</v>
      </c>
    </row>
    <row r="3666">
      <c r="K3666" s="124"/>
      <c r="L3666" s="124"/>
      <c r="M3666" s="124"/>
      <c r="N3666" s="124"/>
      <c r="O3666" s="124"/>
      <c r="T3666" s="126">
        <f>IFERROR(__xludf.DUMMYFUNCTION("""COMPUTED_VALUE"""),46092.0)</f>
        <v>46092</v>
      </c>
      <c r="U3666" s="124" t="str">
        <f>IFERROR(__xludf.DUMMYFUNCTION("""COMPUTED_VALUE"""),"Walk-Ins")</f>
        <v>Walk-Ins</v>
      </c>
      <c r="V3666" s="124" t="str">
        <f>IFERROR(__xludf.DUMMYFUNCTION("""COMPUTED_VALUE"""),"Walkin")</f>
        <v>Walkin</v>
      </c>
      <c r="W3666" s="124" t="str">
        <f>IFERROR(__xludf.DUMMYFUNCTION("""COMPUTED_VALUE"""),"Patna")</f>
        <v>Patna</v>
      </c>
      <c r="X3666" s="124" t="str">
        <f>IFERROR(__xludf.DUMMYFUNCTION("""COMPUTED_VALUE"""),"Walkin")</f>
        <v>Walkin</v>
      </c>
      <c r="Y3666" s="124" t="str">
        <f>IFERROR(__xludf.DUMMYFUNCTION("""COMPUTED_VALUE"""),"Patna")</f>
        <v>Patna</v>
      </c>
      <c r="Z3666" s="124">
        <f>IFERROR(__xludf.DUMMYFUNCTION("""COMPUTED_VALUE"""),1.0)</f>
        <v>1</v>
      </c>
      <c r="AA3666" s="124" t="str">
        <f>IFERROR(__xludf.DUMMYFUNCTION("""COMPUTED_VALUE"""),"Fake Lead")</f>
        <v>Fake Lead</v>
      </c>
      <c r="AB3666" s="124" t="str">
        <f>IFERROR(__xludf.DUMMYFUNCTION("""COMPUTED_VALUE"""),"Other")</f>
        <v>Other</v>
      </c>
    </row>
    <row r="3667">
      <c r="K3667" s="124"/>
      <c r="L3667" s="124"/>
      <c r="M3667" s="124"/>
      <c r="N3667" s="124"/>
      <c r="O3667" s="124"/>
      <c r="T3667" s="126">
        <f>IFERROR(__xludf.DUMMYFUNCTION("""COMPUTED_VALUE"""),46071.0)</f>
        <v>46071</v>
      </c>
      <c r="U3667" s="124" t="str">
        <f>IFERROR(__xludf.DUMMYFUNCTION("""COMPUTED_VALUE"""),"Walk-Ins")</f>
        <v>Walk-Ins</v>
      </c>
      <c r="V3667" s="124" t="str">
        <f>IFERROR(__xludf.DUMMYFUNCTION("""COMPUTED_VALUE"""),"Walkin")</f>
        <v>Walkin</v>
      </c>
      <c r="W3667" s="124" t="str">
        <f>IFERROR(__xludf.DUMMYFUNCTION("""COMPUTED_VALUE"""),"Patna")</f>
        <v>Patna</v>
      </c>
      <c r="X3667" s="124" t="str">
        <f>IFERROR(__xludf.DUMMYFUNCTION("""COMPUTED_VALUE"""),"Walkin")</f>
        <v>Walkin</v>
      </c>
      <c r="Y3667" s="124" t="str">
        <f>IFERROR(__xludf.DUMMYFUNCTION("""COMPUTED_VALUE"""),"Patna")</f>
        <v>Patna</v>
      </c>
      <c r="Z3667" s="124">
        <f>IFERROR(__xludf.DUMMYFUNCTION("""COMPUTED_VALUE"""),1.0)</f>
        <v>1</v>
      </c>
      <c r="AA3667" s="124" t="str">
        <f>IFERROR(__xludf.DUMMYFUNCTION("""COMPUTED_VALUE"""),"Future Prospects")</f>
        <v>Future Prospects</v>
      </c>
      <c r="AB3667" s="124" t="str">
        <f>IFERROR(__xludf.DUMMYFUNCTION("""COMPUTED_VALUE"""),"GS Advanced")</f>
        <v>GS Advanced</v>
      </c>
    </row>
    <row r="3668">
      <c r="K3668" s="124"/>
      <c r="L3668" s="124"/>
      <c r="M3668" s="124"/>
      <c r="N3668" s="124"/>
      <c r="O3668" s="124"/>
      <c r="T3668" s="129">
        <f>IFERROR(__xludf.DUMMYFUNCTION("""COMPUTED_VALUE"""),46090.0)</f>
        <v>46090</v>
      </c>
      <c r="U3668" s="124" t="str">
        <f>IFERROR(__xludf.DUMMYFUNCTION("""COMPUTED_VALUE"""),"Walk-Ins")</f>
        <v>Walk-Ins</v>
      </c>
      <c r="V3668" s="124" t="str">
        <f>IFERROR(__xludf.DUMMYFUNCTION("""COMPUTED_VALUE"""),"Walkin")</f>
        <v>Walkin</v>
      </c>
      <c r="W3668" s="124" t="str">
        <f>IFERROR(__xludf.DUMMYFUNCTION("""COMPUTED_VALUE"""),"Patna")</f>
        <v>Patna</v>
      </c>
      <c r="X3668" s="124" t="str">
        <f>IFERROR(__xludf.DUMMYFUNCTION("""COMPUTED_VALUE"""),"Walkin")</f>
        <v>Walkin</v>
      </c>
      <c r="Y3668" s="124" t="str">
        <f>IFERROR(__xludf.DUMMYFUNCTION("""COMPUTED_VALUE"""),"Patna")</f>
        <v>Patna</v>
      </c>
      <c r="Z3668" s="124">
        <f>IFERROR(__xludf.DUMMYFUNCTION("""COMPUTED_VALUE"""),1.0)</f>
        <v>1</v>
      </c>
      <c r="AA3668" s="124" t="str">
        <f>IFERROR(__xludf.DUMMYFUNCTION("""COMPUTED_VALUE"""),"Not Interested")</f>
        <v>Not Interested</v>
      </c>
      <c r="AB3668" s="124" t="str">
        <f>IFERROR(__xludf.DUMMYFUNCTION("""COMPUTED_VALUE"""),"State PCS")</f>
        <v>State PCS</v>
      </c>
    </row>
    <row r="3669">
      <c r="K3669" s="124"/>
      <c r="L3669" s="124"/>
      <c r="M3669" s="124"/>
      <c r="N3669" s="124"/>
      <c r="O3669" s="124"/>
      <c r="T3669" s="126">
        <f>IFERROR(__xludf.DUMMYFUNCTION("""COMPUTED_VALUE"""),46074.0)</f>
        <v>46074</v>
      </c>
      <c r="U3669" s="124" t="str">
        <f>IFERROR(__xludf.DUMMYFUNCTION("""COMPUTED_VALUE"""),"Walk-Ins")</f>
        <v>Walk-Ins</v>
      </c>
      <c r="V3669" s="124" t="str">
        <f>IFERROR(__xludf.DUMMYFUNCTION("""COMPUTED_VALUE"""),"Walkin")</f>
        <v>Walkin</v>
      </c>
      <c r="W3669" s="124" t="str">
        <f>IFERROR(__xludf.DUMMYFUNCTION("""COMPUTED_VALUE"""),"Prayagraj")</f>
        <v>Prayagraj</v>
      </c>
      <c r="X3669" s="124" t="str">
        <f>IFERROR(__xludf.DUMMYFUNCTION("""COMPUTED_VALUE"""),"Walkin")</f>
        <v>Walkin</v>
      </c>
      <c r="Y3669" s="124" t="str">
        <f>IFERROR(__xludf.DUMMYFUNCTION("""COMPUTED_VALUE"""),"Prayagraj")</f>
        <v>Prayagraj</v>
      </c>
      <c r="Z3669" s="124">
        <f>IFERROR(__xludf.DUMMYFUNCTION("""COMPUTED_VALUE"""),1.0)</f>
        <v>1</v>
      </c>
      <c r="AA3669" s="124" t="str">
        <f>IFERROR(__xludf.DUMMYFUNCTION("""COMPUTED_VALUE"""),"Future Prospects")</f>
        <v>Future Prospects</v>
      </c>
      <c r="AB3669" s="124" t="str">
        <f>IFERROR(__xludf.DUMMYFUNCTION("""COMPUTED_VALUE"""),"GS Foundation")</f>
        <v>GS Foundation</v>
      </c>
    </row>
    <row r="3670">
      <c r="K3670" s="124"/>
      <c r="L3670" s="124"/>
      <c r="M3670" s="124"/>
      <c r="N3670" s="124"/>
      <c r="O3670" s="124"/>
      <c r="T3670" s="126">
        <f>IFERROR(__xludf.DUMMYFUNCTION("""COMPUTED_VALUE"""),46068.0)</f>
        <v>46068</v>
      </c>
      <c r="U3670" s="124" t="str">
        <f>IFERROR(__xludf.DUMMYFUNCTION("""COMPUTED_VALUE"""),"Walk-Ins")</f>
        <v>Walk-Ins</v>
      </c>
      <c r="V3670" s="124" t="str">
        <f>IFERROR(__xludf.DUMMYFUNCTION("""COMPUTED_VALUE"""),"Walkin")</f>
        <v>Walkin</v>
      </c>
      <c r="W3670" s="124" t="str">
        <f>IFERROR(__xludf.DUMMYFUNCTION("""COMPUTED_VALUE"""),"Prayagraj")</f>
        <v>Prayagraj</v>
      </c>
      <c r="X3670" s="124" t="str">
        <f>IFERROR(__xludf.DUMMYFUNCTION("""COMPUTED_VALUE"""),"Walkin")</f>
        <v>Walkin</v>
      </c>
      <c r="Y3670" s="124" t="str">
        <f>IFERROR(__xludf.DUMMYFUNCTION("""COMPUTED_VALUE"""),"Prayagraj")</f>
        <v>Prayagraj</v>
      </c>
      <c r="Z3670" s="124">
        <f>IFERROR(__xludf.DUMMYFUNCTION("""COMPUTED_VALUE"""),1.0)</f>
        <v>1</v>
      </c>
      <c r="AA3670" s="124" t="str">
        <f>IFERROR(__xludf.DUMMYFUNCTION("""COMPUTED_VALUE"""),"Cold")</f>
        <v>Cold</v>
      </c>
      <c r="AB3670" s="124" t="str">
        <f>IFERROR(__xludf.DUMMYFUNCTION("""COMPUTED_VALUE"""),"Mentorship")</f>
        <v>Mentorship</v>
      </c>
    </row>
    <row r="3671">
      <c r="K3671" s="124"/>
      <c r="L3671" s="124"/>
      <c r="M3671" s="124"/>
      <c r="N3671" s="124"/>
      <c r="O3671" s="124"/>
      <c r="T3671" s="126">
        <f>IFERROR(__xludf.DUMMYFUNCTION("""COMPUTED_VALUE"""),46066.0)</f>
        <v>46066</v>
      </c>
      <c r="U3671" s="124" t="str">
        <f>IFERROR(__xludf.DUMMYFUNCTION("""COMPUTED_VALUE"""),"Walk-Ins")</f>
        <v>Walk-Ins</v>
      </c>
      <c r="V3671" s="124" t="str">
        <f>IFERROR(__xludf.DUMMYFUNCTION("""COMPUTED_VALUE"""),"Walkin")</f>
        <v>Walkin</v>
      </c>
      <c r="W3671" s="124" t="str">
        <f>IFERROR(__xludf.DUMMYFUNCTION("""COMPUTED_VALUE"""),"Indore")</f>
        <v>Indore</v>
      </c>
      <c r="X3671" s="124" t="str">
        <f>IFERROR(__xludf.DUMMYFUNCTION("""COMPUTED_VALUE"""),"Walkin")</f>
        <v>Walkin</v>
      </c>
      <c r="Y3671" s="124" t="str">
        <f>IFERROR(__xludf.DUMMYFUNCTION("""COMPUTED_VALUE"""),"Indore")</f>
        <v>Indore</v>
      </c>
      <c r="Z3671" s="124">
        <f>IFERROR(__xludf.DUMMYFUNCTION("""COMPUTED_VALUE"""),1.0)</f>
        <v>1</v>
      </c>
      <c r="AA3671" s="124" t="str">
        <f>IFERROR(__xludf.DUMMYFUNCTION("""COMPUTED_VALUE"""),"Future Prospects")</f>
        <v>Future Prospects</v>
      </c>
      <c r="AB3671" s="124" t="str">
        <f>IFERROR(__xludf.DUMMYFUNCTION("""COMPUTED_VALUE"""),"GS Foundation")</f>
        <v>GS Foundation</v>
      </c>
    </row>
    <row r="3672">
      <c r="K3672" s="124"/>
      <c r="L3672" s="124"/>
      <c r="M3672" s="124"/>
      <c r="N3672" s="124"/>
      <c r="O3672" s="124"/>
      <c r="T3672" s="126">
        <f>IFERROR(__xludf.DUMMYFUNCTION("""COMPUTED_VALUE"""),46094.0)</f>
        <v>46094</v>
      </c>
      <c r="U3672" s="124" t="str">
        <f>IFERROR(__xludf.DUMMYFUNCTION("""COMPUTED_VALUE"""),"Walk-Ins")</f>
        <v>Walk-Ins</v>
      </c>
      <c r="V3672" s="124" t="str">
        <f>IFERROR(__xludf.DUMMYFUNCTION("""COMPUTED_VALUE"""),"Walkin")</f>
        <v>Walkin</v>
      </c>
      <c r="W3672" s="124" t="str">
        <f>IFERROR(__xludf.DUMMYFUNCTION("""COMPUTED_VALUE"""),"Patna")</f>
        <v>Patna</v>
      </c>
      <c r="X3672" s="124" t="str">
        <f>IFERROR(__xludf.DUMMYFUNCTION("""COMPUTED_VALUE"""),"Walkin")</f>
        <v>Walkin</v>
      </c>
      <c r="Y3672" s="124" t="str">
        <f>IFERROR(__xludf.DUMMYFUNCTION("""COMPUTED_VALUE"""),"Patna")</f>
        <v>Patna</v>
      </c>
      <c r="Z3672" s="124">
        <f>IFERROR(__xludf.DUMMYFUNCTION("""COMPUTED_VALUE"""),1.0)</f>
        <v>1</v>
      </c>
      <c r="AA3672" s="124" t="str">
        <f>IFERROR(__xludf.DUMMYFUNCTION("""COMPUTED_VALUE"""),"Warm")</f>
        <v>Warm</v>
      </c>
      <c r="AB3672" s="124" t="str">
        <f>IFERROR(__xludf.DUMMYFUNCTION("""COMPUTED_VALUE"""),"State PCS")</f>
        <v>State PCS</v>
      </c>
    </row>
    <row r="3673">
      <c r="K3673" s="124"/>
      <c r="L3673" s="124"/>
      <c r="M3673" s="124"/>
      <c r="N3673" s="124"/>
      <c r="O3673" s="124"/>
      <c r="T3673" s="126">
        <f>IFERROR(__xludf.DUMMYFUNCTION("""COMPUTED_VALUE"""),46106.0)</f>
        <v>46106</v>
      </c>
      <c r="U3673" s="124" t="str">
        <f>IFERROR(__xludf.DUMMYFUNCTION("""COMPUTED_VALUE"""),"Paid Ads")</f>
        <v>Paid Ads</v>
      </c>
      <c r="V3673" s="124" t="str">
        <f>IFERROR(__xludf.DUMMYFUNCTION("""COMPUTED_VALUE"""),"Facebook")</f>
        <v>Facebook</v>
      </c>
      <c r="W3673" s="124" t="str">
        <f>IFERROR(__xludf.DUMMYFUNCTION("""COMPUTED_VALUE"""),"LeadAd")</f>
        <v>LeadAd</v>
      </c>
      <c r="X3673" s="124" t="str">
        <f>IFERROR(__xludf.DUMMYFUNCTION("""COMPUTED_VALUE"""),"Upsc_Hindi_Leads_FB_Creatives")</f>
        <v>Upsc_Hindi_Leads_FB_Creatives</v>
      </c>
      <c r="Y3673" s="124"/>
      <c r="Z3673" s="124">
        <f>IFERROR(__xludf.DUMMYFUNCTION("""COMPUTED_VALUE"""),1.0)</f>
        <v>1</v>
      </c>
      <c r="AA3673" s="124" t="str">
        <f>IFERROR(__xludf.DUMMYFUNCTION("""COMPUTED_VALUE"""),"Warm")</f>
        <v>Warm</v>
      </c>
      <c r="AB3673" s="124"/>
    </row>
    <row r="3674">
      <c r="K3674" s="124"/>
      <c r="L3674" s="124"/>
      <c r="M3674" s="124"/>
      <c r="N3674" s="124"/>
      <c r="O3674" s="124"/>
      <c r="T3674" s="126">
        <f>IFERROR(__xludf.DUMMYFUNCTION("""COMPUTED_VALUE"""),46045.0)</f>
        <v>46045</v>
      </c>
      <c r="U3674" s="124" t="str">
        <f>IFERROR(__xludf.DUMMYFUNCTION("""COMPUTED_VALUE"""),"Event")</f>
        <v>Event</v>
      </c>
      <c r="V3674" s="124" t="str">
        <f>IFERROR(__xludf.DUMMYFUNCTION("""COMPUTED_VALUE"""),"Events")</f>
        <v>Events</v>
      </c>
      <c r="W3674" s="124" t="str">
        <f>IFERROR(__xludf.DUMMYFUNCTION("""COMPUTED_VALUE"""),"Delhi")</f>
        <v>Delhi</v>
      </c>
      <c r="X3674" s="124" t="str">
        <f>IFERROR(__xludf.DUMMYFUNCTION("""COMPUTED_VALUE"""),"DRCSEMINAR(CTC")</f>
        <v>DRCSEMINAR(CTC</v>
      </c>
      <c r="Y3674" s="124" t="str">
        <f>IFERROR(__xludf.DUMMYFUNCTION("""COMPUTED_VALUE"""),"Delhi")</f>
        <v>Delhi</v>
      </c>
      <c r="Z3674" s="124">
        <f>IFERROR(__xludf.DUMMYFUNCTION("""COMPUTED_VALUE"""),1.0)</f>
        <v>1</v>
      </c>
      <c r="AA3674" s="124" t="str">
        <f>IFERROR(__xludf.DUMMYFUNCTION("""COMPUTED_VALUE"""),"Cold")</f>
        <v>Cold</v>
      </c>
      <c r="AB3674" s="124" t="str">
        <f>IFERROR(__xludf.DUMMYFUNCTION("""COMPUTED_VALUE"""),"GS Foundation")</f>
        <v>GS Foundation</v>
      </c>
    </row>
    <row r="3675">
      <c r="K3675" s="124"/>
      <c r="L3675" s="124"/>
      <c r="M3675" s="124"/>
      <c r="N3675" s="124"/>
      <c r="O3675" s="124"/>
      <c r="T3675" s="126">
        <f>IFERROR(__xludf.DUMMYFUNCTION("""COMPUTED_VALUE"""),46101.0)</f>
        <v>46101</v>
      </c>
      <c r="U3675" s="124" t="str">
        <f>IFERROR(__xludf.DUMMYFUNCTION("""COMPUTED_VALUE"""),"Paid Ads")</f>
        <v>Paid Ads</v>
      </c>
      <c r="V3675" s="124" t="str">
        <f>IFERROR(__xludf.DUMMYFUNCTION("""COMPUTED_VALUE"""),"Facebook")</f>
        <v>Facebook</v>
      </c>
      <c r="W3675" s="124" t="str">
        <f>IFERROR(__xludf.DUMMYFUNCTION("""COMPUTED_VALUE"""),"LeadAd")</f>
        <v>LeadAd</v>
      </c>
      <c r="X3675" s="124" t="str">
        <f>IFERROR(__xludf.DUMMYFUNCTION("""COMPUTED_VALUE"""),"Upsc_Hindi_Leads_FB_Creatives")</f>
        <v>Upsc_Hindi_Leads_FB_Creatives</v>
      </c>
      <c r="Y3675" s="124"/>
      <c r="Z3675" s="124">
        <f>IFERROR(__xludf.DUMMYFUNCTION("""COMPUTED_VALUE"""),1.0)</f>
        <v>1</v>
      </c>
      <c r="AA3675" s="124" t="str">
        <f>IFERROR(__xludf.DUMMYFUNCTION("""COMPUTED_VALUE"""),"Not Interested")</f>
        <v>Not Interested</v>
      </c>
      <c r="AB3675" s="124"/>
    </row>
    <row r="3676">
      <c r="K3676" s="124"/>
      <c r="L3676" s="124"/>
      <c r="M3676" s="124"/>
      <c r="N3676" s="124"/>
      <c r="O3676" s="124"/>
      <c r="T3676" s="126">
        <f>IFERROR(__xludf.DUMMYFUNCTION("""COMPUTED_VALUE"""),46105.0)</f>
        <v>46105</v>
      </c>
      <c r="U3676" s="124" t="str">
        <f>IFERROR(__xludf.DUMMYFUNCTION("""COMPUTED_VALUE"""),"Publisher Campaign")</f>
        <v>Publisher Campaign</v>
      </c>
      <c r="V3676" s="124" t="str">
        <f>IFERROR(__xludf.DUMMYFUNCTION("""COMPUTED_VALUE"""),"Patna Seminar")</f>
        <v>Patna Seminar</v>
      </c>
      <c r="W3676" s="124" t="str">
        <f>IFERROR(__xludf.DUMMYFUNCTION("""COMPUTED_VALUE"""),"Women's College")</f>
        <v>Women's College</v>
      </c>
      <c r="X3676" s="124">
        <f>IFERROR(__xludf.DUMMYFUNCTION("""COMPUTED_VALUE"""),2.2012026E7)</f>
        <v>22012026</v>
      </c>
      <c r="Y3676" s="124" t="str">
        <f>IFERROR(__xludf.DUMMYFUNCTION("""COMPUTED_VALUE"""),"Patna")</f>
        <v>Patna</v>
      </c>
      <c r="Z3676" s="124">
        <f>IFERROR(__xludf.DUMMYFUNCTION("""COMPUTED_VALUE"""),1.0)</f>
        <v>1</v>
      </c>
      <c r="AA3676" s="124"/>
      <c r="AB3676" s="124" t="str">
        <f>IFERROR(__xludf.DUMMYFUNCTION("""COMPUTED_VALUE"""),"Mentorship")</f>
        <v>Mentorship</v>
      </c>
    </row>
    <row r="3677">
      <c r="K3677" s="124"/>
      <c r="L3677" s="124"/>
      <c r="M3677" s="124"/>
      <c r="N3677" s="124"/>
      <c r="O3677" s="124"/>
      <c r="T3677" s="126">
        <f>IFERROR(__xludf.DUMMYFUNCTION("""COMPUTED_VALUE"""),46097.0)</f>
        <v>46097</v>
      </c>
      <c r="U3677" s="124" t="str">
        <f>IFERROR(__xludf.DUMMYFUNCTION("""COMPUTED_VALUE"""),"External Leads")</f>
        <v>External Leads</v>
      </c>
      <c r="V3677" s="124" t="str">
        <f>IFERROR(__xludf.DUMMYFUNCTION("""COMPUTED_VALUE"""),"external leads")</f>
        <v>external leads</v>
      </c>
      <c r="W3677" s="124" t="str">
        <f>IFERROR(__xludf.DUMMYFUNCTION("""COMPUTED_VALUE"""),"indore")</f>
        <v>indore</v>
      </c>
      <c r="X3677" s="124" t="str">
        <f>IFERROR(__xludf.DUMMYFUNCTION("""COMPUTED_VALUE"""),"btl")</f>
        <v>btl</v>
      </c>
      <c r="Y3677" s="124" t="str">
        <f>IFERROR(__xludf.DUMMYFUNCTION("""COMPUTED_VALUE"""),"Indore")</f>
        <v>Indore</v>
      </c>
      <c r="Z3677" s="124">
        <f>IFERROR(__xludf.DUMMYFUNCTION("""COMPUTED_VALUE"""),1.0)</f>
        <v>1</v>
      </c>
      <c r="AA3677" s="124" t="str">
        <f>IFERROR(__xludf.DUMMYFUNCTION("""COMPUTED_VALUE"""),"Warm")</f>
        <v>Warm</v>
      </c>
      <c r="AB3677" s="124" t="str">
        <f>IFERROR(__xludf.DUMMYFUNCTION("""COMPUTED_VALUE"""),"State PCS")</f>
        <v>State PCS</v>
      </c>
    </row>
    <row r="3678">
      <c r="K3678" s="124"/>
      <c r="L3678" s="124"/>
      <c r="M3678" s="124"/>
      <c r="N3678" s="124"/>
      <c r="O3678" s="124"/>
      <c r="T3678" s="126">
        <f>IFERROR(__xludf.DUMMYFUNCTION("""COMPUTED_VALUE"""),46079.0)</f>
        <v>46079</v>
      </c>
      <c r="U3678" s="124" t="str">
        <f>IFERROR(__xludf.DUMMYFUNCTION("""COMPUTED_VALUE"""),"External Leads")</f>
        <v>External Leads</v>
      </c>
      <c r="V3678" s="124" t="str">
        <f>IFERROR(__xludf.DUMMYFUNCTION("""COMPUTED_VALUE"""),"Offline")</f>
        <v>Offline</v>
      </c>
      <c r="W3678" s="124" t="str">
        <f>IFERROR(__xludf.DUMMYFUNCTION("""COMPUTED_VALUE"""),"Prayagraj")</f>
        <v>Prayagraj</v>
      </c>
      <c r="X3678" s="124" t="str">
        <f>IFERROR(__xludf.DUMMYFUNCTION("""COMPUTED_VALUE"""),"Prayagraj")</f>
        <v>Prayagraj</v>
      </c>
      <c r="Y3678" s="124"/>
      <c r="Z3678" s="124">
        <f>IFERROR(__xludf.DUMMYFUNCTION("""COMPUTED_VALUE"""),1.0)</f>
        <v>1</v>
      </c>
      <c r="AA3678" s="124" t="str">
        <f>IFERROR(__xludf.DUMMYFUNCTION("""COMPUTED_VALUE"""),"Enrolled")</f>
        <v>Enrolled</v>
      </c>
      <c r="AB3678" s="124" t="str">
        <f>IFERROR(__xludf.DUMMYFUNCTION("""COMPUTED_VALUE"""),"GS Foundation")</f>
        <v>GS Foundation</v>
      </c>
    </row>
    <row r="3679">
      <c r="K3679" s="124"/>
      <c r="L3679" s="124"/>
      <c r="M3679" s="124"/>
      <c r="N3679" s="124"/>
      <c r="O3679" s="124"/>
      <c r="T3679" s="126">
        <f>IFERROR(__xludf.DUMMYFUNCTION("""COMPUTED_VALUE"""),46046.0)</f>
        <v>46046</v>
      </c>
      <c r="U3679" s="124" t="str">
        <f>IFERROR(__xludf.DUMMYFUNCTION("""COMPUTED_VALUE"""),"Walk-Ins")</f>
        <v>Walk-Ins</v>
      </c>
      <c r="V3679" s="124" t="str">
        <f>IFERROR(__xludf.DUMMYFUNCTION("""COMPUTED_VALUE"""),"Walk-In")</f>
        <v>Walk-In</v>
      </c>
      <c r="W3679" s="124" t="str">
        <f>IFERROR(__xludf.DUMMYFUNCTION("""COMPUTED_VALUE"""),"Patna")</f>
        <v>Patna</v>
      </c>
      <c r="X3679" s="124" t="str">
        <f>IFERROR(__xludf.DUMMYFUNCTION("""COMPUTED_VALUE"""),"Shane")</f>
        <v>Shane</v>
      </c>
      <c r="Y3679" s="124"/>
      <c r="Z3679" s="124">
        <f>IFERROR(__xludf.DUMMYFUNCTION("""COMPUTED_VALUE"""),1.0)</f>
        <v>1</v>
      </c>
      <c r="AA3679" s="124" t="str">
        <f>IFERROR(__xludf.DUMMYFUNCTION("""COMPUTED_VALUE"""),"Cold")</f>
        <v>Cold</v>
      </c>
      <c r="AB3679" s="124" t="str">
        <f>IFERROR(__xludf.DUMMYFUNCTION("""COMPUTED_VALUE"""),"State PCS")</f>
        <v>State PCS</v>
      </c>
    </row>
    <row r="3680">
      <c r="K3680" s="124"/>
      <c r="L3680" s="124"/>
      <c r="M3680" s="124"/>
      <c r="N3680" s="124"/>
      <c r="O3680" s="124"/>
      <c r="T3680" s="126">
        <f>IFERROR(__xludf.DUMMYFUNCTION("""COMPUTED_VALUE"""),46051.0)</f>
        <v>46051</v>
      </c>
      <c r="U3680" s="124" t="str">
        <f>IFERROR(__xludf.DUMMYFUNCTION("""COMPUTED_VALUE"""),"Publisher Campaign")</f>
        <v>Publisher Campaign</v>
      </c>
      <c r="V3680" s="124" t="str">
        <f>IFERROR(__xludf.DUMMYFUNCTION("""COMPUTED_VALUE"""),"Patna Seminar")</f>
        <v>Patna Seminar</v>
      </c>
      <c r="W3680" s="124" t="str">
        <f>IFERROR(__xludf.DUMMYFUNCTION("""COMPUTED_VALUE"""),"Women's College")</f>
        <v>Women's College</v>
      </c>
      <c r="X3680" s="124">
        <f>IFERROR(__xludf.DUMMYFUNCTION("""COMPUTED_VALUE"""),2.2012026E7)</f>
        <v>22012026</v>
      </c>
      <c r="Y3680" s="124" t="str">
        <f>IFERROR(__xludf.DUMMYFUNCTION("""COMPUTED_VALUE"""),"Patna")</f>
        <v>Patna</v>
      </c>
      <c r="Z3680" s="124">
        <f>IFERROR(__xludf.DUMMYFUNCTION("""COMPUTED_VALUE"""),1.0)</f>
        <v>1</v>
      </c>
      <c r="AA3680" s="124" t="str">
        <f>IFERROR(__xludf.DUMMYFUNCTION("""COMPUTED_VALUE"""),"Not Interested")</f>
        <v>Not Interested</v>
      </c>
      <c r="AB3680" s="124" t="str">
        <f>IFERROR(__xludf.DUMMYFUNCTION("""COMPUTED_VALUE"""),"Other")</f>
        <v>Other</v>
      </c>
    </row>
    <row r="3681">
      <c r="K3681" s="124"/>
      <c r="L3681" s="124"/>
      <c r="M3681" s="124"/>
      <c r="N3681" s="124"/>
      <c r="O3681" s="124"/>
      <c r="T3681" s="126">
        <f>IFERROR(__xludf.DUMMYFUNCTION("""COMPUTED_VALUE"""),46045.0)</f>
        <v>46045</v>
      </c>
      <c r="U3681" s="124" t="str">
        <f>IFERROR(__xludf.DUMMYFUNCTION("""COMPUTED_VALUE"""),"Walk-Ins")</f>
        <v>Walk-Ins</v>
      </c>
      <c r="V3681" s="124" t="str">
        <f>IFERROR(__xludf.DUMMYFUNCTION("""COMPUTED_VALUE"""),"Walk-In")</f>
        <v>Walk-In</v>
      </c>
      <c r="W3681" s="124" t="str">
        <f>IFERROR(__xludf.DUMMYFUNCTION("""COMPUTED_VALUE"""),"Patna")</f>
        <v>Patna</v>
      </c>
      <c r="X3681" s="124" t="str">
        <f>IFERROR(__xludf.DUMMYFUNCTION("""COMPUTED_VALUE"""),"Shane")</f>
        <v>Shane</v>
      </c>
      <c r="Y3681" s="124"/>
      <c r="Z3681" s="124">
        <f>IFERROR(__xludf.DUMMYFUNCTION("""COMPUTED_VALUE"""),1.0)</f>
        <v>1</v>
      </c>
      <c r="AA3681" s="124" t="str">
        <f>IFERROR(__xludf.DUMMYFUNCTION("""COMPUTED_VALUE"""),"Enrolled")</f>
        <v>Enrolled</v>
      </c>
      <c r="AB3681" s="124" t="str">
        <f>IFERROR(__xludf.DUMMYFUNCTION("""COMPUTED_VALUE"""),"GS Foundation")</f>
        <v>GS Foundation</v>
      </c>
    </row>
    <row r="3682">
      <c r="K3682" s="124"/>
      <c r="L3682" s="124"/>
      <c r="M3682" s="124"/>
      <c r="N3682" s="124"/>
      <c r="O3682" s="124"/>
      <c r="T3682" s="126">
        <f>IFERROR(__xludf.DUMMYFUNCTION("""COMPUTED_VALUE"""),46045.0)</f>
        <v>46045</v>
      </c>
      <c r="U3682" s="124" t="str">
        <f>IFERROR(__xludf.DUMMYFUNCTION("""COMPUTED_VALUE"""),"External Leads")</f>
        <v>External Leads</v>
      </c>
      <c r="V3682" s="124" t="str">
        <f>IFERROR(__xludf.DUMMYFUNCTION("""COMPUTED_VALUE"""),"external leads")</f>
        <v>external leads</v>
      </c>
      <c r="W3682" s="124" t="str">
        <f>IFERROR(__xludf.DUMMYFUNCTION("""COMPUTED_VALUE"""),"lucknow")</f>
        <v>lucknow</v>
      </c>
      <c r="X3682" s="124" t="str">
        <f>IFERROR(__xludf.DUMMYFUNCTION("""COMPUTED_VALUE"""),"btl")</f>
        <v>btl</v>
      </c>
      <c r="Y3682" s="124" t="str">
        <f>IFERROR(__xludf.DUMMYFUNCTION("""COMPUTED_VALUE"""),"Lucknow")</f>
        <v>Lucknow</v>
      </c>
      <c r="Z3682" s="124">
        <f>IFERROR(__xludf.DUMMYFUNCTION("""COMPUTED_VALUE"""),1.0)</f>
        <v>1</v>
      </c>
      <c r="AA3682" s="124" t="str">
        <f>IFERROR(__xludf.DUMMYFUNCTION("""COMPUTED_VALUE"""),"Fake Lead")</f>
        <v>Fake Lead</v>
      </c>
      <c r="AB3682" s="124"/>
    </row>
    <row r="3683">
      <c r="K3683" s="124"/>
      <c r="L3683" s="124"/>
      <c r="M3683" s="124"/>
      <c r="N3683" s="124"/>
      <c r="O3683" s="124"/>
      <c r="T3683" s="126">
        <f>IFERROR(__xludf.DUMMYFUNCTION("""COMPUTED_VALUE"""),46066.0)</f>
        <v>46066</v>
      </c>
      <c r="U3683" s="124" t="str">
        <f>IFERROR(__xludf.DUMMYFUNCTION("""COMPUTED_VALUE"""),"Walk-Ins")</f>
        <v>Walk-Ins</v>
      </c>
      <c r="V3683" s="124" t="str">
        <f>IFERROR(__xludf.DUMMYFUNCTION("""COMPUTED_VALUE"""),"Walk-In")</f>
        <v>Walk-In</v>
      </c>
      <c r="W3683" s="124" t="str">
        <f>IFERROR(__xludf.DUMMYFUNCTION("""COMPUTED_VALUE"""),"Prayagraj")</f>
        <v>Prayagraj</v>
      </c>
      <c r="X3683" s="124" t="str">
        <f>IFERROR(__xludf.DUMMYFUNCTION("""COMPUTED_VALUE"""),"Prayagraj")</f>
        <v>Prayagraj</v>
      </c>
      <c r="Y3683" s="124"/>
      <c r="Z3683" s="124">
        <f>IFERROR(__xludf.DUMMYFUNCTION("""COMPUTED_VALUE"""),1.0)</f>
        <v>1</v>
      </c>
      <c r="AA3683" s="124" t="str">
        <f>IFERROR(__xludf.DUMMYFUNCTION("""COMPUTED_VALUE"""),"Interested")</f>
        <v>Interested</v>
      </c>
      <c r="AB3683" s="124" t="str">
        <f>IFERROR(__xludf.DUMMYFUNCTION("""COMPUTED_VALUE"""),"State PCS")</f>
        <v>State PCS</v>
      </c>
    </row>
    <row r="3684">
      <c r="K3684" s="124"/>
      <c r="L3684" s="124"/>
      <c r="M3684" s="124"/>
      <c r="N3684" s="124"/>
      <c r="O3684" s="124"/>
      <c r="T3684" s="126">
        <f>IFERROR(__xludf.DUMMYFUNCTION("""COMPUTED_VALUE"""),46051.0)</f>
        <v>46051</v>
      </c>
      <c r="U3684" s="124" t="str">
        <f>IFERROR(__xludf.DUMMYFUNCTION("""COMPUTED_VALUE"""),"External Leads")</f>
        <v>External Leads</v>
      </c>
      <c r="V3684" s="124" t="str">
        <f>IFERROR(__xludf.DUMMYFUNCTION("""COMPUTED_VALUE"""),"External Leads")</f>
        <v>External Leads</v>
      </c>
      <c r="W3684" s="124" t="str">
        <f>IFERROR(__xludf.DUMMYFUNCTION("""COMPUTED_VALUE"""),"Delhi")</f>
        <v>Delhi</v>
      </c>
      <c r="X3684" s="124" t="str">
        <f>IFERROR(__xludf.DUMMYFUNCTION("""COMPUTED_VALUE"""),"DRC")</f>
        <v>DRC</v>
      </c>
      <c r="Y3684" s="124" t="str">
        <f>IFERROR(__xludf.DUMMYFUNCTION("""COMPUTED_VALUE"""),"Delhi")</f>
        <v>Delhi</v>
      </c>
      <c r="Z3684" s="124">
        <f>IFERROR(__xludf.DUMMYFUNCTION("""COMPUTED_VALUE"""),1.0)</f>
        <v>1</v>
      </c>
      <c r="AA3684" s="124" t="str">
        <f>IFERROR(__xludf.DUMMYFUNCTION("""COMPUTED_VALUE"""),"Engaged")</f>
        <v>Engaged</v>
      </c>
      <c r="AB3684" s="124" t="str">
        <f>IFERROR(__xludf.DUMMYFUNCTION("""COMPUTED_VALUE"""),"CSAT")</f>
        <v>CSAT</v>
      </c>
    </row>
    <row r="3685">
      <c r="K3685" s="124"/>
      <c r="L3685" s="124"/>
      <c r="M3685" s="124"/>
      <c r="N3685" s="124"/>
      <c r="O3685" s="124"/>
      <c r="T3685" s="129">
        <f>IFERROR(__xludf.DUMMYFUNCTION("""COMPUTED_VALUE"""),46088.0)</f>
        <v>46088</v>
      </c>
      <c r="U3685" s="124" t="str">
        <f>IFERROR(__xludf.DUMMYFUNCTION("""COMPUTED_VALUE"""),"Walk-Ins")</f>
        <v>Walk-Ins</v>
      </c>
      <c r="V3685" s="124" t="str">
        <f>IFERROR(__xludf.DUMMYFUNCTION("""COMPUTED_VALUE"""),"Walk-In")</f>
        <v>Walk-In</v>
      </c>
      <c r="W3685" s="124" t="str">
        <f>IFERROR(__xludf.DUMMYFUNCTION("""COMPUTED_VALUE"""),"Prayagraj")</f>
        <v>Prayagraj</v>
      </c>
      <c r="X3685" s="124" t="str">
        <f>IFERROR(__xludf.DUMMYFUNCTION("""COMPUTED_VALUE"""),"Shivanshi")</f>
        <v>Shivanshi</v>
      </c>
      <c r="Y3685" s="124" t="str">
        <f>IFERROR(__xludf.DUMMYFUNCTION("""COMPUTED_VALUE"""),"Prayagraj")</f>
        <v>Prayagraj</v>
      </c>
      <c r="Z3685" s="124">
        <f>IFERROR(__xludf.DUMMYFUNCTION("""COMPUTED_VALUE"""),1.0)</f>
        <v>1</v>
      </c>
      <c r="AA3685" s="124" t="str">
        <f>IFERROR(__xludf.DUMMYFUNCTION("""COMPUTED_VALUE"""),"Warm")</f>
        <v>Warm</v>
      </c>
      <c r="AB3685" s="124" t="str">
        <f>IFERROR(__xludf.DUMMYFUNCTION("""COMPUTED_VALUE"""),"State PCS")</f>
        <v>State PCS</v>
      </c>
    </row>
    <row r="3686">
      <c r="K3686" s="124"/>
      <c r="L3686" s="124"/>
      <c r="M3686" s="124"/>
      <c r="N3686" s="124"/>
      <c r="O3686" s="124"/>
      <c r="T3686" s="126">
        <f>IFERROR(__xludf.DUMMYFUNCTION("""COMPUTED_VALUE"""),46045.0)</f>
        <v>46045</v>
      </c>
      <c r="U3686" s="124" t="str">
        <f>IFERROR(__xludf.DUMMYFUNCTION("""COMPUTED_VALUE"""),"Walk-Ins")</f>
        <v>Walk-Ins</v>
      </c>
      <c r="V3686" s="124" t="str">
        <f>IFERROR(__xludf.DUMMYFUNCTION("""COMPUTED_VALUE"""),"Walk-In")</f>
        <v>Walk-In</v>
      </c>
      <c r="W3686" s="124" t="str">
        <f>IFERROR(__xludf.DUMMYFUNCTION("""COMPUTED_VALUE"""),"Prayagraj")</f>
        <v>Prayagraj</v>
      </c>
      <c r="X3686" s="124" t="str">
        <f>IFERROR(__xludf.DUMMYFUNCTION("""COMPUTED_VALUE"""),"Shivanshi")</f>
        <v>Shivanshi</v>
      </c>
      <c r="Y3686" s="124" t="str">
        <f>IFERROR(__xludf.DUMMYFUNCTION("""COMPUTED_VALUE"""),"Prayagraj")</f>
        <v>Prayagraj</v>
      </c>
      <c r="Z3686" s="124">
        <f>IFERROR(__xludf.DUMMYFUNCTION("""COMPUTED_VALUE"""),1.0)</f>
        <v>1</v>
      </c>
      <c r="AA3686" s="124" t="str">
        <f>IFERROR(__xludf.DUMMYFUNCTION("""COMPUTED_VALUE"""),"Cold")</f>
        <v>Cold</v>
      </c>
      <c r="AB3686" s="124" t="str">
        <f>IFERROR(__xludf.DUMMYFUNCTION("""COMPUTED_VALUE"""),"Other")</f>
        <v>Other</v>
      </c>
    </row>
    <row r="3687">
      <c r="K3687" s="124"/>
      <c r="L3687" s="124"/>
      <c r="M3687" s="124"/>
      <c r="N3687" s="124"/>
      <c r="O3687" s="124"/>
      <c r="T3687" s="129">
        <f>IFERROR(__xludf.DUMMYFUNCTION("""COMPUTED_VALUE"""),46062.0)</f>
        <v>46062</v>
      </c>
      <c r="U3687" s="124" t="str">
        <f>IFERROR(__xludf.DUMMYFUNCTION("""COMPUTED_VALUE"""),"Walk-Ins")</f>
        <v>Walk-Ins</v>
      </c>
      <c r="V3687" s="124" t="str">
        <f>IFERROR(__xludf.DUMMYFUNCTION("""COMPUTED_VALUE"""),"Walk-In")</f>
        <v>Walk-In</v>
      </c>
      <c r="W3687" s="124" t="str">
        <f>IFERROR(__xludf.DUMMYFUNCTION("""COMPUTED_VALUE"""),"Prayagraj")</f>
        <v>Prayagraj</v>
      </c>
      <c r="X3687" s="124" t="str">
        <f>IFERROR(__xludf.DUMMYFUNCTION("""COMPUTED_VALUE"""),"Shivanshi")</f>
        <v>Shivanshi</v>
      </c>
      <c r="Y3687" s="124" t="str">
        <f>IFERROR(__xludf.DUMMYFUNCTION("""COMPUTED_VALUE"""),"Prayagraj")</f>
        <v>Prayagraj</v>
      </c>
      <c r="Z3687" s="124">
        <f>IFERROR(__xludf.DUMMYFUNCTION("""COMPUTED_VALUE"""),1.0)</f>
        <v>1</v>
      </c>
      <c r="AA3687" s="124" t="str">
        <f>IFERROR(__xludf.DUMMYFUNCTION("""COMPUTED_VALUE"""),"Cold")</f>
        <v>Cold</v>
      </c>
      <c r="AB3687" s="124" t="str">
        <f>IFERROR(__xludf.DUMMYFUNCTION("""COMPUTED_VALUE"""),"State PCS")</f>
        <v>State PCS</v>
      </c>
    </row>
    <row r="3688">
      <c r="K3688" s="124"/>
      <c r="L3688" s="124"/>
      <c r="M3688" s="124"/>
      <c r="N3688" s="124"/>
      <c r="O3688" s="124"/>
      <c r="T3688" s="126">
        <f>IFERROR(__xludf.DUMMYFUNCTION("""COMPUTED_VALUE"""),46053.0)</f>
        <v>46053</v>
      </c>
      <c r="U3688" s="124" t="str">
        <f>IFERROR(__xludf.DUMMYFUNCTION("""COMPUTED_VALUE"""),"Walk-Ins")</f>
        <v>Walk-Ins</v>
      </c>
      <c r="V3688" s="124" t="str">
        <f>IFERROR(__xludf.DUMMYFUNCTION("""COMPUTED_VALUE"""),"Walk-In")</f>
        <v>Walk-In</v>
      </c>
      <c r="W3688" s="124" t="str">
        <f>IFERROR(__xludf.DUMMYFUNCTION("""COMPUTED_VALUE"""),"Prayagraj")</f>
        <v>Prayagraj</v>
      </c>
      <c r="X3688" s="124" t="str">
        <f>IFERROR(__xludf.DUMMYFUNCTION("""COMPUTED_VALUE"""),"Shivanshi")</f>
        <v>Shivanshi</v>
      </c>
      <c r="Y3688" s="124" t="str">
        <f>IFERROR(__xludf.DUMMYFUNCTION("""COMPUTED_VALUE"""),"Prayagraj")</f>
        <v>Prayagraj</v>
      </c>
      <c r="Z3688" s="124">
        <f>IFERROR(__xludf.DUMMYFUNCTION("""COMPUTED_VALUE"""),1.0)</f>
        <v>1</v>
      </c>
      <c r="AA3688" s="124" t="str">
        <f>IFERROR(__xludf.DUMMYFUNCTION("""COMPUTED_VALUE"""),"Cold")</f>
        <v>Cold</v>
      </c>
      <c r="AB3688" s="124" t="str">
        <f>IFERROR(__xludf.DUMMYFUNCTION("""COMPUTED_VALUE"""),"GS Foundation")</f>
        <v>GS Foundation</v>
      </c>
    </row>
    <row r="3689">
      <c r="K3689" s="124"/>
      <c r="L3689" s="124"/>
      <c r="M3689" s="124"/>
      <c r="N3689" s="124"/>
      <c r="O3689" s="124"/>
      <c r="T3689" s="126">
        <f>IFERROR(__xludf.DUMMYFUNCTION("""COMPUTED_VALUE"""),46052.0)</f>
        <v>46052</v>
      </c>
      <c r="U3689" s="124" t="str">
        <f>IFERROR(__xludf.DUMMYFUNCTION("""COMPUTED_VALUE"""),"Walk-Ins")</f>
        <v>Walk-Ins</v>
      </c>
      <c r="V3689" s="124" t="str">
        <f>IFERROR(__xludf.DUMMYFUNCTION("""COMPUTED_VALUE"""),"Walk-In")</f>
        <v>Walk-In</v>
      </c>
      <c r="W3689" s="124" t="str">
        <f>IFERROR(__xludf.DUMMYFUNCTION("""COMPUTED_VALUE"""),"Prayagraj")</f>
        <v>Prayagraj</v>
      </c>
      <c r="X3689" s="124" t="str">
        <f>IFERROR(__xludf.DUMMYFUNCTION("""COMPUTED_VALUE"""),"Shivanshi")</f>
        <v>Shivanshi</v>
      </c>
      <c r="Y3689" s="124" t="str">
        <f>IFERROR(__xludf.DUMMYFUNCTION("""COMPUTED_VALUE"""),"Prayagraj")</f>
        <v>Prayagraj</v>
      </c>
      <c r="Z3689" s="124">
        <f>IFERROR(__xludf.DUMMYFUNCTION("""COMPUTED_VALUE"""),1.0)</f>
        <v>1</v>
      </c>
      <c r="AA3689" s="124" t="str">
        <f>IFERROR(__xludf.DUMMYFUNCTION("""COMPUTED_VALUE"""),"Future Prospects")</f>
        <v>Future Prospects</v>
      </c>
      <c r="AB3689" s="124" t="str">
        <f>IFERROR(__xludf.DUMMYFUNCTION("""COMPUTED_VALUE"""),"GS Foundation")</f>
        <v>GS Foundation</v>
      </c>
    </row>
    <row r="3690">
      <c r="K3690" s="124"/>
      <c r="L3690" s="124"/>
      <c r="M3690" s="124"/>
      <c r="N3690" s="124"/>
      <c r="O3690" s="124"/>
      <c r="T3690" s="126">
        <f>IFERROR(__xludf.DUMMYFUNCTION("""COMPUTED_VALUE"""),46044.0)</f>
        <v>46044</v>
      </c>
      <c r="U3690" s="124" t="str">
        <f>IFERROR(__xludf.DUMMYFUNCTION("""COMPUTED_VALUE"""),"Walk-Ins")</f>
        <v>Walk-Ins</v>
      </c>
      <c r="V3690" s="124" t="str">
        <f>IFERROR(__xludf.DUMMYFUNCTION("""COMPUTED_VALUE"""),"Walk-In")</f>
        <v>Walk-In</v>
      </c>
      <c r="W3690" s="124" t="str">
        <f>IFERROR(__xludf.DUMMYFUNCTION("""COMPUTED_VALUE"""),"Prayagraj")</f>
        <v>Prayagraj</v>
      </c>
      <c r="X3690" s="124" t="str">
        <f>IFERROR(__xludf.DUMMYFUNCTION("""COMPUTED_VALUE"""),"Shivanshi")</f>
        <v>Shivanshi</v>
      </c>
      <c r="Y3690" s="124" t="str">
        <f>IFERROR(__xludf.DUMMYFUNCTION("""COMPUTED_VALUE"""),"Prayagraj")</f>
        <v>Prayagraj</v>
      </c>
      <c r="Z3690" s="124">
        <f>IFERROR(__xludf.DUMMYFUNCTION("""COMPUTED_VALUE"""),1.0)</f>
        <v>1</v>
      </c>
      <c r="AA3690" s="124" t="str">
        <f>IFERROR(__xludf.DUMMYFUNCTION("""COMPUTED_VALUE"""),"Warm")</f>
        <v>Warm</v>
      </c>
      <c r="AB3690" s="124" t="str">
        <f>IFERROR(__xludf.DUMMYFUNCTION("""COMPUTED_VALUE"""),"GS Foundation")</f>
        <v>GS Foundation</v>
      </c>
    </row>
    <row r="3691">
      <c r="K3691" s="124"/>
      <c r="L3691" s="124"/>
      <c r="M3691" s="124"/>
      <c r="N3691" s="124"/>
      <c r="O3691" s="124"/>
      <c r="T3691" s="126">
        <f>IFERROR(__xludf.DUMMYFUNCTION("""COMPUTED_VALUE"""),46078.0)</f>
        <v>46078</v>
      </c>
      <c r="U3691" s="124" t="str">
        <f>IFERROR(__xludf.DUMMYFUNCTION("""COMPUTED_VALUE"""),"Telephony")</f>
        <v>Telephony</v>
      </c>
      <c r="V3691" s="124" t="str">
        <f>IFERROR(__xludf.DUMMYFUNCTION("""COMPUTED_VALUE"""),"Inbound Call")</f>
        <v>Inbound Call</v>
      </c>
      <c r="W3691" s="124">
        <f>IFERROR(__xludf.DUMMYFUNCTION("""COMPUTED_VALUE"""),9.18047861663E11)</f>
        <v>918047861663</v>
      </c>
      <c r="X3691" s="124" t="str">
        <f>IFERROR(__xludf.DUMMYFUNCTION("""COMPUTED_VALUE"""),"Inbound Call")</f>
        <v>Inbound Call</v>
      </c>
      <c r="Y3691" s="124" t="str">
        <f>IFERROR(__xludf.DUMMYFUNCTION("""COMPUTED_VALUE"""),"Delhi")</f>
        <v>Delhi</v>
      </c>
      <c r="Z3691" s="124">
        <f>IFERROR(__xludf.DUMMYFUNCTION("""COMPUTED_VALUE"""),1.0)</f>
        <v>1</v>
      </c>
      <c r="AA3691" s="124" t="str">
        <f>IFERROR(__xludf.DUMMYFUNCTION("""COMPUTED_VALUE"""),"Not Interested")</f>
        <v>Not Interested</v>
      </c>
      <c r="AB3691" s="124"/>
    </row>
    <row r="3692">
      <c r="K3692" s="124"/>
      <c r="L3692" s="124"/>
      <c r="M3692" s="124"/>
      <c r="N3692" s="124"/>
      <c r="O3692" s="124"/>
      <c r="T3692" s="126">
        <f>IFERROR(__xludf.DUMMYFUNCTION("""COMPUTED_VALUE"""),46051.0)</f>
        <v>46051</v>
      </c>
      <c r="U3692" s="124" t="str">
        <f>IFERROR(__xludf.DUMMYFUNCTION("""COMPUTED_VALUE"""),"Telephony")</f>
        <v>Telephony</v>
      </c>
      <c r="V3692" s="124" t="str">
        <f>IFERROR(__xludf.DUMMYFUNCTION("""COMPUTED_VALUE"""),"Inbound Call")</f>
        <v>Inbound Call</v>
      </c>
      <c r="W3692" s="124" t="str">
        <f>IFERROR(__xludf.DUMMYFUNCTION("""COMPUTED_VALUE"""),"Inbound Call")</f>
        <v>Inbound Call</v>
      </c>
      <c r="X3692" s="124" t="str">
        <f>IFERROR(__xludf.DUMMYFUNCTION("""COMPUTED_VALUE"""),"Inbound Call")</f>
        <v>Inbound Call</v>
      </c>
      <c r="Y3692" s="124"/>
      <c r="Z3692" s="124">
        <f>IFERROR(__xludf.DUMMYFUNCTION("""COMPUTED_VALUE"""),1.0)</f>
        <v>1</v>
      </c>
      <c r="AA3692" s="124" t="str">
        <f>IFERROR(__xludf.DUMMYFUNCTION("""COMPUTED_VALUE"""),"Fake Lead")</f>
        <v>Fake Lead</v>
      </c>
      <c r="AB3692" s="124"/>
    </row>
    <row r="3693">
      <c r="K3693" s="124"/>
      <c r="L3693" s="124"/>
      <c r="M3693" s="124"/>
      <c r="N3693" s="124"/>
      <c r="O3693" s="124"/>
      <c r="T3693" s="126">
        <f>IFERROR(__xludf.DUMMYFUNCTION("""COMPUTED_VALUE"""),46076.0)</f>
        <v>46076</v>
      </c>
      <c r="U3693" s="124" t="str">
        <f>IFERROR(__xludf.DUMMYFUNCTION("""COMPUTED_VALUE"""),"Telephony")</f>
        <v>Telephony</v>
      </c>
      <c r="V3693" s="124" t="str">
        <f>IFERROR(__xludf.DUMMYFUNCTION("""COMPUTED_VALUE"""),"Inbound Call")</f>
        <v>Inbound Call</v>
      </c>
      <c r="W3693" s="124">
        <f>IFERROR(__xludf.DUMMYFUNCTION("""COMPUTED_VALUE"""),9.18047861633E11)</f>
        <v>918047861633</v>
      </c>
      <c r="X3693" s="124" t="str">
        <f>IFERROR(__xludf.DUMMYFUNCTION("""COMPUTED_VALUE"""),"Inbound Call")</f>
        <v>Inbound Call</v>
      </c>
      <c r="Y3693" s="124"/>
      <c r="Z3693" s="124">
        <f>IFERROR(__xludf.DUMMYFUNCTION("""COMPUTED_VALUE"""),1.0)</f>
        <v>1</v>
      </c>
      <c r="AA3693" s="124" t="str">
        <f>IFERROR(__xludf.DUMMYFUNCTION("""COMPUTED_VALUE"""),"Cold")</f>
        <v>Cold</v>
      </c>
      <c r="AB3693" s="124"/>
    </row>
    <row r="3694">
      <c r="K3694" s="124"/>
      <c r="L3694" s="124"/>
      <c r="M3694" s="124"/>
      <c r="N3694" s="124"/>
      <c r="O3694" s="124"/>
      <c r="T3694" s="126">
        <f>IFERROR(__xludf.DUMMYFUNCTION("""COMPUTED_VALUE"""),46049.0)</f>
        <v>46049</v>
      </c>
      <c r="U3694" s="124" t="str">
        <f>IFERROR(__xludf.DUMMYFUNCTION("""COMPUTED_VALUE"""),"Telephony")</f>
        <v>Telephony</v>
      </c>
      <c r="V3694" s="124" t="str">
        <f>IFERROR(__xludf.DUMMYFUNCTION("""COMPUTED_VALUE"""),"Inbound Call")</f>
        <v>Inbound Call</v>
      </c>
      <c r="W3694" s="124">
        <f>IFERROR(__xludf.DUMMYFUNCTION("""COMPUTED_VALUE"""),9.18047861663E11)</f>
        <v>918047861663</v>
      </c>
      <c r="X3694" s="124" t="str">
        <f>IFERROR(__xludf.DUMMYFUNCTION("""COMPUTED_VALUE"""),"Inbound Call")</f>
        <v>Inbound Call</v>
      </c>
      <c r="Y3694" s="124"/>
      <c r="Z3694" s="124">
        <f>IFERROR(__xludf.DUMMYFUNCTION("""COMPUTED_VALUE"""),1.0)</f>
        <v>1</v>
      </c>
      <c r="AA3694" s="124" t="str">
        <f>IFERROR(__xludf.DUMMYFUNCTION("""COMPUTED_VALUE"""),"Not Interested")</f>
        <v>Not Interested</v>
      </c>
      <c r="AB3694" s="124"/>
    </row>
    <row r="3695">
      <c r="K3695" s="124"/>
      <c r="L3695" s="124"/>
      <c r="M3695" s="124"/>
      <c r="N3695" s="124"/>
      <c r="O3695" s="124"/>
      <c r="T3695" s="129">
        <f>IFERROR(__xludf.DUMMYFUNCTION("""COMPUTED_VALUE"""),46082.0)</f>
        <v>46082</v>
      </c>
      <c r="U3695" s="124" t="str">
        <f>IFERROR(__xludf.DUMMYFUNCTION("""COMPUTED_VALUE"""),"Telephony")</f>
        <v>Telephony</v>
      </c>
      <c r="V3695" s="124" t="str">
        <f>IFERROR(__xludf.DUMMYFUNCTION("""COMPUTED_VALUE"""),"Inbound Call")</f>
        <v>Inbound Call</v>
      </c>
      <c r="W3695" s="124">
        <f>IFERROR(__xludf.DUMMYFUNCTION("""COMPUTED_VALUE"""),9.18047861663E11)</f>
        <v>918047861663</v>
      </c>
      <c r="X3695" s="124" t="str">
        <f>IFERROR(__xludf.DUMMYFUNCTION("""COMPUTED_VALUE"""),"Inbound Call")</f>
        <v>Inbound Call</v>
      </c>
      <c r="Y3695" s="124" t="str">
        <f>IFERROR(__xludf.DUMMYFUNCTION("""COMPUTED_VALUE"""),"Delhi")</f>
        <v>Delhi</v>
      </c>
      <c r="Z3695" s="124">
        <f>IFERROR(__xludf.DUMMYFUNCTION("""COMPUTED_VALUE"""),2.0)</f>
        <v>2</v>
      </c>
      <c r="AA3695" s="124" t="str">
        <f>IFERROR(__xludf.DUMMYFUNCTION("""COMPUTED_VALUE"""),"Fake Lead")</f>
        <v>Fake Lead</v>
      </c>
      <c r="AB3695" s="124"/>
    </row>
    <row r="3696">
      <c r="K3696" s="124"/>
      <c r="L3696" s="124"/>
      <c r="M3696" s="124"/>
      <c r="N3696" s="124"/>
      <c r="O3696" s="124"/>
      <c r="T3696" s="126">
        <f>IFERROR(__xludf.DUMMYFUNCTION("""COMPUTED_VALUE"""),46092.0)</f>
        <v>46092</v>
      </c>
      <c r="U3696" s="124" t="str">
        <f>IFERROR(__xludf.DUMMYFUNCTION("""COMPUTED_VALUE"""),"Telephony")</f>
        <v>Telephony</v>
      </c>
      <c r="V3696" s="124" t="str">
        <f>IFERROR(__xludf.DUMMYFUNCTION("""COMPUTED_VALUE"""),"Inbound Call")</f>
        <v>Inbound Call</v>
      </c>
      <c r="W3696" s="124">
        <f>IFERROR(__xludf.DUMMYFUNCTION("""COMPUTED_VALUE"""),9.18047861635E11)</f>
        <v>918047861635</v>
      </c>
      <c r="X3696" s="124" t="str">
        <f>IFERROR(__xludf.DUMMYFUNCTION("""COMPUTED_VALUE"""),"Inbound Call")</f>
        <v>Inbound Call</v>
      </c>
      <c r="Y3696" s="124" t="str">
        <f>IFERROR(__xludf.DUMMYFUNCTION("""COMPUTED_VALUE"""),"Indore")</f>
        <v>Indore</v>
      </c>
      <c r="Z3696" s="124">
        <f>IFERROR(__xludf.DUMMYFUNCTION("""COMPUTED_VALUE"""),2.0)</f>
        <v>2</v>
      </c>
      <c r="AA3696" s="124" t="str">
        <f>IFERROR(__xludf.DUMMYFUNCTION("""COMPUTED_VALUE"""),"Future Prospects")</f>
        <v>Future Prospects</v>
      </c>
      <c r="AB3696" s="124" t="str">
        <f>IFERROR(__xludf.DUMMYFUNCTION("""COMPUTED_VALUE"""),"GS Foundation")</f>
        <v>GS Foundation</v>
      </c>
    </row>
    <row r="3697">
      <c r="K3697" s="124"/>
      <c r="L3697" s="124"/>
      <c r="M3697" s="124"/>
      <c r="N3697" s="124"/>
      <c r="O3697" s="124"/>
      <c r="T3697" s="126">
        <f>IFERROR(__xludf.DUMMYFUNCTION("""COMPUTED_VALUE"""),46067.0)</f>
        <v>46067</v>
      </c>
      <c r="U3697" s="124" t="str">
        <f>IFERROR(__xludf.DUMMYFUNCTION("""COMPUTED_VALUE"""),"Telephony")</f>
        <v>Telephony</v>
      </c>
      <c r="V3697" s="124" t="str">
        <f>IFERROR(__xludf.DUMMYFUNCTION("""COMPUTED_VALUE"""),"Inbound Call")</f>
        <v>Inbound Call</v>
      </c>
      <c r="W3697" s="124" t="str">
        <f>IFERROR(__xludf.DUMMYFUNCTION("""COMPUTED_VALUE"""),"Inbound Call")</f>
        <v>Inbound Call</v>
      </c>
      <c r="X3697" s="124" t="str">
        <f>IFERROR(__xludf.DUMMYFUNCTION("""COMPUTED_VALUE"""),"Inbound Call")</f>
        <v>Inbound Call</v>
      </c>
      <c r="Y3697" s="124"/>
      <c r="Z3697" s="124">
        <f>IFERROR(__xludf.DUMMYFUNCTION("""COMPUTED_VALUE"""),1.0)</f>
        <v>1</v>
      </c>
      <c r="AA3697" s="124" t="str">
        <f>IFERROR(__xludf.DUMMYFUNCTION("""COMPUTED_VALUE"""),"Cold")</f>
        <v>Cold</v>
      </c>
      <c r="AB3697" s="124"/>
    </row>
    <row r="3698">
      <c r="K3698" s="124"/>
      <c r="L3698" s="124"/>
      <c r="M3698" s="124"/>
      <c r="N3698" s="124"/>
      <c r="O3698" s="124"/>
      <c r="T3698" s="126">
        <f>IFERROR(__xludf.DUMMYFUNCTION("""COMPUTED_VALUE"""),46091.0)</f>
        <v>46091</v>
      </c>
      <c r="U3698" s="124" t="str">
        <f>IFERROR(__xludf.DUMMYFUNCTION("""COMPUTED_VALUE"""),"Telephony")</f>
        <v>Telephony</v>
      </c>
      <c r="V3698" s="124" t="str">
        <f>IFERROR(__xludf.DUMMYFUNCTION("""COMPUTED_VALUE"""),"Inbound Call")</f>
        <v>Inbound Call</v>
      </c>
      <c r="W3698" s="124">
        <f>IFERROR(__xludf.DUMMYFUNCTION("""COMPUTED_VALUE"""),9.18047861634E11)</f>
        <v>918047861634</v>
      </c>
      <c r="X3698" s="124" t="str">
        <f>IFERROR(__xludf.DUMMYFUNCTION("""COMPUTED_VALUE"""),"Inbound Call")</f>
        <v>Inbound Call</v>
      </c>
      <c r="Y3698" s="124"/>
      <c r="Z3698" s="124">
        <f>IFERROR(__xludf.DUMMYFUNCTION("""COMPUTED_VALUE"""),1.0)</f>
        <v>1</v>
      </c>
      <c r="AA3698" s="124" t="str">
        <f>IFERROR(__xludf.DUMMYFUNCTION("""COMPUTED_VALUE"""),"Cold")</f>
        <v>Cold</v>
      </c>
      <c r="AB3698" s="124"/>
    </row>
    <row r="3699">
      <c r="K3699" s="124"/>
      <c r="L3699" s="124"/>
      <c r="M3699" s="124"/>
      <c r="N3699" s="124"/>
      <c r="O3699" s="124"/>
      <c r="T3699" s="126">
        <f>IFERROR(__xludf.DUMMYFUNCTION("""COMPUTED_VALUE"""),46080.0)</f>
        <v>46080</v>
      </c>
      <c r="U3699" s="124" t="str">
        <f>IFERROR(__xludf.DUMMYFUNCTION("""COMPUTED_VALUE"""),"Telephony")</f>
        <v>Telephony</v>
      </c>
      <c r="V3699" s="124" t="str">
        <f>IFERROR(__xludf.DUMMYFUNCTION("""COMPUTED_VALUE"""),"Inbound Call")</f>
        <v>Inbound Call</v>
      </c>
      <c r="W3699" s="124">
        <f>IFERROR(__xludf.DUMMYFUNCTION("""COMPUTED_VALUE"""),9.18047861635E11)</f>
        <v>918047861635</v>
      </c>
      <c r="X3699" s="124" t="str">
        <f>IFERROR(__xludf.DUMMYFUNCTION("""COMPUTED_VALUE"""),"Inbound Call")</f>
        <v>Inbound Call</v>
      </c>
      <c r="Y3699" s="124" t="str">
        <f>IFERROR(__xludf.DUMMYFUNCTION("""COMPUTED_VALUE"""),"Indore")</f>
        <v>Indore</v>
      </c>
      <c r="Z3699" s="124">
        <f>IFERROR(__xludf.DUMMYFUNCTION("""COMPUTED_VALUE"""),1.0)</f>
        <v>1</v>
      </c>
      <c r="AA3699" s="124" t="str">
        <f>IFERROR(__xludf.DUMMYFUNCTION("""COMPUTED_VALUE"""),"Cold")</f>
        <v>Cold</v>
      </c>
      <c r="AB3699" s="124" t="str">
        <f>IFERROR(__xludf.DUMMYFUNCTION("""COMPUTED_VALUE"""),"Test Series")</f>
        <v>Test Series</v>
      </c>
    </row>
    <row r="3700">
      <c r="K3700" s="124"/>
      <c r="L3700" s="124"/>
      <c r="M3700" s="124"/>
      <c r="N3700" s="124"/>
      <c r="O3700" s="124"/>
      <c r="T3700" s="126">
        <f>IFERROR(__xludf.DUMMYFUNCTION("""COMPUTED_VALUE"""),46077.0)</f>
        <v>46077</v>
      </c>
      <c r="U3700" s="124" t="str">
        <f>IFERROR(__xludf.DUMMYFUNCTION("""COMPUTED_VALUE"""),"Telephony")</f>
        <v>Telephony</v>
      </c>
      <c r="V3700" s="124" t="str">
        <f>IFERROR(__xludf.DUMMYFUNCTION("""COMPUTED_VALUE"""),"Inbound Call")</f>
        <v>Inbound Call</v>
      </c>
      <c r="W3700" s="124">
        <f>IFERROR(__xludf.DUMMYFUNCTION("""COMPUTED_VALUE"""),9.18047861631E11)</f>
        <v>918047861631</v>
      </c>
      <c r="X3700" s="124" t="str">
        <f>IFERROR(__xludf.DUMMYFUNCTION("""COMPUTED_VALUE"""),"Inbound Call")</f>
        <v>Inbound Call</v>
      </c>
      <c r="Y3700" s="124" t="str">
        <f>IFERROR(__xludf.DUMMYFUNCTION("""COMPUTED_VALUE"""),"Delhi")</f>
        <v>Delhi</v>
      </c>
      <c r="Z3700" s="124">
        <f>IFERROR(__xludf.DUMMYFUNCTION("""COMPUTED_VALUE"""),1.0)</f>
        <v>1</v>
      </c>
      <c r="AA3700" s="124" t="str">
        <f>IFERROR(__xludf.DUMMYFUNCTION("""COMPUTED_VALUE"""),"Fake Lead")</f>
        <v>Fake Lead</v>
      </c>
      <c r="AB3700" s="124"/>
    </row>
    <row r="3701">
      <c r="K3701" s="124"/>
      <c r="L3701" s="124"/>
      <c r="M3701" s="124"/>
      <c r="N3701" s="124"/>
      <c r="O3701" s="124"/>
      <c r="T3701" s="126">
        <f>IFERROR(__xludf.DUMMYFUNCTION("""COMPUTED_VALUE"""),46072.0)</f>
        <v>46072</v>
      </c>
      <c r="U3701" s="124" t="str">
        <f>IFERROR(__xludf.DUMMYFUNCTION("""COMPUTED_VALUE"""),"Telephony")</f>
        <v>Telephony</v>
      </c>
      <c r="V3701" s="124" t="str">
        <f>IFERROR(__xludf.DUMMYFUNCTION("""COMPUTED_VALUE"""),"Inbound Call")</f>
        <v>Inbound Call</v>
      </c>
      <c r="W3701" s="124">
        <f>IFERROR(__xludf.DUMMYFUNCTION("""COMPUTED_VALUE"""),9.18047861633E11)</f>
        <v>918047861633</v>
      </c>
      <c r="X3701" s="124" t="str">
        <f>IFERROR(__xludf.DUMMYFUNCTION("""COMPUTED_VALUE"""),"Inbound Call")</f>
        <v>Inbound Call</v>
      </c>
      <c r="Y3701" s="124"/>
      <c r="Z3701" s="124">
        <f>IFERROR(__xludf.DUMMYFUNCTION("""COMPUTED_VALUE"""),1.0)</f>
        <v>1</v>
      </c>
      <c r="AA3701" s="124" t="str">
        <f>IFERROR(__xludf.DUMMYFUNCTION("""COMPUTED_VALUE"""),"Cold")</f>
        <v>Cold</v>
      </c>
      <c r="AB3701" s="124"/>
    </row>
    <row r="3702">
      <c r="K3702" s="124"/>
      <c r="L3702" s="124"/>
      <c r="M3702" s="124"/>
      <c r="N3702" s="124"/>
      <c r="O3702" s="124"/>
      <c r="T3702" s="126">
        <f>IFERROR(__xludf.DUMMYFUNCTION("""COMPUTED_VALUE"""),46111.0)</f>
        <v>46111</v>
      </c>
      <c r="U3702" s="124" t="str">
        <f>IFERROR(__xludf.DUMMYFUNCTION("""COMPUTED_VALUE"""),"Telephony")</f>
        <v>Telephony</v>
      </c>
      <c r="V3702" s="124" t="str">
        <f>IFERROR(__xludf.DUMMYFUNCTION("""COMPUTED_VALUE"""),"Inbound Call")</f>
        <v>Inbound Call</v>
      </c>
      <c r="W3702" s="124">
        <f>IFERROR(__xludf.DUMMYFUNCTION("""COMPUTED_VALUE"""),9.18047861663E11)</f>
        <v>918047861663</v>
      </c>
      <c r="X3702" s="124" t="str">
        <f>IFERROR(__xludf.DUMMYFUNCTION("""COMPUTED_VALUE"""),"Inbound Call")</f>
        <v>Inbound Call</v>
      </c>
      <c r="Y3702" s="124"/>
      <c r="Z3702" s="124">
        <f>IFERROR(__xludf.DUMMYFUNCTION("""COMPUTED_VALUE"""),2.0)</f>
        <v>2</v>
      </c>
      <c r="AA3702" s="124" t="str">
        <f>IFERROR(__xludf.DUMMYFUNCTION("""COMPUTED_VALUE"""),"Fake Lead")</f>
        <v>Fake Lead</v>
      </c>
      <c r="AB3702" s="124"/>
    </row>
    <row r="3703">
      <c r="K3703" s="124"/>
      <c r="L3703" s="124"/>
      <c r="M3703" s="124"/>
      <c r="N3703" s="124"/>
      <c r="O3703" s="124"/>
      <c r="T3703" s="126">
        <f>IFERROR(__xludf.DUMMYFUNCTION("""COMPUTED_VALUE"""),46047.0)</f>
        <v>46047</v>
      </c>
      <c r="U3703" s="124" t="str">
        <f>IFERROR(__xludf.DUMMYFUNCTION("""COMPUTED_VALUE"""),"Telephony")</f>
        <v>Telephony</v>
      </c>
      <c r="V3703" s="124" t="str">
        <f>IFERROR(__xludf.DUMMYFUNCTION("""COMPUTED_VALUE"""),"Inbound Call")</f>
        <v>Inbound Call</v>
      </c>
      <c r="W3703" s="124">
        <f>IFERROR(__xludf.DUMMYFUNCTION("""COMPUTED_VALUE"""),9.18047861663E11)</f>
        <v>918047861663</v>
      </c>
      <c r="X3703" s="124" t="str">
        <f>IFERROR(__xludf.DUMMYFUNCTION("""COMPUTED_VALUE"""),"Inbound Call")</f>
        <v>Inbound Call</v>
      </c>
      <c r="Y3703" s="124" t="str">
        <f>IFERROR(__xludf.DUMMYFUNCTION("""COMPUTED_VALUE"""),"Delhi")</f>
        <v>Delhi</v>
      </c>
      <c r="Z3703" s="124">
        <f>IFERROR(__xludf.DUMMYFUNCTION("""COMPUTED_VALUE"""),1.0)</f>
        <v>1</v>
      </c>
      <c r="AA3703" s="124" t="str">
        <f>IFERROR(__xludf.DUMMYFUNCTION("""COMPUTED_VALUE"""),"Cold")</f>
        <v>Cold</v>
      </c>
      <c r="AB3703" s="124" t="str">
        <f>IFERROR(__xludf.DUMMYFUNCTION("""COMPUTED_VALUE"""),"GS Foundation")</f>
        <v>GS Foundation</v>
      </c>
    </row>
    <row r="3704">
      <c r="K3704" s="124"/>
      <c r="L3704" s="124"/>
      <c r="M3704" s="124"/>
      <c r="N3704" s="124"/>
      <c r="O3704" s="124"/>
      <c r="T3704" s="126">
        <f>IFERROR(__xludf.DUMMYFUNCTION("""COMPUTED_VALUE"""),46052.0)</f>
        <v>46052</v>
      </c>
      <c r="U3704" s="124" t="str">
        <f>IFERROR(__xludf.DUMMYFUNCTION("""COMPUTED_VALUE"""),"Telephony")</f>
        <v>Telephony</v>
      </c>
      <c r="V3704" s="124" t="str">
        <f>IFERROR(__xludf.DUMMYFUNCTION("""COMPUTED_VALUE"""),"Inbound Call")</f>
        <v>Inbound Call</v>
      </c>
      <c r="W3704" s="124" t="str">
        <f>IFERROR(__xludf.DUMMYFUNCTION("""COMPUTED_VALUE"""),"Inbound Call")</f>
        <v>Inbound Call</v>
      </c>
      <c r="X3704" s="124" t="str">
        <f>IFERROR(__xludf.DUMMYFUNCTION("""COMPUTED_VALUE"""),"Inbound Call")</f>
        <v>Inbound Call</v>
      </c>
      <c r="Y3704" s="124" t="str">
        <f>IFERROR(__xludf.DUMMYFUNCTION("""COMPUTED_VALUE"""),"Prayagraj")</f>
        <v>Prayagraj</v>
      </c>
      <c r="Z3704" s="124">
        <f>IFERROR(__xludf.DUMMYFUNCTION("""COMPUTED_VALUE"""),1.0)</f>
        <v>1</v>
      </c>
      <c r="AA3704" s="124" t="str">
        <f>IFERROR(__xludf.DUMMYFUNCTION("""COMPUTED_VALUE"""),"Cold")</f>
        <v>Cold</v>
      </c>
      <c r="AB3704" s="124" t="str">
        <f>IFERROR(__xludf.DUMMYFUNCTION("""COMPUTED_VALUE"""),"Test Series")</f>
        <v>Test Series</v>
      </c>
    </row>
    <row r="3705">
      <c r="K3705" s="124"/>
      <c r="L3705" s="124"/>
      <c r="M3705" s="124"/>
      <c r="N3705" s="124"/>
      <c r="O3705" s="124"/>
      <c r="T3705" s="126">
        <f>IFERROR(__xludf.DUMMYFUNCTION("""COMPUTED_VALUE"""),46045.0)</f>
        <v>46045</v>
      </c>
      <c r="U3705" s="124" t="str">
        <f>IFERROR(__xludf.DUMMYFUNCTION("""COMPUTED_VALUE"""),"Telephony")</f>
        <v>Telephony</v>
      </c>
      <c r="V3705" s="124" t="str">
        <f>IFERROR(__xludf.DUMMYFUNCTION("""COMPUTED_VALUE"""),"Inbound Call")</f>
        <v>Inbound Call</v>
      </c>
      <c r="W3705" s="124">
        <f>IFERROR(__xludf.DUMMYFUNCTION("""COMPUTED_VALUE"""),9.18047861635E11)</f>
        <v>918047861635</v>
      </c>
      <c r="X3705" s="124" t="str">
        <f>IFERROR(__xludf.DUMMYFUNCTION("""COMPUTED_VALUE"""),"Inbound Call")</f>
        <v>Inbound Call</v>
      </c>
      <c r="Y3705" s="124"/>
      <c r="Z3705" s="124">
        <f>IFERROR(__xludf.DUMMYFUNCTION("""COMPUTED_VALUE"""),2.0)</f>
        <v>2</v>
      </c>
      <c r="AA3705" s="124" t="str">
        <f>IFERROR(__xludf.DUMMYFUNCTION("""COMPUTED_VALUE"""),"Cold")</f>
        <v>Cold</v>
      </c>
      <c r="AB3705" s="124"/>
    </row>
    <row r="3706">
      <c r="K3706" s="124"/>
      <c r="L3706" s="124"/>
      <c r="M3706" s="124"/>
      <c r="N3706" s="124"/>
      <c r="O3706" s="124"/>
      <c r="T3706" s="126">
        <f>IFERROR(__xludf.DUMMYFUNCTION("""COMPUTED_VALUE"""),46109.0)</f>
        <v>46109</v>
      </c>
      <c r="U3706" s="124" t="str">
        <f>IFERROR(__xludf.DUMMYFUNCTION("""COMPUTED_VALUE"""),"Telephony")</f>
        <v>Telephony</v>
      </c>
      <c r="V3706" s="124" t="str">
        <f>IFERROR(__xludf.DUMMYFUNCTION("""COMPUTED_VALUE"""),"Inbound Call")</f>
        <v>Inbound Call</v>
      </c>
      <c r="W3706" s="124">
        <f>IFERROR(__xludf.DUMMYFUNCTION("""COMPUTED_VALUE"""),9.18047861631E11)</f>
        <v>918047861631</v>
      </c>
      <c r="X3706" s="124" t="str">
        <f>IFERROR(__xludf.DUMMYFUNCTION("""COMPUTED_VALUE"""),"Inbound Call")</f>
        <v>Inbound Call</v>
      </c>
      <c r="Y3706" s="124"/>
      <c r="Z3706" s="124">
        <f>IFERROR(__xludf.DUMMYFUNCTION("""COMPUTED_VALUE"""),2.0)</f>
        <v>2</v>
      </c>
      <c r="AA3706" s="124" t="str">
        <f>IFERROR(__xludf.DUMMYFUNCTION("""COMPUTED_VALUE"""),"Fake Lead")</f>
        <v>Fake Lead</v>
      </c>
      <c r="AB3706" s="124"/>
    </row>
    <row r="3707">
      <c r="K3707" s="124"/>
      <c r="L3707" s="124"/>
      <c r="M3707" s="124"/>
      <c r="N3707" s="124"/>
      <c r="O3707" s="124"/>
      <c r="T3707" s="126">
        <f>IFERROR(__xludf.DUMMYFUNCTION("""COMPUTED_VALUE"""),46105.0)</f>
        <v>46105</v>
      </c>
      <c r="U3707" s="124" t="str">
        <f>IFERROR(__xludf.DUMMYFUNCTION("""COMPUTED_VALUE"""),"Telephony")</f>
        <v>Telephony</v>
      </c>
      <c r="V3707" s="124" t="str">
        <f>IFERROR(__xludf.DUMMYFUNCTION("""COMPUTED_VALUE"""),"Inbound Call")</f>
        <v>Inbound Call</v>
      </c>
      <c r="W3707" s="124">
        <f>IFERROR(__xludf.DUMMYFUNCTION("""COMPUTED_VALUE"""),9.18047861633E11)</f>
        <v>918047861633</v>
      </c>
      <c r="X3707" s="124" t="str">
        <f>IFERROR(__xludf.DUMMYFUNCTION("""COMPUTED_VALUE"""),"Inbound Call")</f>
        <v>Inbound Call</v>
      </c>
      <c r="Y3707" s="124" t="str">
        <f>IFERROR(__xludf.DUMMYFUNCTION("""COMPUTED_VALUE"""),"Patna")</f>
        <v>Patna</v>
      </c>
      <c r="Z3707" s="124">
        <f>IFERROR(__xludf.DUMMYFUNCTION("""COMPUTED_VALUE"""),1.0)</f>
        <v>1</v>
      </c>
      <c r="AA3707" s="124" t="str">
        <f>IFERROR(__xludf.DUMMYFUNCTION("""COMPUTED_VALUE"""),"Warm")</f>
        <v>Warm</v>
      </c>
      <c r="AB3707" s="124" t="str">
        <f>IFERROR(__xludf.DUMMYFUNCTION("""COMPUTED_VALUE"""),"State PCS")</f>
        <v>State PCS</v>
      </c>
    </row>
    <row r="3708">
      <c r="K3708" s="124"/>
      <c r="L3708" s="124"/>
      <c r="M3708" s="124"/>
      <c r="N3708" s="124"/>
      <c r="O3708" s="124"/>
      <c r="T3708" s="126">
        <f>IFERROR(__xludf.DUMMYFUNCTION("""COMPUTED_VALUE"""),46104.0)</f>
        <v>46104</v>
      </c>
      <c r="U3708" s="124" t="str">
        <f>IFERROR(__xludf.DUMMYFUNCTION("""COMPUTED_VALUE"""),"Telephony")</f>
        <v>Telephony</v>
      </c>
      <c r="V3708" s="124" t="str">
        <f>IFERROR(__xludf.DUMMYFUNCTION("""COMPUTED_VALUE"""),"Inbound Call")</f>
        <v>Inbound Call</v>
      </c>
      <c r="W3708" s="124" t="str">
        <f>IFERROR(__xludf.DUMMYFUNCTION("""COMPUTED_VALUE"""),"Inbound Call")</f>
        <v>Inbound Call</v>
      </c>
      <c r="X3708" s="124" t="str">
        <f>IFERROR(__xludf.DUMMYFUNCTION("""COMPUTED_VALUE"""),"Inbound Call")</f>
        <v>Inbound Call</v>
      </c>
      <c r="Y3708" s="124"/>
      <c r="Z3708" s="124">
        <f>IFERROR(__xludf.DUMMYFUNCTION("""COMPUTED_VALUE"""),2.0)</f>
        <v>2</v>
      </c>
      <c r="AA3708" s="124" t="str">
        <f>IFERROR(__xludf.DUMMYFUNCTION("""COMPUTED_VALUE"""),"Cold")</f>
        <v>Cold</v>
      </c>
      <c r="AB3708" s="124"/>
    </row>
    <row r="3709">
      <c r="K3709" s="124"/>
      <c r="L3709" s="124"/>
      <c r="M3709" s="124"/>
      <c r="N3709" s="124"/>
      <c r="O3709" s="124"/>
      <c r="T3709" s="126">
        <f>IFERROR(__xludf.DUMMYFUNCTION("""COMPUTED_VALUE"""),46099.0)</f>
        <v>46099</v>
      </c>
      <c r="U3709" s="124" t="str">
        <f>IFERROR(__xludf.DUMMYFUNCTION("""COMPUTED_VALUE"""),"Telephony")</f>
        <v>Telephony</v>
      </c>
      <c r="V3709" s="124" t="str">
        <f>IFERROR(__xludf.DUMMYFUNCTION("""COMPUTED_VALUE"""),"Inbound Call")</f>
        <v>Inbound Call</v>
      </c>
      <c r="W3709" s="124">
        <f>IFERROR(__xludf.DUMMYFUNCTION("""COMPUTED_VALUE"""),9.18047861635E11)</f>
        <v>918047861635</v>
      </c>
      <c r="X3709" s="124" t="str">
        <f>IFERROR(__xludf.DUMMYFUNCTION("""COMPUTED_VALUE"""),"Inbound Call")</f>
        <v>Inbound Call</v>
      </c>
      <c r="Y3709" s="124" t="str">
        <f>IFERROR(__xludf.DUMMYFUNCTION("""COMPUTED_VALUE"""),"Indore")</f>
        <v>Indore</v>
      </c>
      <c r="Z3709" s="124">
        <f>IFERROR(__xludf.DUMMYFUNCTION("""COMPUTED_VALUE"""),1.0)</f>
        <v>1</v>
      </c>
      <c r="AA3709" s="124" t="str">
        <f>IFERROR(__xludf.DUMMYFUNCTION("""COMPUTED_VALUE"""),"Future Prospects")</f>
        <v>Future Prospects</v>
      </c>
      <c r="AB3709" s="124" t="str">
        <f>IFERROR(__xludf.DUMMYFUNCTION("""COMPUTED_VALUE"""),"State PCS")</f>
        <v>State PCS</v>
      </c>
    </row>
    <row r="3710">
      <c r="K3710" s="124"/>
      <c r="L3710" s="124"/>
      <c r="M3710" s="124"/>
      <c r="N3710" s="124"/>
      <c r="O3710" s="124"/>
      <c r="T3710" s="129">
        <f>IFERROR(__xludf.DUMMYFUNCTION("""COMPUTED_VALUE"""),46088.0)</f>
        <v>46088</v>
      </c>
      <c r="U3710" s="124" t="str">
        <f>IFERROR(__xludf.DUMMYFUNCTION("""COMPUTED_VALUE"""),"Telephony")</f>
        <v>Telephony</v>
      </c>
      <c r="V3710" s="124" t="str">
        <f>IFERROR(__xludf.DUMMYFUNCTION("""COMPUTED_VALUE"""),"Inbound Call")</f>
        <v>Inbound Call</v>
      </c>
      <c r="W3710" s="124">
        <f>IFERROR(__xludf.DUMMYFUNCTION("""COMPUTED_VALUE"""),9.18047861635E11)</f>
        <v>918047861635</v>
      </c>
      <c r="X3710" s="124" t="str">
        <f>IFERROR(__xludf.DUMMYFUNCTION("""COMPUTED_VALUE"""),"Inbound Call")</f>
        <v>Inbound Call</v>
      </c>
      <c r="Y3710" s="124" t="str">
        <f>IFERROR(__xludf.DUMMYFUNCTION("""COMPUTED_VALUE"""),"Indore")</f>
        <v>Indore</v>
      </c>
      <c r="Z3710" s="124">
        <f>IFERROR(__xludf.DUMMYFUNCTION("""COMPUTED_VALUE"""),1.0)</f>
        <v>1</v>
      </c>
      <c r="AA3710" s="124" t="str">
        <f>IFERROR(__xludf.DUMMYFUNCTION("""COMPUTED_VALUE"""),"Not Interested")</f>
        <v>Not Interested</v>
      </c>
      <c r="AB3710" s="124"/>
    </row>
    <row r="3711">
      <c r="K3711" s="124"/>
      <c r="L3711" s="124"/>
      <c r="M3711" s="124"/>
      <c r="N3711" s="124"/>
      <c r="O3711" s="124"/>
      <c r="T3711" s="129">
        <f>IFERROR(__xludf.DUMMYFUNCTION("""COMPUTED_VALUE"""),46090.0)</f>
        <v>46090</v>
      </c>
      <c r="U3711" s="124" t="str">
        <f>IFERROR(__xludf.DUMMYFUNCTION("""COMPUTED_VALUE"""),"Telephony")</f>
        <v>Telephony</v>
      </c>
      <c r="V3711" s="124" t="str">
        <f>IFERROR(__xludf.DUMMYFUNCTION("""COMPUTED_VALUE"""),"Inbound Call")</f>
        <v>Inbound Call</v>
      </c>
      <c r="W3711" s="124">
        <f>IFERROR(__xludf.DUMMYFUNCTION("""COMPUTED_VALUE"""),9.18047861663E11)</f>
        <v>918047861663</v>
      </c>
      <c r="X3711" s="124" t="str">
        <f>IFERROR(__xludf.DUMMYFUNCTION("""COMPUTED_VALUE"""),"Inbound Call")</f>
        <v>Inbound Call</v>
      </c>
      <c r="Y3711" s="124" t="str">
        <f>IFERROR(__xludf.DUMMYFUNCTION("""COMPUTED_VALUE"""),"Delhi")</f>
        <v>Delhi</v>
      </c>
      <c r="Z3711" s="124">
        <f>IFERROR(__xludf.DUMMYFUNCTION("""COMPUTED_VALUE"""),1.0)</f>
        <v>1</v>
      </c>
      <c r="AA3711" s="124" t="str">
        <f>IFERROR(__xludf.DUMMYFUNCTION("""COMPUTED_VALUE"""),"Fake Lead")</f>
        <v>Fake Lead</v>
      </c>
      <c r="AB3711" s="124"/>
    </row>
    <row r="3712">
      <c r="K3712" s="124"/>
      <c r="L3712" s="124"/>
      <c r="M3712" s="124"/>
      <c r="N3712" s="124"/>
      <c r="O3712" s="124"/>
      <c r="T3712" s="126">
        <f>IFERROR(__xludf.DUMMYFUNCTION("""COMPUTED_VALUE"""),46077.0)</f>
        <v>46077</v>
      </c>
      <c r="U3712" s="124" t="str">
        <f>IFERROR(__xludf.DUMMYFUNCTION("""COMPUTED_VALUE"""),"Telephony")</f>
        <v>Telephony</v>
      </c>
      <c r="V3712" s="124" t="str">
        <f>IFERROR(__xludf.DUMMYFUNCTION("""COMPUTED_VALUE"""),"Inbound Call")</f>
        <v>Inbound Call</v>
      </c>
      <c r="W3712" s="124">
        <f>IFERROR(__xludf.DUMMYFUNCTION("""COMPUTED_VALUE"""),9.18047861632E11)</f>
        <v>918047861632</v>
      </c>
      <c r="X3712" s="124" t="str">
        <f>IFERROR(__xludf.DUMMYFUNCTION("""COMPUTED_VALUE"""),"Inbound Call")</f>
        <v>Inbound Call</v>
      </c>
      <c r="Y3712" s="124"/>
      <c r="Z3712" s="124">
        <f>IFERROR(__xludf.DUMMYFUNCTION("""COMPUTED_VALUE"""),1.0)</f>
        <v>1</v>
      </c>
      <c r="AA3712" s="124" t="str">
        <f>IFERROR(__xludf.DUMMYFUNCTION("""COMPUTED_VALUE"""),"Cold")</f>
        <v>Cold</v>
      </c>
      <c r="AB3712" s="124" t="str">
        <f>IFERROR(__xludf.DUMMYFUNCTION("""COMPUTED_VALUE"""),"IGP UPPSC")</f>
        <v>IGP UPPSC</v>
      </c>
    </row>
    <row r="3713">
      <c r="K3713" s="124"/>
      <c r="L3713" s="124"/>
      <c r="M3713" s="124"/>
      <c r="N3713" s="124"/>
      <c r="O3713" s="124"/>
      <c r="T3713" s="126">
        <f>IFERROR(__xludf.DUMMYFUNCTION("""COMPUTED_VALUE"""),46046.0)</f>
        <v>46046</v>
      </c>
      <c r="U3713" s="124" t="str">
        <f>IFERROR(__xludf.DUMMYFUNCTION("""COMPUTED_VALUE"""),"Telephony")</f>
        <v>Telephony</v>
      </c>
      <c r="V3713" s="124" t="str">
        <f>IFERROR(__xludf.DUMMYFUNCTION("""COMPUTED_VALUE"""),"Inbound Call")</f>
        <v>Inbound Call</v>
      </c>
      <c r="W3713" s="124">
        <f>IFERROR(__xludf.DUMMYFUNCTION("""COMPUTED_VALUE"""),9.18047861635E11)</f>
        <v>918047861635</v>
      </c>
      <c r="X3713" s="124" t="str">
        <f>IFERROR(__xludf.DUMMYFUNCTION("""COMPUTED_VALUE"""),"Inbound Call")</f>
        <v>Inbound Call</v>
      </c>
      <c r="Y3713" s="124"/>
      <c r="Z3713" s="124">
        <f>IFERROR(__xludf.DUMMYFUNCTION("""COMPUTED_VALUE"""),2.0)</f>
        <v>2</v>
      </c>
      <c r="AA3713" s="124" t="str">
        <f>IFERROR(__xludf.DUMMYFUNCTION("""COMPUTED_VALUE"""),"Cold")</f>
        <v>Cold</v>
      </c>
      <c r="AB3713" s="124"/>
    </row>
    <row r="3714">
      <c r="K3714" s="124"/>
      <c r="L3714" s="124"/>
      <c r="M3714" s="124"/>
      <c r="N3714" s="124"/>
      <c r="O3714" s="124"/>
      <c r="T3714" s="126">
        <f>IFERROR(__xludf.DUMMYFUNCTION("""COMPUTED_VALUE"""),46070.0)</f>
        <v>46070</v>
      </c>
      <c r="U3714" s="124" t="str">
        <f>IFERROR(__xludf.DUMMYFUNCTION("""COMPUTED_VALUE"""),"Telephony")</f>
        <v>Telephony</v>
      </c>
      <c r="V3714" s="124" t="str">
        <f>IFERROR(__xludf.DUMMYFUNCTION("""COMPUTED_VALUE"""),"Inbound Call")</f>
        <v>Inbound Call</v>
      </c>
      <c r="W3714" s="124" t="str">
        <f>IFERROR(__xludf.DUMMYFUNCTION("""COMPUTED_VALUE"""),"Inbound Call")</f>
        <v>Inbound Call</v>
      </c>
      <c r="X3714" s="124" t="str">
        <f>IFERROR(__xludf.DUMMYFUNCTION("""COMPUTED_VALUE"""),"Inbound Call")</f>
        <v>Inbound Call</v>
      </c>
      <c r="Y3714" s="124"/>
      <c r="Z3714" s="124">
        <f>IFERROR(__xludf.DUMMYFUNCTION("""COMPUTED_VALUE"""),1.0)</f>
        <v>1</v>
      </c>
      <c r="AA3714" s="124" t="str">
        <f>IFERROR(__xludf.DUMMYFUNCTION("""COMPUTED_VALUE"""),"Cold")</f>
        <v>Cold</v>
      </c>
      <c r="AB3714" s="124" t="str">
        <f>IFERROR(__xludf.DUMMYFUNCTION("""COMPUTED_VALUE"""),"Test Series")</f>
        <v>Test Series</v>
      </c>
    </row>
    <row r="3715">
      <c r="K3715" s="124"/>
      <c r="L3715" s="124"/>
      <c r="M3715" s="124"/>
      <c r="N3715" s="124"/>
      <c r="O3715" s="124"/>
      <c r="T3715" s="129">
        <f>IFERROR(__xludf.DUMMYFUNCTION("""COMPUTED_VALUE"""),46054.0)</f>
        <v>46054</v>
      </c>
      <c r="U3715" s="124" t="str">
        <f>IFERROR(__xludf.DUMMYFUNCTION("""COMPUTED_VALUE"""),"Telephony")</f>
        <v>Telephony</v>
      </c>
      <c r="V3715" s="124" t="str">
        <f>IFERROR(__xludf.DUMMYFUNCTION("""COMPUTED_VALUE"""),"Inbound Call")</f>
        <v>Inbound Call</v>
      </c>
      <c r="W3715" s="124" t="str">
        <f>IFERROR(__xludf.DUMMYFUNCTION("""COMPUTED_VALUE"""),"Inbound Call")</f>
        <v>Inbound Call</v>
      </c>
      <c r="X3715" s="124" t="str">
        <f>IFERROR(__xludf.DUMMYFUNCTION("""COMPUTED_VALUE"""),"Inbound Call")</f>
        <v>Inbound Call</v>
      </c>
      <c r="Y3715" s="124" t="str">
        <f>IFERROR(__xludf.DUMMYFUNCTION("""COMPUTED_VALUE"""),"Delhi")</f>
        <v>Delhi</v>
      </c>
      <c r="Z3715" s="124">
        <f>IFERROR(__xludf.DUMMYFUNCTION("""COMPUTED_VALUE"""),1.0)</f>
        <v>1</v>
      </c>
      <c r="AA3715" s="124" t="str">
        <f>IFERROR(__xludf.DUMMYFUNCTION("""COMPUTED_VALUE"""),"Cold")</f>
        <v>Cold</v>
      </c>
      <c r="AB3715" s="124"/>
    </row>
    <row r="3716">
      <c r="K3716" s="124"/>
      <c r="L3716" s="124"/>
      <c r="M3716" s="124"/>
      <c r="N3716" s="124"/>
      <c r="O3716" s="124"/>
      <c r="T3716" s="126">
        <f>IFERROR(__xludf.DUMMYFUNCTION("""COMPUTED_VALUE"""),46046.0)</f>
        <v>46046</v>
      </c>
      <c r="U3716" s="124" t="str">
        <f>IFERROR(__xludf.DUMMYFUNCTION("""COMPUTED_VALUE"""),"Telephony")</f>
        <v>Telephony</v>
      </c>
      <c r="V3716" s="124" t="str">
        <f>IFERROR(__xludf.DUMMYFUNCTION("""COMPUTED_VALUE"""),"Inbound Call")</f>
        <v>Inbound Call</v>
      </c>
      <c r="W3716" s="124">
        <f>IFERROR(__xludf.DUMMYFUNCTION("""COMPUTED_VALUE"""),9.18047861635E11)</f>
        <v>918047861635</v>
      </c>
      <c r="X3716" s="124" t="str">
        <f>IFERROR(__xludf.DUMMYFUNCTION("""COMPUTED_VALUE"""),"Inbound Call")</f>
        <v>Inbound Call</v>
      </c>
      <c r="Y3716" s="124"/>
      <c r="Z3716" s="124">
        <f>IFERROR(__xludf.DUMMYFUNCTION("""COMPUTED_VALUE"""),1.0)</f>
        <v>1</v>
      </c>
      <c r="AA3716" s="124" t="str">
        <f>IFERROR(__xludf.DUMMYFUNCTION("""COMPUTED_VALUE"""),"Cold")</f>
        <v>Cold</v>
      </c>
      <c r="AB3716" s="124" t="str">
        <f>IFERROR(__xludf.DUMMYFUNCTION("""COMPUTED_VALUE"""),"Other")</f>
        <v>Other</v>
      </c>
    </row>
    <row r="3717">
      <c r="K3717" s="124"/>
      <c r="L3717" s="124"/>
      <c r="M3717" s="124"/>
      <c r="N3717" s="124"/>
      <c r="O3717" s="124"/>
      <c r="T3717" s="126">
        <f>IFERROR(__xludf.DUMMYFUNCTION("""COMPUTED_VALUE"""),46074.0)</f>
        <v>46074</v>
      </c>
      <c r="U3717" s="124" t="str">
        <f>IFERROR(__xludf.DUMMYFUNCTION("""COMPUTED_VALUE"""),"Telephony")</f>
        <v>Telephony</v>
      </c>
      <c r="V3717" s="124" t="str">
        <f>IFERROR(__xludf.DUMMYFUNCTION("""COMPUTED_VALUE"""),"Inbound Call")</f>
        <v>Inbound Call</v>
      </c>
      <c r="W3717" s="124">
        <f>IFERROR(__xludf.DUMMYFUNCTION("""COMPUTED_VALUE"""),9.18047861635E11)</f>
        <v>918047861635</v>
      </c>
      <c r="X3717" s="124" t="str">
        <f>IFERROR(__xludf.DUMMYFUNCTION("""COMPUTED_VALUE"""),"Inbound Call")</f>
        <v>Inbound Call</v>
      </c>
      <c r="Y3717" s="124" t="str">
        <f>IFERROR(__xludf.DUMMYFUNCTION("""COMPUTED_VALUE"""),"Indore")</f>
        <v>Indore</v>
      </c>
      <c r="Z3717" s="124">
        <f>IFERROR(__xludf.DUMMYFUNCTION("""COMPUTED_VALUE"""),1.0)</f>
        <v>1</v>
      </c>
      <c r="AA3717" s="124" t="str">
        <f>IFERROR(__xludf.DUMMYFUNCTION("""COMPUTED_VALUE"""),"Cold")</f>
        <v>Cold</v>
      </c>
      <c r="AB3717" s="124" t="str">
        <f>IFERROR(__xludf.DUMMYFUNCTION("""COMPUTED_VALUE"""),"State PCS")</f>
        <v>State PCS</v>
      </c>
    </row>
    <row r="3718">
      <c r="K3718" s="124"/>
      <c r="L3718" s="124"/>
      <c r="M3718" s="124"/>
      <c r="N3718" s="124"/>
      <c r="O3718" s="124"/>
      <c r="T3718" s="126">
        <f>IFERROR(__xludf.DUMMYFUNCTION("""COMPUTED_VALUE"""),46068.0)</f>
        <v>46068</v>
      </c>
      <c r="U3718" s="124" t="str">
        <f>IFERROR(__xludf.DUMMYFUNCTION("""COMPUTED_VALUE"""),"Telephony")</f>
        <v>Telephony</v>
      </c>
      <c r="V3718" s="124" t="str">
        <f>IFERROR(__xludf.DUMMYFUNCTION("""COMPUTED_VALUE"""),"Inbound Call")</f>
        <v>Inbound Call</v>
      </c>
      <c r="W3718" s="124">
        <f>IFERROR(__xludf.DUMMYFUNCTION("""COMPUTED_VALUE"""),9.18047861635E11)</f>
        <v>918047861635</v>
      </c>
      <c r="X3718" s="124" t="str">
        <f>IFERROR(__xludf.DUMMYFUNCTION("""COMPUTED_VALUE"""),"Inbound Call")</f>
        <v>Inbound Call</v>
      </c>
      <c r="Y3718" s="124" t="str">
        <f>IFERROR(__xludf.DUMMYFUNCTION("""COMPUTED_VALUE"""),"Indore")</f>
        <v>Indore</v>
      </c>
      <c r="Z3718" s="124">
        <f>IFERROR(__xludf.DUMMYFUNCTION("""COMPUTED_VALUE"""),1.0)</f>
        <v>1</v>
      </c>
      <c r="AA3718" s="124" t="str">
        <f>IFERROR(__xludf.DUMMYFUNCTION("""COMPUTED_VALUE"""),"Future Prospects")</f>
        <v>Future Prospects</v>
      </c>
      <c r="AB3718" s="124" t="str">
        <f>IFERROR(__xludf.DUMMYFUNCTION("""COMPUTED_VALUE"""),"GS Foundation")</f>
        <v>GS Foundation</v>
      </c>
    </row>
    <row r="3719">
      <c r="K3719" s="124"/>
      <c r="L3719" s="124"/>
      <c r="M3719" s="124"/>
      <c r="N3719" s="124"/>
      <c r="O3719" s="124"/>
      <c r="T3719" s="126">
        <f>IFERROR(__xludf.DUMMYFUNCTION("""COMPUTED_VALUE"""),46072.0)</f>
        <v>46072</v>
      </c>
      <c r="U3719" s="124" t="str">
        <f>IFERROR(__xludf.DUMMYFUNCTION("""COMPUTED_VALUE"""),"Telephony")</f>
        <v>Telephony</v>
      </c>
      <c r="V3719" s="124" t="str">
        <f>IFERROR(__xludf.DUMMYFUNCTION("""COMPUTED_VALUE"""),"Inbound Call")</f>
        <v>Inbound Call</v>
      </c>
      <c r="W3719" s="124">
        <f>IFERROR(__xludf.DUMMYFUNCTION("""COMPUTED_VALUE"""),9.18047861663E11)</f>
        <v>918047861663</v>
      </c>
      <c r="X3719" s="124" t="str">
        <f>IFERROR(__xludf.DUMMYFUNCTION("""COMPUTED_VALUE"""),"Inbound Call")</f>
        <v>Inbound Call</v>
      </c>
      <c r="Y3719" s="124"/>
      <c r="Z3719" s="124">
        <f>IFERROR(__xludf.DUMMYFUNCTION("""COMPUTED_VALUE"""),2.0)</f>
        <v>2</v>
      </c>
      <c r="AA3719" s="124" t="str">
        <f>IFERROR(__xludf.DUMMYFUNCTION("""COMPUTED_VALUE"""),"Fake Lead")</f>
        <v>Fake Lead</v>
      </c>
      <c r="AB3719" s="124"/>
    </row>
    <row r="3720">
      <c r="K3720" s="124"/>
      <c r="L3720" s="124"/>
      <c r="M3720" s="124"/>
      <c r="N3720" s="124"/>
      <c r="O3720" s="124"/>
      <c r="T3720" s="126">
        <f>IFERROR(__xludf.DUMMYFUNCTION("""COMPUTED_VALUE"""),46065.0)</f>
        <v>46065</v>
      </c>
      <c r="U3720" s="124" t="str">
        <f>IFERROR(__xludf.DUMMYFUNCTION("""COMPUTED_VALUE"""),"Telephony")</f>
        <v>Telephony</v>
      </c>
      <c r="V3720" s="124" t="str">
        <f>IFERROR(__xludf.DUMMYFUNCTION("""COMPUTED_VALUE"""),"Inbound Call")</f>
        <v>Inbound Call</v>
      </c>
      <c r="W3720" s="124">
        <f>IFERROR(__xludf.DUMMYFUNCTION("""COMPUTED_VALUE"""),9.18047861632E11)</f>
        <v>918047861632</v>
      </c>
      <c r="X3720" s="124" t="str">
        <f>IFERROR(__xludf.DUMMYFUNCTION("""COMPUTED_VALUE"""),"Inbound Call")</f>
        <v>Inbound Call</v>
      </c>
      <c r="Y3720" s="124"/>
      <c r="Z3720" s="124">
        <f>IFERROR(__xludf.DUMMYFUNCTION("""COMPUTED_VALUE"""),1.0)</f>
        <v>1</v>
      </c>
      <c r="AA3720" s="124" t="str">
        <f>IFERROR(__xludf.DUMMYFUNCTION("""COMPUTED_VALUE"""),"Cold")</f>
        <v>Cold</v>
      </c>
      <c r="AB3720" s="124" t="str">
        <f>IFERROR(__xludf.DUMMYFUNCTION("""COMPUTED_VALUE"""),"IGP UPPSC")</f>
        <v>IGP UPPSC</v>
      </c>
    </row>
    <row r="3721">
      <c r="K3721" s="124"/>
      <c r="L3721" s="124"/>
      <c r="M3721" s="124"/>
      <c r="N3721" s="124"/>
      <c r="O3721" s="124"/>
      <c r="T3721" s="126">
        <f>IFERROR(__xludf.DUMMYFUNCTION("""COMPUTED_VALUE"""),46071.0)</f>
        <v>46071</v>
      </c>
      <c r="U3721" s="124" t="str">
        <f>IFERROR(__xludf.DUMMYFUNCTION("""COMPUTED_VALUE"""),"Telephony")</f>
        <v>Telephony</v>
      </c>
      <c r="V3721" s="124" t="str">
        <f>IFERROR(__xludf.DUMMYFUNCTION("""COMPUTED_VALUE"""),"Inbound Call")</f>
        <v>Inbound Call</v>
      </c>
      <c r="W3721" s="124" t="str">
        <f>IFERROR(__xludf.DUMMYFUNCTION("""COMPUTED_VALUE"""),"Inbound Call")</f>
        <v>Inbound Call</v>
      </c>
      <c r="X3721" s="124" t="str">
        <f>IFERROR(__xludf.DUMMYFUNCTION("""COMPUTED_VALUE"""),"Inbound Call")</f>
        <v>Inbound Call</v>
      </c>
      <c r="Y3721" s="124" t="str">
        <f>IFERROR(__xludf.DUMMYFUNCTION("""COMPUTED_VALUE"""),"Patna")</f>
        <v>Patna</v>
      </c>
      <c r="Z3721" s="124">
        <f>IFERROR(__xludf.DUMMYFUNCTION("""COMPUTED_VALUE"""),1.0)</f>
        <v>1</v>
      </c>
      <c r="AA3721" s="124" t="str">
        <f>IFERROR(__xludf.DUMMYFUNCTION("""COMPUTED_VALUE"""),"Warm")</f>
        <v>Warm</v>
      </c>
      <c r="AB3721" s="124" t="str">
        <f>IFERROR(__xludf.DUMMYFUNCTION("""COMPUTED_VALUE"""),"GS Foundation")</f>
        <v>GS Foundation</v>
      </c>
    </row>
    <row r="3722">
      <c r="K3722" s="124"/>
      <c r="L3722" s="124"/>
      <c r="M3722" s="124"/>
      <c r="N3722" s="124"/>
      <c r="O3722" s="124"/>
      <c r="T3722" s="126">
        <f>IFERROR(__xludf.DUMMYFUNCTION("""COMPUTED_VALUE"""),46067.0)</f>
        <v>46067</v>
      </c>
      <c r="U3722" s="124" t="str">
        <f>IFERROR(__xludf.DUMMYFUNCTION("""COMPUTED_VALUE"""),"Telephony")</f>
        <v>Telephony</v>
      </c>
      <c r="V3722" s="124" t="str">
        <f>IFERROR(__xludf.DUMMYFUNCTION("""COMPUTED_VALUE"""),"Inbound Call")</f>
        <v>Inbound Call</v>
      </c>
      <c r="W3722" s="124">
        <f>IFERROR(__xludf.DUMMYFUNCTION("""COMPUTED_VALUE"""),9.18047861633E11)</f>
        <v>918047861633</v>
      </c>
      <c r="X3722" s="124" t="str">
        <f>IFERROR(__xludf.DUMMYFUNCTION("""COMPUTED_VALUE"""),"Inbound Call")</f>
        <v>Inbound Call</v>
      </c>
      <c r="Y3722" s="124"/>
      <c r="Z3722" s="124">
        <f>IFERROR(__xludf.DUMMYFUNCTION("""COMPUTED_VALUE"""),1.0)</f>
        <v>1</v>
      </c>
      <c r="AA3722" s="124" t="str">
        <f>IFERROR(__xludf.DUMMYFUNCTION("""COMPUTED_VALUE"""),"Cold")</f>
        <v>Cold</v>
      </c>
      <c r="AB3722" s="124" t="str">
        <f>IFERROR(__xludf.DUMMYFUNCTION("""COMPUTED_VALUE"""),"SIP Offline")</f>
        <v>SIP Offline</v>
      </c>
    </row>
    <row r="3723">
      <c r="K3723" s="124"/>
      <c r="L3723" s="124"/>
      <c r="M3723" s="124"/>
      <c r="N3723" s="124"/>
      <c r="O3723" s="124"/>
      <c r="T3723" s="126">
        <f>IFERROR(__xludf.DUMMYFUNCTION("""COMPUTED_VALUE"""),46067.0)</f>
        <v>46067</v>
      </c>
      <c r="U3723" s="124" t="str">
        <f>IFERROR(__xludf.DUMMYFUNCTION("""COMPUTED_VALUE"""),"Telephony")</f>
        <v>Telephony</v>
      </c>
      <c r="V3723" s="124" t="str">
        <f>IFERROR(__xludf.DUMMYFUNCTION("""COMPUTED_VALUE"""),"Inbound Call")</f>
        <v>Inbound Call</v>
      </c>
      <c r="W3723" s="124">
        <f>IFERROR(__xludf.DUMMYFUNCTION("""COMPUTED_VALUE"""),9.18047861634E11)</f>
        <v>918047861634</v>
      </c>
      <c r="X3723" s="124" t="str">
        <f>IFERROR(__xludf.DUMMYFUNCTION("""COMPUTED_VALUE"""),"Inbound Call")</f>
        <v>Inbound Call</v>
      </c>
      <c r="Y3723" s="124"/>
      <c r="Z3723" s="124">
        <f>IFERROR(__xludf.DUMMYFUNCTION("""COMPUTED_VALUE"""),1.0)</f>
        <v>1</v>
      </c>
      <c r="AA3723" s="124" t="str">
        <f>IFERROR(__xludf.DUMMYFUNCTION("""COMPUTED_VALUE"""),"Not Interested")</f>
        <v>Not Interested</v>
      </c>
      <c r="AB3723" s="124"/>
    </row>
    <row r="3724">
      <c r="K3724" s="124"/>
      <c r="L3724" s="124"/>
      <c r="M3724" s="124"/>
      <c r="N3724" s="124"/>
      <c r="O3724" s="124"/>
      <c r="T3724" s="129">
        <f>IFERROR(__xludf.DUMMYFUNCTION("""COMPUTED_VALUE"""),46088.0)</f>
        <v>46088</v>
      </c>
      <c r="U3724" s="124" t="str">
        <f>IFERROR(__xludf.DUMMYFUNCTION("""COMPUTED_VALUE"""),"Telephony")</f>
        <v>Telephony</v>
      </c>
      <c r="V3724" s="124" t="str">
        <f>IFERROR(__xludf.DUMMYFUNCTION("""COMPUTED_VALUE"""),"Inbound Call")</f>
        <v>Inbound Call</v>
      </c>
      <c r="W3724" s="124">
        <f>IFERROR(__xludf.DUMMYFUNCTION("""COMPUTED_VALUE"""),9.18047861631E11)</f>
        <v>918047861631</v>
      </c>
      <c r="X3724" s="124" t="str">
        <f>IFERROR(__xludf.DUMMYFUNCTION("""COMPUTED_VALUE"""),"Inbound Call")</f>
        <v>Inbound Call</v>
      </c>
      <c r="Y3724" s="124"/>
      <c r="Z3724" s="124">
        <f>IFERROR(__xludf.DUMMYFUNCTION("""COMPUTED_VALUE"""),1.0)</f>
        <v>1</v>
      </c>
      <c r="AA3724" s="124" t="str">
        <f>IFERROR(__xludf.DUMMYFUNCTION("""COMPUTED_VALUE"""),"Cold")</f>
        <v>Cold</v>
      </c>
      <c r="AB3724" s="124"/>
    </row>
    <row r="3725">
      <c r="K3725" s="124"/>
      <c r="L3725" s="124"/>
      <c r="M3725" s="124"/>
      <c r="N3725" s="124"/>
      <c r="O3725" s="124"/>
      <c r="T3725" s="126">
        <f>IFERROR(__xludf.DUMMYFUNCTION("""COMPUTED_VALUE"""),46109.0)</f>
        <v>46109</v>
      </c>
      <c r="U3725" s="124" t="str">
        <f>IFERROR(__xludf.DUMMYFUNCTION("""COMPUTED_VALUE"""),"Telephony")</f>
        <v>Telephony</v>
      </c>
      <c r="V3725" s="124" t="str">
        <f>IFERROR(__xludf.DUMMYFUNCTION("""COMPUTED_VALUE"""),"Inbound Call")</f>
        <v>Inbound Call</v>
      </c>
      <c r="W3725" s="124">
        <f>IFERROR(__xludf.DUMMYFUNCTION("""COMPUTED_VALUE"""),9.18047861663E11)</f>
        <v>918047861663</v>
      </c>
      <c r="X3725" s="124" t="str">
        <f>IFERROR(__xludf.DUMMYFUNCTION("""COMPUTED_VALUE"""),"Inbound Call")</f>
        <v>Inbound Call</v>
      </c>
      <c r="Y3725" s="124" t="str">
        <f>IFERROR(__xludf.DUMMYFUNCTION("""COMPUTED_VALUE"""),"Delhi")</f>
        <v>Delhi</v>
      </c>
      <c r="Z3725" s="124">
        <f>IFERROR(__xludf.DUMMYFUNCTION("""COMPUTED_VALUE"""),1.0)</f>
        <v>1</v>
      </c>
      <c r="AA3725" s="124" t="str">
        <f>IFERROR(__xludf.DUMMYFUNCTION("""COMPUTED_VALUE"""),"Future Prospects")</f>
        <v>Future Prospects</v>
      </c>
      <c r="AB3725" s="124"/>
    </row>
    <row r="3726">
      <c r="K3726" s="124"/>
      <c r="L3726" s="124"/>
      <c r="M3726" s="124"/>
      <c r="N3726" s="124"/>
      <c r="O3726" s="124"/>
      <c r="T3726" s="126">
        <f>IFERROR(__xludf.DUMMYFUNCTION("""COMPUTED_VALUE"""),46073.0)</f>
        <v>46073</v>
      </c>
      <c r="U3726" s="124" t="str">
        <f>IFERROR(__xludf.DUMMYFUNCTION("""COMPUTED_VALUE"""),"Telephony")</f>
        <v>Telephony</v>
      </c>
      <c r="V3726" s="124" t="str">
        <f>IFERROR(__xludf.DUMMYFUNCTION("""COMPUTED_VALUE"""),"Inbound Call")</f>
        <v>Inbound Call</v>
      </c>
      <c r="W3726" s="124">
        <f>IFERROR(__xludf.DUMMYFUNCTION("""COMPUTED_VALUE"""),9.18047861632E11)</f>
        <v>918047861632</v>
      </c>
      <c r="X3726" s="124" t="str">
        <f>IFERROR(__xludf.DUMMYFUNCTION("""COMPUTED_VALUE"""),"Inbound Call")</f>
        <v>Inbound Call</v>
      </c>
      <c r="Y3726" s="124"/>
      <c r="Z3726" s="124">
        <f>IFERROR(__xludf.DUMMYFUNCTION("""COMPUTED_VALUE"""),1.0)</f>
        <v>1</v>
      </c>
      <c r="AA3726" s="124" t="str">
        <f>IFERROR(__xludf.DUMMYFUNCTION("""COMPUTED_VALUE"""),"Fake Lead")</f>
        <v>Fake Lead</v>
      </c>
      <c r="AB3726" s="124"/>
    </row>
    <row r="3727">
      <c r="K3727" s="124"/>
      <c r="L3727" s="124"/>
      <c r="M3727" s="124"/>
      <c r="N3727" s="124"/>
      <c r="O3727" s="124"/>
      <c r="T3727" s="126">
        <f>IFERROR(__xludf.DUMMYFUNCTION("""COMPUTED_VALUE"""),46103.0)</f>
        <v>46103</v>
      </c>
      <c r="U3727" s="124" t="str">
        <f>IFERROR(__xludf.DUMMYFUNCTION("""COMPUTED_VALUE"""),"Telephony")</f>
        <v>Telephony</v>
      </c>
      <c r="V3727" s="124" t="str">
        <f>IFERROR(__xludf.DUMMYFUNCTION("""COMPUTED_VALUE"""),"Inbound Call")</f>
        <v>Inbound Call</v>
      </c>
      <c r="W3727" s="124">
        <f>IFERROR(__xludf.DUMMYFUNCTION("""COMPUTED_VALUE"""),9.18047861631E11)</f>
        <v>918047861631</v>
      </c>
      <c r="X3727" s="124" t="str">
        <f>IFERROR(__xludf.DUMMYFUNCTION("""COMPUTED_VALUE"""),"Inbound Call")</f>
        <v>Inbound Call</v>
      </c>
      <c r="Y3727" s="124"/>
      <c r="Z3727" s="124">
        <f>IFERROR(__xludf.DUMMYFUNCTION("""COMPUTED_VALUE"""),1.0)</f>
        <v>1</v>
      </c>
      <c r="AA3727" s="124" t="str">
        <f>IFERROR(__xludf.DUMMYFUNCTION("""COMPUTED_VALUE"""),"Cold")</f>
        <v>Cold</v>
      </c>
      <c r="AB3727" s="124"/>
    </row>
    <row r="3728">
      <c r="K3728" s="124"/>
      <c r="L3728" s="124"/>
      <c r="M3728" s="124"/>
      <c r="N3728" s="124"/>
      <c r="O3728" s="124"/>
      <c r="T3728" s="129">
        <f>IFERROR(__xludf.DUMMYFUNCTION("""COMPUTED_VALUE"""),46086.0)</f>
        <v>46086</v>
      </c>
      <c r="U3728" s="124" t="str">
        <f>IFERROR(__xludf.DUMMYFUNCTION("""COMPUTED_VALUE"""),"Telephony")</f>
        <v>Telephony</v>
      </c>
      <c r="V3728" s="124" t="str">
        <f>IFERROR(__xludf.DUMMYFUNCTION("""COMPUTED_VALUE"""),"Inbound Call")</f>
        <v>Inbound Call</v>
      </c>
      <c r="W3728" s="124">
        <f>IFERROR(__xludf.DUMMYFUNCTION("""COMPUTED_VALUE"""),9.18047861634E11)</f>
        <v>918047861634</v>
      </c>
      <c r="X3728" s="124" t="str">
        <f>IFERROR(__xludf.DUMMYFUNCTION("""COMPUTED_VALUE"""),"Inbound Call")</f>
        <v>Inbound Call</v>
      </c>
      <c r="Y3728" s="124"/>
      <c r="Z3728" s="124">
        <f>IFERROR(__xludf.DUMMYFUNCTION("""COMPUTED_VALUE"""),1.0)</f>
        <v>1</v>
      </c>
      <c r="AA3728" s="124" t="str">
        <f>IFERROR(__xludf.DUMMYFUNCTION("""COMPUTED_VALUE"""),"Cold")</f>
        <v>Cold</v>
      </c>
      <c r="AB3728" s="124"/>
    </row>
    <row r="3729">
      <c r="K3729" s="124"/>
      <c r="L3729" s="124"/>
      <c r="M3729" s="124"/>
      <c r="N3729" s="124"/>
      <c r="O3729" s="124"/>
      <c r="T3729" s="126">
        <f>IFERROR(__xludf.DUMMYFUNCTION("""COMPUTED_VALUE"""),46092.0)</f>
        <v>46092</v>
      </c>
      <c r="U3729" s="124" t="str">
        <f>IFERROR(__xludf.DUMMYFUNCTION("""COMPUTED_VALUE"""),"Telephony")</f>
        <v>Telephony</v>
      </c>
      <c r="V3729" s="124" t="str">
        <f>IFERROR(__xludf.DUMMYFUNCTION("""COMPUTED_VALUE"""),"Inbound Call")</f>
        <v>Inbound Call</v>
      </c>
      <c r="W3729" s="124">
        <f>IFERROR(__xludf.DUMMYFUNCTION("""COMPUTED_VALUE"""),9.18047861635E11)</f>
        <v>918047861635</v>
      </c>
      <c r="X3729" s="124" t="str">
        <f>IFERROR(__xludf.DUMMYFUNCTION("""COMPUTED_VALUE"""),"Inbound Call")</f>
        <v>Inbound Call</v>
      </c>
      <c r="Y3729" s="124" t="str">
        <f>IFERROR(__xludf.DUMMYFUNCTION("""COMPUTED_VALUE"""),"Indore")</f>
        <v>Indore</v>
      </c>
      <c r="Z3729" s="124">
        <f>IFERROR(__xludf.DUMMYFUNCTION("""COMPUTED_VALUE"""),1.0)</f>
        <v>1</v>
      </c>
      <c r="AA3729" s="124" t="str">
        <f>IFERROR(__xludf.DUMMYFUNCTION("""COMPUTED_VALUE"""),"Future Prospects")</f>
        <v>Future Prospects</v>
      </c>
      <c r="AB3729" s="124" t="str">
        <f>IFERROR(__xludf.DUMMYFUNCTION("""COMPUTED_VALUE"""),"State PCS")</f>
        <v>State PCS</v>
      </c>
    </row>
    <row r="3730">
      <c r="K3730" s="124"/>
      <c r="L3730" s="124"/>
      <c r="M3730" s="124"/>
      <c r="N3730" s="124"/>
      <c r="O3730" s="124"/>
      <c r="T3730" s="129">
        <f>IFERROR(__xludf.DUMMYFUNCTION("""COMPUTED_VALUE"""),46083.0)</f>
        <v>46083</v>
      </c>
      <c r="U3730" s="124" t="str">
        <f>IFERROR(__xludf.DUMMYFUNCTION("""COMPUTED_VALUE"""),"Telephony")</f>
        <v>Telephony</v>
      </c>
      <c r="V3730" s="124" t="str">
        <f>IFERROR(__xludf.DUMMYFUNCTION("""COMPUTED_VALUE"""),"Inbound Call")</f>
        <v>Inbound Call</v>
      </c>
      <c r="W3730" s="124">
        <f>IFERROR(__xludf.DUMMYFUNCTION("""COMPUTED_VALUE"""),9.18047861663E11)</f>
        <v>918047861663</v>
      </c>
      <c r="X3730" s="124" t="str">
        <f>IFERROR(__xludf.DUMMYFUNCTION("""COMPUTED_VALUE"""),"Inbound Call")</f>
        <v>Inbound Call</v>
      </c>
      <c r="Y3730" s="124" t="str">
        <f>IFERROR(__xludf.DUMMYFUNCTION("""COMPUTED_VALUE"""),"Delhi")</f>
        <v>Delhi</v>
      </c>
      <c r="Z3730" s="124">
        <f>IFERROR(__xludf.DUMMYFUNCTION("""COMPUTED_VALUE"""),1.0)</f>
        <v>1</v>
      </c>
      <c r="AA3730" s="124" t="str">
        <f>IFERROR(__xludf.DUMMYFUNCTION("""COMPUTED_VALUE"""),"Warm")</f>
        <v>Warm</v>
      </c>
      <c r="AB3730" s="124" t="str">
        <f>IFERROR(__xludf.DUMMYFUNCTION("""COMPUTED_VALUE"""),"GS Foundation")</f>
        <v>GS Foundation</v>
      </c>
    </row>
    <row r="3731">
      <c r="K3731" s="124"/>
      <c r="L3731" s="124"/>
      <c r="M3731" s="124"/>
      <c r="N3731" s="124"/>
      <c r="O3731" s="124"/>
      <c r="T3731" s="129">
        <f>IFERROR(__xludf.DUMMYFUNCTION("""COMPUTED_VALUE"""),46087.0)</f>
        <v>46087</v>
      </c>
      <c r="U3731" s="124" t="str">
        <f>IFERROR(__xludf.DUMMYFUNCTION("""COMPUTED_VALUE"""),"Telephony")</f>
        <v>Telephony</v>
      </c>
      <c r="V3731" s="124" t="str">
        <f>IFERROR(__xludf.DUMMYFUNCTION("""COMPUTED_VALUE"""),"Inbound Call")</f>
        <v>Inbound Call</v>
      </c>
      <c r="W3731" s="124">
        <f>IFERROR(__xludf.DUMMYFUNCTION("""COMPUTED_VALUE"""),9.18047861663E11)</f>
        <v>918047861663</v>
      </c>
      <c r="X3731" s="124" t="str">
        <f>IFERROR(__xludf.DUMMYFUNCTION("""COMPUTED_VALUE"""),"Inbound Call")</f>
        <v>Inbound Call</v>
      </c>
      <c r="Y3731" s="124"/>
      <c r="Z3731" s="124">
        <f>IFERROR(__xludf.DUMMYFUNCTION("""COMPUTED_VALUE"""),1.0)</f>
        <v>1</v>
      </c>
      <c r="AA3731" s="124" t="str">
        <f>IFERROR(__xludf.DUMMYFUNCTION("""COMPUTED_VALUE"""),"Fake Lead")</f>
        <v>Fake Lead</v>
      </c>
      <c r="AB3731" s="124"/>
    </row>
    <row r="3732">
      <c r="K3732" s="124"/>
      <c r="L3732" s="124"/>
      <c r="M3732" s="124"/>
      <c r="N3732" s="124"/>
      <c r="O3732" s="124"/>
      <c r="T3732" s="126">
        <f>IFERROR(__xludf.DUMMYFUNCTION("""COMPUTED_VALUE"""),46050.0)</f>
        <v>46050</v>
      </c>
      <c r="U3732" s="124" t="str">
        <f>IFERROR(__xludf.DUMMYFUNCTION("""COMPUTED_VALUE"""),"Telephony")</f>
        <v>Telephony</v>
      </c>
      <c r="V3732" s="124" t="str">
        <f>IFERROR(__xludf.DUMMYFUNCTION("""COMPUTED_VALUE"""),"Inbound Call")</f>
        <v>Inbound Call</v>
      </c>
      <c r="W3732" s="124" t="str">
        <f>IFERROR(__xludf.DUMMYFUNCTION("""COMPUTED_VALUE"""),"Inbound Call")</f>
        <v>Inbound Call</v>
      </c>
      <c r="X3732" s="124" t="str">
        <f>IFERROR(__xludf.DUMMYFUNCTION("""COMPUTED_VALUE"""),"Inbound Call")</f>
        <v>Inbound Call</v>
      </c>
      <c r="Y3732" s="124"/>
      <c r="Z3732" s="124">
        <f>IFERROR(__xludf.DUMMYFUNCTION("""COMPUTED_VALUE"""),1.0)</f>
        <v>1</v>
      </c>
      <c r="AA3732" s="124" t="str">
        <f>IFERROR(__xludf.DUMMYFUNCTION("""COMPUTED_VALUE"""),"Fake Lead")</f>
        <v>Fake Lead</v>
      </c>
      <c r="AB3732" s="124"/>
    </row>
    <row r="3733">
      <c r="K3733" s="124"/>
      <c r="L3733" s="124"/>
      <c r="M3733" s="124"/>
      <c r="N3733" s="124"/>
      <c r="O3733" s="124"/>
      <c r="T3733" s="126">
        <f>IFERROR(__xludf.DUMMYFUNCTION("""COMPUTED_VALUE"""),46077.0)</f>
        <v>46077</v>
      </c>
      <c r="U3733" s="124" t="str">
        <f>IFERROR(__xludf.DUMMYFUNCTION("""COMPUTED_VALUE"""),"Telephony")</f>
        <v>Telephony</v>
      </c>
      <c r="V3733" s="124" t="str">
        <f>IFERROR(__xludf.DUMMYFUNCTION("""COMPUTED_VALUE"""),"Inbound Call")</f>
        <v>Inbound Call</v>
      </c>
      <c r="W3733" s="124" t="str">
        <f>IFERROR(__xludf.DUMMYFUNCTION("""COMPUTED_VALUE"""),"Inbound Call")</f>
        <v>Inbound Call</v>
      </c>
      <c r="X3733" s="124" t="str">
        <f>IFERROR(__xludf.DUMMYFUNCTION("""COMPUTED_VALUE"""),"Inbound Call")</f>
        <v>Inbound Call</v>
      </c>
      <c r="Y3733" s="124"/>
      <c r="Z3733" s="124">
        <f>IFERROR(__xludf.DUMMYFUNCTION("""COMPUTED_VALUE"""),2.0)</f>
        <v>2</v>
      </c>
      <c r="AA3733" s="124" t="str">
        <f>IFERROR(__xludf.DUMMYFUNCTION("""COMPUTED_VALUE"""),"Cold")</f>
        <v>Cold</v>
      </c>
      <c r="AB3733" s="124"/>
    </row>
    <row r="3734">
      <c r="K3734" s="124"/>
      <c r="L3734" s="124"/>
      <c r="M3734" s="124"/>
      <c r="N3734" s="124"/>
      <c r="O3734" s="124"/>
      <c r="T3734" s="126">
        <f>IFERROR(__xludf.DUMMYFUNCTION("""COMPUTED_VALUE"""),46052.0)</f>
        <v>46052</v>
      </c>
      <c r="U3734" s="124" t="str">
        <f>IFERROR(__xludf.DUMMYFUNCTION("""COMPUTED_VALUE"""),"Telephony")</f>
        <v>Telephony</v>
      </c>
      <c r="V3734" s="124" t="str">
        <f>IFERROR(__xludf.DUMMYFUNCTION("""COMPUTED_VALUE"""),"Inbound Call")</f>
        <v>Inbound Call</v>
      </c>
      <c r="W3734" s="124" t="str">
        <f>IFERROR(__xludf.DUMMYFUNCTION("""COMPUTED_VALUE"""),"Inbound Call")</f>
        <v>Inbound Call</v>
      </c>
      <c r="X3734" s="124" t="str">
        <f>IFERROR(__xludf.DUMMYFUNCTION("""COMPUTED_VALUE"""),"Inbound Call")</f>
        <v>Inbound Call</v>
      </c>
      <c r="Y3734" s="124"/>
      <c r="Z3734" s="124">
        <f>IFERROR(__xludf.DUMMYFUNCTION("""COMPUTED_VALUE"""),1.0)</f>
        <v>1</v>
      </c>
      <c r="AA3734" s="124" t="str">
        <f>IFERROR(__xludf.DUMMYFUNCTION("""COMPUTED_VALUE"""),"Not Interested")</f>
        <v>Not Interested</v>
      </c>
      <c r="AB3734" s="124"/>
    </row>
    <row r="3735">
      <c r="K3735" s="124"/>
      <c r="L3735" s="124"/>
      <c r="M3735" s="124"/>
      <c r="N3735" s="124"/>
      <c r="O3735" s="124"/>
      <c r="T3735" s="126">
        <f>IFERROR(__xludf.DUMMYFUNCTION("""COMPUTED_VALUE"""),46107.0)</f>
        <v>46107</v>
      </c>
      <c r="U3735" s="124" t="str">
        <f>IFERROR(__xludf.DUMMYFUNCTION("""COMPUTED_VALUE"""),"Telephony")</f>
        <v>Telephony</v>
      </c>
      <c r="V3735" s="124" t="str">
        <f>IFERROR(__xludf.DUMMYFUNCTION("""COMPUTED_VALUE"""),"Inbound Call")</f>
        <v>Inbound Call</v>
      </c>
      <c r="W3735" s="124">
        <f>IFERROR(__xludf.DUMMYFUNCTION("""COMPUTED_VALUE"""),9.18047861634E11)</f>
        <v>918047861634</v>
      </c>
      <c r="X3735" s="124" t="str">
        <f>IFERROR(__xludf.DUMMYFUNCTION("""COMPUTED_VALUE"""),"Inbound Call")</f>
        <v>Inbound Call</v>
      </c>
      <c r="Y3735" s="124"/>
      <c r="Z3735" s="124">
        <f>IFERROR(__xludf.DUMMYFUNCTION("""COMPUTED_VALUE"""),1.0)</f>
        <v>1</v>
      </c>
      <c r="AA3735" s="124" t="str">
        <f>IFERROR(__xludf.DUMMYFUNCTION("""COMPUTED_VALUE"""),"Cold")</f>
        <v>Cold</v>
      </c>
      <c r="AB3735" s="124"/>
    </row>
    <row r="3736">
      <c r="K3736" s="124"/>
      <c r="L3736" s="124"/>
      <c r="M3736" s="124"/>
      <c r="N3736" s="124"/>
      <c r="O3736" s="124"/>
      <c r="T3736" s="126">
        <f>IFERROR(__xludf.DUMMYFUNCTION("""COMPUTED_VALUE"""),46080.0)</f>
        <v>46080</v>
      </c>
      <c r="U3736" s="124" t="str">
        <f>IFERROR(__xludf.DUMMYFUNCTION("""COMPUTED_VALUE"""),"Telephony")</f>
        <v>Telephony</v>
      </c>
      <c r="V3736" s="124" t="str">
        <f>IFERROR(__xludf.DUMMYFUNCTION("""COMPUTED_VALUE"""),"Inbound Call")</f>
        <v>Inbound Call</v>
      </c>
      <c r="W3736" s="124">
        <f>IFERROR(__xludf.DUMMYFUNCTION("""COMPUTED_VALUE"""),9.18047861663E11)</f>
        <v>918047861663</v>
      </c>
      <c r="X3736" s="124" t="str">
        <f>IFERROR(__xludf.DUMMYFUNCTION("""COMPUTED_VALUE"""),"Inbound Call")</f>
        <v>Inbound Call</v>
      </c>
      <c r="Y3736" s="124" t="str">
        <f>IFERROR(__xludf.DUMMYFUNCTION("""COMPUTED_VALUE"""),"Delhi")</f>
        <v>Delhi</v>
      </c>
      <c r="Z3736" s="124">
        <f>IFERROR(__xludf.DUMMYFUNCTION("""COMPUTED_VALUE"""),1.0)</f>
        <v>1</v>
      </c>
      <c r="AA3736" s="124" t="str">
        <f>IFERROR(__xludf.DUMMYFUNCTION("""COMPUTED_VALUE"""),"Cold")</f>
        <v>Cold</v>
      </c>
      <c r="AB3736" s="124" t="str">
        <f>IFERROR(__xludf.DUMMYFUNCTION("""COMPUTED_VALUE"""),"State PCS")</f>
        <v>State PCS</v>
      </c>
    </row>
    <row r="3737">
      <c r="K3737" s="124"/>
      <c r="L3737" s="124"/>
      <c r="M3737" s="124"/>
      <c r="N3737" s="124"/>
      <c r="O3737" s="124"/>
      <c r="T3737" s="129">
        <f>IFERROR(__xludf.DUMMYFUNCTION("""COMPUTED_VALUE"""),46083.0)</f>
        <v>46083</v>
      </c>
      <c r="U3737" s="124" t="str">
        <f>IFERROR(__xludf.DUMMYFUNCTION("""COMPUTED_VALUE"""),"Telephony")</f>
        <v>Telephony</v>
      </c>
      <c r="V3737" s="124" t="str">
        <f>IFERROR(__xludf.DUMMYFUNCTION("""COMPUTED_VALUE"""),"Inbound Call")</f>
        <v>Inbound Call</v>
      </c>
      <c r="W3737" s="124">
        <f>IFERROR(__xludf.DUMMYFUNCTION("""COMPUTED_VALUE"""),9.18047861635E11)</f>
        <v>918047861635</v>
      </c>
      <c r="X3737" s="124" t="str">
        <f>IFERROR(__xludf.DUMMYFUNCTION("""COMPUTED_VALUE"""),"Inbound Call")</f>
        <v>Inbound Call</v>
      </c>
      <c r="Y3737" s="124" t="str">
        <f>IFERROR(__xludf.DUMMYFUNCTION("""COMPUTED_VALUE"""),"Indore")</f>
        <v>Indore</v>
      </c>
      <c r="Z3737" s="124">
        <f>IFERROR(__xludf.DUMMYFUNCTION("""COMPUTED_VALUE"""),1.0)</f>
        <v>1</v>
      </c>
      <c r="AA3737" s="124" t="str">
        <f>IFERROR(__xludf.DUMMYFUNCTION("""COMPUTED_VALUE"""),"Not Interested")</f>
        <v>Not Interested</v>
      </c>
      <c r="AB3737" s="124" t="str">
        <f>IFERROR(__xludf.DUMMYFUNCTION("""COMPUTED_VALUE"""),"Other")</f>
        <v>Other</v>
      </c>
    </row>
    <row r="3738">
      <c r="K3738" s="124"/>
      <c r="L3738" s="124"/>
      <c r="M3738" s="124"/>
      <c r="N3738" s="124"/>
      <c r="O3738" s="124"/>
      <c r="T3738" s="126">
        <f>IFERROR(__xludf.DUMMYFUNCTION("""COMPUTED_VALUE"""),46067.0)</f>
        <v>46067</v>
      </c>
      <c r="U3738" s="124" t="str">
        <f>IFERROR(__xludf.DUMMYFUNCTION("""COMPUTED_VALUE"""),"Telephony")</f>
        <v>Telephony</v>
      </c>
      <c r="V3738" s="124" t="str">
        <f>IFERROR(__xludf.DUMMYFUNCTION("""COMPUTED_VALUE"""),"Inbound Call")</f>
        <v>Inbound Call</v>
      </c>
      <c r="W3738" s="124" t="str">
        <f>IFERROR(__xludf.DUMMYFUNCTION("""COMPUTED_VALUE"""),"Inbound Call")</f>
        <v>Inbound Call</v>
      </c>
      <c r="X3738" s="124" t="str">
        <f>IFERROR(__xludf.DUMMYFUNCTION("""COMPUTED_VALUE"""),"Inbound Call")</f>
        <v>Inbound Call</v>
      </c>
      <c r="Y3738" s="124" t="str">
        <f>IFERROR(__xludf.DUMMYFUNCTION("""COMPUTED_VALUE"""),"Indore")</f>
        <v>Indore</v>
      </c>
      <c r="Z3738" s="124">
        <f>IFERROR(__xludf.DUMMYFUNCTION("""COMPUTED_VALUE"""),1.0)</f>
        <v>1</v>
      </c>
      <c r="AA3738" s="124" t="str">
        <f>IFERROR(__xludf.DUMMYFUNCTION("""COMPUTED_VALUE"""),"Fake Lead")</f>
        <v>Fake Lead</v>
      </c>
      <c r="AB3738" s="124" t="str">
        <f>IFERROR(__xludf.DUMMYFUNCTION("""COMPUTED_VALUE"""),"State PCS")</f>
        <v>State PCS</v>
      </c>
    </row>
    <row r="3739">
      <c r="K3739" s="124"/>
      <c r="L3739" s="124"/>
      <c r="M3739" s="124"/>
      <c r="N3739" s="124"/>
      <c r="O3739" s="124"/>
      <c r="T3739" s="126">
        <f>IFERROR(__xludf.DUMMYFUNCTION("""COMPUTED_VALUE"""),46112.0)</f>
        <v>46112</v>
      </c>
      <c r="U3739" s="124" t="str">
        <f>IFERROR(__xludf.DUMMYFUNCTION("""COMPUTED_VALUE"""),"Telephony")</f>
        <v>Telephony</v>
      </c>
      <c r="V3739" s="124" t="str">
        <f>IFERROR(__xludf.DUMMYFUNCTION("""COMPUTED_VALUE"""),"Inbound Call")</f>
        <v>Inbound Call</v>
      </c>
      <c r="W3739" s="124">
        <f>IFERROR(__xludf.DUMMYFUNCTION("""COMPUTED_VALUE"""),9.18047861631E11)</f>
        <v>918047861631</v>
      </c>
      <c r="X3739" s="124" t="str">
        <f>IFERROR(__xludf.DUMMYFUNCTION("""COMPUTED_VALUE"""),"Inbound Call")</f>
        <v>Inbound Call</v>
      </c>
      <c r="Y3739" s="124"/>
      <c r="Z3739" s="124">
        <f>IFERROR(__xludf.DUMMYFUNCTION("""COMPUTED_VALUE"""),2.0)</f>
        <v>2</v>
      </c>
      <c r="AA3739" s="124" t="str">
        <f>IFERROR(__xludf.DUMMYFUNCTION("""COMPUTED_VALUE"""),"Fake Lead")</f>
        <v>Fake Lead</v>
      </c>
      <c r="AB3739" s="124"/>
    </row>
    <row r="3740">
      <c r="K3740" s="124"/>
      <c r="L3740" s="124"/>
      <c r="M3740" s="124"/>
      <c r="N3740" s="124"/>
      <c r="O3740" s="124"/>
      <c r="T3740" s="126">
        <f>IFERROR(__xludf.DUMMYFUNCTION("""COMPUTED_VALUE"""),46074.0)</f>
        <v>46074</v>
      </c>
      <c r="U3740" s="124" t="str">
        <f>IFERROR(__xludf.DUMMYFUNCTION("""COMPUTED_VALUE"""),"Telephony")</f>
        <v>Telephony</v>
      </c>
      <c r="V3740" s="124" t="str">
        <f>IFERROR(__xludf.DUMMYFUNCTION("""COMPUTED_VALUE"""),"Inbound Call")</f>
        <v>Inbound Call</v>
      </c>
      <c r="W3740" s="124" t="str">
        <f>IFERROR(__xludf.DUMMYFUNCTION("""COMPUTED_VALUE"""),"Inbound Call")</f>
        <v>Inbound Call</v>
      </c>
      <c r="X3740" s="124" t="str">
        <f>IFERROR(__xludf.DUMMYFUNCTION("""COMPUTED_VALUE"""),"Inbound Call")</f>
        <v>Inbound Call</v>
      </c>
      <c r="Y3740" s="124" t="str">
        <f>IFERROR(__xludf.DUMMYFUNCTION("""COMPUTED_VALUE"""),"Patna")</f>
        <v>Patna</v>
      </c>
      <c r="Z3740" s="124">
        <f>IFERROR(__xludf.DUMMYFUNCTION("""COMPUTED_VALUE"""),1.0)</f>
        <v>1</v>
      </c>
      <c r="AA3740" s="124" t="str">
        <f>IFERROR(__xludf.DUMMYFUNCTION("""COMPUTED_VALUE"""),"Enrolled")</f>
        <v>Enrolled</v>
      </c>
      <c r="AB3740" s="124" t="str">
        <f>IFERROR(__xludf.DUMMYFUNCTION("""COMPUTED_VALUE"""),"State PCS")</f>
        <v>State PCS</v>
      </c>
    </row>
    <row r="3741">
      <c r="K3741" s="124"/>
      <c r="L3741" s="124"/>
      <c r="M3741" s="124"/>
      <c r="N3741" s="124"/>
      <c r="O3741" s="124"/>
      <c r="T3741" s="126">
        <f>IFERROR(__xludf.DUMMYFUNCTION("""COMPUTED_VALUE"""),46102.0)</f>
        <v>46102</v>
      </c>
      <c r="U3741" s="124" t="str">
        <f>IFERROR(__xludf.DUMMYFUNCTION("""COMPUTED_VALUE"""),"Telephony")</f>
        <v>Telephony</v>
      </c>
      <c r="V3741" s="124" t="str">
        <f>IFERROR(__xludf.DUMMYFUNCTION("""COMPUTED_VALUE"""),"Inbound Call")</f>
        <v>Inbound Call</v>
      </c>
      <c r="W3741" s="124">
        <f>IFERROR(__xludf.DUMMYFUNCTION("""COMPUTED_VALUE"""),9.18047861633E11)</f>
        <v>918047861633</v>
      </c>
      <c r="X3741" s="124" t="str">
        <f>IFERROR(__xludf.DUMMYFUNCTION("""COMPUTED_VALUE"""),"Inbound Call")</f>
        <v>Inbound Call</v>
      </c>
      <c r="Y3741" s="124"/>
      <c r="Z3741" s="124">
        <f>IFERROR(__xludf.DUMMYFUNCTION("""COMPUTED_VALUE"""),1.0)</f>
        <v>1</v>
      </c>
      <c r="AA3741" s="124" t="str">
        <f>IFERROR(__xludf.DUMMYFUNCTION("""COMPUTED_VALUE"""),"Not Interested")</f>
        <v>Not Interested</v>
      </c>
      <c r="AB3741" s="124"/>
    </row>
    <row r="3742">
      <c r="K3742" s="124"/>
      <c r="L3742" s="124"/>
      <c r="M3742" s="124"/>
      <c r="N3742" s="124"/>
      <c r="O3742" s="124"/>
      <c r="T3742" s="126">
        <f>IFERROR(__xludf.DUMMYFUNCTION("""COMPUTED_VALUE"""),46045.0)</f>
        <v>46045</v>
      </c>
      <c r="U3742" s="124" t="str">
        <f>IFERROR(__xludf.DUMMYFUNCTION("""COMPUTED_VALUE"""),"Telephony")</f>
        <v>Telephony</v>
      </c>
      <c r="V3742" s="124" t="str">
        <f>IFERROR(__xludf.DUMMYFUNCTION("""COMPUTED_VALUE"""),"Inbound Call")</f>
        <v>Inbound Call</v>
      </c>
      <c r="W3742" s="124">
        <f>IFERROR(__xludf.DUMMYFUNCTION("""COMPUTED_VALUE"""),9.18047861635E11)</f>
        <v>918047861635</v>
      </c>
      <c r="X3742" s="124" t="str">
        <f>IFERROR(__xludf.DUMMYFUNCTION("""COMPUTED_VALUE"""),"Inbound Call")</f>
        <v>Inbound Call</v>
      </c>
      <c r="Y3742" s="124"/>
      <c r="Z3742" s="124">
        <f>IFERROR(__xludf.DUMMYFUNCTION("""COMPUTED_VALUE"""),1.0)</f>
        <v>1</v>
      </c>
      <c r="AA3742" s="124" t="str">
        <f>IFERROR(__xludf.DUMMYFUNCTION("""COMPUTED_VALUE"""),"Cold")</f>
        <v>Cold</v>
      </c>
      <c r="AB3742" s="124" t="str">
        <f>IFERROR(__xludf.DUMMYFUNCTION("""COMPUTED_VALUE"""),"State PCS")</f>
        <v>State PCS</v>
      </c>
    </row>
    <row r="3743">
      <c r="K3743" s="124"/>
      <c r="L3743" s="124"/>
      <c r="M3743" s="124"/>
      <c r="N3743" s="124"/>
      <c r="O3743" s="124"/>
      <c r="T3743" s="129">
        <f>IFERROR(__xludf.DUMMYFUNCTION("""COMPUTED_VALUE"""),46057.0)</f>
        <v>46057</v>
      </c>
      <c r="U3743" s="124" t="str">
        <f>IFERROR(__xludf.DUMMYFUNCTION("""COMPUTED_VALUE"""),"Telephony")</f>
        <v>Telephony</v>
      </c>
      <c r="V3743" s="124" t="str">
        <f>IFERROR(__xludf.DUMMYFUNCTION("""COMPUTED_VALUE"""),"Inbound Call")</f>
        <v>Inbound Call</v>
      </c>
      <c r="W3743" s="124">
        <f>IFERROR(__xludf.DUMMYFUNCTION("""COMPUTED_VALUE"""),9.18047861631E11)</f>
        <v>918047861631</v>
      </c>
      <c r="X3743" s="124" t="str">
        <f>IFERROR(__xludf.DUMMYFUNCTION("""COMPUTED_VALUE"""),"Inbound Call")</f>
        <v>Inbound Call</v>
      </c>
      <c r="Y3743" s="124"/>
      <c r="Z3743" s="124">
        <f>IFERROR(__xludf.DUMMYFUNCTION("""COMPUTED_VALUE"""),1.0)</f>
        <v>1</v>
      </c>
      <c r="AA3743" s="124" t="str">
        <f>IFERROR(__xludf.DUMMYFUNCTION("""COMPUTED_VALUE"""),"Cold")</f>
        <v>Cold</v>
      </c>
      <c r="AB3743" s="124"/>
    </row>
    <row r="3744">
      <c r="K3744" s="124"/>
      <c r="L3744" s="124"/>
      <c r="M3744" s="124"/>
      <c r="N3744" s="124"/>
      <c r="O3744" s="124"/>
      <c r="T3744" s="129">
        <f>IFERROR(__xludf.DUMMYFUNCTION("""COMPUTED_VALUE"""),46055.0)</f>
        <v>46055</v>
      </c>
      <c r="U3744" s="124" t="str">
        <f>IFERROR(__xludf.DUMMYFUNCTION("""COMPUTED_VALUE"""),"Telephony")</f>
        <v>Telephony</v>
      </c>
      <c r="V3744" s="124" t="str">
        <f>IFERROR(__xludf.DUMMYFUNCTION("""COMPUTED_VALUE"""),"Inbound Call")</f>
        <v>Inbound Call</v>
      </c>
      <c r="W3744" s="124">
        <f>IFERROR(__xludf.DUMMYFUNCTION("""COMPUTED_VALUE"""),9.18047861631E11)</f>
        <v>918047861631</v>
      </c>
      <c r="X3744" s="124" t="str">
        <f>IFERROR(__xludf.DUMMYFUNCTION("""COMPUTED_VALUE"""),"Inbound Call")</f>
        <v>Inbound Call</v>
      </c>
      <c r="Y3744" s="124"/>
      <c r="Z3744" s="124">
        <f>IFERROR(__xludf.DUMMYFUNCTION("""COMPUTED_VALUE"""),1.0)</f>
        <v>1</v>
      </c>
      <c r="AA3744" s="124" t="str">
        <f>IFERROR(__xludf.DUMMYFUNCTION("""COMPUTED_VALUE"""),"Fake Lead")</f>
        <v>Fake Lead</v>
      </c>
      <c r="AB3744" s="124"/>
    </row>
    <row r="3745">
      <c r="K3745" s="124"/>
      <c r="L3745" s="124"/>
      <c r="M3745" s="124"/>
      <c r="N3745" s="124"/>
      <c r="O3745" s="124"/>
      <c r="T3745" s="126">
        <f>IFERROR(__xludf.DUMMYFUNCTION("""COMPUTED_VALUE"""),46081.0)</f>
        <v>46081</v>
      </c>
      <c r="U3745" s="124" t="str">
        <f>IFERROR(__xludf.DUMMYFUNCTION("""COMPUTED_VALUE"""),"Telephony")</f>
        <v>Telephony</v>
      </c>
      <c r="V3745" s="124" t="str">
        <f>IFERROR(__xludf.DUMMYFUNCTION("""COMPUTED_VALUE"""),"Inbound Call")</f>
        <v>Inbound Call</v>
      </c>
      <c r="W3745" s="124" t="str">
        <f>IFERROR(__xludf.DUMMYFUNCTION("""COMPUTED_VALUE"""),"Inbound Call")</f>
        <v>Inbound Call</v>
      </c>
      <c r="X3745" s="124" t="str">
        <f>IFERROR(__xludf.DUMMYFUNCTION("""COMPUTED_VALUE"""),"Inbound Call")</f>
        <v>Inbound Call</v>
      </c>
      <c r="Y3745" s="124" t="str">
        <f>IFERROR(__xludf.DUMMYFUNCTION("""COMPUTED_VALUE"""),"Delhi")</f>
        <v>Delhi</v>
      </c>
      <c r="Z3745" s="124">
        <f>IFERROR(__xludf.DUMMYFUNCTION("""COMPUTED_VALUE"""),1.0)</f>
        <v>1</v>
      </c>
      <c r="AA3745" s="124" t="str">
        <f>IFERROR(__xludf.DUMMYFUNCTION("""COMPUTED_VALUE"""),"Not Interested")</f>
        <v>Not Interested</v>
      </c>
      <c r="AB3745" s="124"/>
    </row>
    <row r="3746">
      <c r="K3746" s="124"/>
      <c r="L3746" s="124"/>
      <c r="M3746" s="124"/>
      <c r="N3746" s="124"/>
      <c r="O3746" s="124"/>
      <c r="T3746" s="126">
        <f>IFERROR(__xludf.DUMMYFUNCTION("""COMPUTED_VALUE"""),46064.0)</f>
        <v>46064</v>
      </c>
      <c r="U3746" s="124" t="str">
        <f>IFERROR(__xludf.DUMMYFUNCTION("""COMPUTED_VALUE"""),"Telephony")</f>
        <v>Telephony</v>
      </c>
      <c r="V3746" s="124" t="str">
        <f>IFERROR(__xludf.DUMMYFUNCTION("""COMPUTED_VALUE"""),"Inbound Call")</f>
        <v>Inbound Call</v>
      </c>
      <c r="W3746" s="124" t="str">
        <f>IFERROR(__xludf.DUMMYFUNCTION("""COMPUTED_VALUE"""),"Inbound Call")</f>
        <v>Inbound Call</v>
      </c>
      <c r="X3746" s="124" t="str">
        <f>IFERROR(__xludf.DUMMYFUNCTION("""COMPUTED_VALUE"""),"Inbound Call")</f>
        <v>Inbound Call</v>
      </c>
      <c r="Y3746" s="124" t="str">
        <f>IFERROR(__xludf.DUMMYFUNCTION("""COMPUTED_VALUE"""),"Lucknow")</f>
        <v>Lucknow</v>
      </c>
      <c r="Z3746" s="124">
        <f>IFERROR(__xludf.DUMMYFUNCTION("""COMPUTED_VALUE"""),1.0)</f>
        <v>1</v>
      </c>
      <c r="AA3746" s="124" t="str">
        <f>IFERROR(__xludf.DUMMYFUNCTION("""COMPUTED_VALUE"""),"Not Interested")</f>
        <v>Not Interested</v>
      </c>
      <c r="AB3746" s="124" t="str">
        <f>IFERROR(__xludf.DUMMYFUNCTION("""COMPUTED_VALUE"""),"State PCS")</f>
        <v>State PCS</v>
      </c>
    </row>
    <row r="3747">
      <c r="K3747" s="124"/>
      <c r="L3747" s="124"/>
      <c r="M3747" s="124"/>
      <c r="N3747" s="124"/>
      <c r="O3747" s="124"/>
      <c r="T3747" s="126">
        <f>IFERROR(__xludf.DUMMYFUNCTION("""COMPUTED_VALUE"""),46079.0)</f>
        <v>46079</v>
      </c>
      <c r="U3747" s="124" t="str">
        <f>IFERROR(__xludf.DUMMYFUNCTION("""COMPUTED_VALUE"""),"Telephony")</f>
        <v>Telephony</v>
      </c>
      <c r="V3747" s="124" t="str">
        <f>IFERROR(__xludf.DUMMYFUNCTION("""COMPUTED_VALUE"""),"Inbound Call")</f>
        <v>Inbound Call</v>
      </c>
      <c r="W3747" s="124" t="str">
        <f>IFERROR(__xludf.DUMMYFUNCTION("""COMPUTED_VALUE"""),"Inbound Call")</f>
        <v>Inbound Call</v>
      </c>
      <c r="X3747" s="124" t="str">
        <f>IFERROR(__xludf.DUMMYFUNCTION("""COMPUTED_VALUE"""),"Inbound Call")</f>
        <v>Inbound Call</v>
      </c>
      <c r="Y3747" s="124" t="str">
        <f>IFERROR(__xludf.DUMMYFUNCTION("""COMPUTED_VALUE"""),"Delhi")</f>
        <v>Delhi</v>
      </c>
      <c r="Z3747" s="124">
        <f>IFERROR(__xludf.DUMMYFUNCTION("""COMPUTED_VALUE"""),1.0)</f>
        <v>1</v>
      </c>
      <c r="AA3747" s="124" t="str">
        <f>IFERROR(__xludf.DUMMYFUNCTION("""COMPUTED_VALUE"""),"Fake Lead")</f>
        <v>Fake Lead</v>
      </c>
      <c r="AB3747" s="124"/>
    </row>
    <row r="3748">
      <c r="K3748" s="124"/>
      <c r="L3748" s="124"/>
      <c r="M3748" s="124"/>
      <c r="N3748" s="124"/>
      <c r="O3748" s="124"/>
      <c r="T3748" s="129">
        <f>IFERROR(__xludf.DUMMYFUNCTION("""COMPUTED_VALUE"""),46062.0)</f>
        <v>46062</v>
      </c>
      <c r="U3748" s="124" t="str">
        <f>IFERROR(__xludf.DUMMYFUNCTION("""COMPUTED_VALUE"""),"Telephony")</f>
        <v>Telephony</v>
      </c>
      <c r="V3748" s="124" t="str">
        <f>IFERROR(__xludf.DUMMYFUNCTION("""COMPUTED_VALUE"""),"Inbound Call")</f>
        <v>Inbound Call</v>
      </c>
      <c r="W3748" s="124">
        <f>IFERROR(__xludf.DUMMYFUNCTION("""COMPUTED_VALUE"""),9.18047861631E11)</f>
        <v>918047861631</v>
      </c>
      <c r="X3748" s="124" t="str">
        <f>IFERROR(__xludf.DUMMYFUNCTION("""COMPUTED_VALUE"""),"Inbound Call")</f>
        <v>Inbound Call</v>
      </c>
      <c r="Y3748" s="124"/>
      <c r="Z3748" s="124">
        <f>IFERROR(__xludf.DUMMYFUNCTION("""COMPUTED_VALUE"""),1.0)</f>
        <v>1</v>
      </c>
      <c r="AA3748" s="124" t="str">
        <f>IFERROR(__xludf.DUMMYFUNCTION("""COMPUTED_VALUE"""),"Fake Lead")</f>
        <v>Fake Lead</v>
      </c>
      <c r="AB3748" s="124"/>
    </row>
    <row r="3749">
      <c r="K3749" s="124"/>
      <c r="L3749" s="124"/>
      <c r="M3749" s="124"/>
      <c r="N3749" s="124"/>
      <c r="O3749" s="124"/>
      <c r="T3749" s="126">
        <f>IFERROR(__xludf.DUMMYFUNCTION("""COMPUTED_VALUE"""),46077.0)</f>
        <v>46077</v>
      </c>
      <c r="U3749" s="124" t="str">
        <f>IFERROR(__xludf.DUMMYFUNCTION("""COMPUTED_VALUE"""),"Telephony")</f>
        <v>Telephony</v>
      </c>
      <c r="V3749" s="124" t="str">
        <f>IFERROR(__xludf.DUMMYFUNCTION("""COMPUTED_VALUE"""),"Inbound Call")</f>
        <v>Inbound Call</v>
      </c>
      <c r="W3749" s="124" t="str">
        <f>IFERROR(__xludf.DUMMYFUNCTION("""COMPUTED_VALUE"""),"Inbound Call")</f>
        <v>Inbound Call</v>
      </c>
      <c r="X3749" s="124" t="str">
        <f>IFERROR(__xludf.DUMMYFUNCTION("""COMPUTED_VALUE"""),"Inbound Call")</f>
        <v>Inbound Call</v>
      </c>
      <c r="Y3749" s="124" t="str">
        <f>IFERROR(__xludf.DUMMYFUNCTION("""COMPUTED_VALUE"""),"Indore")</f>
        <v>Indore</v>
      </c>
      <c r="Z3749" s="124">
        <f>IFERROR(__xludf.DUMMYFUNCTION("""COMPUTED_VALUE"""),1.0)</f>
        <v>1</v>
      </c>
      <c r="AA3749" s="124" t="str">
        <f>IFERROR(__xludf.DUMMYFUNCTION("""COMPUTED_VALUE"""),"Not Interested")</f>
        <v>Not Interested</v>
      </c>
      <c r="AB3749" s="124"/>
    </row>
    <row r="3750">
      <c r="K3750" s="124"/>
      <c r="L3750" s="124"/>
      <c r="M3750" s="124"/>
      <c r="N3750" s="124"/>
      <c r="O3750" s="124"/>
      <c r="T3750" s="126">
        <f>IFERROR(__xludf.DUMMYFUNCTION("""COMPUTED_VALUE"""),46104.0)</f>
        <v>46104</v>
      </c>
      <c r="U3750" s="124" t="str">
        <f>IFERROR(__xludf.DUMMYFUNCTION("""COMPUTED_VALUE"""),"Telephony")</f>
        <v>Telephony</v>
      </c>
      <c r="V3750" s="124" t="str">
        <f>IFERROR(__xludf.DUMMYFUNCTION("""COMPUTED_VALUE"""),"Inbound Call")</f>
        <v>Inbound Call</v>
      </c>
      <c r="W3750" s="124">
        <f>IFERROR(__xludf.DUMMYFUNCTION("""COMPUTED_VALUE"""),9.18047861633E11)</f>
        <v>918047861633</v>
      </c>
      <c r="X3750" s="124" t="str">
        <f>IFERROR(__xludf.DUMMYFUNCTION("""COMPUTED_VALUE"""),"Inbound Call")</f>
        <v>Inbound Call</v>
      </c>
      <c r="Y3750" s="124"/>
      <c r="Z3750" s="124">
        <f>IFERROR(__xludf.DUMMYFUNCTION("""COMPUTED_VALUE"""),1.0)</f>
        <v>1</v>
      </c>
      <c r="AA3750" s="124" t="str">
        <f>IFERROR(__xludf.DUMMYFUNCTION("""COMPUTED_VALUE"""),"Warm")</f>
        <v>Warm</v>
      </c>
      <c r="AB3750" s="124"/>
    </row>
    <row r="3751">
      <c r="K3751" s="124"/>
      <c r="L3751" s="124"/>
      <c r="M3751" s="124"/>
      <c r="N3751" s="124"/>
      <c r="O3751" s="124"/>
      <c r="T3751" s="126">
        <f>IFERROR(__xludf.DUMMYFUNCTION("""COMPUTED_VALUE"""),46080.0)</f>
        <v>46080</v>
      </c>
      <c r="U3751" s="124" t="str">
        <f>IFERROR(__xludf.DUMMYFUNCTION("""COMPUTED_VALUE"""),"Telephony")</f>
        <v>Telephony</v>
      </c>
      <c r="V3751" s="124" t="str">
        <f>IFERROR(__xludf.DUMMYFUNCTION("""COMPUTED_VALUE"""),"Inbound Call")</f>
        <v>Inbound Call</v>
      </c>
      <c r="W3751" s="124">
        <f>IFERROR(__xludf.DUMMYFUNCTION("""COMPUTED_VALUE"""),9.18047861631E11)</f>
        <v>918047861631</v>
      </c>
      <c r="X3751" s="124" t="str">
        <f>IFERROR(__xludf.DUMMYFUNCTION("""COMPUTED_VALUE"""),"Inbound Call")</f>
        <v>Inbound Call</v>
      </c>
      <c r="Y3751" s="124" t="str">
        <f>IFERROR(__xludf.DUMMYFUNCTION("""COMPUTED_VALUE"""),"Delhi")</f>
        <v>Delhi</v>
      </c>
      <c r="Z3751" s="124">
        <f>IFERROR(__xludf.DUMMYFUNCTION("""COMPUTED_VALUE"""),1.0)</f>
        <v>1</v>
      </c>
      <c r="AA3751" s="124" t="str">
        <f>IFERROR(__xludf.DUMMYFUNCTION("""COMPUTED_VALUE"""),"Fake Lead")</f>
        <v>Fake Lead</v>
      </c>
      <c r="AB3751" s="124"/>
    </row>
    <row r="3752">
      <c r="K3752" s="124"/>
      <c r="L3752" s="124"/>
      <c r="M3752" s="124"/>
      <c r="N3752" s="124"/>
      <c r="O3752" s="124"/>
      <c r="T3752" s="126">
        <f>IFERROR(__xludf.DUMMYFUNCTION("""COMPUTED_VALUE"""),46097.0)</f>
        <v>46097</v>
      </c>
      <c r="U3752" s="124" t="str">
        <f>IFERROR(__xludf.DUMMYFUNCTION("""COMPUTED_VALUE"""),"Telephony")</f>
        <v>Telephony</v>
      </c>
      <c r="V3752" s="124" t="str">
        <f>IFERROR(__xludf.DUMMYFUNCTION("""COMPUTED_VALUE"""),"Inbound Call")</f>
        <v>Inbound Call</v>
      </c>
      <c r="W3752" s="124">
        <f>IFERROR(__xludf.DUMMYFUNCTION("""COMPUTED_VALUE"""),9.18047861631E11)</f>
        <v>918047861631</v>
      </c>
      <c r="X3752" s="124" t="str">
        <f>IFERROR(__xludf.DUMMYFUNCTION("""COMPUTED_VALUE"""),"Inbound Call")</f>
        <v>Inbound Call</v>
      </c>
      <c r="Y3752" s="124" t="str">
        <f>IFERROR(__xludf.DUMMYFUNCTION("""COMPUTED_VALUE"""),"Delhi")</f>
        <v>Delhi</v>
      </c>
      <c r="Z3752" s="124">
        <f>IFERROR(__xludf.DUMMYFUNCTION("""COMPUTED_VALUE"""),1.0)</f>
        <v>1</v>
      </c>
      <c r="AA3752" s="124" t="str">
        <f>IFERROR(__xludf.DUMMYFUNCTION("""COMPUTED_VALUE"""),"Cold")</f>
        <v>Cold</v>
      </c>
      <c r="AB3752" s="124"/>
    </row>
    <row r="3753">
      <c r="K3753" s="124"/>
      <c r="L3753" s="124"/>
      <c r="M3753" s="124"/>
      <c r="N3753" s="124"/>
      <c r="O3753" s="124"/>
      <c r="T3753" s="129">
        <f>IFERROR(__xludf.DUMMYFUNCTION("""COMPUTED_VALUE"""),46061.0)</f>
        <v>46061</v>
      </c>
      <c r="U3753" s="124" t="str">
        <f>IFERROR(__xludf.DUMMYFUNCTION("""COMPUTED_VALUE"""),"Telephony")</f>
        <v>Telephony</v>
      </c>
      <c r="V3753" s="124" t="str">
        <f>IFERROR(__xludf.DUMMYFUNCTION("""COMPUTED_VALUE"""),"Inbound Call")</f>
        <v>Inbound Call</v>
      </c>
      <c r="W3753" s="124">
        <f>IFERROR(__xludf.DUMMYFUNCTION("""COMPUTED_VALUE"""),9.18047861635E11)</f>
        <v>918047861635</v>
      </c>
      <c r="X3753" s="124" t="str">
        <f>IFERROR(__xludf.DUMMYFUNCTION("""COMPUTED_VALUE"""),"Inbound Call")</f>
        <v>Inbound Call</v>
      </c>
      <c r="Y3753" s="124" t="str">
        <f>IFERROR(__xludf.DUMMYFUNCTION("""COMPUTED_VALUE"""),"Indore")</f>
        <v>Indore</v>
      </c>
      <c r="Z3753" s="124">
        <f>IFERROR(__xludf.DUMMYFUNCTION("""COMPUTED_VALUE"""),1.0)</f>
        <v>1</v>
      </c>
      <c r="AA3753" s="124" t="str">
        <f>IFERROR(__xludf.DUMMYFUNCTION("""COMPUTED_VALUE"""),"Fake Lead")</f>
        <v>Fake Lead</v>
      </c>
      <c r="AB3753" s="124"/>
    </row>
    <row r="3754">
      <c r="K3754" s="124"/>
      <c r="L3754" s="124"/>
      <c r="M3754" s="124"/>
      <c r="N3754" s="124"/>
      <c r="O3754" s="124"/>
      <c r="T3754" s="126">
        <f>IFERROR(__xludf.DUMMYFUNCTION("""COMPUTED_VALUE"""),46047.0)</f>
        <v>46047</v>
      </c>
      <c r="U3754" s="124" t="str">
        <f>IFERROR(__xludf.DUMMYFUNCTION("""COMPUTED_VALUE"""),"Telephony")</f>
        <v>Telephony</v>
      </c>
      <c r="V3754" s="124" t="str">
        <f>IFERROR(__xludf.DUMMYFUNCTION("""COMPUTED_VALUE"""),"Inbound Call")</f>
        <v>Inbound Call</v>
      </c>
      <c r="W3754" s="124" t="str">
        <f>IFERROR(__xludf.DUMMYFUNCTION("""COMPUTED_VALUE"""),"Inbound Call")</f>
        <v>Inbound Call</v>
      </c>
      <c r="X3754" s="124" t="str">
        <f>IFERROR(__xludf.DUMMYFUNCTION("""COMPUTED_VALUE"""),"Inbound Call")</f>
        <v>Inbound Call</v>
      </c>
      <c r="Y3754" s="124"/>
      <c r="Z3754" s="124">
        <f>IFERROR(__xludf.DUMMYFUNCTION("""COMPUTED_VALUE"""),1.0)</f>
        <v>1</v>
      </c>
      <c r="AA3754" s="124" t="str">
        <f>IFERROR(__xludf.DUMMYFUNCTION("""COMPUTED_VALUE"""),"Fake Lead")</f>
        <v>Fake Lead</v>
      </c>
      <c r="AB3754" s="124"/>
    </row>
    <row r="3755">
      <c r="K3755" s="124"/>
      <c r="L3755" s="124"/>
      <c r="M3755" s="124"/>
      <c r="N3755" s="124"/>
      <c r="O3755" s="124"/>
      <c r="T3755" s="126">
        <f>IFERROR(__xludf.DUMMYFUNCTION("""COMPUTED_VALUE"""),46098.0)</f>
        <v>46098</v>
      </c>
      <c r="U3755" s="124" t="str">
        <f>IFERROR(__xludf.DUMMYFUNCTION("""COMPUTED_VALUE"""),"Telephony")</f>
        <v>Telephony</v>
      </c>
      <c r="V3755" s="124" t="str">
        <f>IFERROR(__xludf.DUMMYFUNCTION("""COMPUTED_VALUE"""),"Inbound Call")</f>
        <v>Inbound Call</v>
      </c>
      <c r="W3755" s="124">
        <f>IFERROR(__xludf.DUMMYFUNCTION("""COMPUTED_VALUE"""),9.18047861635E11)</f>
        <v>918047861635</v>
      </c>
      <c r="X3755" s="124" t="str">
        <f>IFERROR(__xludf.DUMMYFUNCTION("""COMPUTED_VALUE"""),"Inbound Call")</f>
        <v>Inbound Call</v>
      </c>
      <c r="Y3755" s="124" t="str">
        <f>IFERROR(__xludf.DUMMYFUNCTION("""COMPUTED_VALUE"""),"Indore")</f>
        <v>Indore</v>
      </c>
      <c r="Z3755" s="124">
        <f>IFERROR(__xludf.DUMMYFUNCTION("""COMPUTED_VALUE"""),1.0)</f>
        <v>1</v>
      </c>
      <c r="AA3755" s="124" t="str">
        <f>IFERROR(__xludf.DUMMYFUNCTION("""COMPUTED_VALUE"""),"Cold")</f>
        <v>Cold</v>
      </c>
      <c r="AB3755" s="124"/>
    </row>
    <row r="3756">
      <c r="K3756" s="124"/>
      <c r="L3756" s="124"/>
      <c r="M3756" s="124"/>
      <c r="N3756" s="124"/>
      <c r="O3756" s="124"/>
      <c r="T3756" s="129">
        <f>IFERROR(__xludf.DUMMYFUNCTION("""COMPUTED_VALUE"""),46056.0)</f>
        <v>46056</v>
      </c>
      <c r="U3756" s="124" t="str">
        <f>IFERROR(__xludf.DUMMYFUNCTION("""COMPUTED_VALUE"""),"Telephony")</f>
        <v>Telephony</v>
      </c>
      <c r="V3756" s="124" t="str">
        <f>IFERROR(__xludf.DUMMYFUNCTION("""COMPUTED_VALUE"""),"Inbound Call")</f>
        <v>Inbound Call</v>
      </c>
      <c r="W3756" s="124">
        <f>IFERROR(__xludf.DUMMYFUNCTION("""COMPUTED_VALUE"""),9.18047861663E11)</f>
        <v>918047861663</v>
      </c>
      <c r="X3756" s="124" t="str">
        <f>IFERROR(__xludf.DUMMYFUNCTION("""COMPUTED_VALUE"""),"Inbound Call")</f>
        <v>Inbound Call</v>
      </c>
      <c r="Y3756" s="124" t="str">
        <f>IFERROR(__xludf.DUMMYFUNCTION("""COMPUTED_VALUE"""),"Delhi")</f>
        <v>Delhi</v>
      </c>
      <c r="Z3756" s="124">
        <f>IFERROR(__xludf.DUMMYFUNCTION("""COMPUTED_VALUE"""),1.0)</f>
        <v>1</v>
      </c>
      <c r="AA3756" s="124" t="str">
        <f>IFERROR(__xludf.DUMMYFUNCTION("""COMPUTED_VALUE"""),"Warm")</f>
        <v>Warm</v>
      </c>
      <c r="AB3756" s="124" t="str">
        <f>IFERROR(__xludf.DUMMYFUNCTION("""COMPUTED_VALUE"""),"GS Foundation")</f>
        <v>GS Foundation</v>
      </c>
    </row>
    <row r="3757">
      <c r="K3757" s="124"/>
      <c r="L3757" s="124"/>
      <c r="M3757" s="124"/>
      <c r="N3757" s="124"/>
      <c r="O3757" s="124"/>
      <c r="T3757" s="126">
        <f>IFERROR(__xludf.DUMMYFUNCTION("""COMPUTED_VALUE"""),46098.0)</f>
        <v>46098</v>
      </c>
      <c r="U3757" s="124" t="str">
        <f>IFERROR(__xludf.DUMMYFUNCTION("""COMPUTED_VALUE"""),"Libraries")</f>
        <v>Libraries</v>
      </c>
      <c r="V3757" s="124" t="str">
        <f>IFERROR(__xludf.DUMMYFUNCTION("""COMPUTED_VALUE"""),"Libraries")</f>
        <v>Libraries</v>
      </c>
      <c r="W3757" s="124"/>
      <c r="X3757" s="124"/>
      <c r="Y3757" s="124" t="str">
        <f>IFERROR(__xludf.DUMMYFUNCTION("""COMPUTED_VALUE"""),"Prayagraj")</f>
        <v>Prayagraj</v>
      </c>
      <c r="Z3757" s="124">
        <f>IFERROR(__xludf.DUMMYFUNCTION("""COMPUTED_VALUE"""),1.0)</f>
        <v>1</v>
      </c>
      <c r="AA3757" s="124"/>
      <c r="AB3757" s="124" t="str">
        <f>IFERROR(__xludf.DUMMYFUNCTION("""COMPUTED_VALUE"""),"Other")</f>
        <v>Other</v>
      </c>
    </row>
    <row r="3758">
      <c r="K3758" s="124"/>
      <c r="L3758" s="124"/>
      <c r="M3758" s="124"/>
      <c r="N3758" s="124"/>
      <c r="O3758" s="124"/>
      <c r="T3758" s="126">
        <f>IFERROR(__xludf.DUMMYFUNCTION("""COMPUTED_VALUE"""),46080.0)</f>
        <v>46080</v>
      </c>
      <c r="U3758" s="124" t="str">
        <f>IFERROR(__xludf.DUMMYFUNCTION("""COMPUTED_VALUE"""),"Publisher Campaign")</f>
        <v>Publisher Campaign</v>
      </c>
      <c r="V3758" s="124" t="str">
        <f>IFERROR(__xludf.DUMMYFUNCTION("""COMPUTED_VALUE"""),"Webinar")</f>
        <v>Webinar</v>
      </c>
      <c r="W3758" s="124"/>
      <c r="X3758" s="124"/>
      <c r="Y3758" s="124" t="str">
        <f>IFERROR(__xludf.DUMMYFUNCTION("""COMPUTED_VALUE"""),"Guwahati")</f>
        <v>Guwahati</v>
      </c>
      <c r="Z3758" s="124">
        <f>IFERROR(__xludf.DUMMYFUNCTION("""COMPUTED_VALUE"""),1.0)</f>
        <v>1</v>
      </c>
      <c r="AA3758" s="124"/>
      <c r="AB3758" s="124" t="str">
        <f>IFERROR(__xludf.DUMMYFUNCTION("""COMPUTED_VALUE"""),"SIP Offline")</f>
        <v>SIP Offline</v>
      </c>
    </row>
    <row r="3759">
      <c r="K3759" s="124"/>
      <c r="L3759" s="124"/>
      <c r="M3759" s="124"/>
      <c r="N3759" s="124"/>
      <c r="O3759" s="124"/>
      <c r="T3759" s="129">
        <f>IFERROR(__xludf.DUMMYFUNCTION("""COMPUTED_VALUE"""),46089.0)</f>
        <v>46089</v>
      </c>
      <c r="U3759" s="124" t="str">
        <f>IFERROR(__xludf.DUMMYFUNCTION("""COMPUTED_VALUE"""),"Publisher Campaign")</f>
        <v>Publisher Campaign</v>
      </c>
      <c r="V3759" s="124" t="str">
        <f>IFERROR(__xludf.DUMMYFUNCTION("""COMPUTED_VALUE"""),"Instagram Page")</f>
        <v>Instagram Page</v>
      </c>
      <c r="W3759" s="124"/>
      <c r="X3759" s="124"/>
      <c r="Y3759" s="124" t="str">
        <f>IFERROR(__xludf.DUMMYFUNCTION("""COMPUTED_VALUE"""),"Indore")</f>
        <v>Indore</v>
      </c>
      <c r="Z3759" s="124">
        <f>IFERROR(__xludf.DUMMYFUNCTION("""COMPUTED_VALUE"""),1.0)</f>
        <v>1</v>
      </c>
      <c r="AA3759" s="124"/>
      <c r="AB3759" s="124" t="str">
        <f>IFERROR(__xludf.DUMMYFUNCTION("""COMPUTED_VALUE"""),"Other")</f>
        <v>Other</v>
      </c>
    </row>
    <row r="3760">
      <c r="K3760" s="124"/>
      <c r="L3760" s="124"/>
      <c r="M3760" s="124"/>
      <c r="N3760" s="124"/>
      <c r="O3760" s="124"/>
      <c r="T3760" s="126">
        <f>IFERROR(__xludf.DUMMYFUNCTION("""COMPUTED_VALUE"""),46046.0)</f>
        <v>46046</v>
      </c>
      <c r="U3760" s="124" t="str">
        <f>IFERROR(__xludf.DUMMYFUNCTION("""COMPUTED_VALUE"""),"Walk-Ins")</f>
        <v>Walk-Ins</v>
      </c>
      <c r="V3760" s="124" t="str">
        <f>IFERROR(__xludf.DUMMYFUNCTION("""COMPUTED_VALUE"""),"Walkin")</f>
        <v>Walkin</v>
      </c>
      <c r="W3760" s="124"/>
      <c r="X3760" s="124"/>
      <c r="Y3760" s="124" t="str">
        <f>IFERROR(__xludf.DUMMYFUNCTION("""COMPUTED_VALUE"""),"Delhi")</f>
        <v>Delhi</v>
      </c>
      <c r="Z3760" s="124">
        <f>IFERROR(__xludf.DUMMYFUNCTION("""COMPUTED_VALUE"""),1.0)</f>
        <v>1</v>
      </c>
      <c r="AA3760" s="124" t="str">
        <f>IFERROR(__xludf.DUMMYFUNCTION("""COMPUTED_VALUE"""),"Not Interested")</f>
        <v>Not Interested</v>
      </c>
      <c r="AB3760" s="124" t="str">
        <f>IFERROR(__xludf.DUMMYFUNCTION("""COMPUTED_VALUE"""),"SIP Offline")</f>
        <v>SIP Offline</v>
      </c>
    </row>
    <row r="3761">
      <c r="K3761" s="124"/>
      <c r="L3761" s="124"/>
      <c r="M3761" s="124"/>
      <c r="N3761" s="124"/>
      <c r="O3761" s="124"/>
      <c r="T3761" s="126">
        <f>IFERROR(__xludf.DUMMYFUNCTION("""COMPUTED_VALUE"""),46080.0)</f>
        <v>46080</v>
      </c>
      <c r="U3761" s="124" t="str">
        <f>IFERROR(__xludf.DUMMYFUNCTION("""COMPUTED_VALUE"""),"Publisher Campaign")</f>
        <v>Publisher Campaign</v>
      </c>
      <c r="V3761" s="124" t="str">
        <f>IFERROR(__xludf.DUMMYFUNCTION("""COMPUTED_VALUE"""),"Webinar")</f>
        <v>Webinar</v>
      </c>
      <c r="W3761" s="124"/>
      <c r="X3761" s="124"/>
      <c r="Y3761" s="124" t="str">
        <f>IFERROR(__xludf.DUMMYFUNCTION("""COMPUTED_VALUE"""),"Delhi")</f>
        <v>Delhi</v>
      </c>
      <c r="Z3761" s="124">
        <f>IFERROR(__xludf.DUMMYFUNCTION("""COMPUTED_VALUE"""),1.0)</f>
        <v>1</v>
      </c>
      <c r="AA3761" s="124" t="str">
        <f>IFERROR(__xludf.DUMMYFUNCTION("""COMPUTED_VALUE"""),"Warm")</f>
        <v>Warm</v>
      </c>
      <c r="AB3761" s="124" t="str">
        <f>IFERROR(__xludf.DUMMYFUNCTION("""COMPUTED_VALUE"""),"IGP UPPSC")</f>
        <v>IGP UPPSC</v>
      </c>
    </row>
    <row r="3762">
      <c r="K3762" s="124"/>
      <c r="L3762" s="124"/>
      <c r="M3762" s="124"/>
      <c r="N3762" s="124"/>
      <c r="O3762" s="124"/>
      <c r="T3762" s="129">
        <f>IFERROR(__xludf.DUMMYFUNCTION("""COMPUTED_VALUE"""),46090.0)</f>
        <v>46090</v>
      </c>
      <c r="U3762" s="124" t="str">
        <f>IFERROR(__xludf.DUMMYFUNCTION("""COMPUTED_VALUE"""),"Publisher Campaign")</f>
        <v>Publisher Campaign</v>
      </c>
      <c r="V3762" s="124" t="str">
        <f>IFERROR(__xludf.DUMMYFUNCTION("""COMPUTED_VALUE"""),"BTL Activities")</f>
        <v>BTL Activities</v>
      </c>
      <c r="W3762" s="124"/>
      <c r="X3762" s="124"/>
      <c r="Y3762" s="124" t="str">
        <f>IFERROR(__xludf.DUMMYFUNCTION("""COMPUTED_VALUE"""),"Indore")</f>
        <v>Indore</v>
      </c>
      <c r="Z3762" s="124">
        <f>IFERROR(__xludf.DUMMYFUNCTION("""COMPUTED_VALUE"""),1.0)</f>
        <v>1</v>
      </c>
      <c r="AA3762" s="124"/>
      <c r="AB3762" s="124" t="str">
        <f>IFERROR(__xludf.DUMMYFUNCTION("""COMPUTED_VALUE"""),"Test Series")</f>
        <v>Test Series</v>
      </c>
    </row>
    <row r="3763">
      <c r="K3763" s="124"/>
      <c r="L3763" s="124"/>
      <c r="M3763" s="124"/>
      <c r="N3763" s="124"/>
      <c r="O3763" s="124"/>
      <c r="T3763" s="126">
        <f>IFERROR(__xludf.DUMMYFUNCTION("""COMPUTED_VALUE"""),46075.0)</f>
        <v>46075</v>
      </c>
      <c r="U3763" s="124" t="str">
        <f>IFERROR(__xludf.DUMMYFUNCTION("""COMPUTED_VALUE"""),"Publisher Campaign")</f>
        <v>Publisher Campaign</v>
      </c>
      <c r="V3763" s="124" t="str">
        <f>IFERROR(__xludf.DUMMYFUNCTION("""COMPUTED_VALUE"""),"Webinar")</f>
        <v>Webinar</v>
      </c>
      <c r="W3763" s="124"/>
      <c r="X3763" s="124"/>
      <c r="Y3763" s="124" t="str">
        <f>IFERROR(__xludf.DUMMYFUNCTION("""COMPUTED_VALUE"""),"Lucknow")</f>
        <v>Lucknow</v>
      </c>
      <c r="Z3763" s="124">
        <f>IFERROR(__xludf.DUMMYFUNCTION("""COMPUTED_VALUE"""),1.0)</f>
        <v>1</v>
      </c>
      <c r="AA3763" s="124" t="str">
        <f>IFERROR(__xludf.DUMMYFUNCTION("""COMPUTED_VALUE"""),"Cold")</f>
        <v>Cold</v>
      </c>
      <c r="AB3763" s="124" t="str">
        <f>IFERROR(__xludf.DUMMYFUNCTION("""COMPUTED_VALUE"""),"CSAT")</f>
        <v>CSAT</v>
      </c>
    </row>
    <row r="3764">
      <c r="K3764" s="124"/>
      <c r="L3764" s="124"/>
      <c r="M3764" s="124"/>
      <c r="N3764" s="124"/>
      <c r="O3764" s="124"/>
      <c r="T3764" s="126">
        <f>IFERROR(__xludf.DUMMYFUNCTION("""COMPUTED_VALUE"""),46050.0)</f>
        <v>46050</v>
      </c>
      <c r="U3764" s="124" t="str">
        <f>IFERROR(__xludf.DUMMYFUNCTION("""COMPUTED_VALUE"""),"External Leads")</f>
        <v>External Leads</v>
      </c>
      <c r="V3764" s="124" t="str">
        <f>IFERROR(__xludf.DUMMYFUNCTION("""COMPUTED_VALUE"""),"external leads")</f>
        <v>external leads</v>
      </c>
      <c r="W3764" s="124"/>
      <c r="X3764" s="124"/>
      <c r="Y3764" s="124" t="str">
        <f>IFERROR(__xludf.DUMMYFUNCTION("""COMPUTED_VALUE"""),"Delhi")</f>
        <v>Delhi</v>
      </c>
      <c r="Z3764" s="124">
        <f>IFERROR(__xludf.DUMMYFUNCTION("""COMPUTED_VALUE"""),1.0)</f>
        <v>1</v>
      </c>
      <c r="AA3764" s="124" t="str">
        <f>IFERROR(__xludf.DUMMYFUNCTION("""COMPUTED_VALUE"""),"Not Interested")</f>
        <v>Not Interested</v>
      </c>
      <c r="AB3764" s="124" t="str">
        <f>IFERROR(__xludf.DUMMYFUNCTION("""COMPUTED_VALUE"""),"GS Foundation")</f>
        <v>GS Foundation</v>
      </c>
    </row>
    <row r="3765">
      <c r="K3765" s="124"/>
      <c r="L3765" s="124"/>
      <c r="M3765" s="124"/>
      <c r="N3765" s="124"/>
      <c r="O3765" s="124"/>
      <c r="T3765" s="126">
        <f>IFERROR(__xludf.DUMMYFUNCTION("""COMPUTED_VALUE"""),46049.0)</f>
        <v>46049</v>
      </c>
      <c r="U3765" s="124" t="str">
        <f>IFERROR(__xludf.DUMMYFUNCTION("""COMPUTED_VALUE"""),"Walk-Ins")</f>
        <v>Walk-Ins</v>
      </c>
      <c r="V3765" s="124" t="str">
        <f>IFERROR(__xludf.DUMMYFUNCTION("""COMPUTED_VALUE"""),"Walkin")</f>
        <v>Walkin</v>
      </c>
      <c r="W3765" s="124"/>
      <c r="X3765" s="124"/>
      <c r="Y3765" s="124" t="str">
        <f>IFERROR(__xludf.DUMMYFUNCTION("""COMPUTED_VALUE"""),"Delhi")</f>
        <v>Delhi</v>
      </c>
      <c r="Z3765" s="124">
        <f>IFERROR(__xludf.DUMMYFUNCTION("""COMPUTED_VALUE"""),3.0)</f>
        <v>3</v>
      </c>
      <c r="AA3765" s="124" t="str">
        <f>IFERROR(__xludf.DUMMYFUNCTION("""COMPUTED_VALUE"""),"Cold")</f>
        <v>Cold</v>
      </c>
      <c r="AB3765" s="124" t="str">
        <f>IFERROR(__xludf.DUMMYFUNCTION("""COMPUTED_VALUE"""),"GS Foundation")</f>
        <v>GS Foundation</v>
      </c>
    </row>
    <row r="3766">
      <c r="K3766" s="124"/>
      <c r="L3766" s="124"/>
      <c r="M3766" s="124"/>
      <c r="N3766" s="124"/>
      <c r="O3766" s="124"/>
      <c r="T3766" s="126">
        <f>IFERROR(__xludf.DUMMYFUNCTION("""COMPUTED_VALUE"""),46100.0)</f>
        <v>46100</v>
      </c>
      <c r="U3766" s="124" t="str">
        <f>IFERROR(__xludf.DUMMYFUNCTION("""COMPUTED_VALUE"""),"Publisher Campaign")</f>
        <v>Publisher Campaign</v>
      </c>
      <c r="V3766" s="124" t="str">
        <f>IFERROR(__xludf.DUMMYFUNCTION("""COMPUTED_VALUE"""),"Institutions")</f>
        <v>Institutions</v>
      </c>
      <c r="W3766" s="124"/>
      <c r="X3766" s="124"/>
      <c r="Y3766" s="124" t="str">
        <f>IFERROR(__xludf.DUMMYFUNCTION("""COMPUTED_VALUE"""),"Indore")</f>
        <v>Indore</v>
      </c>
      <c r="Z3766" s="124">
        <f>IFERROR(__xludf.DUMMYFUNCTION("""COMPUTED_VALUE"""),2.0)</f>
        <v>2</v>
      </c>
      <c r="AA3766" s="124" t="str">
        <f>IFERROR(__xludf.DUMMYFUNCTION("""COMPUTED_VALUE"""),"Cold")</f>
        <v>Cold</v>
      </c>
      <c r="AB3766" s="124" t="str">
        <f>IFERROR(__xludf.DUMMYFUNCTION("""COMPUTED_VALUE"""),"Other")</f>
        <v>Other</v>
      </c>
    </row>
    <row r="3767">
      <c r="K3767" s="124"/>
      <c r="L3767" s="124"/>
      <c r="M3767" s="124"/>
      <c r="N3767" s="124"/>
      <c r="O3767" s="124"/>
      <c r="T3767" s="126">
        <f>IFERROR(__xludf.DUMMYFUNCTION("""COMPUTED_VALUE"""),46106.0)</f>
        <v>46106</v>
      </c>
      <c r="U3767" s="124" t="str">
        <f>IFERROR(__xludf.DUMMYFUNCTION("""COMPUTED_VALUE"""),"Publisher Campaign")</f>
        <v>Publisher Campaign</v>
      </c>
      <c r="V3767" s="124" t="str">
        <f>IFERROR(__xludf.DUMMYFUNCTION("""COMPUTED_VALUE"""),"BTL Activities")</f>
        <v>BTL Activities</v>
      </c>
      <c r="W3767" s="124"/>
      <c r="X3767" s="124"/>
      <c r="Y3767" s="124" t="str">
        <f>IFERROR(__xludf.DUMMYFUNCTION("""COMPUTED_VALUE"""),"Delhi")</f>
        <v>Delhi</v>
      </c>
      <c r="Z3767" s="124">
        <f>IFERROR(__xludf.DUMMYFUNCTION("""COMPUTED_VALUE"""),1.0)</f>
        <v>1</v>
      </c>
      <c r="AA3767" s="124"/>
      <c r="AB3767" s="124" t="str">
        <f>IFERROR(__xludf.DUMMYFUNCTION("""COMPUTED_VALUE"""),"GS Foundation")</f>
        <v>GS Foundation</v>
      </c>
    </row>
    <row r="3768">
      <c r="K3768" s="124"/>
      <c r="L3768" s="124"/>
      <c r="M3768" s="124"/>
      <c r="N3768" s="124"/>
      <c r="O3768" s="124"/>
      <c r="T3768" s="126">
        <f>IFERROR(__xludf.DUMMYFUNCTION("""COMPUTED_VALUE"""),46101.0)</f>
        <v>46101</v>
      </c>
      <c r="U3768" s="124" t="str">
        <f>IFERROR(__xludf.DUMMYFUNCTION("""COMPUTED_VALUE"""),"Paid Ads")</f>
        <v>Paid Ads</v>
      </c>
      <c r="V3768" s="124" t="str">
        <f>IFERROR(__xludf.DUMMYFUNCTION("""COMPUTED_VALUE"""),"google")</f>
        <v>google</v>
      </c>
      <c r="W3768" s="124" t="str">
        <f>IFERROR(__xludf.DUMMYFUNCTION("""COMPUTED_VALUE"""),"cpc")</f>
        <v>cpc</v>
      </c>
      <c r="X3768" s="124">
        <f>IFERROR(__xludf.DUMMYFUNCTION("""COMPUTED_VALUE"""),2.288825581E10)</f>
        <v>22888255810</v>
      </c>
      <c r="Y3768" s="124" t="str">
        <f>IFERROR(__xludf.DUMMYFUNCTION("""COMPUTED_VALUE"""),"Indore")</f>
        <v>Indore</v>
      </c>
      <c r="Z3768" s="124">
        <f>IFERROR(__xludf.DUMMYFUNCTION("""COMPUTED_VALUE"""),2.0)</f>
        <v>2</v>
      </c>
      <c r="AA3768" s="124" t="str">
        <f>IFERROR(__xludf.DUMMYFUNCTION("""COMPUTED_VALUE"""),"Cold")</f>
        <v>Cold</v>
      </c>
      <c r="AB3768" s="124" t="str">
        <f>IFERROR(__xludf.DUMMYFUNCTION("""COMPUTED_VALUE"""),"State PCS")</f>
        <v>State PCS</v>
      </c>
    </row>
    <row r="3769">
      <c r="K3769" s="124"/>
      <c r="L3769" s="124"/>
      <c r="M3769" s="124"/>
      <c r="N3769" s="124"/>
      <c r="O3769" s="124"/>
      <c r="T3769" s="129">
        <f>IFERROR(__xludf.DUMMYFUNCTION("""COMPUTED_VALUE"""),46086.0)</f>
        <v>46086</v>
      </c>
      <c r="U3769" s="124" t="str">
        <f>IFERROR(__xludf.DUMMYFUNCTION("""COMPUTED_VALUE"""),"Publisher Campaign")</f>
        <v>Publisher Campaign</v>
      </c>
      <c r="V3769" s="124" t="str">
        <f>IFERROR(__xludf.DUMMYFUNCTION("""COMPUTED_VALUE"""),"Webinar")</f>
        <v>Webinar</v>
      </c>
      <c r="W3769" s="124"/>
      <c r="X3769" s="124"/>
      <c r="Y3769" s="124" t="str">
        <f>IFERROR(__xludf.DUMMYFUNCTION("""COMPUTED_VALUE"""),"Delhi")</f>
        <v>Delhi</v>
      </c>
      <c r="Z3769" s="124">
        <f>IFERROR(__xludf.DUMMYFUNCTION("""COMPUTED_VALUE"""),1.0)</f>
        <v>1</v>
      </c>
      <c r="AA3769" s="124" t="str">
        <f>IFERROR(__xludf.DUMMYFUNCTION("""COMPUTED_VALUE"""),"Cold")</f>
        <v>Cold</v>
      </c>
      <c r="AB3769" s="124" t="str">
        <f>IFERROR(__xludf.DUMMYFUNCTION("""COMPUTED_VALUE"""),"Prelims Crash Course - SIP")</f>
        <v>Prelims Crash Course - SIP</v>
      </c>
    </row>
    <row r="3770">
      <c r="K3770" s="124"/>
      <c r="L3770" s="124"/>
      <c r="M3770" s="124"/>
      <c r="N3770" s="124"/>
      <c r="O3770" s="124"/>
      <c r="T3770" s="129">
        <f>IFERROR(__xludf.DUMMYFUNCTION("""COMPUTED_VALUE"""),46090.0)</f>
        <v>46090</v>
      </c>
      <c r="U3770" s="124" t="str">
        <f>IFERROR(__xludf.DUMMYFUNCTION("""COMPUTED_VALUE"""),"Publisher Campaign")</f>
        <v>Publisher Campaign</v>
      </c>
      <c r="V3770" s="124" t="str">
        <f>IFERROR(__xludf.DUMMYFUNCTION("""COMPUTED_VALUE"""),"BTL Activities")</f>
        <v>BTL Activities</v>
      </c>
      <c r="W3770" s="124"/>
      <c r="X3770" s="124"/>
      <c r="Y3770" s="124" t="str">
        <f>IFERROR(__xludf.DUMMYFUNCTION("""COMPUTED_VALUE"""),"Indore")</f>
        <v>Indore</v>
      </c>
      <c r="Z3770" s="124">
        <f>IFERROR(__xludf.DUMMYFUNCTION("""COMPUTED_VALUE"""),1.0)</f>
        <v>1</v>
      </c>
      <c r="AA3770" s="124"/>
      <c r="AB3770" s="124" t="str">
        <f>IFERROR(__xludf.DUMMYFUNCTION("""COMPUTED_VALUE"""),"Prelims Crash Course - SIP")</f>
        <v>Prelims Crash Course - SIP</v>
      </c>
    </row>
    <row r="3771">
      <c r="K3771" s="124"/>
      <c r="L3771" s="124"/>
      <c r="M3771" s="124"/>
      <c r="N3771" s="124"/>
      <c r="O3771" s="124"/>
      <c r="T3771" s="129">
        <f>IFERROR(__xludf.DUMMYFUNCTION("""COMPUTED_VALUE"""),46084.0)</f>
        <v>46084</v>
      </c>
      <c r="U3771" s="124" t="str">
        <f>IFERROR(__xludf.DUMMYFUNCTION("""COMPUTED_VALUE"""),"Paid Ads")</f>
        <v>Paid Ads</v>
      </c>
      <c r="V3771" s="124" t="str">
        <f>IFERROR(__xludf.DUMMYFUNCTION("""COMPUTED_VALUE"""),"YouTube")</f>
        <v>YouTube</v>
      </c>
      <c r="W3771" s="124"/>
      <c r="X3771" s="124"/>
      <c r="Y3771" s="124" t="str">
        <f>IFERROR(__xludf.DUMMYFUNCTION("""COMPUTED_VALUE"""),"Prayagraj")</f>
        <v>Prayagraj</v>
      </c>
      <c r="Z3771" s="124">
        <f>IFERROR(__xludf.DUMMYFUNCTION("""COMPUTED_VALUE"""),1.0)</f>
        <v>1</v>
      </c>
      <c r="AA3771" s="124" t="str">
        <f>IFERROR(__xludf.DUMMYFUNCTION("""COMPUTED_VALUE"""),"Fake Lead")</f>
        <v>Fake Lead</v>
      </c>
      <c r="AB3771" s="124" t="str">
        <f>IFERROR(__xludf.DUMMYFUNCTION("""COMPUTED_VALUE"""),"IGP UPPSC")</f>
        <v>IGP UPPSC</v>
      </c>
    </row>
    <row r="3772">
      <c r="K3772" s="124"/>
      <c r="L3772" s="124"/>
      <c r="M3772" s="124"/>
      <c r="N3772" s="124"/>
      <c r="O3772" s="124"/>
      <c r="T3772" s="126">
        <f>IFERROR(__xludf.DUMMYFUNCTION("""COMPUTED_VALUE"""),46070.0)</f>
        <v>46070</v>
      </c>
      <c r="U3772" s="124" t="str">
        <f>IFERROR(__xludf.DUMMYFUNCTION("""COMPUTED_VALUE"""),"Publisher Campaign")</f>
        <v>Publisher Campaign</v>
      </c>
      <c r="V3772" s="124" t="str">
        <f>IFERROR(__xludf.DUMMYFUNCTION("""COMPUTED_VALUE"""),"Feeder Cities")</f>
        <v>Feeder Cities</v>
      </c>
      <c r="W3772" s="124"/>
      <c r="X3772" s="124"/>
      <c r="Y3772" s="124" t="str">
        <f>IFERROR(__xludf.DUMMYFUNCTION("""COMPUTED_VALUE"""),"Delhi")</f>
        <v>Delhi</v>
      </c>
      <c r="Z3772" s="124">
        <f>IFERROR(__xludf.DUMMYFUNCTION("""COMPUTED_VALUE"""),1.0)</f>
        <v>1</v>
      </c>
      <c r="AA3772" s="124" t="str">
        <f>IFERROR(__xludf.DUMMYFUNCTION("""COMPUTED_VALUE"""),"Cold")</f>
        <v>Cold</v>
      </c>
      <c r="AB3772" s="124" t="str">
        <f>IFERROR(__xludf.DUMMYFUNCTION("""COMPUTED_VALUE"""),"Other")</f>
        <v>Other</v>
      </c>
    </row>
    <row r="3773">
      <c r="K3773" s="124"/>
      <c r="L3773" s="124"/>
      <c r="M3773" s="124"/>
      <c r="N3773" s="124"/>
      <c r="O3773" s="124"/>
      <c r="T3773" s="129">
        <f>IFERROR(__xludf.DUMMYFUNCTION("""COMPUTED_VALUE"""),46061.0)</f>
        <v>46061</v>
      </c>
      <c r="U3773" s="124" t="str">
        <f>IFERROR(__xludf.DUMMYFUNCTION("""COMPUTED_VALUE"""),"Publisher Campaign")</f>
        <v>Publisher Campaign</v>
      </c>
      <c r="V3773" s="124" t="str">
        <f>IFERROR(__xludf.DUMMYFUNCTION("""COMPUTED_VALUE"""),"Feeder Cities")</f>
        <v>Feeder Cities</v>
      </c>
      <c r="W3773" s="124"/>
      <c r="X3773" s="124"/>
      <c r="Y3773" s="124" t="str">
        <f>IFERROR(__xludf.DUMMYFUNCTION("""COMPUTED_VALUE"""),"Indore")</f>
        <v>Indore</v>
      </c>
      <c r="Z3773" s="124">
        <f>IFERROR(__xludf.DUMMYFUNCTION("""COMPUTED_VALUE"""),1.0)</f>
        <v>1</v>
      </c>
      <c r="AA3773" s="124" t="str">
        <f>IFERROR(__xludf.DUMMYFUNCTION("""COMPUTED_VALUE"""),"Fake Lead")</f>
        <v>Fake Lead</v>
      </c>
      <c r="AB3773" s="124" t="str">
        <f>IFERROR(__xludf.DUMMYFUNCTION("""COMPUTED_VALUE"""),"GS Foundation")</f>
        <v>GS Foundation</v>
      </c>
    </row>
    <row r="3774">
      <c r="K3774" s="124"/>
      <c r="L3774" s="124"/>
      <c r="M3774" s="124"/>
      <c r="N3774" s="124"/>
      <c r="O3774" s="124"/>
      <c r="T3774" s="126">
        <f>IFERROR(__xludf.DUMMYFUNCTION("""COMPUTED_VALUE"""),46104.0)</f>
        <v>46104</v>
      </c>
      <c r="U3774" s="124" t="str">
        <f>IFERROR(__xludf.DUMMYFUNCTION("""COMPUTED_VALUE"""),"Publisher Campaign")</f>
        <v>Publisher Campaign</v>
      </c>
      <c r="V3774" s="124" t="str">
        <f>IFERROR(__xludf.DUMMYFUNCTION("""COMPUTED_VALUE"""),"DM - Meta")</f>
        <v>DM - Meta</v>
      </c>
      <c r="W3774" s="124"/>
      <c r="X3774" s="124"/>
      <c r="Y3774" s="124" t="str">
        <f>IFERROR(__xludf.DUMMYFUNCTION("""COMPUTED_VALUE"""),"Indore")</f>
        <v>Indore</v>
      </c>
      <c r="Z3774" s="124">
        <f>IFERROR(__xludf.DUMMYFUNCTION("""COMPUTED_VALUE"""),1.0)</f>
        <v>1</v>
      </c>
      <c r="AA3774" s="124" t="str">
        <f>IFERROR(__xludf.DUMMYFUNCTION("""COMPUTED_VALUE"""),"Cold")</f>
        <v>Cold</v>
      </c>
      <c r="AB3774" s="124" t="str">
        <f>IFERROR(__xludf.DUMMYFUNCTION("""COMPUTED_VALUE"""),"GS Foundation")</f>
        <v>GS Foundation</v>
      </c>
    </row>
    <row r="3775">
      <c r="K3775" s="124"/>
      <c r="L3775" s="124"/>
      <c r="M3775" s="124"/>
      <c r="N3775" s="124"/>
      <c r="O3775" s="124"/>
      <c r="T3775" s="126">
        <f>IFERROR(__xludf.DUMMYFUNCTION("""COMPUTED_VALUE"""),46112.0)</f>
        <v>46112</v>
      </c>
      <c r="U3775" s="124" t="str">
        <f>IFERROR(__xludf.DUMMYFUNCTION("""COMPUTED_VALUE"""),"Other Marketing Channels")</f>
        <v>Other Marketing Channels</v>
      </c>
      <c r="V3775" s="124" t="str">
        <f>IFERROR(__xludf.DUMMYFUNCTION("""COMPUTED_VALUE"""),"Online Leads")</f>
        <v>Online Leads</v>
      </c>
      <c r="W3775" s="124" t="str">
        <f>IFERROR(__xludf.DUMMYFUNCTION("""COMPUTED_VALUE"""),"Existing Students")</f>
        <v>Existing Students</v>
      </c>
      <c r="X3775" s="124" t="str">
        <f>IFERROR(__xludf.DUMMYFUNCTION("""COMPUTED_VALUE"""),"Lucknow")</f>
        <v>Lucknow</v>
      </c>
      <c r="Y3775" s="124" t="str">
        <f>IFERROR(__xludf.DUMMYFUNCTION("""COMPUTED_VALUE"""),"Lucknow")</f>
        <v>Lucknow</v>
      </c>
      <c r="Z3775" s="124">
        <f>IFERROR(__xludf.DUMMYFUNCTION("""COMPUTED_VALUE"""),1.0)</f>
        <v>1</v>
      </c>
      <c r="AA3775" s="124" t="str">
        <f>IFERROR(__xludf.DUMMYFUNCTION("""COMPUTED_VALUE"""),"Enrolled")</f>
        <v>Enrolled</v>
      </c>
      <c r="AB3775" s="124" t="str">
        <f>IFERROR(__xludf.DUMMYFUNCTION("""COMPUTED_VALUE"""),"State PCS")</f>
        <v>State PCS</v>
      </c>
    </row>
    <row r="3776">
      <c r="K3776" s="124"/>
      <c r="L3776" s="124"/>
      <c r="M3776" s="124"/>
      <c r="N3776" s="124"/>
      <c r="O3776" s="124"/>
      <c r="T3776" s="129">
        <f>IFERROR(__xludf.DUMMYFUNCTION("""COMPUTED_VALUE"""),46088.0)</f>
        <v>46088</v>
      </c>
      <c r="U3776" s="124" t="str">
        <f>IFERROR(__xludf.DUMMYFUNCTION("""COMPUTED_VALUE"""),"Publisher Campaign")</f>
        <v>Publisher Campaign</v>
      </c>
      <c r="V3776" s="124" t="str">
        <f>IFERROR(__xludf.DUMMYFUNCTION("""COMPUTED_VALUE"""),"Webinar")</f>
        <v>Webinar</v>
      </c>
      <c r="W3776" s="124"/>
      <c r="X3776" s="124"/>
      <c r="Y3776" s="124" t="str">
        <f>IFERROR(__xludf.DUMMYFUNCTION("""COMPUTED_VALUE"""),"Delhi")</f>
        <v>Delhi</v>
      </c>
      <c r="Z3776" s="124">
        <f>IFERROR(__xludf.DUMMYFUNCTION("""COMPUTED_VALUE"""),1.0)</f>
        <v>1</v>
      </c>
      <c r="AA3776" s="124" t="str">
        <f>IFERROR(__xludf.DUMMYFUNCTION("""COMPUTED_VALUE"""),"Cold")</f>
        <v>Cold</v>
      </c>
      <c r="AB3776" s="124" t="str">
        <f>IFERROR(__xludf.DUMMYFUNCTION("""COMPUTED_VALUE"""),"Mentorship")</f>
        <v>Mentorship</v>
      </c>
    </row>
    <row r="3777">
      <c r="K3777" s="124"/>
      <c r="L3777" s="124"/>
      <c r="M3777" s="124"/>
      <c r="N3777" s="124"/>
      <c r="O3777" s="124"/>
      <c r="T3777" s="126">
        <f>IFERROR(__xludf.DUMMYFUNCTION("""COMPUTED_VALUE"""),46070.0)</f>
        <v>46070</v>
      </c>
      <c r="U3777" s="124" t="str">
        <f>IFERROR(__xludf.DUMMYFUNCTION("""COMPUTED_VALUE"""),"Paid Ads")</f>
        <v>Paid Ads</v>
      </c>
      <c r="V3777" s="124" t="str">
        <f>IFERROR(__xludf.DUMMYFUNCTION("""COMPUTED_VALUE"""),"google")</f>
        <v>google</v>
      </c>
      <c r="W3777" s="124" t="str">
        <f>IFERROR(__xludf.DUMMYFUNCTION("""COMPUTED_VALUE"""),"cpc")</f>
        <v>cpc</v>
      </c>
      <c r="X3777" s="124">
        <f>IFERROR(__xludf.DUMMYFUNCTION("""COMPUTED_VALUE"""),2.288825581E10)</f>
        <v>22888255810</v>
      </c>
      <c r="Y3777" s="124" t="str">
        <f>IFERROR(__xludf.DUMMYFUNCTION("""COMPUTED_VALUE"""),"Indore")</f>
        <v>Indore</v>
      </c>
      <c r="Z3777" s="124">
        <f>IFERROR(__xludf.DUMMYFUNCTION("""COMPUTED_VALUE"""),1.0)</f>
        <v>1</v>
      </c>
      <c r="AA3777" s="124" t="str">
        <f>IFERROR(__xludf.DUMMYFUNCTION("""COMPUTED_VALUE"""),"Cold")</f>
        <v>Cold</v>
      </c>
      <c r="AB3777" s="124" t="str">
        <f>IFERROR(__xludf.DUMMYFUNCTION("""COMPUTED_VALUE"""),"Test Series")</f>
        <v>Test Series</v>
      </c>
    </row>
    <row r="3778">
      <c r="K3778" s="124"/>
      <c r="L3778" s="124"/>
      <c r="M3778" s="124"/>
      <c r="N3778" s="124"/>
      <c r="O3778" s="124"/>
      <c r="T3778" s="126">
        <f>IFERROR(__xludf.DUMMYFUNCTION("""COMPUTED_VALUE"""),46073.0)</f>
        <v>46073</v>
      </c>
      <c r="U3778" s="124" t="str">
        <f>IFERROR(__xludf.DUMMYFUNCTION("""COMPUTED_VALUE"""),"Publisher Campaign")</f>
        <v>Publisher Campaign</v>
      </c>
      <c r="V3778" s="124" t="str">
        <f>IFERROR(__xludf.DUMMYFUNCTION("""COMPUTED_VALUE"""),"Feeder Cities")</f>
        <v>Feeder Cities</v>
      </c>
      <c r="W3778" s="124"/>
      <c r="X3778" s="124"/>
      <c r="Y3778" s="124" t="str">
        <f>IFERROR(__xludf.DUMMYFUNCTION("""COMPUTED_VALUE"""),"Indore")</f>
        <v>Indore</v>
      </c>
      <c r="Z3778" s="124">
        <f>IFERROR(__xludf.DUMMYFUNCTION("""COMPUTED_VALUE"""),1.0)</f>
        <v>1</v>
      </c>
      <c r="AA3778" s="124" t="str">
        <f>IFERROR(__xludf.DUMMYFUNCTION("""COMPUTED_VALUE"""),"Warm")</f>
        <v>Warm</v>
      </c>
      <c r="AB3778" s="124" t="str">
        <f>IFERROR(__xludf.DUMMYFUNCTION("""COMPUTED_VALUE"""),"State PCS")</f>
        <v>State PCS</v>
      </c>
    </row>
    <row r="3779">
      <c r="K3779" s="124"/>
      <c r="L3779" s="124"/>
      <c r="M3779" s="124"/>
      <c r="N3779" s="124"/>
      <c r="O3779" s="124"/>
      <c r="T3779" s="129">
        <f>IFERROR(__xludf.DUMMYFUNCTION("""COMPUTED_VALUE"""),46090.0)</f>
        <v>46090</v>
      </c>
      <c r="U3779" s="124" t="str">
        <f>IFERROR(__xludf.DUMMYFUNCTION("""COMPUTED_VALUE"""),"Publisher Campaign")</f>
        <v>Publisher Campaign</v>
      </c>
      <c r="V3779" s="124" t="str">
        <f>IFERROR(__xludf.DUMMYFUNCTION("""COMPUTED_VALUE"""),"BTL Activities")</f>
        <v>BTL Activities</v>
      </c>
      <c r="W3779" s="124"/>
      <c r="X3779" s="124"/>
      <c r="Y3779" s="124" t="str">
        <f>IFERROR(__xludf.DUMMYFUNCTION("""COMPUTED_VALUE"""),"Indore")</f>
        <v>Indore</v>
      </c>
      <c r="Z3779" s="124">
        <f>IFERROR(__xludf.DUMMYFUNCTION("""COMPUTED_VALUE"""),1.0)</f>
        <v>1</v>
      </c>
      <c r="AA3779" s="124" t="str">
        <f>IFERROR(__xludf.DUMMYFUNCTION("""COMPUTED_VALUE"""),"Cold")</f>
        <v>Cold</v>
      </c>
      <c r="AB3779" s="124" t="str">
        <f>IFERROR(__xludf.DUMMYFUNCTION("""COMPUTED_VALUE"""),"SIM")</f>
        <v>SIM</v>
      </c>
    </row>
    <row r="3780">
      <c r="K3780" s="124"/>
      <c r="L3780" s="124"/>
      <c r="M3780" s="124"/>
      <c r="N3780" s="124"/>
      <c r="O3780" s="124"/>
      <c r="T3780" s="129">
        <f>IFERROR(__xludf.DUMMYFUNCTION("""COMPUTED_VALUE"""),46061.0)</f>
        <v>46061</v>
      </c>
      <c r="U3780" s="124" t="str">
        <f>IFERROR(__xludf.DUMMYFUNCTION("""COMPUTED_VALUE"""),"Publisher Campaign")</f>
        <v>Publisher Campaign</v>
      </c>
      <c r="V3780" s="124" t="str">
        <f>IFERROR(__xludf.DUMMYFUNCTION("""COMPUTED_VALUE"""),"Webinar")</f>
        <v>Webinar</v>
      </c>
      <c r="W3780" s="124"/>
      <c r="X3780" s="124"/>
      <c r="Y3780" s="124" t="str">
        <f>IFERROR(__xludf.DUMMYFUNCTION("""COMPUTED_VALUE"""),"Lucknow")</f>
        <v>Lucknow</v>
      </c>
      <c r="Z3780" s="124">
        <f>IFERROR(__xludf.DUMMYFUNCTION("""COMPUTED_VALUE"""),1.0)</f>
        <v>1</v>
      </c>
      <c r="AA3780" s="124" t="str">
        <f>IFERROR(__xludf.DUMMYFUNCTION("""COMPUTED_VALUE"""),"Fake Lead")</f>
        <v>Fake Lead</v>
      </c>
      <c r="AB3780" s="124" t="str">
        <f>IFERROR(__xludf.DUMMYFUNCTION("""COMPUTED_VALUE"""),"Optionals")</f>
        <v>Optionals</v>
      </c>
    </row>
    <row r="3781">
      <c r="K3781" s="124"/>
      <c r="L3781" s="124"/>
      <c r="M3781" s="124"/>
      <c r="N3781" s="124"/>
      <c r="O3781" s="124"/>
      <c r="T3781" s="129">
        <f>IFERROR(__xludf.DUMMYFUNCTION("""COMPUTED_VALUE"""),46086.0)</f>
        <v>46086</v>
      </c>
      <c r="U3781" s="124" t="str">
        <f>IFERROR(__xludf.DUMMYFUNCTION("""COMPUTED_VALUE"""),"Publisher Campaign")</f>
        <v>Publisher Campaign</v>
      </c>
      <c r="V3781" s="124" t="str">
        <f>IFERROR(__xludf.DUMMYFUNCTION("""COMPUTED_VALUE"""),"Webinar")</f>
        <v>Webinar</v>
      </c>
      <c r="W3781" s="124"/>
      <c r="X3781" s="124"/>
      <c r="Y3781" s="124" t="str">
        <f>IFERROR(__xludf.DUMMYFUNCTION("""COMPUTED_VALUE"""),"Delhi")</f>
        <v>Delhi</v>
      </c>
      <c r="Z3781" s="124">
        <f>IFERROR(__xludf.DUMMYFUNCTION("""COMPUTED_VALUE"""),1.0)</f>
        <v>1</v>
      </c>
      <c r="AA3781" s="124" t="str">
        <f>IFERROR(__xludf.DUMMYFUNCTION("""COMPUTED_VALUE"""),"Fake Lead")</f>
        <v>Fake Lead</v>
      </c>
      <c r="AB3781" s="124" t="str">
        <f>IFERROR(__xludf.DUMMYFUNCTION("""COMPUTED_VALUE"""),"Other")</f>
        <v>Other</v>
      </c>
    </row>
    <row r="3782">
      <c r="K3782" s="124"/>
      <c r="L3782" s="124"/>
      <c r="M3782" s="124"/>
      <c r="N3782" s="124"/>
      <c r="O3782" s="124"/>
      <c r="T3782" s="126">
        <f>IFERROR(__xludf.DUMMYFUNCTION("""COMPUTED_VALUE"""),46049.0)</f>
        <v>46049</v>
      </c>
      <c r="U3782" s="124" t="str">
        <f>IFERROR(__xludf.DUMMYFUNCTION("""COMPUTED_VALUE"""),"External Leads")</f>
        <v>External Leads</v>
      </c>
      <c r="V3782" s="124" t="str">
        <f>IFERROR(__xludf.DUMMYFUNCTION("""COMPUTED_VALUE"""),"external leads")</f>
        <v>external leads</v>
      </c>
      <c r="W3782" s="124"/>
      <c r="X3782" s="124"/>
      <c r="Y3782" s="124"/>
      <c r="Z3782" s="124">
        <f>IFERROR(__xludf.DUMMYFUNCTION("""COMPUTED_VALUE"""),2.0)</f>
        <v>2</v>
      </c>
      <c r="AA3782" s="124" t="str">
        <f>IFERROR(__xludf.DUMMYFUNCTION("""COMPUTED_VALUE"""),"Fake Lead")</f>
        <v>Fake Lead</v>
      </c>
      <c r="AB3782" s="124"/>
    </row>
    <row r="3783">
      <c r="K3783" s="124"/>
      <c r="L3783" s="124"/>
      <c r="M3783" s="124"/>
      <c r="N3783" s="124"/>
      <c r="O3783" s="124"/>
      <c r="T3783" s="126">
        <f>IFERROR(__xludf.DUMMYFUNCTION("""COMPUTED_VALUE"""),46095.0)</f>
        <v>46095</v>
      </c>
      <c r="U3783" s="124" t="str">
        <f>IFERROR(__xludf.DUMMYFUNCTION("""COMPUTED_VALUE"""),"Publisher Campaign")</f>
        <v>Publisher Campaign</v>
      </c>
      <c r="V3783" s="124" t="str">
        <f>IFERROR(__xludf.DUMMYFUNCTION("""COMPUTED_VALUE"""),"Webinar")</f>
        <v>Webinar</v>
      </c>
      <c r="W3783" s="124"/>
      <c r="X3783" s="124"/>
      <c r="Y3783" s="124" t="str">
        <f>IFERROR(__xludf.DUMMYFUNCTION("""COMPUTED_VALUE"""),"Delhi")</f>
        <v>Delhi</v>
      </c>
      <c r="Z3783" s="124">
        <f>IFERROR(__xludf.DUMMYFUNCTION("""COMPUTED_VALUE"""),1.0)</f>
        <v>1</v>
      </c>
      <c r="AA3783" s="124" t="str">
        <f>IFERROR(__xludf.DUMMYFUNCTION("""COMPUTED_VALUE"""),"Engaged")</f>
        <v>Engaged</v>
      </c>
      <c r="AB3783" s="124" t="str">
        <f>IFERROR(__xludf.DUMMYFUNCTION("""COMPUTED_VALUE"""),"GS Foundation")</f>
        <v>GS Foundation</v>
      </c>
    </row>
    <row r="3784">
      <c r="K3784" s="124"/>
      <c r="L3784" s="124"/>
      <c r="M3784" s="124"/>
      <c r="N3784" s="124"/>
      <c r="O3784" s="124"/>
      <c r="T3784" s="129">
        <f>IFERROR(__xludf.DUMMYFUNCTION("""COMPUTED_VALUE"""),46086.0)</f>
        <v>46086</v>
      </c>
      <c r="U3784" s="124" t="str">
        <f>IFERROR(__xludf.DUMMYFUNCTION("""COMPUTED_VALUE"""),"Paid Ads")</f>
        <v>Paid Ads</v>
      </c>
      <c r="V3784" s="124" t="str">
        <f>IFERROR(__xludf.DUMMYFUNCTION("""COMPUTED_VALUE"""),"YouTube")</f>
        <v>YouTube</v>
      </c>
      <c r="W3784" s="124"/>
      <c r="X3784" s="124"/>
      <c r="Y3784" s="124" t="str">
        <f>IFERROR(__xludf.DUMMYFUNCTION("""COMPUTED_VALUE"""),"Prayagraj")</f>
        <v>Prayagraj</v>
      </c>
      <c r="Z3784" s="124">
        <f>IFERROR(__xludf.DUMMYFUNCTION("""COMPUTED_VALUE"""),1.0)</f>
        <v>1</v>
      </c>
      <c r="AA3784" s="124" t="str">
        <f>IFERROR(__xludf.DUMMYFUNCTION("""COMPUTED_VALUE"""),"Cold")</f>
        <v>Cold</v>
      </c>
      <c r="AB3784" s="124" t="str">
        <f>IFERROR(__xludf.DUMMYFUNCTION("""COMPUTED_VALUE"""),"State PCS")</f>
        <v>State PCS</v>
      </c>
    </row>
    <row r="3785">
      <c r="K3785" s="124"/>
      <c r="L3785" s="124"/>
      <c r="M3785" s="124"/>
      <c r="N3785" s="124"/>
      <c r="O3785" s="124"/>
      <c r="T3785" s="126">
        <f>IFERROR(__xludf.DUMMYFUNCTION("""COMPUTED_VALUE"""),46094.0)</f>
        <v>46094</v>
      </c>
      <c r="U3785" s="124" t="str">
        <f>IFERROR(__xludf.DUMMYFUNCTION("""COMPUTED_VALUE"""),"Publisher Campaign")</f>
        <v>Publisher Campaign</v>
      </c>
      <c r="V3785" s="124" t="str">
        <f>IFERROR(__xludf.DUMMYFUNCTION("""COMPUTED_VALUE"""),"Webinar")</f>
        <v>Webinar</v>
      </c>
      <c r="W3785" s="124"/>
      <c r="X3785" s="124"/>
      <c r="Y3785" s="124" t="str">
        <f>IFERROR(__xludf.DUMMYFUNCTION("""COMPUTED_VALUE"""),"Delhi")</f>
        <v>Delhi</v>
      </c>
      <c r="Z3785" s="124">
        <f>IFERROR(__xludf.DUMMYFUNCTION("""COMPUTED_VALUE"""),1.0)</f>
        <v>1</v>
      </c>
      <c r="AA3785" s="124" t="str">
        <f>IFERROR(__xludf.DUMMYFUNCTION("""COMPUTED_VALUE"""),"Engaged")</f>
        <v>Engaged</v>
      </c>
      <c r="AB3785" s="124" t="str">
        <f>IFERROR(__xludf.DUMMYFUNCTION("""COMPUTED_VALUE"""),"GS Foundation")</f>
        <v>GS Foundation</v>
      </c>
    </row>
    <row r="3786">
      <c r="K3786" s="124"/>
      <c r="L3786" s="124"/>
      <c r="M3786" s="124"/>
      <c r="N3786" s="124"/>
      <c r="O3786" s="124"/>
      <c r="T3786" s="129">
        <f>IFERROR(__xludf.DUMMYFUNCTION("""COMPUTED_VALUE"""),46061.0)</f>
        <v>46061</v>
      </c>
      <c r="U3786" s="124" t="str">
        <f>IFERROR(__xludf.DUMMYFUNCTION("""COMPUTED_VALUE"""),"Publisher Campaign")</f>
        <v>Publisher Campaign</v>
      </c>
      <c r="V3786" s="124" t="str">
        <f>IFERROR(__xludf.DUMMYFUNCTION("""COMPUTED_VALUE"""),"Feeder Cities")</f>
        <v>Feeder Cities</v>
      </c>
      <c r="W3786" s="124"/>
      <c r="X3786" s="124"/>
      <c r="Y3786" s="124" t="str">
        <f>IFERROR(__xludf.DUMMYFUNCTION("""COMPUTED_VALUE"""),"Indore")</f>
        <v>Indore</v>
      </c>
      <c r="Z3786" s="124">
        <f>IFERROR(__xludf.DUMMYFUNCTION("""COMPUTED_VALUE"""),1.0)</f>
        <v>1</v>
      </c>
      <c r="AA3786" s="124" t="str">
        <f>IFERROR(__xludf.DUMMYFUNCTION("""COMPUTED_VALUE"""),"Cold")</f>
        <v>Cold</v>
      </c>
      <c r="AB3786" s="124" t="str">
        <f>IFERROR(__xludf.DUMMYFUNCTION("""COMPUTED_VALUE"""),"State PCS")</f>
        <v>State PCS</v>
      </c>
    </row>
    <row r="3787">
      <c r="K3787" s="124"/>
      <c r="L3787" s="124"/>
      <c r="M3787" s="124"/>
      <c r="N3787" s="124"/>
      <c r="O3787" s="124"/>
      <c r="T3787" s="126">
        <f>IFERROR(__xludf.DUMMYFUNCTION("""COMPUTED_VALUE"""),46080.0)</f>
        <v>46080</v>
      </c>
      <c r="U3787" s="124" t="str">
        <f>IFERROR(__xludf.DUMMYFUNCTION("""COMPUTED_VALUE"""),"Publisher Campaign")</f>
        <v>Publisher Campaign</v>
      </c>
      <c r="V3787" s="124" t="str">
        <f>IFERROR(__xludf.DUMMYFUNCTION("""COMPUTED_VALUE"""),"Webinar")</f>
        <v>Webinar</v>
      </c>
      <c r="W3787" s="124"/>
      <c r="X3787" s="124"/>
      <c r="Y3787" s="124" t="str">
        <f>IFERROR(__xludf.DUMMYFUNCTION("""COMPUTED_VALUE"""),"Delhi")</f>
        <v>Delhi</v>
      </c>
      <c r="Z3787" s="124">
        <f>IFERROR(__xludf.DUMMYFUNCTION("""COMPUTED_VALUE"""),1.0)</f>
        <v>1</v>
      </c>
      <c r="AA3787" s="124" t="str">
        <f>IFERROR(__xludf.DUMMYFUNCTION("""COMPUTED_VALUE"""),"Warm")</f>
        <v>Warm</v>
      </c>
      <c r="AB3787" s="124" t="str">
        <f>IFERROR(__xludf.DUMMYFUNCTION("""COMPUTED_VALUE"""),"State PCS")</f>
        <v>State PCS</v>
      </c>
    </row>
    <row r="3788">
      <c r="K3788" s="124"/>
      <c r="L3788" s="124"/>
      <c r="M3788" s="124"/>
      <c r="N3788" s="124"/>
      <c r="O3788" s="124"/>
      <c r="T3788" s="126">
        <f>IFERROR(__xludf.DUMMYFUNCTION("""COMPUTED_VALUE"""),46079.0)</f>
        <v>46079</v>
      </c>
      <c r="U3788" s="124" t="str">
        <f>IFERROR(__xludf.DUMMYFUNCTION("""COMPUTED_VALUE"""),"Publisher Campaign")</f>
        <v>Publisher Campaign</v>
      </c>
      <c r="V3788" s="124" t="str">
        <f>IFERROR(__xludf.DUMMYFUNCTION("""COMPUTED_VALUE"""),"Webinar")</f>
        <v>Webinar</v>
      </c>
      <c r="W3788" s="124"/>
      <c r="X3788" s="124"/>
      <c r="Y3788" s="124" t="str">
        <f>IFERROR(__xludf.DUMMYFUNCTION("""COMPUTED_VALUE"""),"Lucknow")</f>
        <v>Lucknow</v>
      </c>
      <c r="Z3788" s="124">
        <f>IFERROR(__xludf.DUMMYFUNCTION("""COMPUTED_VALUE"""),1.0)</f>
        <v>1</v>
      </c>
      <c r="AA3788" s="124" t="str">
        <f>IFERROR(__xludf.DUMMYFUNCTION("""COMPUTED_VALUE"""),"Cold")</f>
        <v>Cold</v>
      </c>
      <c r="AB3788" s="124" t="str">
        <f>IFERROR(__xludf.DUMMYFUNCTION("""COMPUTED_VALUE"""),"Test Series")</f>
        <v>Test Series</v>
      </c>
    </row>
    <row r="3789">
      <c r="K3789" s="124"/>
      <c r="L3789" s="124"/>
      <c r="M3789" s="124"/>
      <c r="N3789" s="124"/>
      <c r="O3789" s="124"/>
      <c r="T3789" s="129">
        <f>IFERROR(__xludf.DUMMYFUNCTION("""COMPUTED_VALUE"""),46059.0)</f>
        <v>46059</v>
      </c>
      <c r="U3789" s="124" t="str">
        <f>IFERROR(__xludf.DUMMYFUNCTION("""COMPUTED_VALUE"""),"Publisher Campaign")</f>
        <v>Publisher Campaign</v>
      </c>
      <c r="V3789" s="124" t="str">
        <f>IFERROR(__xludf.DUMMYFUNCTION("""COMPUTED_VALUE"""),"BTL Activities")</f>
        <v>BTL Activities</v>
      </c>
      <c r="W3789" s="124"/>
      <c r="X3789" s="124"/>
      <c r="Y3789" s="124" t="str">
        <f>IFERROR(__xludf.DUMMYFUNCTION("""COMPUTED_VALUE"""),"Indore")</f>
        <v>Indore</v>
      </c>
      <c r="Z3789" s="124">
        <f>IFERROR(__xludf.DUMMYFUNCTION("""COMPUTED_VALUE"""),1.0)</f>
        <v>1</v>
      </c>
      <c r="AA3789" s="124" t="str">
        <f>IFERROR(__xludf.DUMMYFUNCTION("""COMPUTED_VALUE"""),"Warm")</f>
        <v>Warm</v>
      </c>
      <c r="AB3789" s="124" t="str">
        <f>IFERROR(__xludf.DUMMYFUNCTION("""COMPUTED_VALUE"""),"State PCS")</f>
        <v>State PCS</v>
      </c>
    </row>
    <row r="3790">
      <c r="K3790" s="124"/>
      <c r="L3790" s="124"/>
      <c r="M3790" s="124"/>
      <c r="N3790" s="124"/>
      <c r="O3790" s="124"/>
      <c r="T3790" s="129">
        <f>IFERROR(__xludf.DUMMYFUNCTION("""COMPUTED_VALUE"""),46090.0)</f>
        <v>46090</v>
      </c>
      <c r="U3790" s="124" t="str">
        <f>IFERROR(__xludf.DUMMYFUNCTION("""COMPUTED_VALUE"""),"Publisher Campaign")</f>
        <v>Publisher Campaign</v>
      </c>
      <c r="V3790" s="124" t="str">
        <f>IFERROR(__xludf.DUMMYFUNCTION("""COMPUTED_VALUE"""),"Webinar")</f>
        <v>Webinar</v>
      </c>
      <c r="W3790" s="124"/>
      <c r="X3790" s="124"/>
      <c r="Y3790" s="124" t="str">
        <f>IFERROR(__xludf.DUMMYFUNCTION("""COMPUTED_VALUE"""),"Delhi")</f>
        <v>Delhi</v>
      </c>
      <c r="Z3790" s="124">
        <f>IFERROR(__xludf.DUMMYFUNCTION("""COMPUTED_VALUE"""),1.0)</f>
        <v>1</v>
      </c>
      <c r="AA3790" s="124" t="str">
        <f>IFERROR(__xludf.DUMMYFUNCTION("""COMPUTED_VALUE"""),"Not Interested")</f>
        <v>Not Interested</v>
      </c>
      <c r="AB3790" s="124" t="str">
        <f>IFERROR(__xludf.DUMMYFUNCTION("""COMPUTED_VALUE"""),"GS Foundation")</f>
        <v>GS Foundation</v>
      </c>
    </row>
    <row r="3791">
      <c r="K3791" s="124"/>
      <c r="L3791" s="124"/>
      <c r="M3791" s="124"/>
      <c r="N3791" s="124"/>
      <c r="O3791" s="124"/>
      <c r="T3791" s="129">
        <f>IFERROR(__xludf.DUMMYFUNCTION("""COMPUTED_VALUE"""),46061.0)</f>
        <v>46061</v>
      </c>
      <c r="U3791" s="124" t="str">
        <f>IFERROR(__xludf.DUMMYFUNCTION("""COMPUTED_VALUE"""),"Publisher Campaign")</f>
        <v>Publisher Campaign</v>
      </c>
      <c r="V3791" s="124" t="str">
        <f>IFERROR(__xludf.DUMMYFUNCTION("""COMPUTED_VALUE"""),"Webinar")</f>
        <v>Webinar</v>
      </c>
      <c r="W3791" s="124"/>
      <c r="X3791" s="124"/>
      <c r="Y3791" s="124" t="str">
        <f>IFERROR(__xludf.DUMMYFUNCTION("""COMPUTED_VALUE"""),"Hyderabad")</f>
        <v>Hyderabad</v>
      </c>
      <c r="Z3791" s="124">
        <f>IFERROR(__xludf.DUMMYFUNCTION("""COMPUTED_VALUE"""),1.0)</f>
        <v>1</v>
      </c>
      <c r="AA3791" s="124" t="str">
        <f>IFERROR(__xludf.DUMMYFUNCTION("""COMPUTED_VALUE"""),"Cold")</f>
        <v>Cold</v>
      </c>
      <c r="AB3791" s="124" t="str">
        <f>IFERROR(__xludf.DUMMYFUNCTION("""COMPUTED_VALUE"""),"State PCS")</f>
        <v>State PCS</v>
      </c>
    </row>
    <row r="3792">
      <c r="K3792" s="124"/>
      <c r="L3792" s="124"/>
      <c r="M3792" s="124"/>
      <c r="N3792" s="124"/>
      <c r="O3792" s="124"/>
      <c r="T3792" s="126">
        <f>IFERROR(__xludf.DUMMYFUNCTION("""COMPUTED_VALUE"""),46076.0)</f>
        <v>46076</v>
      </c>
      <c r="U3792" s="124" t="str">
        <f>IFERROR(__xludf.DUMMYFUNCTION("""COMPUTED_VALUE"""),"Publisher Campaign")</f>
        <v>Publisher Campaign</v>
      </c>
      <c r="V3792" s="124" t="str">
        <f>IFERROR(__xludf.DUMMYFUNCTION("""COMPUTED_VALUE"""),"Webinar")</f>
        <v>Webinar</v>
      </c>
      <c r="W3792" s="124"/>
      <c r="X3792" s="124"/>
      <c r="Y3792" s="124" t="str">
        <f>IFERROR(__xludf.DUMMYFUNCTION("""COMPUTED_VALUE"""),"Delhi")</f>
        <v>Delhi</v>
      </c>
      <c r="Z3792" s="124">
        <f>IFERROR(__xludf.DUMMYFUNCTION("""COMPUTED_VALUE"""),1.0)</f>
        <v>1</v>
      </c>
      <c r="AA3792" s="124" t="str">
        <f>IFERROR(__xludf.DUMMYFUNCTION("""COMPUTED_VALUE"""),"Not Interested")</f>
        <v>Not Interested</v>
      </c>
      <c r="AB3792" s="124" t="str">
        <f>IFERROR(__xludf.DUMMYFUNCTION("""COMPUTED_VALUE"""),"CSAT")</f>
        <v>CSAT</v>
      </c>
    </row>
    <row r="3793">
      <c r="K3793" s="124"/>
      <c r="L3793" s="124"/>
      <c r="M3793" s="124"/>
      <c r="N3793" s="124"/>
      <c r="O3793" s="124"/>
      <c r="T3793" s="129">
        <f>IFERROR(__xludf.DUMMYFUNCTION("""COMPUTED_VALUE"""),46059.0)</f>
        <v>46059</v>
      </c>
      <c r="U3793" s="124" t="str">
        <f>IFERROR(__xludf.DUMMYFUNCTION("""COMPUTED_VALUE"""),"Publisher Campaign")</f>
        <v>Publisher Campaign</v>
      </c>
      <c r="V3793" s="124" t="str">
        <f>IFERROR(__xludf.DUMMYFUNCTION("""COMPUTED_VALUE"""),"BTL Activities")</f>
        <v>BTL Activities</v>
      </c>
      <c r="W3793" s="124"/>
      <c r="X3793" s="124"/>
      <c r="Y3793" s="124" t="str">
        <f>IFERROR(__xludf.DUMMYFUNCTION("""COMPUTED_VALUE"""),"Indore")</f>
        <v>Indore</v>
      </c>
      <c r="Z3793" s="124">
        <f>IFERROR(__xludf.DUMMYFUNCTION("""COMPUTED_VALUE"""),1.0)</f>
        <v>1</v>
      </c>
      <c r="AA3793" s="124" t="str">
        <f>IFERROR(__xludf.DUMMYFUNCTION("""COMPUTED_VALUE"""),"Future Prospects")</f>
        <v>Future Prospects</v>
      </c>
      <c r="AB3793" s="124" t="str">
        <f>IFERROR(__xludf.DUMMYFUNCTION("""COMPUTED_VALUE"""),"GS Advanced")</f>
        <v>GS Advanced</v>
      </c>
    </row>
    <row r="3794">
      <c r="K3794" s="124"/>
      <c r="L3794" s="124"/>
      <c r="M3794" s="124"/>
      <c r="N3794" s="124"/>
      <c r="O3794" s="124"/>
      <c r="T3794" s="126">
        <f>IFERROR(__xludf.DUMMYFUNCTION("""COMPUTED_VALUE"""),46048.0)</f>
        <v>46048</v>
      </c>
      <c r="U3794" s="124" t="str">
        <f>IFERROR(__xludf.DUMMYFUNCTION("""COMPUTED_VALUE"""),"External Leads")</f>
        <v>External Leads</v>
      </c>
      <c r="V3794" s="124" t="str">
        <f>IFERROR(__xludf.DUMMYFUNCTION("""COMPUTED_VALUE"""),"external leads")</f>
        <v>external leads</v>
      </c>
      <c r="W3794" s="124"/>
      <c r="X3794" s="124"/>
      <c r="Y3794" s="124" t="str">
        <f>IFERROR(__xludf.DUMMYFUNCTION("""COMPUTED_VALUE"""),"Delhi")</f>
        <v>Delhi</v>
      </c>
      <c r="Z3794" s="124">
        <f>IFERROR(__xludf.DUMMYFUNCTION("""COMPUTED_VALUE"""),1.0)</f>
        <v>1</v>
      </c>
      <c r="AA3794" s="124" t="str">
        <f>IFERROR(__xludf.DUMMYFUNCTION("""COMPUTED_VALUE"""),"Future Prospects")</f>
        <v>Future Prospects</v>
      </c>
      <c r="AB3794" s="124"/>
    </row>
    <row r="3795">
      <c r="K3795" s="124"/>
      <c r="L3795" s="124"/>
      <c r="M3795" s="124"/>
      <c r="N3795" s="124"/>
      <c r="O3795" s="124"/>
      <c r="T3795" s="126">
        <f>IFERROR(__xludf.DUMMYFUNCTION("""COMPUTED_VALUE"""),46093.0)</f>
        <v>46093</v>
      </c>
      <c r="U3795" s="124" t="str">
        <f>IFERROR(__xludf.DUMMYFUNCTION("""COMPUTED_VALUE"""),"Publisher Campaign")</f>
        <v>Publisher Campaign</v>
      </c>
      <c r="V3795" s="124" t="str">
        <f>IFERROR(__xludf.DUMMYFUNCTION("""COMPUTED_VALUE"""),"BTL Activities")</f>
        <v>BTL Activities</v>
      </c>
      <c r="W3795" s="124"/>
      <c r="X3795" s="124"/>
      <c r="Y3795" s="124" t="str">
        <f>IFERROR(__xludf.DUMMYFUNCTION("""COMPUTED_VALUE"""),"Indore")</f>
        <v>Indore</v>
      </c>
      <c r="Z3795" s="124">
        <f>IFERROR(__xludf.DUMMYFUNCTION("""COMPUTED_VALUE"""),2.0)</f>
        <v>2</v>
      </c>
      <c r="AA3795" s="124" t="str">
        <f>IFERROR(__xludf.DUMMYFUNCTION("""COMPUTED_VALUE"""),"Future Prospects")</f>
        <v>Future Prospects</v>
      </c>
      <c r="AB3795" s="124" t="str">
        <f>IFERROR(__xludf.DUMMYFUNCTION("""COMPUTED_VALUE"""),"GS Foundation")</f>
        <v>GS Foundation</v>
      </c>
    </row>
    <row r="3796">
      <c r="K3796" s="124"/>
      <c r="L3796" s="124"/>
      <c r="M3796" s="124"/>
      <c r="N3796" s="124"/>
      <c r="O3796" s="124"/>
      <c r="T3796" s="129">
        <f>IFERROR(__xludf.DUMMYFUNCTION("""COMPUTED_VALUE"""),46088.0)</f>
        <v>46088</v>
      </c>
      <c r="U3796" s="124" t="str">
        <f>IFERROR(__xludf.DUMMYFUNCTION("""COMPUTED_VALUE"""),"Publisher Campaign")</f>
        <v>Publisher Campaign</v>
      </c>
      <c r="V3796" s="124" t="str">
        <f>IFERROR(__xludf.DUMMYFUNCTION("""COMPUTED_VALUE"""),"Webinar")</f>
        <v>Webinar</v>
      </c>
      <c r="W3796" s="124"/>
      <c r="X3796" s="124"/>
      <c r="Y3796" s="124" t="str">
        <f>IFERROR(__xludf.DUMMYFUNCTION("""COMPUTED_VALUE"""),"Delhi")</f>
        <v>Delhi</v>
      </c>
      <c r="Z3796" s="124">
        <f>IFERROR(__xludf.DUMMYFUNCTION("""COMPUTED_VALUE"""),1.0)</f>
        <v>1</v>
      </c>
      <c r="AA3796" s="124" t="str">
        <f>IFERROR(__xludf.DUMMYFUNCTION("""COMPUTED_VALUE"""),"Not Interested")</f>
        <v>Not Interested</v>
      </c>
      <c r="AB3796" s="124" t="str">
        <f>IFERROR(__xludf.DUMMYFUNCTION("""COMPUTED_VALUE"""),"Hybrid")</f>
        <v>Hybrid</v>
      </c>
    </row>
    <row r="3797">
      <c r="K3797" s="124"/>
      <c r="L3797" s="124"/>
      <c r="M3797" s="124"/>
      <c r="N3797" s="124"/>
      <c r="O3797" s="124"/>
      <c r="T3797" s="129">
        <f>IFERROR(__xludf.DUMMYFUNCTION("""COMPUTED_VALUE"""),46061.0)</f>
        <v>46061</v>
      </c>
      <c r="U3797" s="124" t="str">
        <f>IFERROR(__xludf.DUMMYFUNCTION("""COMPUTED_VALUE"""),"Paid Ads")</f>
        <v>Paid Ads</v>
      </c>
      <c r="V3797" s="124" t="str">
        <f>IFERROR(__xludf.DUMMYFUNCTION("""COMPUTED_VALUE"""),"google")</f>
        <v>google</v>
      </c>
      <c r="W3797" s="124" t="str">
        <f>IFERROR(__xludf.DUMMYFUNCTION("""COMPUTED_VALUE"""),"cpc")</f>
        <v>cpc</v>
      </c>
      <c r="X3797" s="124">
        <f>IFERROR(__xludf.DUMMYFUNCTION("""COMPUTED_VALUE"""),2.288825581E10)</f>
        <v>22888255810</v>
      </c>
      <c r="Y3797" s="124" t="str">
        <f>IFERROR(__xludf.DUMMYFUNCTION("""COMPUTED_VALUE"""),"Indore")</f>
        <v>Indore</v>
      </c>
      <c r="Z3797" s="124">
        <f>IFERROR(__xludf.DUMMYFUNCTION("""COMPUTED_VALUE"""),1.0)</f>
        <v>1</v>
      </c>
      <c r="AA3797" s="124" t="str">
        <f>IFERROR(__xludf.DUMMYFUNCTION("""COMPUTED_VALUE"""),"Not Interested")</f>
        <v>Not Interested</v>
      </c>
      <c r="AB3797" s="124" t="str">
        <f>IFERROR(__xludf.DUMMYFUNCTION("""COMPUTED_VALUE"""),"IGP UPPSC")</f>
        <v>IGP UPPSC</v>
      </c>
    </row>
    <row r="3798">
      <c r="K3798" s="124"/>
      <c r="L3798" s="124"/>
      <c r="M3798" s="124"/>
      <c r="N3798" s="124"/>
      <c r="O3798" s="124"/>
      <c r="T3798" s="129">
        <f>IFERROR(__xludf.DUMMYFUNCTION("""COMPUTED_VALUE"""),46061.0)</f>
        <v>46061</v>
      </c>
      <c r="U3798" s="124" t="str">
        <f>IFERROR(__xludf.DUMMYFUNCTION("""COMPUTED_VALUE"""),"Publisher Campaign")</f>
        <v>Publisher Campaign</v>
      </c>
      <c r="V3798" s="124" t="str">
        <f>IFERROR(__xludf.DUMMYFUNCTION("""COMPUTED_VALUE"""),"Webinar")</f>
        <v>Webinar</v>
      </c>
      <c r="W3798" s="124"/>
      <c r="X3798" s="124"/>
      <c r="Y3798" s="124" t="str">
        <f>IFERROR(__xludf.DUMMYFUNCTION("""COMPUTED_VALUE"""),"Delhi")</f>
        <v>Delhi</v>
      </c>
      <c r="Z3798" s="124">
        <f>IFERROR(__xludf.DUMMYFUNCTION("""COMPUTED_VALUE"""),1.0)</f>
        <v>1</v>
      </c>
      <c r="AA3798" s="124" t="str">
        <f>IFERROR(__xludf.DUMMYFUNCTION("""COMPUTED_VALUE"""),"Not Interested")</f>
        <v>Not Interested</v>
      </c>
      <c r="AB3798" s="124" t="str">
        <f>IFERROR(__xludf.DUMMYFUNCTION("""COMPUTED_VALUE"""),"Prelims Crash Course - SIP")</f>
        <v>Prelims Crash Course - SIP</v>
      </c>
    </row>
    <row r="3799">
      <c r="K3799" s="124"/>
      <c r="L3799" s="124"/>
      <c r="M3799" s="124"/>
      <c r="N3799" s="124"/>
      <c r="O3799" s="124"/>
      <c r="T3799" s="126">
        <f>IFERROR(__xludf.DUMMYFUNCTION("""COMPUTED_VALUE"""),46080.0)</f>
        <v>46080</v>
      </c>
      <c r="U3799" s="124" t="str">
        <f>IFERROR(__xludf.DUMMYFUNCTION("""COMPUTED_VALUE"""),"Publisher Campaign")</f>
        <v>Publisher Campaign</v>
      </c>
      <c r="V3799" s="124" t="str">
        <f>IFERROR(__xludf.DUMMYFUNCTION("""COMPUTED_VALUE"""),"Webinar")</f>
        <v>Webinar</v>
      </c>
      <c r="W3799" s="124"/>
      <c r="X3799" s="124"/>
      <c r="Y3799" s="124" t="str">
        <f>IFERROR(__xludf.DUMMYFUNCTION("""COMPUTED_VALUE"""),"Lucknow")</f>
        <v>Lucknow</v>
      </c>
      <c r="Z3799" s="124">
        <f>IFERROR(__xludf.DUMMYFUNCTION("""COMPUTED_VALUE"""),1.0)</f>
        <v>1</v>
      </c>
      <c r="AA3799" s="124" t="str">
        <f>IFERROR(__xludf.DUMMYFUNCTION("""COMPUTED_VALUE"""),"Cold")</f>
        <v>Cold</v>
      </c>
      <c r="AB3799" s="124" t="str">
        <f>IFERROR(__xludf.DUMMYFUNCTION("""COMPUTED_VALUE"""),"GS Foundation")</f>
        <v>GS Foundation</v>
      </c>
    </row>
    <row r="3800">
      <c r="K3800" s="124"/>
      <c r="L3800" s="124"/>
      <c r="M3800" s="124"/>
      <c r="N3800" s="124"/>
      <c r="O3800" s="124"/>
      <c r="T3800" s="126">
        <f>IFERROR(__xludf.DUMMYFUNCTION("""COMPUTED_VALUE"""),46078.0)</f>
        <v>46078</v>
      </c>
      <c r="U3800" s="124" t="str">
        <f>IFERROR(__xludf.DUMMYFUNCTION("""COMPUTED_VALUE"""),"Publisher Campaign")</f>
        <v>Publisher Campaign</v>
      </c>
      <c r="V3800" s="124" t="str">
        <f>IFERROR(__xludf.DUMMYFUNCTION("""COMPUTED_VALUE"""),"Webinar")</f>
        <v>Webinar</v>
      </c>
      <c r="W3800" s="124"/>
      <c r="X3800" s="124"/>
      <c r="Y3800" s="124" t="str">
        <f>IFERROR(__xludf.DUMMYFUNCTION("""COMPUTED_VALUE"""),"Delhi")</f>
        <v>Delhi</v>
      </c>
      <c r="Z3800" s="124">
        <f>IFERROR(__xludf.DUMMYFUNCTION("""COMPUTED_VALUE"""),1.0)</f>
        <v>1</v>
      </c>
      <c r="AA3800" s="124" t="str">
        <f>IFERROR(__xludf.DUMMYFUNCTION("""COMPUTED_VALUE"""),"Cold")</f>
        <v>Cold</v>
      </c>
      <c r="AB3800" s="124" t="str">
        <f>IFERROR(__xludf.DUMMYFUNCTION("""COMPUTED_VALUE"""),"Other")</f>
        <v>Other</v>
      </c>
    </row>
    <row r="3801">
      <c r="K3801" s="124"/>
      <c r="L3801" s="124"/>
      <c r="M3801" s="124"/>
      <c r="N3801" s="124"/>
      <c r="O3801" s="124"/>
      <c r="T3801" s="126">
        <f>IFERROR(__xludf.DUMMYFUNCTION("""COMPUTED_VALUE"""),46078.0)</f>
        <v>46078</v>
      </c>
      <c r="U3801" s="124" t="str">
        <f>IFERROR(__xludf.DUMMYFUNCTION("""COMPUTED_VALUE"""),"Publisher Campaign")</f>
        <v>Publisher Campaign</v>
      </c>
      <c r="V3801" s="124" t="str">
        <f>IFERROR(__xludf.DUMMYFUNCTION("""COMPUTED_VALUE"""),"Webinar")</f>
        <v>Webinar</v>
      </c>
      <c r="W3801" s="124"/>
      <c r="X3801" s="124"/>
      <c r="Y3801" s="124" t="str">
        <f>IFERROR(__xludf.DUMMYFUNCTION("""COMPUTED_VALUE"""),"Delhi")</f>
        <v>Delhi</v>
      </c>
      <c r="Z3801" s="124">
        <f>IFERROR(__xludf.DUMMYFUNCTION("""COMPUTED_VALUE"""),1.0)</f>
        <v>1</v>
      </c>
      <c r="AA3801" s="124" t="str">
        <f>IFERROR(__xludf.DUMMYFUNCTION("""COMPUTED_VALUE"""),"Not Interested")</f>
        <v>Not Interested</v>
      </c>
      <c r="AB3801" s="124" t="str">
        <f>IFERROR(__xludf.DUMMYFUNCTION("""COMPUTED_VALUE"""),"Prelims Crash Course - SIP")</f>
        <v>Prelims Crash Course - SIP</v>
      </c>
    </row>
    <row r="3802">
      <c r="K3802" s="124"/>
      <c r="L3802" s="124"/>
      <c r="M3802" s="124"/>
      <c r="N3802" s="124"/>
      <c r="O3802" s="124"/>
      <c r="T3802" s="129">
        <f>IFERROR(__xludf.DUMMYFUNCTION("""COMPUTED_VALUE"""),46061.0)</f>
        <v>46061</v>
      </c>
      <c r="U3802" s="124" t="str">
        <f>IFERROR(__xludf.DUMMYFUNCTION("""COMPUTED_VALUE"""),"Publisher Campaign")</f>
        <v>Publisher Campaign</v>
      </c>
      <c r="V3802" s="124" t="str">
        <f>IFERROR(__xludf.DUMMYFUNCTION("""COMPUTED_VALUE"""),"Webinar")</f>
        <v>Webinar</v>
      </c>
      <c r="W3802" s="124"/>
      <c r="X3802" s="124"/>
      <c r="Y3802" s="124" t="str">
        <f>IFERROR(__xludf.DUMMYFUNCTION("""COMPUTED_VALUE"""),"Delhi")</f>
        <v>Delhi</v>
      </c>
      <c r="Z3802" s="124">
        <f>IFERROR(__xludf.DUMMYFUNCTION("""COMPUTED_VALUE"""),1.0)</f>
        <v>1</v>
      </c>
      <c r="AA3802" s="124" t="str">
        <f>IFERROR(__xludf.DUMMYFUNCTION("""COMPUTED_VALUE"""),"Engaged")</f>
        <v>Engaged</v>
      </c>
      <c r="AB3802" s="124" t="str">
        <f>IFERROR(__xludf.DUMMYFUNCTION("""COMPUTED_VALUE"""),"Optionals")</f>
        <v>Optionals</v>
      </c>
    </row>
    <row r="3803">
      <c r="K3803" s="124"/>
      <c r="L3803" s="124"/>
      <c r="M3803" s="124"/>
      <c r="N3803" s="124"/>
      <c r="O3803" s="124"/>
      <c r="T3803" s="126">
        <f>IFERROR(__xludf.DUMMYFUNCTION("""COMPUTED_VALUE"""),46044.0)</f>
        <v>46044</v>
      </c>
      <c r="U3803" s="124" t="str">
        <f>IFERROR(__xludf.DUMMYFUNCTION("""COMPUTED_VALUE"""),"External Leads")</f>
        <v>External Leads</v>
      </c>
      <c r="V3803" s="124" t="str">
        <f>IFERROR(__xludf.DUMMYFUNCTION("""COMPUTED_VALUE"""),"external leads")</f>
        <v>external leads</v>
      </c>
      <c r="W3803" s="124"/>
      <c r="X3803" s="124"/>
      <c r="Y3803" s="124" t="str">
        <f>IFERROR(__xludf.DUMMYFUNCTION("""COMPUTED_VALUE"""),"Delhi")</f>
        <v>Delhi</v>
      </c>
      <c r="Z3803" s="124">
        <f>IFERROR(__xludf.DUMMYFUNCTION("""COMPUTED_VALUE"""),1.0)</f>
        <v>1</v>
      </c>
      <c r="AA3803" s="124" t="str">
        <f>IFERROR(__xludf.DUMMYFUNCTION("""COMPUTED_VALUE"""),"Cold")</f>
        <v>Cold</v>
      </c>
      <c r="AB3803" s="124" t="str">
        <f>IFERROR(__xludf.DUMMYFUNCTION("""COMPUTED_VALUE"""),"Optionals")</f>
        <v>Optionals</v>
      </c>
    </row>
    <row r="3804">
      <c r="K3804" s="124"/>
      <c r="L3804" s="124"/>
      <c r="M3804" s="124"/>
      <c r="N3804" s="124"/>
      <c r="O3804" s="124"/>
      <c r="T3804" s="126">
        <f>IFERROR(__xludf.DUMMYFUNCTION("""COMPUTED_VALUE"""),46065.0)</f>
        <v>46065</v>
      </c>
      <c r="U3804" s="124" t="str">
        <f>IFERROR(__xludf.DUMMYFUNCTION("""COMPUTED_VALUE"""),"Publisher Campaign")</f>
        <v>Publisher Campaign</v>
      </c>
      <c r="V3804" s="124" t="str">
        <f>IFERROR(__xludf.DUMMYFUNCTION("""COMPUTED_VALUE"""),"BTL Activities")</f>
        <v>BTL Activities</v>
      </c>
      <c r="W3804" s="124"/>
      <c r="X3804" s="124"/>
      <c r="Y3804" s="124" t="str">
        <f>IFERROR(__xludf.DUMMYFUNCTION("""COMPUTED_VALUE"""),"Indore")</f>
        <v>Indore</v>
      </c>
      <c r="Z3804" s="124">
        <f>IFERROR(__xludf.DUMMYFUNCTION("""COMPUTED_VALUE"""),1.0)</f>
        <v>1</v>
      </c>
      <c r="AA3804" s="124" t="str">
        <f>IFERROR(__xludf.DUMMYFUNCTION("""COMPUTED_VALUE"""),"Cold")</f>
        <v>Cold</v>
      </c>
      <c r="AB3804" s="124" t="str">
        <f>IFERROR(__xludf.DUMMYFUNCTION("""COMPUTED_VALUE"""),"GS Foundation")</f>
        <v>GS Foundation</v>
      </c>
    </row>
    <row r="3805">
      <c r="K3805" s="124"/>
      <c r="L3805" s="124"/>
      <c r="M3805" s="124"/>
      <c r="N3805" s="124"/>
      <c r="O3805" s="124"/>
      <c r="T3805" s="126">
        <f>IFERROR(__xludf.DUMMYFUNCTION("""COMPUTED_VALUE"""),46096.0)</f>
        <v>46096</v>
      </c>
      <c r="U3805" s="124" t="str">
        <f>IFERROR(__xludf.DUMMYFUNCTION("""COMPUTED_VALUE"""),"Publisher Campaign")</f>
        <v>Publisher Campaign</v>
      </c>
      <c r="V3805" s="124" t="str">
        <f>IFERROR(__xludf.DUMMYFUNCTION("""COMPUTED_VALUE"""),"BTL Activities")</f>
        <v>BTL Activities</v>
      </c>
      <c r="W3805" s="124"/>
      <c r="X3805" s="124"/>
      <c r="Y3805" s="124" t="str">
        <f>IFERROR(__xludf.DUMMYFUNCTION("""COMPUTED_VALUE"""),"Prayagraj")</f>
        <v>Prayagraj</v>
      </c>
      <c r="Z3805" s="124">
        <f>IFERROR(__xludf.DUMMYFUNCTION("""COMPUTED_VALUE"""),1.0)</f>
        <v>1</v>
      </c>
      <c r="AA3805" s="124"/>
      <c r="AB3805" s="124" t="str">
        <f>IFERROR(__xludf.DUMMYFUNCTION("""COMPUTED_VALUE"""),"Test Series")</f>
        <v>Test Series</v>
      </c>
    </row>
    <row r="3806">
      <c r="K3806" s="124"/>
      <c r="L3806" s="124"/>
      <c r="M3806" s="124"/>
      <c r="N3806" s="124"/>
      <c r="O3806" s="124"/>
      <c r="T3806" s="129">
        <f>IFERROR(__xludf.DUMMYFUNCTION("""COMPUTED_VALUE"""),46090.0)</f>
        <v>46090</v>
      </c>
      <c r="U3806" s="124" t="str">
        <f>IFERROR(__xludf.DUMMYFUNCTION("""COMPUTED_VALUE"""),"Publisher Campaign")</f>
        <v>Publisher Campaign</v>
      </c>
      <c r="V3806" s="124" t="str">
        <f>IFERROR(__xludf.DUMMYFUNCTION("""COMPUTED_VALUE"""),"BTL Activities")</f>
        <v>BTL Activities</v>
      </c>
      <c r="W3806" s="124"/>
      <c r="X3806" s="124"/>
      <c r="Y3806" s="124" t="str">
        <f>IFERROR(__xludf.DUMMYFUNCTION("""COMPUTED_VALUE"""),"Delhi")</f>
        <v>Delhi</v>
      </c>
      <c r="Z3806" s="124">
        <f>IFERROR(__xludf.DUMMYFUNCTION("""COMPUTED_VALUE"""),1.0)</f>
        <v>1</v>
      </c>
      <c r="AA3806" s="124"/>
      <c r="AB3806" s="124" t="str">
        <f>IFERROR(__xludf.DUMMYFUNCTION("""COMPUTED_VALUE"""),"IGP UPPSC")</f>
        <v>IGP UPPSC</v>
      </c>
    </row>
    <row r="3807">
      <c r="K3807" s="124"/>
      <c r="L3807" s="124"/>
      <c r="M3807" s="124"/>
      <c r="N3807" s="124"/>
      <c r="O3807" s="124"/>
      <c r="T3807" s="126">
        <f>IFERROR(__xludf.DUMMYFUNCTION("""COMPUTED_VALUE"""),46043.0)</f>
        <v>46043</v>
      </c>
      <c r="U3807" s="124" t="str">
        <f>IFERROR(__xludf.DUMMYFUNCTION("""COMPUTED_VALUE"""),"External Leads")</f>
        <v>External Leads</v>
      </c>
      <c r="V3807" s="124" t="str">
        <f>IFERROR(__xludf.DUMMYFUNCTION("""COMPUTED_VALUE"""),"external leads")</f>
        <v>external leads</v>
      </c>
      <c r="W3807" s="124"/>
      <c r="X3807" s="124"/>
      <c r="Y3807" s="124" t="str">
        <f>IFERROR(__xludf.DUMMYFUNCTION("""COMPUTED_VALUE"""),"Delhi")</f>
        <v>Delhi</v>
      </c>
      <c r="Z3807" s="124">
        <f>IFERROR(__xludf.DUMMYFUNCTION("""COMPUTED_VALUE"""),1.0)</f>
        <v>1</v>
      </c>
      <c r="AA3807" s="124" t="str">
        <f>IFERROR(__xludf.DUMMYFUNCTION("""COMPUTED_VALUE"""),"Cold")</f>
        <v>Cold</v>
      </c>
      <c r="AB3807" s="124"/>
    </row>
    <row r="3808">
      <c r="K3808" s="124"/>
      <c r="L3808" s="124"/>
      <c r="M3808" s="124"/>
      <c r="N3808" s="124"/>
      <c r="O3808" s="124"/>
      <c r="T3808" s="126">
        <f>IFERROR(__xludf.DUMMYFUNCTION("""COMPUTED_VALUE"""),46081.0)</f>
        <v>46081</v>
      </c>
      <c r="U3808" s="124" t="str">
        <f>IFERROR(__xludf.DUMMYFUNCTION("""COMPUTED_VALUE"""),"Walk-Ins")</f>
        <v>Walk-Ins</v>
      </c>
      <c r="V3808" s="124" t="str">
        <f>IFERROR(__xludf.DUMMYFUNCTION("""COMPUTED_VALUE"""),"Walkin")</f>
        <v>Walkin</v>
      </c>
      <c r="W3808" s="124" t="str">
        <f>IFERROR(__xludf.DUMMYFUNCTION("""COMPUTED_VALUE"""),"Delhi")</f>
        <v>Delhi</v>
      </c>
      <c r="X3808" s="124" t="str">
        <f>IFERROR(__xludf.DUMMYFUNCTION("""COMPUTED_VALUE"""),"walkin")</f>
        <v>walkin</v>
      </c>
      <c r="Y3808" s="124" t="str">
        <f>IFERROR(__xludf.DUMMYFUNCTION("""COMPUTED_VALUE"""),"Delhi")</f>
        <v>Delhi</v>
      </c>
      <c r="Z3808" s="124">
        <f>IFERROR(__xludf.DUMMYFUNCTION("""COMPUTED_VALUE"""),1.0)</f>
        <v>1</v>
      </c>
      <c r="AA3808" s="124" t="str">
        <f>IFERROR(__xludf.DUMMYFUNCTION("""COMPUTED_VALUE"""),"Not Interested")</f>
        <v>Not Interested</v>
      </c>
      <c r="AB3808" s="124" t="str">
        <f>IFERROR(__xludf.DUMMYFUNCTION("""COMPUTED_VALUE"""),"Optionals")</f>
        <v>Optionals</v>
      </c>
    </row>
    <row r="3809">
      <c r="K3809" s="124"/>
      <c r="L3809" s="124"/>
      <c r="M3809" s="124"/>
      <c r="N3809" s="124"/>
      <c r="O3809" s="124"/>
      <c r="T3809" s="126">
        <f>IFERROR(__xludf.DUMMYFUNCTION("""COMPUTED_VALUE"""),46109.0)</f>
        <v>46109</v>
      </c>
      <c r="U3809" s="124" t="str">
        <f>IFERROR(__xludf.DUMMYFUNCTION("""COMPUTED_VALUE"""),"Walk-Ins")</f>
        <v>Walk-Ins</v>
      </c>
      <c r="V3809" s="124" t="str">
        <f>IFERROR(__xludf.DUMMYFUNCTION("""COMPUTED_VALUE"""),"Walkin")</f>
        <v>Walkin</v>
      </c>
      <c r="W3809" s="124" t="str">
        <f>IFERROR(__xludf.DUMMYFUNCTION("""COMPUTED_VALUE"""),"Delhi")</f>
        <v>Delhi</v>
      </c>
      <c r="X3809" s="124" t="str">
        <f>IFERROR(__xludf.DUMMYFUNCTION("""COMPUTED_VALUE"""),"walkin")</f>
        <v>walkin</v>
      </c>
      <c r="Y3809" s="124" t="str">
        <f>IFERROR(__xludf.DUMMYFUNCTION("""COMPUTED_VALUE"""),"Delhi")</f>
        <v>Delhi</v>
      </c>
      <c r="Z3809" s="124">
        <f>IFERROR(__xludf.DUMMYFUNCTION("""COMPUTED_VALUE"""),1.0)</f>
        <v>1</v>
      </c>
      <c r="AA3809" s="124" t="str">
        <f>IFERROR(__xludf.DUMMYFUNCTION("""COMPUTED_VALUE"""),"Interested")</f>
        <v>Interested</v>
      </c>
      <c r="AB3809" s="124" t="str">
        <f>IFERROR(__xludf.DUMMYFUNCTION("""COMPUTED_VALUE"""),"GS Foundation")</f>
        <v>GS Foundation</v>
      </c>
    </row>
    <row r="3810">
      <c r="K3810" s="124"/>
      <c r="L3810" s="124"/>
      <c r="M3810" s="124"/>
      <c r="N3810" s="124"/>
      <c r="O3810" s="124"/>
      <c r="T3810" s="126">
        <f>IFERROR(__xludf.DUMMYFUNCTION("""COMPUTED_VALUE"""),46071.0)</f>
        <v>46071</v>
      </c>
      <c r="U3810" s="124" t="str">
        <f>IFERROR(__xludf.DUMMYFUNCTION("""COMPUTED_VALUE"""),"Walk-Ins")</f>
        <v>Walk-Ins</v>
      </c>
      <c r="V3810" s="124" t="str">
        <f>IFERROR(__xludf.DUMMYFUNCTION("""COMPUTED_VALUE"""),"Walkin")</f>
        <v>Walkin</v>
      </c>
      <c r="W3810" s="124" t="str">
        <f>IFERROR(__xludf.DUMMYFUNCTION("""COMPUTED_VALUE"""),"Delhi")</f>
        <v>Delhi</v>
      </c>
      <c r="X3810" s="124" t="str">
        <f>IFERROR(__xludf.DUMMYFUNCTION("""COMPUTED_VALUE"""),"walkin")</f>
        <v>walkin</v>
      </c>
      <c r="Y3810" s="124" t="str">
        <f>IFERROR(__xludf.DUMMYFUNCTION("""COMPUTED_VALUE"""),"Delhi")</f>
        <v>Delhi</v>
      </c>
      <c r="Z3810" s="124">
        <f>IFERROR(__xludf.DUMMYFUNCTION("""COMPUTED_VALUE"""),1.0)</f>
        <v>1</v>
      </c>
      <c r="AA3810" s="124" t="str">
        <f>IFERROR(__xludf.DUMMYFUNCTION("""COMPUTED_VALUE"""),"Cold")</f>
        <v>Cold</v>
      </c>
      <c r="AB3810" s="124" t="str">
        <f>IFERROR(__xludf.DUMMYFUNCTION("""COMPUTED_VALUE"""),"GS Foundation")</f>
        <v>GS Foundation</v>
      </c>
    </row>
    <row r="3811">
      <c r="K3811" s="124"/>
      <c r="L3811" s="124"/>
      <c r="M3811" s="124"/>
      <c r="N3811" s="124"/>
      <c r="O3811" s="124"/>
      <c r="T3811" s="126">
        <f>IFERROR(__xludf.DUMMYFUNCTION("""COMPUTED_VALUE"""),46106.0)</f>
        <v>46106</v>
      </c>
      <c r="U3811" s="124" t="str">
        <f>IFERROR(__xludf.DUMMYFUNCTION("""COMPUTED_VALUE"""),"Walk-Ins")</f>
        <v>Walk-Ins</v>
      </c>
      <c r="V3811" s="124" t="str">
        <f>IFERROR(__xludf.DUMMYFUNCTION("""COMPUTED_VALUE"""),"Walkin")</f>
        <v>Walkin</v>
      </c>
      <c r="W3811" s="124" t="str">
        <f>IFERROR(__xludf.DUMMYFUNCTION("""COMPUTED_VALUE"""),"Delhi")</f>
        <v>Delhi</v>
      </c>
      <c r="X3811" s="124" t="str">
        <f>IFERROR(__xludf.DUMMYFUNCTION("""COMPUTED_VALUE"""),"walkin")</f>
        <v>walkin</v>
      </c>
      <c r="Y3811" s="124" t="str">
        <f>IFERROR(__xludf.DUMMYFUNCTION("""COMPUTED_VALUE"""),"Delhi")</f>
        <v>Delhi</v>
      </c>
      <c r="Z3811" s="124">
        <f>IFERROR(__xludf.DUMMYFUNCTION("""COMPUTED_VALUE"""),1.0)</f>
        <v>1</v>
      </c>
      <c r="AA3811" s="124" t="str">
        <f>IFERROR(__xludf.DUMMYFUNCTION("""COMPUTED_VALUE"""),"Not Interested")</f>
        <v>Not Interested</v>
      </c>
      <c r="AB3811" s="124" t="str">
        <f>IFERROR(__xludf.DUMMYFUNCTION("""COMPUTED_VALUE"""),"Optionals")</f>
        <v>Optionals</v>
      </c>
    </row>
    <row r="3812">
      <c r="K3812" s="124"/>
      <c r="L3812" s="124"/>
      <c r="M3812" s="124"/>
      <c r="N3812" s="124"/>
      <c r="O3812" s="124"/>
      <c r="T3812" s="126">
        <f>IFERROR(__xludf.DUMMYFUNCTION("""COMPUTED_VALUE"""),46053.0)</f>
        <v>46053</v>
      </c>
      <c r="U3812" s="124" t="str">
        <f>IFERROR(__xludf.DUMMYFUNCTION("""COMPUTED_VALUE"""),"Walk-Ins")</f>
        <v>Walk-Ins</v>
      </c>
      <c r="V3812" s="124" t="str">
        <f>IFERROR(__xludf.DUMMYFUNCTION("""COMPUTED_VALUE"""),"Walkin")</f>
        <v>Walkin</v>
      </c>
      <c r="W3812" s="124" t="str">
        <f>IFERROR(__xludf.DUMMYFUNCTION("""COMPUTED_VALUE"""),"Delhi")</f>
        <v>Delhi</v>
      </c>
      <c r="X3812" s="124" t="str">
        <f>IFERROR(__xludf.DUMMYFUNCTION("""COMPUTED_VALUE"""),"walkin")</f>
        <v>walkin</v>
      </c>
      <c r="Y3812" s="124" t="str">
        <f>IFERROR(__xludf.DUMMYFUNCTION("""COMPUTED_VALUE"""),"Delhi")</f>
        <v>Delhi</v>
      </c>
      <c r="Z3812" s="124">
        <f>IFERROR(__xludf.DUMMYFUNCTION("""COMPUTED_VALUE"""),1.0)</f>
        <v>1</v>
      </c>
      <c r="AA3812" s="124" t="str">
        <f>IFERROR(__xludf.DUMMYFUNCTION("""COMPUTED_VALUE"""),"Not Interested")</f>
        <v>Not Interested</v>
      </c>
      <c r="AB3812" s="124" t="str">
        <f>IFERROR(__xludf.DUMMYFUNCTION("""COMPUTED_VALUE"""),"Mentorship")</f>
        <v>Mentorship</v>
      </c>
    </row>
    <row r="3813">
      <c r="K3813" s="124"/>
      <c r="L3813" s="124"/>
      <c r="M3813" s="124"/>
      <c r="N3813" s="124"/>
      <c r="O3813" s="124"/>
      <c r="T3813" s="126">
        <f>IFERROR(__xludf.DUMMYFUNCTION("""COMPUTED_VALUE"""),46100.0)</f>
        <v>46100</v>
      </c>
      <c r="U3813" s="124" t="str">
        <f>IFERROR(__xludf.DUMMYFUNCTION("""COMPUTED_VALUE"""),"Walk-Ins")</f>
        <v>Walk-Ins</v>
      </c>
      <c r="V3813" s="124" t="str">
        <f>IFERROR(__xludf.DUMMYFUNCTION("""COMPUTED_VALUE"""),"Walkin")</f>
        <v>Walkin</v>
      </c>
      <c r="W3813" s="124" t="str">
        <f>IFERROR(__xludf.DUMMYFUNCTION("""COMPUTED_VALUE"""),"Delhi")</f>
        <v>Delhi</v>
      </c>
      <c r="X3813" s="124" t="str">
        <f>IFERROR(__xludf.DUMMYFUNCTION("""COMPUTED_VALUE"""),"walkin")</f>
        <v>walkin</v>
      </c>
      <c r="Y3813" s="124" t="str">
        <f>IFERROR(__xludf.DUMMYFUNCTION("""COMPUTED_VALUE"""),"Delhi")</f>
        <v>Delhi</v>
      </c>
      <c r="Z3813" s="124">
        <f>IFERROR(__xludf.DUMMYFUNCTION("""COMPUTED_VALUE"""),3.0)</f>
        <v>3</v>
      </c>
      <c r="AA3813" s="124" t="str">
        <f>IFERROR(__xludf.DUMMYFUNCTION("""COMPUTED_VALUE"""),"Not Interested")</f>
        <v>Not Interested</v>
      </c>
      <c r="AB3813" s="124" t="str">
        <f>IFERROR(__xludf.DUMMYFUNCTION("""COMPUTED_VALUE"""),"GS Foundation")</f>
        <v>GS Foundation</v>
      </c>
    </row>
    <row r="3814">
      <c r="K3814" s="124"/>
      <c r="L3814" s="124"/>
      <c r="M3814" s="124"/>
      <c r="N3814" s="124"/>
      <c r="O3814" s="124"/>
      <c r="T3814" s="129">
        <f>IFERROR(__xludf.DUMMYFUNCTION("""COMPUTED_VALUE"""),46054.0)</f>
        <v>46054</v>
      </c>
      <c r="U3814" s="124" t="str">
        <f>IFERROR(__xludf.DUMMYFUNCTION("""COMPUTED_VALUE"""),"Walk-Ins")</f>
        <v>Walk-Ins</v>
      </c>
      <c r="V3814" s="124" t="str">
        <f>IFERROR(__xludf.DUMMYFUNCTION("""COMPUTED_VALUE"""),"Walkin")</f>
        <v>Walkin</v>
      </c>
      <c r="W3814" s="124" t="str">
        <f>IFERROR(__xludf.DUMMYFUNCTION("""COMPUTED_VALUE"""),"Delhi")</f>
        <v>Delhi</v>
      </c>
      <c r="X3814" s="124" t="str">
        <f>IFERROR(__xludf.DUMMYFUNCTION("""COMPUTED_VALUE"""),"walkin")</f>
        <v>walkin</v>
      </c>
      <c r="Y3814" s="124" t="str">
        <f>IFERROR(__xludf.DUMMYFUNCTION("""COMPUTED_VALUE"""),"Delhi")</f>
        <v>Delhi</v>
      </c>
      <c r="Z3814" s="124">
        <f>IFERROR(__xludf.DUMMYFUNCTION("""COMPUTED_VALUE"""),1.0)</f>
        <v>1</v>
      </c>
      <c r="AA3814" s="124" t="str">
        <f>IFERROR(__xludf.DUMMYFUNCTION("""COMPUTED_VALUE"""),"Enrolled")</f>
        <v>Enrolled</v>
      </c>
      <c r="AB3814" s="124" t="str">
        <f>IFERROR(__xludf.DUMMYFUNCTION("""COMPUTED_VALUE"""),"GS Foundation")</f>
        <v>GS Foundation</v>
      </c>
    </row>
    <row r="3815">
      <c r="K3815" s="124"/>
      <c r="L3815" s="124"/>
      <c r="M3815" s="124"/>
      <c r="N3815" s="124"/>
      <c r="O3815" s="124"/>
      <c r="T3815" s="126">
        <f>IFERROR(__xludf.DUMMYFUNCTION("""COMPUTED_VALUE"""),46046.0)</f>
        <v>46046</v>
      </c>
      <c r="U3815" s="124" t="str">
        <f>IFERROR(__xludf.DUMMYFUNCTION("""COMPUTED_VALUE"""),"Walk-Ins")</f>
        <v>Walk-Ins</v>
      </c>
      <c r="V3815" s="124" t="str">
        <f>IFERROR(__xludf.DUMMYFUNCTION("""COMPUTED_VALUE"""),"Walkin")</f>
        <v>Walkin</v>
      </c>
      <c r="W3815" s="124" t="str">
        <f>IFERROR(__xludf.DUMMYFUNCTION("""COMPUTED_VALUE"""),"Delhi")</f>
        <v>Delhi</v>
      </c>
      <c r="X3815" s="124" t="str">
        <f>IFERROR(__xludf.DUMMYFUNCTION("""COMPUTED_VALUE"""),"walkin")</f>
        <v>walkin</v>
      </c>
      <c r="Y3815" s="124" t="str">
        <f>IFERROR(__xludf.DUMMYFUNCTION("""COMPUTED_VALUE"""),"Delhi")</f>
        <v>Delhi</v>
      </c>
      <c r="Z3815" s="124">
        <f>IFERROR(__xludf.DUMMYFUNCTION("""COMPUTED_VALUE"""),2.0)</f>
        <v>2</v>
      </c>
      <c r="AA3815" s="124" t="str">
        <f>IFERROR(__xludf.DUMMYFUNCTION("""COMPUTED_VALUE"""),"Future Prospects")</f>
        <v>Future Prospects</v>
      </c>
      <c r="AB3815" s="124" t="str">
        <f>IFERROR(__xludf.DUMMYFUNCTION("""COMPUTED_VALUE"""),"GS Foundation")</f>
        <v>GS Foundation</v>
      </c>
    </row>
    <row r="3816">
      <c r="K3816" s="124"/>
      <c r="L3816" s="124"/>
      <c r="M3816" s="124"/>
      <c r="N3816" s="124"/>
      <c r="O3816" s="124"/>
      <c r="T3816" s="126">
        <f>IFERROR(__xludf.DUMMYFUNCTION("""COMPUTED_VALUE"""),46053.0)</f>
        <v>46053</v>
      </c>
      <c r="U3816" s="124" t="str">
        <f>IFERROR(__xludf.DUMMYFUNCTION("""COMPUTED_VALUE"""),"Walk-Ins")</f>
        <v>Walk-Ins</v>
      </c>
      <c r="V3816" s="124" t="str">
        <f>IFERROR(__xludf.DUMMYFUNCTION("""COMPUTED_VALUE"""),"walk-in")</f>
        <v>walk-in</v>
      </c>
      <c r="W3816" s="124" t="str">
        <f>IFERROR(__xludf.DUMMYFUNCTION("""COMPUTED_VALUE"""),"indore")</f>
        <v>indore</v>
      </c>
      <c r="X3816" s="124" t="str">
        <f>IFERROR(__xludf.DUMMYFUNCTION("""COMPUTED_VALUE"""),"suraj sharma")</f>
        <v>suraj sharma</v>
      </c>
      <c r="Y3816" s="124"/>
      <c r="Z3816" s="124">
        <f>IFERROR(__xludf.DUMMYFUNCTION("""COMPUTED_VALUE"""),1.0)</f>
        <v>1</v>
      </c>
      <c r="AA3816" s="124" t="str">
        <f>IFERROR(__xludf.DUMMYFUNCTION("""COMPUTED_VALUE"""),"Enrolled")</f>
        <v>Enrolled</v>
      </c>
      <c r="AB3816" s="124" t="str">
        <f>IFERROR(__xludf.DUMMYFUNCTION("""COMPUTED_VALUE"""),"State PCS")</f>
        <v>State PCS</v>
      </c>
    </row>
    <row r="3817">
      <c r="K3817" s="124"/>
      <c r="L3817" s="124"/>
      <c r="M3817" s="124"/>
      <c r="N3817" s="124"/>
      <c r="O3817" s="124"/>
      <c r="T3817" s="126">
        <f>IFERROR(__xludf.DUMMYFUNCTION("""COMPUTED_VALUE"""),46099.0)</f>
        <v>46099</v>
      </c>
      <c r="U3817" s="124" t="str">
        <f>IFERROR(__xludf.DUMMYFUNCTION("""COMPUTED_VALUE"""),"Walk-Ins")</f>
        <v>Walk-Ins</v>
      </c>
      <c r="V3817" s="124" t="str">
        <f>IFERROR(__xludf.DUMMYFUNCTION("""COMPUTED_VALUE"""),"Walkin")</f>
        <v>Walkin</v>
      </c>
      <c r="W3817" s="124" t="str">
        <f>IFERROR(__xludf.DUMMYFUNCTION("""COMPUTED_VALUE"""),"Delhi")</f>
        <v>Delhi</v>
      </c>
      <c r="X3817" s="124" t="str">
        <f>IFERROR(__xludf.DUMMYFUNCTION("""COMPUTED_VALUE"""),"walkin")</f>
        <v>walkin</v>
      </c>
      <c r="Y3817" s="124" t="str">
        <f>IFERROR(__xludf.DUMMYFUNCTION("""COMPUTED_VALUE"""),"Delhi")</f>
        <v>Delhi</v>
      </c>
      <c r="Z3817" s="124">
        <f>IFERROR(__xludf.DUMMYFUNCTION("""COMPUTED_VALUE"""),1.0)</f>
        <v>1</v>
      </c>
      <c r="AA3817" s="124" t="str">
        <f>IFERROR(__xludf.DUMMYFUNCTION("""COMPUTED_VALUE"""),"Not Interested")</f>
        <v>Not Interested</v>
      </c>
      <c r="AB3817" s="124" t="str">
        <f>IFERROR(__xludf.DUMMYFUNCTION("""COMPUTED_VALUE"""),"Mentorship")</f>
        <v>Mentorship</v>
      </c>
    </row>
    <row r="3818">
      <c r="K3818" s="124"/>
      <c r="L3818" s="124"/>
      <c r="M3818" s="124"/>
      <c r="N3818" s="124"/>
      <c r="O3818" s="124"/>
      <c r="T3818" s="126">
        <f>IFERROR(__xludf.DUMMYFUNCTION("""COMPUTED_VALUE"""),46051.0)</f>
        <v>46051</v>
      </c>
      <c r="U3818" s="124" t="str">
        <f>IFERROR(__xludf.DUMMYFUNCTION("""COMPUTED_VALUE"""),"Walk-Ins")</f>
        <v>Walk-Ins</v>
      </c>
      <c r="V3818" s="124" t="str">
        <f>IFERROR(__xludf.DUMMYFUNCTION("""COMPUTED_VALUE"""),"Walk-In")</f>
        <v>Walk-In</v>
      </c>
      <c r="W3818" s="124" t="str">
        <f>IFERROR(__xludf.DUMMYFUNCTION("""COMPUTED_VALUE"""),"Delhi")</f>
        <v>Delhi</v>
      </c>
      <c r="X3818" s="124" t="str">
        <f>IFERROR(__xludf.DUMMYFUNCTION("""COMPUTED_VALUE"""),"walkin")</f>
        <v>walkin</v>
      </c>
      <c r="Y3818" s="124" t="str">
        <f>IFERROR(__xludf.DUMMYFUNCTION("""COMPUTED_VALUE"""),"Delhi")</f>
        <v>Delhi</v>
      </c>
      <c r="Z3818" s="124">
        <f>IFERROR(__xludf.DUMMYFUNCTION("""COMPUTED_VALUE"""),1.0)</f>
        <v>1</v>
      </c>
      <c r="AA3818" s="124" t="str">
        <f>IFERROR(__xludf.DUMMYFUNCTION("""COMPUTED_VALUE"""),"Warm")</f>
        <v>Warm</v>
      </c>
      <c r="AB3818" s="124" t="str">
        <f>IFERROR(__xludf.DUMMYFUNCTION("""COMPUTED_VALUE"""),"GS Foundation")</f>
        <v>GS Foundation</v>
      </c>
    </row>
    <row r="3819">
      <c r="K3819" s="124"/>
      <c r="L3819" s="124"/>
      <c r="M3819" s="124"/>
      <c r="N3819" s="124"/>
      <c r="O3819" s="124"/>
      <c r="T3819" s="126">
        <f>IFERROR(__xludf.DUMMYFUNCTION("""COMPUTED_VALUE"""),46072.0)</f>
        <v>46072</v>
      </c>
      <c r="U3819" s="124" t="str">
        <f>IFERROR(__xludf.DUMMYFUNCTION("""COMPUTED_VALUE"""),"Walk-Ins")</f>
        <v>Walk-Ins</v>
      </c>
      <c r="V3819" s="124" t="str">
        <f>IFERROR(__xludf.DUMMYFUNCTION("""COMPUTED_VALUE"""),"Walkin")</f>
        <v>Walkin</v>
      </c>
      <c r="W3819" s="124" t="str">
        <f>IFERROR(__xludf.DUMMYFUNCTION("""COMPUTED_VALUE"""),"Delhi")</f>
        <v>Delhi</v>
      </c>
      <c r="X3819" s="124" t="str">
        <f>IFERROR(__xludf.DUMMYFUNCTION("""COMPUTED_VALUE"""),"walkin")</f>
        <v>walkin</v>
      </c>
      <c r="Y3819" s="124" t="str">
        <f>IFERROR(__xludf.DUMMYFUNCTION("""COMPUTED_VALUE"""),"Delhi")</f>
        <v>Delhi</v>
      </c>
      <c r="Z3819" s="124">
        <f>IFERROR(__xludf.DUMMYFUNCTION("""COMPUTED_VALUE"""),1.0)</f>
        <v>1</v>
      </c>
      <c r="AA3819" s="124" t="str">
        <f>IFERROR(__xludf.DUMMYFUNCTION("""COMPUTED_VALUE"""),"Warm")</f>
        <v>Warm</v>
      </c>
      <c r="AB3819" s="124" t="str">
        <f>IFERROR(__xludf.DUMMYFUNCTION("""COMPUTED_VALUE"""),"GS Foundation")</f>
        <v>GS Foundation</v>
      </c>
    </row>
    <row r="3820">
      <c r="K3820" s="124"/>
      <c r="L3820" s="124"/>
      <c r="M3820" s="124"/>
      <c r="N3820" s="124"/>
      <c r="O3820" s="124"/>
      <c r="T3820" s="126">
        <f>IFERROR(__xludf.DUMMYFUNCTION("""COMPUTED_VALUE"""),46064.0)</f>
        <v>46064</v>
      </c>
      <c r="U3820" s="124" t="str">
        <f>IFERROR(__xludf.DUMMYFUNCTION("""COMPUTED_VALUE"""),"Walk-Ins")</f>
        <v>Walk-Ins</v>
      </c>
      <c r="V3820" s="124" t="str">
        <f>IFERROR(__xludf.DUMMYFUNCTION("""COMPUTED_VALUE"""),"Walkin")</f>
        <v>Walkin</v>
      </c>
      <c r="W3820" s="124" t="str">
        <f>IFERROR(__xludf.DUMMYFUNCTION("""COMPUTED_VALUE"""),"Delhi")</f>
        <v>Delhi</v>
      </c>
      <c r="X3820" s="124" t="str">
        <f>IFERROR(__xludf.DUMMYFUNCTION("""COMPUTED_VALUE"""),"walkin")</f>
        <v>walkin</v>
      </c>
      <c r="Y3820" s="124" t="str">
        <f>IFERROR(__xludf.DUMMYFUNCTION("""COMPUTED_VALUE"""),"Delhi")</f>
        <v>Delhi</v>
      </c>
      <c r="Z3820" s="124">
        <f>IFERROR(__xludf.DUMMYFUNCTION("""COMPUTED_VALUE"""),1.0)</f>
        <v>1</v>
      </c>
      <c r="AA3820" s="124" t="str">
        <f>IFERROR(__xludf.DUMMYFUNCTION("""COMPUTED_VALUE"""),"Future Prospects")</f>
        <v>Future Prospects</v>
      </c>
      <c r="AB3820" s="124" t="str">
        <f>IFERROR(__xludf.DUMMYFUNCTION("""COMPUTED_VALUE"""),"Optionals")</f>
        <v>Optionals</v>
      </c>
    </row>
    <row r="3821">
      <c r="K3821" s="124"/>
      <c r="L3821" s="124"/>
      <c r="M3821" s="124"/>
      <c r="N3821" s="124"/>
      <c r="O3821" s="124"/>
      <c r="T3821" s="126">
        <f>IFERROR(__xludf.DUMMYFUNCTION("""COMPUTED_VALUE"""),46080.0)</f>
        <v>46080</v>
      </c>
      <c r="U3821" s="124" t="str">
        <f>IFERROR(__xludf.DUMMYFUNCTION("""COMPUTED_VALUE"""),"Walk-Ins")</f>
        <v>Walk-Ins</v>
      </c>
      <c r="V3821" s="124" t="str">
        <f>IFERROR(__xludf.DUMMYFUNCTION("""COMPUTED_VALUE"""),"Walkin")</f>
        <v>Walkin</v>
      </c>
      <c r="W3821" s="124" t="str">
        <f>IFERROR(__xludf.DUMMYFUNCTION("""COMPUTED_VALUE"""),"Delhi")</f>
        <v>Delhi</v>
      </c>
      <c r="X3821" s="124" t="str">
        <f>IFERROR(__xludf.DUMMYFUNCTION("""COMPUTED_VALUE"""),"walkin")</f>
        <v>walkin</v>
      </c>
      <c r="Y3821" s="124" t="str">
        <f>IFERROR(__xludf.DUMMYFUNCTION("""COMPUTED_VALUE"""),"Delhi")</f>
        <v>Delhi</v>
      </c>
      <c r="Z3821" s="124">
        <f>IFERROR(__xludf.DUMMYFUNCTION("""COMPUTED_VALUE"""),1.0)</f>
        <v>1</v>
      </c>
      <c r="AA3821" s="124" t="str">
        <f>IFERROR(__xludf.DUMMYFUNCTION("""COMPUTED_VALUE"""),"Enrolled")</f>
        <v>Enrolled</v>
      </c>
      <c r="AB3821" s="124" t="str">
        <f>IFERROR(__xludf.DUMMYFUNCTION("""COMPUTED_VALUE"""),"GS Foundation")</f>
        <v>GS Foundation</v>
      </c>
    </row>
    <row r="3822">
      <c r="K3822" s="124"/>
      <c r="L3822" s="124"/>
      <c r="M3822" s="124"/>
      <c r="N3822" s="124"/>
      <c r="O3822" s="124"/>
      <c r="T3822" s="126">
        <f>IFERROR(__xludf.DUMMYFUNCTION("""COMPUTED_VALUE"""),46101.0)</f>
        <v>46101</v>
      </c>
      <c r="U3822" s="124" t="str">
        <f>IFERROR(__xludf.DUMMYFUNCTION("""COMPUTED_VALUE"""),"Walk-Ins")</f>
        <v>Walk-Ins</v>
      </c>
      <c r="V3822" s="124" t="str">
        <f>IFERROR(__xludf.DUMMYFUNCTION("""COMPUTED_VALUE"""),"Walkin")</f>
        <v>Walkin</v>
      </c>
      <c r="W3822" s="124" t="str">
        <f>IFERROR(__xludf.DUMMYFUNCTION("""COMPUTED_VALUE"""),"Delhi")</f>
        <v>Delhi</v>
      </c>
      <c r="X3822" s="124" t="str">
        <f>IFERROR(__xludf.DUMMYFUNCTION("""COMPUTED_VALUE"""),"walkin")</f>
        <v>walkin</v>
      </c>
      <c r="Y3822" s="124" t="str">
        <f>IFERROR(__xludf.DUMMYFUNCTION("""COMPUTED_VALUE"""),"Delhi")</f>
        <v>Delhi</v>
      </c>
      <c r="Z3822" s="124">
        <f>IFERROR(__xludf.DUMMYFUNCTION("""COMPUTED_VALUE"""),1.0)</f>
        <v>1</v>
      </c>
      <c r="AA3822" s="124" t="str">
        <f>IFERROR(__xludf.DUMMYFUNCTION("""COMPUTED_VALUE"""),"Interested")</f>
        <v>Interested</v>
      </c>
      <c r="AB3822" s="124" t="str">
        <f>IFERROR(__xludf.DUMMYFUNCTION("""COMPUTED_VALUE"""),"GS Foundation")</f>
        <v>GS Foundation</v>
      </c>
    </row>
    <row r="3823">
      <c r="K3823" s="124"/>
      <c r="L3823" s="124"/>
      <c r="M3823" s="124"/>
      <c r="N3823" s="124"/>
      <c r="O3823" s="124"/>
      <c r="T3823" s="129">
        <f>IFERROR(__xludf.DUMMYFUNCTION("""COMPUTED_VALUE"""),46062.0)</f>
        <v>46062</v>
      </c>
      <c r="U3823" s="124" t="str">
        <f>IFERROR(__xludf.DUMMYFUNCTION("""COMPUTED_VALUE"""),"Walk-Ins")</f>
        <v>Walk-Ins</v>
      </c>
      <c r="V3823" s="124" t="str">
        <f>IFERROR(__xludf.DUMMYFUNCTION("""COMPUTED_VALUE"""),"Walkin")</f>
        <v>Walkin</v>
      </c>
      <c r="W3823" s="124" t="str">
        <f>IFERROR(__xludf.DUMMYFUNCTION("""COMPUTED_VALUE"""),"Delhi")</f>
        <v>Delhi</v>
      </c>
      <c r="X3823" s="124" t="str">
        <f>IFERROR(__xludf.DUMMYFUNCTION("""COMPUTED_VALUE"""),"walkin")</f>
        <v>walkin</v>
      </c>
      <c r="Y3823" s="124" t="str">
        <f>IFERROR(__xludf.DUMMYFUNCTION("""COMPUTED_VALUE"""),"Delhi")</f>
        <v>Delhi</v>
      </c>
      <c r="Z3823" s="124">
        <f>IFERROR(__xludf.DUMMYFUNCTION("""COMPUTED_VALUE"""),1.0)</f>
        <v>1</v>
      </c>
      <c r="AA3823" s="124" t="str">
        <f>IFERROR(__xludf.DUMMYFUNCTION("""COMPUTED_VALUE"""),"Enrolled")</f>
        <v>Enrolled</v>
      </c>
      <c r="AB3823" s="124" t="str">
        <f>IFERROR(__xludf.DUMMYFUNCTION("""COMPUTED_VALUE"""),"GS Foundation")</f>
        <v>GS Foundation</v>
      </c>
    </row>
    <row r="3824">
      <c r="K3824" s="124"/>
      <c r="L3824" s="124"/>
      <c r="M3824" s="124"/>
      <c r="N3824" s="124"/>
      <c r="O3824" s="124"/>
      <c r="T3824" s="126">
        <f>IFERROR(__xludf.DUMMYFUNCTION("""COMPUTED_VALUE"""),46063.0)</f>
        <v>46063</v>
      </c>
      <c r="U3824" s="124" t="str">
        <f>IFERROR(__xludf.DUMMYFUNCTION("""COMPUTED_VALUE"""),"Walk-Ins")</f>
        <v>Walk-Ins</v>
      </c>
      <c r="V3824" s="124" t="str">
        <f>IFERROR(__xludf.DUMMYFUNCTION("""COMPUTED_VALUE"""),"Walkin")</f>
        <v>Walkin</v>
      </c>
      <c r="W3824" s="124" t="str">
        <f>IFERROR(__xludf.DUMMYFUNCTION("""COMPUTED_VALUE"""),"Delhi")</f>
        <v>Delhi</v>
      </c>
      <c r="X3824" s="124" t="str">
        <f>IFERROR(__xludf.DUMMYFUNCTION("""COMPUTED_VALUE"""),"walkin")</f>
        <v>walkin</v>
      </c>
      <c r="Y3824" s="124" t="str">
        <f>IFERROR(__xludf.DUMMYFUNCTION("""COMPUTED_VALUE"""),"Delhi")</f>
        <v>Delhi</v>
      </c>
      <c r="Z3824" s="124">
        <f>IFERROR(__xludf.DUMMYFUNCTION("""COMPUTED_VALUE"""),1.0)</f>
        <v>1</v>
      </c>
      <c r="AA3824" s="124" t="str">
        <f>IFERROR(__xludf.DUMMYFUNCTION("""COMPUTED_VALUE"""),"Future Prospects")</f>
        <v>Future Prospects</v>
      </c>
      <c r="AB3824" s="124" t="str">
        <f>IFERROR(__xludf.DUMMYFUNCTION("""COMPUTED_VALUE"""),"GS Foundation")</f>
        <v>GS Foundation</v>
      </c>
    </row>
    <row r="3825">
      <c r="K3825" s="124"/>
      <c r="L3825" s="124"/>
      <c r="M3825" s="124"/>
      <c r="N3825" s="124"/>
      <c r="O3825" s="124"/>
      <c r="T3825" s="129">
        <f>IFERROR(__xludf.DUMMYFUNCTION("""COMPUTED_VALUE"""),46090.0)</f>
        <v>46090</v>
      </c>
      <c r="U3825" s="124" t="str">
        <f>IFERROR(__xludf.DUMMYFUNCTION("""COMPUTED_VALUE"""),"Walk-Ins")</f>
        <v>Walk-Ins</v>
      </c>
      <c r="V3825" s="124" t="str">
        <f>IFERROR(__xludf.DUMMYFUNCTION("""COMPUTED_VALUE"""),"Walkin")</f>
        <v>Walkin</v>
      </c>
      <c r="W3825" s="124" t="str">
        <f>IFERROR(__xludf.DUMMYFUNCTION("""COMPUTED_VALUE"""),"Delhi")</f>
        <v>Delhi</v>
      </c>
      <c r="X3825" s="124" t="str">
        <f>IFERROR(__xludf.DUMMYFUNCTION("""COMPUTED_VALUE"""),"walkin")</f>
        <v>walkin</v>
      </c>
      <c r="Y3825" s="124" t="str">
        <f>IFERROR(__xludf.DUMMYFUNCTION("""COMPUTED_VALUE"""),"Delhi")</f>
        <v>Delhi</v>
      </c>
      <c r="Z3825" s="124">
        <f>IFERROR(__xludf.DUMMYFUNCTION("""COMPUTED_VALUE"""),1.0)</f>
        <v>1</v>
      </c>
      <c r="AA3825" s="124" t="str">
        <f>IFERROR(__xludf.DUMMYFUNCTION("""COMPUTED_VALUE"""),"Enrolled")</f>
        <v>Enrolled</v>
      </c>
      <c r="AB3825" s="124" t="str">
        <f>IFERROR(__xludf.DUMMYFUNCTION("""COMPUTED_VALUE"""),"Optionals")</f>
        <v>Optionals</v>
      </c>
    </row>
    <row r="3826">
      <c r="K3826" s="124"/>
      <c r="L3826" s="124"/>
      <c r="M3826" s="124"/>
      <c r="N3826" s="124"/>
      <c r="O3826" s="124"/>
      <c r="T3826" s="126">
        <f>IFERROR(__xludf.DUMMYFUNCTION("""COMPUTED_VALUE"""),46106.0)</f>
        <v>46106</v>
      </c>
      <c r="U3826" s="124" t="str">
        <f>IFERROR(__xludf.DUMMYFUNCTION("""COMPUTED_VALUE"""),"Walk-Ins")</f>
        <v>Walk-Ins</v>
      </c>
      <c r="V3826" s="124" t="str">
        <f>IFERROR(__xludf.DUMMYFUNCTION("""COMPUTED_VALUE"""),"Walk-In")</f>
        <v>Walk-In</v>
      </c>
      <c r="W3826" s="124" t="str">
        <f>IFERROR(__xludf.DUMMYFUNCTION("""COMPUTED_VALUE"""),"Delhi")</f>
        <v>Delhi</v>
      </c>
      <c r="X3826" s="124" t="str">
        <f>IFERROR(__xludf.DUMMYFUNCTION("""COMPUTED_VALUE"""),"walkin")</f>
        <v>walkin</v>
      </c>
      <c r="Y3826" s="124" t="str">
        <f>IFERROR(__xludf.DUMMYFUNCTION("""COMPUTED_VALUE"""),"Delhi")</f>
        <v>Delhi</v>
      </c>
      <c r="Z3826" s="124">
        <f>IFERROR(__xludf.DUMMYFUNCTION("""COMPUTED_VALUE"""),1.0)</f>
        <v>1</v>
      </c>
      <c r="AA3826" s="124" t="str">
        <f>IFERROR(__xludf.DUMMYFUNCTION("""COMPUTED_VALUE"""),"Not Interested")</f>
        <v>Not Interested</v>
      </c>
      <c r="AB3826" s="124" t="str">
        <f>IFERROR(__xludf.DUMMYFUNCTION("""COMPUTED_VALUE"""),"GS Foundation")</f>
        <v>GS Foundation</v>
      </c>
    </row>
    <row r="3827">
      <c r="K3827" s="124"/>
      <c r="L3827" s="124"/>
      <c r="M3827" s="124"/>
      <c r="N3827" s="124"/>
      <c r="O3827" s="124"/>
      <c r="T3827" s="126">
        <f>IFERROR(__xludf.DUMMYFUNCTION("""COMPUTED_VALUE"""),46099.0)</f>
        <v>46099</v>
      </c>
      <c r="U3827" s="124" t="str">
        <f>IFERROR(__xludf.DUMMYFUNCTION("""COMPUTED_VALUE"""),"Walk-Ins")</f>
        <v>Walk-Ins</v>
      </c>
      <c r="V3827" s="124" t="str">
        <f>IFERROR(__xludf.DUMMYFUNCTION("""COMPUTED_VALUE"""),"Walkin")</f>
        <v>Walkin</v>
      </c>
      <c r="W3827" s="124" t="str">
        <f>IFERROR(__xludf.DUMMYFUNCTION("""COMPUTED_VALUE"""),"Delhi")</f>
        <v>Delhi</v>
      </c>
      <c r="X3827" s="124" t="str">
        <f>IFERROR(__xludf.DUMMYFUNCTION("""COMPUTED_VALUE"""),"walkin")</f>
        <v>walkin</v>
      </c>
      <c r="Y3827" s="124" t="str">
        <f>IFERROR(__xludf.DUMMYFUNCTION("""COMPUTED_VALUE"""),"Delhi")</f>
        <v>Delhi</v>
      </c>
      <c r="Z3827" s="124">
        <f>IFERROR(__xludf.DUMMYFUNCTION("""COMPUTED_VALUE"""),1.0)</f>
        <v>1</v>
      </c>
      <c r="AA3827" s="124" t="str">
        <f>IFERROR(__xludf.DUMMYFUNCTION("""COMPUTED_VALUE"""),"Future Prospects")</f>
        <v>Future Prospects</v>
      </c>
      <c r="AB3827" s="124" t="str">
        <f>IFERROR(__xludf.DUMMYFUNCTION("""COMPUTED_VALUE"""),"GS Advanced")</f>
        <v>GS Advanced</v>
      </c>
    </row>
    <row r="3828">
      <c r="K3828" s="124"/>
      <c r="L3828" s="124"/>
      <c r="M3828" s="124"/>
      <c r="N3828" s="124"/>
      <c r="O3828" s="124"/>
      <c r="T3828" s="126">
        <f>IFERROR(__xludf.DUMMYFUNCTION("""COMPUTED_VALUE"""),46099.0)</f>
        <v>46099</v>
      </c>
      <c r="U3828" s="124" t="str">
        <f>IFERROR(__xludf.DUMMYFUNCTION("""COMPUTED_VALUE"""),"Walk-Ins")</f>
        <v>Walk-Ins</v>
      </c>
      <c r="V3828" s="124" t="str">
        <f>IFERROR(__xludf.DUMMYFUNCTION("""COMPUTED_VALUE"""),"Walkin")</f>
        <v>Walkin</v>
      </c>
      <c r="W3828" s="124" t="str">
        <f>IFERROR(__xludf.DUMMYFUNCTION("""COMPUTED_VALUE"""),"Delhi")</f>
        <v>Delhi</v>
      </c>
      <c r="X3828" s="124" t="str">
        <f>IFERROR(__xludf.DUMMYFUNCTION("""COMPUTED_VALUE"""),"walkin")</f>
        <v>walkin</v>
      </c>
      <c r="Y3828" s="124" t="str">
        <f>IFERROR(__xludf.DUMMYFUNCTION("""COMPUTED_VALUE"""),"Delhi")</f>
        <v>Delhi</v>
      </c>
      <c r="Z3828" s="124">
        <f>IFERROR(__xludf.DUMMYFUNCTION("""COMPUTED_VALUE"""),2.0)</f>
        <v>2</v>
      </c>
      <c r="AA3828" s="124" t="str">
        <f>IFERROR(__xludf.DUMMYFUNCTION("""COMPUTED_VALUE"""),"Warm")</f>
        <v>Warm</v>
      </c>
      <c r="AB3828" s="124" t="str">
        <f>IFERROR(__xludf.DUMMYFUNCTION("""COMPUTED_VALUE"""),"GS Foundation")</f>
        <v>GS Foundation</v>
      </c>
    </row>
    <row r="3829">
      <c r="K3829" s="124"/>
      <c r="L3829" s="124"/>
      <c r="M3829" s="124"/>
      <c r="N3829" s="124"/>
      <c r="O3829" s="124"/>
      <c r="T3829" s="126">
        <f>IFERROR(__xludf.DUMMYFUNCTION("""COMPUTED_VALUE"""),46049.0)</f>
        <v>46049</v>
      </c>
      <c r="U3829" s="124" t="str">
        <f>IFERROR(__xludf.DUMMYFUNCTION("""COMPUTED_VALUE"""),"External Leads")</f>
        <v>External Leads</v>
      </c>
      <c r="V3829" s="124" t="str">
        <f>IFERROR(__xludf.DUMMYFUNCTION("""COMPUTED_VALUE"""),"direct")</f>
        <v>direct</v>
      </c>
      <c r="W3829" s="124" t="str">
        <f>IFERROR(__xludf.DUMMYFUNCTION("""COMPUTED_VALUE"""),"direct")</f>
        <v>direct</v>
      </c>
      <c r="X3829" s="124" t="str">
        <f>IFERROR(__xludf.DUMMYFUNCTION("""COMPUTED_VALUE"""),"direct")</f>
        <v>direct</v>
      </c>
      <c r="Y3829" s="124"/>
      <c r="Z3829" s="124">
        <f>IFERROR(__xludf.DUMMYFUNCTION("""COMPUTED_VALUE"""),1.0)</f>
        <v>1</v>
      </c>
      <c r="AA3829" s="124" t="str">
        <f>IFERROR(__xludf.DUMMYFUNCTION("""COMPUTED_VALUE"""),"Cold")</f>
        <v>Cold</v>
      </c>
      <c r="AB3829" s="124"/>
    </row>
    <row r="3830">
      <c r="K3830" s="124"/>
      <c r="L3830" s="124"/>
      <c r="M3830" s="124"/>
      <c r="N3830" s="124"/>
      <c r="O3830" s="124"/>
      <c r="T3830" s="126">
        <f>IFERROR(__xludf.DUMMYFUNCTION("""COMPUTED_VALUE"""),46107.0)</f>
        <v>46107</v>
      </c>
      <c r="U3830" s="124" t="str">
        <f>IFERROR(__xludf.DUMMYFUNCTION("""COMPUTED_VALUE"""),"Walk-Ins")</f>
        <v>Walk-Ins</v>
      </c>
      <c r="V3830" s="124" t="str">
        <f>IFERROR(__xludf.DUMMYFUNCTION("""COMPUTED_VALUE"""),"Walkin")</f>
        <v>Walkin</v>
      </c>
      <c r="W3830" s="124" t="str">
        <f>IFERROR(__xludf.DUMMYFUNCTION("""COMPUTED_VALUE"""),"Delhi")</f>
        <v>Delhi</v>
      </c>
      <c r="X3830" s="124" t="str">
        <f>IFERROR(__xludf.DUMMYFUNCTION("""COMPUTED_VALUE"""),"walkin")</f>
        <v>walkin</v>
      </c>
      <c r="Y3830" s="124" t="str">
        <f>IFERROR(__xludf.DUMMYFUNCTION("""COMPUTED_VALUE"""),"Delhi")</f>
        <v>Delhi</v>
      </c>
      <c r="Z3830" s="124">
        <f>IFERROR(__xludf.DUMMYFUNCTION("""COMPUTED_VALUE"""),1.0)</f>
        <v>1</v>
      </c>
      <c r="AA3830" s="124" t="str">
        <f>IFERROR(__xludf.DUMMYFUNCTION("""COMPUTED_VALUE"""),"Interested")</f>
        <v>Interested</v>
      </c>
      <c r="AB3830" s="124" t="str">
        <f>IFERROR(__xludf.DUMMYFUNCTION("""COMPUTED_VALUE"""),"GS Foundation")</f>
        <v>GS Foundation</v>
      </c>
    </row>
    <row r="3831">
      <c r="K3831" s="124"/>
      <c r="L3831" s="124"/>
      <c r="M3831" s="124"/>
      <c r="N3831" s="124"/>
      <c r="O3831" s="124"/>
      <c r="T3831" s="126">
        <f>IFERROR(__xludf.DUMMYFUNCTION("""COMPUTED_VALUE"""),46049.0)</f>
        <v>46049</v>
      </c>
      <c r="U3831" s="124" t="str">
        <f>IFERROR(__xludf.DUMMYFUNCTION("""COMPUTED_VALUE"""),"External Leads")</f>
        <v>External Leads</v>
      </c>
      <c r="V3831" s="124" t="str">
        <f>IFERROR(__xludf.DUMMYFUNCTION("""COMPUTED_VALUE"""),"external leads")</f>
        <v>external leads</v>
      </c>
      <c r="W3831" s="124" t="str">
        <f>IFERROR(__xludf.DUMMYFUNCTION("""COMPUTED_VALUE"""),"delhi")</f>
        <v>delhi</v>
      </c>
      <c r="X3831" s="124" t="str">
        <f>IFERROR(__xludf.DUMMYFUNCTION("""COMPUTED_VALUE"""),"piyushunacademy")</f>
        <v>piyushunacademy</v>
      </c>
      <c r="Y3831" s="124" t="str">
        <f>IFERROR(__xludf.DUMMYFUNCTION("""COMPUTED_VALUE"""),"Delhi")</f>
        <v>Delhi</v>
      </c>
      <c r="Z3831" s="124">
        <f>IFERROR(__xludf.DUMMYFUNCTION("""COMPUTED_VALUE"""),1.0)</f>
        <v>1</v>
      </c>
      <c r="AA3831" s="124" t="str">
        <f>IFERROR(__xludf.DUMMYFUNCTION("""COMPUTED_VALUE"""),"Cold")</f>
        <v>Cold</v>
      </c>
      <c r="AB3831" s="124"/>
    </row>
    <row r="3832">
      <c r="K3832" s="124"/>
      <c r="L3832" s="124"/>
      <c r="M3832" s="124"/>
      <c r="N3832" s="124"/>
      <c r="O3832" s="124"/>
      <c r="T3832" s="126">
        <f>IFERROR(__xludf.DUMMYFUNCTION("""COMPUTED_VALUE"""),46069.0)</f>
        <v>46069</v>
      </c>
      <c r="U3832" s="124" t="str">
        <f>IFERROR(__xludf.DUMMYFUNCTION("""COMPUTED_VALUE"""),"Walk-Ins")</f>
        <v>Walk-Ins</v>
      </c>
      <c r="V3832" s="124" t="str">
        <f>IFERROR(__xludf.DUMMYFUNCTION("""COMPUTED_VALUE"""),"Walkin")</f>
        <v>Walkin</v>
      </c>
      <c r="W3832" s="124" t="str">
        <f>IFERROR(__xludf.DUMMYFUNCTION("""COMPUTED_VALUE"""),"Delhi")</f>
        <v>Delhi</v>
      </c>
      <c r="X3832" s="124" t="str">
        <f>IFERROR(__xludf.DUMMYFUNCTION("""COMPUTED_VALUE"""),"walkin")</f>
        <v>walkin</v>
      </c>
      <c r="Y3832" s="124" t="str">
        <f>IFERROR(__xludf.DUMMYFUNCTION("""COMPUTED_VALUE"""),"Delhi")</f>
        <v>Delhi</v>
      </c>
      <c r="Z3832" s="124">
        <f>IFERROR(__xludf.DUMMYFUNCTION("""COMPUTED_VALUE"""),1.0)</f>
        <v>1</v>
      </c>
      <c r="AA3832" s="124" t="str">
        <f>IFERROR(__xludf.DUMMYFUNCTION("""COMPUTED_VALUE"""),"Not Interested")</f>
        <v>Not Interested</v>
      </c>
      <c r="AB3832" s="124" t="str">
        <f>IFERROR(__xludf.DUMMYFUNCTION("""COMPUTED_VALUE"""),"GS Foundation")</f>
        <v>GS Foundation</v>
      </c>
    </row>
    <row r="3833">
      <c r="K3833" s="124"/>
      <c r="L3833" s="124"/>
      <c r="M3833" s="124"/>
      <c r="N3833" s="124"/>
      <c r="O3833" s="124"/>
      <c r="T3833" s="126">
        <f>IFERROR(__xludf.DUMMYFUNCTION("""COMPUTED_VALUE"""),46071.0)</f>
        <v>46071</v>
      </c>
      <c r="U3833" s="124" t="str">
        <f>IFERROR(__xludf.DUMMYFUNCTION("""COMPUTED_VALUE"""),"Walk-Ins")</f>
        <v>Walk-Ins</v>
      </c>
      <c r="V3833" s="124" t="str">
        <f>IFERROR(__xludf.DUMMYFUNCTION("""COMPUTED_VALUE"""),"Walk-In")</f>
        <v>Walk-In</v>
      </c>
      <c r="W3833" s="124" t="str">
        <f>IFERROR(__xludf.DUMMYFUNCTION("""COMPUTED_VALUE"""),"Delhi")</f>
        <v>Delhi</v>
      </c>
      <c r="X3833" s="124" t="str">
        <f>IFERROR(__xludf.DUMMYFUNCTION("""COMPUTED_VALUE"""),"walkin")</f>
        <v>walkin</v>
      </c>
      <c r="Y3833" s="124" t="str">
        <f>IFERROR(__xludf.DUMMYFUNCTION("""COMPUTED_VALUE"""),"Delhi")</f>
        <v>Delhi</v>
      </c>
      <c r="Z3833" s="124">
        <f>IFERROR(__xludf.DUMMYFUNCTION("""COMPUTED_VALUE"""),1.0)</f>
        <v>1</v>
      </c>
      <c r="AA3833" s="124" t="str">
        <f>IFERROR(__xludf.DUMMYFUNCTION("""COMPUTED_VALUE"""),"Fake Lead")</f>
        <v>Fake Lead</v>
      </c>
      <c r="AB3833" s="124" t="str">
        <f>IFERROR(__xludf.DUMMYFUNCTION("""COMPUTED_VALUE"""),"GS Foundation")</f>
        <v>GS Foundation</v>
      </c>
    </row>
    <row r="3834">
      <c r="K3834" s="124"/>
      <c r="L3834" s="124"/>
      <c r="M3834" s="124"/>
      <c r="N3834" s="124"/>
      <c r="O3834" s="124"/>
      <c r="T3834" s="126">
        <f>IFERROR(__xludf.DUMMYFUNCTION("""COMPUTED_VALUE"""),46079.0)</f>
        <v>46079</v>
      </c>
      <c r="U3834" s="124" t="str">
        <f>IFERROR(__xludf.DUMMYFUNCTION("""COMPUTED_VALUE"""),"Walk-Ins")</f>
        <v>Walk-Ins</v>
      </c>
      <c r="V3834" s="124" t="str">
        <f>IFERROR(__xludf.DUMMYFUNCTION("""COMPUTED_VALUE"""),"Walkin")</f>
        <v>Walkin</v>
      </c>
      <c r="W3834" s="124" t="str">
        <f>IFERROR(__xludf.DUMMYFUNCTION("""COMPUTED_VALUE"""),"Delhi")</f>
        <v>Delhi</v>
      </c>
      <c r="X3834" s="124" t="str">
        <f>IFERROR(__xludf.DUMMYFUNCTION("""COMPUTED_VALUE"""),"walkin")</f>
        <v>walkin</v>
      </c>
      <c r="Y3834" s="124" t="str">
        <f>IFERROR(__xludf.DUMMYFUNCTION("""COMPUTED_VALUE"""),"Delhi")</f>
        <v>Delhi</v>
      </c>
      <c r="Z3834" s="124">
        <f>IFERROR(__xludf.DUMMYFUNCTION("""COMPUTED_VALUE"""),3.0)</f>
        <v>3</v>
      </c>
      <c r="AA3834" s="124" t="str">
        <f>IFERROR(__xludf.DUMMYFUNCTION("""COMPUTED_VALUE"""),"Cold")</f>
        <v>Cold</v>
      </c>
      <c r="AB3834" s="124" t="str">
        <f>IFERROR(__xludf.DUMMYFUNCTION("""COMPUTED_VALUE"""),"GS Foundation")</f>
        <v>GS Foundation</v>
      </c>
    </row>
    <row r="3835">
      <c r="K3835" s="124"/>
      <c r="L3835" s="124"/>
      <c r="M3835" s="124"/>
      <c r="N3835" s="124"/>
      <c r="O3835" s="124"/>
      <c r="T3835" s="129">
        <f>IFERROR(__xludf.DUMMYFUNCTION("""COMPUTED_VALUE"""),46083.0)</f>
        <v>46083</v>
      </c>
      <c r="U3835" s="124" t="str">
        <f>IFERROR(__xludf.DUMMYFUNCTION("""COMPUTED_VALUE"""),"Walk-Ins")</f>
        <v>Walk-Ins</v>
      </c>
      <c r="V3835" s="124" t="str">
        <f>IFERROR(__xludf.DUMMYFUNCTION("""COMPUTED_VALUE"""),"Walk-In")</f>
        <v>Walk-In</v>
      </c>
      <c r="W3835" s="124" t="str">
        <f>IFERROR(__xludf.DUMMYFUNCTION("""COMPUTED_VALUE"""),"Prayagraj")</f>
        <v>Prayagraj</v>
      </c>
      <c r="X3835" s="124" t="str">
        <f>IFERROR(__xludf.DUMMYFUNCTION("""COMPUTED_VALUE"""),"Aditi")</f>
        <v>Aditi</v>
      </c>
      <c r="Y3835" s="124" t="str">
        <f>IFERROR(__xludf.DUMMYFUNCTION("""COMPUTED_VALUE"""),"Prayagraj")</f>
        <v>Prayagraj</v>
      </c>
      <c r="Z3835" s="124">
        <f>IFERROR(__xludf.DUMMYFUNCTION("""COMPUTED_VALUE"""),1.0)</f>
        <v>1</v>
      </c>
      <c r="AA3835" s="124" t="str">
        <f>IFERROR(__xludf.DUMMYFUNCTION("""COMPUTED_VALUE"""),"Warm")</f>
        <v>Warm</v>
      </c>
      <c r="AB3835" s="124" t="str">
        <f>IFERROR(__xludf.DUMMYFUNCTION("""COMPUTED_VALUE"""),"GS Foundation")</f>
        <v>GS Foundation</v>
      </c>
    </row>
    <row r="3836">
      <c r="K3836" s="124"/>
      <c r="L3836" s="124"/>
      <c r="M3836" s="124"/>
      <c r="N3836" s="124"/>
      <c r="O3836" s="124"/>
      <c r="T3836" s="126">
        <f>IFERROR(__xludf.DUMMYFUNCTION("""COMPUTED_VALUE"""),46093.0)</f>
        <v>46093</v>
      </c>
      <c r="U3836" s="124" t="str">
        <f>IFERROR(__xludf.DUMMYFUNCTION("""COMPUTED_VALUE"""),"Walk-Ins")</f>
        <v>Walk-Ins</v>
      </c>
      <c r="V3836" s="124" t="str">
        <f>IFERROR(__xludf.DUMMYFUNCTION("""COMPUTED_VALUE"""),"Walkin")</f>
        <v>Walkin</v>
      </c>
      <c r="W3836" s="124" t="str">
        <f>IFERROR(__xludf.DUMMYFUNCTION("""COMPUTED_VALUE"""),"Delhi")</f>
        <v>Delhi</v>
      </c>
      <c r="X3836" s="124" t="str">
        <f>IFERROR(__xludf.DUMMYFUNCTION("""COMPUTED_VALUE"""),"walkin")</f>
        <v>walkin</v>
      </c>
      <c r="Y3836" s="124" t="str">
        <f>IFERROR(__xludf.DUMMYFUNCTION("""COMPUTED_VALUE"""),"Delhi")</f>
        <v>Delhi</v>
      </c>
      <c r="Z3836" s="124">
        <f>IFERROR(__xludf.DUMMYFUNCTION("""COMPUTED_VALUE"""),1.0)</f>
        <v>1</v>
      </c>
      <c r="AA3836" s="124" t="str">
        <f>IFERROR(__xludf.DUMMYFUNCTION("""COMPUTED_VALUE"""),"Not Interested")</f>
        <v>Not Interested</v>
      </c>
      <c r="AB3836" s="124" t="str">
        <f>IFERROR(__xludf.DUMMYFUNCTION("""COMPUTED_VALUE"""),"GS Foundation")</f>
        <v>GS Foundation</v>
      </c>
    </row>
    <row r="3837">
      <c r="K3837" s="124"/>
      <c r="L3837" s="124"/>
      <c r="M3837" s="124"/>
      <c r="N3837" s="124"/>
      <c r="O3837" s="124"/>
      <c r="T3837" s="129">
        <f>IFERROR(__xludf.DUMMYFUNCTION("""COMPUTED_VALUE"""),46057.0)</f>
        <v>46057</v>
      </c>
      <c r="U3837" s="124" t="str">
        <f>IFERROR(__xludf.DUMMYFUNCTION("""COMPUTED_VALUE"""),"Walk-Ins")</f>
        <v>Walk-Ins</v>
      </c>
      <c r="V3837" s="124" t="str">
        <f>IFERROR(__xludf.DUMMYFUNCTION("""COMPUTED_VALUE"""),"Walkin")</f>
        <v>Walkin</v>
      </c>
      <c r="W3837" s="124" t="str">
        <f>IFERROR(__xludf.DUMMYFUNCTION("""COMPUTED_VALUE"""),"Delhi")</f>
        <v>Delhi</v>
      </c>
      <c r="X3837" s="124" t="str">
        <f>IFERROR(__xludf.DUMMYFUNCTION("""COMPUTED_VALUE"""),"walkin")</f>
        <v>walkin</v>
      </c>
      <c r="Y3837" s="124" t="str">
        <f>IFERROR(__xludf.DUMMYFUNCTION("""COMPUTED_VALUE"""),"Delhi")</f>
        <v>Delhi</v>
      </c>
      <c r="Z3837" s="124">
        <f>IFERROR(__xludf.DUMMYFUNCTION("""COMPUTED_VALUE"""),1.0)</f>
        <v>1</v>
      </c>
      <c r="AA3837" s="124" t="str">
        <f>IFERROR(__xludf.DUMMYFUNCTION("""COMPUTED_VALUE"""),"Cold")</f>
        <v>Cold</v>
      </c>
      <c r="AB3837" s="124" t="str">
        <f>IFERROR(__xludf.DUMMYFUNCTION("""COMPUTED_VALUE"""),"SIP Offline")</f>
        <v>SIP Offline</v>
      </c>
    </row>
    <row r="3838">
      <c r="K3838" s="124"/>
      <c r="L3838" s="124"/>
      <c r="M3838" s="124"/>
      <c r="N3838" s="124"/>
      <c r="O3838" s="124"/>
      <c r="T3838" s="126">
        <f>IFERROR(__xludf.DUMMYFUNCTION("""COMPUTED_VALUE"""),46070.0)</f>
        <v>46070</v>
      </c>
      <c r="U3838" s="124" t="str">
        <f>IFERROR(__xludf.DUMMYFUNCTION("""COMPUTED_VALUE"""),"Event")</f>
        <v>Event</v>
      </c>
      <c r="V3838" s="124" t="str">
        <f>IFERROR(__xludf.DUMMYFUNCTION("""COMPUTED_VALUE"""),"whatsapp")</f>
        <v>whatsapp</v>
      </c>
      <c r="W3838" s="124" t="str">
        <f>IFERROR(__xludf.DUMMYFUNCTION("""COMPUTED_VALUE"""),"api")</f>
        <v>api</v>
      </c>
      <c r="X3838" s="124" t="str">
        <f>IFERROR(__xludf.DUMMYFUNCTION("""COMPUTED_VALUE"""),"reply")</f>
        <v>reply</v>
      </c>
      <c r="Y3838" s="124"/>
      <c r="Z3838" s="124">
        <f>IFERROR(__xludf.DUMMYFUNCTION("""COMPUTED_VALUE"""),1.0)</f>
        <v>1</v>
      </c>
      <c r="AA3838" s="124" t="str">
        <f>IFERROR(__xludf.DUMMYFUNCTION("""COMPUTED_VALUE"""),"Cold")</f>
        <v>Cold</v>
      </c>
      <c r="AB3838" s="124"/>
    </row>
    <row r="3839">
      <c r="K3839" s="124"/>
      <c r="L3839" s="124"/>
      <c r="M3839" s="124"/>
      <c r="N3839" s="124"/>
      <c r="O3839" s="124"/>
      <c r="T3839" s="126">
        <f>IFERROR(__xludf.DUMMYFUNCTION("""COMPUTED_VALUE"""),46053.0)</f>
        <v>46053</v>
      </c>
      <c r="U3839" s="124" t="str">
        <f>IFERROR(__xludf.DUMMYFUNCTION("""COMPUTED_VALUE"""),"Event")</f>
        <v>Event</v>
      </c>
      <c r="V3839" s="124" t="str">
        <f>IFERROR(__xludf.DUMMYFUNCTION("""COMPUTED_VALUE"""),"whatsapp")</f>
        <v>whatsapp</v>
      </c>
      <c r="W3839" s="124" t="str">
        <f>IFERROR(__xludf.DUMMYFUNCTION("""COMPUTED_VALUE"""),"api")</f>
        <v>api</v>
      </c>
      <c r="X3839" s="124" t="str">
        <f>IFERROR(__xludf.DUMMYFUNCTION("""COMPUTED_VALUE"""),"reply")</f>
        <v>reply</v>
      </c>
      <c r="Y3839" s="124"/>
      <c r="Z3839" s="124">
        <f>IFERROR(__xludf.DUMMYFUNCTION("""COMPUTED_VALUE"""),2.0)</f>
        <v>2</v>
      </c>
      <c r="AA3839" s="124" t="str">
        <f>IFERROR(__xludf.DUMMYFUNCTION("""COMPUTED_VALUE"""),"Cold")</f>
        <v>Cold</v>
      </c>
      <c r="AB3839" s="124"/>
    </row>
    <row r="3840">
      <c r="K3840" s="124"/>
      <c r="L3840" s="124"/>
      <c r="M3840" s="124"/>
      <c r="N3840" s="124"/>
      <c r="O3840" s="124"/>
      <c r="T3840" s="126">
        <f>IFERROR(__xludf.DUMMYFUNCTION("""COMPUTED_VALUE"""),46081.0)</f>
        <v>46081</v>
      </c>
      <c r="U3840" s="124" t="str">
        <f>IFERROR(__xludf.DUMMYFUNCTION("""COMPUTED_VALUE"""),"Event")</f>
        <v>Event</v>
      </c>
      <c r="V3840" s="124" t="str">
        <f>IFERROR(__xludf.DUMMYFUNCTION("""COMPUTED_VALUE"""),"whatsapp")</f>
        <v>whatsapp</v>
      </c>
      <c r="W3840" s="124" t="str">
        <f>IFERROR(__xludf.DUMMYFUNCTION("""COMPUTED_VALUE"""),"api")</f>
        <v>api</v>
      </c>
      <c r="X3840" s="124" t="str">
        <f>IFERROR(__xludf.DUMMYFUNCTION("""COMPUTED_VALUE"""),"reply")</f>
        <v>reply</v>
      </c>
      <c r="Y3840" s="124"/>
      <c r="Z3840" s="124">
        <f>IFERROR(__xludf.DUMMYFUNCTION("""COMPUTED_VALUE"""),1.0)</f>
        <v>1</v>
      </c>
      <c r="AA3840" s="124" t="str">
        <f>IFERROR(__xludf.DUMMYFUNCTION("""COMPUTED_VALUE"""),"Fake Lead")</f>
        <v>Fake Lead</v>
      </c>
      <c r="AB3840" s="124"/>
    </row>
    <row r="3841">
      <c r="K3841" s="124"/>
      <c r="L3841" s="124"/>
      <c r="M3841" s="124"/>
      <c r="N3841" s="124"/>
      <c r="O3841" s="124"/>
      <c r="T3841" s="126">
        <f>IFERROR(__xludf.DUMMYFUNCTION("""COMPUTED_VALUE"""),46063.0)</f>
        <v>46063</v>
      </c>
      <c r="U3841" s="124" t="str">
        <f>IFERROR(__xludf.DUMMYFUNCTION("""COMPUTED_VALUE"""),"Paid Ads")</f>
        <v>Paid Ads</v>
      </c>
      <c r="V3841" s="124" t="str">
        <f>IFERROR(__xludf.DUMMYFUNCTION("""COMPUTED_VALUE"""),"google")</f>
        <v>google</v>
      </c>
      <c r="W3841" s="124" t="str">
        <f>IFERROR(__xludf.DUMMYFUNCTION("""COMPUTED_VALUE"""),"cpc")</f>
        <v>cpc</v>
      </c>
      <c r="X3841" s="124">
        <f>IFERROR(__xludf.DUMMYFUNCTION("""COMPUTED_VALUE"""),2.3252198135E10)</f>
        <v>23252198135</v>
      </c>
      <c r="Y3841" s="124" t="str">
        <f>IFERROR(__xludf.DUMMYFUNCTION("""COMPUTED_VALUE"""),"Prayagraj")</f>
        <v>Prayagraj</v>
      </c>
      <c r="Z3841" s="124">
        <f>IFERROR(__xludf.DUMMYFUNCTION("""COMPUTED_VALUE"""),1.0)</f>
        <v>1</v>
      </c>
      <c r="AA3841" s="124" t="str">
        <f>IFERROR(__xludf.DUMMYFUNCTION("""COMPUTED_VALUE"""),"Cold")</f>
        <v>Cold</v>
      </c>
      <c r="AB3841" s="124" t="str">
        <f>IFERROR(__xludf.DUMMYFUNCTION("""COMPUTED_VALUE"""),"IGP UPPSC")</f>
        <v>IGP UPPSC</v>
      </c>
    </row>
    <row r="3842">
      <c r="K3842" s="124"/>
      <c r="L3842" s="124"/>
      <c r="M3842" s="124"/>
      <c r="N3842" s="124"/>
      <c r="O3842" s="124"/>
      <c r="T3842" s="126">
        <f>IFERROR(__xludf.DUMMYFUNCTION("""COMPUTED_VALUE"""),46063.0)</f>
        <v>46063</v>
      </c>
      <c r="U3842" s="124" t="str">
        <f>IFERROR(__xludf.DUMMYFUNCTION("""COMPUTED_VALUE"""),"External Leads")</f>
        <v>External Leads</v>
      </c>
      <c r="V3842" s="124" t="str">
        <f>IFERROR(__xludf.DUMMYFUNCTION("""COMPUTED_VALUE"""),"Outbound Call")</f>
        <v>Outbound Call</v>
      </c>
      <c r="W3842" s="124" t="str">
        <f>IFERROR(__xludf.DUMMYFUNCTION("""COMPUTED_VALUE"""),"Outbound Call")</f>
        <v>Outbound Call</v>
      </c>
      <c r="X3842" s="124" t="str">
        <f>IFERROR(__xludf.DUMMYFUNCTION("""COMPUTED_VALUE"""),"Outbound Call")</f>
        <v>Outbound Call</v>
      </c>
      <c r="Y3842" s="124"/>
      <c r="Z3842" s="124">
        <f>IFERROR(__xludf.DUMMYFUNCTION("""COMPUTED_VALUE"""),1.0)</f>
        <v>1</v>
      </c>
      <c r="AA3842" s="124"/>
      <c r="AB3842" s="124"/>
    </row>
    <row r="3843">
      <c r="K3843" s="124"/>
      <c r="L3843" s="124"/>
      <c r="M3843" s="124"/>
      <c r="N3843" s="124"/>
      <c r="O3843" s="124"/>
      <c r="T3843" s="129">
        <f>IFERROR(__xludf.DUMMYFUNCTION("""COMPUTED_VALUE"""),46083.0)</f>
        <v>46083</v>
      </c>
      <c r="U3843" s="124" t="str">
        <f>IFERROR(__xludf.DUMMYFUNCTION("""COMPUTED_VALUE"""),"External Leads")</f>
        <v>External Leads</v>
      </c>
      <c r="V3843" s="124" t="str">
        <f>IFERROR(__xludf.DUMMYFUNCTION("""COMPUTED_VALUE"""),"Outbound Call")</f>
        <v>Outbound Call</v>
      </c>
      <c r="W3843" s="124" t="str">
        <f>IFERROR(__xludf.DUMMYFUNCTION("""COMPUTED_VALUE"""),"Outbound Call")</f>
        <v>Outbound Call</v>
      </c>
      <c r="X3843" s="124" t="str">
        <f>IFERROR(__xludf.DUMMYFUNCTION("""COMPUTED_VALUE"""),"Outbound Call")</f>
        <v>Outbound Call</v>
      </c>
      <c r="Y3843" s="124" t="str">
        <f>IFERROR(__xludf.DUMMYFUNCTION("""COMPUTED_VALUE"""),"Indore")</f>
        <v>Indore</v>
      </c>
      <c r="Z3843" s="124">
        <f>IFERROR(__xludf.DUMMYFUNCTION("""COMPUTED_VALUE"""),1.0)</f>
        <v>1</v>
      </c>
      <c r="AA3843" s="124" t="str">
        <f>IFERROR(__xludf.DUMMYFUNCTION("""COMPUTED_VALUE"""),"Not Interested")</f>
        <v>Not Interested</v>
      </c>
      <c r="AB3843" s="124"/>
    </row>
    <row r="3844">
      <c r="K3844" s="124"/>
      <c r="L3844" s="124"/>
      <c r="M3844" s="124"/>
      <c r="N3844" s="124"/>
      <c r="O3844" s="124"/>
      <c r="T3844" s="126">
        <f>IFERROR(__xludf.DUMMYFUNCTION("""COMPUTED_VALUE"""),46065.0)</f>
        <v>46065</v>
      </c>
      <c r="U3844" s="124" t="str">
        <f>IFERROR(__xludf.DUMMYFUNCTION("""COMPUTED_VALUE"""),"External Leads")</f>
        <v>External Leads</v>
      </c>
      <c r="V3844" s="124" t="str">
        <f>IFERROR(__xludf.DUMMYFUNCTION("""COMPUTED_VALUE"""),"Outbound Call")</f>
        <v>Outbound Call</v>
      </c>
      <c r="W3844" s="124" t="str">
        <f>IFERROR(__xludf.DUMMYFUNCTION("""COMPUTED_VALUE"""),"Outbound Call")</f>
        <v>Outbound Call</v>
      </c>
      <c r="X3844" s="124" t="str">
        <f>IFERROR(__xludf.DUMMYFUNCTION("""COMPUTED_VALUE"""),"Outbound Call")</f>
        <v>Outbound Call</v>
      </c>
      <c r="Y3844" s="124"/>
      <c r="Z3844" s="124">
        <f>IFERROR(__xludf.DUMMYFUNCTION("""COMPUTED_VALUE"""),2.0)</f>
        <v>2</v>
      </c>
      <c r="AA3844" s="124"/>
      <c r="AB3844" s="124"/>
    </row>
    <row r="3845">
      <c r="K3845" s="124"/>
      <c r="L3845" s="124"/>
      <c r="M3845" s="124"/>
      <c r="N3845" s="124"/>
      <c r="O3845" s="124"/>
      <c r="T3845" s="129">
        <f>IFERROR(__xludf.DUMMYFUNCTION("""COMPUTED_VALUE"""),46058.0)</f>
        <v>46058</v>
      </c>
      <c r="U3845" s="124" t="str">
        <f>IFERROR(__xludf.DUMMYFUNCTION("""COMPUTED_VALUE"""),"External Leads")</f>
        <v>External Leads</v>
      </c>
      <c r="V3845" s="124" t="str">
        <f>IFERROR(__xludf.DUMMYFUNCTION("""COMPUTED_VALUE"""),"Outbound Call")</f>
        <v>Outbound Call</v>
      </c>
      <c r="W3845" s="124" t="str">
        <f>IFERROR(__xludf.DUMMYFUNCTION("""COMPUTED_VALUE"""),"Outbound Call")</f>
        <v>Outbound Call</v>
      </c>
      <c r="X3845" s="124" t="str">
        <f>IFERROR(__xludf.DUMMYFUNCTION("""COMPUTED_VALUE"""),"Outbound Call")</f>
        <v>Outbound Call</v>
      </c>
      <c r="Y3845" s="124"/>
      <c r="Z3845" s="124">
        <f>IFERROR(__xludf.DUMMYFUNCTION("""COMPUTED_VALUE"""),1.0)</f>
        <v>1</v>
      </c>
      <c r="AA3845" s="124" t="str">
        <f>IFERROR(__xludf.DUMMYFUNCTION("""COMPUTED_VALUE"""),"Fake Lead")</f>
        <v>Fake Lead</v>
      </c>
      <c r="AB3845" s="124"/>
    </row>
    <row r="3846">
      <c r="K3846" s="124"/>
      <c r="L3846" s="124"/>
      <c r="M3846" s="124"/>
      <c r="N3846" s="124"/>
      <c r="O3846" s="124"/>
      <c r="T3846" s="126">
        <f>IFERROR(__xludf.DUMMYFUNCTION("""COMPUTED_VALUE"""),46064.0)</f>
        <v>46064</v>
      </c>
      <c r="U3846" s="124" t="str">
        <f>IFERROR(__xludf.DUMMYFUNCTION("""COMPUTED_VALUE"""),"External Leads")</f>
        <v>External Leads</v>
      </c>
      <c r="V3846" s="124" t="str">
        <f>IFERROR(__xludf.DUMMYFUNCTION("""COMPUTED_VALUE"""),"Outbound Call")</f>
        <v>Outbound Call</v>
      </c>
      <c r="W3846" s="124" t="str">
        <f>IFERROR(__xludf.DUMMYFUNCTION("""COMPUTED_VALUE"""),"Outbound Call")</f>
        <v>Outbound Call</v>
      </c>
      <c r="X3846" s="124" t="str">
        <f>IFERROR(__xludf.DUMMYFUNCTION("""COMPUTED_VALUE"""),"Outbound Call")</f>
        <v>Outbound Call</v>
      </c>
      <c r="Y3846" s="124"/>
      <c r="Z3846" s="124">
        <f>IFERROR(__xludf.DUMMYFUNCTION("""COMPUTED_VALUE"""),1.0)</f>
        <v>1</v>
      </c>
      <c r="AA3846" s="124" t="str">
        <f>IFERROR(__xludf.DUMMYFUNCTION("""COMPUTED_VALUE"""),"Enrolled")</f>
        <v>Enrolled</v>
      </c>
      <c r="AB3846" s="124" t="str">
        <f>IFERROR(__xludf.DUMMYFUNCTION("""COMPUTED_VALUE"""),"GS Foundation")</f>
        <v>GS Foundation</v>
      </c>
    </row>
    <row r="3847">
      <c r="K3847" s="124"/>
      <c r="L3847" s="124"/>
      <c r="M3847" s="124"/>
      <c r="N3847" s="124"/>
      <c r="O3847" s="124"/>
      <c r="T3847" s="126">
        <f>IFERROR(__xludf.DUMMYFUNCTION("""COMPUTED_VALUE"""),46052.0)</f>
        <v>46052</v>
      </c>
      <c r="U3847" s="124" t="str">
        <f>IFERROR(__xludf.DUMMYFUNCTION("""COMPUTED_VALUE"""),"Event")</f>
        <v>Event</v>
      </c>
      <c r="V3847" s="124" t="str">
        <f>IFERROR(__xludf.DUMMYFUNCTION("""COMPUTED_VALUE"""),"Events")</f>
        <v>Events</v>
      </c>
      <c r="W3847" s="124" t="str">
        <f>IFERROR(__xludf.DUMMYFUNCTION("""COMPUTED_VALUE"""),"Delhi")</f>
        <v>Delhi</v>
      </c>
      <c r="X3847" s="124" t="str">
        <f>IFERROR(__xludf.DUMMYFUNCTION("""COMPUTED_VALUE"""),"DRCSEMINAR(CTC)")</f>
        <v>DRCSEMINAR(CTC)</v>
      </c>
      <c r="Y3847" s="124" t="str">
        <f>IFERROR(__xludf.DUMMYFUNCTION("""COMPUTED_VALUE"""),"Delhi")</f>
        <v>Delhi</v>
      </c>
      <c r="Z3847" s="124">
        <f>IFERROR(__xludf.DUMMYFUNCTION("""COMPUTED_VALUE"""),1.0)</f>
        <v>1</v>
      </c>
      <c r="AA3847" s="124" t="str">
        <f>IFERROR(__xludf.DUMMYFUNCTION("""COMPUTED_VALUE"""),"Cold")</f>
        <v>Cold</v>
      </c>
      <c r="AB3847" s="124" t="str">
        <f>IFERROR(__xludf.DUMMYFUNCTION("""COMPUTED_VALUE"""),"Optionals")</f>
        <v>Optionals</v>
      </c>
    </row>
    <row r="3848">
      <c r="K3848" s="124"/>
      <c r="L3848" s="124"/>
      <c r="M3848" s="124"/>
      <c r="N3848" s="124"/>
      <c r="O3848" s="124"/>
      <c r="T3848" s="126">
        <f>IFERROR(__xludf.DUMMYFUNCTION("""COMPUTED_VALUE"""),46065.0)</f>
        <v>46065</v>
      </c>
      <c r="U3848" s="124" t="str">
        <f>IFERROR(__xludf.DUMMYFUNCTION("""COMPUTED_VALUE"""),"Event")</f>
        <v>Event</v>
      </c>
      <c r="V3848" s="124" t="str">
        <f>IFERROR(__xludf.DUMMYFUNCTION("""COMPUTED_VALUE"""),"Events")</f>
        <v>Events</v>
      </c>
      <c r="W3848" s="124" t="str">
        <f>IFERROR(__xludf.DUMMYFUNCTION("""COMPUTED_VALUE"""),"All Centre")</f>
        <v>All Centre</v>
      </c>
      <c r="X3848" s="124" t="str">
        <f>IFERROR(__xludf.DUMMYFUNCTION("""COMPUTED_VALUE"""),"Generic")</f>
        <v>Generic</v>
      </c>
      <c r="Y3848" s="124" t="str">
        <f>IFERROR(__xludf.DUMMYFUNCTION("""COMPUTED_VALUE"""),"Prayagraj")</f>
        <v>Prayagraj</v>
      </c>
      <c r="Z3848" s="124">
        <f>IFERROR(__xludf.DUMMYFUNCTION("""COMPUTED_VALUE"""),1.0)</f>
        <v>1</v>
      </c>
      <c r="AA3848" s="124" t="str">
        <f>IFERROR(__xludf.DUMMYFUNCTION("""COMPUTED_VALUE"""),"Cold")</f>
        <v>Cold</v>
      </c>
      <c r="AB3848" s="124" t="str">
        <f>IFERROR(__xludf.DUMMYFUNCTION("""COMPUTED_VALUE"""),"Optionals")</f>
        <v>Optionals</v>
      </c>
    </row>
    <row r="3849">
      <c r="K3849" s="124"/>
      <c r="L3849" s="124"/>
      <c r="M3849" s="124"/>
      <c r="N3849" s="124"/>
      <c r="O3849" s="124"/>
      <c r="T3849" s="126">
        <f>IFERROR(__xludf.DUMMYFUNCTION("""COMPUTED_VALUE"""),46078.0)</f>
        <v>46078</v>
      </c>
      <c r="U3849" s="124" t="str">
        <f>IFERROR(__xludf.DUMMYFUNCTION("""COMPUTED_VALUE"""),"Event")</f>
        <v>Event</v>
      </c>
      <c r="V3849" s="124" t="str">
        <f>IFERROR(__xludf.DUMMYFUNCTION("""COMPUTED_VALUE"""),"Events")</f>
        <v>Events</v>
      </c>
      <c r="W3849" s="124" t="str">
        <f>IFERROR(__xludf.DUMMYFUNCTION("""COMPUTED_VALUE"""),"All Centre")</f>
        <v>All Centre</v>
      </c>
      <c r="X3849" s="124" t="str">
        <f>IFERROR(__xludf.DUMMYFUNCTION("""COMPUTED_VALUE"""),"Generic")</f>
        <v>Generic</v>
      </c>
      <c r="Y3849" s="124" t="str">
        <f>IFERROR(__xludf.DUMMYFUNCTION("""COMPUTED_VALUE"""),"Delhi")</f>
        <v>Delhi</v>
      </c>
      <c r="Z3849" s="124">
        <f>IFERROR(__xludf.DUMMYFUNCTION("""COMPUTED_VALUE"""),1.0)</f>
        <v>1</v>
      </c>
      <c r="AA3849" s="124" t="str">
        <f>IFERROR(__xludf.DUMMYFUNCTION("""COMPUTED_VALUE"""),"Not Interested")</f>
        <v>Not Interested</v>
      </c>
      <c r="AB3849" s="124" t="str">
        <f>IFERROR(__xludf.DUMMYFUNCTION("""COMPUTED_VALUE"""),"Other")</f>
        <v>Other</v>
      </c>
    </row>
    <row r="3850">
      <c r="K3850" s="124"/>
      <c r="L3850" s="124"/>
      <c r="M3850" s="124"/>
      <c r="N3850" s="124"/>
      <c r="O3850" s="124"/>
      <c r="T3850" s="129">
        <f>IFERROR(__xludf.DUMMYFUNCTION("""COMPUTED_VALUE"""),46057.0)</f>
        <v>46057</v>
      </c>
      <c r="U3850" s="124" t="str">
        <f>IFERROR(__xludf.DUMMYFUNCTION("""COMPUTED_VALUE"""),"Event")</f>
        <v>Event</v>
      </c>
      <c r="V3850" s="124" t="str">
        <f>IFERROR(__xludf.DUMMYFUNCTION("""COMPUTED_VALUE"""),"Events")</f>
        <v>Events</v>
      </c>
      <c r="W3850" s="124" t="str">
        <f>IFERROR(__xludf.DUMMYFUNCTION("""COMPUTED_VALUE"""),"All Centre")</f>
        <v>All Centre</v>
      </c>
      <c r="X3850" s="124" t="str">
        <f>IFERROR(__xludf.DUMMYFUNCTION("""COMPUTED_VALUE"""),"Generic")</f>
        <v>Generic</v>
      </c>
      <c r="Y3850" s="124" t="str">
        <f>IFERROR(__xludf.DUMMYFUNCTION("""COMPUTED_VALUE"""),"Delhi")</f>
        <v>Delhi</v>
      </c>
      <c r="Z3850" s="124">
        <f>IFERROR(__xludf.DUMMYFUNCTION("""COMPUTED_VALUE"""),1.0)</f>
        <v>1</v>
      </c>
      <c r="AA3850" s="124" t="str">
        <f>IFERROR(__xludf.DUMMYFUNCTION("""COMPUTED_VALUE"""),"Not Interested")</f>
        <v>Not Interested</v>
      </c>
      <c r="AB3850" s="124" t="str">
        <f>IFERROR(__xludf.DUMMYFUNCTION("""COMPUTED_VALUE"""),"Test Series")</f>
        <v>Test Series</v>
      </c>
    </row>
    <row r="3851">
      <c r="K3851" s="124"/>
      <c r="L3851" s="124"/>
      <c r="M3851" s="124"/>
      <c r="N3851" s="124"/>
      <c r="O3851" s="124"/>
      <c r="T3851" s="126">
        <f>IFERROR(__xludf.DUMMYFUNCTION("""COMPUTED_VALUE"""),46078.0)</f>
        <v>46078</v>
      </c>
      <c r="U3851" s="124" t="str">
        <f>IFERROR(__xludf.DUMMYFUNCTION("""COMPUTED_VALUE"""),"Event")</f>
        <v>Event</v>
      </c>
      <c r="V3851" s="124" t="str">
        <f>IFERROR(__xludf.DUMMYFUNCTION("""COMPUTED_VALUE"""),"Events")</f>
        <v>Events</v>
      </c>
      <c r="W3851" s="124" t="str">
        <f>IFERROR(__xludf.DUMMYFUNCTION("""COMPUTED_VALUE"""),"All Centre")</f>
        <v>All Centre</v>
      </c>
      <c r="X3851" s="124" t="str">
        <f>IFERROR(__xludf.DUMMYFUNCTION("""COMPUTED_VALUE"""),"Generic")</f>
        <v>Generic</v>
      </c>
      <c r="Y3851" s="124" t="str">
        <f>IFERROR(__xludf.DUMMYFUNCTION("""COMPUTED_VALUE"""),"Delhi")</f>
        <v>Delhi</v>
      </c>
      <c r="Z3851" s="124">
        <f>IFERROR(__xludf.DUMMYFUNCTION("""COMPUTED_VALUE"""),1.0)</f>
        <v>1</v>
      </c>
      <c r="AA3851" s="124" t="str">
        <f>IFERROR(__xludf.DUMMYFUNCTION("""COMPUTED_VALUE"""),"Not Interested")</f>
        <v>Not Interested</v>
      </c>
      <c r="AB3851" s="124" t="str">
        <f>IFERROR(__xludf.DUMMYFUNCTION("""COMPUTED_VALUE"""),"Mentorship")</f>
        <v>Mentorship</v>
      </c>
    </row>
    <row r="3852">
      <c r="K3852" s="124"/>
      <c r="L3852" s="124"/>
      <c r="M3852" s="124"/>
      <c r="N3852" s="124"/>
      <c r="O3852" s="124"/>
      <c r="T3852" s="126">
        <f>IFERROR(__xludf.DUMMYFUNCTION("""COMPUTED_VALUE"""),46105.0)</f>
        <v>46105</v>
      </c>
      <c r="U3852" s="124" t="str">
        <f>IFERROR(__xludf.DUMMYFUNCTION("""COMPUTED_VALUE"""),"Event")</f>
        <v>Event</v>
      </c>
      <c r="V3852" s="124" t="str">
        <f>IFERROR(__xludf.DUMMYFUNCTION("""COMPUTED_VALUE"""),"Events")</f>
        <v>Events</v>
      </c>
      <c r="W3852" s="124" t="str">
        <f>IFERROR(__xludf.DUMMYFUNCTION("""COMPUTED_VALUE"""),"All Centre")</f>
        <v>All Centre</v>
      </c>
      <c r="X3852" s="124" t="str">
        <f>IFERROR(__xludf.DUMMYFUNCTION("""COMPUTED_VALUE"""),"Generic")</f>
        <v>Generic</v>
      </c>
      <c r="Y3852" s="124" t="str">
        <f>IFERROR(__xludf.DUMMYFUNCTION("""COMPUTED_VALUE"""),"Prayagraj")</f>
        <v>Prayagraj</v>
      </c>
      <c r="Z3852" s="124">
        <f>IFERROR(__xludf.DUMMYFUNCTION("""COMPUTED_VALUE"""),1.0)</f>
        <v>1</v>
      </c>
      <c r="AA3852" s="124" t="str">
        <f>IFERROR(__xludf.DUMMYFUNCTION("""COMPUTED_VALUE"""),"Interested")</f>
        <v>Interested</v>
      </c>
      <c r="AB3852" s="124" t="str">
        <f>IFERROR(__xludf.DUMMYFUNCTION("""COMPUTED_VALUE"""),"GS Foundation")</f>
        <v>GS Foundation</v>
      </c>
    </row>
    <row r="3853">
      <c r="K3853" s="124"/>
      <c r="L3853" s="124"/>
      <c r="M3853" s="124"/>
      <c r="N3853" s="124"/>
      <c r="O3853" s="124"/>
      <c r="T3853" s="126">
        <f>IFERROR(__xludf.DUMMYFUNCTION("""COMPUTED_VALUE"""),46078.0)</f>
        <v>46078</v>
      </c>
      <c r="U3853" s="124" t="str">
        <f>IFERROR(__xludf.DUMMYFUNCTION("""COMPUTED_VALUE"""),"Event")</f>
        <v>Event</v>
      </c>
      <c r="V3853" s="124" t="str">
        <f>IFERROR(__xludf.DUMMYFUNCTION("""COMPUTED_VALUE"""),"Events")</f>
        <v>Events</v>
      </c>
      <c r="W3853" s="124" t="str">
        <f>IFERROR(__xludf.DUMMYFUNCTION("""COMPUTED_VALUE"""),"All Centre")</f>
        <v>All Centre</v>
      </c>
      <c r="X3853" s="124" t="str">
        <f>IFERROR(__xludf.DUMMYFUNCTION("""COMPUTED_VALUE"""),"Generic")</f>
        <v>Generic</v>
      </c>
      <c r="Y3853" s="124" t="str">
        <f>IFERROR(__xludf.DUMMYFUNCTION("""COMPUTED_VALUE"""),"Delhi")</f>
        <v>Delhi</v>
      </c>
      <c r="Z3853" s="124">
        <f>IFERROR(__xludf.DUMMYFUNCTION("""COMPUTED_VALUE"""),1.0)</f>
        <v>1</v>
      </c>
      <c r="AA3853" s="124" t="str">
        <f>IFERROR(__xludf.DUMMYFUNCTION("""COMPUTED_VALUE"""),"Engaged")</f>
        <v>Engaged</v>
      </c>
      <c r="AB3853" s="124" t="str">
        <f>IFERROR(__xludf.DUMMYFUNCTION("""COMPUTED_VALUE"""),"Hybrid")</f>
        <v>Hybrid</v>
      </c>
    </row>
    <row r="3854">
      <c r="K3854" s="124"/>
      <c r="L3854" s="124"/>
      <c r="M3854" s="124"/>
      <c r="N3854" s="124"/>
      <c r="O3854" s="124"/>
      <c r="T3854" s="126">
        <f>IFERROR(__xludf.DUMMYFUNCTION("""COMPUTED_VALUE"""),46111.0)</f>
        <v>46111</v>
      </c>
      <c r="U3854" s="124" t="str">
        <f>IFERROR(__xludf.DUMMYFUNCTION("""COMPUTED_VALUE"""),"Walk-Ins")</f>
        <v>Walk-Ins</v>
      </c>
      <c r="V3854" s="124" t="str">
        <f>IFERROR(__xludf.DUMMYFUNCTION("""COMPUTED_VALUE"""),"Walk-In")</f>
        <v>Walk-In</v>
      </c>
      <c r="W3854" s="124" t="str">
        <f>IFERROR(__xludf.DUMMYFUNCTION("""COMPUTED_VALUE"""),"Patna")</f>
        <v>Patna</v>
      </c>
      <c r="X3854" s="124" t="str">
        <f>IFERROR(__xludf.DUMMYFUNCTION("""COMPUTED_VALUE"""),"Akash")</f>
        <v>Akash</v>
      </c>
      <c r="Y3854" s="124"/>
      <c r="Z3854" s="124">
        <f>IFERROR(__xludf.DUMMYFUNCTION("""COMPUTED_VALUE"""),1.0)</f>
        <v>1</v>
      </c>
      <c r="AA3854" s="124" t="str">
        <f>IFERROR(__xludf.DUMMYFUNCTION("""COMPUTED_VALUE"""),"Warm")</f>
        <v>Warm</v>
      </c>
      <c r="AB3854" s="124" t="str">
        <f>IFERROR(__xludf.DUMMYFUNCTION("""COMPUTED_VALUE"""),"State PCS")</f>
        <v>State PCS</v>
      </c>
    </row>
    <row r="3855">
      <c r="K3855" s="124"/>
      <c r="L3855" s="124"/>
      <c r="M3855" s="124"/>
      <c r="N3855" s="124"/>
      <c r="O3855" s="124"/>
      <c r="T3855" s="126">
        <f>IFERROR(__xludf.DUMMYFUNCTION("""COMPUTED_VALUE"""),46046.0)</f>
        <v>46046</v>
      </c>
      <c r="U3855" s="124" t="str">
        <f>IFERROR(__xludf.DUMMYFUNCTION("""COMPUTED_VALUE"""),"Event")</f>
        <v>Event</v>
      </c>
      <c r="V3855" s="124" t="str">
        <f>IFERROR(__xludf.DUMMYFUNCTION("""COMPUTED_VALUE"""),"Events")</f>
        <v>Events</v>
      </c>
      <c r="W3855" s="124" t="str">
        <f>IFERROR(__xludf.DUMMYFUNCTION("""COMPUTED_VALUE"""),"Delhi")</f>
        <v>Delhi</v>
      </c>
      <c r="X3855" s="124" t="str">
        <f>IFERROR(__xludf.DUMMYFUNCTION("""COMPUTED_VALUE"""),"DRCSEMINAR(CTC)")</f>
        <v>DRCSEMINAR(CTC)</v>
      </c>
      <c r="Y3855" s="124"/>
      <c r="Z3855" s="124">
        <f>IFERROR(__xludf.DUMMYFUNCTION("""COMPUTED_VALUE"""),2.0)</f>
        <v>2</v>
      </c>
      <c r="AA3855" s="124" t="str">
        <f>IFERROR(__xludf.DUMMYFUNCTION("""COMPUTED_VALUE"""),"Cold")</f>
        <v>Cold</v>
      </c>
      <c r="AB3855" s="124"/>
    </row>
    <row r="3856">
      <c r="K3856" s="124"/>
      <c r="L3856" s="124"/>
      <c r="M3856" s="124"/>
      <c r="N3856" s="124"/>
      <c r="O3856" s="124"/>
      <c r="T3856" s="129">
        <f>IFERROR(__xludf.DUMMYFUNCTION("""COMPUTED_VALUE"""),46059.0)</f>
        <v>46059</v>
      </c>
      <c r="U3856" s="124" t="str">
        <f>IFERROR(__xludf.DUMMYFUNCTION("""COMPUTED_VALUE"""),"External Leads")</f>
        <v>External Leads</v>
      </c>
      <c r="V3856" s="124" t="str">
        <f>IFERROR(__xludf.DUMMYFUNCTION("""COMPUTED_VALUE"""),"external leads")</f>
        <v>external leads</v>
      </c>
      <c r="W3856" s="124" t="str">
        <f>IFERROR(__xludf.DUMMYFUNCTION("""COMPUTED_VALUE"""),"lucknow")</f>
        <v>lucknow</v>
      </c>
      <c r="X3856" s="124" t="str">
        <f>IFERROR(__xludf.DUMMYFUNCTION("""COMPUTED_VALUE"""),"library")</f>
        <v>library</v>
      </c>
      <c r="Y3856" s="124" t="str">
        <f>IFERROR(__xludf.DUMMYFUNCTION("""COMPUTED_VALUE"""),"Lucknow")</f>
        <v>Lucknow</v>
      </c>
      <c r="Z3856" s="124">
        <f>IFERROR(__xludf.DUMMYFUNCTION("""COMPUTED_VALUE"""),3.0)</f>
        <v>3</v>
      </c>
      <c r="AA3856" s="124" t="str">
        <f>IFERROR(__xludf.DUMMYFUNCTION("""COMPUTED_VALUE"""),"Future Prospects")</f>
        <v>Future Prospects</v>
      </c>
      <c r="AB3856" s="124"/>
    </row>
    <row r="3857">
      <c r="K3857" s="124"/>
      <c r="L3857" s="124"/>
      <c r="M3857" s="124"/>
      <c r="N3857" s="124"/>
      <c r="O3857" s="124"/>
      <c r="T3857" s="126">
        <f>IFERROR(__xludf.DUMMYFUNCTION("""COMPUTED_VALUE"""),46048.0)</f>
        <v>46048</v>
      </c>
      <c r="U3857" s="124" t="str">
        <f>IFERROR(__xludf.DUMMYFUNCTION("""COMPUTED_VALUE"""),"Event")</f>
        <v>Event</v>
      </c>
      <c r="V3857" s="124" t="str">
        <f>IFERROR(__xludf.DUMMYFUNCTION("""COMPUTED_VALUE"""),"Events")</f>
        <v>Events</v>
      </c>
      <c r="W3857" s="124" t="str">
        <f>IFERROR(__xludf.DUMMYFUNCTION("""COMPUTED_VALUE"""),"Delhi")</f>
        <v>Delhi</v>
      </c>
      <c r="X3857" s="124" t="str">
        <f>IFERROR(__xludf.DUMMYFUNCTION("""COMPUTED_VALUE"""),"DRCSEMINAR(CTC)")</f>
        <v>DRCSEMINAR(CTC)</v>
      </c>
      <c r="Y3857" s="124"/>
      <c r="Z3857" s="124">
        <f>IFERROR(__xludf.DUMMYFUNCTION("""COMPUTED_VALUE"""),1.0)</f>
        <v>1</v>
      </c>
      <c r="AA3857" s="124" t="str">
        <f>IFERROR(__xludf.DUMMYFUNCTION("""COMPUTED_VALUE"""),"Not Interested")</f>
        <v>Not Interested</v>
      </c>
      <c r="AB3857" s="124"/>
    </row>
    <row r="3858">
      <c r="K3858" s="124"/>
      <c r="L3858" s="124"/>
      <c r="M3858" s="124"/>
      <c r="N3858" s="124"/>
      <c r="O3858" s="124"/>
      <c r="T3858" s="129">
        <f>IFERROR(__xludf.DUMMYFUNCTION("""COMPUTED_VALUE"""),46056.0)</f>
        <v>46056</v>
      </c>
      <c r="U3858" s="124" t="str">
        <f>IFERROR(__xludf.DUMMYFUNCTION("""COMPUTED_VALUE"""),"Event")</f>
        <v>Event</v>
      </c>
      <c r="V3858" s="124" t="str">
        <f>IFERROR(__xludf.DUMMYFUNCTION("""COMPUTED_VALUE"""),"Events")</f>
        <v>Events</v>
      </c>
      <c r="W3858" s="124" t="str">
        <f>IFERROR(__xludf.DUMMYFUNCTION("""COMPUTED_VALUE"""),"All Centre")</f>
        <v>All Centre</v>
      </c>
      <c r="X3858" s="124" t="str">
        <f>IFERROR(__xludf.DUMMYFUNCTION("""COMPUTED_VALUE"""),"Generic")</f>
        <v>Generic</v>
      </c>
      <c r="Y3858" s="124" t="str">
        <f>IFERROR(__xludf.DUMMYFUNCTION("""COMPUTED_VALUE"""),"Delhi")</f>
        <v>Delhi</v>
      </c>
      <c r="Z3858" s="124">
        <f>IFERROR(__xludf.DUMMYFUNCTION("""COMPUTED_VALUE"""),1.0)</f>
        <v>1</v>
      </c>
      <c r="AA3858" s="124" t="str">
        <f>IFERROR(__xludf.DUMMYFUNCTION("""COMPUTED_VALUE"""),"Cold")</f>
        <v>Cold</v>
      </c>
      <c r="AB3858" s="124" t="str">
        <f>IFERROR(__xludf.DUMMYFUNCTION("""COMPUTED_VALUE"""),"Mentorship")</f>
        <v>Mentorship</v>
      </c>
    </row>
    <row r="3859">
      <c r="K3859" s="124"/>
      <c r="L3859" s="124"/>
      <c r="M3859" s="124"/>
      <c r="N3859" s="124"/>
      <c r="O3859" s="124"/>
      <c r="T3859" s="129">
        <f>IFERROR(__xludf.DUMMYFUNCTION("""COMPUTED_VALUE"""),46058.0)</f>
        <v>46058</v>
      </c>
      <c r="U3859" s="124" t="str">
        <f>IFERROR(__xludf.DUMMYFUNCTION("""COMPUTED_VALUE"""),"Event")</f>
        <v>Event</v>
      </c>
      <c r="V3859" s="124" t="str">
        <f>IFERROR(__xludf.DUMMYFUNCTION("""COMPUTED_VALUE"""),"Events")</f>
        <v>Events</v>
      </c>
      <c r="W3859" s="124" t="str">
        <f>IFERROR(__xludf.DUMMYFUNCTION("""COMPUTED_VALUE"""),"All Centre")</f>
        <v>All Centre</v>
      </c>
      <c r="X3859" s="124" t="str">
        <f>IFERROR(__xludf.DUMMYFUNCTION("""COMPUTED_VALUE"""),"Generic")</f>
        <v>Generic</v>
      </c>
      <c r="Y3859" s="124" t="str">
        <f>IFERROR(__xludf.DUMMYFUNCTION("""COMPUTED_VALUE"""),"Delhi")</f>
        <v>Delhi</v>
      </c>
      <c r="Z3859" s="124">
        <f>IFERROR(__xludf.DUMMYFUNCTION("""COMPUTED_VALUE"""),1.0)</f>
        <v>1</v>
      </c>
      <c r="AA3859" s="124" t="str">
        <f>IFERROR(__xludf.DUMMYFUNCTION("""COMPUTED_VALUE"""),"Fake Lead")</f>
        <v>Fake Lead</v>
      </c>
      <c r="AB3859" s="124" t="str">
        <f>IFERROR(__xludf.DUMMYFUNCTION("""COMPUTED_VALUE"""),"Other")</f>
        <v>Other</v>
      </c>
    </row>
    <row r="3860">
      <c r="K3860" s="124"/>
      <c r="L3860" s="124"/>
      <c r="M3860" s="124"/>
      <c r="N3860" s="124"/>
      <c r="O3860" s="124"/>
      <c r="T3860" s="129">
        <f>IFERROR(__xludf.DUMMYFUNCTION("""COMPUTED_VALUE"""),46057.0)</f>
        <v>46057</v>
      </c>
      <c r="U3860" s="124" t="str">
        <f>IFERROR(__xludf.DUMMYFUNCTION("""COMPUTED_VALUE"""),"Event")</f>
        <v>Event</v>
      </c>
      <c r="V3860" s="124" t="str">
        <f>IFERROR(__xludf.DUMMYFUNCTION("""COMPUTED_VALUE"""),"Events")</f>
        <v>Events</v>
      </c>
      <c r="W3860" s="124" t="str">
        <f>IFERROR(__xludf.DUMMYFUNCTION("""COMPUTED_VALUE"""),"Delhi")</f>
        <v>Delhi</v>
      </c>
      <c r="X3860" s="124" t="str">
        <f>IFERROR(__xludf.DUMMYFUNCTION("""COMPUTED_VALUE"""),"DRCSEMINAR(CTC)")</f>
        <v>DRCSEMINAR(CTC)</v>
      </c>
      <c r="Y3860" s="124" t="str">
        <f>IFERROR(__xludf.DUMMYFUNCTION("""COMPUTED_VALUE"""),"Delhi")</f>
        <v>Delhi</v>
      </c>
      <c r="Z3860" s="124">
        <f>IFERROR(__xludf.DUMMYFUNCTION("""COMPUTED_VALUE"""),1.0)</f>
        <v>1</v>
      </c>
      <c r="AA3860" s="124" t="str">
        <f>IFERROR(__xludf.DUMMYFUNCTION("""COMPUTED_VALUE"""),"Engaged")</f>
        <v>Engaged</v>
      </c>
      <c r="AB3860" s="124" t="str">
        <f>IFERROR(__xludf.DUMMYFUNCTION("""COMPUTED_VALUE"""),"GS Foundation")</f>
        <v>GS Foundation</v>
      </c>
    </row>
    <row r="3861">
      <c r="K3861" s="124"/>
      <c r="L3861" s="124"/>
      <c r="M3861" s="124"/>
      <c r="N3861" s="124"/>
      <c r="O3861" s="124"/>
      <c r="T3861" s="126">
        <f>IFERROR(__xludf.DUMMYFUNCTION("""COMPUTED_VALUE"""),46064.0)</f>
        <v>46064</v>
      </c>
      <c r="U3861" s="124" t="str">
        <f>IFERROR(__xludf.DUMMYFUNCTION("""COMPUTED_VALUE"""),"Event")</f>
        <v>Event</v>
      </c>
      <c r="V3861" s="124" t="str">
        <f>IFERROR(__xludf.DUMMYFUNCTION("""COMPUTED_VALUE"""),"Events")</f>
        <v>Events</v>
      </c>
      <c r="W3861" s="124" t="str">
        <f>IFERROR(__xludf.DUMMYFUNCTION("""COMPUTED_VALUE"""),"All Centre")</f>
        <v>All Centre</v>
      </c>
      <c r="X3861" s="124" t="str">
        <f>IFERROR(__xludf.DUMMYFUNCTION("""COMPUTED_VALUE"""),"Generic")</f>
        <v>Generic</v>
      </c>
      <c r="Y3861" s="124" t="str">
        <f>IFERROR(__xludf.DUMMYFUNCTION("""COMPUTED_VALUE"""),"Delhi")</f>
        <v>Delhi</v>
      </c>
      <c r="Z3861" s="124">
        <f>IFERROR(__xludf.DUMMYFUNCTION("""COMPUTED_VALUE"""),1.0)</f>
        <v>1</v>
      </c>
      <c r="AA3861" s="124" t="str">
        <f>IFERROR(__xludf.DUMMYFUNCTION("""COMPUTED_VALUE"""),"Cold")</f>
        <v>Cold</v>
      </c>
      <c r="AB3861" s="124" t="str">
        <f>IFERROR(__xludf.DUMMYFUNCTION("""COMPUTED_VALUE"""),"Mentorship")</f>
        <v>Mentorship</v>
      </c>
    </row>
    <row r="3862">
      <c r="K3862" s="124"/>
      <c r="L3862" s="124"/>
      <c r="M3862" s="124"/>
      <c r="N3862" s="124"/>
      <c r="O3862" s="124"/>
      <c r="T3862" s="126">
        <f>IFERROR(__xludf.DUMMYFUNCTION("""COMPUTED_VALUE"""),46065.0)</f>
        <v>46065</v>
      </c>
      <c r="U3862" s="124" t="str">
        <f>IFERROR(__xludf.DUMMYFUNCTION("""COMPUTED_VALUE"""),"Event")</f>
        <v>Event</v>
      </c>
      <c r="V3862" s="124" t="str">
        <f>IFERROR(__xludf.DUMMYFUNCTION("""COMPUTED_VALUE"""),"Events")</f>
        <v>Events</v>
      </c>
      <c r="W3862" s="124" t="str">
        <f>IFERROR(__xludf.DUMMYFUNCTION("""COMPUTED_VALUE"""),"All Centre")</f>
        <v>All Centre</v>
      </c>
      <c r="X3862" s="124" t="str">
        <f>IFERROR(__xludf.DUMMYFUNCTION("""COMPUTED_VALUE"""),"Generic")</f>
        <v>Generic</v>
      </c>
      <c r="Y3862" s="124" t="str">
        <f>IFERROR(__xludf.DUMMYFUNCTION("""COMPUTED_VALUE"""),"Delhi")</f>
        <v>Delhi</v>
      </c>
      <c r="Z3862" s="124">
        <f>IFERROR(__xludf.DUMMYFUNCTION("""COMPUTED_VALUE"""),2.0)</f>
        <v>2</v>
      </c>
      <c r="AA3862" s="124" t="str">
        <f>IFERROR(__xludf.DUMMYFUNCTION("""COMPUTED_VALUE"""),"Engaged")</f>
        <v>Engaged</v>
      </c>
      <c r="AB3862" s="124" t="str">
        <f>IFERROR(__xludf.DUMMYFUNCTION("""COMPUTED_VALUE"""),"CSAT")</f>
        <v>CSAT</v>
      </c>
    </row>
    <row r="3863">
      <c r="K3863" s="124"/>
      <c r="L3863" s="124"/>
      <c r="M3863" s="124"/>
      <c r="N3863" s="124"/>
      <c r="O3863" s="124"/>
      <c r="T3863" s="126">
        <f>IFERROR(__xludf.DUMMYFUNCTION("""COMPUTED_VALUE"""),46078.0)</f>
        <v>46078</v>
      </c>
      <c r="U3863" s="124" t="str">
        <f>IFERROR(__xludf.DUMMYFUNCTION("""COMPUTED_VALUE"""),"Event")</f>
        <v>Event</v>
      </c>
      <c r="V3863" s="124" t="str">
        <f>IFERROR(__xludf.DUMMYFUNCTION("""COMPUTED_VALUE"""),"Events")</f>
        <v>Events</v>
      </c>
      <c r="W3863" s="124" t="str">
        <f>IFERROR(__xludf.DUMMYFUNCTION("""COMPUTED_VALUE"""),"All Centre")</f>
        <v>All Centre</v>
      </c>
      <c r="X3863" s="124" t="str">
        <f>IFERROR(__xludf.DUMMYFUNCTION("""COMPUTED_VALUE"""),"Generic")</f>
        <v>Generic</v>
      </c>
      <c r="Y3863" s="124" t="str">
        <f>IFERROR(__xludf.DUMMYFUNCTION("""COMPUTED_VALUE"""),"Lucknow")</f>
        <v>Lucknow</v>
      </c>
      <c r="Z3863" s="124">
        <f>IFERROR(__xludf.DUMMYFUNCTION("""COMPUTED_VALUE"""),1.0)</f>
        <v>1</v>
      </c>
      <c r="AA3863" s="124" t="str">
        <f>IFERROR(__xludf.DUMMYFUNCTION("""COMPUTED_VALUE"""),"Not Interested")</f>
        <v>Not Interested</v>
      </c>
      <c r="AB3863" s="124" t="str">
        <f>IFERROR(__xludf.DUMMYFUNCTION("""COMPUTED_VALUE"""),"SIM")</f>
        <v>SIM</v>
      </c>
    </row>
    <row r="3864">
      <c r="K3864" s="124"/>
      <c r="L3864" s="124"/>
      <c r="M3864" s="124"/>
      <c r="N3864" s="124"/>
      <c r="O3864" s="124"/>
      <c r="T3864" s="126">
        <f>IFERROR(__xludf.DUMMYFUNCTION("""COMPUTED_VALUE"""),46079.0)</f>
        <v>46079</v>
      </c>
      <c r="U3864" s="124" t="str">
        <f>IFERROR(__xludf.DUMMYFUNCTION("""COMPUTED_VALUE"""),"Event")</f>
        <v>Event</v>
      </c>
      <c r="V3864" s="124" t="str">
        <f>IFERROR(__xludf.DUMMYFUNCTION("""COMPUTED_VALUE"""),"Events")</f>
        <v>Events</v>
      </c>
      <c r="W3864" s="124" t="str">
        <f>IFERROR(__xludf.DUMMYFUNCTION("""COMPUTED_VALUE"""),"All Centre")</f>
        <v>All Centre</v>
      </c>
      <c r="X3864" s="124" t="str">
        <f>IFERROR(__xludf.DUMMYFUNCTION("""COMPUTED_VALUE"""),"Generic")</f>
        <v>Generic</v>
      </c>
      <c r="Y3864" s="124" t="str">
        <f>IFERROR(__xludf.DUMMYFUNCTION("""COMPUTED_VALUE"""),"Delhi")</f>
        <v>Delhi</v>
      </c>
      <c r="Z3864" s="124">
        <f>IFERROR(__xludf.DUMMYFUNCTION("""COMPUTED_VALUE"""),1.0)</f>
        <v>1</v>
      </c>
      <c r="AA3864" s="124" t="str">
        <f>IFERROR(__xludf.DUMMYFUNCTION("""COMPUTED_VALUE"""),"Warm")</f>
        <v>Warm</v>
      </c>
      <c r="AB3864" s="124" t="str">
        <f>IFERROR(__xludf.DUMMYFUNCTION("""COMPUTED_VALUE"""),"Other")</f>
        <v>Other</v>
      </c>
    </row>
    <row r="3865">
      <c r="K3865" s="124"/>
      <c r="L3865" s="124"/>
      <c r="M3865" s="124"/>
      <c r="N3865" s="124"/>
      <c r="O3865" s="124"/>
      <c r="T3865" s="126">
        <f>IFERROR(__xludf.DUMMYFUNCTION("""COMPUTED_VALUE"""),46078.0)</f>
        <v>46078</v>
      </c>
      <c r="U3865" s="124" t="str">
        <f>IFERROR(__xludf.DUMMYFUNCTION("""COMPUTED_VALUE"""),"Event")</f>
        <v>Event</v>
      </c>
      <c r="V3865" s="124" t="str">
        <f>IFERROR(__xludf.DUMMYFUNCTION("""COMPUTED_VALUE"""),"Events")</f>
        <v>Events</v>
      </c>
      <c r="W3865" s="124" t="str">
        <f>IFERROR(__xludf.DUMMYFUNCTION("""COMPUTED_VALUE"""),"All Centre")</f>
        <v>All Centre</v>
      </c>
      <c r="X3865" s="124" t="str">
        <f>IFERROR(__xludf.DUMMYFUNCTION("""COMPUTED_VALUE"""),"Generic")</f>
        <v>Generic</v>
      </c>
      <c r="Y3865" s="124" t="str">
        <f>IFERROR(__xludf.DUMMYFUNCTION("""COMPUTED_VALUE"""),"Delhi")</f>
        <v>Delhi</v>
      </c>
      <c r="Z3865" s="124">
        <f>IFERROR(__xludf.DUMMYFUNCTION("""COMPUTED_VALUE"""),2.0)</f>
        <v>2</v>
      </c>
      <c r="AA3865" s="124" t="str">
        <f>IFERROR(__xludf.DUMMYFUNCTION("""COMPUTED_VALUE"""),"Cold")</f>
        <v>Cold</v>
      </c>
      <c r="AB3865" s="124" t="str">
        <f>IFERROR(__xludf.DUMMYFUNCTION("""COMPUTED_VALUE"""),"CSAT")</f>
        <v>CSAT</v>
      </c>
    </row>
    <row r="3866">
      <c r="K3866" s="124"/>
      <c r="L3866" s="124"/>
      <c r="M3866" s="124"/>
      <c r="N3866" s="124"/>
      <c r="O3866" s="124"/>
      <c r="T3866" s="126">
        <f>IFERROR(__xludf.DUMMYFUNCTION("""COMPUTED_VALUE"""),46050.0)</f>
        <v>46050</v>
      </c>
      <c r="U3866" s="124" t="str">
        <f>IFERROR(__xludf.DUMMYFUNCTION("""COMPUTED_VALUE"""),"Event")</f>
        <v>Event</v>
      </c>
      <c r="V3866" s="124" t="str">
        <f>IFERROR(__xludf.DUMMYFUNCTION("""COMPUTED_VALUE"""),"Events")</f>
        <v>Events</v>
      </c>
      <c r="W3866" s="124" t="str">
        <f>IFERROR(__xludf.DUMMYFUNCTION("""COMPUTED_VALUE"""),"Delhi")</f>
        <v>Delhi</v>
      </c>
      <c r="X3866" s="124" t="str">
        <f>IFERROR(__xludf.DUMMYFUNCTION("""COMPUTED_VALUE"""),"DRCSEMINAR(CTC)")</f>
        <v>DRCSEMINAR(CTC)</v>
      </c>
      <c r="Y3866" s="124" t="str">
        <f>IFERROR(__xludf.DUMMYFUNCTION("""COMPUTED_VALUE"""),"Delhi")</f>
        <v>Delhi</v>
      </c>
      <c r="Z3866" s="124">
        <f>IFERROR(__xludf.DUMMYFUNCTION("""COMPUTED_VALUE"""),1.0)</f>
        <v>1</v>
      </c>
      <c r="AA3866" s="124" t="str">
        <f>IFERROR(__xludf.DUMMYFUNCTION("""COMPUTED_VALUE"""),"Cold")</f>
        <v>Cold</v>
      </c>
      <c r="AB3866" s="124" t="str">
        <f>IFERROR(__xludf.DUMMYFUNCTION("""COMPUTED_VALUE"""),"GS Foundation")</f>
        <v>GS Foundation</v>
      </c>
    </row>
    <row r="3867">
      <c r="K3867" s="124"/>
      <c r="L3867" s="124"/>
      <c r="M3867" s="124"/>
      <c r="N3867" s="124"/>
      <c r="O3867" s="124"/>
      <c r="T3867" s="126">
        <f>IFERROR(__xludf.DUMMYFUNCTION("""COMPUTED_VALUE"""),46078.0)</f>
        <v>46078</v>
      </c>
      <c r="U3867" s="124" t="str">
        <f>IFERROR(__xludf.DUMMYFUNCTION("""COMPUTED_VALUE"""),"Event")</f>
        <v>Event</v>
      </c>
      <c r="V3867" s="124" t="str">
        <f>IFERROR(__xludf.DUMMYFUNCTION("""COMPUTED_VALUE"""),"Events")</f>
        <v>Events</v>
      </c>
      <c r="W3867" s="124" t="str">
        <f>IFERROR(__xludf.DUMMYFUNCTION("""COMPUTED_VALUE"""),"All Centre")</f>
        <v>All Centre</v>
      </c>
      <c r="X3867" s="124" t="str">
        <f>IFERROR(__xludf.DUMMYFUNCTION("""COMPUTED_VALUE"""),"Generic")</f>
        <v>Generic</v>
      </c>
      <c r="Y3867" s="124" t="str">
        <f>IFERROR(__xludf.DUMMYFUNCTION("""COMPUTED_VALUE"""),"Delhi")</f>
        <v>Delhi</v>
      </c>
      <c r="Z3867" s="124">
        <f>IFERROR(__xludf.DUMMYFUNCTION("""COMPUTED_VALUE"""),1.0)</f>
        <v>1</v>
      </c>
      <c r="AA3867" s="124" t="str">
        <f>IFERROR(__xludf.DUMMYFUNCTION("""COMPUTED_VALUE"""),"Cold")</f>
        <v>Cold</v>
      </c>
      <c r="AB3867" s="124" t="str">
        <f>IFERROR(__xludf.DUMMYFUNCTION("""COMPUTED_VALUE"""),"Test Series")</f>
        <v>Test Series</v>
      </c>
    </row>
    <row r="3868">
      <c r="K3868" s="124"/>
      <c r="L3868" s="124"/>
      <c r="M3868" s="124"/>
      <c r="N3868" s="124"/>
      <c r="O3868" s="124"/>
      <c r="T3868" s="129">
        <f>IFERROR(__xludf.DUMMYFUNCTION("""COMPUTED_VALUE"""),46058.0)</f>
        <v>46058</v>
      </c>
      <c r="U3868" s="124" t="str">
        <f>IFERROR(__xludf.DUMMYFUNCTION("""COMPUTED_VALUE"""),"Event")</f>
        <v>Event</v>
      </c>
      <c r="V3868" s="124" t="str">
        <f>IFERROR(__xludf.DUMMYFUNCTION("""COMPUTED_VALUE"""),"Events")</f>
        <v>Events</v>
      </c>
      <c r="W3868" s="124" t="str">
        <f>IFERROR(__xludf.DUMMYFUNCTION("""COMPUTED_VALUE"""),"All Centre")</f>
        <v>All Centre</v>
      </c>
      <c r="X3868" s="124" t="str">
        <f>IFERROR(__xludf.DUMMYFUNCTION("""COMPUTED_VALUE"""),"Generic")</f>
        <v>Generic</v>
      </c>
      <c r="Y3868" s="124" t="str">
        <f>IFERROR(__xludf.DUMMYFUNCTION("""COMPUTED_VALUE"""),"Delhi")</f>
        <v>Delhi</v>
      </c>
      <c r="Z3868" s="124">
        <f>IFERROR(__xludf.DUMMYFUNCTION("""COMPUTED_VALUE"""),1.0)</f>
        <v>1</v>
      </c>
      <c r="AA3868" s="124" t="str">
        <f>IFERROR(__xludf.DUMMYFUNCTION("""COMPUTED_VALUE"""),"Fake Lead")</f>
        <v>Fake Lead</v>
      </c>
      <c r="AB3868" s="124" t="str">
        <f>IFERROR(__xludf.DUMMYFUNCTION("""COMPUTED_VALUE"""),"CSAT")</f>
        <v>CSAT</v>
      </c>
    </row>
    <row r="3869">
      <c r="K3869" s="124"/>
      <c r="L3869" s="124"/>
      <c r="M3869" s="124"/>
      <c r="N3869" s="124"/>
      <c r="O3869" s="124"/>
      <c r="T3869" s="126">
        <f>IFERROR(__xludf.DUMMYFUNCTION("""COMPUTED_VALUE"""),46092.0)</f>
        <v>46092</v>
      </c>
      <c r="U3869" s="124" t="str">
        <f>IFERROR(__xludf.DUMMYFUNCTION("""COMPUTED_VALUE"""),"Walk-Ins")</f>
        <v>Walk-Ins</v>
      </c>
      <c r="V3869" s="124" t="str">
        <f>IFERROR(__xludf.DUMMYFUNCTION("""COMPUTED_VALUE"""),"Walk-In")</f>
        <v>Walk-In</v>
      </c>
      <c r="W3869" s="124" t="str">
        <f>IFERROR(__xludf.DUMMYFUNCTION("""COMPUTED_VALUE"""),"Patna")</f>
        <v>Patna</v>
      </c>
      <c r="X3869" s="124" t="str">
        <f>IFERROR(__xludf.DUMMYFUNCTION("""COMPUTED_VALUE"""),"Tejaswi")</f>
        <v>Tejaswi</v>
      </c>
      <c r="Y3869" s="124"/>
      <c r="Z3869" s="124">
        <f>IFERROR(__xludf.DUMMYFUNCTION("""COMPUTED_VALUE"""),1.0)</f>
        <v>1</v>
      </c>
      <c r="AA3869" s="124" t="str">
        <f>IFERROR(__xludf.DUMMYFUNCTION("""COMPUTED_VALUE"""),"Warm")</f>
        <v>Warm</v>
      </c>
      <c r="AB3869" s="124" t="str">
        <f>IFERROR(__xludf.DUMMYFUNCTION("""COMPUTED_VALUE"""),"GS Foundation")</f>
        <v>GS Foundation</v>
      </c>
    </row>
    <row r="3870">
      <c r="K3870" s="124"/>
      <c r="L3870" s="124"/>
      <c r="M3870" s="124"/>
      <c r="N3870" s="124"/>
      <c r="O3870" s="124"/>
      <c r="T3870" s="126">
        <f>IFERROR(__xludf.DUMMYFUNCTION("""COMPUTED_VALUE"""),46098.0)</f>
        <v>46098</v>
      </c>
      <c r="U3870" s="124" t="str">
        <f>IFERROR(__xludf.DUMMYFUNCTION("""COMPUTED_VALUE"""),"Walk-Ins")</f>
        <v>Walk-Ins</v>
      </c>
      <c r="V3870" s="124" t="str">
        <f>IFERROR(__xludf.DUMMYFUNCTION("""COMPUTED_VALUE"""),"Walk-In")</f>
        <v>Walk-In</v>
      </c>
      <c r="W3870" s="124" t="str">
        <f>IFERROR(__xludf.DUMMYFUNCTION("""COMPUTED_VALUE"""),"Patna")</f>
        <v>Patna</v>
      </c>
      <c r="X3870" s="124" t="str">
        <f>IFERROR(__xludf.DUMMYFUNCTION("""COMPUTED_VALUE"""),"Tejaswi")</f>
        <v>Tejaswi</v>
      </c>
      <c r="Y3870" s="124"/>
      <c r="Z3870" s="124">
        <f>IFERROR(__xludf.DUMMYFUNCTION("""COMPUTED_VALUE"""),1.0)</f>
        <v>1</v>
      </c>
      <c r="AA3870" s="124" t="str">
        <f>IFERROR(__xludf.DUMMYFUNCTION("""COMPUTED_VALUE"""),"Warm")</f>
        <v>Warm</v>
      </c>
      <c r="AB3870" s="124" t="str">
        <f>IFERROR(__xludf.DUMMYFUNCTION("""COMPUTED_VALUE"""),"GS Foundation")</f>
        <v>GS Foundation</v>
      </c>
    </row>
    <row r="3871">
      <c r="K3871" s="124"/>
      <c r="L3871" s="124"/>
      <c r="M3871" s="124"/>
      <c r="N3871" s="124"/>
      <c r="O3871" s="124"/>
      <c r="T3871" s="129">
        <f>IFERROR(__xludf.DUMMYFUNCTION("""COMPUTED_VALUE"""),46057.0)</f>
        <v>46057</v>
      </c>
      <c r="U3871" s="124" t="str">
        <f>IFERROR(__xludf.DUMMYFUNCTION("""COMPUTED_VALUE"""),"Walk-Ins")</f>
        <v>Walk-Ins</v>
      </c>
      <c r="V3871" s="124" t="str">
        <f>IFERROR(__xludf.DUMMYFUNCTION("""COMPUTED_VALUE"""),"Walk-In")</f>
        <v>Walk-In</v>
      </c>
      <c r="W3871" s="124" t="str">
        <f>IFERROR(__xludf.DUMMYFUNCTION("""COMPUTED_VALUE"""),"Delhi")</f>
        <v>Delhi</v>
      </c>
      <c r="X3871" s="124" t="str">
        <f>IFERROR(__xludf.DUMMYFUNCTION("""COMPUTED_VALUE"""),"Netri")</f>
        <v>Netri</v>
      </c>
      <c r="Y3871" s="124" t="str">
        <f>IFERROR(__xludf.DUMMYFUNCTION("""COMPUTED_VALUE"""),"Delhi")</f>
        <v>Delhi</v>
      </c>
      <c r="Z3871" s="124">
        <f>IFERROR(__xludf.DUMMYFUNCTION("""COMPUTED_VALUE"""),1.0)</f>
        <v>1</v>
      </c>
      <c r="AA3871" s="124" t="str">
        <f>IFERROR(__xludf.DUMMYFUNCTION("""COMPUTED_VALUE"""),"Cold")</f>
        <v>Cold</v>
      </c>
      <c r="AB3871" s="124" t="str">
        <f>IFERROR(__xludf.DUMMYFUNCTION("""COMPUTED_VALUE"""),"GS Foundation")</f>
        <v>GS Foundation</v>
      </c>
    </row>
    <row r="3872">
      <c r="K3872" s="124"/>
      <c r="L3872" s="124"/>
      <c r="M3872" s="124"/>
      <c r="N3872" s="124"/>
      <c r="O3872" s="124"/>
      <c r="T3872" s="129">
        <f>IFERROR(__xludf.DUMMYFUNCTION("""COMPUTED_VALUE"""),46086.0)</f>
        <v>46086</v>
      </c>
      <c r="U3872" s="124" t="str">
        <f>IFERROR(__xludf.DUMMYFUNCTION("""COMPUTED_VALUE"""),"Walk-Ins")</f>
        <v>Walk-Ins</v>
      </c>
      <c r="V3872" s="124" t="str">
        <f>IFERROR(__xludf.DUMMYFUNCTION("""COMPUTED_VALUE"""),"Walk-In")</f>
        <v>Walk-In</v>
      </c>
      <c r="W3872" s="124" t="str">
        <f>IFERROR(__xludf.DUMMYFUNCTION("""COMPUTED_VALUE"""),"Lucknow")</f>
        <v>Lucknow</v>
      </c>
      <c r="X3872" s="124" t="str">
        <f>IFERROR(__xludf.DUMMYFUNCTION("""COMPUTED_VALUE"""),"Swapnil")</f>
        <v>Swapnil</v>
      </c>
      <c r="Y3872" s="124" t="str">
        <f>IFERROR(__xludf.DUMMYFUNCTION("""COMPUTED_VALUE"""),"Lucknow")</f>
        <v>Lucknow</v>
      </c>
      <c r="Z3872" s="124">
        <f>IFERROR(__xludf.DUMMYFUNCTION("""COMPUTED_VALUE"""),1.0)</f>
        <v>1</v>
      </c>
      <c r="AA3872" s="124" t="str">
        <f>IFERROR(__xludf.DUMMYFUNCTION("""COMPUTED_VALUE"""),"Enrolled")</f>
        <v>Enrolled</v>
      </c>
      <c r="AB3872" s="124" t="str">
        <f>IFERROR(__xludf.DUMMYFUNCTION("""COMPUTED_VALUE"""),"GS Foundation")</f>
        <v>GS Foundation</v>
      </c>
    </row>
    <row r="3873">
      <c r="K3873" s="124"/>
      <c r="L3873" s="124"/>
      <c r="M3873" s="124"/>
      <c r="N3873" s="124"/>
      <c r="O3873" s="124"/>
      <c r="T3873" s="126">
        <f>IFERROR(__xludf.DUMMYFUNCTION("""COMPUTED_VALUE"""),46049.0)</f>
        <v>46049</v>
      </c>
      <c r="U3873" s="124" t="str">
        <f>IFERROR(__xludf.DUMMYFUNCTION("""COMPUTED_VALUE"""),"Walk-Ins")</f>
        <v>Walk-Ins</v>
      </c>
      <c r="V3873" s="124" t="str">
        <f>IFERROR(__xludf.DUMMYFUNCTION("""COMPUTED_VALUE"""),"Walk-In")</f>
        <v>Walk-In</v>
      </c>
      <c r="W3873" s="124" t="str">
        <f>IFERROR(__xludf.DUMMYFUNCTION("""COMPUTED_VALUE"""),"Delhi")</f>
        <v>Delhi</v>
      </c>
      <c r="X3873" s="124" t="str">
        <f>IFERROR(__xludf.DUMMYFUNCTION("""COMPUTED_VALUE"""),"Netri")</f>
        <v>Netri</v>
      </c>
      <c r="Y3873" s="124"/>
      <c r="Z3873" s="124">
        <f>IFERROR(__xludf.DUMMYFUNCTION("""COMPUTED_VALUE"""),1.0)</f>
        <v>1</v>
      </c>
      <c r="AA3873" s="124" t="str">
        <f>IFERROR(__xludf.DUMMYFUNCTION("""COMPUTED_VALUE"""),"Fake Lead")</f>
        <v>Fake Lead</v>
      </c>
      <c r="AB3873" s="124" t="str">
        <f>IFERROR(__xludf.DUMMYFUNCTION("""COMPUTED_VALUE"""),"GS Foundation")</f>
        <v>GS Foundation</v>
      </c>
    </row>
    <row r="3874">
      <c r="K3874" s="124"/>
      <c r="L3874" s="124"/>
      <c r="M3874" s="124"/>
      <c r="N3874" s="124"/>
      <c r="O3874" s="124"/>
      <c r="T3874" s="126">
        <f>IFERROR(__xludf.DUMMYFUNCTION("""COMPUTED_VALUE"""),46047.0)</f>
        <v>46047</v>
      </c>
      <c r="U3874" s="124" t="str">
        <f>IFERROR(__xludf.DUMMYFUNCTION("""COMPUTED_VALUE"""),"Walk-Ins")</f>
        <v>Walk-Ins</v>
      </c>
      <c r="V3874" s="124" t="str">
        <f>IFERROR(__xludf.DUMMYFUNCTION("""COMPUTED_VALUE"""),"Walk-In")</f>
        <v>Walk-In</v>
      </c>
      <c r="W3874" s="124" t="str">
        <f>IFERROR(__xludf.DUMMYFUNCTION("""COMPUTED_VALUE"""),"Prayagraj")</f>
        <v>Prayagraj</v>
      </c>
      <c r="X3874" s="124" t="str">
        <f>IFERROR(__xludf.DUMMYFUNCTION("""COMPUTED_VALUE"""),"Abhinandan")</f>
        <v>Abhinandan</v>
      </c>
      <c r="Y3874" s="124"/>
      <c r="Z3874" s="124">
        <f>IFERROR(__xludf.DUMMYFUNCTION("""COMPUTED_VALUE"""),1.0)</f>
        <v>1</v>
      </c>
      <c r="AA3874" s="124" t="str">
        <f>IFERROR(__xludf.DUMMYFUNCTION("""COMPUTED_VALUE"""),"Future Prospects")</f>
        <v>Future Prospects</v>
      </c>
      <c r="AB3874" s="124" t="str">
        <f>IFERROR(__xludf.DUMMYFUNCTION("""COMPUTED_VALUE"""),"Mentorship")</f>
        <v>Mentorship</v>
      </c>
    </row>
    <row r="3875">
      <c r="K3875" s="124"/>
      <c r="L3875" s="124"/>
      <c r="M3875" s="124"/>
      <c r="N3875" s="124"/>
      <c r="O3875" s="124"/>
      <c r="T3875" s="129">
        <f>IFERROR(__xludf.DUMMYFUNCTION("""COMPUTED_VALUE"""),46061.0)</f>
        <v>46061</v>
      </c>
      <c r="U3875" s="124" t="str">
        <f>IFERROR(__xludf.DUMMYFUNCTION("""COMPUTED_VALUE"""),"Walk-Ins")</f>
        <v>Walk-Ins</v>
      </c>
      <c r="V3875" s="124" t="str">
        <f>IFERROR(__xludf.DUMMYFUNCTION("""COMPUTED_VALUE"""),"Walk-In")</f>
        <v>Walk-In</v>
      </c>
      <c r="W3875" s="124" t="str">
        <f>IFERROR(__xludf.DUMMYFUNCTION("""COMPUTED_VALUE"""),"New Delhi")</f>
        <v>New Delhi</v>
      </c>
      <c r="X3875" s="124" t="str">
        <f>IFERROR(__xludf.DUMMYFUNCTION("""COMPUTED_VALUE"""),"New Delhi")</f>
        <v>New Delhi</v>
      </c>
      <c r="Y3875" s="124" t="str">
        <f>IFERROR(__xludf.DUMMYFUNCTION("""COMPUTED_VALUE"""),"Delhi")</f>
        <v>Delhi</v>
      </c>
      <c r="Z3875" s="124">
        <f>IFERROR(__xludf.DUMMYFUNCTION("""COMPUTED_VALUE"""),1.0)</f>
        <v>1</v>
      </c>
      <c r="AA3875" s="124" t="str">
        <f>IFERROR(__xludf.DUMMYFUNCTION("""COMPUTED_VALUE"""),"Fake Lead")</f>
        <v>Fake Lead</v>
      </c>
      <c r="AB3875" s="124" t="str">
        <f>IFERROR(__xludf.DUMMYFUNCTION("""COMPUTED_VALUE"""),"SIP Offline")</f>
        <v>SIP Offline</v>
      </c>
    </row>
    <row r="3876">
      <c r="K3876" s="124"/>
      <c r="L3876" s="124"/>
      <c r="M3876" s="124"/>
      <c r="N3876" s="124"/>
      <c r="O3876" s="124"/>
      <c r="T3876" s="129">
        <f>IFERROR(__xludf.DUMMYFUNCTION("""COMPUTED_VALUE"""),46055.0)</f>
        <v>46055</v>
      </c>
      <c r="U3876" s="124" t="str">
        <f>IFERROR(__xludf.DUMMYFUNCTION("""COMPUTED_VALUE"""),"Walk-Ins")</f>
        <v>Walk-Ins</v>
      </c>
      <c r="V3876" s="124" t="str">
        <f>IFERROR(__xludf.DUMMYFUNCTION("""COMPUTED_VALUE"""),"Walk-In")</f>
        <v>Walk-In</v>
      </c>
      <c r="W3876" s="124" t="str">
        <f>IFERROR(__xludf.DUMMYFUNCTION("""COMPUTED_VALUE"""),"Delhi")</f>
        <v>Delhi</v>
      </c>
      <c r="X3876" s="124" t="str">
        <f>IFERROR(__xludf.DUMMYFUNCTION("""COMPUTED_VALUE"""),"Bijender")</f>
        <v>Bijender</v>
      </c>
      <c r="Y3876" s="124" t="str">
        <f>IFERROR(__xludf.DUMMYFUNCTION("""COMPUTED_VALUE"""),"Delhi")</f>
        <v>Delhi</v>
      </c>
      <c r="Z3876" s="124">
        <f>IFERROR(__xludf.DUMMYFUNCTION("""COMPUTED_VALUE"""),1.0)</f>
        <v>1</v>
      </c>
      <c r="AA3876" s="124" t="str">
        <f>IFERROR(__xludf.DUMMYFUNCTION("""COMPUTED_VALUE"""),"Cold")</f>
        <v>Cold</v>
      </c>
      <c r="AB3876" s="124" t="str">
        <f>IFERROR(__xludf.DUMMYFUNCTION("""COMPUTED_VALUE"""),"GS Foundation")</f>
        <v>GS Foundation</v>
      </c>
    </row>
    <row r="3877">
      <c r="K3877" s="124"/>
      <c r="L3877" s="124"/>
      <c r="M3877" s="124"/>
      <c r="N3877" s="124"/>
      <c r="O3877" s="124"/>
      <c r="T3877" s="129">
        <f>IFERROR(__xludf.DUMMYFUNCTION("""COMPUTED_VALUE"""),46059.0)</f>
        <v>46059</v>
      </c>
      <c r="U3877" s="124" t="str">
        <f>IFERROR(__xludf.DUMMYFUNCTION("""COMPUTED_VALUE"""),"Walk-Ins")</f>
        <v>Walk-Ins</v>
      </c>
      <c r="V3877" s="124" t="str">
        <f>IFERROR(__xludf.DUMMYFUNCTION("""COMPUTED_VALUE"""),"Walk-In")</f>
        <v>Walk-In</v>
      </c>
      <c r="W3877" s="124" t="str">
        <f>IFERROR(__xludf.DUMMYFUNCTION("""COMPUTED_VALUE"""),"Delhi")</f>
        <v>Delhi</v>
      </c>
      <c r="X3877" s="124" t="str">
        <f>IFERROR(__xludf.DUMMYFUNCTION("""COMPUTED_VALUE"""),"Aryan")</f>
        <v>Aryan</v>
      </c>
      <c r="Y3877" s="124" t="str">
        <f>IFERROR(__xludf.DUMMYFUNCTION("""COMPUTED_VALUE"""),"Delhi")</f>
        <v>Delhi</v>
      </c>
      <c r="Z3877" s="124">
        <f>IFERROR(__xludf.DUMMYFUNCTION("""COMPUTED_VALUE"""),1.0)</f>
        <v>1</v>
      </c>
      <c r="AA3877" s="124" t="str">
        <f>IFERROR(__xludf.DUMMYFUNCTION("""COMPUTED_VALUE"""),"Fake Lead")</f>
        <v>Fake Lead</v>
      </c>
      <c r="AB3877" s="124" t="str">
        <f>IFERROR(__xludf.DUMMYFUNCTION("""COMPUTED_VALUE"""),"GS Foundation")</f>
        <v>GS Foundation</v>
      </c>
    </row>
    <row r="3878">
      <c r="K3878" s="124"/>
      <c r="L3878" s="124"/>
      <c r="M3878" s="124"/>
      <c r="N3878" s="124"/>
      <c r="O3878" s="124"/>
      <c r="T3878" s="126">
        <f>IFERROR(__xludf.DUMMYFUNCTION("""COMPUTED_VALUE"""),46063.0)</f>
        <v>46063</v>
      </c>
      <c r="U3878" s="124" t="str">
        <f>IFERROR(__xludf.DUMMYFUNCTION("""COMPUTED_VALUE"""),"Walk-Ins")</f>
        <v>Walk-Ins</v>
      </c>
      <c r="V3878" s="124" t="str">
        <f>IFERROR(__xludf.DUMMYFUNCTION("""COMPUTED_VALUE"""),"Walk-In")</f>
        <v>Walk-In</v>
      </c>
      <c r="W3878" s="124" t="str">
        <f>IFERROR(__xludf.DUMMYFUNCTION("""COMPUTED_VALUE"""),"New Delhi")</f>
        <v>New Delhi</v>
      </c>
      <c r="X3878" s="124" t="str">
        <f>IFERROR(__xludf.DUMMYFUNCTION("""COMPUTED_VALUE"""),"New Delhi")</f>
        <v>New Delhi</v>
      </c>
      <c r="Y3878" s="124" t="str">
        <f>IFERROR(__xludf.DUMMYFUNCTION("""COMPUTED_VALUE"""),"Delhi")</f>
        <v>Delhi</v>
      </c>
      <c r="Z3878" s="124">
        <f>IFERROR(__xludf.DUMMYFUNCTION("""COMPUTED_VALUE"""),1.0)</f>
        <v>1</v>
      </c>
      <c r="AA3878" s="124" t="str">
        <f>IFERROR(__xludf.DUMMYFUNCTION("""COMPUTED_VALUE"""),"Fake Lead")</f>
        <v>Fake Lead</v>
      </c>
      <c r="AB3878" s="124" t="str">
        <f>IFERROR(__xludf.DUMMYFUNCTION("""COMPUTED_VALUE"""),"GS Foundation")</f>
        <v>GS Foundation</v>
      </c>
    </row>
    <row r="3879">
      <c r="K3879" s="124"/>
      <c r="L3879" s="124"/>
      <c r="M3879" s="124"/>
      <c r="N3879" s="124"/>
      <c r="O3879" s="124"/>
      <c r="T3879" s="126">
        <f>IFERROR(__xludf.DUMMYFUNCTION("""COMPUTED_VALUE"""),46104.0)</f>
        <v>46104</v>
      </c>
      <c r="U3879" s="124" t="str">
        <f>IFERROR(__xludf.DUMMYFUNCTION("""COMPUTED_VALUE"""),"Walk-Ins")</f>
        <v>Walk-Ins</v>
      </c>
      <c r="V3879" s="124" t="str">
        <f>IFERROR(__xludf.DUMMYFUNCTION("""COMPUTED_VALUE"""),"Walk-In")</f>
        <v>Walk-In</v>
      </c>
      <c r="W3879" s="124" t="str">
        <f>IFERROR(__xludf.DUMMYFUNCTION("""COMPUTED_VALUE"""),"Delhi")</f>
        <v>Delhi</v>
      </c>
      <c r="X3879" s="124" t="str">
        <f>IFERROR(__xludf.DUMMYFUNCTION("""COMPUTED_VALUE"""),"Bijender")</f>
        <v>Bijender</v>
      </c>
      <c r="Y3879" s="124" t="str">
        <f>IFERROR(__xludf.DUMMYFUNCTION("""COMPUTED_VALUE"""),"Delhi")</f>
        <v>Delhi</v>
      </c>
      <c r="Z3879" s="124">
        <f>IFERROR(__xludf.DUMMYFUNCTION("""COMPUTED_VALUE"""),1.0)</f>
        <v>1</v>
      </c>
      <c r="AA3879" s="124" t="str">
        <f>IFERROR(__xludf.DUMMYFUNCTION("""COMPUTED_VALUE"""),"Not Interested")</f>
        <v>Not Interested</v>
      </c>
      <c r="AB3879" s="124" t="str">
        <f>IFERROR(__xludf.DUMMYFUNCTION("""COMPUTED_VALUE"""),"GS Foundation")</f>
        <v>GS Foundation</v>
      </c>
    </row>
    <row r="3880">
      <c r="K3880" s="124"/>
      <c r="L3880" s="124"/>
      <c r="M3880" s="124"/>
      <c r="N3880" s="124"/>
      <c r="O3880" s="124"/>
      <c r="T3880" s="126">
        <f>IFERROR(__xludf.DUMMYFUNCTION("""COMPUTED_VALUE"""),46066.0)</f>
        <v>46066</v>
      </c>
      <c r="U3880" s="124" t="str">
        <f>IFERROR(__xludf.DUMMYFUNCTION("""COMPUTED_VALUE"""),"Walk-Ins")</f>
        <v>Walk-Ins</v>
      </c>
      <c r="V3880" s="124" t="str">
        <f>IFERROR(__xludf.DUMMYFUNCTION("""COMPUTED_VALUE"""),"Walk-In")</f>
        <v>Walk-In</v>
      </c>
      <c r="W3880" s="124" t="str">
        <f>IFERROR(__xludf.DUMMYFUNCTION("""COMPUTED_VALUE"""),"New Delhi")</f>
        <v>New Delhi</v>
      </c>
      <c r="X3880" s="124" t="str">
        <f>IFERROR(__xludf.DUMMYFUNCTION("""COMPUTED_VALUE"""),"New Delhi")</f>
        <v>New Delhi</v>
      </c>
      <c r="Y3880" s="124" t="str">
        <f>IFERROR(__xludf.DUMMYFUNCTION("""COMPUTED_VALUE"""),"Delhi")</f>
        <v>Delhi</v>
      </c>
      <c r="Z3880" s="124">
        <f>IFERROR(__xludf.DUMMYFUNCTION("""COMPUTED_VALUE"""),1.0)</f>
        <v>1</v>
      </c>
      <c r="AA3880" s="124" t="str">
        <f>IFERROR(__xludf.DUMMYFUNCTION("""COMPUTED_VALUE"""),"Not Interested")</f>
        <v>Not Interested</v>
      </c>
      <c r="AB3880" s="124" t="str">
        <f>IFERROR(__xludf.DUMMYFUNCTION("""COMPUTED_VALUE"""),"GS Foundation")</f>
        <v>GS Foundation</v>
      </c>
    </row>
    <row r="3881">
      <c r="K3881" s="124"/>
      <c r="L3881" s="124"/>
      <c r="M3881" s="124"/>
      <c r="N3881" s="124"/>
      <c r="O3881" s="124"/>
      <c r="T3881" s="126">
        <f>IFERROR(__xludf.DUMMYFUNCTION("""COMPUTED_VALUE"""),46079.0)</f>
        <v>46079</v>
      </c>
      <c r="U3881" s="124" t="str">
        <f>IFERROR(__xludf.DUMMYFUNCTION("""COMPUTED_VALUE"""),"Walk-Ins")</f>
        <v>Walk-Ins</v>
      </c>
      <c r="V3881" s="124" t="str">
        <f>IFERROR(__xludf.DUMMYFUNCTION("""COMPUTED_VALUE"""),"Walk-In")</f>
        <v>Walk-In</v>
      </c>
      <c r="W3881" s="124" t="str">
        <f>IFERROR(__xludf.DUMMYFUNCTION("""COMPUTED_VALUE"""),"New Delhi")</f>
        <v>New Delhi</v>
      </c>
      <c r="X3881" s="124" t="str">
        <f>IFERROR(__xludf.DUMMYFUNCTION("""COMPUTED_VALUE"""),"New Delhi")</f>
        <v>New Delhi</v>
      </c>
      <c r="Y3881" s="124" t="str">
        <f>IFERROR(__xludf.DUMMYFUNCTION("""COMPUTED_VALUE"""),"Delhi")</f>
        <v>Delhi</v>
      </c>
      <c r="Z3881" s="124">
        <f>IFERROR(__xludf.DUMMYFUNCTION("""COMPUTED_VALUE"""),2.0)</f>
        <v>2</v>
      </c>
      <c r="AA3881" s="124" t="str">
        <f>IFERROR(__xludf.DUMMYFUNCTION("""COMPUTED_VALUE"""),"Future Prospects")</f>
        <v>Future Prospects</v>
      </c>
      <c r="AB3881" s="124" t="str">
        <f>IFERROR(__xludf.DUMMYFUNCTION("""COMPUTED_VALUE"""),"GS Foundation")</f>
        <v>GS Foundation</v>
      </c>
    </row>
    <row r="3882">
      <c r="K3882" s="124"/>
      <c r="L3882" s="124"/>
      <c r="M3882" s="124"/>
      <c r="N3882" s="124"/>
      <c r="O3882" s="124"/>
      <c r="T3882" s="126">
        <f>IFERROR(__xludf.DUMMYFUNCTION("""COMPUTED_VALUE"""),46070.0)</f>
        <v>46070</v>
      </c>
      <c r="U3882" s="124" t="str">
        <f>IFERROR(__xludf.DUMMYFUNCTION("""COMPUTED_VALUE"""),"Walk-Ins")</f>
        <v>Walk-Ins</v>
      </c>
      <c r="V3882" s="124" t="str">
        <f>IFERROR(__xludf.DUMMYFUNCTION("""COMPUTED_VALUE"""),"Walk-In")</f>
        <v>Walk-In</v>
      </c>
      <c r="W3882" s="124" t="str">
        <f>IFERROR(__xludf.DUMMYFUNCTION("""COMPUTED_VALUE"""),"Delhi")</f>
        <v>Delhi</v>
      </c>
      <c r="X3882" s="124" t="str">
        <f>IFERROR(__xludf.DUMMYFUNCTION("""COMPUTED_VALUE"""),"Bijender")</f>
        <v>Bijender</v>
      </c>
      <c r="Y3882" s="124" t="str">
        <f>IFERROR(__xludf.DUMMYFUNCTION("""COMPUTED_VALUE"""),"Delhi")</f>
        <v>Delhi</v>
      </c>
      <c r="Z3882" s="124">
        <f>IFERROR(__xludf.DUMMYFUNCTION("""COMPUTED_VALUE"""),1.0)</f>
        <v>1</v>
      </c>
      <c r="AA3882" s="124" t="str">
        <f>IFERROR(__xludf.DUMMYFUNCTION("""COMPUTED_VALUE"""),"Not Interested")</f>
        <v>Not Interested</v>
      </c>
      <c r="AB3882" s="124" t="str">
        <f>IFERROR(__xludf.DUMMYFUNCTION("""COMPUTED_VALUE"""),"GS Foundation")</f>
        <v>GS Foundation</v>
      </c>
    </row>
    <row r="3883">
      <c r="K3883" s="124"/>
      <c r="L3883" s="124"/>
      <c r="M3883" s="124"/>
      <c r="N3883" s="124"/>
      <c r="O3883" s="124"/>
      <c r="T3883" s="126">
        <f>IFERROR(__xludf.DUMMYFUNCTION("""COMPUTED_VALUE"""),46111.0)</f>
        <v>46111</v>
      </c>
      <c r="U3883" s="124" t="str">
        <f>IFERROR(__xludf.DUMMYFUNCTION("""COMPUTED_VALUE"""),"Walk-Ins")</f>
        <v>Walk-Ins</v>
      </c>
      <c r="V3883" s="124" t="str">
        <f>IFERROR(__xludf.DUMMYFUNCTION("""COMPUTED_VALUE"""),"Walk-In")</f>
        <v>Walk-In</v>
      </c>
      <c r="W3883" s="124" t="str">
        <f>IFERROR(__xludf.DUMMYFUNCTION("""COMPUTED_VALUE"""),"Delhi")</f>
        <v>Delhi</v>
      </c>
      <c r="X3883" s="124" t="str">
        <f>IFERROR(__xludf.DUMMYFUNCTION("""COMPUTED_VALUE"""),"Aryan")</f>
        <v>Aryan</v>
      </c>
      <c r="Y3883" s="124" t="str">
        <f>IFERROR(__xludf.DUMMYFUNCTION("""COMPUTED_VALUE"""),"Delhi")</f>
        <v>Delhi</v>
      </c>
      <c r="Z3883" s="124">
        <f>IFERROR(__xludf.DUMMYFUNCTION("""COMPUTED_VALUE"""),1.0)</f>
        <v>1</v>
      </c>
      <c r="AA3883" s="124" t="str">
        <f>IFERROR(__xludf.DUMMYFUNCTION("""COMPUTED_VALUE"""),"Future Prospects")</f>
        <v>Future Prospects</v>
      </c>
      <c r="AB3883" s="124" t="str">
        <f>IFERROR(__xludf.DUMMYFUNCTION("""COMPUTED_VALUE"""),"Optionals")</f>
        <v>Optionals</v>
      </c>
    </row>
    <row r="3884">
      <c r="K3884" s="124"/>
      <c r="L3884" s="124"/>
      <c r="M3884" s="124"/>
      <c r="N3884" s="124"/>
      <c r="O3884" s="124"/>
      <c r="T3884" s="126">
        <f>IFERROR(__xludf.DUMMYFUNCTION("""COMPUTED_VALUE"""),46073.0)</f>
        <v>46073</v>
      </c>
      <c r="U3884" s="124" t="str">
        <f>IFERROR(__xludf.DUMMYFUNCTION("""COMPUTED_VALUE"""),"Walk-Ins")</f>
        <v>Walk-Ins</v>
      </c>
      <c r="V3884" s="124" t="str">
        <f>IFERROR(__xludf.DUMMYFUNCTION("""COMPUTED_VALUE"""),"Walk-In")</f>
        <v>Walk-In</v>
      </c>
      <c r="W3884" s="124" t="str">
        <f>IFERROR(__xludf.DUMMYFUNCTION("""COMPUTED_VALUE"""),"Patna")</f>
        <v>Patna</v>
      </c>
      <c r="X3884" s="124" t="str">
        <f>IFERROR(__xludf.DUMMYFUNCTION("""COMPUTED_VALUE"""),"Patna")</f>
        <v>Patna</v>
      </c>
      <c r="Y3884" s="124" t="str">
        <f>IFERROR(__xludf.DUMMYFUNCTION("""COMPUTED_VALUE"""),"Patna")</f>
        <v>Patna</v>
      </c>
      <c r="Z3884" s="124">
        <f>IFERROR(__xludf.DUMMYFUNCTION("""COMPUTED_VALUE"""),1.0)</f>
        <v>1</v>
      </c>
      <c r="AA3884" s="124" t="str">
        <f>IFERROR(__xludf.DUMMYFUNCTION("""COMPUTED_VALUE"""),"Enrolled")</f>
        <v>Enrolled</v>
      </c>
      <c r="AB3884" s="124" t="str">
        <f>IFERROR(__xludf.DUMMYFUNCTION("""COMPUTED_VALUE"""),"GS Foundation")</f>
        <v>GS Foundation</v>
      </c>
    </row>
    <row r="3885">
      <c r="K3885" s="124"/>
      <c r="L3885" s="124"/>
      <c r="M3885" s="124"/>
      <c r="N3885" s="124"/>
      <c r="O3885" s="124"/>
      <c r="T3885" s="126">
        <f>IFERROR(__xludf.DUMMYFUNCTION("""COMPUTED_VALUE"""),46108.0)</f>
        <v>46108</v>
      </c>
      <c r="U3885" s="124" t="str">
        <f>IFERROR(__xludf.DUMMYFUNCTION("""COMPUTED_VALUE"""),"Paid Ads")</f>
        <v>Paid Ads</v>
      </c>
      <c r="V3885" s="124" t="str">
        <f>IFERROR(__xludf.DUMMYFUNCTION("""COMPUTED_VALUE"""),"Facebook")</f>
        <v>Facebook</v>
      </c>
      <c r="W3885" s="124" t="str">
        <f>IFERROR(__xludf.DUMMYFUNCTION("""COMPUTED_VALUE"""),"LeadAd")</f>
        <v>LeadAd</v>
      </c>
      <c r="X3885" s="124" t="str">
        <f>IFERROR(__xludf.DUMMYFUNCTION("""COMPUTED_VALUE"""),"Upsc_offline_Patna_Lead_Fb_Mar")</f>
        <v>Upsc_offline_Patna_Lead_Fb_Mar</v>
      </c>
      <c r="Y3885" s="124" t="str">
        <f>IFERROR(__xludf.DUMMYFUNCTION("""COMPUTED_VALUE"""),"Patna")</f>
        <v>Patna</v>
      </c>
      <c r="Z3885" s="124">
        <f>IFERROR(__xludf.DUMMYFUNCTION("""COMPUTED_VALUE"""),1.0)</f>
        <v>1</v>
      </c>
      <c r="AA3885" s="124"/>
      <c r="AB3885" s="124"/>
    </row>
    <row r="3886">
      <c r="K3886" s="124"/>
      <c r="L3886" s="124"/>
      <c r="M3886" s="124"/>
      <c r="N3886" s="124"/>
      <c r="O3886" s="124"/>
      <c r="T3886" s="126">
        <f>IFERROR(__xludf.DUMMYFUNCTION("""COMPUTED_VALUE"""),46077.0)</f>
        <v>46077</v>
      </c>
      <c r="U3886" s="124" t="str">
        <f>IFERROR(__xludf.DUMMYFUNCTION("""COMPUTED_VALUE"""),"Walk-Ins")</f>
        <v>Walk-Ins</v>
      </c>
      <c r="V3886" s="124" t="str">
        <f>IFERROR(__xludf.DUMMYFUNCTION("""COMPUTED_VALUE"""),"Walk-In")</f>
        <v>Walk-In</v>
      </c>
      <c r="W3886" s="124" t="str">
        <f>IFERROR(__xludf.DUMMYFUNCTION("""COMPUTED_VALUE"""),"Patna")</f>
        <v>Patna</v>
      </c>
      <c r="X3886" s="124" t="str">
        <f>IFERROR(__xludf.DUMMYFUNCTION("""COMPUTED_VALUE"""),"Patna")</f>
        <v>Patna</v>
      </c>
      <c r="Y3886" s="124"/>
      <c r="Z3886" s="124">
        <f>IFERROR(__xludf.DUMMYFUNCTION("""COMPUTED_VALUE"""),1.0)</f>
        <v>1</v>
      </c>
      <c r="AA3886" s="124" t="str">
        <f>IFERROR(__xludf.DUMMYFUNCTION("""COMPUTED_VALUE"""),"Enrolled")</f>
        <v>Enrolled</v>
      </c>
      <c r="AB3886" s="124" t="str">
        <f>IFERROR(__xludf.DUMMYFUNCTION("""COMPUTED_VALUE"""),"State PCS")</f>
        <v>State PCS</v>
      </c>
    </row>
    <row r="3887">
      <c r="K3887" s="124"/>
      <c r="L3887" s="124"/>
      <c r="M3887" s="124"/>
      <c r="N3887" s="124"/>
      <c r="O3887" s="124"/>
      <c r="T3887" s="126">
        <f>IFERROR(__xludf.DUMMYFUNCTION("""COMPUTED_VALUE"""),46094.0)</f>
        <v>46094</v>
      </c>
      <c r="U3887" s="124" t="str">
        <f>IFERROR(__xludf.DUMMYFUNCTION("""COMPUTED_VALUE"""),"External Leads")</f>
        <v>External Leads</v>
      </c>
      <c r="V3887" s="124" t="str">
        <f>IFERROR(__xludf.DUMMYFUNCTION("""COMPUTED_VALUE"""),"external leads")</f>
        <v>external leads</v>
      </c>
      <c r="W3887" s="124" t="str">
        <f>IFERROR(__xludf.DUMMYFUNCTION("""COMPUTED_VALUE"""),"lucknow")</f>
        <v>lucknow</v>
      </c>
      <c r="X3887" s="124" t="str">
        <f>IFERROR(__xludf.DUMMYFUNCTION("""COMPUTED_VALUE"""),"justdial")</f>
        <v>justdial</v>
      </c>
      <c r="Y3887" s="124" t="str">
        <f>IFERROR(__xludf.DUMMYFUNCTION("""COMPUTED_VALUE"""),"Lucknow")</f>
        <v>Lucknow</v>
      </c>
      <c r="Z3887" s="124">
        <f>IFERROR(__xludf.DUMMYFUNCTION("""COMPUTED_VALUE"""),1.0)</f>
        <v>1</v>
      </c>
      <c r="AA3887" s="124" t="str">
        <f>IFERROR(__xludf.DUMMYFUNCTION("""COMPUTED_VALUE"""),"Cold")</f>
        <v>Cold</v>
      </c>
      <c r="AB3887" s="124" t="str">
        <f>IFERROR(__xludf.DUMMYFUNCTION("""COMPUTED_VALUE"""),"State PCS")</f>
        <v>State PCS</v>
      </c>
    </row>
    <row r="3888">
      <c r="K3888" s="124"/>
      <c r="L3888" s="124"/>
      <c r="M3888" s="124"/>
      <c r="N3888" s="124"/>
      <c r="O3888" s="124"/>
      <c r="T3888" s="126">
        <f>IFERROR(__xludf.DUMMYFUNCTION("""COMPUTED_VALUE"""),46097.0)</f>
        <v>46097</v>
      </c>
      <c r="U3888" s="124" t="str">
        <f>IFERROR(__xludf.DUMMYFUNCTION("""COMPUTED_VALUE"""),"Event")</f>
        <v>Event</v>
      </c>
      <c r="V3888" s="124" t="str">
        <f>IFERROR(__xludf.DUMMYFUNCTION("""COMPUTED_VALUE"""),"events")</f>
        <v>events</v>
      </c>
      <c r="W3888" s="124" t="str">
        <f>IFERROR(__xludf.DUMMYFUNCTION("""COMPUTED_VALUE"""),"indore")</f>
        <v>indore</v>
      </c>
      <c r="X3888" s="124" t="str">
        <f>IFERROR(__xludf.DUMMYFUNCTION("""COMPUTED_VALUE"""),"seminar")</f>
        <v>seminar</v>
      </c>
      <c r="Y3888" s="124" t="str">
        <f>IFERROR(__xludf.DUMMYFUNCTION("""COMPUTED_VALUE"""),"Indore")</f>
        <v>Indore</v>
      </c>
      <c r="Z3888" s="124">
        <f>IFERROR(__xludf.DUMMYFUNCTION("""COMPUTED_VALUE"""),1.0)</f>
        <v>1</v>
      </c>
      <c r="AA3888" s="124" t="str">
        <f>IFERROR(__xludf.DUMMYFUNCTION("""COMPUTED_VALUE"""),"Cold")</f>
        <v>Cold</v>
      </c>
      <c r="AB3888" s="124" t="str">
        <f>IFERROR(__xludf.DUMMYFUNCTION("""COMPUTED_VALUE"""),"State PCS")</f>
        <v>State PCS</v>
      </c>
    </row>
    <row r="3889">
      <c r="K3889" s="124"/>
      <c r="L3889" s="124"/>
      <c r="M3889" s="124"/>
      <c r="N3889" s="124"/>
      <c r="O3889" s="124"/>
      <c r="T3889" s="126">
        <f>IFERROR(__xludf.DUMMYFUNCTION("""COMPUTED_VALUE"""),46077.0)</f>
        <v>46077</v>
      </c>
      <c r="U3889" s="124" t="str">
        <f>IFERROR(__xludf.DUMMYFUNCTION("""COMPUTED_VALUE"""),"Paid Ads")</f>
        <v>Paid Ads</v>
      </c>
      <c r="V3889" s="124" t="str">
        <f>IFERROR(__xludf.DUMMYFUNCTION("""COMPUTED_VALUE"""),"google")</f>
        <v>google</v>
      </c>
      <c r="W3889" s="124" t="str">
        <f>IFERROR(__xludf.DUMMYFUNCTION("""COMPUTED_VALUE"""),"cpc")</f>
        <v>cpc</v>
      </c>
      <c r="X3889" s="124">
        <f>IFERROR(__xludf.DUMMYFUNCTION("""COMPUTED_VALUE"""),2.2758016291E10)</f>
        <v>22758016291</v>
      </c>
      <c r="Y3889" s="124" t="str">
        <f>IFERROR(__xludf.DUMMYFUNCTION("""COMPUTED_VALUE"""),"Delhi")</f>
        <v>Delhi</v>
      </c>
      <c r="Z3889" s="124">
        <f>IFERROR(__xludf.DUMMYFUNCTION("""COMPUTED_VALUE"""),1.0)</f>
        <v>1</v>
      </c>
      <c r="AA3889" s="124" t="str">
        <f>IFERROR(__xludf.DUMMYFUNCTION("""COMPUTED_VALUE"""),"Cold")</f>
        <v>Cold</v>
      </c>
      <c r="AB3889" s="124" t="str">
        <f>IFERROR(__xludf.DUMMYFUNCTION("""COMPUTED_VALUE"""),"IGP UPPSC")</f>
        <v>IGP UPPSC</v>
      </c>
    </row>
    <row r="3890">
      <c r="K3890" s="124"/>
      <c r="L3890" s="124"/>
      <c r="M3890" s="124"/>
      <c r="N3890" s="124"/>
      <c r="O3890" s="124"/>
      <c r="T3890" s="126">
        <f>IFERROR(__xludf.DUMMYFUNCTION("""COMPUTED_VALUE"""),46097.0)</f>
        <v>46097</v>
      </c>
      <c r="U3890" s="124" t="str">
        <f>IFERROR(__xludf.DUMMYFUNCTION("""COMPUTED_VALUE"""),"Event")</f>
        <v>Event</v>
      </c>
      <c r="V3890" s="124" t="str">
        <f>IFERROR(__xludf.DUMMYFUNCTION("""COMPUTED_VALUE"""),"events")</f>
        <v>events</v>
      </c>
      <c r="W3890" s="124" t="str">
        <f>IFERROR(__xludf.DUMMYFUNCTION("""COMPUTED_VALUE"""),"prayagraj")</f>
        <v>prayagraj</v>
      </c>
      <c r="X3890" s="124" t="str">
        <f>IFERROR(__xludf.DUMMYFUNCTION("""COMPUTED_VALUE"""),"seminar")</f>
        <v>seminar</v>
      </c>
      <c r="Y3890" s="124" t="str">
        <f>IFERROR(__xludf.DUMMYFUNCTION("""COMPUTED_VALUE"""),"Prayagraj")</f>
        <v>Prayagraj</v>
      </c>
      <c r="Z3890" s="124">
        <f>IFERROR(__xludf.DUMMYFUNCTION("""COMPUTED_VALUE"""),1.0)</f>
        <v>1</v>
      </c>
      <c r="AA3890" s="124" t="str">
        <f>IFERROR(__xludf.DUMMYFUNCTION("""COMPUTED_VALUE"""),"Enrolled")</f>
        <v>Enrolled</v>
      </c>
      <c r="AB3890" s="124" t="str">
        <f>IFERROR(__xludf.DUMMYFUNCTION("""COMPUTED_VALUE"""),"GS Foundation")</f>
        <v>GS Foundation</v>
      </c>
    </row>
    <row r="3891">
      <c r="K3891" s="124"/>
      <c r="L3891" s="124"/>
      <c r="M3891" s="124"/>
      <c r="N3891" s="124"/>
      <c r="O3891" s="124"/>
      <c r="T3891" s="126">
        <f>IFERROR(__xludf.DUMMYFUNCTION("""COMPUTED_VALUE"""),46107.0)</f>
        <v>46107</v>
      </c>
      <c r="U3891" s="124" t="str">
        <f>IFERROR(__xludf.DUMMYFUNCTION("""COMPUTED_VALUE"""),"Event")</f>
        <v>Event</v>
      </c>
      <c r="V3891" s="124" t="str">
        <f>IFERROR(__xludf.DUMMYFUNCTION("""COMPUTED_VALUE"""),"events")</f>
        <v>events</v>
      </c>
      <c r="W3891" s="124" t="str">
        <f>IFERROR(__xludf.DUMMYFUNCTION("""COMPUTED_VALUE"""),"delhi")</f>
        <v>delhi</v>
      </c>
      <c r="X3891" s="124" t="str">
        <f>IFERROR(__xludf.DUMMYFUNCTION("""COMPUTED_VALUE"""),"seminar")</f>
        <v>seminar</v>
      </c>
      <c r="Y3891" s="124" t="str">
        <f>IFERROR(__xludf.DUMMYFUNCTION("""COMPUTED_VALUE"""),"Delhi")</f>
        <v>Delhi</v>
      </c>
      <c r="Z3891" s="124">
        <f>IFERROR(__xludf.DUMMYFUNCTION("""COMPUTED_VALUE"""),1.0)</f>
        <v>1</v>
      </c>
      <c r="AA3891" s="124" t="str">
        <f>IFERROR(__xludf.DUMMYFUNCTION("""COMPUTED_VALUE"""),"Cold")</f>
        <v>Cold</v>
      </c>
      <c r="AB3891" s="124"/>
    </row>
    <row r="3892">
      <c r="K3892" s="124"/>
      <c r="L3892" s="124"/>
      <c r="M3892" s="124"/>
      <c r="N3892" s="124"/>
      <c r="O3892" s="124"/>
      <c r="T3892" s="126">
        <f>IFERROR(__xludf.DUMMYFUNCTION("""COMPUTED_VALUE"""),46075.0)</f>
        <v>46075</v>
      </c>
      <c r="U3892" s="124" t="str">
        <f>IFERROR(__xludf.DUMMYFUNCTION("""COMPUTED_VALUE"""),"Walk-Ins")</f>
        <v>Walk-Ins</v>
      </c>
      <c r="V3892" s="124" t="str">
        <f>IFERROR(__xludf.DUMMYFUNCTION("""COMPUTED_VALUE"""),"Walk-In")</f>
        <v>Walk-In</v>
      </c>
      <c r="W3892" s="124" t="str">
        <f>IFERROR(__xludf.DUMMYFUNCTION("""COMPUTED_VALUE"""),"Patna")</f>
        <v>Patna</v>
      </c>
      <c r="X3892" s="124" t="str">
        <f>IFERROR(__xludf.DUMMYFUNCTION("""COMPUTED_VALUE"""),"Patna")</f>
        <v>Patna</v>
      </c>
      <c r="Y3892" s="124"/>
      <c r="Z3892" s="124">
        <f>IFERROR(__xludf.DUMMYFUNCTION("""COMPUTED_VALUE"""),1.0)</f>
        <v>1</v>
      </c>
      <c r="AA3892" s="124" t="str">
        <f>IFERROR(__xludf.DUMMYFUNCTION("""COMPUTED_VALUE"""),"Cold")</f>
        <v>Cold</v>
      </c>
      <c r="AB3892" s="124" t="str">
        <f>IFERROR(__xludf.DUMMYFUNCTION("""COMPUTED_VALUE"""),"Test Series")</f>
        <v>Test Series</v>
      </c>
    </row>
    <row r="3893">
      <c r="K3893" s="124"/>
      <c r="L3893" s="124"/>
      <c r="M3893" s="124"/>
      <c r="N3893" s="124"/>
      <c r="O3893" s="124"/>
      <c r="T3893" s="126">
        <f>IFERROR(__xludf.DUMMYFUNCTION("""COMPUTED_VALUE"""),46065.0)</f>
        <v>46065</v>
      </c>
      <c r="U3893" s="124" t="str">
        <f>IFERROR(__xludf.DUMMYFUNCTION("""COMPUTED_VALUE"""),"Walk-Ins")</f>
        <v>Walk-Ins</v>
      </c>
      <c r="V3893" s="124" t="str">
        <f>IFERROR(__xludf.DUMMYFUNCTION("""COMPUTED_VALUE"""),"Walk-In")</f>
        <v>Walk-In</v>
      </c>
      <c r="W3893" s="124" t="str">
        <f>IFERROR(__xludf.DUMMYFUNCTION("""COMPUTED_VALUE"""),"Patna")</f>
        <v>Patna</v>
      </c>
      <c r="X3893" s="124" t="str">
        <f>IFERROR(__xludf.DUMMYFUNCTION("""COMPUTED_VALUE"""),"Patna")</f>
        <v>Patna</v>
      </c>
      <c r="Y3893" s="124" t="str">
        <f>IFERROR(__xludf.DUMMYFUNCTION("""COMPUTED_VALUE"""),"Patna")</f>
        <v>Patna</v>
      </c>
      <c r="Z3893" s="124">
        <f>IFERROR(__xludf.DUMMYFUNCTION("""COMPUTED_VALUE"""),2.0)</f>
        <v>2</v>
      </c>
      <c r="AA3893" s="124" t="str">
        <f>IFERROR(__xludf.DUMMYFUNCTION("""COMPUTED_VALUE"""),"Cold")</f>
        <v>Cold</v>
      </c>
      <c r="AB3893" s="124" t="str">
        <f>IFERROR(__xludf.DUMMYFUNCTION("""COMPUTED_VALUE"""),"GS Foundation")</f>
        <v>GS Foundation</v>
      </c>
    </row>
    <row r="3894">
      <c r="K3894" s="124"/>
      <c r="L3894" s="124"/>
      <c r="M3894" s="124"/>
      <c r="N3894" s="124"/>
      <c r="O3894" s="124"/>
      <c r="T3894" s="126">
        <f>IFERROR(__xludf.DUMMYFUNCTION("""COMPUTED_VALUE"""),46044.0)</f>
        <v>46044</v>
      </c>
      <c r="U3894" s="124" t="str">
        <f>IFERROR(__xludf.DUMMYFUNCTION("""COMPUTED_VALUE"""),"Paid Ads")</f>
        <v>Paid Ads</v>
      </c>
      <c r="V3894" s="124" t="str">
        <f>IFERROR(__xludf.DUMMYFUNCTION("""COMPUTED_VALUE"""),"google")</f>
        <v>google</v>
      </c>
      <c r="W3894" s="124" t="str">
        <f>IFERROR(__xludf.DUMMYFUNCTION("""COMPUTED_VALUE"""),"cpc")</f>
        <v>cpc</v>
      </c>
      <c r="X3894" s="124">
        <f>IFERROR(__xludf.DUMMYFUNCTION("""COMPUTED_VALUE"""),2.2758016291E10)</f>
        <v>22758016291</v>
      </c>
      <c r="Y3894" s="124" t="str">
        <f>IFERROR(__xludf.DUMMYFUNCTION("""COMPUTED_VALUE"""),"Patna")</f>
        <v>Patna</v>
      </c>
      <c r="Z3894" s="124">
        <f>IFERROR(__xludf.DUMMYFUNCTION("""COMPUTED_VALUE"""),1.0)</f>
        <v>1</v>
      </c>
      <c r="AA3894" s="124" t="str">
        <f>IFERROR(__xludf.DUMMYFUNCTION("""COMPUTED_VALUE"""),"Fake Lead")</f>
        <v>Fake Lead</v>
      </c>
      <c r="AB3894" s="124" t="str">
        <f>IFERROR(__xludf.DUMMYFUNCTION("""COMPUTED_VALUE"""),"Other")</f>
        <v>Other</v>
      </c>
    </row>
    <row r="3895">
      <c r="K3895" s="124"/>
      <c r="L3895" s="124"/>
      <c r="M3895" s="124"/>
      <c r="N3895" s="124"/>
      <c r="O3895" s="124"/>
      <c r="T3895" s="126">
        <f>IFERROR(__xludf.DUMMYFUNCTION("""COMPUTED_VALUE"""),46078.0)</f>
        <v>46078</v>
      </c>
      <c r="U3895" s="124" t="str">
        <f>IFERROR(__xludf.DUMMYFUNCTION("""COMPUTED_VALUE"""),"Event")</f>
        <v>Event</v>
      </c>
      <c r="V3895" s="124" t="str">
        <f>IFERROR(__xludf.DUMMYFUNCTION("""COMPUTED_VALUE"""),"Other")</f>
        <v>Other</v>
      </c>
      <c r="W3895" s="124" t="str">
        <f>IFERROR(__xludf.DUMMYFUNCTION("""COMPUTED_VALUE"""),"Patna")</f>
        <v>Patna</v>
      </c>
      <c r="X3895" s="124" t="str">
        <f>IFERROR(__xludf.DUMMYFUNCTION("""COMPUTED_VALUE"""),"Patna")</f>
        <v>Patna</v>
      </c>
      <c r="Y3895" s="124"/>
      <c r="Z3895" s="124">
        <f>IFERROR(__xludf.DUMMYFUNCTION("""COMPUTED_VALUE"""),1.0)</f>
        <v>1</v>
      </c>
      <c r="AA3895" s="124" t="str">
        <f>IFERROR(__xludf.DUMMYFUNCTION("""COMPUTED_VALUE"""),"Cold")</f>
        <v>Cold</v>
      </c>
      <c r="AB3895" s="124" t="str">
        <f>IFERROR(__xludf.DUMMYFUNCTION("""COMPUTED_VALUE"""),"State PCS")</f>
        <v>State PCS</v>
      </c>
    </row>
    <row r="3896">
      <c r="K3896" s="124"/>
      <c r="L3896" s="124"/>
      <c r="M3896" s="124"/>
      <c r="N3896" s="124"/>
      <c r="O3896" s="124"/>
      <c r="T3896" s="126">
        <f>IFERROR(__xludf.DUMMYFUNCTION("""COMPUTED_VALUE"""),46043.0)</f>
        <v>46043</v>
      </c>
      <c r="U3896" s="124" t="str">
        <f>IFERROR(__xludf.DUMMYFUNCTION("""COMPUTED_VALUE"""),"Paid Ads")</f>
        <v>Paid Ads</v>
      </c>
      <c r="V3896" s="124" t="str">
        <f>IFERROR(__xludf.DUMMYFUNCTION("""COMPUTED_VALUE"""),"google")</f>
        <v>google</v>
      </c>
      <c r="W3896" s="124" t="str">
        <f>IFERROR(__xludf.DUMMYFUNCTION("""COMPUTED_VALUE"""),"cpc")</f>
        <v>cpc</v>
      </c>
      <c r="X3896" s="124">
        <f>IFERROR(__xludf.DUMMYFUNCTION("""COMPUTED_VALUE"""),2.2758016291E10)</f>
        <v>22758016291</v>
      </c>
      <c r="Y3896" s="124" t="str">
        <f>IFERROR(__xludf.DUMMYFUNCTION("""COMPUTED_VALUE"""),"Delhi")</f>
        <v>Delhi</v>
      </c>
      <c r="Z3896" s="124">
        <f>IFERROR(__xludf.DUMMYFUNCTION("""COMPUTED_VALUE"""),1.0)</f>
        <v>1</v>
      </c>
      <c r="AA3896" s="124" t="str">
        <f>IFERROR(__xludf.DUMMYFUNCTION("""COMPUTED_VALUE"""),"Cold")</f>
        <v>Cold</v>
      </c>
      <c r="AB3896" s="124" t="str">
        <f>IFERROR(__xludf.DUMMYFUNCTION("""COMPUTED_VALUE"""),"State PCS")</f>
        <v>State PCS</v>
      </c>
    </row>
    <row r="3897">
      <c r="K3897" s="124"/>
      <c r="L3897" s="124"/>
      <c r="M3897" s="124"/>
      <c r="N3897" s="124"/>
      <c r="O3897" s="124"/>
      <c r="T3897" s="129">
        <f>IFERROR(__xludf.DUMMYFUNCTION("""COMPUTED_VALUE"""),46055.0)</f>
        <v>46055</v>
      </c>
      <c r="U3897" s="124" t="str">
        <f>IFERROR(__xludf.DUMMYFUNCTION("""COMPUTED_VALUE"""),"Walk-Ins")</f>
        <v>Walk-Ins</v>
      </c>
      <c r="V3897" s="124" t="str">
        <f>IFERROR(__xludf.DUMMYFUNCTION("""COMPUTED_VALUE"""),"Walkin")</f>
        <v>Walkin</v>
      </c>
      <c r="W3897" s="124" t="str">
        <f>IFERROR(__xludf.DUMMYFUNCTION("""COMPUTED_VALUE"""),"Prayagraj")</f>
        <v>Prayagraj</v>
      </c>
      <c r="X3897" s="124" t="str">
        <f>IFERROR(__xludf.DUMMYFUNCTION("""COMPUTED_VALUE"""),"Walkin")</f>
        <v>Walkin</v>
      </c>
      <c r="Y3897" s="124" t="str">
        <f>IFERROR(__xludf.DUMMYFUNCTION("""COMPUTED_VALUE"""),"Prayagraj")</f>
        <v>Prayagraj</v>
      </c>
      <c r="Z3897" s="124">
        <f>IFERROR(__xludf.DUMMYFUNCTION("""COMPUTED_VALUE"""),1.0)</f>
        <v>1</v>
      </c>
      <c r="AA3897" s="124" t="str">
        <f>IFERROR(__xludf.DUMMYFUNCTION("""COMPUTED_VALUE"""),"Enrolled")</f>
        <v>Enrolled</v>
      </c>
      <c r="AB3897" s="124" t="str">
        <f>IFERROR(__xludf.DUMMYFUNCTION("""COMPUTED_VALUE"""),"GS Foundation")</f>
        <v>GS Foundation</v>
      </c>
    </row>
    <row r="3898">
      <c r="K3898" s="124"/>
      <c r="L3898" s="124"/>
      <c r="M3898" s="124"/>
      <c r="N3898" s="124"/>
      <c r="O3898" s="124"/>
      <c r="T3898" s="126">
        <f>IFERROR(__xludf.DUMMYFUNCTION("""COMPUTED_VALUE"""),46094.0)</f>
        <v>46094</v>
      </c>
      <c r="U3898" s="124" t="str">
        <f>IFERROR(__xludf.DUMMYFUNCTION("""COMPUTED_VALUE"""),"Walk-Ins")</f>
        <v>Walk-Ins</v>
      </c>
      <c r="V3898" s="124" t="str">
        <f>IFERROR(__xludf.DUMMYFUNCTION("""COMPUTED_VALUE"""),"Walkin")</f>
        <v>Walkin</v>
      </c>
      <c r="W3898" s="124" t="str">
        <f>IFERROR(__xludf.DUMMYFUNCTION("""COMPUTED_VALUE"""),"Prayagraj")</f>
        <v>Prayagraj</v>
      </c>
      <c r="X3898" s="124" t="str">
        <f>IFERROR(__xludf.DUMMYFUNCTION("""COMPUTED_VALUE"""),"Walkin")</f>
        <v>Walkin</v>
      </c>
      <c r="Y3898" s="124" t="str">
        <f>IFERROR(__xludf.DUMMYFUNCTION("""COMPUTED_VALUE"""),"Prayagraj")</f>
        <v>Prayagraj</v>
      </c>
      <c r="Z3898" s="124">
        <f>IFERROR(__xludf.DUMMYFUNCTION("""COMPUTED_VALUE"""),1.0)</f>
        <v>1</v>
      </c>
      <c r="AA3898" s="124" t="str">
        <f>IFERROR(__xludf.DUMMYFUNCTION("""COMPUTED_VALUE"""),"Cold")</f>
        <v>Cold</v>
      </c>
      <c r="AB3898" s="124" t="str">
        <f>IFERROR(__xludf.DUMMYFUNCTION("""COMPUTED_VALUE"""),"Mentorship")</f>
        <v>Mentorship</v>
      </c>
    </row>
    <row r="3899">
      <c r="K3899" s="124"/>
      <c r="L3899" s="124"/>
      <c r="M3899" s="124"/>
      <c r="N3899" s="124"/>
      <c r="O3899" s="124"/>
      <c r="T3899" s="129">
        <f>IFERROR(__xludf.DUMMYFUNCTION("""COMPUTED_VALUE"""),46088.0)</f>
        <v>46088</v>
      </c>
      <c r="U3899" s="124" t="str">
        <f>IFERROR(__xludf.DUMMYFUNCTION("""COMPUTED_VALUE"""),"Walk-Ins")</f>
        <v>Walk-Ins</v>
      </c>
      <c r="V3899" s="124" t="str">
        <f>IFERROR(__xludf.DUMMYFUNCTION("""COMPUTED_VALUE"""),"Walkin")</f>
        <v>Walkin</v>
      </c>
      <c r="W3899" s="124" t="str">
        <f>IFERROR(__xludf.DUMMYFUNCTION("""COMPUTED_VALUE"""),"Patna")</f>
        <v>Patna</v>
      </c>
      <c r="X3899" s="124" t="str">
        <f>IFERROR(__xludf.DUMMYFUNCTION("""COMPUTED_VALUE"""),"Walkin")</f>
        <v>Walkin</v>
      </c>
      <c r="Y3899" s="124" t="str">
        <f>IFERROR(__xludf.DUMMYFUNCTION("""COMPUTED_VALUE"""),"Patna")</f>
        <v>Patna</v>
      </c>
      <c r="Z3899" s="124">
        <f>IFERROR(__xludf.DUMMYFUNCTION("""COMPUTED_VALUE"""),1.0)</f>
        <v>1</v>
      </c>
      <c r="AA3899" s="124" t="str">
        <f>IFERROR(__xludf.DUMMYFUNCTION("""COMPUTED_VALUE"""),"Not Interested")</f>
        <v>Not Interested</v>
      </c>
      <c r="AB3899" s="124" t="str">
        <f>IFERROR(__xludf.DUMMYFUNCTION("""COMPUTED_VALUE"""),"GS Foundation")</f>
        <v>GS Foundation</v>
      </c>
    </row>
    <row r="3900">
      <c r="K3900" s="124"/>
      <c r="L3900" s="124"/>
      <c r="M3900" s="124"/>
      <c r="N3900" s="124"/>
      <c r="O3900" s="124"/>
      <c r="T3900" s="126">
        <f>IFERROR(__xludf.DUMMYFUNCTION("""COMPUTED_VALUE"""),46079.0)</f>
        <v>46079</v>
      </c>
      <c r="U3900" s="124" t="str">
        <f>IFERROR(__xludf.DUMMYFUNCTION("""COMPUTED_VALUE"""),"Walk-Ins")</f>
        <v>Walk-Ins</v>
      </c>
      <c r="V3900" s="124" t="str">
        <f>IFERROR(__xludf.DUMMYFUNCTION("""COMPUTED_VALUE"""),"Walkin")</f>
        <v>Walkin</v>
      </c>
      <c r="W3900" s="124" t="str">
        <f>IFERROR(__xludf.DUMMYFUNCTION("""COMPUTED_VALUE"""),"Indore")</f>
        <v>Indore</v>
      </c>
      <c r="X3900" s="124" t="str">
        <f>IFERROR(__xludf.DUMMYFUNCTION("""COMPUTED_VALUE"""),"Walkin")</f>
        <v>Walkin</v>
      </c>
      <c r="Y3900" s="124" t="str">
        <f>IFERROR(__xludf.DUMMYFUNCTION("""COMPUTED_VALUE"""),"Indore")</f>
        <v>Indore</v>
      </c>
      <c r="Z3900" s="124">
        <f>IFERROR(__xludf.DUMMYFUNCTION("""COMPUTED_VALUE"""),1.0)</f>
        <v>1</v>
      </c>
      <c r="AA3900" s="124" t="str">
        <f>IFERROR(__xludf.DUMMYFUNCTION("""COMPUTED_VALUE"""),"Cold")</f>
        <v>Cold</v>
      </c>
      <c r="AB3900" s="124" t="str">
        <f>IFERROR(__xludf.DUMMYFUNCTION("""COMPUTED_VALUE"""),"State PCS")</f>
        <v>State PCS</v>
      </c>
    </row>
    <row r="3901">
      <c r="K3901" s="124"/>
      <c r="L3901" s="124"/>
      <c r="M3901" s="124"/>
      <c r="N3901" s="124"/>
      <c r="O3901" s="124"/>
      <c r="T3901" s="129">
        <f>IFERROR(__xludf.DUMMYFUNCTION("""COMPUTED_VALUE"""),46082.0)</f>
        <v>46082</v>
      </c>
      <c r="U3901" s="124" t="str">
        <f>IFERROR(__xludf.DUMMYFUNCTION("""COMPUTED_VALUE"""),"Walk-Ins")</f>
        <v>Walk-Ins</v>
      </c>
      <c r="V3901" s="124" t="str">
        <f>IFERROR(__xludf.DUMMYFUNCTION("""COMPUTED_VALUE"""),"Walkin")</f>
        <v>Walkin</v>
      </c>
      <c r="W3901" s="124" t="str">
        <f>IFERROR(__xludf.DUMMYFUNCTION("""COMPUTED_VALUE"""),"Indore")</f>
        <v>Indore</v>
      </c>
      <c r="X3901" s="124" t="str">
        <f>IFERROR(__xludf.DUMMYFUNCTION("""COMPUTED_VALUE"""),"Walkin")</f>
        <v>Walkin</v>
      </c>
      <c r="Y3901" s="124" t="str">
        <f>IFERROR(__xludf.DUMMYFUNCTION("""COMPUTED_VALUE"""),"Indore")</f>
        <v>Indore</v>
      </c>
      <c r="Z3901" s="124">
        <f>IFERROR(__xludf.DUMMYFUNCTION("""COMPUTED_VALUE"""),1.0)</f>
        <v>1</v>
      </c>
      <c r="AA3901" s="124" t="str">
        <f>IFERROR(__xludf.DUMMYFUNCTION("""COMPUTED_VALUE"""),"Enrolled")</f>
        <v>Enrolled</v>
      </c>
      <c r="AB3901" s="124" t="str">
        <f>IFERROR(__xludf.DUMMYFUNCTION("""COMPUTED_VALUE"""),"GS Foundation")</f>
        <v>GS Foundation</v>
      </c>
    </row>
    <row r="3902">
      <c r="K3902" s="124"/>
      <c r="L3902" s="124"/>
      <c r="M3902" s="124"/>
      <c r="N3902" s="124"/>
      <c r="O3902" s="124"/>
      <c r="T3902" s="126">
        <f>IFERROR(__xludf.DUMMYFUNCTION("""COMPUTED_VALUE"""),46093.0)</f>
        <v>46093</v>
      </c>
      <c r="U3902" s="124" t="str">
        <f>IFERROR(__xludf.DUMMYFUNCTION("""COMPUTED_VALUE"""),"Walk-Ins")</f>
        <v>Walk-Ins</v>
      </c>
      <c r="V3902" s="124" t="str">
        <f>IFERROR(__xludf.DUMMYFUNCTION("""COMPUTED_VALUE"""),"Walkin")</f>
        <v>Walkin</v>
      </c>
      <c r="W3902" s="124" t="str">
        <f>IFERROR(__xludf.DUMMYFUNCTION("""COMPUTED_VALUE"""),"Indore")</f>
        <v>Indore</v>
      </c>
      <c r="X3902" s="124" t="str">
        <f>IFERROR(__xludf.DUMMYFUNCTION("""COMPUTED_VALUE"""),"Walkin")</f>
        <v>Walkin</v>
      </c>
      <c r="Y3902" s="124" t="str">
        <f>IFERROR(__xludf.DUMMYFUNCTION("""COMPUTED_VALUE"""),"Indore")</f>
        <v>Indore</v>
      </c>
      <c r="Z3902" s="124">
        <f>IFERROR(__xludf.DUMMYFUNCTION("""COMPUTED_VALUE"""),1.0)</f>
        <v>1</v>
      </c>
      <c r="AA3902" s="124" t="str">
        <f>IFERROR(__xludf.DUMMYFUNCTION("""COMPUTED_VALUE"""),"Cold")</f>
        <v>Cold</v>
      </c>
      <c r="AB3902" s="124" t="str">
        <f>IFERROR(__xludf.DUMMYFUNCTION("""COMPUTED_VALUE"""),"GS Foundation")</f>
        <v>GS Foundation</v>
      </c>
    </row>
    <row r="3903">
      <c r="K3903" s="124"/>
      <c r="L3903" s="124"/>
      <c r="M3903" s="124"/>
      <c r="N3903" s="124"/>
      <c r="O3903" s="124"/>
      <c r="T3903" s="126">
        <f>IFERROR(__xludf.DUMMYFUNCTION("""COMPUTED_VALUE"""),46109.0)</f>
        <v>46109</v>
      </c>
      <c r="U3903" s="124" t="str">
        <f>IFERROR(__xludf.DUMMYFUNCTION("""COMPUTED_VALUE"""),"Walk-Ins")</f>
        <v>Walk-Ins</v>
      </c>
      <c r="V3903" s="124" t="str">
        <f>IFERROR(__xludf.DUMMYFUNCTION("""COMPUTED_VALUE"""),"Walkin")</f>
        <v>Walkin</v>
      </c>
      <c r="W3903" s="124" t="str">
        <f>IFERROR(__xludf.DUMMYFUNCTION("""COMPUTED_VALUE"""),"Patna")</f>
        <v>Patna</v>
      </c>
      <c r="X3903" s="124" t="str">
        <f>IFERROR(__xludf.DUMMYFUNCTION("""COMPUTED_VALUE"""),"Walkin")</f>
        <v>Walkin</v>
      </c>
      <c r="Y3903" s="124" t="str">
        <f>IFERROR(__xludf.DUMMYFUNCTION("""COMPUTED_VALUE"""),"Patna")</f>
        <v>Patna</v>
      </c>
      <c r="Z3903" s="124">
        <f>IFERROR(__xludf.DUMMYFUNCTION("""COMPUTED_VALUE"""),1.0)</f>
        <v>1</v>
      </c>
      <c r="AA3903" s="124" t="str">
        <f>IFERROR(__xludf.DUMMYFUNCTION("""COMPUTED_VALUE"""),"Cold")</f>
        <v>Cold</v>
      </c>
      <c r="AB3903" s="124" t="str">
        <f>IFERROR(__xludf.DUMMYFUNCTION("""COMPUTED_VALUE"""),"GS Foundation")</f>
        <v>GS Foundation</v>
      </c>
    </row>
    <row r="3904">
      <c r="K3904" s="124"/>
      <c r="L3904" s="124"/>
      <c r="M3904" s="124"/>
      <c r="N3904" s="124"/>
      <c r="O3904" s="124"/>
      <c r="T3904" s="126">
        <f>IFERROR(__xludf.DUMMYFUNCTION("""COMPUTED_VALUE"""),46050.0)</f>
        <v>46050</v>
      </c>
      <c r="U3904" s="124" t="str">
        <f>IFERROR(__xludf.DUMMYFUNCTION("""COMPUTED_VALUE"""),"Walk-Ins")</f>
        <v>Walk-Ins</v>
      </c>
      <c r="V3904" s="124" t="str">
        <f>IFERROR(__xludf.DUMMYFUNCTION("""COMPUTED_VALUE"""),"Walkin")</f>
        <v>Walkin</v>
      </c>
      <c r="W3904" s="124" t="str">
        <f>IFERROR(__xludf.DUMMYFUNCTION("""COMPUTED_VALUE"""),"Prayagraj")</f>
        <v>Prayagraj</v>
      </c>
      <c r="X3904" s="124" t="str">
        <f>IFERROR(__xludf.DUMMYFUNCTION("""COMPUTED_VALUE"""),"Walkin")</f>
        <v>Walkin</v>
      </c>
      <c r="Y3904" s="124" t="str">
        <f>IFERROR(__xludf.DUMMYFUNCTION("""COMPUTED_VALUE"""),"Prayagraj")</f>
        <v>Prayagraj</v>
      </c>
      <c r="Z3904" s="124">
        <f>IFERROR(__xludf.DUMMYFUNCTION("""COMPUTED_VALUE"""),1.0)</f>
        <v>1</v>
      </c>
      <c r="AA3904" s="124" t="str">
        <f>IFERROR(__xludf.DUMMYFUNCTION("""COMPUTED_VALUE"""),"Future Prospects")</f>
        <v>Future Prospects</v>
      </c>
      <c r="AB3904" s="124" t="str">
        <f>IFERROR(__xludf.DUMMYFUNCTION("""COMPUTED_VALUE"""),"GS Foundation")</f>
        <v>GS Foundation</v>
      </c>
    </row>
    <row r="3905">
      <c r="K3905" s="124"/>
      <c r="L3905" s="124"/>
      <c r="M3905" s="124"/>
      <c r="N3905" s="124"/>
      <c r="O3905" s="124"/>
      <c r="T3905" s="129">
        <f>IFERROR(__xludf.DUMMYFUNCTION("""COMPUTED_VALUE"""),46061.0)</f>
        <v>46061</v>
      </c>
      <c r="U3905" s="124" t="str">
        <f>IFERROR(__xludf.DUMMYFUNCTION("""COMPUTED_VALUE"""),"Walk-Ins")</f>
        <v>Walk-Ins</v>
      </c>
      <c r="V3905" s="124" t="str">
        <f>IFERROR(__xludf.DUMMYFUNCTION("""COMPUTED_VALUE"""),"Walkin")</f>
        <v>Walkin</v>
      </c>
      <c r="W3905" s="124" t="str">
        <f>IFERROR(__xludf.DUMMYFUNCTION("""COMPUTED_VALUE"""),"Patna")</f>
        <v>Patna</v>
      </c>
      <c r="X3905" s="124" t="str">
        <f>IFERROR(__xludf.DUMMYFUNCTION("""COMPUTED_VALUE"""),"Walkin")</f>
        <v>Walkin</v>
      </c>
      <c r="Y3905" s="124" t="str">
        <f>IFERROR(__xludf.DUMMYFUNCTION("""COMPUTED_VALUE"""),"Patna")</f>
        <v>Patna</v>
      </c>
      <c r="Z3905" s="124">
        <f>IFERROR(__xludf.DUMMYFUNCTION("""COMPUTED_VALUE"""),1.0)</f>
        <v>1</v>
      </c>
      <c r="AA3905" s="124" t="str">
        <f>IFERROR(__xludf.DUMMYFUNCTION("""COMPUTED_VALUE"""),"Cold")</f>
        <v>Cold</v>
      </c>
      <c r="AB3905" s="124" t="str">
        <f>IFERROR(__xludf.DUMMYFUNCTION("""COMPUTED_VALUE"""),"GS Foundation")</f>
        <v>GS Foundation</v>
      </c>
    </row>
    <row r="3906">
      <c r="K3906" s="124"/>
      <c r="L3906" s="124"/>
      <c r="M3906" s="124"/>
      <c r="N3906" s="124"/>
      <c r="O3906" s="124"/>
      <c r="T3906" s="129">
        <f>IFERROR(__xludf.DUMMYFUNCTION("""COMPUTED_VALUE"""),46061.0)</f>
        <v>46061</v>
      </c>
      <c r="U3906" s="124" t="str">
        <f>IFERROR(__xludf.DUMMYFUNCTION("""COMPUTED_VALUE"""),"Walk-Ins")</f>
        <v>Walk-Ins</v>
      </c>
      <c r="V3906" s="124" t="str">
        <f>IFERROR(__xludf.DUMMYFUNCTION("""COMPUTED_VALUE"""),"Walkin")</f>
        <v>Walkin</v>
      </c>
      <c r="W3906" s="124" t="str">
        <f>IFERROR(__xludf.DUMMYFUNCTION("""COMPUTED_VALUE"""),"Lucknow")</f>
        <v>Lucknow</v>
      </c>
      <c r="X3906" s="124" t="str">
        <f>IFERROR(__xludf.DUMMYFUNCTION("""COMPUTED_VALUE"""),"Walkin")</f>
        <v>Walkin</v>
      </c>
      <c r="Y3906" s="124" t="str">
        <f>IFERROR(__xludf.DUMMYFUNCTION("""COMPUTED_VALUE"""),"Lucknow")</f>
        <v>Lucknow</v>
      </c>
      <c r="Z3906" s="124">
        <f>IFERROR(__xludf.DUMMYFUNCTION("""COMPUTED_VALUE"""),1.0)</f>
        <v>1</v>
      </c>
      <c r="AA3906" s="124" t="str">
        <f>IFERROR(__xludf.DUMMYFUNCTION("""COMPUTED_VALUE"""),"Cold")</f>
        <v>Cold</v>
      </c>
      <c r="AB3906" s="124" t="str">
        <f>IFERROR(__xludf.DUMMYFUNCTION("""COMPUTED_VALUE"""),"IGP UPPSC")</f>
        <v>IGP UPPSC</v>
      </c>
    </row>
    <row r="3907">
      <c r="K3907" s="124"/>
      <c r="L3907" s="124"/>
      <c r="M3907" s="124"/>
      <c r="N3907" s="124"/>
      <c r="O3907" s="124"/>
      <c r="T3907" s="126">
        <f>IFERROR(__xludf.DUMMYFUNCTION("""COMPUTED_VALUE"""),46104.0)</f>
        <v>46104</v>
      </c>
      <c r="U3907" s="124" t="str">
        <f>IFERROR(__xludf.DUMMYFUNCTION("""COMPUTED_VALUE"""),"Walk-Ins")</f>
        <v>Walk-Ins</v>
      </c>
      <c r="V3907" s="124" t="str">
        <f>IFERROR(__xludf.DUMMYFUNCTION("""COMPUTED_VALUE"""),"Walkin")</f>
        <v>Walkin</v>
      </c>
      <c r="W3907" s="124" t="str">
        <f>IFERROR(__xludf.DUMMYFUNCTION("""COMPUTED_VALUE"""),"Prayagraj")</f>
        <v>Prayagraj</v>
      </c>
      <c r="X3907" s="124" t="str">
        <f>IFERROR(__xludf.DUMMYFUNCTION("""COMPUTED_VALUE"""),"Walkin")</f>
        <v>Walkin</v>
      </c>
      <c r="Y3907" s="124" t="str">
        <f>IFERROR(__xludf.DUMMYFUNCTION("""COMPUTED_VALUE"""),"Prayagraj")</f>
        <v>Prayagraj</v>
      </c>
      <c r="Z3907" s="124">
        <f>IFERROR(__xludf.DUMMYFUNCTION("""COMPUTED_VALUE"""),4.0)</f>
        <v>4</v>
      </c>
      <c r="AA3907" s="124" t="str">
        <f>IFERROR(__xludf.DUMMYFUNCTION("""COMPUTED_VALUE"""),"Warm")</f>
        <v>Warm</v>
      </c>
      <c r="AB3907" s="124" t="str">
        <f>IFERROR(__xludf.DUMMYFUNCTION("""COMPUTED_VALUE"""),"State PCS")</f>
        <v>State PCS</v>
      </c>
    </row>
    <row r="3908">
      <c r="K3908" s="124"/>
      <c r="L3908" s="124"/>
      <c r="M3908" s="124"/>
      <c r="N3908" s="124"/>
      <c r="O3908" s="124"/>
      <c r="T3908" s="129">
        <f>IFERROR(__xludf.DUMMYFUNCTION("""COMPUTED_VALUE"""),46089.0)</f>
        <v>46089</v>
      </c>
      <c r="U3908" s="124" t="str">
        <f>IFERROR(__xludf.DUMMYFUNCTION("""COMPUTED_VALUE"""),"Walk-Ins")</f>
        <v>Walk-Ins</v>
      </c>
      <c r="V3908" s="124" t="str">
        <f>IFERROR(__xludf.DUMMYFUNCTION("""COMPUTED_VALUE"""),"Walkin")</f>
        <v>Walkin</v>
      </c>
      <c r="W3908" s="124" t="str">
        <f>IFERROR(__xludf.DUMMYFUNCTION("""COMPUTED_VALUE"""),"Prayagraj")</f>
        <v>Prayagraj</v>
      </c>
      <c r="X3908" s="124" t="str">
        <f>IFERROR(__xludf.DUMMYFUNCTION("""COMPUTED_VALUE"""),"Walkin")</f>
        <v>Walkin</v>
      </c>
      <c r="Y3908" s="124" t="str">
        <f>IFERROR(__xludf.DUMMYFUNCTION("""COMPUTED_VALUE"""),"Prayagraj")</f>
        <v>Prayagraj</v>
      </c>
      <c r="Z3908" s="124">
        <f>IFERROR(__xludf.DUMMYFUNCTION("""COMPUTED_VALUE"""),1.0)</f>
        <v>1</v>
      </c>
      <c r="AA3908" s="124" t="str">
        <f>IFERROR(__xludf.DUMMYFUNCTION("""COMPUTED_VALUE"""),"Cold")</f>
        <v>Cold</v>
      </c>
      <c r="AB3908" s="124" t="str">
        <f>IFERROR(__xludf.DUMMYFUNCTION("""COMPUTED_VALUE"""),"GS Foundation")</f>
        <v>GS Foundation</v>
      </c>
    </row>
    <row r="3909">
      <c r="K3909" s="124"/>
      <c r="L3909" s="124"/>
      <c r="M3909" s="124"/>
      <c r="N3909" s="124"/>
      <c r="O3909" s="124"/>
      <c r="T3909" s="129">
        <f>IFERROR(__xludf.DUMMYFUNCTION("""COMPUTED_VALUE"""),46090.0)</f>
        <v>46090</v>
      </c>
      <c r="U3909" s="124" t="str">
        <f>IFERROR(__xludf.DUMMYFUNCTION("""COMPUTED_VALUE"""),"Walk-Ins")</f>
        <v>Walk-Ins</v>
      </c>
      <c r="V3909" s="124" t="str">
        <f>IFERROR(__xludf.DUMMYFUNCTION("""COMPUTED_VALUE"""),"Walkin")</f>
        <v>Walkin</v>
      </c>
      <c r="W3909" s="124" t="str">
        <f>IFERROR(__xludf.DUMMYFUNCTION("""COMPUTED_VALUE"""),"Prayagraj")</f>
        <v>Prayagraj</v>
      </c>
      <c r="X3909" s="124" t="str">
        <f>IFERROR(__xludf.DUMMYFUNCTION("""COMPUTED_VALUE"""),"Walkin")</f>
        <v>Walkin</v>
      </c>
      <c r="Y3909" s="124" t="str">
        <f>IFERROR(__xludf.DUMMYFUNCTION("""COMPUTED_VALUE"""),"Prayagraj")</f>
        <v>Prayagraj</v>
      </c>
      <c r="Z3909" s="124">
        <f>IFERROR(__xludf.DUMMYFUNCTION("""COMPUTED_VALUE"""),1.0)</f>
        <v>1</v>
      </c>
      <c r="AA3909" s="124" t="str">
        <f>IFERROR(__xludf.DUMMYFUNCTION("""COMPUTED_VALUE"""),"Not Interested")</f>
        <v>Not Interested</v>
      </c>
      <c r="AB3909" s="124" t="str">
        <f>IFERROR(__xludf.DUMMYFUNCTION("""COMPUTED_VALUE"""),"State PCS")</f>
        <v>State PCS</v>
      </c>
    </row>
    <row r="3910">
      <c r="K3910" s="124"/>
      <c r="L3910" s="124"/>
      <c r="M3910" s="124"/>
      <c r="N3910" s="124"/>
      <c r="O3910" s="124"/>
      <c r="T3910" s="126">
        <f>IFERROR(__xludf.DUMMYFUNCTION("""COMPUTED_VALUE"""),46045.0)</f>
        <v>46045</v>
      </c>
      <c r="U3910" s="124" t="str">
        <f>IFERROR(__xludf.DUMMYFUNCTION("""COMPUTED_VALUE"""),"Walk-Ins")</f>
        <v>Walk-Ins</v>
      </c>
      <c r="V3910" s="124" t="str">
        <f>IFERROR(__xludf.DUMMYFUNCTION("""COMPUTED_VALUE"""),"Walkin")</f>
        <v>Walkin</v>
      </c>
      <c r="W3910" s="124" t="str">
        <f>IFERROR(__xludf.DUMMYFUNCTION("""COMPUTED_VALUE"""),"Prayagraj")</f>
        <v>Prayagraj</v>
      </c>
      <c r="X3910" s="124" t="str">
        <f>IFERROR(__xludf.DUMMYFUNCTION("""COMPUTED_VALUE"""),"Walkin")</f>
        <v>Walkin</v>
      </c>
      <c r="Y3910" s="124" t="str">
        <f>IFERROR(__xludf.DUMMYFUNCTION("""COMPUTED_VALUE"""),"Prayagraj")</f>
        <v>Prayagraj</v>
      </c>
      <c r="Z3910" s="124">
        <f>IFERROR(__xludf.DUMMYFUNCTION("""COMPUTED_VALUE"""),1.0)</f>
        <v>1</v>
      </c>
      <c r="AA3910" s="124" t="str">
        <f>IFERROR(__xludf.DUMMYFUNCTION("""COMPUTED_VALUE"""),"Not Interested")</f>
        <v>Not Interested</v>
      </c>
      <c r="AB3910" s="124" t="str">
        <f>IFERROR(__xludf.DUMMYFUNCTION("""COMPUTED_VALUE"""),"State PCS")</f>
        <v>State PCS</v>
      </c>
    </row>
    <row r="3911">
      <c r="K3911" s="124"/>
      <c r="L3911" s="124"/>
      <c r="M3911" s="124"/>
      <c r="N3911" s="124"/>
      <c r="O3911" s="124"/>
      <c r="T3911" s="129">
        <f>IFERROR(__xludf.DUMMYFUNCTION("""COMPUTED_VALUE"""),46088.0)</f>
        <v>46088</v>
      </c>
      <c r="U3911" s="124" t="str">
        <f>IFERROR(__xludf.DUMMYFUNCTION("""COMPUTED_VALUE"""),"Walk-Ins")</f>
        <v>Walk-Ins</v>
      </c>
      <c r="V3911" s="124" t="str">
        <f>IFERROR(__xludf.DUMMYFUNCTION("""COMPUTED_VALUE"""),"Walkin")</f>
        <v>Walkin</v>
      </c>
      <c r="W3911" s="124" t="str">
        <f>IFERROR(__xludf.DUMMYFUNCTION("""COMPUTED_VALUE"""),"Indore")</f>
        <v>Indore</v>
      </c>
      <c r="X3911" s="124" t="str">
        <f>IFERROR(__xludf.DUMMYFUNCTION("""COMPUTED_VALUE"""),"Walkin")</f>
        <v>Walkin</v>
      </c>
      <c r="Y3911" s="124" t="str">
        <f>IFERROR(__xludf.DUMMYFUNCTION("""COMPUTED_VALUE"""),"Indore")</f>
        <v>Indore</v>
      </c>
      <c r="Z3911" s="124">
        <f>IFERROR(__xludf.DUMMYFUNCTION("""COMPUTED_VALUE"""),1.0)</f>
        <v>1</v>
      </c>
      <c r="AA3911" s="124" t="str">
        <f>IFERROR(__xludf.DUMMYFUNCTION("""COMPUTED_VALUE"""),"Not Interested")</f>
        <v>Not Interested</v>
      </c>
      <c r="AB3911" s="124" t="str">
        <f>IFERROR(__xludf.DUMMYFUNCTION("""COMPUTED_VALUE"""),"State PCS")</f>
        <v>State PCS</v>
      </c>
    </row>
    <row r="3912">
      <c r="K3912" s="124"/>
      <c r="L3912" s="124"/>
      <c r="M3912" s="124"/>
      <c r="N3912" s="124"/>
      <c r="O3912" s="124"/>
      <c r="T3912" s="126">
        <f>IFERROR(__xludf.DUMMYFUNCTION("""COMPUTED_VALUE"""),46096.0)</f>
        <v>46096</v>
      </c>
      <c r="U3912" s="124" t="str">
        <f>IFERROR(__xludf.DUMMYFUNCTION("""COMPUTED_VALUE"""),"Walk-Ins")</f>
        <v>Walk-Ins</v>
      </c>
      <c r="V3912" s="124" t="str">
        <f>IFERROR(__xludf.DUMMYFUNCTION("""COMPUTED_VALUE"""),"Walkin")</f>
        <v>Walkin</v>
      </c>
      <c r="W3912" s="124" t="str">
        <f>IFERROR(__xludf.DUMMYFUNCTION("""COMPUTED_VALUE"""),"Prayagraj")</f>
        <v>Prayagraj</v>
      </c>
      <c r="X3912" s="124" t="str">
        <f>IFERROR(__xludf.DUMMYFUNCTION("""COMPUTED_VALUE"""),"Walkin")</f>
        <v>Walkin</v>
      </c>
      <c r="Y3912" s="124" t="str">
        <f>IFERROR(__xludf.DUMMYFUNCTION("""COMPUTED_VALUE"""),"Prayagraj")</f>
        <v>Prayagraj</v>
      </c>
      <c r="Z3912" s="124">
        <f>IFERROR(__xludf.DUMMYFUNCTION("""COMPUTED_VALUE"""),1.0)</f>
        <v>1</v>
      </c>
      <c r="AA3912" s="124" t="str">
        <f>IFERROR(__xludf.DUMMYFUNCTION("""COMPUTED_VALUE"""),"Interested")</f>
        <v>Interested</v>
      </c>
      <c r="AB3912" s="124" t="str">
        <f>IFERROR(__xludf.DUMMYFUNCTION("""COMPUTED_VALUE"""),"GS Foundation")</f>
        <v>GS Foundation</v>
      </c>
    </row>
    <row r="3913">
      <c r="K3913" s="124"/>
      <c r="L3913" s="124"/>
      <c r="M3913" s="124"/>
      <c r="N3913" s="124"/>
      <c r="O3913" s="124"/>
      <c r="T3913" s="126">
        <f>IFERROR(__xludf.DUMMYFUNCTION("""COMPUTED_VALUE"""),46079.0)</f>
        <v>46079</v>
      </c>
      <c r="U3913" s="124" t="str">
        <f>IFERROR(__xludf.DUMMYFUNCTION("""COMPUTED_VALUE"""),"Walk-Ins")</f>
        <v>Walk-Ins</v>
      </c>
      <c r="V3913" s="124" t="str">
        <f>IFERROR(__xludf.DUMMYFUNCTION("""COMPUTED_VALUE"""),"Walkin")</f>
        <v>Walkin</v>
      </c>
      <c r="W3913" s="124" t="str">
        <f>IFERROR(__xludf.DUMMYFUNCTION("""COMPUTED_VALUE"""),"Prayagraj")</f>
        <v>Prayagraj</v>
      </c>
      <c r="X3913" s="124" t="str">
        <f>IFERROR(__xludf.DUMMYFUNCTION("""COMPUTED_VALUE"""),"Walkin")</f>
        <v>Walkin</v>
      </c>
      <c r="Y3913" s="124" t="str">
        <f>IFERROR(__xludf.DUMMYFUNCTION("""COMPUTED_VALUE"""),"Prayagraj")</f>
        <v>Prayagraj</v>
      </c>
      <c r="Z3913" s="124">
        <f>IFERROR(__xludf.DUMMYFUNCTION("""COMPUTED_VALUE"""),1.0)</f>
        <v>1</v>
      </c>
      <c r="AA3913" s="124" t="str">
        <f>IFERROR(__xludf.DUMMYFUNCTION("""COMPUTED_VALUE"""),"Future Prospects")</f>
        <v>Future Prospects</v>
      </c>
      <c r="AB3913" s="124" t="str">
        <f>IFERROR(__xludf.DUMMYFUNCTION("""COMPUTED_VALUE"""),"State PCS")</f>
        <v>State PCS</v>
      </c>
    </row>
    <row r="3914">
      <c r="K3914" s="124"/>
      <c r="L3914" s="124"/>
      <c r="M3914" s="124"/>
      <c r="N3914" s="124"/>
      <c r="O3914" s="124"/>
      <c r="T3914" s="126">
        <f>IFERROR(__xludf.DUMMYFUNCTION("""COMPUTED_VALUE"""),46076.0)</f>
        <v>46076</v>
      </c>
      <c r="U3914" s="124" t="str">
        <f>IFERROR(__xludf.DUMMYFUNCTION("""COMPUTED_VALUE"""),"Walk-Ins")</f>
        <v>Walk-Ins</v>
      </c>
      <c r="V3914" s="124" t="str">
        <f>IFERROR(__xludf.DUMMYFUNCTION("""COMPUTED_VALUE"""),"Walkin")</f>
        <v>Walkin</v>
      </c>
      <c r="W3914" s="124" t="str">
        <f>IFERROR(__xludf.DUMMYFUNCTION("""COMPUTED_VALUE"""),"Lucknow")</f>
        <v>Lucknow</v>
      </c>
      <c r="X3914" s="124" t="str">
        <f>IFERROR(__xludf.DUMMYFUNCTION("""COMPUTED_VALUE"""),"Walkin")</f>
        <v>Walkin</v>
      </c>
      <c r="Y3914" s="124" t="str">
        <f>IFERROR(__xludf.DUMMYFUNCTION("""COMPUTED_VALUE"""),"Lucknow")</f>
        <v>Lucknow</v>
      </c>
      <c r="Z3914" s="124">
        <f>IFERROR(__xludf.DUMMYFUNCTION("""COMPUTED_VALUE"""),1.0)</f>
        <v>1</v>
      </c>
      <c r="AA3914" s="124" t="str">
        <f>IFERROR(__xludf.DUMMYFUNCTION("""COMPUTED_VALUE"""),"Cold")</f>
        <v>Cold</v>
      </c>
      <c r="AB3914" s="124" t="str">
        <f>IFERROR(__xludf.DUMMYFUNCTION("""COMPUTED_VALUE"""),"Hybrid")</f>
        <v>Hybrid</v>
      </c>
    </row>
    <row r="3915">
      <c r="K3915" s="124"/>
      <c r="L3915" s="124"/>
      <c r="M3915" s="124"/>
      <c r="N3915" s="124"/>
      <c r="O3915" s="124"/>
      <c r="T3915" s="126">
        <f>IFERROR(__xludf.DUMMYFUNCTION("""COMPUTED_VALUE"""),46066.0)</f>
        <v>46066</v>
      </c>
      <c r="U3915" s="124" t="str">
        <f>IFERROR(__xludf.DUMMYFUNCTION("""COMPUTED_VALUE"""),"Walk-Ins")</f>
        <v>Walk-Ins</v>
      </c>
      <c r="V3915" s="124" t="str">
        <f>IFERROR(__xludf.DUMMYFUNCTION("""COMPUTED_VALUE"""),"Walkin")</f>
        <v>Walkin</v>
      </c>
      <c r="W3915" s="124" t="str">
        <f>IFERROR(__xludf.DUMMYFUNCTION("""COMPUTED_VALUE"""),"Indore")</f>
        <v>Indore</v>
      </c>
      <c r="X3915" s="124" t="str">
        <f>IFERROR(__xludf.DUMMYFUNCTION("""COMPUTED_VALUE"""),"Walkin")</f>
        <v>Walkin</v>
      </c>
      <c r="Y3915" s="124" t="str">
        <f>IFERROR(__xludf.DUMMYFUNCTION("""COMPUTED_VALUE"""),"Indore")</f>
        <v>Indore</v>
      </c>
      <c r="Z3915" s="124">
        <f>IFERROR(__xludf.DUMMYFUNCTION("""COMPUTED_VALUE"""),1.0)</f>
        <v>1</v>
      </c>
      <c r="AA3915" s="124" t="str">
        <f>IFERROR(__xludf.DUMMYFUNCTION("""COMPUTED_VALUE"""),"Future Prospects")</f>
        <v>Future Prospects</v>
      </c>
      <c r="AB3915" s="124" t="str">
        <f>IFERROR(__xludf.DUMMYFUNCTION("""COMPUTED_VALUE"""),"Mentorship")</f>
        <v>Mentorship</v>
      </c>
    </row>
    <row r="3916">
      <c r="K3916" s="124"/>
      <c r="L3916" s="124"/>
      <c r="M3916" s="124"/>
      <c r="N3916" s="124"/>
      <c r="O3916" s="124"/>
      <c r="T3916" s="126">
        <f>IFERROR(__xludf.DUMMYFUNCTION("""COMPUTED_VALUE"""),46049.0)</f>
        <v>46049</v>
      </c>
      <c r="U3916" s="124" t="str">
        <f>IFERROR(__xludf.DUMMYFUNCTION("""COMPUTED_VALUE"""),"Walk-Ins")</f>
        <v>Walk-Ins</v>
      </c>
      <c r="V3916" s="124" t="str">
        <f>IFERROR(__xludf.DUMMYFUNCTION("""COMPUTED_VALUE"""),"Walkin")</f>
        <v>Walkin</v>
      </c>
      <c r="W3916" s="124" t="str">
        <f>IFERROR(__xludf.DUMMYFUNCTION("""COMPUTED_VALUE"""),"Prayagraj")</f>
        <v>Prayagraj</v>
      </c>
      <c r="X3916" s="124" t="str">
        <f>IFERROR(__xludf.DUMMYFUNCTION("""COMPUTED_VALUE"""),"Walkin")</f>
        <v>Walkin</v>
      </c>
      <c r="Y3916" s="124" t="str">
        <f>IFERROR(__xludf.DUMMYFUNCTION("""COMPUTED_VALUE"""),"Prayagraj")</f>
        <v>Prayagraj</v>
      </c>
      <c r="Z3916" s="124">
        <f>IFERROR(__xludf.DUMMYFUNCTION("""COMPUTED_VALUE"""),1.0)</f>
        <v>1</v>
      </c>
      <c r="AA3916" s="124" t="str">
        <f>IFERROR(__xludf.DUMMYFUNCTION("""COMPUTED_VALUE"""),"Not Interested")</f>
        <v>Not Interested</v>
      </c>
      <c r="AB3916" s="124" t="str">
        <f>IFERROR(__xludf.DUMMYFUNCTION("""COMPUTED_VALUE"""),"State PCS")</f>
        <v>State PCS</v>
      </c>
    </row>
    <row r="3917">
      <c r="K3917" s="124"/>
      <c r="L3917" s="124"/>
      <c r="M3917" s="124"/>
      <c r="N3917" s="124"/>
      <c r="O3917" s="124"/>
      <c r="T3917" s="126">
        <f>IFERROR(__xludf.DUMMYFUNCTION("""COMPUTED_VALUE"""),46073.0)</f>
        <v>46073</v>
      </c>
      <c r="U3917" s="124" t="str">
        <f>IFERROR(__xludf.DUMMYFUNCTION("""COMPUTED_VALUE"""),"Walk-Ins")</f>
        <v>Walk-Ins</v>
      </c>
      <c r="V3917" s="124" t="str">
        <f>IFERROR(__xludf.DUMMYFUNCTION("""COMPUTED_VALUE"""),"Walkin")</f>
        <v>Walkin</v>
      </c>
      <c r="W3917" s="124" t="str">
        <f>IFERROR(__xludf.DUMMYFUNCTION("""COMPUTED_VALUE"""),"Patna")</f>
        <v>Patna</v>
      </c>
      <c r="X3917" s="124" t="str">
        <f>IFERROR(__xludf.DUMMYFUNCTION("""COMPUTED_VALUE"""),"Walkin")</f>
        <v>Walkin</v>
      </c>
      <c r="Y3917" s="124" t="str">
        <f>IFERROR(__xludf.DUMMYFUNCTION("""COMPUTED_VALUE"""),"Patna")</f>
        <v>Patna</v>
      </c>
      <c r="Z3917" s="124">
        <f>IFERROR(__xludf.DUMMYFUNCTION("""COMPUTED_VALUE"""),1.0)</f>
        <v>1</v>
      </c>
      <c r="AA3917" s="124" t="str">
        <f>IFERROR(__xludf.DUMMYFUNCTION("""COMPUTED_VALUE"""),"Future Prospects")</f>
        <v>Future Prospects</v>
      </c>
      <c r="AB3917" s="124" t="str">
        <f>IFERROR(__xludf.DUMMYFUNCTION("""COMPUTED_VALUE"""),"State PCS")</f>
        <v>State PCS</v>
      </c>
    </row>
    <row r="3918">
      <c r="K3918" s="124"/>
      <c r="L3918" s="124"/>
      <c r="M3918" s="124"/>
      <c r="N3918" s="124"/>
      <c r="O3918" s="124"/>
      <c r="T3918" s="126">
        <f>IFERROR(__xludf.DUMMYFUNCTION("""COMPUTED_VALUE"""),46091.0)</f>
        <v>46091</v>
      </c>
      <c r="U3918" s="124" t="str">
        <f>IFERROR(__xludf.DUMMYFUNCTION("""COMPUTED_VALUE"""),"Walk-Ins")</f>
        <v>Walk-Ins</v>
      </c>
      <c r="V3918" s="124" t="str">
        <f>IFERROR(__xludf.DUMMYFUNCTION("""COMPUTED_VALUE"""),"Walkin")</f>
        <v>Walkin</v>
      </c>
      <c r="W3918" s="124" t="str">
        <f>IFERROR(__xludf.DUMMYFUNCTION("""COMPUTED_VALUE"""),"Patna")</f>
        <v>Patna</v>
      </c>
      <c r="X3918" s="124" t="str">
        <f>IFERROR(__xludf.DUMMYFUNCTION("""COMPUTED_VALUE"""),"Walkin")</f>
        <v>Walkin</v>
      </c>
      <c r="Y3918" s="124" t="str">
        <f>IFERROR(__xludf.DUMMYFUNCTION("""COMPUTED_VALUE"""),"Patna")</f>
        <v>Patna</v>
      </c>
      <c r="Z3918" s="124">
        <f>IFERROR(__xludf.DUMMYFUNCTION("""COMPUTED_VALUE"""),1.0)</f>
        <v>1</v>
      </c>
      <c r="AA3918" s="124" t="str">
        <f>IFERROR(__xludf.DUMMYFUNCTION("""COMPUTED_VALUE"""),"Future Prospects")</f>
        <v>Future Prospects</v>
      </c>
      <c r="AB3918" s="124" t="str">
        <f>IFERROR(__xludf.DUMMYFUNCTION("""COMPUTED_VALUE"""),"State PCS")</f>
        <v>State PCS</v>
      </c>
    </row>
    <row r="3919">
      <c r="K3919" s="124"/>
      <c r="L3919" s="124"/>
      <c r="M3919" s="124"/>
      <c r="N3919" s="124"/>
      <c r="O3919" s="124"/>
      <c r="T3919" s="126">
        <f>IFERROR(__xludf.DUMMYFUNCTION("""COMPUTED_VALUE"""),46091.0)</f>
        <v>46091</v>
      </c>
      <c r="U3919" s="124" t="str">
        <f>IFERROR(__xludf.DUMMYFUNCTION("""COMPUTED_VALUE"""),"Walk-Ins")</f>
        <v>Walk-Ins</v>
      </c>
      <c r="V3919" s="124" t="str">
        <f>IFERROR(__xludf.DUMMYFUNCTION("""COMPUTED_VALUE"""),"Walkin")</f>
        <v>Walkin</v>
      </c>
      <c r="W3919" s="124" t="str">
        <f>IFERROR(__xludf.DUMMYFUNCTION("""COMPUTED_VALUE"""),"Prayagraj")</f>
        <v>Prayagraj</v>
      </c>
      <c r="X3919" s="124" t="str">
        <f>IFERROR(__xludf.DUMMYFUNCTION("""COMPUTED_VALUE"""),"Walkin")</f>
        <v>Walkin</v>
      </c>
      <c r="Y3919" s="124" t="str">
        <f>IFERROR(__xludf.DUMMYFUNCTION("""COMPUTED_VALUE"""),"Prayagraj")</f>
        <v>Prayagraj</v>
      </c>
      <c r="Z3919" s="124">
        <f>IFERROR(__xludf.DUMMYFUNCTION("""COMPUTED_VALUE"""),2.0)</f>
        <v>2</v>
      </c>
      <c r="AA3919" s="124" t="str">
        <f>IFERROR(__xludf.DUMMYFUNCTION("""COMPUTED_VALUE"""),"Not Interested")</f>
        <v>Not Interested</v>
      </c>
      <c r="AB3919" s="124" t="str">
        <f>IFERROR(__xludf.DUMMYFUNCTION("""COMPUTED_VALUE"""),"GS Foundation")</f>
        <v>GS Foundation</v>
      </c>
    </row>
    <row r="3920">
      <c r="K3920" s="124"/>
      <c r="L3920" s="124"/>
      <c r="M3920" s="124"/>
      <c r="N3920" s="124"/>
      <c r="O3920" s="124"/>
      <c r="T3920" s="126">
        <f>IFERROR(__xludf.DUMMYFUNCTION("""COMPUTED_VALUE"""),46049.0)</f>
        <v>46049</v>
      </c>
      <c r="U3920" s="124" t="str">
        <f>IFERROR(__xludf.DUMMYFUNCTION("""COMPUTED_VALUE"""),"Walk-Ins")</f>
        <v>Walk-Ins</v>
      </c>
      <c r="V3920" s="124" t="str">
        <f>IFERROR(__xludf.DUMMYFUNCTION("""COMPUTED_VALUE"""),"Walkin")</f>
        <v>Walkin</v>
      </c>
      <c r="W3920" s="124" t="str">
        <f>IFERROR(__xludf.DUMMYFUNCTION("""COMPUTED_VALUE"""),"Indore")</f>
        <v>Indore</v>
      </c>
      <c r="X3920" s="124" t="str">
        <f>IFERROR(__xludf.DUMMYFUNCTION("""COMPUTED_VALUE"""),"Walkin")</f>
        <v>Walkin</v>
      </c>
      <c r="Y3920" s="124" t="str">
        <f>IFERROR(__xludf.DUMMYFUNCTION("""COMPUTED_VALUE"""),"Indore")</f>
        <v>Indore</v>
      </c>
      <c r="Z3920" s="124">
        <f>IFERROR(__xludf.DUMMYFUNCTION("""COMPUTED_VALUE"""),1.0)</f>
        <v>1</v>
      </c>
      <c r="AA3920" s="124" t="str">
        <f>IFERROR(__xludf.DUMMYFUNCTION("""COMPUTED_VALUE"""),"Warm")</f>
        <v>Warm</v>
      </c>
      <c r="AB3920" s="124" t="str">
        <f>IFERROR(__xludf.DUMMYFUNCTION("""COMPUTED_VALUE"""),"Test Series")</f>
        <v>Test Series</v>
      </c>
    </row>
    <row r="3921">
      <c r="K3921" s="124"/>
      <c r="L3921" s="124"/>
      <c r="M3921" s="124"/>
      <c r="N3921" s="124"/>
      <c r="O3921" s="124"/>
      <c r="T3921" s="126">
        <f>IFERROR(__xludf.DUMMYFUNCTION("""COMPUTED_VALUE"""),46049.0)</f>
        <v>46049</v>
      </c>
      <c r="U3921" s="124" t="str">
        <f>IFERROR(__xludf.DUMMYFUNCTION("""COMPUTED_VALUE"""),"Walk-Ins")</f>
        <v>Walk-Ins</v>
      </c>
      <c r="V3921" s="124" t="str">
        <f>IFERROR(__xludf.DUMMYFUNCTION("""COMPUTED_VALUE"""),"Walk-In")</f>
        <v>Walk-In</v>
      </c>
      <c r="W3921" s="124" t="str">
        <f>IFERROR(__xludf.DUMMYFUNCTION("""COMPUTED_VALUE"""),"Patna")</f>
        <v>Patna</v>
      </c>
      <c r="X3921" s="124" t="str">
        <f>IFERROR(__xludf.DUMMYFUNCTION("""COMPUTED_VALUE"""),"Others")</f>
        <v>Others</v>
      </c>
      <c r="Y3921" s="124"/>
      <c r="Z3921" s="124">
        <f>IFERROR(__xludf.DUMMYFUNCTION("""COMPUTED_VALUE"""),1.0)</f>
        <v>1</v>
      </c>
      <c r="AA3921" s="124" t="str">
        <f>IFERROR(__xludf.DUMMYFUNCTION("""COMPUTED_VALUE"""),"Enrolled")</f>
        <v>Enrolled</v>
      </c>
      <c r="AB3921" s="124" t="str">
        <f>IFERROR(__xludf.DUMMYFUNCTION("""COMPUTED_VALUE"""),"State PCS")</f>
        <v>State PCS</v>
      </c>
    </row>
    <row r="3922">
      <c r="K3922" s="124"/>
      <c r="L3922" s="124"/>
      <c r="M3922" s="124"/>
      <c r="N3922" s="124"/>
      <c r="O3922" s="124"/>
      <c r="T3922" s="126">
        <f>IFERROR(__xludf.DUMMYFUNCTION("""COMPUTED_VALUE"""),46050.0)</f>
        <v>46050</v>
      </c>
      <c r="U3922" s="124" t="str">
        <f>IFERROR(__xludf.DUMMYFUNCTION("""COMPUTED_VALUE"""),"Walk-Ins")</f>
        <v>Walk-Ins</v>
      </c>
      <c r="V3922" s="124" t="str">
        <f>IFERROR(__xludf.DUMMYFUNCTION("""COMPUTED_VALUE"""),"Walk-In")</f>
        <v>Walk-In</v>
      </c>
      <c r="W3922" s="124" t="str">
        <f>IFERROR(__xludf.DUMMYFUNCTION("""COMPUTED_VALUE"""),"Patna")</f>
        <v>Patna</v>
      </c>
      <c r="X3922" s="124" t="str">
        <f>IFERROR(__xludf.DUMMYFUNCTION("""COMPUTED_VALUE"""),"Others")</f>
        <v>Others</v>
      </c>
      <c r="Y3922" s="124" t="str">
        <f>IFERROR(__xludf.DUMMYFUNCTION("""COMPUTED_VALUE"""),"Patna")</f>
        <v>Patna</v>
      </c>
      <c r="Z3922" s="124">
        <f>IFERROR(__xludf.DUMMYFUNCTION("""COMPUTED_VALUE"""),1.0)</f>
        <v>1</v>
      </c>
      <c r="AA3922" s="124" t="str">
        <f>IFERROR(__xludf.DUMMYFUNCTION("""COMPUTED_VALUE"""),"Cold")</f>
        <v>Cold</v>
      </c>
      <c r="AB3922" s="124" t="str">
        <f>IFERROR(__xludf.DUMMYFUNCTION("""COMPUTED_VALUE"""),"State PCS")</f>
        <v>State PCS</v>
      </c>
    </row>
    <row r="3923">
      <c r="K3923" s="124"/>
      <c r="L3923" s="124"/>
      <c r="M3923" s="124"/>
      <c r="N3923" s="124"/>
      <c r="O3923" s="124"/>
      <c r="T3923" s="129">
        <f>IFERROR(__xludf.DUMMYFUNCTION("""COMPUTED_VALUE"""),46058.0)</f>
        <v>46058</v>
      </c>
      <c r="U3923" s="124" t="str">
        <f>IFERROR(__xludf.DUMMYFUNCTION("""COMPUTED_VALUE"""),"Walk-Ins")</f>
        <v>Walk-Ins</v>
      </c>
      <c r="V3923" s="124" t="str">
        <f>IFERROR(__xludf.DUMMYFUNCTION("""COMPUTED_VALUE"""),"Walkin")</f>
        <v>Walkin</v>
      </c>
      <c r="W3923" s="124" t="str">
        <f>IFERROR(__xludf.DUMMYFUNCTION("""COMPUTED_VALUE"""),"Prayagraj")</f>
        <v>Prayagraj</v>
      </c>
      <c r="X3923" s="124" t="str">
        <f>IFERROR(__xludf.DUMMYFUNCTION("""COMPUTED_VALUE"""),"Walkin")</f>
        <v>Walkin</v>
      </c>
      <c r="Y3923" s="124" t="str">
        <f>IFERROR(__xludf.DUMMYFUNCTION("""COMPUTED_VALUE"""),"Prayagraj")</f>
        <v>Prayagraj</v>
      </c>
      <c r="Z3923" s="124">
        <f>IFERROR(__xludf.DUMMYFUNCTION("""COMPUTED_VALUE"""),1.0)</f>
        <v>1</v>
      </c>
      <c r="AA3923" s="124" t="str">
        <f>IFERROR(__xludf.DUMMYFUNCTION("""COMPUTED_VALUE"""),"Cold")</f>
        <v>Cold</v>
      </c>
      <c r="AB3923" s="124" t="str">
        <f>IFERROR(__xludf.DUMMYFUNCTION("""COMPUTED_VALUE"""),"GS Foundation")</f>
        <v>GS Foundation</v>
      </c>
    </row>
    <row r="3924">
      <c r="K3924" s="124"/>
      <c r="L3924" s="124"/>
      <c r="M3924" s="124"/>
      <c r="N3924" s="124"/>
      <c r="O3924" s="124"/>
      <c r="T3924" s="126">
        <f>IFERROR(__xludf.DUMMYFUNCTION("""COMPUTED_VALUE"""),46074.0)</f>
        <v>46074</v>
      </c>
      <c r="U3924" s="124" t="str">
        <f>IFERROR(__xludf.DUMMYFUNCTION("""COMPUTED_VALUE"""),"Walk-Ins")</f>
        <v>Walk-Ins</v>
      </c>
      <c r="V3924" s="124" t="str">
        <f>IFERROR(__xludf.DUMMYFUNCTION("""COMPUTED_VALUE"""),"Walkin")</f>
        <v>Walkin</v>
      </c>
      <c r="W3924" s="124" t="str">
        <f>IFERROR(__xludf.DUMMYFUNCTION("""COMPUTED_VALUE"""),"Patna")</f>
        <v>Patna</v>
      </c>
      <c r="X3924" s="124" t="str">
        <f>IFERROR(__xludf.DUMMYFUNCTION("""COMPUTED_VALUE"""),"Walkin")</f>
        <v>Walkin</v>
      </c>
      <c r="Y3924" s="124" t="str">
        <f>IFERROR(__xludf.DUMMYFUNCTION("""COMPUTED_VALUE"""),"Patna")</f>
        <v>Patna</v>
      </c>
      <c r="Z3924" s="124">
        <f>IFERROR(__xludf.DUMMYFUNCTION("""COMPUTED_VALUE"""),1.0)</f>
        <v>1</v>
      </c>
      <c r="AA3924" s="124" t="str">
        <f>IFERROR(__xludf.DUMMYFUNCTION("""COMPUTED_VALUE"""),"Cold")</f>
        <v>Cold</v>
      </c>
      <c r="AB3924" s="124" t="str">
        <f>IFERROR(__xludf.DUMMYFUNCTION("""COMPUTED_VALUE"""),"Other")</f>
        <v>Other</v>
      </c>
    </row>
    <row r="3925">
      <c r="K3925" s="124"/>
      <c r="L3925" s="124"/>
      <c r="M3925" s="124"/>
      <c r="N3925" s="124"/>
      <c r="O3925" s="124"/>
      <c r="T3925" s="126">
        <f>IFERROR(__xludf.DUMMYFUNCTION("""COMPUTED_VALUE"""),46093.0)</f>
        <v>46093</v>
      </c>
      <c r="U3925" s="124" t="str">
        <f>IFERROR(__xludf.DUMMYFUNCTION("""COMPUTED_VALUE"""),"Walk-Ins")</f>
        <v>Walk-Ins</v>
      </c>
      <c r="V3925" s="124" t="str">
        <f>IFERROR(__xludf.DUMMYFUNCTION("""COMPUTED_VALUE"""),"Walkin")</f>
        <v>Walkin</v>
      </c>
      <c r="W3925" s="124" t="str">
        <f>IFERROR(__xludf.DUMMYFUNCTION("""COMPUTED_VALUE"""),"Patna")</f>
        <v>Patna</v>
      </c>
      <c r="X3925" s="124" t="str">
        <f>IFERROR(__xludf.DUMMYFUNCTION("""COMPUTED_VALUE"""),"Walkin")</f>
        <v>Walkin</v>
      </c>
      <c r="Y3925" s="124" t="str">
        <f>IFERROR(__xludf.DUMMYFUNCTION("""COMPUTED_VALUE"""),"Patna")</f>
        <v>Patna</v>
      </c>
      <c r="Z3925" s="124">
        <f>IFERROR(__xludf.DUMMYFUNCTION("""COMPUTED_VALUE"""),1.0)</f>
        <v>1</v>
      </c>
      <c r="AA3925" s="124" t="str">
        <f>IFERROR(__xludf.DUMMYFUNCTION("""COMPUTED_VALUE"""),"Warm")</f>
        <v>Warm</v>
      </c>
      <c r="AB3925" s="124" t="str">
        <f>IFERROR(__xludf.DUMMYFUNCTION("""COMPUTED_VALUE"""),"GS Foundation")</f>
        <v>GS Foundation</v>
      </c>
    </row>
    <row r="3926">
      <c r="K3926" s="124"/>
      <c r="L3926" s="124"/>
      <c r="M3926" s="124"/>
      <c r="N3926" s="124"/>
      <c r="O3926" s="124"/>
      <c r="T3926" s="129">
        <f>IFERROR(__xludf.DUMMYFUNCTION("""COMPUTED_VALUE"""),46082.0)</f>
        <v>46082</v>
      </c>
      <c r="U3926" s="124" t="str">
        <f>IFERROR(__xludf.DUMMYFUNCTION("""COMPUTED_VALUE"""),"Walk-Ins")</f>
        <v>Walk-Ins</v>
      </c>
      <c r="V3926" s="124" t="str">
        <f>IFERROR(__xludf.DUMMYFUNCTION("""COMPUTED_VALUE"""),"Walkin")</f>
        <v>Walkin</v>
      </c>
      <c r="W3926" s="124" t="str">
        <f>IFERROR(__xludf.DUMMYFUNCTION("""COMPUTED_VALUE"""),"Prayagraj")</f>
        <v>Prayagraj</v>
      </c>
      <c r="X3926" s="124" t="str">
        <f>IFERROR(__xludf.DUMMYFUNCTION("""COMPUTED_VALUE"""),"Walkin")</f>
        <v>Walkin</v>
      </c>
      <c r="Y3926" s="124" t="str">
        <f>IFERROR(__xludf.DUMMYFUNCTION("""COMPUTED_VALUE"""),"Prayagraj")</f>
        <v>Prayagraj</v>
      </c>
      <c r="Z3926" s="124">
        <f>IFERROR(__xludf.DUMMYFUNCTION("""COMPUTED_VALUE"""),1.0)</f>
        <v>1</v>
      </c>
      <c r="AA3926" s="124" t="str">
        <f>IFERROR(__xludf.DUMMYFUNCTION("""COMPUTED_VALUE"""),"Not Interested")</f>
        <v>Not Interested</v>
      </c>
      <c r="AB3926" s="124" t="str">
        <f>IFERROR(__xludf.DUMMYFUNCTION("""COMPUTED_VALUE"""),"GS Foundation")</f>
        <v>GS Foundation</v>
      </c>
    </row>
    <row r="3927">
      <c r="K3927" s="124"/>
      <c r="L3927" s="124"/>
      <c r="M3927" s="124"/>
      <c r="N3927" s="124"/>
      <c r="O3927" s="124"/>
      <c r="T3927" s="126">
        <f>IFERROR(__xludf.DUMMYFUNCTION("""COMPUTED_VALUE"""),46081.0)</f>
        <v>46081</v>
      </c>
      <c r="U3927" s="124" t="str">
        <f>IFERROR(__xludf.DUMMYFUNCTION("""COMPUTED_VALUE"""),"Walk-Ins")</f>
        <v>Walk-Ins</v>
      </c>
      <c r="V3927" s="124" t="str">
        <f>IFERROR(__xludf.DUMMYFUNCTION("""COMPUTED_VALUE"""),"Walkin")</f>
        <v>Walkin</v>
      </c>
      <c r="W3927" s="124" t="str">
        <f>IFERROR(__xludf.DUMMYFUNCTION("""COMPUTED_VALUE"""),"Patna")</f>
        <v>Patna</v>
      </c>
      <c r="X3927" s="124" t="str">
        <f>IFERROR(__xludf.DUMMYFUNCTION("""COMPUTED_VALUE"""),"Walkin")</f>
        <v>Walkin</v>
      </c>
      <c r="Y3927" s="124" t="str">
        <f>IFERROR(__xludf.DUMMYFUNCTION("""COMPUTED_VALUE"""),"Patna")</f>
        <v>Patna</v>
      </c>
      <c r="Z3927" s="124">
        <f>IFERROR(__xludf.DUMMYFUNCTION("""COMPUTED_VALUE"""),1.0)</f>
        <v>1</v>
      </c>
      <c r="AA3927" s="124" t="str">
        <f>IFERROR(__xludf.DUMMYFUNCTION("""COMPUTED_VALUE"""),"Future Prospects")</f>
        <v>Future Prospects</v>
      </c>
      <c r="AB3927" s="124" t="str">
        <f>IFERROR(__xludf.DUMMYFUNCTION("""COMPUTED_VALUE"""),"State PCS")</f>
        <v>State PCS</v>
      </c>
    </row>
    <row r="3928">
      <c r="K3928" s="124"/>
      <c r="L3928" s="124"/>
      <c r="M3928" s="124"/>
      <c r="N3928" s="124"/>
      <c r="O3928" s="124"/>
      <c r="T3928" s="126">
        <f>IFERROR(__xludf.DUMMYFUNCTION("""COMPUTED_VALUE"""),46108.0)</f>
        <v>46108</v>
      </c>
      <c r="U3928" s="124" t="str">
        <f>IFERROR(__xludf.DUMMYFUNCTION("""COMPUTED_VALUE"""),"Walk-Ins")</f>
        <v>Walk-Ins</v>
      </c>
      <c r="V3928" s="124" t="str">
        <f>IFERROR(__xludf.DUMMYFUNCTION("""COMPUTED_VALUE"""),"Walkin")</f>
        <v>Walkin</v>
      </c>
      <c r="W3928" s="124" t="str">
        <f>IFERROR(__xludf.DUMMYFUNCTION("""COMPUTED_VALUE"""),"Patna")</f>
        <v>Patna</v>
      </c>
      <c r="X3928" s="124" t="str">
        <f>IFERROR(__xludf.DUMMYFUNCTION("""COMPUTED_VALUE"""),"Walkin")</f>
        <v>Walkin</v>
      </c>
      <c r="Y3928" s="124" t="str">
        <f>IFERROR(__xludf.DUMMYFUNCTION("""COMPUTED_VALUE"""),"Patna")</f>
        <v>Patna</v>
      </c>
      <c r="Z3928" s="124">
        <f>IFERROR(__xludf.DUMMYFUNCTION("""COMPUTED_VALUE"""),1.0)</f>
        <v>1</v>
      </c>
      <c r="AA3928" s="124" t="str">
        <f>IFERROR(__xludf.DUMMYFUNCTION("""COMPUTED_VALUE"""),"Warm")</f>
        <v>Warm</v>
      </c>
      <c r="AB3928" s="124" t="str">
        <f>IFERROR(__xludf.DUMMYFUNCTION("""COMPUTED_VALUE"""),"State PCS")</f>
        <v>State PCS</v>
      </c>
    </row>
    <row r="3929">
      <c r="K3929" s="124"/>
      <c r="L3929" s="124"/>
      <c r="M3929" s="124"/>
      <c r="N3929" s="124"/>
      <c r="O3929" s="124"/>
      <c r="T3929" s="126">
        <f>IFERROR(__xludf.DUMMYFUNCTION("""COMPUTED_VALUE"""),46102.0)</f>
        <v>46102</v>
      </c>
      <c r="U3929" s="124" t="str">
        <f>IFERROR(__xludf.DUMMYFUNCTION("""COMPUTED_VALUE"""),"Walk-Ins")</f>
        <v>Walk-Ins</v>
      </c>
      <c r="V3929" s="124" t="str">
        <f>IFERROR(__xludf.DUMMYFUNCTION("""COMPUTED_VALUE"""),"Walkin")</f>
        <v>Walkin</v>
      </c>
      <c r="W3929" s="124" t="str">
        <f>IFERROR(__xludf.DUMMYFUNCTION("""COMPUTED_VALUE"""),"Prayagraj")</f>
        <v>Prayagraj</v>
      </c>
      <c r="X3929" s="124" t="str">
        <f>IFERROR(__xludf.DUMMYFUNCTION("""COMPUTED_VALUE"""),"Walkin")</f>
        <v>Walkin</v>
      </c>
      <c r="Y3929" s="124" t="str">
        <f>IFERROR(__xludf.DUMMYFUNCTION("""COMPUTED_VALUE"""),"Prayagraj")</f>
        <v>Prayagraj</v>
      </c>
      <c r="Z3929" s="124">
        <f>IFERROR(__xludf.DUMMYFUNCTION("""COMPUTED_VALUE"""),1.0)</f>
        <v>1</v>
      </c>
      <c r="AA3929" s="124" t="str">
        <f>IFERROR(__xludf.DUMMYFUNCTION("""COMPUTED_VALUE"""),"Future Prospects")</f>
        <v>Future Prospects</v>
      </c>
      <c r="AB3929" s="124" t="str">
        <f>IFERROR(__xludf.DUMMYFUNCTION("""COMPUTED_VALUE"""),"GS Foundation")</f>
        <v>GS Foundation</v>
      </c>
    </row>
    <row r="3930">
      <c r="K3930" s="124"/>
      <c r="L3930" s="124"/>
      <c r="M3930" s="124"/>
      <c r="N3930" s="124"/>
      <c r="O3930" s="124"/>
      <c r="T3930" s="129">
        <f>IFERROR(__xludf.DUMMYFUNCTION("""COMPUTED_VALUE"""),46060.0)</f>
        <v>46060</v>
      </c>
      <c r="U3930" s="124" t="str">
        <f>IFERROR(__xludf.DUMMYFUNCTION("""COMPUTED_VALUE"""),"Walk-Ins")</f>
        <v>Walk-Ins</v>
      </c>
      <c r="V3930" s="124" t="str">
        <f>IFERROR(__xludf.DUMMYFUNCTION("""COMPUTED_VALUE"""),"Walkin")</f>
        <v>Walkin</v>
      </c>
      <c r="W3930" s="124" t="str">
        <f>IFERROR(__xludf.DUMMYFUNCTION("""COMPUTED_VALUE"""),"Patna")</f>
        <v>Patna</v>
      </c>
      <c r="X3930" s="124" t="str">
        <f>IFERROR(__xludf.DUMMYFUNCTION("""COMPUTED_VALUE"""),"Walkin")</f>
        <v>Walkin</v>
      </c>
      <c r="Y3930" s="124" t="str">
        <f>IFERROR(__xludf.DUMMYFUNCTION("""COMPUTED_VALUE"""),"Patna")</f>
        <v>Patna</v>
      </c>
      <c r="Z3930" s="124">
        <f>IFERROR(__xludf.DUMMYFUNCTION("""COMPUTED_VALUE"""),2.0)</f>
        <v>2</v>
      </c>
      <c r="AA3930" s="124" t="str">
        <f>IFERROR(__xludf.DUMMYFUNCTION("""COMPUTED_VALUE"""),"Not Interested")</f>
        <v>Not Interested</v>
      </c>
      <c r="AB3930" s="124" t="str">
        <f>IFERROR(__xludf.DUMMYFUNCTION("""COMPUTED_VALUE"""),"GS Foundation")</f>
        <v>GS Foundation</v>
      </c>
    </row>
    <row r="3931">
      <c r="K3931" s="124"/>
      <c r="L3931" s="124"/>
      <c r="M3931" s="124"/>
      <c r="N3931" s="124"/>
      <c r="O3931" s="124"/>
      <c r="T3931" s="126">
        <f>IFERROR(__xludf.DUMMYFUNCTION("""COMPUTED_VALUE"""),46094.0)</f>
        <v>46094</v>
      </c>
      <c r="U3931" s="124" t="str">
        <f>IFERROR(__xludf.DUMMYFUNCTION("""COMPUTED_VALUE"""),"Walk-Ins")</f>
        <v>Walk-Ins</v>
      </c>
      <c r="V3931" s="124" t="str">
        <f>IFERROR(__xludf.DUMMYFUNCTION("""COMPUTED_VALUE"""),"Walkin")</f>
        <v>Walkin</v>
      </c>
      <c r="W3931" s="124" t="str">
        <f>IFERROR(__xludf.DUMMYFUNCTION("""COMPUTED_VALUE"""),"Prayagraj")</f>
        <v>Prayagraj</v>
      </c>
      <c r="X3931" s="124" t="str">
        <f>IFERROR(__xludf.DUMMYFUNCTION("""COMPUTED_VALUE"""),"Walkin")</f>
        <v>Walkin</v>
      </c>
      <c r="Y3931" s="124" t="str">
        <f>IFERROR(__xludf.DUMMYFUNCTION("""COMPUTED_VALUE"""),"Prayagraj")</f>
        <v>Prayagraj</v>
      </c>
      <c r="Z3931" s="124">
        <f>IFERROR(__xludf.DUMMYFUNCTION("""COMPUTED_VALUE"""),1.0)</f>
        <v>1</v>
      </c>
      <c r="AA3931" s="124" t="str">
        <f>IFERROR(__xludf.DUMMYFUNCTION("""COMPUTED_VALUE"""),"Warm")</f>
        <v>Warm</v>
      </c>
      <c r="AB3931" s="124" t="str">
        <f>IFERROR(__xludf.DUMMYFUNCTION("""COMPUTED_VALUE"""),"GS Foundation")</f>
        <v>GS Foundation</v>
      </c>
    </row>
    <row r="3932">
      <c r="K3932" s="124"/>
      <c r="L3932" s="124"/>
      <c r="M3932" s="124"/>
      <c r="N3932" s="124"/>
      <c r="O3932" s="124"/>
      <c r="T3932" s="126">
        <f>IFERROR(__xludf.DUMMYFUNCTION("""COMPUTED_VALUE"""),46072.0)</f>
        <v>46072</v>
      </c>
      <c r="U3932" s="124" t="str">
        <f>IFERROR(__xludf.DUMMYFUNCTION("""COMPUTED_VALUE"""),"Walk-Ins")</f>
        <v>Walk-Ins</v>
      </c>
      <c r="V3932" s="124" t="str">
        <f>IFERROR(__xludf.DUMMYFUNCTION("""COMPUTED_VALUE"""),"Walkin")</f>
        <v>Walkin</v>
      </c>
      <c r="W3932" s="124" t="str">
        <f>IFERROR(__xludf.DUMMYFUNCTION("""COMPUTED_VALUE"""),"Indore")</f>
        <v>Indore</v>
      </c>
      <c r="X3932" s="124" t="str">
        <f>IFERROR(__xludf.DUMMYFUNCTION("""COMPUTED_VALUE"""),"Walkin")</f>
        <v>Walkin</v>
      </c>
      <c r="Y3932" s="124" t="str">
        <f>IFERROR(__xludf.DUMMYFUNCTION("""COMPUTED_VALUE"""),"Indore")</f>
        <v>Indore</v>
      </c>
      <c r="Z3932" s="124">
        <f>IFERROR(__xludf.DUMMYFUNCTION("""COMPUTED_VALUE"""),1.0)</f>
        <v>1</v>
      </c>
      <c r="AA3932" s="124" t="str">
        <f>IFERROR(__xludf.DUMMYFUNCTION("""COMPUTED_VALUE"""),"Fake Lead")</f>
        <v>Fake Lead</v>
      </c>
      <c r="AB3932" s="124" t="str">
        <f>IFERROR(__xludf.DUMMYFUNCTION("""COMPUTED_VALUE"""),"State PCS")</f>
        <v>State PCS</v>
      </c>
    </row>
    <row r="3933">
      <c r="K3933" s="124"/>
      <c r="L3933" s="124"/>
      <c r="M3933" s="124"/>
      <c r="N3933" s="124"/>
      <c r="O3933" s="124"/>
      <c r="T3933" s="126">
        <f>IFERROR(__xludf.DUMMYFUNCTION("""COMPUTED_VALUE"""),46080.0)</f>
        <v>46080</v>
      </c>
      <c r="U3933" s="124" t="str">
        <f>IFERROR(__xludf.DUMMYFUNCTION("""COMPUTED_VALUE"""),"Walk-Ins")</f>
        <v>Walk-Ins</v>
      </c>
      <c r="V3933" s="124" t="str">
        <f>IFERROR(__xludf.DUMMYFUNCTION("""COMPUTED_VALUE"""),"Walkin")</f>
        <v>Walkin</v>
      </c>
      <c r="W3933" s="124" t="str">
        <f>IFERROR(__xludf.DUMMYFUNCTION("""COMPUTED_VALUE"""),"Prayagraj")</f>
        <v>Prayagraj</v>
      </c>
      <c r="X3933" s="124" t="str">
        <f>IFERROR(__xludf.DUMMYFUNCTION("""COMPUTED_VALUE"""),"Walkin")</f>
        <v>Walkin</v>
      </c>
      <c r="Y3933" s="124" t="str">
        <f>IFERROR(__xludf.DUMMYFUNCTION("""COMPUTED_VALUE"""),"Prayagraj")</f>
        <v>Prayagraj</v>
      </c>
      <c r="Z3933" s="124">
        <f>IFERROR(__xludf.DUMMYFUNCTION("""COMPUTED_VALUE"""),1.0)</f>
        <v>1</v>
      </c>
      <c r="AA3933" s="124" t="str">
        <f>IFERROR(__xludf.DUMMYFUNCTION("""COMPUTED_VALUE"""),"Not Interested")</f>
        <v>Not Interested</v>
      </c>
      <c r="AB3933" s="124" t="str">
        <f>IFERROR(__xludf.DUMMYFUNCTION("""COMPUTED_VALUE"""),"Mentorship")</f>
        <v>Mentorship</v>
      </c>
    </row>
    <row r="3934">
      <c r="K3934" s="124"/>
      <c r="L3934" s="124"/>
      <c r="M3934" s="124"/>
      <c r="N3934" s="124"/>
      <c r="O3934" s="124"/>
      <c r="T3934" s="126">
        <f>IFERROR(__xludf.DUMMYFUNCTION("""COMPUTED_VALUE"""),46093.0)</f>
        <v>46093</v>
      </c>
      <c r="U3934" s="124" t="str">
        <f>IFERROR(__xludf.DUMMYFUNCTION("""COMPUTED_VALUE"""),"Walk-Ins")</f>
        <v>Walk-Ins</v>
      </c>
      <c r="V3934" s="124" t="str">
        <f>IFERROR(__xludf.DUMMYFUNCTION("""COMPUTED_VALUE"""),"Walkin")</f>
        <v>Walkin</v>
      </c>
      <c r="W3934" s="124" t="str">
        <f>IFERROR(__xludf.DUMMYFUNCTION("""COMPUTED_VALUE"""),"Prayagraj")</f>
        <v>Prayagraj</v>
      </c>
      <c r="X3934" s="124" t="str">
        <f>IFERROR(__xludf.DUMMYFUNCTION("""COMPUTED_VALUE"""),"Walkin")</f>
        <v>Walkin</v>
      </c>
      <c r="Y3934" s="124" t="str">
        <f>IFERROR(__xludf.DUMMYFUNCTION("""COMPUTED_VALUE"""),"Prayagraj")</f>
        <v>Prayagraj</v>
      </c>
      <c r="Z3934" s="124">
        <f>IFERROR(__xludf.DUMMYFUNCTION("""COMPUTED_VALUE"""),1.0)</f>
        <v>1</v>
      </c>
      <c r="AA3934" s="124" t="str">
        <f>IFERROR(__xludf.DUMMYFUNCTION("""COMPUTED_VALUE"""),"Warm")</f>
        <v>Warm</v>
      </c>
      <c r="AB3934" s="124" t="str">
        <f>IFERROR(__xludf.DUMMYFUNCTION("""COMPUTED_VALUE"""),"GS Foundation")</f>
        <v>GS Foundation</v>
      </c>
    </row>
    <row r="3935">
      <c r="K3935" s="124"/>
      <c r="L3935" s="124"/>
      <c r="M3935" s="124"/>
      <c r="N3935" s="124"/>
      <c r="O3935" s="124"/>
      <c r="T3935" s="129">
        <f>IFERROR(__xludf.DUMMYFUNCTION("""COMPUTED_VALUE"""),46060.0)</f>
        <v>46060</v>
      </c>
      <c r="U3935" s="124" t="str">
        <f>IFERROR(__xludf.DUMMYFUNCTION("""COMPUTED_VALUE"""),"Walk-Ins")</f>
        <v>Walk-Ins</v>
      </c>
      <c r="V3935" s="124" t="str">
        <f>IFERROR(__xludf.DUMMYFUNCTION("""COMPUTED_VALUE"""),"Walkin")</f>
        <v>Walkin</v>
      </c>
      <c r="W3935" s="124" t="str">
        <f>IFERROR(__xludf.DUMMYFUNCTION("""COMPUTED_VALUE"""),"Patna")</f>
        <v>Patna</v>
      </c>
      <c r="X3935" s="124" t="str">
        <f>IFERROR(__xludf.DUMMYFUNCTION("""COMPUTED_VALUE"""),"Walkin")</f>
        <v>Walkin</v>
      </c>
      <c r="Y3935" s="124" t="str">
        <f>IFERROR(__xludf.DUMMYFUNCTION("""COMPUTED_VALUE"""),"Patna")</f>
        <v>Patna</v>
      </c>
      <c r="Z3935" s="124">
        <f>IFERROR(__xludf.DUMMYFUNCTION("""COMPUTED_VALUE"""),1.0)</f>
        <v>1</v>
      </c>
      <c r="AA3935" s="124" t="str">
        <f>IFERROR(__xludf.DUMMYFUNCTION("""COMPUTED_VALUE"""),"Cold")</f>
        <v>Cold</v>
      </c>
      <c r="AB3935" s="124" t="str">
        <f>IFERROR(__xludf.DUMMYFUNCTION("""COMPUTED_VALUE"""),"State PCS")</f>
        <v>State PCS</v>
      </c>
    </row>
    <row r="3936">
      <c r="K3936" s="124"/>
      <c r="L3936" s="124"/>
      <c r="M3936" s="124"/>
      <c r="N3936" s="124"/>
      <c r="O3936" s="124"/>
      <c r="T3936" s="126">
        <f>IFERROR(__xludf.DUMMYFUNCTION("""COMPUTED_VALUE"""),46108.0)</f>
        <v>46108</v>
      </c>
      <c r="U3936" s="124" t="str">
        <f>IFERROR(__xludf.DUMMYFUNCTION("""COMPUTED_VALUE"""),"Walk-Ins")</f>
        <v>Walk-Ins</v>
      </c>
      <c r="V3936" s="124" t="str">
        <f>IFERROR(__xludf.DUMMYFUNCTION("""COMPUTED_VALUE"""),"Walkin")</f>
        <v>Walkin</v>
      </c>
      <c r="W3936" s="124" t="str">
        <f>IFERROR(__xludf.DUMMYFUNCTION("""COMPUTED_VALUE"""),"Indore")</f>
        <v>Indore</v>
      </c>
      <c r="X3936" s="124" t="str">
        <f>IFERROR(__xludf.DUMMYFUNCTION("""COMPUTED_VALUE"""),"Walkin")</f>
        <v>Walkin</v>
      </c>
      <c r="Y3936" s="124" t="str">
        <f>IFERROR(__xludf.DUMMYFUNCTION("""COMPUTED_VALUE"""),"Indore")</f>
        <v>Indore</v>
      </c>
      <c r="Z3936" s="124">
        <f>IFERROR(__xludf.DUMMYFUNCTION("""COMPUTED_VALUE"""),1.0)</f>
        <v>1</v>
      </c>
      <c r="AA3936" s="124" t="str">
        <f>IFERROR(__xludf.DUMMYFUNCTION("""COMPUTED_VALUE"""),"Cold")</f>
        <v>Cold</v>
      </c>
      <c r="AB3936" s="124" t="str">
        <f>IFERROR(__xludf.DUMMYFUNCTION("""COMPUTED_VALUE"""),"Test Series")</f>
        <v>Test Series</v>
      </c>
    </row>
    <row r="3937">
      <c r="K3937" s="124"/>
      <c r="L3937" s="124"/>
      <c r="M3937" s="124"/>
      <c r="N3937" s="124"/>
      <c r="O3937" s="124"/>
      <c r="T3937" s="126">
        <f>IFERROR(__xludf.DUMMYFUNCTION("""COMPUTED_VALUE"""),46109.0)</f>
        <v>46109</v>
      </c>
      <c r="U3937" s="124" t="str">
        <f>IFERROR(__xludf.DUMMYFUNCTION("""COMPUTED_VALUE"""),"Walk-Ins")</f>
        <v>Walk-Ins</v>
      </c>
      <c r="V3937" s="124" t="str">
        <f>IFERROR(__xludf.DUMMYFUNCTION("""COMPUTED_VALUE"""),"Walkin")</f>
        <v>Walkin</v>
      </c>
      <c r="W3937" s="124" t="str">
        <f>IFERROR(__xludf.DUMMYFUNCTION("""COMPUTED_VALUE"""),"Prayagraj")</f>
        <v>Prayagraj</v>
      </c>
      <c r="X3937" s="124" t="str">
        <f>IFERROR(__xludf.DUMMYFUNCTION("""COMPUTED_VALUE"""),"Walkin")</f>
        <v>Walkin</v>
      </c>
      <c r="Y3937" s="124" t="str">
        <f>IFERROR(__xludf.DUMMYFUNCTION("""COMPUTED_VALUE"""),"Prayagraj")</f>
        <v>Prayagraj</v>
      </c>
      <c r="Z3937" s="124">
        <f>IFERROR(__xludf.DUMMYFUNCTION("""COMPUTED_VALUE"""),2.0)</f>
        <v>2</v>
      </c>
      <c r="AA3937" s="124" t="str">
        <f>IFERROR(__xludf.DUMMYFUNCTION("""COMPUTED_VALUE"""),"Warm")</f>
        <v>Warm</v>
      </c>
      <c r="AB3937" s="124" t="str">
        <f>IFERROR(__xludf.DUMMYFUNCTION("""COMPUTED_VALUE"""),"GS Foundation")</f>
        <v>GS Foundation</v>
      </c>
    </row>
    <row r="3938">
      <c r="K3938" s="124"/>
      <c r="L3938" s="124"/>
      <c r="M3938" s="124"/>
      <c r="N3938" s="124"/>
      <c r="O3938" s="124"/>
      <c r="T3938" s="129">
        <f>IFERROR(__xludf.DUMMYFUNCTION("""COMPUTED_VALUE"""),46054.0)</f>
        <v>46054</v>
      </c>
      <c r="U3938" s="124" t="str">
        <f>IFERROR(__xludf.DUMMYFUNCTION("""COMPUTED_VALUE"""),"Walk-Ins")</f>
        <v>Walk-Ins</v>
      </c>
      <c r="V3938" s="124" t="str">
        <f>IFERROR(__xludf.DUMMYFUNCTION("""COMPUTED_VALUE"""),"Walk-In")</f>
        <v>Walk-In</v>
      </c>
      <c r="W3938" s="124" t="str">
        <f>IFERROR(__xludf.DUMMYFUNCTION("""COMPUTED_VALUE"""),"Patna")</f>
        <v>Patna</v>
      </c>
      <c r="X3938" s="124" t="str">
        <f>IFERROR(__xludf.DUMMYFUNCTION("""COMPUTED_VALUE"""),"Others")</f>
        <v>Others</v>
      </c>
      <c r="Y3938" s="124" t="str">
        <f>IFERROR(__xludf.DUMMYFUNCTION("""COMPUTED_VALUE"""),"Patna")</f>
        <v>Patna</v>
      </c>
      <c r="Z3938" s="124">
        <f>IFERROR(__xludf.DUMMYFUNCTION("""COMPUTED_VALUE"""),1.0)</f>
        <v>1</v>
      </c>
      <c r="AA3938" s="124" t="str">
        <f>IFERROR(__xludf.DUMMYFUNCTION("""COMPUTED_VALUE"""),"Not Interested")</f>
        <v>Not Interested</v>
      </c>
      <c r="AB3938" s="124" t="str">
        <f>IFERROR(__xludf.DUMMYFUNCTION("""COMPUTED_VALUE"""),"GS Foundation")</f>
        <v>GS Foundation</v>
      </c>
    </row>
    <row r="3939">
      <c r="K3939" s="124"/>
      <c r="L3939" s="124"/>
      <c r="M3939" s="124"/>
      <c r="N3939" s="124"/>
      <c r="O3939" s="124"/>
      <c r="T3939" s="126">
        <f>IFERROR(__xludf.DUMMYFUNCTION("""COMPUTED_VALUE"""),46107.0)</f>
        <v>46107</v>
      </c>
      <c r="U3939" s="124" t="str">
        <f>IFERROR(__xludf.DUMMYFUNCTION("""COMPUTED_VALUE"""),"Walk-Ins")</f>
        <v>Walk-Ins</v>
      </c>
      <c r="V3939" s="124" t="str">
        <f>IFERROR(__xludf.DUMMYFUNCTION("""COMPUTED_VALUE"""),"Walkin")</f>
        <v>Walkin</v>
      </c>
      <c r="W3939" s="124" t="str">
        <f>IFERROR(__xludf.DUMMYFUNCTION("""COMPUTED_VALUE"""),"Indore")</f>
        <v>Indore</v>
      </c>
      <c r="X3939" s="124" t="str">
        <f>IFERROR(__xludf.DUMMYFUNCTION("""COMPUTED_VALUE"""),"Walkin")</f>
        <v>Walkin</v>
      </c>
      <c r="Y3939" s="124" t="str">
        <f>IFERROR(__xludf.DUMMYFUNCTION("""COMPUTED_VALUE"""),"Indore")</f>
        <v>Indore</v>
      </c>
      <c r="Z3939" s="124">
        <f>IFERROR(__xludf.DUMMYFUNCTION("""COMPUTED_VALUE"""),1.0)</f>
        <v>1</v>
      </c>
      <c r="AA3939" s="124" t="str">
        <f>IFERROR(__xludf.DUMMYFUNCTION("""COMPUTED_VALUE"""),"Cold")</f>
        <v>Cold</v>
      </c>
      <c r="AB3939" s="124" t="str">
        <f>IFERROR(__xludf.DUMMYFUNCTION("""COMPUTED_VALUE"""),"Other")</f>
        <v>Other</v>
      </c>
    </row>
    <row r="3940">
      <c r="K3940" s="124"/>
      <c r="L3940" s="124"/>
      <c r="M3940" s="124"/>
      <c r="N3940" s="124"/>
      <c r="O3940" s="124"/>
      <c r="T3940" s="126">
        <f>IFERROR(__xludf.DUMMYFUNCTION("""COMPUTED_VALUE"""),46091.0)</f>
        <v>46091</v>
      </c>
      <c r="U3940" s="124" t="str">
        <f>IFERROR(__xludf.DUMMYFUNCTION("""COMPUTED_VALUE"""),"Walk-Ins")</f>
        <v>Walk-Ins</v>
      </c>
      <c r="V3940" s="124" t="str">
        <f>IFERROR(__xludf.DUMMYFUNCTION("""COMPUTED_VALUE"""),"Walkin")</f>
        <v>Walkin</v>
      </c>
      <c r="W3940" s="124" t="str">
        <f>IFERROR(__xludf.DUMMYFUNCTION("""COMPUTED_VALUE"""),"Prayagraj")</f>
        <v>Prayagraj</v>
      </c>
      <c r="X3940" s="124" t="str">
        <f>IFERROR(__xludf.DUMMYFUNCTION("""COMPUTED_VALUE"""),"Walkin")</f>
        <v>Walkin</v>
      </c>
      <c r="Y3940" s="124" t="str">
        <f>IFERROR(__xludf.DUMMYFUNCTION("""COMPUTED_VALUE"""),"Prayagraj")</f>
        <v>Prayagraj</v>
      </c>
      <c r="Z3940" s="124">
        <f>IFERROR(__xludf.DUMMYFUNCTION("""COMPUTED_VALUE"""),1.0)</f>
        <v>1</v>
      </c>
      <c r="AA3940" s="124" t="str">
        <f>IFERROR(__xludf.DUMMYFUNCTION("""COMPUTED_VALUE"""),"Cold")</f>
        <v>Cold</v>
      </c>
      <c r="AB3940" s="124" t="str">
        <f>IFERROR(__xludf.DUMMYFUNCTION("""COMPUTED_VALUE"""),"State PCS")</f>
        <v>State PCS</v>
      </c>
    </row>
    <row r="3941">
      <c r="K3941" s="124"/>
      <c r="L3941" s="124"/>
      <c r="M3941" s="124"/>
      <c r="N3941" s="124"/>
      <c r="O3941" s="124"/>
      <c r="T3941" s="126">
        <f>IFERROR(__xludf.DUMMYFUNCTION("""COMPUTED_VALUE"""),46098.0)</f>
        <v>46098</v>
      </c>
      <c r="U3941" s="124" t="str">
        <f>IFERROR(__xludf.DUMMYFUNCTION("""COMPUTED_VALUE"""),"Walk-Ins")</f>
        <v>Walk-Ins</v>
      </c>
      <c r="V3941" s="124" t="str">
        <f>IFERROR(__xludf.DUMMYFUNCTION("""COMPUTED_VALUE"""),"Walkin")</f>
        <v>Walkin</v>
      </c>
      <c r="W3941" s="124" t="str">
        <f>IFERROR(__xludf.DUMMYFUNCTION("""COMPUTED_VALUE"""),"Indore")</f>
        <v>Indore</v>
      </c>
      <c r="X3941" s="124" t="str">
        <f>IFERROR(__xludf.DUMMYFUNCTION("""COMPUTED_VALUE"""),"Walkin")</f>
        <v>Walkin</v>
      </c>
      <c r="Y3941" s="124" t="str">
        <f>IFERROR(__xludf.DUMMYFUNCTION("""COMPUTED_VALUE"""),"Indore")</f>
        <v>Indore</v>
      </c>
      <c r="Z3941" s="124">
        <f>IFERROR(__xludf.DUMMYFUNCTION("""COMPUTED_VALUE"""),1.0)</f>
        <v>1</v>
      </c>
      <c r="AA3941" s="124" t="str">
        <f>IFERROR(__xludf.DUMMYFUNCTION("""COMPUTED_VALUE"""),"Warm")</f>
        <v>Warm</v>
      </c>
      <c r="AB3941" s="124" t="str">
        <f>IFERROR(__xludf.DUMMYFUNCTION("""COMPUTED_VALUE"""),"State PCS")</f>
        <v>State PCS</v>
      </c>
    </row>
    <row r="3942">
      <c r="K3942" s="124"/>
      <c r="L3942" s="124"/>
      <c r="M3942" s="124"/>
      <c r="N3942" s="124"/>
      <c r="O3942" s="124"/>
      <c r="T3942" s="126">
        <f>IFERROR(__xludf.DUMMYFUNCTION("""COMPUTED_VALUE"""),46111.0)</f>
        <v>46111</v>
      </c>
      <c r="U3942" s="124" t="str">
        <f>IFERROR(__xludf.DUMMYFUNCTION("""COMPUTED_VALUE"""),"Walk-Ins")</f>
        <v>Walk-Ins</v>
      </c>
      <c r="V3942" s="124" t="str">
        <f>IFERROR(__xludf.DUMMYFUNCTION("""COMPUTED_VALUE"""),"Walkin")</f>
        <v>Walkin</v>
      </c>
      <c r="W3942" s="124" t="str">
        <f>IFERROR(__xludf.DUMMYFUNCTION("""COMPUTED_VALUE"""),"Patna")</f>
        <v>Patna</v>
      </c>
      <c r="X3942" s="124" t="str">
        <f>IFERROR(__xludf.DUMMYFUNCTION("""COMPUTED_VALUE"""),"Walkin")</f>
        <v>Walkin</v>
      </c>
      <c r="Y3942" s="124" t="str">
        <f>IFERROR(__xludf.DUMMYFUNCTION("""COMPUTED_VALUE"""),"Patna")</f>
        <v>Patna</v>
      </c>
      <c r="Z3942" s="124">
        <f>IFERROR(__xludf.DUMMYFUNCTION("""COMPUTED_VALUE"""),1.0)</f>
        <v>1</v>
      </c>
      <c r="AA3942" s="124" t="str">
        <f>IFERROR(__xludf.DUMMYFUNCTION("""COMPUTED_VALUE"""),"Warm")</f>
        <v>Warm</v>
      </c>
      <c r="AB3942" s="124" t="str">
        <f>IFERROR(__xludf.DUMMYFUNCTION("""COMPUTED_VALUE"""),"GS Foundation")</f>
        <v>GS Foundation</v>
      </c>
    </row>
    <row r="3943">
      <c r="K3943" s="124"/>
      <c r="L3943" s="124"/>
      <c r="M3943" s="124"/>
      <c r="N3943" s="124"/>
      <c r="O3943" s="124"/>
      <c r="T3943" s="126">
        <f>IFERROR(__xludf.DUMMYFUNCTION("""COMPUTED_VALUE"""),46097.0)</f>
        <v>46097</v>
      </c>
      <c r="U3943" s="124" t="str">
        <f>IFERROR(__xludf.DUMMYFUNCTION("""COMPUTED_VALUE"""),"Walk-Ins")</f>
        <v>Walk-Ins</v>
      </c>
      <c r="V3943" s="124" t="str">
        <f>IFERROR(__xludf.DUMMYFUNCTION("""COMPUTED_VALUE"""),"Walkin")</f>
        <v>Walkin</v>
      </c>
      <c r="W3943" s="124" t="str">
        <f>IFERROR(__xludf.DUMMYFUNCTION("""COMPUTED_VALUE"""),"Indore")</f>
        <v>Indore</v>
      </c>
      <c r="X3943" s="124" t="str">
        <f>IFERROR(__xludf.DUMMYFUNCTION("""COMPUTED_VALUE"""),"Walkin")</f>
        <v>Walkin</v>
      </c>
      <c r="Y3943" s="124" t="str">
        <f>IFERROR(__xludf.DUMMYFUNCTION("""COMPUTED_VALUE"""),"Indore")</f>
        <v>Indore</v>
      </c>
      <c r="Z3943" s="124">
        <f>IFERROR(__xludf.DUMMYFUNCTION("""COMPUTED_VALUE"""),1.0)</f>
        <v>1</v>
      </c>
      <c r="AA3943" s="124" t="str">
        <f>IFERROR(__xludf.DUMMYFUNCTION("""COMPUTED_VALUE"""),"Not Interested")</f>
        <v>Not Interested</v>
      </c>
      <c r="AB3943" s="124" t="str">
        <f>IFERROR(__xludf.DUMMYFUNCTION("""COMPUTED_VALUE"""),"State PCS")</f>
        <v>State PCS</v>
      </c>
    </row>
    <row r="3944">
      <c r="K3944" s="124"/>
      <c r="L3944" s="124"/>
      <c r="M3944" s="124"/>
      <c r="N3944" s="124"/>
      <c r="O3944" s="124"/>
      <c r="T3944" s="126">
        <f>IFERROR(__xludf.DUMMYFUNCTION("""COMPUTED_VALUE"""),46080.0)</f>
        <v>46080</v>
      </c>
      <c r="U3944" s="124" t="str">
        <f>IFERROR(__xludf.DUMMYFUNCTION("""COMPUTED_VALUE"""),"Walk-Ins")</f>
        <v>Walk-Ins</v>
      </c>
      <c r="V3944" s="124" t="str">
        <f>IFERROR(__xludf.DUMMYFUNCTION("""COMPUTED_VALUE"""),"Walkin")</f>
        <v>Walkin</v>
      </c>
      <c r="W3944" s="124" t="str">
        <f>IFERROR(__xludf.DUMMYFUNCTION("""COMPUTED_VALUE"""),"Indore")</f>
        <v>Indore</v>
      </c>
      <c r="X3944" s="124" t="str">
        <f>IFERROR(__xludf.DUMMYFUNCTION("""COMPUTED_VALUE"""),"Walkin")</f>
        <v>Walkin</v>
      </c>
      <c r="Y3944" s="124" t="str">
        <f>IFERROR(__xludf.DUMMYFUNCTION("""COMPUTED_VALUE"""),"Indore")</f>
        <v>Indore</v>
      </c>
      <c r="Z3944" s="124">
        <f>IFERROR(__xludf.DUMMYFUNCTION("""COMPUTED_VALUE"""),1.0)</f>
        <v>1</v>
      </c>
      <c r="AA3944" s="124" t="str">
        <f>IFERROR(__xludf.DUMMYFUNCTION("""COMPUTED_VALUE"""),"Enrolled")</f>
        <v>Enrolled</v>
      </c>
      <c r="AB3944" s="124" t="str">
        <f>IFERROR(__xludf.DUMMYFUNCTION("""COMPUTED_VALUE"""),"GS Foundation")</f>
        <v>GS Foundation</v>
      </c>
    </row>
    <row r="3945">
      <c r="K3945" s="124"/>
      <c r="L3945" s="124"/>
      <c r="M3945" s="124"/>
      <c r="N3945" s="124"/>
      <c r="O3945" s="124"/>
      <c r="T3945" s="129">
        <f>IFERROR(__xludf.DUMMYFUNCTION("""COMPUTED_VALUE"""),46060.0)</f>
        <v>46060</v>
      </c>
      <c r="U3945" s="124" t="str">
        <f>IFERROR(__xludf.DUMMYFUNCTION("""COMPUTED_VALUE"""),"Walk-Ins")</f>
        <v>Walk-Ins</v>
      </c>
      <c r="V3945" s="124" t="str">
        <f>IFERROR(__xludf.DUMMYFUNCTION("""COMPUTED_VALUE"""),"Walkin")</f>
        <v>Walkin</v>
      </c>
      <c r="W3945" s="124" t="str">
        <f>IFERROR(__xludf.DUMMYFUNCTION("""COMPUTED_VALUE"""),"Indore")</f>
        <v>Indore</v>
      </c>
      <c r="X3945" s="124" t="str">
        <f>IFERROR(__xludf.DUMMYFUNCTION("""COMPUTED_VALUE"""),"Walkin")</f>
        <v>Walkin</v>
      </c>
      <c r="Y3945" s="124" t="str">
        <f>IFERROR(__xludf.DUMMYFUNCTION("""COMPUTED_VALUE"""),"Indore")</f>
        <v>Indore</v>
      </c>
      <c r="Z3945" s="124">
        <f>IFERROR(__xludf.DUMMYFUNCTION("""COMPUTED_VALUE"""),1.0)</f>
        <v>1</v>
      </c>
      <c r="AA3945" s="124" t="str">
        <f>IFERROR(__xludf.DUMMYFUNCTION("""COMPUTED_VALUE"""),"Enrolled")</f>
        <v>Enrolled</v>
      </c>
      <c r="AB3945" s="124" t="str">
        <f>IFERROR(__xludf.DUMMYFUNCTION("""COMPUTED_VALUE"""),"Other")</f>
        <v>Other</v>
      </c>
    </row>
    <row r="3946">
      <c r="K3946" s="124"/>
      <c r="L3946" s="124"/>
      <c r="M3946" s="124"/>
      <c r="N3946" s="124"/>
      <c r="O3946" s="124"/>
      <c r="T3946" s="126">
        <f>IFERROR(__xludf.DUMMYFUNCTION("""COMPUTED_VALUE"""),46071.0)</f>
        <v>46071</v>
      </c>
      <c r="U3946" s="124" t="str">
        <f>IFERROR(__xludf.DUMMYFUNCTION("""COMPUTED_VALUE"""),"Walk-Ins")</f>
        <v>Walk-Ins</v>
      </c>
      <c r="V3946" s="124" t="str">
        <f>IFERROR(__xludf.DUMMYFUNCTION("""COMPUTED_VALUE"""),"Walkin")</f>
        <v>Walkin</v>
      </c>
      <c r="W3946" s="124" t="str">
        <f>IFERROR(__xludf.DUMMYFUNCTION("""COMPUTED_VALUE"""),"Prayagraj")</f>
        <v>Prayagraj</v>
      </c>
      <c r="X3946" s="124" t="str">
        <f>IFERROR(__xludf.DUMMYFUNCTION("""COMPUTED_VALUE"""),"Walkin")</f>
        <v>Walkin</v>
      </c>
      <c r="Y3946" s="124" t="str">
        <f>IFERROR(__xludf.DUMMYFUNCTION("""COMPUTED_VALUE"""),"Prayagraj")</f>
        <v>Prayagraj</v>
      </c>
      <c r="Z3946" s="124">
        <f>IFERROR(__xludf.DUMMYFUNCTION("""COMPUTED_VALUE"""),2.0)</f>
        <v>2</v>
      </c>
      <c r="AA3946" s="124" t="str">
        <f>IFERROR(__xludf.DUMMYFUNCTION("""COMPUTED_VALUE"""),"Enrolled")</f>
        <v>Enrolled</v>
      </c>
      <c r="AB3946" s="124" t="str">
        <f>IFERROR(__xludf.DUMMYFUNCTION("""COMPUTED_VALUE"""),"GS Foundation")</f>
        <v>GS Foundation</v>
      </c>
    </row>
    <row r="3947">
      <c r="K3947" s="124"/>
      <c r="L3947" s="124"/>
      <c r="M3947" s="124"/>
      <c r="N3947" s="124"/>
      <c r="O3947" s="124"/>
      <c r="T3947" s="129">
        <f>IFERROR(__xludf.DUMMYFUNCTION("""COMPUTED_VALUE"""),46090.0)</f>
        <v>46090</v>
      </c>
      <c r="U3947" s="124" t="str">
        <f>IFERROR(__xludf.DUMMYFUNCTION("""COMPUTED_VALUE"""),"Walk-Ins")</f>
        <v>Walk-Ins</v>
      </c>
      <c r="V3947" s="124" t="str">
        <f>IFERROR(__xludf.DUMMYFUNCTION("""COMPUTED_VALUE"""),"Walkin")</f>
        <v>Walkin</v>
      </c>
      <c r="W3947" s="124" t="str">
        <f>IFERROR(__xludf.DUMMYFUNCTION("""COMPUTED_VALUE"""),"Patna")</f>
        <v>Patna</v>
      </c>
      <c r="X3947" s="124" t="str">
        <f>IFERROR(__xludf.DUMMYFUNCTION("""COMPUTED_VALUE"""),"Walkin")</f>
        <v>Walkin</v>
      </c>
      <c r="Y3947" s="124" t="str">
        <f>IFERROR(__xludf.DUMMYFUNCTION("""COMPUTED_VALUE"""),"Patna")</f>
        <v>Patna</v>
      </c>
      <c r="Z3947" s="124">
        <f>IFERROR(__xludf.DUMMYFUNCTION("""COMPUTED_VALUE"""),1.0)</f>
        <v>1</v>
      </c>
      <c r="AA3947" s="124" t="str">
        <f>IFERROR(__xludf.DUMMYFUNCTION("""COMPUTED_VALUE"""),"Not Interested")</f>
        <v>Not Interested</v>
      </c>
      <c r="AB3947" s="124" t="str">
        <f>IFERROR(__xludf.DUMMYFUNCTION("""COMPUTED_VALUE"""),"Test Series")</f>
        <v>Test Series</v>
      </c>
    </row>
    <row r="3948">
      <c r="K3948" s="124"/>
      <c r="L3948" s="124"/>
      <c r="M3948" s="124"/>
      <c r="N3948" s="124"/>
      <c r="O3948" s="124"/>
      <c r="T3948" s="126">
        <f>IFERROR(__xludf.DUMMYFUNCTION("""COMPUTED_VALUE"""),46049.0)</f>
        <v>46049</v>
      </c>
      <c r="U3948" s="124" t="str">
        <f>IFERROR(__xludf.DUMMYFUNCTION("""COMPUTED_VALUE"""),"Walk-Ins")</f>
        <v>Walk-Ins</v>
      </c>
      <c r="V3948" s="124" t="str">
        <f>IFERROR(__xludf.DUMMYFUNCTION("""COMPUTED_VALUE"""),"Walkin")</f>
        <v>Walkin</v>
      </c>
      <c r="W3948" s="124" t="str">
        <f>IFERROR(__xludf.DUMMYFUNCTION("""COMPUTED_VALUE"""),"Indore")</f>
        <v>Indore</v>
      </c>
      <c r="X3948" s="124" t="str">
        <f>IFERROR(__xludf.DUMMYFUNCTION("""COMPUTED_VALUE"""),"Walkin")</f>
        <v>Walkin</v>
      </c>
      <c r="Y3948" s="124" t="str">
        <f>IFERROR(__xludf.DUMMYFUNCTION("""COMPUTED_VALUE"""),"Indore")</f>
        <v>Indore</v>
      </c>
      <c r="Z3948" s="124">
        <f>IFERROR(__xludf.DUMMYFUNCTION("""COMPUTED_VALUE"""),1.0)</f>
        <v>1</v>
      </c>
      <c r="AA3948" s="124" t="str">
        <f>IFERROR(__xludf.DUMMYFUNCTION("""COMPUTED_VALUE"""),"Future Prospects")</f>
        <v>Future Prospects</v>
      </c>
      <c r="AB3948" s="124" t="str">
        <f>IFERROR(__xludf.DUMMYFUNCTION("""COMPUTED_VALUE"""),"State PCS")</f>
        <v>State PCS</v>
      </c>
    </row>
    <row r="3949">
      <c r="K3949" s="124"/>
      <c r="L3949" s="124"/>
      <c r="M3949" s="124"/>
      <c r="N3949" s="124"/>
      <c r="O3949" s="124"/>
      <c r="T3949" s="126">
        <f>IFERROR(__xludf.DUMMYFUNCTION("""COMPUTED_VALUE"""),46109.0)</f>
        <v>46109</v>
      </c>
      <c r="U3949" s="124" t="str">
        <f>IFERROR(__xludf.DUMMYFUNCTION("""COMPUTED_VALUE"""),"Walk-Ins")</f>
        <v>Walk-Ins</v>
      </c>
      <c r="V3949" s="124" t="str">
        <f>IFERROR(__xludf.DUMMYFUNCTION("""COMPUTED_VALUE"""),"Walkin")</f>
        <v>Walkin</v>
      </c>
      <c r="W3949" s="124" t="str">
        <f>IFERROR(__xludf.DUMMYFUNCTION("""COMPUTED_VALUE"""),"Patna")</f>
        <v>Patna</v>
      </c>
      <c r="X3949" s="124" t="str">
        <f>IFERROR(__xludf.DUMMYFUNCTION("""COMPUTED_VALUE"""),"Walkin")</f>
        <v>Walkin</v>
      </c>
      <c r="Y3949" s="124" t="str">
        <f>IFERROR(__xludf.DUMMYFUNCTION("""COMPUTED_VALUE"""),"Patna")</f>
        <v>Patna</v>
      </c>
      <c r="Z3949" s="124">
        <f>IFERROR(__xludf.DUMMYFUNCTION("""COMPUTED_VALUE"""),1.0)</f>
        <v>1</v>
      </c>
      <c r="AA3949" s="124" t="str">
        <f>IFERROR(__xludf.DUMMYFUNCTION("""COMPUTED_VALUE"""),"Cold")</f>
        <v>Cold</v>
      </c>
      <c r="AB3949" s="124" t="str">
        <f>IFERROR(__xludf.DUMMYFUNCTION("""COMPUTED_VALUE"""),"Other")</f>
        <v>Other</v>
      </c>
    </row>
    <row r="3950">
      <c r="K3950" s="124"/>
      <c r="L3950" s="124"/>
      <c r="M3950" s="124"/>
      <c r="N3950" s="124"/>
      <c r="O3950" s="124"/>
      <c r="T3950" s="126">
        <f>IFERROR(__xludf.DUMMYFUNCTION("""COMPUTED_VALUE"""),46107.0)</f>
        <v>46107</v>
      </c>
      <c r="U3950" s="124" t="str">
        <f>IFERROR(__xludf.DUMMYFUNCTION("""COMPUTED_VALUE"""),"Walk-Ins")</f>
        <v>Walk-Ins</v>
      </c>
      <c r="V3950" s="124" t="str">
        <f>IFERROR(__xludf.DUMMYFUNCTION("""COMPUTED_VALUE"""),"Walkin")</f>
        <v>Walkin</v>
      </c>
      <c r="W3950" s="124" t="str">
        <f>IFERROR(__xludf.DUMMYFUNCTION("""COMPUTED_VALUE"""),"Patna")</f>
        <v>Patna</v>
      </c>
      <c r="X3950" s="124" t="str">
        <f>IFERROR(__xludf.DUMMYFUNCTION("""COMPUTED_VALUE"""),"Walkin")</f>
        <v>Walkin</v>
      </c>
      <c r="Y3950" s="124" t="str">
        <f>IFERROR(__xludf.DUMMYFUNCTION("""COMPUTED_VALUE"""),"Patna")</f>
        <v>Patna</v>
      </c>
      <c r="Z3950" s="124">
        <f>IFERROR(__xludf.DUMMYFUNCTION("""COMPUTED_VALUE"""),1.0)</f>
        <v>1</v>
      </c>
      <c r="AA3950" s="124" t="str">
        <f>IFERROR(__xludf.DUMMYFUNCTION("""COMPUTED_VALUE"""),"Cold")</f>
        <v>Cold</v>
      </c>
      <c r="AB3950" s="124" t="str">
        <f>IFERROR(__xludf.DUMMYFUNCTION("""COMPUTED_VALUE"""),"GS Foundation")</f>
        <v>GS Foundation</v>
      </c>
    </row>
    <row r="3951">
      <c r="K3951" s="124"/>
      <c r="L3951" s="124"/>
      <c r="M3951" s="124"/>
      <c r="N3951" s="124"/>
      <c r="O3951" s="124"/>
      <c r="T3951" s="126">
        <f>IFERROR(__xludf.DUMMYFUNCTION("""COMPUTED_VALUE"""),46071.0)</f>
        <v>46071</v>
      </c>
      <c r="U3951" s="124" t="str">
        <f>IFERROR(__xludf.DUMMYFUNCTION("""COMPUTED_VALUE"""),"Walk-Ins")</f>
        <v>Walk-Ins</v>
      </c>
      <c r="V3951" s="124" t="str">
        <f>IFERROR(__xludf.DUMMYFUNCTION("""COMPUTED_VALUE"""),"Walkin")</f>
        <v>Walkin</v>
      </c>
      <c r="W3951" s="124" t="str">
        <f>IFERROR(__xludf.DUMMYFUNCTION("""COMPUTED_VALUE"""),"Prayagraj")</f>
        <v>Prayagraj</v>
      </c>
      <c r="X3951" s="124" t="str">
        <f>IFERROR(__xludf.DUMMYFUNCTION("""COMPUTED_VALUE"""),"Walkin")</f>
        <v>Walkin</v>
      </c>
      <c r="Y3951" s="124" t="str">
        <f>IFERROR(__xludf.DUMMYFUNCTION("""COMPUTED_VALUE"""),"Prayagraj")</f>
        <v>Prayagraj</v>
      </c>
      <c r="Z3951" s="124">
        <f>IFERROR(__xludf.DUMMYFUNCTION("""COMPUTED_VALUE"""),1.0)</f>
        <v>1</v>
      </c>
      <c r="AA3951" s="124" t="str">
        <f>IFERROR(__xludf.DUMMYFUNCTION("""COMPUTED_VALUE"""),"Not Interested")</f>
        <v>Not Interested</v>
      </c>
      <c r="AB3951" s="124" t="str">
        <f>IFERROR(__xludf.DUMMYFUNCTION("""COMPUTED_VALUE"""),"State PCS")</f>
        <v>State PCS</v>
      </c>
    </row>
    <row r="3952">
      <c r="K3952" s="124"/>
      <c r="L3952" s="124"/>
      <c r="M3952" s="124"/>
      <c r="N3952" s="124"/>
      <c r="O3952" s="124"/>
      <c r="T3952" s="126">
        <f>IFERROR(__xludf.DUMMYFUNCTION("""COMPUTED_VALUE"""),46098.0)</f>
        <v>46098</v>
      </c>
      <c r="U3952" s="124" t="str">
        <f>IFERROR(__xludf.DUMMYFUNCTION("""COMPUTED_VALUE"""),"Walk-Ins")</f>
        <v>Walk-Ins</v>
      </c>
      <c r="V3952" s="124" t="str">
        <f>IFERROR(__xludf.DUMMYFUNCTION("""COMPUTED_VALUE"""),"Walkin")</f>
        <v>Walkin</v>
      </c>
      <c r="W3952" s="124" t="str">
        <f>IFERROR(__xludf.DUMMYFUNCTION("""COMPUTED_VALUE"""),"Patna")</f>
        <v>Patna</v>
      </c>
      <c r="X3952" s="124" t="str">
        <f>IFERROR(__xludf.DUMMYFUNCTION("""COMPUTED_VALUE"""),"Walkin")</f>
        <v>Walkin</v>
      </c>
      <c r="Y3952" s="124" t="str">
        <f>IFERROR(__xludf.DUMMYFUNCTION("""COMPUTED_VALUE"""),"Patna")</f>
        <v>Patna</v>
      </c>
      <c r="Z3952" s="124">
        <f>IFERROR(__xludf.DUMMYFUNCTION("""COMPUTED_VALUE"""),1.0)</f>
        <v>1</v>
      </c>
      <c r="AA3952" s="124" t="str">
        <f>IFERROR(__xludf.DUMMYFUNCTION("""COMPUTED_VALUE"""),"Future Prospects")</f>
        <v>Future Prospects</v>
      </c>
      <c r="AB3952" s="124" t="str">
        <f>IFERROR(__xludf.DUMMYFUNCTION("""COMPUTED_VALUE"""),"GS Foundation")</f>
        <v>GS Foundation</v>
      </c>
    </row>
    <row r="3953">
      <c r="K3953" s="124"/>
      <c r="L3953" s="124"/>
      <c r="M3953" s="124"/>
      <c r="N3953" s="124"/>
      <c r="O3953" s="124"/>
      <c r="T3953" s="126">
        <f>IFERROR(__xludf.DUMMYFUNCTION("""COMPUTED_VALUE"""),46079.0)</f>
        <v>46079</v>
      </c>
      <c r="U3953" s="124" t="str">
        <f>IFERROR(__xludf.DUMMYFUNCTION("""COMPUTED_VALUE"""),"Walk-Ins")</f>
        <v>Walk-Ins</v>
      </c>
      <c r="V3953" s="124" t="str">
        <f>IFERROR(__xludf.DUMMYFUNCTION("""COMPUTED_VALUE"""),"Walkin")</f>
        <v>Walkin</v>
      </c>
      <c r="W3953" s="124" t="str">
        <f>IFERROR(__xludf.DUMMYFUNCTION("""COMPUTED_VALUE"""),"Prayagraj")</f>
        <v>Prayagraj</v>
      </c>
      <c r="X3953" s="124" t="str">
        <f>IFERROR(__xludf.DUMMYFUNCTION("""COMPUTED_VALUE"""),"Walkin")</f>
        <v>Walkin</v>
      </c>
      <c r="Y3953" s="124" t="str">
        <f>IFERROR(__xludf.DUMMYFUNCTION("""COMPUTED_VALUE"""),"Prayagraj")</f>
        <v>Prayagraj</v>
      </c>
      <c r="Z3953" s="124">
        <f>IFERROR(__xludf.DUMMYFUNCTION("""COMPUTED_VALUE"""),3.0)</f>
        <v>3</v>
      </c>
      <c r="AA3953" s="124" t="str">
        <f>IFERROR(__xludf.DUMMYFUNCTION("""COMPUTED_VALUE"""),"Future Prospects")</f>
        <v>Future Prospects</v>
      </c>
      <c r="AB3953" s="124" t="str">
        <f>IFERROR(__xludf.DUMMYFUNCTION("""COMPUTED_VALUE"""),"GS Foundation")</f>
        <v>GS Foundation</v>
      </c>
    </row>
    <row r="3954">
      <c r="K3954" s="124"/>
      <c r="L3954" s="124"/>
      <c r="M3954" s="124"/>
      <c r="N3954" s="124"/>
      <c r="O3954" s="124"/>
      <c r="T3954" s="126">
        <f>IFERROR(__xludf.DUMMYFUNCTION("""COMPUTED_VALUE"""),46109.0)</f>
        <v>46109</v>
      </c>
      <c r="U3954" s="124" t="str">
        <f>IFERROR(__xludf.DUMMYFUNCTION("""COMPUTED_VALUE"""),"Walk-Ins")</f>
        <v>Walk-Ins</v>
      </c>
      <c r="V3954" s="124" t="str">
        <f>IFERROR(__xludf.DUMMYFUNCTION("""COMPUTED_VALUE"""),"Walkin")</f>
        <v>Walkin</v>
      </c>
      <c r="W3954" s="124" t="str">
        <f>IFERROR(__xludf.DUMMYFUNCTION("""COMPUTED_VALUE"""),"Indore")</f>
        <v>Indore</v>
      </c>
      <c r="X3954" s="124" t="str">
        <f>IFERROR(__xludf.DUMMYFUNCTION("""COMPUTED_VALUE"""),"Walkin")</f>
        <v>Walkin</v>
      </c>
      <c r="Y3954" s="124" t="str">
        <f>IFERROR(__xludf.DUMMYFUNCTION("""COMPUTED_VALUE"""),"Indore")</f>
        <v>Indore</v>
      </c>
      <c r="Z3954" s="124">
        <f>IFERROR(__xludf.DUMMYFUNCTION("""COMPUTED_VALUE"""),1.0)</f>
        <v>1</v>
      </c>
      <c r="AA3954" s="124" t="str">
        <f>IFERROR(__xludf.DUMMYFUNCTION("""COMPUTED_VALUE"""),"Interested")</f>
        <v>Interested</v>
      </c>
      <c r="AB3954" s="124" t="str">
        <f>IFERROR(__xludf.DUMMYFUNCTION("""COMPUTED_VALUE"""),"GS Foundation")</f>
        <v>GS Foundation</v>
      </c>
    </row>
    <row r="3955">
      <c r="K3955" s="124"/>
      <c r="L3955" s="124"/>
      <c r="M3955" s="124"/>
      <c r="N3955" s="124"/>
      <c r="O3955" s="124"/>
      <c r="T3955" s="129">
        <f>IFERROR(__xludf.DUMMYFUNCTION("""COMPUTED_VALUE"""),46057.0)</f>
        <v>46057</v>
      </c>
      <c r="U3955" s="124" t="str">
        <f>IFERROR(__xludf.DUMMYFUNCTION("""COMPUTED_VALUE"""),"Walk-Ins")</f>
        <v>Walk-Ins</v>
      </c>
      <c r="V3955" s="124" t="str">
        <f>IFERROR(__xludf.DUMMYFUNCTION("""COMPUTED_VALUE"""),"Walkin")</f>
        <v>Walkin</v>
      </c>
      <c r="W3955" s="124" t="str">
        <f>IFERROR(__xludf.DUMMYFUNCTION("""COMPUTED_VALUE"""),"Prayagraj")</f>
        <v>Prayagraj</v>
      </c>
      <c r="X3955" s="124" t="str">
        <f>IFERROR(__xludf.DUMMYFUNCTION("""COMPUTED_VALUE"""),"Walkin")</f>
        <v>Walkin</v>
      </c>
      <c r="Y3955" s="124" t="str">
        <f>IFERROR(__xludf.DUMMYFUNCTION("""COMPUTED_VALUE"""),"Prayagraj")</f>
        <v>Prayagraj</v>
      </c>
      <c r="Z3955" s="124">
        <f>IFERROR(__xludf.DUMMYFUNCTION("""COMPUTED_VALUE"""),1.0)</f>
        <v>1</v>
      </c>
      <c r="AA3955" s="124" t="str">
        <f>IFERROR(__xludf.DUMMYFUNCTION("""COMPUTED_VALUE"""),"Warm")</f>
        <v>Warm</v>
      </c>
      <c r="AB3955" s="124" t="str">
        <f>IFERROR(__xludf.DUMMYFUNCTION("""COMPUTED_VALUE"""),"GS Foundation")</f>
        <v>GS Foundation</v>
      </c>
    </row>
    <row r="3956">
      <c r="K3956" s="124"/>
      <c r="L3956" s="124"/>
      <c r="M3956" s="124"/>
      <c r="N3956" s="124"/>
      <c r="O3956" s="124"/>
      <c r="T3956" s="126">
        <f>IFERROR(__xludf.DUMMYFUNCTION("""COMPUTED_VALUE"""),46091.0)</f>
        <v>46091</v>
      </c>
      <c r="U3956" s="124" t="str">
        <f>IFERROR(__xludf.DUMMYFUNCTION("""COMPUTED_VALUE"""),"Walk-Ins")</f>
        <v>Walk-Ins</v>
      </c>
      <c r="V3956" s="124" t="str">
        <f>IFERROR(__xludf.DUMMYFUNCTION("""COMPUTED_VALUE"""),"Walk-In")</f>
        <v>Walk-In</v>
      </c>
      <c r="W3956" s="124" t="str">
        <f>IFERROR(__xludf.DUMMYFUNCTION("""COMPUTED_VALUE"""),"Prayagraj")</f>
        <v>Prayagraj</v>
      </c>
      <c r="X3956" s="124" t="str">
        <f>IFERROR(__xludf.DUMMYFUNCTION("""COMPUTED_VALUE"""),"Abhishek Mishra")</f>
        <v>Abhishek Mishra</v>
      </c>
      <c r="Y3956" s="124" t="str">
        <f>IFERROR(__xludf.DUMMYFUNCTION("""COMPUTED_VALUE"""),"Prayagraj")</f>
        <v>Prayagraj</v>
      </c>
      <c r="Z3956" s="124">
        <f>IFERROR(__xludf.DUMMYFUNCTION("""COMPUTED_VALUE"""),1.0)</f>
        <v>1</v>
      </c>
      <c r="AA3956" s="124" t="str">
        <f>IFERROR(__xludf.DUMMYFUNCTION("""COMPUTED_VALUE"""),"Cold")</f>
        <v>Cold</v>
      </c>
      <c r="AB3956" s="124" t="str">
        <f>IFERROR(__xludf.DUMMYFUNCTION("""COMPUTED_VALUE"""),"Mentorship")</f>
        <v>Mentorship</v>
      </c>
    </row>
    <row r="3957">
      <c r="K3957" s="124"/>
      <c r="L3957" s="124"/>
      <c r="M3957" s="124"/>
      <c r="N3957" s="124"/>
      <c r="O3957" s="124"/>
      <c r="T3957" s="126">
        <f>IFERROR(__xludf.DUMMYFUNCTION("""COMPUTED_VALUE"""),46106.0)</f>
        <v>46106</v>
      </c>
      <c r="U3957" s="124" t="str">
        <f>IFERROR(__xludf.DUMMYFUNCTION("""COMPUTED_VALUE"""),"Walk-Ins")</f>
        <v>Walk-Ins</v>
      </c>
      <c r="V3957" s="124" t="str">
        <f>IFERROR(__xludf.DUMMYFUNCTION("""COMPUTED_VALUE"""),"Walkin")</f>
        <v>Walkin</v>
      </c>
      <c r="W3957" s="124" t="str">
        <f>IFERROR(__xludf.DUMMYFUNCTION("""COMPUTED_VALUE"""),"Lucknow")</f>
        <v>Lucknow</v>
      </c>
      <c r="X3957" s="124" t="str">
        <f>IFERROR(__xludf.DUMMYFUNCTION("""COMPUTED_VALUE"""),"Walkin")</f>
        <v>Walkin</v>
      </c>
      <c r="Y3957" s="124" t="str">
        <f>IFERROR(__xludf.DUMMYFUNCTION("""COMPUTED_VALUE"""),"Lucknow")</f>
        <v>Lucknow</v>
      </c>
      <c r="Z3957" s="124">
        <f>IFERROR(__xludf.DUMMYFUNCTION("""COMPUTED_VALUE"""),1.0)</f>
        <v>1</v>
      </c>
      <c r="AA3957" s="124" t="str">
        <f>IFERROR(__xludf.DUMMYFUNCTION("""COMPUTED_VALUE"""),"Warm")</f>
        <v>Warm</v>
      </c>
      <c r="AB3957" s="124" t="str">
        <f>IFERROR(__xludf.DUMMYFUNCTION("""COMPUTED_VALUE"""),"GS Foundation")</f>
        <v>GS Foundation</v>
      </c>
    </row>
    <row r="3958">
      <c r="K3958" s="124"/>
      <c r="L3958" s="124"/>
      <c r="M3958" s="124"/>
      <c r="N3958" s="124"/>
      <c r="O3958" s="124"/>
      <c r="T3958" s="129">
        <f>IFERROR(__xludf.DUMMYFUNCTION("""COMPUTED_VALUE"""),46057.0)</f>
        <v>46057</v>
      </c>
      <c r="U3958" s="124" t="str">
        <f>IFERROR(__xludf.DUMMYFUNCTION("""COMPUTED_VALUE"""),"Walk-Ins")</f>
        <v>Walk-Ins</v>
      </c>
      <c r="V3958" s="124" t="str">
        <f>IFERROR(__xludf.DUMMYFUNCTION("""COMPUTED_VALUE"""),"Walk-In")</f>
        <v>Walk-In</v>
      </c>
      <c r="W3958" s="124" t="str">
        <f>IFERROR(__xludf.DUMMYFUNCTION("""COMPUTED_VALUE"""),"Patna")</f>
        <v>Patna</v>
      </c>
      <c r="X3958" s="124" t="str">
        <f>IFERROR(__xludf.DUMMYFUNCTION("""COMPUTED_VALUE"""),"Others")</f>
        <v>Others</v>
      </c>
      <c r="Y3958" s="124" t="str">
        <f>IFERROR(__xludf.DUMMYFUNCTION("""COMPUTED_VALUE"""),"Patna")</f>
        <v>Patna</v>
      </c>
      <c r="Z3958" s="124">
        <f>IFERROR(__xludf.DUMMYFUNCTION("""COMPUTED_VALUE"""),2.0)</f>
        <v>2</v>
      </c>
      <c r="AA3958" s="124" t="str">
        <f>IFERROR(__xludf.DUMMYFUNCTION("""COMPUTED_VALUE"""),"Cold")</f>
        <v>Cold</v>
      </c>
      <c r="AB3958" s="124" t="str">
        <f>IFERROR(__xludf.DUMMYFUNCTION("""COMPUTED_VALUE"""),"GS Foundation")</f>
        <v>GS Foundation</v>
      </c>
    </row>
    <row r="3959">
      <c r="K3959" s="124"/>
      <c r="L3959" s="124"/>
      <c r="M3959" s="124"/>
      <c r="N3959" s="124"/>
      <c r="O3959" s="124"/>
      <c r="T3959" s="126">
        <f>IFERROR(__xludf.DUMMYFUNCTION("""COMPUTED_VALUE"""),46102.0)</f>
        <v>46102</v>
      </c>
      <c r="U3959" s="124" t="str">
        <f>IFERROR(__xludf.DUMMYFUNCTION("""COMPUTED_VALUE"""),"Walk-Ins")</f>
        <v>Walk-Ins</v>
      </c>
      <c r="V3959" s="124" t="str">
        <f>IFERROR(__xludf.DUMMYFUNCTION("""COMPUTED_VALUE"""),"Walkin")</f>
        <v>Walkin</v>
      </c>
      <c r="W3959" s="124" t="str">
        <f>IFERROR(__xludf.DUMMYFUNCTION("""COMPUTED_VALUE"""),"Patna")</f>
        <v>Patna</v>
      </c>
      <c r="X3959" s="124" t="str">
        <f>IFERROR(__xludf.DUMMYFUNCTION("""COMPUTED_VALUE"""),"Walkin")</f>
        <v>Walkin</v>
      </c>
      <c r="Y3959" s="124" t="str">
        <f>IFERROR(__xludf.DUMMYFUNCTION("""COMPUTED_VALUE"""),"Patna")</f>
        <v>Patna</v>
      </c>
      <c r="Z3959" s="124">
        <f>IFERROR(__xludf.DUMMYFUNCTION("""COMPUTED_VALUE"""),1.0)</f>
        <v>1</v>
      </c>
      <c r="AA3959" s="124" t="str">
        <f>IFERROR(__xludf.DUMMYFUNCTION("""COMPUTED_VALUE"""),"Cold")</f>
        <v>Cold</v>
      </c>
      <c r="AB3959" s="124" t="str">
        <f>IFERROR(__xludf.DUMMYFUNCTION("""COMPUTED_VALUE"""),"Test Series")</f>
        <v>Test Series</v>
      </c>
    </row>
    <row r="3960">
      <c r="K3960" s="124"/>
      <c r="L3960" s="124"/>
      <c r="M3960" s="124"/>
      <c r="N3960" s="124"/>
      <c r="O3960" s="124"/>
      <c r="T3960" s="126">
        <f>IFERROR(__xludf.DUMMYFUNCTION("""COMPUTED_VALUE"""),46067.0)</f>
        <v>46067</v>
      </c>
      <c r="U3960" s="124" t="str">
        <f>IFERROR(__xludf.DUMMYFUNCTION("""COMPUTED_VALUE"""),"Walk-Ins")</f>
        <v>Walk-Ins</v>
      </c>
      <c r="V3960" s="124" t="str">
        <f>IFERROR(__xludf.DUMMYFUNCTION("""COMPUTED_VALUE"""),"Walkin")</f>
        <v>Walkin</v>
      </c>
      <c r="W3960" s="124" t="str">
        <f>IFERROR(__xludf.DUMMYFUNCTION("""COMPUTED_VALUE"""),"Patna")</f>
        <v>Patna</v>
      </c>
      <c r="X3960" s="124" t="str">
        <f>IFERROR(__xludf.DUMMYFUNCTION("""COMPUTED_VALUE"""),"Walkin")</f>
        <v>Walkin</v>
      </c>
      <c r="Y3960" s="124" t="str">
        <f>IFERROR(__xludf.DUMMYFUNCTION("""COMPUTED_VALUE"""),"Patna")</f>
        <v>Patna</v>
      </c>
      <c r="Z3960" s="124">
        <f>IFERROR(__xludf.DUMMYFUNCTION("""COMPUTED_VALUE"""),1.0)</f>
        <v>1</v>
      </c>
      <c r="AA3960" s="124" t="str">
        <f>IFERROR(__xludf.DUMMYFUNCTION("""COMPUTED_VALUE"""),"Fake Lead")</f>
        <v>Fake Lead</v>
      </c>
      <c r="AB3960" s="124" t="str">
        <f>IFERROR(__xludf.DUMMYFUNCTION("""COMPUTED_VALUE"""),"State PCS")</f>
        <v>State PCS</v>
      </c>
    </row>
    <row r="3961">
      <c r="K3961" s="124"/>
      <c r="L3961" s="124"/>
      <c r="M3961" s="124"/>
      <c r="N3961" s="124"/>
      <c r="O3961" s="124"/>
      <c r="T3961" s="126">
        <f>IFERROR(__xludf.DUMMYFUNCTION("""COMPUTED_VALUE"""),46100.0)</f>
        <v>46100</v>
      </c>
      <c r="U3961" s="124" t="str">
        <f>IFERROR(__xludf.DUMMYFUNCTION("""COMPUTED_VALUE"""),"Walk-Ins")</f>
        <v>Walk-Ins</v>
      </c>
      <c r="V3961" s="124" t="str">
        <f>IFERROR(__xludf.DUMMYFUNCTION("""COMPUTED_VALUE"""),"Walkin")</f>
        <v>Walkin</v>
      </c>
      <c r="W3961" s="124" t="str">
        <f>IFERROR(__xludf.DUMMYFUNCTION("""COMPUTED_VALUE"""),"Patna")</f>
        <v>Patna</v>
      </c>
      <c r="X3961" s="124" t="str">
        <f>IFERROR(__xludf.DUMMYFUNCTION("""COMPUTED_VALUE"""),"Walkin")</f>
        <v>Walkin</v>
      </c>
      <c r="Y3961" s="124" t="str">
        <f>IFERROR(__xludf.DUMMYFUNCTION("""COMPUTED_VALUE"""),"Patna")</f>
        <v>Patna</v>
      </c>
      <c r="Z3961" s="124">
        <f>IFERROR(__xludf.DUMMYFUNCTION("""COMPUTED_VALUE"""),1.0)</f>
        <v>1</v>
      </c>
      <c r="AA3961" s="124" t="str">
        <f>IFERROR(__xludf.DUMMYFUNCTION("""COMPUTED_VALUE"""),"Future Prospects")</f>
        <v>Future Prospects</v>
      </c>
      <c r="AB3961" s="124" t="str">
        <f>IFERROR(__xludf.DUMMYFUNCTION("""COMPUTED_VALUE"""),"GS Foundation")</f>
        <v>GS Foundation</v>
      </c>
    </row>
    <row r="3962">
      <c r="K3962" s="124"/>
      <c r="L3962" s="124"/>
      <c r="M3962" s="124"/>
      <c r="N3962" s="124"/>
      <c r="O3962" s="124"/>
      <c r="T3962" s="126">
        <f>IFERROR(__xludf.DUMMYFUNCTION("""COMPUTED_VALUE"""),46104.0)</f>
        <v>46104</v>
      </c>
      <c r="U3962" s="124" t="str">
        <f>IFERROR(__xludf.DUMMYFUNCTION("""COMPUTED_VALUE"""),"Walk-Ins")</f>
        <v>Walk-Ins</v>
      </c>
      <c r="V3962" s="124" t="str">
        <f>IFERROR(__xludf.DUMMYFUNCTION("""COMPUTED_VALUE"""),"Walkin")</f>
        <v>Walkin</v>
      </c>
      <c r="W3962" s="124" t="str">
        <f>IFERROR(__xludf.DUMMYFUNCTION("""COMPUTED_VALUE"""),"Patna")</f>
        <v>Patna</v>
      </c>
      <c r="X3962" s="124" t="str">
        <f>IFERROR(__xludf.DUMMYFUNCTION("""COMPUTED_VALUE"""),"Walkin")</f>
        <v>Walkin</v>
      </c>
      <c r="Y3962" s="124" t="str">
        <f>IFERROR(__xludf.DUMMYFUNCTION("""COMPUTED_VALUE"""),"Patna")</f>
        <v>Patna</v>
      </c>
      <c r="Z3962" s="124">
        <f>IFERROR(__xludf.DUMMYFUNCTION("""COMPUTED_VALUE"""),1.0)</f>
        <v>1</v>
      </c>
      <c r="AA3962" s="124" t="str">
        <f>IFERROR(__xludf.DUMMYFUNCTION("""COMPUTED_VALUE"""),"Future Prospects")</f>
        <v>Future Prospects</v>
      </c>
      <c r="AB3962" s="124" t="str">
        <f>IFERROR(__xludf.DUMMYFUNCTION("""COMPUTED_VALUE"""),"State PCS")</f>
        <v>State PCS</v>
      </c>
    </row>
    <row r="3963">
      <c r="K3963" s="124"/>
      <c r="L3963" s="124"/>
      <c r="M3963" s="124"/>
      <c r="N3963" s="124"/>
      <c r="O3963" s="124"/>
      <c r="T3963" s="126">
        <f>IFERROR(__xludf.DUMMYFUNCTION("""COMPUTED_VALUE"""),46078.0)</f>
        <v>46078</v>
      </c>
      <c r="U3963" s="124" t="str">
        <f>IFERROR(__xludf.DUMMYFUNCTION("""COMPUTED_VALUE"""),"Walk-Ins")</f>
        <v>Walk-Ins</v>
      </c>
      <c r="V3963" s="124" t="str">
        <f>IFERROR(__xludf.DUMMYFUNCTION("""COMPUTED_VALUE"""),"Walkin")</f>
        <v>Walkin</v>
      </c>
      <c r="W3963" s="124" t="str">
        <f>IFERROR(__xludf.DUMMYFUNCTION("""COMPUTED_VALUE"""),"Indore")</f>
        <v>Indore</v>
      </c>
      <c r="X3963" s="124" t="str">
        <f>IFERROR(__xludf.DUMMYFUNCTION("""COMPUTED_VALUE"""),"Walkin")</f>
        <v>Walkin</v>
      </c>
      <c r="Y3963" s="124" t="str">
        <f>IFERROR(__xludf.DUMMYFUNCTION("""COMPUTED_VALUE"""),"Indore")</f>
        <v>Indore</v>
      </c>
      <c r="Z3963" s="124">
        <f>IFERROR(__xludf.DUMMYFUNCTION("""COMPUTED_VALUE"""),1.0)</f>
        <v>1</v>
      </c>
      <c r="AA3963" s="124" t="str">
        <f>IFERROR(__xludf.DUMMYFUNCTION("""COMPUTED_VALUE"""),"Future Prospects")</f>
        <v>Future Prospects</v>
      </c>
      <c r="AB3963" s="124" t="str">
        <f>IFERROR(__xludf.DUMMYFUNCTION("""COMPUTED_VALUE"""),"State PCS")</f>
        <v>State PCS</v>
      </c>
    </row>
    <row r="3964">
      <c r="K3964" s="124"/>
      <c r="L3964" s="124"/>
      <c r="M3964" s="124"/>
      <c r="N3964" s="124"/>
      <c r="O3964" s="124"/>
      <c r="T3964" s="126">
        <f>IFERROR(__xludf.DUMMYFUNCTION("""COMPUTED_VALUE"""),46096.0)</f>
        <v>46096</v>
      </c>
      <c r="U3964" s="124" t="str">
        <f>IFERROR(__xludf.DUMMYFUNCTION("""COMPUTED_VALUE"""),"Walk-Ins")</f>
        <v>Walk-Ins</v>
      </c>
      <c r="V3964" s="124" t="str">
        <f>IFERROR(__xludf.DUMMYFUNCTION("""COMPUTED_VALUE"""),"Walkin")</f>
        <v>Walkin</v>
      </c>
      <c r="W3964" s="124" t="str">
        <f>IFERROR(__xludf.DUMMYFUNCTION("""COMPUTED_VALUE"""),"Indore")</f>
        <v>Indore</v>
      </c>
      <c r="X3964" s="124" t="str">
        <f>IFERROR(__xludf.DUMMYFUNCTION("""COMPUTED_VALUE"""),"Walkin")</f>
        <v>Walkin</v>
      </c>
      <c r="Y3964" s="124" t="str">
        <f>IFERROR(__xludf.DUMMYFUNCTION("""COMPUTED_VALUE"""),"Indore")</f>
        <v>Indore</v>
      </c>
      <c r="Z3964" s="124">
        <f>IFERROR(__xludf.DUMMYFUNCTION("""COMPUTED_VALUE"""),1.0)</f>
        <v>1</v>
      </c>
      <c r="AA3964" s="124" t="str">
        <f>IFERROR(__xludf.DUMMYFUNCTION("""COMPUTED_VALUE"""),"Enrolled")</f>
        <v>Enrolled</v>
      </c>
      <c r="AB3964" s="124" t="str">
        <f>IFERROR(__xludf.DUMMYFUNCTION("""COMPUTED_VALUE"""),"Optionals")</f>
        <v>Optionals</v>
      </c>
    </row>
    <row r="3965">
      <c r="K3965" s="124"/>
      <c r="L3965" s="124"/>
      <c r="M3965" s="124"/>
      <c r="N3965" s="124"/>
      <c r="O3965" s="124"/>
      <c r="T3965" s="126">
        <f>IFERROR(__xludf.DUMMYFUNCTION("""COMPUTED_VALUE"""),46110.0)</f>
        <v>46110</v>
      </c>
      <c r="U3965" s="124" t="str">
        <f>IFERROR(__xludf.DUMMYFUNCTION("""COMPUTED_VALUE"""),"Walk-Ins")</f>
        <v>Walk-Ins</v>
      </c>
      <c r="V3965" s="124" t="str">
        <f>IFERROR(__xludf.DUMMYFUNCTION("""COMPUTED_VALUE"""),"Walkin")</f>
        <v>Walkin</v>
      </c>
      <c r="W3965" s="124" t="str">
        <f>IFERROR(__xludf.DUMMYFUNCTION("""COMPUTED_VALUE"""),"Prayagraj")</f>
        <v>Prayagraj</v>
      </c>
      <c r="X3965" s="124" t="str">
        <f>IFERROR(__xludf.DUMMYFUNCTION("""COMPUTED_VALUE"""),"Walkin")</f>
        <v>Walkin</v>
      </c>
      <c r="Y3965" s="124" t="str">
        <f>IFERROR(__xludf.DUMMYFUNCTION("""COMPUTED_VALUE"""),"Prayagraj")</f>
        <v>Prayagraj</v>
      </c>
      <c r="Z3965" s="124">
        <f>IFERROR(__xludf.DUMMYFUNCTION("""COMPUTED_VALUE"""),1.0)</f>
        <v>1</v>
      </c>
      <c r="AA3965" s="124" t="str">
        <f>IFERROR(__xludf.DUMMYFUNCTION("""COMPUTED_VALUE"""),"Interested")</f>
        <v>Interested</v>
      </c>
      <c r="AB3965" s="124" t="str">
        <f>IFERROR(__xludf.DUMMYFUNCTION("""COMPUTED_VALUE"""),"State PCS")</f>
        <v>State PCS</v>
      </c>
    </row>
    <row r="3966">
      <c r="K3966" s="124"/>
      <c r="L3966" s="124"/>
      <c r="M3966" s="124"/>
      <c r="N3966" s="124"/>
      <c r="O3966" s="124"/>
      <c r="T3966" s="126">
        <f>IFERROR(__xludf.DUMMYFUNCTION("""COMPUTED_VALUE"""),46065.0)</f>
        <v>46065</v>
      </c>
      <c r="U3966" s="124" t="str">
        <f>IFERROR(__xludf.DUMMYFUNCTION("""COMPUTED_VALUE"""),"Walk-Ins")</f>
        <v>Walk-Ins</v>
      </c>
      <c r="V3966" s="124" t="str">
        <f>IFERROR(__xludf.DUMMYFUNCTION("""COMPUTED_VALUE"""),"Walkin")</f>
        <v>Walkin</v>
      </c>
      <c r="W3966" s="124" t="str">
        <f>IFERROR(__xludf.DUMMYFUNCTION("""COMPUTED_VALUE"""),"Patna")</f>
        <v>Patna</v>
      </c>
      <c r="X3966" s="124" t="str">
        <f>IFERROR(__xludf.DUMMYFUNCTION("""COMPUTED_VALUE"""),"Walkin")</f>
        <v>Walkin</v>
      </c>
      <c r="Y3966" s="124" t="str">
        <f>IFERROR(__xludf.DUMMYFUNCTION("""COMPUTED_VALUE"""),"Patna")</f>
        <v>Patna</v>
      </c>
      <c r="Z3966" s="124">
        <f>IFERROR(__xludf.DUMMYFUNCTION("""COMPUTED_VALUE"""),1.0)</f>
        <v>1</v>
      </c>
      <c r="AA3966" s="124" t="str">
        <f>IFERROR(__xludf.DUMMYFUNCTION("""COMPUTED_VALUE"""),"Warm")</f>
        <v>Warm</v>
      </c>
      <c r="AB3966" s="124" t="str">
        <f>IFERROR(__xludf.DUMMYFUNCTION("""COMPUTED_VALUE"""),"State PCS")</f>
        <v>State PCS</v>
      </c>
    </row>
    <row r="3967">
      <c r="K3967" s="124"/>
      <c r="L3967" s="124"/>
      <c r="M3967" s="124"/>
      <c r="N3967" s="124"/>
      <c r="O3967" s="124"/>
      <c r="T3967" s="126">
        <f>IFERROR(__xludf.DUMMYFUNCTION("""COMPUTED_VALUE"""),46079.0)</f>
        <v>46079</v>
      </c>
      <c r="U3967" s="124" t="str">
        <f>IFERROR(__xludf.DUMMYFUNCTION("""COMPUTED_VALUE"""),"Walk-Ins")</f>
        <v>Walk-Ins</v>
      </c>
      <c r="V3967" s="124" t="str">
        <f>IFERROR(__xludf.DUMMYFUNCTION("""COMPUTED_VALUE"""),"Walkin")</f>
        <v>Walkin</v>
      </c>
      <c r="W3967" s="124" t="str">
        <f>IFERROR(__xludf.DUMMYFUNCTION("""COMPUTED_VALUE"""),"Indore")</f>
        <v>Indore</v>
      </c>
      <c r="X3967" s="124" t="str">
        <f>IFERROR(__xludf.DUMMYFUNCTION("""COMPUTED_VALUE"""),"Walkin")</f>
        <v>Walkin</v>
      </c>
      <c r="Y3967" s="124" t="str">
        <f>IFERROR(__xludf.DUMMYFUNCTION("""COMPUTED_VALUE"""),"Indore")</f>
        <v>Indore</v>
      </c>
      <c r="Z3967" s="124">
        <f>IFERROR(__xludf.DUMMYFUNCTION("""COMPUTED_VALUE"""),1.0)</f>
        <v>1</v>
      </c>
      <c r="AA3967" s="124" t="str">
        <f>IFERROR(__xludf.DUMMYFUNCTION("""COMPUTED_VALUE"""),"Future Prospects")</f>
        <v>Future Prospects</v>
      </c>
      <c r="AB3967" s="124" t="str">
        <f>IFERROR(__xludf.DUMMYFUNCTION("""COMPUTED_VALUE"""),"GS Foundation")</f>
        <v>GS Foundation</v>
      </c>
    </row>
    <row r="3968">
      <c r="K3968" s="124"/>
      <c r="L3968" s="124"/>
      <c r="M3968" s="124"/>
      <c r="N3968" s="124"/>
      <c r="O3968" s="124"/>
      <c r="T3968" s="126">
        <f>IFERROR(__xludf.DUMMYFUNCTION("""COMPUTED_VALUE"""),46050.0)</f>
        <v>46050</v>
      </c>
      <c r="U3968" s="124" t="str">
        <f>IFERROR(__xludf.DUMMYFUNCTION("""COMPUTED_VALUE"""),"Walk-Ins")</f>
        <v>Walk-Ins</v>
      </c>
      <c r="V3968" s="124" t="str">
        <f>IFERROR(__xludf.DUMMYFUNCTION("""COMPUTED_VALUE"""),"Walkin")</f>
        <v>Walkin</v>
      </c>
      <c r="W3968" s="124" t="str">
        <f>IFERROR(__xludf.DUMMYFUNCTION("""COMPUTED_VALUE"""),"Patna")</f>
        <v>Patna</v>
      </c>
      <c r="X3968" s="124" t="str">
        <f>IFERROR(__xludf.DUMMYFUNCTION("""COMPUTED_VALUE"""),"Walkin")</f>
        <v>Walkin</v>
      </c>
      <c r="Y3968" s="124" t="str">
        <f>IFERROR(__xludf.DUMMYFUNCTION("""COMPUTED_VALUE"""),"Patna")</f>
        <v>Patna</v>
      </c>
      <c r="Z3968" s="124">
        <f>IFERROR(__xludf.DUMMYFUNCTION("""COMPUTED_VALUE"""),1.0)</f>
        <v>1</v>
      </c>
      <c r="AA3968" s="124" t="str">
        <f>IFERROR(__xludf.DUMMYFUNCTION("""COMPUTED_VALUE"""),"Future Prospects")</f>
        <v>Future Prospects</v>
      </c>
      <c r="AB3968" s="124" t="str">
        <f>IFERROR(__xludf.DUMMYFUNCTION("""COMPUTED_VALUE"""),"State PCS")</f>
        <v>State PCS</v>
      </c>
    </row>
    <row r="3969">
      <c r="K3969" s="124"/>
      <c r="L3969" s="124"/>
      <c r="M3969" s="124"/>
      <c r="N3969" s="124"/>
      <c r="O3969" s="124"/>
      <c r="T3969" s="126">
        <f>IFERROR(__xludf.DUMMYFUNCTION("""COMPUTED_VALUE"""),46071.0)</f>
        <v>46071</v>
      </c>
      <c r="U3969" s="124" t="str">
        <f>IFERROR(__xludf.DUMMYFUNCTION("""COMPUTED_VALUE"""),"Walk-Ins")</f>
        <v>Walk-Ins</v>
      </c>
      <c r="V3969" s="124" t="str">
        <f>IFERROR(__xludf.DUMMYFUNCTION("""COMPUTED_VALUE"""),"Walkin")</f>
        <v>Walkin</v>
      </c>
      <c r="W3969" s="124" t="str">
        <f>IFERROR(__xludf.DUMMYFUNCTION("""COMPUTED_VALUE"""),"Patna")</f>
        <v>Patna</v>
      </c>
      <c r="X3969" s="124" t="str">
        <f>IFERROR(__xludf.DUMMYFUNCTION("""COMPUTED_VALUE"""),"Walkin")</f>
        <v>Walkin</v>
      </c>
      <c r="Y3969" s="124" t="str">
        <f>IFERROR(__xludf.DUMMYFUNCTION("""COMPUTED_VALUE"""),"Patna")</f>
        <v>Patna</v>
      </c>
      <c r="Z3969" s="124">
        <f>IFERROR(__xludf.DUMMYFUNCTION("""COMPUTED_VALUE"""),1.0)</f>
        <v>1</v>
      </c>
      <c r="AA3969" s="124" t="str">
        <f>IFERROR(__xludf.DUMMYFUNCTION("""COMPUTED_VALUE"""),"Fake Lead")</f>
        <v>Fake Lead</v>
      </c>
      <c r="AB3969" s="124" t="str">
        <f>IFERROR(__xludf.DUMMYFUNCTION("""COMPUTED_VALUE"""),"State PCS")</f>
        <v>State PCS</v>
      </c>
    </row>
    <row r="3970">
      <c r="K3970" s="124"/>
      <c r="L3970" s="124"/>
      <c r="M3970" s="124"/>
      <c r="N3970" s="124"/>
      <c r="O3970" s="124"/>
      <c r="T3970" s="129">
        <f>IFERROR(__xludf.DUMMYFUNCTION("""COMPUTED_VALUE"""),46087.0)</f>
        <v>46087</v>
      </c>
      <c r="U3970" s="124" t="str">
        <f>IFERROR(__xludf.DUMMYFUNCTION("""COMPUTED_VALUE"""),"Walk-Ins")</f>
        <v>Walk-Ins</v>
      </c>
      <c r="V3970" s="124" t="str">
        <f>IFERROR(__xludf.DUMMYFUNCTION("""COMPUTED_VALUE"""),"Walkin")</f>
        <v>Walkin</v>
      </c>
      <c r="W3970" s="124" t="str">
        <f>IFERROR(__xludf.DUMMYFUNCTION("""COMPUTED_VALUE"""),"Patna")</f>
        <v>Patna</v>
      </c>
      <c r="X3970" s="124" t="str">
        <f>IFERROR(__xludf.DUMMYFUNCTION("""COMPUTED_VALUE"""),"Walkin")</f>
        <v>Walkin</v>
      </c>
      <c r="Y3970" s="124" t="str">
        <f>IFERROR(__xludf.DUMMYFUNCTION("""COMPUTED_VALUE"""),"Patna")</f>
        <v>Patna</v>
      </c>
      <c r="Z3970" s="124">
        <f>IFERROR(__xludf.DUMMYFUNCTION("""COMPUTED_VALUE"""),1.0)</f>
        <v>1</v>
      </c>
      <c r="AA3970" s="124" t="str">
        <f>IFERROR(__xludf.DUMMYFUNCTION("""COMPUTED_VALUE"""),"Enrolled")</f>
        <v>Enrolled</v>
      </c>
      <c r="AB3970" s="124" t="str">
        <f>IFERROR(__xludf.DUMMYFUNCTION("""COMPUTED_VALUE"""),"State PCS")</f>
        <v>State PCS</v>
      </c>
    </row>
    <row r="3971">
      <c r="K3971" s="124"/>
      <c r="L3971" s="124"/>
      <c r="M3971" s="124"/>
      <c r="N3971" s="124"/>
      <c r="O3971" s="124"/>
      <c r="T3971" s="129">
        <f>IFERROR(__xludf.DUMMYFUNCTION("""COMPUTED_VALUE"""),46082.0)</f>
        <v>46082</v>
      </c>
      <c r="U3971" s="124" t="str">
        <f>IFERROR(__xludf.DUMMYFUNCTION("""COMPUTED_VALUE"""),"Walk-Ins")</f>
        <v>Walk-Ins</v>
      </c>
      <c r="V3971" s="124" t="str">
        <f>IFERROR(__xludf.DUMMYFUNCTION("""COMPUTED_VALUE"""),"Walkin")</f>
        <v>Walkin</v>
      </c>
      <c r="W3971" s="124" t="str">
        <f>IFERROR(__xludf.DUMMYFUNCTION("""COMPUTED_VALUE"""),"Prayagraj")</f>
        <v>Prayagraj</v>
      </c>
      <c r="X3971" s="124" t="str">
        <f>IFERROR(__xludf.DUMMYFUNCTION("""COMPUTED_VALUE"""),"Walkin")</f>
        <v>Walkin</v>
      </c>
      <c r="Y3971" s="124" t="str">
        <f>IFERROR(__xludf.DUMMYFUNCTION("""COMPUTED_VALUE"""),"Prayagraj")</f>
        <v>Prayagraj</v>
      </c>
      <c r="Z3971" s="124">
        <f>IFERROR(__xludf.DUMMYFUNCTION("""COMPUTED_VALUE"""),1.0)</f>
        <v>1</v>
      </c>
      <c r="AA3971" s="124" t="str">
        <f>IFERROR(__xludf.DUMMYFUNCTION("""COMPUTED_VALUE"""),"Enrolled")</f>
        <v>Enrolled</v>
      </c>
      <c r="AB3971" s="124" t="str">
        <f>IFERROR(__xludf.DUMMYFUNCTION("""COMPUTED_VALUE"""),"GS Foundation")</f>
        <v>GS Foundation</v>
      </c>
    </row>
    <row r="3972">
      <c r="K3972" s="124"/>
      <c r="L3972" s="124"/>
      <c r="M3972" s="124"/>
      <c r="N3972" s="124"/>
      <c r="O3972" s="124"/>
      <c r="T3972" s="129">
        <f>IFERROR(__xludf.DUMMYFUNCTION("""COMPUTED_VALUE"""),46090.0)</f>
        <v>46090</v>
      </c>
      <c r="U3972" s="124" t="str">
        <f>IFERROR(__xludf.DUMMYFUNCTION("""COMPUTED_VALUE"""),"Walk-Ins")</f>
        <v>Walk-Ins</v>
      </c>
      <c r="V3972" s="124" t="str">
        <f>IFERROR(__xludf.DUMMYFUNCTION("""COMPUTED_VALUE"""),"Walkin")</f>
        <v>Walkin</v>
      </c>
      <c r="W3972" s="124" t="str">
        <f>IFERROR(__xludf.DUMMYFUNCTION("""COMPUTED_VALUE"""),"Patna")</f>
        <v>Patna</v>
      </c>
      <c r="X3972" s="124" t="str">
        <f>IFERROR(__xludf.DUMMYFUNCTION("""COMPUTED_VALUE"""),"Walkin")</f>
        <v>Walkin</v>
      </c>
      <c r="Y3972" s="124" t="str">
        <f>IFERROR(__xludf.DUMMYFUNCTION("""COMPUTED_VALUE"""),"Patna")</f>
        <v>Patna</v>
      </c>
      <c r="Z3972" s="124">
        <f>IFERROR(__xludf.DUMMYFUNCTION("""COMPUTED_VALUE"""),1.0)</f>
        <v>1</v>
      </c>
      <c r="AA3972" s="124" t="str">
        <f>IFERROR(__xludf.DUMMYFUNCTION("""COMPUTED_VALUE"""),"Warm")</f>
        <v>Warm</v>
      </c>
      <c r="AB3972" s="124" t="str">
        <f>IFERROR(__xludf.DUMMYFUNCTION("""COMPUTED_VALUE"""),"GS Foundation")</f>
        <v>GS Foundation</v>
      </c>
    </row>
    <row r="3973">
      <c r="K3973" s="124"/>
      <c r="L3973" s="124"/>
      <c r="M3973" s="124"/>
      <c r="N3973" s="124"/>
      <c r="O3973" s="124"/>
      <c r="T3973" s="126">
        <f>IFERROR(__xludf.DUMMYFUNCTION("""COMPUTED_VALUE"""),46067.0)</f>
        <v>46067</v>
      </c>
      <c r="U3973" s="124" t="str">
        <f>IFERROR(__xludf.DUMMYFUNCTION("""COMPUTED_VALUE"""),"Walk-Ins")</f>
        <v>Walk-Ins</v>
      </c>
      <c r="V3973" s="124" t="str">
        <f>IFERROR(__xludf.DUMMYFUNCTION("""COMPUTED_VALUE"""),"Walkin")</f>
        <v>Walkin</v>
      </c>
      <c r="W3973" s="124" t="str">
        <f>IFERROR(__xludf.DUMMYFUNCTION("""COMPUTED_VALUE"""),"Prayagraj")</f>
        <v>Prayagraj</v>
      </c>
      <c r="X3973" s="124" t="str">
        <f>IFERROR(__xludf.DUMMYFUNCTION("""COMPUTED_VALUE"""),"Walkin")</f>
        <v>Walkin</v>
      </c>
      <c r="Y3973" s="124" t="str">
        <f>IFERROR(__xludf.DUMMYFUNCTION("""COMPUTED_VALUE"""),"Prayagraj")</f>
        <v>Prayagraj</v>
      </c>
      <c r="Z3973" s="124">
        <f>IFERROR(__xludf.DUMMYFUNCTION("""COMPUTED_VALUE"""),2.0)</f>
        <v>2</v>
      </c>
      <c r="AA3973" s="124" t="str">
        <f>IFERROR(__xludf.DUMMYFUNCTION("""COMPUTED_VALUE"""),"Cold")</f>
        <v>Cold</v>
      </c>
      <c r="AB3973" s="124" t="str">
        <f>IFERROR(__xludf.DUMMYFUNCTION("""COMPUTED_VALUE"""),"State PCS")</f>
        <v>State PCS</v>
      </c>
    </row>
    <row r="3974">
      <c r="K3974" s="124"/>
      <c r="L3974" s="124"/>
      <c r="M3974" s="124"/>
      <c r="N3974" s="124"/>
      <c r="O3974" s="124"/>
      <c r="T3974" s="129">
        <f>IFERROR(__xludf.DUMMYFUNCTION("""COMPUTED_VALUE"""),46060.0)</f>
        <v>46060</v>
      </c>
      <c r="U3974" s="124" t="str">
        <f>IFERROR(__xludf.DUMMYFUNCTION("""COMPUTED_VALUE"""),"Walk-Ins")</f>
        <v>Walk-Ins</v>
      </c>
      <c r="V3974" s="124" t="str">
        <f>IFERROR(__xludf.DUMMYFUNCTION("""COMPUTED_VALUE"""),"Walkin")</f>
        <v>Walkin</v>
      </c>
      <c r="W3974" s="124" t="str">
        <f>IFERROR(__xludf.DUMMYFUNCTION("""COMPUTED_VALUE"""),"Prayagraj")</f>
        <v>Prayagraj</v>
      </c>
      <c r="X3974" s="124" t="str">
        <f>IFERROR(__xludf.DUMMYFUNCTION("""COMPUTED_VALUE"""),"Walkin")</f>
        <v>Walkin</v>
      </c>
      <c r="Y3974" s="124" t="str">
        <f>IFERROR(__xludf.DUMMYFUNCTION("""COMPUTED_VALUE"""),"Prayagraj")</f>
        <v>Prayagraj</v>
      </c>
      <c r="Z3974" s="124">
        <f>IFERROR(__xludf.DUMMYFUNCTION("""COMPUTED_VALUE"""),1.0)</f>
        <v>1</v>
      </c>
      <c r="AA3974" s="124" t="str">
        <f>IFERROR(__xludf.DUMMYFUNCTION("""COMPUTED_VALUE"""),"Future Prospects")</f>
        <v>Future Prospects</v>
      </c>
      <c r="AB3974" s="124" t="str">
        <f>IFERROR(__xludf.DUMMYFUNCTION("""COMPUTED_VALUE"""),"State PCS")</f>
        <v>State PCS</v>
      </c>
    </row>
    <row r="3975">
      <c r="K3975" s="124"/>
      <c r="L3975" s="124"/>
      <c r="M3975" s="124"/>
      <c r="N3975" s="124"/>
      <c r="O3975" s="124"/>
      <c r="T3975" s="126">
        <f>IFERROR(__xludf.DUMMYFUNCTION("""COMPUTED_VALUE"""),46099.0)</f>
        <v>46099</v>
      </c>
      <c r="U3975" s="124" t="str">
        <f>IFERROR(__xludf.DUMMYFUNCTION("""COMPUTED_VALUE"""),"Paid Ads")</f>
        <v>Paid Ads</v>
      </c>
      <c r="V3975" s="124" t="str">
        <f>IFERROR(__xludf.DUMMYFUNCTION("""COMPUTED_VALUE"""),"Facebook")</f>
        <v>Facebook</v>
      </c>
      <c r="W3975" s="124" t="str">
        <f>IFERROR(__xludf.DUMMYFUNCTION("""COMPUTED_VALUE"""),"LeadAd")</f>
        <v>LeadAd</v>
      </c>
      <c r="X3975" s="124" t="str">
        <f>IFERROR(__xludf.DUMMYFUNCTION("""COMPUTED_VALUE"""),"meta")</f>
        <v>meta</v>
      </c>
      <c r="Y3975" s="124" t="str">
        <f>IFERROR(__xludf.DUMMYFUNCTION("""COMPUTED_VALUE"""),"Indore")</f>
        <v>Indore</v>
      </c>
      <c r="Z3975" s="124">
        <f>IFERROR(__xludf.DUMMYFUNCTION("""COMPUTED_VALUE"""),1.0)</f>
        <v>1</v>
      </c>
      <c r="AA3975" s="124" t="str">
        <f>IFERROR(__xludf.DUMMYFUNCTION("""COMPUTED_VALUE"""),"Cold")</f>
        <v>Cold</v>
      </c>
      <c r="AB3975" s="124" t="str">
        <f>IFERROR(__xludf.DUMMYFUNCTION("""COMPUTED_VALUE"""),"GS Foundation")</f>
        <v>GS Foundation</v>
      </c>
    </row>
    <row r="3976">
      <c r="K3976" s="124"/>
      <c r="L3976" s="124"/>
      <c r="M3976" s="124"/>
      <c r="N3976" s="124"/>
      <c r="O3976" s="124"/>
      <c r="T3976" s="126">
        <f>IFERROR(__xludf.DUMMYFUNCTION("""COMPUTED_VALUE"""),46108.0)</f>
        <v>46108</v>
      </c>
      <c r="U3976" s="124" t="str">
        <f>IFERROR(__xludf.DUMMYFUNCTION("""COMPUTED_VALUE"""),"Walk-Ins")</f>
        <v>Walk-Ins</v>
      </c>
      <c r="V3976" s="124" t="str">
        <f>IFERROR(__xludf.DUMMYFUNCTION("""COMPUTED_VALUE"""),"Walkin")</f>
        <v>Walkin</v>
      </c>
      <c r="W3976" s="124" t="str">
        <f>IFERROR(__xludf.DUMMYFUNCTION("""COMPUTED_VALUE"""),"Lucknow")</f>
        <v>Lucknow</v>
      </c>
      <c r="X3976" s="124" t="str">
        <f>IFERROR(__xludf.DUMMYFUNCTION("""COMPUTED_VALUE"""),"Walkin")</f>
        <v>Walkin</v>
      </c>
      <c r="Y3976" s="124" t="str">
        <f>IFERROR(__xludf.DUMMYFUNCTION("""COMPUTED_VALUE"""),"Lucknow")</f>
        <v>Lucknow</v>
      </c>
      <c r="Z3976" s="124">
        <f>IFERROR(__xludf.DUMMYFUNCTION("""COMPUTED_VALUE"""),1.0)</f>
        <v>1</v>
      </c>
      <c r="AA3976" s="124" t="str">
        <f>IFERROR(__xludf.DUMMYFUNCTION("""COMPUTED_VALUE"""),"Warm")</f>
        <v>Warm</v>
      </c>
      <c r="AB3976" s="124" t="str">
        <f>IFERROR(__xludf.DUMMYFUNCTION("""COMPUTED_VALUE"""),"Hybrid")</f>
        <v>Hybrid</v>
      </c>
    </row>
    <row r="3977">
      <c r="K3977" s="124"/>
      <c r="L3977" s="124"/>
      <c r="M3977" s="124"/>
      <c r="N3977" s="124"/>
      <c r="O3977" s="124"/>
      <c r="T3977" s="126">
        <f>IFERROR(__xludf.DUMMYFUNCTION("""COMPUTED_VALUE"""),46097.0)</f>
        <v>46097</v>
      </c>
      <c r="U3977" s="124" t="str">
        <f>IFERROR(__xludf.DUMMYFUNCTION("""COMPUTED_VALUE"""),"Walk-Ins")</f>
        <v>Walk-Ins</v>
      </c>
      <c r="V3977" s="124" t="str">
        <f>IFERROR(__xludf.DUMMYFUNCTION("""COMPUTED_VALUE"""),"Walkin")</f>
        <v>Walkin</v>
      </c>
      <c r="W3977" s="124" t="str">
        <f>IFERROR(__xludf.DUMMYFUNCTION("""COMPUTED_VALUE"""),"Indore")</f>
        <v>Indore</v>
      </c>
      <c r="X3977" s="124" t="str">
        <f>IFERROR(__xludf.DUMMYFUNCTION("""COMPUTED_VALUE"""),"Walkin")</f>
        <v>Walkin</v>
      </c>
      <c r="Y3977" s="124" t="str">
        <f>IFERROR(__xludf.DUMMYFUNCTION("""COMPUTED_VALUE"""),"Indore")</f>
        <v>Indore</v>
      </c>
      <c r="Z3977" s="124">
        <f>IFERROR(__xludf.DUMMYFUNCTION("""COMPUTED_VALUE"""),1.0)</f>
        <v>1</v>
      </c>
      <c r="AA3977" s="124" t="str">
        <f>IFERROR(__xludf.DUMMYFUNCTION("""COMPUTED_VALUE"""),"Enrolled")</f>
        <v>Enrolled</v>
      </c>
      <c r="AB3977" s="124" t="str">
        <f>IFERROR(__xludf.DUMMYFUNCTION("""COMPUTED_VALUE"""),"State PCS")</f>
        <v>State PCS</v>
      </c>
    </row>
    <row r="3978">
      <c r="K3978" s="124"/>
      <c r="L3978" s="124"/>
      <c r="M3978" s="124"/>
      <c r="N3978" s="124"/>
      <c r="O3978" s="124"/>
      <c r="T3978" s="126">
        <f>IFERROR(__xludf.DUMMYFUNCTION("""COMPUTED_VALUE"""),46095.0)</f>
        <v>46095</v>
      </c>
      <c r="U3978" s="124" t="str">
        <f>IFERROR(__xludf.DUMMYFUNCTION("""COMPUTED_VALUE"""),"Walk-Ins")</f>
        <v>Walk-Ins</v>
      </c>
      <c r="V3978" s="124" t="str">
        <f>IFERROR(__xludf.DUMMYFUNCTION("""COMPUTED_VALUE"""),"Walkin")</f>
        <v>Walkin</v>
      </c>
      <c r="W3978" s="124" t="str">
        <f>IFERROR(__xludf.DUMMYFUNCTION("""COMPUTED_VALUE"""),"Indore")</f>
        <v>Indore</v>
      </c>
      <c r="X3978" s="124" t="str">
        <f>IFERROR(__xludf.DUMMYFUNCTION("""COMPUTED_VALUE"""),"Walkin")</f>
        <v>Walkin</v>
      </c>
      <c r="Y3978" s="124" t="str">
        <f>IFERROR(__xludf.DUMMYFUNCTION("""COMPUTED_VALUE"""),"Indore")</f>
        <v>Indore</v>
      </c>
      <c r="Z3978" s="124">
        <f>IFERROR(__xludf.DUMMYFUNCTION("""COMPUTED_VALUE"""),1.0)</f>
        <v>1</v>
      </c>
      <c r="AA3978" s="124" t="str">
        <f>IFERROR(__xludf.DUMMYFUNCTION("""COMPUTED_VALUE"""),"Warm")</f>
        <v>Warm</v>
      </c>
      <c r="AB3978" s="124" t="str">
        <f>IFERROR(__xludf.DUMMYFUNCTION("""COMPUTED_VALUE"""),"State PCS")</f>
        <v>State PCS</v>
      </c>
    </row>
    <row r="3979">
      <c r="K3979" s="124"/>
      <c r="L3979" s="124"/>
      <c r="M3979" s="124"/>
      <c r="N3979" s="124"/>
      <c r="O3979" s="124"/>
      <c r="T3979" s="126">
        <f>IFERROR(__xludf.DUMMYFUNCTION("""COMPUTED_VALUE"""),46063.0)</f>
        <v>46063</v>
      </c>
      <c r="U3979" s="124" t="str">
        <f>IFERROR(__xludf.DUMMYFUNCTION("""COMPUTED_VALUE"""),"Walk-Ins")</f>
        <v>Walk-Ins</v>
      </c>
      <c r="V3979" s="124" t="str">
        <f>IFERROR(__xludf.DUMMYFUNCTION("""COMPUTED_VALUE"""),"Walkin")</f>
        <v>Walkin</v>
      </c>
      <c r="W3979" s="124" t="str">
        <f>IFERROR(__xludf.DUMMYFUNCTION("""COMPUTED_VALUE"""),"Indore")</f>
        <v>Indore</v>
      </c>
      <c r="X3979" s="124" t="str">
        <f>IFERROR(__xludf.DUMMYFUNCTION("""COMPUTED_VALUE"""),"Walkin")</f>
        <v>Walkin</v>
      </c>
      <c r="Y3979" s="124" t="str">
        <f>IFERROR(__xludf.DUMMYFUNCTION("""COMPUTED_VALUE"""),"Indore")</f>
        <v>Indore</v>
      </c>
      <c r="Z3979" s="124">
        <f>IFERROR(__xludf.DUMMYFUNCTION("""COMPUTED_VALUE"""),1.0)</f>
        <v>1</v>
      </c>
      <c r="AA3979" s="124" t="str">
        <f>IFERROR(__xludf.DUMMYFUNCTION("""COMPUTED_VALUE"""),"Enrolled")</f>
        <v>Enrolled</v>
      </c>
      <c r="AB3979" s="124" t="str">
        <f>IFERROR(__xludf.DUMMYFUNCTION("""COMPUTED_VALUE"""),"State PCS")</f>
        <v>State PCS</v>
      </c>
    </row>
    <row r="3980">
      <c r="K3980" s="124"/>
      <c r="L3980" s="124"/>
      <c r="M3980" s="124"/>
      <c r="N3980" s="124"/>
      <c r="O3980" s="124"/>
      <c r="T3980" s="126">
        <f>IFERROR(__xludf.DUMMYFUNCTION("""COMPUTED_VALUE"""),46091.0)</f>
        <v>46091</v>
      </c>
      <c r="U3980" s="124" t="str">
        <f>IFERROR(__xludf.DUMMYFUNCTION("""COMPUTED_VALUE"""),"Walk-Ins")</f>
        <v>Walk-Ins</v>
      </c>
      <c r="V3980" s="124" t="str">
        <f>IFERROR(__xludf.DUMMYFUNCTION("""COMPUTED_VALUE"""),"Walkin")</f>
        <v>Walkin</v>
      </c>
      <c r="W3980" s="124" t="str">
        <f>IFERROR(__xludf.DUMMYFUNCTION("""COMPUTED_VALUE"""),"Lucknow")</f>
        <v>Lucknow</v>
      </c>
      <c r="X3980" s="124" t="str">
        <f>IFERROR(__xludf.DUMMYFUNCTION("""COMPUTED_VALUE"""),"Walkin")</f>
        <v>Walkin</v>
      </c>
      <c r="Y3980" s="124" t="str">
        <f>IFERROR(__xludf.DUMMYFUNCTION("""COMPUTED_VALUE"""),"Lucknow")</f>
        <v>Lucknow</v>
      </c>
      <c r="Z3980" s="124">
        <f>IFERROR(__xludf.DUMMYFUNCTION("""COMPUTED_VALUE"""),1.0)</f>
        <v>1</v>
      </c>
      <c r="AA3980" s="124" t="str">
        <f>IFERROR(__xludf.DUMMYFUNCTION("""COMPUTED_VALUE"""),"Future Prospects")</f>
        <v>Future Prospects</v>
      </c>
      <c r="AB3980" s="124" t="str">
        <f>IFERROR(__xludf.DUMMYFUNCTION("""COMPUTED_VALUE"""),"GS Foundation")</f>
        <v>GS Foundation</v>
      </c>
    </row>
    <row r="3981">
      <c r="K3981" s="124"/>
      <c r="L3981" s="124"/>
      <c r="M3981" s="124"/>
      <c r="N3981" s="124"/>
      <c r="O3981" s="124"/>
      <c r="T3981" s="126">
        <f>IFERROR(__xludf.DUMMYFUNCTION("""COMPUTED_VALUE"""),46111.0)</f>
        <v>46111</v>
      </c>
      <c r="U3981" s="124" t="str">
        <f>IFERROR(__xludf.DUMMYFUNCTION("""COMPUTED_VALUE"""),"Walk-Ins")</f>
        <v>Walk-Ins</v>
      </c>
      <c r="V3981" s="124" t="str">
        <f>IFERROR(__xludf.DUMMYFUNCTION("""COMPUTED_VALUE"""),"Walkin")</f>
        <v>Walkin</v>
      </c>
      <c r="W3981" s="124" t="str">
        <f>IFERROR(__xludf.DUMMYFUNCTION("""COMPUTED_VALUE"""),"Prayagraj")</f>
        <v>Prayagraj</v>
      </c>
      <c r="X3981" s="124" t="str">
        <f>IFERROR(__xludf.DUMMYFUNCTION("""COMPUTED_VALUE"""),"Walkin")</f>
        <v>Walkin</v>
      </c>
      <c r="Y3981" s="124" t="str">
        <f>IFERROR(__xludf.DUMMYFUNCTION("""COMPUTED_VALUE"""),"Prayagraj")</f>
        <v>Prayagraj</v>
      </c>
      <c r="Z3981" s="124">
        <f>IFERROR(__xludf.DUMMYFUNCTION("""COMPUTED_VALUE"""),1.0)</f>
        <v>1</v>
      </c>
      <c r="AA3981" s="124" t="str">
        <f>IFERROR(__xludf.DUMMYFUNCTION("""COMPUTED_VALUE"""),"Enrolled")</f>
        <v>Enrolled</v>
      </c>
      <c r="AB3981" s="124" t="str">
        <f>IFERROR(__xludf.DUMMYFUNCTION("""COMPUTED_VALUE"""),"Mentorship")</f>
        <v>Mentorship</v>
      </c>
    </row>
    <row r="3982">
      <c r="K3982" s="124"/>
      <c r="L3982" s="124"/>
      <c r="M3982" s="124"/>
      <c r="N3982" s="124"/>
      <c r="O3982" s="124"/>
      <c r="T3982" s="126">
        <f>IFERROR(__xludf.DUMMYFUNCTION("""COMPUTED_VALUE"""),46077.0)</f>
        <v>46077</v>
      </c>
      <c r="U3982" s="124" t="str">
        <f>IFERROR(__xludf.DUMMYFUNCTION("""COMPUTED_VALUE"""),"Walk-Ins")</f>
        <v>Walk-Ins</v>
      </c>
      <c r="V3982" s="124" t="str">
        <f>IFERROR(__xludf.DUMMYFUNCTION("""COMPUTED_VALUE"""),"Walkin")</f>
        <v>Walkin</v>
      </c>
      <c r="W3982" s="124" t="str">
        <f>IFERROR(__xludf.DUMMYFUNCTION("""COMPUTED_VALUE"""),"Patna")</f>
        <v>Patna</v>
      </c>
      <c r="X3982" s="124" t="str">
        <f>IFERROR(__xludf.DUMMYFUNCTION("""COMPUTED_VALUE"""),"Walkin")</f>
        <v>Walkin</v>
      </c>
      <c r="Y3982" s="124" t="str">
        <f>IFERROR(__xludf.DUMMYFUNCTION("""COMPUTED_VALUE"""),"Patna")</f>
        <v>Patna</v>
      </c>
      <c r="Z3982" s="124">
        <f>IFERROR(__xludf.DUMMYFUNCTION("""COMPUTED_VALUE"""),1.0)</f>
        <v>1</v>
      </c>
      <c r="AA3982" s="124" t="str">
        <f>IFERROR(__xludf.DUMMYFUNCTION("""COMPUTED_VALUE"""),"Cold")</f>
        <v>Cold</v>
      </c>
      <c r="AB3982" s="124" t="str">
        <f>IFERROR(__xludf.DUMMYFUNCTION("""COMPUTED_VALUE"""),"State PCS")</f>
        <v>State PCS</v>
      </c>
    </row>
    <row r="3983">
      <c r="K3983" s="124"/>
      <c r="L3983" s="124"/>
      <c r="M3983" s="124"/>
      <c r="N3983" s="124"/>
      <c r="O3983" s="124"/>
      <c r="T3983" s="126">
        <f>IFERROR(__xludf.DUMMYFUNCTION("""COMPUTED_VALUE"""),46051.0)</f>
        <v>46051</v>
      </c>
      <c r="U3983" s="124" t="str">
        <f>IFERROR(__xludf.DUMMYFUNCTION("""COMPUTED_VALUE"""),"Walk-Ins")</f>
        <v>Walk-Ins</v>
      </c>
      <c r="V3983" s="124" t="str">
        <f>IFERROR(__xludf.DUMMYFUNCTION("""COMPUTED_VALUE"""),"Walkin")</f>
        <v>Walkin</v>
      </c>
      <c r="W3983" s="124" t="str">
        <f>IFERROR(__xludf.DUMMYFUNCTION("""COMPUTED_VALUE"""),"Patna")</f>
        <v>Patna</v>
      </c>
      <c r="X3983" s="124" t="str">
        <f>IFERROR(__xludf.DUMMYFUNCTION("""COMPUTED_VALUE"""),"Walkin")</f>
        <v>Walkin</v>
      </c>
      <c r="Y3983" s="124" t="str">
        <f>IFERROR(__xludf.DUMMYFUNCTION("""COMPUTED_VALUE"""),"Patna")</f>
        <v>Patna</v>
      </c>
      <c r="Z3983" s="124">
        <f>IFERROR(__xludf.DUMMYFUNCTION("""COMPUTED_VALUE"""),1.0)</f>
        <v>1</v>
      </c>
      <c r="AA3983" s="124" t="str">
        <f>IFERROR(__xludf.DUMMYFUNCTION("""COMPUTED_VALUE"""),"Enrolled")</f>
        <v>Enrolled</v>
      </c>
      <c r="AB3983" s="124" t="str">
        <f>IFERROR(__xludf.DUMMYFUNCTION("""COMPUTED_VALUE"""),"GS Foundation")</f>
        <v>GS Foundation</v>
      </c>
    </row>
    <row r="3984">
      <c r="K3984" s="124"/>
      <c r="L3984" s="124"/>
      <c r="M3984" s="124"/>
      <c r="N3984" s="124"/>
      <c r="O3984" s="124"/>
      <c r="T3984" s="126">
        <f>IFERROR(__xludf.DUMMYFUNCTION("""COMPUTED_VALUE"""),46102.0)</f>
        <v>46102</v>
      </c>
      <c r="U3984" s="124" t="str">
        <f>IFERROR(__xludf.DUMMYFUNCTION("""COMPUTED_VALUE"""),"Walk-Ins")</f>
        <v>Walk-Ins</v>
      </c>
      <c r="V3984" s="124" t="str">
        <f>IFERROR(__xludf.DUMMYFUNCTION("""COMPUTED_VALUE"""),"Walkin")</f>
        <v>Walkin</v>
      </c>
      <c r="W3984" s="124" t="str">
        <f>IFERROR(__xludf.DUMMYFUNCTION("""COMPUTED_VALUE"""),"Patna")</f>
        <v>Patna</v>
      </c>
      <c r="X3984" s="124" t="str">
        <f>IFERROR(__xludf.DUMMYFUNCTION("""COMPUTED_VALUE"""),"Walkin")</f>
        <v>Walkin</v>
      </c>
      <c r="Y3984" s="124" t="str">
        <f>IFERROR(__xludf.DUMMYFUNCTION("""COMPUTED_VALUE"""),"Patna")</f>
        <v>Patna</v>
      </c>
      <c r="Z3984" s="124">
        <f>IFERROR(__xludf.DUMMYFUNCTION("""COMPUTED_VALUE"""),1.0)</f>
        <v>1</v>
      </c>
      <c r="AA3984" s="124" t="str">
        <f>IFERROR(__xludf.DUMMYFUNCTION("""COMPUTED_VALUE"""),"Cold")</f>
        <v>Cold</v>
      </c>
      <c r="AB3984" s="124" t="str">
        <f>IFERROR(__xludf.DUMMYFUNCTION("""COMPUTED_VALUE"""),"State PCS")</f>
        <v>State PCS</v>
      </c>
    </row>
    <row r="3985">
      <c r="K3985" s="124"/>
      <c r="L3985" s="124"/>
      <c r="M3985" s="124"/>
      <c r="N3985" s="124"/>
      <c r="O3985" s="124"/>
      <c r="T3985" s="126">
        <f>IFERROR(__xludf.DUMMYFUNCTION("""COMPUTED_VALUE"""),46100.0)</f>
        <v>46100</v>
      </c>
      <c r="U3985" s="124" t="str">
        <f>IFERROR(__xludf.DUMMYFUNCTION("""COMPUTED_VALUE"""),"Walk-Ins")</f>
        <v>Walk-Ins</v>
      </c>
      <c r="V3985" s="124" t="str">
        <f>IFERROR(__xludf.DUMMYFUNCTION("""COMPUTED_VALUE"""),"Walk-In")</f>
        <v>Walk-In</v>
      </c>
      <c r="W3985" s="124" t="str">
        <f>IFERROR(__xludf.DUMMYFUNCTION("""COMPUTED_VALUE"""),"Prayagraj")</f>
        <v>Prayagraj</v>
      </c>
      <c r="X3985" s="124" t="str">
        <f>IFERROR(__xludf.DUMMYFUNCTION("""COMPUTED_VALUE"""),"Others")</f>
        <v>Others</v>
      </c>
      <c r="Y3985" s="124" t="str">
        <f>IFERROR(__xludf.DUMMYFUNCTION("""COMPUTED_VALUE"""),"Prayagraj")</f>
        <v>Prayagraj</v>
      </c>
      <c r="Z3985" s="124">
        <f>IFERROR(__xludf.DUMMYFUNCTION("""COMPUTED_VALUE"""),1.0)</f>
        <v>1</v>
      </c>
      <c r="AA3985" s="124" t="str">
        <f>IFERROR(__xludf.DUMMYFUNCTION("""COMPUTED_VALUE"""),"Enrolled")</f>
        <v>Enrolled</v>
      </c>
      <c r="AB3985" s="124" t="str">
        <f>IFERROR(__xludf.DUMMYFUNCTION("""COMPUTED_VALUE"""),"GS Foundation")</f>
        <v>GS Foundation</v>
      </c>
    </row>
    <row r="3986">
      <c r="K3986" s="124"/>
      <c r="L3986" s="124"/>
      <c r="M3986" s="124"/>
      <c r="N3986" s="124"/>
      <c r="O3986" s="124"/>
      <c r="T3986" s="129">
        <f>IFERROR(__xludf.DUMMYFUNCTION("""COMPUTED_VALUE"""),46089.0)</f>
        <v>46089</v>
      </c>
      <c r="U3986" s="124" t="str">
        <f>IFERROR(__xludf.DUMMYFUNCTION("""COMPUTED_VALUE"""),"Walk-Ins")</f>
        <v>Walk-Ins</v>
      </c>
      <c r="V3986" s="124" t="str">
        <f>IFERROR(__xludf.DUMMYFUNCTION("""COMPUTED_VALUE"""),"Walkin")</f>
        <v>Walkin</v>
      </c>
      <c r="W3986" s="124" t="str">
        <f>IFERROR(__xludf.DUMMYFUNCTION("""COMPUTED_VALUE"""),"Patna")</f>
        <v>Patna</v>
      </c>
      <c r="X3986" s="124" t="str">
        <f>IFERROR(__xludf.DUMMYFUNCTION("""COMPUTED_VALUE"""),"Walkin")</f>
        <v>Walkin</v>
      </c>
      <c r="Y3986" s="124" t="str">
        <f>IFERROR(__xludf.DUMMYFUNCTION("""COMPUTED_VALUE"""),"Patna")</f>
        <v>Patna</v>
      </c>
      <c r="Z3986" s="124">
        <f>IFERROR(__xludf.DUMMYFUNCTION("""COMPUTED_VALUE"""),1.0)</f>
        <v>1</v>
      </c>
      <c r="AA3986" s="124" t="str">
        <f>IFERROR(__xludf.DUMMYFUNCTION("""COMPUTED_VALUE"""),"Cold")</f>
        <v>Cold</v>
      </c>
      <c r="AB3986" s="124" t="str">
        <f>IFERROR(__xludf.DUMMYFUNCTION("""COMPUTED_VALUE"""),"GS Foundation")</f>
        <v>GS Foundation</v>
      </c>
    </row>
    <row r="3987">
      <c r="K3987" s="124"/>
      <c r="L3987" s="124"/>
      <c r="M3987" s="124"/>
      <c r="N3987" s="124"/>
      <c r="O3987" s="124"/>
      <c r="T3987" s="129">
        <f>IFERROR(__xludf.DUMMYFUNCTION("""COMPUTED_VALUE"""),46055.0)</f>
        <v>46055</v>
      </c>
      <c r="U3987" s="124" t="str">
        <f>IFERROR(__xludf.DUMMYFUNCTION("""COMPUTED_VALUE"""),"Walk-Ins")</f>
        <v>Walk-Ins</v>
      </c>
      <c r="V3987" s="124" t="str">
        <f>IFERROR(__xludf.DUMMYFUNCTION("""COMPUTED_VALUE"""),"Walkin")</f>
        <v>Walkin</v>
      </c>
      <c r="W3987" s="124" t="str">
        <f>IFERROR(__xludf.DUMMYFUNCTION("""COMPUTED_VALUE"""),"Indore")</f>
        <v>Indore</v>
      </c>
      <c r="X3987" s="124" t="str">
        <f>IFERROR(__xludf.DUMMYFUNCTION("""COMPUTED_VALUE"""),"Walkin")</f>
        <v>Walkin</v>
      </c>
      <c r="Y3987" s="124" t="str">
        <f>IFERROR(__xludf.DUMMYFUNCTION("""COMPUTED_VALUE"""),"Indore")</f>
        <v>Indore</v>
      </c>
      <c r="Z3987" s="124">
        <f>IFERROR(__xludf.DUMMYFUNCTION("""COMPUTED_VALUE"""),1.0)</f>
        <v>1</v>
      </c>
      <c r="AA3987" s="124" t="str">
        <f>IFERROR(__xludf.DUMMYFUNCTION("""COMPUTED_VALUE"""),"Cold")</f>
        <v>Cold</v>
      </c>
      <c r="AB3987" s="124" t="str">
        <f>IFERROR(__xludf.DUMMYFUNCTION("""COMPUTED_VALUE"""),"State PCS")</f>
        <v>State PCS</v>
      </c>
    </row>
    <row r="3988">
      <c r="K3988" s="124"/>
      <c r="L3988" s="124"/>
      <c r="M3988" s="124"/>
      <c r="N3988" s="124"/>
      <c r="O3988" s="124"/>
      <c r="T3988" s="126">
        <f>IFERROR(__xludf.DUMMYFUNCTION("""COMPUTED_VALUE"""),46049.0)</f>
        <v>46049</v>
      </c>
      <c r="U3988" s="124" t="str">
        <f>IFERROR(__xludf.DUMMYFUNCTION("""COMPUTED_VALUE"""),"Walk-Ins")</f>
        <v>Walk-Ins</v>
      </c>
      <c r="V3988" s="124" t="str">
        <f>IFERROR(__xludf.DUMMYFUNCTION("""COMPUTED_VALUE"""),"Walkin")</f>
        <v>Walkin</v>
      </c>
      <c r="W3988" s="124" t="str">
        <f>IFERROR(__xludf.DUMMYFUNCTION("""COMPUTED_VALUE"""),"Lucknow")</f>
        <v>Lucknow</v>
      </c>
      <c r="X3988" s="124" t="str">
        <f>IFERROR(__xludf.DUMMYFUNCTION("""COMPUTED_VALUE"""),"Walkin")</f>
        <v>Walkin</v>
      </c>
      <c r="Y3988" s="124" t="str">
        <f>IFERROR(__xludf.DUMMYFUNCTION("""COMPUTED_VALUE"""),"Lucknow")</f>
        <v>Lucknow</v>
      </c>
      <c r="Z3988" s="124">
        <f>IFERROR(__xludf.DUMMYFUNCTION("""COMPUTED_VALUE"""),2.0)</f>
        <v>2</v>
      </c>
      <c r="AA3988" s="124" t="str">
        <f>IFERROR(__xludf.DUMMYFUNCTION("""COMPUTED_VALUE"""),"Cold")</f>
        <v>Cold</v>
      </c>
      <c r="AB3988" s="124" t="str">
        <f>IFERROR(__xludf.DUMMYFUNCTION("""COMPUTED_VALUE"""),"GS Foundation")</f>
        <v>GS Foundation</v>
      </c>
    </row>
    <row r="3989">
      <c r="K3989" s="124"/>
      <c r="L3989" s="124"/>
      <c r="M3989" s="124"/>
      <c r="N3989" s="124"/>
      <c r="O3989" s="124"/>
      <c r="T3989" s="126">
        <f>IFERROR(__xludf.DUMMYFUNCTION("""COMPUTED_VALUE"""),46070.0)</f>
        <v>46070</v>
      </c>
      <c r="U3989" s="124" t="str">
        <f>IFERROR(__xludf.DUMMYFUNCTION("""COMPUTED_VALUE"""),"Walk-Ins")</f>
        <v>Walk-Ins</v>
      </c>
      <c r="V3989" s="124" t="str">
        <f>IFERROR(__xludf.DUMMYFUNCTION("""COMPUTED_VALUE"""),"Walkin")</f>
        <v>Walkin</v>
      </c>
      <c r="W3989" s="124" t="str">
        <f>IFERROR(__xludf.DUMMYFUNCTION("""COMPUTED_VALUE"""),"Prayagraj")</f>
        <v>Prayagraj</v>
      </c>
      <c r="X3989" s="124" t="str">
        <f>IFERROR(__xludf.DUMMYFUNCTION("""COMPUTED_VALUE"""),"Walkin")</f>
        <v>Walkin</v>
      </c>
      <c r="Y3989" s="124" t="str">
        <f>IFERROR(__xludf.DUMMYFUNCTION("""COMPUTED_VALUE"""),"Prayagraj")</f>
        <v>Prayagraj</v>
      </c>
      <c r="Z3989" s="124">
        <f>IFERROR(__xludf.DUMMYFUNCTION("""COMPUTED_VALUE"""),1.0)</f>
        <v>1</v>
      </c>
      <c r="AA3989" s="124" t="str">
        <f>IFERROR(__xludf.DUMMYFUNCTION("""COMPUTED_VALUE"""),"Cold")</f>
        <v>Cold</v>
      </c>
      <c r="AB3989" s="124" t="str">
        <f>IFERROR(__xludf.DUMMYFUNCTION("""COMPUTED_VALUE"""),"State PCS")</f>
        <v>State PCS</v>
      </c>
    </row>
    <row r="3990">
      <c r="K3990" s="124"/>
      <c r="L3990" s="124"/>
      <c r="M3990" s="124"/>
      <c r="N3990" s="124"/>
      <c r="O3990" s="124"/>
      <c r="T3990" s="126">
        <f>IFERROR(__xludf.DUMMYFUNCTION("""COMPUTED_VALUE"""),46103.0)</f>
        <v>46103</v>
      </c>
      <c r="U3990" s="124" t="str">
        <f>IFERROR(__xludf.DUMMYFUNCTION("""COMPUTED_VALUE"""),"Walk-Ins")</f>
        <v>Walk-Ins</v>
      </c>
      <c r="V3990" s="124" t="str">
        <f>IFERROR(__xludf.DUMMYFUNCTION("""COMPUTED_VALUE"""),"Walkin")</f>
        <v>Walkin</v>
      </c>
      <c r="W3990" s="124" t="str">
        <f>IFERROR(__xludf.DUMMYFUNCTION("""COMPUTED_VALUE"""),"Indore")</f>
        <v>Indore</v>
      </c>
      <c r="X3990" s="124" t="str">
        <f>IFERROR(__xludf.DUMMYFUNCTION("""COMPUTED_VALUE"""),"Walkin")</f>
        <v>Walkin</v>
      </c>
      <c r="Y3990" s="124" t="str">
        <f>IFERROR(__xludf.DUMMYFUNCTION("""COMPUTED_VALUE"""),"Indore")</f>
        <v>Indore</v>
      </c>
      <c r="Z3990" s="124">
        <f>IFERROR(__xludf.DUMMYFUNCTION("""COMPUTED_VALUE"""),1.0)</f>
        <v>1</v>
      </c>
      <c r="AA3990" s="124" t="str">
        <f>IFERROR(__xludf.DUMMYFUNCTION("""COMPUTED_VALUE"""),"Enrolled")</f>
        <v>Enrolled</v>
      </c>
      <c r="AB3990" s="124" t="str">
        <f>IFERROR(__xludf.DUMMYFUNCTION("""COMPUTED_VALUE"""),"GS Foundation")</f>
        <v>GS Foundation</v>
      </c>
    </row>
    <row r="3991">
      <c r="K3991" s="124"/>
      <c r="L3991" s="124"/>
      <c r="M3991" s="124"/>
      <c r="N3991" s="124"/>
      <c r="O3991" s="124"/>
      <c r="T3991" s="126">
        <f>IFERROR(__xludf.DUMMYFUNCTION("""COMPUTED_VALUE"""),46063.0)</f>
        <v>46063</v>
      </c>
      <c r="U3991" s="124" t="str">
        <f>IFERROR(__xludf.DUMMYFUNCTION("""COMPUTED_VALUE"""),"Walk-Ins")</f>
        <v>Walk-Ins</v>
      </c>
      <c r="V3991" s="124" t="str">
        <f>IFERROR(__xludf.DUMMYFUNCTION("""COMPUTED_VALUE"""),"Walkin")</f>
        <v>Walkin</v>
      </c>
      <c r="W3991" s="124" t="str">
        <f>IFERROR(__xludf.DUMMYFUNCTION("""COMPUTED_VALUE"""),"Lucknow")</f>
        <v>Lucknow</v>
      </c>
      <c r="X3991" s="124" t="str">
        <f>IFERROR(__xludf.DUMMYFUNCTION("""COMPUTED_VALUE"""),"Walkin")</f>
        <v>Walkin</v>
      </c>
      <c r="Y3991" s="124" t="str">
        <f>IFERROR(__xludf.DUMMYFUNCTION("""COMPUTED_VALUE"""),"Lucknow")</f>
        <v>Lucknow</v>
      </c>
      <c r="Z3991" s="124">
        <f>IFERROR(__xludf.DUMMYFUNCTION("""COMPUTED_VALUE"""),1.0)</f>
        <v>1</v>
      </c>
      <c r="AA3991" s="124" t="str">
        <f>IFERROR(__xludf.DUMMYFUNCTION("""COMPUTED_VALUE"""),"Cold")</f>
        <v>Cold</v>
      </c>
      <c r="AB3991" s="124" t="str">
        <f>IFERROR(__xludf.DUMMYFUNCTION("""COMPUTED_VALUE"""),"IGP UPPSC")</f>
        <v>IGP UPPSC</v>
      </c>
    </row>
    <row r="3992">
      <c r="K3992" s="124"/>
      <c r="L3992" s="124"/>
      <c r="M3992" s="124"/>
      <c r="N3992" s="124"/>
      <c r="O3992" s="124"/>
      <c r="T3992" s="129">
        <f>IFERROR(__xludf.DUMMYFUNCTION("""COMPUTED_VALUE"""),46088.0)</f>
        <v>46088</v>
      </c>
      <c r="U3992" s="124" t="str">
        <f>IFERROR(__xludf.DUMMYFUNCTION("""COMPUTED_VALUE"""),"Walk-Ins")</f>
        <v>Walk-Ins</v>
      </c>
      <c r="V3992" s="124" t="str">
        <f>IFERROR(__xludf.DUMMYFUNCTION("""COMPUTED_VALUE"""),"Walkin")</f>
        <v>Walkin</v>
      </c>
      <c r="W3992" s="124" t="str">
        <f>IFERROR(__xludf.DUMMYFUNCTION("""COMPUTED_VALUE"""),"Patna")</f>
        <v>Patna</v>
      </c>
      <c r="X3992" s="124" t="str">
        <f>IFERROR(__xludf.DUMMYFUNCTION("""COMPUTED_VALUE"""),"Walkin")</f>
        <v>Walkin</v>
      </c>
      <c r="Y3992" s="124" t="str">
        <f>IFERROR(__xludf.DUMMYFUNCTION("""COMPUTED_VALUE"""),"Patna")</f>
        <v>Patna</v>
      </c>
      <c r="Z3992" s="124">
        <f>IFERROR(__xludf.DUMMYFUNCTION("""COMPUTED_VALUE"""),1.0)</f>
        <v>1</v>
      </c>
      <c r="AA3992" s="124" t="str">
        <f>IFERROR(__xludf.DUMMYFUNCTION("""COMPUTED_VALUE"""),"Not Interested")</f>
        <v>Not Interested</v>
      </c>
      <c r="AB3992" s="124" t="str">
        <f>IFERROR(__xludf.DUMMYFUNCTION("""COMPUTED_VALUE"""),"State PCS")</f>
        <v>State PCS</v>
      </c>
    </row>
    <row r="3993">
      <c r="K3993" s="124"/>
      <c r="L3993" s="124"/>
      <c r="M3993" s="124"/>
      <c r="N3993" s="124"/>
      <c r="O3993" s="124"/>
      <c r="T3993" s="126">
        <f>IFERROR(__xludf.DUMMYFUNCTION("""COMPUTED_VALUE"""),46080.0)</f>
        <v>46080</v>
      </c>
      <c r="U3993" s="124" t="str">
        <f>IFERROR(__xludf.DUMMYFUNCTION("""COMPUTED_VALUE"""),"Event")</f>
        <v>Event</v>
      </c>
      <c r="V3993" s="124" t="str">
        <f>IFERROR(__xludf.DUMMYFUNCTION("""COMPUTED_VALUE"""),"events")</f>
        <v>events</v>
      </c>
      <c r="W3993" s="124" t="str">
        <f>IFERROR(__xludf.DUMMYFUNCTION("""COMPUTED_VALUE"""),"prayagraj")</f>
        <v>prayagraj</v>
      </c>
      <c r="X3993" s="124" t="str">
        <f>IFERROR(__xludf.DUMMYFUNCTION("""COMPUTED_VALUE"""),"bhavanmehtapgcollege")</f>
        <v>bhavanmehtapgcollege</v>
      </c>
      <c r="Y3993" s="124" t="str">
        <f>IFERROR(__xludf.DUMMYFUNCTION("""COMPUTED_VALUE"""),"Prayagraj")</f>
        <v>Prayagraj</v>
      </c>
      <c r="Z3993" s="124">
        <f>IFERROR(__xludf.DUMMYFUNCTION("""COMPUTED_VALUE"""),1.0)</f>
        <v>1</v>
      </c>
      <c r="AA3993" s="124" t="str">
        <f>IFERROR(__xludf.DUMMYFUNCTION("""COMPUTED_VALUE"""),"Engaged")</f>
        <v>Engaged</v>
      </c>
      <c r="AB3993" s="124"/>
    </row>
    <row r="3994">
      <c r="K3994" s="124"/>
      <c r="L3994" s="124"/>
      <c r="M3994" s="124"/>
      <c r="N3994" s="124"/>
      <c r="O3994" s="124"/>
      <c r="T3994" s="126">
        <f>IFERROR(__xludf.DUMMYFUNCTION("""COMPUTED_VALUE"""),46080.0)</f>
        <v>46080</v>
      </c>
      <c r="U3994" s="124" t="str">
        <f>IFERROR(__xludf.DUMMYFUNCTION("""COMPUTED_VALUE"""),"Event")</f>
        <v>Event</v>
      </c>
      <c r="V3994" s="124" t="str">
        <f>IFERROR(__xludf.DUMMYFUNCTION("""COMPUTED_VALUE"""),"events")</f>
        <v>events</v>
      </c>
      <c r="W3994" s="124" t="str">
        <f>IFERROR(__xludf.DUMMYFUNCTION("""COMPUTED_VALUE"""),"prayagraj")</f>
        <v>prayagraj</v>
      </c>
      <c r="X3994" s="124" t="str">
        <f>IFERROR(__xludf.DUMMYFUNCTION("""COMPUTED_VALUE"""),"bhavanmehtapgcollege")</f>
        <v>bhavanmehtapgcollege</v>
      </c>
      <c r="Y3994" s="124"/>
      <c r="Z3994" s="124">
        <f>IFERROR(__xludf.DUMMYFUNCTION("""COMPUTED_VALUE"""),1.0)</f>
        <v>1</v>
      </c>
      <c r="AA3994" s="124" t="str">
        <f>IFERROR(__xludf.DUMMYFUNCTION("""COMPUTED_VALUE"""),"Future Prospects")</f>
        <v>Future Prospects</v>
      </c>
      <c r="AB3994" s="124"/>
    </row>
    <row r="3995">
      <c r="K3995" s="124"/>
      <c r="L3995" s="124"/>
      <c r="M3995" s="124"/>
      <c r="N3995" s="124"/>
      <c r="O3995" s="124"/>
      <c r="T3995" s="126">
        <f>IFERROR(__xludf.DUMMYFUNCTION("""COMPUTED_VALUE"""),46109.0)</f>
        <v>46109</v>
      </c>
      <c r="U3995" s="124" t="str">
        <f>IFERROR(__xludf.DUMMYFUNCTION("""COMPUTED_VALUE"""),"Paid Ads")</f>
        <v>Paid Ads</v>
      </c>
      <c r="V3995" s="124" t="str">
        <f>IFERROR(__xludf.DUMMYFUNCTION("""COMPUTED_VALUE"""),"Facebook")</f>
        <v>Facebook</v>
      </c>
      <c r="W3995" s="124" t="str">
        <f>IFERROR(__xludf.DUMMYFUNCTION("""COMPUTED_VALUE"""),"LeadAd")</f>
        <v>LeadAd</v>
      </c>
      <c r="X3995" s="124" t="str">
        <f>IFERROR(__xludf.DUMMYFUNCTION("""COMPUTED_VALUE"""),"Upsc_Hindi_Leads_FB_Creatives")</f>
        <v>Upsc_Hindi_Leads_FB_Creatives</v>
      </c>
      <c r="Y3995" s="124"/>
      <c r="Z3995" s="124">
        <f>IFERROR(__xludf.DUMMYFUNCTION("""COMPUTED_VALUE"""),1.0)</f>
        <v>1</v>
      </c>
      <c r="AA3995" s="124"/>
      <c r="AB3995" s="124"/>
    </row>
    <row r="3996">
      <c r="K3996" s="124"/>
      <c r="L3996" s="124"/>
      <c r="M3996" s="124"/>
      <c r="N3996" s="124"/>
      <c r="O3996" s="124"/>
      <c r="T3996" s="126">
        <f>IFERROR(__xludf.DUMMYFUNCTION("""COMPUTED_VALUE"""),46051.0)</f>
        <v>46051</v>
      </c>
      <c r="U3996" s="124" t="str">
        <f>IFERROR(__xludf.DUMMYFUNCTION("""COMPUTED_VALUE"""),"Event")</f>
        <v>Event</v>
      </c>
      <c r="V3996" s="124" t="str">
        <f>IFERROR(__xludf.DUMMYFUNCTION("""COMPUTED_VALUE"""),"Events")</f>
        <v>Events</v>
      </c>
      <c r="W3996" s="124" t="str">
        <f>IFERROR(__xludf.DUMMYFUNCTION("""COMPUTED_VALUE"""),"Delhi")</f>
        <v>Delhi</v>
      </c>
      <c r="X3996" s="124" t="str">
        <f>IFERROR(__xludf.DUMMYFUNCTION("""COMPUTED_VALUE"""),"DRCSEMINAR(CTC")</f>
        <v>DRCSEMINAR(CTC</v>
      </c>
      <c r="Y3996" s="124" t="str">
        <f>IFERROR(__xludf.DUMMYFUNCTION("""COMPUTED_VALUE"""),"Delhi")</f>
        <v>Delhi</v>
      </c>
      <c r="Z3996" s="124">
        <f>IFERROR(__xludf.DUMMYFUNCTION("""COMPUTED_VALUE"""),1.0)</f>
        <v>1</v>
      </c>
      <c r="AA3996" s="124" t="str">
        <f>IFERROR(__xludf.DUMMYFUNCTION("""COMPUTED_VALUE"""),"Warm")</f>
        <v>Warm</v>
      </c>
      <c r="AB3996" s="124"/>
    </row>
    <row r="3997">
      <c r="K3997" s="124"/>
      <c r="L3997" s="124"/>
      <c r="M3997" s="124"/>
      <c r="N3997" s="124"/>
      <c r="O3997" s="124"/>
      <c r="T3997" s="126">
        <f>IFERROR(__xludf.DUMMYFUNCTION("""COMPUTED_VALUE"""),46064.0)</f>
        <v>46064</v>
      </c>
      <c r="U3997" s="124" t="str">
        <f>IFERROR(__xludf.DUMMYFUNCTION("""COMPUTED_VALUE"""),"Walk-Ins")</f>
        <v>Walk-Ins</v>
      </c>
      <c r="V3997" s="124" t="str">
        <f>IFERROR(__xludf.DUMMYFUNCTION("""COMPUTED_VALUE"""),"Walk-In")</f>
        <v>Walk-In</v>
      </c>
      <c r="W3997" s="124" t="str">
        <f>IFERROR(__xludf.DUMMYFUNCTION("""COMPUTED_VALUE"""),"Prayagraj")</f>
        <v>Prayagraj</v>
      </c>
      <c r="X3997" s="124" t="str">
        <f>IFERROR(__xludf.DUMMYFUNCTION("""COMPUTED_VALUE"""),"Prayagraj")</f>
        <v>Prayagraj</v>
      </c>
      <c r="Y3997" s="124" t="str">
        <f>IFERROR(__xludf.DUMMYFUNCTION("""COMPUTED_VALUE"""),"Prayagraj")</f>
        <v>Prayagraj</v>
      </c>
      <c r="Z3997" s="124">
        <f>IFERROR(__xludf.DUMMYFUNCTION("""COMPUTED_VALUE"""),1.0)</f>
        <v>1</v>
      </c>
      <c r="AA3997" s="124" t="str">
        <f>IFERROR(__xludf.DUMMYFUNCTION("""COMPUTED_VALUE"""),"Cold")</f>
        <v>Cold</v>
      </c>
      <c r="AB3997" s="124" t="str">
        <f>IFERROR(__xludf.DUMMYFUNCTION("""COMPUTED_VALUE"""),"Mentorship")</f>
        <v>Mentorship</v>
      </c>
    </row>
    <row r="3998">
      <c r="K3998" s="124"/>
      <c r="L3998" s="124"/>
      <c r="M3998" s="124"/>
      <c r="N3998" s="124"/>
      <c r="O3998" s="124"/>
      <c r="T3998" s="126">
        <f>IFERROR(__xludf.DUMMYFUNCTION("""COMPUTED_VALUE"""),46097.0)</f>
        <v>46097</v>
      </c>
      <c r="U3998" s="124" t="str">
        <f>IFERROR(__xludf.DUMMYFUNCTION("""COMPUTED_VALUE"""),"External Leads")</f>
        <v>External Leads</v>
      </c>
      <c r="V3998" s="124" t="str">
        <f>IFERROR(__xludf.DUMMYFUNCTION("""COMPUTED_VALUE"""),"external leads")</f>
        <v>external leads</v>
      </c>
      <c r="W3998" s="124" t="str">
        <f>IFERROR(__xludf.DUMMYFUNCTION("""COMPUTED_VALUE"""),"indore")</f>
        <v>indore</v>
      </c>
      <c r="X3998" s="124" t="str">
        <f>IFERROR(__xludf.DUMMYFUNCTION("""COMPUTED_VALUE"""),"btl")</f>
        <v>btl</v>
      </c>
      <c r="Y3998" s="124" t="str">
        <f>IFERROR(__xludf.DUMMYFUNCTION("""COMPUTED_VALUE"""),"Indore")</f>
        <v>Indore</v>
      </c>
      <c r="Z3998" s="124">
        <f>IFERROR(__xludf.DUMMYFUNCTION("""COMPUTED_VALUE"""),1.0)</f>
        <v>1</v>
      </c>
      <c r="AA3998" s="124" t="str">
        <f>IFERROR(__xludf.DUMMYFUNCTION("""COMPUTED_VALUE"""),"Warm")</f>
        <v>Warm</v>
      </c>
      <c r="AB3998" s="124" t="str">
        <f>IFERROR(__xludf.DUMMYFUNCTION("""COMPUTED_VALUE"""),"Mentorship")</f>
        <v>Mentorship</v>
      </c>
    </row>
    <row r="3999">
      <c r="K3999" s="124"/>
      <c r="L3999" s="124"/>
      <c r="M3999" s="124"/>
      <c r="N3999" s="124"/>
      <c r="O3999" s="124"/>
      <c r="T3999" s="126">
        <f>IFERROR(__xludf.DUMMYFUNCTION("""COMPUTED_VALUE"""),46044.0)</f>
        <v>46044</v>
      </c>
      <c r="U3999" s="124" t="str">
        <f>IFERROR(__xludf.DUMMYFUNCTION("""COMPUTED_VALUE"""),"Walk-Ins")</f>
        <v>Walk-Ins</v>
      </c>
      <c r="V3999" s="124" t="str">
        <f>IFERROR(__xludf.DUMMYFUNCTION("""COMPUTED_VALUE"""),"Walk-In")</f>
        <v>Walk-In</v>
      </c>
      <c r="W3999" s="124" t="str">
        <f>IFERROR(__xludf.DUMMYFUNCTION("""COMPUTED_VALUE"""),"Patna")</f>
        <v>Patna</v>
      </c>
      <c r="X3999" s="124" t="str">
        <f>IFERROR(__xludf.DUMMYFUNCTION("""COMPUTED_VALUE"""),"Shane")</f>
        <v>Shane</v>
      </c>
      <c r="Y3999" s="124"/>
      <c r="Z3999" s="124">
        <f>IFERROR(__xludf.DUMMYFUNCTION("""COMPUTED_VALUE"""),1.0)</f>
        <v>1</v>
      </c>
      <c r="AA3999" s="124" t="str">
        <f>IFERROR(__xludf.DUMMYFUNCTION("""COMPUTED_VALUE"""),"Cold")</f>
        <v>Cold</v>
      </c>
      <c r="AB3999" s="124" t="str">
        <f>IFERROR(__xludf.DUMMYFUNCTION("""COMPUTED_VALUE"""),"State PCS")</f>
        <v>State PCS</v>
      </c>
    </row>
    <row r="4000">
      <c r="K4000" s="124"/>
      <c r="L4000" s="124"/>
      <c r="M4000" s="124"/>
      <c r="N4000" s="124"/>
      <c r="O4000" s="124"/>
      <c r="T4000" s="126">
        <f>IFERROR(__xludf.DUMMYFUNCTION("""COMPUTED_VALUE"""),46112.0)</f>
        <v>46112</v>
      </c>
      <c r="U4000" s="124" t="str">
        <f>IFERROR(__xludf.DUMMYFUNCTION("""COMPUTED_VALUE"""),"Other Marketing Channels")</f>
        <v>Other Marketing Channels</v>
      </c>
      <c r="V4000" s="124" t="str">
        <f>IFERROR(__xludf.DUMMYFUNCTION("""COMPUTED_VALUE"""),"Online Leads")</f>
        <v>Online Leads</v>
      </c>
      <c r="W4000" s="124" t="str">
        <f>IFERROR(__xludf.DUMMYFUNCTION("""COMPUTED_VALUE"""),"Existing Students")</f>
        <v>Existing Students</v>
      </c>
      <c r="X4000" s="124" t="str">
        <f>IFERROR(__xludf.DUMMYFUNCTION("""COMPUTED_VALUE"""),"Prayagraj")</f>
        <v>Prayagraj</v>
      </c>
      <c r="Y4000" s="124"/>
      <c r="Z4000" s="124">
        <f>IFERROR(__xludf.DUMMYFUNCTION("""COMPUTED_VALUE"""),1.0)</f>
        <v>1</v>
      </c>
      <c r="AA4000" s="124" t="str">
        <f>IFERROR(__xludf.DUMMYFUNCTION("""COMPUTED_VALUE"""),"Enrolled")</f>
        <v>Enrolled</v>
      </c>
      <c r="AB4000" s="124" t="str">
        <f>IFERROR(__xludf.DUMMYFUNCTION("""COMPUTED_VALUE"""),"Mentorship")</f>
        <v>Mentorship</v>
      </c>
    </row>
    <row r="4001">
      <c r="K4001" s="124"/>
      <c r="L4001" s="124"/>
      <c r="M4001" s="124"/>
      <c r="N4001" s="124"/>
      <c r="O4001" s="124"/>
      <c r="T4001" s="126">
        <f>IFERROR(__xludf.DUMMYFUNCTION("""COMPUTED_VALUE"""),46074.0)</f>
        <v>46074</v>
      </c>
      <c r="U4001" s="124" t="str">
        <f>IFERROR(__xludf.DUMMYFUNCTION("""COMPUTED_VALUE"""),"Walk-Ins")</f>
        <v>Walk-Ins</v>
      </c>
      <c r="V4001" s="124" t="str">
        <f>IFERROR(__xludf.DUMMYFUNCTION("""COMPUTED_VALUE"""),"Walk-In")</f>
        <v>Walk-In</v>
      </c>
      <c r="W4001" s="124" t="str">
        <f>IFERROR(__xludf.DUMMYFUNCTION("""COMPUTED_VALUE"""),"Prayagraj")</f>
        <v>Prayagraj</v>
      </c>
      <c r="X4001" s="124" t="str">
        <f>IFERROR(__xludf.DUMMYFUNCTION("""COMPUTED_VALUE"""),"Prayagraj")</f>
        <v>Prayagraj</v>
      </c>
      <c r="Y4001" s="124"/>
      <c r="Z4001" s="124">
        <f>IFERROR(__xludf.DUMMYFUNCTION("""COMPUTED_VALUE"""),1.0)</f>
        <v>1</v>
      </c>
      <c r="AA4001" s="124" t="str">
        <f>IFERROR(__xludf.DUMMYFUNCTION("""COMPUTED_VALUE"""),"Warm")</f>
        <v>Warm</v>
      </c>
      <c r="AB4001" s="124" t="str">
        <f>IFERROR(__xludf.DUMMYFUNCTION("""COMPUTED_VALUE"""),"GS Foundation")</f>
        <v>GS Foundation</v>
      </c>
    </row>
    <row r="4002">
      <c r="K4002" s="124"/>
      <c r="L4002" s="124"/>
      <c r="M4002" s="124"/>
      <c r="N4002" s="124"/>
      <c r="O4002" s="124"/>
      <c r="T4002" s="126">
        <f>IFERROR(__xludf.DUMMYFUNCTION("""COMPUTED_VALUE"""),46066.0)</f>
        <v>46066</v>
      </c>
      <c r="U4002" s="124" t="str">
        <f>IFERROR(__xludf.DUMMYFUNCTION("""COMPUTED_VALUE"""),"Walk-Ins")</f>
        <v>Walk-Ins</v>
      </c>
      <c r="V4002" s="124" t="str">
        <f>IFERROR(__xludf.DUMMYFUNCTION("""COMPUTED_VALUE"""),"Walk-In")</f>
        <v>Walk-In</v>
      </c>
      <c r="W4002" s="124" t="str">
        <f>IFERROR(__xludf.DUMMYFUNCTION("""COMPUTED_VALUE"""),"Prayagraj")</f>
        <v>Prayagraj</v>
      </c>
      <c r="X4002" s="124" t="str">
        <f>IFERROR(__xludf.DUMMYFUNCTION("""COMPUTED_VALUE"""),"Prayagraj")</f>
        <v>Prayagraj</v>
      </c>
      <c r="Y4002" s="124"/>
      <c r="Z4002" s="124">
        <f>IFERROR(__xludf.DUMMYFUNCTION("""COMPUTED_VALUE"""),1.0)</f>
        <v>1</v>
      </c>
      <c r="AA4002" s="124" t="str">
        <f>IFERROR(__xludf.DUMMYFUNCTION("""COMPUTED_VALUE"""),"Cold")</f>
        <v>Cold</v>
      </c>
      <c r="AB4002" s="124" t="str">
        <f>IFERROR(__xludf.DUMMYFUNCTION("""COMPUTED_VALUE"""),"GS Foundation")</f>
        <v>GS Foundation</v>
      </c>
    </row>
    <row r="4003">
      <c r="K4003" s="124"/>
      <c r="L4003" s="124"/>
      <c r="M4003" s="124"/>
      <c r="N4003" s="124"/>
      <c r="O4003" s="124"/>
      <c r="T4003" s="129">
        <f>IFERROR(__xludf.DUMMYFUNCTION("""COMPUTED_VALUE"""),46058.0)</f>
        <v>46058</v>
      </c>
      <c r="U4003" s="124" t="str">
        <f>IFERROR(__xludf.DUMMYFUNCTION("""COMPUTED_VALUE"""),"External Leads")</f>
        <v>External Leads</v>
      </c>
      <c r="V4003" s="124" t="str">
        <f>IFERROR(__xludf.DUMMYFUNCTION("""COMPUTED_VALUE"""),"external leads")</f>
        <v>external leads</v>
      </c>
      <c r="W4003" s="124" t="str">
        <f>IFERROR(__xludf.DUMMYFUNCTION("""COMPUTED_VALUE"""),"indore")</f>
        <v>indore</v>
      </c>
      <c r="X4003" s="124" t="str">
        <f>IFERROR(__xludf.DUMMYFUNCTION("""COMPUTED_VALUE"""),"indorereconnect")</f>
        <v>indorereconnect</v>
      </c>
      <c r="Y4003" s="124" t="str">
        <f>IFERROR(__xludf.DUMMYFUNCTION("""COMPUTED_VALUE"""),"Indore")</f>
        <v>Indore</v>
      </c>
      <c r="Z4003" s="124">
        <f>IFERROR(__xludf.DUMMYFUNCTION("""COMPUTED_VALUE"""),1.0)</f>
        <v>1</v>
      </c>
      <c r="AA4003" s="124" t="str">
        <f>IFERROR(__xludf.DUMMYFUNCTION("""COMPUTED_VALUE"""),"Cold")</f>
        <v>Cold</v>
      </c>
      <c r="AB4003" s="124" t="str">
        <f>IFERROR(__xludf.DUMMYFUNCTION("""COMPUTED_VALUE"""),"GS Foundation")</f>
        <v>GS Foundation</v>
      </c>
    </row>
    <row r="4004">
      <c r="K4004" s="124"/>
      <c r="L4004" s="124"/>
      <c r="M4004" s="124"/>
      <c r="N4004" s="124"/>
      <c r="O4004" s="124"/>
      <c r="T4004" s="126">
        <f>IFERROR(__xludf.DUMMYFUNCTION("""COMPUTED_VALUE"""),46108.0)</f>
        <v>46108</v>
      </c>
      <c r="U4004" s="124" t="str">
        <f>IFERROR(__xludf.DUMMYFUNCTION("""COMPUTED_VALUE"""),"Walk-Ins")</f>
        <v>Walk-Ins</v>
      </c>
      <c r="V4004" s="124" t="str">
        <f>IFERROR(__xludf.DUMMYFUNCTION("""COMPUTED_VALUE"""),"Walk-In")</f>
        <v>Walk-In</v>
      </c>
      <c r="W4004" s="124" t="str">
        <f>IFERROR(__xludf.DUMMYFUNCTION("""COMPUTED_VALUE"""),"Prayagraj")</f>
        <v>Prayagraj</v>
      </c>
      <c r="X4004" s="124" t="str">
        <f>IFERROR(__xludf.DUMMYFUNCTION("""COMPUTED_VALUE"""),"Shivanshi")</f>
        <v>Shivanshi</v>
      </c>
      <c r="Y4004" s="124" t="str">
        <f>IFERROR(__xludf.DUMMYFUNCTION("""COMPUTED_VALUE"""),"Prayagraj")</f>
        <v>Prayagraj</v>
      </c>
      <c r="Z4004" s="124">
        <f>IFERROR(__xludf.DUMMYFUNCTION("""COMPUTED_VALUE"""),1.0)</f>
        <v>1</v>
      </c>
      <c r="AA4004" s="124" t="str">
        <f>IFERROR(__xludf.DUMMYFUNCTION("""COMPUTED_VALUE"""),"Cold")</f>
        <v>Cold</v>
      </c>
      <c r="AB4004" s="124" t="str">
        <f>IFERROR(__xludf.DUMMYFUNCTION("""COMPUTED_VALUE"""),"Optionals")</f>
        <v>Optionals</v>
      </c>
    </row>
    <row r="4005">
      <c r="K4005" s="124"/>
      <c r="L4005" s="124"/>
      <c r="M4005" s="124"/>
      <c r="N4005" s="124"/>
      <c r="O4005" s="124"/>
      <c r="T4005" s="126">
        <f>IFERROR(__xludf.DUMMYFUNCTION("""COMPUTED_VALUE"""),46096.0)</f>
        <v>46096</v>
      </c>
      <c r="U4005" s="124" t="str">
        <f>IFERROR(__xludf.DUMMYFUNCTION("""COMPUTED_VALUE"""),"Walk-Ins")</f>
        <v>Walk-Ins</v>
      </c>
      <c r="V4005" s="124" t="str">
        <f>IFERROR(__xludf.DUMMYFUNCTION("""COMPUTED_VALUE"""),"Walk-In")</f>
        <v>Walk-In</v>
      </c>
      <c r="W4005" s="124" t="str">
        <f>IFERROR(__xludf.DUMMYFUNCTION("""COMPUTED_VALUE"""),"Prayagraj")</f>
        <v>Prayagraj</v>
      </c>
      <c r="X4005" s="124" t="str">
        <f>IFERROR(__xludf.DUMMYFUNCTION("""COMPUTED_VALUE"""),"Shivanshi")</f>
        <v>Shivanshi</v>
      </c>
      <c r="Y4005" s="124" t="str">
        <f>IFERROR(__xludf.DUMMYFUNCTION("""COMPUTED_VALUE"""),"Prayagraj")</f>
        <v>Prayagraj</v>
      </c>
      <c r="Z4005" s="124">
        <f>IFERROR(__xludf.DUMMYFUNCTION("""COMPUTED_VALUE"""),2.0)</f>
        <v>2</v>
      </c>
      <c r="AA4005" s="124" t="str">
        <f>IFERROR(__xludf.DUMMYFUNCTION("""COMPUTED_VALUE"""),"Future Prospects")</f>
        <v>Future Prospects</v>
      </c>
      <c r="AB4005" s="124" t="str">
        <f>IFERROR(__xludf.DUMMYFUNCTION("""COMPUTED_VALUE"""),"GS Foundation")</f>
        <v>GS Foundation</v>
      </c>
    </row>
    <row r="4006">
      <c r="K4006" s="124"/>
      <c r="L4006" s="124"/>
      <c r="M4006" s="124"/>
      <c r="N4006" s="124"/>
      <c r="O4006" s="124"/>
      <c r="T4006" s="126">
        <f>IFERROR(__xludf.DUMMYFUNCTION("""COMPUTED_VALUE"""),46043.0)</f>
        <v>46043</v>
      </c>
      <c r="U4006" s="124" t="str">
        <f>IFERROR(__xludf.DUMMYFUNCTION("""COMPUTED_VALUE"""),"Walk-Ins")</f>
        <v>Walk-Ins</v>
      </c>
      <c r="V4006" s="124" t="str">
        <f>IFERROR(__xludf.DUMMYFUNCTION("""COMPUTED_VALUE"""),"Walk-In")</f>
        <v>Walk-In</v>
      </c>
      <c r="W4006" s="124" t="str">
        <f>IFERROR(__xludf.DUMMYFUNCTION("""COMPUTED_VALUE"""),"Prayagraj")</f>
        <v>Prayagraj</v>
      </c>
      <c r="X4006" s="124" t="str">
        <f>IFERROR(__xludf.DUMMYFUNCTION("""COMPUTED_VALUE"""),"Shivanshi")</f>
        <v>Shivanshi</v>
      </c>
      <c r="Y4006" s="124" t="str">
        <f>IFERROR(__xludf.DUMMYFUNCTION("""COMPUTED_VALUE"""),"Prayagraj")</f>
        <v>Prayagraj</v>
      </c>
      <c r="Z4006" s="124">
        <f>IFERROR(__xludf.DUMMYFUNCTION("""COMPUTED_VALUE"""),1.0)</f>
        <v>1</v>
      </c>
      <c r="AA4006" s="124" t="str">
        <f>IFERROR(__xludf.DUMMYFUNCTION("""COMPUTED_VALUE"""),"Not Interested")</f>
        <v>Not Interested</v>
      </c>
      <c r="AB4006" s="124" t="str">
        <f>IFERROR(__xludf.DUMMYFUNCTION("""COMPUTED_VALUE"""),"GS Foundation")</f>
        <v>GS Foundation</v>
      </c>
    </row>
    <row r="4007">
      <c r="K4007" s="124"/>
      <c r="L4007" s="124"/>
      <c r="M4007" s="124"/>
      <c r="N4007" s="124"/>
      <c r="O4007" s="124"/>
      <c r="T4007" s="126">
        <f>IFERROR(__xludf.DUMMYFUNCTION("""COMPUTED_VALUE"""),46097.0)</f>
        <v>46097</v>
      </c>
      <c r="U4007" s="124" t="str">
        <f>IFERROR(__xludf.DUMMYFUNCTION("""COMPUTED_VALUE"""),"Walk-Ins")</f>
        <v>Walk-Ins</v>
      </c>
      <c r="V4007" s="124" t="str">
        <f>IFERROR(__xludf.DUMMYFUNCTION("""COMPUTED_VALUE"""),"Walk-In")</f>
        <v>Walk-In</v>
      </c>
      <c r="W4007" s="124" t="str">
        <f>IFERROR(__xludf.DUMMYFUNCTION("""COMPUTED_VALUE"""),"Prayagraj")</f>
        <v>Prayagraj</v>
      </c>
      <c r="X4007" s="124" t="str">
        <f>IFERROR(__xludf.DUMMYFUNCTION("""COMPUTED_VALUE"""),"Shivanshi")</f>
        <v>Shivanshi</v>
      </c>
      <c r="Y4007" s="124" t="str">
        <f>IFERROR(__xludf.DUMMYFUNCTION("""COMPUTED_VALUE"""),"Prayagraj")</f>
        <v>Prayagraj</v>
      </c>
      <c r="Z4007" s="124">
        <f>IFERROR(__xludf.DUMMYFUNCTION("""COMPUTED_VALUE"""),1.0)</f>
        <v>1</v>
      </c>
      <c r="AA4007" s="124" t="str">
        <f>IFERROR(__xludf.DUMMYFUNCTION("""COMPUTED_VALUE"""),"Cold")</f>
        <v>Cold</v>
      </c>
      <c r="AB4007" s="124" t="str">
        <f>IFERROR(__xludf.DUMMYFUNCTION("""COMPUTED_VALUE"""),"GS Foundation")</f>
        <v>GS Foundation</v>
      </c>
    </row>
    <row r="4008">
      <c r="K4008" s="124"/>
      <c r="L4008" s="124"/>
      <c r="M4008" s="124"/>
      <c r="N4008" s="124"/>
      <c r="O4008" s="124"/>
      <c r="T4008" s="129">
        <f>IFERROR(__xludf.DUMMYFUNCTION("""COMPUTED_VALUE"""),46090.0)</f>
        <v>46090</v>
      </c>
      <c r="U4008" s="124" t="str">
        <f>IFERROR(__xludf.DUMMYFUNCTION("""COMPUTED_VALUE"""),"Walk-Ins")</f>
        <v>Walk-Ins</v>
      </c>
      <c r="V4008" s="124" t="str">
        <f>IFERROR(__xludf.DUMMYFUNCTION("""COMPUTED_VALUE"""),"Walk-In")</f>
        <v>Walk-In</v>
      </c>
      <c r="W4008" s="124" t="str">
        <f>IFERROR(__xludf.DUMMYFUNCTION("""COMPUTED_VALUE"""),"Prayagraj")</f>
        <v>Prayagraj</v>
      </c>
      <c r="X4008" s="124" t="str">
        <f>IFERROR(__xludf.DUMMYFUNCTION("""COMPUTED_VALUE"""),"Shivanshi")</f>
        <v>Shivanshi</v>
      </c>
      <c r="Y4008" s="124" t="str">
        <f>IFERROR(__xludf.DUMMYFUNCTION("""COMPUTED_VALUE"""),"Prayagraj")</f>
        <v>Prayagraj</v>
      </c>
      <c r="Z4008" s="124">
        <f>IFERROR(__xludf.DUMMYFUNCTION("""COMPUTED_VALUE"""),1.0)</f>
        <v>1</v>
      </c>
      <c r="AA4008" s="124" t="str">
        <f>IFERROR(__xludf.DUMMYFUNCTION("""COMPUTED_VALUE"""),"Future Prospects")</f>
        <v>Future Prospects</v>
      </c>
      <c r="AB4008" s="124" t="str">
        <f>IFERROR(__xludf.DUMMYFUNCTION("""COMPUTED_VALUE"""),"GS Foundation")</f>
        <v>GS Foundation</v>
      </c>
    </row>
    <row r="4009">
      <c r="K4009" s="124"/>
      <c r="L4009" s="124"/>
      <c r="M4009" s="124"/>
      <c r="N4009" s="124"/>
      <c r="O4009" s="124"/>
      <c r="T4009" s="126">
        <f>IFERROR(__xludf.DUMMYFUNCTION("""COMPUTED_VALUE"""),46097.0)</f>
        <v>46097</v>
      </c>
      <c r="U4009" s="124" t="str">
        <f>IFERROR(__xludf.DUMMYFUNCTION("""COMPUTED_VALUE"""),"Walk-Ins")</f>
        <v>Walk-Ins</v>
      </c>
      <c r="V4009" s="124" t="str">
        <f>IFERROR(__xludf.DUMMYFUNCTION("""COMPUTED_VALUE"""),"Walk-In")</f>
        <v>Walk-In</v>
      </c>
      <c r="W4009" s="124" t="str">
        <f>IFERROR(__xludf.DUMMYFUNCTION("""COMPUTED_VALUE"""),"Prayagraj")</f>
        <v>Prayagraj</v>
      </c>
      <c r="X4009" s="124" t="str">
        <f>IFERROR(__xludf.DUMMYFUNCTION("""COMPUTED_VALUE"""),"Shivanshi")</f>
        <v>Shivanshi</v>
      </c>
      <c r="Y4009" s="124" t="str">
        <f>IFERROR(__xludf.DUMMYFUNCTION("""COMPUTED_VALUE"""),"Prayagraj")</f>
        <v>Prayagraj</v>
      </c>
      <c r="Z4009" s="124">
        <f>IFERROR(__xludf.DUMMYFUNCTION("""COMPUTED_VALUE"""),2.0)</f>
        <v>2</v>
      </c>
      <c r="AA4009" s="124" t="str">
        <f>IFERROR(__xludf.DUMMYFUNCTION("""COMPUTED_VALUE"""),"Cold")</f>
        <v>Cold</v>
      </c>
      <c r="AB4009" s="124" t="str">
        <f>IFERROR(__xludf.DUMMYFUNCTION("""COMPUTED_VALUE"""),"State PCS")</f>
        <v>State PCS</v>
      </c>
    </row>
    <row r="4010">
      <c r="K4010" s="124"/>
      <c r="L4010" s="124"/>
      <c r="M4010" s="124"/>
      <c r="N4010" s="124"/>
      <c r="O4010" s="124"/>
      <c r="T4010" s="126">
        <f>IFERROR(__xludf.DUMMYFUNCTION("""COMPUTED_VALUE"""),46052.0)</f>
        <v>46052</v>
      </c>
      <c r="U4010" s="124" t="str">
        <f>IFERROR(__xludf.DUMMYFUNCTION("""COMPUTED_VALUE"""),"Walk-Ins")</f>
        <v>Walk-Ins</v>
      </c>
      <c r="V4010" s="124" t="str">
        <f>IFERROR(__xludf.DUMMYFUNCTION("""COMPUTED_VALUE"""),"Walk-In")</f>
        <v>Walk-In</v>
      </c>
      <c r="W4010" s="124" t="str">
        <f>IFERROR(__xludf.DUMMYFUNCTION("""COMPUTED_VALUE"""),"Prayagraj")</f>
        <v>Prayagraj</v>
      </c>
      <c r="X4010" s="124" t="str">
        <f>IFERROR(__xludf.DUMMYFUNCTION("""COMPUTED_VALUE"""),"Shivanshi")</f>
        <v>Shivanshi</v>
      </c>
      <c r="Y4010" s="124" t="str">
        <f>IFERROR(__xludf.DUMMYFUNCTION("""COMPUTED_VALUE"""),"Prayagraj")</f>
        <v>Prayagraj</v>
      </c>
      <c r="Z4010" s="124">
        <f>IFERROR(__xludf.DUMMYFUNCTION("""COMPUTED_VALUE"""),1.0)</f>
        <v>1</v>
      </c>
      <c r="AA4010" s="124" t="str">
        <f>IFERROR(__xludf.DUMMYFUNCTION("""COMPUTED_VALUE"""),"Cold")</f>
        <v>Cold</v>
      </c>
      <c r="AB4010" s="124" t="str">
        <f>IFERROR(__xludf.DUMMYFUNCTION("""COMPUTED_VALUE"""),"GS Foundation")</f>
        <v>GS Foundation</v>
      </c>
    </row>
    <row r="4011">
      <c r="K4011" s="124"/>
      <c r="L4011" s="124"/>
      <c r="M4011" s="124"/>
      <c r="N4011" s="124"/>
      <c r="O4011" s="124"/>
      <c r="T4011" s="126">
        <f>IFERROR(__xludf.DUMMYFUNCTION("""COMPUTED_VALUE"""),46104.0)</f>
        <v>46104</v>
      </c>
      <c r="U4011" s="124" t="str">
        <f>IFERROR(__xludf.DUMMYFUNCTION("""COMPUTED_VALUE"""),"Walk-Ins")</f>
        <v>Walk-Ins</v>
      </c>
      <c r="V4011" s="124" t="str">
        <f>IFERROR(__xludf.DUMMYFUNCTION("""COMPUTED_VALUE"""),"Walk-In")</f>
        <v>Walk-In</v>
      </c>
      <c r="W4011" s="124" t="str">
        <f>IFERROR(__xludf.DUMMYFUNCTION("""COMPUTED_VALUE"""),"Prayagraj")</f>
        <v>Prayagraj</v>
      </c>
      <c r="X4011" s="124" t="str">
        <f>IFERROR(__xludf.DUMMYFUNCTION("""COMPUTED_VALUE"""),"Shivanshi")</f>
        <v>Shivanshi</v>
      </c>
      <c r="Y4011" s="124" t="str">
        <f>IFERROR(__xludf.DUMMYFUNCTION("""COMPUTED_VALUE"""),"Prayagraj")</f>
        <v>Prayagraj</v>
      </c>
      <c r="Z4011" s="124">
        <f>IFERROR(__xludf.DUMMYFUNCTION("""COMPUTED_VALUE"""),1.0)</f>
        <v>1</v>
      </c>
      <c r="AA4011" s="124" t="str">
        <f>IFERROR(__xludf.DUMMYFUNCTION("""COMPUTED_VALUE"""),"Interested")</f>
        <v>Interested</v>
      </c>
      <c r="AB4011" s="124" t="str">
        <f>IFERROR(__xludf.DUMMYFUNCTION("""COMPUTED_VALUE"""),"State PCS")</f>
        <v>State PCS</v>
      </c>
    </row>
    <row r="4012">
      <c r="K4012" s="124"/>
      <c r="L4012" s="124"/>
      <c r="M4012" s="124"/>
      <c r="N4012" s="124"/>
      <c r="O4012" s="124"/>
      <c r="T4012" s="129">
        <f>IFERROR(__xludf.DUMMYFUNCTION("""COMPUTED_VALUE"""),46058.0)</f>
        <v>46058</v>
      </c>
      <c r="U4012" s="124" t="str">
        <f>IFERROR(__xludf.DUMMYFUNCTION("""COMPUTED_VALUE"""),"Walk-Ins")</f>
        <v>Walk-Ins</v>
      </c>
      <c r="V4012" s="124" t="str">
        <f>IFERROR(__xludf.DUMMYFUNCTION("""COMPUTED_VALUE"""),"Walk-In")</f>
        <v>Walk-In</v>
      </c>
      <c r="W4012" s="124" t="str">
        <f>IFERROR(__xludf.DUMMYFUNCTION("""COMPUTED_VALUE"""),"Prayagraj")</f>
        <v>Prayagraj</v>
      </c>
      <c r="X4012" s="124" t="str">
        <f>IFERROR(__xludf.DUMMYFUNCTION("""COMPUTED_VALUE"""),"Shivanshi")</f>
        <v>Shivanshi</v>
      </c>
      <c r="Y4012" s="124" t="str">
        <f>IFERROR(__xludf.DUMMYFUNCTION("""COMPUTED_VALUE"""),"Prayagraj")</f>
        <v>Prayagraj</v>
      </c>
      <c r="Z4012" s="124">
        <f>IFERROR(__xludf.DUMMYFUNCTION("""COMPUTED_VALUE"""),1.0)</f>
        <v>1</v>
      </c>
      <c r="AA4012" s="124" t="str">
        <f>IFERROR(__xludf.DUMMYFUNCTION("""COMPUTED_VALUE"""),"Enrolled")</f>
        <v>Enrolled</v>
      </c>
      <c r="AB4012" s="124" t="str">
        <f>IFERROR(__xludf.DUMMYFUNCTION("""COMPUTED_VALUE"""),"Mentorship")</f>
        <v>Mentorship</v>
      </c>
    </row>
    <row r="4013">
      <c r="K4013" s="124"/>
      <c r="L4013" s="124"/>
      <c r="M4013" s="124"/>
      <c r="N4013" s="124"/>
      <c r="O4013" s="124"/>
      <c r="T4013" s="129">
        <f>IFERROR(__xludf.DUMMYFUNCTION("""COMPUTED_VALUE"""),46090.0)</f>
        <v>46090</v>
      </c>
      <c r="U4013" s="124" t="str">
        <f>IFERROR(__xludf.DUMMYFUNCTION("""COMPUTED_VALUE"""),"Walk-Ins")</f>
        <v>Walk-Ins</v>
      </c>
      <c r="V4013" s="124" t="str">
        <f>IFERROR(__xludf.DUMMYFUNCTION("""COMPUTED_VALUE"""),"Walk-In")</f>
        <v>Walk-In</v>
      </c>
      <c r="W4013" s="124" t="str">
        <f>IFERROR(__xludf.DUMMYFUNCTION("""COMPUTED_VALUE"""),"Prayagraj")</f>
        <v>Prayagraj</v>
      </c>
      <c r="X4013" s="124" t="str">
        <f>IFERROR(__xludf.DUMMYFUNCTION("""COMPUTED_VALUE"""),"Shivanshi")</f>
        <v>Shivanshi</v>
      </c>
      <c r="Y4013" s="124" t="str">
        <f>IFERROR(__xludf.DUMMYFUNCTION("""COMPUTED_VALUE"""),"Prayagraj")</f>
        <v>Prayagraj</v>
      </c>
      <c r="Z4013" s="124">
        <f>IFERROR(__xludf.DUMMYFUNCTION("""COMPUTED_VALUE"""),1.0)</f>
        <v>1</v>
      </c>
      <c r="AA4013" s="124" t="str">
        <f>IFERROR(__xludf.DUMMYFUNCTION("""COMPUTED_VALUE"""),"Interested")</f>
        <v>Interested</v>
      </c>
      <c r="AB4013" s="124" t="str">
        <f>IFERROR(__xludf.DUMMYFUNCTION("""COMPUTED_VALUE"""),"GS Foundation")</f>
        <v>GS Foundation</v>
      </c>
    </row>
    <row r="4014">
      <c r="K4014" s="124"/>
      <c r="L4014" s="124"/>
      <c r="M4014" s="124"/>
      <c r="N4014" s="124"/>
      <c r="O4014" s="124"/>
      <c r="T4014" s="126">
        <f>IFERROR(__xludf.DUMMYFUNCTION("""COMPUTED_VALUE"""),46069.0)</f>
        <v>46069</v>
      </c>
      <c r="U4014" s="124" t="str">
        <f>IFERROR(__xludf.DUMMYFUNCTION("""COMPUTED_VALUE"""),"Telephony")</f>
        <v>Telephony</v>
      </c>
      <c r="V4014" s="124" t="str">
        <f>IFERROR(__xludf.DUMMYFUNCTION("""COMPUTED_VALUE"""),"Inbound Call")</f>
        <v>Inbound Call</v>
      </c>
      <c r="W4014" s="124" t="str">
        <f>IFERROR(__xludf.DUMMYFUNCTION("""COMPUTED_VALUE"""),"Inbound Call")</f>
        <v>Inbound Call</v>
      </c>
      <c r="X4014" s="124" t="str">
        <f>IFERROR(__xludf.DUMMYFUNCTION("""COMPUTED_VALUE"""),"Inbound Call")</f>
        <v>Inbound Call</v>
      </c>
      <c r="Y4014" s="124"/>
      <c r="Z4014" s="124">
        <f>IFERROR(__xludf.DUMMYFUNCTION("""COMPUTED_VALUE"""),1.0)</f>
        <v>1</v>
      </c>
      <c r="AA4014" s="124" t="str">
        <f>IFERROR(__xludf.DUMMYFUNCTION("""COMPUTED_VALUE"""),"Fake Lead")</f>
        <v>Fake Lead</v>
      </c>
      <c r="AB4014" s="124"/>
    </row>
    <row r="4015">
      <c r="K4015" s="124"/>
      <c r="L4015" s="124"/>
      <c r="M4015" s="124"/>
      <c r="N4015" s="124"/>
      <c r="O4015" s="124"/>
      <c r="T4015" s="126">
        <f>IFERROR(__xludf.DUMMYFUNCTION("""COMPUTED_VALUE"""),46106.0)</f>
        <v>46106</v>
      </c>
      <c r="U4015" s="124" t="str">
        <f>IFERROR(__xludf.DUMMYFUNCTION("""COMPUTED_VALUE"""),"Telephony")</f>
        <v>Telephony</v>
      </c>
      <c r="V4015" s="124" t="str">
        <f>IFERROR(__xludf.DUMMYFUNCTION("""COMPUTED_VALUE"""),"Inbound Call")</f>
        <v>Inbound Call</v>
      </c>
      <c r="W4015" s="124">
        <f>IFERROR(__xludf.DUMMYFUNCTION("""COMPUTED_VALUE"""),9.18047861663E11)</f>
        <v>918047861663</v>
      </c>
      <c r="X4015" s="124" t="str">
        <f>IFERROR(__xludf.DUMMYFUNCTION("""COMPUTED_VALUE"""),"Inbound Call")</f>
        <v>Inbound Call</v>
      </c>
      <c r="Y4015" s="124"/>
      <c r="Z4015" s="124">
        <f>IFERROR(__xludf.DUMMYFUNCTION("""COMPUTED_VALUE"""),1.0)</f>
        <v>1</v>
      </c>
      <c r="AA4015" s="124" t="str">
        <f>IFERROR(__xludf.DUMMYFUNCTION("""COMPUTED_VALUE"""),"Not Interested")</f>
        <v>Not Interested</v>
      </c>
      <c r="AB4015" s="124"/>
    </row>
    <row r="4016">
      <c r="K4016" s="124"/>
      <c r="L4016" s="124"/>
      <c r="M4016" s="124"/>
      <c r="N4016" s="124"/>
      <c r="O4016" s="124"/>
      <c r="T4016" s="126">
        <f>IFERROR(__xludf.DUMMYFUNCTION("""COMPUTED_VALUE"""),46110.0)</f>
        <v>46110</v>
      </c>
      <c r="U4016" s="124" t="str">
        <f>IFERROR(__xludf.DUMMYFUNCTION("""COMPUTED_VALUE"""),"Telephony")</f>
        <v>Telephony</v>
      </c>
      <c r="V4016" s="124" t="str">
        <f>IFERROR(__xludf.DUMMYFUNCTION("""COMPUTED_VALUE"""),"Inbound Call")</f>
        <v>Inbound Call</v>
      </c>
      <c r="W4016" s="124">
        <f>IFERROR(__xludf.DUMMYFUNCTION("""COMPUTED_VALUE"""),9.18047861635E11)</f>
        <v>918047861635</v>
      </c>
      <c r="X4016" s="124" t="str">
        <f>IFERROR(__xludf.DUMMYFUNCTION("""COMPUTED_VALUE"""),"Inbound Call")</f>
        <v>Inbound Call</v>
      </c>
      <c r="Y4016" s="124" t="str">
        <f>IFERROR(__xludf.DUMMYFUNCTION("""COMPUTED_VALUE"""),"Indore")</f>
        <v>Indore</v>
      </c>
      <c r="Z4016" s="124">
        <f>IFERROR(__xludf.DUMMYFUNCTION("""COMPUTED_VALUE"""),1.0)</f>
        <v>1</v>
      </c>
      <c r="AA4016" s="124" t="str">
        <f>IFERROR(__xludf.DUMMYFUNCTION("""COMPUTED_VALUE"""),"Not Interested")</f>
        <v>Not Interested</v>
      </c>
      <c r="AB4016" s="124" t="str">
        <f>IFERROR(__xludf.DUMMYFUNCTION("""COMPUTED_VALUE"""),"Other")</f>
        <v>Other</v>
      </c>
    </row>
    <row r="4017">
      <c r="K4017" s="124"/>
      <c r="L4017" s="124"/>
      <c r="M4017" s="124"/>
      <c r="N4017" s="124"/>
      <c r="O4017" s="124"/>
      <c r="T4017" s="126">
        <f>IFERROR(__xludf.DUMMYFUNCTION("""COMPUTED_VALUE"""),46053.0)</f>
        <v>46053</v>
      </c>
      <c r="U4017" s="124" t="str">
        <f>IFERROR(__xludf.DUMMYFUNCTION("""COMPUTED_VALUE"""),"Telephony")</f>
        <v>Telephony</v>
      </c>
      <c r="V4017" s="124" t="str">
        <f>IFERROR(__xludf.DUMMYFUNCTION("""COMPUTED_VALUE"""),"Inbound Call")</f>
        <v>Inbound Call</v>
      </c>
      <c r="W4017" s="124" t="str">
        <f>IFERROR(__xludf.DUMMYFUNCTION("""COMPUTED_VALUE"""),"Inbound Call")</f>
        <v>Inbound Call</v>
      </c>
      <c r="X4017" s="124" t="str">
        <f>IFERROR(__xludf.DUMMYFUNCTION("""COMPUTED_VALUE"""),"Inbound Call")</f>
        <v>Inbound Call</v>
      </c>
      <c r="Y4017" s="124"/>
      <c r="Z4017" s="124">
        <f>IFERROR(__xludf.DUMMYFUNCTION("""COMPUTED_VALUE"""),1.0)</f>
        <v>1</v>
      </c>
      <c r="AA4017" s="124" t="str">
        <f>IFERROR(__xludf.DUMMYFUNCTION("""COMPUTED_VALUE"""),"Fake Lead")</f>
        <v>Fake Lead</v>
      </c>
      <c r="AB4017" s="124"/>
    </row>
    <row r="4018">
      <c r="K4018" s="124"/>
      <c r="L4018" s="124"/>
      <c r="M4018" s="124"/>
      <c r="N4018" s="124"/>
      <c r="O4018" s="124"/>
      <c r="T4018" s="126">
        <f>IFERROR(__xludf.DUMMYFUNCTION("""COMPUTED_VALUE"""),46051.0)</f>
        <v>46051</v>
      </c>
      <c r="U4018" s="124" t="str">
        <f>IFERROR(__xludf.DUMMYFUNCTION("""COMPUTED_VALUE"""),"Telephony")</f>
        <v>Telephony</v>
      </c>
      <c r="V4018" s="124" t="str">
        <f>IFERROR(__xludf.DUMMYFUNCTION("""COMPUTED_VALUE"""),"Inbound Call")</f>
        <v>Inbound Call</v>
      </c>
      <c r="W4018" s="124" t="str">
        <f>IFERROR(__xludf.DUMMYFUNCTION("""COMPUTED_VALUE"""),"Inbound Call")</f>
        <v>Inbound Call</v>
      </c>
      <c r="X4018" s="124" t="str">
        <f>IFERROR(__xludf.DUMMYFUNCTION("""COMPUTED_VALUE"""),"Inbound Call")</f>
        <v>Inbound Call</v>
      </c>
      <c r="Y4018" s="124"/>
      <c r="Z4018" s="124">
        <f>IFERROR(__xludf.DUMMYFUNCTION("""COMPUTED_VALUE"""),1.0)</f>
        <v>1</v>
      </c>
      <c r="AA4018" s="124" t="str">
        <f>IFERROR(__xludf.DUMMYFUNCTION("""COMPUTED_VALUE"""),"Cold")</f>
        <v>Cold</v>
      </c>
      <c r="AB4018" s="124"/>
    </row>
    <row r="4019">
      <c r="K4019" s="124"/>
      <c r="L4019" s="124"/>
      <c r="M4019" s="124"/>
      <c r="N4019" s="124"/>
      <c r="O4019" s="124"/>
      <c r="T4019" s="126">
        <f>IFERROR(__xludf.DUMMYFUNCTION("""COMPUTED_VALUE"""),46092.0)</f>
        <v>46092</v>
      </c>
      <c r="U4019" s="124" t="str">
        <f>IFERROR(__xludf.DUMMYFUNCTION("""COMPUTED_VALUE"""),"Telephony")</f>
        <v>Telephony</v>
      </c>
      <c r="V4019" s="124" t="str">
        <f>IFERROR(__xludf.DUMMYFUNCTION("""COMPUTED_VALUE"""),"Inbound Call")</f>
        <v>Inbound Call</v>
      </c>
      <c r="W4019" s="124" t="str">
        <f>IFERROR(__xludf.DUMMYFUNCTION("""COMPUTED_VALUE"""),"Inbound Call")</f>
        <v>Inbound Call</v>
      </c>
      <c r="X4019" s="124" t="str">
        <f>IFERROR(__xludf.DUMMYFUNCTION("""COMPUTED_VALUE"""),"Inbound Call")</f>
        <v>Inbound Call</v>
      </c>
      <c r="Y4019" s="124" t="str">
        <f>IFERROR(__xludf.DUMMYFUNCTION("""COMPUTED_VALUE"""),"Indore")</f>
        <v>Indore</v>
      </c>
      <c r="Z4019" s="124">
        <f>IFERROR(__xludf.DUMMYFUNCTION("""COMPUTED_VALUE"""),1.0)</f>
        <v>1</v>
      </c>
      <c r="AA4019" s="124" t="str">
        <f>IFERROR(__xludf.DUMMYFUNCTION("""COMPUTED_VALUE"""),"Not Interested")</f>
        <v>Not Interested</v>
      </c>
      <c r="AB4019" s="124"/>
    </row>
    <row r="4020">
      <c r="K4020" s="124"/>
      <c r="L4020" s="124"/>
      <c r="M4020" s="124"/>
      <c r="N4020" s="124"/>
      <c r="O4020" s="124"/>
      <c r="T4020" s="126">
        <f>IFERROR(__xludf.DUMMYFUNCTION("""COMPUTED_VALUE"""),46110.0)</f>
        <v>46110</v>
      </c>
      <c r="U4020" s="124" t="str">
        <f>IFERROR(__xludf.DUMMYFUNCTION("""COMPUTED_VALUE"""),"Telephony")</f>
        <v>Telephony</v>
      </c>
      <c r="V4020" s="124" t="str">
        <f>IFERROR(__xludf.DUMMYFUNCTION("""COMPUTED_VALUE"""),"Inbound Call")</f>
        <v>Inbound Call</v>
      </c>
      <c r="W4020" s="124">
        <f>IFERROR(__xludf.DUMMYFUNCTION("""COMPUTED_VALUE"""),9.18047861631E11)</f>
        <v>918047861631</v>
      </c>
      <c r="X4020" s="124" t="str">
        <f>IFERROR(__xludf.DUMMYFUNCTION("""COMPUTED_VALUE"""),"Inbound Call")</f>
        <v>Inbound Call</v>
      </c>
      <c r="Y4020" s="124"/>
      <c r="Z4020" s="124">
        <f>IFERROR(__xludf.DUMMYFUNCTION("""COMPUTED_VALUE"""),1.0)</f>
        <v>1</v>
      </c>
      <c r="AA4020" s="124" t="str">
        <f>IFERROR(__xludf.DUMMYFUNCTION("""COMPUTED_VALUE"""),"Cold")</f>
        <v>Cold</v>
      </c>
      <c r="AB4020" s="124"/>
    </row>
    <row r="4021">
      <c r="K4021" s="124"/>
      <c r="L4021" s="124"/>
      <c r="M4021" s="124"/>
      <c r="N4021" s="124"/>
      <c r="O4021" s="124"/>
      <c r="T4021" s="126">
        <f>IFERROR(__xludf.DUMMYFUNCTION("""COMPUTED_VALUE"""),46047.0)</f>
        <v>46047</v>
      </c>
      <c r="U4021" s="124" t="str">
        <f>IFERROR(__xludf.DUMMYFUNCTION("""COMPUTED_VALUE"""),"Telephony")</f>
        <v>Telephony</v>
      </c>
      <c r="V4021" s="124" t="str">
        <f>IFERROR(__xludf.DUMMYFUNCTION("""COMPUTED_VALUE"""),"Inbound Call")</f>
        <v>Inbound Call</v>
      </c>
      <c r="W4021" s="124">
        <f>IFERROR(__xludf.DUMMYFUNCTION("""COMPUTED_VALUE"""),9.18047861635E11)</f>
        <v>918047861635</v>
      </c>
      <c r="X4021" s="124" t="str">
        <f>IFERROR(__xludf.DUMMYFUNCTION("""COMPUTED_VALUE"""),"Inbound Call")</f>
        <v>Inbound Call</v>
      </c>
      <c r="Y4021" s="124"/>
      <c r="Z4021" s="124">
        <f>IFERROR(__xludf.DUMMYFUNCTION("""COMPUTED_VALUE"""),1.0)</f>
        <v>1</v>
      </c>
      <c r="AA4021" s="124" t="str">
        <f>IFERROR(__xludf.DUMMYFUNCTION("""COMPUTED_VALUE"""),"Fake Lead")</f>
        <v>Fake Lead</v>
      </c>
      <c r="AB4021" s="124"/>
    </row>
    <row r="4022">
      <c r="K4022" s="124"/>
      <c r="L4022" s="124"/>
      <c r="M4022" s="124"/>
      <c r="N4022" s="124"/>
      <c r="O4022" s="124"/>
      <c r="T4022" s="129">
        <f>IFERROR(__xludf.DUMMYFUNCTION("""COMPUTED_VALUE"""),46055.0)</f>
        <v>46055</v>
      </c>
      <c r="U4022" s="124" t="str">
        <f>IFERROR(__xludf.DUMMYFUNCTION("""COMPUTED_VALUE"""),"Telephony")</f>
        <v>Telephony</v>
      </c>
      <c r="V4022" s="124" t="str">
        <f>IFERROR(__xludf.DUMMYFUNCTION("""COMPUTED_VALUE"""),"Inbound Call")</f>
        <v>Inbound Call</v>
      </c>
      <c r="W4022" s="124" t="str">
        <f>IFERROR(__xludf.DUMMYFUNCTION("""COMPUTED_VALUE"""),"Inbound Call")</f>
        <v>Inbound Call</v>
      </c>
      <c r="X4022" s="124" t="str">
        <f>IFERROR(__xludf.DUMMYFUNCTION("""COMPUTED_VALUE"""),"Inbound Call")</f>
        <v>Inbound Call</v>
      </c>
      <c r="Y4022" s="124" t="str">
        <f>IFERROR(__xludf.DUMMYFUNCTION("""COMPUTED_VALUE"""),"Delhi")</f>
        <v>Delhi</v>
      </c>
      <c r="Z4022" s="124">
        <f>IFERROR(__xludf.DUMMYFUNCTION("""COMPUTED_VALUE"""),1.0)</f>
        <v>1</v>
      </c>
      <c r="AA4022" s="124" t="str">
        <f>IFERROR(__xludf.DUMMYFUNCTION("""COMPUTED_VALUE"""),"Future Prospects")</f>
        <v>Future Prospects</v>
      </c>
      <c r="AB4022" s="124"/>
    </row>
    <row r="4023">
      <c r="K4023" s="124"/>
      <c r="L4023" s="124"/>
      <c r="M4023" s="124"/>
      <c r="N4023" s="124"/>
      <c r="O4023" s="124"/>
      <c r="T4023" s="126">
        <f>IFERROR(__xludf.DUMMYFUNCTION("""COMPUTED_VALUE"""),46078.0)</f>
        <v>46078</v>
      </c>
      <c r="U4023" s="124" t="str">
        <f>IFERROR(__xludf.DUMMYFUNCTION("""COMPUTED_VALUE"""),"Telephony")</f>
        <v>Telephony</v>
      </c>
      <c r="V4023" s="124" t="str">
        <f>IFERROR(__xludf.DUMMYFUNCTION("""COMPUTED_VALUE"""),"Inbound Call")</f>
        <v>Inbound Call</v>
      </c>
      <c r="W4023" s="124" t="str">
        <f>IFERROR(__xludf.DUMMYFUNCTION("""COMPUTED_VALUE"""),"Inbound Call")</f>
        <v>Inbound Call</v>
      </c>
      <c r="X4023" s="124" t="str">
        <f>IFERROR(__xludf.DUMMYFUNCTION("""COMPUTED_VALUE"""),"Inbound Call")</f>
        <v>Inbound Call</v>
      </c>
      <c r="Y4023" s="124" t="str">
        <f>IFERROR(__xludf.DUMMYFUNCTION("""COMPUTED_VALUE"""),"Delhi")</f>
        <v>Delhi</v>
      </c>
      <c r="Z4023" s="124">
        <f>IFERROR(__xludf.DUMMYFUNCTION("""COMPUTED_VALUE"""),1.0)</f>
        <v>1</v>
      </c>
      <c r="AA4023" s="124" t="str">
        <f>IFERROR(__xludf.DUMMYFUNCTION("""COMPUTED_VALUE"""),"Cold")</f>
        <v>Cold</v>
      </c>
      <c r="AB4023" s="124" t="str">
        <f>IFERROR(__xludf.DUMMYFUNCTION("""COMPUTED_VALUE"""),"GS Foundation")</f>
        <v>GS Foundation</v>
      </c>
    </row>
    <row r="4024">
      <c r="K4024" s="124"/>
      <c r="L4024" s="124"/>
      <c r="M4024" s="124"/>
      <c r="N4024" s="124"/>
      <c r="O4024" s="124"/>
      <c r="T4024" s="129">
        <f>IFERROR(__xludf.DUMMYFUNCTION("""COMPUTED_VALUE"""),46062.0)</f>
        <v>46062</v>
      </c>
      <c r="U4024" s="124" t="str">
        <f>IFERROR(__xludf.DUMMYFUNCTION("""COMPUTED_VALUE"""),"Telephony")</f>
        <v>Telephony</v>
      </c>
      <c r="V4024" s="124" t="str">
        <f>IFERROR(__xludf.DUMMYFUNCTION("""COMPUTED_VALUE"""),"Inbound Call")</f>
        <v>Inbound Call</v>
      </c>
      <c r="W4024" s="124" t="str">
        <f>IFERROR(__xludf.DUMMYFUNCTION("""COMPUTED_VALUE"""),"Inbound Call")</f>
        <v>Inbound Call</v>
      </c>
      <c r="X4024" s="124" t="str">
        <f>IFERROR(__xludf.DUMMYFUNCTION("""COMPUTED_VALUE"""),"Inbound Call")</f>
        <v>Inbound Call</v>
      </c>
      <c r="Y4024" s="124" t="str">
        <f>IFERROR(__xludf.DUMMYFUNCTION("""COMPUTED_VALUE"""),"Indore")</f>
        <v>Indore</v>
      </c>
      <c r="Z4024" s="124">
        <f>IFERROR(__xludf.DUMMYFUNCTION("""COMPUTED_VALUE"""),1.0)</f>
        <v>1</v>
      </c>
      <c r="AA4024" s="124" t="str">
        <f>IFERROR(__xludf.DUMMYFUNCTION("""COMPUTED_VALUE"""),"Cold")</f>
        <v>Cold</v>
      </c>
      <c r="AB4024" s="124" t="str">
        <f>IFERROR(__xludf.DUMMYFUNCTION("""COMPUTED_VALUE"""),"GS Foundation")</f>
        <v>GS Foundation</v>
      </c>
    </row>
    <row r="4025">
      <c r="K4025" s="124"/>
      <c r="L4025" s="124"/>
      <c r="M4025" s="124"/>
      <c r="N4025" s="124"/>
      <c r="O4025" s="124"/>
      <c r="T4025" s="126">
        <f>IFERROR(__xludf.DUMMYFUNCTION("""COMPUTED_VALUE"""),46091.0)</f>
        <v>46091</v>
      </c>
      <c r="U4025" s="124" t="str">
        <f>IFERROR(__xludf.DUMMYFUNCTION("""COMPUTED_VALUE"""),"Telephony")</f>
        <v>Telephony</v>
      </c>
      <c r="V4025" s="124" t="str">
        <f>IFERROR(__xludf.DUMMYFUNCTION("""COMPUTED_VALUE"""),"Inbound Call")</f>
        <v>Inbound Call</v>
      </c>
      <c r="W4025" s="124" t="str">
        <f>IFERROR(__xludf.DUMMYFUNCTION("""COMPUTED_VALUE"""),"Inbound Call")</f>
        <v>Inbound Call</v>
      </c>
      <c r="X4025" s="124" t="str">
        <f>IFERROR(__xludf.DUMMYFUNCTION("""COMPUTED_VALUE"""),"Inbound Call")</f>
        <v>Inbound Call</v>
      </c>
      <c r="Y4025" s="124" t="str">
        <f>IFERROR(__xludf.DUMMYFUNCTION("""COMPUTED_VALUE"""),"Patna")</f>
        <v>Patna</v>
      </c>
      <c r="Z4025" s="124">
        <f>IFERROR(__xludf.DUMMYFUNCTION("""COMPUTED_VALUE"""),1.0)</f>
        <v>1</v>
      </c>
      <c r="AA4025" s="124" t="str">
        <f>IFERROR(__xludf.DUMMYFUNCTION("""COMPUTED_VALUE"""),"Warm")</f>
        <v>Warm</v>
      </c>
      <c r="AB4025" s="124" t="str">
        <f>IFERROR(__xludf.DUMMYFUNCTION("""COMPUTED_VALUE"""),"GS Foundation")</f>
        <v>GS Foundation</v>
      </c>
    </row>
    <row r="4026">
      <c r="K4026" s="124"/>
      <c r="L4026" s="124"/>
      <c r="M4026" s="124"/>
      <c r="N4026" s="124"/>
      <c r="O4026" s="124"/>
      <c r="T4026" s="129">
        <f>IFERROR(__xludf.DUMMYFUNCTION("""COMPUTED_VALUE"""),46083.0)</f>
        <v>46083</v>
      </c>
      <c r="U4026" s="124" t="str">
        <f>IFERROR(__xludf.DUMMYFUNCTION("""COMPUTED_VALUE"""),"Telephony")</f>
        <v>Telephony</v>
      </c>
      <c r="V4026" s="124" t="str">
        <f>IFERROR(__xludf.DUMMYFUNCTION("""COMPUTED_VALUE"""),"Inbound Call")</f>
        <v>Inbound Call</v>
      </c>
      <c r="W4026" s="124">
        <f>IFERROR(__xludf.DUMMYFUNCTION("""COMPUTED_VALUE"""),9.18047861635E11)</f>
        <v>918047861635</v>
      </c>
      <c r="X4026" s="124" t="str">
        <f>IFERROR(__xludf.DUMMYFUNCTION("""COMPUTED_VALUE"""),"Inbound Call")</f>
        <v>Inbound Call</v>
      </c>
      <c r="Y4026" s="124" t="str">
        <f>IFERROR(__xludf.DUMMYFUNCTION("""COMPUTED_VALUE"""),"Indore")</f>
        <v>Indore</v>
      </c>
      <c r="Z4026" s="124">
        <f>IFERROR(__xludf.DUMMYFUNCTION("""COMPUTED_VALUE"""),1.0)</f>
        <v>1</v>
      </c>
      <c r="AA4026" s="124" t="str">
        <f>IFERROR(__xludf.DUMMYFUNCTION("""COMPUTED_VALUE"""),"Cold")</f>
        <v>Cold</v>
      </c>
      <c r="AB4026" s="124" t="str">
        <f>IFERROR(__xludf.DUMMYFUNCTION("""COMPUTED_VALUE"""),"GS Foundation")</f>
        <v>GS Foundation</v>
      </c>
    </row>
    <row r="4027">
      <c r="K4027" s="124"/>
      <c r="L4027" s="124"/>
      <c r="M4027" s="124"/>
      <c r="N4027" s="124"/>
      <c r="O4027" s="124"/>
      <c r="T4027" s="126">
        <f>IFERROR(__xludf.DUMMYFUNCTION("""COMPUTED_VALUE"""),46071.0)</f>
        <v>46071</v>
      </c>
      <c r="U4027" s="124" t="str">
        <f>IFERROR(__xludf.DUMMYFUNCTION("""COMPUTED_VALUE"""),"Telephony")</f>
        <v>Telephony</v>
      </c>
      <c r="V4027" s="124" t="str">
        <f>IFERROR(__xludf.DUMMYFUNCTION("""COMPUTED_VALUE"""),"Inbound Call")</f>
        <v>Inbound Call</v>
      </c>
      <c r="W4027" s="124">
        <f>IFERROR(__xludf.DUMMYFUNCTION("""COMPUTED_VALUE"""),9.18047861634E11)</f>
        <v>918047861634</v>
      </c>
      <c r="X4027" s="124" t="str">
        <f>IFERROR(__xludf.DUMMYFUNCTION("""COMPUTED_VALUE"""),"Inbound Call")</f>
        <v>Inbound Call</v>
      </c>
      <c r="Y4027" s="124"/>
      <c r="Z4027" s="124">
        <f>IFERROR(__xludf.DUMMYFUNCTION("""COMPUTED_VALUE"""),2.0)</f>
        <v>2</v>
      </c>
      <c r="AA4027" s="124" t="str">
        <f>IFERROR(__xludf.DUMMYFUNCTION("""COMPUTED_VALUE"""),"Cold")</f>
        <v>Cold</v>
      </c>
      <c r="AB4027" s="124"/>
    </row>
    <row r="4028">
      <c r="K4028" s="124"/>
      <c r="L4028" s="124"/>
      <c r="M4028" s="124"/>
      <c r="N4028" s="124"/>
      <c r="O4028" s="124"/>
      <c r="T4028" s="129">
        <f>IFERROR(__xludf.DUMMYFUNCTION("""COMPUTED_VALUE"""),46062.0)</f>
        <v>46062</v>
      </c>
      <c r="U4028" s="124" t="str">
        <f>IFERROR(__xludf.DUMMYFUNCTION("""COMPUTED_VALUE"""),"Telephony")</f>
        <v>Telephony</v>
      </c>
      <c r="V4028" s="124" t="str">
        <f>IFERROR(__xludf.DUMMYFUNCTION("""COMPUTED_VALUE"""),"Inbound Call")</f>
        <v>Inbound Call</v>
      </c>
      <c r="W4028" s="124">
        <f>IFERROR(__xludf.DUMMYFUNCTION("""COMPUTED_VALUE"""),9.18047861635E11)</f>
        <v>918047861635</v>
      </c>
      <c r="X4028" s="124" t="str">
        <f>IFERROR(__xludf.DUMMYFUNCTION("""COMPUTED_VALUE"""),"Inbound Call")</f>
        <v>Inbound Call</v>
      </c>
      <c r="Y4028" s="124" t="str">
        <f>IFERROR(__xludf.DUMMYFUNCTION("""COMPUTED_VALUE"""),"Indore")</f>
        <v>Indore</v>
      </c>
      <c r="Z4028" s="124">
        <f>IFERROR(__xludf.DUMMYFUNCTION("""COMPUTED_VALUE"""),1.0)</f>
        <v>1</v>
      </c>
      <c r="AA4028" s="124" t="str">
        <f>IFERROR(__xludf.DUMMYFUNCTION("""COMPUTED_VALUE"""),"Not Interested")</f>
        <v>Not Interested</v>
      </c>
      <c r="AB4028" s="124"/>
    </row>
    <row r="4029">
      <c r="K4029" s="124"/>
      <c r="L4029" s="124"/>
      <c r="M4029" s="124"/>
      <c r="N4029" s="124"/>
      <c r="O4029" s="124"/>
      <c r="T4029" s="126">
        <f>IFERROR(__xludf.DUMMYFUNCTION("""COMPUTED_VALUE"""),46081.0)</f>
        <v>46081</v>
      </c>
      <c r="U4029" s="124" t="str">
        <f>IFERROR(__xludf.DUMMYFUNCTION("""COMPUTED_VALUE"""),"Telephony")</f>
        <v>Telephony</v>
      </c>
      <c r="V4029" s="124" t="str">
        <f>IFERROR(__xludf.DUMMYFUNCTION("""COMPUTED_VALUE"""),"Inbound Call")</f>
        <v>Inbound Call</v>
      </c>
      <c r="W4029" s="124">
        <f>IFERROR(__xludf.DUMMYFUNCTION("""COMPUTED_VALUE"""),9.18047861663E11)</f>
        <v>918047861663</v>
      </c>
      <c r="X4029" s="124" t="str">
        <f>IFERROR(__xludf.DUMMYFUNCTION("""COMPUTED_VALUE"""),"Inbound Call")</f>
        <v>Inbound Call</v>
      </c>
      <c r="Y4029" s="124" t="str">
        <f>IFERROR(__xludf.DUMMYFUNCTION("""COMPUTED_VALUE"""),"Patna")</f>
        <v>Patna</v>
      </c>
      <c r="Z4029" s="124">
        <f>IFERROR(__xludf.DUMMYFUNCTION("""COMPUTED_VALUE"""),1.0)</f>
        <v>1</v>
      </c>
      <c r="AA4029" s="124" t="str">
        <f>IFERROR(__xludf.DUMMYFUNCTION("""COMPUTED_VALUE"""),"Warm")</f>
        <v>Warm</v>
      </c>
      <c r="AB4029" s="124" t="str">
        <f>IFERROR(__xludf.DUMMYFUNCTION("""COMPUTED_VALUE"""),"GS Foundation")</f>
        <v>GS Foundation</v>
      </c>
    </row>
    <row r="4030">
      <c r="K4030" s="124"/>
      <c r="L4030" s="124"/>
      <c r="M4030" s="124"/>
      <c r="N4030" s="124"/>
      <c r="O4030" s="124"/>
      <c r="T4030" s="129">
        <f>IFERROR(__xludf.DUMMYFUNCTION("""COMPUTED_VALUE"""),46088.0)</f>
        <v>46088</v>
      </c>
      <c r="U4030" s="124" t="str">
        <f>IFERROR(__xludf.DUMMYFUNCTION("""COMPUTED_VALUE"""),"Telephony")</f>
        <v>Telephony</v>
      </c>
      <c r="V4030" s="124" t="str">
        <f>IFERROR(__xludf.DUMMYFUNCTION("""COMPUTED_VALUE"""),"Inbound Call")</f>
        <v>Inbound Call</v>
      </c>
      <c r="W4030" s="124">
        <f>IFERROR(__xludf.DUMMYFUNCTION("""COMPUTED_VALUE"""),9.18047861631E11)</f>
        <v>918047861631</v>
      </c>
      <c r="X4030" s="124" t="str">
        <f>IFERROR(__xludf.DUMMYFUNCTION("""COMPUTED_VALUE"""),"Inbound Call")</f>
        <v>Inbound Call</v>
      </c>
      <c r="Y4030" s="124"/>
      <c r="Z4030" s="124">
        <f>IFERROR(__xludf.DUMMYFUNCTION("""COMPUTED_VALUE"""),1.0)</f>
        <v>1</v>
      </c>
      <c r="AA4030" s="124" t="str">
        <f>IFERROR(__xludf.DUMMYFUNCTION("""COMPUTED_VALUE"""),"Fake Lead")</f>
        <v>Fake Lead</v>
      </c>
      <c r="AB4030" s="124"/>
    </row>
    <row r="4031">
      <c r="K4031" s="124"/>
      <c r="L4031" s="124"/>
      <c r="M4031" s="124"/>
      <c r="N4031" s="124"/>
      <c r="O4031" s="124"/>
      <c r="T4031" s="126">
        <f>IFERROR(__xludf.DUMMYFUNCTION("""COMPUTED_VALUE"""),46092.0)</f>
        <v>46092</v>
      </c>
      <c r="U4031" s="124" t="str">
        <f>IFERROR(__xludf.DUMMYFUNCTION("""COMPUTED_VALUE"""),"Telephony")</f>
        <v>Telephony</v>
      </c>
      <c r="V4031" s="124" t="str">
        <f>IFERROR(__xludf.DUMMYFUNCTION("""COMPUTED_VALUE"""),"Inbound Call")</f>
        <v>Inbound Call</v>
      </c>
      <c r="W4031" s="124">
        <f>IFERROR(__xludf.DUMMYFUNCTION("""COMPUTED_VALUE"""),9.18047861635E11)</f>
        <v>918047861635</v>
      </c>
      <c r="X4031" s="124" t="str">
        <f>IFERROR(__xludf.DUMMYFUNCTION("""COMPUTED_VALUE"""),"Inbound Call")</f>
        <v>Inbound Call</v>
      </c>
      <c r="Y4031" s="124" t="str">
        <f>IFERROR(__xludf.DUMMYFUNCTION("""COMPUTED_VALUE"""),"Indore")</f>
        <v>Indore</v>
      </c>
      <c r="Z4031" s="124">
        <f>IFERROR(__xludf.DUMMYFUNCTION("""COMPUTED_VALUE"""),1.0)</f>
        <v>1</v>
      </c>
      <c r="AA4031" s="124" t="str">
        <f>IFERROR(__xludf.DUMMYFUNCTION("""COMPUTED_VALUE"""),"Fake Lead")</f>
        <v>Fake Lead</v>
      </c>
      <c r="AB4031" s="124"/>
    </row>
    <row r="4032">
      <c r="K4032" s="124"/>
      <c r="L4032" s="124"/>
      <c r="M4032" s="124"/>
      <c r="N4032" s="124"/>
      <c r="O4032" s="124"/>
      <c r="T4032" s="126">
        <f>IFERROR(__xludf.DUMMYFUNCTION("""COMPUTED_VALUE"""),46091.0)</f>
        <v>46091</v>
      </c>
      <c r="U4032" s="124" t="str">
        <f>IFERROR(__xludf.DUMMYFUNCTION("""COMPUTED_VALUE"""),"Telephony")</f>
        <v>Telephony</v>
      </c>
      <c r="V4032" s="124" t="str">
        <f>IFERROR(__xludf.DUMMYFUNCTION("""COMPUTED_VALUE"""),"Inbound Call")</f>
        <v>Inbound Call</v>
      </c>
      <c r="W4032" s="124">
        <f>IFERROR(__xludf.DUMMYFUNCTION("""COMPUTED_VALUE"""),9.18047861635E11)</f>
        <v>918047861635</v>
      </c>
      <c r="X4032" s="124" t="str">
        <f>IFERROR(__xludf.DUMMYFUNCTION("""COMPUTED_VALUE"""),"Inbound Call")</f>
        <v>Inbound Call</v>
      </c>
      <c r="Y4032" s="124" t="str">
        <f>IFERROR(__xludf.DUMMYFUNCTION("""COMPUTED_VALUE"""),"Indore")</f>
        <v>Indore</v>
      </c>
      <c r="Z4032" s="124">
        <f>IFERROR(__xludf.DUMMYFUNCTION("""COMPUTED_VALUE"""),2.0)</f>
        <v>2</v>
      </c>
      <c r="AA4032" s="124" t="str">
        <f>IFERROR(__xludf.DUMMYFUNCTION("""COMPUTED_VALUE"""),"Not Interested")</f>
        <v>Not Interested</v>
      </c>
      <c r="AB4032" s="124"/>
    </row>
    <row r="4033">
      <c r="K4033" s="124"/>
      <c r="L4033" s="124"/>
      <c r="M4033" s="124"/>
      <c r="N4033" s="124"/>
      <c r="O4033" s="124"/>
      <c r="T4033" s="126">
        <f>IFERROR(__xludf.DUMMYFUNCTION("""COMPUTED_VALUE"""),46064.0)</f>
        <v>46064</v>
      </c>
      <c r="U4033" s="124" t="str">
        <f>IFERROR(__xludf.DUMMYFUNCTION("""COMPUTED_VALUE"""),"Telephony")</f>
        <v>Telephony</v>
      </c>
      <c r="V4033" s="124" t="str">
        <f>IFERROR(__xludf.DUMMYFUNCTION("""COMPUTED_VALUE"""),"Inbound Call")</f>
        <v>Inbound Call</v>
      </c>
      <c r="W4033" s="124">
        <f>IFERROR(__xludf.DUMMYFUNCTION("""COMPUTED_VALUE"""),9.18047861663E11)</f>
        <v>918047861663</v>
      </c>
      <c r="X4033" s="124" t="str">
        <f>IFERROR(__xludf.DUMMYFUNCTION("""COMPUTED_VALUE"""),"Inbound Call")</f>
        <v>Inbound Call</v>
      </c>
      <c r="Y4033" s="124"/>
      <c r="Z4033" s="124">
        <f>IFERROR(__xludf.DUMMYFUNCTION("""COMPUTED_VALUE"""),1.0)</f>
        <v>1</v>
      </c>
      <c r="AA4033" s="124" t="str">
        <f>IFERROR(__xludf.DUMMYFUNCTION("""COMPUTED_VALUE"""),"Fake Lead")</f>
        <v>Fake Lead</v>
      </c>
      <c r="AB4033" s="124" t="str">
        <f>IFERROR(__xludf.DUMMYFUNCTION("""COMPUTED_VALUE"""),"IGP UPPSC")</f>
        <v>IGP UPPSC</v>
      </c>
    </row>
    <row r="4034">
      <c r="K4034" s="124"/>
      <c r="L4034" s="124"/>
      <c r="M4034" s="124"/>
      <c r="N4034" s="124"/>
      <c r="O4034" s="124"/>
      <c r="T4034" s="126">
        <f>IFERROR(__xludf.DUMMYFUNCTION("""COMPUTED_VALUE"""),46091.0)</f>
        <v>46091</v>
      </c>
      <c r="U4034" s="124" t="str">
        <f>IFERROR(__xludf.DUMMYFUNCTION("""COMPUTED_VALUE"""),"Telephony")</f>
        <v>Telephony</v>
      </c>
      <c r="V4034" s="124" t="str">
        <f>IFERROR(__xludf.DUMMYFUNCTION("""COMPUTED_VALUE"""),"Inbound Call")</f>
        <v>Inbound Call</v>
      </c>
      <c r="W4034" s="124" t="str">
        <f>IFERROR(__xludf.DUMMYFUNCTION("""COMPUTED_VALUE"""),"Inbound Call")</f>
        <v>Inbound Call</v>
      </c>
      <c r="X4034" s="124" t="str">
        <f>IFERROR(__xludf.DUMMYFUNCTION("""COMPUTED_VALUE"""),"Inbound Call")</f>
        <v>Inbound Call</v>
      </c>
      <c r="Y4034" s="124" t="str">
        <f>IFERROR(__xludf.DUMMYFUNCTION("""COMPUTED_VALUE"""),"Indore")</f>
        <v>Indore</v>
      </c>
      <c r="Z4034" s="124">
        <f>IFERROR(__xludf.DUMMYFUNCTION("""COMPUTED_VALUE"""),1.0)</f>
        <v>1</v>
      </c>
      <c r="AA4034" s="124" t="str">
        <f>IFERROR(__xludf.DUMMYFUNCTION("""COMPUTED_VALUE"""),"Warm")</f>
        <v>Warm</v>
      </c>
      <c r="AB4034" s="124"/>
    </row>
    <row r="4035">
      <c r="K4035" s="124"/>
      <c r="L4035" s="124"/>
      <c r="M4035" s="124"/>
      <c r="N4035" s="124"/>
      <c r="O4035" s="124"/>
      <c r="T4035" s="126">
        <f>IFERROR(__xludf.DUMMYFUNCTION("""COMPUTED_VALUE"""),46080.0)</f>
        <v>46080</v>
      </c>
      <c r="U4035" s="124" t="str">
        <f>IFERROR(__xludf.DUMMYFUNCTION("""COMPUTED_VALUE"""),"Telephony")</f>
        <v>Telephony</v>
      </c>
      <c r="V4035" s="124" t="str">
        <f>IFERROR(__xludf.DUMMYFUNCTION("""COMPUTED_VALUE"""),"Inbound Call")</f>
        <v>Inbound Call</v>
      </c>
      <c r="W4035" s="124" t="str">
        <f>IFERROR(__xludf.DUMMYFUNCTION("""COMPUTED_VALUE"""),"Inbound Call")</f>
        <v>Inbound Call</v>
      </c>
      <c r="X4035" s="124" t="str">
        <f>IFERROR(__xludf.DUMMYFUNCTION("""COMPUTED_VALUE"""),"Inbound Call")</f>
        <v>Inbound Call</v>
      </c>
      <c r="Y4035" s="124" t="str">
        <f>IFERROR(__xludf.DUMMYFUNCTION("""COMPUTED_VALUE"""),"Delhi")</f>
        <v>Delhi</v>
      </c>
      <c r="Z4035" s="124">
        <f>IFERROR(__xludf.DUMMYFUNCTION("""COMPUTED_VALUE"""),1.0)</f>
        <v>1</v>
      </c>
      <c r="AA4035" s="124" t="str">
        <f>IFERROR(__xludf.DUMMYFUNCTION("""COMPUTED_VALUE"""),"Fake Lead")</f>
        <v>Fake Lead</v>
      </c>
      <c r="AB4035" s="124"/>
    </row>
    <row r="4036">
      <c r="K4036" s="124"/>
      <c r="L4036" s="124"/>
      <c r="M4036" s="124"/>
      <c r="N4036" s="124"/>
      <c r="O4036" s="124"/>
      <c r="T4036" s="126">
        <f>IFERROR(__xludf.DUMMYFUNCTION("""COMPUTED_VALUE"""),46074.0)</f>
        <v>46074</v>
      </c>
      <c r="U4036" s="124" t="str">
        <f>IFERROR(__xludf.DUMMYFUNCTION("""COMPUTED_VALUE"""),"Telephony")</f>
        <v>Telephony</v>
      </c>
      <c r="V4036" s="124" t="str">
        <f>IFERROR(__xludf.DUMMYFUNCTION("""COMPUTED_VALUE"""),"Inbound Call")</f>
        <v>Inbound Call</v>
      </c>
      <c r="W4036" s="124">
        <f>IFERROR(__xludf.DUMMYFUNCTION("""COMPUTED_VALUE"""),9.18047861635E11)</f>
        <v>918047861635</v>
      </c>
      <c r="X4036" s="124" t="str">
        <f>IFERROR(__xludf.DUMMYFUNCTION("""COMPUTED_VALUE"""),"Inbound Call")</f>
        <v>Inbound Call</v>
      </c>
      <c r="Y4036" s="124" t="str">
        <f>IFERROR(__xludf.DUMMYFUNCTION("""COMPUTED_VALUE"""),"Indore")</f>
        <v>Indore</v>
      </c>
      <c r="Z4036" s="124">
        <f>IFERROR(__xludf.DUMMYFUNCTION("""COMPUTED_VALUE"""),1.0)</f>
        <v>1</v>
      </c>
      <c r="AA4036" s="124" t="str">
        <f>IFERROR(__xludf.DUMMYFUNCTION("""COMPUTED_VALUE"""),"Not Interested")</f>
        <v>Not Interested</v>
      </c>
      <c r="AB4036" s="124"/>
    </row>
    <row r="4037">
      <c r="K4037" s="124"/>
      <c r="L4037" s="124"/>
      <c r="M4037" s="124"/>
      <c r="N4037" s="124"/>
      <c r="O4037" s="124"/>
      <c r="T4037" s="126">
        <f>IFERROR(__xludf.DUMMYFUNCTION("""COMPUTED_VALUE"""),46103.0)</f>
        <v>46103</v>
      </c>
      <c r="U4037" s="124" t="str">
        <f>IFERROR(__xludf.DUMMYFUNCTION("""COMPUTED_VALUE"""),"Telephony")</f>
        <v>Telephony</v>
      </c>
      <c r="V4037" s="124" t="str">
        <f>IFERROR(__xludf.DUMMYFUNCTION("""COMPUTED_VALUE"""),"Inbound Call")</f>
        <v>Inbound Call</v>
      </c>
      <c r="W4037" s="124">
        <f>IFERROR(__xludf.DUMMYFUNCTION("""COMPUTED_VALUE"""),9.18047861634E11)</f>
        <v>918047861634</v>
      </c>
      <c r="X4037" s="124" t="str">
        <f>IFERROR(__xludf.DUMMYFUNCTION("""COMPUTED_VALUE"""),"Inbound Call")</f>
        <v>Inbound Call</v>
      </c>
      <c r="Y4037" s="124"/>
      <c r="Z4037" s="124">
        <f>IFERROR(__xludf.DUMMYFUNCTION("""COMPUTED_VALUE"""),2.0)</f>
        <v>2</v>
      </c>
      <c r="AA4037" s="124" t="str">
        <f>IFERROR(__xludf.DUMMYFUNCTION("""COMPUTED_VALUE"""),"Cold")</f>
        <v>Cold</v>
      </c>
      <c r="AB4037" s="124"/>
    </row>
    <row r="4038">
      <c r="K4038" s="124"/>
      <c r="L4038" s="124"/>
      <c r="M4038" s="124"/>
      <c r="N4038" s="124"/>
      <c r="O4038" s="124"/>
      <c r="T4038" s="126">
        <f>IFERROR(__xludf.DUMMYFUNCTION("""COMPUTED_VALUE"""),46048.0)</f>
        <v>46048</v>
      </c>
      <c r="U4038" s="124" t="str">
        <f>IFERROR(__xludf.DUMMYFUNCTION("""COMPUTED_VALUE"""),"Telephony")</f>
        <v>Telephony</v>
      </c>
      <c r="V4038" s="124" t="str">
        <f>IFERROR(__xludf.DUMMYFUNCTION("""COMPUTED_VALUE"""),"Inbound Call")</f>
        <v>Inbound Call</v>
      </c>
      <c r="W4038" s="124">
        <f>IFERROR(__xludf.DUMMYFUNCTION("""COMPUTED_VALUE"""),9.18047861631E11)</f>
        <v>918047861631</v>
      </c>
      <c r="X4038" s="124" t="str">
        <f>IFERROR(__xludf.DUMMYFUNCTION("""COMPUTED_VALUE"""),"Inbound Call")</f>
        <v>Inbound Call</v>
      </c>
      <c r="Y4038" s="124"/>
      <c r="Z4038" s="124">
        <f>IFERROR(__xludf.DUMMYFUNCTION("""COMPUTED_VALUE"""),1.0)</f>
        <v>1</v>
      </c>
      <c r="AA4038" s="124" t="str">
        <f>IFERROR(__xludf.DUMMYFUNCTION("""COMPUTED_VALUE"""),"Cold")</f>
        <v>Cold</v>
      </c>
      <c r="AB4038" s="124"/>
    </row>
    <row r="4039">
      <c r="K4039" s="124"/>
      <c r="L4039" s="124"/>
      <c r="M4039" s="124"/>
      <c r="N4039" s="124"/>
      <c r="O4039" s="124"/>
      <c r="T4039" s="126">
        <f>IFERROR(__xludf.DUMMYFUNCTION("""COMPUTED_VALUE"""),46051.0)</f>
        <v>46051</v>
      </c>
      <c r="U4039" s="124" t="str">
        <f>IFERROR(__xludf.DUMMYFUNCTION("""COMPUTED_VALUE"""),"Telephony")</f>
        <v>Telephony</v>
      </c>
      <c r="V4039" s="124" t="str">
        <f>IFERROR(__xludf.DUMMYFUNCTION("""COMPUTED_VALUE"""),"Inbound Call")</f>
        <v>Inbound Call</v>
      </c>
      <c r="W4039" s="124" t="str">
        <f>IFERROR(__xludf.DUMMYFUNCTION("""COMPUTED_VALUE"""),"Inbound Call")</f>
        <v>Inbound Call</v>
      </c>
      <c r="X4039" s="124" t="str">
        <f>IFERROR(__xludf.DUMMYFUNCTION("""COMPUTED_VALUE"""),"Inbound Call")</f>
        <v>Inbound Call</v>
      </c>
      <c r="Y4039" s="124"/>
      <c r="Z4039" s="124">
        <f>IFERROR(__xludf.DUMMYFUNCTION("""COMPUTED_VALUE"""),1.0)</f>
        <v>1</v>
      </c>
      <c r="AA4039" s="124" t="str">
        <f>IFERROR(__xludf.DUMMYFUNCTION("""COMPUTED_VALUE"""),"Not Interested")</f>
        <v>Not Interested</v>
      </c>
      <c r="AB4039" s="124"/>
    </row>
    <row r="4040">
      <c r="K4040" s="124"/>
      <c r="L4040" s="124"/>
      <c r="M4040" s="124"/>
      <c r="N4040" s="124"/>
      <c r="O4040" s="124"/>
      <c r="T4040" s="126">
        <f>IFERROR(__xludf.DUMMYFUNCTION("""COMPUTED_VALUE"""),46080.0)</f>
        <v>46080</v>
      </c>
      <c r="U4040" s="124" t="str">
        <f>IFERROR(__xludf.DUMMYFUNCTION("""COMPUTED_VALUE"""),"Telephony")</f>
        <v>Telephony</v>
      </c>
      <c r="V4040" s="124" t="str">
        <f>IFERROR(__xludf.DUMMYFUNCTION("""COMPUTED_VALUE"""),"Inbound Call")</f>
        <v>Inbound Call</v>
      </c>
      <c r="W4040" s="124">
        <f>IFERROR(__xludf.DUMMYFUNCTION("""COMPUTED_VALUE"""),9.18047861663E11)</f>
        <v>918047861663</v>
      </c>
      <c r="X4040" s="124" t="str">
        <f>IFERROR(__xludf.DUMMYFUNCTION("""COMPUTED_VALUE"""),"Inbound Call")</f>
        <v>Inbound Call</v>
      </c>
      <c r="Y4040" s="124" t="str">
        <f>IFERROR(__xludf.DUMMYFUNCTION("""COMPUTED_VALUE"""),"Delhi")</f>
        <v>Delhi</v>
      </c>
      <c r="Z4040" s="124">
        <f>IFERROR(__xludf.DUMMYFUNCTION("""COMPUTED_VALUE"""),1.0)</f>
        <v>1</v>
      </c>
      <c r="AA4040" s="124" t="str">
        <f>IFERROR(__xludf.DUMMYFUNCTION("""COMPUTED_VALUE"""),"Not Interested")</f>
        <v>Not Interested</v>
      </c>
      <c r="AB4040" s="124"/>
    </row>
    <row r="4041">
      <c r="K4041" s="124"/>
      <c r="L4041" s="124"/>
      <c r="M4041" s="124"/>
      <c r="N4041" s="124"/>
      <c r="O4041" s="124"/>
      <c r="T4041" s="126">
        <f>IFERROR(__xludf.DUMMYFUNCTION("""COMPUTED_VALUE"""),46110.0)</f>
        <v>46110</v>
      </c>
      <c r="U4041" s="124" t="str">
        <f>IFERROR(__xludf.DUMMYFUNCTION("""COMPUTED_VALUE"""),"Telephony")</f>
        <v>Telephony</v>
      </c>
      <c r="V4041" s="124" t="str">
        <f>IFERROR(__xludf.DUMMYFUNCTION("""COMPUTED_VALUE"""),"Inbound Call")</f>
        <v>Inbound Call</v>
      </c>
      <c r="W4041" s="124">
        <f>IFERROR(__xludf.DUMMYFUNCTION("""COMPUTED_VALUE"""),9.18047861633E11)</f>
        <v>918047861633</v>
      </c>
      <c r="X4041" s="124" t="str">
        <f>IFERROR(__xludf.DUMMYFUNCTION("""COMPUTED_VALUE"""),"Inbound Call")</f>
        <v>Inbound Call</v>
      </c>
      <c r="Y4041" s="124"/>
      <c r="Z4041" s="124">
        <f>IFERROR(__xludf.DUMMYFUNCTION("""COMPUTED_VALUE"""),1.0)</f>
        <v>1</v>
      </c>
      <c r="AA4041" s="124" t="str">
        <f>IFERROR(__xludf.DUMMYFUNCTION("""COMPUTED_VALUE"""),"Cold")</f>
        <v>Cold</v>
      </c>
      <c r="AB4041" s="124"/>
    </row>
    <row r="4042">
      <c r="K4042" s="124"/>
      <c r="L4042" s="124"/>
      <c r="M4042" s="124"/>
      <c r="N4042" s="124"/>
      <c r="O4042" s="124"/>
      <c r="T4042" s="126">
        <f>IFERROR(__xludf.DUMMYFUNCTION("""COMPUTED_VALUE"""),46111.0)</f>
        <v>46111</v>
      </c>
      <c r="U4042" s="124" t="str">
        <f>IFERROR(__xludf.DUMMYFUNCTION("""COMPUTED_VALUE"""),"Telephony")</f>
        <v>Telephony</v>
      </c>
      <c r="V4042" s="124" t="str">
        <f>IFERROR(__xludf.DUMMYFUNCTION("""COMPUTED_VALUE"""),"Inbound Call")</f>
        <v>Inbound Call</v>
      </c>
      <c r="W4042" s="124">
        <f>IFERROR(__xludf.DUMMYFUNCTION("""COMPUTED_VALUE"""),9.18047861631E11)</f>
        <v>918047861631</v>
      </c>
      <c r="X4042" s="124" t="str">
        <f>IFERROR(__xludf.DUMMYFUNCTION("""COMPUTED_VALUE"""),"Inbound Call")</f>
        <v>Inbound Call</v>
      </c>
      <c r="Y4042" s="124"/>
      <c r="Z4042" s="124">
        <f>IFERROR(__xludf.DUMMYFUNCTION("""COMPUTED_VALUE"""),1.0)</f>
        <v>1</v>
      </c>
      <c r="AA4042" s="124" t="str">
        <f>IFERROR(__xludf.DUMMYFUNCTION("""COMPUTED_VALUE"""),"Fake Lead")</f>
        <v>Fake Lead</v>
      </c>
      <c r="AB4042" s="124"/>
    </row>
    <row r="4043">
      <c r="K4043" s="124"/>
      <c r="L4043" s="124"/>
      <c r="M4043" s="124"/>
      <c r="N4043" s="124"/>
      <c r="O4043" s="124"/>
      <c r="T4043" s="129">
        <f>IFERROR(__xludf.DUMMYFUNCTION("""COMPUTED_VALUE"""),46057.0)</f>
        <v>46057</v>
      </c>
      <c r="U4043" s="124" t="str">
        <f>IFERROR(__xludf.DUMMYFUNCTION("""COMPUTED_VALUE"""),"Telephony")</f>
        <v>Telephony</v>
      </c>
      <c r="V4043" s="124" t="str">
        <f>IFERROR(__xludf.DUMMYFUNCTION("""COMPUTED_VALUE"""),"Inbound Call")</f>
        <v>Inbound Call</v>
      </c>
      <c r="W4043" s="124">
        <f>IFERROR(__xludf.DUMMYFUNCTION("""COMPUTED_VALUE"""),9.18047861633E11)</f>
        <v>918047861633</v>
      </c>
      <c r="X4043" s="124" t="str">
        <f>IFERROR(__xludf.DUMMYFUNCTION("""COMPUTED_VALUE"""),"Inbound Call")</f>
        <v>Inbound Call</v>
      </c>
      <c r="Y4043" s="124" t="str">
        <f>IFERROR(__xludf.DUMMYFUNCTION("""COMPUTED_VALUE"""),"Patna")</f>
        <v>Patna</v>
      </c>
      <c r="Z4043" s="124">
        <f>IFERROR(__xludf.DUMMYFUNCTION("""COMPUTED_VALUE"""),1.0)</f>
        <v>1</v>
      </c>
      <c r="AA4043" s="124" t="str">
        <f>IFERROR(__xludf.DUMMYFUNCTION("""COMPUTED_VALUE"""),"Cold")</f>
        <v>Cold</v>
      </c>
      <c r="AB4043" s="124" t="str">
        <f>IFERROR(__xludf.DUMMYFUNCTION("""COMPUTED_VALUE"""),"GS Foundation")</f>
        <v>GS Foundation</v>
      </c>
    </row>
    <row r="4044">
      <c r="K4044" s="124"/>
      <c r="L4044" s="124"/>
      <c r="M4044" s="124"/>
      <c r="N4044" s="124"/>
      <c r="O4044" s="124"/>
      <c r="T4044" s="129">
        <f>IFERROR(__xludf.DUMMYFUNCTION("""COMPUTED_VALUE"""),46086.0)</f>
        <v>46086</v>
      </c>
      <c r="U4044" s="124" t="str">
        <f>IFERROR(__xludf.DUMMYFUNCTION("""COMPUTED_VALUE"""),"Telephony")</f>
        <v>Telephony</v>
      </c>
      <c r="V4044" s="124" t="str">
        <f>IFERROR(__xludf.DUMMYFUNCTION("""COMPUTED_VALUE"""),"Inbound Call")</f>
        <v>Inbound Call</v>
      </c>
      <c r="W4044" s="124" t="str">
        <f>IFERROR(__xludf.DUMMYFUNCTION("""COMPUTED_VALUE"""),"Inbound Call")</f>
        <v>Inbound Call</v>
      </c>
      <c r="X4044" s="124" t="str">
        <f>IFERROR(__xludf.DUMMYFUNCTION("""COMPUTED_VALUE"""),"Inbound Call")</f>
        <v>Inbound Call</v>
      </c>
      <c r="Y4044" s="124" t="str">
        <f>IFERROR(__xludf.DUMMYFUNCTION("""COMPUTED_VALUE"""),"Lucknow")</f>
        <v>Lucknow</v>
      </c>
      <c r="Z4044" s="124">
        <f>IFERROR(__xludf.DUMMYFUNCTION("""COMPUTED_VALUE"""),1.0)</f>
        <v>1</v>
      </c>
      <c r="AA4044" s="124" t="str">
        <f>IFERROR(__xludf.DUMMYFUNCTION("""COMPUTED_VALUE"""),"Cold")</f>
        <v>Cold</v>
      </c>
      <c r="AB4044" s="124" t="str">
        <f>IFERROR(__xludf.DUMMYFUNCTION("""COMPUTED_VALUE"""),"IGP UPPSC")</f>
        <v>IGP UPPSC</v>
      </c>
    </row>
    <row r="4045">
      <c r="K4045" s="124"/>
      <c r="L4045" s="124"/>
      <c r="M4045" s="124"/>
      <c r="N4045" s="124"/>
      <c r="O4045" s="124"/>
      <c r="T4045" s="126">
        <f>IFERROR(__xludf.DUMMYFUNCTION("""COMPUTED_VALUE"""),46108.0)</f>
        <v>46108</v>
      </c>
      <c r="U4045" s="124" t="str">
        <f>IFERROR(__xludf.DUMMYFUNCTION("""COMPUTED_VALUE"""),"Telephony")</f>
        <v>Telephony</v>
      </c>
      <c r="V4045" s="124" t="str">
        <f>IFERROR(__xludf.DUMMYFUNCTION("""COMPUTED_VALUE"""),"Inbound Call")</f>
        <v>Inbound Call</v>
      </c>
      <c r="W4045" s="124">
        <f>IFERROR(__xludf.DUMMYFUNCTION("""COMPUTED_VALUE"""),9.18047861631E11)</f>
        <v>918047861631</v>
      </c>
      <c r="X4045" s="124" t="str">
        <f>IFERROR(__xludf.DUMMYFUNCTION("""COMPUTED_VALUE"""),"Inbound Call")</f>
        <v>Inbound Call</v>
      </c>
      <c r="Y4045" s="124" t="str">
        <f>IFERROR(__xludf.DUMMYFUNCTION("""COMPUTED_VALUE"""),"Delhi")</f>
        <v>Delhi</v>
      </c>
      <c r="Z4045" s="124">
        <f>IFERROR(__xludf.DUMMYFUNCTION("""COMPUTED_VALUE"""),1.0)</f>
        <v>1</v>
      </c>
      <c r="AA4045" s="124" t="str">
        <f>IFERROR(__xludf.DUMMYFUNCTION("""COMPUTED_VALUE"""),"Not Interested")</f>
        <v>Not Interested</v>
      </c>
      <c r="AB4045" s="124"/>
    </row>
    <row r="4046">
      <c r="K4046" s="124"/>
      <c r="L4046" s="124"/>
      <c r="M4046" s="124"/>
      <c r="N4046" s="124"/>
      <c r="O4046" s="124"/>
      <c r="T4046" s="126">
        <f>IFERROR(__xludf.DUMMYFUNCTION("""COMPUTED_VALUE"""),46100.0)</f>
        <v>46100</v>
      </c>
      <c r="U4046" s="124" t="str">
        <f>IFERROR(__xludf.DUMMYFUNCTION("""COMPUTED_VALUE"""),"Telephony")</f>
        <v>Telephony</v>
      </c>
      <c r="V4046" s="124" t="str">
        <f>IFERROR(__xludf.DUMMYFUNCTION("""COMPUTED_VALUE"""),"Inbound Call")</f>
        <v>Inbound Call</v>
      </c>
      <c r="W4046" s="124">
        <f>IFERROR(__xludf.DUMMYFUNCTION("""COMPUTED_VALUE"""),9.18047861635E11)</f>
        <v>918047861635</v>
      </c>
      <c r="X4046" s="124" t="str">
        <f>IFERROR(__xludf.DUMMYFUNCTION("""COMPUTED_VALUE"""),"Inbound Call")</f>
        <v>Inbound Call</v>
      </c>
      <c r="Y4046" s="124"/>
      <c r="Z4046" s="124">
        <f>IFERROR(__xludf.DUMMYFUNCTION("""COMPUTED_VALUE"""),1.0)</f>
        <v>1</v>
      </c>
      <c r="AA4046" s="124" t="str">
        <f>IFERROR(__xludf.DUMMYFUNCTION("""COMPUTED_VALUE"""),"Cold")</f>
        <v>Cold</v>
      </c>
      <c r="AB4046" s="124"/>
    </row>
    <row r="4047">
      <c r="K4047" s="124"/>
      <c r="L4047" s="124"/>
      <c r="M4047" s="124"/>
      <c r="N4047" s="124"/>
      <c r="O4047" s="124"/>
      <c r="T4047" s="126">
        <f>IFERROR(__xludf.DUMMYFUNCTION("""COMPUTED_VALUE"""),46046.0)</f>
        <v>46046</v>
      </c>
      <c r="U4047" s="124" t="str">
        <f>IFERROR(__xludf.DUMMYFUNCTION("""COMPUTED_VALUE"""),"Telephony")</f>
        <v>Telephony</v>
      </c>
      <c r="V4047" s="124" t="str">
        <f>IFERROR(__xludf.DUMMYFUNCTION("""COMPUTED_VALUE"""),"Inbound Call")</f>
        <v>Inbound Call</v>
      </c>
      <c r="W4047" s="124">
        <f>IFERROR(__xludf.DUMMYFUNCTION("""COMPUTED_VALUE"""),9.18047861634E11)</f>
        <v>918047861634</v>
      </c>
      <c r="X4047" s="124" t="str">
        <f>IFERROR(__xludf.DUMMYFUNCTION("""COMPUTED_VALUE"""),"Inbound Call")</f>
        <v>Inbound Call</v>
      </c>
      <c r="Y4047" s="124"/>
      <c r="Z4047" s="124">
        <f>IFERROR(__xludf.DUMMYFUNCTION("""COMPUTED_VALUE"""),1.0)</f>
        <v>1</v>
      </c>
      <c r="AA4047" s="124" t="str">
        <f>IFERROR(__xludf.DUMMYFUNCTION("""COMPUTED_VALUE"""),"Fake Lead")</f>
        <v>Fake Lead</v>
      </c>
      <c r="AB4047" s="124"/>
    </row>
    <row r="4048">
      <c r="K4048" s="124"/>
      <c r="L4048" s="124"/>
      <c r="M4048" s="124"/>
      <c r="N4048" s="124"/>
      <c r="O4048" s="124"/>
      <c r="T4048" s="129">
        <f>IFERROR(__xludf.DUMMYFUNCTION("""COMPUTED_VALUE"""),46058.0)</f>
        <v>46058</v>
      </c>
      <c r="U4048" s="124" t="str">
        <f>IFERROR(__xludf.DUMMYFUNCTION("""COMPUTED_VALUE"""),"Telephony")</f>
        <v>Telephony</v>
      </c>
      <c r="V4048" s="124" t="str">
        <f>IFERROR(__xludf.DUMMYFUNCTION("""COMPUTED_VALUE"""),"Inbound Call")</f>
        <v>Inbound Call</v>
      </c>
      <c r="W4048" s="124" t="str">
        <f>IFERROR(__xludf.DUMMYFUNCTION("""COMPUTED_VALUE"""),"Inbound Call")</f>
        <v>Inbound Call</v>
      </c>
      <c r="X4048" s="124" t="str">
        <f>IFERROR(__xludf.DUMMYFUNCTION("""COMPUTED_VALUE"""),"Inbound Call")</f>
        <v>Inbound Call</v>
      </c>
      <c r="Y4048" s="124" t="str">
        <f>IFERROR(__xludf.DUMMYFUNCTION("""COMPUTED_VALUE"""),"Indore")</f>
        <v>Indore</v>
      </c>
      <c r="Z4048" s="124">
        <f>IFERROR(__xludf.DUMMYFUNCTION("""COMPUTED_VALUE"""),1.0)</f>
        <v>1</v>
      </c>
      <c r="AA4048" s="124" t="str">
        <f>IFERROR(__xludf.DUMMYFUNCTION("""COMPUTED_VALUE"""),"Fake Lead")</f>
        <v>Fake Lead</v>
      </c>
      <c r="AB4048" s="124"/>
    </row>
    <row r="4049">
      <c r="K4049" s="124"/>
      <c r="L4049" s="124"/>
      <c r="M4049" s="124"/>
      <c r="N4049" s="124"/>
      <c r="O4049" s="124"/>
      <c r="T4049" s="126">
        <f>IFERROR(__xludf.DUMMYFUNCTION("""COMPUTED_VALUE"""),46043.0)</f>
        <v>46043</v>
      </c>
      <c r="U4049" s="124" t="str">
        <f>IFERROR(__xludf.DUMMYFUNCTION("""COMPUTED_VALUE"""),"Telephony")</f>
        <v>Telephony</v>
      </c>
      <c r="V4049" s="124" t="str">
        <f>IFERROR(__xludf.DUMMYFUNCTION("""COMPUTED_VALUE"""),"Inbound Call")</f>
        <v>Inbound Call</v>
      </c>
      <c r="W4049" s="124" t="str">
        <f>IFERROR(__xludf.DUMMYFUNCTION("""COMPUTED_VALUE"""),"Inbound Call")</f>
        <v>Inbound Call</v>
      </c>
      <c r="X4049" s="124" t="str">
        <f>IFERROR(__xludf.DUMMYFUNCTION("""COMPUTED_VALUE"""),"Inbound Call")</f>
        <v>Inbound Call</v>
      </c>
      <c r="Y4049" s="124"/>
      <c r="Z4049" s="124">
        <f>IFERROR(__xludf.DUMMYFUNCTION("""COMPUTED_VALUE"""),1.0)</f>
        <v>1</v>
      </c>
      <c r="AA4049" s="124" t="str">
        <f>IFERROR(__xludf.DUMMYFUNCTION("""COMPUTED_VALUE"""),"Cold")</f>
        <v>Cold</v>
      </c>
      <c r="AB4049" s="124" t="str">
        <f>IFERROR(__xludf.DUMMYFUNCTION("""COMPUTED_VALUE"""),"GS Foundation")</f>
        <v>GS Foundation</v>
      </c>
    </row>
    <row r="4050">
      <c r="K4050" s="124"/>
      <c r="L4050" s="124"/>
      <c r="M4050" s="124"/>
      <c r="N4050" s="124"/>
      <c r="O4050" s="124"/>
      <c r="T4050" s="126">
        <f>IFERROR(__xludf.DUMMYFUNCTION("""COMPUTED_VALUE"""),46049.0)</f>
        <v>46049</v>
      </c>
      <c r="U4050" s="124" t="str">
        <f>IFERROR(__xludf.DUMMYFUNCTION("""COMPUTED_VALUE"""),"Telephony")</f>
        <v>Telephony</v>
      </c>
      <c r="V4050" s="124" t="str">
        <f>IFERROR(__xludf.DUMMYFUNCTION("""COMPUTED_VALUE"""),"Inbound Call")</f>
        <v>Inbound Call</v>
      </c>
      <c r="W4050" s="124">
        <f>IFERROR(__xludf.DUMMYFUNCTION("""COMPUTED_VALUE"""),9.18047861663E11)</f>
        <v>918047861663</v>
      </c>
      <c r="X4050" s="124" t="str">
        <f>IFERROR(__xludf.DUMMYFUNCTION("""COMPUTED_VALUE"""),"Inbound Call")</f>
        <v>Inbound Call</v>
      </c>
      <c r="Y4050" s="124" t="str">
        <f>IFERROR(__xludf.DUMMYFUNCTION("""COMPUTED_VALUE"""),"Patna")</f>
        <v>Patna</v>
      </c>
      <c r="Z4050" s="124">
        <f>IFERROR(__xludf.DUMMYFUNCTION("""COMPUTED_VALUE"""),1.0)</f>
        <v>1</v>
      </c>
      <c r="AA4050" s="124" t="str">
        <f>IFERROR(__xludf.DUMMYFUNCTION("""COMPUTED_VALUE"""),"Cold")</f>
        <v>Cold</v>
      </c>
      <c r="AB4050" s="124" t="str">
        <f>IFERROR(__xludf.DUMMYFUNCTION("""COMPUTED_VALUE"""),"GS Foundation")</f>
        <v>GS Foundation</v>
      </c>
    </row>
    <row r="4051">
      <c r="K4051" s="124"/>
      <c r="L4051" s="124"/>
      <c r="M4051" s="124"/>
      <c r="N4051" s="124"/>
      <c r="O4051" s="124"/>
      <c r="T4051" s="126">
        <f>IFERROR(__xludf.DUMMYFUNCTION("""COMPUTED_VALUE"""),46064.0)</f>
        <v>46064</v>
      </c>
      <c r="U4051" s="124" t="str">
        <f>IFERROR(__xludf.DUMMYFUNCTION("""COMPUTED_VALUE"""),"Telephony")</f>
        <v>Telephony</v>
      </c>
      <c r="V4051" s="124" t="str">
        <f>IFERROR(__xludf.DUMMYFUNCTION("""COMPUTED_VALUE"""),"Inbound Call")</f>
        <v>Inbound Call</v>
      </c>
      <c r="W4051" s="124">
        <f>IFERROR(__xludf.DUMMYFUNCTION("""COMPUTED_VALUE"""),9.18047861663E11)</f>
        <v>918047861663</v>
      </c>
      <c r="X4051" s="124" t="str">
        <f>IFERROR(__xludf.DUMMYFUNCTION("""COMPUTED_VALUE"""),"Inbound Call")</f>
        <v>Inbound Call</v>
      </c>
      <c r="Y4051" s="124"/>
      <c r="Z4051" s="124">
        <f>IFERROR(__xludf.DUMMYFUNCTION("""COMPUTED_VALUE"""),1.0)</f>
        <v>1</v>
      </c>
      <c r="AA4051" s="124" t="str">
        <f>IFERROR(__xludf.DUMMYFUNCTION("""COMPUTED_VALUE"""),"Not Interested")</f>
        <v>Not Interested</v>
      </c>
      <c r="AB4051" s="124"/>
    </row>
    <row r="4052">
      <c r="K4052" s="124"/>
      <c r="L4052" s="124"/>
      <c r="M4052" s="124"/>
      <c r="N4052" s="124"/>
      <c r="O4052" s="124"/>
      <c r="T4052" s="126">
        <f>IFERROR(__xludf.DUMMYFUNCTION("""COMPUTED_VALUE"""),46104.0)</f>
        <v>46104</v>
      </c>
      <c r="U4052" s="124" t="str">
        <f>IFERROR(__xludf.DUMMYFUNCTION("""COMPUTED_VALUE"""),"Telephony")</f>
        <v>Telephony</v>
      </c>
      <c r="V4052" s="124" t="str">
        <f>IFERROR(__xludf.DUMMYFUNCTION("""COMPUTED_VALUE"""),"Inbound Call")</f>
        <v>Inbound Call</v>
      </c>
      <c r="W4052" s="124">
        <f>IFERROR(__xludf.DUMMYFUNCTION("""COMPUTED_VALUE"""),9.18047861635E11)</f>
        <v>918047861635</v>
      </c>
      <c r="X4052" s="124" t="str">
        <f>IFERROR(__xludf.DUMMYFUNCTION("""COMPUTED_VALUE"""),"Inbound Call")</f>
        <v>Inbound Call</v>
      </c>
      <c r="Y4052" s="124" t="str">
        <f>IFERROR(__xludf.DUMMYFUNCTION("""COMPUTED_VALUE"""),"Indore")</f>
        <v>Indore</v>
      </c>
      <c r="Z4052" s="124">
        <f>IFERROR(__xludf.DUMMYFUNCTION("""COMPUTED_VALUE"""),1.0)</f>
        <v>1</v>
      </c>
      <c r="AA4052" s="124" t="str">
        <f>IFERROR(__xludf.DUMMYFUNCTION("""COMPUTED_VALUE"""),"Warm")</f>
        <v>Warm</v>
      </c>
      <c r="AB4052" s="124" t="str">
        <f>IFERROR(__xludf.DUMMYFUNCTION("""COMPUTED_VALUE"""),"State PCS")</f>
        <v>State PCS</v>
      </c>
    </row>
    <row r="4053">
      <c r="K4053" s="124"/>
      <c r="L4053" s="124"/>
      <c r="M4053" s="124"/>
      <c r="N4053" s="124"/>
      <c r="O4053" s="124"/>
      <c r="T4053" s="126">
        <f>IFERROR(__xludf.DUMMYFUNCTION("""COMPUTED_VALUE"""),46075.0)</f>
        <v>46075</v>
      </c>
      <c r="U4053" s="124" t="str">
        <f>IFERROR(__xludf.DUMMYFUNCTION("""COMPUTED_VALUE"""),"Telephony")</f>
        <v>Telephony</v>
      </c>
      <c r="V4053" s="124" t="str">
        <f>IFERROR(__xludf.DUMMYFUNCTION("""COMPUTED_VALUE"""),"Inbound Call")</f>
        <v>Inbound Call</v>
      </c>
      <c r="W4053" s="124">
        <f>IFERROR(__xludf.DUMMYFUNCTION("""COMPUTED_VALUE"""),9.18047861631E11)</f>
        <v>918047861631</v>
      </c>
      <c r="X4053" s="124" t="str">
        <f>IFERROR(__xludf.DUMMYFUNCTION("""COMPUTED_VALUE"""),"Inbound Call")</f>
        <v>Inbound Call</v>
      </c>
      <c r="Y4053" s="124"/>
      <c r="Z4053" s="124">
        <f>IFERROR(__xludf.DUMMYFUNCTION("""COMPUTED_VALUE"""),1.0)</f>
        <v>1</v>
      </c>
      <c r="AA4053" s="124" t="str">
        <f>IFERROR(__xludf.DUMMYFUNCTION("""COMPUTED_VALUE"""),"Cold")</f>
        <v>Cold</v>
      </c>
      <c r="AB4053" s="124"/>
    </row>
    <row r="4054">
      <c r="K4054" s="124"/>
      <c r="L4054" s="124"/>
      <c r="M4054" s="124"/>
      <c r="N4054" s="124"/>
      <c r="O4054" s="124"/>
      <c r="T4054" s="129">
        <f>IFERROR(__xludf.DUMMYFUNCTION("""COMPUTED_VALUE"""),46055.0)</f>
        <v>46055</v>
      </c>
      <c r="U4054" s="124" t="str">
        <f>IFERROR(__xludf.DUMMYFUNCTION("""COMPUTED_VALUE"""),"Telephony")</f>
        <v>Telephony</v>
      </c>
      <c r="V4054" s="124" t="str">
        <f>IFERROR(__xludf.DUMMYFUNCTION("""COMPUTED_VALUE"""),"Inbound Call")</f>
        <v>Inbound Call</v>
      </c>
      <c r="W4054" s="124">
        <f>IFERROR(__xludf.DUMMYFUNCTION("""COMPUTED_VALUE"""),9.18047861631E11)</f>
        <v>918047861631</v>
      </c>
      <c r="X4054" s="124" t="str">
        <f>IFERROR(__xludf.DUMMYFUNCTION("""COMPUTED_VALUE"""),"Inbound Call")</f>
        <v>Inbound Call</v>
      </c>
      <c r="Y4054" s="124"/>
      <c r="Z4054" s="124">
        <f>IFERROR(__xludf.DUMMYFUNCTION("""COMPUTED_VALUE"""),1.0)</f>
        <v>1</v>
      </c>
      <c r="AA4054" s="124" t="str">
        <f>IFERROR(__xludf.DUMMYFUNCTION("""COMPUTED_VALUE"""),"Not Interested")</f>
        <v>Not Interested</v>
      </c>
      <c r="AB4054" s="124"/>
    </row>
    <row r="4055">
      <c r="K4055" s="124"/>
      <c r="L4055" s="124"/>
      <c r="M4055" s="124"/>
      <c r="N4055" s="124"/>
      <c r="O4055" s="124"/>
      <c r="T4055" s="126">
        <f>IFERROR(__xludf.DUMMYFUNCTION("""COMPUTED_VALUE"""),46079.0)</f>
        <v>46079</v>
      </c>
      <c r="U4055" s="124" t="str">
        <f>IFERROR(__xludf.DUMMYFUNCTION("""COMPUTED_VALUE"""),"Telephony")</f>
        <v>Telephony</v>
      </c>
      <c r="V4055" s="124" t="str">
        <f>IFERROR(__xludf.DUMMYFUNCTION("""COMPUTED_VALUE"""),"Inbound Call")</f>
        <v>Inbound Call</v>
      </c>
      <c r="W4055" s="124">
        <f>IFERROR(__xludf.DUMMYFUNCTION("""COMPUTED_VALUE"""),9.18047861632E11)</f>
        <v>918047861632</v>
      </c>
      <c r="X4055" s="124" t="str">
        <f>IFERROR(__xludf.DUMMYFUNCTION("""COMPUTED_VALUE"""),"Inbound Call")</f>
        <v>Inbound Call</v>
      </c>
      <c r="Y4055" s="124"/>
      <c r="Z4055" s="124">
        <f>IFERROR(__xludf.DUMMYFUNCTION("""COMPUTED_VALUE"""),1.0)</f>
        <v>1</v>
      </c>
      <c r="AA4055" s="124" t="str">
        <f>IFERROR(__xludf.DUMMYFUNCTION("""COMPUTED_VALUE"""),"Cold")</f>
        <v>Cold</v>
      </c>
      <c r="AB4055" s="124"/>
    </row>
    <row r="4056">
      <c r="K4056" s="124"/>
      <c r="L4056" s="124"/>
      <c r="M4056" s="124"/>
      <c r="N4056" s="124"/>
      <c r="O4056" s="124"/>
      <c r="T4056" s="129">
        <f>IFERROR(__xludf.DUMMYFUNCTION("""COMPUTED_VALUE"""),46060.0)</f>
        <v>46060</v>
      </c>
      <c r="U4056" s="124" t="str">
        <f>IFERROR(__xludf.DUMMYFUNCTION("""COMPUTED_VALUE"""),"Telephony")</f>
        <v>Telephony</v>
      </c>
      <c r="V4056" s="124" t="str">
        <f>IFERROR(__xludf.DUMMYFUNCTION("""COMPUTED_VALUE"""),"Inbound Call")</f>
        <v>Inbound Call</v>
      </c>
      <c r="W4056" s="124">
        <f>IFERROR(__xludf.DUMMYFUNCTION("""COMPUTED_VALUE"""),9.18047861635E11)</f>
        <v>918047861635</v>
      </c>
      <c r="X4056" s="124" t="str">
        <f>IFERROR(__xludf.DUMMYFUNCTION("""COMPUTED_VALUE"""),"Inbound Call")</f>
        <v>Inbound Call</v>
      </c>
      <c r="Y4056" s="124" t="str">
        <f>IFERROR(__xludf.DUMMYFUNCTION("""COMPUTED_VALUE"""),"Indore")</f>
        <v>Indore</v>
      </c>
      <c r="Z4056" s="124">
        <f>IFERROR(__xludf.DUMMYFUNCTION("""COMPUTED_VALUE"""),1.0)</f>
        <v>1</v>
      </c>
      <c r="AA4056" s="124" t="str">
        <f>IFERROR(__xludf.DUMMYFUNCTION("""COMPUTED_VALUE"""),"Cold")</f>
        <v>Cold</v>
      </c>
      <c r="AB4056" s="124" t="str">
        <f>IFERROR(__xludf.DUMMYFUNCTION("""COMPUTED_VALUE"""),"Other")</f>
        <v>Other</v>
      </c>
    </row>
    <row r="4057">
      <c r="K4057" s="124"/>
      <c r="L4057" s="124"/>
      <c r="M4057" s="124"/>
      <c r="N4057" s="124"/>
      <c r="O4057" s="124"/>
      <c r="T4057" s="126">
        <f>IFERROR(__xludf.DUMMYFUNCTION("""COMPUTED_VALUE"""),46108.0)</f>
        <v>46108</v>
      </c>
      <c r="U4057" s="124" t="str">
        <f>IFERROR(__xludf.DUMMYFUNCTION("""COMPUTED_VALUE"""),"Telephony")</f>
        <v>Telephony</v>
      </c>
      <c r="V4057" s="124" t="str">
        <f>IFERROR(__xludf.DUMMYFUNCTION("""COMPUTED_VALUE"""),"Inbound Call")</f>
        <v>Inbound Call</v>
      </c>
      <c r="W4057" s="124">
        <f>IFERROR(__xludf.DUMMYFUNCTION("""COMPUTED_VALUE"""),9.18047861663E11)</f>
        <v>918047861663</v>
      </c>
      <c r="X4057" s="124" t="str">
        <f>IFERROR(__xludf.DUMMYFUNCTION("""COMPUTED_VALUE"""),"Inbound Call")</f>
        <v>Inbound Call</v>
      </c>
      <c r="Y4057" s="124" t="str">
        <f>IFERROR(__xludf.DUMMYFUNCTION("""COMPUTED_VALUE"""),"Delhi")</f>
        <v>Delhi</v>
      </c>
      <c r="Z4057" s="124">
        <f>IFERROR(__xludf.DUMMYFUNCTION("""COMPUTED_VALUE"""),1.0)</f>
        <v>1</v>
      </c>
      <c r="AA4057" s="124" t="str">
        <f>IFERROR(__xludf.DUMMYFUNCTION("""COMPUTED_VALUE"""),"Warm")</f>
        <v>Warm</v>
      </c>
      <c r="AB4057" s="124"/>
    </row>
    <row r="4058">
      <c r="K4058" s="124"/>
      <c r="L4058" s="124"/>
      <c r="M4058" s="124"/>
      <c r="N4058" s="124"/>
      <c r="O4058" s="124"/>
      <c r="T4058" s="126">
        <f>IFERROR(__xludf.DUMMYFUNCTION("""COMPUTED_VALUE"""),46109.0)</f>
        <v>46109</v>
      </c>
      <c r="U4058" s="124" t="str">
        <f>IFERROR(__xludf.DUMMYFUNCTION("""COMPUTED_VALUE"""),"Telephony")</f>
        <v>Telephony</v>
      </c>
      <c r="V4058" s="124" t="str">
        <f>IFERROR(__xludf.DUMMYFUNCTION("""COMPUTED_VALUE"""),"Inbound Call")</f>
        <v>Inbound Call</v>
      </c>
      <c r="W4058" s="124">
        <f>IFERROR(__xludf.DUMMYFUNCTION("""COMPUTED_VALUE"""),9.18047861635E11)</f>
        <v>918047861635</v>
      </c>
      <c r="X4058" s="124" t="str">
        <f>IFERROR(__xludf.DUMMYFUNCTION("""COMPUTED_VALUE"""),"Inbound Call")</f>
        <v>Inbound Call</v>
      </c>
      <c r="Y4058" s="124"/>
      <c r="Z4058" s="124">
        <f>IFERROR(__xludf.DUMMYFUNCTION("""COMPUTED_VALUE"""),1.0)</f>
        <v>1</v>
      </c>
      <c r="AA4058" s="124" t="str">
        <f>IFERROR(__xludf.DUMMYFUNCTION("""COMPUTED_VALUE"""),"Fake Lead")</f>
        <v>Fake Lead</v>
      </c>
      <c r="AB4058" s="124"/>
    </row>
    <row r="4059">
      <c r="K4059" s="124"/>
      <c r="L4059" s="124"/>
      <c r="M4059" s="124"/>
      <c r="N4059" s="124"/>
      <c r="O4059" s="124"/>
      <c r="T4059" s="126">
        <f>IFERROR(__xludf.DUMMYFUNCTION("""COMPUTED_VALUE"""),46044.0)</f>
        <v>46044</v>
      </c>
      <c r="U4059" s="124" t="str">
        <f>IFERROR(__xludf.DUMMYFUNCTION("""COMPUTED_VALUE"""),"Telephony")</f>
        <v>Telephony</v>
      </c>
      <c r="V4059" s="124" t="str">
        <f>IFERROR(__xludf.DUMMYFUNCTION("""COMPUTED_VALUE"""),"Inbound Call")</f>
        <v>Inbound Call</v>
      </c>
      <c r="W4059" s="124">
        <f>IFERROR(__xludf.DUMMYFUNCTION("""COMPUTED_VALUE"""),9.18047861635E11)</f>
        <v>918047861635</v>
      </c>
      <c r="X4059" s="124" t="str">
        <f>IFERROR(__xludf.DUMMYFUNCTION("""COMPUTED_VALUE"""),"Inbound Call")</f>
        <v>Inbound Call</v>
      </c>
      <c r="Y4059" s="124" t="str">
        <f>IFERROR(__xludf.DUMMYFUNCTION("""COMPUTED_VALUE"""),"Indore")</f>
        <v>Indore</v>
      </c>
      <c r="Z4059" s="124">
        <f>IFERROR(__xludf.DUMMYFUNCTION("""COMPUTED_VALUE"""),1.0)</f>
        <v>1</v>
      </c>
      <c r="AA4059" s="124" t="str">
        <f>IFERROR(__xludf.DUMMYFUNCTION("""COMPUTED_VALUE"""),"Cold")</f>
        <v>Cold</v>
      </c>
      <c r="AB4059" s="124" t="str">
        <f>IFERROR(__xludf.DUMMYFUNCTION("""COMPUTED_VALUE"""),"GS Foundation")</f>
        <v>GS Foundation</v>
      </c>
    </row>
    <row r="4060">
      <c r="K4060" s="124"/>
      <c r="L4060" s="124"/>
      <c r="M4060" s="124"/>
      <c r="N4060" s="124"/>
      <c r="O4060" s="124"/>
      <c r="T4060" s="126">
        <f>IFERROR(__xludf.DUMMYFUNCTION("""COMPUTED_VALUE"""),46097.0)</f>
        <v>46097</v>
      </c>
      <c r="U4060" s="124" t="str">
        <f>IFERROR(__xludf.DUMMYFUNCTION("""COMPUTED_VALUE"""),"Telephony")</f>
        <v>Telephony</v>
      </c>
      <c r="V4060" s="124" t="str">
        <f>IFERROR(__xludf.DUMMYFUNCTION("""COMPUTED_VALUE"""),"Inbound Call")</f>
        <v>Inbound Call</v>
      </c>
      <c r="W4060" s="124">
        <f>IFERROR(__xludf.DUMMYFUNCTION("""COMPUTED_VALUE"""),9.18047861635E11)</f>
        <v>918047861635</v>
      </c>
      <c r="X4060" s="124" t="str">
        <f>IFERROR(__xludf.DUMMYFUNCTION("""COMPUTED_VALUE"""),"Inbound Call")</f>
        <v>Inbound Call</v>
      </c>
      <c r="Y4060" s="124" t="str">
        <f>IFERROR(__xludf.DUMMYFUNCTION("""COMPUTED_VALUE"""),"Indore")</f>
        <v>Indore</v>
      </c>
      <c r="Z4060" s="124">
        <f>IFERROR(__xludf.DUMMYFUNCTION("""COMPUTED_VALUE"""),1.0)</f>
        <v>1</v>
      </c>
      <c r="AA4060" s="124" t="str">
        <f>IFERROR(__xludf.DUMMYFUNCTION("""COMPUTED_VALUE"""),"Not Interested")</f>
        <v>Not Interested</v>
      </c>
      <c r="AB4060" s="124" t="str">
        <f>IFERROR(__xludf.DUMMYFUNCTION("""COMPUTED_VALUE"""),"GS Foundation")</f>
        <v>GS Foundation</v>
      </c>
    </row>
    <row r="4061">
      <c r="K4061" s="124"/>
      <c r="L4061" s="124"/>
      <c r="M4061" s="124"/>
      <c r="N4061" s="124"/>
      <c r="O4061" s="124"/>
      <c r="T4061" s="126">
        <f>IFERROR(__xludf.DUMMYFUNCTION("""COMPUTED_VALUE"""),46079.0)</f>
        <v>46079</v>
      </c>
      <c r="U4061" s="124" t="str">
        <f>IFERROR(__xludf.DUMMYFUNCTION("""COMPUTED_VALUE"""),"Telephony")</f>
        <v>Telephony</v>
      </c>
      <c r="V4061" s="124" t="str">
        <f>IFERROR(__xludf.DUMMYFUNCTION("""COMPUTED_VALUE"""),"Inbound Call")</f>
        <v>Inbound Call</v>
      </c>
      <c r="W4061" s="124">
        <f>IFERROR(__xludf.DUMMYFUNCTION("""COMPUTED_VALUE"""),9.18047861663E11)</f>
        <v>918047861663</v>
      </c>
      <c r="X4061" s="124" t="str">
        <f>IFERROR(__xludf.DUMMYFUNCTION("""COMPUTED_VALUE"""),"Inbound Call")</f>
        <v>Inbound Call</v>
      </c>
      <c r="Y4061" s="124" t="str">
        <f>IFERROR(__xludf.DUMMYFUNCTION("""COMPUTED_VALUE"""),"Prayagraj")</f>
        <v>Prayagraj</v>
      </c>
      <c r="Z4061" s="124">
        <f>IFERROR(__xludf.DUMMYFUNCTION("""COMPUTED_VALUE"""),1.0)</f>
        <v>1</v>
      </c>
      <c r="AA4061" s="124" t="str">
        <f>IFERROR(__xludf.DUMMYFUNCTION("""COMPUTED_VALUE"""),"Cold")</f>
        <v>Cold</v>
      </c>
      <c r="AB4061" s="124"/>
    </row>
    <row r="4062">
      <c r="K4062" s="124"/>
      <c r="L4062" s="124"/>
      <c r="M4062" s="124"/>
      <c r="N4062" s="124"/>
      <c r="O4062" s="124"/>
      <c r="T4062" s="126">
        <f>IFERROR(__xludf.DUMMYFUNCTION("""COMPUTED_VALUE"""),46092.0)</f>
        <v>46092</v>
      </c>
      <c r="U4062" s="124" t="str">
        <f>IFERROR(__xludf.DUMMYFUNCTION("""COMPUTED_VALUE"""),"Telephony")</f>
        <v>Telephony</v>
      </c>
      <c r="V4062" s="124" t="str">
        <f>IFERROR(__xludf.DUMMYFUNCTION("""COMPUTED_VALUE"""),"Inbound Call")</f>
        <v>Inbound Call</v>
      </c>
      <c r="W4062" s="124">
        <f>IFERROR(__xludf.DUMMYFUNCTION("""COMPUTED_VALUE"""),9.18047861631E11)</f>
        <v>918047861631</v>
      </c>
      <c r="X4062" s="124" t="str">
        <f>IFERROR(__xludf.DUMMYFUNCTION("""COMPUTED_VALUE"""),"Inbound Call")</f>
        <v>Inbound Call</v>
      </c>
      <c r="Y4062" s="124" t="str">
        <f>IFERROR(__xludf.DUMMYFUNCTION("""COMPUTED_VALUE"""),"Delhi")</f>
        <v>Delhi</v>
      </c>
      <c r="Z4062" s="124">
        <f>IFERROR(__xludf.DUMMYFUNCTION("""COMPUTED_VALUE"""),1.0)</f>
        <v>1</v>
      </c>
      <c r="AA4062" s="124" t="str">
        <f>IFERROR(__xludf.DUMMYFUNCTION("""COMPUTED_VALUE"""),"Cold")</f>
        <v>Cold</v>
      </c>
      <c r="AB4062" s="124"/>
    </row>
    <row r="4063">
      <c r="K4063" s="124"/>
      <c r="L4063" s="124"/>
      <c r="M4063" s="124"/>
      <c r="N4063" s="124"/>
      <c r="O4063" s="124"/>
      <c r="T4063" s="126">
        <f>IFERROR(__xludf.DUMMYFUNCTION("""COMPUTED_VALUE"""),46093.0)</f>
        <v>46093</v>
      </c>
      <c r="U4063" s="124" t="str">
        <f>IFERROR(__xludf.DUMMYFUNCTION("""COMPUTED_VALUE"""),"Telephony")</f>
        <v>Telephony</v>
      </c>
      <c r="V4063" s="124" t="str">
        <f>IFERROR(__xludf.DUMMYFUNCTION("""COMPUTED_VALUE"""),"Inbound Call")</f>
        <v>Inbound Call</v>
      </c>
      <c r="W4063" s="124">
        <f>IFERROR(__xludf.DUMMYFUNCTION("""COMPUTED_VALUE"""),9.18047861635E11)</f>
        <v>918047861635</v>
      </c>
      <c r="X4063" s="124" t="str">
        <f>IFERROR(__xludf.DUMMYFUNCTION("""COMPUTED_VALUE"""),"Inbound Call")</f>
        <v>Inbound Call</v>
      </c>
      <c r="Y4063" s="124" t="str">
        <f>IFERROR(__xludf.DUMMYFUNCTION("""COMPUTED_VALUE"""),"Indore")</f>
        <v>Indore</v>
      </c>
      <c r="Z4063" s="124">
        <f>IFERROR(__xludf.DUMMYFUNCTION("""COMPUTED_VALUE"""),1.0)</f>
        <v>1</v>
      </c>
      <c r="AA4063" s="124" t="str">
        <f>IFERROR(__xludf.DUMMYFUNCTION("""COMPUTED_VALUE"""),"Enrolled")</f>
        <v>Enrolled</v>
      </c>
      <c r="AB4063" s="124" t="str">
        <f>IFERROR(__xludf.DUMMYFUNCTION("""COMPUTED_VALUE"""),"Other")</f>
        <v>Other</v>
      </c>
    </row>
    <row r="4064">
      <c r="K4064" s="124"/>
      <c r="L4064" s="124"/>
      <c r="M4064" s="124"/>
      <c r="N4064" s="124"/>
      <c r="O4064" s="124"/>
      <c r="T4064" s="126">
        <f>IFERROR(__xludf.DUMMYFUNCTION("""COMPUTED_VALUE"""),46073.0)</f>
        <v>46073</v>
      </c>
      <c r="U4064" s="124" t="str">
        <f>IFERROR(__xludf.DUMMYFUNCTION("""COMPUTED_VALUE"""),"Telephony")</f>
        <v>Telephony</v>
      </c>
      <c r="V4064" s="124" t="str">
        <f>IFERROR(__xludf.DUMMYFUNCTION("""COMPUTED_VALUE"""),"Inbound Call")</f>
        <v>Inbound Call</v>
      </c>
      <c r="W4064" s="124">
        <f>IFERROR(__xludf.DUMMYFUNCTION("""COMPUTED_VALUE"""),9.18047861635E11)</f>
        <v>918047861635</v>
      </c>
      <c r="X4064" s="124" t="str">
        <f>IFERROR(__xludf.DUMMYFUNCTION("""COMPUTED_VALUE"""),"Inbound Call")</f>
        <v>Inbound Call</v>
      </c>
      <c r="Y4064" s="124" t="str">
        <f>IFERROR(__xludf.DUMMYFUNCTION("""COMPUTED_VALUE"""),"Indore")</f>
        <v>Indore</v>
      </c>
      <c r="Z4064" s="124">
        <f>IFERROR(__xludf.DUMMYFUNCTION("""COMPUTED_VALUE"""),1.0)</f>
        <v>1</v>
      </c>
      <c r="AA4064" s="124" t="str">
        <f>IFERROR(__xludf.DUMMYFUNCTION("""COMPUTED_VALUE"""),"Fake Lead")</f>
        <v>Fake Lead</v>
      </c>
      <c r="AB4064" s="124"/>
    </row>
    <row r="4065">
      <c r="K4065" s="124"/>
      <c r="L4065" s="124"/>
      <c r="M4065" s="124"/>
      <c r="N4065" s="124"/>
      <c r="O4065" s="124"/>
      <c r="T4065" s="126">
        <f>IFERROR(__xludf.DUMMYFUNCTION("""COMPUTED_VALUE"""),46095.0)</f>
        <v>46095</v>
      </c>
      <c r="U4065" s="124" t="str">
        <f>IFERROR(__xludf.DUMMYFUNCTION("""COMPUTED_VALUE"""),"Telephony")</f>
        <v>Telephony</v>
      </c>
      <c r="V4065" s="124" t="str">
        <f>IFERROR(__xludf.DUMMYFUNCTION("""COMPUTED_VALUE"""),"Inbound Call")</f>
        <v>Inbound Call</v>
      </c>
      <c r="W4065" s="124">
        <f>IFERROR(__xludf.DUMMYFUNCTION("""COMPUTED_VALUE"""),9.18047861635E11)</f>
        <v>918047861635</v>
      </c>
      <c r="X4065" s="124" t="str">
        <f>IFERROR(__xludf.DUMMYFUNCTION("""COMPUTED_VALUE"""),"Inbound Call")</f>
        <v>Inbound Call</v>
      </c>
      <c r="Y4065" s="124" t="str">
        <f>IFERROR(__xludf.DUMMYFUNCTION("""COMPUTED_VALUE"""),"Indore")</f>
        <v>Indore</v>
      </c>
      <c r="Z4065" s="124">
        <f>IFERROR(__xludf.DUMMYFUNCTION("""COMPUTED_VALUE"""),1.0)</f>
        <v>1</v>
      </c>
      <c r="AA4065" s="124" t="str">
        <f>IFERROR(__xludf.DUMMYFUNCTION("""COMPUTED_VALUE"""),"Cold")</f>
        <v>Cold</v>
      </c>
      <c r="AB4065" s="124"/>
    </row>
    <row r="4066">
      <c r="K4066" s="124"/>
      <c r="L4066" s="124"/>
      <c r="M4066" s="124"/>
      <c r="N4066" s="124"/>
      <c r="O4066" s="124"/>
      <c r="T4066" s="126">
        <f>IFERROR(__xludf.DUMMYFUNCTION("""COMPUTED_VALUE"""),46102.0)</f>
        <v>46102</v>
      </c>
      <c r="U4066" s="124" t="str">
        <f>IFERROR(__xludf.DUMMYFUNCTION("""COMPUTED_VALUE"""),"Telephony")</f>
        <v>Telephony</v>
      </c>
      <c r="V4066" s="124" t="str">
        <f>IFERROR(__xludf.DUMMYFUNCTION("""COMPUTED_VALUE"""),"Inbound Call")</f>
        <v>Inbound Call</v>
      </c>
      <c r="W4066" s="124">
        <f>IFERROR(__xludf.DUMMYFUNCTION("""COMPUTED_VALUE"""),9.18047861634E11)</f>
        <v>918047861634</v>
      </c>
      <c r="X4066" s="124" t="str">
        <f>IFERROR(__xludf.DUMMYFUNCTION("""COMPUTED_VALUE"""),"Inbound Call")</f>
        <v>Inbound Call</v>
      </c>
      <c r="Y4066" s="124" t="str">
        <f>IFERROR(__xludf.DUMMYFUNCTION("""COMPUTED_VALUE"""),"Lucknow")</f>
        <v>Lucknow</v>
      </c>
      <c r="Z4066" s="124">
        <f>IFERROR(__xludf.DUMMYFUNCTION("""COMPUTED_VALUE"""),1.0)</f>
        <v>1</v>
      </c>
      <c r="AA4066" s="124" t="str">
        <f>IFERROR(__xludf.DUMMYFUNCTION("""COMPUTED_VALUE"""),"Cold")</f>
        <v>Cold</v>
      </c>
      <c r="AB4066" s="124" t="str">
        <f>IFERROR(__xludf.DUMMYFUNCTION("""COMPUTED_VALUE"""),"GS Foundation")</f>
        <v>GS Foundation</v>
      </c>
    </row>
    <row r="4067">
      <c r="K4067" s="124"/>
      <c r="L4067" s="124"/>
      <c r="M4067" s="124"/>
      <c r="N4067" s="124"/>
      <c r="O4067" s="124"/>
      <c r="T4067" s="126">
        <f>IFERROR(__xludf.DUMMYFUNCTION("""COMPUTED_VALUE"""),46076.0)</f>
        <v>46076</v>
      </c>
      <c r="U4067" s="124" t="str">
        <f>IFERROR(__xludf.DUMMYFUNCTION("""COMPUTED_VALUE"""),"Telephony")</f>
        <v>Telephony</v>
      </c>
      <c r="V4067" s="124" t="str">
        <f>IFERROR(__xludf.DUMMYFUNCTION("""COMPUTED_VALUE"""),"Inbound Call")</f>
        <v>Inbound Call</v>
      </c>
      <c r="W4067" s="124">
        <f>IFERROR(__xludf.DUMMYFUNCTION("""COMPUTED_VALUE"""),9.18047861631E11)</f>
        <v>918047861631</v>
      </c>
      <c r="X4067" s="124" t="str">
        <f>IFERROR(__xludf.DUMMYFUNCTION("""COMPUTED_VALUE"""),"Inbound Call")</f>
        <v>Inbound Call</v>
      </c>
      <c r="Y4067" s="124" t="str">
        <f>IFERROR(__xludf.DUMMYFUNCTION("""COMPUTED_VALUE"""),"Delhi")</f>
        <v>Delhi</v>
      </c>
      <c r="Z4067" s="124">
        <f>IFERROR(__xludf.DUMMYFUNCTION("""COMPUTED_VALUE"""),1.0)</f>
        <v>1</v>
      </c>
      <c r="AA4067" s="124" t="str">
        <f>IFERROR(__xludf.DUMMYFUNCTION("""COMPUTED_VALUE"""),"Enrolled")</f>
        <v>Enrolled</v>
      </c>
      <c r="AB4067" s="124" t="str">
        <f>IFERROR(__xludf.DUMMYFUNCTION("""COMPUTED_VALUE"""),"Test Series")</f>
        <v>Test Series</v>
      </c>
    </row>
    <row r="4068">
      <c r="K4068" s="124"/>
      <c r="L4068" s="124"/>
      <c r="M4068" s="124"/>
      <c r="N4068" s="124"/>
      <c r="O4068" s="124"/>
      <c r="T4068" s="126">
        <f>IFERROR(__xludf.DUMMYFUNCTION("""COMPUTED_VALUE"""),46109.0)</f>
        <v>46109</v>
      </c>
      <c r="U4068" s="124" t="str">
        <f>IFERROR(__xludf.DUMMYFUNCTION("""COMPUTED_VALUE"""),"Telephony")</f>
        <v>Telephony</v>
      </c>
      <c r="V4068" s="124" t="str">
        <f>IFERROR(__xludf.DUMMYFUNCTION("""COMPUTED_VALUE"""),"Inbound Call")</f>
        <v>Inbound Call</v>
      </c>
      <c r="W4068" s="124">
        <f>IFERROR(__xludf.DUMMYFUNCTION("""COMPUTED_VALUE"""),9.18047861663E11)</f>
        <v>918047861663</v>
      </c>
      <c r="X4068" s="124" t="str">
        <f>IFERROR(__xludf.DUMMYFUNCTION("""COMPUTED_VALUE"""),"Inbound Call")</f>
        <v>Inbound Call</v>
      </c>
      <c r="Y4068" s="124" t="str">
        <f>IFERROR(__xludf.DUMMYFUNCTION("""COMPUTED_VALUE"""),"Indore")</f>
        <v>Indore</v>
      </c>
      <c r="Z4068" s="124">
        <f>IFERROR(__xludf.DUMMYFUNCTION("""COMPUTED_VALUE"""),1.0)</f>
        <v>1</v>
      </c>
      <c r="AA4068" s="124" t="str">
        <f>IFERROR(__xludf.DUMMYFUNCTION("""COMPUTED_VALUE"""),"Cold")</f>
        <v>Cold</v>
      </c>
      <c r="AB4068" s="124"/>
    </row>
    <row r="4069">
      <c r="K4069" s="124"/>
      <c r="L4069" s="124"/>
      <c r="M4069" s="124"/>
      <c r="N4069" s="124"/>
      <c r="O4069" s="124"/>
      <c r="T4069" s="129">
        <f>IFERROR(__xludf.DUMMYFUNCTION("""COMPUTED_VALUE"""),46059.0)</f>
        <v>46059</v>
      </c>
      <c r="U4069" s="124" t="str">
        <f>IFERROR(__xludf.DUMMYFUNCTION("""COMPUTED_VALUE"""),"Telephony")</f>
        <v>Telephony</v>
      </c>
      <c r="V4069" s="124" t="str">
        <f>IFERROR(__xludf.DUMMYFUNCTION("""COMPUTED_VALUE"""),"Inbound Call")</f>
        <v>Inbound Call</v>
      </c>
      <c r="W4069" s="124">
        <f>IFERROR(__xludf.DUMMYFUNCTION("""COMPUTED_VALUE"""),9.18047861663E11)</f>
        <v>918047861663</v>
      </c>
      <c r="X4069" s="124" t="str">
        <f>IFERROR(__xludf.DUMMYFUNCTION("""COMPUTED_VALUE"""),"Inbound Call")</f>
        <v>Inbound Call</v>
      </c>
      <c r="Y4069" s="124" t="str">
        <f>IFERROR(__xludf.DUMMYFUNCTION("""COMPUTED_VALUE"""),"Prayagraj")</f>
        <v>Prayagraj</v>
      </c>
      <c r="Z4069" s="124">
        <f>IFERROR(__xludf.DUMMYFUNCTION("""COMPUTED_VALUE"""),1.0)</f>
        <v>1</v>
      </c>
      <c r="AA4069" s="124" t="str">
        <f>IFERROR(__xludf.DUMMYFUNCTION("""COMPUTED_VALUE"""),"Future Prospects")</f>
        <v>Future Prospects</v>
      </c>
      <c r="AB4069" s="124" t="str">
        <f>IFERROR(__xludf.DUMMYFUNCTION("""COMPUTED_VALUE"""),"GS Foundation")</f>
        <v>GS Foundation</v>
      </c>
    </row>
    <row r="4070">
      <c r="K4070" s="124"/>
      <c r="L4070" s="124"/>
      <c r="M4070" s="124"/>
      <c r="N4070" s="124"/>
      <c r="O4070" s="124"/>
      <c r="T4070" s="129">
        <f>IFERROR(__xludf.DUMMYFUNCTION("""COMPUTED_VALUE"""),46057.0)</f>
        <v>46057</v>
      </c>
      <c r="U4070" s="124" t="str">
        <f>IFERROR(__xludf.DUMMYFUNCTION("""COMPUTED_VALUE"""),"Telephony")</f>
        <v>Telephony</v>
      </c>
      <c r="V4070" s="124" t="str">
        <f>IFERROR(__xludf.DUMMYFUNCTION("""COMPUTED_VALUE"""),"Inbound Call")</f>
        <v>Inbound Call</v>
      </c>
      <c r="W4070" s="124" t="str">
        <f>IFERROR(__xludf.DUMMYFUNCTION("""COMPUTED_VALUE"""),"Inbound Call")</f>
        <v>Inbound Call</v>
      </c>
      <c r="X4070" s="124" t="str">
        <f>IFERROR(__xludf.DUMMYFUNCTION("""COMPUTED_VALUE"""),"Inbound Call")</f>
        <v>Inbound Call</v>
      </c>
      <c r="Y4070" s="124"/>
      <c r="Z4070" s="124">
        <f>IFERROR(__xludf.DUMMYFUNCTION("""COMPUTED_VALUE"""),1.0)</f>
        <v>1</v>
      </c>
      <c r="AA4070" s="124" t="str">
        <f>IFERROR(__xludf.DUMMYFUNCTION("""COMPUTED_VALUE"""),"Cold")</f>
        <v>Cold</v>
      </c>
      <c r="AB4070" s="124"/>
    </row>
    <row r="4071">
      <c r="K4071" s="124"/>
      <c r="L4071" s="124"/>
      <c r="M4071" s="124"/>
      <c r="N4071" s="124"/>
      <c r="O4071" s="124"/>
      <c r="T4071" s="126">
        <f>IFERROR(__xludf.DUMMYFUNCTION("""COMPUTED_VALUE"""),46068.0)</f>
        <v>46068</v>
      </c>
      <c r="U4071" s="124" t="str">
        <f>IFERROR(__xludf.DUMMYFUNCTION("""COMPUTED_VALUE"""),"Telephony")</f>
        <v>Telephony</v>
      </c>
      <c r="V4071" s="124" t="str">
        <f>IFERROR(__xludf.DUMMYFUNCTION("""COMPUTED_VALUE"""),"Inbound Call")</f>
        <v>Inbound Call</v>
      </c>
      <c r="W4071" s="124" t="str">
        <f>IFERROR(__xludf.DUMMYFUNCTION("""COMPUTED_VALUE"""),"Inbound Call")</f>
        <v>Inbound Call</v>
      </c>
      <c r="X4071" s="124" t="str">
        <f>IFERROR(__xludf.DUMMYFUNCTION("""COMPUTED_VALUE"""),"Inbound Call")</f>
        <v>Inbound Call</v>
      </c>
      <c r="Y4071" s="124"/>
      <c r="Z4071" s="124">
        <f>IFERROR(__xludf.DUMMYFUNCTION("""COMPUTED_VALUE"""),1.0)</f>
        <v>1</v>
      </c>
      <c r="AA4071" s="124" t="str">
        <f>IFERROR(__xludf.DUMMYFUNCTION("""COMPUTED_VALUE"""),"Not Interested")</f>
        <v>Not Interested</v>
      </c>
      <c r="AB4071" s="124"/>
    </row>
    <row r="4072">
      <c r="K4072" s="124"/>
      <c r="L4072" s="124"/>
      <c r="M4072" s="124"/>
      <c r="N4072" s="124"/>
      <c r="O4072" s="124"/>
      <c r="T4072" s="126">
        <f>IFERROR(__xludf.DUMMYFUNCTION("""COMPUTED_VALUE"""),46111.0)</f>
        <v>46111</v>
      </c>
      <c r="U4072" s="124" t="str">
        <f>IFERROR(__xludf.DUMMYFUNCTION("""COMPUTED_VALUE"""),"Telephony")</f>
        <v>Telephony</v>
      </c>
      <c r="V4072" s="124" t="str">
        <f>IFERROR(__xludf.DUMMYFUNCTION("""COMPUTED_VALUE"""),"Inbound Call")</f>
        <v>Inbound Call</v>
      </c>
      <c r="W4072" s="124">
        <f>IFERROR(__xludf.DUMMYFUNCTION("""COMPUTED_VALUE"""),9.18047861633E11)</f>
        <v>918047861633</v>
      </c>
      <c r="X4072" s="124" t="str">
        <f>IFERROR(__xludf.DUMMYFUNCTION("""COMPUTED_VALUE"""),"Inbound Call")</f>
        <v>Inbound Call</v>
      </c>
      <c r="Y4072" s="124"/>
      <c r="Z4072" s="124">
        <f>IFERROR(__xludf.DUMMYFUNCTION("""COMPUTED_VALUE"""),1.0)</f>
        <v>1</v>
      </c>
      <c r="AA4072" s="124" t="str">
        <f>IFERROR(__xludf.DUMMYFUNCTION("""COMPUTED_VALUE"""),"Warm")</f>
        <v>Warm</v>
      </c>
      <c r="AB4072" s="124" t="str">
        <f>IFERROR(__xludf.DUMMYFUNCTION("""COMPUTED_VALUE"""),"State PCS")</f>
        <v>State PCS</v>
      </c>
    </row>
    <row r="4073">
      <c r="K4073" s="124"/>
      <c r="L4073" s="124"/>
      <c r="M4073" s="124"/>
      <c r="N4073" s="124"/>
      <c r="O4073" s="124"/>
      <c r="T4073" s="129">
        <f>IFERROR(__xludf.DUMMYFUNCTION("""COMPUTED_VALUE"""),46086.0)</f>
        <v>46086</v>
      </c>
      <c r="U4073" s="124" t="str">
        <f>IFERROR(__xludf.DUMMYFUNCTION("""COMPUTED_VALUE"""),"Telephony")</f>
        <v>Telephony</v>
      </c>
      <c r="V4073" s="124" t="str">
        <f>IFERROR(__xludf.DUMMYFUNCTION("""COMPUTED_VALUE"""),"Inbound Call")</f>
        <v>Inbound Call</v>
      </c>
      <c r="W4073" s="124">
        <f>IFERROR(__xludf.DUMMYFUNCTION("""COMPUTED_VALUE"""),9.18047861663E11)</f>
        <v>918047861663</v>
      </c>
      <c r="X4073" s="124" t="str">
        <f>IFERROR(__xludf.DUMMYFUNCTION("""COMPUTED_VALUE"""),"Inbound Call")</f>
        <v>Inbound Call</v>
      </c>
      <c r="Y4073" s="124" t="str">
        <f>IFERROR(__xludf.DUMMYFUNCTION("""COMPUTED_VALUE"""),"Delhi")</f>
        <v>Delhi</v>
      </c>
      <c r="Z4073" s="124">
        <f>IFERROR(__xludf.DUMMYFUNCTION("""COMPUTED_VALUE"""),1.0)</f>
        <v>1</v>
      </c>
      <c r="AA4073" s="124" t="str">
        <f>IFERROR(__xludf.DUMMYFUNCTION("""COMPUTED_VALUE"""),"Cold")</f>
        <v>Cold</v>
      </c>
      <c r="AB4073" s="124" t="str">
        <f>IFERROR(__xludf.DUMMYFUNCTION("""COMPUTED_VALUE"""),"GS Foundation")</f>
        <v>GS Foundation</v>
      </c>
    </row>
    <row r="4074">
      <c r="K4074" s="124"/>
      <c r="L4074" s="124"/>
      <c r="M4074" s="124"/>
      <c r="N4074" s="124"/>
      <c r="O4074" s="124"/>
      <c r="T4074" s="126">
        <f>IFERROR(__xludf.DUMMYFUNCTION("""COMPUTED_VALUE"""),46097.0)</f>
        <v>46097</v>
      </c>
      <c r="U4074" s="124" t="str">
        <f>IFERROR(__xludf.DUMMYFUNCTION("""COMPUTED_VALUE"""),"Walk-Ins")</f>
        <v>Walk-Ins</v>
      </c>
      <c r="V4074" s="124" t="str">
        <f>IFERROR(__xludf.DUMMYFUNCTION("""COMPUTED_VALUE"""),"Walk-In")</f>
        <v>Walk-In</v>
      </c>
      <c r="W4074" s="124" t="str">
        <f>IFERROR(__xludf.DUMMYFUNCTION("""COMPUTED_VALUE"""),"Delhi")</f>
        <v>Delhi</v>
      </c>
      <c r="X4074" s="124" t="str">
        <f>IFERROR(__xludf.DUMMYFUNCTION("""COMPUTED_VALUE"""),"Ayush")</f>
        <v>Ayush</v>
      </c>
      <c r="Y4074" s="124" t="str">
        <f>IFERROR(__xludf.DUMMYFUNCTION("""COMPUTED_VALUE"""),"Delhi")</f>
        <v>Delhi</v>
      </c>
      <c r="Z4074" s="124">
        <f>IFERROR(__xludf.DUMMYFUNCTION("""COMPUTED_VALUE"""),1.0)</f>
        <v>1</v>
      </c>
      <c r="AA4074" s="124" t="str">
        <f>IFERROR(__xludf.DUMMYFUNCTION("""COMPUTED_VALUE"""),"Cold")</f>
        <v>Cold</v>
      </c>
      <c r="AB4074" s="124" t="str">
        <f>IFERROR(__xludf.DUMMYFUNCTION("""COMPUTED_VALUE"""),"GS Foundation")</f>
        <v>GS Foundation</v>
      </c>
    </row>
    <row r="4075">
      <c r="K4075" s="124"/>
      <c r="L4075" s="124"/>
      <c r="M4075" s="124"/>
      <c r="N4075" s="124"/>
      <c r="O4075" s="124"/>
      <c r="T4075" s="126">
        <f>IFERROR(__xludf.DUMMYFUNCTION("""COMPUTED_VALUE"""),46099.0)</f>
        <v>46099</v>
      </c>
      <c r="U4075" s="124" t="str">
        <f>IFERROR(__xludf.DUMMYFUNCTION("""COMPUTED_VALUE"""),"Walk-Ins")</f>
        <v>Walk-Ins</v>
      </c>
      <c r="V4075" s="124" t="str">
        <f>IFERROR(__xludf.DUMMYFUNCTION("""COMPUTED_VALUE"""),"Walk-In")</f>
        <v>Walk-In</v>
      </c>
      <c r="W4075" s="124" t="str">
        <f>IFERROR(__xludf.DUMMYFUNCTION("""COMPUTED_VALUE"""),"Delhi")</f>
        <v>Delhi</v>
      </c>
      <c r="X4075" s="124" t="str">
        <f>IFERROR(__xludf.DUMMYFUNCTION("""COMPUTED_VALUE"""),"Ayush")</f>
        <v>Ayush</v>
      </c>
      <c r="Y4075" s="124" t="str">
        <f>IFERROR(__xludf.DUMMYFUNCTION("""COMPUTED_VALUE"""),"Delhi")</f>
        <v>Delhi</v>
      </c>
      <c r="Z4075" s="124">
        <f>IFERROR(__xludf.DUMMYFUNCTION("""COMPUTED_VALUE"""),1.0)</f>
        <v>1</v>
      </c>
      <c r="AA4075" s="124" t="str">
        <f>IFERROR(__xludf.DUMMYFUNCTION("""COMPUTED_VALUE"""),"Future Prospects")</f>
        <v>Future Prospects</v>
      </c>
      <c r="AB4075" s="124" t="str">
        <f>IFERROR(__xludf.DUMMYFUNCTION("""COMPUTED_VALUE"""),"GS Foundation")</f>
        <v>GS Foundation</v>
      </c>
    </row>
    <row r="4076">
      <c r="K4076" s="124"/>
      <c r="L4076" s="124"/>
      <c r="M4076" s="124"/>
      <c r="N4076" s="124"/>
      <c r="O4076" s="124"/>
      <c r="T4076" s="129">
        <f>IFERROR(__xludf.DUMMYFUNCTION("""COMPUTED_VALUE"""),46059.0)</f>
        <v>46059</v>
      </c>
      <c r="U4076" s="124" t="str">
        <f>IFERROR(__xludf.DUMMYFUNCTION("""COMPUTED_VALUE"""),"Telephony")</f>
        <v>Telephony</v>
      </c>
      <c r="V4076" s="124" t="str">
        <f>IFERROR(__xludf.DUMMYFUNCTION("""COMPUTED_VALUE"""),"Inbound")</f>
        <v>Inbound</v>
      </c>
      <c r="W4076" s="124" t="str">
        <f>IFERROR(__xludf.DUMMYFUNCTION("""COMPUTED_VALUE"""),"Inbound")</f>
        <v>Inbound</v>
      </c>
      <c r="X4076" s="124" t="str">
        <f>IFERROR(__xludf.DUMMYFUNCTION("""COMPUTED_VALUE"""),"Inbound")</f>
        <v>Inbound</v>
      </c>
      <c r="Y4076" s="124" t="str">
        <f>IFERROR(__xludf.DUMMYFUNCTION("""COMPUTED_VALUE"""),"Delhi")</f>
        <v>Delhi</v>
      </c>
      <c r="Z4076" s="124">
        <f>IFERROR(__xludf.DUMMYFUNCTION("""COMPUTED_VALUE"""),1.0)</f>
        <v>1</v>
      </c>
      <c r="AA4076" s="124" t="str">
        <f>IFERROR(__xludf.DUMMYFUNCTION("""COMPUTED_VALUE"""),"Enrolled")</f>
        <v>Enrolled</v>
      </c>
      <c r="AB4076" s="124" t="str">
        <f>IFERROR(__xludf.DUMMYFUNCTION("""COMPUTED_VALUE"""),"GS Foundation")</f>
        <v>GS Foundation</v>
      </c>
    </row>
    <row r="4077">
      <c r="K4077" s="124"/>
      <c r="L4077" s="124"/>
      <c r="M4077" s="124"/>
      <c r="N4077" s="124"/>
      <c r="O4077" s="124"/>
      <c r="T4077" s="126">
        <f>IFERROR(__xludf.DUMMYFUNCTION("""COMPUTED_VALUE"""),46098.0)</f>
        <v>46098</v>
      </c>
      <c r="U4077" s="124" t="str">
        <f>IFERROR(__xludf.DUMMYFUNCTION("""COMPUTED_VALUE"""),"Libraries")</f>
        <v>Libraries</v>
      </c>
      <c r="V4077" s="124" t="str">
        <f>IFERROR(__xludf.DUMMYFUNCTION("""COMPUTED_VALUE"""),"Libraries")</f>
        <v>Libraries</v>
      </c>
      <c r="W4077" s="124"/>
      <c r="X4077" s="124"/>
      <c r="Y4077" s="124" t="str">
        <f>IFERROR(__xludf.DUMMYFUNCTION("""COMPUTED_VALUE"""),"Delhi")</f>
        <v>Delhi</v>
      </c>
      <c r="Z4077" s="124">
        <f>IFERROR(__xludf.DUMMYFUNCTION("""COMPUTED_VALUE"""),1.0)</f>
        <v>1</v>
      </c>
      <c r="AA4077" s="124"/>
      <c r="AB4077" s="124" t="str">
        <f>IFERROR(__xludf.DUMMYFUNCTION("""COMPUTED_VALUE"""),"Hybrid")</f>
        <v>Hybrid</v>
      </c>
    </row>
    <row r="4078">
      <c r="K4078" s="124"/>
      <c r="L4078" s="124"/>
      <c r="M4078" s="124"/>
      <c r="N4078" s="124"/>
      <c r="O4078" s="124"/>
      <c r="T4078" s="126">
        <f>IFERROR(__xludf.DUMMYFUNCTION("""COMPUTED_VALUE"""),46080.0)</f>
        <v>46080</v>
      </c>
      <c r="U4078" s="124" t="str">
        <f>IFERROR(__xludf.DUMMYFUNCTION("""COMPUTED_VALUE"""),"Publisher Campaign")</f>
        <v>Publisher Campaign</v>
      </c>
      <c r="V4078" s="124" t="str">
        <f>IFERROR(__xludf.DUMMYFUNCTION("""COMPUTED_VALUE"""),"Webinar")</f>
        <v>Webinar</v>
      </c>
      <c r="W4078" s="124"/>
      <c r="X4078" s="124"/>
      <c r="Y4078" s="124" t="str">
        <f>IFERROR(__xludf.DUMMYFUNCTION("""COMPUTED_VALUE"""),"Delhi")</f>
        <v>Delhi</v>
      </c>
      <c r="Z4078" s="124">
        <f>IFERROR(__xludf.DUMMYFUNCTION("""COMPUTED_VALUE"""),1.0)</f>
        <v>1</v>
      </c>
      <c r="AA4078" s="124" t="str">
        <f>IFERROR(__xludf.DUMMYFUNCTION("""COMPUTED_VALUE"""),"Warm")</f>
        <v>Warm</v>
      </c>
      <c r="AB4078" s="124" t="str">
        <f>IFERROR(__xludf.DUMMYFUNCTION("""COMPUTED_VALUE"""),"GS Advanced")</f>
        <v>GS Advanced</v>
      </c>
    </row>
    <row r="4079">
      <c r="K4079" s="124"/>
      <c r="L4079" s="124"/>
      <c r="M4079" s="124"/>
      <c r="N4079" s="124"/>
      <c r="O4079" s="124"/>
      <c r="T4079" s="129">
        <f>IFERROR(__xludf.DUMMYFUNCTION("""COMPUTED_VALUE"""),46082.0)</f>
        <v>46082</v>
      </c>
      <c r="U4079" s="124" t="str">
        <f>IFERROR(__xludf.DUMMYFUNCTION("""COMPUTED_VALUE"""),"Publisher Campaign")</f>
        <v>Publisher Campaign</v>
      </c>
      <c r="V4079" s="124" t="str">
        <f>IFERROR(__xludf.DUMMYFUNCTION("""COMPUTED_VALUE"""),"DM - Meta")</f>
        <v>DM - Meta</v>
      </c>
      <c r="W4079" s="124"/>
      <c r="X4079" s="124"/>
      <c r="Y4079" s="124" t="str">
        <f>IFERROR(__xludf.DUMMYFUNCTION("""COMPUTED_VALUE"""),"Prayagraj")</f>
        <v>Prayagraj</v>
      </c>
      <c r="Z4079" s="124">
        <f>IFERROR(__xludf.DUMMYFUNCTION("""COMPUTED_VALUE"""),1.0)</f>
        <v>1</v>
      </c>
      <c r="AA4079" s="124" t="str">
        <f>IFERROR(__xludf.DUMMYFUNCTION("""COMPUTED_VALUE"""),"Warm")</f>
        <v>Warm</v>
      </c>
      <c r="AB4079" s="124" t="str">
        <f>IFERROR(__xludf.DUMMYFUNCTION("""COMPUTED_VALUE"""),"Mentorship")</f>
        <v>Mentorship</v>
      </c>
    </row>
    <row r="4080">
      <c r="K4080" s="124"/>
      <c r="L4080" s="124"/>
      <c r="M4080" s="124"/>
      <c r="N4080" s="124"/>
      <c r="O4080" s="124"/>
      <c r="T4080" s="126">
        <f>IFERROR(__xludf.DUMMYFUNCTION("""COMPUTED_VALUE"""),46070.0)</f>
        <v>46070</v>
      </c>
      <c r="U4080" s="124" t="str">
        <f>IFERROR(__xludf.DUMMYFUNCTION("""COMPUTED_VALUE"""),"Publisher Campaign")</f>
        <v>Publisher Campaign</v>
      </c>
      <c r="V4080" s="124" t="str">
        <f>IFERROR(__xludf.DUMMYFUNCTION("""COMPUTED_VALUE"""),"BTL Activities")</f>
        <v>BTL Activities</v>
      </c>
      <c r="W4080" s="124"/>
      <c r="X4080" s="124"/>
      <c r="Y4080" s="124" t="str">
        <f>IFERROR(__xludf.DUMMYFUNCTION("""COMPUTED_VALUE"""),"Indore")</f>
        <v>Indore</v>
      </c>
      <c r="Z4080" s="124">
        <f>IFERROR(__xludf.DUMMYFUNCTION("""COMPUTED_VALUE"""),3.0)</f>
        <v>3</v>
      </c>
      <c r="AA4080" s="124" t="str">
        <f>IFERROR(__xludf.DUMMYFUNCTION("""COMPUTED_VALUE"""),"Cold")</f>
        <v>Cold</v>
      </c>
      <c r="AB4080" s="124" t="str">
        <f>IFERROR(__xludf.DUMMYFUNCTION("""COMPUTED_VALUE"""),"GS Foundation")</f>
        <v>GS Foundation</v>
      </c>
    </row>
    <row r="4081">
      <c r="K4081" s="124"/>
      <c r="L4081" s="124"/>
      <c r="M4081" s="124"/>
      <c r="N4081" s="124"/>
      <c r="O4081" s="124"/>
      <c r="T4081" s="129">
        <f>IFERROR(__xludf.DUMMYFUNCTION("""COMPUTED_VALUE"""),46086.0)</f>
        <v>46086</v>
      </c>
      <c r="U4081" s="124" t="str">
        <f>IFERROR(__xludf.DUMMYFUNCTION("""COMPUTED_VALUE"""),"Paid Ads")</f>
        <v>Paid Ads</v>
      </c>
      <c r="V4081" s="124" t="str">
        <f>IFERROR(__xludf.DUMMYFUNCTION("""COMPUTED_VALUE"""),"YouTube")</f>
        <v>YouTube</v>
      </c>
      <c r="W4081" s="124"/>
      <c r="X4081" s="124"/>
      <c r="Y4081" s="124" t="str">
        <f>IFERROR(__xludf.DUMMYFUNCTION("""COMPUTED_VALUE"""),"Prayagraj")</f>
        <v>Prayagraj</v>
      </c>
      <c r="Z4081" s="124">
        <f>IFERROR(__xludf.DUMMYFUNCTION("""COMPUTED_VALUE"""),1.0)</f>
        <v>1</v>
      </c>
      <c r="AA4081" s="124" t="str">
        <f>IFERROR(__xludf.DUMMYFUNCTION("""COMPUTED_VALUE"""),"Cold")</f>
        <v>Cold</v>
      </c>
      <c r="AB4081" s="124" t="str">
        <f>IFERROR(__xludf.DUMMYFUNCTION("""COMPUTED_VALUE"""),"Test Series")</f>
        <v>Test Series</v>
      </c>
    </row>
    <row r="4082">
      <c r="K4082" s="124"/>
      <c r="L4082" s="124"/>
      <c r="M4082" s="124"/>
      <c r="N4082" s="124"/>
      <c r="O4082" s="124"/>
      <c r="T4082" s="129">
        <f>IFERROR(__xludf.DUMMYFUNCTION("""COMPUTED_VALUE"""),46089.0)</f>
        <v>46089</v>
      </c>
      <c r="U4082" s="124" t="str">
        <f>IFERROR(__xludf.DUMMYFUNCTION("""COMPUTED_VALUE"""),"Publisher Campaign")</f>
        <v>Publisher Campaign</v>
      </c>
      <c r="V4082" s="124" t="str">
        <f>IFERROR(__xludf.DUMMYFUNCTION("""COMPUTED_VALUE"""),"Webinar")</f>
        <v>Webinar</v>
      </c>
      <c r="W4082" s="124"/>
      <c r="X4082" s="124"/>
      <c r="Y4082" s="124" t="str">
        <f>IFERROR(__xludf.DUMMYFUNCTION("""COMPUTED_VALUE"""),"Delhi")</f>
        <v>Delhi</v>
      </c>
      <c r="Z4082" s="124">
        <f>IFERROR(__xludf.DUMMYFUNCTION("""COMPUTED_VALUE"""),1.0)</f>
        <v>1</v>
      </c>
      <c r="AA4082" s="124" t="str">
        <f>IFERROR(__xludf.DUMMYFUNCTION("""COMPUTED_VALUE"""),"Not Interested")</f>
        <v>Not Interested</v>
      </c>
      <c r="AB4082" s="124" t="str">
        <f>IFERROR(__xludf.DUMMYFUNCTION("""COMPUTED_VALUE"""),"GS Foundation")</f>
        <v>GS Foundation</v>
      </c>
    </row>
    <row r="4083">
      <c r="K4083" s="124"/>
      <c r="L4083" s="124"/>
      <c r="M4083" s="124"/>
      <c r="N4083" s="124"/>
      <c r="O4083" s="124"/>
      <c r="T4083" s="126">
        <f>IFERROR(__xludf.DUMMYFUNCTION("""COMPUTED_VALUE"""),46107.0)</f>
        <v>46107</v>
      </c>
      <c r="U4083" s="124" t="str">
        <f>IFERROR(__xludf.DUMMYFUNCTION("""COMPUTED_VALUE"""),"Publisher Campaign")</f>
        <v>Publisher Campaign</v>
      </c>
      <c r="V4083" s="124" t="str">
        <f>IFERROR(__xludf.DUMMYFUNCTION("""COMPUTED_VALUE"""),"BTL Activities")</f>
        <v>BTL Activities</v>
      </c>
      <c r="W4083" s="124"/>
      <c r="X4083" s="124"/>
      <c r="Y4083" s="124" t="str">
        <f>IFERROR(__xludf.DUMMYFUNCTION("""COMPUTED_VALUE"""),"Indore")</f>
        <v>Indore</v>
      </c>
      <c r="Z4083" s="124">
        <f>IFERROR(__xludf.DUMMYFUNCTION("""COMPUTED_VALUE"""),2.0)</f>
        <v>2</v>
      </c>
      <c r="AA4083" s="124" t="str">
        <f>IFERROR(__xludf.DUMMYFUNCTION("""COMPUTED_VALUE"""),"Not Interested")</f>
        <v>Not Interested</v>
      </c>
      <c r="AB4083" s="124" t="str">
        <f>IFERROR(__xludf.DUMMYFUNCTION("""COMPUTED_VALUE"""),"GS Foundation")</f>
        <v>GS Foundation</v>
      </c>
    </row>
    <row r="4084">
      <c r="K4084" s="124"/>
      <c r="L4084" s="124"/>
      <c r="M4084" s="124"/>
      <c r="N4084" s="124"/>
      <c r="O4084" s="124"/>
      <c r="T4084" s="126">
        <f>IFERROR(__xludf.DUMMYFUNCTION("""COMPUTED_VALUE"""),46069.0)</f>
        <v>46069</v>
      </c>
      <c r="U4084" s="124" t="str">
        <f>IFERROR(__xludf.DUMMYFUNCTION("""COMPUTED_VALUE"""),"Walk-Ins")</f>
        <v>Walk-Ins</v>
      </c>
      <c r="V4084" s="124" t="str">
        <f>IFERROR(__xludf.DUMMYFUNCTION("""COMPUTED_VALUE"""),"Walkin")</f>
        <v>Walkin</v>
      </c>
      <c r="W4084" s="124"/>
      <c r="X4084" s="124"/>
      <c r="Y4084" s="124" t="str">
        <f>IFERROR(__xludf.DUMMYFUNCTION("""COMPUTED_VALUE"""),"Delhi")</f>
        <v>Delhi</v>
      </c>
      <c r="Z4084" s="124">
        <f>IFERROR(__xludf.DUMMYFUNCTION("""COMPUTED_VALUE"""),1.0)</f>
        <v>1</v>
      </c>
      <c r="AA4084" s="124" t="str">
        <f>IFERROR(__xludf.DUMMYFUNCTION("""COMPUTED_VALUE"""),"Not Interested")</f>
        <v>Not Interested</v>
      </c>
      <c r="AB4084" s="124" t="str">
        <f>IFERROR(__xludf.DUMMYFUNCTION("""COMPUTED_VALUE"""),"State PCS")</f>
        <v>State PCS</v>
      </c>
    </row>
    <row r="4085">
      <c r="K4085" s="124"/>
      <c r="L4085" s="124"/>
      <c r="M4085" s="124"/>
      <c r="N4085" s="124"/>
      <c r="O4085" s="124"/>
      <c r="T4085" s="126">
        <f>IFERROR(__xludf.DUMMYFUNCTION("""COMPUTED_VALUE"""),46098.0)</f>
        <v>46098</v>
      </c>
      <c r="U4085" s="124" t="str">
        <f>IFERROR(__xludf.DUMMYFUNCTION("""COMPUTED_VALUE"""),"Libraries")</f>
        <v>Libraries</v>
      </c>
      <c r="V4085" s="124" t="str">
        <f>IFERROR(__xludf.DUMMYFUNCTION("""COMPUTED_VALUE"""),"Libraries")</f>
        <v>Libraries</v>
      </c>
      <c r="W4085" s="124"/>
      <c r="X4085" s="124"/>
      <c r="Y4085" s="124" t="str">
        <f>IFERROR(__xludf.DUMMYFUNCTION("""COMPUTED_VALUE"""),"Prayagraj")</f>
        <v>Prayagraj</v>
      </c>
      <c r="Z4085" s="124">
        <f>IFERROR(__xludf.DUMMYFUNCTION("""COMPUTED_VALUE"""),1.0)</f>
        <v>1</v>
      </c>
      <c r="AA4085" s="124" t="str">
        <f>IFERROR(__xludf.DUMMYFUNCTION("""COMPUTED_VALUE"""),"Engaged")</f>
        <v>Engaged</v>
      </c>
      <c r="AB4085" s="124" t="str">
        <f>IFERROR(__xludf.DUMMYFUNCTION("""COMPUTED_VALUE"""),"Prelims Crash Course - SIP")</f>
        <v>Prelims Crash Course - SIP</v>
      </c>
    </row>
    <row r="4086">
      <c r="K4086" s="124"/>
      <c r="L4086" s="124"/>
      <c r="M4086" s="124"/>
      <c r="N4086" s="124"/>
      <c r="O4086" s="124"/>
      <c r="T4086" s="126">
        <f>IFERROR(__xludf.DUMMYFUNCTION("""COMPUTED_VALUE"""),46097.0)</f>
        <v>46097</v>
      </c>
      <c r="U4086" s="124" t="str">
        <f>IFERROR(__xludf.DUMMYFUNCTION("""COMPUTED_VALUE"""),"Libraries")</f>
        <v>Libraries</v>
      </c>
      <c r="V4086" s="124" t="str">
        <f>IFERROR(__xludf.DUMMYFUNCTION("""COMPUTED_VALUE"""),"Libraries")</f>
        <v>Libraries</v>
      </c>
      <c r="W4086" s="124"/>
      <c r="X4086" s="124"/>
      <c r="Y4086" s="124" t="str">
        <f>IFERROR(__xludf.DUMMYFUNCTION("""COMPUTED_VALUE"""),"Prayagraj")</f>
        <v>Prayagraj</v>
      </c>
      <c r="Z4086" s="124">
        <f>IFERROR(__xludf.DUMMYFUNCTION("""COMPUTED_VALUE"""),1.0)</f>
        <v>1</v>
      </c>
      <c r="AA4086" s="124" t="str">
        <f>IFERROR(__xludf.DUMMYFUNCTION("""COMPUTED_VALUE"""),"Cold")</f>
        <v>Cold</v>
      </c>
      <c r="AB4086" s="124" t="str">
        <f>IFERROR(__xludf.DUMMYFUNCTION("""COMPUTED_VALUE"""),"GS Foundation")</f>
        <v>GS Foundation</v>
      </c>
    </row>
    <row r="4087">
      <c r="K4087" s="124"/>
      <c r="L4087" s="124"/>
      <c r="M4087" s="124"/>
      <c r="N4087" s="124"/>
      <c r="O4087" s="124"/>
      <c r="T4087" s="126">
        <f>IFERROR(__xludf.DUMMYFUNCTION("""COMPUTED_VALUE"""),46047.0)</f>
        <v>46047</v>
      </c>
      <c r="U4087" s="124" t="str">
        <f>IFERROR(__xludf.DUMMYFUNCTION("""COMPUTED_VALUE"""),"Walk-Ins")</f>
        <v>Walk-Ins</v>
      </c>
      <c r="V4087" s="124" t="str">
        <f>IFERROR(__xludf.DUMMYFUNCTION("""COMPUTED_VALUE"""),"Walk-In")</f>
        <v>Walk-In</v>
      </c>
      <c r="W4087" s="124" t="str">
        <f>IFERROR(__xludf.DUMMYFUNCTION("""COMPUTED_VALUE"""),"Delhi")</f>
        <v>Delhi</v>
      </c>
      <c r="X4087" s="124" t="str">
        <f>IFERROR(__xludf.DUMMYFUNCTION("""COMPUTED_VALUE"""),"Missbahuddin Ahmad")</f>
        <v>Missbahuddin Ahmad</v>
      </c>
      <c r="Y4087" s="124" t="str">
        <f>IFERROR(__xludf.DUMMYFUNCTION("""COMPUTED_VALUE"""),"Delhi")</f>
        <v>Delhi</v>
      </c>
      <c r="Z4087" s="124">
        <f>IFERROR(__xludf.DUMMYFUNCTION("""COMPUTED_VALUE"""),1.0)</f>
        <v>1</v>
      </c>
      <c r="AA4087" s="124" t="str">
        <f>IFERROR(__xludf.DUMMYFUNCTION("""COMPUTED_VALUE"""),"Not Interested")</f>
        <v>Not Interested</v>
      </c>
      <c r="AB4087" s="124" t="str">
        <f>IFERROR(__xludf.DUMMYFUNCTION("""COMPUTED_VALUE"""),"GS Foundation")</f>
        <v>GS Foundation</v>
      </c>
    </row>
    <row r="4088">
      <c r="K4088" s="124"/>
      <c r="L4088" s="124"/>
      <c r="M4088" s="124"/>
      <c r="N4088" s="124"/>
      <c r="O4088" s="124"/>
      <c r="T4088" s="126">
        <f>IFERROR(__xludf.DUMMYFUNCTION("""COMPUTED_VALUE"""),46102.0)</f>
        <v>46102</v>
      </c>
      <c r="U4088" s="124" t="str">
        <f>IFERROR(__xludf.DUMMYFUNCTION("""COMPUTED_VALUE"""),"Libraries")</f>
        <v>Libraries</v>
      </c>
      <c r="V4088" s="124" t="str">
        <f>IFERROR(__xludf.DUMMYFUNCTION("""COMPUTED_VALUE"""),"Libraries")</f>
        <v>Libraries</v>
      </c>
      <c r="W4088" s="124"/>
      <c r="X4088" s="124"/>
      <c r="Y4088" s="124" t="str">
        <f>IFERROR(__xludf.DUMMYFUNCTION("""COMPUTED_VALUE"""),"Prayagraj")</f>
        <v>Prayagraj</v>
      </c>
      <c r="Z4088" s="124">
        <f>IFERROR(__xludf.DUMMYFUNCTION("""COMPUTED_VALUE"""),1.0)</f>
        <v>1</v>
      </c>
      <c r="AA4088" s="124" t="str">
        <f>IFERROR(__xludf.DUMMYFUNCTION("""COMPUTED_VALUE"""),"Cold")</f>
        <v>Cold</v>
      </c>
      <c r="AB4088" s="124" t="str">
        <f>IFERROR(__xludf.DUMMYFUNCTION("""COMPUTED_VALUE"""),"State PCS")</f>
        <v>State PCS</v>
      </c>
    </row>
    <row r="4089">
      <c r="K4089" s="124"/>
      <c r="L4089" s="124"/>
      <c r="M4089" s="124"/>
      <c r="N4089" s="124"/>
      <c r="O4089" s="124"/>
      <c r="T4089" s="129">
        <f>IFERROR(__xludf.DUMMYFUNCTION("""COMPUTED_VALUE"""),46088.0)</f>
        <v>46088</v>
      </c>
      <c r="U4089" s="124" t="str">
        <f>IFERROR(__xludf.DUMMYFUNCTION("""COMPUTED_VALUE"""),"Publisher Campaign")</f>
        <v>Publisher Campaign</v>
      </c>
      <c r="V4089" s="124" t="str">
        <f>IFERROR(__xludf.DUMMYFUNCTION("""COMPUTED_VALUE"""),"Webinar")</f>
        <v>Webinar</v>
      </c>
      <c r="W4089" s="124"/>
      <c r="X4089" s="124"/>
      <c r="Y4089" s="124" t="str">
        <f>IFERROR(__xludf.DUMMYFUNCTION("""COMPUTED_VALUE"""),"Delhi")</f>
        <v>Delhi</v>
      </c>
      <c r="Z4089" s="124">
        <f>IFERROR(__xludf.DUMMYFUNCTION("""COMPUTED_VALUE"""),1.0)</f>
        <v>1</v>
      </c>
      <c r="AA4089" s="124" t="str">
        <f>IFERROR(__xludf.DUMMYFUNCTION("""COMPUTED_VALUE"""),"Not Interested")</f>
        <v>Not Interested</v>
      </c>
      <c r="AB4089" s="124" t="str">
        <f>IFERROR(__xludf.DUMMYFUNCTION("""COMPUTED_VALUE"""),"CSAT")</f>
        <v>CSAT</v>
      </c>
    </row>
    <row r="4090">
      <c r="K4090" s="124"/>
      <c r="L4090" s="124"/>
      <c r="M4090" s="124"/>
      <c r="N4090" s="124"/>
      <c r="O4090" s="124"/>
      <c r="T4090" s="129">
        <f>IFERROR(__xludf.DUMMYFUNCTION("""COMPUTED_VALUE"""),46088.0)</f>
        <v>46088</v>
      </c>
      <c r="U4090" s="124" t="str">
        <f>IFERROR(__xludf.DUMMYFUNCTION("""COMPUTED_VALUE"""),"Publisher Campaign")</f>
        <v>Publisher Campaign</v>
      </c>
      <c r="V4090" s="124" t="str">
        <f>IFERROR(__xludf.DUMMYFUNCTION("""COMPUTED_VALUE"""),"Webinar")</f>
        <v>Webinar</v>
      </c>
      <c r="W4090" s="124"/>
      <c r="X4090" s="124"/>
      <c r="Y4090" s="124" t="str">
        <f>IFERROR(__xludf.DUMMYFUNCTION("""COMPUTED_VALUE"""),"Patna")</f>
        <v>Patna</v>
      </c>
      <c r="Z4090" s="124">
        <f>IFERROR(__xludf.DUMMYFUNCTION("""COMPUTED_VALUE"""),1.0)</f>
        <v>1</v>
      </c>
      <c r="AA4090" s="124" t="str">
        <f>IFERROR(__xludf.DUMMYFUNCTION("""COMPUTED_VALUE"""),"Cold")</f>
        <v>Cold</v>
      </c>
      <c r="AB4090" s="124" t="str">
        <f>IFERROR(__xludf.DUMMYFUNCTION("""COMPUTED_VALUE"""),"GS Advanced")</f>
        <v>GS Advanced</v>
      </c>
    </row>
    <row r="4091">
      <c r="K4091" s="124"/>
      <c r="L4091" s="124"/>
      <c r="M4091" s="124"/>
      <c r="N4091" s="124"/>
      <c r="O4091" s="124"/>
      <c r="T4091" s="126">
        <f>IFERROR(__xludf.DUMMYFUNCTION("""COMPUTED_VALUE"""),46098.0)</f>
        <v>46098</v>
      </c>
      <c r="U4091" s="124" t="str">
        <f>IFERROR(__xludf.DUMMYFUNCTION("""COMPUTED_VALUE"""),"Publisher Campaign")</f>
        <v>Publisher Campaign</v>
      </c>
      <c r="V4091" s="124" t="str">
        <f>IFERROR(__xludf.DUMMYFUNCTION("""COMPUTED_VALUE"""),"BTL Activities")</f>
        <v>BTL Activities</v>
      </c>
      <c r="W4091" s="124"/>
      <c r="X4091" s="124"/>
      <c r="Y4091" s="124" t="str">
        <f>IFERROR(__xludf.DUMMYFUNCTION("""COMPUTED_VALUE"""),"Indore")</f>
        <v>Indore</v>
      </c>
      <c r="Z4091" s="124">
        <f>IFERROR(__xludf.DUMMYFUNCTION("""COMPUTED_VALUE"""),1.0)</f>
        <v>1</v>
      </c>
      <c r="AA4091" s="124" t="str">
        <f>IFERROR(__xludf.DUMMYFUNCTION("""COMPUTED_VALUE"""),"Cold")</f>
        <v>Cold</v>
      </c>
      <c r="AB4091" s="124" t="str">
        <f>IFERROR(__xludf.DUMMYFUNCTION("""COMPUTED_VALUE"""),"GS Foundation")</f>
        <v>GS Foundation</v>
      </c>
    </row>
    <row r="4092">
      <c r="K4092" s="124"/>
      <c r="L4092" s="124"/>
      <c r="M4092" s="124"/>
      <c r="N4092" s="124"/>
      <c r="O4092" s="124"/>
      <c r="T4092" s="126">
        <f>IFERROR(__xludf.DUMMYFUNCTION("""COMPUTED_VALUE"""),46080.0)</f>
        <v>46080</v>
      </c>
      <c r="U4092" s="124" t="str">
        <f>IFERROR(__xludf.DUMMYFUNCTION("""COMPUTED_VALUE"""),"Publisher Campaign")</f>
        <v>Publisher Campaign</v>
      </c>
      <c r="V4092" s="124" t="str">
        <f>IFERROR(__xludf.DUMMYFUNCTION("""COMPUTED_VALUE"""),"Webinar")</f>
        <v>Webinar</v>
      </c>
      <c r="W4092" s="124"/>
      <c r="X4092" s="124"/>
      <c r="Y4092" s="124" t="str">
        <f>IFERROR(__xludf.DUMMYFUNCTION("""COMPUTED_VALUE"""),"Delhi")</f>
        <v>Delhi</v>
      </c>
      <c r="Z4092" s="124">
        <f>IFERROR(__xludf.DUMMYFUNCTION("""COMPUTED_VALUE"""),1.0)</f>
        <v>1</v>
      </c>
      <c r="AA4092" s="124" t="str">
        <f>IFERROR(__xludf.DUMMYFUNCTION("""COMPUTED_VALUE"""),"Cold")</f>
        <v>Cold</v>
      </c>
      <c r="AB4092" s="124" t="str">
        <f>IFERROR(__xludf.DUMMYFUNCTION("""COMPUTED_VALUE"""),"Other")</f>
        <v>Other</v>
      </c>
    </row>
    <row r="4093">
      <c r="K4093" s="124"/>
      <c r="L4093" s="124"/>
      <c r="M4093" s="124"/>
      <c r="N4093" s="124"/>
      <c r="O4093" s="124"/>
      <c r="T4093" s="126">
        <f>IFERROR(__xludf.DUMMYFUNCTION("""COMPUTED_VALUE"""),46050.0)</f>
        <v>46050</v>
      </c>
      <c r="U4093" s="124" t="str">
        <f>IFERROR(__xludf.DUMMYFUNCTION("""COMPUTED_VALUE"""),"External Leads")</f>
        <v>External Leads</v>
      </c>
      <c r="V4093" s="124" t="str">
        <f>IFERROR(__xludf.DUMMYFUNCTION("""COMPUTED_VALUE"""),"external leads")</f>
        <v>external leads</v>
      </c>
      <c r="W4093" s="124"/>
      <c r="X4093" s="124"/>
      <c r="Y4093" s="124" t="str">
        <f>IFERROR(__xludf.DUMMYFUNCTION("""COMPUTED_VALUE"""),"Delhi")</f>
        <v>Delhi</v>
      </c>
      <c r="Z4093" s="124">
        <f>IFERROR(__xludf.DUMMYFUNCTION("""COMPUTED_VALUE"""),1.0)</f>
        <v>1</v>
      </c>
      <c r="AA4093" s="124" t="str">
        <f>IFERROR(__xludf.DUMMYFUNCTION("""COMPUTED_VALUE"""),"Engaged")</f>
        <v>Engaged</v>
      </c>
      <c r="AB4093" s="124" t="str">
        <f>IFERROR(__xludf.DUMMYFUNCTION("""COMPUTED_VALUE"""),"Prelims Crash Course - SIP")</f>
        <v>Prelims Crash Course - SIP</v>
      </c>
    </row>
    <row r="4094">
      <c r="K4094" s="124"/>
      <c r="L4094" s="124"/>
      <c r="M4094" s="124"/>
      <c r="N4094" s="124"/>
      <c r="O4094" s="124"/>
      <c r="T4094" s="126">
        <f>IFERROR(__xludf.DUMMYFUNCTION("""COMPUTED_VALUE"""),46066.0)</f>
        <v>46066</v>
      </c>
      <c r="U4094" s="124" t="str">
        <f>IFERROR(__xludf.DUMMYFUNCTION("""COMPUTED_VALUE"""),"Publisher Campaign")</f>
        <v>Publisher Campaign</v>
      </c>
      <c r="V4094" s="124" t="str">
        <f>IFERROR(__xludf.DUMMYFUNCTION("""COMPUTED_VALUE"""),"BTL Activities")</f>
        <v>BTL Activities</v>
      </c>
      <c r="W4094" s="124"/>
      <c r="X4094" s="124"/>
      <c r="Y4094" s="124" t="str">
        <f>IFERROR(__xludf.DUMMYFUNCTION("""COMPUTED_VALUE"""),"Indore")</f>
        <v>Indore</v>
      </c>
      <c r="Z4094" s="124">
        <f>IFERROR(__xludf.DUMMYFUNCTION("""COMPUTED_VALUE"""),1.0)</f>
        <v>1</v>
      </c>
      <c r="AA4094" s="124" t="str">
        <f>IFERROR(__xludf.DUMMYFUNCTION("""COMPUTED_VALUE"""),"Future Prospects")</f>
        <v>Future Prospects</v>
      </c>
      <c r="AB4094" s="124" t="str">
        <f>IFERROR(__xludf.DUMMYFUNCTION("""COMPUTED_VALUE"""),"Other")</f>
        <v>Other</v>
      </c>
    </row>
    <row r="4095">
      <c r="K4095" s="124"/>
      <c r="L4095" s="124"/>
      <c r="M4095" s="124"/>
      <c r="N4095" s="124"/>
      <c r="O4095" s="124"/>
      <c r="T4095" s="126">
        <f>IFERROR(__xludf.DUMMYFUNCTION("""COMPUTED_VALUE"""),46044.0)</f>
        <v>46044</v>
      </c>
      <c r="U4095" s="124" t="str">
        <f>IFERROR(__xludf.DUMMYFUNCTION("""COMPUTED_VALUE"""),"External Leads")</f>
        <v>External Leads</v>
      </c>
      <c r="V4095" s="124" t="str">
        <f>IFERROR(__xludf.DUMMYFUNCTION("""COMPUTED_VALUE"""),"external leads")</f>
        <v>external leads</v>
      </c>
      <c r="W4095" s="124"/>
      <c r="X4095" s="124"/>
      <c r="Y4095" s="124" t="str">
        <f>IFERROR(__xludf.DUMMYFUNCTION("""COMPUTED_VALUE"""),"Delhi")</f>
        <v>Delhi</v>
      </c>
      <c r="Z4095" s="124">
        <f>IFERROR(__xludf.DUMMYFUNCTION("""COMPUTED_VALUE"""),1.0)</f>
        <v>1</v>
      </c>
      <c r="AA4095" s="124" t="str">
        <f>IFERROR(__xludf.DUMMYFUNCTION("""COMPUTED_VALUE"""),"Not Interested")</f>
        <v>Not Interested</v>
      </c>
      <c r="AB4095" s="124" t="str">
        <f>IFERROR(__xludf.DUMMYFUNCTION("""COMPUTED_VALUE"""),"Prelims Crash Course - SIP")</f>
        <v>Prelims Crash Course - SIP</v>
      </c>
    </row>
    <row r="4096">
      <c r="K4096" s="124"/>
      <c r="L4096" s="124"/>
      <c r="M4096" s="124"/>
      <c r="N4096" s="124"/>
      <c r="O4096" s="124"/>
      <c r="T4096" s="126">
        <f>IFERROR(__xludf.DUMMYFUNCTION("""COMPUTED_VALUE"""),46079.0)</f>
        <v>46079</v>
      </c>
      <c r="U4096" s="124" t="str">
        <f>IFERROR(__xludf.DUMMYFUNCTION("""COMPUTED_VALUE"""),"Publisher Campaign")</f>
        <v>Publisher Campaign</v>
      </c>
      <c r="V4096" s="124" t="str">
        <f>IFERROR(__xludf.DUMMYFUNCTION("""COMPUTED_VALUE"""),"Webinar")</f>
        <v>Webinar</v>
      </c>
      <c r="W4096" s="124"/>
      <c r="X4096" s="124"/>
      <c r="Y4096" s="124" t="str">
        <f>IFERROR(__xludf.DUMMYFUNCTION("""COMPUTED_VALUE"""),"Prayagraj")</f>
        <v>Prayagraj</v>
      </c>
      <c r="Z4096" s="124">
        <f>IFERROR(__xludf.DUMMYFUNCTION("""COMPUTED_VALUE"""),1.0)</f>
        <v>1</v>
      </c>
      <c r="AA4096" s="124" t="str">
        <f>IFERROR(__xludf.DUMMYFUNCTION("""COMPUTED_VALUE"""),"Cold")</f>
        <v>Cold</v>
      </c>
      <c r="AB4096" s="124" t="str">
        <f>IFERROR(__xludf.DUMMYFUNCTION("""COMPUTED_VALUE"""),"SIM")</f>
        <v>SIM</v>
      </c>
    </row>
    <row r="4097">
      <c r="K4097" s="124"/>
      <c r="L4097" s="124"/>
      <c r="M4097" s="124"/>
      <c r="N4097" s="124"/>
      <c r="O4097" s="124"/>
      <c r="T4097" s="126">
        <f>IFERROR(__xludf.DUMMYFUNCTION("""COMPUTED_VALUE"""),46105.0)</f>
        <v>46105</v>
      </c>
      <c r="U4097" s="124" t="str">
        <f>IFERROR(__xludf.DUMMYFUNCTION("""COMPUTED_VALUE"""),"Publisher Campaign")</f>
        <v>Publisher Campaign</v>
      </c>
      <c r="V4097" s="124" t="str">
        <f>IFERROR(__xludf.DUMMYFUNCTION("""COMPUTED_VALUE"""),"BTL Activities")</f>
        <v>BTL Activities</v>
      </c>
      <c r="W4097" s="124"/>
      <c r="X4097" s="124"/>
      <c r="Y4097" s="124" t="str">
        <f>IFERROR(__xludf.DUMMYFUNCTION("""COMPUTED_VALUE"""),"Indore")</f>
        <v>Indore</v>
      </c>
      <c r="Z4097" s="124">
        <f>IFERROR(__xludf.DUMMYFUNCTION("""COMPUTED_VALUE"""),1.0)</f>
        <v>1</v>
      </c>
      <c r="AA4097" s="124" t="str">
        <f>IFERROR(__xludf.DUMMYFUNCTION("""COMPUTED_VALUE"""),"Cold")</f>
        <v>Cold</v>
      </c>
      <c r="AB4097" s="124" t="str">
        <f>IFERROR(__xludf.DUMMYFUNCTION("""COMPUTED_VALUE"""),"GS Advanced")</f>
        <v>GS Advanced</v>
      </c>
    </row>
    <row r="4098">
      <c r="K4098" s="124"/>
      <c r="L4098" s="124"/>
      <c r="M4098" s="124"/>
      <c r="N4098" s="124"/>
      <c r="O4098" s="124"/>
      <c r="T4098" s="126">
        <f>IFERROR(__xludf.DUMMYFUNCTION("""COMPUTED_VALUE"""),46079.0)</f>
        <v>46079</v>
      </c>
      <c r="U4098" s="124" t="str">
        <f>IFERROR(__xludf.DUMMYFUNCTION("""COMPUTED_VALUE"""),"Publisher Campaign")</f>
        <v>Publisher Campaign</v>
      </c>
      <c r="V4098" s="124" t="str">
        <f>IFERROR(__xludf.DUMMYFUNCTION("""COMPUTED_VALUE"""),"Webinar")</f>
        <v>Webinar</v>
      </c>
      <c r="W4098" s="124"/>
      <c r="X4098" s="124"/>
      <c r="Y4098" s="124" t="str">
        <f>IFERROR(__xludf.DUMMYFUNCTION("""COMPUTED_VALUE"""),"Hyderabad")</f>
        <v>Hyderabad</v>
      </c>
      <c r="Z4098" s="124">
        <f>IFERROR(__xludf.DUMMYFUNCTION("""COMPUTED_VALUE"""),1.0)</f>
        <v>1</v>
      </c>
      <c r="AA4098" s="124"/>
      <c r="AB4098" s="124" t="str">
        <f>IFERROR(__xludf.DUMMYFUNCTION("""COMPUTED_VALUE"""),"SIM")</f>
        <v>SIM</v>
      </c>
    </row>
    <row r="4099">
      <c r="K4099" s="124"/>
      <c r="L4099" s="124"/>
      <c r="M4099" s="124"/>
      <c r="N4099" s="124"/>
      <c r="O4099" s="124"/>
      <c r="T4099" s="126">
        <f>IFERROR(__xludf.DUMMYFUNCTION("""COMPUTED_VALUE"""),46091.0)</f>
        <v>46091</v>
      </c>
      <c r="U4099" s="124" t="str">
        <f>IFERROR(__xludf.DUMMYFUNCTION("""COMPUTED_VALUE"""),"Paid Ads")</f>
        <v>Paid Ads</v>
      </c>
      <c r="V4099" s="124" t="str">
        <f>IFERROR(__xludf.DUMMYFUNCTION("""COMPUTED_VALUE"""),"google")</f>
        <v>google</v>
      </c>
      <c r="W4099" s="124" t="str">
        <f>IFERROR(__xludf.DUMMYFUNCTION("""COMPUTED_VALUE"""),"cpc")</f>
        <v>cpc</v>
      </c>
      <c r="X4099" s="124">
        <f>IFERROR(__xludf.DUMMYFUNCTION("""COMPUTED_VALUE"""),2.288825581E10)</f>
        <v>22888255810</v>
      </c>
      <c r="Y4099" s="124" t="str">
        <f>IFERROR(__xludf.DUMMYFUNCTION("""COMPUTED_VALUE"""),"Indore")</f>
        <v>Indore</v>
      </c>
      <c r="Z4099" s="124">
        <f>IFERROR(__xludf.DUMMYFUNCTION("""COMPUTED_VALUE"""),1.0)</f>
        <v>1</v>
      </c>
      <c r="AA4099" s="124" t="str">
        <f>IFERROR(__xludf.DUMMYFUNCTION("""COMPUTED_VALUE"""),"Cold")</f>
        <v>Cold</v>
      </c>
      <c r="AB4099" s="124" t="str">
        <f>IFERROR(__xludf.DUMMYFUNCTION("""COMPUTED_VALUE"""),"GS Foundation")</f>
        <v>GS Foundation</v>
      </c>
    </row>
    <row r="4100">
      <c r="K4100" s="124"/>
      <c r="L4100" s="124"/>
      <c r="M4100" s="124"/>
      <c r="N4100" s="124"/>
      <c r="O4100" s="124"/>
      <c r="T4100" s="129">
        <f>IFERROR(__xludf.DUMMYFUNCTION("""COMPUTED_VALUE"""),46084.0)</f>
        <v>46084</v>
      </c>
      <c r="U4100" s="124" t="str">
        <f>IFERROR(__xludf.DUMMYFUNCTION("""COMPUTED_VALUE"""),"Paid Ads")</f>
        <v>Paid Ads</v>
      </c>
      <c r="V4100" s="124" t="str">
        <f>IFERROR(__xludf.DUMMYFUNCTION("""COMPUTED_VALUE"""),"YouTube")</f>
        <v>YouTube</v>
      </c>
      <c r="W4100" s="124"/>
      <c r="X4100" s="124"/>
      <c r="Y4100" s="124" t="str">
        <f>IFERROR(__xludf.DUMMYFUNCTION("""COMPUTED_VALUE"""),"Prayagraj")</f>
        <v>Prayagraj</v>
      </c>
      <c r="Z4100" s="124">
        <f>IFERROR(__xludf.DUMMYFUNCTION("""COMPUTED_VALUE"""),1.0)</f>
        <v>1</v>
      </c>
      <c r="AA4100" s="124" t="str">
        <f>IFERROR(__xludf.DUMMYFUNCTION("""COMPUTED_VALUE"""),"Fake Lead")</f>
        <v>Fake Lead</v>
      </c>
      <c r="AB4100" s="124" t="str">
        <f>IFERROR(__xludf.DUMMYFUNCTION("""COMPUTED_VALUE"""),"State PCS")</f>
        <v>State PCS</v>
      </c>
    </row>
    <row r="4101">
      <c r="K4101" s="124"/>
      <c r="L4101" s="124"/>
      <c r="M4101" s="124"/>
      <c r="N4101" s="124"/>
      <c r="O4101" s="124"/>
      <c r="T4101" s="129">
        <f>IFERROR(__xludf.DUMMYFUNCTION("""COMPUTED_VALUE"""),46090.0)</f>
        <v>46090</v>
      </c>
      <c r="U4101" s="124" t="str">
        <f>IFERROR(__xludf.DUMMYFUNCTION("""COMPUTED_VALUE"""),"Publisher Campaign")</f>
        <v>Publisher Campaign</v>
      </c>
      <c r="V4101" s="124" t="str">
        <f>IFERROR(__xludf.DUMMYFUNCTION("""COMPUTED_VALUE"""),"BTL Activities")</f>
        <v>BTL Activities</v>
      </c>
      <c r="W4101" s="124"/>
      <c r="X4101" s="124"/>
      <c r="Y4101" s="124" t="str">
        <f>IFERROR(__xludf.DUMMYFUNCTION("""COMPUTED_VALUE"""),"Indore")</f>
        <v>Indore</v>
      </c>
      <c r="Z4101" s="124">
        <f>IFERROR(__xludf.DUMMYFUNCTION("""COMPUTED_VALUE"""),1.0)</f>
        <v>1</v>
      </c>
      <c r="AA4101" s="124" t="str">
        <f>IFERROR(__xludf.DUMMYFUNCTION("""COMPUTED_VALUE"""),"Future Prospects")</f>
        <v>Future Prospects</v>
      </c>
      <c r="AB4101" s="124" t="str">
        <f>IFERROR(__xludf.DUMMYFUNCTION("""COMPUTED_VALUE"""),"GS Foundation")</f>
        <v>GS Foundation</v>
      </c>
    </row>
    <row r="4102">
      <c r="K4102" s="124"/>
      <c r="L4102" s="124"/>
      <c r="M4102" s="124"/>
      <c r="N4102" s="124"/>
      <c r="O4102" s="124"/>
      <c r="T4102" s="126">
        <f>IFERROR(__xludf.DUMMYFUNCTION("""COMPUTED_VALUE"""),46074.0)</f>
        <v>46074</v>
      </c>
      <c r="U4102" s="124" t="str">
        <f>IFERROR(__xludf.DUMMYFUNCTION("""COMPUTED_VALUE"""),"Walk-Ins")</f>
        <v>Walk-Ins</v>
      </c>
      <c r="V4102" s="124" t="str">
        <f>IFERROR(__xludf.DUMMYFUNCTION("""COMPUTED_VALUE"""),"Walkin")</f>
        <v>Walkin</v>
      </c>
      <c r="W4102" s="124"/>
      <c r="X4102" s="124"/>
      <c r="Y4102" s="124" t="str">
        <f>IFERROR(__xludf.DUMMYFUNCTION("""COMPUTED_VALUE"""),"Delhi")</f>
        <v>Delhi</v>
      </c>
      <c r="Z4102" s="124">
        <f>IFERROR(__xludf.DUMMYFUNCTION("""COMPUTED_VALUE"""),1.0)</f>
        <v>1</v>
      </c>
      <c r="AA4102" s="124" t="str">
        <f>IFERROR(__xludf.DUMMYFUNCTION("""COMPUTED_VALUE"""),"Cold")</f>
        <v>Cold</v>
      </c>
      <c r="AB4102" s="124" t="str">
        <f>IFERROR(__xludf.DUMMYFUNCTION("""COMPUTED_VALUE"""),"GS Foundation")</f>
        <v>GS Foundation</v>
      </c>
    </row>
    <row r="4103">
      <c r="K4103" s="124"/>
      <c r="L4103" s="124"/>
      <c r="M4103" s="124"/>
      <c r="N4103" s="124"/>
      <c r="O4103" s="124"/>
      <c r="T4103" s="126">
        <f>IFERROR(__xludf.DUMMYFUNCTION("""COMPUTED_VALUE"""),46051.0)</f>
        <v>46051</v>
      </c>
      <c r="U4103" s="124" t="str">
        <f>IFERROR(__xludf.DUMMYFUNCTION("""COMPUTED_VALUE"""),"External Leads")</f>
        <v>External Leads</v>
      </c>
      <c r="V4103" s="124" t="str">
        <f>IFERROR(__xludf.DUMMYFUNCTION("""COMPUTED_VALUE"""),"external leads")</f>
        <v>external leads</v>
      </c>
      <c r="W4103" s="124"/>
      <c r="X4103" s="124"/>
      <c r="Y4103" s="124" t="str">
        <f>IFERROR(__xludf.DUMMYFUNCTION("""COMPUTED_VALUE"""),"Delhi")</f>
        <v>Delhi</v>
      </c>
      <c r="Z4103" s="124">
        <f>IFERROR(__xludf.DUMMYFUNCTION("""COMPUTED_VALUE"""),1.0)</f>
        <v>1</v>
      </c>
      <c r="AA4103" s="124" t="str">
        <f>IFERROR(__xludf.DUMMYFUNCTION("""COMPUTED_VALUE"""),"Not Interested")</f>
        <v>Not Interested</v>
      </c>
      <c r="AB4103" s="124" t="str">
        <f>IFERROR(__xludf.DUMMYFUNCTION("""COMPUTED_VALUE"""),"GS Foundation")</f>
        <v>GS Foundation</v>
      </c>
    </row>
    <row r="4104">
      <c r="K4104" s="124"/>
      <c r="L4104" s="124"/>
      <c r="M4104" s="124"/>
      <c r="N4104" s="124"/>
      <c r="O4104" s="124"/>
      <c r="T4104" s="126">
        <f>IFERROR(__xludf.DUMMYFUNCTION("""COMPUTED_VALUE"""),46080.0)</f>
        <v>46080</v>
      </c>
      <c r="U4104" s="124" t="str">
        <f>IFERROR(__xludf.DUMMYFUNCTION("""COMPUTED_VALUE"""),"Publisher Campaign")</f>
        <v>Publisher Campaign</v>
      </c>
      <c r="V4104" s="124" t="str">
        <f>IFERROR(__xludf.DUMMYFUNCTION("""COMPUTED_VALUE"""),"Webinar")</f>
        <v>Webinar</v>
      </c>
      <c r="W4104" s="124"/>
      <c r="X4104" s="124"/>
      <c r="Y4104" s="124" t="str">
        <f>IFERROR(__xludf.DUMMYFUNCTION("""COMPUTED_VALUE"""),"Indore")</f>
        <v>Indore</v>
      </c>
      <c r="Z4104" s="124">
        <f>IFERROR(__xludf.DUMMYFUNCTION("""COMPUTED_VALUE"""),1.0)</f>
        <v>1</v>
      </c>
      <c r="AA4104" s="124"/>
      <c r="AB4104" s="124" t="str">
        <f>IFERROR(__xludf.DUMMYFUNCTION("""COMPUTED_VALUE"""),"Optionals")</f>
        <v>Optionals</v>
      </c>
    </row>
    <row r="4105">
      <c r="K4105" s="124"/>
      <c r="L4105" s="124"/>
      <c r="M4105" s="124"/>
      <c r="N4105" s="124"/>
      <c r="O4105" s="124"/>
      <c r="T4105" s="126">
        <f>IFERROR(__xludf.DUMMYFUNCTION("""COMPUTED_VALUE"""),46079.0)</f>
        <v>46079</v>
      </c>
      <c r="U4105" s="124" t="str">
        <f>IFERROR(__xludf.DUMMYFUNCTION("""COMPUTED_VALUE"""),"Publisher Campaign")</f>
        <v>Publisher Campaign</v>
      </c>
      <c r="V4105" s="124" t="str">
        <f>IFERROR(__xludf.DUMMYFUNCTION("""COMPUTED_VALUE"""),"Webinar")</f>
        <v>Webinar</v>
      </c>
      <c r="W4105" s="124"/>
      <c r="X4105" s="124"/>
      <c r="Y4105" s="124" t="str">
        <f>IFERROR(__xludf.DUMMYFUNCTION("""COMPUTED_VALUE"""),"Guwahati")</f>
        <v>Guwahati</v>
      </c>
      <c r="Z4105" s="124">
        <f>IFERROR(__xludf.DUMMYFUNCTION("""COMPUTED_VALUE"""),1.0)</f>
        <v>1</v>
      </c>
      <c r="AA4105" s="124"/>
      <c r="AB4105" s="124" t="str">
        <f>IFERROR(__xludf.DUMMYFUNCTION("""COMPUTED_VALUE"""),"GS Advanced")</f>
        <v>GS Advanced</v>
      </c>
    </row>
    <row r="4106">
      <c r="K4106" s="124"/>
      <c r="L4106" s="124"/>
      <c r="M4106" s="124"/>
      <c r="N4106" s="124"/>
      <c r="O4106" s="124"/>
      <c r="T4106" s="126">
        <f>IFERROR(__xludf.DUMMYFUNCTION("""COMPUTED_VALUE"""),46080.0)</f>
        <v>46080</v>
      </c>
      <c r="U4106" s="124" t="str">
        <f>IFERROR(__xludf.DUMMYFUNCTION("""COMPUTED_VALUE"""),"Publisher Campaign")</f>
        <v>Publisher Campaign</v>
      </c>
      <c r="V4106" s="124" t="str">
        <f>IFERROR(__xludf.DUMMYFUNCTION("""COMPUTED_VALUE"""),"Webinar")</f>
        <v>Webinar</v>
      </c>
      <c r="W4106" s="124"/>
      <c r="X4106" s="124"/>
      <c r="Y4106" s="124" t="str">
        <f>IFERROR(__xludf.DUMMYFUNCTION("""COMPUTED_VALUE"""),"Lucknow")</f>
        <v>Lucknow</v>
      </c>
      <c r="Z4106" s="124">
        <f>IFERROR(__xludf.DUMMYFUNCTION("""COMPUTED_VALUE"""),1.0)</f>
        <v>1</v>
      </c>
      <c r="AA4106" s="124" t="str">
        <f>IFERROR(__xludf.DUMMYFUNCTION("""COMPUTED_VALUE"""),"Cold")</f>
        <v>Cold</v>
      </c>
      <c r="AB4106" s="124" t="str">
        <f>IFERROR(__xludf.DUMMYFUNCTION("""COMPUTED_VALUE"""),"SIP Offline")</f>
        <v>SIP Offline</v>
      </c>
    </row>
    <row r="4107">
      <c r="K4107" s="124"/>
      <c r="L4107" s="124"/>
      <c r="M4107" s="124"/>
      <c r="N4107" s="124"/>
      <c r="O4107" s="124"/>
      <c r="T4107" s="126">
        <f>IFERROR(__xludf.DUMMYFUNCTION("""COMPUTED_VALUE"""),46105.0)</f>
        <v>46105</v>
      </c>
      <c r="U4107" s="124" t="str">
        <f>IFERROR(__xludf.DUMMYFUNCTION("""COMPUTED_VALUE"""),"Libraries")</f>
        <v>Libraries</v>
      </c>
      <c r="V4107" s="124" t="str">
        <f>IFERROR(__xludf.DUMMYFUNCTION("""COMPUTED_VALUE"""),"Libraries")</f>
        <v>Libraries</v>
      </c>
      <c r="W4107" s="124"/>
      <c r="X4107" s="124"/>
      <c r="Y4107" s="124" t="str">
        <f>IFERROR(__xludf.DUMMYFUNCTION("""COMPUTED_VALUE"""),"Prayagraj")</f>
        <v>Prayagraj</v>
      </c>
      <c r="Z4107" s="124">
        <f>IFERROR(__xludf.DUMMYFUNCTION("""COMPUTED_VALUE"""),1.0)</f>
        <v>1</v>
      </c>
      <c r="AA4107" s="124" t="str">
        <f>IFERROR(__xludf.DUMMYFUNCTION("""COMPUTED_VALUE"""),"Interested")</f>
        <v>Interested</v>
      </c>
      <c r="AB4107" s="124" t="str">
        <f>IFERROR(__xludf.DUMMYFUNCTION("""COMPUTED_VALUE"""),"GS Foundation")</f>
        <v>GS Foundation</v>
      </c>
    </row>
    <row r="4108">
      <c r="K4108" s="124"/>
      <c r="L4108" s="124"/>
      <c r="M4108" s="124"/>
      <c r="N4108" s="124"/>
      <c r="O4108" s="124"/>
      <c r="T4108" s="129">
        <f>IFERROR(__xludf.DUMMYFUNCTION("""COMPUTED_VALUE"""),46059.0)</f>
        <v>46059</v>
      </c>
      <c r="U4108" s="124" t="str">
        <f>IFERROR(__xludf.DUMMYFUNCTION("""COMPUTED_VALUE"""),"External Leads")</f>
        <v>External Leads</v>
      </c>
      <c r="V4108" s="124" t="str">
        <f>IFERROR(__xludf.DUMMYFUNCTION("""COMPUTED_VALUE"""),"external leads")</f>
        <v>external leads</v>
      </c>
      <c r="W4108" s="124"/>
      <c r="X4108" s="124"/>
      <c r="Y4108" s="124"/>
      <c r="Z4108" s="124">
        <f>IFERROR(__xludf.DUMMYFUNCTION("""COMPUTED_VALUE"""),1.0)</f>
        <v>1</v>
      </c>
      <c r="AA4108" s="124" t="str">
        <f>IFERROR(__xludf.DUMMYFUNCTION("""COMPUTED_VALUE"""),"Not Interested")</f>
        <v>Not Interested</v>
      </c>
      <c r="AB4108" s="124"/>
    </row>
    <row r="4109">
      <c r="K4109" s="124"/>
      <c r="L4109" s="124"/>
      <c r="M4109" s="124"/>
      <c r="N4109" s="124"/>
      <c r="O4109" s="124"/>
      <c r="T4109" s="126">
        <f>IFERROR(__xludf.DUMMYFUNCTION("""COMPUTED_VALUE"""),46068.0)</f>
        <v>46068</v>
      </c>
      <c r="U4109" s="124" t="str">
        <f>IFERROR(__xludf.DUMMYFUNCTION("""COMPUTED_VALUE"""),"Publisher Campaign")</f>
        <v>Publisher Campaign</v>
      </c>
      <c r="V4109" s="124" t="str">
        <f>IFERROR(__xludf.DUMMYFUNCTION("""COMPUTED_VALUE"""),"Webinar")</f>
        <v>Webinar</v>
      </c>
      <c r="W4109" s="124"/>
      <c r="X4109" s="124"/>
      <c r="Y4109" s="124" t="str">
        <f>IFERROR(__xludf.DUMMYFUNCTION("""COMPUTED_VALUE"""),"Delhi")</f>
        <v>Delhi</v>
      </c>
      <c r="Z4109" s="124">
        <f>IFERROR(__xludf.DUMMYFUNCTION("""COMPUTED_VALUE"""),1.0)</f>
        <v>1</v>
      </c>
      <c r="AA4109" s="124" t="str">
        <f>IFERROR(__xludf.DUMMYFUNCTION("""COMPUTED_VALUE"""),"Not Interested")</f>
        <v>Not Interested</v>
      </c>
      <c r="AB4109" s="124" t="str">
        <f>IFERROR(__xludf.DUMMYFUNCTION("""COMPUTED_VALUE"""),"Hybrid")</f>
        <v>Hybrid</v>
      </c>
    </row>
    <row r="4110">
      <c r="K4110" s="124"/>
      <c r="L4110" s="124"/>
      <c r="M4110" s="124"/>
      <c r="N4110" s="124"/>
      <c r="O4110" s="124"/>
      <c r="T4110" s="126">
        <f>IFERROR(__xludf.DUMMYFUNCTION("""COMPUTED_VALUE"""),46098.0)</f>
        <v>46098</v>
      </c>
      <c r="U4110" s="124" t="str">
        <f>IFERROR(__xludf.DUMMYFUNCTION("""COMPUTED_VALUE"""),"Libraries")</f>
        <v>Libraries</v>
      </c>
      <c r="V4110" s="124" t="str">
        <f>IFERROR(__xludf.DUMMYFUNCTION("""COMPUTED_VALUE"""),"Libraries")</f>
        <v>Libraries</v>
      </c>
      <c r="W4110" s="124"/>
      <c r="X4110" s="124"/>
      <c r="Y4110" s="124" t="str">
        <f>IFERROR(__xludf.DUMMYFUNCTION("""COMPUTED_VALUE"""),"Prayagraj")</f>
        <v>Prayagraj</v>
      </c>
      <c r="Z4110" s="124">
        <f>IFERROR(__xludf.DUMMYFUNCTION("""COMPUTED_VALUE"""),1.0)</f>
        <v>1</v>
      </c>
      <c r="AA4110" s="124"/>
      <c r="AB4110" s="124" t="str">
        <f>IFERROR(__xludf.DUMMYFUNCTION("""COMPUTED_VALUE"""),"GS Advanced")</f>
        <v>GS Advanced</v>
      </c>
    </row>
    <row r="4111">
      <c r="K4111" s="124"/>
      <c r="L4111" s="124"/>
      <c r="M4111" s="124"/>
      <c r="N4111" s="124"/>
      <c r="O4111" s="124"/>
      <c r="T4111" s="129">
        <f>IFERROR(__xludf.DUMMYFUNCTION("""COMPUTED_VALUE"""),46085.0)</f>
        <v>46085</v>
      </c>
      <c r="U4111" s="124" t="str">
        <f>IFERROR(__xludf.DUMMYFUNCTION("""COMPUTED_VALUE"""),"Paid Ads")</f>
        <v>Paid Ads</v>
      </c>
      <c r="V4111" s="124" t="str">
        <f>IFERROR(__xludf.DUMMYFUNCTION("""COMPUTED_VALUE"""),"YouTube")</f>
        <v>YouTube</v>
      </c>
      <c r="W4111" s="124"/>
      <c r="X4111" s="124"/>
      <c r="Y4111" s="124" t="str">
        <f>IFERROR(__xludf.DUMMYFUNCTION("""COMPUTED_VALUE"""),"Prayagraj")</f>
        <v>Prayagraj</v>
      </c>
      <c r="Z4111" s="124">
        <f>IFERROR(__xludf.DUMMYFUNCTION("""COMPUTED_VALUE"""),1.0)</f>
        <v>1</v>
      </c>
      <c r="AA4111" s="124" t="str">
        <f>IFERROR(__xludf.DUMMYFUNCTION("""COMPUTED_VALUE"""),"Cold")</f>
        <v>Cold</v>
      </c>
      <c r="AB4111" s="124" t="str">
        <f>IFERROR(__xludf.DUMMYFUNCTION("""COMPUTED_VALUE"""),"GS Advanced")</f>
        <v>GS Advanced</v>
      </c>
    </row>
    <row r="4112">
      <c r="K4112" s="124"/>
      <c r="L4112" s="124"/>
      <c r="M4112" s="124"/>
      <c r="N4112" s="124"/>
      <c r="O4112" s="124"/>
      <c r="T4112" s="126">
        <f>IFERROR(__xludf.DUMMYFUNCTION("""COMPUTED_VALUE"""),46078.0)</f>
        <v>46078</v>
      </c>
      <c r="U4112" s="124" t="str">
        <f>IFERROR(__xludf.DUMMYFUNCTION("""COMPUTED_VALUE"""),"Publisher Campaign")</f>
        <v>Publisher Campaign</v>
      </c>
      <c r="V4112" s="124" t="str">
        <f>IFERROR(__xludf.DUMMYFUNCTION("""COMPUTED_VALUE"""),"BTL Activities")</f>
        <v>BTL Activities</v>
      </c>
      <c r="W4112" s="124"/>
      <c r="X4112" s="124"/>
      <c r="Y4112" s="124" t="str">
        <f>IFERROR(__xludf.DUMMYFUNCTION("""COMPUTED_VALUE"""),"Indore")</f>
        <v>Indore</v>
      </c>
      <c r="Z4112" s="124">
        <f>IFERROR(__xludf.DUMMYFUNCTION("""COMPUTED_VALUE"""),1.0)</f>
        <v>1</v>
      </c>
      <c r="AA4112" s="124"/>
      <c r="AB4112" s="124" t="str">
        <f>IFERROR(__xludf.DUMMYFUNCTION("""COMPUTED_VALUE"""),"IGP UPPSC")</f>
        <v>IGP UPPSC</v>
      </c>
    </row>
    <row r="4113">
      <c r="K4113" s="124"/>
      <c r="L4113" s="124"/>
      <c r="M4113" s="124"/>
      <c r="N4113" s="124"/>
      <c r="O4113" s="124"/>
      <c r="T4113" s="129">
        <f>IFERROR(__xludf.DUMMYFUNCTION("""COMPUTED_VALUE"""),46059.0)</f>
        <v>46059</v>
      </c>
      <c r="U4113" s="124" t="str">
        <f>IFERROR(__xludf.DUMMYFUNCTION("""COMPUTED_VALUE"""),"Publisher Campaign")</f>
        <v>Publisher Campaign</v>
      </c>
      <c r="V4113" s="124" t="str">
        <f>IFERROR(__xludf.DUMMYFUNCTION("""COMPUTED_VALUE"""),"BTL Activities")</f>
        <v>BTL Activities</v>
      </c>
      <c r="W4113" s="124"/>
      <c r="X4113" s="124"/>
      <c r="Y4113" s="124" t="str">
        <f>IFERROR(__xludf.DUMMYFUNCTION("""COMPUTED_VALUE"""),"Indore")</f>
        <v>Indore</v>
      </c>
      <c r="Z4113" s="124">
        <f>IFERROR(__xludf.DUMMYFUNCTION("""COMPUTED_VALUE"""),1.0)</f>
        <v>1</v>
      </c>
      <c r="AA4113" s="124" t="str">
        <f>IFERROR(__xludf.DUMMYFUNCTION("""COMPUTED_VALUE"""),"Future Prospects")</f>
        <v>Future Prospects</v>
      </c>
      <c r="AB4113" s="124" t="str">
        <f>IFERROR(__xludf.DUMMYFUNCTION("""COMPUTED_VALUE"""),"GS Foundation")</f>
        <v>GS Foundation</v>
      </c>
    </row>
    <row r="4114">
      <c r="K4114" s="124"/>
      <c r="L4114" s="124"/>
      <c r="M4114" s="124"/>
      <c r="N4114" s="124"/>
      <c r="O4114" s="124"/>
      <c r="T4114" s="126">
        <f>IFERROR(__xludf.DUMMYFUNCTION("""COMPUTED_VALUE"""),46051.0)</f>
        <v>46051</v>
      </c>
      <c r="U4114" s="124" t="str">
        <f>IFERROR(__xludf.DUMMYFUNCTION("""COMPUTED_VALUE"""),"External Leads")</f>
        <v>External Leads</v>
      </c>
      <c r="V4114" s="124" t="str">
        <f>IFERROR(__xludf.DUMMYFUNCTION("""COMPUTED_VALUE"""),"external leads")</f>
        <v>external leads</v>
      </c>
      <c r="W4114" s="124"/>
      <c r="X4114" s="124"/>
      <c r="Y4114" s="124" t="str">
        <f>IFERROR(__xludf.DUMMYFUNCTION("""COMPUTED_VALUE"""),"Delhi")</f>
        <v>Delhi</v>
      </c>
      <c r="Z4114" s="124">
        <f>IFERROR(__xludf.DUMMYFUNCTION("""COMPUTED_VALUE"""),1.0)</f>
        <v>1</v>
      </c>
      <c r="AA4114" s="124" t="str">
        <f>IFERROR(__xludf.DUMMYFUNCTION("""COMPUTED_VALUE"""),"Engaged")</f>
        <v>Engaged</v>
      </c>
      <c r="AB4114" s="124" t="str">
        <f>IFERROR(__xludf.DUMMYFUNCTION("""COMPUTED_VALUE"""),"GS Foundation")</f>
        <v>GS Foundation</v>
      </c>
    </row>
    <row r="4115">
      <c r="K4115" s="124"/>
      <c r="L4115" s="124"/>
      <c r="M4115" s="124"/>
      <c r="N4115" s="124"/>
      <c r="O4115" s="124"/>
      <c r="T4115" s="129">
        <f>IFERROR(__xludf.DUMMYFUNCTION("""COMPUTED_VALUE"""),46059.0)</f>
        <v>46059</v>
      </c>
      <c r="U4115" s="124" t="str">
        <f>IFERROR(__xludf.DUMMYFUNCTION("""COMPUTED_VALUE"""),"Publisher Campaign")</f>
        <v>Publisher Campaign</v>
      </c>
      <c r="V4115" s="124" t="str">
        <f>IFERROR(__xludf.DUMMYFUNCTION("""COMPUTED_VALUE"""),"BTL Activities")</f>
        <v>BTL Activities</v>
      </c>
      <c r="W4115" s="124"/>
      <c r="X4115" s="124"/>
      <c r="Y4115" s="124" t="str">
        <f>IFERROR(__xludf.DUMMYFUNCTION("""COMPUTED_VALUE"""),"Indore")</f>
        <v>Indore</v>
      </c>
      <c r="Z4115" s="124">
        <f>IFERROR(__xludf.DUMMYFUNCTION("""COMPUTED_VALUE"""),1.0)</f>
        <v>1</v>
      </c>
      <c r="AA4115" s="124" t="str">
        <f>IFERROR(__xludf.DUMMYFUNCTION("""COMPUTED_VALUE"""),"Cold")</f>
        <v>Cold</v>
      </c>
      <c r="AB4115" s="124" t="str">
        <f>IFERROR(__xludf.DUMMYFUNCTION("""COMPUTED_VALUE"""),"GS Advanced")</f>
        <v>GS Advanced</v>
      </c>
    </row>
    <row r="4116">
      <c r="K4116" s="124"/>
      <c r="L4116" s="124"/>
      <c r="M4116" s="124"/>
      <c r="N4116" s="124"/>
      <c r="O4116" s="124"/>
      <c r="T4116" s="129">
        <f>IFERROR(__xludf.DUMMYFUNCTION("""COMPUTED_VALUE"""),46083.0)</f>
        <v>46083</v>
      </c>
      <c r="U4116" s="124" t="str">
        <f>IFERROR(__xludf.DUMMYFUNCTION("""COMPUTED_VALUE"""),"Event")</f>
        <v>Event</v>
      </c>
      <c r="V4116" s="124" t="str">
        <f>IFERROR(__xludf.DUMMYFUNCTION("""COMPUTED_VALUE"""),"events")</f>
        <v>events</v>
      </c>
      <c r="W4116" s="124" t="str">
        <f>IFERROR(__xludf.DUMMYFUNCTION("""COMPUTED_VALUE"""),"indore")</f>
        <v>indore</v>
      </c>
      <c r="X4116" s="124" t="str">
        <f>IFERROR(__xludf.DUMMYFUNCTION("""COMPUTED_VALUE"""),"mahamarathon")</f>
        <v>mahamarathon</v>
      </c>
      <c r="Y4116" s="124" t="str">
        <f>IFERROR(__xludf.DUMMYFUNCTION("""COMPUTED_VALUE"""),"Indore")</f>
        <v>Indore</v>
      </c>
      <c r="Z4116" s="124">
        <f>IFERROR(__xludf.DUMMYFUNCTION("""COMPUTED_VALUE"""),2.0)</f>
        <v>2</v>
      </c>
      <c r="AA4116" s="124"/>
      <c r="AB4116" s="124"/>
    </row>
    <row r="4117">
      <c r="K4117" s="124"/>
      <c r="L4117" s="124"/>
      <c r="M4117" s="124"/>
      <c r="N4117" s="124"/>
      <c r="O4117" s="124"/>
      <c r="T4117" s="129">
        <f>IFERROR(__xludf.DUMMYFUNCTION("""COMPUTED_VALUE"""),46086.0)</f>
        <v>46086</v>
      </c>
      <c r="U4117" s="124" t="str">
        <f>IFERROR(__xludf.DUMMYFUNCTION("""COMPUTED_VALUE"""),"Publisher Campaign")</f>
        <v>Publisher Campaign</v>
      </c>
      <c r="V4117" s="124" t="str">
        <f>IFERROR(__xludf.DUMMYFUNCTION("""COMPUTED_VALUE"""),"Webinar")</f>
        <v>Webinar</v>
      </c>
      <c r="W4117" s="124"/>
      <c r="X4117" s="124"/>
      <c r="Y4117" s="124" t="str">
        <f>IFERROR(__xludf.DUMMYFUNCTION("""COMPUTED_VALUE"""),"Delhi")</f>
        <v>Delhi</v>
      </c>
      <c r="Z4117" s="124">
        <f>IFERROR(__xludf.DUMMYFUNCTION("""COMPUTED_VALUE"""),1.0)</f>
        <v>1</v>
      </c>
      <c r="AA4117" s="124" t="str">
        <f>IFERROR(__xludf.DUMMYFUNCTION("""COMPUTED_VALUE"""),"Engaged")</f>
        <v>Engaged</v>
      </c>
      <c r="AB4117" s="124" t="str">
        <f>IFERROR(__xludf.DUMMYFUNCTION("""COMPUTED_VALUE"""),"GS Foundation")</f>
        <v>GS Foundation</v>
      </c>
    </row>
    <row r="4118">
      <c r="K4118" s="124"/>
      <c r="L4118" s="124"/>
      <c r="M4118" s="124"/>
      <c r="N4118" s="124"/>
      <c r="O4118" s="124"/>
      <c r="T4118" s="129">
        <f>IFERROR(__xludf.DUMMYFUNCTION("""COMPUTED_VALUE"""),46061.0)</f>
        <v>46061</v>
      </c>
      <c r="U4118" s="124" t="str">
        <f>IFERROR(__xludf.DUMMYFUNCTION("""COMPUTED_VALUE"""),"Publisher Campaign")</f>
        <v>Publisher Campaign</v>
      </c>
      <c r="V4118" s="124" t="str">
        <f>IFERROR(__xludf.DUMMYFUNCTION("""COMPUTED_VALUE"""),"Webinar")</f>
        <v>Webinar</v>
      </c>
      <c r="W4118" s="124"/>
      <c r="X4118" s="124"/>
      <c r="Y4118" s="124" t="str">
        <f>IFERROR(__xludf.DUMMYFUNCTION("""COMPUTED_VALUE"""),"Indore")</f>
        <v>Indore</v>
      </c>
      <c r="Z4118" s="124">
        <f>IFERROR(__xludf.DUMMYFUNCTION("""COMPUTED_VALUE"""),1.0)</f>
        <v>1</v>
      </c>
      <c r="AA4118" s="124" t="str">
        <f>IFERROR(__xludf.DUMMYFUNCTION("""COMPUTED_VALUE"""),"Cold")</f>
        <v>Cold</v>
      </c>
      <c r="AB4118" s="124" t="str">
        <f>IFERROR(__xludf.DUMMYFUNCTION("""COMPUTED_VALUE"""),"Other")</f>
        <v>Other</v>
      </c>
    </row>
    <row r="4119">
      <c r="K4119" s="124"/>
      <c r="L4119" s="124"/>
      <c r="M4119" s="124"/>
      <c r="N4119" s="124"/>
      <c r="O4119" s="124"/>
      <c r="T4119" s="129">
        <f>IFERROR(__xludf.DUMMYFUNCTION("""COMPUTED_VALUE"""),46060.0)</f>
        <v>46060</v>
      </c>
      <c r="U4119" s="124" t="str">
        <f>IFERROR(__xludf.DUMMYFUNCTION("""COMPUTED_VALUE"""),"Publisher Campaign")</f>
        <v>Publisher Campaign</v>
      </c>
      <c r="V4119" s="124" t="str">
        <f>IFERROR(__xludf.DUMMYFUNCTION("""COMPUTED_VALUE"""),"Webinar")</f>
        <v>Webinar</v>
      </c>
      <c r="W4119" s="124"/>
      <c r="X4119" s="124"/>
      <c r="Y4119" s="124" t="str">
        <f>IFERROR(__xludf.DUMMYFUNCTION("""COMPUTED_VALUE"""),"Lucknow")</f>
        <v>Lucknow</v>
      </c>
      <c r="Z4119" s="124">
        <f>IFERROR(__xludf.DUMMYFUNCTION("""COMPUTED_VALUE"""),1.0)</f>
        <v>1</v>
      </c>
      <c r="AA4119" s="124" t="str">
        <f>IFERROR(__xludf.DUMMYFUNCTION("""COMPUTED_VALUE"""),"Cold")</f>
        <v>Cold</v>
      </c>
      <c r="AB4119" s="124" t="str">
        <f>IFERROR(__xludf.DUMMYFUNCTION("""COMPUTED_VALUE"""),"Other")</f>
        <v>Other</v>
      </c>
    </row>
    <row r="4120">
      <c r="K4120" s="124"/>
      <c r="L4120" s="124"/>
      <c r="M4120" s="124"/>
      <c r="N4120" s="124"/>
      <c r="O4120" s="124"/>
      <c r="T4120" s="126">
        <f>IFERROR(__xludf.DUMMYFUNCTION("""COMPUTED_VALUE"""),46092.0)</f>
        <v>46092</v>
      </c>
      <c r="U4120" s="124" t="str">
        <f>IFERROR(__xludf.DUMMYFUNCTION("""COMPUTED_VALUE"""),"Walk-Ins")</f>
        <v>Walk-Ins</v>
      </c>
      <c r="V4120" s="124" t="str">
        <f>IFERROR(__xludf.DUMMYFUNCTION("""COMPUTED_VALUE"""),"Walk-In")</f>
        <v>Walk-In</v>
      </c>
      <c r="W4120" s="124" t="str">
        <f>IFERROR(__xludf.DUMMYFUNCTION("""COMPUTED_VALUE"""),"Delhi")</f>
        <v>Delhi</v>
      </c>
      <c r="X4120" s="124" t="str">
        <f>IFERROR(__xludf.DUMMYFUNCTION("""COMPUTED_VALUE"""),"Missbahuddin Ahmad")</f>
        <v>Missbahuddin Ahmad</v>
      </c>
      <c r="Y4120" s="124" t="str">
        <f>IFERROR(__xludf.DUMMYFUNCTION("""COMPUTED_VALUE"""),"Delhi")</f>
        <v>Delhi</v>
      </c>
      <c r="Z4120" s="124">
        <f>IFERROR(__xludf.DUMMYFUNCTION("""COMPUTED_VALUE"""),1.0)</f>
        <v>1</v>
      </c>
      <c r="AA4120" s="124" t="str">
        <f>IFERROR(__xludf.DUMMYFUNCTION("""COMPUTED_VALUE"""),"Fake Lead")</f>
        <v>Fake Lead</v>
      </c>
      <c r="AB4120" s="124" t="str">
        <f>IFERROR(__xludf.DUMMYFUNCTION("""COMPUTED_VALUE"""),"GS Foundation")</f>
        <v>GS Foundation</v>
      </c>
    </row>
    <row r="4121">
      <c r="K4121" s="124"/>
      <c r="L4121" s="124"/>
      <c r="M4121" s="124"/>
      <c r="N4121" s="124"/>
      <c r="O4121" s="124"/>
      <c r="T4121" s="126">
        <f>IFERROR(__xludf.DUMMYFUNCTION("""COMPUTED_VALUE"""),46048.0)</f>
        <v>46048</v>
      </c>
      <c r="U4121" s="124" t="str">
        <f>IFERROR(__xludf.DUMMYFUNCTION("""COMPUTED_VALUE"""),"External Leads")</f>
        <v>External Leads</v>
      </c>
      <c r="V4121" s="124" t="str">
        <f>IFERROR(__xludf.DUMMYFUNCTION("""COMPUTED_VALUE"""),"external leads")</f>
        <v>external leads</v>
      </c>
      <c r="W4121" s="124"/>
      <c r="X4121" s="124"/>
      <c r="Y4121" s="124"/>
      <c r="Z4121" s="124">
        <f>IFERROR(__xludf.DUMMYFUNCTION("""COMPUTED_VALUE"""),1.0)</f>
        <v>1</v>
      </c>
      <c r="AA4121" s="124" t="str">
        <f>IFERROR(__xludf.DUMMYFUNCTION("""COMPUTED_VALUE"""),"Fake Lead")</f>
        <v>Fake Lead</v>
      </c>
      <c r="AB4121" s="124"/>
    </row>
    <row r="4122">
      <c r="K4122" s="124"/>
      <c r="L4122" s="124"/>
      <c r="M4122" s="124"/>
      <c r="N4122" s="124"/>
      <c r="O4122" s="124"/>
      <c r="T4122" s="126">
        <f>IFERROR(__xludf.DUMMYFUNCTION("""COMPUTED_VALUE"""),46078.0)</f>
        <v>46078</v>
      </c>
      <c r="U4122" s="124" t="str">
        <f>IFERROR(__xludf.DUMMYFUNCTION("""COMPUTED_VALUE"""),"Publisher Campaign")</f>
        <v>Publisher Campaign</v>
      </c>
      <c r="V4122" s="124" t="str">
        <f>IFERROR(__xludf.DUMMYFUNCTION("""COMPUTED_VALUE"""),"Webinar")</f>
        <v>Webinar</v>
      </c>
      <c r="W4122" s="124"/>
      <c r="X4122" s="124"/>
      <c r="Y4122" s="124" t="str">
        <f>IFERROR(__xludf.DUMMYFUNCTION("""COMPUTED_VALUE"""),"Delhi")</f>
        <v>Delhi</v>
      </c>
      <c r="Z4122" s="124">
        <f>IFERROR(__xludf.DUMMYFUNCTION("""COMPUTED_VALUE"""),1.0)</f>
        <v>1</v>
      </c>
      <c r="AA4122" s="124" t="str">
        <f>IFERROR(__xludf.DUMMYFUNCTION("""COMPUTED_VALUE"""),"Warm")</f>
        <v>Warm</v>
      </c>
      <c r="AB4122" s="124" t="str">
        <f>IFERROR(__xludf.DUMMYFUNCTION("""COMPUTED_VALUE"""),"GS Advanced")</f>
        <v>GS Advanced</v>
      </c>
    </row>
    <row r="4123">
      <c r="K4123" s="124"/>
      <c r="L4123" s="124"/>
      <c r="M4123" s="124"/>
      <c r="N4123" s="124"/>
      <c r="O4123" s="124"/>
      <c r="T4123" s="126">
        <f>IFERROR(__xludf.DUMMYFUNCTION("""COMPUTED_VALUE"""),46045.0)</f>
        <v>46045</v>
      </c>
      <c r="U4123" s="124" t="str">
        <f>IFERROR(__xludf.DUMMYFUNCTION("""COMPUTED_VALUE"""),"Walk-Ins")</f>
        <v>Walk-Ins</v>
      </c>
      <c r="V4123" s="124" t="str">
        <f>IFERROR(__xludf.DUMMYFUNCTION("""COMPUTED_VALUE"""),"Walkin")</f>
        <v>Walkin</v>
      </c>
      <c r="W4123" s="124"/>
      <c r="X4123" s="124"/>
      <c r="Y4123" s="124" t="str">
        <f>IFERROR(__xludf.DUMMYFUNCTION("""COMPUTED_VALUE"""),"Delhi")</f>
        <v>Delhi</v>
      </c>
      <c r="Z4123" s="124">
        <f>IFERROR(__xludf.DUMMYFUNCTION("""COMPUTED_VALUE"""),1.0)</f>
        <v>1</v>
      </c>
      <c r="AA4123" s="124" t="str">
        <f>IFERROR(__xludf.DUMMYFUNCTION("""COMPUTED_VALUE"""),"Not Interested")</f>
        <v>Not Interested</v>
      </c>
      <c r="AB4123" s="124" t="str">
        <f>IFERROR(__xludf.DUMMYFUNCTION("""COMPUTED_VALUE"""),"GS Foundation")</f>
        <v>GS Foundation</v>
      </c>
    </row>
    <row r="4124">
      <c r="K4124" s="124"/>
      <c r="L4124" s="124"/>
      <c r="M4124" s="124"/>
      <c r="N4124" s="124"/>
      <c r="O4124" s="124"/>
      <c r="T4124" s="126">
        <f>IFERROR(__xludf.DUMMYFUNCTION("""COMPUTED_VALUE"""),46092.0)</f>
        <v>46092</v>
      </c>
      <c r="U4124" s="124" t="str">
        <f>IFERROR(__xludf.DUMMYFUNCTION("""COMPUTED_VALUE"""),"Publisher Campaign")</f>
        <v>Publisher Campaign</v>
      </c>
      <c r="V4124" s="124" t="str">
        <f>IFERROR(__xludf.DUMMYFUNCTION("""COMPUTED_VALUE"""),"Webinar")</f>
        <v>Webinar</v>
      </c>
      <c r="W4124" s="124"/>
      <c r="X4124" s="124"/>
      <c r="Y4124" s="124" t="str">
        <f>IFERROR(__xludf.DUMMYFUNCTION("""COMPUTED_VALUE"""),"Delhi")</f>
        <v>Delhi</v>
      </c>
      <c r="Z4124" s="124">
        <f>IFERROR(__xludf.DUMMYFUNCTION("""COMPUTED_VALUE"""),1.0)</f>
        <v>1</v>
      </c>
      <c r="AA4124" s="124" t="str">
        <f>IFERROR(__xludf.DUMMYFUNCTION("""COMPUTED_VALUE"""),"Cold")</f>
        <v>Cold</v>
      </c>
      <c r="AB4124" s="124" t="str">
        <f>IFERROR(__xludf.DUMMYFUNCTION("""COMPUTED_VALUE"""),"Test Series")</f>
        <v>Test Series</v>
      </c>
    </row>
    <row r="4125">
      <c r="K4125" s="124"/>
      <c r="L4125" s="124"/>
      <c r="M4125" s="124"/>
      <c r="N4125" s="124"/>
      <c r="O4125" s="124"/>
      <c r="T4125" s="126">
        <f>IFERROR(__xludf.DUMMYFUNCTION("""COMPUTED_VALUE"""),46078.0)</f>
        <v>46078</v>
      </c>
      <c r="U4125" s="124" t="str">
        <f>IFERROR(__xludf.DUMMYFUNCTION("""COMPUTED_VALUE"""),"Publisher Campaign")</f>
        <v>Publisher Campaign</v>
      </c>
      <c r="V4125" s="124" t="str">
        <f>IFERROR(__xludf.DUMMYFUNCTION("""COMPUTED_VALUE"""),"Webinar")</f>
        <v>Webinar</v>
      </c>
      <c r="W4125" s="124"/>
      <c r="X4125" s="124"/>
      <c r="Y4125" s="124" t="str">
        <f>IFERROR(__xludf.DUMMYFUNCTION("""COMPUTED_VALUE"""),"Delhi")</f>
        <v>Delhi</v>
      </c>
      <c r="Z4125" s="124">
        <f>IFERROR(__xludf.DUMMYFUNCTION("""COMPUTED_VALUE"""),1.0)</f>
        <v>1</v>
      </c>
      <c r="AA4125" s="124" t="str">
        <f>IFERROR(__xludf.DUMMYFUNCTION("""COMPUTED_VALUE"""),"Warm")</f>
        <v>Warm</v>
      </c>
      <c r="AB4125" s="124" t="str">
        <f>IFERROR(__xludf.DUMMYFUNCTION("""COMPUTED_VALUE"""),"SIP Offline")</f>
        <v>SIP Offline</v>
      </c>
    </row>
    <row r="4126">
      <c r="K4126" s="124"/>
      <c r="L4126" s="124"/>
      <c r="M4126" s="124"/>
      <c r="N4126" s="124"/>
      <c r="O4126" s="124"/>
      <c r="T4126" s="126">
        <f>IFERROR(__xludf.DUMMYFUNCTION("""COMPUTED_VALUE"""),46051.0)</f>
        <v>46051</v>
      </c>
      <c r="U4126" s="124" t="str">
        <f>IFERROR(__xludf.DUMMYFUNCTION("""COMPUTED_VALUE"""),"Walk-Ins")</f>
        <v>Walk-Ins</v>
      </c>
      <c r="V4126" s="124" t="str">
        <f>IFERROR(__xludf.DUMMYFUNCTION("""COMPUTED_VALUE"""),"Walkin")</f>
        <v>Walkin</v>
      </c>
      <c r="W4126" s="124" t="str">
        <f>IFERROR(__xludf.DUMMYFUNCTION("""COMPUTED_VALUE"""),"Delhi")</f>
        <v>Delhi</v>
      </c>
      <c r="X4126" s="124" t="str">
        <f>IFERROR(__xludf.DUMMYFUNCTION("""COMPUTED_VALUE"""),"walkin")</f>
        <v>walkin</v>
      </c>
      <c r="Y4126" s="124" t="str">
        <f>IFERROR(__xludf.DUMMYFUNCTION("""COMPUTED_VALUE"""),"Delhi")</f>
        <v>Delhi</v>
      </c>
      <c r="Z4126" s="124">
        <f>IFERROR(__xludf.DUMMYFUNCTION("""COMPUTED_VALUE"""),1.0)</f>
        <v>1</v>
      </c>
      <c r="AA4126" s="124" t="str">
        <f>IFERROR(__xludf.DUMMYFUNCTION("""COMPUTED_VALUE"""),"Fake Lead")</f>
        <v>Fake Lead</v>
      </c>
      <c r="AB4126" s="124" t="str">
        <f>IFERROR(__xludf.DUMMYFUNCTION("""COMPUTED_VALUE"""),"Other")</f>
        <v>Other</v>
      </c>
    </row>
    <row r="4127">
      <c r="K4127" s="124"/>
      <c r="L4127" s="124"/>
      <c r="M4127" s="124"/>
      <c r="N4127" s="124"/>
      <c r="O4127" s="124"/>
      <c r="T4127" s="126">
        <f>IFERROR(__xludf.DUMMYFUNCTION("""COMPUTED_VALUE"""),46049.0)</f>
        <v>46049</v>
      </c>
      <c r="U4127" s="124" t="str">
        <f>IFERROR(__xludf.DUMMYFUNCTION("""COMPUTED_VALUE"""),"Walk-Ins")</f>
        <v>Walk-Ins</v>
      </c>
      <c r="V4127" s="124" t="str">
        <f>IFERROR(__xludf.DUMMYFUNCTION("""COMPUTED_VALUE"""),"Walkin")</f>
        <v>Walkin</v>
      </c>
      <c r="W4127" s="124" t="str">
        <f>IFERROR(__xludf.DUMMYFUNCTION("""COMPUTED_VALUE"""),"Delhi")</f>
        <v>Delhi</v>
      </c>
      <c r="X4127" s="124" t="str">
        <f>IFERROR(__xludf.DUMMYFUNCTION("""COMPUTED_VALUE"""),"walkin")</f>
        <v>walkin</v>
      </c>
      <c r="Y4127" s="124" t="str">
        <f>IFERROR(__xludf.DUMMYFUNCTION("""COMPUTED_VALUE"""),"Delhi")</f>
        <v>Delhi</v>
      </c>
      <c r="Z4127" s="124">
        <f>IFERROR(__xludf.DUMMYFUNCTION("""COMPUTED_VALUE"""),1.0)</f>
        <v>1</v>
      </c>
      <c r="AA4127" s="124" t="str">
        <f>IFERROR(__xludf.DUMMYFUNCTION("""COMPUTED_VALUE"""),"Cold")</f>
        <v>Cold</v>
      </c>
      <c r="AB4127" s="124" t="str">
        <f>IFERROR(__xludf.DUMMYFUNCTION("""COMPUTED_VALUE"""),"SIP Offline")</f>
        <v>SIP Offline</v>
      </c>
    </row>
    <row r="4128">
      <c r="K4128" s="124"/>
      <c r="L4128" s="124"/>
      <c r="M4128" s="124"/>
      <c r="N4128" s="124"/>
      <c r="O4128" s="124"/>
      <c r="T4128" s="126">
        <f>IFERROR(__xludf.DUMMYFUNCTION("""COMPUTED_VALUE"""),46077.0)</f>
        <v>46077</v>
      </c>
      <c r="U4128" s="124" t="str">
        <f>IFERROR(__xludf.DUMMYFUNCTION("""COMPUTED_VALUE"""),"Walk-Ins")</f>
        <v>Walk-Ins</v>
      </c>
      <c r="V4128" s="124" t="str">
        <f>IFERROR(__xludf.DUMMYFUNCTION("""COMPUTED_VALUE"""),"Walkin")</f>
        <v>Walkin</v>
      </c>
      <c r="W4128" s="124" t="str">
        <f>IFERROR(__xludf.DUMMYFUNCTION("""COMPUTED_VALUE"""),"Delhi")</f>
        <v>Delhi</v>
      </c>
      <c r="X4128" s="124" t="str">
        <f>IFERROR(__xludf.DUMMYFUNCTION("""COMPUTED_VALUE"""),"walkin")</f>
        <v>walkin</v>
      </c>
      <c r="Y4128" s="124" t="str">
        <f>IFERROR(__xludf.DUMMYFUNCTION("""COMPUTED_VALUE"""),"Delhi")</f>
        <v>Delhi</v>
      </c>
      <c r="Z4128" s="124">
        <f>IFERROR(__xludf.DUMMYFUNCTION("""COMPUTED_VALUE"""),1.0)</f>
        <v>1</v>
      </c>
      <c r="AA4128" s="124" t="str">
        <f>IFERROR(__xludf.DUMMYFUNCTION("""COMPUTED_VALUE"""),"Cold")</f>
        <v>Cold</v>
      </c>
      <c r="AB4128" s="124" t="str">
        <f>IFERROR(__xludf.DUMMYFUNCTION("""COMPUTED_VALUE"""),"Other")</f>
        <v>Other</v>
      </c>
    </row>
    <row r="4129">
      <c r="K4129" s="124"/>
      <c r="L4129" s="124"/>
      <c r="M4129" s="124"/>
      <c r="N4129" s="124"/>
      <c r="O4129" s="124"/>
      <c r="T4129" s="126">
        <f>IFERROR(__xludf.DUMMYFUNCTION("""COMPUTED_VALUE"""),46081.0)</f>
        <v>46081</v>
      </c>
      <c r="U4129" s="124" t="str">
        <f>IFERROR(__xludf.DUMMYFUNCTION("""COMPUTED_VALUE"""),"Walk-Ins")</f>
        <v>Walk-Ins</v>
      </c>
      <c r="V4129" s="124" t="str">
        <f>IFERROR(__xludf.DUMMYFUNCTION("""COMPUTED_VALUE"""),"Walk-In")</f>
        <v>Walk-In</v>
      </c>
      <c r="W4129" s="124" t="str">
        <f>IFERROR(__xludf.DUMMYFUNCTION("""COMPUTED_VALUE"""),"Delhi")</f>
        <v>Delhi</v>
      </c>
      <c r="X4129" s="124" t="str">
        <f>IFERROR(__xludf.DUMMYFUNCTION("""COMPUTED_VALUE"""),"walkin")</f>
        <v>walkin</v>
      </c>
      <c r="Y4129" s="124" t="str">
        <f>IFERROR(__xludf.DUMMYFUNCTION("""COMPUTED_VALUE"""),"Delhi")</f>
        <v>Delhi</v>
      </c>
      <c r="Z4129" s="124">
        <f>IFERROR(__xludf.DUMMYFUNCTION("""COMPUTED_VALUE"""),1.0)</f>
        <v>1</v>
      </c>
      <c r="AA4129" s="124" t="str">
        <f>IFERROR(__xludf.DUMMYFUNCTION("""COMPUTED_VALUE"""),"Cold")</f>
        <v>Cold</v>
      </c>
      <c r="AB4129" s="124" t="str">
        <f>IFERROR(__xludf.DUMMYFUNCTION("""COMPUTED_VALUE"""),"GS Foundation")</f>
        <v>GS Foundation</v>
      </c>
    </row>
    <row r="4130">
      <c r="K4130" s="124"/>
      <c r="L4130" s="124"/>
      <c r="M4130" s="124"/>
      <c r="N4130" s="124"/>
      <c r="O4130" s="124"/>
      <c r="T4130" s="126">
        <f>IFERROR(__xludf.DUMMYFUNCTION("""COMPUTED_VALUE"""),46098.0)</f>
        <v>46098</v>
      </c>
      <c r="U4130" s="124" t="str">
        <f>IFERROR(__xludf.DUMMYFUNCTION("""COMPUTED_VALUE"""),"Walk-Ins")</f>
        <v>Walk-Ins</v>
      </c>
      <c r="V4130" s="124" t="str">
        <f>IFERROR(__xludf.DUMMYFUNCTION("""COMPUTED_VALUE"""),"Walkin")</f>
        <v>Walkin</v>
      </c>
      <c r="W4130" s="124" t="str">
        <f>IFERROR(__xludf.DUMMYFUNCTION("""COMPUTED_VALUE"""),"Delhi")</f>
        <v>Delhi</v>
      </c>
      <c r="X4130" s="124" t="str">
        <f>IFERROR(__xludf.DUMMYFUNCTION("""COMPUTED_VALUE"""),"walkin")</f>
        <v>walkin</v>
      </c>
      <c r="Y4130" s="124" t="str">
        <f>IFERROR(__xludf.DUMMYFUNCTION("""COMPUTED_VALUE"""),"Delhi")</f>
        <v>Delhi</v>
      </c>
      <c r="Z4130" s="124">
        <f>IFERROR(__xludf.DUMMYFUNCTION("""COMPUTED_VALUE"""),1.0)</f>
        <v>1</v>
      </c>
      <c r="AA4130" s="124" t="str">
        <f>IFERROR(__xludf.DUMMYFUNCTION("""COMPUTED_VALUE"""),"Not Interested")</f>
        <v>Not Interested</v>
      </c>
      <c r="AB4130" s="124" t="str">
        <f>IFERROR(__xludf.DUMMYFUNCTION("""COMPUTED_VALUE"""),"Mentorship")</f>
        <v>Mentorship</v>
      </c>
    </row>
    <row r="4131">
      <c r="K4131" s="124"/>
      <c r="L4131" s="124"/>
      <c r="M4131" s="124"/>
      <c r="N4131" s="124"/>
      <c r="O4131" s="124"/>
      <c r="T4131" s="126">
        <f>IFERROR(__xludf.DUMMYFUNCTION("""COMPUTED_VALUE"""),46077.0)</f>
        <v>46077</v>
      </c>
      <c r="U4131" s="124" t="str">
        <f>IFERROR(__xludf.DUMMYFUNCTION("""COMPUTED_VALUE"""),"Walk-Ins")</f>
        <v>Walk-Ins</v>
      </c>
      <c r="V4131" s="124" t="str">
        <f>IFERROR(__xludf.DUMMYFUNCTION("""COMPUTED_VALUE"""),"Walkin")</f>
        <v>Walkin</v>
      </c>
      <c r="W4131" s="124" t="str">
        <f>IFERROR(__xludf.DUMMYFUNCTION("""COMPUTED_VALUE"""),"Delhi")</f>
        <v>Delhi</v>
      </c>
      <c r="X4131" s="124" t="str">
        <f>IFERROR(__xludf.DUMMYFUNCTION("""COMPUTED_VALUE"""),"walkin")</f>
        <v>walkin</v>
      </c>
      <c r="Y4131" s="124" t="str">
        <f>IFERROR(__xludf.DUMMYFUNCTION("""COMPUTED_VALUE"""),"Delhi")</f>
        <v>Delhi</v>
      </c>
      <c r="Z4131" s="124">
        <f>IFERROR(__xludf.DUMMYFUNCTION("""COMPUTED_VALUE"""),1.0)</f>
        <v>1</v>
      </c>
      <c r="AA4131" s="124" t="str">
        <f>IFERROR(__xludf.DUMMYFUNCTION("""COMPUTED_VALUE"""),"Enrolled")</f>
        <v>Enrolled</v>
      </c>
      <c r="AB4131" s="124" t="str">
        <f>IFERROR(__xludf.DUMMYFUNCTION("""COMPUTED_VALUE"""),"GS Foundation")</f>
        <v>GS Foundation</v>
      </c>
    </row>
    <row r="4132">
      <c r="K4132" s="124"/>
      <c r="L4132" s="124"/>
      <c r="M4132" s="124"/>
      <c r="N4132" s="124"/>
      <c r="O4132" s="124"/>
      <c r="T4132" s="126">
        <f>IFERROR(__xludf.DUMMYFUNCTION("""COMPUTED_VALUE"""),46074.0)</f>
        <v>46074</v>
      </c>
      <c r="U4132" s="124" t="str">
        <f>IFERROR(__xludf.DUMMYFUNCTION("""COMPUTED_VALUE"""),"Walk-Ins")</f>
        <v>Walk-Ins</v>
      </c>
      <c r="V4132" s="124" t="str">
        <f>IFERROR(__xludf.DUMMYFUNCTION("""COMPUTED_VALUE"""),"Walkin")</f>
        <v>Walkin</v>
      </c>
      <c r="W4132" s="124" t="str">
        <f>IFERROR(__xludf.DUMMYFUNCTION("""COMPUTED_VALUE"""),"Delhi")</f>
        <v>Delhi</v>
      </c>
      <c r="X4132" s="124" t="str">
        <f>IFERROR(__xludf.DUMMYFUNCTION("""COMPUTED_VALUE"""),"walkin")</f>
        <v>walkin</v>
      </c>
      <c r="Y4132" s="124" t="str">
        <f>IFERROR(__xludf.DUMMYFUNCTION("""COMPUTED_VALUE"""),"Delhi")</f>
        <v>Delhi</v>
      </c>
      <c r="Z4132" s="124">
        <f>IFERROR(__xludf.DUMMYFUNCTION("""COMPUTED_VALUE"""),1.0)</f>
        <v>1</v>
      </c>
      <c r="AA4132" s="124" t="str">
        <f>IFERROR(__xludf.DUMMYFUNCTION("""COMPUTED_VALUE"""),"Not Interested")</f>
        <v>Not Interested</v>
      </c>
      <c r="AB4132" s="124" t="str">
        <f>IFERROR(__xludf.DUMMYFUNCTION("""COMPUTED_VALUE"""),"Optionals")</f>
        <v>Optionals</v>
      </c>
    </row>
    <row r="4133">
      <c r="K4133" s="124"/>
      <c r="L4133" s="124"/>
      <c r="M4133" s="124"/>
      <c r="N4133" s="124"/>
      <c r="O4133" s="124"/>
      <c r="T4133" s="126">
        <f>IFERROR(__xludf.DUMMYFUNCTION("""COMPUTED_VALUE"""),46080.0)</f>
        <v>46080</v>
      </c>
      <c r="U4133" s="124" t="str">
        <f>IFERROR(__xludf.DUMMYFUNCTION("""COMPUTED_VALUE"""),"Walk-Ins")</f>
        <v>Walk-Ins</v>
      </c>
      <c r="V4133" s="124" t="str">
        <f>IFERROR(__xludf.DUMMYFUNCTION("""COMPUTED_VALUE"""),"Walkin")</f>
        <v>Walkin</v>
      </c>
      <c r="W4133" s="124" t="str">
        <f>IFERROR(__xludf.DUMMYFUNCTION("""COMPUTED_VALUE"""),"Delhi")</f>
        <v>Delhi</v>
      </c>
      <c r="X4133" s="124" t="str">
        <f>IFERROR(__xludf.DUMMYFUNCTION("""COMPUTED_VALUE"""),"walkin")</f>
        <v>walkin</v>
      </c>
      <c r="Y4133" s="124" t="str">
        <f>IFERROR(__xludf.DUMMYFUNCTION("""COMPUTED_VALUE"""),"Delhi")</f>
        <v>Delhi</v>
      </c>
      <c r="Z4133" s="124">
        <f>IFERROR(__xludf.DUMMYFUNCTION("""COMPUTED_VALUE"""),1.0)</f>
        <v>1</v>
      </c>
      <c r="AA4133" s="124" t="str">
        <f>IFERROR(__xludf.DUMMYFUNCTION("""COMPUTED_VALUE"""),"Future Prospects")</f>
        <v>Future Prospects</v>
      </c>
      <c r="AB4133" s="124" t="str">
        <f>IFERROR(__xludf.DUMMYFUNCTION("""COMPUTED_VALUE"""),"GS Foundation")</f>
        <v>GS Foundation</v>
      </c>
    </row>
    <row r="4134">
      <c r="K4134" s="124"/>
      <c r="L4134" s="124"/>
      <c r="M4134" s="124"/>
      <c r="N4134" s="124"/>
      <c r="O4134" s="124"/>
      <c r="T4134" s="126">
        <f>IFERROR(__xludf.DUMMYFUNCTION("""COMPUTED_VALUE"""),46046.0)</f>
        <v>46046</v>
      </c>
      <c r="U4134" s="124" t="str">
        <f>IFERROR(__xludf.DUMMYFUNCTION("""COMPUTED_VALUE"""),"Walk-Ins")</f>
        <v>Walk-Ins</v>
      </c>
      <c r="V4134" s="124" t="str">
        <f>IFERROR(__xludf.DUMMYFUNCTION("""COMPUTED_VALUE"""),"Walk-In")</f>
        <v>Walk-In</v>
      </c>
      <c r="W4134" s="124" t="str">
        <f>IFERROR(__xludf.DUMMYFUNCTION("""COMPUTED_VALUE"""),"Delhi")</f>
        <v>Delhi</v>
      </c>
      <c r="X4134" s="124" t="str">
        <f>IFERROR(__xludf.DUMMYFUNCTION("""COMPUTED_VALUE"""),"walkin")</f>
        <v>walkin</v>
      </c>
      <c r="Y4134" s="124"/>
      <c r="Z4134" s="124">
        <f>IFERROR(__xludf.DUMMYFUNCTION("""COMPUTED_VALUE"""),1.0)</f>
        <v>1</v>
      </c>
      <c r="AA4134" s="124" t="str">
        <f>IFERROR(__xludf.DUMMYFUNCTION("""COMPUTED_VALUE"""),"Cold")</f>
        <v>Cold</v>
      </c>
      <c r="AB4134" s="124" t="str">
        <f>IFERROR(__xludf.DUMMYFUNCTION("""COMPUTED_VALUE"""),"GS Foundation")</f>
        <v>GS Foundation</v>
      </c>
    </row>
    <row r="4135">
      <c r="K4135" s="124"/>
      <c r="L4135" s="124"/>
      <c r="M4135" s="124"/>
      <c r="N4135" s="124"/>
      <c r="O4135" s="124"/>
      <c r="T4135" s="126">
        <f>IFERROR(__xludf.DUMMYFUNCTION("""COMPUTED_VALUE"""),46096.0)</f>
        <v>46096</v>
      </c>
      <c r="U4135" s="124" t="str">
        <f>IFERROR(__xludf.DUMMYFUNCTION("""COMPUTED_VALUE"""),"Walk-Ins")</f>
        <v>Walk-Ins</v>
      </c>
      <c r="V4135" s="124" t="str">
        <f>IFERROR(__xludf.DUMMYFUNCTION("""COMPUTED_VALUE"""),"Walkin")</f>
        <v>Walkin</v>
      </c>
      <c r="W4135" s="124" t="str">
        <f>IFERROR(__xludf.DUMMYFUNCTION("""COMPUTED_VALUE"""),"Delhi")</f>
        <v>Delhi</v>
      </c>
      <c r="X4135" s="124" t="str">
        <f>IFERROR(__xludf.DUMMYFUNCTION("""COMPUTED_VALUE"""),"walkin")</f>
        <v>walkin</v>
      </c>
      <c r="Y4135" s="124" t="str">
        <f>IFERROR(__xludf.DUMMYFUNCTION("""COMPUTED_VALUE"""),"Delhi")</f>
        <v>Delhi</v>
      </c>
      <c r="Z4135" s="124">
        <f>IFERROR(__xludf.DUMMYFUNCTION("""COMPUTED_VALUE"""),3.0)</f>
        <v>3</v>
      </c>
      <c r="AA4135" s="124" t="str">
        <f>IFERROR(__xludf.DUMMYFUNCTION("""COMPUTED_VALUE"""),"Cold")</f>
        <v>Cold</v>
      </c>
      <c r="AB4135" s="124" t="str">
        <f>IFERROR(__xludf.DUMMYFUNCTION("""COMPUTED_VALUE"""),"GS Foundation")</f>
        <v>GS Foundation</v>
      </c>
    </row>
    <row r="4136">
      <c r="K4136" s="124"/>
      <c r="L4136" s="124"/>
      <c r="M4136" s="124"/>
      <c r="N4136" s="124"/>
      <c r="O4136" s="124"/>
      <c r="T4136" s="129">
        <f>IFERROR(__xludf.DUMMYFUNCTION("""COMPUTED_VALUE"""),46060.0)</f>
        <v>46060</v>
      </c>
      <c r="U4136" s="124" t="str">
        <f>IFERROR(__xludf.DUMMYFUNCTION("""COMPUTED_VALUE"""),"Walk-Ins")</f>
        <v>Walk-Ins</v>
      </c>
      <c r="V4136" s="124" t="str">
        <f>IFERROR(__xludf.DUMMYFUNCTION("""COMPUTED_VALUE"""),"Walkin")</f>
        <v>Walkin</v>
      </c>
      <c r="W4136" s="124" t="str">
        <f>IFERROR(__xludf.DUMMYFUNCTION("""COMPUTED_VALUE"""),"Delhi")</f>
        <v>Delhi</v>
      </c>
      <c r="X4136" s="124" t="str">
        <f>IFERROR(__xludf.DUMMYFUNCTION("""COMPUTED_VALUE"""),"walkin")</f>
        <v>walkin</v>
      </c>
      <c r="Y4136" s="124" t="str">
        <f>IFERROR(__xludf.DUMMYFUNCTION("""COMPUTED_VALUE"""),"Delhi")</f>
        <v>Delhi</v>
      </c>
      <c r="Z4136" s="124">
        <f>IFERROR(__xludf.DUMMYFUNCTION("""COMPUTED_VALUE"""),1.0)</f>
        <v>1</v>
      </c>
      <c r="AA4136" s="124" t="str">
        <f>IFERROR(__xludf.DUMMYFUNCTION("""COMPUTED_VALUE"""),"Cold")</f>
        <v>Cold</v>
      </c>
      <c r="AB4136" s="124" t="str">
        <f>IFERROR(__xludf.DUMMYFUNCTION("""COMPUTED_VALUE"""),"Test Series")</f>
        <v>Test Series</v>
      </c>
    </row>
    <row r="4137">
      <c r="K4137" s="124"/>
      <c r="L4137" s="124"/>
      <c r="M4137" s="124"/>
      <c r="N4137" s="124"/>
      <c r="O4137" s="124"/>
      <c r="T4137" s="126">
        <f>IFERROR(__xludf.DUMMYFUNCTION("""COMPUTED_VALUE"""),46102.0)</f>
        <v>46102</v>
      </c>
      <c r="U4137" s="124" t="str">
        <f>IFERROR(__xludf.DUMMYFUNCTION("""COMPUTED_VALUE"""),"Walk-Ins")</f>
        <v>Walk-Ins</v>
      </c>
      <c r="V4137" s="124" t="str">
        <f>IFERROR(__xludf.DUMMYFUNCTION("""COMPUTED_VALUE"""),"Walkin")</f>
        <v>Walkin</v>
      </c>
      <c r="W4137" s="124" t="str">
        <f>IFERROR(__xludf.DUMMYFUNCTION("""COMPUTED_VALUE"""),"Delhi")</f>
        <v>Delhi</v>
      </c>
      <c r="X4137" s="124" t="str">
        <f>IFERROR(__xludf.DUMMYFUNCTION("""COMPUTED_VALUE"""),"walkin")</f>
        <v>walkin</v>
      </c>
      <c r="Y4137" s="124" t="str">
        <f>IFERROR(__xludf.DUMMYFUNCTION("""COMPUTED_VALUE"""),"Delhi")</f>
        <v>Delhi</v>
      </c>
      <c r="Z4137" s="124">
        <f>IFERROR(__xludf.DUMMYFUNCTION("""COMPUTED_VALUE"""),1.0)</f>
        <v>1</v>
      </c>
      <c r="AA4137" s="124" t="str">
        <f>IFERROR(__xludf.DUMMYFUNCTION("""COMPUTED_VALUE"""),"Cold")</f>
        <v>Cold</v>
      </c>
      <c r="AB4137" s="124" t="str">
        <f>IFERROR(__xludf.DUMMYFUNCTION("""COMPUTED_VALUE"""),"Optionals")</f>
        <v>Optionals</v>
      </c>
    </row>
    <row r="4138">
      <c r="K4138" s="124"/>
      <c r="L4138" s="124"/>
      <c r="M4138" s="124"/>
      <c r="N4138" s="124"/>
      <c r="O4138" s="124"/>
      <c r="T4138" s="126">
        <f>IFERROR(__xludf.DUMMYFUNCTION("""COMPUTED_VALUE"""),46050.0)</f>
        <v>46050</v>
      </c>
      <c r="U4138" s="124" t="str">
        <f>IFERROR(__xludf.DUMMYFUNCTION("""COMPUTED_VALUE"""),"External Leads")</f>
        <v>External Leads</v>
      </c>
      <c r="V4138" s="124" t="str">
        <f>IFERROR(__xludf.DUMMYFUNCTION("""COMPUTED_VALUE"""),"external leads")</f>
        <v>external leads</v>
      </c>
      <c r="W4138" s="124" t="str">
        <f>IFERROR(__xludf.DUMMYFUNCTION("""COMPUTED_VALUE"""),"delhi")</f>
        <v>delhi</v>
      </c>
      <c r="X4138" s="124" t="str">
        <f>IFERROR(__xludf.DUMMYFUNCTION("""COMPUTED_VALUE"""),"piyushunacademy")</f>
        <v>piyushunacademy</v>
      </c>
      <c r="Y4138" s="124" t="str">
        <f>IFERROR(__xludf.DUMMYFUNCTION("""COMPUTED_VALUE"""),"Delhi")</f>
        <v>Delhi</v>
      </c>
      <c r="Z4138" s="124">
        <f>IFERROR(__xludf.DUMMYFUNCTION("""COMPUTED_VALUE"""),1.0)</f>
        <v>1</v>
      </c>
      <c r="AA4138" s="124"/>
      <c r="AB4138" s="124" t="str">
        <f>IFERROR(__xludf.DUMMYFUNCTION("""COMPUTED_VALUE"""),"Optionals")</f>
        <v>Optionals</v>
      </c>
    </row>
    <row r="4139">
      <c r="K4139" s="124"/>
      <c r="L4139" s="124"/>
      <c r="M4139" s="124"/>
      <c r="N4139" s="124"/>
      <c r="O4139" s="124"/>
      <c r="T4139" s="126">
        <f>IFERROR(__xludf.DUMMYFUNCTION("""COMPUTED_VALUE"""),46065.0)</f>
        <v>46065</v>
      </c>
      <c r="U4139" s="124" t="str">
        <f>IFERROR(__xludf.DUMMYFUNCTION("""COMPUTED_VALUE"""),"Walk-Ins")</f>
        <v>Walk-Ins</v>
      </c>
      <c r="V4139" s="124" t="str">
        <f>IFERROR(__xludf.DUMMYFUNCTION("""COMPUTED_VALUE"""),"Walkin")</f>
        <v>Walkin</v>
      </c>
      <c r="W4139" s="124" t="str">
        <f>IFERROR(__xludf.DUMMYFUNCTION("""COMPUTED_VALUE"""),"Delhi")</f>
        <v>Delhi</v>
      </c>
      <c r="X4139" s="124" t="str">
        <f>IFERROR(__xludf.DUMMYFUNCTION("""COMPUTED_VALUE"""),"walkin")</f>
        <v>walkin</v>
      </c>
      <c r="Y4139" s="124" t="str">
        <f>IFERROR(__xludf.DUMMYFUNCTION("""COMPUTED_VALUE"""),"Delhi")</f>
        <v>Delhi</v>
      </c>
      <c r="Z4139" s="124">
        <f>IFERROR(__xludf.DUMMYFUNCTION("""COMPUTED_VALUE"""),1.0)</f>
        <v>1</v>
      </c>
      <c r="AA4139" s="124" t="str">
        <f>IFERROR(__xludf.DUMMYFUNCTION("""COMPUTED_VALUE"""),"Not Interested")</f>
        <v>Not Interested</v>
      </c>
      <c r="AB4139" s="124" t="str">
        <f>IFERROR(__xludf.DUMMYFUNCTION("""COMPUTED_VALUE"""),"Test Series")</f>
        <v>Test Series</v>
      </c>
    </row>
    <row r="4140">
      <c r="K4140" s="124"/>
      <c r="L4140" s="124"/>
      <c r="M4140" s="124"/>
      <c r="N4140" s="124"/>
      <c r="O4140" s="124"/>
      <c r="T4140" s="126">
        <f>IFERROR(__xludf.DUMMYFUNCTION("""COMPUTED_VALUE"""),46095.0)</f>
        <v>46095</v>
      </c>
      <c r="U4140" s="124" t="str">
        <f>IFERROR(__xludf.DUMMYFUNCTION("""COMPUTED_VALUE"""),"Walk-Ins")</f>
        <v>Walk-Ins</v>
      </c>
      <c r="V4140" s="124" t="str">
        <f>IFERROR(__xludf.DUMMYFUNCTION("""COMPUTED_VALUE"""),"Walkin")</f>
        <v>Walkin</v>
      </c>
      <c r="W4140" s="124" t="str">
        <f>IFERROR(__xludf.DUMMYFUNCTION("""COMPUTED_VALUE"""),"Delhi")</f>
        <v>Delhi</v>
      </c>
      <c r="X4140" s="124" t="str">
        <f>IFERROR(__xludf.DUMMYFUNCTION("""COMPUTED_VALUE"""),"walkin")</f>
        <v>walkin</v>
      </c>
      <c r="Y4140" s="124" t="str">
        <f>IFERROR(__xludf.DUMMYFUNCTION("""COMPUTED_VALUE"""),"Delhi")</f>
        <v>Delhi</v>
      </c>
      <c r="Z4140" s="124">
        <f>IFERROR(__xludf.DUMMYFUNCTION("""COMPUTED_VALUE"""),1.0)</f>
        <v>1</v>
      </c>
      <c r="AA4140" s="124" t="str">
        <f>IFERROR(__xludf.DUMMYFUNCTION("""COMPUTED_VALUE"""),"Enrolled")</f>
        <v>Enrolled</v>
      </c>
      <c r="AB4140" s="124" t="str">
        <f>IFERROR(__xludf.DUMMYFUNCTION("""COMPUTED_VALUE"""),"Optionals")</f>
        <v>Optionals</v>
      </c>
    </row>
    <row r="4141">
      <c r="K4141" s="124"/>
      <c r="L4141" s="124"/>
      <c r="M4141" s="124"/>
      <c r="N4141" s="124"/>
      <c r="O4141" s="124"/>
      <c r="T4141" s="126">
        <f>IFERROR(__xludf.DUMMYFUNCTION("""COMPUTED_VALUE"""),46046.0)</f>
        <v>46046</v>
      </c>
      <c r="U4141" s="124" t="str">
        <f>IFERROR(__xludf.DUMMYFUNCTION("""COMPUTED_VALUE"""),"Walk-Ins")</f>
        <v>Walk-Ins</v>
      </c>
      <c r="V4141" s="124" t="str">
        <f>IFERROR(__xludf.DUMMYFUNCTION("""COMPUTED_VALUE"""),"Walkin")</f>
        <v>Walkin</v>
      </c>
      <c r="W4141" s="124" t="str">
        <f>IFERROR(__xludf.DUMMYFUNCTION("""COMPUTED_VALUE"""),"Delhi")</f>
        <v>Delhi</v>
      </c>
      <c r="X4141" s="124" t="str">
        <f>IFERROR(__xludf.DUMMYFUNCTION("""COMPUTED_VALUE"""),"walkin")</f>
        <v>walkin</v>
      </c>
      <c r="Y4141" s="124" t="str">
        <f>IFERROR(__xludf.DUMMYFUNCTION("""COMPUTED_VALUE"""),"Delhi")</f>
        <v>Delhi</v>
      </c>
      <c r="Z4141" s="124">
        <f>IFERROR(__xludf.DUMMYFUNCTION("""COMPUTED_VALUE"""),1.0)</f>
        <v>1</v>
      </c>
      <c r="AA4141" s="124" t="str">
        <f>IFERROR(__xludf.DUMMYFUNCTION("""COMPUTED_VALUE"""),"Not Interested")</f>
        <v>Not Interested</v>
      </c>
      <c r="AB4141" s="124" t="str">
        <f>IFERROR(__xludf.DUMMYFUNCTION("""COMPUTED_VALUE"""),"Other")</f>
        <v>Other</v>
      </c>
    </row>
    <row r="4142">
      <c r="K4142" s="124"/>
      <c r="L4142" s="124"/>
      <c r="M4142" s="124"/>
      <c r="N4142" s="124"/>
      <c r="O4142" s="124"/>
      <c r="T4142" s="126">
        <f>IFERROR(__xludf.DUMMYFUNCTION("""COMPUTED_VALUE"""),46091.0)</f>
        <v>46091</v>
      </c>
      <c r="U4142" s="124" t="str">
        <f>IFERROR(__xludf.DUMMYFUNCTION("""COMPUTED_VALUE"""),"Walk-Ins")</f>
        <v>Walk-Ins</v>
      </c>
      <c r="V4142" s="124" t="str">
        <f>IFERROR(__xludf.DUMMYFUNCTION("""COMPUTED_VALUE"""),"Walkin")</f>
        <v>Walkin</v>
      </c>
      <c r="W4142" s="124" t="str">
        <f>IFERROR(__xludf.DUMMYFUNCTION("""COMPUTED_VALUE"""),"Delhi")</f>
        <v>Delhi</v>
      </c>
      <c r="X4142" s="124" t="str">
        <f>IFERROR(__xludf.DUMMYFUNCTION("""COMPUTED_VALUE"""),"walkin")</f>
        <v>walkin</v>
      </c>
      <c r="Y4142" s="124" t="str">
        <f>IFERROR(__xludf.DUMMYFUNCTION("""COMPUTED_VALUE"""),"Delhi")</f>
        <v>Delhi</v>
      </c>
      <c r="Z4142" s="124">
        <f>IFERROR(__xludf.DUMMYFUNCTION("""COMPUTED_VALUE"""),1.0)</f>
        <v>1</v>
      </c>
      <c r="AA4142" s="124" t="str">
        <f>IFERROR(__xludf.DUMMYFUNCTION("""COMPUTED_VALUE"""),"Cold")</f>
        <v>Cold</v>
      </c>
      <c r="AB4142" s="124" t="str">
        <f>IFERROR(__xludf.DUMMYFUNCTION("""COMPUTED_VALUE"""),"GS Foundation")</f>
        <v>GS Foundation</v>
      </c>
    </row>
    <row r="4143">
      <c r="K4143" s="124"/>
      <c r="L4143" s="124"/>
      <c r="M4143" s="124"/>
      <c r="N4143" s="124"/>
      <c r="O4143" s="124"/>
      <c r="T4143" s="126">
        <f>IFERROR(__xludf.DUMMYFUNCTION("""COMPUTED_VALUE"""),46048.0)</f>
        <v>46048</v>
      </c>
      <c r="U4143" s="124" t="str">
        <f>IFERROR(__xludf.DUMMYFUNCTION("""COMPUTED_VALUE"""),"External Leads")</f>
        <v>External Leads</v>
      </c>
      <c r="V4143" s="124" t="str">
        <f>IFERROR(__xludf.DUMMYFUNCTION("""COMPUTED_VALUE"""),"direct")</f>
        <v>direct</v>
      </c>
      <c r="W4143" s="124" t="str">
        <f>IFERROR(__xludf.DUMMYFUNCTION("""COMPUTED_VALUE"""),"direct")</f>
        <v>direct</v>
      </c>
      <c r="X4143" s="124" t="str">
        <f>IFERROR(__xludf.DUMMYFUNCTION("""COMPUTED_VALUE"""),"direct")</f>
        <v>direct</v>
      </c>
      <c r="Y4143" s="124"/>
      <c r="Z4143" s="124">
        <f>IFERROR(__xludf.DUMMYFUNCTION("""COMPUTED_VALUE"""),1.0)</f>
        <v>1</v>
      </c>
      <c r="AA4143" s="124" t="str">
        <f>IFERROR(__xludf.DUMMYFUNCTION("""COMPUTED_VALUE"""),"Cold")</f>
        <v>Cold</v>
      </c>
      <c r="AB4143" s="124"/>
    </row>
    <row r="4144">
      <c r="K4144" s="124"/>
      <c r="L4144" s="124"/>
      <c r="M4144" s="124"/>
      <c r="N4144" s="124"/>
      <c r="O4144" s="124"/>
      <c r="T4144" s="126">
        <f>IFERROR(__xludf.DUMMYFUNCTION("""COMPUTED_VALUE"""),46096.0)</f>
        <v>46096</v>
      </c>
      <c r="U4144" s="124" t="str">
        <f>IFERROR(__xludf.DUMMYFUNCTION("""COMPUTED_VALUE"""),"Walk-Ins")</f>
        <v>Walk-Ins</v>
      </c>
      <c r="V4144" s="124" t="str">
        <f>IFERROR(__xludf.DUMMYFUNCTION("""COMPUTED_VALUE"""),"Walkin")</f>
        <v>Walkin</v>
      </c>
      <c r="W4144" s="124" t="str">
        <f>IFERROR(__xludf.DUMMYFUNCTION("""COMPUTED_VALUE"""),"Delhi")</f>
        <v>Delhi</v>
      </c>
      <c r="X4144" s="124" t="str">
        <f>IFERROR(__xludf.DUMMYFUNCTION("""COMPUTED_VALUE"""),"walkin")</f>
        <v>walkin</v>
      </c>
      <c r="Y4144" s="124" t="str">
        <f>IFERROR(__xludf.DUMMYFUNCTION("""COMPUTED_VALUE"""),"Delhi")</f>
        <v>Delhi</v>
      </c>
      <c r="Z4144" s="124">
        <f>IFERROR(__xludf.DUMMYFUNCTION("""COMPUTED_VALUE"""),1.0)</f>
        <v>1</v>
      </c>
      <c r="AA4144" s="124" t="str">
        <f>IFERROR(__xludf.DUMMYFUNCTION("""COMPUTED_VALUE"""),"Future Prospects")</f>
        <v>Future Prospects</v>
      </c>
      <c r="AB4144" s="124" t="str">
        <f>IFERROR(__xludf.DUMMYFUNCTION("""COMPUTED_VALUE"""),"GS Advanced")</f>
        <v>GS Advanced</v>
      </c>
    </row>
    <row r="4145">
      <c r="K4145" s="124"/>
      <c r="L4145" s="124"/>
      <c r="M4145" s="124"/>
      <c r="N4145" s="124"/>
      <c r="O4145" s="124"/>
      <c r="T4145" s="126">
        <f>IFERROR(__xludf.DUMMYFUNCTION("""COMPUTED_VALUE"""),46095.0)</f>
        <v>46095</v>
      </c>
      <c r="U4145" s="124" t="str">
        <f>IFERROR(__xludf.DUMMYFUNCTION("""COMPUTED_VALUE"""),"Walk-Ins")</f>
        <v>Walk-Ins</v>
      </c>
      <c r="V4145" s="124" t="str">
        <f>IFERROR(__xludf.DUMMYFUNCTION("""COMPUTED_VALUE"""),"walk-in")</f>
        <v>walk-in</v>
      </c>
      <c r="W4145" s="124" t="str">
        <f>IFERROR(__xludf.DUMMYFUNCTION("""COMPUTED_VALUE"""),"indore")</f>
        <v>indore</v>
      </c>
      <c r="X4145" s="124" t="str">
        <f>IFERROR(__xludf.DUMMYFUNCTION("""COMPUTED_VALUE"""),"suraj sharma")</f>
        <v>suraj sharma</v>
      </c>
      <c r="Y4145" s="124" t="str">
        <f>IFERROR(__xludf.DUMMYFUNCTION("""COMPUTED_VALUE"""),"Indore")</f>
        <v>Indore</v>
      </c>
      <c r="Z4145" s="124">
        <f>IFERROR(__xludf.DUMMYFUNCTION("""COMPUTED_VALUE"""),1.0)</f>
        <v>1</v>
      </c>
      <c r="AA4145" s="124" t="str">
        <f>IFERROR(__xludf.DUMMYFUNCTION("""COMPUTED_VALUE"""),"Future Prospects")</f>
        <v>Future Prospects</v>
      </c>
      <c r="AB4145" s="124" t="str">
        <f>IFERROR(__xludf.DUMMYFUNCTION("""COMPUTED_VALUE"""),"State PCS")</f>
        <v>State PCS</v>
      </c>
    </row>
    <row r="4146">
      <c r="K4146" s="124"/>
      <c r="L4146" s="124"/>
      <c r="M4146" s="124"/>
      <c r="N4146" s="124"/>
      <c r="O4146" s="124"/>
      <c r="T4146" s="126">
        <f>IFERROR(__xludf.DUMMYFUNCTION("""COMPUTED_VALUE"""),46079.0)</f>
        <v>46079</v>
      </c>
      <c r="U4146" s="124" t="str">
        <f>IFERROR(__xludf.DUMMYFUNCTION("""COMPUTED_VALUE"""),"Walk-Ins")</f>
        <v>Walk-Ins</v>
      </c>
      <c r="V4146" s="124" t="str">
        <f>IFERROR(__xludf.DUMMYFUNCTION("""COMPUTED_VALUE"""),"Walkin")</f>
        <v>Walkin</v>
      </c>
      <c r="W4146" s="124" t="str">
        <f>IFERROR(__xludf.DUMMYFUNCTION("""COMPUTED_VALUE"""),"Delhi")</f>
        <v>Delhi</v>
      </c>
      <c r="X4146" s="124" t="str">
        <f>IFERROR(__xludf.DUMMYFUNCTION("""COMPUTED_VALUE"""),"walkin")</f>
        <v>walkin</v>
      </c>
      <c r="Y4146" s="124" t="str">
        <f>IFERROR(__xludf.DUMMYFUNCTION("""COMPUTED_VALUE"""),"Delhi")</f>
        <v>Delhi</v>
      </c>
      <c r="Z4146" s="124">
        <f>IFERROR(__xludf.DUMMYFUNCTION("""COMPUTED_VALUE"""),1.0)</f>
        <v>1</v>
      </c>
      <c r="AA4146" s="124" t="str">
        <f>IFERROR(__xludf.DUMMYFUNCTION("""COMPUTED_VALUE"""),"Enrolled")</f>
        <v>Enrolled</v>
      </c>
      <c r="AB4146" s="124" t="str">
        <f>IFERROR(__xludf.DUMMYFUNCTION("""COMPUTED_VALUE"""),"GS Foundation")</f>
        <v>GS Foundation</v>
      </c>
    </row>
    <row r="4147">
      <c r="K4147" s="124"/>
      <c r="L4147" s="124"/>
      <c r="M4147" s="124"/>
      <c r="N4147" s="124"/>
      <c r="O4147" s="124"/>
      <c r="T4147" s="126">
        <f>IFERROR(__xludf.DUMMYFUNCTION("""COMPUTED_VALUE"""),46102.0)</f>
        <v>46102</v>
      </c>
      <c r="U4147" s="124" t="str">
        <f>IFERROR(__xludf.DUMMYFUNCTION("""COMPUTED_VALUE"""),"Walk-Ins")</f>
        <v>Walk-Ins</v>
      </c>
      <c r="V4147" s="124" t="str">
        <f>IFERROR(__xludf.DUMMYFUNCTION("""COMPUTED_VALUE"""),"Walkin")</f>
        <v>Walkin</v>
      </c>
      <c r="W4147" s="124" t="str">
        <f>IFERROR(__xludf.DUMMYFUNCTION("""COMPUTED_VALUE"""),"Delhi")</f>
        <v>Delhi</v>
      </c>
      <c r="X4147" s="124" t="str">
        <f>IFERROR(__xludf.DUMMYFUNCTION("""COMPUTED_VALUE"""),"walkin")</f>
        <v>walkin</v>
      </c>
      <c r="Y4147" s="124" t="str">
        <f>IFERROR(__xludf.DUMMYFUNCTION("""COMPUTED_VALUE"""),"Delhi")</f>
        <v>Delhi</v>
      </c>
      <c r="Z4147" s="124">
        <f>IFERROR(__xludf.DUMMYFUNCTION("""COMPUTED_VALUE"""),1.0)</f>
        <v>1</v>
      </c>
      <c r="AA4147" s="124" t="str">
        <f>IFERROR(__xludf.DUMMYFUNCTION("""COMPUTED_VALUE"""),"Interested")</f>
        <v>Interested</v>
      </c>
      <c r="AB4147" s="124" t="str">
        <f>IFERROR(__xludf.DUMMYFUNCTION("""COMPUTED_VALUE"""),"GS Foundation")</f>
        <v>GS Foundation</v>
      </c>
    </row>
    <row r="4148">
      <c r="K4148" s="124"/>
      <c r="L4148" s="124"/>
      <c r="M4148" s="124"/>
      <c r="N4148" s="124"/>
      <c r="O4148" s="124"/>
      <c r="T4148" s="126">
        <f>IFERROR(__xludf.DUMMYFUNCTION("""COMPUTED_VALUE"""),46046.0)</f>
        <v>46046</v>
      </c>
      <c r="U4148" s="124" t="str">
        <f>IFERROR(__xludf.DUMMYFUNCTION("""COMPUTED_VALUE"""),"Walk-Ins")</f>
        <v>Walk-Ins</v>
      </c>
      <c r="V4148" s="124" t="str">
        <f>IFERROR(__xludf.DUMMYFUNCTION("""COMPUTED_VALUE"""),"Walkin")</f>
        <v>Walkin</v>
      </c>
      <c r="W4148" s="124" t="str">
        <f>IFERROR(__xludf.DUMMYFUNCTION("""COMPUTED_VALUE"""),"Delhi")</f>
        <v>Delhi</v>
      </c>
      <c r="X4148" s="124" t="str">
        <f>IFERROR(__xludf.DUMMYFUNCTION("""COMPUTED_VALUE"""),"walkin")</f>
        <v>walkin</v>
      </c>
      <c r="Y4148" s="124" t="str">
        <f>IFERROR(__xludf.DUMMYFUNCTION("""COMPUTED_VALUE"""),"Delhi")</f>
        <v>Delhi</v>
      </c>
      <c r="Z4148" s="124">
        <f>IFERROR(__xludf.DUMMYFUNCTION("""COMPUTED_VALUE"""),1.0)</f>
        <v>1</v>
      </c>
      <c r="AA4148" s="124" t="str">
        <f>IFERROR(__xludf.DUMMYFUNCTION("""COMPUTED_VALUE"""),"Future Prospects")</f>
        <v>Future Prospects</v>
      </c>
      <c r="AB4148" s="124" t="str">
        <f>IFERROR(__xludf.DUMMYFUNCTION("""COMPUTED_VALUE"""),"Optionals")</f>
        <v>Optionals</v>
      </c>
    </row>
    <row r="4149">
      <c r="K4149" s="124"/>
      <c r="L4149" s="124"/>
      <c r="M4149" s="124"/>
      <c r="N4149" s="124"/>
      <c r="O4149" s="124"/>
      <c r="T4149" s="126">
        <f>IFERROR(__xludf.DUMMYFUNCTION("""COMPUTED_VALUE"""),46073.0)</f>
        <v>46073</v>
      </c>
      <c r="U4149" s="124" t="str">
        <f>IFERROR(__xludf.DUMMYFUNCTION("""COMPUTED_VALUE"""),"Walk-Ins")</f>
        <v>Walk-Ins</v>
      </c>
      <c r="V4149" s="124" t="str">
        <f>IFERROR(__xludf.DUMMYFUNCTION("""COMPUTED_VALUE"""),"Walkin")</f>
        <v>Walkin</v>
      </c>
      <c r="W4149" s="124" t="str">
        <f>IFERROR(__xludf.DUMMYFUNCTION("""COMPUTED_VALUE"""),"Delhi")</f>
        <v>Delhi</v>
      </c>
      <c r="X4149" s="124" t="str">
        <f>IFERROR(__xludf.DUMMYFUNCTION("""COMPUTED_VALUE"""),"walkin")</f>
        <v>walkin</v>
      </c>
      <c r="Y4149" s="124" t="str">
        <f>IFERROR(__xludf.DUMMYFUNCTION("""COMPUTED_VALUE"""),"Delhi")</f>
        <v>Delhi</v>
      </c>
      <c r="Z4149" s="124">
        <f>IFERROR(__xludf.DUMMYFUNCTION("""COMPUTED_VALUE"""),2.0)</f>
        <v>2</v>
      </c>
      <c r="AA4149" s="124" t="str">
        <f>IFERROR(__xludf.DUMMYFUNCTION("""COMPUTED_VALUE"""),"Future Prospects")</f>
        <v>Future Prospects</v>
      </c>
      <c r="AB4149" s="124" t="str">
        <f>IFERROR(__xludf.DUMMYFUNCTION("""COMPUTED_VALUE"""),"GS Foundation")</f>
        <v>GS Foundation</v>
      </c>
    </row>
    <row r="4150">
      <c r="K4150" s="124"/>
      <c r="L4150" s="124"/>
      <c r="M4150" s="124"/>
      <c r="N4150" s="124"/>
      <c r="O4150" s="124"/>
      <c r="T4150" s="129">
        <f>IFERROR(__xludf.DUMMYFUNCTION("""COMPUTED_VALUE"""),46089.0)</f>
        <v>46089</v>
      </c>
      <c r="U4150" s="124" t="str">
        <f>IFERROR(__xludf.DUMMYFUNCTION("""COMPUTED_VALUE"""),"Walk-Ins")</f>
        <v>Walk-Ins</v>
      </c>
      <c r="V4150" s="124" t="str">
        <f>IFERROR(__xludf.DUMMYFUNCTION("""COMPUTED_VALUE"""),"Walkin")</f>
        <v>Walkin</v>
      </c>
      <c r="W4150" s="124" t="str">
        <f>IFERROR(__xludf.DUMMYFUNCTION("""COMPUTED_VALUE"""),"Delhi")</f>
        <v>Delhi</v>
      </c>
      <c r="X4150" s="124" t="str">
        <f>IFERROR(__xludf.DUMMYFUNCTION("""COMPUTED_VALUE"""),"walkin")</f>
        <v>walkin</v>
      </c>
      <c r="Y4150" s="124" t="str">
        <f>IFERROR(__xludf.DUMMYFUNCTION("""COMPUTED_VALUE"""),"Delhi")</f>
        <v>Delhi</v>
      </c>
      <c r="Z4150" s="124">
        <f>IFERROR(__xludf.DUMMYFUNCTION("""COMPUTED_VALUE"""),1.0)</f>
        <v>1</v>
      </c>
      <c r="AA4150" s="124" t="str">
        <f>IFERROR(__xludf.DUMMYFUNCTION("""COMPUTED_VALUE"""),"Future Prospects")</f>
        <v>Future Prospects</v>
      </c>
      <c r="AB4150" s="124" t="str">
        <f>IFERROR(__xludf.DUMMYFUNCTION("""COMPUTED_VALUE"""),"GS Foundation")</f>
        <v>GS Foundation</v>
      </c>
    </row>
    <row r="4151">
      <c r="K4151" s="124"/>
      <c r="L4151" s="124"/>
      <c r="M4151" s="124"/>
      <c r="N4151" s="124"/>
      <c r="O4151" s="124"/>
      <c r="T4151" s="129">
        <f>IFERROR(__xludf.DUMMYFUNCTION("""COMPUTED_VALUE"""),46088.0)</f>
        <v>46088</v>
      </c>
      <c r="U4151" s="124" t="str">
        <f>IFERROR(__xludf.DUMMYFUNCTION("""COMPUTED_VALUE"""),"Walk-Ins")</f>
        <v>Walk-Ins</v>
      </c>
      <c r="V4151" s="124" t="str">
        <f>IFERROR(__xludf.DUMMYFUNCTION("""COMPUTED_VALUE"""),"Walkin")</f>
        <v>Walkin</v>
      </c>
      <c r="W4151" s="124" t="str">
        <f>IFERROR(__xludf.DUMMYFUNCTION("""COMPUTED_VALUE"""),"Delhi")</f>
        <v>Delhi</v>
      </c>
      <c r="X4151" s="124" t="str">
        <f>IFERROR(__xludf.DUMMYFUNCTION("""COMPUTED_VALUE"""),"walkin")</f>
        <v>walkin</v>
      </c>
      <c r="Y4151" s="124" t="str">
        <f>IFERROR(__xludf.DUMMYFUNCTION("""COMPUTED_VALUE"""),"Delhi")</f>
        <v>Delhi</v>
      </c>
      <c r="Z4151" s="124">
        <f>IFERROR(__xludf.DUMMYFUNCTION("""COMPUTED_VALUE"""),1.0)</f>
        <v>1</v>
      </c>
      <c r="AA4151" s="124" t="str">
        <f>IFERROR(__xludf.DUMMYFUNCTION("""COMPUTED_VALUE"""),"Cold")</f>
        <v>Cold</v>
      </c>
      <c r="AB4151" s="124" t="str">
        <f>IFERROR(__xludf.DUMMYFUNCTION("""COMPUTED_VALUE"""),"GS Foundation")</f>
        <v>GS Foundation</v>
      </c>
    </row>
    <row r="4152">
      <c r="K4152" s="124"/>
      <c r="L4152" s="124"/>
      <c r="M4152" s="124"/>
      <c r="N4152" s="124"/>
      <c r="O4152" s="124"/>
      <c r="T4152" s="126">
        <f>IFERROR(__xludf.DUMMYFUNCTION("""COMPUTED_VALUE"""),46112.0)</f>
        <v>46112</v>
      </c>
      <c r="U4152" s="124" t="str">
        <f>IFERROR(__xludf.DUMMYFUNCTION("""COMPUTED_VALUE"""),"Walk-Ins")</f>
        <v>Walk-Ins</v>
      </c>
      <c r="V4152" s="124" t="str">
        <f>IFERROR(__xludf.DUMMYFUNCTION("""COMPUTED_VALUE"""),"Walkin")</f>
        <v>Walkin</v>
      </c>
      <c r="W4152" s="124" t="str">
        <f>IFERROR(__xludf.DUMMYFUNCTION("""COMPUTED_VALUE"""),"Delhi")</f>
        <v>Delhi</v>
      </c>
      <c r="X4152" s="124" t="str">
        <f>IFERROR(__xludf.DUMMYFUNCTION("""COMPUTED_VALUE"""),"walkin")</f>
        <v>walkin</v>
      </c>
      <c r="Y4152" s="124" t="str">
        <f>IFERROR(__xludf.DUMMYFUNCTION("""COMPUTED_VALUE"""),"Delhi")</f>
        <v>Delhi</v>
      </c>
      <c r="Z4152" s="124">
        <f>IFERROR(__xludf.DUMMYFUNCTION("""COMPUTED_VALUE"""),1.0)</f>
        <v>1</v>
      </c>
      <c r="AA4152" s="124" t="str">
        <f>IFERROR(__xludf.DUMMYFUNCTION("""COMPUTED_VALUE"""),"Cold")</f>
        <v>Cold</v>
      </c>
      <c r="AB4152" s="124" t="str">
        <f>IFERROR(__xludf.DUMMYFUNCTION("""COMPUTED_VALUE"""),"GS Foundation")</f>
        <v>GS Foundation</v>
      </c>
    </row>
    <row r="4153">
      <c r="K4153" s="124"/>
      <c r="L4153" s="124"/>
      <c r="M4153" s="124"/>
      <c r="N4153" s="124"/>
      <c r="O4153" s="124"/>
      <c r="T4153" s="126">
        <f>IFERROR(__xludf.DUMMYFUNCTION("""COMPUTED_VALUE"""),46076.0)</f>
        <v>46076</v>
      </c>
      <c r="U4153" s="124" t="str">
        <f>IFERROR(__xludf.DUMMYFUNCTION("""COMPUTED_VALUE"""),"External Leads")</f>
        <v>External Leads</v>
      </c>
      <c r="V4153" s="124" t="str">
        <f>IFERROR(__xludf.DUMMYFUNCTION("""COMPUTED_VALUE"""),"direct")</f>
        <v>direct</v>
      </c>
      <c r="W4153" s="124" t="str">
        <f>IFERROR(__xludf.DUMMYFUNCTION("""COMPUTED_VALUE"""),"direct")</f>
        <v>direct</v>
      </c>
      <c r="X4153" s="124" t="str">
        <f>IFERROR(__xludf.DUMMYFUNCTION("""COMPUTED_VALUE"""),"direct")</f>
        <v>direct</v>
      </c>
      <c r="Y4153" s="124"/>
      <c r="Z4153" s="124">
        <f>IFERROR(__xludf.DUMMYFUNCTION("""COMPUTED_VALUE"""),1.0)</f>
        <v>1</v>
      </c>
      <c r="AA4153" s="124"/>
      <c r="AB4153" s="124"/>
    </row>
    <row r="4154">
      <c r="K4154" s="124"/>
      <c r="L4154" s="124"/>
      <c r="M4154" s="124"/>
      <c r="N4154" s="124"/>
      <c r="O4154" s="124"/>
      <c r="T4154" s="126">
        <f>IFERROR(__xludf.DUMMYFUNCTION("""COMPUTED_VALUE"""),46047.0)</f>
        <v>46047</v>
      </c>
      <c r="U4154" s="124" t="str">
        <f>IFERROR(__xludf.DUMMYFUNCTION("""COMPUTED_VALUE"""),"External Leads")</f>
        <v>External Leads</v>
      </c>
      <c r="V4154" s="124" t="str">
        <f>IFERROR(__xludf.DUMMYFUNCTION("""COMPUTED_VALUE"""),"direct")</f>
        <v>direct</v>
      </c>
      <c r="W4154" s="124" t="str">
        <f>IFERROR(__xludf.DUMMYFUNCTION("""COMPUTED_VALUE"""),"direct")</f>
        <v>direct</v>
      </c>
      <c r="X4154" s="124" t="str">
        <f>IFERROR(__xludf.DUMMYFUNCTION("""COMPUTED_VALUE"""),"direct")</f>
        <v>direct</v>
      </c>
      <c r="Y4154" s="124"/>
      <c r="Z4154" s="124">
        <f>IFERROR(__xludf.DUMMYFUNCTION("""COMPUTED_VALUE"""),1.0)</f>
        <v>1</v>
      </c>
      <c r="AA4154" s="124" t="str">
        <f>IFERROR(__xludf.DUMMYFUNCTION("""COMPUTED_VALUE"""),"Cold")</f>
        <v>Cold</v>
      </c>
      <c r="AB4154" s="124"/>
    </row>
    <row r="4155">
      <c r="K4155" s="124"/>
      <c r="L4155" s="124"/>
      <c r="M4155" s="124"/>
      <c r="N4155" s="124"/>
      <c r="O4155" s="124"/>
      <c r="T4155" s="126">
        <f>IFERROR(__xludf.DUMMYFUNCTION("""COMPUTED_VALUE"""),46069.0)</f>
        <v>46069</v>
      </c>
      <c r="U4155" s="124" t="str">
        <f>IFERROR(__xludf.DUMMYFUNCTION("""COMPUTED_VALUE"""),"Walk-Ins")</f>
        <v>Walk-Ins</v>
      </c>
      <c r="V4155" s="124" t="str">
        <f>IFERROR(__xludf.DUMMYFUNCTION("""COMPUTED_VALUE"""),"Walkin")</f>
        <v>Walkin</v>
      </c>
      <c r="W4155" s="124" t="str">
        <f>IFERROR(__xludf.DUMMYFUNCTION("""COMPUTED_VALUE"""),"Delhi")</f>
        <v>Delhi</v>
      </c>
      <c r="X4155" s="124" t="str">
        <f>IFERROR(__xludf.DUMMYFUNCTION("""COMPUTED_VALUE"""),"walkin")</f>
        <v>walkin</v>
      </c>
      <c r="Y4155" s="124" t="str">
        <f>IFERROR(__xludf.DUMMYFUNCTION("""COMPUTED_VALUE"""),"Delhi")</f>
        <v>Delhi</v>
      </c>
      <c r="Z4155" s="124">
        <f>IFERROR(__xludf.DUMMYFUNCTION("""COMPUTED_VALUE"""),1.0)</f>
        <v>1</v>
      </c>
      <c r="AA4155" s="124" t="str">
        <f>IFERROR(__xludf.DUMMYFUNCTION("""COMPUTED_VALUE"""),"Not Interested")</f>
        <v>Not Interested</v>
      </c>
      <c r="AB4155" s="124" t="str">
        <f>IFERROR(__xludf.DUMMYFUNCTION("""COMPUTED_VALUE"""),"Optionals")</f>
        <v>Optionals</v>
      </c>
    </row>
    <row r="4156">
      <c r="K4156" s="124"/>
      <c r="L4156" s="124"/>
      <c r="M4156" s="124"/>
      <c r="N4156" s="124"/>
      <c r="O4156" s="124"/>
      <c r="T4156" s="126">
        <f>IFERROR(__xludf.DUMMYFUNCTION("""COMPUTED_VALUE"""),46050.0)</f>
        <v>46050</v>
      </c>
      <c r="U4156" s="124" t="str">
        <f>IFERROR(__xludf.DUMMYFUNCTION("""COMPUTED_VALUE"""),"External Leads")</f>
        <v>External Leads</v>
      </c>
      <c r="V4156" s="124" t="str">
        <f>IFERROR(__xludf.DUMMYFUNCTION("""COMPUTED_VALUE"""),"external leads")</f>
        <v>external leads</v>
      </c>
      <c r="W4156" s="124" t="str">
        <f>IFERROR(__xludf.DUMMYFUNCTION("""COMPUTED_VALUE"""),"delhi")</f>
        <v>delhi</v>
      </c>
      <c r="X4156" s="124" t="str">
        <f>IFERROR(__xludf.DUMMYFUNCTION("""COMPUTED_VALUE"""),"piyushunacademy")</f>
        <v>piyushunacademy</v>
      </c>
      <c r="Y4156" s="124" t="str">
        <f>IFERROR(__xludf.DUMMYFUNCTION("""COMPUTED_VALUE"""),"Delhi")</f>
        <v>Delhi</v>
      </c>
      <c r="Z4156" s="124">
        <f>IFERROR(__xludf.DUMMYFUNCTION("""COMPUTED_VALUE"""),1.0)</f>
        <v>1</v>
      </c>
      <c r="AA4156" s="124"/>
      <c r="AB4156" s="124"/>
    </row>
    <row r="4157">
      <c r="K4157" s="124"/>
      <c r="L4157" s="124"/>
      <c r="M4157" s="124"/>
      <c r="N4157" s="124"/>
      <c r="O4157" s="124"/>
      <c r="T4157" s="126">
        <f>IFERROR(__xludf.DUMMYFUNCTION("""COMPUTED_VALUE"""),46095.0)</f>
        <v>46095</v>
      </c>
      <c r="U4157" s="124" t="str">
        <f>IFERROR(__xludf.DUMMYFUNCTION("""COMPUTED_VALUE"""),"Walk-Ins")</f>
        <v>Walk-Ins</v>
      </c>
      <c r="V4157" s="124" t="str">
        <f>IFERROR(__xludf.DUMMYFUNCTION("""COMPUTED_VALUE"""),"Walk-In")</f>
        <v>Walk-In</v>
      </c>
      <c r="W4157" s="124" t="str">
        <f>IFERROR(__xludf.DUMMYFUNCTION("""COMPUTED_VALUE"""),"Delhi")</f>
        <v>Delhi</v>
      </c>
      <c r="X4157" s="124" t="str">
        <f>IFERROR(__xludf.DUMMYFUNCTION("""COMPUTED_VALUE"""),"walkin")</f>
        <v>walkin</v>
      </c>
      <c r="Y4157" s="124" t="str">
        <f>IFERROR(__xludf.DUMMYFUNCTION("""COMPUTED_VALUE"""),"Delhi")</f>
        <v>Delhi</v>
      </c>
      <c r="Z4157" s="124">
        <f>IFERROR(__xludf.DUMMYFUNCTION("""COMPUTED_VALUE"""),1.0)</f>
        <v>1</v>
      </c>
      <c r="AA4157" s="124" t="str">
        <f>IFERROR(__xludf.DUMMYFUNCTION("""COMPUTED_VALUE"""),"Future Prospects")</f>
        <v>Future Prospects</v>
      </c>
      <c r="AB4157" s="124" t="str">
        <f>IFERROR(__xludf.DUMMYFUNCTION("""COMPUTED_VALUE"""),"Optionals")</f>
        <v>Optionals</v>
      </c>
    </row>
    <row r="4158">
      <c r="K4158" s="124"/>
      <c r="L4158" s="124"/>
      <c r="M4158" s="124"/>
      <c r="N4158" s="124"/>
      <c r="O4158" s="124"/>
      <c r="T4158" s="129">
        <f>IFERROR(__xludf.DUMMYFUNCTION("""COMPUTED_VALUE"""),46083.0)</f>
        <v>46083</v>
      </c>
      <c r="U4158" s="124" t="str">
        <f>IFERROR(__xludf.DUMMYFUNCTION("""COMPUTED_VALUE"""),"Walk-Ins")</f>
        <v>Walk-Ins</v>
      </c>
      <c r="V4158" s="124" t="str">
        <f>IFERROR(__xludf.DUMMYFUNCTION("""COMPUTED_VALUE"""),"Walkin")</f>
        <v>Walkin</v>
      </c>
      <c r="W4158" s="124" t="str">
        <f>IFERROR(__xludf.DUMMYFUNCTION("""COMPUTED_VALUE"""),"Delhi")</f>
        <v>Delhi</v>
      </c>
      <c r="X4158" s="124" t="str">
        <f>IFERROR(__xludf.DUMMYFUNCTION("""COMPUTED_VALUE"""),"walkin")</f>
        <v>walkin</v>
      </c>
      <c r="Y4158" s="124" t="str">
        <f>IFERROR(__xludf.DUMMYFUNCTION("""COMPUTED_VALUE"""),"Delhi")</f>
        <v>Delhi</v>
      </c>
      <c r="Z4158" s="124">
        <f>IFERROR(__xludf.DUMMYFUNCTION("""COMPUTED_VALUE"""),1.0)</f>
        <v>1</v>
      </c>
      <c r="AA4158" s="124" t="str">
        <f>IFERROR(__xludf.DUMMYFUNCTION("""COMPUTED_VALUE"""),"Warm")</f>
        <v>Warm</v>
      </c>
      <c r="AB4158" s="124" t="str">
        <f>IFERROR(__xludf.DUMMYFUNCTION("""COMPUTED_VALUE"""),"GS Foundation")</f>
        <v>GS Foundation</v>
      </c>
    </row>
    <row r="4159">
      <c r="K4159" s="124"/>
      <c r="L4159" s="124"/>
      <c r="M4159" s="124"/>
      <c r="N4159" s="124"/>
      <c r="O4159" s="124"/>
      <c r="T4159" s="126">
        <f>IFERROR(__xludf.DUMMYFUNCTION("""COMPUTED_VALUE"""),46072.0)</f>
        <v>46072</v>
      </c>
      <c r="U4159" s="124" t="str">
        <f>IFERROR(__xludf.DUMMYFUNCTION("""COMPUTED_VALUE"""),"Walk-Ins")</f>
        <v>Walk-Ins</v>
      </c>
      <c r="V4159" s="124" t="str">
        <f>IFERROR(__xludf.DUMMYFUNCTION("""COMPUTED_VALUE"""),"Walkin")</f>
        <v>Walkin</v>
      </c>
      <c r="W4159" s="124" t="str">
        <f>IFERROR(__xludf.DUMMYFUNCTION("""COMPUTED_VALUE"""),"Delhi")</f>
        <v>Delhi</v>
      </c>
      <c r="X4159" s="124" t="str">
        <f>IFERROR(__xludf.DUMMYFUNCTION("""COMPUTED_VALUE"""),"walkin")</f>
        <v>walkin</v>
      </c>
      <c r="Y4159" s="124" t="str">
        <f>IFERROR(__xludf.DUMMYFUNCTION("""COMPUTED_VALUE"""),"Delhi")</f>
        <v>Delhi</v>
      </c>
      <c r="Z4159" s="124">
        <f>IFERROR(__xludf.DUMMYFUNCTION("""COMPUTED_VALUE"""),1.0)</f>
        <v>1</v>
      </c>
      <c r="AA4159" s="124" t="str">
        <f>IFERROR(__xludf.DUMMYFUNCTION("""COMPUTED_VALUE"""),"Enrolled")</f>
        <v>Enrolled</v>
      </c>
      <c r="AB4159" s="124" t="str">
        <f>IFERROR(__xludf.DUMMYFUNCTION("""COMPUTED_VALUE"""),"GS Foundation")</f>
        <v>GS Foundation</v>
      </c>
    </row>
    <row r="4160">
      <c r="K4160" s="124"/>
      <c r="L4160" s="124"/>
      <c r="M4160" s="124"/>
      <c r="N4160" s="124"/>
      <c r="O4160" s="124"/>
      <c r="T4160" s="126">
        <f>IFERROR(__xludf.DUMMYFUNCTION("""COMPUTED_VALUE"""),46049.0)</f>
        <v>46049</v>
      </c>
      <c r="U4160" s="124" t="str">
        <f>IFERROR(__xludf.DUMMYFUNCTION("""COMPUTED_VALUE"""),"Walk-Ins")</f>
        <v>Walk-Ins</v>
      </c>
      <c r="V4160" s="124" t="str">
        <f>IFERROR(__xludf.DUMMYFUNCTION("""COMPUTED_VALUE"""),"Walkin")</f>
        <v>Walkin</v>
      </c>
      <c r="W4160" s="124" t="str">
        <f>IFERROR(__xludf.DUMMYFUNCTION("""COMPUTED_VALUE"""),"Delhi")</f>
        <v>Delhi</v>
      </c>
      <c r="X4160" s="124" t="str">
        <f>IFERROR(__xludf.DUMMYFUNCTION("""COMPUTED_VALUE"""),"walkin")</f>
        <v>walkin</v>
      </c>
      <c r="Y4160" s="124" t="str">
        <f>IFERROR(__xludf.DUMMYFUNCTION("""COMPUTED_VALUE"""),"Delhi")</f>
        <v>Delhi</v>
      </c>
      <c r="Z4160" s="124">
        <f>IFERROR(__xludf.DUMMYFUNCTION("""COMPUTED_VALUE"""),1.0)</f>
        <v>1</v>
      </c>
      <c r="AA4160" s="124" t="str">
        <f>IFERROR(__xludf.DUMMYFUNCTION("""COMPUTED_VALUE"""),"Not Interested")</f>
        <v>Not Interested</v>
      </c>
      <c r="AB4160" s="124" t="str">
        <f>IFERROR(__xludf.DUMMYFUNCTION("""COMPUTED_VALUE"""),"Test Series")</f>
        <v>Test Series</v>
      </c>
    </row>
    <row r="4161">
      <c r="K4161" s="124"/>
      <c r="L4161" s="124"/>
      <c r="M4161" s="124"/>
      <c r="N4161" s="124"/>
      <c r="O4161" s="124"/>
      <c r="T4161" s="129">
        <f>IFERROR(__xludf.DUMMYFUNCTION("""COMPUTED_VALUE"""),46086.0)</f>
        <v>46086</v>
      </c>
      <c r="U4161" s="124" t="str">
        <f>IFERROR(__xludf.DUMMYFUNCTION("""COMPUTED_VALUE"""),"Walk-Ins")</f>
        <v>Walk-Ins</v>
      </c>
      <c r="V4161" s="124" t="str">
        <f>IFERROR(__xludf.DUMMYFUNCTION("""COMPUTED_VALUE"""),"Walkin")</f>
        <v>Walkin</v>
      </c>
      <c r="W4161" s="124" t="str">
        <f>IFERROR(__xludf.DUMMYFUNCTION("""COMPUTED_VALUE"""),"Delhi")</f>
        <v>Delhi</v>
      </c>
      <c r="X4161" s="124" t="str">
        <f>IFERROR(__xludf.DUMMYFUNCTION("""COMPUTED_VALUE"""),"walkin")</f>
        <v>walkin</v>
      </c>
      <c r="Y4161" s="124" t="str">
        <f>IFERROR(__xludf.DUMMYFUNCTION("""COMPUTED_VALUE"""),"Delhi")</f>
        <v>Delhi</v>
      </c>
      <c r="Z4161" s="124">
        <f>IFERROR(__xludf.DUMMYFUNCTION("""COMPUTED_VALUE"""),1.0)</f>
        <v>1</v>
      </c>
      <c r="AA4161" s="124" t="str">
        <f>IFERROR(__xludf.DUMMYFUNCTION("""COMPUTED_VALUE"""),"Not Interested")</f>
        <v>Not Interested</v>
      </c>
      <c r="AB4161" s="124" t="str">
        <f>IFERROR(__xludf.DUMMYFUNCTION("""COMPUTED_VALUE"""),"GS Foundation")</f>
        <v>GS Foundation</v>
      </c>
    </row>
    <row r="4162">
      <c r="K4162" s="124"/>
      <c r="L4162" s="124"/>
      <c r="M4162" s="124"/>
      <c r="N4162" s="124"/>
      <c r="O4162" s="124"/>
      <c r="T4162" s="126">
        <f>IFERROR(__xludf.DUMMYFUNCTION("""COMPUTED_VALUE"""),46063.0)</f>
        <v>46063</v>
      </c>
      <c r="U4162" s="124" t="str">
        <f>IFERROR(__xludf.DUMMYFUNCTION("""COMPUTED_VALUE"""),"Walk-Ins")</f>
        <v>Walk-Ins</v>
      </c>
      <c r="V4162" s="124" t="str">
        <f>IFERROR(__xludf.DUMMYFUNCTION("""COMPUTED_VALUE"""),"Walkin")</f>
        <v>Walkin</v>
      </c>
      <c r="W4162" s="124" t="str">
        <f>IFERROR(__xludf.DUMMYFUNCTION("""COMPUTED_VALUE"""),"Delhi")</f>
        <v>Delhi</v>
      </c>
      <c r="X4162" s="124" t="str">
        <f>IFERROR(__xludf.DUMMYFUNCTION("""COMPUTED_VALUE"""),"walkin")</f>
        <v>walkin</v>
      </c>
      <c r="Y4162" s="124" t="str">
        <f>IFERROR(__xludf.DUMMYFUNCTION("""COMPUTED_VALUE"""),"Delhi")</f>
        <v>Delhi</v>
      </c>
      <c r="Z4162" s="124">
        <f>IFERROR(__xludf.DUMMYFUNCTION("""COMPUTED_VALUE"""),1.0)</f>
        <v>1</v>
      </c>
      <c r="AA4162" s="124" t="str">
        <f>IFERROR(__xludf.DUMMYFUNCTION("""COMPUTED_VALUE"""),"Cold")</f>
        <v>Cold</v>
      </c>
      <c r="AB4162" s="124" t="str">
        <f>IFERROR(__xludf.DUMMYFUNCTION("""COMPUTED_VALUE"""),"State PCS")</f>
        <v>State PCS</v>
      </c>
    </row>
    <row r="4163">
      <c r="K4163" s="124"/>
      <c r="L4163" s="124"/>
      <c r="M4163" s="124"/>
      <c r="N4163" s="124"/>
      <c r="O4163" s="124"/>
      <c r="T4163" s="126">
        <f>IFERROR(__xludf.DUMMYFUNCTION("""COMPUTED_VALUE"""),46100.0)</f>
        <v>46100</v>
      </c>
      <c r="U4163" s="124" t="str">
        <f>IFERROR(__xludf.DUMMYFUNCTION("""COMPUTED_VALUE"""),"Walk-Ins")</f>
        <v>Walk-Ins</v>
      </c>
      <c r="V4163" s="124" t="str">
        <f>IFERROR(__xludf.DUMMYFUNCTION("""COMPUTED_VALUE"""),"Walkin")</f>
        <v>Walkin</v>
      </c>
      <c r="W4163" s="124" t="str">
        <f>IFERROR(__xludf.DUMMYFUNCTION("""COMPUTED_VALUE"""),"Delhi")</f>
        <v>Delhi</v>
      </c>
      <c r="X4163" s="124" t="str">
        <f>IFERROR(__xludf.DUMMYFUNCTION("""COMPUTED_VALUE"""),"walkin")</f>
        <v>walkin</v>
      </c>
      <c r="Y4163" s="124" t="str">
        <f>IFERROR(__xludf.DUMMYFUNCTION("""COMPUTED_VALUE"""),"Delhi")</f>
        <v>Delhi</v>
      </c>
      <c r="Z4163" s="124">
        <f>IFERROR(__xludf.DUMMYFUNCTION("""COMPUTED_VALUE"""),1.0)</f>
        <v>1</v>
      </c>
      <c r="AA4163" s="124" t="str">
        <f>IFERROR(__xludf.DUMMYFUNCTION("""COMPUTED_VALUE"""),"Interested")</f>
        <v>Interested</v>
      </c>
      <c r="AB4163" s="124" t="str">
        <f>IFERROR(__xludf.DUMMYFUNCTION("""COMPUTED_VALUE"""),"GS Foundation")</f>
        <v>GS Foundation</v>
      </c>
    </row>
    <row r="4164">
      <c r="K4164" s="124"/>
      <c r="L4164" s="124"/>
      <c r="M4164" s="124"/>
      <c r="N4164" s="124"/>
      <c r="O4164" s="124"/>
      <c r="T4164" s="129">
        <f>IFERROR(__xludf.DUMMYFUNCTION("""COMPUTED_VALUE"""),46058.0)</f>
        <v>46058</v>
      </c>
      <c r="U4164" s="124" t="str">
        <f>IFERROR(__xludf.DUMMYFUNCTION("""COMPUTED_VALUE"""),"Walk-Ins")</f>
        <v>Walk-Ins</v>
      </c>
      <c r="V4164" s="124" t="str">
        <f>IFERROR(__xludf.DUMMYFUNCTION("""COMPUTED_VALUE"""),"Walkin")</f>
        <v>Walkin</v>
      </c>
      <c r="W4164" s="124" t="str">
        <f>IFERROR(__xludf.DUMMYFUNCTION("""COMPUTED_VALUE"""),"Delhi")</f>
        <v>Delhi</v>
      </c>
      <c r="X4164" s="124" t="str">
        <f>IFERROR(__xludf.DUMMYFUNCTION("""COMPUTED_VALUE"""),"walkin")</f>
        <v>walkin</v>
      </c>
      <c r="Y4164" s="124" t="str">
        <f>IFERROR(__xludf.DUMMYFUNCTION("""COMPUTED_VALUE"""),"Delhi")</f>
        <v>Delhi</v>
      </c>
      <c r="Z4164" s="124">
        <f>IFERROR(__xludf.DUMMYFUNCTION("""COMPUTED_VALUE"""),1.0)</f>
        <v>1</v>
      </c>
      <c r="AA4164" s="124" t="str">
        <f>IFERROR(__xludf.DUMMYFUNCTION("""COMPUTED_VALUE"""),"Future Prospects")</f>
        <v>Future Prospects</v>
      </c>
      <c r="AB4164" s="124" t="str">
        <f>IFERROR(__xludf.DUMMYFUNCTION("""COMPUTED_VALUE"""),"Other")</f>
        <v>Other</v>
      </c>
    </row>
    <row r="4165">
      <c r="K4165" s="124"/>
      <c r="L4165" s="124"/>
      <c r="M4165" s="124"/>
      <c r="N4165" s="124"/>
      <c r="O4165" s="124"/>
      <c r="T4165" s="129">
        <f>IFERROR(__xludf.DUMMYFUNCTION("""COMPUTED_VALUE"""),46054.0)</f>
        <v>46054</v>
      </c>
      <c r="U4165" s="124" t="str">
        <f>IFERROR(__xludf.DUMMYFUNCTION("""COMPUTED_VALUE"""),"Event")</f>
        <v>Event</v>
      </c>
      <c r="V4165" s="124" t="str">
        <f>IFERROR(__xludf.DUMMYFUNCTION("""COMPUTED_VALUE"""),"whatsapp")</f>
        <v>whatsapp</v>
      </c>
      <c r="W4165" s="124" t="str">
        <f>IFERROR(__xludf.DUMMYFUNCTION("""COMPUTED_VALUE"""),"api")</f>
        <v>api</v>
      </c>
      <c r="X4165" s="124" t="str">
        <f>IFERROR(__xludf.DUMMYFUNCTION("""COMPUTED_VALUE"""),"reply")</f>
        <v>reply</v>
      </c>
      <c r="Y4165" s="124"/>
      <c r="Z4165" s="124">
        <f>IFERROR(__xludf.DUMMYFUNCTION("""COMPUTED_VALUE"""),1.0)</f>
        <v>1</v>
      </c>
      <c r="AA4165" s="124" t="str">
        <f>IFERROR(__xludf.DUMMYFUNCTION("""COMPUTED_VALUE"""),"Not Interested")</f>
        <v>Not Interested</v>
      </c>
      <c r="AB4165" s="124"/>
    </row>
    <row r="4166">
      <c r="K4166" s="124"/>
      <c r="L4166" s="124"/>
      <c r="M4166" s="124"/>
      <c r="N4166" s="124"/>
      <c r="O4166" s="124"/>
      <c r="T4166" s="126">
        <f>IFERROR(__xludf.DUMMYFUNCTION("""COMPUTED_VALUE"""),46104.0)</f>
        <v>46104</v>
      </c>
      <c r="U4166" s="124" t="str">
        <f>IFERROR(__xludf.DUMMYFUNCTION("""COMPUTED_VALUE"""),"External Leads")</f>
        <v>External Leads</v>
      </c>
      <c r="V4166" s="124" t="str">
        <f>IFERROR(__xludf.DUMMYFUNCTION("""COMPUTED_VALUE"""),"Outbound Call")</f>
        <v>Outbound Call</v>
      </c>
      <c r="W4166" s="124" t="str">
        <f>IFERROR(__xludf.DUMMYFUNCTION("""COMPUTED_VALUE"""),"Outbound Call")</f>
        <v>Outbound Call</v>
      </c>
      <c r="X4166" s="124" t="str">
        <f>IFERROR(__xludf.DUMMYFUNCTION("""COMPUTED_VALUE"""),"Outbound Call")</f>
        <v>Outbound Call</v>
      </c>
      <c r="Y4166" s="124"/>
      <c r="Z4166" s="124">
        <f>IFERROR(__xludf.DUMMYFUNCTION("""COMPUTED_VALUE"""),1.0)</f>
        <v>1</v>
      </c>
      <c r="AA4166" s="124"/>
      <c r="AB4166" s="124"/>
    </row>
    <row r="4167">
      <c r="K4167" s="124"/>
      <c r="L4167" s="124"/>
      <c r="M4167" s="124"/>
      <c r="N4167" s="124"/>
      <c r="O4167" s="124"/>
      <c r="T4167" s="126">
        <f>IFERROR(__xludf.DUMMYFUNCTION("""COMPUTED_VALUE"""),46044.0)</f>
        <v>46044</v>
      </c>
      <c r="U4167" s="124" t="str">
        <f>IFERROR(__xludf.DUMMYFUNCTION("""COMPUTED_VALUE"""),"External Leads")</f>
        <v>External Leads</v>
      </c>
      <c r="V4167" s="124" t="str">
        <f>IFERROR(__xludf.DUMMYFUNCTION("""COMPUTED_VALUE"""),"Outbound Call")</f>
        <v>Outbound Call</v>
      </c>
      <c r="W4167" s="124" t="str">
        <f>IFERROR(__xludf.DUMMYFUNCTION("""COMPUTED_VALUE"""),"Outbound Call")</f>
        <v>Outbound Call</v>
      </c>
      <c r="X4167" s="124" t="str">
        <f>IFERROR(__xludf.DUMMYFUNCTION("""COMPUTED_VALUE"""),"Outbound Call")</f>
        <v>Outbound Call</v>
      </c>
      <c r="Y4167" s="124"/>
      <c r="Z4167" s="124">
        <f>IFERROR(__xludf.DUMMYFUNCTION("""COMPUTED_VALUE"""),1.0)</f>
        <v>1</v>
      </c>
      <c r="AA4167" s="124" t="str">
        <f>IFERROR(__xludf.DUMMYFUNCTION("""COMPUTED_VALUE"""),"Warm")</f>
        <v>Warm</v>
      </c>
      <c r="AB4167" s="124"/>
    </row>
    <row r="4168">
      <c r="K4168" s="124"/>
      <c r="L4168" s="124"/>
      <c r="M4168" s="124"/>
      <c r="N4168" s="124"/>
      <c r="O4168" s="124"/>
      <c r="T4168" s="126">
        <f>IFERROR(__xludf.DUMMYFUNCTION("""COMPUTED_VALUE"""),46043.0)</f>
        <v>46043</v>
      </c>
      <c r="U4168" s="124" t="str">
        <f>IFERROR(__xludf.DUMMYFUNCTION("""COMPUTED_VALUE"""),"External Leads")</f>
        <v>External Leads</v>
      </c>
      <c r="V4168" s="124" t="str">
        <f>IFERROR(__xludf.DUMMYFUNCTION("""COMPUTED_VALUE"""),"Outbound Call")</f>
        <v>Outbound Call</v>
      </c>
      <c r="W4168" s="124" t="str">
        <f>IFERROR(__xludf.DUMMYFUNCTION("""COMPUTED_VALUE"""),"Outbound Call")</f>
        <v>Outbound Call</v>
      </c>
      <c r="X4168" s="124" t="str">
        <f>IFERROR(__xludf.DUMMYFUNCTION("""COMPUTED_VALUE"""),"Outbound Call")</f>
        <v>Outbound Call</v>
      </c>
      <c r="Y4168" s="124"/>
      <c r="Z4168" s="124">
        <f>IFERROR(__xludf.DUMMYFUNCTION("""COMPUTED_VALUE"""),1.0)</f>
        <v>1</v>
      </c>
      <c r="AA4168" s="124" t="str">
        <f>IFERROR(__xludf.DUMMYFUNCTION("""COMPUTED_VALUE"""),"Not Interested")</f>
        <v>Not Interested</v>
      </c>
      <c r="AB4168" s="124"/>
    </row>
    <row r="4169">
      <c r="K4169" s="124"/>
      <c r="L4169" s="124"/>
      <c r="M4169" s="124"/>
      <c r="N4169" s="124"/>
      <c r="O4169" s="124"/>
      <c r="T4169" s="126">
        <f>IFERROR(__xludf.DUMMYFUNCTION("""COMPUTED_VALUE"""),46074.0)</f>
        <v>46074</v>
      </c>
      <c r="U4169" s="124" t="str">
        <f>IFERROR(__xludf.DUMMYFUNCTION("""COMPUTED_VALUE"""),"External Leads")</f>
        <v>External Leads</v>
      </c>
      <c r="V4169" s="124" t="str">
        <f>IFERROR(__xludf.DUMMYFUNCTION("""COMPUTED_VALUE"""),"Outbound Call")</f>
        <v>Outbound Call</v>
      </c>
      <c r="W4169" s="124" t="str">
        <f>IFERROR(__xludf.DUMMYFUNCTION("""COMPUTED_VALUE"""),"Outbound Call")</f>
        <v>Outbound Call</v>
      </c>
      <c r="X4169" s="124" t="str">
        <f>IFERROR(__xludf.DUMMYFUNCTION("""COMPUTED_VALUE"""),"Outbound Call")</f>
        <v>Outbound Call</v>
      </c>
      <c r="Y4169" s="124"/>
      <c r="Z4169" s="124">
        <f>IFERROR(__xludf.DUMMYFUNCTION("""COMPUTED_VALUE"""),1.0)</f>
        <v>1</v>
      </c>
      <c r="AA4169" s="124" t="str">
        <f>IFERROR(__xludf.DUMMYFUNCTION("""COMPUTED_VALUE"""),"Cold")</f>
        <v>Cold</v>
      </c>
      <c r="AB4169" s="124" t="str">
        <f>IFERROR(__xludf.DUMMYFUNCTION("""COMPUTED_VALUE"""),"State PCS")</f>
        <v>State PCS</v>
      </c>
    </row>
    <row r="4170">
      <c r="K4170" s="124"/>
      <c r="L4170" s="124"/>
      <c r="M4170" s="124"/>
      <c r="N4170" s="124"/>
      <c r="O4170" s="124"/>
      <c r="T4170" s="129">
        <f>IFERROR(__xludf.DUMMYFUNCTION("""COMPUTED_VALUE"""),46090.0)</f>
        <v>46090</v>
      </c>
      <c r="U4170" s="124" t="str">
        <f>IFERROR(__xludf.DUMMYFUNCTION("""COMPUTED_VALUE"""),"Event")</f>
        <v>Event</v>
      </c>
      <c r="V4170" s="124" t="str">
        <f>IFERROR(__xludf.DUMMYFUNCTION("""COMPUTED_VALUE"""),"whatsapp")</f>
        <v>whatsapp</v>
      </c>
      <c r="W4170" s="124" t="str">
        <f>IFERROR(__xludf.DUMMYFUNCTION("""COMPUTED_VALUE"""),"api")</f>
        <v>api</v>
      </c>
      <c r="X4170" s="124" t="str">
        <f>IFERROR(__xludf.DUMMYFUNCTION("""COMPUTED_VALUE"""),"reply")</f>
        <v>reply</v>
      </c>
      <c r="Y4170" s="124"/>
      <c r="Z4170" s="124">
        <f>IFERROR(__xludf.DUMMYFUNCTION("""COMPUTED_VALUE"""),1.0)</f>
        <v>1</v>
      </c>
      <c r="AA4170" s="124" t="str">
        <f>IFERROR(__xludf.DUMMYFUNCTION("""COMPUTED_VALUE"""),"Fake Lead")</f>
        <v>Fake Lead</v>
      </c>
      <c r="AB4170" s="124"/>
    </row>
    <row r="4171">
      <c r="K4171" s="124"/>
      <c r="L4171" s="124"/>
      <c r="M4171" s="124"/>
      <c r="N4171" s="124"/>
      <c r="O4171" s="124"/>
      <c r="T4171" s="126">
        <f>IFERROR(__xludf.DUMMYFUNCTION("""COMPUTED_VALUE"""),46049.0)</f>
        <v>46049</v>
      </c>
      <c r="U4171" s="124" t="str">
        <f>IFERROR(__xludf.DUMMYFUNCTION("""COMPUTED_VALUE"""),"Event")</f>
        <v>Event</v>
      </c>
      <c r="V4171" s="124" t="str">
        <f>IFERROR(__xludf.DUMMYFUNCTION("""COMPUTED_VALUE"""),"Events")</f>
        <v>Events</v>
      </c>
      <c r="W4171" s="124" t="str">
        <f>IFERROR(__xludf.DUMMYFUNCTION("""COMPUTED_VALUE"""),"Delhi")</f>
        <v>Delhi</v>
      </c>
      <c r="X4171" s="124" t="str">
        <f>IFERROR(__xludf.DUMMYFUNCTION("""COMPUTED_VALUE"""),"DRCSEMINAR(CTC)")</f>
        <v>DRCSEMINAR(CTC)</v>
      </c>
      <c r="Y4171" s="124"/>
      <c r="Z4171" s="124">
        <f>IFERROR(__xludf.DUMMYFUNCTION("""COMPUTED_VALUE"""),1.0)</f>
        <v>1</v>
      </c>
      <c r="AA4171" s="124" t="str">
        <f>IFERROR(__xludf.DUMMYFUNCTION("""COMPUTED_VALUE"""),"Fake Lead")</f>
        <v>Fake Lead</v>
      </c>
      <c r="AB4171" s="124"/>
    </row>
    <row r="4172">
      <c r="K4172" s="124"/>
      <c r="L4172" s="124"/>
      <c r="M4172" s="124"/>
      <c r="N4172" s="124"/>
      <c r="O4172" s="124"/>
      <c r="T4172" s="126">
        <f>IFERROR(__xludf.DUMMYFUNCTION("""COMPUTED_VALUE"""),46065.0)</f>
        <v>46065</v>
      </c>
      <c r="U4172" s="124" t="str">
        <f>IFERROR(__xludf.DUMMYFUNCTION("""COMPUTED_VALUE"""),"Event")</f>
        <v>Event</v>
      </c>
      <c r="V4172" s="124" t="str">
        <f>IFERROR(__xludf.DUMMYFUNCTION("""COMPUTED_VALUE"""),"Events")</f>
        <v>Events</v>
      </c>
      <c r="W4172" s="124" t="str">
        <f>IFERROR(__xludf.DUMMYFUNCTION("""COMPUTED_VALUE"""),"Delhi")</f>
        <v>Delhi</v>
      </c>
      <c r="X4172" s="124" t="str">
        <f>IFERROR(__xludf.DUMMYFUNCTION("""COMPUTED_VALUE"""),"DRCSEMINAR(CTC)")</f>
        <v>DRCSEMINAR(CTC)</v>
      </c>
      <c r="Y4172" s="124"/>
      <c r="Z4172" s="124">
        <f>IFERROR(__xludf.DUMMYFUNCTION("""COMPUTED_VALUE"""),1.0)</f>
        <v>1</v>
      </c>
      <c r="AA4172" s="124" t="str">
        <f>IFERROR(__xludf.DUMMYFUNCTION("""COMPUTED_VALUE"""),"Cold")</f>
        <v>Cold</v>
      </c>
      <c r="AB4172" s="124"/>
    </row>
    <row r="4173">
      <c r="K4173" s="124"/>
      <c r="L4173" s="124"/>
      <c r="M4173" s="124"/>
      <c r="N4173" s="124"/>
      <c r="O4173" s="124"/>
      <c r="T4173" s="126">
        <f>IFERROR(__xludf.DUMMYFUNCTION("""COMPUTED_VALUE"""),46063.0)</f>
        <v>46063</v>
      </c>
      <c r="U4173" s="124" t="str">
        <f>IFERROR(__xludf.DUMMYFUNCTION("""COMPUTED_VALUE"""),"Event")</f>
        <v>Event</v>
      </c>
      <c r="V4173" s="124" t="str">
        <f>IFERROR(__xludf.DUMMYFUNCTION("""COMPUTED_VALUE"""),"Events")</f>
        <v>Events</v>
      </c>
      <c r="W4173" s="124" t="str">
        <f>IFERROR(__xludf.DUMMYFUNCTION("""COMPUTED_VALUE"""),"All Centre")</f>
        <v>All Centre</v>
      </c>
      <c r="X4173" s="124" t="str">
        <f>IFERROR(__xludf.DUMMYFUNCTION("""COMPUTED_VALUE"""),"Generic")</f>
        <v>Generic</v>
      </c>
      <c r="Y4173" s="124" t="str">
        <f>IFERROR(__xludf.DUMMYFUNCTION("""COMPUTED_VALUE"""),"Delhi")</f>
        <v>Delhi</v>
      </c>
      <c r="Z4173" s="124">
        <f>IFERROR(__xludf.DUMMYFUNCTION("""COMPUTED_VALUE"""),1.0)</f>
        <v>1</v>
      </c>
      <c r="AA4173" s="124" t="str">
        <f>IFERROR(__xludf.DUMMYFUNCTION("""COMPUTED_VALUE"""),"Cold")</f>
        <v>Cold</v>
      </c>
      <c r="AB4173" s="124" t="str">
        <f>IFERROR(__xludf.DUMMYFUNCTION("""COMPUTED_VALUE"""),"Prelims Crash Course - SIP")</f>
        <v>Prelims Crash Course - SIP</v>
      </c>
    </row>
    <row r="4174">
      <c r="K4174" s="124"/>
      <c r="L4174" s="124"/>
      <c r="M4174" s="124"/>
      <c r="N4174" s="124"/>
      <c r="O4174" s="124"/>
      <c r="T4174" s="126">
        <f>IFERROR(__xludf.DUMMYFUNCTION("""COMPUTED_VALUE"""),46064.0)</f>
        <v>46064</v>
      </c>
      <c r="U4174" s="124" t="str">
        <f>IFERROR(__xludf.DUMMYFUNCTION("""COMPUTED_VALUE"""),"Event")</f>
        <v>Event</v>
      </c>
      <c r="V4174" s="124" t="str">
        <f>IFERROR(__xludf.DUMMYFUNCTION("""COMPUTED_VALUE"""),"Events")</f>
        <v>Events</v>
      </c>
      <c r="W4174" s="124" t="str">
        <f>IFERROR(__xludf.DUMMYFUNCTION("""COMPUTED_VALUE"""),"All Centre")</f>
        <v>All Centre</v>
      </c>
      <c r="X4174" s="124" t="str">
        <f>IFERROR(__xludf.DUMMYFUNCTION("""COMPUTED_VALUE"""),"Generic")</f>
        <v>Generic</v>
      </c>
      <c r="Y4174" s="124" t="str">
        <f>IFERROR(__xludf.DUMMYFUNCTION("""COMPUTED_VALUE"""),"Delhi")</f>
        <v>Delhi</v>
      </c>
      <c r="Z4174" s="124">
        <f>IFERROR(__xludf.DUMMYFUNCTION("""COMPUTED_VALUE"""),1.0)</f>
        <v>1</v>
      </c>
      <c r="AA4174" s="124" t="str">
        <f>IFERROR(__xludf.DUMMYFUNCTION("""COMPUTED_VALUE"""),"Cold")</f>
        <v>Cold</v>
      </c>
      <c r="AB4174" s="124" t="str">
        <f>IFERROR(__xludf.DUMMYFUNCTION("""COMPUTED_VALUE"""),"Prelims Crash Course - SIP")</f>
        <v>Prelims Crash Course - SIP</v>
      </c>
    </row>
    <row r="4175">
      <c r="K4175" s="124"/>
      <c r="L4175" s="124"/>
      <c r="M4175" s="124"/>
      <c r="N4175" s="124"/>
      <c r="O4175" s="124"/>
      <c r="T4175" s="126">
        <f>IFERROR(__xludf.DUMMYFUNCTION("""COMPUTED_VALUE"""),46065.0)</f>
        <v>46065</v>
      </c>
      <c r="U4175" s="124" t="str">
        <f>IFERROR(__xludf.DUMMYFUNCTION("""COMPUTED_VALUE"""),"Event")</f>
        <v>Event</v>
      </c>
      <c r="V4175" s="124" t="str">
        <f>IFERROR(__xludf.DUMMYFUNCTION("""COMPUTED_VALUE"""),"Events")</f>
        <v>Events</v>
      </c>
      <c r="W4175" s="124" t="str">
        <f>IFERROR(__xludf.DUMMYFUNCTION("""COMPUTED_VALUE"""),"All Centre")</f>
        <v>All Centre</v>
      </c>
      <c r="X4175" s="124" t="str">
        <f>IFERROR(__xludf.DUMMYFUNCTION("""COMPUTED_VALUE"""),"Generic")</f>
        <v>Generic</v>
      </c>
      <c r="Y4175" s="124" t="str">
        <f>IFERROR(__xludf.DUMMYFUNCTION("""COMPUTED_VALUE"""),"Delhi")</f>
        <v>Delhi</v>
      </c>
      <c r="Z4175" s="124">
        <f>IFERROR(__xludf.DUMMYFUNCTION("""COMPUTED_VALUE"""),1.0)</f>
        <v>1</v>
      </c>
      <c r="AA4175" s="124" t="str">
        <f>IFERROR(__xludf.DUMMYFUNCTION("""COMPUTED_VALUE"""),"Not Interested")</f>
        <v>Not Interested</v>
      </c>
      <c r="AB4175" s="124" t="str">
        <f>IFERROR(__xludf.DUMMYFUNCTION("""COMPUTED_VALUE"""),"Optionals")</f>
        <v>Optionals</v>
      </c>
    </row>
    <row r="4176">
      <c r="K4176" s="124"/>
      <c r="L4176" s="124"/>
      <c r="M4176" s="124"/>
      <c r="N4176" s="124"/>
      <c r="O4176" s="124"/>
      <c r="T4176" s="126">
        <f>IFERROR(__xludf.DUMMYFUNCTION("""COMPUTED_VALUE"""),46097.0)</f>
        <v>46097</v>
      </c>
      <c r="U4176" s="124" t="str">
        <f>IFERROR(__xludf.DUMMYFUNCTION("""COMPUTED_VALUE"""),"Event")</f>
        <v>Event</v>
      </c>
      <c r="V4176" s="124" t="str">
        <f>IFERROR(__xludf.DUMMYFUNCTION("""COMPUTED_VALUE"""),"Events")</f>
        <v>Events</v>
      </c>
      <c r="W4176" s="124" t="str">
        <f>IFERROR(__xludf.DUMMYFUNCTION("""COMPUTED_VALUE"""),"All Centre")</f>
        <v>All Centre</v>
      </c>
      <c r="X4176" s="124" t="str">
        <f>IFERROR(__xludf.DUMMYFUNCTION("""COMPUTED_VALUE"""),"Generic")</f>
        <v>Generic</v>
      </c>
      <c r="Y4176" s="124" t="str">
        <f>IFERROR(__xludf.DUMMYFUNCTION("""COMPUTED_VALUE"""),"Delhi")</f>
        <v>Delhi</v>
      </c>
      <c r="Z4176" s="124">
        <f>IFERROR(__xludf.DUMMYFUNCTION("""COMPUTED_VALUE"""),1.0)</f>
        <v>1</v>
      </c>
      <c r="AA4176" s="124" t="str">
        <f>IFERROR(__xludf.DUMMYFUNCTION("""COMPUTED_VALUE"""),"Fake Lead")</f>
        <v>Fake Lead</v>
      </c>
      <c r="AB4176" s="124" t="str">
        <f>IFERROR(__xludf.DUMMYFUNCTION("""COMPUTED_VALUE"""),"GS Foundation")</f>
        <v>GS Foundation</v>
      </c>
    </row>
    <row r="4177">
      <c r="K4177" s="124"/>
      <c r="L4177" s="124"/>
      <c r="M4177" s="124"/>
      <c r="N4177" s="124"/>
      <c r="O4177" s="124"/>
      <c r="T4177" s="126">
        <f>IFERROR(__xludf.DUMMYFUNCTION("""COMPUTED_VALUE"""),46078.0)</f>
        <v>46078</v>
      </c>
      <c r="U4177" s="124" t="str">
        <f>IFERROR(__xludf.DUMMYFUNCTION("""COMPUTED_VALUE"""),"Event")</f>
        <v>Event</v>
      </c>
      <c r="V4177" s="124" t="str">
        <f>IFERROR(__xludf.DUMMYFUNCTION("""COMPUTED_VALUE"""),"Events")</f>
        <v>Events</v>
      </c>
      <c r="W4177" s="124" t="str">
        <f>IFERROR(__xludf.DUMMYFUNCTION("""COMPUTED_VALUE"""),"All Centre")</f>
        <v>All Centre</v>
      </c>
      <c r="X4177" s="124" t="str">
        <f>IFERROR(__xludf.DUMMYFUNCTION("""COMPUTED_VALUE"""),"Generic")</f>
        <v>Generic</v>
      </c>
      <c r="Y4177" s="124" t="str">
        <f>IFERROR(__xludf.DUMMYFUNCTION("""COMPUTED_VALUE"""),"Delhi")</f>
        <v>Delhi</v>
      </c>
      <c r="Z4177" s="124">
        <f>IFERROR(__xludf.DUMMYFUNCTION("""COMPUTED_VALUE"""),1.0)</f>
        <v>1</v>
      </c>
      <c r="AA4177" s="124" t="str">
        <f>IFERROR(__xludf.DUMMYFUNCTION("""COMPUTED_VALUE"""),"Warm")</f>
        <v>Warm</v>
      </c>
      <c r="AB4177" s="124" t="str">
        <f>IFERROR(__xludf.DUMMYFUNCTION("""COMPUTED_VALUE"""),"Prelims Crash Course - SIP")</f>
        <v>Prelims Crash Course - SIP</v>
      </c>
    </row>
    <row r="4178">
      <c r="K4178" s="124"/>
      <c r="L4178" s="124"/>
      <c r="M4178" s="124"/>
      <c r="N4178" s="124"/>
      <c r="O4178" s="124"/>
      <c r="T4178" s="129">
        <f>IFERROR(__xludf.DUMMYFUNCTION("""COMPUTED_VALUE"""),46062.0)</f>
        <v>46062</v>
      </c>
      <c r="U4178" s="124" t="str">
        <f>IFERROR(__xludf.DUMMYFUNCTION("""COMPUTED_VALUE"""),"Event")</f>
        <v>Event</v>
      </c>
      <c r="V4178" s="124" t="str">
        <f>IFERROR(__xludf.DUMMYFUNCTION("""COMPUTED_VALUE"""),"Events")</f>
        <v>Events</v>
      </c>
      <c r="W4178" s="124" t="str">
        <f>IFERROR(__xludf.DUMMYFUNCTION("""COMPUTED_VALUE"""),"All Centre")</f>
        <v>All Centre</v>
      </c>
      <c r="X4178" s="124" t="str">
        <f>IFERROR(__xludf.DUMMYFUNCTION("""COMPUTED_VALUE"""),"Generic")</f>
        <v>Generic</v>
      </c>
      <c r="Y4178" s="124" t="str">
        <f>IFERROR(__xludf.DUMMYFUNCTION("""COMPUTED_VALUE"""),"Delhi")</f>
        <v>Delhi</v>
      </c>
      <c r="Z4178" s="124">
        <f>IFERROR(__xludf.DUMMYFUNCTION("""COMPUTED_VALUE"""),1.0)</f>
        <v>1</v>
      </c>
      <c r="AA4178" s="124" t="str">
        <f>IFERROR(__xludf.DUMMYFUNCTION("""COMPUTED_VALUE"""),"Not Interested")</f>
        <v>Not Interested</v>
      </c>
      <c r="AB4178" s="124" t="str">
        <f>IFERROR(__xludf.DUMMYFUNCTION("""COMPUTED_VALUE"""),"GS Advanced")</f>
        <v>GS Advanced</v>
      </c>
    </row>
    <row r="4179">
      <c r="K4179" s="124"/>
      <c r="L4179" s="124"/>
      <c r="M4179" s="124"/>
      <c r="N4179" s="124"/>
      <c r="O4179" s="124"/>
      <c r="T4179" s="126">
        <f>IFERROR(__xludf.DUMMYFUNCTION("""COMPUTED_VALUE"""),46077.0)</f>
        <v>46077</v>
      </c>
      <c r="U4179" s="124" t="str">
        <f>IFERROR(__xludf.DUMMYFUNCTION("""COMPUTED_VALUE"""),"Event")</f>
        <v>Event</v>
      </c>
      <c r="V4179" s="124" t="str">
        <f>IFERROR(__xludf.DUMMYFUNCTION("""COMPUTED_VALUE"""),"Events")</f>
        <v>Events</v>
      </c>
      <c r="W4179" s="124" t="str">
        <f>IFERROR(__xludf.DUMMYFUNCTION("""COMPUTED_VALUE"""),"All Centre")</f>
        <v>All Centre</v>
      </c>
      <c r="X4179" s="124" t="str">
        <f>IFERROR(__xludf.DUMMYFUNCTION("""COMPUTED_VALUE"""),"Generic")</f>
        <v>Generic</v>
      </c>
      <c r="Y4179" s="124" t="str">
        <f>IFERROR(__xludf.DUMMYFUNCTION("""COMPUTED_VALUE"""),"Delhi")</f>
        <v>Delhi</v>
      </c>
      <c r="Z4179" s="124">
        <f>IFERROR(__xludf.DUMMYFUNCTION("""COMPUTED_VALUE"""),1.0)</f>
        <v>1</v>
      </c>
      <c r="AA4179" s="124" t="str">
        <f>IFERROR(__xludf.DUMMYFUNCTION("""COMPUTED_VALUE"""),"Engaged")</f>
        <v>Engaged</v>
      </c>
      <c r="AB4179" s="124" t="str">
        <f>IFERROR(__xludf.DUMMYFUNCTION("""COMPUTED_VALUE"""),"Other")</f>
        <v>Other</v>
      </c>
    </row>
    <row r="4180">
      <c r="K4180" s="124"/>
      <c r="L4180" s="124"/>
      <c r="M4180" s="124"/>
      <c r="N4180" s="124"/>
      <c r="O4180" s="124"/>
      <c r="T4180" s="126">
        <f>IFERROR(__xludf.DUMMYFUNCTION("""COMPUTED_VALUE"""),46096.0)</f>
        <v>46096</v>
      </c>
      <c r="U4180" s="124" t="str">
        <f>IFERROR(__xludf.DUMMYFUNCTION("""COMPUTED_VALUE"""),"Event")</f>
        <v>Event</v>
      </c>
      <c r="V4180" s="124" t="str">
        <f>IFERROR(__xludf.DUMMYFUNCTION("""COMPUTED_VALUE"""),"Events")</f>
        <v>Events</v>
      </c>
      <c r="W4180" s="124" t="str">
        <f>IFERROR(__xludf.DUMMYFUNCTION("""COMPUTED_VALUE"""),"All Centre")</f>
        <v>All Centre</v>
      </c>
      <c r="X4180" s="124" t="str">
        <f>IFERROR(__xludf.DUMMYFUNCTION("""COMPUTED_VALUE"""),"Generic")</f>
        <v>Generic</v>
      </c>
      <c r="Y4180" s="124" t="str">
        <f>IFERROR(__xludf.DUMMYFUNCTION("""COMPUTED_VALUE"""),"Delhi")</f>
        <v>Delhi</v>
      </c>
      <c r="Z4180" s="124">
        <f>IFERROR(__xludf.DUMMYFUNCTION("""COMPUTED_VALUE"""),1.0)</f>
        <v>1</v>
      </c>
      <c r="AA4180" s="124" t="str">
        <f>IFERROR(__xludf.DUMMYFUNCTION("""COMPUTED_VALUE"""),"Cold")</f>
        <v>Cold</v>
      </c>
      <c r="AB4180" s="124" t="str">
        <f>IFERROR(__xludf.DUMMYFUNCTION("""COMPUTED_VALUE"""),"GS Foundation")</f>
        <v>GS Foundation</v>
      </c>
    </row>
    <row r="4181">
      <c r="K4181" s="124"/>
      <c r="L4181" s="124"/>
      <c r="M4181" s="124"/>
      <c r="N4181" s="124"/>
      <c r="O4181" s="124"/>
      <c r="T4181" s="126">
        <f>IFERROR(__xludf.DUMMYFUNCTION("""COMPUTED_VALUE"""),46050.0)</f>
        <v>46050</v>
      </c>
      <c r="U4181" s="124" t="str">
        <f>IFERROR(__xludf.DUMMYFUNCTION("""COMPUTED_VALUE"""),"Event")</f>
        <v>Event</v>
      </c>
      <c r="V4181" s="124" t="str">
        <f>IFERROR(__xludf.DUMMYFUNCTION("""COMPUTED_VALUE"""),"Events")</f>
        <v>Events</v>
      </c>
      <c r="W4181" s="124" t="str">
        <f>IFERROR(__xludf.DUMMYFUNCTION("""COMPUTED_VALUE"""),"Delhi")</f>
        <v>Delhi</v>
      </c>
      <c r="X4181" s="124" t="str">
        <f>IFERROR(__xludf.DUMMYFUNCTION("""COMPUTED_VALUE"""),"DRCSEMINAR(CTC)")</f>
        <v>DRCSEMINAR(CTC)</v>
      </c>
      <c r="Y4181" s="124"/>
      <c r="Z4181" s="124">
        <f>IFERROR(__xludf.DUMMYFUNCTION("""COMPUTED_VALUE"""),1.0)</f>
        <v>1</v>
      </c>
      <c r="AA4181" s="124" t="str">
        <f>IFERROR(__xludf.DUMMYFUNCTION("""COMPUTED_VALUE"""),"Not Interested")</f>
        <v>Not Interested</v>
      </c>
      <c r="AB4181" s="124"/>
    </row>
    <row r="4182">
      <c r="K4182" s="124"/>
      <c r="L4182" s="124"/>
      <c r="M4182" s="124"/>
      <c r="N4182" s="124"/>
      <c r="O4182" s="124"/>
      <c r="T4182" s="129">
        <f>IFERROR(__xludf.DUMMYFUNCTION("""COMPUTED_VALUE"""),46058.0)</f>
        <v>46058</v>
      </c>
      <c r="U4182" s="124" t="str">
        <f>IFERROR(__xludf.DUMMYFUNCTION("""COMPUTED_VALUE"""),"Event")</f>
        <v>Event</v>
      </c>
      <c r="V4182" s="124" t="str">
        <f>IFERROR(__xludf.DUMMYFUNCTION("""COMPUTED_VALUE"""),"Events")</f>
        <v>Events</v>
      </c>
      <c r="W4182" s="124" t="str">
        <f>IFERROR(__xludf.DUMMYFUNCTION("""COMPUTED_VALUE"""),"All Centre")</f>
        <v>All Centre</v>
      </c>
      <c r="X4182" s="124" t="str">
        <f>IFERROR(__xludf.DUMMYFUNCTION("""COMPUTED_VALUE"""),"Generic")</f>
        <v>Generic</v>
      </c>
      <c r="Y4182" s="124" t="str">
        <f>IFERROR(__xludf.DUMMYFUNCTION("""COMPUTED_VALUE"""),"Delhi")</f>
        <v>Delhi</v>
      </c>
      <c r="Z4182" s="124">
        <f>IFERROR(__xludf.DUMMYFUNCTION("""COMPUTED_VALUE"""),1.0)</f>
        <v>1</v>
      </c>
      <c r="AA4182" s="124" t="str">
        <f>IFERROR(__xludf.DUMMYFUNCTION("""COMPUTED_VALUE"""),"Fake Lead")</f>
        <v>Fake Lead</v>
      </c>
      <c r="AB4182" s="124" t="str">
        <f>IFERROR(__xludf.DUMMYFUNCTION("""COMPUTED_VALUE"""),"GS Advanced")</f>
        <v>GS Advanced</v>
      </c>
    </row>
    <row r="4183">
      <c r="K4183" s="124"/>
      <c r="L4183" s="124"/>
      <c r="M4183" s="124"/>
      <c r="N4183" s="124"/>
      <c r="O4183" s="124"/>
      <c r="T4183" s="126">
        <f>IFERROR(__xludf.DUMMYFUNCTION("""COMPUTED_VALUE"""),46065.0)</f>
        <v>46065</v>
      </c>
      <c r="U4183" s="124" t="str">
        <f>IFERROR(__xludf.DUMMYFUNCTION("""COMPUTED_VALUE"""),"Event")</f>
        <v>Event</v>
      </c>
      <c r="V4183" s="124" t="str">
        <f>IFERROR(__xludf.DUMMYFUNCTION("""COMPUTED_VALUE"""),"Events")</f>
        <v>Events</v>
      </c>
      <c r="W4183" s="124" t="str">
        <f>IFERROR(__xludf.DUMMYFUNCTION("""COMPUTED_VALUE"""),"All Centre")</f>
        <v>All Centre</v>
      </c>
      <c r="X4183" s="124" t="str">
        <f>IFERROR(__xludf.DUMMYFUNCTION("""COMPUTED_VALUE"""),"Generic")</f>
        <v>Generic</v>
      </c>
      <c r="Y4183" s="124" t="str">
        <f>IFERROR(__xludf.DUMMYFUNCTION("""COMPUTED_VALUE"""),"Delhi")</f>
        <v>Delhi</v>
      </c>
      <c r="Z4183" s="124">
        <f>IFERROR(__xludf.DUMMYFUNCTION("""COMPUTED_VALUE"""),1.0)</f>
        <v>1</v>
      </c>
      <c r="AA4183" s="124" t="str">
        <f>IFERROR(__xludf.DUMMYFUNCTION("""COMPUTED_VALUE"""),"Fake Lead")</f>
        <v>Fake Lead</v>
      </c>
      <c r="AB4183" s="124" t="str">
        <f>IFERROR(__xludf.DUMMYFUNCTION("""COMPUTED_VALUE"""),"GS Foundation")</f>
        <v>GS Foundation</v>
      </c>
    </row>
    <row r="4184">
      <c r="K4184" s="124"/>
      <c r="L4184" s="124"/>
      <c r="M4184" s="124"/>
      <c r="N4184" s="124"/>
      <c r="O4184" s="124"/>
      <c r="T4184" s="126">
        <f>IFERROR(__xludf.DUMMYFUNCTION("""COMPUTED_VALUE"""),46051.0)</f>
        <v>46051</v>
      </c>
      <c r="U4184" s="124" t="str">
        <f>IFERROR(__xludf.DUMMYFUNCTION("""COMPUTED_VALUE"""),"Event")</f>
        <v>Event</v>
      </c>
      <c r="V4184" s="124" t="str">
        <f>IFERROR(__xludf.DUMMYFUNCTION("""COMPUTED_VALUE"""),"Events")</f>
        <v>Events</v>
      </c>
      <c r="W4184" s="124" t="str">
        <f>IFERROR(__xludf.DUMMYFUNCTION("""COMPUTED_VALUE"""),"Delhi")</f>
        <v>Delhi</v>
      </c>
      <c r="X4184" s="124" t="str">
        <f>IFERROR(__xludf.DUMMYFUNCTION("""COMPUTED_VALUE"""),"DRCSEMINAR(CTC)")</f>
        <v>DRCSEMINAR(CTC)</v>
      </c>
      <c r="Y4184" s="124" t="str">
        <f>IFERROR(__xludf.DUMMYFUNCTION("""COMPUTED_VALUE"""),"Delhi")</f>
        <v>Delhi</v>
      </c>
      <c r="Z4184" s="124">
        <f>IFERROR(__xludf.DUMMYFUNCTION("""COMPUTED_VALUE"""),2.0)</f>
        <v>2</v>
      </c>
      <c r="AA4184" s="124" t="str">
        <f>IFERROR(__xludf.DUMMYFUNCTION("""COMPUTED_VALUE"""),"Future Prospects")</f>
        <v>Future Prospects</v>
      </c>
      <c r="AB4184" s="124" t="str">
        <f>IFERROR(__xludf.DUMMYFUNCTION("""COMPUTED_VALUE"""),"GS Foundation")</f>
        <v>GS Foundation</v>
      </c>
    </row>
    <row r="4185">
      <c r="K4185" s="124"/>
      <c r="L4185" s="124"/>
      <c r="M4185" s="124"/>
      <c r="N4185" s="124"/>
      <c r="O4185" s="124"/>
      <c r="T4185" s="129">
        <f>IFERROR(__xludf.DUMMYFUNCTION("""COMPUTED_VALUE"""),46058.0)</f>
        <v>46058</v>
      </c>
      <c r="U4185" s="124" t="str">
        <f>IFERROR(__xludf.DUMMYFUNCTION("""COMPUTED_VALUE"""),"Event")</f>
        <v>Event</v>
      </c>
      <c r="V4185" s="124" t="str">
        <f>IFERROR(__xludf.DUMMYFUNCTION("""COMPUTED_VALUE"""),"Events")</f>
        <v>Events</v>
      </c>
      <c r="W4185" s="124" t="str">
        <f>IFERROR(__xludf.DUMMYFUNCTION("""COMPUTED_VALUE"""),"Delhi")</f>
        <v>Delhi</v>
      </c>
      <c r="X4185" s="124" t="str">
        <f>IFERROR(__xludf.DUMMYFUNCTION("""COMPUTED_VALUE"""),"DRCSEMINAR(CTC)")</f>
        <v>DRCSEMINAR(CTC)</v>
      </c>
      <c r="Y4185" s="124"/>
      <c r="Z4185" s="124">
        <f>IFERROR(__xludf.DUMMYFUNCTION("""COMPUTED_VALUE"""),1.0)</f>
        <v>1</v>
      </c>
      <c r="AA4185" s="124" t="str">
        <f>IFERROR(__xludf.DUMMYFUNCTION("""COMPUTED_VALUE"""),"Not Interested")</f>
        <v>Not Interested</v>
      </c>
      <c r="AB4185" s="124"/>
    </row>
    <row r="4186">
      <c r="K4186" s="124"/>
      <c r="L4186" s="124"/>
      <c r="M4186" s="124"/>
      <c r="N4186" s="124"/>
      <c r="O4186" s="124"/>
      <c r="T4186" s="126">
        <f>IFERROR(__xludf.DUMMYFUNCTION("""COMPUTED_VALUE"""),46065.0)</f>
        <v>46065</v>
      </c>
      <c r="U4186" s="124" t="str">
        <f>IFERROR(__xludf.DUMMYFUNCTION("""COMPUTED_VALUE"""),"Event")</f>
        <v>Event</v>
      </c>
      <c r="V4186" s="124" t="str">
        <f>IFERROR(__xludf.DUMMYFUNCTION("""COMPUTED_VALUE"""),"Events")</f>
        <v>Events</v>
      </c>
      <c r="W4186" s="124" t="str">
        <f>IFERROR(__xludf.DUMMYFUNCTION("""COMPUTED_VALUE"""),"All Centre")</f>
        <v>All Centre</v>
      </c>
      <c r="X4186" s="124" t="str">
        <f>IFERROR(__xludf.DUMMYFUNCTION("""COMPUTED_VALUE"""),"Generic")</f>
        <v>Generic</v>
      </c>
      <c r="Y4186" s="124" t="str">
        <f>IFERROR(__xludf.DUMMYFUNCTION("""COMPUTED_VALUE"""),"Lucknow")</f>
        <v>Lucknow</v>
      </c>
      <c r="Z4186" s="124">
        <f>IFERROR(__xludf.DUMMYFUNCTION("""COMPUTED_VALUE"""),1.0)</f>
        <v>1</v>
      </c>
      <c r="AA4186" s="124" t="str">
        <f>IFERROR(__xludf.DUMMYFUNCTION("""COMPUTED_VALUE"""),"Cold")</f>
        <v>Cold</v>
      </c>
      <c r="AB4186" s="124" t="str">
        <f>IFERROR(__xludf.DUMMYFUNCTION("""COMPUTED_VALUE"""),"SIM")</f>
        <v>SIM</v>
      </c>
    </row>
    <row r="4187">
      <c r="K4187" s="124"/>
      <c r="L4187" s="124"/>
      <c r="M4187" s="124"/>
      <c r="N4187" s="124"/>
      <c r="O4187" s="124"/>
      <c r="T4187" s="126">
        <f>IFERROR(__xludf.DUMMYFUNCTION("""COMPUTED_VALUE"""),46045.0)</f>
        <v>46045</v>
      </c>
      <c r="U4187" s="124" t="str">
        <f>IFERROR(__xludf.DUMMYFUNCTION("""COMPUTED_VALUE"""),"Event")</f>
        <v>Event</v>
      </c>
      <c r="V4187" s="124" t="str">
        <f>IFERROR(__xludf.DUMMYFUNCTION("""COMPUTED_VALUE"""),"Events")</f>
        <v>Events</v>
      </c>
      <c r="W4187" s="124" t="str">
        <f>IFERROR(__xludf.DUMMYFUNCTION("""COMPUTED_VALUE"""),"Delhi")</f>
        <v>Delhi</v>
      </c>
      <c r="X4187" s="124" t="str">
        <f>IFERROR(__xludf.DUMMYFUNCTION("""COMPUTED_VALUE"""),"DRCSEMINAR(CTC)")</f>
        <v>DRCSEMINAR(CTC)</v>
      </c>
      <c r="Y4187" s="124" t="str">
        <f>IFERROR(__xludf.DUMMYFUNCTION("""COMPUTED_VALUE"""),"Delhi")</f>
        <v>Delhi</v>
      </c>
      <c r="Z4187" s="124">
        <f>IFERROR(__xludf.DUMMYFUNCTION("""COMPUTED_VALUE"""),1.0)</f>
        <v>1</v>
      </c>
      <c r="AA4187" s="124" t="str">
        <f>IFERROR(__xludf.DUMMYFUNCTION("""COMPUTED_VALUE"""),"Cold")</f>
        <v>Cold</v>
      </c>
      <c r="AB4187" s="124" t="str">
        <f>IFERROR(__xludf.DUMMYFUNCTION("""COMPUTED_VALUE"""),"Hybrid")</f>
        <v>Hybrid</v>
      </c>
    </row>
    <row r="4188">
      <c r="K4188" s="124"/>
      <c r="L4188" s="124"/>
      <c r="M4188" s="124"/>
      <c r="N4188" s="124"/>
      <c r="O4188" s="124"/>
      <c r="T4188" s="126">
        <f>IFERROR(__xludf.DUMMYFUNCTION("""COMPUTED_VALUE"""),46078.0)</f>
        <v>46078</v>
      </c>
      <c r="U4188" s="124" t="str">
        <f>IFERROR(__xludf.DUMMYFUNCTION("""COMPUTED_VALUE"""),"Event")</f>
        <v>Event</v>
      </c>
      <c r="V4188" s="124" t="str">
        <f>IFERROR(__xludf.DUMMYFUNCTION("""COMPUTED_VALUE"""),"Events")</f>
        <v>Events</v>
      </c>
      <c r="W4188" s="124" t="str">
        <f>IFERROR(__xludf.DUMMYFUNCTION("""COMPUTED_VALUE"""),"All Centre")</f>
        <v>All Centre</v>
      </c>
      <c r="X4188" s="124" t="str">
        <f>IFERROR(__xludf.DUMMYFUNCTION("""COMPUTED_VALUE"""),"Generic")</f>
        <v>Generic</v>
      </c>
      <c r="Y4188" s="124" t="str">
        <f>IFERROR(__xludf.DUMMYFUNCTION("""COMPUTED_VALUE"""),"Lucknow")</f>
        <v>Lucknow</v>
      </c>
      <c r="Z4188" s="124">
        <f>IFERROR(__xludf.DUMMYFUNCTION("""COMPUTED_VALUE"""),1.0)</f>
        <v>1</v>
      </c>
      <c r="AA4188" s="124" t="str">
        <f>IFERROR(__xludf.DUMMYFUNCTION("""COMPUTED_VALUE"""),"Cold")</f>
        <v>Cold</v>
      </c>
      <c r="AB4188" s="124" t="str">
        <f>IFERROR(__xludf.DUMMYFUNCTION("""COMPUTED_VALUE"""),"CSAT")</f>
        <v>CSAT</v>
      </c>
    </row>
    <row r="4189">
      <c r="K4189" s="124"/>
      <c r="L4189" s="124"/>
      <c r="M4189" s="124"/>
      <c r="N4189" s="124"/>
      <c r="O4189" s="124"/>
      <c r="T4189" s="126">
        <f>IFERROR(__xludf.DUMMYFUNCTION("""COMPUTED_VALUE"""),46077.0)</f>
        <v>46077</v>
      </c>
      <c r="U4189" s="124" t="str">
        <f>IFERROR(__xludf.DUMMYFUNCTION("""COMPUTED_VALUE"""),"Event")</f>
        <v>Event</v>
      </c>
      <c r="V4189" s="124" t="str">
        <f>IFERROR(__xludf.DUMMYFUNCTION("""COMPUTED_VALUE"""),"Events")</f>
        <v>Events</v>
      </c>
      <c r="W4189" s="124" t="str">
        <f>IFERROR(__xludf.DUMMYFUNCTION("""COMPUTED_VALUE"""),"All Centre")</f>
        <v>All Centre</v>
      </c>
      <c r="X4189" s="124" t="str">
        <f>IFERROR(__xludf.DUMMYFUNCTION("""COMPUTED_VALUE"""),"Generic")</f>
        <v>Generic</v>
      </c>
      <c r="Y4189" s="124" t="str">
        <f>IFERROR(__xludf.DUMMYFUNCTION("""COMPUTED_VALUE"""),"Delhi")</f>
        <v>Delhi</v>
      </c>
      <c r="Z4189" s="124">
        <f>IFERROR(__xludf.DUMMYFUNCTION("""COMPUTED_VALUE"""),1.0)</f>
        <v>1</v>
      </c>
      <c r="AA4189" s="124" t="str">
        <f>IFERROR(__xludf.DUMMYFUNCTION("""COMPUTED_VALUE"""),"Future Prospects")</f>
        <v>Future Prospects</v>
      </c>
      <c r="AB4189" s="124" t="str">
        <f>IFERROR(__xludf.DUMMYFUNCTION("""COMPUTED_VALUE"""),"GS Foundation")</f>
        <v>GS Foundation</v>
      </c>
    </row>
    <row r="4190">
      <c r="K4190" s="124"/>
      <c r="L4190" s="124"/>
      <c r="M4190" s="124"/>
      <c r="N4190" s="124"/>
      <c r="O4190" s="124"/>
      <c r="T4190" s="126">
        <f>IFERROR(__xludf.DUMMYFUNCTION("""COMPUTED_VALUE"""),46049.0)</f>
        <v>46049</v>
      </c>
      <c r="U4190" s="124" t="str">
        <f>IFERROR(__xludf.DUMMYFUNCTION("""COMPUTED_VALUE"""),"Paid Ads")</f>
        <v>Paid Ads</v>
      </c>
      <c r="V4190" s="124" t="str">
        <f>IFERROR(__xludf.DUMMYFUNCTION("""COMPUTED_VALUE"""),"Facebook")</f>
        <v>Facebook</v>
      </c>
      <c r="W4190" s="124" t="str">
        <f>IFERROR(__xludf.DUMMYFUNCTION("""COMPUTED_VALUE"""),"LeadAd")</f>
        <v>LeadAd</v>
      </c>
      <c r="X4190" s="124" t="str">
        <f>IFERROR(__xludf.DUMMYFUNCTION("""COMPUTED_VALUE"""),"Upsc_offline_26_delhi_FB_Creatives")</f>
        <v>Upsc_offline_26_delhi_FB_Creatives</v>
      </c>
      <c r="Y4190" s="124" t="str">
        <f>IFERROR(__xludf.DUMMYFUNCTION("""COMPUTED_VALUE"""),"Delhi")</f>
        <v>Delhi</v>
      </c>
      <c r="Z4190" s="124">
        <f>IFERROR(__xludf.DUMMYFUNCTION("""COMPUTED_VALUE"""),1.0)</f>
        <v>1</v>
      </c>
      <c r="AA4190" s="124" t="str">
        <f>IFERROR(__xludf.DUMMYFUNCTION("""COMPUTED_VALUE"""),"Fake Lead")</f>
        <v>Fake Lead</v>
      </c>
      <c r="AB4190" s="124"/>
    </row>
    <row r="4191">
      <c r="K4191" s="124"/>
      <c r="L4191" s="124"/>
      <c r="M4191" s="124"/>
      <c r="N4191" s="124"/>
      <c r="O4191" s="124"/>
      <c r="T4191" s="126">
        <f>IFERROR(__xludf.DUMMYFUNCTION("""COMPUTED_VALUE"""),46049.0)</f>
        <v>46049</v>
      </c>
      <c r="U4191" s="124" t="str">
        <f>IFERROR(__xludf.DUMMYFUNCTION("""COMPUTED_VALUE"""),"Paid Ads")</f>
        <v>Paid Ads</v>
      </c>
      <c r="V4191" s="124" t="str">
        <f>IFERROR(__xludf.DUMMYFUNCTION("""COMPUTED_VALUE"""),"Facebook")</f>
        <v>Facebook</v>
      </c>
      <c r="W4191" s="124" t="str">
        <f>IFERROR(__xludf.DUMMYFUNCTION("""COMPUTED_VALUE"""),"LeadAd")</f>
        <v>LeadAd</v>
      </c>
      <c r="X4191" s="124" t="str">
        <f>IFERROR(__xludf.DUMMYFUNCTION("""COMPUTED_VALUE"""),"Upsc_offline_26_delhi_FB_Creatives")</f>
        <v>Upsc_offline_26_delhi_FB_Creatives</v>
      </c>
      <c r="Y4191" s="124" t="str">
        <f>IFERROR(__xludf.DUMMYFUNCTION("""COMPUTED_VALUE"""),"Delhi")</f>
        <v>Delhi</v>
      </c>
      <c r="Z4191" s="124">
        <f>IFERROR(__xludf.DUMMYFUNCTION("""COMPUTED_VALUE"""),1.0)</f>
        <v>1</v>
      </c>
      <c r="AA4191" s="124" t="str">
        <f>IFERROR(__xludf.DUMMYFUNCTION("""COMPUTED_VALUE"""),"Not Interested")</f>
        <v>Not Interested</v>
      </c>
      <c r="AB4191" s="124"/>
    </row>
    <row r="4192">
      <c r="K4192" s="124"/>
      <c r="L4192" s="124"/>
      <c r="M4192" s="124"/>
      <c r="N4192" s="124"/>
      <c r="O4192" s="124"/>
      <c r="T4192" s="126">
        <f>IFERROR(__xludf.DUMMYFUNCTION("""COMPUTED_VALUE"""),46108.0)</f>
        <v>46108</v>
      </c>
      <c r="U4192" s="124" t="str">
        <f>IFERROR(__xludf.DUMMYFUNCTION("""COMPUTED_VALUE"""),"Walk-Ins")</f>
        <v>Walk-Ins</v>
      </c>
      <c r="V4192" s="124" t="str">
        <f>IFERROR(__xludf.DUMMYFUNCTION("""COMPUTED_VALUE"""),"Walk-In")</f>
        <v>Walk-In</v>
      </c>
      <c r="W4192" s="124" t="str">
        <f>IFERROR(__xludf.DUMMYFUNCTION("""COMPUTED_VALUE"""),"Delhi")</f>
        <v>Delhi</v>
      </c>
      <c r="X4192" s="124" t="str">
        <f>IFERROR(__xludf.DUMMYFUNCTION("""COMPUTED_VALUE"""),"Aryan")</f>
        <v>Aryan</v>
      </c>
      <c r="Y4192" s="124" t="str">
        <f>IFERROR(__xludf.DUMMYFUNCTION("""COMPUTED_VALUE"""),"Delhi")</f>
        <v>Delhi</v>
      </c>
      <c r="Z4192" s="124">
        <f>IFERROR(__xludf.DUMMYFUNCTION("""COMPUTED_VALUE"""),1.0)</f>
        <v>1</v>
      </c>
      <c r="AA4192" s="124" t="str">
        <f>IFERROR(__xludf.DUMMYFUNCTION("""COMPUTED_VALUE"""),"Future Prospects")</f>
        <v>Future Prospects</v>
      </c>
      <c r="AB4192" s="124" t="str">
        <f>IFERROR(__xludf.DUMMYFUNCTION("""COMPUTED_VALUE"""),"GS Foundation")</f>
        <v>GS Foundation</v>
      </c>
    </row>
    <row r="4193">
      <c r="K4193" s="124"/>
      <c r="L4193" s="124"/>
      <c r="M4193" s="124"/>
      <c r="N4193" s="124"/>
      <c r="O4193" s="124"/>
      <c r="T4193" s="126">
        <f>IFERROR(__xludf.DUMMYFUNCTION("""COMPUTED_VALUE"""),46048.0)</f>
        <v>46048</v>
      </c>
      <c r="U4193" s="124" t="str">
        <f>IFERROR(__xludf.DUMMYFUNCTION("""COMPUTED_VALUE"""),"Paid Ads")</f>
        <v>Paid Ads</v>
      </c>
      <c r="V4193" s="124" t="str">
        <f>IFERROR(__xludf.DUMMYFUNCTION("""COMPUTED_VALUE"""),"Facebook")</f>
        <v>Facebook</v>
      </c>
      <c r="W4193" s="124" t="str">
        <f>IFERROR(__xludf.DUMMYFUNCTION("""COMPUTED_VALUE"""),"LeadAd")</f>
        <v>LeadAd</v>
      </c>
      <c r="X4193" s="124" t="str">
        <f>IFERROR(__xludf.DUMMYFUNCTION("""COMPUTED_VALUE"""),"Upsc_Offline_26_Indore_FB_Creatives")</f>
        <v>Upsc_Offline_26_Indore_FB_Creatives</v>
      </c>
      <c r="Y4193" s="124" t="str">
        <f>IFERROR(__xludf.DUMMYFUNCTION("""COMPUTED_VALUE"""),"Indore")</f>
        <v>Indore</v>
      </c>
      <c r="Z4193" s="124">
        <f>IFERROR(__xludf.DUMMYFUNCTION("""COMPUTED_VALUE"""),1.0)</f>
        <v>1</v>
      </c>
      <c r="AA4193" s="124" t="str">
        <f>IFERROR(__xludf.DUMMYFUNCTION("""COMPUTED_VALUE"""),"Not Interested")</f>
        <v>Not Interested</v>
      </c>
      <c r="AB4193" s="124"/>
    </row>
    <row r="4194">
      <c r="K4194" s="124"/>
      <c r="L4194" s="124"/>
      <c r="M4194" s="124"/>
      <c r="N4194" s="124"/>
      <c r="O4194" s="124"/>
      <c r="T4194" s="129">
        <f>IFERROR(__xludf.DUMMYFUNCTION("""COMPUTED_VALUE"""),46060.0)</f>
        <v>46060</v>
      </c>
      <c r="U4194" s="124" t="str">
        <f>IFERROR(__xludf.DUMMYFUNCTION("""COMPUTED_VALUE"""),"Walk-Ins")</f>
        <v>Walk-Ins</v>
      </c>
      <c r="V4194" s="124" t="str">
        <f>IFERROR(__xludf.DUMMYFUNCTION("""COMPUTED_VALUE"""),"Walk-In")</f>
        <v>Walk-In</v>
      </c>
      <c r="W4194" s="124" t="str">
        <f>IFERROR(__xludf.DUMMYFUNCTION("""COMPUTED_VALUE"""),"New Delhi")</f>
        <v>New Delhi</v>
      </c>
      <c r="X4194" s="124" t="str">
        <f>IFERROR(__xludf.DUMMYFUNCTION("""COMPUTED_VALUE"""),"New Delhi")</f>
        <v>New Delhi</v>
      </c>
      <c r="Y4194" s="124" t="str">
        <f>IFERROR(__xludf.DUMMYFUNCTION("""COMPUTED_VALUE"""),"Delhi")</f>
        <v>Delhi</v>
      </c>
      <c r="Z4194" s="124">
        <f>IFERROR(__xludf.DUMMYFUNCTION("""COMPUTED_VALUE"""),1.0)</f>
        <v>1</v>
      </c>
      <c r="AA4194" s="124" t="str">
        <f>IFERROR(__xludf.DUMMYFUNCTION("""COMPUTED_VALUE"""),"Not Interested")</f>
        <v>Not Interested</v>
      </c>
      <c r="AB4194" s="124" t="str">
        <f>IFERROR(__xludf.DUMMYFUNCTION("""COMPUTED_VALUE"""),"IGP UPPSC")</f>
        <v>IGP UPPSC</v>
      </c>
    </row>
    <row r="4195">
      <c r="K4195" s="124"/>
      <c r="L4195" s="124"/>
      <c r="M4195" s="124"/>
      <c r="N4195" s="124"/>
      <c r="O4195" s="124"/>
      <c r="T4195" s="126">
        <f>IFERROR(__xludf.DUMMYFUNCTION("""COMPUTED_VALUE"""),46078.0)</f>
        <v>46078</v>
      </c>
      <c r="U4195" s="124" t="str">
        <f>IFERROR(__xludf.DUMMYFUNCTION("""COMPUTED_VALUE"""),"Walk-Ins")</f>
        <v>Walk-Ins</v>
      </c>
      <c r="V4195" s="124" t="str">
        <f>IFERROR(__xludf.DUMMYFUNCTION("""COMPUTED_VALUE"""),"Walk-In")</f>
        <v>Walk-In</v>
      </c>
      <c r="W4195" s="124" t="str">
        <f>IFERROR(__xludf.DUMMYFUNCTION("""COMPUTED_VALUE"""),"New Delhi")</f>
        <v>New Delhi</v>
      </c>
      <c r="X4195" s="124" t="str">
        <f>IFERROR(__xludf.DUMMYFUNCTION("""COMPUTED_VALUE"""),"New Delhi")</f>
        <v>New Delhi</v>
      </c>
      <c r="Y4195" s="124" t="str">
        <f>IFERROR(__xludf.DUMMYFUNCTION("""COMPUTED_VALUE"""),"Delhi")</f>
        <v>Delhi</v>
      </c>
      <c r="Z4195" s="124">
        <f>IFERROR(__xludf.DUMMYFUNCTION("""COMPUTED_VALUE"""),1.0)</f>
        <v>1</v>
      </c>
      <c r="AA4195" s="124" t="str">
        <f>IFERROR(__xludf.DUMMYFUNCTION("""COMPUTED_VALUE"""),"Cold")</f>
        <v>Cold</v>
      </c>
      <c r="AB4195" s="124" t="str">
        <f>IFERROR(__xludf.DUMMYFUNCTION("""COMPUTED_VALUE"""),"Optionals")</f>
        <v>Optionals</v>
      </c>
    </row>
    <row r="4196">
      <c r="K4196" s="124"/>
      <c r="L4196" s="124"/>
      <c r="M4196" s="124"/>
      <c r="N4196" s="124"/>
      <c r="O4196" s="124"/>
      <c r="T4196" s="126">
        <f>IFERROR(__xludf.DUMMYFUNCTION("""COMPUTED_VALUE"""),46069.0)</f>
        <v>46069</v>
      </c>
      <c r="U4196" s="124" t="str">
        <f>IFERROR(__xludf.DUMMYFUNCTION("""COMPUTED_VALUE"""),"Event")</f>
        <v>Event</v>
      </c>
      <c r="V4196" s="124" t="str">
        <f>IFERROR(__xludf.DUMMYFUNCTION("""COMPUTED_VALUE"""),"Other")</f>
        <v>Other</v>
      </c>
      <c r="W4196" s="124" t="str">
        <f>IFERROR(__xludf.DUMMYFUNCTION("""COMPUTED_VALUE"""),"New Delhi")</f>
        <v>New Delhi</v>
      </c>
      <c r="X4196" s="124" t="str">
        <f>IFERROR(__xludf.DUMMYFUNCTION("""COMPUTED_VALUE"""),"New Delhi")</f>
        <v>New Delhi</v>
      </c>
      <c r="Y4196" s="124" t="str">
        <f>IFERROR(__xludf.DUMMYFUNCTION("""COMPUTED_VALUE"""),"Delhi")</f>
        <v>Delhi</v>
      </c>
      <c r="Z4196" s="124">
        <f>IFERROR(__xludf.DUMMYFUNCTION("""COMPUTED_VALUE"""),1.0)</f>
        <v>1</v>
      </c>
      <c r="AA4196" s="124" t="str">
        <f>IFERROR(__xludf.DUMMYFUNCTION("""COMPUTED_VALUE"""),"Enrolled")</f>
        <v>Enrolled</v>
      </c>
      <c r="AB4196" s="124" t="str">
        <f>IFERROR(__xludf.DUMMYFUNCTION("""COMPUTED_VALUE"""),"GS Foundation")</f>
        <v>GS Foundation</v>
      </c>
    </row>
    <row r="4197">
      <c r="K4197" s="124"/>
      <c r="L4197" s="124"/>
      <c r="M4197" s="124"/>
      <c r="N4197" s="124"/>
      <c r="O4197" s="124"/>
      <c r="T4197" s="126">
        <f>IFERROR(__xludf.DUMMYFUNCTION("""COMPUTED_VALUE"""),46107.0)</f>
        <v>46107</v>
      </c>
      <c r="U4197" s="124" t="str">
        <f>IFERROR(__xludf.DUMMYFUNCTION("""COMPUTED_VALUE"""),"Walk-Ins")</f>
        <v>Walk-Ins</v>
      </c>
      <c r="V4197" s="124" t="str">
        <f>IFERROR(__xludf.DUMMYFUNCTION("""COMPUTED_VALUE"""),"Walk-In")</f>
        <v>Walk-In</v>
      </c>
      <c r="W4197" s="124" t="str">
        <f>IFERROR(__xludf.DUMMYFUNCTION("""COMPUTED_VALUE"""),"Delhi")</f>
        <v>Delhi</v>
      </c>
      <c r="X4197" s="124" t="str">
        <f>IFERROR(__xludf.DUMMYFUNCTION("""COMPUTED_VALUE"""),"Bijender")</f>
        <v>Bijender</v>
      </c>
      <c r="Y4197" s="124" t="str">
        <f>IFERROR(__xludf.DUMMYFUNCTION("""COMPUTED_VALUE"""),"Delhi")</f>
        <v>Delhi</v>
      </c>
      <c r="Z4197" s="124">
        <f>IFERROR(__xludf.DUMMYFUNCTION("""COMPUTED_VALUE"""),1.0)</f>
        <v>1</v>
      </c>
      <c r="AA4197" s="124" t="str">
        <f>IFERROR(__xludf.DUMMYFUNCTION("""COMPUTED_VALUE"""),"Warm")</f>
        <v>Warm</v>
      </c>
      <c r="AB4197" s="124" t="str">
        <f>IFERROR(__xludf.DUMMYFUNCTION("""COMPUTED_VALUE"""),"GS Foundation")</f>
        <v>GS Foundation</v>
      </c>
    </row>
    <row r="4198">
      <c r="K4198" s="124"/>
      <c r="L4198" s="124"/>
      <c r="M4198" s="124"/>
      <c r="N4198" s="124"/>
      <c r="O4198" s="124"/>
      <c r="T4198" s="129">
        <f>IFERROR(__xludf.DUMMYFUNCTION("""COMPUTED_VALUE"""),46056.0)</f>
        <v>46056</v>
      </c>
      <c r="U4198" s="124" t="str">
        <f>IFERROR(__xludf.DUMMYFUNCTION("""COMPUTED_VALUE"""),"Walk-Ins")</f>
        <v>Walk-Ins</v>
      </c>
      <c r="V4198" s="124" t="str">
        <f>IFERROR(__xludf.DUMMYFUNCTION("""COMPUTED_VALUE"""),"Walk-In")</f>
        <v>Walk-In</v>
      </c>
      <c r="W4198" s="124" t="str">
        <f>IFERROR(__xludf.DUMMYFUNCTION("""COMPUTED_VALUE"""),"Patna")</f>
        <v>Patna</v>
      </c>
      <c r="X4198" s="124" t="str">
        <f>IFERROR(__xludf.DUMMYFUNCTION("""COMPUTED_VALUE"""),"Patna")</f>
        <v>Patna</v>
      </c>
      <c r="Y4198" s="124"/>
      <c r="Z4198" s="124">
        <f>IFERROR(__xludf.DUMMYFUNCTION("""COMPUTED_VALUE"""),1.0)</f>
        <v>1</v>
      </c>
      <c r="AA4198" s="124" t="str">
        <f>IFERROR(__xludf.DUMMYFUNCTION("""COMPUTED_VALUE"""),"Cold")</f>
        <v>Cold</v>
      </c>
      <c r="AB4198" s="124" t="str">
        <f>IFERROR(__xludf.DUMMYFUNCTION("""COMPUTED_VALUE"""),"State PCS")</f>
        <v>State PCS</v>
      </c>
    </row>
    <row r="4199">
      <c r="K4199" s="124"/>
      <c r="L4199" s="124"/>
      <c r="M4199" s="124"/>
      <c r="N4199" s="124"/>
      <c r="O4199" s="124"/>
      <c r="T4199" s="126">
        <f>IFERROR(__xludf.DUMMYFUNCTION("""COMPUTED_VALUE"""),46101.0)</f>
        <v>46101</v>
      </c>
      <c r="U4199" s="124" t="str">
        <f>IFERROR(__xludf.DUMMYFUNCTION("""COMPUTED_VALUE"""),"Event")</f>
        <v>Event</v>
      </c>
      <c r="V4199" s="124" t="str">
        <f>IFERROR(__xludf.DUMMYFUNCTION("""COMPUTED_VALUE"""),"events")</f>
        <v>events</v>
      </c>
      <c r="W4199" s="124" t="str">
        <f>IFERROR(__xludf.DUMMYFUNCTION("""COMPUTED_VALUE"""),"prayagraj")</f>
        <v>prayagraj</v>
      </c>
      <c r="X4199" s="124" t="str">
        <f>IFERROR(__xludf.DUMMYFUNCTION("""COMPUTED_VALUE"""),"seminar")</f>
        <v>seminar</v>
      </c>
      <c r="Y4199" s="124" t="str">
        <f>IFERROR(__xludf.DUMMYFUNCTION("""COMPUTED_VALUE"""),"Prayagraj")</f>
        <v>Prayagraj</v>
      </c>
      <c r="Z4199" s="124">
        <f>IFERROR(__xludf.DUMMYFUNCTION("""COMPUTED_VALUE"""),1.0)</f>
        <v>1</v>
      </c>
      <c r="AA4199" s="124" t="str">
        <f>IFERROR(__xludf.DUMMYFUNCTION("""COMPUTED_VALUE"""),"Engaged")</f>
        <v>Engaged</v>
      </c>
      <c r="AB4199" s="124" t="str">
        <f>IFERROR(__xludf.DUMMYFUNCTION("""COMPUTED_VALUE"""),"GS Foundation")</f>
        <v>GS Foundation</v>
      </c>
    </row>
    <row r="4200">
      <c r="K4200" s="124"/>
      <c r="L4200" s="124"/>
      <c r="M4200" s="124"/>
      <c r="N4200" s="124"/>
      <c r="O4200" s="124"/>
      <c r="T4200" s="126">
        <f>IFERROR(__xludf.DUMMYFUNCTION("""COMPUTED_VALUE"""),46048.0)</f>
        <v>46048</v>
      </c>
      <c r="U4200" s="124" t="str">
        <f>IFERROR(__xludf.DUMMYFUNCTION("""COMPUTED_VALUE"""),"Paid Ads")</f>
        <v>Paid Ads</v>
      </c>
      <c r="V4200" s="124" t="str">
        <f>IFERROR(__xludf.DUMMYFUNCTION("""COMPUTED_VALUE"""),"google")</f>
        <v>google</v>
      </c>
      <c r="W4200" s="124" t="str">
        <f>IFERROR(__xludf.DUMMYFUNCTION("""COMPUTED_VALUE"""),"cpc")</f>
        <v>cpc</v>
      </c>
      <c r="X4200" s="124">
        <f>IFERROR(__xludf.DUMMYFUNCTION("""COMPUTED_VALUE"""),2.2758016291E10)</f>
        <v>22758016291</v>
      </c>
      <c r="Y4200" s="124" t="str">
        <f>IFERROR(__xludf.DUMMYFUNCTION("""COMPUTED_VALUE"""),"Patna")</f>
        <v>Patna</v>
      </c>
      <c r="Z4200" s="124">
        <f>IFERROR(__xludf.DUMMYFUNCTION("""COMPUTED_VALUE"""),1.0)</f>
        <v>1</v>
      </c>
      <c r="AA4200" s="124" t="str">
        <f>IFERROR(__xludf.DUMMYFUNCTION("""COMPUTED_VALUE"""),"Fake Lead")</f>
        <v>Fake Lead</v>
      </c>
      <c r="AB4200" s="124" t="str">
        <f>IFERROR(__xludf.DUMMYFUNCTION("""COMPUTED_VALUE"""),"SIM")</f>
        <v>SIM</v>
      </c>
    </row>
    <row r="4201">
      <c r="K4201" s="124"/>
      <c r="L4201" s="124"/>
      <c r="M4201" s="124"/>
      <c r="N4201" s="124"/>
      <c r="O4201" s="124"/>
      <c r="T4201" s="126">
        <f>IFERROR(__xludf.DUMMYFUNCTION("""COMPUTED_VALUE"""),46047.0)</f>
        <v>46047</v>
      </c>
      <c r="U4201" s="124" t="str">
        <f>IFERROR(__xludf.DUMMYFUNCTION("""COMPUTED_VALUE"""),"Paid Ads")</f>
        <v>Paid Ads</v>
      </c>
      <c r="V4201" s="124" t="str">
        <f>IFERROR(__xludf.DUMMYFUNCTION("""COMPUTED_VALUE"""),"google")</f>
        <v>google</v>
      </c>
      <c r="W4201" s="124" t="str">
        <f>IFERROR(__xludf.DUMMYFUNCTION("""COMPUTED_VALUE"""),"cpc")</f>
        <v>cpc</v>
      </c>
      <c r="X4201" s="124">
        <f>IFERROR(__xludf.DUMMYFUNCTION("""COMPUTED_VALUE"""),2.2758016291E10)</f>
        <v>22758016291</v>
      </c>
      <c r="Y4201" s="124" t="str">
        <f>IFERROR(__xludf.DUMMYFUNCTION("""COMPUTED_VALUE"""),"Delhi")</f>
        <v>Delhi</v>
      </c>
      <c r="Z4201" s="124">
        <f>IFERROR(__xludf.DUMMYFUNCTION("""COMPUTED_VALUE"""),1.0)</f>
        <v>1</v>
      </c>
      <c r="AA4201" s="124" t="str">
        <f>IFERROR(__xludf.DUMMYFUNCTION("""COMPUTED_VALUE"""),"Cold")</f>
        <v>Cold</v>
      </c>
      <c r="AB4201" s="124" t="str">
        <f>IFERROR(__xludf.DUMMYFUNCTION("""COMPUTED_VALUE"""),"SIM")</f>
        <v>SIM</v>
      </c>
    </row>
    <row r="4202">
      <c r="K4202" s="124"/>
      <c r="L4202" s="124"/>
      <c r="M4202" s="124"/>
      <c r="N4202" s="124"/>
      <c r="O4202" s="124"/>
      <c r="T4202" s="129">
        <f>IFERROR(__xludf.DUMMYFUNCTION("""COMPUTED_VALUE"""),46062.0)</f>
        <v>46062</v>
      </c>
      <c r="U4202" s="124" t="str">
        <f>IFERROR(__xludf.DUMMYFUNCTION("""COMPUTED_VALUE"""),"Walk-Ins")</f>
        <v>Walk-Ins</v>
      </c>
      <c r="V4202" s="124" t="str">
        <f>IFERROR(__xludf.DUMMYFUNCTION("""COMPUTED_VALUE"""),"Walk-In")</f>
        <v>Walk-In</v>
      </c>
      <c r="W4202" s="124" t="str">
        <f>IFERROR(__xludf.DUMMYFUNCTION("""COMPUTED_VALUE"""),"Patna")</f>
        <v>Patna</v>
      </c>
      <c r="X4202" s="124" t="str">
        <f>IFERROR(__xludf.DUMMYFUNCTION("""COMPUTED_VALUE"""),"Patna")</f>
        <v>Patna</v>
      </c>
      <c r="Y4202" s="124" t="str">
        <f>IFERROR(__xludf.DUMMYFUNCTION("""COMPUTED_VALUE"""),"Patna")</f>
        <v>Patna</v>
      </c>
      <c r="Z4202" s="124">
        <f>IFERROR(__xludf.DUMMYFUNCTION("""COMPUTED_VALUE"""),1.0)</f>
        <v>1</v>
      </c>
      <c r="AA4202" s="124" t="str">
        <f>IFERROR(__xludf.DUMMYFUNCTION("""COMPUTED_VALUE"""),"Not Interested")</f>
        <v>Not Interested</v>
      </c>
      <c r="AB4202" s="124" t="str">
        <f>IFERROR(__xludf.DUMMYFUNCTION("""COMPUTED_VALUE"""),"State PCS")</f>
        <v>State PCS</v>
      </c>
    </row>
    <row r="4203">
      <c r="K4203" s="124"/>
      <c r="L4203" s="124"/>
      <c r="M4203" s="124"/>
      <c r="N4203" s="124"/>
      <c r="O4203" s="124"/>
      <c r="T4203" s="126">
        <f>IFERROR(__xludf.DUMMYFUNCTION("""COMPUTED_VALUE"""),46108.0)</f>
        <v>46108</v>
      </c>
      <c r="U4203" s="124" t="str">
        <f>IFERROR(__xludf.DUMMYFUNCTION("""COMPUTED_VALUE"""),"Paid Ads")</f>
        <v>Paid Ads</v>
      </c>
      <c r="V4203" s="124" t="str">
        <f>IFERROR(__xludf.DUMMYFUNCTION("""COMPUTED_VALUE"""),"Facebook")</f>
        <v>Facebook</v>
      </c>
      <c r="W4203" s="124" t="str">
        <f>IFERROR(__xludf.DUMMYFUNCTION("""COMPUTED_VALUE"""),"LeadAd")</f>
        <v>LeadAd</v>
      </c>
      <c r="X4203" s="124" t="str">
        <f>IFERROR(__xludf.DUMMYFUNCTION("""COMPUTED_VALUE"""),"Upsc_offline_Patna_Lead_Fb_Mar")</f>
        <v>Upsc_offline_Patna_Lead_Fb_Mar</v>
      </c>
      <c r="Y4203" s="124" t="str">
        <f>IFERROR(__xludf.DUMMYFUNCTION("""COMPUTED_VALUE"""),"Patna")</f>
        <v>Patna</v>
      </c>
      <c r="Z4203" s="124">
        <f>IFERROR(__xludf.DUMMYFUNCTION("""COMPUTED_VALUE"""),1.0)</f>
        <v>1</v>
      </c>
      <c r="AA4203" s="124" t="str">
        <f>IFERROR(__xludf.DUMMYFUNCTION("""COMPUTED_VALUE"""),"Warm")</f>
        <v>Warm</v>
      </c>
      <c r="AB4203" s="124"/>
    </row>
    <row r="4204">
      <c r="K4204" s="124"/>
      <c r="L4204" s="124"/>
      <c r="M4204" s="124"/>
      <c r="N4204" s="124"/>
      <c r="O4204" s="124"/>
      <c r="T4204" s="126">
        <f>IFERROR(__xludf.DUMMYFUNCTION("""COMPUTED_VALUE"""),46073.0)</f>
        <v>46073</v>
      </c>
      <c r="U4204" s="124" t="str">
        <f>IFERROR(__xludf.DUMMYFUNCTION("""COMPUTED_VALUE"""),"Walk-Ins")</f>
        <v>Walk-Ins</v>
      </c>
      <c r="V4204" s="124" t="str">
        <f>IFERROR(__xludf.DUMMYFUNCTION("""COMPUTED_VALUE"""),"Walk-In")</f>
        <v>Walk-In</v>
      </c>
      <c r="W4204" s="124" t="str">
        <f>IFERROR(__xludf.DUMMYFUNCTION("""COMPUTED_VALUE"""),"Patna")</f>
        <v>Patna</v>
      </c>
      <c r="X4204" s="124" t="str">
        <f>IFERROR(__xludf.DUMMYFUNCTION("""COMPUTED_VALUE"""),"Patna")</f>
        <v>Patna</v>
      </c>
      <c r="Y4204" s="124" t="str">
        <f>IFERROR(__xludf.DUMMYFUNCTION("""COMPUTED_VALUE"""),"Patna")</f>
        <v>Patna</v>
      </c>
      <c r="Z4204" s="124">
        <f>IFERROR(__xludf.DUMMYFUNCTION("""COMPUTED_VALUE"""),1.0)</f>
        <v>1</v>
      </c>
      <c r="AA4204" s="124" t="str">
        <f>IFERROR(__xludf.DUMMYFUNCTION("""COMPUTED_VALUE"""),"Not Interested")</f>
        <v>Not Interested</v>
      </c>
      <c r="AB4204" s="124" t="str">
        <f>IFERROR(__xludf.DUMMYFUNCTION("""COMPUTED_VALUE"""),"State PCS")</f>
        <v>State PCS</v>
      </c>
    </row>
    <row r="4205">
      <c r="K4205" s="124"/>
      <c r="L4205" s="124"/>
      <c r="M4205" s="124"/>
      <c r="N4205" s="124"/>
      <c r="O4205" s="124"/>
      <c r="T4205" s="126">
        <f>IFERROR(__xludf.DUMMYFUNCTION("""COMPUTED_VALUE"""),46068.0)</f>
        <v>46068</v>
      </c>
      <c r="U4205" s="124" t="str">
        <f>IFERROR(__xludf.DUMMYFUNCTION("""COMPUTED_VALUE"""),"Walk-Ins")</f>
        <v>Walk-Ins</v>
      </c>
      <c r="V4205" s="124" t="str">
        <f>IFERROR(__xludf.DUMMYFUNCTION("""COMPUTED_VALUE"""),"Walk-In")</f>
        <v>Walk-In</v>
      </c>
      <c r="W4205" s="124" t="str">
        <f>IFERROR(__xludf.DUMMYFUNCTION("""COMPUTED_VALUE"""),"Patna")</f>
        <v>Patna</v>
      </c>
      <c r="X4205" s="124" t="str">
        <f>IFERROR(__xludf.DUMMYFUNCTION("""COMPUTED_VALUE"""),"Patna")</f>
        <v>Patna</v>
      </c>
      <c r="Y4205" s="124" t="str">
        <f>IFERROR(__xludf.DUMMYFUNCTION("""COMPUTED_VALUE"""),"Patna")</f>
        <v>Patna</v>
      </c>
      <c r="Z4205" s="124">
        <f>IFERROR(__xludf.DUMMYFUNCTION("""COMPUTED_VALUE"""),1.0)</f>
        <v>1</v>
      </c>
      <c r="AA4205" s="124" t="str">
        <f>IFERROR(__xludf.DUMMYFUNCTION("""COMPUTED_VALUE"""),"Cold")</f>
        <v>Cold</v>
      </c>
      <c r="AB4205" s="124" t="str">
        <f>IFERROR(__xludf.DUMMYFUNCTION("""COMPUTED_VALUE"""),"Test Series")</f>
        <v>Test Series</v>
      </c>
    </row>
    <row r="4206">
      <c r="K4206" s="124"/>
      <c r="L4206" s="124"/>
      <c r="M4206" s="124"/>
      <c r="N4206" s="124"/>
      <c r="O4206" s="124"/>
      <c r="T4206" s="126">
        <f>IFERROR(__xludf.DUMMYFUNCTION("""COMPUTED_VALUE"""),46049.0)</f>
        <v>46049</v>
      </c>
      <c r="U4206" s="124" t="str">
        <f>IFERROR(__xludf.DUMMYFUNCTION("""COMPUTED_VALUE"""),"Paid Ads")</f>
        <v>Paid Ads</v>
      </c>
      <c r="V4206" s="124" t="str">
        <f>IFERROR(__xludf.DUMMYFUNCTION("""COMPUTED_VALUE"""),"google")</f>
        <v>google</v>
      </c>
      <c r="W4206" s="124" t="str">
        <f>IFERROR(__xludf.DUMMYFUNCTION("""COMPUTED_VALUE"""),"cpc")</f>
        <v>cpc</v>
      </c>
      <c r="X4206" s="124">
        <f>IFERROR(__xludf.DUMMYFUNCTION("""COMPUTED_VALUE"""),2.2758016291E10)</f>
        <v>22758016291</v>
      </c>
      <c r="Y4206" s="124" t="str">
        <f>IFERROR(__xludf.DUMMYFUNCTION("""COMPUTED_VALUE"""),"Delhi")</f>
        <v>Delhi</v>
      </c>
      <c r="Z4206" s="124">
        <f>IFERROR(__xludf.DUMMYFUNCTION("""COMPUTED_VALUE"""),1.0)</f>
        <v>1</v>
      </c>
      <c r="AA4206" s="124" t="str">
        <f>IFERROR(__xludf.DUMMYFUNCTION("""COMPUTED_VALUE"""),"Fake Lead")</f>
        <v>Fake Lead</v>
      </c>
      <c r="AB4206" s="124" t="str">
        <f>IFERROR(__xludf.DUMMYFUNCTION("""COMPUTED_VALUE"""),"SIM")</f>
        <v>SIM</v>
      </c>
    </row>
    <row r="4207">
      <c r="K4207" s="124"/>
      <c r="L4207" s="124"/>
      <c r="M4207" s="124"/>
      <c r="N4207" s="124"/>
      <c r="O4207" s="124"/>
      <c r="T4207" s="129">
        <f>IFERROR(__xludf.DUMMYFUNCTION("""COMPUTED_VALUE"""),46055.0)</f>
        <v>46055</v>
      </c>
      <c r="U4207" s="124" t="str">
        <f>IFERROR(__xludf.DUMMYFUNCTION("""COMPUTED_VALUE"""),"Walk-Ins")</f>
        <v>Walk-Ins</v>
      </c>
      <c r="V4207" s="124" t="str">
        <f>IFERROR(__xludf.DUMMYFUNCTION("""COMPUTED_VALUE"""),"Walk-In")</f>
        <v>Walk-In</v>
      </c>
      <c r="W4207" s="124" t="str">
        <f>IFERROR(__xludf.DUMMYFUNCTION("""COMPUTED_VALUE"""),"Patna")</f>
        <v>Patna</v>
      </c>
      <c r="X4207" s="124" t="str">
        <f>IFERROR(__xludf.DUMMYFUNCTION("""COMPUTED_VALUE"""),"Patna")</f>
        <v>Patna</v>
      </c>
      <c r="Y4207" s="124" t="str">
        <f>IFERROR(__xludf.DUMMYFUNCTION("""COMPUTED_VALUE"""),"Patna")</f>
        <v>Patna</v>
      </c>
      <c r="Z4207" s="124">
        <f>IFERROR(__xludf.DUMMYFUNCTION("""COMPUTED_VALUE"""),1.0)</f>
        <v>1</v>
      </c>
      <c r="AA4207" s="124" t="str">
        <f>IFERROR(__xludf.DUMMYFUNCTION("""COMPUTED_VALUE"""),"Not Interested")</f>
        <v>Not Interested</v>
      </c>
      <c r="AB4207" s="124" t="str">
        <f>IFERROR(__xludf.DUMMYFUNCTION("""COMPUTED_VALUE"""),"State PCS")</f>
        <v>State PCS</v>
      </c>
    </row>
    <row r="4208">
      <c r="K4208" s="124"/>
      <c r="L4208" s="124"/>
      <c r="M4208" s="124"/>
      <c r="N4208" s="124"/>
      <c r="O4208" s="124"/>
      <c r="T4208" s="126">
        <f>IFERROR(__xludf.DUMMYFUNCTION("""COMPUTED_VALUE"""),46047.0)</f>
        <v>46047</v>
      </c>
      <c r="U4208" s="124" t="str">
        <f>IFERROR(__xludf.DUMMYFUNCTION("""COMPUTED_VALUE"""),"Paid Ads")</f>
        <v>Paid Ads</v>
      </c>
      <c r="V4208" s="124" t="str">
        <f>IFERROR(__xludf.DUMMYFUNCTION("""COMPUTED_VALUE"""),"google")</f>
        <v>google</v>
      </c>
      <c r="W4208" s="124" t="str">
        <f>IFERROR(__xludf.DUMMYFUNCTION("""COMPUTED_VALUE"""),"cpc")</f>
        <v>cpc</v>
      </c>
      <c r="X4208" s="124">
        <f>IFERROR(__xludf.DUMMYFUNCTION("""COMPUTED_VALUE"""),2.2758016291E10)</f>
        <v>22758016291</v>
      </c>
      <c r="Y4208" s="124" t="str">
        <f>IFERROR(__xludf.DUMMYFUNCTION("""COMPUTED_VALUE"""),"Patna")</f>
        <v>Patna</v>
      </c>
      <c r="Z4208" s="124">
        <f>IFERROR(__xludf.DUMMYFUNCTION("""COMPUTED_VALUE"""),1.0)</f>
        <v>1</v>
      </c>
      <c r="AA4208" s="124" t="str">
        <f>IFERROR(__xludf.DUMMYFUNCTION("""COMPUTED_VALUE"""),"Cold")</f>
        <v>Cold</v>
      </c>
      <c r="AB4208" s="124" t="str">
        <f>IFERROR(__xludf.DUMMYFUNCTION("""COMPUTED_VALUE"""),"CSAT")</f>
        <v>CSAT</v>
      </c>
    </row>
    <row r="4209">
      <c r="K4209" s="124"/>
      <c r="L4209" s="124"/>
      <c r="M4209" s="124"/>
      <c r="N4209" s="124"/>
      <c r="O4209" s="124"/>
      <c r="T4209" s="126">
        <f>IFERROR(__xludf.DUMMYFUNCTION("""COMPUTED_VALUE"""),46044.0)</f>
        <v>46044</v>
      </c>
      <c r="U4209" s="124" t="str">
        <f>IFERROR(__xludf.DUMMYFUNCTION("""COMPUTED_VALUE"""),"Paid Ads")</f>
        <v>Paid Ads</v>
      </c>
      <c r="V4209" s="124" t="str">
        <f>IFERROR(__xludf.DUMMYFUNCTION("""COMPUTED_VALUE"""),"google")</f>
        <v>google</v>
      </c>
      <c r="W4209" s="124" t="str">
        <f>IFERROR(__xludf.DUMMYFUNCTION("""COMPUTED_VALUE"""),"cpc")</f>
        <v>cpc</v>
      </c>
      <c r="X4209" s="124">
        <f>IFERROR(__xludf.DUMMYFUNCTION("""COMPUTED_VALUE"""),2.2758016291E10)</f>
        <v>22758016291</v>
      </c>
      <c r="Y4209" s="124" t="str">
        <f>IFERROR(__xludf.DUMMYFUNCTION("""COMPUTED_VALUE"""),"Patna")</f>
        <v>Patna</v>
      </c>
      <c r="Z4209" s="124">
        <f>IFERROR(__xludf.DUMMYFUNCTION("""COMPUTED_VALUE"""),1.0)</f>
        <v>1</v>
      </c>
      <c r="AA4209" s="124" t="str">
        <f>IFERROR(__xludf.DUMMYFUNCTION("""COMPUTED_VALUE"""),"Cold")</f>
        <v>Cold</v>
      </c>
      <c r="AB4209" s="124" t="str">
        <f>IFERROR(__xludf.DUMMYFUNCTION("""COMPUTED_VALUE"""),"Optionals")</f>
        <v>Optionals</v>
      </c>
    </row>
    <row r="4210">
      <c r="K4210" s="124"/>
      <c r="L4210" s="124"/>
      <c r="M4210" s="124"/>
      <c r="N4210" s="124"/>
      <c r="O4210" s="124"/>
      <c r="T4210" s="126">
        <f>IFERROR(__xludf.DUMMYFUNCTION("""COMPUTED_VALUE"""),46097.0)</f>
        <v>46097</v>
      </c>
      <c r="U4210" s="124" t="str">
        <f>IFERROR(__xludf.DUMMYFUNCTION("""COMPUTED_VALUE"""),"Event")</f>
        <v>Event</v>
      </c>
      <c r="V4210" s="124" t="str">
        <f>IFERROR(__xludf.DUMMYFUNCTION("""COMPUTED_VALUE"""),"events")</f>
        <v>events</v>
      </c>
      <c r="W4210" s="124" t="str">
        <f>IFERROR(__xludf.DUMMYFUNCTION("""COMPUTED_VALUE"""),"prayagraj")</f>
        <v>prayagraj</v>
      </c>
      <c r="X4210" s="124" t="str">
        <f>IFERROR(__xludf.DUMMYFUNCTION("""COMPUTED_VALUE"""),"seminar")</f>
        <v>seminar</v>
      </c>
      <c r="Y4210" s="124" t="str">
        <f>IFERROR(__xludf.DUMMYFUNCTION("""COMPUTED_VALUE"""),"Prayagraj")</f>
        <v>Prayagraj</v>
      </c>
      <c r="Z4210" s="124">
        <f>IFERROR(__xludf.DUMMYFUNCTION("""COMPUTED_VALUE"""),1.0)</f>
        <v>1</v>
      </c>
      <c r="AA4210" s="124" t="str">
        <f>IFERROR(__xludf.DUMMYFUNCTION("""COMPUTED_VALUE"""),"Engaged")</f>
        <v>Engaged</v>
      </c>
      <c r="AB4210" s="124" t="str">
        <f>IFERROR(__xludf.DUMMYFUNCTION("""COMPUTED_VALUE"""),"GS Foundation")</f>
        <v>GS Foundation</v>
      </c>
    </row>
    <row r="4211">
      <c r="K4211" s="124"/>
      <c r="L4211" s="124"/>
      <c r="M4211" s="124"/>
      <c r="N4211" s="124"/>
      <c r="O4211" s="124"/>
      <c r="T4211" s="126">
        <f>IFERROR(__xludf.DUMMYFUNCTION("""COMPUTED_VALUE"""),46077.0)</f>
        <v>46077</v>
      </c>
      <c r="U4211" s="124" t="str">
        <f>IFERROR(__xludf.DUMMYFUNCTION("""COMPUTED_VALUE"""),"Walk-Ins")</f>
        <v>Walk-Ins</v>
      </c>
      <c r="V4211" s="124" t="str">
        <f>IFERROR(__xludf.DUMMYFUNCTION("""COMPUTED_VALUE"""),"Walk-In")</f>
        <v>Walk-In</v>
      </c>
      <c r="W4211" s="124" t="str">
        <f>IFERROR(__xludf.DUMMYFUNCTION("""COMPUTED_VALUE"""),"Patna")</f>
        <v>Patna</v>
      </c>
      <c r="X4211" s="124" t="str">
        <f>IFERROR(__xludf.DUMMYFUNCTION("""COMPUTED_VALUE"""),"Patna")</f>
        <v>Patna</v>
      </c>
      <c r="Y4211" s="124"/>
      <c r="Z4211" s="124">
        <f>IFERROR(__xludf.DUMMYFUNCTION("""COMPUTED_VALUE"""),1.0)</f>
        <v>1</v>
      </c>
      <c r="AA4211" s="124" t="str">
        <f>IFERROR(__xludf.DUMMYFUNCTION("""COMPUTED_VALUE"""),"Cold")</f>
        <v>Cold</v>
      </c>
      <c r="AB4211" s="124" t="str">
        <f>IFERROR(__xludf.DUMMYFUNCTION("""COMPUTED_VALUE"""),"GS Advanced")</f>
        <v>GS Advanced</v>
      </c>
    </row>
    <row r="4212">
      <c r="K4212" s="124"/>
      <c r="L4212" s="124"/>
      <c r="M4212" s="124"/>
      <c r="N4212" s="124"/>
      <c r="O4212" s="124"/>
      <c r="T4212" s="126">
        <f>IFERROR(__xludf.DUMMYFUNCTION("""COMPUTED_VALUE"""),46063.0)</f>
        <v>46063</v>
      </c>
      <c r="U4212" s="124" t="str">
        <f>IFERROR(__xludf.DUMMYFUNCTION("""COMPUTED_VALUE"""),"Walk-Ins")</f>
        <v>Walk-Ins</v>
      </c>
      <c r="V4212" s="124" t="str">
        <f>IFERROR(__xludf.DUMMYFUNCTION("""COMPUTED_VALUE"""),"Walkin")</f>
        <v>Walkin</v>
      </c>
      <c r="W4212" s="124" t="str">
        <f>IFERROR(__xludf.DUMMYFUNCTION("""COMPUTED_VALUE"""),"Prayagraj")</f>
        <v>Prayagraj</v>
      </c>
      <c r="X4212" s="124" t="str">
        <f>IFERROR(__xludf.DUMMYFUNCTION("""COMPUTED_VALUE"""),"Walkin")</f>
        <v>Walkin</v>
      </c>
      <c r="Y4212" s="124" t="str">
        <f>IFERROR(__xludf.DUMMYFUNCTION("""COMPUTED_VALUE"""),"Prayagraj")</f>
        <v>Prayagraj</v>
      </c>
      <c r="Z4212" s="124">
        <f>IFERROR(__xludf.DUMMYFUNCTION("""COMPUTED_VALUE"""),2.0)</f>
        <v>2</v>
      </c>
      <c r="AA4212" s="124" t="str">
        <f>IFERROR(__xludf.DUMMYFUNCTION("""COMPUTED_VALUE"""),"Not Interested")</f>
        <v>Not Interested</v>
      </c>
      <c r="AB4212" s="124" t="str">
        <f>IFERROR(__xludf.DUMMYFUNCTION("""COMPUTED_VALUE"""),"GS Foundation")</f>
        <v>GS Foundation</v>
      </c>
    </row>
    <row r="4213">
      <c r="K4213" s="124"/>
      <c r="L4213" s="124"/>
      <c r="M4213" s="124"/>
      <c r="N4213" s="124"/>
      <c r="O4213" s="124"/>
      <c r="T4213" s="126">
        <f>IFERROR(__xludf.DUMMYFUNCTION("""COMPUTED_VALUE"""),46112.0)</f>
        <v>46112</v>
      </c>
      <c r="U4213" s="124" t="str">
        <f>IFERROR(__xludf.DUMMYFUNCTION("""COMPUTED_VALUE"""),"Walk-Ins")</f>
        <v>Walk-Ins</v>
      </c>
      <c r="V4213" s="124" t="str">
        <f>IFERROR(__xludf.DUMMYFUNCTION("""COMPUTED_VALUE"""),"Walkin")</f>
        <v>Walkin</v>
      </c>
      <c r="W4213" s="124" t="str">
        <f>IFERROR(__xludf.DUMMYFUNCTION("""COMPUTED_VALUE"""),"Prayagraj")</f>
        <v>Prayagraj</v>
      </c>
      <c r="X4213" s="124" t="str">
        <f>IFERROR(__xludf.DUMMYFUNCTION("""COMPUTED_VALUE"""),"Walkin")</f>
        <v>Walkin</v>
      </c>
      <c r="Y4213" s="124" t="str">
        <f>IFERROR(__xludf.DUMMYFUNCTION("""COMPUTED_VALUE"""),"Prayagraj")</f>
        <v>Prayagraj</v>
      </c>
      <c r="Z4213" s="124">
        <f>IFERROR(__xludf.DUMMYFUNCTION("""COMPUTED_VALUE"""),3.0)</f>
        <v>3</v>
      </c>
      <c r="AA4213" s="124" t="str">
        <f>IFERROR(__xludf.DUMMYFUNCTION("""COMPUTED_VALUE"""),"Warm")</f>
        <v>Warm</v>
      </c>
      <c r="AB4213" s="124" t="str">
        <f>IFERROR(__xludf.DUMMYFUNCTION("""COMPUTED_VALUE"""),"State PCS")</f>
        <v>State PCS</v>
      </c>
    </row>
    <row r="4214">
      <c r="K4214" s="124"/>
      <c r="L4214" s="124"/>
      <c r="M4214" s="124"/>
      <c r="N4214" s="124"/>
      <c r="O4214" s="124"/>
      <c r="T4214" s="126">
        <f>IFERROR(__xludf.DUMMYFUNCTION("""COMPUTED_VALUE"""),46053.0)</f>
        <v>46053</v>
      </c>
      <c r="U4214" s="124" t="str">
        <f>IFERROR(__xludf.DUMMYFUNCTION("""COMPUTED_VALUE"""),"Walk-Ins")</f>
        <v>Walk-Ins</v>
      </c>
      <c r="V4214" s="124" t="str">
        <f>IFERROR(__xludf.DUMMYFUNCTION("""COMPUTED_VALUE"""),"Walkin")</f>
        <v>Walkin</v>
      </c>
      <c r="W4214" s="124" t="str">
        <f>IFERROR(__xludf.DUMMYFUNCTION("""COMPUTED_VALUE"""),"Indore")</f>
        <v>Indore</v>
      </c>
      <c r="X4214" s="124" t="str">
        <f>IFERROR(__xludf.DUMMYFUNCTION("""COMPUTED_VALUE"""),"Walkin")</f>
        <v>Walkin</v>
      </c>
      <c r="Y4214" s="124" t="str">
        <f>IFERROR(__xludf.DUMMYFUNCTION("""COMPUTED_VALUE"""),"Indore")</f>
        <v>Indore</v>
      </c>
      <c r="Z4214" s="124">
        <f>IFERROR(__xludf.DUMMYFUNCTION("""COMPUTED_VALUE"""),1.0)</f>
        <v>1</v>
      </c>
      <c r="AA4214" s="124" t="str">
        <f>IFERROR(__xludf.DUMMYFUNCTION("""COMPUTED_VALUE"""),"Future Prospects")</f>
        <v>Future Prospects</v>
      </c>
      <c r="AB4214" s="124" t="str">
        <f>IFERROR(__xludf.DUMMYFUNCTION("""COMPUTED_VALUE"""),"State PCS")</f>
        <v>State PCS</v>
      </c>
    </row>
    <row r="4215">
      <c r="K4215" s="124"/>
      <c r="L4215" s="124"/>
      <c r="M4215" s="124"/>
      <c r="N4215" s="124"/>
      <c r="O4215" s="124"/>
      <c r="T4215" s="126">
        <f>IFERROR(__xludf.DUMMYFUNCTION("""COMPUTED_VALUE"""),46108.0)</f>
        <v>46108</v>
      </c>
      <c r="U4215" s="124" t="str">
        <f>IFERROR(__xludf.DUMMYFUNCTION("""COMPUTED_VALUE"""),"Walk-Ins")</f>
        <v>Walk-Ins</v>
      </c>
      <c r="V4215" s="124" t="str">
        <f>IFERROR(__xludf.DUMMYFUNCTION("""COMPUTED_VALUE"""),"Walkin")</f>
        <v>Walkin</v>
      </c>
      <c r="W4215" s="124" t="str">
        <f>IFERROR(__xludf.DUMMYFUNCTION("""COMPUTED_VALUE"""),"Prayagraj")</f>
        <v>Prayagraj</v>
      </c>
      <c r="X4215" s="124" t="str">
        <f>IFERROR(__xludf.DUMMYFUNCTION("""COMPUTED_VALUE"""),"Walkin")</f>
        <v>Walkin</v>
      </c>
      <c r="Y4215" s="124" t="str">
        <f>IFERROR(__xludf.DUMMYFUNCTION("""COMPUTED_VALUE"""),"Prayagraj")</f>
        <v>Prayagraj</v>
      </c>
      <c r="Z4215" s="124">
        <f>IFERROR(__xludf.DUMMYFUNCTION("""COMPUTED_VALUE"""),1.0)</f>
        <v>1</v>
      </c>
      <c r="AA4215" s="124" t="str">
        <f>IFERROR(__xludf.DUMMYFUNCTION("""COMPUTED_VALUE"""),"Interested")</f>
        <v>Interested</v>
      </c>
      <c r="AB4215" s="124" t="str">
        <f>IFERROR(__xludf.DUMMYFUNCTION("""COMPUTED_VALUE"""),"State PCS")</f>
        <v>State PCS</v>
      </c>
    </row>
    <row r="4216">
      <c r="K4216" s="124"/>
      <c r="L4216" s="124"/>
      <c r="M4216" s="124"/>
      <c r="N4216" s="124"/>
      <c r="O4216" s="124"/>
      <c r="T4216" s="126">
        <f>IFERROR(__xludf.DUMMYFUNCTION("""COMPUTED_VALUE"""),46049.0)</f>
        <v>46049</v>
      </c>
      <c r="U4216" s="124" t="str">
        <f>IFERROR(__xludf.DUMMYFUNCTION("""COMPUTED_VALUE"""),"Walk-Ins")</f>
        <v>Walk-Ins</v>
      </c>
      <c r="V4216" s="124" t="str">
        <f>IFERROR(__xludf.DUMMYFUNCTION("""COMPUTED_VALUE"""),"Walk-In")</f>
        <v>Walk-In</v>
      </c>
      <c r="W4216" s="124" t="str">
        <f>IFERROR(__xludf.DUMMYFUNCTION("""COMPUTED_VALUE"""),"Patna")</f>
        <v>Patna</v>
      </c>
      <c r="X4216" s="124" t="str">
        <f>IFERROR(__xludf.DUMMYFUNCTION("""COMPUTED_VALUE"""),"Others")</f>
        <v>Others</v>
      </c>
      <c r="Y4216" s="124" t="str">
        <f>IFERROR(__xludf.DUMMYFUNCTION("""COMPUTED_VALUE"""),"Patna")</f>
        <v>Patna</v>
      </c>
      <c r="Z4216" s="124">
        <f>IFERROR(__xludf.DUMMYFUNCTION("""COMPUTED_VALUE"""),1.0)</f>
        <v>1</v>
      </c>
      <c r="AA4216" s="124" t="str">
        <f>IFERROR(__xludf.DUMMYFUNCTION("""COMPUTED_VALUE"""),"Cold")</f>
        <v>Cold</v>
      </c>
      <c r="AB4216" s="124" t="str">
        <f>IFERROR(__xludf.DUMMYFUNCTION("""COMPUTED_VALUE"""),"State PCS")</f>
        <v>State PCS</v>
      </c>
    </row>
    <row r="4217">
      <c r="K4217" s="124"/>
      <c r="L4217" s="124"/>
      <c r="M4217" s="124"/>
      <c r="N4217" s="124"/>
      <c r="O4217" s="124"/>
      <c r="T4217" s="126">
        <f>IFERROR(__xludf.DUMMYFUNCTION("""COMPUTED_VALUE"""),46063.0)</f>
        <v>46063</v>
      </c>
      <c r="U4217" s="124" t="str">
        <f>IFERROR(__xludf.DUMMYFUNCTION("""COMPUTED_VALUE"""),"Walk-Ins")</f>
        <v>Walk-Ins</v>
      </c>
      <c r="V4217" s="124" t="str">
        <f>IFERROR(__xludf.DUMMYFUNCTION("""COMPUTED_VALUE"""),"Walkin")</f>
        <v>Walkin</v>
      </c>
      <c r="W4217" s="124" t="str">
        <f>IFERROR(__xludf.DUMMYFUNCTION("""COMPUTED_VALUE"""),"Lucknow")</f>
        <v>Lucknow</v>
      </c>
      <c r="X4217" s="124" t="str">
        <f>IFERROR(__xludf.DUMMYFUNCTION("""COMPUTED_VALUE"""),"Walkin")</f>
        <v>Walkin</v>
      </c>
      <c r="Y4217" s="124" t="str">
        <f>IFERROR(__xludf.DUMMYFUNCTION("""COMPUTED_VALUE"""),"Lucknow")</f>
        <v>Lucknow</v>
      </c>
      <c r="Z4217" s="124">
        <f>IFERROR(__xludf.DUMMYFUNCTION("""COMPUTED_VALUE"""),2.0)</f>
        <v>2</v>
      </c>
      <c r="AA4217" s="124" t="str">
        <f>IFERROR(__xludf.DUMMYFUNCTION("""COMPUTED_VALUE"""),"Cold")</f>
        <v>Cold</v>
      </c>
      <c r="AB4217" s="124" t="str">
        <f>IFERROR(__xludf.DUMMYFUNCTION("""COMPUTED_VALUE"""),"State PCS")</f>
        <v>State PCS</v>
      </c>
    </row>
    <row r="4218">
      <c r="K4218" s="124"/>
      <c r="L4218" s="124"/>
      <c r="M4218" s="124"/>
      <c r="N4218" s="124"/>
      <c r="O4218" s="124"/>
      <c r="T4218" s="126">
        <f>IFERROR(__xludf.DUMMYFUNCTION("""COMPUTED_VALUE"""),46096.0)</f>
        <v>46096</v>
      </c>
      <c r="U4218" s="124" t="str">
        <f>IFERROR(__xludf.DUMMYFUNCTION("""COMPUTED_VALUE"""),"Walk-Ins")</f>
        <v>Walk-Ins</v>
      </c>
      <c r="V4218" s="124" t="str">
        <f>IFERROR(__xludf.DUMMYFUNCTION("""COMPUTED_VALUE"""),"Walkin")</f>
        <v>Walkin</v>
      </c>
      <c r="W4218" s="124" t="str">
        <f>IFERROR(__xludf.DUMMYFUNCTION("""COMPUTED_VALUE"""),"Lucknow")</f>
        <v>Lucknow</v>
      </c>
      <c r="X4218" s="124" t="str">
        <f>IFERROR(__xludf.DUMMYFUNCTION("""COMPUTED_VALUE"""),"Walkin")</f>
        <v>Walkin</v>
      </c>
      <c r="Y4218" s="124" t="str">
        <f>IFERROR(__xludf.DUMMYFUNCTION("""COMPUTED_VALUE"""),"Lucknow")</f>
        <v>Lucknow</v>
      </c>
      <c r="Z4218" s="124">
        <f>IFERROR(__xludf.DUMMYFUNCTION("""COMPUTED_VALUE"""),1.0)</f>
        <v>1</v>
      </c>
      <c r="AA4218" s="124" t="str">
        <f>IFERROR(__xludf.DUMMYFUNCTION("""COMPUTED_VALUE"""),"Enrolled")</f>
        <v>Enrolled</v>
      </c>
      <c r="AB4218" s="124" t="str">
        <f>IFERROR(__xludf.DUMMYFUNCTION("""COMPUTED_VALUE"""),"GS Foundation")</f>
        <v>GS Foundation</v>
      </c>
    </row>
    <row r="4219">
      <c r="K4219" s="124"/>
      <c r="L4219" s="124"/>
      <c r="M4219" s="124"/>
      <c r="N4219" s="124"/>
      <c r="O4219" s="124"/>
      <c r="T4219" s="126">
        <f>IFERROR(__xludf.DUMMYFUNCTION("""COMPUTED_VALUE"""),46102.0)</f>
        <v>46102</v>
      </c>
      <c r="U4219" s="124" t="str">
        <f>IFERROR(__xludf.DUMMYFUNCTION("""COMPUTED_VALUE"""),"Walk-Ins")</f>
        <v>Walk-Ins</v>
      </c>
      <c r="V4219" s="124" t="str">
        <f>IFERROR(__xludf.DUMMYFUNCTION("""COMPUTED_VALUE"""),"Walkin")</f>
        <v>Walkin</v>
      </c>
      <c r="W4219" s="124" t="str">
        <f>IFERROR(__xludf.DUMMYFUNCTION("""COMPUTED_VALUE"""),"Patna")</f>
        <v>Patna</v>
      </c>
      <c r="X4219" s="124" t="str">
        <f>IFERROR(__xludf.DUMMYFUNCTION("""COMPUTED_VALUE"""),"Walkin")</f>
        <v>Walkin</v>
      </c>
      <c r="Y4219" s="124" t="str">
        <f>IFERROR(__xludf.DUMMYFUNCTION("""COMPUTED_VALUE"""),"Patna")</f>
        <v>Patna</v>
      </c>
      <c r="Z4219" s="124">
        <f>IFERROR(__xludf.DUMMYFUNCTION("""COMPUTED_VALUE"""),1.0)</f>
        <v>1</v>
      </c>
      <c r="AA4219" s="124" t="str">
        <f>IFERROR(__xludf.DUMMYFUNCTION("""COMPUTED_VALUE"""),"Fake Lead")</f>
        <v>Fake Lead</v>
      </c>
      <c r="AB4219" s="124" t="str">
        <f>IFERROR(__xludf.DUMMYFUNCTION("""COMPUTED_VALUE"""),"GS Foundation")</f>
        <v>GS Foundation</v>
      </c>
    </row>
    <row r="4220">
      <c r="K4220" s="124"/>
      <c r="L4220" s="124"/>
      <c r="M4220" s="124"/>
      <c r="N4220" s="124"/>
      <c r="O4220" s="124"/>
      <c r="T4220" s="126">
        <f>IFERROR(__xludf.DUMMYFUNCTION("""COMPUTED_VALUE"""),46073.0)</f>
        <v>46073</v>
      </c>
      <c r="U4220" s="124" t="str">
        <f>IFERROR(__xludf.DUMMYFUNCTION("""COMPUTED_VALUE"""),"Walk-Ins")</f>
        <v>Walk-Ins</v>
      </c>
      <c r="V4220" s="124" t="str">
        <f>IFERROR(__xludf.DUMMYFUNCTION("""COMPUTED_VALUE"""),"Walkin")</f>
        <v>Walkin</v>
      </c>
      <c r="W4220" s="124" t="str">
        <f>IFERROR(__xludf.DUMMYFUNCTION("""COMPUTED_VALUE"""),"Indore")</f>
        <v>Indore</v>
      </c>
      <c r="X4220" s="124" t="str">
        <f>IFERROR(__xludf.DUMMYFUNCTION("""COMPUTED_VALUE"""),"Walkin")</f>
        <v>Walkin</v>
      </c>
      <c r="Y4220" s="124" t="str">
        <f>IFERROR(__xludf.DUMMYFUNCTION("""COMPUTED_VALUE"""),"Indore")</f>
        <v>Indore</v>
      </c>
      <c r="Z4220" s="124">
        <f>IFERROR(__xludf.DUMMYFUNCTION("""COMPUTED_VALUE"""),1.0)</f>
        <v>1</v>
      </c>
      <c r="AA4220" s="124" t="str">
        <f>IFERROR(__xludf.DUMMYFUNCTION("""COMPUTED_VALUE"""),"Not Interested")</f>
        <v>Not Interested</v>
      </c>
      <c r="AB4220" s="124" t="str">
        <f>IFERROR(__xludf.DUMMYFUNCTION("""COMPUTED_VALUE"""),"Other")</f>
        <v>Other</v>
      </c>
    </row>
    <row r="4221">
      <c r="K4221" s="124"/>
      <c r="L4221" s="124"/>
      <c r="M4221" s="124"/>
      <c r="N4221" s="124"/>
      <c r="O4221" s="124"/>
      <c r="T4221" s="126">
        <f>IFERROR(__xludf.DUMMYFUNCTION("""COMPUTED_VALUE"""),46070.0)</f>
        <v>46070</v>
      </c>
      <c r="U4221" s="124" t="str">
        <f>IFERROR(__xludf.DUMMYFUNCTION("""COMPUTED_VALUE"""),"Walk-Ins")</f>
        <v>Walk-Ins</v>
      </c>
      <c r="V4221" s="124" t="str">
        <f>IFERROR(__xludf.DUMMYFUNCTION("""COMPUTED_VALUE"""),"Walkin")</f>
        <v>Walkin</v>
      </c>
      <c r="W4221" s="124" t="str">
        <f>IFERROR(__xludf.DUMMYFUNCTION("""COMPUTED_VALUE"""),"Patna")</f>
        <v>Patna</v>
      </c>
      <c r="X4221" s="124" t="str">
        <f>IFERROR(__xludf.DUMMYFUNCTION("""COMPUTED_VALUE"""),"Walkin")</f>
        <v>Walkin</v>
      </c>
      <c r="Y4221" s="124" t="str">
        <f>IFERROR(__xludf.DUMMYFUNCTION("""COMPUTED_VALUE"""),"Patna")</f>
        <v>Patna</v>
      </c>
      <c r="Z4221" s="124">
        <f>IFERROR(__xludf.DUMMYFUNCTION("""COMPUTED_VALUE"""),1.0)</f>
        <v>1</v>
      </c>
      <c r="AA4221" s="124" t="str">
        <f>IFERROR(__xludf.DUMMYFUNCTION("""COMPUTED_VALUE"""),"Future Prospects")</f>
        <v>Future Prospects</v>
      </c>
      <c r="AB4221" s="124" t="str">
        <f>IFERROR(__xludf.DUMMYFUNCTION("""COMPUTED_VALUE"""),"GS Foundation")</f>
        <v>GS Foundation</v>
      </c>
    </row>
    <row r="4222">
      <c r="K4222" s="124"/>
      <c r="L4222" s="124"/>
      <c r="M4222" s="124"/>
      <c r="N4222" s="124"/>
      <c r="O4222" s="124"/>
      <c r="T4222" s="126">
        <f>IFERROR(__xludf.DUMMYFUNCTION("""COMPUTED_VALUE"""),46075.0)</f>
        <v>46075</v>
      </c>
      <c r="U4222" s="124" t="str">
        <f>IFERROR(__xludf.DUMMYFUNCTION("""COMPUTED_VALUE"""),"Walk-Ins")</f>
        <v>Walk-Ins</v>
      </c>
      <c r="V4222" s="124" t="str">
        <f>IFERROR(__xludf.DUMMYFUNCTION("""COMPUTED_VALUE"""),"Walkin")</f>
        <v>Walkin</v>
      </c>
      <c r="W4222" s="124" t="str">
        <f>IFERROR(__xludf.DUMMYFUNCTION("""COMPUTED_VALUE"""),"Patna")</f>
        <v>Patna</v>
      </c>
      <c r="X4222" s="124" t="str">
        <f>IFERROR(__xludf.DUMMYFUNCTION("""COMPUTED_VALUE"""),"Walkin")</f>
        <v>Walkin</v>
      </c>
      <c r="Y4222" s="124" t="str">
        <f>IFERROR(__xludf.DUMMYFUNCTION("""COMPUTED_VALUE"""),"Patna")</f>
        <v>Patna</v>
      </c>
      <c r="Z4222" s="124">
        <f>IFERROR(__xludf.DUMMYFUNCTION("""COMPUTED_VALUE"""),1.0)</f>
        <v>1</v>
      </c>
      <c r="AA4222" s="124" t="str">
        <f>IFERROR(__xludf.DUMMYFUNCTION("""COMPUTED_VALUE"""),"Cold")</f>
        <v>Cold</v>
      </c>
      <c r="AB4222" s="124" t="str">
        <f>IFERROR(__xludf.DUMMYFUNCTION("""COMPUTED_VALUE"""),"Test Series")</f>
        <v>Test Series</v>
      </c>
    </row>
    <row r="4223">
      <c r="K4223" s="124"/>
      <c r="L4223" s="124"/>
      <c r="M4223" s="124"/>
      <c r="N4223" s="124"/>
      <c r="O4223" s="124"/>
      <c r="T4223" s="126">
        <f>IFERROR(__xludf.DUMMYFUNCTION("""COMPUTED_VALUE"""),46046.0)</f>
        <v>46046</v>
      </c>
      <c r="U4223" s="124" t="str">
        <f>IFERROR(__xludf.DUMMYFUNCTION("""COMPUTED_VALUE"""),"Walk-Ins")</f>
        <v>Walk-Ins</v>
      </c>
      <c r="V4223" s="124" t="str">
        <f>IFERROR(__xludf.DUMMYFUNCTION("""COMPUTED_VALUE"""),"Walkin")</f>
        <v>Walkin</v>
      </c>
      <c r="W4223" s="124" t="str">
        <f>IFERROR(__xludf.DUMMYFUNCTION("""COMPUTED_VALUE"""),"Indore")</f>
        <v>Indore</v>
      </c>
      <c r="X4223" s="124" t="str">
        <f>IFERROR(__xludf.DUMMYFUNCTION("""COMPUTED_VALUE"""),"Walkin")</f>
        <v>Walkin</v>
      </c>
      <c r="Y4223" s="124" t="str">
        <f>IFERROR(__xludf.DUMMYFUNCTION("""COMPUTED_VALUE"""),"Indore")</f>
        <v>Indore</v>
      </c>
      <c r="Z4223" s="124">
        <f>IFERROR(__xludf.DUMMYFUNCTION("""COMPUTED_VALUE"""),2.0)</f>
        <v>2</v>
      </c>
      <c r="AA4223" s="124" t="str">
        <f>IFERROR(__xludf.DUMMYFUNCTION("""COMPUTED_VALUE"""),"Cold")</f>
        <v>Cold</v>
      </c>
      <c r="AB4223" s="124" t="str">
        <f>IFERROR(__xludf.DUMMYFUNCTION("""COMPUTED_VALUE"""),"State PCS")</f>
        <v>State PCS</v>
      </c>
    </row>
    <row r="4224">
      <c r="K4224" s="124"/>
      <c r="L4224" s="124"/>
      <c r="M4224" s="124"/>
      <c r="N4224" s="124"/>
      <c r="O4224" s="124"/>
      <c r="T4224" s="126">
        <f>IFERROR(__xludf.DUMMYFUNCTION("""COMPUTED_VALUE"""),46047.0)</f>
        <v>46047</v>
      </c>
      <c r="U4224" s="124" t="str">
        <f>IFERROR(__xludf.DUMMYFUNCTION("""COMPUTED_VALUE"""),"Walk-Ins")</f>
        <v>Walk-Ins</v>
      </c>
      <c r="V4224" s="124" t="str">
        <f>IFERROR(__xludf.DUMMYFUNCTION("""COMPUTED_VALUE"""),"Walkin")</f>
        <v>Walkin</v>
      </c>
      <c r="W4224" s="124" t="str">
        <f>IFERROR(__xludf.DUMMYFUNCTION("""COMPUTED_VALUE"""),"Indore")</f>
        <v>Indore</v>
      </c>
      <c r="X4224" s="124" t="str">
        <f>IFERROR(__xludf.DUMMYFUNCTION("""COMPUTED_VALUE"""),"Walkin")</f>
        <v>Walkin</v>
      </c>
      <c r="Y4224" s="124" t="str">
        <f>IFERROR(__xludf.DUMMYFUNCTION("""COMPUTED_VALUE"""),"Indore")</f>
        <v>Indore</v>
      </c>
      <c r="Z4224" s="124">
        <f>IFERROR(__xludf.DUMMYFUNCTION("""COMPUTED_VALUE"""),1.0)</f>
        <v>1</v>
      </c>
      <c r="AA4224" s="124" t="str">
        <f>IFERROR(__xludf.DUMMYFUNCTION("""COMPUTED_VALUE"""),"Warm")</f>
        <v>Warm</v>
      </c>
      <c r="AB4224" s="124" t="str">
        <f>IFERROR(__xludf.DUMMYFUNCTION("""COMPUTED_VALUE"""),"Test Series")</f>
        <v>Test Series</v>
      </c>
    </row>
    <row r="4225">
      <c r="K4225" s="124"/>
      <c r="L4225" s="124"/>
      <c r="M4225" s="124"/>
      <c r="N4225" s="124"/>
      <c r="O4225" s="124"/>
      <c r="T4225" s="129">
        <f>IFERROR(__xludf.DUMMYFUNCTION("""COMPUTED_VALUE"""),46056.0)</f>
        <v>46056</v>
      </c>
      <c r="U4225" s="124" t="str">
        <f>IFERROR(__xludf.DUMMYFUNCTION("""COMPUTED_VALUE"""),"Walk-Ins")</f>
        <v>Walk-Ins</v>
      </c>
      <c r="V4225" s="124" t="str">
        <f>IFERROR(__xludf.DUMMYFUNCTION("""COMPUTED_VALUE"""),"Walkin")</f>
        <v>Walkin</v>
      </c>
      <c r="W4225" s="124" t="str">
        <f>IFERROR(__xludf.DUMMYFUNCTION("""COMPUTED_VALUE"""),"Prayagraj")</f>
        <v>Prayagraj</v>
      </c>
      <c r="X4225" s="124" t="str">
        <f>IFERROR(__xludf.DUMMYFUNCTION("""COMPUTED_VALUE"""),"Walkin")</f>
        <v>Walkin</v>
      </c>
      <c r="Y4225" s="124" t="str">
        <f>IFERROR(__xludf.DUMMYFUNCTION("""COMPUTED_VALUE"""),"Prayagraj")</f>
        <v>Prayagraj</v>
      </c>
      <c r="Z4225" s="124">
        <f>IFERROR(__xludf.DUMMYFUNCTION("""COMPUTED_VALUE"""),1.0)</f>
        <v>1</v>
      </c>
      <c r="AA4225" s="124" t="str">
        <f>IFERROR(__xludf.DUMMYFUNCTION("""COMPUTED_VALUE"""),"Cold")</f>
        <v>Cold</v>
      </c>
      <c r="AB4225" s="124" t="str">
        <f>IFERROR(__xludf.DUMMYFUNCTION("""COMPUTED_VALUE"""),"Other")</f>
        <v>Other</v>
      </c>
    </row>
    <row r="4226">
      <c r="K4226" s="124"/>
      <c r="L4226" s="124"/>
      <c r="M4226" s="124"/>
      <c r="N4226" s="124"/>
      <c r="O4226" s="124"/>
      <c r="T4226" s="126">
        <f>IFERROR(__xludf.DUMMYFUNCTION("""COMPUTED_VALUE"""),46091.0)</f>
        <v>46091</v>
      </c>
      <c r="U4226" s="124" t="str">
        <f>IFERROR(__xludf.DUMMYFUNCTION("""COMPUTED_VALUE"""),"Walk-Ins")</f>
        <v>Walk-Ins</v>
      </c>
      <c r="V4226" s="124" t="str">
        <f>IFERROR(__xludf.DUMMYFUNCTION("""COMPUTED_VALUE"""),"Walkin")</f>
        <v>Walkin</v>
      </c>
      <c r="W4226" s="124" t="str">
        <f>IFERROR(__xludf.DUMMYFUNCTION("""COMPUTED_VALUE"""),"Indore")</f>
        <v>Indore</v>
      </c>
      <c r="X4226" s="124" t="str">
        <f>IFERROR(__xludf.DUMMYFUNCTION("""COMPUTED_VALUE"""),"Walkin")</f>
        <v>Walkin</v>
      </c>
      <c r="Y4226" s="124" t="str">
        <f>IFERROR(__xludf.DUMMYFUNCTION("""COMPUTED_VALUE"""),"Indore")</f>
        <v>Indore</v>
      </c>
      <c r="Z4226" s="124">
        <f>IFERROR(__xludf.DUMMYFUNCTION("""COMPUTED_VALUE"""),1.0)</f>
        <v>1</v>
      </c>
      <c r="AA4226" s="124" t="str">
        <f>IFERROR(__xludf.DUMMYFUNCTION("""COMPUTED_VALUE"""),"Enrolled")</f>
        <v>Enrolled</v>
      </c>
      <c r="AB4226" s="124" t="str">
        <f>IFERROR(__xludf.DUMMYFUNCTION("""COMPUTED_VALUE"""),"GS Foundation")</f>
        <v>GS Foundation</v>
      </c>
    </row>
    <row r="4227">
      <c r="K4227" s="124"/>
      <c r="L4227" s="124"/>
      <c r="M4227" s="124"/>
      <c r="N4227" s="124"/>
      <c r="O4227" s="124"/>
      <c r="T4227" s="129">
        <f>IFERROR(__xludf.DUMMYFUNCTION("""COMPUTED_VALUE"""),46061.0)</f>
        <v>46061</v>
      </c>
      <c r="U4227" s="124" t="str">
        <f>IFERROR(__xludf.DUMMYFUNCTION("""COMPUTED_VALUE"""),"Walk-Ins")</f>
        <v>Walk-Ins</v>
      </c>
      <c r="V4227" s="124" t="str">
        <f>IFERROR(__xludf.DUMMYFUNCTION("""COMPUTED_VALUE"""),"Walkin")</f>
        <v>Walkin</v>
      </c>
      <c r="W4227" s="124" t="str">
        <f>IFERROR(__xludf.DUMMYFUNCTION("""COMPUTED_VALUE"""),"Patna")</f>
        <v>Patna</v>
      </c>
      <c r="X4227" s="124" t="str">
        <f>IFERROR(__xludf.DUMMYFUNCTION("""COMPUTED_VALUE"""),"Walkin")</f>
        <v>Walkin</v>
      </c>
      <c r="Y4227" s="124" t="str">
        <f>IFERROR(__xludf.DUMMYFUNCTION("""COMPUTED_VALUE"""),"Patna")</f>
        <v>Patna</v>
      </c>
      <c r="Z4227" s="124">
        <f>IFERROR(__xludf.DUMMYFUNCTION("""COMPUTED_VALUE"""),1.0)</f>
        <v>1</v>
      </c>
      <c r="AA4227" s="124" t="str">
        <f>IFERROR(__xludf.DUMMYFUNCTION("""COMPUTED_VALUE"""),"Warm")</f>
        <v>Warm</v>
      </c>
      <c r="AB4227" s="124" t="str">
        <f>IFERROR(__xludf.DUMMYFUNCTION("""COMPUTED_VALUE"""),"State PCS")</f>
        <v>State PCS</v>
      </c>
    </row>
    <row r="4228">
      <c r="K4228" s="124"/>
      <c r="L4228" s="124"/>
      <c r="M4228" s="124"/>
      <c r="N4228" s="124"/>
      <c r="O4228" s="124"/>
      <c r="T4228" s="126">
        <f>IFERROR(__xludf.DUMMYFUNCTION("""COMPUTED_VALUE"""),46095.0)</f>
        <v>46095</v>
      </c>
      <c r="U4228" s="124" t="str">
        <f>IFERROR(__xludf.DUMMYFUNCTION("""COMPUTED_VALUE"""),"Walk-Ins")</f>
        <v>Walk-Ins</v>
      </c>
      <c r="V4228" s="124" t="str">
        <f>IFERROR(__xludf.DUMMYFUNCTION("""COMPUTED_VALUE"""),"Walkin")</f>
        <v>Walkin</v>
      </c>
      <c r="W4228" s="124" t="str">
        <f>IFERROR(__xludf.DUMMYFUNCTION("""COMPUTED_VALUE"""),"Patna")</f>
        <v>Patna</v>
      </c>
      <c r="X4228" s="124" t="str">
        <f>IFERROR(__xludf.DUMMYFUNCTION("""COMPUTED_VALUE"""),"Walkin")</f>
        <v>Walkin</v>
      </c>
      <c r="Y4228" s="124" t="str">
        <f>IFERROR(__xludf.DUMMYFUNCTION("""COMPUTED_VALUE"""),"Patna")</f>
        <v>Patna</v>
      </c>
      <c r="Z4228" s="124">
        <f>IFERROR(__xludf.DUMMYFUNCTION("""COMPUTED_VALUE"""),1.0)</f>
        <v>1</v>
      </c>
      <c r="AA4228" s="124" t="str">
        <f>IFERROR(__xludf.DUMMYFUNCTION("""COMPUTED_VALUE"""),"Future Prospects")</f>
        <v>Future Prospects</v>
      </c>
      <c r="AB4228" s="124" t="str">
        <f>IFERROR(__xludf.DUMMYFUNCTION("""COMPUTED_VALUE"""),"Prelims Crash Course - SIP")</f>
        <v>Prelims Crash Course - SIP</v>
      </c>
    </row>
    <row r="4229">
      <c r="K4229" s="124"/>
      <c r="L4229" s="124"/>
      <c r="M4229" s="124"/>
      <c r="N4229" s="124"/>
      <c r="O4229" s="124"/>
      <c r="T4229" s="126">
        <f>IFERROR(__xludf.DUMMYFUNCTION("""COMPUTED_VALUE"""),46051.0)</f>
        <v>46051</v>
      </c>
      <c r="U4229" s="124" t="str">
        <f>IFERROR(__xludf.DUMMYFUNCTION("""COMPUTED_VALUE"""),"Walk-Ins")</f>
        <v>Walk-Ins</v>
      </c>
      <c r="V4229" s="124" t="str">
        <f>IFERROR(__xludf.DUMMYFUNCTION("""COMPUTED_VALUE"""),"Walkin")</f>
        <v>Walkin</v>
      </c>
      <c r="W4229" s="124" t="str">
        <f>IFERROR(__xludf.DUMMYFUNCTION("""COMPUTED_VALUE"""),"Lucknow")</f>
        <v>Lucknow</v>
      </c>
      <c r="X4229" s="124" t="str">
        <f>IFERROR(__xludf.DUMMYFUNCTION("""COMPUTED_VALUE"""),"Walkin")</f>
        <v>Walkin</v>
      </c>
      <c r="Y4229" s="124" t="str">
        <f>IFERROR(__xludf.DUMMYFUNCTION("""COMPUTED_VALUE"""),"Lucknow")</f>
        <v>Lucknow</v>
      </c>
      <c r="Z4229" s="124">
        <f>IFERROR(__xludf.DUMMYFUNCTION("""COMPUTED_VALUE"""),1.0)</f>
        <v>1</v>
      </c>
      <c r="AA4229" s="124" t="str">
        <f>IFERROR(__xludf.DUMMYFUNCTION("""COMPUTED_VALUE"""),"Enrolled")</f>
        <v>Enrolled</v>
      </c>
      <c r="AB4229" s="124" t="str">
        <f>IFERROR(__xludf.DUMMYFUNCTION("""COMPUTED_VALUE"""),"State PCS")</f>
        <v>State PCS</v>
      </c>
    </row>
    <row r="4230">
      <c r="K4230" s="124"/>
      <c r="L4230" s="124"/>
      <c r="M4230" s="124"/>
      <c r="N4230" s="124"/>
      <c r="O4230" s="124"/>
      <c r="T4230" s="126">
        <f>IFERROR(__xludf.DUMMYFUNCTION("""COMPUTED_VALUE"""),46046.0)</f>
        <v>46046</v>
      </c>
      <c r="U4230" s="124" t="str">
        <f>IFERROR(__xludf.DUMMYFUNCTION("""COMPUTED_VALUE"""),"Walk-Ins")</f>
        <v>Walk-Ins</v>
      </c>
      <c r="V4230" s="124" t="str">
        <f>IFERROR(__xludf.DUMMYFUNCTION("""COMPUTED_VALUE"""),"Walkin")</f>
        <v>Walkin</v>
      </c>
      <c r="W4230" s="124" t="str">
        <f>IFERROR(__xludf.DUMMYFUNCTION("""COMPUTED_VALUE"""),"Indore")</f>
        <v>Indore</v>
      </c>
      <c r="X4230" s="124" t="str">
        <f>IFERROR(__xludf.DUMMYFUNCTION("""COMPUTED_VALUE"""),"Walkin")</f>
        <v>Walkin</v>
      </c>
      <c r="Y4230" s="124" t="str">
        <f>IFERROR(__xludf.DUMMYFUNCTION("""COMPUTED_VALUE"""),"Indore")</f>
        <v>Indore</v>
      </c>
      <c r="Z4230" s="124">
        <f>IFERROR(__xludf.DUMMYFUNCTION("""COMPUTED_VALUE"""),1.0)</f>
        <v>1</v>
      </c>
      <c r="AA4230" s="124" t="str">
        <f>IFERROR(__xludf.DUMMYFUNCTION("""COMPUTED_VALUE"""),"Enrolled")</f>
        <v>Enrolled</v>
      </c>
      <c r="AB4230" s="124" t="str">
        <f>IFERROR(__xludf.DUMMYFUNCTION("""COMPUTED_VALUE"""),"State PCS")</f>
        <v>State PCS</v>
      </c>
    </row>
    <row r="4231">
      <c r="K4231" s="124"/>
      <c r="L4231" s="124"/>
      <c r="M4231" s="124"/>
      <c r="N4231" s="124"/>
      <c r="O4231" s="124"/>
      <c r="T4231" s="126">
        <f>IFERROR(__xludf.DUMMYFUNCTION("""COMPUTED_VALUE"""),46067.0)</f>
        <v>46067</v>
      </c>
      <c r="U4231" s="124" t="str">
        <f>IFERROR(__xludf.DUMMYFUNCTION("""COMPUTED_VALUE"""),"Walk-Ins")</f>
        <v>Walk-Ins</v>
      </c>
      <c r="V4231" s="124" t="str">
        <f>IFERROR(__xludf.DUMMYFUNCTION("""COMPUTED_VALUE"""),"Walkin")</f>
        <v>Walkin</v>
      </c>
      <c r="W4231" s="124" t="str">
        <f>IFERROR(__xludf.DUMMYFUNCTION("""COMPUTED_VALUE"""),"Lucknow")</f>
        <v>Lucknow</v>
      </c>
      <c r="X4231" s="124" t="str">
        <f>IFERROR(__xludf.DUMMYFUNCTION("""COMPUTED_VALUE"""),"Walkin")</f>
        <v>Walkin</v>
      </c>
      <c r="Y4231" s="124" t="str">
        <f>IFERROR(__xludf.DUMMYFUNCTION("""COMPUTED_VALUE"""),"Lucknow")</f>
        <v>Lucknow</v>
      </c>
      <c r="Z4231" s="124">
        <f>IFERROR(__xludf.DUMMYFUNCTION("""COMPUTED_VALUE"""),1.0)</f>
        <v>1</v>
      </c>
      <c r="AA4231" s="124" t="str">
        <f>IFERROR(__xludf.DUMMYFUNCTION("""COMPUTED_VALUE"""),"Engaged")</f>
        <v>Engaged</v>
      </c>
      <c r="AB4231" s="124" t="str">
        <f>IFERROR(__xludf.DUMMYFUNCTION("""COMPUTED_VALUE"""),"GS Foundation")</f>
        <v>GS Foundation</v>
      </c>
    </row>
    <row r="4232">
      <c r="K4232" s="124"/>
      <c r="L4232" s="124"/>
      <c r="M4232" s="124"/>
      <c r="N4232" s="124"/>
      <c r="O4232" s="124"/>
      <c r="T4232" s="129">
        <f>IFERROR(__xludf.DUMMYFUNCTION("""COMPUTED_VALUE"""),46090.0)</f>
        <v>46090</v>
      </c>
      <c r="U4232" s="124" t="str">
        <f>IFERROR(__xludf.DUMMYFUNCTION("""COMPUTED_VALUE"""),"Walk-Ins")</f>
        <v>Walk-Ins</v>
      </c>
      <c r="V4232" s="124" t="str">
        <f>IFERROR(__xludf.DUMMYFUNCTION("""COMPUTED_VALUE"""),"Walkin")</f>
        <v>Walkin</v>
      </c>
      <c r="W4232" s="124" t="str">
        <f>IFERROR(__xludf.DUMMYFUNCTION("""COMPUTED_VALUE"""),"Prayagraj")</f>
        <v>Prayagraj</v>
      </c>
      <c r="X4232" s="124" t="str">
        <f>IFERROR(__xludf.DUMMYFUNCTION("""COMPUTED_VALUE"""),"Walkin")</f>
        <v>Walkin</v>
      </c>
      <c r="Y4232" s="124" t="str">
        <f>IFERROR(__xludf.DUMMYFUNCTION("""COMPUTED_VALUE"""),"Prayagraj")</f>
        <v>Prayagraj</v>
      </c>
      <c r="Z4232" s="124">
        <f>IFERROR(__xludf.DUMMYFUNCTION("""COMPUTED_VALUE"""),1.0)</f>
        <v>1</v>
      </c>
      <c r="AA4232" s="124" t="str">
        <f>IFERROR(__xludf.DUMMYFUNCTION("""COMPUTED_VALUE"""),"Cold")</f>
        <v>Cold</v>
      </c>
      <c r="AB4232" s="124" t="str">
        <f>IFERROR(__xludf.DUMMYFUNCTION("""COMPUTED_VALUE"""),"Test Series")</f>
        <v>Test Series</v>
      </c>
    </row>
    <row r="4233">
      <c r="K4233" s="124"/>
      <c r="L4233" s="124"/>
      <c r="M4233" s="124"/>
      <c r="N4233" s="124"/>
      <c r="O4233" s="124"/>
      <c r="T4233" s="126">
        <f>IFERROR(__xludf.DUMMYFUNCTION("""COMPUTED_VALUE"""),46046.0)</f>
        <v>46046</v>
      </c>
      <c r="U4233" s="124" t="str">
        <f>IFERROR(__xludf.DUMMYFUNCTION("""COMPUTED_VALUE"""),"Walk-Ins")</f>
        <v>Walk-Ins</v>
      </c>
      <c r="V4233" s="124" t="str">
        <f>IFERROR(__xludf.DUMMYFUNCTION("""COMPUTED_VALUE"""),"Walk-In")</f>
        <v>Walk-In</v>
      </c>
      <c r="W4233" s="124" t="str">
        <f>IFERROR(__xludf.DUMMYFUNCTION("""COMPUTED_VALUE"""),"Patna")</f>
        <v>Patna</v>
      </c>
      <c r="X4233" s="124" t="str">
        <f>IFERROR(__xludf.DUMMYFUNCTION("""COMPUTED_VALUE"""),"Others")</f>
        <v>Others</v>
      </c>
      <c r="Y4233" s="124" t="str">
        <f>IFERROR(__xludf.DUMMYFUNCTION("""COMPUTED_VALUE"""),"Patna")</f>
        <v>Patna</v>
      </c>
      <c r="Z4233" s="124">
        <f>IFERROR(__xludf.DUMMYFUNCTION("""COMPUTED_VALUE"""),1.0)</f>
        <v>1</v>
      </c>
      <c r="AA4233" s="124" t="str">
        <f>IFERROR(__xludf.DUMMYFUNCTION("""COMPUTED_VALUE"""),"Not Interested")</f>
        <v>Not Interested</v>
      </c>
      <c r="AB4233" s="124" t="str">
        <f>IFERROR(__xludf.DUMMYFUNCTION("""COMPUTED_VALUE"""),"State PCS")</f>
        <v>State PCS</v>
      </c>
    </row>
    <row r="4234">
      <c r="K4234" s="124"/>
      <c r="L4234" s="124"/>
      <c r="M4234" s="124"/>
      <c r="N4234" s="124"/>
      <c r="O4234" s="124"/>
      <c r="T4234" s="126">
        <f>IFERROR(__xludf.DUMMYFUNCTION("""COMPUTED_VALUE"""),46099.0)</f>
        <v>46099</v>
      </c>
      <c r="U4234" s="124" t="str">
        <f>IFERROR(__xludf.DUMMYFUNCTION("""COMPUTED_VALUE"""),"Paid Ads")</f>
        <v>Paid Ads</v>
      </c>
      <c r="V4234" s="124" t="str">
        <f>IFERROR(__xludf.DUMMYFUNCTION("""COMPUTED_VALUE"""),"Facebook")</f>
        <v>Facebook</v>
      </c>
      <c r="W4234" s="124" t="str">
        <f>IFERROR(__xludf.DUMMYFUNCTION("""COMPUTED_VALUE"""),"LeadAd")</f>
        <v>LeadAd</v>
      </c>
      <c r="X4234" s="124" t="str">
        <f>IFERROR(__xludf.DUMMYFUNCTION("""COMPUTED_VALUE"""),"meta")</f>
        <v>meta</v>
      </c>
      <c r="Y4234" s="124" t="str">
        <f>IFERROR(__xludf.DUMMYFUNCTION("""COMPUTED_VALUE"""),"Indore")</f>
        <v>Indore</v>
      </c>
      <c r="Z4234" s="124">
        <f>IFERROR(__xludf.DUMMYFUNCTION("""COMPUTED_VALUE"""),1.0)</f>
        <v>1</v>
      </c>
      <c r="AA4234" s="124" t="str">
        <f>IFERROR(__xludf.DUMMYFUNCTION("""COMPUTED_VALUE"""),"Cold")</f>
        <v>Cold</v>
      </c>
      <c r="AB4234" s="124"/>
    </row>
    <row r="4235">
      <c r="K4235" s="124"/>
      <c r="L4235" s="124"/>
      <c r="M4235" s="124"/>
      <c r="N4235" s="124"/>
      <c r="O4235" s="124"/>
      <c r="T4235" s="126">
        <f>IFERROR(__xludf.DUMMYFUNCTION("""COMPUTED_VALUE"""),46074.0)</f>
        <v>46074</v>
      </c>
      <c r="U4235" s="124" t="str">
        <f>IFERROR(__xludf.DUMMYFUNCTION("""COMPUTED_VALUE"""),"Walk-Ins")</f>
        <v>Walk-Ins</v>
      </c>
      <c r="V4235" s="124" t="str">
        <f>IFERROR(__xludf.DUMMYFUNCTION("""COMPUTED_VALUE"""),"Walkin")</f>
        <v>Walkin</v>
      </c>
      <c r="W4235" s="124" t="str">
        <f>IFERROR(__xludf.DUMMYFUNCTION("""COMPUTED_VALUE"""),"Indore")</f>
        <v>Indore</v>
      </c>
      <c r="X4235" s="124" t="str">
        <f>IFERROR(__xludf.DUMMYFUNCTION("""COMPUTED_VALUE"""),"Walkin")</f>
        <v>Walkin</v>
      </c>
      <c r="Y4235" s="124" t="str">
        <f>IFERROR(__xludf.DUMMYFUNCTION("""COMPUTED_VALUE"""),"Indore")</f>
        <v>Indore</v>
      </c>
      <c r="Z4235" s="124">
        <f>IFERROR(__xludf.DUMMYFUNCTION("""COMPUTED_VALUE"""),1.0)</f>
        <v>1</v>
      </c>
      <c r="AA4235" s="124" t="str">
        <f>IFERROR(__xludf.DUMMYFUNCTION("""COMPUTED_VALUE"""),"Not Interested")</f>
        <v>Not Interested</v>
      </c>
      <c r="AB4235" s="124" t="str">
        <f>IFERROR(__xludf.DUMMYFUNCTION("""COMPUTED_VALUE"""),"Optionals")</f>
        <v>Optionals</v>
      </c>
    </row>
    <row r="4236">
      <c r="K4236" s="124"/>
      <c r="L4236" s="124"/>
      <c r="M4236" s="124"/>
      <c r="N4236" s="124"/>
      <c r="O4236" s="124"/>
      <c r="T4236" s="126">
        <f>IFERROR(__xludf.DUMMYFUNCTION("""COMPUTED_VALUE"""),46112.0)</f>
        <v>46112</v>
      </c>
      <c r="U4236" s="124" t="str">
        <f>IFERROR(__xludf.DUMMYFUNCTION("""COMPUTED_VALUE"""),"Walk-Ins")</f>
        <v>Walk-Ins</v>
      </c>
      <c r="V4236" s="124" t="str">
        <f>IFERROR(__xludf.DUMMYFUNCTION("""COMPUTED_VALUE"""),"Walkin")</f>
        <v>Walkin</v>
      </c>
      <c r="W4236" s="124" t="str">
        <f>IFERROR(__xludf.DUMMYFUNCTION("""COMPUTED_VALUE"""),"Indore")</f>
        <v>Indore</v>
      </c>
      <c r="X4236" s="124" t="str">
        <f>IFERROR(__xludf.DUMMYFUNCTION("""COMPUTED_VALUE"""),"Walkin")</f>
        <v>Walkin</v>
      </c>
      <c r="Y4236" s="124" t="str">
        <f>IFERROR(__xludf.DUMMYFUNCTION("""COMPUTED_VALUE"""),"Indore")</f>
        <v>Indore</v>
      </c>
      <c r="Z4236" s="124">
        <f>IFERROR(__xludf.DUMMYFUNCTION("""COMPUTED_VALUE"""),1.0)</f>
        <v>1</v>
      </c>
      <c r="AA4236" s="124" t="str">
        <f>IFERROR(__xludf.DUMMYFUNCTION("""COMPUTED_VALUE"""),"Future Prospects")</f>
        <v>Future Prospects</v>
      </c>
      <c r="AB4236" s="124" t="str">
        <f>IFERROR(__xludf.DUMMYFUNCTION("""COMPUTED_VALUE"""),"Other")</f>
        <v>Other</v>
      </c>
    </row>
    <row r="4237">
      <c r="K4237" s="124"/>
      <c r="L4237" s="124"/>
      <c r="M4237" s="124"/>
      <c r="N4237" s="124"/>
      <c r="O4237" s="124"/>
      <c r="T4237" s="126">
        <f>IFERROR(__xludf.DUMMYFUNCTION("""COMPUTED_VALUE"""),46099.0)</f>
        <v>46099</v>
      </c>
      <c r="U4237" s="124" t="str">
        <f>IFERROR(__xludf.DUMMYFUNCTION("""COMPUTED_VALUE"""),"Walk-Ins")</f>
        <v>Walk-Ins</v>
      </c>
      <c r="V4237" s="124" t="str">
        <f>IFERROR(__xludf.DUMMYFUNCTION("""COMPUTED_VALUE"""),"Walkin")</f>
        <v>Walkin</v>
      </c>
      <c r="W4237" s="124" t="str">
        <f>IFERROR(__xludf.DUMMYFUNCTION("""COMPUTED_VALUE"""),"Prayagraj")</f>
        <v>Prayagraj</v>
      </c>
      <c r="X4237" s="124" t="str">
        <f>IFERROR(__xludf.DUMMYFUNCTION("""COMPUTED_VALUE"""),"Walkin")</f>
        <v>Walkin</v>
      </c>
      <c r="Y4237" s="124" t="str">
        <f>IFERROR(__xludf.DUMMYFUNCTION("""COMPUTED_VALUE"""),"Prayagraj")</f>
        <v>Prayagraj</v>
      </c>
      <c r="Z4237" s="124">
        <f>IFERROR(__xludf.DUMMYFUNCTION("""COMPUTED_VALUE"""),2.0)</f>
        <v>2</v>
      </c>
      <c r="AA4237" s="124" t="str">
        <f>IFERROR(__xludf.DUMMYFUNCTION("""COMPUTED_VALUE"""),"Future Prospects")</f>
        <v>Future Prospects</v>
      </c>
      <c r="AB4237" s="124" t="str">
        <f>IFERROR(__xludf.DUMMYFUNCTION("""COMPUTED_VALUE"""),"GS Foundation")</f>
        <v>GS Foundation</v>
      </c>
    </row>
    <row r="4238">
      <c r="K4238" s="124"/>
      <c r="L4238" s="124"/>
      <c r="M4238" s="124"/>
      <c r="N4238" s="124"/>
      <c r="O4238" s="124"/>
      <c r="T4238" s="126">
        <f>IFERROR(__xludf.DUMMYFUNCTION("""COMPUTED_VALUE"""),46052.0)</f>
        <v>46052</v>
      </c>
      <c r="U4238" s="124" t="str">
        <f>IFERROR(__xludf.DUMMYFUNCTION("""COMPUTED_VALUE"""),"Walk-Ins")</f>
        <v>Walk-Ins</v>
      </c>
      <c r="V4238" s="124" t="str">
        <f>IFERROR(__xludf.DUMMYFUNCTION("""COMPUTED_VALUE"""),"Walkin")</f>
        <v>Walkin</v>
      </c>
      <c r="W4238" s="124" t="str">
        <f>IFERROR(__xludf.DUMMYFUNCTION("""COMPUTED_VALUE"""),"Prayagraj")</f>
        <v>Prayagraj</v>
      </c>
      <c r="X4238" s="124" t="str">
        <f>IFERROR(__xludf.DUMMYFUNCTION("""COMPUTED_VALUE"""),"Walkin")</f>
        <v>Walkin</v>
      </c>
      <c r="Y4238" s="124" t="str">
        <f>IFERROR(__xludf.DUMMYFUNCTION("""COMPUTED_VALUE"""),"Prayagraj")</f>
        <v>Prayagraj</v>
      </c>
      <c r="Z4238" s="124">
        <f>IFERROR(__xludf.DUMMYFUNCTION("""COMPUTED_VALUE"""),1.0)</f>
        <v>1</v>
      </c>
      <c r="AA4238" s="124" t="str">
        <f>IFERROR(__xludf.DUMMYFUNCTION("""COMPUTED_VALUE"""),"Enrolled")</f>
        <v>Enrolled</v>
      </c>
      <c r="AB4238" s="124" t="str">
        <f>IFERROR(__xludf.DUMMYFUNCTION("""COMPUTED_VALUE"""),"Other")</f>
        <v>Other</v>
      </c>
    </row>
    <row r="4239">
      <c r="K4239" s="124"/>
      <c r="L4239" s="124"/>
      <c r="M4239" s="124"/>
      <c r="N4239" s="124"/>
      <c r="O4239" s="124"/>
      <c r="T4239" s="126">
        <f>IFERROR(__xludf.DUMMYFUNCTION("""COMPUTED_VALUE"""),46080.0)</f>
        <v>46080</v>
      </c>
      <c r="U4239" s="124" t="str">
        <f>IFERROR(__xludf.DUMMYFUNCTION("""COMPUTED_VALUE"""),"Walk-Ins")</f>
        <v>Walk-Ins</v>
      </c>
      <c r="V4239" s="124" t="str">
        <f>IFERROR(__xludf.DUMMYFUNCTION("""COMPUTED_VALUE"""),"Walkin")</f>
        <v>Walkin</v>
      </c>
      <c r="W4239" s="124" t="str">
        <f>IFERROR(__xludf.DUMMYFUNCTION("""COMPUTED_VALUE"""),"Prayagraj")</f>
        <v>Prayagraj</v>
      </c>
      <c r="X4239" s="124" t="str">
        <f>IFERROR(__xludf.DUMMYFUNCTION("""COMPUTED_VALUE"""),"Walkin")</f>
        <v>Walkin</v>
      </c>
      <c r="Y4239" s="124" t="str">
        <f>IFERROR(__xludf.DUMMYFUNCTION("""COMPUTED_VALUE"""),"Prayagraj")</f>
        <v>Prayagraj</v>
      </c>
      <c r="Z4239" s="124">
        <f>IFERROR(__xludf.DUMMYFUNCTION("""COMPUTED_VALUE"""),1.0)</f>
        <v>1</v>
      </c>
      <c r="AA4239" s="124" t="str">
        <f>IFERROR(__xludf.DUMMYFUNCTION("""COMPUTED_VALUE"""),"Warm")</f>
        <v>Warm</v>
      </c>
      <c r="AB4239" s="124" t="str">
        <f>IFERROR(__xludf.DUMMYFUNCTION("""COMPUTED_VALUE"""),"Mentorship")</f>
        <v>Mentorship</v>
      </c>
    </row>
    <row r="4240">
      <c r="K4240" s="124"/>
      <c r="L4240" s="124"/>
      <c r="M4240" s="124"/>
      <c r="N4240" s="124"/>
      <c r="O4240" s="124"/>
      <c r="T4240" s="126">
        <f>IFERROR(__xludf.DUMMYFUNCTION("""COMPUTED_VALUE"""),46112.0)</f>
        <v>46112</v>
      </c>
      <c r="U4240" s="124" t="str">
        <f>IFERROR(__xludf.DUMMYFUNCTION("""COMPUTED_VALUE"""),"Walk-Ins")</f>
        <v>Walk-Ins</v>
      </c>
      <c r="V4240" s="124" t="str">
        <f>IFERROR(__xludf.DUMMYFUNCTION("""COMPUTED_VALUE"""),"Walkin")</f>
        <v>Walkin</v>
      </c>
      <c r="W4240" s="124" t="str">
        <f>IFERROR(__xludf.DUMMYFUNCTION("""COMPUTED_VALUE"""),"Patna")</f>
        <v>Patna</v>
      </c>
      <c r="X4240" s="124" t="str">
        <f>IFERROR(__xludf.DUMMYFUNCTION("""COMPUTED_VALUE"""),"Walkin")</f>
        <v>Walkin</v>
      </c>
      <c r="Y4240" s="124" t="str">
        <f>IFERROR(__xludf.DUMMYFUNCTION("""COMPUTED_VALUE"""),"Patna")</f>
        <v>Patna</v>
      </c>
      <c r="Z4240" s="124">
        <f>IFERROR(__xludf.DUMMYFUNCTION("""COMPUTED_VALUE"""),1.0)</f>
        <v>1</v>
      </c>
      <c r="AA4240" s="124" t="str">
        <f>IFERROR(__xludf.DUMMYFUNCTION("""COMPUTED_VALUE"""),"Enrolled")</f>
        <v>Enrolled</v>
      </c>
      <c r="AB4240" s="124" t="str">
        <f>IFERROR(__xludf.DUMMYFUNCTION("""COMPUTED_VALUE"""),"GS Foundation")</f>
        <v>GS Foundation</v>
      </c>
    </row>
    <row r="4241">
      <c r="K4241" s="124"/>
      <c r="L4241" s="124"/>
      <c r="M4241" s="124"/>
      <c r="N4241" s="124"/>
      <c r="O4241" s="124"/>
      <c r="T4241" s="126">
        <f>IFERROR(__xludf.DUMMYFUNCTION("""COMPUTED_VALUE"""),46106.0)</f>
        <v>46106</v>
      </c>
      <c r="U4241" s="124" t="str">
        <f>IFERROR(__xludf.DUMMYFUNCTION("""COMPUTED_VALUE"""),"Walk-Ins")</f>
        <v>Walk-Ins</v>
      </c>
      <c r="V4241" s="124" t="str">
        <f>IFERROR(__xludf.DUMMYFUNCTION("""COMPUTED_VALUE"""),"Walkin")</f>
        <v>Walkin</v>
      </c>
      <c r="W4241" s="124" t="str">
        <f>IFERROR(__xludf.DUMMYFUNCTION("""COMPUTED_VALUE"""),"Lucknow")</f>
        <v>Lucknow</v>
      </c>
      <c r="X4241" s="124" t="str">
        <f>IFERROR(__xludf.DUMMYFUNCTION("""COMPUTED_VALUE"""),"Walkin")</f>
        <v>Walkin</v>
      </c>
      <c r="Y4241" s="124" t="str">
        <f>IFERROR(__xludf.DUMMYFUNCTION("""COMPUTED_VALUE"""),"Lucknow")</f>
        <v>Lucknow</v>
      </c>
      <c r="Z4241" s="124">
        <f>IFERROR(__xludf.DUMMYFUNCTION("""COMPUTED_VALUE"""),1.0)</f>
        <v>1</v>
      </c>
      <c r="AA4241" s="124" t="str">
        <f>IFERROR(__xludf.DUMMYFUNCTION("""COMPUTED_VALUE"""),"Enrolled")</f>
        <v>Enrolled</v>
      </c>
      <c r="AB4241" s="124" t="str">
        <f>IFERROR(__xludf.DUMMYFUNCTION("""COMPUTED_VALUE"""),"State PCS")</f>
        <v>State PCS</v>
      </c>
    </row>
    <row r="4242">
      <c r="K4242" s="124"/>
      <c r="L4242" s="124"/>
      <c r="M4242" s="124"/>
      <c r="N4242" s="124"/>
      <c r="O4242" s="124"/>
      <c r="T4242" s="129">
        <f>IFERROR(__xludf.DUMMYFUNCTION("""COMPUTED_VALUE"""),46082.0)</f>
        <v>46082</v>
      </c>
      <c r="U4242" s="124" t="str">
        <f>IFERROR(__xludf.DUMMYFUNCTION("""COMPUTED_VALUE"""),"Walk-Ins")</f>
        <v>Walk-Ins</v>
      </c>
      <c r="V4242" s="124" t="str">
        <f>IFERROR(__xludf.DUMMYFUNCTION("""COMPUTED_VALUE"""),"Walkin")</f>
        <v>Walkin</v>
      </c>
      <c r="W4242" s="124" t="str">
        <f>IFERROR(__xludf.DUMMYFUNCTION("""COMPUTED_VALUE"""),"Indore")</f>
        <v>Indore</v>
      </c>
      <c r="X4242" s="124" t="str">
        <f>IFERROR(__xludf.DUMMYFUNCTION("""COMPUTED_VALUE"""),"Walkin")</f>
        <v>Walkin</v>
      </c>
      <c r="Y4242" s="124" t="str">
        <f>IFERROR(__xludf.DUMMYFUNCTION("""COMPUTED_VALUE"""),"Indore")</f>
        <v>Indore</v>
      </c>
      <c r="Z4242" s="124">
        <f>IFERROR(__xludf.DUMMYFUNCTION("""COMPUTED_VALUE"""),1.0)</f>
        <v>1</v>
      </c>
      <c r="AA4242" s="124" t="str">
        <f>IFERROR(__xludf.DUMMYFUNCTION("""COMPUTED_VALUE"""),"Future Prospects")</f>
        <v>Future Prospects</v>
      </c>
      <c r="AB4242" s="124" t="str">
        <f>IFERROR(__xludf.DUMMYFUNCTION("""COMPUTED_VALUE"""),"GS Foundation")</f>
        <v>GS Foundation</v>
      </c>
    </row>
    <row r="4243">
      <c r="K4243" s="124"/>
      <c r="L4243" s="124"/>
      <c r="M4243" s="124"/>
      <c r="N4243" s="124"/>
      <c r="O4243" s="124"/>
      <c r="T4243" s="126">
        <f>IFERROR(__xludf.DUMMYFUNCTION("""COMPUTED_VALUE"""),46065.0)</f>
        <v>46065</v>
      </c>
      <c r="U4243" s="124" t="str">
        <f>IFERROR(__xludf.DUMMYFUNCTION("""COMPUTED_VALUE"""),"Walk-Ins")</f>
        <v>Walk-Ins</v>
      </c>
      <c r="V4243" s="124" t="str">
        <f>IFERROR(__xludf.DUMMYFUNCTION("""COMPUTED_VALUE"""),"Walkin")</f>
        <v>Walkin</v>
      </c>
      <c r="W4243" s="124" t="str">
        <f>IFERROR(__xludf.DUMMYFUNCTION("""COMPUTED_VALUE"""),"Indore")</f>
        <v>Indore</v>
      </c>
      <c r="X4243" s="124" t="str">
        <f>IFERROR(__xludf.DUMMYFUNCTION("""COMPUTED_VALUE"""),"Walkin")</f>
        <v>Walkin</v>
      </c>
      <c r="Y4243" s="124" t="str">
        <f>IFERROR(__xludf.DUMMYFUNCTION("""COMPUTED_VALUE"""),"Indore")</f>
        <v>Indore</v>
      </c>
      <c r="Z4243" s="124">
        <f>IFERROR(__xludf.DUMMYFUNCTION("""COMPUTED_VALUE"""),1.0)</f>
        <v>1</v>
      </c>
      <c r="AA4243" s="124" t="str">
        <f>IFERROR(__xludf.DUMMYFUNCTION("""COMPUTED_VALUE"""),"Enrolled")</f>
        <v>Enrolled</v>
      </c>
      <c r="AB4243" s="124" t="str">
        <f>IFERROR(__xludf.DUMMYFUNCTION("""COMPUTED_VALUE"""),"State PCS")</f>
        <v>State PCS</v>
      </c>
    </row>
    <row r="4244">
      <c r="K4244" s="124"/>
      <c r="L4244" s="124"/>
      <c r="M4244" s="124"/>
      <c r="N4244" s="124"/>
      <c r="O4244" s="124"/>
      <c r="T4244" s="126">
        <f>IFERROR(__xludf.DUMMYFUNCTION("""COMPUTED_VALUE"""),46064.0)</f>
        <v>46064</v>
      </c>
      <c r="U4244" s="124" t="str">
        <f>IFERROR(__xludf.DUMMYFUNCTION("""COMPUTED_VALUE"""),"Walk-Ins")</f>
        <v>Walk-Ins</v>
      </c>
      <c r="V4244" s="124" t="str">
        <f>IFERROR(__xludf.DUMMYFUNCTION("""COMPUTED_VALUE"""),"Walkin")</f>
        <v>Walkin</v>
      </c>
      <c r="W4244" s="124" t="str">
        <f>IFERROR(__xludf.DUMMYFUNCTION("""COMPUTED_VALUE"""),"Patna")</f>
        <v>Patna</v>
      </c>
      <c r="X4244" s="124" t="str">
        <f>IFERROR(__xludf.DUMMYFUNCTION("""COMPUTED_VALUE"""),"Walkin")</f>
        <v>Walkin</v>
      </c>
      <c r="Y4244" s="124" t="str">
        <f>IFERROR(__xludf.DUMMYFUNCTION("""COMPUTED_VALUE"""),"Patna")</f>
        <v>Patna</v>
      </c>
      <c r="Z4244" s="124">
        <f>IFERROR(__xludf.DUMMYFUNCTION("""COMPUTED_VALUE"""),1.0)</f>
        <v>1</v>
      </c>
      <c r="AA4244" s="124" t="str">
        <f>IFERROR(__xludf.DUMMYFUNCTION("""COMPUTED_VALUE"""),"Fake Lead")</f>
        <v>Fake Lead</v>
      </c>
      <c r="AB4244" s="124" t="str">
        <f>IFERROR(__xludf.DUMMYFUNCTION("""COMPUTED_VALUE"""),"State PCS")</f>
        <v>State PCS</v>
      </c>
    </row>
    <row r="4245">
      <c r="K4245" s="124"/>
      <c r="L4245" s="124"/>
      <c r="M4245" s="124"/>
      <c r="N4245" s="124"/>
      <c r="O4245" s="124"/>
      <c r="T4245" s="126">
        <f>IFERROR(__xludf.DUMMYFUNCTION("""COMPUTED_VALUE"""),46096.0)</f>
        <v>46096</v>
      </c>
      <c r="U4245" s="124" t="str">
        <f>IFERROR(__xludf.DUMMYFUNCTION("""COMPUTED_VALUE"""),"Walk-Ins")</f>
        <v>Walk-Ins</v>
      </c>
      <c r="V4245" s="124" t="str">
        <f>IFERROR(__xludf.DUMMYFUNCTION("""COMPUTED_VALUE"""),"Walkin")</f>
        <v>Walkin</v>
      </c>
      <c r="W4245" s="124" t="str">
        <f>IFERROR(__xludf.DUMMYFUNCTION("""COMPUTED_VALUE"""),"Prayagraj")</f>
        <v>Prayagraj</v>
      </c>
      <c r="X4245" s="124" t="str">
        <f>IFERROR(__xludf.DUMMYFUNCTION("""COMPUTED_VALUE"""),"Walkin")</f>
        <v>Walkin</v>
      </c>
      <c r="Y4245" s="124" t="str">
        <f>IFERROR(__xludf.DUMMYFUNCTION("""COMPUTED_VALUE"""),"Prayagraj")</f>
        <v>Prayagraj</v>
      </c>
      <c r="Z4245" s="124">
        <f>IFERROR(__xludf.DUMMYFUNCTION("""COMPUTED_VALUE"""),1.0)</f>
        <v>1</v>
      </c>
      <c r="AA4245" s="124" t="str">
        <f>IFERROR(__xludf.DUMMYFUNCTION("""COMPUTED_VALUE"""),"Cold")</f>
        <v>Cold</v>
      </c>
      <c r="AB4245" s="124" t="str">
        <f>IFERROR(__xludf.DUMMYFUNCTION("""COMPUTED_VALUE"""),"Optionals")</f>
        <v>Optionals</v>
      </c>
    </row>
    <row r="4246">
      <c r="K4246" s="124"/>
      <c r="L4246" s="124"/>
      <c r="M4246" s="124"/>
      <c r="N4246" s="124"/>
      <c r="O4246" s="124"/>
      <c r="T4246" s="126">
        <f>IFERROR(__xludf.DUMMYFUNCTION("""COMPUTED_VALUE"""),46080.0)</f>
        <v>46080</v>
      </c>
      <c r="U4246" s="124" t="str">
        <f>IFERROR(__xludf.DUMMYFUNCTION("""COMPUTED_VALUE"""),"Walk-Ins")</f>
        <v>Walk-Ins</v>
      </c>
      <c r="V4246" s="124" t="str">
        <f>IFERROR(__xludf.DUMMYFUNCTION("""COMPUTED_VALUE"""),"Walkin")</f>
        <v>Walkin</v>
      </c>
      <c r="W4246" s="124" t="str">
        <f>IFERROR(__xludf.DUMMYFUNCTION("""COMPUTED_VALUE"""),"Patna")</f>
        <v>Patna</v>
      </c>
      <c r="X4246" s="124" t="str">
        <f>IFERROR(__xludf.DUMMYFUNCTION("""COMPUTED_VALUE"""),"Walkin")</f>
        <v>Walkin</v>
      </c>
      <c r="Y4246" s="124" t="str">
        <f>IFERROR(__xludf.DUMMYFUNCTION("""COMPUTED_VALUE"""),"Patna")</f>
        <v>Patna</v>
      </c>
      <c r="Z4246" s="124">
        <f>IFERROR(__xludf.DUMMYFUNCTION("""COMPUTED_VALUE"""),1.0)</f>
        <v>1</v>
      </c>
      <c r="AA4246" s="124" t="str">
        <f>IFERROR(__xludf.DUMMYFUNCTION("""COMPUTED_VALUE"""),"Fake Lead")</f>
        <v>Fake Lead</v>
      </c>
      <c r="AB4246" s="124" t="str">
        <f>IFERROR(__xludf.DUMMYFUNCTION("""COMPUTED_VALUE"""),"State PCS")</f>
        <v>State PCS</v>
      </c>
    </row>
    <row r="4247">
      <c r="K4247" s="124"/>
      <c r="L4247" s="124"/>
      <c r="M4247" s="124"/>
      <c r="N4247" s="124"/>
      <c r="O4247" s="124"/>
      <c r="T4247" s="126">
        <f>IFERROR(__xludf.DUMMYFUNCTION("""COMPUTED_VALUE"""),46094.0)</f>
        <v>46094</v>
      </c>
      <c r="U4247" s="124" t="str">
        <f>IFERROR(__xludf.DUMMYFUNCTION("""COMPUTED_VALUE"""),"Walk-Ins")</f>
        <v>Walk-Ins</v>
      </c>
      <c r="V4247" s="124" t="str">
        <f>IFERROR(__xludf.DUMMYFUNCTION("""COMPUTED_VALUE"""),"Walkin")</f>
        <v>Walkin</v>
      </c>
      <c r="W4247" s="124" t="str">
        <f>IFERROR(__xludf.DUMMYFUNCTION("""COMPUTED_VALUE"""),"Patna")</f>
        <v>Patna</v>
      </c>
      <c r="X4247" s="124" t="str">
        <f>IFERROR(__xludf.DUMMYFUNCTION("""COMPUTED_VALUE"""),"Walkin")</f>
        <v>Walkin</v>
      </c>
      <c r="Y4247" s="124" t="str">
        <f>IFERROR(__xludf.DUMMYFUNCTION("""COMPUTED_VALUE"""),"Patna")</f>
        <v>Patna</v>
      </c>
      <c r="Z4247" s="124">
        <f>IFERROR(__xludf.DUMMYFUNCTION("""COMPUTED_VALUE"""),1.0)</f>
        <v>1</v>
      </c>
      <c r="AA4247" s="124" t="str">
        <f>IFERROR(__xludf.DUMMYFUNCTION("""COMPUTED_VALUE"""),"Enrolled")</f>
        <v>Enrolled</v>
      </c>
      <c r="AB4247" s="124" t="str">
        <f>IFERROR(__xludf.DUMMYFUNCTION("""COMPUTED_VALUE"""),"State PCS")</f>
        <v>State PCS</v>
      </c>
    </row>
    <row r="4248">
      <c r="K4248" s="124"/>
      <c r="L4248" s="124"/>
      <c r="M4248" s="124"/>
      <c r="N4248" s="124"/>
      <c r="O4248" s="124"/>
      <c r="T4248" s="126">
        <f>IFERROR(__xludf.DUMMYFUNCTION("""COMPUTED_VALUE"""),46091.0)</f>
        <v>46091</v>
      </c>
      <c r="U4248" s="124" t="str">
        <f>IFERROR(__xludf.DUMMYFUNCTION("""COMPUTED_VALUE"""),"Walk-Ins")</f>
        <v>Walk-Ins</v>
      </c>
      <c r="V4248" s="124" t="str">
        <f>IFERROR(__xludf.DUMMYFUNCTION("""COMPUTED_VALUE"""),"Walkin")</f>
        <v>Walkin</v>
      </c>
      <c r="W4248" s="124" t="str">
        <f>IFERROR(__xludf.DUMMYFUNCTION("""COMPUTED_VALUE"""),"Patna")</f>
        <v>Patna</v>
      </c>
      <c r="X4248" s="124" t="str">
        <f>IFERROR(__xludf.DUMMYFUNCTION("""COMPUTED_VALUE"""),"Walkin")</f>
        <v>Walkin</v>
      </c>
      <c r="Y4248" s="124" t="str">
        <f>IFERROR(__xludf.DUMMYFUNCTION("""COMPUTED_VALUE"""),"Patna")</f>
        <v>Patna</v>
      </c>
      <c r="Z4248" s="124">
        <f>IFERROR(__xludf.DUMMYFUNCTION("""COMPUTED_VALUE"""),1.0)</f>
        <v>1</v>
      </c>
      <c r="AA4248" s="124" t="str">
        <f>IFERROR(__xludf.DUMMYFUNCTION("""COMPUTED_VALUE"""),"Not Interested")</f>
        <v>Not Interested</v>
      </c>
      <c r="AB4248" s="124" t="str">
        <f>IFERROR(__xludf.DUMMYFUNCTION("""COMPUTED_VALUE"""),"State PCS")</f>
        <v>State PCS</v>
      </c>
    </row>
    <row r="4249">
      <c r="K4249" s="124"/>
      <c r="L4249" s="124"/>
      <c r="M4249" s="124"/>
      <c r="N4249" s="124"/>
      <c r="O4249" s="124"/>
      <c r="T4249" s="126">
        <f>IFERROR(__xludf.DUMMYFUNCTION("""COMPUTED_VALUE"""),46098.0)</f>
        <v>46098</v>
      </c>
      <c r="U4249" s="124" t="str">
        <f>IFERROR(__xludf.DUMMYFUNCTION("""COMPUTED_VALUE"""),"Walk-Ins")</f>
        <v>Walk-Ins</v>
      </c>
      <c r="V4249" s="124" t="str">
        <f>IFERROR(__xludf.DUMMYFUNCTION("""COMPUTED_VALUE"""),"Walkin")</f>
        <v>Walkin</v>
      </c>
      <c r="W4249" s="124" t="str">
        <f>IFERROR(__xludf.DUMMYFUNCTION("""COMPUTED_VALUE"""),"Patna")</f>
        <v>Patna</v>
      </c>
      <c r="X4249" s="124" t="str">
        <f>IFERROR(__xludf.DUMMYFUNCTION("""COMPUTED_VALUE"""),"Walkin")</f>
        <v>Walkin</v>
      </c>
      <c r="Y4249" s="124" t="str">
        <f>IFERROR(__xludf.DUMMYFUNCTION("""COMPUTED_VALUE"""),"Patna")</f>
        <v>Patna</v>
      </c>
      <c r="Z4249" s="124">
        <f>IFERROR(__xludf.DUMMYFUNCTION("""COMPUTED_VALUE"""),1.0)</f>
        <v>1</v>
      </c>
      <c r="AA4249" s="124" t="str">
        <f>IFERROR(__xludf.DUMMYFUNCTION("""COMPUTED_VALUE"""),"Warm")</f>
        <v>Warm</v>
      </c>
      <c r="AB4249" s="124" t="str">
        <f>IFERROR(__xludf.DUMMYFUNCTION("""COMPUTED_VALUE"""),"GS Foundation")</f>
        <v>GS Foundation</v>
      </c>
    </row>
    <row r="4250">
      <c r="K4250" s="124"/>
      <c r="L4250" s="124"/>
      <c r="M4250" s="124"/>
      <c r="N4250" s="124"/>
      <c r="O4250" s="124"/>
      <c r="T4250" s="126">
        <f>IFERROR(__xludf.DUMMYFUNCTION("""COMPUTED_VALUE"""),46046.0)</f>
        <v>46046</v>
      </c>
      <c r="U4250" s="124" t="str">
        <f>IFERROR(__xludf.DUMMYFUNCTION("""COMPUTED_VALUE"""),"Walk-Ins")</f>
        <v>Walk-Ins</v>
      </c>
      <c r="V4250" s="124" t="str">
        <f>IFERROR(__xludf.DUMMYFUNCTION("""COMPUTED_VALUE"""),"Walkin")</f>
        <v>Walkin</v>
      </c>
      <c r="W4250" s="124" t="str">
        <f>IFERROR(__xludf.DUMMYFUNCTION("""COMPUTED_VALUE"""),"Prayagraj")</f>
        <v>Prayagraj</v>
      </c>
      <c r="X4250" s="124" t="str">
        <f>IFERROR(__xludf.DUMMYFUNCTION("""COMPUTED_VALUE"""),"Walkin")</f>
        <v>Walkin</v>
      </c>
      <c r="Y4250" s="124" t="str">
        <f>IFERROR(__xludf.DUMMYFUNCTION("""COMPUTED_VALUE"""),"Prayagraj")</f>
        <v>Prayagraj</v>
      </c>
      <c r="Z4250" s="124">
        <f>IFERROR(__xludf.DUMMYFUNCTION("""COMPUTED_VALUE"""),1.0)</f>
        <v>1</v>
      </c>
      <c r="AA4250" s="124" t="str">
        <f>IFERROR(__xludf.DUMMYFUNCTION("""COMPUTED_VALUE"""),"Not Interested")</f>
        <v>Not Interested</v>
      </c>
      <c r="AB4250" s="124" t="str">
        <f>IFERROR(__xludf.DUMMYFUNCTION("""COMPUTED_VALUE"""),"GS Foundation")</f>
        <v>GS Foundation</v>
      </c>
    </row>
    <row r="4251">
      <c r="K4251" s="124"/>
      <c r="L4251" s="124"/>
      <c r="M4251" s="124"/>
      <c r="N4251" s="124"/>
      <c r="O4251" s="124"/>
      <c r="T4251" s="126">
        <f>IFERROR(__xludf.DUMMYFUNCTION("""COMPUTED_VALUE"""),46044.0)</f>
        <v>46044</v>
      </c>
      <c r="U4251" s="124" t="str">
        <f>IFERROR(__xludf.DUMMYFUNCTION("""COMPUTED_VALUE"""),"Walk-Ins")</f>
        <v>Walk-Ins</v>
      </c>
      <c r="V4251" s="124" t="str">
        <f>IFERROR(__xludf.DUMMYFUNCTION("""COMPUTED_VALUE"""),"Walk-In")</f>
        <v>Walk-In</v>
      </c>
      <c r="W4251" s="124" t="str">
        <f>IFERROR(__xludf.DUMMYFUNCTION("""COMPUTED_VALUE"""),"Patna")</f>
        <v>Patna</v>
      </c>
      <c r="X4251" s="124" t="str">
        <f>IFERROR(__xludf.DUMMYFUNCTION("""COMPUTED_VALUE"""),"Others")</f>
        <v>Others</v>
      </c>
      <c r="Y4251" s="124"/>
      <c r="Z4251" s="124">
        <f>IFERROR(__xludf.DUMMYFUNCTION("""COMPUTED_VALUE"""),1.0)</f>
        <v>1</v>
      </c>
      <c r="AA4251" s="124" t="str">
        <f>IFERROR(__xludf.DUMMYFUNCTION("""COMPUTED_VALUE"""),"Enrolled")</f>
        <v>Enrolled</v>
      </c>
      <c r="AB4251" s="124" t="str">
        <f>IFERROR(__xludf.DUMMYFUNCTION("""COMPUTED_VALUE"""),"GS Foundation")</f>
        <v>GS Foundation</v>
      </c>
    </row>
    <row r="4252">
      <c r="K4252" s="124"/>
      <c r="L4252" s="124"/>
      <c r="M4252" s="124"/>
      <c r="N4252" s="124"/>
      <c r="O4252" s="124"/>
      <c r="T4252" s="126">
        <f>IFERROR(__xludf.DUMMYFUNCTION("""COMPUTED_VALUE"""),46109.0)</f>
        <v>46109</v>
      </c>
      <c r="U4252" s="124" t="str">
        <f>IFERROR(__xludf.DUMMYFUNCTION("""COMPUTED_VALUE"""),"Walk-Ins")</f>
        <v>Walk-Ins</v>
      </c>
      <c r="V4252" s="124" t="str">
        <f>IFERROR(__xludf.DUMMYFUNCTION("""COMPUTED_VALUE"""),"Walkin")</f>
        <v>Walkin</v>
      </c>
      <c r="W4252" s="124" t="str">
        <f>IFERROR(__xludf.DUMMYFUNCTION("""COMPUTED_VALUE"""),"Lucknow")</f>
        <v>Lucknow</v>
      </c>
      <c r="X4252" s="124" t="str">
        <f>IFERROR(__xludf.DUMMYFUNCTION("""COMPUTED_VALUE"""),"Walkin")</f>
        <v>Walkin</v>
      </c>
      <c r="Y4252" s="124" t="str">
        <f>IFERROR(__xludf.DUMMYFUNCTION("""COMPUTED_VALUE"""),"Lucknow")</f>
        <v>Lucknow</v>
      </c>
      <c r="Z4252" s="124">
        <f>IFERROR(__xludf.DUMMYFUNCTION("""COMPUTED_VALUE"""),1.0)</f>
        <v>1</v>
      </c>
      <c r="AA4252" s="124" t="str">
        <f>IFERROR(__xludf.DUMMYFUNCTION("""COMPUTED_VALUE"""),"Enrolled")</f>
        <v>Enrolled</v>
      </c>
      <c r="AB4252" s="124" t="str">
        <f>IFERROR(__xludf.DUMMYFUNCTION("""COMPUTED_VALUE"""),"GS Foundation")</f>
        <v>GS Foundation</v>
      </c>
    </row>
    <row r="4253">
      <c r="K4253" s="124"/>
      <c r="L4253" s="124"/>
      <c r="M4253" s="124"/>
      <c r="N4253" s="124"/>
      <c r="O4253" s="124"/>
      <c r="T4253" s="126">
        <f>IFERROR(__xludf.DUMMYFUNCTION("""COMPUTED_VALUE"""),46073.0)</f>
        <v>46073</v>
      </c>
      <c r="U4253" s="124" t="str">
        <f>IFERROR(__xludf.DUMMYFUNCTION("""COMPUTED_VALUE"""),"Walk-Ins")</f>
        <v>Walk-Ins</v>
      </c>
      <c r="V4253" s="124" t="str">
        <f>IFERROR(__xludf.DUMMYFUNCTION("""COMPUTED_VALUE"""),"Walkin")</f>
        <v>Walkin</v>
      </c>
      <c r="W4253" s="124" t="str">
        <f>IFERROR(__xludf.DUMMYFUNCTION("""COMPUTED_VALUE"""),"Indore")</f>
        <v>Indore</v>
      </c>
      <c r="X4253" s="124" t="str">
        <f>IFERROR(__xludf.DUMMYFUNCTION("""COMPUTED_VALUE"""),"Walkin")</f>
        <v>Walkin</v>
      </c>
      <c r="Y4253" s="124" t="str">
        <f>IFERROR(__xludf.DUMMYFUNCTION("""COMPUTED_VALUE"""),"Indore")</f>
        <v>Indore</v>
      </c>
      <c r="Z4253" s="124">
        <f>IFERROR(__xludf.DUMMYFUNCTION("""COMPUTED_VALUE"""),1.0)</f>
        <v>1</v>
      </c>
      <c r="AA4253" s="124" t="str">
        <f>IFERROR(__xludf.DUMMYFUNCTION("""COMPUTED_VALUE"""),"Fake Lead")</f>
        <v>Fake Lead</v>
      </c>
      <c r="AB4253" s="124" t="str">
        <f>IFERROR(__xludf.DUMMYFUNCTION("""COMPUTED_VALUE"""),"State PCS")</f>
        <v>State PCS</v>
      </c>
    </row>
    <row r="4254">
      <c r="K4254" s="124"/>
      <c r="L4254" s="124"/>
      <c r="M4254" s="124"/>
      <c r="N4254" s="124"/>
      <c r="O4254" s="124"/>
      <c r="T4254" s="126">
        <f>IFERROR(__xludf.DUMMYFUNCTION("""COMPUTED_VALUE"""),46093.0)</f>
        <v>46093</v>
      </c>
      <c r="U4254" s="124" t="str">
        <f>IFERROR(__xludf.DUMMYFUNCTION("""COMPUTED_VALUE"""),"Walk-Ins")</f>
        <v>Walk-Ins</v>
      </c>
      <c r="V4254" s="124" t="str">
        <f>IFERROR(__xludf.DUMMYFUNCTION("""COMPUTED_VALUE"""),"Walkin")</f>
        <v>Walkin</v>
      </c>
      <c r="W4254" s="124" t="str">
        <f>IFERROR(__xludf.DUMMYFUNCTION("""COMPUTED_VALUE"""),"Patna")</f>
        <v>Patna</v>
      </c>
      <c r="X4254" s="124" t="str">
        <f>IFERROR(__xludf.DUMMYFUNCTION("""COMPUTED_VALUE"""),"Walkin")</f>
        <v>Walkin</v>
      </c>
      <c r="Y4254" s="124" t="str">
        <f>IFERROR(__xludf.DUMMYFUNCTION("""COMPUTED_VALUE"""),"Patna")</f>
        <v>Patna</v>
      </c>
      <c r="Z4254" s="124">
        <f>IFERROR(__xludf.DUMMYFUNCTION("""COMPUTED_VALUE"""),1.0)</f>
        <v>1</v>
      </c>
      <c r="AA4254" s="124" t="str">
        <f>IFERROR(__xludf.DUMMYFUNCTION("""COMPUTED_VALUE"""),"Future Prospects")</f>
        <v>Future Prospects</v>
      </c>
      <c r="AB4254" s="124" t="str">
        <f>IFERROR(__xludf.DUMMYFUNCTION("""COMPUTED_VALUE"""),"GS Advanced")</f>
        <v>GS Advanced</v>
      </c>
    </row>
    <row r="4255">
      <c r="K4255" s="124"/>
      <c r="L4255" s="124"/>
      <c r="M4255" s="124"/>
      <c r="N4255" s="124"/>
      <c r="O4255" s="124"/>
      <c r="T4255" s="126">
        <f>IFERROR(__xludf.DUMMYFUNCTION("""COMPUTED_VALUE"""),46091.0)</f>
        <v>46091</v>
      </c>
      <c r="U4255" s="124" t="str">
        <f>IFERROR(__xludf.DUMMYFUNCTION("""COMPUTED_VALUE"""),"Walk-Ins")</f>
        <v>Walk-Ins</v>
      </c>
      <c r="V4255" s="124" t="str">
        <f>IFERROR(__xludf.DUMMYFUNCTION("""COMPUTED_VALUE"""),"Walkin")</f>
        <v>Walkin</v>
      </c>
      <c r="W4255" s="124" t="str">
        <f>IFERROR(__xludf.DUMMYFUNCTION("""COMPUTED_VALUE"""),"Patna")</f>
        <v>Patna</v>
      </c>
      <c r="X4255" s="124" t="str">
        <f>IFERROR(__xludf.DUMMYFUNCTION("""COMPUTED_VALUE"""),"Walkin")</f>
        <v>Walkin</v>
      </c>
      <c r="Y4255" s="124" t="str">
        <f>IFERROR(__xludf.DUMMYFUNCTION("""COMPUTED_VALUE"""),"Patna")</f>
        <v>Patna</v>
      </c>
      <c r="Z4255" s="124">
        <f>IFERROR(__xludf.DUMMYFUNCTION("""COMPUTED_VALUE"""),1.0)</f>
        <v>1</v>
      </c>
      <c r="AA4255" s="124" t="str">
        <f>IFERROR(__xludf.DUMMYFUNCTION("""COMPUTED_VALUE"""),"Enrolled")</f>
        <v>Enrolled</v>
      </c>
      <c r="AB4255" s="124" t="str">
        <f>IFERROR(__xludf.DUMMYFUNCTION("""COMPUTED_VALUE"""),"Hybrid")</f>
        <v>Hybrid</v>
      </c>
    </row>
    <row r="4256">
      <c r="K4256" s="124"/>
      <c r="L4256" s="124"/>
      <c r="M4256" s="124"/>
      <c r="N4256" s="124"/>
      <c r="O4256" s="124"/>
      <c r="T4256" s="126">
        <f>IFERROR(__xludf.DUMMYFUNCTION("""COMPUTED_VALUE"""),46069.0)</f>
        <v>46069</v>
      </c>
      <c r="U4256" s="124" t="str">
        <f>IFERROR(__xludf.DUMMYFUNCTION("""COMPUTED_VALUE"""),"Walk-Ins")</f>
        <v>Walk-Ins</v>
      </c>
      <c r="V4256" s="124" t="str">
        <f>IFERROR(__xludf.DUMMYFUNCTION("""COMPUTED_VALUE"""),"Walkin")</f>
        <v>Walkin</v>
      </c>
      <c r="W4256" s="124" t="str">
        <f>IFERROR(__xludf.DUMMYFUNCTION("""COMPUTED_VALUE"""),"Indore")</f>
        <v>Indore</v>
      </c>
      <c r="X4256" s="124" t="str">
        <f>IFERROR(__xludf.DUMMYFUNCTION("""COMPUTED_VALUE"""),"Walkin")</f>
        <v>Walkin</v>
      </c>
      <c r="Y4256" s="124" t="str">
        <f>IFERROR(__xludf.DUMMYFUNCTION("""COMPUTED_VALUE"""),"Indore")</f>
        <v>Indore</v>
      </c>
      <c r="Z4256" s="124">
        <f>IFERROR(__xludf.DUMMYFUNCTION("""COMPUTED_VALUE"""),1.0)</f>
        <v>1</v>
      </c>
      <c r="AA4256" s="124" t="str">
        <f>IFERROR(__xludf.DUMMYFUNCTION("""COMPUTED_VALUE"""),"Cold")</f>
        <v>Cold</v>
      </c>
      <c r="AB4256" s="124" t="str">
        <f>IFERROR(__xludf.DUMMYFUNCTION("""COMPUTED_VALUE"""),"Mentorship")</f>
        <v>Mentorship</v>
      </c>
    </row>
    <row r="4257">
      <c r="K4257" s="124"/>
      <c r="L4257" s="124"/>
      <c r="M4257" s="124"/>
      <c r="N4257" s="124"/>
      <c r="O4257" s="124"/>
      <c r="T4257" s="129">
        <f>IFERROR(__xludf.DUMMYFUNCTION("""COMPUTED_VALUE"""),46062.0)</f>
        <v>46062</v>
      </c>
      <c r="U4257" s="124" t="str">
        <f>IFERROR(__xludf.DUMMYFUNCTION("""COMPUTED_VALUE"""),"Walk-Ins")</f>
        <v>Walk-Ins</v>
      </c>
      <c r="V4257" s="124" t="str">
        <f>IFERROR(__xludf.DUMMYFUNCTION("""COMPUTED_VALUE"""),"Walkin")</f>
        <v>Walkin</v>
      </c>
      <c r="W4257" s="124" t="str">
        <f>IFERROR(__xludf.DUMMYFUNCTION("""COMPUTED_VALUE"""),"Lucknow")</f>
        <v>Lucknow</v>
      </c>
      <c r="X4257" s="124" t="str">
        <f>IFERROR(__xludf.DUMMYFUNCTION("""COMPUTED_VALUE"""),"Walkin")</f>
        <v>Walkin</v>
      </c>
      <c r="Y4257" s="124" t="str">
        <f>IFERROR(__xludf.DUMMYFUNCTION("""COMPUTED_VALUE"""),"Lucknow")</f>
        <v>Lucknow</v>
      </c>
      <c r="Z4257" s="124">
        <f>IFERROR(__xludf.DUMMYFUNCTION("""COMPUTED_VALUE"""),1.0)</f>
        <v>1</v>
      </c>
      <c r="AA4257" s="124" t="str">
        <f>IFERROR(__xludf.DUMMYFUNCTION("""COMPUTED_VALUE"""),"Cold")</f>
        <v>Cold</v>
      </c>
      <c r="AB4257" s="124" t="str">
        <f>IFERROR(__xludf.DUMMYFUNCTION("""COMPUTED_VALUE"""),"State PCS")</f>
        <v>State PCS</v>
      </c>
    </row>
    <row r="4258">
      <c r="K4258" s="124"/>
      <c r="L4258" s="124"/>
      <c r="M4258" s="124"/>
      <c r="N4258" s="124"/>
      <c r="O4258" s="124"/>
      <c r="T4258" s="129">
        <f>IFERROR(__xludf.DUMMYFUNCTION("""COMPUTED_VALUE"""),46056.0)</f>
        <v>46056</v>
      </c>
      <c r="U4258" s="124" t="str">
        <f>IFERROR(__xludf.DUMMYFUNCTION("""COMPUTED_VALUE"""),"Walk-Ins")</f>
        <v>Walk-Ins</v>
      </c>
      <c r="V4258" s="124" t="str">
        <f>IFERROR(__xludf.DUMMYFUNCTION("""COMPUTED_VALUE"""),"Walkin")</f>
        <v>Walkin</v>
      </c>
      <c r="W4258" s="124" t="str">
        <f>IFERROR(__xludf.DUMMYFUNCTION("""COMPUTED_VALUE"""),"Patna")</f>
        <v>Patna</v>
      </c>
      <c r="X4258" s="124" t="str">
        <f>IFERROR(__xludf.DUMMYFUNCTION("""COMPUTED_VALUE"""),"Walkin")</f>
        <v>Walkin</v>
      </c>
      <c r="Y4258" s="124" t="str">
        <f>IFERROR(__xludf.DUMMYFUNCTION("""COMPUTED_VALUE"""),"Patna")</f>
        <v>Patna</v>
      </c>
      <c r="Z4258" s="124">
        <f>IFERROR(__xludf.DUMMYFUNCTION("""COMPUTED_VALUE"""),1.0)</f>
        <v>1</v>
      </c>
      <c r="AA4258" s="124" t="str">
        <f>IFERROR(__xludf.DUMMYFUNCTION("""COMPUTED_VALUE"""),"Enrolled")</f>
        <v>Enrolled</v>
      </c>
      <c r="AB4258" s="124" t="str">
        <f>IFERROR(__xludf.DUMMYFUNCTION("""COMPUTED_VALUE"""),"GS Advanced")</f>
        <v>GS Advanced</v>
      </c>
    </row>
    <row r="4259">
      <c r="K4259" s="124"/>
      <c r="L4259" s="124"/>
      <c r="M4259" s="124"/>
      <c r="N4259" s="124"/>
      <c r="O4259" s="124"/>
      <c r="T4259" s="126">
        <f>IFERROR(__xludf.DUMMYFUNCTION("""COMPUTED_VALUE"""),46071.0)</f>
        <v>46071</v>
      </c>
      <c r="U4259" s="124" t="str">
        <f>IFERROR(__xludf.DUMMYFUNCTION("""COMPUTED_VALUE"""),"Walk-Ins")</f>
        <v>Walk-Ins</v>
      </c>
      <c r="V4259" s="124" t="str">
        <f>IFERROR(__xludf.DUMMYFUNCTION("""COMPUTED_VALUE"""),"Walkin")</f>
        <v>Walkin</v>
      </c>
      <c r="W4259" s="124" t="str">
        <f>IFERROR(__xludf.DUMMYFUNCTION("""COMPUTED_VALUE"""),"Patna")</f>
        <v>Patna</v>
      </c>
      <c r="X4259" s="124" t="str">
        <f>IFERROR(__xludf.DUMMYFUNCTION("""COMPUTED_VALUE"""),"Walkin")</f>
        <v>Walkin</v>
      </c>
      <c r="Y4259" s="124" t="str">
        <f>IFERROR(__xludf.DUMMYFUNCTION("""COMPUTED_VALUE"""),"Patna")</f>
        <v>Patna</v>
      </c>
      <c r="Z4259" s="124">
        <f>IFERROR(__xludf.DUMMYFUNCTION("""COMPUTED_VALUE"""),1.0)</f>
        <v>1</v>
      </c>
      <c r="AA4259" s="124" t="str">
        <f>IFERROR(__xludf.DUMMYFUNCTION("""COMPUTED_VALUE"""),"Future Prospects")</f>
        <v>Future Prospects</v>
      </c>
      <c r="AB4259" s="124" t="str">
        <f>IFERROR(__xludf.DUMMYFUNCTION("""COMPUTED_VALUE"""),"GS Foundation")</f>
        <v>GS Foundation</v>
      </c>
    </row>
    <row r="4260">
      <c r="K4260" s="124"/>
      <c r="L4260" s="124"/>
      <c r="M4260" s="124"/>
      <c r="N4260" s="124"/>
      <c r="O4260" s="124"/>
      <c r="T4260" s="126">
        <f>IFERROR(__xludf.DUMMYFUNCTION("""COMPUTED_VALUE"""),46093.0)</f>
        <v>46093</v>
      </c>
      <c r="U4260" s="124" t="str">
        <f>IFERROR(__xludf.DUMMYFUNCTION("""COMPUTED_VALUE"""),"Walk-Ins")</f>
        <v>Walk-Ins</v>
      </c>
      <c r="V4260" s="124" t="str">
        <f>IFERROR(__xludf.DUMMYFUNCTION("""COMPUTED_VALUE"""),"Walkin")</f>
        <v>Walkin</v>
      </c>
      <c r="W4260" s="124" t="str">
        <f>IFERROR(__xludf.DUMMYFUNCTION("""COMPUTED_VALUE"""),"Prayagraj")</f>
        <v>Prayagraj</v>
      </c>
      <c r="X4260" s="124" t="str">
        <f>IFERROR(__xludf.DUMMYFUNCTION("""COMPUTED_VALUE"""),"Walkin")</f>
        <v>Walkin</v>
      </c>
      <c r="Y4260" s="124" t="str">
        <f>IFERROR(__xludf.DUMMYFUNCTION("""COMPUTED_VALUE"""),"Prayagraj")</f>
        <v>Prayagraj</v>
      </c>
      <c r="Z4260" s="124">
        <f>IFERROR(__xludf.DUMMYFUNCTION("""COMPUTED_VALUE"""),1.0)</f>
        <v>1</v>
      </c>
      <c r="AA4260" s="124" t="str">
        <f>IFERROR(__xludf.DUMMYFUNCTION("""COMPUTED_VALUE"""),"Cold")</f>
        <v>Cold</v>
      </c>
      <c r="AB4260" s="124" t="str">
        <f>IFERROR(__xludf.DUMMYFUNCTION("""COMPUTED_VALUE"""),"State PCS")</f>
        <v>State PCS</v>
      </c>
    </row>
    <row r="4261">
      <c r="K4261" s="124"/>
      <c r="L4261" s="124"/>
      <c r="M4261" s="124"/>
      <c r="N4261" s="124"/>
      <c r="O4261" s="124"/>
      <c r="T4261" s="126">
        <f>IFERROR(__xludf.DUMMYFUNCTION("""COMPUTED_VALUE"""),46112.0)</f>
        <v>46112</v>
      </c>
      <c r="U4261" s="124" t="str">
        <f>IFERROR(__xludf.DUMMYFUNCTION("""COMPUTED_VALUE"""),"Walk-Ins")</f>
        <v>Walk-Ins</v>
      </c>
      <c r="V4261" s="124" t="str">
        <f>IFERROR(__xludf.DUMMYFUNCTION("""COMPUTED_VALUE"""),"Walkin")</f>
        <v>Walkin</v>
      </c>
      <c r="W4261" s="124" t="str">
        <f>IFERROR(__xludf.DUMMYFUNCTION("""COMPUTED_VALUE"""),"Lucknow")</f>
        <v>Lucknow</v>
      </c>
      <c r="X4261" s="124" t="str">
        <f>IFERROR(__xludf.DUMMYFUNCTION("""COMPUTED_VALUE"""),"Walkin")</f>
        <v>Walkin</v>
      </c>
      <c r="Y4261" s="124" t="str">
        <f>IFERROR(__xludf.DUMMYFUNCTION("""COMPUTED_VALUE"""),"Lucknow")</f>
        <v>Lucknow</v>
      </c>
      <c r="Z4261" s="124">
        <f>IFERROR(__xludf.DUMMYFUNCTION("""COMPUTED_VALUE"""),1.0)</f>
        <v>1</v>
      </c>
      <c r="AA4261" s="124" t="str">
        <f>IFERROR(__xludf.DUMMYFUNCTION("""COMPUTED_VALUE"""),"Enrolled")</f>
        <v>Enrolled</v>
      </c>
      <c r="AB4261" s="124" t="str">
        <f>IFERROR(__xludf.DUMMYFUNCTION("""COMPUTED_VALUE"""),"GS Foundation")</f>
        <v>GS Foundation</v>
      </c>
    </row>
    <row r="4262">
      <c r="K4262" s="124"/>
      <c r="L4262" s="124"/>
      <c r="M4262" s="124"/>
      <c r="N4262" s="124"/>
      <c r="O4262" s="124"/>
      <c r="T4262" s="126">
        <f>IFERROR(__xludf.DUMMYFUNCTION("""COMPUTED_VALUE"""),46101.0)</f>
        <v>46101</v>
      </c>
      <c r="U4262" s="124" t="str">
        <f>IFERROR(__xludf.DUMMYFUNCTION("""COMPUTED_VALUE"""),"Walk-Ins")</f>
        <v>Walk-Ins</v>
      </c>
      <c r="V4262" s="124" t="str">
        <f>IFERROR(__xludf.DUMMYFUNCTION("""COMPUTED_VALUE"""),"Walkin")</f>
        <v>Walkin</v>
      </c>
      <c r="W4262" s="124" t="str">
        <f>IFERROR(__xludf.DUMMYFUNCTION("""COMPUTED_VALUE"""),"Indore")</f>
        <v>Indore</v>
      </c>
      <c r="X4262" s="124" t="str">
        <f>IFERROR(__xludf.DUMMYFUNCTION("""COMPUTED_VALUE"""),"Walkin")</f>
        <v>Walkin</v>
      </c>
      <c r="Y4262" s="124" t="str">
        <f>IFERROR(__xludf.DUMMYFUNCTION("""COMPUTED_VALUE"""),"Indore")</f>
        <v>Indore</v>
      </c>
      <c r="Z4262" s="124">
        <f>IFERROR(__xludf.DUMMYFUNCTION("""COMPUTED_VALUE"""),1.0)</f>
        <v>1</v>
      </c>
      <c r="AA4262" s="124" t="str">
        <f>IFERROR(__xludf.DUMMYFUNCTION("""COMPUTED_VALUE"""),"Future Prospects")</f>
        <v>Future Prospects</v>
      </c>
      <c r="AB4262" s="124" t="str">
        <f>IFERROR(__xludf.DUMMYFUNCTION("""COMPUTED_VALUE"""),"GS Foundation")</f>
        <v>GS Foundation</v>
      </c>
    </row>
    <row r="4263">
      <c r="K4263" s="124"/>
      <c r="L4263" s="124"/>
      <c r="M4263" s="124"/>
      <c r="N4263" s="124"/>
      <c r="O4263" s="124"/>
      <c r="T4263" s="126">
        <f>IFERROR(__xludf.DUMMYFUNCTION("""COMPUTED_VALUE"""),46077.0)</f>
        <v>46077</v>
      </c>
      <c r="U4263" s="124" t="str">
        <f>IFERROR(__xludf.DUMMYFUNCTION("""COMPUTED_VALUE"""),"Walk-Ins")</f>
        <v>Walk-Ins</v>
      </c>
      <c r="V4263" s="124" t="str">
        <f>IFERROR(__xludf.DUMMYFUNCTION("""COMPUTED_VALUE"""),"Walkin")</f>
        <v>Walkin</v>
      </c>
      <c r="W4263" s="124" t="str">
        <f>IFERROR(__xludf.DUMMYFUNCTION("""COMPUTED_VALUE"""),"Prayagraj")</f>
        <v>Prayagraj</v>
      </c>
      <c r="X4263" s="124" t="str">
        <f>IFERROR(__xludf.DUMMYFUNCTION("""COMPUTED_VALUE"""),"Walkin")</f>
        <v>Walkin</v>
      </c>
      <c r="Y4263" s="124" t="str">
        <f>IFERROR(__xludf.DUMMYFUNCTION("""COMPUTED_VALUE"""),"Prayagraj")</f>
        <v>Prayagraj</v>
      </c>
      <c r="Z4263" s="124">
        <f>IFERROR(__xludf.DUMMYFUNCTION("""COMPUTED_VALUE"""),1.0)</f>
        <v>1</v>
      </c>
      <c r="AA4263" s="124" t="str">
        <f>IFERROR(__xludf.DUMMYFUNCTION("""COMPUTED_VALUE"""),"Warm")</f>
        <v>Warm</v>
      </c>
      <c r="AB4263" s="124" t="str">
        <f>IFERROR(__xludf.DUMMYFUNCTION("""COMPUTED_VALUE"""),"GS Foundation")</f>
        <v>GS Foundation</v>
      </c>
    </row>
    <row r="4264">
      <c r="K4264" s="124"/>
      <c r="L4264" s="124"/>
      <c r="M4264" s="124"/>
      <c r="N4264" s="124"/>
      <c r="O4264" s="124"/>
      <c r="T4264" s="126">
        <f>IFERROR(__xludf.DUMMYFUNCTION("""COMPUTED_VALUE"""),46094.0)</f>
        <v>46094</v>
      </c>
      <c r="U4264" s="124" t="str">
        <f>IFERROR(__xludf.DUMMYFUNCTION("""COMPUTED_VALUE"""),"Walk-Ins")</f>
        <v>Walk-Ins</v>
      </c>
      <c r="V4264" s="124" t="str">
        <f>IFERROR(__xludf.DUMMYFUNCTION("""COMPUTED_VALUE"""),"Walkin")</f>
        <v>Walkin</v>
      </c>
      <c r="W4264" s="124" t="str">
        <f>IFERROR(__xludf.DUMMYFUNCTION("""COMPUTED_VALUE"""),"Indore")</f>
        <v>Indore</v>
      </c>
      <c r="X4264" s="124" t="str">
        <f>IFERROR(__xludf.DUMMYFUNCTION("""COMPUTED_VALUE"""),"Walkin")</f>
        <v>Walkin</v>
      </c>
      <c r="Y4264" s="124" t="str">
        <f>IFERROR(__xludf.DUMMYFUNCTION("""COMPUTED_VALUE"""),"Indore")</f>
        <v>Indore</v>
      </c>
      <c r="Z4264" s="124">
        <f>IFERROR(__xludf.DUMMYFUNCTION("""COMPUTED_VALUE"""),1.0)</f>
        <v>1</v>
      </c>
      <c r="AA4264" s="124" t="str">
        <f>IFERROR(__xludf.DUMMYFUNCTION("""COMPUTED_VALUE"""),"Enrolled")</f>
        <v>Enrolled</v>
      </c>
      <c r="AB4264" s="124" t="str">
        <f>IFERROR(__xludf.DUMMYFUNCTION("""COMPUTED_VALUE"""),"GS Foundation")</f>
        <v>GS Foundation</v>
      </c>
    </row>
    <row r="4265">
      <c r="K4265" s="124"/>
      <c r="L4265" s="124"/>
      <c r="M4265" s="124"/>
      <c r="N4265" s="124"/>
      <c r="O4265" s="124"/>
      <c r="T4265" s="126">
        <f>IFERROR(__xludf.DUMMYFUNCTION("""COMPUTED_VALUE"""),46107.0)</f>
        <v>46107</v>
      </c>
      <c r="U4265" s="124" t="str">
        <f>IFERROR(__xludf.DUMMYFUNCTION("""COMPUTED_VALUE"""),"Walk-Ins")</f>
        <v>Walk-Ins</v>
      </c>
      <c r="V4265" s="124" t="str">
        <f>IFERROR(__xludf.DUMMYFUNCTION("""COMPUTED_VALUE"""),"Walkin")</f>
        <v>Walkin</v>
      </c>
      <c r="W4265" s="124" t="str">
        <f>IFERROR(__xludf.DUMMYFUNCTION("""COMPUTED_VALUE"""),"Patna")</f>
        <v>Patna</v>
      </c>
      <c r="X4265" s="124" t="str">
        <f>IFERROR(__xludf.DUMMYFUNCTION("""COMPUTED_VALUE"""),"Walkin")</f>
        <v>Walkin</v>
      </c>
      <c r="Y4265" s="124" t="str">
        <f>IFERROR(__xludf.DUMMYFUNCTION("""COMPUTED_VALUE"""),"Patna")</f>
        <v>Patna</v>
      </c>
      <c r="Z4265" s="124">
        <f>IFERROR(__xludf.DUMMYFUNCTION("""COMPUTED_VALUE"""),1.0)</f>
        <v>1</v>
      </c>
      <c r="AA4265" s="124" t="str">
        <f>IFERROR(__xludf.DUMMYFUNCTION("""COMPUTED_VALUE"""),"Future Prospects")</f>
        <v>Future Prospects</v>
      </c>
      <c r="AB4265" s="124" t="str">
        <f>IFERROR(__xludf.DUMMYFUNCTION("""COMPUTED_VALUE"""),"State PCS")</f>
        <v>State PCS</v>
      </c>
    </row>
    <row r="4266">
      <c r="K4266" s="124"/>
      <c r="L4266" s="124"/>
      <c r="M4266" s="124"/>
      <c r="N4266" s="124"/>
      <c r="O4266" s="124"/>
      <c r="T4266" s="129">
        <f>IFERROR(__xludf.DUMMYFUNCTION("""COMPUTED_VALUE"""),46058.0)</f>
        <v>46058</v>
      </c>
      <c r="U4266" s="124" t="str">
        <f>IFERROR(__xludf.DUMMYFUNCTION("""COMPUTED_VALUE"""),"Walk-Ins")</f>
        <v>Walk-Ins</v>
      </c>
      <c r="V4266" s="124" t="str">
        <f>IFERROR(__xludf.DUMMYFUNCTION("""COMPUTED_VALUE"""),"Walkin")</f>
        <v>Walkin</v>
      </c>
      <c r="W4266" s="124" t="str">
        <f>IFERROR(__xludf.DUMMYFUNCTION("""COMPUTED_VALUE"""),"Patna")</f>
        <v>Patna</v>
      </c>
      <c r="X4266" s="124" t="str">
        <f>IFERROR(__xludf.DUMMYFUNCTION("""COMPUTED_VALUE"""),"Walkin")</f>
        <v>Walkin</v>
      </c>
      <c r="Y4266" s="124" t="str">
        <f>IFERROR(__xludf.DUMMYFUNCTION("""COMPUTED_VALUE"""),"Patna")</f>
        <v>Patna</v>
      </c>
      <c r="Z4266" s="124">
        <f>IFERROR(__xludf.DUMMYFUNCTION("""COMPUTED_VALUE"""),1.0)</f>
        <v>1</v>
      </c>
      <c r="AA4266" s="124" t="str">
        <f>IFERROR(__xludf.DUMMYFUNCTION("""COMPUTED_VALUE"""),"Future Prospects")</f>
        <v>Future Prospects</v>
      </c>
      <c r="AB4266" s="124" t="str">
        <f>IFERROR(__xludf.DUMMYFUNCTION("""COMPUTED_VALUE"""),"GS Foundation")</f>
        <v>GS Foundation</v>
      </c>
    </row>
    <row r="4267">
      <c r="K4267" s="124"/>
      <c r="L4267" s="124"/>
      <c r="M4267" s="124"/>
      <c r="N4267" s="124"/>
      <c r="O4267" s="124"/>
      <c r="T4267" s="126">
        <f>IFERROR(__xludf.DUMMYFUNCTION("""COMPUTED_VALUE"""),46044.0)</f>
        <v>46044</v>
      </c>
      <c r="U4267" s="124" t="str">
        <f>IFERROR(__xludf.DUMMYFUNCTION("""COMPUTED_VALUE"""),"Walk-Ins")</f>
        <v>Walk-Ins</v>
      </c>
      <c r="V4267" s="124" t="str">
        <f>IFERROR(__xludf.DUMMYFUNCTION("""COMPUTED_VALUE"""),"Walkin")</f>
        <v>Walkin</v>
      </c>
      <c r="W4267" s="124" t="str">
        <f>IFERROR(__xludf.DUMMYFUNCTION("""COMPUTED_VALUE"""),"Patna")</f>
        <v>Patna</v>
      </c>
      <c r="X4267" s="124" t="str">
        <f>IFERROR(__xludf.DUMMYFUNCTION("""COMPUTED_VALUE"""),"Walkin")</f>
        <v>Walkin</v>
      </c>
      <c r="Y4267" s="124" t="str">
        <f>IFERROR(__xludf.DUMMYFUNCTION("""COMPUTED_VALUE"""),"Patna")</f>
        <v>Patna</v>
      </c>
      <c r="Z4267" s="124">
        <f>IFERROR(__xludf.DUMMYFUNCTION("""COMPUTED_VALUE"""),1.0)</f>
        <v>1</v>
      </c>
      <c r="AA4267" s="124" t="str">
        <f>IFERROR(__xludf.DUMMYFUNCTION("""COMPUTED_VALUE"""),"Warm")</f>
        <v>Warm</v>
      </c>
      <c r="AB4267" s="124" t="str">
        <f>IFERROR(__xludf.DUMMYFUNCTION("""COMPUTED_VALUE"""),"State PCS")</f>
        <v>State PCS</v>
      </c>
    </row>
    <row r="4268">
      <c r="K4268" s="124"/>
      <c r="L4268" s="124"/>
      <c r="M4268" s="124"/>
      <c r="N4268" s="124"/>
      <c r="O4268" s="124"/>
      <c r="T4268" s="126">
        <f>IFERROR(__xludf.DUMMYFUNCTION("""COMPUTED_VALUE"""),46049.0)</f>
        <v>46049</v>
      </c>
      <c r="U4268" s="124" t="str">
        <f>IFERROR(__xludf.DUMMYFUNCTION("""COMPUTED_VALUE"""),"Walk-Ins")</f>
        <v>Walk-Ins</v>
      </c>
      <c r="V4268" s="124" t="str">
        <f>IFERROR(__xludf.DUMMYFUNCTION("""COMPUTED_VALUE"""),"Walkin")</f>
        <v>Walkin</v>
      </c>
      <c r="W4268" s="124" t="str">
        <f>IFERROR(__xludf.DUMMYFUNCTION("""COMPUTED_VALUE"""),"Prayagraj")</f>
        <v>Prayagraj</v>
      </c>
      <c r="X4268" s="124" t="str">
        <f>IFERROR(__xludf.DUMMYFUNCTION("""COMPUTED_VALUE"""),"Walkin")</f>
        <v>Walkin</v>
      </c>
      <c r="Y4268" s="124" t="str">
        <f>IFERROR(__xludf.DUMMYFUNCTION("""COMPUTED_VALUE"""),"Prayagraj")</f>
        <v>Prayagraj</v>
      </c>
      <c r="Z4268" s="124">
        <f>IFERROR(__xludf.DUMMYFUNCTION("""COMPUTED_VALUE"""),1.0)</f>
        <v>1</v>
      </c>
      <c r="AA4268" s="124" t="str">
        <f>IFERROR(__xludf.DUMMYFUNCTION("""COMPUTED_VALUE"""),"Enrolled")</f>
        <v>Enrolled</v>
      </c>
      <c r="AB4268" s="124" t="str">
        <f>IFERROR(__xludf.DUMMYFUNCTION("""COMPUTED_VALUE"""),"GS Foundation")</f>
        <v>GS Foundation</v>
      </c>
    </row>
    <row r="4269">
      <c r="K4269" s="124"/>
      <c r="L4269" s="124"/>
      <c r="M4269" s="124"/>
      <c r="N4269" s="124"/>
      <c r="O4269" s="124"/>
      <c r="T4269" s="126">
        <f>IFERROR(__xludf.DUMMYFUNCTION("""COMPUTED_VALUE"""),46092.0)</f>
        <v>46092</v>
      </c>
      <c r="U4269" s="124" t="str">
        <f>IFERROR(__xludf.DUMMYFUNCTION("""COMPUTED_VALUE"""),"Walk-Ins")</f>
        <v>Walk-Ins</v>
      </c>
      <c r="V4269" s="124" t="str">
        <f>IFERROR(__xludf.DUMMYFUNCTION("""COMPUTED_VALUE"""),"Walkin")</f>
        <v>Walkin</v>
      </c>
      <c r="W4269" s="124" t="str">
        <f>IFERROR(__xludf.DUMMYFUNCTION("""COMPUTED_VALUE"""),"Lucknow")</f>
        <v>Lucknow</v>
      </c>
      <c r="X4269" s="124" t="str">
        <f>IFERROR(__xludf.DUMMYFUNCTION("""COMPUTED_VALUE"""),"Walkin")</f>
        <v>Walkin</v>
      </c>
      <c r="Y4269" s="124" t="str">
        <f>IFERROR(__xludf.DUMMYFUNCTION("""COMPUTED_VALUE"""),"Lucknow")</f>
        <v>Lucknow</v>
      </c>
      <c r="Z4269" s="124">
        <f>IFERROR(__xludf.DUMMYFUNCTION("""COMPUTED_VALUE"""),2.0)</f>
        <v>2</v>
      </c>
      <c r="AA4269" s="124" t="str">
        <f>IFERROR(__xludf.DUMMYFUNCTION("""COMPUTED_VALUE"""),"Cold")</f>
        <v>Cold</v>
      </c>
      <c r="AB4269" s="124" t="str">
        <f>IFERROR(__xludf.DUMMYFUNCTION("""COMPUTED_VALUE"""),"GS Foundation")</f>
        <v>GS Foundation</v>
      </c>
    </row>
    <row r="4270">
      <c r="K4270" s="124"/>
      <c r="L4270" s="124"/>
      <c r="M4270" s="124"/>
      <c r="N4270" s="124"/>
      <c r="O4270" s="124"/>
      <c r="T4270" s="126">
        <f>IFERROR(__xludf.DUMMYFUNCTION("""COMPUTED_VALUE"""),46049.0)</f>
        <v>46049</v>
      </c>
      <c r="U4270" s="124" t="str">
        <f>IFERROR(__xludf.DUMMYFUNCTION("""COMPUTED_VALUE"""),"Walk-Ins")</f>
        <v>Walk-Ins</v>
      </c>
      <c r="V4270" s="124" t="str">
        <f>IFERROR(__xludf.DUMMYFUNCTION("""COMPUTED_VALUE"""),"Walk-In")</f>
        <v>Walk-In</v>
      </c>
      <c r="W4270" s="124" t="str">
        <f>IFERROR(__xludf.DUMMYFUNCTION("""COMPUTED_VALUE"""),"Patna")</f>
        <v>Patna</v>
      </c>
      <c r="X4270" s="124" t="str">
        <f>IFERROR(__xludf.DUMMYFUNCTION("""COMPUTED_VALUE"""),"Others")</f>
        <v>Others</v>
      </c>
      <c r="Y4270" s="124" t="str">
        <f>IFERROR(__xludf.DUMMYFUNCTION("""COMPUTED_VALUE"""),"Patna")</f>
        <v>Patna</v>
      </c>
      <c r="Z4270" s="124">
        <f>IFERROR(__xludf.DUMMYFUNCTION("""COMPUTED_VALUE"""),2.0)</f>
        <v>2</v>
      </c>
      <c r="AA4270" s="124" t="str">
        <f>IFERROR(__xludf.DUMMYFUNCTION("""COMPUTED_VALUE"""),"Not Interested")</f>
        <v>Not Interested</v>
      </c>
      <c r="AB4270" s="124" t="str">
        <f>IFERROR(__xludf.DUMMYFUNCTION("""COMPUTED_VALUE"""),"GS Foundation")</f>
        <v>GS Foundation</v>
      </c>
    </row>
    <row r="4271">
      <c r="K4271" s="124"/>
      <c r="L4271" s="124"/>
      <c r="M4271" s="124"/>
      <c r="N4271" s="124"/>
      <c r="O4271" s="124"/>
      <c r="T4271" s="129">
        <f>IFERROR(__xludf.DUMMYFUNCTION("""COMPUTED_VALUE"""),46058.0)</f>
        <v>46058</v>
      </c>
      <c r="U4271" s="124" t="str">
        <f>IFERROR(__xludf.DUMMYFUNCTION("""COMPUTED_VALUE"""),"Walk-Ins")</f>
        <v>Walk-Ins</v>
      </c>
      <c r="V4271" s="124" t="str">
        <f>IFERROR(__xludf.DUMMYFUNCTION("""COMPUTED_VALUE"""),"Walkin")</f>
        <v>Walkin</v>
      </c>
      <c r="W4271" s="124" t="str">
        <f>IFERROR(__xludf.DUMMYFUNCTION("""COMPUTED_VALUE"""),"Indore")</f>
        <v>Indore</v>
      </c>
      <c r="X4271" s="124" t="str">
        <f>IFERROR(__xludf.DUMMYFUNCTION("""COMPUTED_VALUE"""),"Walkin")</f>
        <v>Walkin</v>
      </c>
      <c r="Y4271" s="124" t="str">
        <f>IFERROR(__xludf.DUMMYFUNCTION("""COMPUTED_VALUE"""),"Indore")</f>
        <v>Indore</v>
      </c>
      <c r="Z4271" s="124">
        <f>IFERROR(__xludf.DUMMYFUNCTION("""COMPUTED_VALUE"""),1.0)</f>
        <v>1</v>
      </c>
      <c r="AA4271" s="124" t="str">
        <f>IFERROR(__xludf.DUMMYFUNCTION("""COMPUTED_VALUE"""),"Cold")</f>
        <v>Cold</v>
      </c>
      <c r="AB4271" s="124" t="str">
        <f>IFERROR(__xludf.DUMMYFUNCTION("""COMPUTED_VALUE"""),"Test Series")</f>
        <v>Test Series</v>
      </c>
    </row>
    <row r="4272">
      <c r="K4272" s="124"/>
      <c r="L4272" s="124"/>
      <c r="M4272" s="124"/>
      <c r="N4272" s="124"/>
      <c r="O4272" s="124"/>
      <c r="T4272" s="129">
        <f>IFERROR(__xludf.DUMMYFUNCTION("""COMPUTED_VALUE"""),46055.0)</f>
        <v>46055</v>
      </c>
      <c r="U4272" s="124" t="str">
        <f>IFERROR(__xludf.DUMMYFUNCTION("""COMPUTED_VALUE"""),"Walk-Ins")</f>
        <v>Walk-Ins</v>
      </c>
      <c r="V4272" s="124" t="str">
        <f>IFERROR(__xludf.DUMMYFUNCTION("""COMPUTED_VALUE"""),"Walkin")</f>
        <v>Walkin</v>
      </c>
      <c r="W4272" s="124" t="str">
        <f>IFERROR(__xludf.DUMMYFUNCTION("""COMPUTED_VALUE"""),"Lucknow")</f>
        <v>Lucknow</v>
      </c>
      <c r="X4272" s="124" t="str">
        <f>IFERROR(__xludf.DUMMYFUNCTION("""COMPUTED_VALUE"""),"Walkin")</f>
        <v>Walkin</v>
      </c>
      <c r="Y4272" s="124" t="str">
        <f>IFERROR(__xludf.DUMMYFUNCTION("""COMPUTED_VALUE"""),"Lucknow")</f>
        <v>Lucknow</v>
      </c>
      <c r="Z4272" s="124">
        <f>IFERROR(__xludf.DUMMYFUNCTION("""COMPUTED_VALUE"""),1.0)</f>
        <v>1</v>
      </c>
      <c r="AA4272" s="124" t="str">
        <f>IFERROR(__xludf.DUMMYFUNCTION("""COMPUTED_VALUE"""),"Enrolled")</f>
        <v>Enrolled</v>
      </c>
      <c r="AB4272" s="124" t="str">
        <f>IFERROR(__xludf.DUMMYFUNCTION("""COMPUTED_VALUE"""),"GS Foundation")</f>
        <v>GS Foundation</v>
      </c>
    </row>
    <row r="4273">
      <c r="K4273" s="124"/>
      <c r="L4273" s="124"/>
      <c r="M4273" s="124"/>
      <c r="N4273" s="124"/>
      <c r="O4273" s="124"/>
      <c r="T4273" s="129">
        <f>IFERROR(__xludf.DUMMYFUNCTION("""COMPUTED_VALUE"""),46089.0)</f>
        <v>46089</v>
      </c>
      <c r="U4273" s="124" t="str">
        <f>IFERROR(__xludf.DUMMYFUNCTION("""COMPUTED_VALUE"""),"Walk-Ins")</f>
        <v>Walk-Ins</v>
      </c>
      <c r="V4273" s="124" t="str">
        <f>IFERROR(__xludf.DUMMYFUNCTION("""COMPUTED_VALUE"""),"Walkin")</f>
        <v>Walkin</v>
      </c>
      <c r="W4273" s="124" t="str">
        <f>IFERROR(__xludf.DUMMYFUNCTION("""COMPUTED_VALUE"""),"Patna")</f>
        <v>Patna</v>
      </c>
      <c r="X4273" s="124" t="str">
        <f>IFERROR(__xludf.DUMMYFUNCTION("""COMPUTED_VALUE"""),"Walkin")</f>
        <v>Walkin</v>
      </c>
      <c r="Y4273" s="124" t="str">
        <f>IFERROR(__xludf.DUMMYFUNCTION("""COMPUTED_VALUE"""),"Patna")</f>
        <v>Patna</v>
      </c>
      <c r="Z4273" s="124">
        <f>IFERROR(__xludf.DUMMYFUNCTION("""COMPUTED_VALUE"""),1.0)</f>
        <v>1</v>
      </c>
      <c r="AA4273" s="124" t="str">
        <f>IFERROR(__xludf.DUMMYFUNCTION("""COMPUTED_VALUE"""),"Cold")</f>
        <v>Cold</v>
      </c>
      <c r="AB4273" s="124" t="str">
        <f>IFERROR(__xludf.DUMMYFUNCTION("""COMPUTED_VALUE"""),"Test Series")</f>
        <v>Test Series</v>
      </c>
    </row>
    <row r="4274">
      <c r="K4274" s="124"/>
      <c r="L4274" s="124"/>
      <c r="M4274" s="124"/>
      <c r="N4274" s="124"/>
      <c r="O4274" s="124"/>
      <c r="T4274" s="129">
        <f>IFERROR(__xludf.DUMMYFUNCTION("""COMPUTED_VALUE"""),46082.0)</f>
        <v>46082</v>
      </c>
      <c r="U4274" s="124" t="str">
        <f>IFERROR(__xludf.DUMMYFUNCTION("""COMPUTED_VALUE"""),"Walk-Ins")</f>
        <v>Walk-Ins</v>
      </c>
      <c r="V4274" s="124" t="str">
        <f>IFERROR(__xludf.DUMMYFUNCTION("""COMPUTED_VALUE"""),"Walkin")</f>
        <v>Walkin</v>
      </c>
      <c r="W4274" s="124" t="str">
        <f>IFERROR(__xludf.DUMMYFUNCTION("""COMPUTED_VALUE"""),"Patna")</f>
        <v>Patna</v>
      </c>
      <c r="X4274" s="124" t="str">
        <f>IFERROR(__xludf.DUMMYFUNCTION("""COMPUTED_VALUE"""),"Walkin")</f>
        <v>Walkin</v>
      </c>
      <c r="Y4274" s="124" t="str">
        <f>IFERROR(__xludf.DUMMYFUNCTION("""COMPUTED_VALUE"""),"Patna")</f>
        <v>Patna</v>
      </c>
      <c r="Z4274" s="124">
        <f>IFERROR(__xludf.DUMMYFUNCTION("""COMPUTED_VALUE"""),1.0)</f>
        <v>1</v>
      </c>
      <c r="AA4274" s="124" t="str">
        <f>IFERROR(__xludf.DUMMYFUNCTION("""COMPUTED_VALUE"""),"Not Interested")</f>
        <v>Not Interested</v>
      </c>
      <c r="AB4274" s="124" t="str">
        <f>IFERROR(__xludf.DUMMYFUNCTION("""COMPUTED_VALUE"""),"State PCS")</f>
        <v>State PCS</v>
      </c>
    </row>
    <row r="4275">
      <c r="K4275" s="124"/>
      <c r="L4275" s="124"/>
      <c r="M4275" s="124"/>
      <c r="N4275" s="124"/>
      <c r="O4275" s="124"/>
      <c r="T4275" s="126">
        <f>IFERROR(__xludf.DUMMYFUNCTION("""COMPUTED_VALUE"""),46069.0)</f>
        <v>46069</v>
      </c>
      <c r="U4275" s="124" t="str">
        <f>IFERROR(__xludf.DUMMYFUNCTION("""COMPUTED_VALUE"""),"Walk-Ins")</f>
        <v>Walk-Ins</v>
      </c>
      <c r="V4275" s="124" t="str">
        <f>IFERROR(__xludf.DUMMYFUNCTION("""COMPUTED_VALUE"""),"Walkin")</f>
        <v>Walkin</v>
      </c>
      <c r="W4275" s="124" t="str">
        <f>IFERROR(__xludf.DUMMYFUNCTION("""COMPUTED_VALUE"""),"Prayagraj")</f>
        <v>Prayagraj</v>
      </c>
      <c r="X4275" s="124" t="str">
        <f>IFERROR(__xludf.DUMMYFUNCTION("""COMPUTED_VALUE"""),"Walkin")</f>
        <v>Walkin</v>
      </c>
      <c r="Y4275" s="124" t="str">
        <f>IFERROR(__xludf.DUMMYFUNCTION("""COMPUTED_VALUE"""),"Prayagraj")</f>
        <v>Prayagraj</v>
      </c>
      <c r="Z4275" s="124">
        <f>IFERROR(__xludf.DUMMYFUNCTION("""COMPUTED_VALUE"""),1.0)</f>
        <v>1</v>
      </c>
      <c r="AA4275" s="124" t="str">
        <f>IFERROR(__xludf.DUMMYFUNCTION("""COMPUTED_VALUE"""),"Warm")</f>
        <v>Warm</v>
      </c>
      <c r="AB4275" s="124" t="str">
        <f>IFERROR(__xludf.DUMMYFUNCTION("""COMPUTED_VALUE"""),"GS Foundation")</f>
        <v>GS Foundation</v>
      </c>
    </row>
    <row r="4276">
      <c r="K4276" s="124"/>
      <c r="L4276" s="124"/>
      <c r="M4276" s="124"/>
      <c r="N4276" s="124"/>
      <c r="O4276" s="124"/>
      <c r="T4276" s="129">
        <f>IFERROR(__xludf.DUMMYFUNCTION("""COMPUTED_VALUE"""),46090.0)</f>
        <v>46090</v>
      </c>
      <c r="U4276" s="124" t="str">
        <f>IFERROR(__xludf.DUMMYFUNCTION("""COMPUTED_VALUE"""),"Walk-Ins")</f>
        <v>Walk-Ins</v>
      </c>
      <c r="V4276" s="124" t="str">
        <f>IFERROR(__xludf.DUMMYFUNCTION("""COMPUTED_VALUE"""),"Walkin")</f>
        <v>Walkin</v>
      </c>
      <c r="W4276" s="124" t="str">
        <f>IFERROR(__xludf.DUMMYFUNCTION("""COMPUTED_VALUE"""),"Lucknow")</f>
        <v>Lucknow</v>
      </c>
      <c r="X4276" s="124" t="str">
        <f>IFERROR(__xludf.DUMMYFUNCTION("""COMPUTED_VALUE"""),"Walkin")</f>
        <v>Walkin</v>
      </c>
      <c r="Y4276" s="124" t="str">
        <f>IFERROR(__xludf.DUMMYFUNCTION("""COMPUTED_VALUE"""),"Lucknow")</f>
        <v>Lucknow</v>
      </c>
      <c r="Z4276" s="124">
        <f>IFERROR(__xludf.DUMMYFUNCTION("""COMPUTED_VALUE"""),1.0)</f>
        <v>1</v>
      </c>
      <c r="AA4276" s="124" t="str">
        <f>IFERROR(__xludf.DUMMYFUNCTION("""COMPUTED_VALUE"""),"Cold")</f>
        <v>Cold</v>
      </c>
      <c r="AB4276" s="124" t="str">
        <f>IFERROR(__xludf.DUMMYFUNCTION("""COMPUTED_VALUE"""),"GS Foundation")</f>
        <v>GS Foundation</v>
      </c>
    </row>
    <row r="4277">
      <c r="K4277" s="124"/>
      <c r="L4277" s="124"/>
      <c r="M4277" s="124"/>
      <c r="N4277" s="124"/>
      <c r="O4277" s="124"/>
      <c r="T4277" s="126">
        <f>IFERROR(__xludf.DUMMYFUNCTION("""COMPUTED_VALUE"""),46107.0)</f>
        <v>46107</v>
      </c>
      <c r="U4277" s="124" t="str">
        <f>IFERROR(__xludf.DUMMYFUNCTION("""COMPUTED_VALUE"""),"Walk-Ins")</f>
        <v>Walk-Ins</v>
      </c>
      <c r="V4277" s="124" t="str">
        <f>IFERROR(__xludf.DUMMYFUNCTION("""COMPUTED_VALUE"""),"Walkin")</f>
        <v>Walkin</v>
      </c>
      <c r="W4277" s="124" t="str">
        <f>IFERROR(__xludf.DUMMYFUNCTION("""COMPUTED_VALUE"""),"Indore")</f>
        <v>Indore</v>
      </c>
      <c r="X4277" s="124" t="str">
        <f>IFERROR(__xludf.DUMMYFUNCTION("""COMPUTED_VALUE"""),"Walkin")</f>
        <v>Walkin</v>
      </c>
      <c r="Y4277" s="124" t="str">
        <f>IFERROR(__xludf.DUMMYFUNCTION("""COMPUTED_VALUE"""),"Indore")</f>
        <v>Indore</v>
      </c>
      <c r="Z4277" s="124">
        <f>IFERROR(__xludf.DUMMYFUNCTION("""COMPUTED_VALUE"""),1.0)</f>
        <v>1</v>
      </c>
      <c r="AA4277" s="124" t="str">
        <f>IFERROR(__xludf.DUMMYFUNCTION("""COMPUTED_VALUE"""),"Enrolled")</f>
        <v>Enrolled</v>
      </c>
      <c r="AB4277" s="124" t="str">
        <f>IFERROR(__xludf.DUMMYFUNCTION("""COMPUTED_VALUE"""),"GS Foundation")</f>
        <v>GS Foundation</v>
      </c>
    </row>
    <row r="4278">
      <c r="K4278" s="124"/>
      <c r="L4278" s="124"/>
      <c r="M4278" s="124"/>
      <c r="N4278" s="124"/>
      <c r="O4278" s="124"/>
      <c r="T4278" s="126">
        <f>IFERROR(__xludf.DUMMYFUNCTION("""COMPUTED_VALUE"""),46095.0)</f>
        <v>46095</v>
      </c>
      <c r="U4278" s="124" t="str">
        <f>IFERROR(__xludf.DUMMYFUNCTION("""COMPUTED_VALUE"""),"Walk-Ins")</f>
        <v>Walk-Ins</v>
      </c>
      <c r="V4278" s="124" t="str">
        <f>IFERROR(__xludf.DUMMYFUNCTION("""COMPUTED_VALUE"""),"Walkin")</f>
        <v>Walkin</v>
      </c>
      <c r="W4278" s="124" t="str">
        <f>IFERROR(__xludf.DUMMYFUNCTION("""COMPUTED_VALUE"""),"Prayagraj")</f>
        <v>Prayagraj</v>
      </c>
      <c r="X4278" s="124" t="str">
        <f>IFERROR(__xludf.DUMMYFUNCTION("""COMPUTED_VALUE"""),"Walkin")</f>
        <v>Walkin</v>
      </c>
      <c r="Y4278" s="124" t="str">
        <f>IFERROR(__xludf.DUMMYFUNCTION("""COMPUTED_VALUE"""),"Prayagraj")</f>
        <v>Prayagraj</v>
      </c>
      <c r="Z4278" s="124">
        <f>IFERROR(__xludf.DUMMYFUNCTION("""COMPUTED_VALUE"""),1.0)</f>
        <v>1</v>
      </c>
      <c r="AA4278" s="124" t="str">
        <f>IFERROR(__xludf.DUMMYFUNCTION("""COMPUTED_VALUE"""),"Not Interested")</f>
        <v>Not Interested</v>
      </c>
      <c r="AB4278" s="124" t="str">
        <f>IFERROR(__xludf.DUMMYFUNCTION("""COMPUTED_VALUE"""),"Hybrid")</f>
        <v>Hybrid</v>
      </c>
    </row>
    <row r="4279">
      <c r="K4279" s="124"/>
      <c r="L4279" s="124"/>
      <c r="M4279" s="124"/>
      <c r="N4279" s="124"/>
      <c r="O4279" s="124"/>
      <c r="T4279" s="129">
        <f>IFERROR(__xludf.DUMMYFUNCTION("""COMPUTED_VALUE"""),46055.0)</f>
        <v>46055</v>
      </c>
      <c r="U4279" s="124" t="str">
        <f>IFERROR(__xludf.DUMMYFUNCTION("""COMPUTED_VALUE"""),"Walk-Ins")</f>
        <v>Walk-Ins</v>
      </c>
      <c r="V4279" s="124" t="str">
        <f>IFERROR(__xludf.DUMMYFUNCTION("""COMPUTED_VALUE"""),"Walkin")</f>
        <v>Walkin</v>
      </c>
      <c r="W4279" s="124" t="str">
        <f>IFERROR(__xludf.DUMMYFUNCTION("""COMPUTED_VALUE"""),"Lucknow")</f>
        <v>Lucknow</v>
      </c>
      <c r="X4279" s="124" t="str">
        <f>IFERROR(__xludf.DUMMYFUNCTION("""COMPUTED_VALUE"""),"Walkin")</f>
        <v>Walkin</v>
      </c>
      <c r="Y4279" s="124" t="str">
        <f>IFERROR(__xludf.DUMMYFUNCTION("""COMPUTED_VALUE"""),"Lucknow")</f>
        <v>Lucknow</v>
      </c>
      <c r="Z4279" s="124">
        <f>IFERROR(__xludf.DUMMYFUNCTION("""COMPUTED_VALUE"""),1.0)</f>
        <v>1</v>
      </c>
      <c r="AA4279" s="124" t="str">
        <f>IFERROR(__xludf.DUMMYFUNCTION("""COMPUTED_VALUE"""),"Cold")</f>
        <v>Cold</v>
      </c>
      <c r="AB4279" s="124" t="str">
        <f>IFERROR(__xludf.DUMMYFUNCTION("""COMPUTED_VALUE"""),"State PCS")</f>
        <v>State PCS</v>
      </c>
    </row>
    <row r="4280">
      <c r="K4280" s="124"/>
      <c r="L4280" s="124"/>
      <c r="M4280" s="124"/>
      <c r="N4280" s="124"/>
      <c r="O4280" s="124"/>
      <c r="T4280" s="126">
        <f>IFERROR(__xludf.DUMMYFUNCTION("""COMPUTED_VALUE"""),46051.0)</f>
        <v>46051</v>
      </c>
      <c r="U4280" s="124" t="str">
        <f>IFERROR(__xludf.DUMMYFUNCTION("""COMPUTED_VALUE"""),"Walk-Ins")</f>
        <v>Walk-Ins</v>
      </c>
      <c r="V4280" s="124" t="str">
        <f>IFERROR(__xludf.DUMMYFUNCTION("""COMPUTED_VALUE"""),"Walkin")</f>
        <v>Walkin</v>
      </c>
      <c r="W4280" s="124" t="str">
        <f>IFERROR(__xludf.DUMMYFUNCTION("""COMPUTED_VALUE"""),"Lucknow")</f>
        <v>Lucknow</v>
      </c>
      <c r="X4280" s="124" t="str">
        <f>IFERROR(__xludf.DUMMYFUNCTION("""COMPUTED_VALUE"""),"Walkin")</f>
        <v>Walkin</v>
      </c>
      <c r="Y4280" s="124" t="str">
        <f>IFERROR(__xludf.DUMMYFUNCTION("""COMPUTED_VALUE"""),"Lucknow")</f>
        <v>Lucknow</v>
      </c>
      <c r="Z4280" s="124">
        <f>IFERROR(__xludf.DUMMYFUNCTION("""COMPUTED_VALUE"""),1.0)</f>
        <v>1</v>
      </c>
      <c r="AA4280" s="124" t="str">
        <f>IFERROR(__xludf.DUMMYFUNCTION("""COMPUTED_VALUE"""),"Cold")</f>
        <v>Cold</v>
      </c>
      <c r="AB4280" s="124" t="str">
        <f>IFERROR(__xludf.DUMMYFUNCTION("""COMPUTED_VALUE"""),"Hybrid")</f>
        <v>Hybrid</v>
      </c>
    </row>
    <row r="4281">
      <c r="K4281" s="124"/>
      <c r="L4281" s="124"/>
      <c r="M4281" s="124"/>
      <c r="N4281" s="124"/>
      <c r="O4281" s="124"/>
      <c r="T4281" s="126">
        <f>IFERROR(__xludf.DUMMYFUNCTION("""COMPUTED_VALUE"""),46091.0)</f>
        <v>46091</v>
      </c>
      <c r="U4281" s="124" t="str">
        <f>IFERROR(__xludf.DUMMYFUNCTION("""COMPUTED_VALUE"""),"Paid Ads")</f>
        <v>Paid Ads</v>
      </c>
      <c r="V4281" s="124" t="str">
        <f>IFERROR(__xludf.DUMMYFUNCTION("""COMPUTED_VALUE"""),"facebook")</f>
        <v>facebook</v>
      </c>
      <c r="W4281" s="124" t="str">
        <f>IFERROR(__xludf.DUMMYFUNCTION("""COMPUTED_VALUE"""),"indore")</f>
        <v>indore</v>
      </c>
      <c r="X4281" s="124" t="str">
        <f>IFERROR(__xludf.DUMMYFUNCTION("""COMPUTED_VALUE"""),"meta")</f>
        <v>meta</v>
      </c>
      <c r="Y4281" s="124" t="str">
        <f>IFERROR(__xludf.DUMMYFUNCTION("""COMPUTED_VALUE"""),"Indore")</f>
        <v>Indore</v>
      </c>
      <c r="Z4281" s="124">
        <f>IFERROR(__xludf.DUMMYFUNCTION("""COMPUTED_VALUE"""),1.0)</f>
        <v>1</v>
      </c>
      <c r="AA4281" s="124" t="str">
        <f>IFERROR(__xludf.DUMMYFUNCTION("""COMPUTED_VALUE"""),"Cold")</f>
        <v>Cold</v>
      </c>
      <c r="AB4281" s="124"/>
    </row>
    <row r="4282">
      <c r="K4282" s="124"/>
      <c r="L4282" s="124"/>
      <c r="M4282" s="124"/>
      <c r="N4282" s="124"/>
      <c r="O4282" s="124"/>
      <c r="T4282" s="126">
        <f>IFERROR(__xludf.DUMMYFUNCTION("""COMPUTED_VALUE"""),46050.0)</f>
        <v>46050</v>
      </c>
      <c r="U4282" s="124" t="str">
        <f>IFERROR(__xludf.DUMMYFUNCTION("""COMPUTED_VALUE"""),"Walk-Ins")</f>
        <v>Walk-Ins</v>
      </c>
      <c r="V4282" s="124" t="str">
        <f>IFERROR(__xludf.DUMMYFUNCTION("""COMPUTED_VALUE"""),"Walk-In")</f>
        <v>Walk-In</v>
      </c>
      <c r="W4282" s="124" t="str">
        <f>IFERROR(__xludf.DUMMYFUNCTION("""COMPUTED_VALUE"""),"Patna")</f>
        <v>Patna</v>
      </c>
      <c r="X4282" s="124" t="str">
        <f>IFERROR(__xludf.DUMMYFUNCTION("""COMPUTED_VALUE"""),"Others")</f>
        <v>Others</v>
      </c>
      <c r="Y4282" s="124" t="str">
        <f>IFERROR(__xludf.DUMMYFUNCTION("""COMPUTED_VALUE"""),"Patna")</f>
        <v>Patna</v>
      </c>
      <c r="Z4282" s="124">
        <f>IFERROR(__xludf.DUMMYFUNCTION("""COMPUTED_VALUE"""),1.0)</f>
        <v>1</v>
      </c>
      <c r="AA4282" s="124" t="str">
        <f>IFERROR(__xludf.DUMMYFUNCTION("""COMPUTED_VALUE"""),"Enrolled")</f>
        <v>Enrolled</v>
      </c>
      <c r="AB4282" s="124" t="str">
        <f>IFERROR(__xludf.DUMMYFUNCTION("""COMPUTED_VALUE"""),"State PCS")</f>
        <v>State PCS</v>
      </c>
    </row>
    <row r="4283">
      <c r="K4283" s="124"/>
      <c r="L4283" s="124"/>
      <c r="M4283" s="124"/>
      <c r="N4283" s="124"/>
      <c r="O4283" s="124"/>
      <c r="T4283" s="129">
        <f>IFERROR(__xludf.DUMMYFUNCTION("""COMPUTED_VALUE"""),46083.0)</f>
        <v>46083</v>
      </c>
      <c r="U4283" s="124" t="str">
        <f>IFERROR(__xludf.DUMMYFUNCTION("""COMPUTED_VALUE"""),"Walk-Ins")</f>
        <v>Walk-Ins</v>
      </c>
      <c r="V4283" s="124" t="str">
        <f>IFERROR(__xludf.DUMMYFUNCTION("""COMPUTED_VALUE"""),"Walkin")</f>
        <v>Walkin</v>
      </c>
      <c r="W4283" s="124" t="str">
        <f>IFERROR(__xludf.DUMMYFUNCTION("""COMPUTED_VALUE"""),"Prayagraj")</f>
        <v>Prayagraj</v>
      </c>
      <c r="X4283" s="124" t="str">
        <f>IFERROR(__xludf.DUMMYFUNCTION("""COMPUTED_VALUE"""),"Walkin")</f>
        <v>Walkin</v>
      </c>
      <c r="Y4283" s="124" t="str">
        <f>IFERROR(__xludf.DUMMYFUNCTION("""COMPUTED_VALUE"""),"Prayagraj")</f>
        <v>Prayagraj</v>
      </c>
      <c r="Z4283" s="124">
        <f>IFERROR(__xludf.DUMMYFUNCTION("""COMPUTED_VALUE"""),1.0)</f>
        <v>1</v>
      </c>
      <c r="AA4283" s="124" t="str">
        <f>IFERROR(__xludf.DUMMYFUNCTION("""COMPUTED_VALUE"""),"Cold")</f>
        <v>Cold</v>
      </c>
      <c r="AB4283" s="124" t="str">
        <f>IFERROR(__xludf.DUMMYFUNCTION("""COMPUTED_VALUE"""),"State PCS")</f>
        <v>State PCS</v>
      </c>
    </row>
    <row r="4284">
      <c r="K4284" s="124"/>
      <c r="L4284" s="124"/>
      <c r="M4284" s="124"/>
      <c r="N4284" s="124"/>
      <c r="O4284" s="124"/>
      <c r="T4284" s="126">
        <f>IFERROR(__xludf.DUMMYFUNCTION("""COMPUTED_VALUE"""),46093.0)</f>
        <v>46093</v>
      </c>
      <c r="U4284" s="124" t="str">
        <f>IFERROR(__xludf.DUMMYFUNCTION("""COMPUTED_VALUE"""),"Walk-Ins")</f>
        <v>Walk-Ins</v>
      </c>
      <c r="V4284" s="124" t="str">
        <f>IFERROR(__xludf.DUMMYFUNCTION("""COMPUTED_VALUE"""),"Walkin")</f>
        <v>Walkin</v>
      </c>
      <c r="W4284" s="124" t="str">
        <f>IFERROR(__xludf.DUMMYFUNCTION("""COMPUTED_VALUE"""),"Prayagraj")</f>
        <v>Prayagraj</v>
      </c>
      <c r="X4284" s="124" t="str">
        <f>IFERROR(__xludf.DUMMYFUNCTION("""COMPUTED_VALUE"""),"Walkin")</f>
        <v>Walkin</v>
      </c>
      <c r="Y4284" s="124" t="str">
        <f>IFERROR(__xludf.DUMMYFUNCTION("""COMPUTED_VALUE"""),"Prayagraj")</f>
        <v>Prayagraj</v>
      </c>
      <c r="Z4284" s="124">
        <f>IFERROR(__xludf.DUMMYFUNCTION("""COMPUTED_VALUE"""),1.0)</f>
        <v>1</v>
      </c>
      <c r="AA4284" s="124" t="str">
        <f>IFERROR(__xludf.DUMMYFUNCTION("""COMPUTED_VALUE"""),"Enrolled")</f>
        <v>Enrolled</v>
      </c>
      <c r="AB4284" s="124" t="str">
        <f>IFERROR(__xludf.DUMMYFUNCTION("""COMPUTED_VALUE"""),"GS Foundation")</f>
        <v>GS Foundation</v>
      </c>
    </row>
    <row r="4285">
      <c r="K4285" s="124"/>
      <c r="L4285" s="124"/>
      <c r="M4285" s="124"/>
      <c r="N4285" s="124"/>
      <c r="O4285" s="124"/>
      <c r="T4285" s="126">
        <f>IFERROR(__xludf.DUMMYFUNCTION("""COMPUTED_VALUE"""),46099.0)</f>
        <v>46099</v>
      </c>
      <c r="U4285" s="124" t="str">
        <f>IFERROR(__xludf.DUMMYFUNCTION("""COMPUTED_VALUE"""),"Walk-Ins")</f>
        <v>Walk-Ins</v>
      </c>
      <c r="V4285" s="124" t="str">
        <f>IFERROR(__xludf.DUMMYFUNCTION("""COMPUTED_VALUE"""),"Walkin")</f>
        <v>Walkin</v>
      </c>
      <c r="W4285" s="124" t="str">
        <f>IFERROR(__xludf.DUMMYFUNCTION("""COMPUTED_VALUE"""),"Patna")</f>
        <v>Patna</v>
      </c>
      <c r="X4285" s="124" t="str">
        <f>IFERROR(__xludf.DUMMYFUNCTION("""COMPUTED_VALUE"""),"Walkin")</f>
        <v>Walkin</v>
      </c>
      <c r="Y4285" s="124" t="str">
        <f>IFERROR(__xludf.DUMMYFUNCTION("""COMPUTED_VALUE"""),"Patna")</f>
        <v>Patna</v>
      </c>
      <c r="Z4285" s="124">
        <f>IFERROR(__xludf.DUMMYFUNCTION("""COMPUTED_VALUE"""),1.0)</f>
        <v>1</v>
      </c>
      <c r="AA4285" s="124" t="str">
        <f>IFERROR(__xludf.DUMMYFUNCTION("""COMPUTED_VALUE"""),"Future Prospects")</f>
        <v>Future Prospects</v>
      </c>
      <c r="AB4285" s="124" t="str">
        <f>IFERROR(__xludf.DUMMYFUNCTION("""COMPUTED_VALUE"""),"GS Foundation")</f>
        <v>GS Foundation</v>
      </c>
    </row>
    <row r="4286">
      <c r="K4286" s="124"/>
      <c r="L4286" s="124"/>
      <c r="M4286" s="124"/>
      <c r="N4286" s="124"/>
      <c r="O4286" s="124"/>
      <c r="T4286" s="129">
        <f>IFERROR(__xludf.DUMMYFUNCTION("""COMPUTED_VALUE"""),46057.0)</f>
        <v>46057</v>
      </c>
      <c r="U4286" s="124" t="str">
        <f>IFERROR(__xludf.DUMMYFUNCTION("""COMPUTED_VALUE"""),"Paid Ads")</f>
        <v>Paid Ads</v>
      </c>
      <c r="V4286" s="124" t="str">
        <f>IFERROR(__xludf.DUMMYFUNCTION("""COMPUTED_VALUE"""),"facebook")</f>
        <v>facebook</v>
      </c>
      <c r="W4286" s="124" t="str">
        <f>IFERROR(__xludf.DUMMYFUNCTION("""COMPUTED_VALUE"""),"lucknow")</f>
        <v>lucknow</v>
      </c>
      <c r="X4286" s="124" t="str">
        <f>IFERROR(__xludf.DUMMYFUNCTION("""COMPUTED_VALUE"""),"onlinepaid")</f>
        <v>onlinepaid</v>
      </c>
      <c r="Y4286" s="124" t="str">
        <f>IFERROR(__xludf.DUMMYFUNCTION("""COMPUTED_VALUE"""),"Lucknow")</f>
        <v>Lucknow</v>
      </c>
      <c r="Z4286" s="124">
        <f>IFERROR(__xludf.DUMMYFUNCTION("""COMPUTED_VALUE"""),1.0)</f>
        <v>1</v>
      </c>
      <c r="AA4286" s="124" t="str">
        <f>IFERROR(__xludf.DUMMYFUNCTION("""COMPUTED_VALUE"""),"Enrolled")</f>
        <v>Enrolled</v>
      </c>
      <c r="AB4286" s="124" t="str">
        <f>IFERROR(__xludf.DUMMYFUNCTION("""COMPUTED_VALUE"""),"GS Foundation")</f>
        <v>GS Foundation</v>
      </c>
    </row>
    <row r="4287">
      <c r="K4287" s="124"/>
      <c r="L4287" s="124"/>
      <c r="M4287" s="124"/>
      <c r="N4287" s="124"/>
      <c r="O4287" s="124"/>
      <c r="T4287" s="126">
        <f>IFERROR(__xludf.DUMMYFUNCTION("""COMPUTED_VALUE"""),46080.0)</f>
        <v>46080</v>
      </c>
      <c r="U4287" s="124" t="str">
        <f>IFERROR(__xludf.DUMMYFUNCTION("""COMPUTED_VALUE"""),"Event")</f>
        <v>Event</v>
      </c>
      <c r="V4287" s="124" t="str">
        <f>IFERROR(__xludf.DUMMYFUNCTION("""COMPUTED_VALUE"""),"events")</f>
        <v>events</v>
      </c>
      <c r="W4287" s="124" t="str">
        <f>IFERROR(__xludf.DUMMYFUNCTION("""COMPUTED_VALUE"""),"prayagraj")</f>
        <v>prayagraj</v>
      </c>
      <c r="X4287" s="124" t="str">
        <f>IFERROR(__xludf.DUMMYFUNCTION("""COMPUTED_VALUE"""),"bhavanmehtapgcollege")</f>
        <v>bhavanmehtapgcollege</v>
      </c>
      <c r="Y4287" s="124" t="str">
        <f>IFERROR(__xludf.DUMMYFUNCTION("""COMPUTED_VALUE"""),"Prayagraj")</f>
        <v>Prayagraj</v>
      </c>
      <c r="Z4287" s="124">
        <f>IFERROR(__xludf.DUMMYFUNCTION("""COMPUTED_VALUE"""),1.0)</f>
        <v>1</v>
      </c>
      <c r="AA4287" s="124" t="str">
        <f>IFERROR(__xludf.DUMMYFUNCTION("""COMPUTED_VALUE"""),"Warm")</f>
        <v>Warm</v>
      </c>
      <c r="AB4287" s="124" t="str">
        <f>IFERROR(__xludf.DUMMYFUNCTION("""COMPUTED_VALUE"""),"State PCS")</f>
        <v>State PCS</v>
      </c>
    </row>
    <row r="4288">
      <c r="K4288" s="124"/>
      <c r="L4288" s="124"/>
      <c r="M4288" s="124"/>
      <c r="N4288" s="124"/>
      <c r="O4288" s="124"/>
      <c r="T4288" s="126">
        <f>IFERROR(__xludf.DUMMYFUNCTION("""COMPUTED_VALUE"""),46051.0)</f>
        <v>46051</v>
      </c>
      <c r="U4288" s="124" t="str">
        <f>IFERROR(__xludf.DUMMYFUNCTION("""COMPUTED_VALUE"""),"Event")</f>
        <v>Event</v>
      </c>
      <c r="V4288" s="124" t="str">
        <f>IFERROR(__xludf.DUMMYFUNCTION("""COMPUTED_VALUE"""),"Events")</f>
        <v>Events</v>
      </c>
      <c r="W4288" s="124" t="str">
        <f>IFERROR(__xludf.DUMMYFUNCTION("""COMPUTED_VALUE"""),"Delhi")</f>
        <v>Delhi</v>
      </c>
      <c r="X4288" s="124" t="str">
        <f>IFERROR(__xludf.DUMMYFUNCTION("""COMPUTED_VALUE"""),"DRCSEMINAR(")</f>
        <v>DRCSEMINAR(</v>
      </c>
      <c r="Y4288" s="124" t="str">
        <f>IFERROR(__xludf.DUMMYFUNCTION("""COMPUTED_VALUE"""),"Delhi")</f>
        <v>Delhi</v>
      </c>
      <c r="Z4288" s="124">
        <f>IFERROR(__xludf.DUMMYFUNCTION("""COMPUTED_VALUE"""),1.0)</f>
        <v>1</v>
      </c>
      <c r="AA4288" s="124" t="str">
        <f>IFERROR(__xludf.DUMMYFUNCTION("""COMPUTED_VALUE"""),"Cold")</f>
        <v>Cold</v>
      </c>
      <c r="AB4288" s="124"/>
    </row>
    <row r="4289">
      <c r="K4289" s="124"/>
      <c r="L4289" s="124"/>
      <c r="M4289" s="124"/>
      <c r="N4289" s="124"/>
      <c r="O4289" s="124"/>
      <c r="T4289" s="126">
        <f>IFERROR(__xludf.DUMMYFUNCTION("""COMPUTED_VALUE"""),46099.0)</f>
        <v>46099</v>
      </c>
      <c r="U4289" s="124" t="str">
        <f>IFERROR(__xludf.DUMMYFUNCTION("""COMPUTED_VALUE"""),"Paid Ads")</f>
        <v>Paid Ads</v>
      </c>
      <c r="V4289" s="124" t="str">
        <f>IFERROR(__xludf.DUMMYFUNCTION("""COMPUTED_VALUE"""),"Facebook")</f>
        <v>Facebook</v>
      </c>
      <c r="W4289" s="124" t="str">
        <f>IFERROR(__xludf.DUMMYFUNCTION("""COMPUTED_VALUE"""),"LeadAd")</f>
        <v>LeadAd</v>
      </c>
      <c r="X4289" s="124" t="str">
        <f>IFERROR(__xludf.DUMMYFUNCTION("""COMPUTED_VALUE"""),"Upsc_Hindi_Leads_FB_Creatives")</f>
        <v>Upsc_Hindi_Leads_FB_Creatives</v>
      </c>
      <c r="Y4289" s="124"/>
      <c r="Z4289" s="124">
        <f>IFERROR(__xludf.DUMMYFUNCTION("""COMPUTED_VALUE"""),1.0)</f>
        <v>1</v>
      </c>
      <c r="AA4289" s="124" t="str">
        <f>IFERROR(__xludf.DUMMYFUNCTION("""COMPUTED_VALUE"""),"Fake Lead")</f>
        <v>Fake Lead</v>
      </c>
      <c r="AB4289" s="124"/>
    </row>
    <row r="4290">
      <c r="K4290" s="124"/>
      <c r="L4290" s="124"/>
      <c r="M4290" s="124"/>
      <c r="N4290" s="124"/>
      <c r="O4290" s="124"/>
      <c r="T4290" s="126">
        <f>IFERROR(__xludf.DUMMYFUNCTION("""COMPUTED_VALUE"""),46110.0)</f>
        <v>46110</v>
      </c>
      <c r="U4290" s="124" t="str">
        <f>IFERROR(__xludf.DUMMYFUNCTION("""COMPUTED_VALUE"""),"Paid Ads")</f>
        <v>Paid Ads</v>
      </c>
      <c r="V4290" s="124" t="str">
        <f>IFERROR(__xludf.DUMMYFUNCTION("""COMPUTED_VALUE"""),"Facebook")</f>
        <v>Facebook</v>
      </c>
      <c r="W4290" s="124" t="str">
        <f>IFERROR(__xludf.DUMMYFUNCTION("""COMPUTED_VALUE"""),"LeadAd")</f>
        <v>LeadAd</v>
      </c>
      <c r="X4290" s="124" t="str">
        <f>IFERROR(__xludf.DUMMYFUNCTION("""COMPUTED_VALUE"""),"Upsc_Hindi_Leads_FB_Creatives")</f>
        <v>Upsc_Hindi_Leads_FB_Creatives</v>
      </c>
      <c r="Y4290" s="124" t="str">
        <f>IFERROR(__xludf.DUMMYFUNCTION("""COMPUTED_VALUE"""),"Lucknow")</f>
        <v>Lucknow</v>
      </c>
      <c r="Z4290" s="124">
        <f>IFERROR(__xludf.DUMMYFUNCTION("""COMPUTED_VALUE"""),1.0)</f>
        <v>1</v>
      </c>
      <c r="AA4290" s="124" t="str">
        <f>IFERROR(__xludf.DUMMYFUNCTION("""COMPUTED_VALUE"""),"Warm")</f>
        <v>Warm</v>
      </c>
      <c r="AB4290" s="124" t="str">
        <f>IFERROR(__xludf.DUMMYFUNCTION("""COMPUTED_VALUE"""),"GS Foundation")</f>
        <v>GS Foundation</v>
      </c>
    </row>
    <row r="4291">
      <c r="K4291" s="124"/>
      <c r="L4291" s="124"/>
      <c r="M4291" s="124"/>
      <c r="N4291" s="124"/>
      <c r="O4291" s="124"/>
      <c r="T4291" s="126">
        <f>IFERROR(__xludf.DUMMYFUNCTION("""COMPUTED_VALUE"""),46066.0)</f>
        <v>46066</v>
      </c>
      <c r="U4291" s="124" t="str">
        <f>IFERROR(__xludf.DUMMYFUNCTION("""COMPUTED_VALUE"""),"Walk-Ins")</f>
        <v>Walk-Ins</v>
      </c>
      <c r="V4291" s="124" t="str">
        <f>IFERROR(__xludf.DUMMYFUNCTION("""COMPUTED_VALUE"""),"Walk-In")</f>
        <v>Walk-In</v>
      </c>
      <c r="W4291" s="124" t="str">
        <f>IFERROR(__xludf.DUMMYFUNCTION("""COMPUTED_VALUE"""),"Prayagraj")</f>
        <v>Prayagraj</v>
      </c>
      <c r="X4291" s="124" t="str">
        <f>IFERROR(__xludf.DUMMYFUNCTION("""COMPUTED_VALUE"""),"Prayagraj")</f>
        <v>Prayagraj</v>
      </c>
      <c r="Y4291" s="124"/>
      <c r="Z4291" s="124">
        <f>IFERROR(__xludf.DUMMYFUNCTION("""COMPUTED_VALUE"""),1.0)</f>
        <v>1</v>
      </c>
      <c r="AA4291" s="124" t="str">
        <f>IFERROR(__xludf.DUMMYFUNCTION("""COMPUTED_VALUE"""),"Future Prospects")</f>
        <v>Future Prospects</v>
      </c>
      <c r="AB4291" s="124" t="str">
        <f>IFERROR(__xludf.DUMMYFUNCTION("""COMPUTED_VALUE"""),"State PCS")</f>
        <v>State PCS</v>
      </c>
    </row>
    <row r="4292">
      <c r="K4292" s="124"/>
      <c r="L4292" s="124"/>
      <c r="M4292" s="124"/>
      <c r="N4292" s="124"/>
      <c r="O4292" s="124"/>
      <c r="T4292" s="126">
        <f>IFERROR(__xludf.DUMMYFUNCTION("""COMPUTED_VALUE"""),46063.0)</f>
        <v>46063</v>
      </c>
      <c r="U4292" s="124" t="str">
        <f>IFERROR(__xludf.DUMMYFUNCTION("""COMPUTED_VALUE"""),"Walk-Ins")</f>
        <v>Walk-Ins</v>
      </c>
      <c r="V4292" s="124" t="str">
        <f>IFERROR(__xludf.DUMMYFUNCTION("""COMPUTED_VALUE"""),"Walk-In")</f>
        <v>Walk-In</v>
      </c>
      <c r="W4292" s="124" t="str">
        <f>IFERROR(__xludf.DUMMYFUNCTION("""COMPUTED_VALUE"""),"Prayagraj")</f>
        <v>Prayagraj</v>
      </c>
      <c r="X4292" s="124" t="str">
        <f>IFERROR(__xludf.DUMMYFUNCTION("""COMPUTED_VALUE"""),"Prayagraj")</f>
        <v>Prayagraj</v>
      </c>
      <c r="Y4292" s="124"/>
      <c r="Z4292" s="124">
        <f>IFERROR(__xludf.DUMMYFUNCTION("""COMPUTED_VALUE"""),1.0)</f>
        <v>1</v>
      </c>
      <c r="AA4292" s="124" t="str">
        <f>IFERROR(__xludf.DUMMYFUNCTION("""COMPUTED_VALUE"""),"Cold")</f>
        <v>Cold</v>
      </c>
      <c r="AB4292" s="124" t="str">
        <f>IFERROR(__xludf.DUMMYFUNCTION("""COMPUTED_VALUE"""),"State PCS")</f>
        <v>State PCS</v>
      </c>
    </row>
    <row r="4293">
      <c r="K4293" s="124"/>
      <c r="L4293" s="124"/>
      <c r="M4293" s="124"/>
      <c r="N4293" s="124"/>
      <c r="O4293" s="124"/>
      <c r="T4293" s="126">
        <f>IFERROR(__xludf.DUMMYFUNCTION("""COMPUTED_VALUE"""),46063.0)</f>
        <v>46063</v>
      </c>
      <c r="U4293" s="124" t="str">
        <f>IFERROR(__xludf.DUMMYFUNCTION("""COMPUTED_VALUE"""),"Walk-Ins")</f>
        <v>Walk-Ins</v>
      </c>
      <c r="V4293" s="124" t="str">
        <f>IFERROR(__xludf.DUMMYFUNCTION("""COMPUTED_VALUE"""),"Walk-In")</f>
        <v>Walk-In</v>
      </c>
      <c r="W4293" s="124" t="str">
        <f>IFERROR(__xludf.DUMMYFUNCTION("""COMPUTED_VALUE"""),"Prayagraj")</f>
        <v>Prayagraj</v>
      </c>
      <c r="X4293" s="124" t="str">
        <f>IFERROR(__xludf.DUMMYFUNCTION("""COMPUTED_VALUE"""),"Prayagraj")</f>
        <v>Prayagraj</v>
      </c>
      <c r="Y4293" s="124" t="str">
        <f>IFERROR(__xludf.DUMMYFUNCTION("""COMPUTED_VALUE"""),"Prayagraj")</f>
        <v>Prayagraj</v>
      </c>
      <c r="Z4293" s="124">
        <f>IFERROR(__xludf.DUMMYFUNCTION("""COMPUTED_VALUE"""),1.0)</f>
        <v>1</v>
      </c>
      <c r="AA4293" s="124" t="str">
        <f>IFERROR(__xludf.DUMMYFUNCTION("""COMPUTED_VALUE"""),"Cold")</f>
        <v>Cold</v>
      </c>
      <c r="AB4293" s="124" t="str">
        <f>IFERROR(__xludf.DUMMYFUNCTION("""COMPUTED_VALUE"""),"Other")</f>
        <v>Other</v>
      </c>
    </row>
    <row r="4294">
      <c r="K4294" s="124"/>
      <c r="L4294" s="124"/>
      <c r="M4294" s="124"/>
      <c r="N4294" s="124"/>
      <c r="O4294" s="124"/>
      <c r="T4294" s="126">
        <f>IFERROR(__xludf.DUMMYFUNCTION("""COMPUTED_VALUE"""),46099.0)</f>
        <v>46099</v>
      </c>
      <c r="U4294" s="124" t="str">
        <f>IFERROR(__xludf.DUMMYFUNCTION("""COMPUTED_VALUE"""),"Publisher Campaign")</f>
        <v>Publisher Campaign</v>
      </c>
      <c r="V4294" s="124" t="str">
        <f>IFERROR(__xludf.DUMMYFUNCTION("""COMPUTED_VALUE"""),"Just Dial")</f>
        <v>Just Dial</v>
      </c>
      <c r="W4294" s="124" t="str">
        <f>IFERROR(__xludf.DUMMYFUNCTION("""COMPUTED_VALUE"""),"Manual")</f>
        <v>Manual</v>
      </c>
      <c r="X4294" s="124">
        <f>IFERROR(__xludf.DUMMYFUNCTION("""COMPUTED_VALUE"""),2.2012026E7)</f>
        <v>22012026</v>
      </c>
      <c r="Y4294" s="124" t="str">
        <f>IFERROR(__xludf.DUMMYFUNCTION("""COMPUTED_VALUE"""),"Indore")</f>
        <v>Indore</v>
      </c>
      <c r="Z4294" s="124">
        <f>IFERROR(__xludf.DUMMYFUNCTION("""COMPUTED_VALUE"""),1.0)</f>
        <v>1</v>
      </c>
      <c r="AA4294" s="124" t="str">
        <f>IFERROR(__xludf.DUMMYFUNCTION("""COMPUTED_VALUE"""),"Warm")</f>
        <v>Warm</v>
      </c>
      <c r="AB4294" s="124" t="str">
        <f>IFERROR(__xludf.DUMMYFUNCTION("""COMPUTED_VALUE"""),"GS Foundation")</f>
        <v>GS Foundation</v>
      </c>
    </row>
    <row r="4295">
      <c r="K4295" s="124"/>
      <c r="L4295" s="124"/>
      <c r="M4295" s="124"/>
      <c r="N4295" s="124"/>
      <c r="O4295" s="124"/>
      <c r="T4295" s="126">
        <f>IFERROR(__xludf.DUMMYFUNCTION("""COMPUTED_VALUE"""),46043.0)</f>
        <v>46043</v>
      </c>
      <c r="U4295" s="124" t="str">
        <f>IFERROR(__xludf.DUMMYFUNCTION("""COMPUTED_VALUE"""),"Other Marketing Channels")</f>
        <v>Other Marketing Channels</v>
      </c>
      <c r="V4295" s="124" t="str">
        <f>IFERROR(__xludf.DUMMYFUNCTION("""COMPUTED_VALUE"""),"Online Leads")</f>
        <v>Online Leads</v>
      </c>
      <c r="W4295" s="124" t="str">
        <f>IFERROR(__xludf.DUMMYFUNCTION("""COMPUTED_VALUE"""),"Youtube")</f>
        <v>Youtube</v>
      </c>
      <c r="X4295" s="124" t="str">
        <f>IFERROR(__xludf.DUMMYFUNCTION("""COMPUTED_VALUE"""),"YT")</f>
        <v>YT</v>
      </c>
      <c r="Y4295" s="124"/>
      <c r="Z4295" s="124">
        <f>IFERROR(__xludf.DUMMYFUNCTION("""COMPUTED_VALUE"""),1.0)</f>
        <v>1</v>
      </c>
      <c r="AA4295" s="124" t="str">
        <f>IFERROR(__xludf.DUMMYFUNCTION("""COMPUTED_VALUE"""),"Not Interested")</f>
        <v>Not Interested</v>
      </c>
      <c r="AB4295" s="124" t="str">
        <f>IFERROR(__xludf.DUMMYFUNCTION("""COMPUTED_VALUE"""),"State PCS")</f>
        <v>State PCS</v>
      </c>
    </row>
    <row r="4296">
      <c r="K4296" s="124"/>
      <c r="L4296" s="124"/>
      <c r="M4296" s="124"/>
      <c r="N4296" s="124"/>
      <c r="O4296" s="124"/>
      <c r="T4296" s="126">
        <f>IFERROR(__xludf.DUMMYFUNCTION("""COMPUTED_VALUE"""),46052.0)</f>
        <v>46052</v>
      </c>
      <c r="U4296" s="124" t="str">
        <f>IFERROR(__xludf.DUMMYFUNCTION("""COMPUTED_VALUE"""),"External Leads")</f>
        <v>External Leads</v>
      </c>
      <c r="V4296" s="124" t="str">
        <f>IFERROR(__xludf.DUMMYFUNCTION("""COMPUTED_VALUE"""),"External Leads")</f>
        <v>External Leads</v>
      </c>
      <c r="W4296" s="124" t="str">
        <f>IFERROR(__xludf.DUMMYFUNCTION("""COMPUTED_VALUE"""),"Delhi")</f>
        <v>Delhi</v>
      </c>
      <c r="X4296" s="124" t="str">
        <f>IFERROR(__xludf.DUMMYFUNCTION("""COMPUTED_VALUE"""),"DRC")</f>
        <v>DRC</v>
      </c>
      <c r="Y4296" s="124"/>
      <c r="Z4296" s="124">
        <f>IFERROR(__xludf.DUMMYFUNCTION("""COMPUTED_VALUE"""),1.0)</f>
        <v>1</v>
      </c>
      <c r="AA4296" s="124" t="str">
        <f>IFERROR(__xludf.DUMMYFUNCTION("""COMPUTED_VALUE"""),"Engaged")</f>
        <v>Engaged</v>
      </c>
      <c r="AB4296" s="124"/>
    </row>
    <row r="4297">
      <c r="K4297" s="124"/>
      <c r="L4297" s="124"/>
      <c r="M4297" s="124"/>
      <c r="N4297" s="124"/>
      <c r="O4297" s="124"/>
      <c r="T4297" s="126">
        <f>IFERROR(__xludf.DUMMYFUNCTION("""COMPUTED_VALUE"""),46051.0)</f>
        <v>46051</v>
      </c>
      <c r="U4297" s="124" t="str">
        <f>IFERROR(__xludf.DUMMYFUNCTION("""COMPUTED_VALUE"""),"External Leads")</f>
        <v>External Leads</v>
      </c>
      <c r="V4297" s="124" t="str">
        <f>IFERROR(__xludf.DUMMYFUNCTION("""COMPUTED_VALUE"""),"External Leads")</f>
        <v>External Leads</v>
      </c>
      <c r="W4297" s="124" t="str">
        <f>IFERROR(__xludf.DUMMYFUNCTION("""COMPUTED_VALUE"""),"Delhi")</f>
        <v>Delhi</v>
      </c>
      <c r="X4297" s="124" t="str">
        <f>IFERROR(__xludf.DUMMYFUNCTION("""COMPUTED_VALUE"""),"DRC")</f>
        <v>DRC</v>
      </c>
      <c r="Y4297" s="124" t="str">
        <f>IFERROR(__xludf.DUMMYFUNCTION("""COMPUTED_VALUE"""),"Delhi")</f>
        <v>Delhi</v>
      </c>
      <c r="Z4297" s="124">
        <f>IFERROR(__xludf.DUMMYFUNCTION("""COMPUTED_VALUE"""),1.0)</f>
        <v>1</v>
      </c>
      <c r="AA4297" s="124" t="str">
        <f>IFERROR(__xludf.DUMMYFUNCTION("""COMPUTED_VALUE"""),"Enrolled")</f>
        <v>Enrolled</v>
      </c>
      <c r="AB4297" s="124"/>
    </row>
    <row r="4298">
      <c r="K4298" s="124"/>
      <c r="L4298" s="124"/>
      <c r="M4298" s="124"/>
      <c r="N4298" s="124"/>
      <c r="O4298" s="124"/>
      <c r="T4298" s="126">
        <f>IFERROR(__xludf.DUMMYFUNCTION("""COMPUTED_VALUE"""),46099.0)</f>
        <v>46099</v>
      </c>
      <c r="U4298" s="124" t="str">
        <f>IFERROR(__xludf.DUMMYFUNCTION("""COMPUTED_VALUE"""),"Walk-Ins")</f>
        <v>Walk-Ins</v>
      </c>
      <c r="V4298" s="124" t="str">
        <f>IFERROR(__xludf.DUMMYFUNCTION("""COMPUTED_VALUE"""),"Walk-In")</f>
        <v>Walk-In</v>
      </c>
      <c r="W4298" s="124" t="str">
        <f>IFERROR(__xludf.DUMMYFUNCTION("""COMPUTED_VALUE"""),"Prayagraj")</f>
        <v>Prayagraj</v>
      </c>
      <c r="X4298" s="124" t="str">
        <f>IFERROR(__xludf.DUMMYFUNCTION("""COMPUTED_VALUE"""),"Shivanshi")</f>
        <v>Shivanshi</v>
      </c>
      <c r="Y4298" s="124" t="str">
        <f>IFERROR(__xludf.DUMMYFUNCTION("""COMPUTED_VALUE"""),"Prayagraj")</f>
        <v>Prayagraj</v>
      </c>
      <c r="Z4298" s="124">
        <f>IFERROR(__xludf.DUMMYFUNCTION("""COMPUTED_VALUE"""),1.0)</f>
        <v>1</v>
      </c>
      <c r="AA4298" s="124" t="str">
        <f>IFERROR(__xludf.DUMMYFUNCTION("""COMPUTED_VALUE"""),"Cold")</f>
        <v>Cold</v>
      </c>
      <c r="AB4298" s="124" t="str">
        <f>IFERROR(__xludf.DUMMYFUNCTION("""COMPUTED_VALUE"""),"Test Series")</f>
        <v>Test Series</v>
      </c>
    </row>
    <row r="4299">
      <c r="K4299" s="124"/>
      <c r="L4299" s="124"/>
      <c r="M4299" s="124"/>
      <c r="N4299" s="124"/>
      <c r="O4299" s="124"/>
      <c r="T4299" s="126">
        <f>IFERROR(__xludf.DUMMYFUNCTION("""COMPUTED_VALUE"""),46052.0)</f>
        <v>46052</v>
      </c>
      <c r="U4299" s="124" t="str">
        <f>IFERROR(__xludf.DUMMYFUNCTION("""COMPUTED_VALUE"""),"Walk-Ins")</f>
        <v>Walk-Ins</v>
      </c>
      <c r="V4299" s="124" t="str">
        <f>IFERROR(__xludf.DUMMYFUNCTION("""COMPUTED_VALUE"""),"Walk-In")</f>
        <v>Walk-In</v>
      </c>
      <c r="W4299" s="124" t="str">
        <f>IFERROR(__xludf.DUMMYFUNCTION("""COMPUTED_VALUE"""),"Prayagraj")</f>
        <v>Prayagraj</v>
      </c>
      <c r="X4299" s="124" t="str">
        <f>IFERROR(__xludf.DUMMYFUNCTION("""COMPUTED_VALUE"""),"Shivanshi")</f>
        <v>Shivanshi</v>
      </c>
      <c r="Y4299" s="124" t="str">
        <f>IFERROR(__xludf.DUMMYFUNCTION("""COMPUTED_VALUE"""),"Prayagraj")</f>
        <v>Prayagraj</v>
      </c>
      <c r="Z4299" s="124">
        <f>IFERROR(__xludf.DUMMYFUNCTION("""COMPUTED_VALUE"""),1.0)</f>
        <v>1</v>
      </c>
      <c r="AA4299" s="124" t="str">
        <f>IFERROR(__xludf.DUMMYFUNCTION("""COMPUTED_VALUE"""),"Not Interested")</f>
        <v>Not Interested</v>
      </c>
      <c r="AB4299" s="124" t="str">
        <f>IFERROR(__xludf.DUMMYFUNCTION("""COMPUTED_VALUE"""),"State PCS")</f>
        <v>State PCS</v>
      </c>
    </row>
    <row r="4300">
      <c r="K4300" s="124"/>
      <c r="L4300" s="124"/>
      <c r="M4300" s="124"/>
      <c r="N4300" s="124"/>
      <c r="O4300" s="124"/>
      <c r="T4300" s="126">
        <f>IFERROR(__xludf.DUMMYFUNCTION("""COMPUTED_VALUE"""),46098.0)</f>
        <v>46098</v>
      </c>
      <c r="U4300" s="124" t="str">
        <f>IFERROR(__xludf.DUMMYFUNCTION("""COMPUTED_VALUE"""),"Walk-Ins")</f>
        <v>Walk-Ins</v>
      </c>
      <c r="V4300" s="124" t="str">
        <f>IFERROR(__xludf.DUMMYFUNCTION("""COMPUTED_VALUE"""),"Walk-In")</f>
        <v>Walk-In</v>
      </c>
      <c r="W4300" s="124" t="str">
        <f>IFERROR(__xludf.DUMMYFUNCTION("""COMPUTED_VALUE"""),"Prayagraj")</f>
        <v>Prayagraj</v>
      </c>
      <c r="X4300" s="124" t="str">
        <f>IFERROR(__xludf.DUMMYFUNCTION("""COMPUTED_VALUE"""),"Shivanshi")</f>
        <v>Shivanshi</v>
      </c>
      <c r="Y4300" s="124" t="str">
        <f>IFERROR(__xludf.DUMMYFUNCTION("""COMPUTED_VALUE"""),"Prayagraj")</f>
        <v>Prayagraj</v>
      </c>
      <c r="Z4300" s="124">
        <f>IFERROR(__xludf.DUMMYFUNCTION("""COMPUTED_VALUE"""),1.0)</f>
        <v>1</v>
      </c>
      <c r="AA4300" s="124" t="str">
        <f>IFERROR(__xludf.DUMMYFUNCTION("""COMPUTED_VALUE"""),"Cold")</f>
        <v>Cold</v>
      </c>
      <c r="AB4300" s="124" t="str">
        <f>IFERROR(__xludf.DUMMYFUNCTION("""COMPUTED_VALUE"""),"Test Series")</f>
        <v>Test Series</v>
      </c>
    </row>
    <row r="4301">
      <c r="K4301" s="124"/>
      <c r="L4301" s="124"/>
      <c r="M4301" s="124"/>
      <c r="N4301" s="124"/>
      <c r="O4301" s="124"/>
      <c r="T4301" s="126">
        <f>IFERROR(__xludf.DUMMYFUNCTION("""COMPUTED_VALUE"""),46112.0)</f>
        <v>46112</v>
      </c>
      <c r="U4301" s="124" t="str">
        <f>IFERROR(__xludf.DUMMYFUNCTION("""COMPUTED_VALUE"""),"Walk-Ins")</f>
        <v>Walk-Ins</v>
      </c>
      <c r="V4301" s="124" t="str">
        <f>IFERROR(__xludf.DUMMYFUNCTION("""COMPUTED_VALUE"""),"Walk-In")</f>
        <v>Walk-In</v>
      </c>
      <c r="W4301" s="124" t="str">
        <f>IFERROR(__xludf.DUMMYFUNCTION("""COMPUTED_VALUE"""),"Prayagraj")</f>
        <v>Prayagraj</v>
      </c>
      <c r="X4301" s="124" t="str">
        <f>IFERROR(__xludf.DUMMYFUNCTION("""COMPUTED_VALUE"""),"Shivanshi")</f>
        <v>Shivanshi</v>
      </c>
      <c r="Y4301" s="124" t="str">
        <f>IFERROR(__xludf.DUMMYFUNCTION("""COMPUTED_VALUE"""),"Prayagraj")</f>
        <v>Prayagraj</v>
      </c>
      <c r="Z4301" s="124">
        <f>IFERROR(__xludf.DUMMYFUNCTION("""COMPUTED_VALUE"""),1.0)</f>
        <v>1</v>
      </c>
      <c r="AA4301" s="124" t="str">
        <f>IFERROR(__xludf.DUMMYFUNCTION("""COMPUTED_VALUE"""),"Cold")</f>
        <v>Cold</v>
      </c>
      <c r="AB4301" s="124" t="str">
        <f>IFERROR(__xludf.DUMMYFUNCTION("""COMPUTED_VALUE"""),"GS Foundation")</f>
        <v>GS Foundation</v>
      </c>
    </row>
    <row r="4302">
      <c r="K4302" s="124"/>
      <c r="L4302" s="124"/>
      <c r="M4302" s="124"/>
      <c r="N4302" s="124"/>
      <c r="O4302" s="124"/>
      <c r="T4302" s="126">
        <f>IFERROR(__xludf.DUMMYFUNCTION("""COMPUTED_VALUE"""),46053.0)</f>
        <v>46053</v>
      </c>
      <c r="U4302" s="124" t="str">
        <f>IFERROR(__xludf.DUMMYFUNCTION("""COMPUTED_VALUE"""),"Walk-Ins")</f>
        <v>Walk-Ins</v>
      </c>
      <c r="V4302" s="124" t="str">
        <f>IFERROR(__xludf.DUMMYFUNCTION("""COMPUTED_VALUE"""),"Walk-In")</f>
        <v>Walk-In</v>
      </c>
      <c r="W4302" s="124" t="str">
        <f>IFERROR(__xludf.DUMMYFUNCTION("""COMPUTED_VALUE"""),"Prayagraj")</f>
        <v>Prayagraj</v>
      </c>
      <c r="X4302" s="124" t="str">
        <f>IFERROR(__xludf.DUMMYFUNCTION("""COMPUTED_VALUE"""),"Shivanshi")</f>
        <v>Shivanshi</v>
      </c>
      <c r="Y4302" s="124" t="str">
        <f>IFERROR(__xludf.DUMMYFUNCTION("""COMPUTED_VALUE"""),"Prayagraj")</f>
        <v>Prayagraj</v>
      </c>
      <c r="Z4302" s="124">
        <f>IFERROR(__xludf.DUMMYFUNCTION("""COMPUTED_VALUE"""),1.0)</f>
        <v>1</v>
      </c>
      <c r="AA4302" s="124" t="str">
        <f>IFERROR(__xludf.DUMMYFUNCTION("""COMPUTED_VALUE"""),"Enrolled")</f>
        <v>Enrolled</v>
      </c>
      <c r="AB4302" s="124" t="str">
        <f>IFERROR(__xludf.DUMMYFUNCTION("""COMPUTED_VALUE"""),"GS Foundation")</f>
        <v>GS Foundation</v>
      </c>
    </row>
    <row r="4303">
      <c r="K4303" s="124"/>
      <c r="L4303" s="124"/>
      <c r="M4303" s="124"/>
      <c r="N4303" s="124"/>
      <c r="O4303" s="124"/>
      <c r="T4303" s="126">
        <f>IFERROR(__xludf.DUMMYFUNCTION("""COMPUTED_VALUE"""),46043.0)</f>
        <v>46043</v>
      </c>
      <c r="U4303" s="124" t="str">
        <f>IFERROR(__xludf.DUMMYFUNCTION("""COMPUTED_VALUE"""),"Walk-Ins")</f>
        <v>Walk-Ins</v>
      </c>
      <c r="V4303" s="124" t="str">
        <f>IFERROR(__xludf.DUMMYFUNCTION("""COMPUTED_VALUE"""),"Walk-In")</f>
        <v>Walk-In</v>
      </c>
      <c r="W4303" s="124" t="str">
        <f>IFERROR(__xludf.DUMMYFUNCTION("""COMPUTED_VALUE"""),"Prayagraj")</f>
        <v>Prayagraj</v>
      </c>
      <c r="X4303" s="124" t="str">
        <f>IFERROR(__xludf.DUMMYFUNCTION("""COMPUTED_VALUE"""),"Shivanshi")</f>
        <v>Shivanshi</v>
      </c>
      <c r="Y4303" s="124" t="str">
        <f>IFERROR(__xludf.DUMMYFUNCTION("""COMPUTED_VALUE"""),"Prayagraj")</f>
        <v>Prayagraj</v>
      </c>
      <c r="Z4303" s="124">
        <f>IFERROR(__xludf.DUMMYFUNCTION("""COMPUTED_VALUE"""),1.0)</f>
        <v>1</v>
      </c>
      <c r="AA4303" s="124" t="str">
        <f>IFERROR(__xludf.DUMMYFUNCTION("""COMPUTED_VALUE"""),"Future Prospects")</f>
        <v>Future Prospects</v>
      </c>
      <c r="AB4303" s="124" t="str">
        <f>IFERROR(__xludf.DUMMYFUNCTION("""COMPUTED_VALUE"""),"Mentorship")</f>
        <v>Mentorship</v>
      </c>
    </row>
    <row r="4304">
      <c r="K4304" s="124"/>
      <c r="L4304" s="124"/>
      <c r="M4304" s="124"/>
      <c r="N4304" s="124"/>
      <c r="O4304" s="124"/>
      <c r="T4304" s="126">
        <f>IFERROR(__xludf.DUMMYFUNCTION("""COMPUTED_VALUE"""),46048.0)</f>
        <v>46048</v>
      </c>
      <c r="U4304" s="124" t="str">
        <f>IFERROR(__xludf.DUMMYFUNCTION("""COMPUTED_VALUE"""),"Telephony")</f>
        <v>Telephony</v>
      </c>
      <c r="V4304" s="124" t="str">
        <f>IFERROR(__xludf.DUMMYFUNCTION("""COMPUTED_VALUE"""),"Inbound Call")</f>
        <v>Inbound Call</v>
      </c>
      <c r="W4304" s="124">
        <f>IFERROR(__xludf.DUMMYFUNCTION("""COMPUTED_VALUE"""),9.18047861631E11)</f>
        <v>918047861631</v>
      </c>
      <c r="X4304" s="124" t="str">
        <f>IFERROR(__xludf.DUMMYFUNCTION("""COMPUTED_VALUE"""),"Inbound Call")</f>
        <v>Inbound Call</v>
      </c>
      <c r="Y4304" s="124"/>
      <c r="Z4304" s="124">
        <f>IFERROR(__xludf.DUMMYFUNCTION("""COMPUTED_VALUE"""),1.0)</f>
        <v>1</v>
      </c>
      <c r="AA4304" s="124" t="str">
        <f>IFERROR(__xludf.DUMMYFUNCTION("""COMPUTED_VALUE"""),"Fake Lead")</f>
        <v>Fake Lead</v>
      </c>
      <c r="AB4304" s="124"/>
    </row>
    <row r="4305">
      <c r="K4305" s="124"/>
      <c r="L4305" s="124"/>
      <c r="M4305" s="124"/>
      <c r="N4305" s="124"/>
      <c r="O4305" s="124"/>
      <c r="T4305" s="126">
        <f>IFERROR(__xludf.DUMMYFUNCTION("""COMPUTED_VALUE"""),46103.0)</f>
        <v>46103</v>
      </c>
      <c r="U4305" s="124" t="str">
        <f>IFERROR(__xludf.DUMMYFUNCTION("""COMPUTED_VALUE"""),"Telephony")</f>
        <v>Telephony</v>
      </c>
      <c r="V4305" s="124" t="str">
        <f>IFERROR(__xludf.DUMMYFUNCTION("""COMPUTED_VALUE"""),"Inbound Call")</f>
        <v>Inbound Call</v>
      </c>
      <c r="W4305" s="124" t="str">
        <f>IFERROR(__xludf.DUMMYFUNCTION("""COMPUTED_VALUE"""),"Inbound Call")</f>
        <v>Inbound Call</v>
      </c>
      <c r="X4305" s="124" t="str">
        <f>IFERROR(__xludf.DUMMYFUNCTION("""COMPUTED_VALUE"""),"Inbound Call")</f>
        <v>Inbound Call</v>
      </c>
      <c r="Y4305" s="124"/>
      <c r="Z4305" s="124">
        <f>IFERROR(__xludf.DUMMYFUNCTION("""COMPUTED_VALUE"""),1.0)</f>
        <v>1</v>
      </c>
      <c r="AA4305" s="124" t="str">
        <f>IFERROR(__xludf.DUMMYFUNCTION("""COMPUTED_VALUE"""),"Cold")</f>
        <v>Cold</v>
      </c>
      <c r="AB4305" s="124" t="str">
        <f>IFERROR(__xludf.DUMMYFUNCTION("""COMPUTED_VALUE"""),"Other")</f>
        <v>Other</v>
      </c>
    </row>
    <row r="4306">
      <c r="K4306" s="124"/>
      <c r="L4306" s="124"/>
      <c r="M4306" s="124"/>
      <c r="N4306" s="124"/>
      <c r="O4306" s="124"/>
      <c r="T4306" s="126">
        <f>IFERROR(__xludf.DUMMYFUNCTION("""COMPUTED_VALUE"""),46098.0)</f>
        <v>46098</v>
      </c>
      <c r="U4306" s="124" t="str">
        <f>IFERROR(__xludf.DUMMYFUNCTION("""COMPUTED_VALUE"""),"Telephony")</f>
        <v>Telephony</v>
      </c>
      <c r="V4306" s="124" t="str">
        <f>IFERROR(__xludf.DUMMYFUNCTION("""COMPUTED_VALUE"""),"Inbound Call")</f>
        <v>Inbound Call</v>
      </c>
      <c r="W4306" s="124">
        <f>IFERROR(__xludf.DUMMYFUNCTION("""COMPUTED_VALUE"""),9.18047861635E11)</f>
        <v>918047861635</v>
      </c>
      <c r="X4306" s="124" t="str">
        <f>IFERROR(__xludf.DUMMYFUNCTION("""COMPUTED_VALUE"""),"Inbound Call")</f>
        <v>Inbound Call</v>
      </c>
      <c r="Y4306" s="124" t="str">
        <f>IFERROR(__xludf.DUMMYFUNCTION("""COMPUTED_VALUE"""),"Indore")</f>
        <v>Indore</v>
      </c>
      <c r="Z4306" s="124">
        <f>IFERROR(__xludf.DUMMYFUNCTION("""COMPUTED_VALUE"""),1.0)</f>
        <v>1</v>
      </c>
      <c r="AA4306" s="124" t="str">
        <f>IFERROR(__xludf.DUMMYFUNCTION("""COMPUTED_VALUE"""),"Future Prospects")</f>
        <v>Future Prospects</v>
      </c>
      <c r="AB4306" s="124"/>
    </row>
    <row r="4307">
      <c r="K4307" s="124"/>
      <c r="L4307" s="124"/>
      <c r="M4307" s="124"/>
      <c r="N4307" s="124"/>
      <c r="O4307" s="124"/>
      <c r="T4307" s="126">
        <f>IFERROR(__xludf.DUMMYFUNCTION("""COMPUTED_VALUE"""),46044.0)</f>
        <v>46044</v>
      </c>
      <c r="U4307" s="124" t="str">
        <f>IFERROR(__xludf.DUMMYFUNCTION("""COMPUTED_VALUE"""),"Telephony")</f>
        <v>Telephony</v>
      </c>
      <c r="V4307" s="124" t="str">
        <f>IFERROR(__xludf.DUMMYFUNCTION("""COMPUTED_VALUE"""),"Inbound Call")</f>
        <v>Inbound Call</v>
      </c>
      <c r="W4307" s="124">
        <f>IFERROR(__xludf.DUMMYFUNCTION("""COMPUTED_VALUE"""),9.18047861631E11)</f>
        <v>918047861631</v>
      </c>
      <c r="X4307" s="124" t="str">
        <f>IFERROR(__xludf.DUMMYFUNCTION("""COMPUTED_VALUE"""),"Inbound Call")</f>
        <v>Inbound Call</v>
      </c>
      <c r="Y4307" s="124"/>
      <c r="Z4307" s="124">
        <f>IFERROR(__xludf.DUMMYFUNCTION("""COMPUTED_VALUE"""),1.0)</f>
        <v>1</v>
      </c>
      <c r="AA4307" s="124" t="str">
        <f>IFERROR(__xludf.DUMMYFUNCTION("""COMPUTED_VALUE"""),"Fake Lead")</f>
        <v>Fake Lead</v>
      </c>
      <c r="AB4307" s="124"/>
    </row>
    <row r="4308">
      <c r="K4308" s="124"/>
      <c r="L4308" s="124"/>
      <c r="M4308" s="124"/>
      <c r="N4308" s="124"/>
      <c r="O4308" s="124"/>
      <c r="T4308" s="126">
        <f>IFERROR(__xludf.DUMMYFUNCTION("""COMPUTED_VALUE"""),46106.0)</f>
        <v>46106</v>
      </c>
      <c r="U4308" s="124" t="str">
        <f>IFERROR(__xludf.DUMMYFUNCTION("""COMPUTED_VALUE"""),"Telephony")</f>
        <v>Telephony</v>
      </c>
      <c r="V4308" s="124" t="str">
        <f>IFERROR(__xludf.DUMMYFUNCTION("""COMPUTED_VALUE"""),"Inbound Call")</f>
        <v>Inbound Call</v>
      </c>
      <c r="W4308" s="124">
        <f>IFERROR(__xludf.DUMMYFUNCTION("""COMPUTED_VALUE"""),9.18047861632E11)</f>
        <v>918047861632</v>
      </c>
      <c r="X4308" s="124" t="str">
        <f>IFERROR(__xludf.DUMMYFUNCTION("""COMPUTED_VALUE"""),"Inbound Call")</f>
        <v>Inbound Call</v>
      </c>
      <c r="Y4308" s="124" t="str">
        <f>IFERROR(__xludf.DUMMYFUNCTION("""COMPUTED_VALUE"""),"Prayagraj")</f>
        <v>Prayagraj</v>
      </c>
      <c r="Z4308" s="124">
        <f>IFERROR(__xludf.DUMMYFUNCTION("""COMPUTED_VALUE"""),1.0)</f>
        <v>1</v>
      </c>
      <c r="AA4308" s="124" t="str">
        <f>IFERROR(__xludf.DUMMYFUNCTION("""COMPUTED_VALUE"""),"Warm")</f>
        <v>Warm</v>
      </c>
      <c r="AB4308" s="124" t="str">
        <f>IFERROR(__xludf.DUMMYFUNCTION("""COMPUTED_VALUE"""),"State PCS")</f>
        <v>State PCS</v>
      </c>
    </row>
    <row r="4309">
      <c r="K4309" s="124"/>
      <c r="L4309" s="124"/>
      <c r="M4309" s="124"/>
      <c r="N4309" s="124"/>
      <c r="O4309" s="124"/>
      <c r="T4309" s="126">
        <f>IFERROR(__xludf.DUMMYFUNCTION("""COMPUTED_VALUE"""),46101.0)</f>
        <v>46101</v>
      </c>
      <c r="U4309" s="124" t="str">
        <f>IFERROR(__xludf.DUMMYFUNCTION("""COMPUTED_VALUE"""),"Walk-Ins")</f>
        <v>Walk-Ins</v>
      </c>
      <c r="V4309" s="124" t="str">
        <f>IFERROR(__xludf.DUMMYFUNCTION("""COMPUTED_VALUE"""),"Walk-In")</f>
        <v>Walk-In</v>
      </c>
      <c r="W4309" s="124" t="str">
        <f>IFERROR(__xludf.DUMMYFUNCTION("""COMPUTED_VALUE"""),"Delhi")</f>
        <v>Delhi</v>
      </c>
      <c r="X4309" s="124" t="str">
        <f>IFERROR(__xludf.DUMMYFUNCTION("""COMPUTED_VALUE"""),"Yogita")</f>
        <v>Yogita</v>
      </c>
      <c r="Y4309" s="124" t="str">
        <f>IFERROR(__xludf.DUMMYFUNCTION("""COMPUTED_VALUE"""),"Delhi")</f>
        <v>Delhi</v>
      </c>
      <c r="Z4309" s="124">
        <f>IFERROR(__xludf.DUMMYFUNCTION("""COMPUTED_VALUE"""),1.0)</f>
        <v>1</v>
      </c>
      <c r="AA4309" s="124" t="str">
        <f>IFERROR(__xludf.DUMMYFUNCTION("""COMPUTED_VALUE"""),"Cold")</f>
        <v>Cold</v>
      </c>
      <c r="AB4309" s="124" t="str">
        <f>IFERROR(__xludf.DUMMYFUNCTION("""COMPUTED_VALUE"""),"Prelims Crash Course - SIP")</f>
        <v>Prelims Crash Course - SIP</v>
      </c>
    </row>
    <row r="4310">
      <c r="K4310" s="124"/>
      <c r="L4310" s="124"/>
      <c r="M4310" s="124"/>
      <c r="N4310" s="124"/>
      <c r="O4310" s="124"/>
      <c r="T4310" s="126">
        <f>IFERROR(__xludf.DUMMYFUNCTION("""COMPUTED_VALUE"""),46092.0)</f>
        <v>46092</v>
      </c>
      <c r="U4310" s="124" t="str">
        <f>IFERROR(__xludf.DUMMYFUNCTION("""COMPUTED_VALUE"""),"Telephony")</f>
        <v>Telephony</v>
      </c>
      <c r="V4310" s="124" t="str">
        <f>IFERROR(__xludf.DUMMYFUNCTION("""COMPUTED_VALUE"""),"Inbound Call")</f>
        <v>Inbound Call</v>
      </c>
      <c r="W4310" s="124">
        <f>IFERROR(__xludf.DUMMYFUNCTION("""COMPUTED_VALUE"""),9.18047861635E11)</f>
        <v>918047861635</v>
      </c>
      <c r="X4310" s="124" t="str">
        <f>IFERROR(__xludf.DUMMYFUNCTION("""COMPUTED_VALUE"""),"Inbound Call")</f>
        <v>Inbound Call</v>
      </c>
      <c r="Y4310" s="124" t="str">
        <f>IFERROR(__xludf.DUMMYFUNCTION("""COMPUTED_VALUE"""),"Indore")</f>
        <v>Indore</v>
      </c>
      <c r="Z4310" s="124">
        <f>IFERROR(__xludf.DUMMYFUNCTION("""COMPUTED_VALUE"""),1.0)</f>
        <v>1</v>
      </c>
      <c r="AA4310" s="124" t="str">
        <f>IFERROR(__xludf.DUMMYFUNCTION("""COMPUTED_VALUE"""),"Cold")</f>
        <v>Cold</v>
      </c>
      <c r="AB4310" s="124" t="str">
        <f>IFERROR(__xludf.DUMMYFUNCTION("""COMPUTED_VALUE"""),"State PCS")</f>
        <v>State PCS</v>
      </c>
    </row>
    <row r="4311">
      <c r="K4311" s="124"/>
      <c r="L4311" s="124"/>
      <c r="M4311" s="124"/>
      <c r="N4311" s="124"/>
      <c r="O4311" s="124"/>
      <c r="T4311" s="126">
        <f>IFERROR(__xludf.DUMMYFUNCTION("""COMPUTED_VALUE"""),46053.0)</f>
        <v>46053</v>
      </c>
      <c r="U4311" s="124" t="str">
        <f>IFERROR(__xludf.DUMMYFUNCTION("""COMPUTED_VALUE"""),"Telephony")</f>
        <v>Telephony</v>
      </c>
      <c r="V4311" s="124" t="str">
        <f>IFERROR(__xludf.DUMMYFUNCTION("""COMPUTED_VALUE"""),"Inbound Call")</f>
        <v>Inbound Call</v>
      </c>
      <c r="W4311" s="124">
        <f>IFERROR(__xludf.DUMMYFUNCTION("""COMPUTED_VALUE"""),9.18047861633E11)</f>
        <v>918047861633</v>
      </c>
      <c r="X4311" s="124" t="str">
        <f>IFERROR(__xludf.DUMMYFUNCTION("""COMPUTED_VALUE"""),"Inbound Call")</f>
        <v>Inbound Call</v>
      </c>
      <c r="Y4311" s="124" t="str">
        <f>IFERROR(__xludf.DUMMYFUNCTION("""COMPUTED_VALUE"""),"Patna")</f>
        <v>Patna</v>
      </c>
      <c r="Z4311" s="124">
        <f>IFERROR(__xludf.DUMMYFUNCTION("""COMPUTED_VALUE"""),1.0)</f>
        <v>1</v>
      </c>
      <c r="AA4311" s="124" t="str">
        <f>IFERROR(__xludf.DUMMYFUNCTION("""COMPUTED_VALUE"""),"Enrolled")</f>
        <v>Enrolled</v>
      </c>
      <c r="AB4311" s="124" t="str">
        <f>IFERROR(__xludf.DUMMYFUNCTION("""COMPUTED_VALUE"""),"State PCS")</f>
        <v>State PCS</v>
      </c>
    </row>
    <row r="4312">
      <c r="K4312" s="124"/>
      <c r="L4312" s="124"/>
      <c r="M4312" s="124"/>
      <c r="N4312" s="124"/>
      <c r="O4312" s="124"/>
      <c r="T4312" s="126">
        <f>IFERROR(__xludf.DUMMYFUNCTION("""COMPUTED_VALUE"""),46075.0)</f>
        <v>46075</v>
      </c>
      <c r="U4312" s="124" t="str">
        <f>IFERROR(__xludf.DUMMYFUNCTION("""COMPUTED_VALUE"""),"Telephony")</f>
        <v>Telephony</v>
      </c>
      <c r="V4312" s="124" t="str">
        <f>IFERROR(__xludf.DUMMYFUNCTION("""COMPUTED_VALUE"""),"Inbound Call")</f>
        <v>Inbound Call</v>
      </c>
      <c r="W4312" s="124">
        <f>IFERROR(__xludf.DUMMYFUNCTION("""COMPUTED_VALUE"""),9.18047861632E11)</f>
        <v>918047861632</v>
      </c>
      <c r="X4312" s="124" t="str">
        <f>IFERROR(__xludf.DUMMYFUNCTION("""COMPUTED_VALUE"""),"Inbound Call")</f>
        <v>Inbound Call</v>
      </c>
      <c r="Y4312" s="124"/>
      <c r="Z4312" s="124">
        <f>IFERROR(__xludf.DUMMYFUNCTION("""COMPUTED_VALUE"""),1.0)</f>
        <v>1</v>
      </c>
      <c r="AA4312" s="124" t="str">
        <f>IFERROR(__xludf.DUMMYFUNCTION("""COMPUTED_VALUE"""),"Fake Lead")</f>
        <v>Fake Lead</v>
      </c>
      <c r="AB4312" s="124"/>
    </row>
    <row r="4313">
      <c r="K4313" s="124"/>
      <c r="L4313" s="124"/>
      <c r="M4313" s="124"/>
      <c r="N4313" s="124"/>
      <c r="O4313" s="124"/>
      <c r="T4313" s="126">
        <f>IFERROR(__xludf.DUMMYFUNCTION("""COMPUTED_VALUE"""),46073.0)</f>
        <v>46073</v>
      </c>
      <c r="U4313" s="124" t="str">
        <f>IFERROR(__xludf.DUMMYFUNCTION("""COMPUTED_VALUE"""),"Telephony")</f>
        <v>Telephony</v>
      </c>
      <c r="V4313" s="124" t="str">
        <f>IFERROR(__xludf.DUMMYFUNCTION("""COMPUTED_VALUE"""),"Inbound Call")</f>
        <v>Inbound Call</v>
      </c>
      <c r="W4313" s="124">
        <f>IFERROR(__xludf.DUMMYFUNCTION("""COMPUTED_VALUE"""),9.18047861635E11)</f>
        <v>918047861635</v>
      </c>
      <c r="X4313" s="124" t="str">
        <f>IFERROR(__xludf.DUMMYFUNCTION("""COMPUTED_VALUE"""),"Inbound Call")</f>
        <v>Inbound Call</v>
      </c>
      <c r="Y4313" s="124" t="str">
        <f>IFERROR(__xludf.DUMMYFUNCTION("""COMPUTED_VALUE"""),"Indore")</f>
        <v>Indore</v>
      </c>
      <c r="Z4313" s="124">
        <f>IFERROR(__xludf.DUMMYFUNCTION("""COMPUTED_VALUE"""),1.0)</f>
        <v>1</v>
      </c>
      <c r="AA4313" s="124" t="str">
        <f>IFERROR(__xludf.DUMMYFUNCTION("""COMPUTED_VALUE"""),"Future Prospects")</f>
        <v>Future Prospects</v>
      </c>
      <c r="AB4313" s="124" t="str">
        <f>IFERROR(__xludf.DUMMYFUNCTION("""COMPUTED_VALUE"""),"GS Foundation")</f>
        <v>GS Foundation</v>
      </c>
    </row>
    <row r="4314">
      <c r="K4314" s="124"/>
      <c r="L4314" s="124"/>
      <c r="M4314" s="124"/>
      <c r="N4314" s="124"/>
      <c r="O4314" s="124"/>
      <c r="T4314" s="129">
        <f>IFERROR(__xludf.DUMMYFUNCTION("""COMPUTED_VALUE"""),46089.0)</f>
        <v>46089</v>
      </c>
      <c r="U4314" s="124" t="str">
        <f>IFERROR(__xludf.DUMMYFUNCTION("""COMPUTED_VALUE"""),"Telephony")</f>
        <v>Telephony</v>
      </c>
      <c r="V4314" s="124" t="str">
        <f>IFERROR(__xludf.DUMMYFUNCTION("""COMPUTED_VALUE"""),"Inbound Call")</f>
        <v>Inbound Call</v>
      </c>
      <c r="W4314" s="124">
        <f>IFERROR(__xludf.DUMMYFUNCTION("""COMPUTED_VALUE"""),9.18047861634E11)</f>
        <v>918047861634</v>
      </c>
      <c r="X4314" s="124" t="str">
        <f>IFERROR(__xludf.DUMMYFUNCTION("""COMPUTED_VALUE"""),"Inbound Call")</f>
        <v>Inbound Call</v>
      </c>
      <c r="Y4314" s="124"/>
      <c r="Z4314" s="124">
        <f>IFERROR(__xludf.DUMMYFUNCTION("""COMPUTED_VALUE"""),1.0)</f>
        <v>1</v>
      </c>
      <c r="AA4314" s="124" t="str">
        <f>IFERROR(__xludf.DUMMYFUNCTION("""COMPUTED_VALUE"""),"Cold")</f>
        <v>Cold</v>
      </c>
      <c r="AB4314" s="124"/>
    </row>
    <row r="4315">
      <c r="K4315" s="124"/>
      <c r="L4315" s="124"/>
      <c r="M4315" s="124"/>
      <c r="N4315" s="124"/>
      <c r="O4315" s="124"/>
      <c r="T4315" s="126">
        <f>IFERROR(__xludf.DUMMYFUNCTION("""COMPUTED_VALUE"""),46100.0)</f>
        <v>46100</v>
      </c>
      <c r="U4315" s="124" t="str">
        <f>IFERROR(__xludf.DUMMYFUNCTION("""COMPUTED_VALUE"""),"Telephony")</f>
        <v>Telephony</v>
      </c>
      <c r="V4315" s="124" t="str">
        <f>IFERROR(__xludf.DUMMYFUNCTION("""COMPUTED_VALUE"""),"Inbound Call")</f>
        <v>Inbound Call</v>
      </c>
      <c r="W4315" s="124" t="str">
        <f>IFERROR(__xludf.DUMMYFUNCTION("""COMPUTED_VALUE"""),"Inbound Call")</f>
        <v>Inbound Call</v>
      </c>
      <c r="X4315" s="124" t="str">
        <f>IFERROR(__xludf.DUMMYFUNCTION("""COMPUTED_VALUE"""),"Inbound Call")</f>
        <v>Inbound Call</v>
      </c>
      <c r="Y4315" s="124" t="str">
        <f>IFERROR(__xludf.DUMMYFUNCTION("""COMPUTED_VALUE"""),"Indore")</f>
        <v>Indore</v>
      </c>
      <c r="Z4315" s="124">
        <f>IFERROR(__xludf.DUMMYFUNCTION("""COMPUTED_VALUE"""),1.0)</f>
        <v>1</v>
      </c>
      <c r="AA4315" s="124" t="str">
        <f>IFERROR(__xludf.DUMMYFUNCTION("""COMPUTED_VALUE"""),"Future Prospects")</f>
        <v>Future Prospects</v>
      </c>
      <c r="AB4315" s="124" t="str">
        <f>IFERROR(__xludf.DUMMYFUNCTION("""COMPUTED_VALUE"""),"GS Foundation")</f>
        <v>GS Foundation</v>
      </c>
    </row>
    <row r="4316">
      <c r="K4316" s="124"/>
      <c r="L4316" s="124"/>
      <c r="M4316" s="124"/>
      <c r="N4316" s="124"/>
      <c r="O4316" s="124"/>
      <c r="T4316" s="126">
        <f>IFERROR(__xludf.DUMMYFUNCTION("""COMPUTED_VALUE"""),46074.0)</f>
        <v>46074</v>
      </c>
      <c r="U4316" s="124" t="str">
        <f>IFERROR(__xludf.DUMMYFUNCTION("""COMPUTED_VALUE"""),"Telephony")</f>
        <v>Telephony</v>
      </c>
      <c r="V4316" s="124" t="str">
        <f>IFERROR(__xludf.DUMMYFUNCTION("""COMPUTED_VALUE"""),"Inbound Call")</f>
        <v>Inbound Call</v>
      </c>
      <c r="W4316" s="124">
        <f>IFERROR(__xludf.DUMMYFUNCTION("""COMPUTED_VALUE"""),9.18047861633E11)</f>
        <v>918047861633</v>
      </c>
      <c r="X4316" s="124" t="str">
        <f>IFERROR(__xludf.DUMMYFUNCTION("""COMPUTED_VALUE"""),"Inbound Call")</f>
        <v>Inbound Call</v>
      </c>
      <c r="Y4316" s="124"/>
      <c r="Z4316" s="124">
        <f>IFERROR(__xludf.DUMMYFUNCTION("""COMPUTED_VALUE"""),1.0)</f>
        <v>1</v>
      </c>
      <c r="AA4316" s="124" t="str">
        <f>IFERROR(__xludf.DUMMYFUNCTION("""COMPUTED_VALUE"""),"Cold")</f>
        <v>Cold</v>
      </c>
      <c r="AB4316" s="124"/>
    </row>
    <row r="4317">
      <c r="K4317" s="124"/>
      <c r="L4317" s="124"/>
      <c r="M4317" s="124"/>
      <c r="N4317" s="124"/>
      <c r="O4317" s="124"/>
      <c r="T4317" s="129">
        <f>IFERROR(__xludf.DUMMYFUNCTION("""COMPUTED_VALUE"""),46089.0)</f>
        <v>46089</v>
      </c>
      <c r="U4317" s="124" t="str">
        <f>IFERROR(__xludf.DUMMYFUNCTION("""COMPUTED_VALUE"""),"Walk-Ins")</f>
        <v>Walk-Ins</v>
      </c>
      <c r="V4317" s="124" t="str">
        <f>IFERROR(__xludf.DUMMYFUNCTION("""COMPUTED_VALUE"""),"Walk-In")</f>
        <v>Walk-In</v>
      </c>
      <c r="W4317" s="124" t="str">
        <f>IFERROR(__xludf.DUMMYFUNCTION("""COMPUTED_VALUE"""),"Delhi")</f>
        <v>Delhi</v>
      </c>
      <c r="X4317" s="124" t="str">
        <f>IFERROR(__xludf.DUMMYFUNCTION("""COMPUTED_VALUE"""),"Yogita")</f>
        <v>Yogita</v>
      </c>
      <c r="Y4317" s="124" t="str">
        <f>IFERROR(__xludf.DUMMYFUNCTION("""COMPUTED_VALUE"""),"Delhi")</f>
        <v>Delhi</v>
      </c>
      <c r="Z4317" s="124">
        <f>IFERROR(__xludf.DUMMYFUNCTION("""COMPUTED_VALUE"""),1.0)</f>
        <v>1</v>
      </c>
      <c r="AA4317" s="124" t="str">
        <f>IFERROR(__xludf.DUMMYFUNCTION("""COMPUTED_VALUE"""),"Fake Lead")</f>
        <v>Fake Lead</v>
      </c>
      <c r="AB4317" s="124" t="str">
        <f>IFERROR(__xludf.DUMMYFUNCTION("""COMPUTED_VALUE"""),"GS Foundation")</f>
        <v>GS Foundation</v>
      </c>
    </row>
    <row r="4318">
      <c r="K4318" s="124"/>
      <c r="L4318" s="124"/>
      <c r="M4318" s="124"/>
      <c r="N4318" s="124"/>
      <c r="O4318" s="124"/>
      <c r="T4318" s="129">
        <f>IFERROR(__xludf.DUMMYFUNCTION("""COMPUTED_VALUE"""),46058.0)</f>
        <v>46058</v>
      </c>
      <c r="U4318" s="124" t="str">
        <f>IFERROR(__xludf.DUMMYFUNCTION("""COMPUTED_VALUE"""),"Telephony")</f>
        <v>Telephony</v>
      </c>
      <c r="V4318" s="124" t="str">
        <f>IFERROR(__xludf.DUMMYFUNCTION("""COMPUTED_VALUE"""),"Inbound Call")</f>
        <v>Inbound Call</v>
      </c>
      <c r="W4318" s="124">
        <f>IFERROR(__xludf.DUMMYFUNCTION("""COMPUTED_VALUE"""),9.18047861634E11)</f>
        <v>918047861634</v>
      </c>
      <c r="X4318" s="124" t="str">
        <f>IFERROR(__xludf.DUMMYFUNCTION("""COMPUTED_VALUE"""),"Inbound Call")</f>
        <v>Inbound Call</v>
      </c>
      <c r="Y4318" s="124" t="str">
        <f>IFERROR(__xludf.DUMMYFUNCTION("""COMPUTED_VALUE"""),"Lucknow")</f>
        <v>Lucknow</v>
      </c>
      <c r="Z4318" s="124">
        <f>IFERROR(__xludf.DUMMYFUNCTION("""COMPUTED_VALUE"""),1.0)</f>
        <v>1</v>
      </c>
      <c r="AA4318" s="124" t="str">
        <f>IFERROR(__xludf.DUMMYFUNCTION("""COMPUTED_VALUE"""),"Warm")</f>
        <v>Warm</v>
      </c>
      <c r="AB4318" s="124" t="str">
        <f>IFERROR(__xludf.DUMMYFUNCTION("""COMPUTED_VALUE"""),"GS Foundation")</f>
        <v>GS Foundation</v>
      </c>
    </row>
    <row r="4319">
      <c r="K4319" s="124"/>
      <c r="L4319" s="124"/>
      <c r="M4319" s="124"/>
      <c r="N4319" s="124"/>
      <c r="O4319" s="124"/>
      <c r="T4319" s="129">
        <f>IFERROR(__xludf.DUMMYFUNCTION("""COMPUTED_VALUE"""),46055.0)</f>
        <v>46055</v>
      </c>
      <c r="U4319" s="124" t="str">
        <f>IFERROR(__xludf.DUMMYFUNCTION("""COMPUTED_VALUE"""),"Paid Ads")</f>
        <v>Paid Ads</v>
      </c>
      <c r="V4319" s="124" t="str">
        <f>IFERROR(__xludf.DUMMYFUNCTION("""COMPUTED_VALUE"""),"facebook")</f>
        <v>facebook</v>
      </c>
      <c r="W4319" s="124" t="str">
        <f>IFERROR(__xludf.DUMMYFUNCTION("""COMPUTED_VALUE"""),"indore")</f>
        <v>indore</v>
      </c>
      <c r="X4319" s="124" t="str">
        <f>IFERROR(__xludf.DUMMYFUNCTION("""COMPUTED_VALUE"""),"fbleads")</f>
        <v>fbleads</v>
      </c>
      <c r="Y4319" s="124"/>
      <c r="Z4319" s="124">
        <f>IFERROR(__xludf.DUMMYFUNCTION("""COMPUTED_VALUE"""),1.0)</f>
        <v>1</v>
      </c>
      <c r="AA4319" s="124" t="str">
        <f>IFERROR(__xludf.DUMMYFUNCTION("""COMPUTED_VALUE"""),"Enrolled")</f>
        <v>Enrolled</v>
      </c>
      <c r="AB4319" s="124" t="str">
        <f>IFERROR(__xludf.DUMMYFUNCTION("""COMPUTED_VALUE"""),"GS Foundation")</f>
        <v>GS Foundation</v>
      </c>
    </row>
    <row r="4320">
      <c r="K4320" s="124"/>
      <c r="L4320" s="124"/>
      <c r="M4320" s="124"/>
      <c r="N4320" s="124"/>
      <c r="O4320" s="124"/>
      <c r="T4320" s="129">
        <f>IFERROR(__xludf.DUMMYFUNCTION("""COMPUTED_VALUE"""),46087.0)</f>
        <v>46087</v>
      </c>
      <c r="U4320" s="124" t="str">
        <f>IFERROR(__xludf.DUMMYFUNCTION("""COMPUTED_VALUE"""),"Telephony")</f>
        <v>Telephony</v>
      </c>
      <c r="V4320" s="124" t="str">
        <f>IFERROR(__xludf.DUMMYFUNCTION("""COMPUTED_VALUE"""),"Inbound Call")</f>
        <v>Inbound Call</v>
      </c>
      <c r="W4320" s="124">
        <f>IFERROR(__xludf.DUMMYFUNCTION("""COMPUTED_VALUE"""),9.18047861663E11)</f>
        <v>918047861663</v>
      </c>
      <c r="X4320" s="124" t="str">
        <f>IFERROR(__xludf.DUMMYFUNCTION("""COMPUTED_VALUE"""),"Inbound Call")</f>
        <v>Inbound Call</v>
      </c>
      <c r="Y4320" s="124" t="str">
        <f>IFERROR(__xludf.DUMMYFUNCTION("""COMPUTED_VALUE"""),"Delhi")</f>
        <v>Delhi</v>
      </c>
      <c r="Z4320" s="124">
        <f>IFERROR(__xludf.DUMMYFUNCTION("""COMPUTED_VALUE"""),1.0)</f>
        <v>1</v>
      </c>
      <c r="AA4320" s="124" t="str">
        <f>IFERROR(__xludf.DUMMYFUNCTION("""COMPUTED_VALUE"""),"Not Interested")</f>
        <v>Not Interested</v>
      </c>
      <c r="AB4320" s="124"/>
    </row>
    <row r="4321">
      <c r="K4321" s="124"/>
      <c r="L4321" s="124"/>
      <c r="M4321" s="124"/>
      <c r="N4321" s="124"/>
      <c r="O4321" s="124"/>
      <c r="T4321" s="129">
        <f>IFERROR(__xludf.DUMMYFUNCTION("""COMPUTED_VALUE"""),46060.0)</f>
        <v>46060</v>
      </c>
      <c r="U4321" s="124" t="str">
        <f>IFERROR(__xludf.DUMMYFUNCTION("""COMPUTED_VALUE"""),"Telephony")</f>
        <v>Telephony</v>
      </c>
      <c r="V4321" s="124" t="str">
        <f>IFERROR(__xludf.DUMMYFUNCTION("""COMPUTED_VALUE"""),"Inbound Call")</f>
        <v>Inbound Call</v>
      </c>
      <c r="W4321" s="124" t="str">
        <f>IFERROR(__xludf.DUMMYFUNCTION("""COMPUTED_VALUE"""),"Inbound Call")</f>
        <v>Inbound Call</v>
      </c>
      <c r="X4321" s="124" t="str">
        <f>IFERROR(__xludf.DUMMYFUNCTION("""COMPUTED_VALUE"""),"Inbound Call")</f>
        <v>Inbound Call</v>
      </c>
      <c r="Y4321" s="124"/>
      <c r="Z4321" s="124">
        <f>IFERROR(__xludf.DUMMYFUNCTION("""COMPUTED_VALUE"""),1.0)</f>
        <v>1</v>
      </c>
      <c r="AA4321" s="124" t="str">
        <f>IFERROR(__xludf.DUMMYFUNCTION("""COMPUTED_VALUE"""),"Fake Lead")</f>
        <v>Fake Lead</v>
      </c>
      <c r="AB4321" s="124" t="str">
        <f>IFERROR(__xludf.DUMMYFUNCTION("""COMPUTED_VALUE"""),"IGP UPPSC")</f>
        <v>IGP UPPSC</v>
      </c>
    </row>
    <row r="4322">
      <c r="K4322" s="124"/>
      <c r="L4322" s="124"/>
      <c r="M4322" s="124"/>
      <c r="N4322" s="124"/>
      <c r="O4322" s="124"/>
      <c r="T4322" s="126">
        <f>IFERROR(__xludf.DUMMYFUNCTION("""COMPUTED_VALUE"""),46053.0)</f>
        <v>46053</v>
      </c>
      <c r="U4322" s="124" t="str">
        <f>IFERROR(__xludf.DUMMYFUNCTION("""COMPUTED_VALUE"""),"Telephony")</f>
        <v>Telephony</v>
      </c>
      <c r="V4322" s="124" t="str">
        <f>IFERROR(__xludf.DUMMYFUNCTION("""COMPUTED_VALUE"""),"Inbound Call")</f>
        <v>Inbound Call</v>
      </c>
      <c r="W4322" s="124">
        <f>IFERROR(__xludf.DUMMYFUNCTION("""COMPUTED_VALUE"""),9.18047861631E11)</f>
        <v>918047861631</v>
      </c>
      <c r="X4322" s="124" t="str">
        <f>IFERROR(__xludf.DUMMYFUNCTION("""COMPUTED_VALUE"""),"Inbound Call")</f>
        <v>Inbound Call</v>
      </c>
      <c r="Y4322" s="124"/>
      <c r="Z4322" s="124">
        <f>IFERROR(__xludf.DUMMYFUNCTION("""COMPUTED_VALUE"""),1.0)</f>
        <v>1</v>
      </c>
      <c r="AA4322" s="124" t="str">
        <f>IFERROR(__xludf.DUMMYFUNCTION("""COMPUTED_VALUE"""),"Cold")</f>
        <v>Cold</v>
      </c>
      <c r="AB4322" s="124"/>
    </row>
    <row r="4323">
      <c r="K4323" s="124"/>
      <c r="L4323" s="124"/>
      <c r="M4323" s="124"/>
      <c r="N4323" s="124"/>
      <c r="O4323" s="124"/>
      <c r="T4323" s="129">
        <f>IFERROR(__xludf.DUMMYFUNCTION("""COMPUTED_VALUE"""),46056.0)</f>
        <v>46056</v>
      </c>
      <c r="U4323" s="124" t="str">
        <f>IFERROR(__xludf.DUMMYFUNCTION("""COMPUTED_VALUE"""),"Telephony")</f>
        <v>Telephony</v>
      </c>
      <c r="V4323" s="124" t="str">
        <f>IFERROR(__xludf.DUMMYFUNCTION("""COMPUTED_VALUE"""),"Inbound Call")</f>
        <v>Inbound Call</v>
      </c>
      <c r="W4323" s="124">
        <f>IFERROR(__xludf.DUMMYFUNCTION("""COMPUTED_VALUE"""),9.18047861663E11)</f>
        <v>918047861663</v>
      </c>
      <c r="X4323" s="124" t="str">
        <f>IFERROR(__xludf.DUMMYFUNCTION("""COMPUTED_VALUE"""),"Inbound Call")</f>
        <v>Inbound Call</v>
      </c>
      <c r="Y4323" s="124"/>
      <c r="Z4323" s="124">
        <f>IFERROR(__xludf.DUMMYFUNCTION("""COMPUTED_VALUE"""),1.0)</f>
        <v>1</v>
      </c>
      <c r="AA4323" s="124" t="str">
        <f>IFERROR(__xludf.DUMMYFUNCTION("""COMPUTED_VALUE"""),"Fake Lead")</f>
        <v>Fake Lead</v>
      </c>
      <c r="AB4323" s="124"/>
    </row>
    <row r="4324">
      <c r="K4324" s="124"/>
      <c r="L4324" s="124"/>
      <c r="M4324" s="124"/>
      <c r="N4324" s="124"/>
      <c r="O4324" s="124"/>
      <c r="T4324" s="129">
        <f>IFERROR(__xludf.DUMMYFUNCTION("""COMPUTED_VALUE"""),46084.0)</f>
        <v>46084</v>
      </c>
      <c r="U4324" s="124" t="str">
        <f>IFERROR(__xludf.DUMMYFUNCTION("""COMPUTED_VALUE"""),"Telephony")</f>
        <v>Telephony</v>
      </c>
      <c r="V4324" s="124" t="str">
        <f>IFERROR(__xludf.DUMMYFUNCTION("""COMPUTED_VALUE"""),"Inbound Call")</f>
        <v>Inbound Call</v>
      </c>
      <c r="W4324" s="124">
        <f>IFERROR(__xludf.DUMMYFUNCTION("""COMPUTED_VALUE"""),9.18047861663E11)</f>
        <v>918047861663</v>
      </c>
      <c r="X4324" s="124" t="str">
        <f>IFERROR(__xludf.DUMMYFUNCTION("""COMPUTED_VALUE"""),"Inbound Call")</f>
        <v>Inbound Call</v>
      </c>
      <c r="Y4324" s="124"/>
      <c r="Z4324" s="124">
        <f>IFERROR(__xludf.DUMMYFUNCTION("""COMPUTED_VALUE"""),1.0)</f>
        <v>1</v>
      </c>
      <c r="AA4324" s="124" t="str">
        <f>IFERROR(__xludf.DUMMYFUNCTION("""COMPUTED_VALUE"""),"Fake Lead")</f>
        <v>Fake Lead</v>
      </c>
      <c r="AB4324" s="124"/>
    </row>
    <row r="4325">
      <c r="K4325" s="124"/>
      <c r="L4325" s="124"/>
      <c r="M4325" s="124"/>
      <c r="N4325" s="124"/>
      <c r="O4325" s="124"/>
      <c r="T4325" s="126">
        <f>IFERROR(__xludf.DUMMYFUNCTION("""COMPUTED_VALUE"""),46081.0)</f>
        <v>46081</v>
      </c>
      <c r="U4325" s="124" t="str">
        <f>IFERROR(__xludf.DUMMYFUNCTION("""COMPUTED_VALUE"""),"Telephony")</f>
        <v>Telephony</v>
      </c>
      <c r="V4325" s="124" t="str">
        <f>IFERROR(__xludf.DUMMYFUNCTION("""COMPUTED_VALUE"""),"Inbound Call")</f>
        <v>Inbound Call</v>
      </c>
      <c r="W4325" s="124" t="str">
        <f>IFERROR(__xludf.DUMMYFUNCTION("""COMPUTED_VALUE"""),"Inbound Call")</f>
        <v>Inbound Call</v>
      </c>
      <c r="X4325" s="124" t="str">
        <f>IFERROR(__xludf.DUMMYFUNCTION("""COMPUTED_VALUE"""),"Inbound Call")</f>
        <v>Inbound Call</v>
      </c>
      <c r="Y4325" s="124" t="str">
        <f>IFERROR(__xludf.DUMMYFUNCTION("""COMPUTED_VALUE"""),"Delhi")</f>
        <v>Delhi</v>
      </c>
      <c r="Z4325" s="124">
        <f>IFERROR(__xludf.DUMMYFUNCTION("""COMPUTED_VALUE"""),1.0)</f>
        <v>1</v>
      </c>
      <c r="AA4325" s="124" t="str">
        <f>IFERROR(__xludf.DUMMYFUNCTION("""COMPUTED_VALUE"""),"Enrolled")</f>
        <v>Enrolled</v>
      </c>
      <c r="AB4325" s="124" t="str">
        <f>IFERROR(__xludf.DUMMYFUNCTION("""COMPUTED_VALUE"""),"GS Foundation")</f>
        <v>GS Foundation</v>
      </c>
    </row>
    <row r="4326">
      <c r="K4326" s="124"/>
      <c r="L4326" s="124"/>
      <c r="M4326" s="124"/>
      <c r="N4326" s="124"/>
      <c r="O4326" s="124"/>
      <c r="T4326" s="129">
        <f>IFERROR(__xludf.DUMMYFUNCTION("""COMPUTED_VALUE"""),46061.0)</f>
        <v>46061</v>
      </c>
      <c r="U4326" s="124" t="str">
        <f>IFERROR(__xludf.DUMMYFUNCTION("""COMPUTED_VALUE"""),"Telephony")</f>
        <v>Telephony</v>
      </c>
      <c r="V4326" s="124" t="str">
        <f>IFERROR(__xludf.DUMMYFUNCTION("""COMPUTED_VALUE"""),"Inbound Call")</f>
        <v>Inbound Call</v>
      </c>
      <c r="W4326" s="124">
        <f>IFERROR(__xludf.DUMMYFUNCTION("""COMPUTED_VALUE"""),9.18047861634E11)</f>
        <v>918047861634</v>
      </c>
      <c r="X4326" s="124" t="str">
        <f>IFERROR(__xludf.DUMMYFUNCTION("""COMPUTED_VALUE"""),"Inbound Call")</f>
        <v>Inbound Call</v>
      </c>
      <c r="Y4326" s="124"/>
      <c r="Z4326" s="124">
        <f>IFERROR(__xludf.DUMMYFUNCTION("""COMPUTED_VALUE"""),1.0)</f>
        <v>1</v>
      </c>
      <c r="AA4326" s="124" t="str">
        <f>IFERROR(__xludf.DUMMYFUNCTION("""COMPUTED_VALUE"""),"Fake Lead")</f>
        <v>Fake Lead</v>
      </c>
      <c r="AB4326" s="124"/>
    </row>
    <row r="4327">
      <c r="K4327" s="124"/>
      <c r="L4327" s="124"/>
      <c r="M4327" s="124"/>
      <c r="N4327" s="124"/>
      <c r="O4327" s="124"/>
      <c r="T4327" s="126">
        <f>IFERROR(__xludf.DUMMYFUNCTION("""COMPUTED_VALUE"""),46109.0)</f>
        <v>46109</v>
      </c>
      <c r="U4327" s="124" t="str">
        <f>IFERROR(__xludf.DUMMYFUNCTION("""COMPUTED_VALUE"""),"Telephony")</f>
        <v>Telephony</v>
      </c>
      <c r="V4327" s="124" t="str">
        <f>IFERROR(__xludf.DUMMYFUNCTION("""COMPUTED_VALUE"""),"Inbound Call")</f>
        <v>Inbound Call</v>
      </c>
      <c r="W4327" s="124">
        <f>IFERROR(__xludf.DUMMYFUNCTION("""COMPUTED_VALUE"""),9.18047861663E11)</f>
        <v>918047861663</v>
      </c>
      <c r="X4327" s="124" t="str">
        <f>IFERROR(__xludf.DUMMYFUNCTION("""COMPUTED_VALUE"""),"Inbound Call")</f>
        <v>Inbound Call</v>
      </c>
      <c r="Y4327" s="124"/>
      <c r="Z4327" s="124">
        <f>IFERROR(__xludf.DUMMYFUNCTION("""COMPUTED_VALUE"""),1.0)</f>
        <v>1</v>
      </c>
      <c r="AA4327" s="124"/>
      <c r="AB4327" s="124"/>
    </row>
    <row r="4328">
      <c r="K4328" s="124"/>
      <c r="L4328" s="124"/>
      <c r="M4328" s="124"/>
      <c r="N4328" s="124"/>
      <c r="O4328" s="124"/>
      <c r="T4328" s="126">
        <f>IFERROR(__xludf.DUMMYFUNCTION("""COMPUTED_VALUE"""),46079.0)</f>
        <v>46079</v>
      </c>
      <c r="U4328" s="124" t="str">
        <f>IFERROR(__xludf.DUMMYFUNCTION("""COMPUTED_VALUE"""),"Telephony")</f>
        <v>Telephony</v>
      </c>
      <c r="V4328" s="124" t="str">
        <f>IFERROR(__xludf.DUMMYFUNCTION("""COMPUTED_VALUE"""),"Inbound Call")</f>
        <v>Inbound Call</v>
      </c>
      <c r="W4328" s="124">
        <f>IFERROR(__xludf.DUMMYFUNCTION("""COMPUTED_VALUE"""),9.18047861631E11)</f>
        <v>918047861631</v>
      </c>
      <c r="X4328" s="124" t="str">
        <f>IFERROR(__xludf.DUMMYFUNCTION("""COMPUTED_VALUE"""),"Inbound Call")</f>
        <v>Inbound Call</v>
      </c>
      <c r="Y4328" s="124"/>
      <c r="Z4328" s="124">
        <f>IFERROR(__xludf.DUMMYFUNCTION("""COMPUTED_VALUE"""),1.0)</f>
        <v>1</v>
      </c>
      <c r="AA4328" s="124" t="str">
        <f>IFERROR(__xludf.DUMMYFUNCTION("""COMPUTED_VALUE"""),"Cold")</f>
        <v>Cold</v>
      </c>
      <c r="AB4328" s="124"/>
    </row>
    <row r="4329">
      <c r="K4329" s="124"/>
      <c r="L4329" s="124"/>
      <c r="M4329" s="124"/>
      <c r="N4329" s="124"/>
      <c r="O4329" s="124"/>
      <c r="T4329" s="126">
        <f>IFERROR(__xludf.DUMMYFUNCTION("""COMPUTED_VALUE"""),46112.0)</f>
        <v>46112</v>
      </c>
      <c r="U4329" s="124" t="str">
        <f>IFERROR(__xludf.DUMMYFUNCTION("""COMPUTED_VALUE"""),"Telephony")</f>
        <v>Telephony</v>
      </c>
      <c r="V4329" s="124" t="str">
        <f>IFERROR(__xludf.DUMMYFUNCTION("""COMPUTED_VALUE"""),"Inbound Call")</f>
        <v>Inbound Call</v>
      </c>
      <c r="W4329" s="124" t="str">
        <f>IFERROR(__xludf.DUMMYFUNCTION("""COMPUTED_VALUE"""),"Inbound Call")</f>
        <v>Inbound Call</v>
      </c>
      <c r="X4329" s="124" t="str">
        <f>IFERROR(__xludf.DUMMYFUNCTION("""COMPUTED_VALUE"""),"Inbound Call")</f>
        <v>Inbound Call</v>
      </c>
      <c r="Y4329" s="124"/>
      <c r="Z4329" s="124">
        <f>IFERROR(__xludf.DUMMYFUNCTION("""COMPUTED_VALUE"""),1.0)</f>
        <v>1</v>
      </c>
      <c r="AA4329" s="124" t="str">
        <f>IFERROR(__xludf.DUMMYFUNCTION("""COMPUTED_VALUE"""),"Not Interested")</f>
        <v>Not Interested</v>
      </c>
      <c r="AB4329" s="124"/>
    </row>
    <row r="4330">
      <c r="K4330" s="124"/>
      <c r="L4330" s="124"/>
      <c r="M4330" s="124"/>
      <c r="N4330" s="124"/>
      <c r="O4330" s="124"/>
      <c r="T4330" s="126">
        <f>IFERROR(__xludf.DUMMYFUNCTION("""COMPUTED_VALUE"""),46070.0)</f>
        <v>46070</v>
      </c>
      <c r="U4330" s="124" t="str">
        <f>IFERROR(__xludf.DUMMYFUNCTION("""COMPUTED_VALUE"""),"Telephony")</f>
        <v>Telephony</v>
      </c>
      <c r="V4330" s="124" t="str">
        <f>IFERROR(__xludf.DUMMYFUNCTION("""COMPUTED_VALUE"""),"Inbound Call")</f>
        <v>Inbound Call</v>
      </c>
      <c r="W4330" s="124" t="str">
        <f>IFERROR(__xludf.DUMMYFUNCTION("""COMPUTED_VALUE"""),"Inbound Call")</f>
        <v>Inbound Call</v>
      </c>
      <c r="X4330" s="124" t="str">
        <f>IFERROR(__xludf.DUMMYFUNCTION("""COMPUTED_VALUE"""),"Inbound Call")</f>
        <v>Inbound Call</v>
      </c>
      <c r="Y4330" s="124" t="str">
        <f>IFERROR(__xludf.DUMMYFUNCTION("""COMPUTED_VALUE"""),"Indore")</f>
        <v>Indore</v>
      </c>
      <c r="Z4330" s="124">
        <f>IFERROR(__xludf.DUMMYFUNCTION("""COMPUTED_VALUE"""),1.0)</f>
        <v>1</v>
      </c>
      <c r="AA4330" s="124" t="str">
        <f>IFERROR(__xludf.DUMMYFUNCTION("""COMPUTED_VALUE"""),"Cold")</f>
        <v>Cold</v>
      </c>
      <c r="AB4330" s="124" t="str">
        <f>IFERROR(__xludf.DUMMYFUNCTION("""COMPUTED_VALUE"""),"Other")</f>
        <v>Other</v>
      </c>
    </row>
    <row r="4331">
      <c r="K4331" s="124"/>
      <c r="L4331" s="124"/>
      <c r="M4331" s="124"/>
      <c r="N4331" s="124"/>
      <c r="O4331" s="124"/>
      <c r="T4331" s="126">
        <f>IFERROR(__xludf.DUMMYFUNCTION("""COMPUTED_VALUE"""),46080.0)</f>
        <v>46080</v>
      </c>
      <c r="U4331" s="124" t="str">
        <f>IFERROR(__xludf.DUMMYFUNCTION("""COMPUTED_VALUE"""),"Telephony")</f>
        <v>Telephony</v>
      </c>
      <c r="V4331" s="124" t="str">
        <f>IFERROR(__xludf.DUMMYFUNCTION("""COMPUTED_VALUE"""),"Inbound Call")</f>
        <v>Inbound Call</v>
      </c>
      <c r="W4331" s="124">
        <f>IFERROR(__xludf.DUMMYFUNCTION("""COMPUTED_VALUE"""),9.18047861633E11)</f>
        <v>918047861633</v>
      </c>
      <c r="X4331" s="124" t="str">
        <f>IFERROR(__xludf.DUMMYFUNCTION("""COMPUTED_VALUE"""),"Inbound Call")</f>
        <v>Inbound Call</v>
      </c>
      <c r="Y4331" s="124" t="str">
        <f>IFERROR(__xludf.DUMMYFUNCTION("""COMPUTED_VALUE"""),"Prayagraj")</f>
        <v>Prayagraj</v>
      </c>
      <c r="Z4331" s="124">
        <f>IFERROR(__xludf.DUMMYFUNCTION("""COMPUTED_VALUE"""),1.0)</f>
        <v>1</v>
      </c>
      <c r="AA4331" s="124" t="str">
        <f>IFERROR(__xludf.DUMMYFUNCTION("""COMPUTED_VALUE"""),"Cold")</f>
        <v>Cold</v>
      </c>
      <c r="AB4331" s="124"/>
    </row>
    <row r="4332">
      <c r="K4332" s="124"/>
      <c r="L4332" s="124"/>
      <c r="M4332" s="124"/>
      <c r="N4332" s="124"/>
      <c r="O4332" s="124"/>
      <c r="T4332" s="126">
        <f>IFERROR(__xludf.DUMMYFUNCTION("""COMPUTED_VALUE"""),46078.0)</f>
        <v>46078</v>
      </c>
      <c r="U4332" s="124" t="str">
        <f>IFERROR(__xludf.DUMMYFUNCTION("""COMPUTED_VALUE"""),"Telephony")</f>
        <v>Telephony</v>
      </c>
      <c r="V4332" s="124" t="str">
        <f>IFERROR(__xludf.DUMMYFUNCTION("""COMPUTED_VALUE"""),"Inbound Call")</f>
        <v>Inbound Call</v>
      </c>
      <c r="W4332" s="124">
        <f>IFERROR(__xludf.DUMMYFUNCTION("""COMPUTED_VALUE"""),9.18047861633E11)</f>
        <v>918047861633</v>
      </c>
      <c r="X4332" s="124" t="str">
        <f>IFERROR(__xludf.DUMMYFUNCTION("""COMPUTED_VALUE"""),"Inbound Call")</f>
        <v>Inbound Call</v>
      </c>
      <c r="Y4332" s="124"/>
      <c r="Z4332" s="124">
        <f>IFERROR(__xludf.DUMMYFUNCTION("""COMPUTED_VALUE"""),1.0)</f>
        <v>1</v>
      </c>
      <c r="AA4332" s="124" t="str">
        <f>IFERROR(__xludf.DUMMYFUNCTION("""COMPUTED_VALUE"""),"Cold")</f>
        <v>Cold</v>
      </c>
      <c r="AB4332" s="124"/>
    </row>
    <row r="4333">
      <c r="K4333" s="124"/>
      <c r="L4333" s="124"/>
      <c r="M4333" s="124"/>
      <c r="N4333" s="124"/>
      <c r="O4333" s="124"/>
      <c r="T4333" s="126">
        <f>IFERROR(__xludf.DUMMYFUNCTION("""COMPUTED_VALUE"""),46068.0)</f>
        <v>46068</v>
      </c>
      <c r="U4333" s="124" t="str">
        <f>IFERROR(__xludf.DUMMYFUNCTION("""COMPUTED_VALUE"""),"Telephony")</f>
        <v>Telephony</v>
      </c>
      <c r="V4333" s="124" t="str">
        <f>IFERROR(__xludf.DUMMYFUNCTION("""COMPUTED_VALUE"""),"Inbound Call")</f>
        <v>Inbound Call</v>
      </c>
      <c r="W4333" s="124">
        <f>IFERROR(__xludf.DUMMYFUNCTION("""COMPUTED_VALUE"""),9.18047861635E11)</f>
        <v>918047861635</v>
      </c>
      <c r="X4333" s="124" t="str">
        <f>IFERROR(__xludf.DUMMYFUNCTION("""COMPUTED_VALUE"""),"Inbound Call")</f>
        <v>Inbound Call</v>
      </c>
      <c r="Y4333" s="124" t="str">
        <f>IFERROR(__xludf.DUMMYFUNCTION("""COMPUTED_VALUE"""),"Indore")</f>
        <v>Indore</v>
      </c>
      <c r="Z4333" s="124">
        <f>IFERROR(__xludf.DUMMYFUNCTION("""COMPUTED_VALUE"""),1.0)</f>
        <v>1</v>
      </c>
      <c r="AA4333" s="124" t="str">
        <f>IFERROR(__xludf.DUMMYFUNCTION("""COMPUTED_VALUE"""),"Future Prospects")</f>
        <v>Future Prospects</v>
      </c>
      <c r="AB4333" s="124" t="str">
        <f>IFERROR(__xludf.DUMMYFUNCTION("""COMPUTED_VALUE"""),"State PCS")</f>
        <v>State PCS</v>
      </c>
    </row>
    <row r="4334">
      <c r="K4334" s="124"/>
      <c r="L4334" s="124"/>
      <c r="M4334" s="124"/>
      <c r="N4334" s="124"/>
      <c r="O4334" s="124"/>
      <c r="T4334" s="126">
        <f>IFERROR(__xludf.DUMMYFUNCTION("""COMPUTED_VALUE"""),46043.0)</f>
        <v>46043</v>
      </c>
      <c r="U4334" s="124" t="str">
        <f>IFERROR(__xludf.DUMMYFUNCTION("""COMPUTED_VALUE"""),"Telephony")</f>
        <v>Telephony</v>
      </c>
      <c r="V4334" s="124" t="str">
        <f>IFERROR(__xludf.DUMMYFUNCTION("""COMPUTED_VALUE"""),"Inbound Call")</f>
        <v>Inbound Call</v>
      </c>
      <c r="W4334" s="124">
        <f>IFERROR(__xludf.DUMMYFUNCTION("""COMPUTED_VALUE"""),9.18047861635E11)</f>
        <v>918047861635</v>
      </c>
      <c r="X4334" s="124" t="str">
        <f>IFERROR(__xludf.DUMMYFUNCTION("""COMPUTED_VALUE"""),"Inbound Call")</f>
        <v>Inbound Call</v>
      </c>
      <c r="Y4334" s="124"/>
      <c r="Z4334" s="124">
        <f>IFERROR(__xludf.DUMMYFUNCTION("""COMPUTED_VALUE"""),1.0)</f>
        <v>1</v>
      </c>
      <c r="AA4334" s="124" t="str">
        <f>IFERROR(__xludf.DUMMYFUNCTION("""COMPUTED_VALUE"""),"Cold")</f>
        <v>Cold</v>
      </c>
      <c r="AB4334" s="124"/>
    </row>
    <row r="4335">
      <c r="K4335" s="124"/>
      <c r="L4335" s="124"/>
      <c r="M4335" s="124"/>
      <c r="N4335" s="124"/>
      <c r="O4335" s="124"/>
      <c r="T4335" s="129">
        <f>IFERROR(__xludf.DUMMYFUNCTION("""COMPUTED_VALUE"""),46084.0)</f>
        <v>46084</v>
      </c>
      <c r="U4335" s="124" t="str">
        <f>IFERROR(__xludf.DUMMYFUNCTION("""COMPUTED_VALUE"""),"Telephony")</f>
        <v>Telephony</v>
      </c>
      <c r="V4335" s="124" t="str">
        <f>IFERROR(__xludf.DUMMYFUNCTION("""COMPUTED_VALUE"""),"Inbound Call")</f>
        <v>Inbound Call</v>
      </c>
      <c r="W4335" s="124" t="str">
        <f>IFERROR(__xludf.DUMMYFUNCTION("""COMPUTED_VALUE"""),"Inbound Call")</f>
        <v>Inbound Call</v>
      </c>
      <c r="X4335" s="124" t="str">
        <f>IFERROR(__xludf.DUMMYFUNCTION("""COMPUTED_VALUE"""),"Inbound Call")</f>
        <v>Inbound Call</v>
      </c>
      <c r="Y4335" s="124"/>
      <c r="Z4335" s="124">
        <f>IFERROR(__xludf.DUMMYFUNCTION("""COMPUTED_VALUE"""),1.0)</f>
        <v>1</v>
      </c>
      <c r="AA4335" s="124" t="str">
        <f>IFERROR(__xludf.DUMMYFUNCTION("""COMPUTED_VALUE"""),"Cold")</f>
        <v>Cold</v>
      </c>
      <c r="AB4335" s="124"/>
    </row>
    <row r="4336">
      <c r="K4336" s="124"/>
      <c r="L4336" s="124"/>
      <c r="M4336" s="124"/>
      <c r="N4336" s="124"/>
      <c r="O4336" s="124"/>
      <c r="T4336" s="126">
        <f>IFERROR(__xludf.DUMMYFUNCTION("""COMPUTED_VALUE"""),46111.0)</f>
        <v>46111</v>
      </c>
      <c r="U4336" s="124" t="str">
        <f>IFERROR(__xludf.DUMMYFUNCTION("""COMPUTED_VALUE"""),"Telephony")</f>
        <v>Telephony</v>
      </c>
      <c r="V4336" s="124" t="str">
        <f>IFERROR(__xludf.DUMMYFUNCTION("""COMPUTED_VALUE"""),"Inbound Call")</f>
        <v>Inbound Call</v>
      </c>
      <c r="W4336" s="124">
        <f>IFERROR(__xludf.DUMMYFUNCTION("""COMPUTED_VALUE"""),9.18047861635E11)</f>
        <v>918047861635</v>
      </c>
      <c r="X4336" s="124" t="str">
        <f>IFERROR(__xludf.DUMMYFUNCTION("""COMPUTED_VALUE"""),"Inbound Call")</f>
        <v>Inbound Call</v>
      </c>
      <c r="Y4336" s="124" t="str">
        <f>IFERROR(__xludf.DUMMYFUNCTION("""COMPUTED_VALUE"""),"Indore")</f>
        <v>Indore</v>
      </c>
      <c r="Z4336" s="124">
        <f>IFERROR(__xludf.DUMMYFUNCTION("""COMPUTED_VALUE"""),1.0)</f>
        <v>1</v>
      </c>
      <c r="AA4336" s="124" t="str">
        <f>IFERROR(__xludf.DUMMYFUNCTION("""COMPUTED_VALUE"""),"Not Interested")</f>
        <v>Not Interested</v>
      </c>
      <c r="AB4336" s="124" t="str">
        <f>IFERROR(__xludf.DUMMYFUNCTION("""COMPUTED_VALUE"""),"Other")</f>
        <v>Other</v>
      </c>
    </row>
    <row r="4337">
      <c r="K4337" s="124"/>
      <c r="L4337" s="124"/>
      <c r="M4337" s="124"/>
      <c r="N4337" s="124"/>
      <c r="O4337" s="124"/>
      <c r="T4337" s="129">
        <f>IFERROR(__xludf.DUMMYFUNCTION("""COMPUTED_VALUE"""),46060.0)</f>
        <v>46060</v>
      </c>
      <c r="U4337" s="124" t="str">
        <f>IFERROR(__xludf.DUMMYFUNCTION("""COMPUTED_VALUE"""),"Telephony")</f>
        <v>Telephony</v>
      </c>
      <c r="V4337" s="124" t="str">
        <f>IFERROR(__xludf.DUMMYFUNCTION("""COMPUTED_VALUE"""),"Inbound Call")</f>
        <v>Inbound Call</v>
      </c>
      <c r="W4337" s="124">
        <f>IFERROR(__xludf.DUMMYFUNCTION("""COMPUTED_VALUE"""),9.18047861633E11)</f>
        <v>918047861633</v>
      </c>
      <c r="X4337" s="124" t="str">
        <f>IFERROR(__xludf.DUMMYFUNCTION("""COMPUTED_VALUE"""),"Inbound Call")</f>
        <v>Inbound Call</v>
      </c>
      <c r="Y4337" s="124" t="str">
        <f>IFERROR(__xludf.DUMMYFUNCTION("""COMPUTED_VALUE"""),"Patna")</f>
        <v>Patna</v>
      </c>
      <c r="Z4337" s="124">
        <f>IFERROR(__xludf.DUMMYFUNCTION("""COMPUTED_VALUE"""),1.0)</f>
        <v>1</v>
      </c>
      <c r="AA4337" s="124" t="str">
        <f>IFERROR(__xludf.DUMMYFUNCTION("""COMPUTED_VALUE"""),"Future Prospects")</f>
        <v>Future Prospects</v>
      </c>
      <c r="AB4337" s="124" t="str">
        <f>IFERROR(__xludf.DUMMYFUNCTION("""COMPUTED_VALUE"""),"State PCS")</f>
        <v>State PCS</v>
      </c>
    </row>
    <row r="4338">
      <c r="K4338" s="124"/>
      <c r="L4338" s="124"/>
      <c r="M4338" s="124"/>
      <c r="N4338" s="124"/>
      <c r="O4338" s="124"/>
      <c r="T4338" s="126">
        <f>IFERROR(__xludf.DUMMYFUNCTION("""COMPUTED_VALUE"""),46102.0)</f>
        <v>46102</v>
      </c>
      <c r="U4338" s="124" t="str">
        <f>IFERROR(__xludf.DUMMYFUNCTION("""COMPUTED_VALUE"""),"Telephony")</f>
        <v>Telephony</v>
      </c>
      <c r="V4338" s="124" t="str">
        <f>IFERROR(__xludf.DUMMYFUNCTION("""COMPUTED_VALUE"""),"Inbound Call")</f>
        <v>Inbound Call</v>
      </c>
      <c r="W4338" s="124">
        <f>IFERROR(__xludf.DUMMYFUNCTION("""COMPUTED_VALUE"""),9.18047861632E11)</f>
        <v>918047861632</v>
      </c>
      <c r="X4338" s="124" t="str">
        <f>IFERROR(__xludf.DUMMYFUNCTION("""COMPUTED_VALUE"""),"Inbound Call")</f>
        <v>Inbound Call</v>
      </c>
      <c r="Y4338" s="124"/>
      <c r="Z4338" s="124">
        <f>IFERROR(__xludf.DUMMYFUNCTION("""COMPUTED_VALUE"""),1.0)</f>
        <v>1</v>
      </c>
      <c r="AA4338" s="124" t="str">
        <f>IFERROR(__xludf.DUMMYFUNCTION("""COMPUTED_VALUE"""),"Cold")</f>
        <v>Cold</v>
      </c>
      <c r="AB4338" s="124"/>
    </row>
    <row r="4339">
      <c r="K4339" s="124"/>
      <c r="L4339" s="124"/>
      <c r="M4339" s="124"/>
      <c r="N4339" s="124"/>
      <c r="O4339" s="124"/>
      <c r="T4339" s="129">
        <f>IFERROR(__xludf.DUMMYFUNCTION("""COMPUTED_VALUE"""),46058.0)</f>
        <v>46058</v>
      </c>
      <c r="U4339" s="124" t="str">
        <f>IFERROR(__xludf.DUMMYFUNCTION("""COMPUTED_VALUE"""),"Telephony")</f>
        <v>Telephony</v>
      </c>
      <c r="V4339" s="124" t="str">
        <f>IFERROR(__xludf.DUMMYFUNCTION("""COMPUTED_VALUE"""),"Inbound Call")</f>
        <v>Inbound Call</v>
      </c>
      <c r="W4339" s="124" t="str">
        <f>IFERROR(__xludf.DUMMYFUNCTION("""COMPUTED_VALUE"""),"Inbound Call")</f>
        <v>Inbound Call</v>
      </c>
      <c r="X4339" s="124" t="str">
        <f>IFERROR(__xludf.DUMMYFUNCTION("""COMPUTED_VALUE"""),"Inbound Call")</f>
        <v>Inbound Call</v>
      </c>
      <c r="Y4339" s="124"/>
      <c r="Z4339" s="124">
        <f>IFERROR(__xludf.DUMMYFUNCTION("""COMPUTED_VALUE"""),1.0)</f>
        <v>1</v>
      </c>
      <c r="AA4339" s="124" t="str">
        <f>IFERROR(__xludf.DUMMYFUNCTION("""COMPUTED_VALUE"""),"Cold")</f>
        <v>Cold</v>
      </c>
      <c r="AB4339" s="124" t="str">
        <f>IFERROR(__xludf.DUMMYFUNCTION("""COMPUTED_VALUE"""),"IGP UPPSC")</f>
        <v>IGP UPPSC</v>
      </c>
    </row>
    <row r="4340">
      <c r="K4340" s="124"/>
      <c r="L4340" s="124"/>
      <c r="M4340" s="124"/>
      <c r="N4340" s="124"/>
      <c r="O4340" s="124"/>
      <c r="T4340" s="129">
        <f>IFERROR(__xludf.DUMMYFUNCTION("""COMPUTED_VALUE"""),46089.0)</f>
        <v>46089</v>
      </c>
      <c r="U4340" s="124" t="str">
        <f>IFERROR(__xludf.DUMMYFUNCTION("""COMPUTED_VALUE"""),"Telephony")</f>
        <v>Telephony</v>
      </c>
      <c r="V4340" s="124" t="str">
        <f>IFERROR(__xludf.DUMMYFUNCTION("""COMPUTED_VALUE"""),"Inbound Call")</f>
        <v>Inbound Call</v>
      </c>
      <c r="W4340" s="124">
        <f>IFERROR(__xludf.DUMMYFUNCTION("""COMPUTED_VALUE"""),9.18047861663E11)</f>
        <v>918047861663</v>
      </c>
      <c r="X4340" s="124" t="str">
        <f>IFERROR(__xludf.DUMMYFUNCTION("""COMPUTED_VALUE"""),"Inbound Call")</f>
        <v>Inbound Call</v>
      </c>
      <c r="Y4340" s="124" t="str">
        <f>IFERROR(__xludf.DUMMYFUNCTION("""COMPUTED_VALUE"""),"Patna")</f>
        <v>Patna</v>
      </c>
      <c r="Z4340" s="124">
        <f>IFERROR(__xludf.DUMMYFUNCTION("""COMPUTED_VALUE"""),1.0)</f>
        <v>1</v>
      </c>
      <c r="AA4340" s="124" t="str">
        <f>IFERROR(__xludf.DUMMYFUNCTION("""COMPUTED_VALUE"""),"Warm")</f>
        <v>Warm</v>
      </c>
      <c r="AB4340" s="124" t="str">
        <f>IFERROR(__xludf.DUMMYFUNCTION("""COMPUTED_VALUE"""),"GS Foundation")</f>
        <v>GS Foundation</v>
      </c>
    </row>
    <row r="4341">
      <c r="K4341" s="124"/>
      <c r="L4341" s="124"/>
      <c r="M4341" s="124"/>
      <c r="N4341" s="124"/>
      <c r="O4341" s="124"/>
      <c r="T4341" s="126">
        <f>IFERROR(__xludf.DUMMYFUNCTION("""COMPUTED_VALUE"""),46097.0)</f>
        <v>46097</v>
      </c>
      <c r="U4341" s="124" t="str">
        <f>IFERROR(__xludf.DUMMYFUNCTION("""COMPUTED_VALUE"""),"Telephony")</f>
        <v>Telephony</v>
      </c>
      <c r="V4341" s="124" t="str">
        <f>IFERROR(__xludf.DUMMYFUNCTION("""COMPUTED_VALUE"""),"Inbound Call")</f>
        <v>Inbound Call</v>
      </c>
      <c r="W4341" s="124">
        <f>IFERROR(__xludf.DUMMYFUNCTION("""COMPUTED_VALUE"""),9.18047861635E11)</f>
        <v>918047861635</v>
      </c>
      <c r="X4341" s="124" t="str">
        <f>IFERROR(__xludf.DUMMYFUNCTION("""COMPUTED_VALUE"""),"Inbound Call")</f>
        <v>Inbound Call</v>
      </c>
      <c r="Y4341" s="124" t="str">
        <f>IFERROR(__xludf.DUMMYFUNCTION("""COMPUTED_VALUE"""),"Indore")</f>
        <v>Indore</v>
      </c>
      <c r="Z4341" s="124">
        <f>IFERROR(__xludf.DUMMYFUNCTION("""COMPUTED_VALUE"""),1.0)</f>
        <v>1</v>
      </c>
      <c r="AA4341" s="124" t="str">
        <f>IFERROR(__xludf.DUMMYFUNCTION("""COMPUTED_VALUE"""),"Not Interested")</f>
        <v>Not Interested</v>
      </c>
      <c r="AB4341" s="124" t="str">
        <f>IFERROR(__xludf.DUMMYFUNCTION("""COMPUTED_VALUE"""),"Other")</f>
        <v>Other</v>
      </c>
    </row>
    <row r="4342">
      <c r="K4342" s="124"/>
      <c r="L4342" s="124"/>
      <c r="M4342" s="124"/>
      <c r="N4342" s="124"/>
      <c r="O4342" s="124"/>
      <c r="T4342" s="129">
        <f>IFERROR(__xludf.DUMMYFUNCTION("""COMPUTED_VALUE"""),46057.0)</f>
        <v>46057</v>
      </c>
      <c r="U4342" s="124" t="str">
        <f>IFERROR(__xludf.DUMMYFUNCTION("""COMPUTED_VALUE"""),"Walk-Ins")</f>
        <v>Walk-Ins</v>
      </c>
      <c r="V4342" s="124" t="str">
        <f>IFERROR(__xludf.DUMMYFUNCTION("""COMPUTED_VALUE"""),"Walk-In")</f>
        <v>Walk-In</v>
      </c>
      <c r="W4342" s="124" t="str">
        <f>IFERROR(__xludf.DUMMYFUNCTION("""COMPUTED_VALUE"""),"Patna")</f>
        <v>Patna</v>
      </c>
      <c r="X4342" s="124" t="str">
        <f>IFERROR(__xludf.DUMMYFUNCTION("""COMPUTED_VALUE"""),"Riya Chaudhary")</f>
        <v>Riya Chaudhary</v>
      </c>
      <c r="Y4342" s="124" t="str">
        <f>IFERROR(__xludf.DUMMYFUNCTION("""COMPUTED_VALUE"""),"Patna")</f>
        <v>Patna</v>
      </c>
      <c r="Z4342" s="124">
        <f>IFERROR(__xludf.DUMMYFUNCTION("""COMPUTED_VALUE"""),1.0)</f>
        <v>1</v>
      </c>
      <c r="AA4342" s="124" t="str">
        <f>IFERROR(__xludf.DUMMYFUNCTION("""COMPUTED_VALUE"""),"Enrolled")</f>
        <v>Enrolled</v>
      </c>
      <c r="AB4342" s="124" t="str">
        <f>IFERROR(__xludf.DUMMYFUNCTION("""COMPUTED_VALUE"""),"GS Foundation")</f>
        <v>GS Foundation</v>
      </c>
    </row>
    <row r="4343">
      <c r="K4343" s="124"/>
      <c r="L4343" s="124"/>
      <c r="M4343" s="124"/>
      <c r="N4343" s="124"/>
      <c r="O4343" s="124"/>
      <c r="T4343" s="129">
        <f>IFERROR(__xludf.DUMMYFUNCTION("""COMPUTED_VALUE"""),46089.0)</f>
        <v>46089</v>
      </c>
      <c r="U4343" s="124" t="str">
        <f>IFERROR(__xludf.DUMMYFUNCTION("""COMPUTED_VALUE"""),"Telephony")</f>
        <v>Telephony</v>
      </c>
      <c r="V4343" s="124" t="str">
        <f>IFERROR(__xludf.DUMMYFUNCTION("""COMPUTED_VALUE"""),"Inbound")</f>
        <v>Inbound</v>
      </c>
      <c r="W4343" s="124" t="str">
        <f>IFERROR(__xludf.DUMMYFUNCTION("""COMPUTED_VALUE"""),"Inbound")</f>
        <v>Inbound</v>
      </c>
      <c r="X4343" s="124" t="str">
        <f>IFERROR(__xludf.DUMMYFUNCTION("""COMPUTED_VALUE"""),"Inbound")</f>
        <v>Inbound</v>
      </c>
      <c r="Y4343" s="124"/>
      <c r="Z4343" s="124">
        <f>IFERROR(__xludf.DUMMYFUNCTION("""COMPUTED_VALUE"""),1.0)</f>
        <v>1</v>
      </c>
      <c r="AA4343" s="124" t="str">
        <f>IFERROR(__xludf.DUMMYFUNCTION("""COMPUTED_VALUE"""),"Cold")</f>
        <v>Cold</v>
      </c>
      <c r="AB4343" s="124" t="str">
        <f>IFERROR(__xludf.DUMMYFUNCTION("""COMPUTED_VALUE"""),"GS Foundation")</f>
        <v>GS Foundation</v>
      </c>
    </row>
    <row r="4344">
      <c r="K4344" s="124"/>
      <c r="L4344" s="124"/>
      <c r="M4344" s="124"/>
      <c r="N4344" s="124"/>
      <c r="O4344" s="124"/>
      <c r="T4344" s="129">
        <f>IFERROR(__xludf.DUMMYFUNCTION("""COMPUTED_VALUE"""),46087.0)</f>
        <v>46087</v>
      </c>
      <c r="U4344" s="124" t="str">
        <f>IFERROR(__xludf.DUMMYFUNCTION("""COMPUTED_VALUE"""),"Telephony")</f>
        <v>Telephony</v>
      </c>
      <c r="V4344" s="124" t="str">
        <f>IFERROR(__xludf.DUMMYFUNCTION("""COMPUTED_VALUE"""),"Inbound")</f>
        <v>Inbound</v>
      </c>
      <c r="W4344" s="124" t="str">
        <f>IFERROR(__xludf.DUMMYFUNCTION("""COMPUTED_VALUE"""),"Inbound")</f>
        <v>Inbound</v>
      </c>
      <c r="X4344" s="124" t="str">
        <f>IFERROR(__xludf.DUMMYFUNCTION("""COMPUTED_VALUE"""),"Inbound")</f>
        <v>Inbound</v>
      </c>
      <c r="Y4344" s="124" t="str">
        <f>IFERROR(__xludf.DUMMYFUNCTION("""COMPUTED_VALUE"""),"Delhi")</f>
        <v>Delhi</v>
      </c>
      <c r="Z4344" s="124">
        <f>IFERROR(__xludf.DUMMYFUNCTION("""COMPUTED_VALUE"""),1.0)</f>
        <v>1</v>
      </c>
      <c r="AA4344" s="124" t="str">
        <f>IFERROR(__xludf.DUMMYFUNCTION("""COMPUTED_VALUE"""),"Enrolled")</f>
        <v>Enrolled</v>
      </c>
      <c r="AB4344" s="124" t="str">
        <f>IFERROR(__xludf.DUMMYFUNCTION("""COMPUTED_VALUE"""),"Other")</f>
        <v>Other</v>
      </c>
    </row>
    <row r="4345">
      <c r="K4345" s="124"/>
      <c r="L4345" s="124"/>
      <c r="M4345" s="124"/>
      <c r="N4345" s="124"/>
      <c r="O4345" s="124"/>
      <c r="T4345" s="126">
        <f>IFERROR(__xludf.DUMMYFUNCTION("""COMPUTED_VALUE"""),46049.0)</f>
        <v>46049</v>
      </c>
      <c r="U4345" s="124" t="str">
        <f>IFERROR(__xludf.DUMMYFUNCTION("""COMPUTED_VALUE"""),"Libraries")</f>
        <v>Libraries</v>
      </c>
      <c r="V4345" s="124" t="str">
        <f>IFERROR(__xludf.DUMMYFUNCTION("""COMPUTED_VALUE"""),"Libraries")</f>
        <v>Libraries</v>
      </c>
      <c r="W4345" s="124"/>
      <c r="X4345" s="124"/>
      <c r="Y4345" s="124" t="str">
        <f>IFERROR(__xludf.DUMMYFUNCTION("""COMPUTED_VALUE"""),"Prayagraj")</f>
        <v>Prayagraj</v>
      </c>
      <c r="Z4345" s="124">
        <f>IFERROR(__xludf.DUMMYFUNCTION("""COMPUTED_VALUE"""),1.0)</f>
        <v>1</v>
      </c>
      <c r="AA4345" s="124" t="str">
        <f>IFERROR(__xludf.DUMMYFUNCTION("""COMPUTED_VALUE"""),"Future Prospects")</f>
        <v>Future Prospects</v>
      </c>
      <c r="AB4345" s="124" t="str">
        <f>IFERROR(__xludf.DUMMYFUNCTION("""COMPUTED_VALUE"""),"GS Foundation")</f>
        <v>GS Foundation</v>
      </c>
    </row>
    <row r="4346">
      <c r="K4346" s="124"/>
      <c r="L4346" s="124"/>
      <c r="M4346" s="124"/>
      <c r="N4346" s="124"/>
      <c r="O4346" s="124"/>
      <c r="T4346" s="126">
        <f>IFERROR(__xludf.DUMMYFUNCTION("""COMPUTED_VALUE"""),46098.0)</f>
        <v>46098</v>
      </c>
      <c r="U4346" s="124" t="str">
        <f>IFERROR(__xludf.DUMMYFUNCTION("""COMPUTED_VALUE"""),"Libraries")</f>
        <v>Libraries</v>
      </c>
      <c r="V4346" s="124" t="str">
        <f>IFERROR(__xludf.DUMMYFUNCTION("""COMPUTED_VALUE"""),"Libraries")</f>
        <v>Libraries</v>
      </c>
      <c r="W4346" s="124"/>
      <c r="X4346" s="124"/>
      <c r="Y4346" s="124" t="str">
        <f>IFERROR(__xludf.DUMMYFUNCTION("""COMPUTED_VALUE"""),"Lucknow")</f>
        <v>Lucknow</v>
      </c>
      <c r="Z4346" s="124">
        <f>IFERROR(__xludf.DUMMYFUNCTION("""COMPUTED_VALUE"""),1.0)</f>
        <v>1</v>
      </c>
      <c r="AA4346" s="124" t="str">
        <f>IFERROR(__xludf.DUMMYFUNCTION("""COMPUTED_VALUE"""),"Not Interested")</f>
        <v>Not Interested</v>
      </c>
      <c r="AB4346" s="124" t="str">
        <f>IFERROR(__xludf.DUMMYFUNCTION("""COMPUTED_VALUE"""),"Hybrid")</f>
        <v>Hybrid</v>
      </c>
    </row>
    <row r="4347">
      <c r="K4347" s="124"/>
      <c r="L4347" s="124"/>
      <c r="M4347" s="124"/>
      <c r="N4347" s="124"/>
      <c r="O4347" s="124"/>
      <c r="T4347" s="129">
        <f>IFERROR(__xludf.DUMMYFUNCTION("""COMPUTED_VALUE"""),46087.0)</f>
        <v>46087</v>
      </c>
      <c r="U4347" s="124" t="str">
        <f>IFERROR(__xludf.DUMMYFUNCTION("""COMPUTED_VALUE"""),"Walk-Ins")</f>
        <v>Walk-Ins</v>
      </c>
      <c r="V4347" s="124" t="str">
        <f>IFERROR(__xludf.DUMMYFUNCTION("""COMPUTED_VALUE"""),"Walkin")</f>
        <v>Walkin</v>
      </c>
      <c r="W4347" s="124"/>
      <c r="X4347" s="124"/>
      <c r="Y4347" s="124" t="str">
        <f>IFERROR(__xludf.DUMMYFUNCTION("""COMPUTED_VALUE"""),"Delhi")</f>
        <v>Delhi</v>
      </c>
      <c r="Z4347" s="124">
        <f>IFERROR(__xludf.DUMMYFUNCTION("""COMPUTED_VALUE"""),1.0)</f>
        <v>1</v>
      </c>
      <c r="AA4347" s="124" t="str">
        <f>IFERROR(__xludf.DUMMYFUNCTION("""COMPUTED_VALUE"""),"Enrolled")</f>
        <v>Enrolled</v>
      </c>
      <c r="AB4347" s="124" t="str">
        <f>IFERROR(__xludf.DUMMYFUNCTION("""COMPUTED_VALUE"""),"GS Foundation")</f>
        <v>GS Foundation</v>
      </c>
    </row>
    <row r="4348">
      <c r="K4348" s="124"/>
      <c r="L4348" s="124"/>
      <c r="M4348" s="124"/>
      <c r="N4348" s="124"/>
      <c r="O4348" s="124"/>
      <c r="T4348" s="126">
        <f>IFERROR(__xludf.DUMMYFUNCTION("""COMPUTED_VALUE"""),46074.0)</f>
        <v>46074</v>
      </c>
      <c r="U4348" s="124" t="str">
        <f>IFERROR(__xludf.DUMMYFUNCTION("""COMPUTED_VALUE"""),"Publisher Campaign")</f>
        <v>Publisher Campaign</v>
      </c>
      <c r="V4348" s="124" t="str">
        <f>IFERROR(__xludf.DUMMYFUNCTION("""COMPUTED_VALUE"""),"Feeder Cities")</f>
        <v>Feeder Cities</v>
      </c>
      <c r="W4348" s="124"/>
      <c r="X4348" s="124"/>
      <c r="Y4348" s="124" t="str">
        <f>IFERROR(__xludf.DUMMYFUNCTION("""COMPUTED_VALUE"""),"Indore")</f>
        <v>Indore</v>
      </c>
      <c r="Z4348" s="124">
        <f>IFERROR(__xludf.DUMMYFUNCTION("""COMPUTED_VALUE"""),1.0)</f>
        <v>1</v>
      </c>
      <c r="AA4348" s="124" t="str">
        <f>IFERROR(__xludf.DUMMYFUNCTION("""COMPUTED_VALUE"""),"Cold")</f>
        <v>Cold</v>
      </c>
      <c r="AB4348" s="124" t="str">
        <f>IFERROR(__xludf.DUMMYFUNCTION("""COMPUTED_VALUE"""),"GS Foundation")</f>
        <v>GS Foundation</v>
      </c>
    </row>
    <row r="4349">
      <c r="K4349" s="124"/>
      <c r="L4349" s="124"/>
      <c r="M4349" s="124"/>
      <c r="N4349" s="124"/>
      <c r="O4349" s="124"/>
      <c r="T4349" s="126">
        <f>IFERROR(__xludf.DUMMYFUNCTION("""COMPUTED_VALUE"""),46047.0)</f>
        <v>46047</v>
      </c>
      <c r="U4349" s="124" t="str">
        <f>IFERROR(__xludf.DUMMYFUNCTION("""COMPUTED_VALUE"""),"Walk-Ins")</f>
        <v>Walk-Ins</v>
      </c>
      <c r="V4349" s="124" t="str">
        <f>IFERROR(__xludf.DUMMYFUNCTION("""COMPUTED_VALUE"""),"Walk-In")</f>
        <v>Walk-In</v>
      </c>
      <c r="W4349" s="124" t="str">
        <f>IFERROR(__xludf.DUMMYFUNCTION("""COMPUTED_VALUE"""),"Delhi")</f>
        <v>Delhi</v>
      </c>
      <c r="X4349" s="124" t="str">
        <f>IFERROR(__xludf.DUMMYFUNCTION("""COMPUTED_VALUE"""),"Missbahuddin Ahmad")</f>
        <v>Missbahuddin Ahmad</v>
      </c>
      <c r="Y4349" s="124"/>
      <c r="Z4349" s="124">
        <f>IFERROR(__xludf.DUMMYFUNCTION("""COMPUTED_VALUE"""),1.0)</f>
        <v>1</v>
      </c>
      <c r="AA4349" s="124" t="str">
        <f>IFERROR(__xludf.DUMMYFUNCTION("""COMPUTED_VALUE"""),"Fake Lead")</f>
        <v>Fake Lead</v>
      </c>
      <c r="AB4349" s="124" t="str">
        <f>IFERROR(__xludf.DUMMYFUNCTION("""COMPUTED_VALUE"""),"GS Foundation")</f>
        <v>GS Foundation</v>
      </c>
    </row>
    <row r="4350">
      <c r="K4350" s="124"/>
      <c r="L4350" s="124"/>
      <c r="M4350" s="124"/>
      <c r="N4350" s="124"/>
      <c r="O4350" s="124"/>
      <c r="T4350" s="129">
        <f>IFERROR(__xludf.DUMMYFUNCTION("""COMPUTED_VALUE"""),46087.0)</f>
        <v>46087</v>
      </c>
      <c r="U4350" s="124" t="str">
        <f>IFERROR(__xludf.DUMMYFUNCTION("""COMPUTED_VALUE"""),"Publisher Campaign")</f>
        <v>Publisher Campaign</v>
      </c>
      <c r="V4350" s="124" t="str">
        <f>IFERROR(__xludf.DUMMYFUNCTION("""COMPUTED_VALUE"""),"Webinar")</f>
        <v>Webinar</v>
      </c>
      <c r="W4350" s="124"/>
      <c r="X4350" s="124"/>
      <c r="Y4350" s="124" t="str">
        <f>IFERROR(__xludf.DUMMYFUNCTION("""COMPUTED_VALUE"""),"Delhi")</f>
        <v>Delhi</v>
      </c>
      <c r="Z4350" s="124">
        <f>IFERROR(__xludf.DUMMYFUNCTION("""COMPUTED_VALUE"""),1.0)</f>
        <v>1</v>
      </c>
      <c r="AA4350" s="124" t="str">
        <f>IFERROR(__xludf.DUMMYFUNCTION("""COMPUTED_VALUE"""),"Not Interested")</f>
        <v>Not Interested</v>
      </c>
      <c r="AB4350" s="124" t="str">
        <f>IFERROR(__xludf.DUMMYFUNCTION("""COMPUTED_VALUE"""),"Other")</f>
        <v>Other</v>
      </c>
    </row>
    <row r="4351">
      <c r="K4351" s="124"/>
      <c r="L4351" s="124"/>
      <c r="M4351" s="124"/>
      <c r="N4351" s="124"/>
      <c r="O4351" s="124"/>
      <c r="T4351" s="129">
        <f>IFERROR(__xludf.DUMMYFUNCTION("""COMPUTED_VALUE"""),46060.0)</f>
        <v>46060</v>
      </c>
      <c r="U4351" s="124" t="str">
        <f>IFERROR(__xludf.DUMMYFUNCTION("""COMPUTED_VALUE"""),"Publisher Campaign")</f>
        <v>Publisher Campaign</v>
      </c>
      <c r="V4351" s="124" t="str">
        <f>IFERROR(__xludf.DUMMYFUNCTION("""COMPUTED_VALUE"""),"Webinar")</f>
        <v>Webinar</v>
      </c>
      <c r="W4351" s="124"/>
      <c r="X4351" s="124"/>
      <c r="Y4351" s="124" t="str">
        <f>IFERROR(__xludf.DUMMYFUNCTION("""COMPUTED_VALUE"""),"Delhi")</f>
        <v>Delhi</v>
      </c>
      <c r="Z4351" s="124">
        <f>IFERROR(__xludf.DUMMYFUNCTION("""COMPUTED_VALUE"""),1.0)</f>
        <v>1</v>
      </c>
      <c r="AA4351" s="124" t="str">
        <f>IFERROR(__xludf.DUMMYFUNCTION("""COMPUTED_VALUE"""),"Enrolled")</f>
        <v>Enrolled</v>
      </c>
      <c r="AB4351" s="124" t="str">
        <f>IFERROR(__xludf.DUMMYFUNCTION("""COMPUTED_VALUE"""),"Hybrid")</f>
        <v>Hybrid</v>
      </c>
    </row>
    <row r="4352">
      <c r="K4352" s="124"/>
      <c r="L4352" s="124"/>
      <c r="M4352" s="124"/>
      <c r="N4352" s="124"/>
      <c r="O4352" s="124"/>
      <c r="T4352" s="126">
        <f>IFERROR(__xludf.DUMMYFUNCTION("""COMPUTED_VALUE"""),46066.0)</f>
        <v>46066</v>
      </c>
      <c r="U4352" s="124" t="str">
        <f>IFERROR(__xludf.DUMMYFUNCTION("""COMPUTED_VALUE"""),"Libraries")</f>
        <v>Libraries</v>
      </c>
      <c r="V4352" s="124" t="str">
        <f>IFERROR(__xludf.DUMMYFUNCTION("""COMPUTED_VALUE"""),"Libraries")</f>
        <v>Libraries</v>
      </c>
      <c r="W4352" s="124"/>
      <c r="X4352" s="124"/>
      <c r="Y4352" s="124" t="str">
        <f>IFERROR(__xludf.DUMMYFUNCTION("""COMPUTED_VALUE"""),"Prayagraj")</f>
        <v>Prayagraj</v>
      </c>
      <c r="Z4352" s="124">
        <f>IFERROR(__xludf.DUMMYFUNCTION("""COMPUTED_VALUE"""),1.0)</f>
        <v>1</v>
      </c>
      <c r="AA4352" s="124" t="str">
        <f>IFERROR(__xludf.DUMMYFUNCTION("""COMPUTED_VALUE"""),"Cold")</f>
        <v>Cold</v>
      </c>
      <c r="AB4352" s="124" t="str">
        <f>IFERROR(__xludf.DUMMYFUNCTION("""COMPUTED_VALUE"""),"GS Foundation")</f>
        <v>GS Foundation</v>
      </c>
    </row>
    <row r="4353">
      <c r="K4353" s="124"/>
      <c r="L4353" s="124"/>
      <c r="M4353" s="124"/>
      <c r="N4353" s="124"/>
      <c r="O4353" s="124"/>
      <c r="T4353" s="129">
        <f>IFERROR(__xludf.DUMMYFUNCTION("""COMPUTED_VALUE"""),46088.0)</f>
        <v>46088</v>
      </c>
      <c r="U4353" s="124" t="str">
        <f>IFERROR(__xludf.DUMMYFUNCTION("""COMPUTED_VALUE"""),"Walk-Ins")</f>
        <v>Walk-Ins</v>
      </c>
      <c r="V4353" s="124" t="str">
        <f>IFERROR(__xludf.DUMMYFUNCTION("""COMPUTED_VALUE"""),"Walkin")</f>
        <v>Walkin</v>
      </c>
      <c r="W4353" s="124"/>
      <c r="X4353" s="124"/>
      <c r="Y4353" s="124" t="str">
        <f>IFERROR(__xludf.DUMMYFUNCTION("""COMPUTED_VALUE"""),"Delhi")</f>
        <v>Delhi</v>
      </c>
      <c r="Z4353" s="124">
        <f>IFERROR(__xludf.DUMMYFUNCTION("""COMPUTED_VALUE"""),1.0)</f>
        <v>1</v>
      </c>
      <c r="AA4353" s="124" t="str">
        <f>IFERROR(__xludf.DUMMYFUNCTION("""COMPUTED_VALUE"""),"Not Interested")</f>
        <v>Not Interested</v>
      </c>
      <c r="AB4353" s="124" t="str">
        <f>IFERROR(__xludf.DUMMYFUNCTION("""COMPUTED_VALUE"""),"GS Foundation")</f>
        <v>GS Foundation</v>
      </c>
    </row>
    <row r="4354">
      <c r="K4354" s="124"/>
      <c r="L4354" s="124"/>
      <c r="M4354" s="124"/>
      <c r="N4354" s="124"/>
      <c r="O4354" s="124"/>
      <c r="T4354" s="126">
        <f>IFERROR(__xludf.DUMMYFUNCTION("""COMPUTED_VALUE"""),46069.0)</f>
        <v>46069</v>
      </c>
      <c r="U4354" s="124" t="str">
        <f>IFERROR(__xludf.DUMMYFUNCTION("""COMPUTED_VALUE"""),"Walk-Ins")</f>
        <v>Walk-Ins</v>
      </c>
      <c r="V4354" s="124" t="str">
        <f>IFERROR(__xludf.DUMMYFUNCTION("""COMPUTED_VALUE"""),"Walkin")</f>
        <v>Walkin</v>
      </c>
      <c r="W4354" s="124"/>
      <c r="X4354" s="124"/>
      <c r="Y4354" s="124" t="str">
        <f>IFERROR(__xludf.DUMMYFUNCTION("""COMPUTED_VALUE"""),"Delhi")</f>
        <v>Delhi</v>
      </c>
      <c r="Z4354" s="124">
        <f>IFERROR(__xludf.DUMMYFUNCTION("""COMPUTED_VALUE"""),1.0)</f>
        <v>1</v>
      </c>
      <c r="AA4354" s="124" t="str">
        <f>IFERROR(__xludf.DUMMYFUNCTION("""COMPUTED_VALUE"""),"Not Interested")</f>
        <v>Not Interested</v>
      </c>
      <c r="AB4354" s="124" t="str">
        <f>IFERROR(__xludf.DUMMYFUNCTION("""COMPUTED_VALUE"""),"GS Foundation")</f>
        <v>GS Foundation</v>
      </c>
    </row>
    <row r="4355">
      <c r="K4355" s="124"/>
      <c r="L4355" s="124"/>
      <c r="M4355" s="124"/>
      <c r="N4355" s="124"/>
      <c r="O4355" s="124"/>
      <c r="T4355" s="129">
        <f>IFERROR(__xludf.DUMMYFUNCTION("""COMPUTED_VALUE"""),46061.0)</f>
        <v>46061</v>
      </c>
      <c r="U4355" s="124" t="str">
        <f>IFERROR(__xludf.DUMMYFUNCTION("""COMPUTED_VALUE"""),"Publisher Campaign")</f>
        <v>Publisher Campaign</v>
      </c>
      <c r="V4355" s="124" t="str">
        <f>IFERROR(__xludf.DUMMYFUNCTION("""COMPUTED_VALUE"""),"Webinar")</f>
        <v>Webinar</v>
      </c>
      <c r="W4355" s="124"/>
      <c r="X4355" s="124"/>
      <c r="Y4355" s="124" t="str">
        <f>IFERROR(__xludf.DUMMYFUNCTION("""COMPUTED_VALUE"""),"Delhi")</f>
        <v>Delhi</v>
      </c>
      <c r="Z4355" s="124">
        <f>IFERROR(__xludf.DUMMYFUNCTION("""COMPUTED_VALUE"""),1.0)</f>
        <v>1</v>
      </c>
      <c r="AA4355" s="124" t="str">
        <f>IFERROR(__xludf.DUMMYFUNCTION("""COMPUTED_VALUE"""),"Fake Lead")</f>
        <v>Fake Lead</v>
      </c>
      <c r="AB4355" s="124" t="str">
        <f>IFERROR(__xludf.DUMMYFUNCTION("""COMPUTED_VALUE"""),"GS Foundation")</f>
        <v>GS Foundation</v>
      </c>
    </row>
    <row r="4356">
      <c r="K4356" s="124"/>
      <c r="L4356" s="124"/>
      <c r="M4356" s="124"/>
      <c r="N4356" s="124"/>
      <c r="O4356" s="124"/>
      <c r="T4356" s="126">
        <f>IFERROR(__xludf.DUMMYFUNCTION("""COMPUTED_VALUE"""),46095.0)</f>
        <v>46095</v>
      </c>
      <c r="U4356" s="124" t="str">
        <f>IFERROR(__xludf.DUMMYFUNCTION("""COMPUTED_VALUE"""),"Publisher Campaign")</f>
        <v>Publisher Campaign</v>
      </c>
      <c r="V4356" s="124" t="str">
        <f>IFERROR(__xludf.DUMMYFUNCTION("""COMPUTED_VALUE"""),"BTL Activities")</f>
        <v>BTL Activities</v>
      </c>
      <c r="W4356" s="124"/>
      <c r="X4356" s="124"/>
      <c r="Y4356" s="124" t="str">
        <f>IFERROR(__xludf.DUMMYFUNCTION("""COMPUTED_VALUE"""),"Prayagraj")</f>
        <v>Prayagraj</v>
      </c>
      <c r="Z4356" s="124">
        <f>IFERROR(__xludf.DUMMYFUNCTION("""COMPUTED_VALUE"""),1.0)</f>
        <v>1</v>
      </c>
      <c r="AA4356" s="124"/>
      <c r="AB4356" s="124" t="str">
        <f>IFERROR(__xludf.DUMMYFUNCTION("""COMPUTED_VALUE"""),"State PCS")</f>
        <v>State PCS</v>
      </c>
    </row>
    <row r="4357">
      <c r="K4357" s="124"/>
      <c r="L4357" s="124"/>
      <c r="M4357" s="124"/>
      <c r="N4357" s="124"/>
      <c r="O4357" s="124"/>
      <c r="T4357" s="129">
        <f>IFERROR(__xludf.DUMMYFUNCTION("""COMPUTED_VALUE"""),46061.0)</f>
        <v>46061</v>
      </c>
      <c r="U4357" s="124" t="str">
        <f>IFERROR(__xludf.DUMMYFUNCTION("""COMPUTED_VALUE"""),"Publisher Campaign")</f>
        <v>Publisher Campaign</v>
      </c>
      <c r="V4357" s="124" t="str">
        <f>IFERROR(__xludf.DUMMYFUNCTION("""COMPUTED_VALUE"""),"Webinar")</f>
        <v>Webinar</v>
      </c>
      <c r="W4357" s="124"/>
      <c r="X4357" s="124"/>
      <c r="Y4357" s="124" t="str">
        <f>IFERROR(__xludf.DUMMYFUNCTION("""COMPUTED_VALUE"""),"Delhi")</f>
        <v>Delhi</v>
      </c>
      <c r="Z4357" s="124">
        <f>IFERROR(__xludf.DUMMYFUNCTION("""COMPUTED_VALUE"""),1.0)</f>
        <v>1</v>
      </c>
      <c r="AA4357" s="124" t="str">
        <f>IFERROR(__xludf.DUMMYFUNCTION("""COMPUTED_VALUE"""),"Engaged")</f>
        <v>Engaged</v>
      </c>
      <c r="AB4357" s="124" t="str">
        <f>IFERROR(__xludf.DUMMYFUNCTION("""COMPUTED_VALUE"""),"CSAT")</f>
        <v>CSAT</v>
      </c>
    </row>
    <row r="4358">
      <c r="K4358" s="124"/>
      <c r="L4358" s="124"/>
      <c r="M4358" s="124"/>
      <c r="N4358" s="124"/>
      <c r="O4358" s="124"/>
      <c r="T4358" s="126">
        <f>IFERROR(__xludf.DUMMYFUNCTION("""COMPUTED_VALUE"""),46079.0)</f>
        <v>46079</v>
      </c>
      <c r="U4358" s="124" t="str">
        <f>IFERROR(__xludf.DUMMYFUNCTION("""COMPUTED_VALUE"""),"Publisher Campaign")</f>
        <v>Publisher Campaign</v>
      </c>
      <c r="V4358" s="124" t="str">
        <f>IFERROR(__xludf.DUMMYFUNCTION("""COMPUTED_VALUE"""),"Webinar")</f>
        <v>Webinar</v>
      </c>
      <c r="W4358" s="124"/>
      <c r="X4358" s="124"/>
      <c r="Y4358" s="124" t="str">
        <f>IFERROR(__xludf.DUMMYFUNCTION("""COMPUTED_VALUE"""),"Guwahati")</f>
        <v>Guwahati</v>
      </c>
      <c r="Z4358" s="124">
        <f>IFERROR(__xludf.DUMMYFUNCTION("""COMPUTED_VALUE"""),1.0)</f>
        <v>1</v>
      </c>
      <c r="AA4358" s="124"/>
      <c r="AB4358" s="124" t="str">
        <f>IFERROR(__xludf.DUMMYFUNCTION("""COMPUTED_VALUE"""),"State PCS")</f>
        <v>State PCS</v>
      </c>
    </row>
    <row r="4359">
      <c r="K4359" s="124"/>
      <c r="L4359" s="124"/>
      <c r="M4359" s="124"/>
      <c r="N4359" s="124"/>
      <c r="O4359" s="124"/>
      <c r="T4359" s="129">
        <f>IFERROR(__xludf.DUMMYFUNCTION("""COMPUTED_VALUE"""),46061.0)</f>
        <v>46061</v>
      </c>
      <c r="U4359" s="124" t="str">
        <f>IFERROR(__xludf.DUMMYFUNCTION("""COMPUTED_VALUE"""),"Publisher Campaign")</f>
        <v>Publisher Campaign</v>
      </c>
      <c r="V4359" s="124" t="str">
        <f>IFERROR(__xludf.DUMMYFUNCTION("""COMPUTED_VALUE"""),"BTL Activities")</f>
        <v>BTL Activities</v>
      </c>
      <c r="W4359" s="124"/>
      <c r="X4359" s="124"/>
      <c r="Y4359" s="124" t="str">
        <f>IFERROR(__xludf.DUMMYFUNCTION("""COMPUTED_VALUE"""),"Indore")</f>
        <v>Indore</v>
      </c>
      <c r="Z4359" s="124">
        <f>IFERROR(__xludf.DUMMYFUNCTION("""COMPUTED_VALUE"""),1.0)</f>
        <v>1</v>
      </c>
      <c r="AA4359" s="124" t="str">
        <f>IFERROR(__xludf.DUMMYFUNCTION("""COMPUTED_VALUE"""),"Not Interested")</f>
        <v>Not Interested</v>
      </c>
      <c r="AB4359" s="124" t="str">
        <f>IFERROR(__xludf.DUMMYFUNCTION("""COMPUTED_VALUE"""),"GS Foundation")</f>
        <v>GS Foundation</v>
      </c>
    </row>
    <row r="4360">
      <c r="K4360" s="124"/>
      <c r="L4360" s="124"/>
      <c r="M4360" s="124"/>
      <c r="N4360" s="124"/>
      <c r="O4360" s="124"/>
      <c r="T4360" s="126">
        <f>IFERROR(__xludf.DUMMYFUNCTION("""COMPUTED_VALUE"""),46067.0)</f>
        <v>46067</v>
      </c>
      <c r="U4360" s="124" t="str">
        <f>IFERROR(__xludf.DUMMYFUNCTION("""COMPUTED_VALUE"""),"Publisher Campaign")</f>
        <v>Publisher Campaign</v>
      </c>
      <c r="V4360" s="124" t="str">
        <f>IFERROR(__xludf.DUMMYFUNCTION("""COMPUTED_VALUE"""),"Webinar")</f>
        <v>Webinar</v>
      </c>
      <c r="W4360" s="124"/>
      <c r="X4360" s="124"/>
      <c r="Y4360" s="124" t="str">
        <f>IFERROR(__xludf.DUMMYFUNCTION("""COMPUTED_VALUE"""),"Delhi")</f>
        <v>Delhi</v>
      </c>
      <c r="Z4360" s="124">
        <f>IFERROR(__xludf.DUMMYFUNCTION("""COMPUTED_VALUE"""),1.0)</f>
        <v>1</v>
      </c>
      <c r="AA4360" s="124" t="str">
        <f>IFERROR(__xludf.DUMMYFUNCTION("""COMPUTED_VALUE"""),"Cold")</f>
        <v>Cold</v>
      </c>
      <c r="AB4360" s="124" t="str">
        <f>IFERROR(__xludf.DUMMYFUNCTION("""COMPUTED_VALUE"""),"Optionals")</f>
        <v>Optionals</v>
      </c>
    </row>
    <row r="4361">
      <c r="K4361" s="124"/>
      <c r="L4361" s="124"/>
      <c r="M4361" s="124"/>
      <c r="N4361" s="124"/>
      <c r="O4361" s="124"/>
      <c r="T4361" s="126">
        <f>IFERROR(__xludf.DUMMYFUNCTION("""COMPUTED_VALUE"""),46048.0)</f>
        <v>46048</v>
      </c>
      <c r="U4361" s="124" t="str">
        <f>IFERROR(__xludf.DUMMYFUNCTION("""COMPUTED_VALUE"""),"External Leads")</f>
        <v>External Leads</v>
      </c>
      <c r="V4361" s="124" t="str">
        <f>IFERROR(__xludf.DUMMYFUNCTION("""COMPUTED_VALUE"""),"external leads")</f>
        <v>external leads</v>
      </c>
      <c r="W4361" s="124"/>
      <c r="X4361" s="124"/>
      <c r="Y4361" s="124" t="str">
        <f>IFERROR(__xludf.DUMMYFUNCTION("""COMPUTED_VALUE"""),"Delhi")</f>
        <v>Delhi</v>
      </c>
      <c r="Z4361" s="124">
        <f>IFERROR(__xludf.DUMMYFUNCTION("""COMPUTED_VALUE"""),1.0)</f>
        <v>1</v>
      </c>
      <c r="AA4361" s="124" t="str">
        <f>IFERROR(__xludf.DUMMYFUNCTION("""COMPUTED_VALUE"""),"Cold")</f>
        <v>Cold</v>
      </c>
      <c r="AB4361" s="124" t="str">
        <f>IFERROR(__xludf.DUMMYFUNCTION("""COMPUTED_VALUE"""),"Other")</f>
        <v>Other</v>
      </c>
    </row>
    <row r="4362">
      <c r="K4362" s="124"/>
      <c r="L4362" s="124"/>
      <c r="M4362" s="124"/>
      <c r="N4362" s="124"/>
      <c r="O4362" s="124"/>
      <c r="T4362" s="126">
        <f>IFERROR(__xludf.DUMMYFUNCTION("""COMPUTED_VALUE"""),46050.0)</f>
        <v>46050</v>
      </c>
      <c r="U4362" s="124" t="str">
        <f>IFERROR(__xludf.DUMMYFUNCTION("""COMPUTED_VALUE"""),"External Leads")</f>
        <v>External Leads</v>
      </c>
      <c r="V4362" s="124" t="str">
        <f>IFERROR(__xludf.DUMMYFUNCTION("""COMPUTED_VALUE"""),"external leads")</f>
        <v>external leads</v>
      </c>
      <c r="W4362" s="124"/>
      <c r="X4362" s="124"/>
      <c r="Y4362" s="124"/>
      <c r="Z4362" s="124">
        <f>IFERROR(__xludf.DUMMYFUNCTION("""COMPUTED_VALUE"""),1.0)</f>
        <v>1</v>
      </c>
      <c r="AA4362" s="124" t="str">
        <f>IFERROR(__xludf.DUMMYFUNCTION("""COMPUTED_VALUE"""),"Fake Lead")</f>
        <v>Fake Lead</v>
      </c>
      <c r="AB4362" s="124"/>
    </row>
    <row r="4363">
      <c r="K4363" s="124"/>
      <c r="L4363" s="124"/>
      <c r="M4363" s="124"/>
      <c r="N4363" s="124"/>
      <c r="O4363" s="124"/>
      <c r="T4363" s="129">
        <f>IFERROR(__xludf.DUMMYFUNCTION("""COMPUTED_VALUE"""),46058.0)</f>
        <v>46058</v>
      </c>
      <c r="U4363" s="124" t="str">
        <f>IFERROR(__xludf.DUMMYFUNCTION("""COMPUTED_VALUE"""),"Walk-Ins")</f>
        <v>Walk-Ins</v>
      </c>
      <c r="V4363" s="124" t="str">
        <f>IFERROR(__xludf.DUMMYFUNCTION("""COMPUTED_VALUE"""),"Walk-In")</f>
        <v>Walk-In</v>
      </c>
      <c r="W4363" s="124" t="str">
        <f>IFERROR(__xludf.DUMMYFUNCTION("""COMPUTED_VALUE"""),"Delhi")</f>
        <v>Delhi</v>
      </c>
      <c r="X4363" s="124" t="str">
        <f>IFERROR(__xludf.DUMMYFUNCTION("""COMPUTED_VALUE"""),"Missbahuddin Ahmad")</f>
        <v>Missbahuddin Ahmad</v>
      </c>
      <c r="Y4363" s="124" t="str">
        <f>IFERROR(__xludf.DUMMYFUNCTION("""COMPUTED_VALUE"""),"Delhi")</f>
        <v>Delhi</v>
      </c>
      <c r="Z4363" s="124">
        <f>IFERROR(__xludf.DUMMYFUNCTION("""COMPUTED_VALUE"""),1.0)</f>
        <v>1</v>
      </c>
      <c r="AA4363" s="124" t="str">
        <f>IFERROR(__xludf.DUMMYFUNCTION("""COMPUTED_VALUE"""),"Not Interested")</f>
        <v>Not Interested</v>
      </c>
      <c r="AB4363" s="124" t="str">
        <f>IFERROR(__xludf.DUMMYFUNCTION("""COMPUTED_VALUE"""),"GS Foundation")</f>
        <v>GS Foundation</v>
      </c>
    </row>
    <row r="4364">
      <c r="K4364" s="124"/>
      <c r="L4364" s="124"/>
      <c r="M4364" s="124"/>
      <c r="N4364" s="124"/>
      <c r="O4364" s="124"/>
      <c r="T4364" s="126">
        <f>IFERROR(__xludf.DUMMYFUNCTION("""COMPUTED_VALUE"""),46074.0)</f>
        <v>46074</v>
      </c>
      <c r="U4364" s="124" t="str">
        <f>IFERROR(__xludf.DUMMYFUNCTION("""COMPUTED_VALUE"""),"Publisher Campaign")</f>
        <v>Publisher Campaign</v>
      </c>
      <c r="V4364" s="124" t="str">
        <f>IFERROR(__xludf.DUMMYFUNCTION("""COMPUTED_VALUE"""),"BTL Activities")</f>
        <v>BTL Activities</v>
      </c>
      <c r="W4364" s="124"/>
      <c r="X4364" s="124"/>
      <c r="Y4364" s="124" t="str">
        <f>IFERROR(__xludf.DUMMYFUNCTION("""COMPUTED_VALUE"""),"Indore")</f>
        <v>Indore</v>
      </c>
      <c r="Z4364" s="124">
        <f>IFERROR(__xludf.DUMMYFUNCTION("""COMPUTED_VALUE"""),1.0)</f>
        <v>1</v>
      </c>
      <c r="AA4364" s="124" t="str">
        <f>IFERROR(__xludf.DUMMYFUNCTION("""COMPUTED_VALUE"""),"Cold")</f>
        <v>Cold</v>
      </c>
      <c r="AB4364" s="124" t="str">
        <f>IFERROR(__xludf.DUMMYFUNCTION("""COMPUTED_VALUE"""),"Other")</f>
        <v>Other</v>
      </c>
    </row>
    <row r="4365">
      <c r="K4365" s="124"/>
      <c r="L4365" s="124"/>
      <c r="M4365" s="124"/>
      <c r="N4365" s="124"/>
      <c r="O4365" s="124"/>
      <c r="T4365" s="126">
        <f>IFERROR(__xludf.DUMMYFUNCTION("""COMPUTED_VALUE"""),46071.0)</f>
        <v>46071</v>
      </c>
      <c r="U4365" s="124" t="str">
        <f>IFERROR(__xludf.DUMMYFUNCTION("""COMPUTED_VALUE"""),"Publisher Campaign")</f>
        <v>Publisher Campaign</v>
      </c>
      <c r="V4365" s="124" t="str">
        <f>IFERROR(__xludf.DUMMYFUNCTION("""COMPUTED_VALUE"""),"Feeder Cities")</f>
        <v>Feeder Cities</v>
      </c>
      <c r="W4365" s="124"/>
      <c r="X4365" s="124"/>
      <c r="Y4365" s="124" t="str">
        <f>IFERROR(__xludf.DUMMYFUNCTION("""COMPUTED_VALUE"""),"Indore")</f>
        <v>Indore</v>
      </c>
      <c r="Z4365" s="124">
        <f>IFERROR(__xludf.DUMMYFUNCTION("""COMPUTED_VALUE"""),1.0)</f>
        <v>1</v>
      </c>
      <c r="AA4365" s="124" t="str">
        <f>IFERROR(__xludf.DUMMYFUNCTION("""COMPUTED_VALUE"""),"Cold")</f>
        <v>Cold</v>
      </c>
      <c r="AB4365" s="124" t="str">
        <f>IFERROR(__xludf.DUMMYFUNCTION("""COMPUTED_VALUE"""),"Other")</f>
        <v>Other</v>
      </c>
    </row>
    <row r="4366">
      <c r="K4366" s="124"/>
      <c r="L4366" s="124"/>
      <c r="M4366" s="124"/>
      <c r="N4366" s="124"/>
      <c r="O4366" s="124"/>
      <c r="T4366" s="129">
        <f>IFERROR(__xludf.DUMMYFUNCTION("""COMPUTED_VALUE"""),46086.0)</f>
        <v>46086</v>
      </c>
      <c r="U4366" s="124" t="str">
        <f>IFERROR(__xludf.DUMMYFUNCTION("""COMPUTED_VALUE"""),"Paid Ads")</f>
        <v>Paid Ads</v>
      </c>
      <c r="V4366" s="124" t="str">
        <f>IFERROR(__xludf.DUMMYFUNCTION("""COMPUTED_VALUE"""),"YouTube")</f>
        <v>YouTube</v>
      </c>
      <c r="W4366" s="124"/>
      <c r="X4366" s="124"/>
      <c r="Y4366" s="124" t="str">
        <f>IFERROR(__xludf.DUMMYFUNCTION("""COMPUTED_VALUE"""),"Prayagraj")</f>
        <v>Prayagraj</v>
      </c>
      <c r="Z4366" s="124">
        <f>IFERROR(__xludf.DUMMYFUNCTION("""COMPUTED_VALUE"""),1.0)</f>
        <v>1</v>
      </c>
      <c r="AA4366" s="124" t="str">
        <f>IFERROR(__xludf.DUMMYFUNCTION("""COMPUTED_VALUE"""),"Future Prospects")</f>
        <v>Future Prospects</v>
      </c>
      <c r="AB4366" s="124" t="str">
        <f>IFERROR(__xludf.DUMMYFUNCTION("""COMPUTED_VALUE"""),"State PCS")</f>
        <v>State PCS</v>
      </c>
    </row>
    <row r="4367">
      <c r="K4367" s="124"/>
      <c r="L4367" s="124"/>
      <c r="M4367" s="124"/>
      <c r="N4367" s="124"/>
      <c r="O4367" s="124"/>
      <c r="T4367" s="126">
        <f>IFERROR(__xludf.DUMMYFUNCTION("""COMPUTED_VALUE"""),46091.0)</f>
        <v>46091</v>
      </c>
      <c r="U4367" s="124" t="str">
        <f>IFERROR(__xludf.DUMMYFUNCTION("""COMPUTED_VALUE"""),"Walk-Ins")</f>
        <v>Walk-Ins</v>
      </c>
      <c r="V4367" s="124" t="str">
        <f>IFERROR(__xludf.DUMMYFUNCTION("""COMPUTED_VALUE"""),"Walkin")</f>
        <v>Walkin</v>
      </c>
      <c r="W4367" s="124" t="str">
        <f>IFERROR(__xludf.DUMMYFUNCTION("""COMPUTED_VALUE"""),"Delhi")</f>
        <v>Delhi</v>
      </c>
      <c r="X4367" s="124" t="str">
        <f>IFERROR(__xludf.DUMMYFUNCTION("""COMPUTED_VALUE"""),"walkin")</f>
        <v>walkin</v>
      </c>
      <c r="Y4367" s="124" t="str">
        <f>IFERROR(__xludf.DUMMYFUNCTION("""COMPUTED_VALUE"""),"Delhi")</f>
        <v>Delhi</v>
      </c>
      <c r="Z4367" s="124">
        <f>IFERROR(__xludf.DUMMYFUNCTION("""COMPUTED_VALUE"""),1.0)</f>
        <v>1</v>
      </c>
      <c r="AA4367" s="124" t="str">
        <f>IFERROR(__xludf.DUMMYFUNCTION("""COMPUTED_VALUE"""),"Warm")</f>
        <v>Warm</v>
      </c>
      <c r="AB4367" s="124" t="str">
        <f>IFERROR(__xludf.DUMMYFUNCTION("""COMPUTED_VALUE"""),"GS Foundation")</f>
        <v>GS Foundation</v>
      </c>
    </row>
    <row r="4368">
      <c r="K4368" s="124"/>
      <c r="L4368" s="124"/>
      <c r="M4368" s="124"/>
      <c r="N4368" s="124"/>
      <c r="O4368" s="124"/>
      <c r="T4368" s="126">
        <f>IFERROR(__xludf.DUMMYFUNCTION("""COMPUTED_VALUE"""),46111.0)</f>
        <v>46111</v>
      </c>
      <c r="U4368" s="124" t="str">
        <f>IFERROR(__xludf.DUMMYFUNCTION("""COMPUTED_VALUE"""),"Walk-Ins")</f>
        <v>Walk-Ins</v>
      </c>
      <c r="V4368" s="124" t="str">
        <f>IFERROR(__xludf.DUMMYFUNCTION("""COMPUTED_VALUE"""),"Walkin")</f>
        <v>Walkin</v>
      </c>
      <c r="W4368" s="124" t="str">
        <f>IFERROR(__xludf.DUMMYFUNCTION("""COMPUTED_VALUE"""),"Delhi")</f>
        <v>Delhi</v>
      </c>
      <c r="X4368" s="124" t="str">
        <f>IFERROR(__xludf.DUMMYFUNCTION("""COMPUTED_VALUE"""),"walkin")</f>
        <v>walkin</v>
      </c>
      <c r="Y4368" s="124" t="str">
        <f>IFERROR(__xludf.DUMMYFUNCTION("""COMPUTED_VALUE"""),"Delhi")</f>
        <v>Delhi</v>
      </c>
      <c r="Z4368" s="124">
        <f>IFERROR(__xludf.DUMMYFUNCTION("""COMPUTED_VALUE"""),1.0)</f>
        <v>1</v>
      </c>
      <c r="AA4368" s="124" t="str">
        <f>IFERROR(__xludf.DUMMYFUNCTION("""COMPUTED_VALUE"""),"Cold")</f>
        <v>Cold</v>
      </c>
      <c r="AB4368" s="124" t="str">
        <f>IFERROR(__xludf.DUMMYFUNCTION("""COMPUTED_VALUE"""),"GS Foundation")</f>
        <v>GS Foundation</v>
      </c>
    </row>
    <row r="4369">
      <c r="K4369" s="124"/>
      <c r="L4369" s="124"/>
      <c r="M4369" s="124"/>
      <c r="N4369" s="124"/>
      <c r="O4369" s="124"/>
      <c r="T4369" s="129">
        <f>IFERROR(__xludf.DUMMYFUNCTION("""COMPUTED_VALUE"""),46090.0)</f>
        <v>46090</v>
      </c>
      <c r="U4369" s="124" t="str">
        <f>IFERROR(__xludf.DUMMYFUNCTION("""COMPUTED_VALUE"""),"Walk-Ins")</f>
        <v>Walk-Ins</v>
      </c>
      <c r="V4369" s="124" t="str">
        <f>IFERROR(__xludf.DUMMYFUNCTION("""COMPUTED_VALUE"""),"Walk-In")</f>
        <v>Walk-In</v>
      </c>
      <c r="W4369" s="124" t="str">
        <f>IFERROR(__xludf.DUMMYFUNCTION("""COMPUTED_VALUE"""),"Delhi")</f>
        <v>Delhi</v>
      </c>
      <c r="X4369" s="124" t="str">
        <f>IFERROR(__xludf.DUMMYFUNCTION("""COMPUTED_VALUE"""),"walkin")</f>
        <v>walkin</v>
      </c>
      <c r="Y4369" s="124" t="str">
        <f>IFERROR(__xludf.DUMMYFUNCTION("""COMPUTED_VALUE"""),"Delhi")</f>
        <v>Delhi</v>
      </c>
      <c r="Z4369" s="124">
        <f>IFERROR(__xludf.DUMMYFUNCTION("""COMPUTED_VALUE"""),1.0)</f>
        <v>1</v>
      </c>
      <c r="AA4369" s="124" t="str">
        <f>IFERROR(__xludf.DUMMYFUNCTION("""COMPUTED_VALUE"""),"Fake Lead")</f>
        <v>Fake Lead</v>
      </c>
      <c r="AB4369" s="124" t="str">
        <f>IFERROR(__xludf.DUMMYFUNCTION("""COMPUTED_VALUE"""),"GS Foundation")</f>
        <v>GS Foundation</v>
      </c>
    </row>
    <row r="4370">
      <c r="K4370" s="124"/>
      <c r="L4370" s="124"/>
      <c r="M4370" s="124"/>
      <c r="N4370" s="124"/>
      <c r="O4370" s="124"/>
      <c r="T4370" s="126">
        <f>IFERROR(__xludf.DUMMYFUNCTION("""COMPUTED_VALUE"""),46106.0)</f>
        <v>46106</v>
      </c>
      <c r="U4370" s="124" t="str">
        <f>IFERROR(__xludf.DUMMYFUNCTION("""COMPUTED_VALUE"""),"Walk-Ins")</f>
        <v>Walk-Ins</v>
      </c>
      <c r="V4370" s="124" t="str">
        <f>IFERROR(__xludf.DUMMYFUNCTION("""COMPUTED_VALUE"""),"Walkin")</f>
        <v>Walkin</v>
      </c>
      <c r="W4370" s="124" t="str">
        <f>IFERROR(__xludf.DUMMYFUNCTION("""COMPUTED_VALUE"""),"Delhi")</f>
        <v>Delhi</v>
      </c>
      <c r="X4370" s="124" t="str">
        <f>IFERROR(__xludf.DUMMYFUNCTION("""COMPUTED_VALUE"""),"walkin")</f>
        <v>walkin</v>
      </c>
      <c r="Y4370" s="124" t="str">
        <f>IFERROR(__xludf.DUMMYFUNCTION("""COMPUTED_VALUE"""),"Delhi")</f>
        <v>Delhi</v>
      </c>
      <c r="Z4370" s="124">
        <f>IFERROR(__xludf.DUMMYFUNCTION("""COMPUTED_VALUE"""),1.0)</f>
        <v>1</v>
      </c>
      <c r="AA4370" s="124" t="str">
        <f>IFERROR(__xludf.DUMMYFUNCTION("""COMPUTED_VALUE"""),"Not Interested")</f>
        <v>Not Interested</v>
      </c>
      <c r="AB4370" s="124" t="str">
        <f>IFERROR(__xludf.DUMMYFUNCTION("""COMPUTED_VALUE"""),"GS Foundation")</f>
        <v>GS Foundation</v>
      </c>
    </row>
    <row r="4371">
      <c r="K4371" s="124"/>
      <c r="L4371" s="124"/>
      <c r="M4371" s="124"/>
      <c r="N4371" s="124"/>
      <c r="O4371" s="124"/>
      <c r="T4371" s="126">
        <f>IFERROR(__xludf.DUMMYFUNCTION("""COMPUTED_VALUE"""),46111.0)</f>
        <v>46111</v>
      </c>
      <c r="U4371" s="124" t="str">
        <f>IFERROR(__xludf.DUMMYFUNCTION("""COMPUTED_VALUE"""),"Walk-Ins")</f>
        <v>Walk-Ins</v>
      </c>
      <c r="V4371" s="124" t="str">
        <f>IFERROR(__xludf.DUMMYFUNCTION("""COMPUTED_VALUE"""),"Walk-In")</f>
        <v>Walk-In</v>
      </c>
      <c r="W4371" s="124" t="str">
        <f>IFERROR(__xludf.DUMMYFUNCTION("""COMPUTED_VALUE"""),"Prayagraj")</f>
        <v>Prayagraj</v>
      </c>
      <c r="X4371" s="124" t="str">
        <f>IFERROR(__xludf.DUMMYFUNCTION("""COMPUTED_VALUE"""),"Aditi")</f>
        <v>Aditi</v>
      </c>
      <c r="Y4371" s="124" t="str">
        <f>IFERROR(__xludf.DUMMYFUNCTION("""COMPUTED_VALUE"""),"Prayagraj")</f>
        <v>Prayagraj</v>
      </c>
      <c r="Z4371" s="124">
        <f>IFERROR(__xludf.DUMMYFUNCTION("""COMPUTED_VALUE"""),1.0)</f>
        <v>1</v>
      </c>
      <c r="AA4371" s="124" t="str">
        <f>IFERROR(__xludf.DUMMYFUNCTION("""COMPUTED_VALUE"""),"Warm")</f>
        <v>Warm</v>
      </c>
      <c r="AB4371" s="124" t="str">
        <f>IFERROR(__xludf.DUMMYFUNCTION("""COMPUTED_VALUE"""),"GS Foundation")</f>
        <v>GS Foundation</v>
      </c>
    </row>
    <row r="4372">
      <c r="K4372" s="124"/>
      <c r="L4372" s="124"/>
      <c r="M4372" s="124"/>
      <c r="N4372" s="124"/>
      <c r="O4372" s="124"/>
      <c r="T4372" s="126">
        <f>IFERROR(__xludf.DUMMYFUNCTION("""COMPUTED_VALUE"""),46043.0)</f>
        <v>46043</v>
      </c>
      <c r="U4372" s="124" t="str">
        <f>IFERROR(__xludf.DUMMYFUNCTION("""COMPUTED_VALUE"""),"Walk-Ins")</f>
        <v>Walk-Ins</v>
      </c>
      <c r="V4372" s="124" t="str">
        <f>IFERROR(__xludf.DUMMYFUNCTION("""COMPUTED_VALUE"""),"Walkin")</f>
        <v>Walkin</v>
      </c>
      <c r="W4372" s="124" t="str">
        <f>IFERROR(__xludf.DUMMYFUNCTION("""COMPUTED_VALUE"""),"Delhi")</f>
        <v>Delhi</v>
      </c>
      <c r="X4372" s="124" t="str">
        <f>IFERROR(__xludf.DUMMYFUNCTION("""COMPUTED_VALUE"""),"walkin")</f>
        <v>walkin</v>
      </c>
      <c r="Y4372" s="124" t="str">
        <f>IFERROR(__xludf.DUMMYFUNCTION("""COMPUTED_VALUE"""),"Delhi")</f>
        <v>Delhi</v>
      </c>
      <c r="Z4372" s="124">
        <f>IFERROR(__xludf.DUMMYFUNCTION("""COMPUTED_VALUE"""),1.0)</f>
        <v>1</v>
      </c>
      <c r="AA4372" s="124" t="str">
        <f>IFERROR(__xludf.DUMMYFUNCTION("""COMPUTED_VALUE"""),"Future Prospects")</f>
        <v>Future Prospects</v>
      </c>
      <c r="AB4372" s="124" t="str">
        <f>IFERROR(__xludf.DUMMYFUNCTION("""COMPUTED_VALUE"""),"GS Foundation")</f>
        <v>GS Foundation</v>
      </c>
    </row>
    <row r="4373">
      <c r="K4373" s="124"/>
      <c r="L4373" s="124"/>
      <c r="M4373" s="124"/>
      <c r="N4373" s="124"/>
      <c r="O4373" s="124"/>
      <c r="T4373" s="126">
        <f>IFERROR(__xludf.DUMMYFUNCTION("""COMPUTED_VALUE"""),46071.0)</f>
        <v>46071</v>
      </c>
      <c r="U4373" s="124" t="str">
        <f>IFERROR(__xludf.DUMMYFUNCTION("""COMPUTED_VALUE"""),"Walk-Ins")</f>
        <v>Walk-Ins</v>
      </c>
      <c r="V4373" s="124" t="str">
        <f>IFERROR(__xludf.DUMMYFUNCTION("""COMPUTED_VALUE"""),"Walkin")</f>
        <v>Walkin</v>
      </c>
      <c r="W4373" s="124" t="str">
        <f>IFERROR(__xludf.DUMMYFUNCTION("""COMPUTED_VALUE"""),"Delhi")</f>
        <v>Delhi</v>
      </c>
      <c r="X4373" s="124" t="str">
        <f>IFERROR(__xludf.DUMMYFUNCTION("""COMPUTED_VALUE"""),"walkin")</f>
        <v>walkin</v>
      </c>
      <c r="Y4373" s="124" t="str">
        <f>IFERROR(__xludf.DUMMYFUNCTION("""COMPUTED_VALUE"""),"Delhi")</f>
        <v>Delhi</v>
      </c>
      <c r="Z4373" s="124">
        <f>IFERROR(__xludf.DUMMYFUNCTION("""COMPUTED_VALUE"""),1.0)</f>
        <v>1</v>
      </c>
      <c r="AA4373" s="124" t="str">
        <f>IFERROR(__xludf.DUMMYFUNCTION("""COMPUTED_VALUE"""),"Enrolled")</f>
        <v>Enrolled</v>
      </c>
      <c r="AB4373" s="124" t="str">
        <f>IFERROR(__xludf.DUMMYFUNCTION("""COMPUTED_VALUE"""),"GS Advanced")</f>
        <v>GS Advanced</v>
      </c>
    </row>
    <row r="4374">
      <c r="K4374" s="124"/>
      <c r="L4374" s="124"/>
      <c r="M4374" s="124"/>
      <c r="N4374" s="124"/>
      <c r="O4374" s="124"/>
      <c r="T4374" s="126">
        <f>IFERROR(__xludf.DUMMYFUNCTION("""COMPUTED_VALUE"""),46047.0)</f>
        <v>46047</v>
      </c>
      <c r="U4374" s="124" t="str">
        <f>IFERROR(__xludf.DUMMYFUNCTION("""COMPUTED_VALUE"""),"Walk-Ins")</f>
        <v>Walk-Ins</v>
      </c>
      <c r="V4374" s="124" t="str">
        <f>IFERROR(__xludf.DUMMYFUNCTION("""COMPUTED_VALUE"""),"Walkin")</f>
        <v>Walkin</v>
      </c>
      <c r="W4374" s="124" t="str">
        <f>IFERROR(__xludf.DUMMYFUNCTION("""COMPUTED_VALUE"""),"Delhi")</f>
        <v>Delhi</v>
      </c>
      <c r="X4374" s="124" t="str">
        <f>IFERROR(__xludf.DUMMYFUNCTION("""COMPUTED_VALUE"""),"walkin")</f>
        <v>walkin</v>
      </c>
      <c r="Y4374" s="124" t="str">
        <f>IFERROR(__xludf.DUMMYFUNCTION("""COMPUTED_VALUE"""),"Delhi")</f>
        <v>Delhi</v>
      </c>
      <c r="Z4374" s="124">
        <f>IFERROR(__xludf.DUMMYFUNCTION("""COMPUTED_VALUE"""),1.0)</f>
        <v>1</v>
      </c>
      <c r="AA4374" s="124" t="str">
        <f>IFERROR(__xludf.DUMMYFUNCTION("""COMPUTED_VALUE"""),"Enrolled")</f>
        <v>Enrolled</v>
      </c>
      <c r="AB4374" s="124" t="str">
        <f>IFERROR(__xludf.DUMMYFUNCTION("""COMPUTED_VALUE"""),"GS Foundation")</f>
        <v>GS Foundation</v>
      </c>
    </row>
    <row r="4375">
      <c r="K4375" s="124"/>
      <c r="L4375" s="124"/>
      <c r="M4375" s="124"/>
      <c r="N4375" s="124"/>
      <c r="O4375" s="124"/>
      <c r="T4375" s="126">
        <f>IFERROR(__xludf.DUMMYFUNCTION("""COMPUTED_VALUE"""),46050.0)</f>
        <v>46050</v>
      </c>
      <c r="U4375" s="124" t="str">
        <f>IFERROR(__xludf.DUMMYFUNCTION("""COMPUTED_VALUE"""),"Walk-Ins")</f>
        <v>Walk-Ins</v>
      </c>
      <c r="V4375" s="124" t="str">
        <f>IFERROR(__xludf.DUMMYFUNCTION("""COMPUTED_VALUE"""),"Walkin")</f>
        <v>Walkin</v>
      </c>
      <c r="W4375" s="124" t="str">
        <f>IFERROR(__xludf.DUMMYFUNCTION("""COMPUTED_VALUE"""),"Delhi")</f>
        <v>Delhi</v>
      </c>
      <c r="X4375" s="124" t="str">
        <f>IFERROR(__xludf.DUMMYFUNCTION("""COMPUTED_VALUE"""),"walkin")</f>
        <v>walkin</v>
      </c>
      <c r="Y4375" s="124" t="str">
        <f>IFERROR(__xludf.DUMMYFUNCTION("""COMPUTED_VALUE"""),"Delhi")</f>
        <v>Delhi</v>
      </c>
      <c r="Z4375" s="124">
        <f>IFERROR(__xludf.DUMMYFUNCTION("""COMPUTED_VALUE"""),1.0)</f>
        <v>1</v>
      </c>
      <c r="AA4375" s="124" t="str">
        <f>IFERROR(__xludf.DUMMYFUNCTION("""COMPUTED_VALUE"""),"Engaged")</f>
        <v>Engaged</v>
      </c>
      <c r="AB4375" s="124" t="str">
        <f>IFERROR(__xludf.DUMMYFUNCTION("""COMPUTED_VALUE"""),"GS Foundation")</f>
        <v>GS Foundation</v>
      </c>
    </row>
    <row r="4376">
      <c r="K4376" s="124"/>
      <c r="L4376" s="124"/>
      <c r="M4376" s="124"/>
      <c r="N4376" s="124"/>
      <c r="O4376" s="124"/>
      <c r="T4376" s="129">
        <f>IFERROR(__xludf.DUMMYFUNCTION("""COMPUTED_VALUE"""),46054.0)</f>
        <v>46054</v>
      </c>
      <c r="U4376" s="124" t="str">
        <f>IFERROR(__xludf.DUMMYFUNCTION("""COMPUTED_VALUE"""),"Walk-Ins")</f>
        <v>Walk-Ins</v>
      </c>
      <c r="V4376" s="124" t="str">
        <f>IFERROR(__xludf.DUMMYFUNCTION("""COMPUTED_VALUE"""),"Walkin")</f>
        <v>Walkin</v>
      </c>
      <c r="W4376" s="124" t="str">
        <f>IFERROR(__xludf.DUMMYFUNCTION("""COMPUTED_VALUE"""),"Delhi")</f>
        <v>Delhi</v>
      </c>
      <c r="X4376" s="124" t="str">
        <f>IFERROR(__xludf.DUMMYFUNCTION("""COMPUTED_VALUE"""),"walkin")</f>
        <v>walkin</v>
      </c>
      <c r="Y4376" s="124" t="str">
        <f>IFERROR(__xludf.DUMMYFUNCTION("""COMPUTED_VALUE"""),"Delhi")</f>
        <v>Delhi</v>
      </c>
      <c r="Z4376" s="124">
        <f>IFERROR(__xludf.DUMMYFUNCTION("""COMPUTED_VALUE"""),1.0)</f>
        <v>1</v>
      </c>
      <c r="AA4376" s="124" t="str">
        <f>IFERROR(__xludf.DUMMYFUNCTION("""COMPUTED_VALUE"""),"Not Interested")</f>
        <v>Not Interested</v>
      </c>
      <c r="AB4376" s="124" t="str">
        <f>IFERROR(__xludf.DUMMYFUNCTION("""COMPUTED_VALUE"""),"State PCS")</f>
        <v>State PCS</v>
      </c>
    </row>
    <row r="4377">
      <c r="K4377" s="124"/>
      <c r="L4377" s="124"/>
      <c r="M4377" s="124"/>
      <c r="N4377" s="124"/>
      <c r="O4377" s="124"/>
      <c r="T4377" s="126">
        <f>IFERROR(__xludf.DUMMYFUNCTION("""COMPUTED_VALUE"""),46091.0)</f>
        <v>46091</v>
      </c>
      <c r="U4377" s="124" t="str">
        <f>IFERROR(__xludf.DUMMYFUNCTION("""COMPUTED_VALUE"""),"Walk-Ins")</f>
        <v>Walk-Ins</v>
      </c>
      <c r="V4377" s="124" t="str">
        <f>IFERROR(__xludf.DUMMYFUNCTION("""COMPUTED_VALUE"""),"Walkin")</f>
        <v>Walkin</v>
      </c>
      <c r="W4377" s="124" t="str">
        <f>IFERROR(__xludf.DUMMYFUNCTION("""COMPUTED_VALUE"""),"Delhi")</f>
        <v>Delhi</v>
      </c>
      <c r="X4377" s="124" t="str">
        <f>IFERROR(__xludf.DUMMYFUNCTION("""COMPUTED_VALUE"""),"walkin")</f>
        <v>walkin</v>
      </c>
      <c r="Y4377" s="124" t="str">
        <f>IFERROR(__xludf.DUMMYFUNCTION("""COMPUTED_VALUE"""),"Delhi")</f>
        <v>Delhi</v>
      </c>
      <c r="Z4377" s="124">
        <f>IFERROR(__xludf.DUMMYFUNCTION("""COMPUTED_VALUE"""),1.0)</f>
        <v>1</v>
      </c>
      <c r="AA4377" s="124" t="str">
        <f>IFERROR(__xludf.DUMMYFUNCTION("""COMPUTED_VALUE"""),"Enrolled")</f>
        <v>Enrolled</v>
      </c>
      <c r="AB4377" s="124" t="str">
        <f>IFERROR(__xludf.DUMMYFUNCTION("""COMPUTED_VALUE"""),"GS Foundation")</f>
        <v>GS Foundation</v>
      </c>
    </row>
    <row r="4378">
      <c r="K4378" s="124"/>
      <c r="L4378" s="124"/>
      <c r="M4378" s="124"/>
      <c r="N4378" s="124"/>
      <c r="O4378" s="124"/>
      <c r="T4378" s="126">
        <f>IFERROR(__xludf.DUMMYFUNCTION("""COMPUTED_VALUE"""),46049.0)</f>
        <v>46049</v>
      </c>
      <c r="U4378" s="124" t="str">
        <f>IFERROR(__xludf.DUMMYFUNCTION("""COMPUTED_VALUE"""),"External Leads")</f>
        <v>External Leads</v>
      </c>
      <c r="V4378" s="124" t="str">
        <f>IFERROR(__xludf.DUMMYFUNCTION("""COMPUTED_VALUE"""),"external leads")</f>
        <v>external leads</v>
      </c>
      <c r="W4378" s="124" t="str">
        <f>IFERROR(__xludf.DUMMYFUNCTION("""COMPUTED_VALUE"""),"delhi")</f>
        <v>delhi</v>
      </c>
      <c r="X4378" s="124" t="str">
        <f>IFERROR(__xludf.DUMMYFUNCTION("""COMPUTED_VALUE"""),"piyushunacademy")</f>
        <v>piyushunacademy</v>
      </c>
      <c r="Y4378" s="124" t="str">
        <f>IFERROR(__xludf.DUMMYFUNCTION("""COMPUTED_VALUE"""),"Delhi")</f>
        <v>Delhi</v>
      </c>
      <c r="Z4378" s="124">
        <f>IFERROR(__xludf.DUMMYFUNCTION("""COMPUTED_VALUE"""),1.0)</f>
        <v>1</v>
      </c>
      <c r="AA4378" s="124" t="str">
        <f>IFERROR(__xludf.DUMMYFUNCTION("""COMPUTED_VALUE"""),"Future Prospects")</f>
        <v>Future Prospects</v>
      </c>
      <c r="AB4378" s="124"/>
    </row>
    <row r="4379">
      <c r="K4379" s="124"/>
      <c r="L4379" s="124"/>
      <c r="M4379" s="124"/>
      <c r="N4379" s="124"/>
      <c r="O4379" s="124"/>
      <c r="T4379" s="126">
        <f>IFERROR(__xludf.DUMMYFUNCTION("""COMPUTED_VALUE"""),46052.0)</f>
        <v>46052</v>
      </c>
      <c r="U4379" s="124" t="str">
        <f>IFERROR(__xludf.DUMMYFUNCTION("""COMPUTED_VALUE"""),"Walk-Ins")</f>
        <v>Walk-Ins</v>
      </c>
      <c r="V4379" s="124" t="str">
        <f>IFERROR(__xludf.DUMMYFUNCTION("""COMPUTED_VALUE"""),"walk-in")</f>
        <v>walk-in</v>
      </c>
      <c r="W4379" s="124" t="str">
        <f>IFERROR(__xludf.DUMMYFUNCTION("""COMPUTED_VALUE"""),"indore")</f>
        <v>indore</v>
      </c>
      <c r="X4379" s="124" t="str">
        <f>IFERROR(__xludf.DUMMYFUNCTION("""COMPUTED_VALUE"""),"suraj sharma")</f>
        <v>suraj sharma</v>
      </c>
      <c r="Y4379" s="124"/>
      <c r="Z4379" s="124">
        <f>IFERROR(__xludf.DUMMYFUNCTION("""COMPUTED_VALUE"""),1.0)</f>
        <v>1</v>
      </c>
      <c r="AA4379" s="124" t="str">
        <f>IFERROR(__xludf.DUMMYFUNCTION("""COMPUTED_VALUE"""),"Enrolled")</f>
        <v>Enrolled</v>
      </c>
      <c r="AB4379" s="124" t="str">
        <f>IFERROR(__xludf.DUMMYFUNCTION("""COMPUTED_VALUE"""),"Other")</f>
        <v>Other</v>
      </c>
    </row>
    <row r="4380">
      <c r="K4380" s="124"/>
      <c r="L4380" s="124"/>
      <c r="M4380" s="124"/>
      <c r="N4380" s="124"/>
      <c r="O4380" s="124"/>
      <c r="T4380" s="126">
        <f>IFERROR(__xludf.DUMMYFUNCTION("""COMPUTED_VALUE"""),46095.0)</f>
        <v>46095</v>
      </c>
      <c r="U4380" s="124" t="str">
        <f>IFERROR(__xludf.DUMMYFUNCTION("""COMPUTED_VALUE"""),"Walk-Ins")</f>
        <v>Walk-Ins</v>
      </c>
      <c r="V4380" s="124" t="str">
        <f>IFERROR(__xludf.DUMMYFUNCTION("""COMPUTED_VALUE"""),"Walkin")</f>
        <v>Walkin</v>
      </c>
      <c r="W4380" s="124" t="str">
        <f>IFERROR(__xludf.DUMMYFUNCTION("""COMPUTED_VALUE"""),"Delhi")</f>
        <v>Delhi</v>
      </c>
      <c r="X4380" s="124" t="str">
        <f>IFERROR(__xludf.DUMMYFUNCTION("""COMPUTED_VALUE"""),"walkin")</f>
        <v>walkin</v>
      </c>
      <c r="Y4380" s="124" t="str">
        <f>IFERROR(__xludf.DUMMYFUNCTION("""COMPUTED_VALUE"""),"Delhi")</f>
        <v>Delhi</v>
      </c>
      <c r="Z4380" s="124">
        <f>IFERROR(__xludf.DUMMYFUNCTION("""COMPUTED_VALUE"""),1.0)</f>
        <v>1</v>
      </c>
      <c r="AA4380" s="124" t="str">
        <f>IFERROR(__xludf.DUMMYFUNCTION("""COMPUTED_VALUE"""),"Future Prospects")</f>
        <v>Future Prospects</v>
      </c>
      <c r="AB4380" s="124" t="str">
        <f>IFERROR(__xludf.DUMMYFUNCTION("""COMPUTED_VALUE"""),"GS Foundation")</f>
        <v>GS Foundation</v>
      </c>
    </row>
    <row r="4381">
      <c r="K4381" s="124"/>
      <c r="L4381" s="124"/>
      <c r="M4381" s="124"/>
      <c r="N4381" s="124"/>
      <c r="O4381" s="124"/>
      <c r="T4381" s="126">
        <f>IFERROR(__xludf.DUMMYFUNCTION("""COMPUTED_VALUE"""),46074.0)</f>
        <v>46074</v>
      </c>
      <c r="U4381" s="124" t="str">
        <f>IFERROR(__xludf.DUMMYFUNCTION("""COMPUTED_VALUE"""),"Walk-Ins")</f>
        <v>Walk-Ins</v>
      </c>
      <c r="V4381" s="124" t="str">
        <f>IFERROR(__xludf.DUMMYFUNCTION("""COMPUTED_VALUE"""),"Walkin")</f>
        <v>Walkin</v>
      </c>
      <c r="W4381" s="124" t="str">
        <f>IFERROR(__xludf.DUMMYFUNCTION("""COMPUTED_VALUE"""),"Delhi")</f>
        <v>Delhi</v>
      </c>
      <c r="X4381" s="124" t="str">
        <f>IFERROR(__xludf.DUMMYFUNCTION("""COMPUTED_VALUE"""),"walkin")</f>
        <v>walkin</v>
      </c>
      <c r="Y4381" s="124" t="str">
        <f>IFERROR(__xludf.DUMMYFUNCTION("""COMPUTED_VALUE"""),"Delhi")</f>
        <v>Delhi</v>
      </c>
      <c r="Z4381" s="124">
        <f>IFERROR(__xludf.DUMMYFUNCTION("""COMPUTED_VALUE"""),1.0)</f>
        <v>1</v>
      </c>
      <c r="AA4381" s="124" t="str">
        <f>IFERROR(__xludf.DUMMYFUNCTION("""COMPUTED_VALUE"""),"Future Prospects")</f>
        <v>Future Prospects</v>
      </c>
      <c r="AB4381" s="124" t="str">
        <f>IFERROR(__xludf.DUMMYFUNCTION("""COMPUTED_VALUE"""),"GS Foundation")</f>
        <v>GS Foundation</v>
      </c>
    </row>
    <row r="4382">
      <c r="K4382" s="124"/>
      <c r="L4382" s="124"/>
      <c r="M4382" s="124"/>
      <c r="N4382" s="124"/>
      <c r="O4382" s="124"/>
      <c r="T4382" s="126">
        <f>IFERROR(__xludf.DUMMYFUNCTION("""COMPUTED_VALUE"""),46092.0)</f>
        <v>46092</v>
      </c>
      <c r="U4382" s="124" t="str">
        <f>IFERROR(__xludf.DUMMYFUNCTION("""COMPUTED_VALUE"""),"Walk-Ins")</f>
        <v>Walk-Ins</v>
      </c>
      <c r="V4382" s="124" t="str">
        <f>IFERROR(__xludf.DUMMYFUNCTION("""COMPUTED_VALUE"""),"Walk-In")</f>
        <v>Walk-In</v>
      </c>
      <c r="W4382" s="124" t="str">
        <f>IFERROR(__xludf.DUMMYFUNCTION("""COMPUTED_VALUE"""),"Prayagraj")</f>
        <v>Prayagraj</v>
      </c>
      <c r="X4382" s="124" t="str">
        <f>IFERROR(__xludf.DUMMYFUNCTION("""COMPUTED_VALUE"""),"Aditi")</f>
        <v>Aditi</v>
      </c>
      <c r="Y4382" s="124" t="str">
        <f>IFERROR(__xludf.DUMMYFUNCTION("""COMPUTED_VALUE"""),"Prayagraj")</f>
        <v>Prayagraj</v>
      </c>
      <c r="Z4382" s="124">
        <f>IFERROR(__xludf.DUMMYFUNCTION("""COMPUTED_VALUE"""),1.0)</f>
        <v>1</v>
      </c>
      <c r="AA4382" s="124" t="str">
        <f>IFERROR(__xludf.DUMMYFUNCTION("""COMPUTED_VALUE"""),"Not Interested")</f>
        <v>Not Interested</v>
      </c>
      <c r="AB4382" s="124" t="str">
        <f>IFERROR(__xludf.DUMMYFUNCTION("""COMPUTED_VALUE"""),"State PCS")</f>
        <v>State PCS</v>
      </c>
    </row>
    <row r="4383">
      <c r="K4383" s="124"/>
      <c r="L4383" s="124"/>
      <c r="M4383" s="124"/>
      <c r="N4383" s="124"/>
      <c r="O4383" s="124"/>
      <c r="T4383" s="126">
        <f>IFERROR(__xludf.DUMMYFUNCTION("""COMPUTED_VALUE"""),46050.0)</f>
        <v>46050</v>
      </c>
      <c r="U4383" s="124" t="str">
        <f>IFERROR(__xludf.DUMMYFUNCTION("""COMPUTED_VALUE"""),"External Leads")</f>
        <v>External Leads</v>
      </c>
      <c r="V4383" s="124" t="str">
        <f>IFERROR(__xludf.DUMMYFUNCTION("""COMPUTED_VALUE"""),"external leads")</f>
        <v>external leads</v>
      </c>
      <c r="W4383" s="124" t="str">
        <f>IFERROR(__xludf.DUMMYFUNCTION("""COMPUTED_VALUE"""),"delhi")</f>
        <v>delhi</v>
      </c>
      <c r="X4383" s="124" t="str">
        <f>IFERROR(__xludf.DUMMYFUNCTION("""COMPUTED_VALUE"""),"piyushunacademy")</f>
        <v>piyushunacademy</v>
      </c>
      <c r="Y4383" s="124" t="str">
        <f>IFERROR(__xludf.DUMMYFUNCTION("""COMPUTED_VALUE"""),"Delhi")</f>
        <v>Delhi</v>
      </c>
      <c r="Z4383" s="124">
        <f>IFERROR(__xludf.DUMMYFUNCTION("""COMPUTED_VALUE"""),1.0)</f>
        <v>1</v>
      </c>
      <c r="AA4383" s="124" t="str">
        <f>IFERROR(__xludf.DUMMYFUNCTION("""COMPUTED_VALUE"""),"Cold")</f>
        <v>Cold</v>
      </c>
      <c r="AB4383" s="124" t="str">
        <f>IFERROR(__xludf.DUMMYFUNCTION("""COMPUTED_VALUE"""),"Optionals")</f>
        <v>Optionals</v>
      </c>
    </row>
    <row r="4384">
      <c r="K4384" s="124"/>
      <c r="L4384" s="124"/>
      <c r="M4384" s="124"/>
      <c r="N4384" s="124"/>
      <c r="O4384" s="124"/>
      <c r="T4384" s="126">
        <f>IFERROR(__xludf.DUMMYFUNCTION("""COMPUTED_VALUE"""),46112.0)</f>
        <v>46112</v>
      </c>
      <c r="U4384" s="124" t="str">
        <f>IFERROR(__xludf.DUMMYFUNCTION("""COMPUTED_VALUE"""),"Walk-Ins")</f>
        <v>Walk-Ins</v>
      </c>
      <c r="V4384" s="124" t="str">
        <f>IFERROR(__xludf.DUMMYFUNCTION("""COMPUTED_VALUE"""),"walk-in")</f>
        <v>walk-in</v>
      </c>
      <c r="W4384" s="124" t="str">
        <f>IFERROR(__xludf.DUMMYFUNCTION("""COMPUTED_VALUE"""),"indore")</f>
        <v>indore</v>
      </c>
      <c r="X4384" s="124" t="str">
        <f>IFERROR(__xludf.DUMMYFUNCTION("""COMPUTED_VALUE"""),"suraj sharma")</f>
        <v>suraj sharma</v>
      </c>
      <c r="Y4384" s="124" t="str">
        <f>IFERROR(__xludf.DUMMYFUNCTION("""COMPUTED_VALUE"""),"Indore")</f>
        <v>Indore</v>
      </c>
      <c r="Z4384" s="124">
        <f>IFERROR(__xludf.DUMMYFUNCTION("""COMPUTED_VALUE"""),1.0)</f>
        <v>1</v>
      </c>
      <c r="AA4384" s="124" t="str">
        <f>IFERROR(__xludf.DUMMYFUNCTION("""COMPUTED_VALUE"""),"Future Prospects")</f>
        <v>Future Prospects</v>
      </c>
      <c r="AB4384" s="124" t="str">
        <f>IFERROR(__xludf.DUMMYFUNCTION("""COMPUTED_VALUE"""),"State PCS")</f>
        <v>State PCS</v>
      </c>
    </row>
    <row r="4385">
      <c r="K4385" s="124"/>
      <c r="L4385" s="124"/>
      <c r="M4385" s="124"/>
      <c r="N4385" s="124"/>
      <c r="O4385" s="124"/>
      <c r="T4385" s="126">
        <f>IFERROR(__xludf.DUMMYFUNCTION("""COMPUTED_VALUE"""),46047.0)</f>
        <v>46047</v>
      </c>
      <c r="U4385" s="124" t="str">
        <f>IFERROR(__xludf.DUMMYFUNCTION("""COMPUTED_VALUE"""),"Event")</f>
        <v>Event</v>
      </c>
      <c r="V4385" s="124" t="str">
        <f>IFERROR(__xludf.DUMMYFUNCTION("""COMPUTED_VALUE"""),"whatsapp")</f>
        <v>whatsapp</v>
      </c>
      <c r="W4385" s="124" t="str">
        <f>IFERROR(__xludf.DUMMYFUNCTION("""COMPUTED_VALUE"""),"api")</f>
        <v>api</v>
      </c>
      <c r="X4385" s="124" t="str">
        <f>IFERROR(__xludf.DUMMYFUNCTION("""COMPUTED_VALUE"""),"reply")</f>
        <v>reply</v>
      </c>
      <c r="Y4385" s="124" t="str">
        <f>IFERROR(__xludf.DUMMYFUNCTION("""COMPUTED_VALUE"""),"Delhi")</f>
        <v>Delhi</v>
      </c>
      <c r="Z4385" s="124">
        <f>IFERROR(__xludf.DUMMYFUNCTION("""COMPUTED_VALUE"""),1.0)</f>
        <v>1</v>
      </c>
      <c r="AA4385" s="124" t="str">
        <f>IFERROR(__xludf.DUMMYFUNCTION("""COMPUTED_VALUE"""),"Warm")</f>
        <v>Warm</v>
      </c>
      <c r="AB4385" s="124"/>
    </row>
    <row r="4386">
      <c r="K4386" s="124"/>
      <c r="L4386" s="124"/>
      <c r="M4386" s="124"/>
      <c r="N4386" s="124"/>
      <c r="O4386" s="124"/>
      <c r="T4386" s="126">
        <f>IFERROR(__xludf.DUMMYFUNCTION("""COMPUTED_VALUE"""),46063.0)</f>
        <v>46063</v>
      </c>
      <c r="U4386" s="124" t="str">
        <f>IFERROR(__xludf.DUMMYFUNCTION("""COMPUTED_VALUE"""),"Paid Ads")</f>
        <v>Paid Ads</v>
      </c>
      <c r="V4386" s="124" t="str">
        <f>IFERROR(__xludf.DUMMYFUNCTION("""COMPUTED_VALUE"""),"google")</f>
        <v>google</v>
      </c>
      <c r="W4386" s="124" t="str">
        <f>IFERROR(__xludf.DUMMYFUNCTION("""COMPUTED_VALUE"""),"cpc")</f>
        <v>cpc</v>
      </c>
      <c r="X4386" s="124">
        <f>IFERROR(__xludf.DUMMYFUNCTION("""COMPUTED_VALUE"""),2.3252198135E10)</f>
        <v>23252198135</v>
      </c>
      <c r="Y4386" s="124" t="str">
        <f>IFERROR(__xludf.DUMMYFUNCTION("""COMPUTED_VALUE"""),"Prayagraj")</f>
        <v>Prayagraj</v>
      </c>
      <c r="Z4386" s="124">
        <f>IFERROR(__xludf.DUMMYFUNCTION("""COMPUTED_VALUE"""),1.0)</f>
        <v>1</v>
      </c>
      <c r="AA4386" s="124" t="str">
        <f>IFERROR(__xludf.DUMMYFUNCTION("""COMPUTED_VALUE"""),"Cold")</f>
        <v>Cold</v>
      </c>
      <c r="AB4386" s="124" t="str">
        <f>IFERROR(__xludf.DUMMYFUNCTION("""COMPUTED_VALUE"""),"State PCS")</f>
        <v>State PCS</v>
      </c>
    </row>
    <row r="4387">
      <c r="K4387" s="124"/>
      <c r="L4387" s="124"/>
      <c r="M4387" s="124"/>
      <c r="N4387" s="124"/>
      <c r="O4387" s="124"/>
      <c r="T4387" s="126">
        <f>IFERROR(__xludf.DUMMYFUNCTION("""COMPUTED_VALUE"""),46069.0)</f>
        <v>46069</v>
      </c>
      <c r="U4387" s="124" t="str">
        <f>IFERROR(__xludf.DUMMYFUNCTION("""COMPUTED_VALUE"""),"Event")</f>
        <v>Event</v>
      </c>
      <c r="V4387" s="124" t="str">
        <f>IFERROR(__xludf.DUMMYFUNCTION("""COMPUTED_VALUE"""),"whatsapp")</f>
        <v>whatsapp</v>
      </c>
      <c r="W4387" s="124" t="str">
        <f>IFERROR(__xludf.DUMMYFUNCTION("""COMPUTED_VALUE"""),"api")</f>
        <v>api</v>
      </c>
      <c r="X4387" s="124" t="str">
        <f>IFERROR(__xludf.DUMMYFUNCTION("""COMPUTED_VALUE"""),"reply")</f>
        <v>reply</v>
      </c>
      <c r="Y4387" s="124" t="str">
        <f>IFERROR(__xludf.DUMMYFUNCTION("""COMPUTED_VALUE"""),"Delhi")</f>
        <v>Delhi</v>
      </c>
      <c r="Z4387" s="124">
        <f>IFERROR(__xludf.DUMMYFUNCTION("""COMPUTED_VALUE"""),1.0)</f>
        <v>1</v>
      </c>
      <c r="AA4387" s="124" t="str">
        <f>IFERROR(__xludf.DUMMYFUNCTION("""COMPUTED_VALUE"""),"Warm")</f>
        <v>Warm</v>
      </c>
      <c r="AB4387" s="124"/>
    </row>
    <row r="4388">
      <c r="K4388" s="124"/>
      <c r="L4388" s="124"/>
      <c r="M4388" s="124"/>
      <c r="N4388" s="124"/>
      <c r="O4388" s="124"/>
      <c r="T4388" s="126">
        <f>IFERROR(__xludf.DUMMYFUNCTION("""COMPUTED_VALUE"""),46080.0)</f>
        <v>46080</v>
      </c>
      <c r="U4388" s="124" t="str">
        <f>IFERROR(__xludf.DUMMYFUNCTION("""COMPUTED_VALUE"""),"Event")</f>
        <v>Event</v>
      </c>
      <c r="V4388" s="124" t="str">
        <f>IFERROR(__xludf.DUMMYFUNCTION("""COMPUTED_VALUE"""),"whatsapp")</f>
        <v>whatsapp</v>
      </c>
      <c r="W4388" s="124" t="str">
        <f>IFERROR(__xludf.DUMMYFUNCTION("""COMPUTED_VALUE"""),"api")</f>
        <v>api</v>
      </c>
      <c r="X4388" s="124" t="str">
        <f>IFERROR(__xludf.DUMMYFUNCTION("""COMPUTED_VALUE"""),"reply")</f>
        <v>reply</v>
      </c>
      <c r="Y4388" s="124"/>
      <c r="Z4388" s="124">
        <f>IFERROR(__xludf.DUMMYFUNCTION("""COMPUTED_VALUE"""),1.0)</f>
        <v>1</v>
      </c>
      <c r="AA4388" s="124" t="str">
        <f>IFERROR(__xludf.DUMMYFUNCTION("""COMPUTED_VALUE"""),"Cold")</f>
        <v>Cold</v>
      </c>
      <c r="AB4388" s="124"/>
    </row>
    <row r="4389">
      <c r="K4389" s="124"/>
      <c r="L4389" s="124"/>
      <c r="M4389" s="124"/>
      <c r="N4389" s="124"/>
      <c r="O4389" s="124"/>
      <c r="T4389" s="126">
        <f>IFERROR(__xludf.DUMMYFUNCTION("""COMPUTED_VALUE"""),46051.0)</f>
        <v>46051</v>
      </c>
      <c r="U4389" s="124" t="str">
        <f>IFERROR(__xludf.DUMMYFUNCTION("""COMPUTED_VALUE"""),"External Leads")</f>
        <v>External Leads</v>
      </c>
      <c r="V4389" s="124" t="str">
        <f>IFERROR(__xludf.DUMMYFUNCTION("""COMPUTED_VALUE"""),"Outbound Call")</f>
        <v>Outbound Call</v>
      </c>
      <c r="W4389" s="124" t="str">
        <f>IFERROR(__xludf.DUMMYFUNCTION("""COMPUTED_VALUE"""),"Outbound Call")</f>
        <v>Outbound Call</v>
      </c>
      <c r="X4389" s="124" t="str">
        <f>IFERROR(__xludf.DUMMYFUNCTION("""COMPUTED_VALUE"""),"Outbound Call")</f>
        <v>Outbound Call</v>
      </c>
      <c r="Y4389" s="124"/>
      <c r="Z4389" s="124">
        <f>IFERROR(__xludf.DUMMYFUNCTION("""COMPUTED_VALUE"""),1.0)</f>
        <v>1</v>
      </c>
      <c r="AA4389" s="124" t="str">
        <f>IFERROR(__xludf.DUMMYFUNCTION("""COMPUTED_VALUE"""),"Fake Lead")</f>
        <v>Fake Lead</v>
      </c>
      <c r="AB4389" s="124"/>
    </row>
    <row r="4390">
      <c r="K4390" s="124"/>
      <c r="L4390" s="124"/>
      <c r="M4390" s="124"/>
      <c r="N4390" s="124"/>
      <c r="O4390" s="124"/>
      <c r="T4390" s="129">
        <f>IFERROR(__xludf.DUMMYFUNCTION("""COMPUTED_VALUE"""),46058.0)</f>
        <v>46058</v>
      </c>
      <c r="U4390" s="124" t="str">
        <f>IFERROR(__xludf.DUMMYFUNCTION("""COMPUTED_VALUE"""),"Event")</f>
        <v>Event</v>
      </c>
      <c r="V4390" s="124" t="str">
        <f>IFERROR(__xludf.DUMMYFUNCTION("""COMPUTED_VALUE"""),"Events")</f>
        <v>Events</v>
      </c>
      <c r="W4390" s="124" t="str">
        <f>IFERROR(__xludf.DUMMYFUNCTION("""COMPUTED_VALUE"""),"All Centre")</f>
        <v>All Centre</v>
      </c>
      <c r="X4390" s="124" t="str">
        <f>IFERROR(__xludf.DUMMYFUNCTION("""COMPUTED_VALUE"""),"Generic")</f>
        <v>Generic</v>
      </c>
      <c r="Y4390" s="124" t="str">
        <f>IFERROR(__xludf.DUMMYFUNCTION("""COMPUTED_VALUE"""),"Delhi")</f>
        <v>Delhi</v>
      </c>
      <c r="Z4390" s="124">
        <f>IFERROR(__xludf.DUMMYFUNCTION("""COMPUTED_VALUE"""),1.0)</f>
        <v>1</v>
      </c>
      <c r="AA4390" s="124" t="str">
        <f>IFERROR(__xludf.DUMMYFUNCTION("""COMPUTED_VALUE"""),"Cold")</f>
        <v>Cold</v>
      </c>
      <c r="AB4390" s="124" t="str">
        <f>IFERROR(__xludf.DUMMYFUNCTION("""COMPUTED_VALUE"""),"Test Series")</f>
        <v>Test Series</v>
      </c>
    </row>
    <row r="4391">
      <c r="K4391" s="124"/>
      <c r="L4391" s="124"/>
      <c r="M4391" s="124"/>
      <c r="N4391" s="124"/>
      <c r="O4391" s="124"/>
      <c r="T4391" s="129">
        <f>IFERROR(__xludf.DUMMYFUNCTION("""COMPUTED_VALUE"""),46058.0)</f>
        <v>46058</v>
      </c>
      <c r="U4391" s="124" t="str">
        <f>IFERROR(__xludf.DUMMYFUNCTION("""COMPUTED_VALUE"""),"Event")</f>
        <v>Event</v>
      </c>
      <c r="V4391" s="124" t="str">
        <f>IFERROR(__xludf.DUMMYFUNCTION("""COMPUTED_VALUE"""),"Events")</f>
        <v>Events</v>
      </c>
      <c r="W4391" s="124" t="str">
        <f>IFERROR(__xludf.DUMMYFUNCTION("""COMPUTED_VALUE"""),"All Centre")</f>
        <v>All Centre</v>
      </c>
      <c r="X4391" s="124" t="str">
        <f>IFERROR(__xludf.DUMMYFUNCTION("""COMPUTED_VALUE"""),"Generic")</f>
        <v>Generic</v>
      </c>
      <c r="Y4391" s="124" t="str">
        <f>IFERROR(__xludf.DUMMYFUNCTION("""COMPUTED_VALUE"""),"Delhi")</f>
        <v>Delhi</v>
      </c>
      <c r="Z4391" s="124">
        <f>IFERROR(__xludf.DUMMYFUNCTION("""COMPUTED_VALUE"""),1.0)</f>
        <v>1</v>
      </c>
      <c r="AA4391" s="124" t="str">
        <f>IFERROR(__xludf.DUMMYFUNCTION("""COMPUTED_VALUE"""),"Future Prospects")</f>
        <v>Future Prospects</v>
      </c>
      <c r="AB4391" s="124" t="str">
        <f>IFERROR(__xludf.DUMMYFUNCTION("""COMPUTED_VALUE"""),"State PCS")</f>
        <v>State PCS</v>
      </c>
    </row>
    <row r="4392">
      <c r="K4392" s="124"/>
      <c r="L4392" s="124"/>
      <c r="M4392" s="124"/>
      <c r="N4392" s="124"/>
      <c r="O4392" s="124"/>
      <c r="T4392" s="129">
        <f>IFERROR(__xludf.DUMMYFUNCTION("""COMPUTED_VALUE"""),46062.0)</f>
        <v>46062</v>
      </c>
      <c r="U4392" s="124" t="str">
        <f>IFERROR(__xludf.DUMMYFUNCTION("""COMPUTED_VALUE"""),"Event")</f>
        <v>Event</v>
      </c>
      <c r="V4392" s="124" t="str">
        <f>IFERROR(__xludf.DUMMYFUNCTION("""COMPUTED_VALUE"""),"Events")</f>
        <v>Events</v>
      </c>
      <c r="W4392" s="124" t="str">
        <f>IFERROR(__xludf.DUMMYFUNCTION("""COMPUTED_VALUE"""),"All Centre")</f>
        <v>All Centre</v>
      </c>
      <c r="X4392" s="124" t="str">
        <f>IFERROR(__xludf.DUMMYFUNCTION("""COMPUTED_VALUE"""),"Generic")</f>
        <v>Generic</v>
      </c>
      <c r="Y4392" s="124" t="str">
        <f>IFERROR(__xludf.DUMMYFUNCTION("""COMPUTED_VALUE"""),"Delhi")</f>
        <v>Delhi</v>
      </c>
      <c r="Z4392" s="124">
        <f>IFERROR(__xludf.DUMMYFUNCTION("""COMPUTED_VALUE"""),1.0)</f>
        <v>1</v>
      </c>
      <c r="AA4392" s="124" t="str">
        <f>IFERROR(__xludf.DUMMYFUNCTION("""COMPUTED_VALUE"""),"Cold")</f>
        <v>Cold</v>
      </c>
      <c r="AB4392" s="124" t="str">
        <f>IFERROR(__xludf.DUMMYFUNCTION("""COMPUTED_VALUE"""),"Test Series")</f>
        <v>Test Series</v>
      </c>
    </row>
    <row r="4393">
      <c r="K4393" s="124"/>
      <c r="L4393" s="124"/>
      <c r="M4393" s="124"/>
      <c r="N4393" s="124"/>
      <c r="O4393" s="124"/>
      <c r="T4393" s="126">
        <f>IFERROR(__xludf.DUMMYFUNCTION("""COMPUTED_VALUE"""),46063.0)</f>
        <v>46063</v>
      </c>
      <c r="U4393" s="124" t="str">
        <f>IFERROR(__xludf.DUMMYFUNCTION("""COMPUTED_VALUE"""),"Event")</f>
        <v>Event</v>
      </c>
      <c r="V4393" s="124" t="str">
        <f>IFERROR(__xludf.DUMMYFUNCTION("""COMPUTED_VALUE"""),"Events")</f>
        <v>Events</v>
      </c>
      <c r="W4393" s="124" t="str">
        <f>IFERROR(__xludf.DUMMYFUNCTION("""COMPUTED_VALUE"""),"All Centre")</f>
        <v>All Centre</v>
      </c>
      <c r="X4393" s="124" t="str">
        <f>IFERROR(__xludf.DUMMYFUNCTION("""COMPUTED_VALUE"""),"Generic")</f>
        <v>Generic</v>
      </c>
      <c r="Y4393" s="124" t="str">
        <f>IFERROR(__xludf.DUMMYFUNCTION("""COMPUTED_VALUE"""),"Delhi")</f>
        <v>Delhi</v>
      </c>
      <c r="Z4393" s="124">
        <f>IFERROR(__xludf.DUMMYFUNCTION("""COMPUTED_VALUE"""),1.0)</f>
        <v>1</v>
      </c>
      <c r="AA4393" s="124" t="str">
        <f>IFERROR(__xludf.DUMMYFUNCTION("""COMPUTED_VALUE"""),"Cold")</f>
        <v>Cold</v>
      </c>
      <c r="AB4393" s="124" t="str">
        <f>IFERROR(__xludf.DUMMYFUNCTION("""COMPUTED_VALUE"""),"State PCS")</f>
        <v>State PCS</v>
      </c>
    </row>
    <row r="4394">
      <c r="K4394" s="124"/>
      <c r="L4394" s="124"/>
      <c r="M4394" s="124"/>
      <c r="N4394" s="124"/>
      <c r="O4394" s="124"/>
      <c r="T4394" s="129">
        <f>IFERROR(__xludf.DUMMYFUNCTION("""COMPUTED_VALUE"""),46059.0)</f>
        <v>46059</v>
      </c>
      <c r="U4394" s="124" t="str">
        <f>IFERROR(__xludf.DUMMYFUNCTION("""COMPUTED_VALUE"""),"External Leads")</f>
        <v>External Leads</v>
      </c>
      <c r="V4394" s="124" t="str">
        <f>IFERROR(__xludf.DUMMYFUNCTION("""COMPUTED_VALUE"""),"external leads")</f>
        <v>external leads</v>
      </c>
      <c r="W4394" s="124" t="str">
        <f>IFERROR(__xludf.DUMMYFUNCTION("""COMPUTED_VALUE"""),"lucknow")</f>
        <v>lucknow</v>
      </c>
      <c r="X4394" s="124" t="str">
        <f>IFERROR(__xludf.DUMMYFUNCTION("""COMPUTED_VALUE"""),"library")</f>
        <v>library</v>
      </c>
      <c r="Y4394" s="124" t="str">
        <f>IFERROR(__xludf.DUMMYFUNCTION("""COMPUTED_VALUE"""),"Lucknow")</f>
        <v>Lucknow</v>
      </c>
      <c r="Z4394" s="124">
        <f>IFERROR(__xludf.DUMMYFUNCTION("""COMPUTED_VALUE"""),1.0)</f>
        <v>1</v>
      </c>
      <c r="AA4394" s="124" t="str">
        <f>IFERROR(__xludf.DUMMYFUNCTION("""COMPUTED_VALUE"""),"Enrolled")</f>
        <v>Enrolled</v>
      </c>
      <c r="AB4394" s="124" t="str">
        <f>IFERROR(__xludf.DUMMYFUNCTION("""COMPUTED_VALUE"""),"GS Foundation")</f>
        <v>GS Foundation</v>
      </c>
    </row>
    <row r="4395">
      <c r="K4395" s="124"/>
      <c r="L4395" s="124"/>
      <c r="M4395" s="124"/>
      <c r="N4395" s="124"/>
      <c r="O4395" s="124"/>
      <c r="T4395" s="126">
        <f>IFERROR(__xludf.DUMMYFUNCTION("""COMPUTED_VALUE"""),46065.0)</f>
        <v>46065</v>
      </c>
      <c r="U4395" s="124" t="str">
        <f>IFERROR(__xludf.DUMMYFUNCTION("""COMPUTED_VALUE"""),"Event")</f>
        <v>Event</v>
      </c>
      <c r="V4395" s="124" t="str">
        <f>IFERROR(__xludf.DUMMYFUNCTION("""COMPUTED_VALUE"""),"Events")</f>
        <v>Events</v>
      </c>
      <c r="W4395" s="124" t="str">
        <f>IFERROR(__xludf.DUMMYFUNCTION("""COMPUTED_VALUE"""),"All Centre")</f>
        <v>All Centre</v>
      </c>
      <c r="X4395" s="124" t="str">
        <f>IFERROR(__xludf.DUMMYFUNCTION("""COMPUTED_VALUE"""),"Generic")</f>
        <v>Generic</v>
      </c>
      <c r="Y4395" s="124" t="str">
        <f>IFERROR(__xludf.DUMMYFUNCTION("""COMPUTED_VALUE"""),"Prayagraj")</f>
        <v>Prayagraj</v>
      </c>
      <c r="Z4395" s="124">
        <f>IFERROR(__xludf.DUMMYFUNCTION("""COMPUTED_VALUE"""),1.0)</f>
        <v>1</v>
      </c>
      <c r="AA4395" s="124" t="str">
        <f>IFERROR(__xludf.DUMMYFUNCTION("""COMPUTED_VALUE"""),"Warm")</f>
        <v>Warm</v>
      </c>
      <c r="AB4395" s="124" t="str">
        <f>IFERROR(__xludf.DUMMYFUNCTION("""COMPUTED_VALUE"""),"State PCS")</f>
        <v>State PCS</v>
      </c>
    </row>
    <row r="4396">
      <c r="K4396" s="124"/>
      <c r="L4396" s="124"/>
      <c r="M4396" s="124"/>
      <c r="N4396" s="124"/>
      <c r="O4396" s="124"/>
      <c r="T4396" s="126">
        <f>IFERROR(__xludf.DUMMYFUNCTION("""COMPUTED_VALUE"""),46048.0)</f>
        <v>46048</v>
      </c>
      <c r="U4396" s="124" t="str">
        <f>IFERROR(__xludf.DUMMYFUNCTION("""COMPUTED_VALUE"""),"Event")</f>
        <v>Event</v>
      </c>
      <c r="V4396" s="124" t="str">
        <f>IFERROR(__xludf.DUMMYFUNCTION("""COMPUTED_VALUE"""),"Events")</f>
        <v>Events</v>
      </c>
      <c r="W4396" s="124" t="str">
        <f>IFERROR(__xludf.DUMMYFUNCTION("""COMPUTED_VALUE"""),"Delhi")</f>
        <v>Delhi</v>
      </c>
      <c r="X4396" s="124" t="str">
        <f>IFERROR(__xludf.DUMMYFUNCTION("""COMPUTED_VALUE"""),"DRCSEMINAR(CTC)")</f>
        <v>DRCSEMINAR(CTC)</v>
      </c>
      <c r="Y4396" s="124" t="str">
        <f>IFERROR(__xludf.DUMMYFUNCTION("""COMPUTED_VALUE"""),"Delhi")</f>
        <v>Delhi</v>
      </c>
      <c r="Z4396" s="124">
        <f>IFERROR(__xludf.DUMMYFUNCTION("""COMPUTED_VALUE"""),1.0)</f>
        <v>1</v>
      </c>
      <c r="AA4396" s="124" t="str">
        <f>IFERROR(__xludf.DUMMYFUNCTION("""COMPUTED_VALUE"""),"Cold")</f>
        <v>Cold</v>
      </c>
      <c r="AB4396" s="124" t="str">
        <f>IFERROR(__xludf.DUMMYFUNCTION("""COMPUTED_VALUE"""),"Prelims Crash Course - SIP")</f>
        <v>Prelims Crash Course - SIP</v>
      </c>
    </row>
    <row r="4397">
      <c r="K4397" s="124"/>
      <c r="L4397" s="124"/>
      <c r="M4397" s="124"/>
      <c r="N4397" s="124"/>
      <c r="O4397" s="124"/>
      <c r="T4397" s="126">
        <f>IFERROR(__xludf.DUMMYFUNCTION("""COMPUTED_VALUE"""),46048.0)</f>
        <v>46048</v>
      </c>
      <c r="U4397" s="124" t="str">
        <f>IFERROR(__xludf.DUMMYFUNCTION("""COMPUTED_VALUE"""),"Event")</f>
        <v>Event</v>
      </c>
      <c r="V4397" s="124" t="str">
        <f>IFERROR(__xludf.DUMMYFUNCTION("""COMPUTED_VALUE"""),"Events")</f>
        <v>Events</v>
      </c>
      <c r="W4397" s="124" t="str">
        <f>IFERROR(__xludf.DUMMYFUNCTION("""COMPUTED_VALUE"""),"Delhi")</f>
        <v>Delhi</v>
      </c>
      <c r="X4397" s="124" t="str">
        <f>IFERROR(__xludf.DUMMYFUNCTION("""COMPUTED_VALUE"""),"DRCSEMINAR(CTC)")</f>
        <v>DRCSEMINAR(CTC)</v>
      </c>
      <c r="Y4397" s="124"/>
      <c r="Z4397" s="124">
        <f>IFERROR(__xludf.DUMMYFUNCTION("""COMPUTED_VALUE"""),1.0)</f>
        <v>1</v>
      </c>
      <c r="AA4397" s="124" t="str">
        <f>IFERROR(__xludf.DUMMYFUNCTION("""COMPUTED_VALUE"""),"Fake Lead")</f>
        <v>Fake Lead</v>
      </c>
      <c r="AB4397" s="124"/>
    </row>
    <row r="4398">
      <c r="K4398" s="124"/>
      <c r="L4398" s="124"/>
      <c r="M4398" s="124"/>
      <c r="N4398" s="124"/>
      <c r="O4398" s="124"/>
      <c r="T4398" s="126">
        <f>IFERROR(__xludf.DUMMYFUNCTION("""COMPUTED_VALUE"""),46063.0)</f>
        <v>46063</v>
      </c>
      <c r="U4398" s="124" t="str">
        <f>IFERROR(__xludf.DUMMYFUNCTION("""COMPUTED_VALUE"""),"Event")</f>
        <v>Event</v>
      </c>
      <c r="V4398" s="124" t="str">
        <f>IFERROR(__xludf.DUMMYFUNCTION("""COMPUTED_VALUE"""),"Events")</f>
        <v>Events</v>
      </c>
      <c r="W4398" s="124" t="str">
        <f>IFERROR(__xludf.DUMMYFUNCTION("""COMPUTED_VALUE"""),"All Centre")</f>
        <v>All Centre</v>
      </c>
      <c r="X4398" s="124" t="str">
        <f>IFERROR(__xludf.DUMMYFUNCTION("""COMPUTED_VALUE"""),"Generic")</f>
        <v>Generic</v>
      </c>
      <c r="Y4398" s="124" t="str">
        <f>IFERROR(__xludf.DUMMYFUNCTION("""COMPUTED_VALUE"""),"Delhi")</f>
        <v>Delhi</v>
      </c>
      <c r="Z4398" s="124">
        <f>IFERROR(__xludf.DUMMYFUNCTION("""COMPUTED_VALUE"""),1.0)</f>
        <v>1</v>
      </c>
      <c r="AA4398" s="124" t="str">
        <f>IFERROR(__xludf.DUMMYFUNCTION("""COMPUTED_VALUE"""),"Engaged")</f>
        <v>Engaged</v>
      </c>
      <c r="AB4398" s="124" t="str">
        <f>IFERROR(__xludf.DUMMYFUNCTION("""COMPUTED_VALUE"""),"Mentorship")</f>
        <v>Mentorship</v>
      </c>
    </row>
    <row r="4399">
      <c r="K4399" s="124"/>
      <c r="L4399" s="124"/>
      <c r="M4399" s="124"/>
      <c r="N4399" s="124"/>
      <c r="O4399" s="124"/>
      <c r="T4399" s="126">
        <f>IFERROR(__xludf.DUMMYFUNCTION("""COMPUTED_VALUE"""),46104.0)</f>
        <v>46104</v>
      </c>
      <c r="U4399" s="124" t="str">
        <f>IFERROR(__xludf.DUMMYFUNCTION("""COMPUTED_VALUE"""),"Walk-Ins")</f>
        <v>Walk-Ins</v>
      </c>
      <c r="V4399" s="124" t="str">
        <f>IFERROR(__xludf.DUMMYFUNCTION("""COMPUTED_VALUE"""),"Walk-In")</f>
        <v>Walk-In</v>
      </c>
      <c r="W4399" s="124" t="str">
        <f>IFERROR(__xludf.DUMMYFUNCTION("""COMPUTED_VALUE"""),"Delhi")</f>
        <v>Delhi</v>
      </c>
      <c r="X4399" s="124" t="str">
        <f>IFERROR(__xludf.DUMMYFUNCTION("""COMPUTED_VALUE"""),"Netri")</f>
        <v>Netri</v>
      </c>
      <c r="Y4399" s="124" t="str">
        <f>IFERROR(__xludf.DUMMYFUNCTION("""COMPUTED_VALUE"""),"Delhi")</f>
        <v>Delhi</v>
      </c>
      <c r="Z4399" s="124">
        <f>IFERROR(__xludf.DUMMYFUNCTION("""COMPUTED_VALUE"""),1.0)</f>
        <v>1</v>
      </c>
      <c r="AA4399" s="124" t="str">
        <f>IFERROR(__xludf.DUMMYFUNCTION("""COMPUTED_VALUE"""),"Future Prospects")</f>
        <v>Future Prospects</v>
      </c>
      <c r="AB4399" s="124" t="str">
        <f>IFERROR(__xludf.DUMMYFUNCTION("""COMPUTED_VALUE"""),"GS Foundation")</f>
        <v>GS Foundation</v>
      </c>
    </row>
    <row r="4400">
      <c r="K4400" s="124"/>
      <c r="L4400" s="124"/>
      <c r="M4400" s="124"/>
      <c r="N4400" s="124"/>
      <c r="O4400" s="124"/>
      <c r="T4400" s="126">
        <f>IFERROR(__xludf.DUMMYFUNCTION("""COMPUTED_VALUE"""),46080.0)</f>
        <v>46080</v>
      </c>
      <c r="U4400" s="124" t="str">
        <f>IFERROR(__xludf.DUMMYFUNCTION("""COMPUTED_VALUE"""),"Walk-Ins")</f>
        <v>Walk-Ins</v>
      </c>
      <c r="V4400" s="124" t="str">
        <f>IFERROR(__xludf.DUMMYFUNCTION("""COMPUTED_VALUE"""),"Walk-In")</f>
        <v>Walk-In</v>
      </c>
      <c r="W4400" s="124" t="str">
        <f>IFERROR(__xludf.DUMMYFUNCTION("""COMPUTED_VALUE"""),"Delhi")</f>
        <v>Delhi</v>
      </c>
      <c r="X4400" s="124" t="str">
        <f>IFERROR(__xludf.DUMMYFUNCTION("""COMPUTED_VALUE"""),"Netri")</f>
        <v>Netri</v>
      </c>
      <c r="Y4400" s="124" t="str">
        <f>IFERROR(__xludf.DUMMYFUNCTION("""COMPUTED_VALUE"""),"Delhi")</f>
        <v>Delhi</v>
      </c>
      <c r="Z4400" s="124">
        <f>IFERROR(__xludf.DUMMYFUNCTION("""COMPUTED_VALUE"""),1.0)</f>
        <v>1</v>
      </c>
      <c r="AA4400" s="124" t="str">
        <f>IFERROR(__xludf.DUMMYFUNCTION("""COMPUTED_VALUE"""),"Fake Lead")</f>
        <v>Fake Lead</v>
      </c>
      <c r="AB4400" s="124" t="str">
        <f>IFERROR(__xludf.DUMMYFUNCTION("""COMPUTED_VALUE"""),"GS Foundation")</f>
        <v>GS Foundation</v>
      </c>
    </row>
    <row r="4401">
      <c r="K4401" s="124"/>
      <c r="L4401" s="124"/>
      <c r="M4401" s="124"/>
      <c r="N4401" s="124"/>
      <c r="O4401" s="124"/>
      <c r="T4401" s="126">
        <f>IFERROR(__xludf.DUMMYFUNCTION("""COMPUTED_VALUE"""),46081.0)</f>
        <v>46081</v>
      </c>
      <c r="U4401" s="124" t="str">
        <f>IFERROR(__xludf.DUMMYFUNCTION("""COMPUTED_VALUE"""),"Walk-Ins")</f>
        <v>Walk-Ins</v>
      </c>
      <c r="V4401" s="124" t="str">
        <f>IFERROR(__xludf.DUMMYFUNCTION("""COMPUTED_VALUE"""),"Walk-In")</f>
        <v>Walk-In</v>
      </c>
      <c r="W4401" s="124" t="str">
        <f>IFERROR(__xludf.DUMMYFUNCTION("""COMPUTED_VALUE"""),"Delhi")</f>
        <v>Delhi</v>
      </c>
      <c r="X4401" s="124" t="str">
        <f>IFERROR(__xludf.DUMMYFUNCTION("""COMPUTED_VALUE"""),"Netri")</f>
        <v>Netri</v>
      </c>
      <c r="Y4401" s="124" t="str">
        <f>IFERROR(__xludf.DUMMYFUNCTION("""COMPUTED_VALUE"""),"Delhi")</f>
        <v>Delhi</v>
      </c>
      <c r="Z4401" s="124">
        <f>IFERROR(__xludf.DUMMYFUNCTION("""COMPUTED_VALUE"""),1.0)</f>
        <v>1</v>
      </c>
      <c r="AA4401" s="124" t="str">
        <f>IFERROR(__xludf.DUMMYFUNCTION("""COMPUTED_VALUE"""),"Fake Lead")</f>
        <v>Fake Lead</v>
      </c>
      <c r="AB4401" s="124" t="str">
        <f>IFERROR(__xludf.DUMMYFUNCTION("""COMPUTED_VALUE"""),"GS Foundation")</f>
        <v>GS Foundation</v>
      </c>
    </row>
    <row r="4402">
      <c r="K4402" s="124"/>
      <c r="L4402" s="124"/>
      <c r="M4402" s="124"/>
      <c r="N4402" s="124"/>
      <c r="O4402" s="124"/>
      <c r="T4402" s="126">
        <f>IFERROR(__xludf.DUMMYFUNCTION("""COMPUTED_VALUE"""),46049.0)</f>
        <v>46049</v>
      </c>
      <c r="U4402" s="124" t="str">
        <f>IFERROR(__xludf.DUMMYFUNCTION("""COMPUTED_VALUE"""),"Walk-Ins")</f>
        <v>Walk-Ins</v>
      </c>
      <c r="V4402" s="124" t="str">
        <f>IFERROR(__xludf.DUMMYFUNCTION("""COMPUTED_VALUE"""),"Walk-In")</f>
        <v>Walk-In</v>
      </c>
      <c r="W4402" s="124" t="str">
        <f>IFERROR(__xludf.DUMMYFUNCTION("""COMPUTED_VALUE"""),"Delhi")</f>
        <v>Delhi</v>
      </c>
      <c r="X4402" s="124" t="str">
        <f>IFERROR(__xludf.DUMMYFUNCTION("""COMPUTED_VALUE"""),"Netri")</f>
        <v>Netri</v>
      </c>
      <c r="Y4402" s="124" t="str">
        <f>IFERROR(__xludf.DUMMYFUNCTION("""COMPUTED_VALUE"""),"Delhi")</f>
        <v>Delhi</v>
      </c>
      <c r="Z4402" s="124">
        <f>IFERROR(__xludf.DUMMYFUNCTION("""COMPUTED_VALUE"""),1.0)</f>
        <v>1</v>
      </c>
      <c r="AA4402" s="124" t="str">
        <f>IFERROR(__xludf.DUMMYFUNCTION("""COMPUTED_VALUE"""),"Future Prospects")</f>
        <v>Future Prospects</v>
      </c>
      <c r="AB4402" s="124" t="str">
        <f>IFERROR(__xludf.DUMMYFUNCTION("""COMPUTED_VALUE"""),"GS Foundation")</f>
        <v>GS Foundation</v>
      </c>
    </row>
    <row r="4403">
      <c r="K4403" s="124"/>
      <c r="L4403" s="124"/>
      <c r="M4403" s="124"/>
      <c r="N4403" s="124"/>
      <c r="O4403" s="124"/>
      <c r="T4403" s="129">
        <f>IFERROR(__xludf.DUMMYFUNCTION("""COMPUTED_VALUE"""),46056.0)</f>
        <v>46056</v>
      </c>
      <c r="U4403" s="124" t="str">
        <f>IFERROR(__xludf.DUMMYFUNCTION("""COMPUTED_VALUE"""),"Walk-Ins")</f>
        <v>Walk-Ins</v>
      </c>
      <c r="V4403" s="124" t="str">
        <f>IFERROR(__xludf.DUMMYFUNCTION("""COMPUTED_VALUE"""),"Walk-In")</f>
        <v>Walk-In</v>
      </c>
      <c r="W4403" s="124" t="str">
        <f>IFERROR(__xludf.DUMMYFUNCTION("""COMPUTED_VALUE"""),"Delhi")</f>
        <v>Delhi</v>
      </c>
      <c r="X4403" s="124" t="str">
        <f>IFERROR(__xludf.DUMMYFUNCTION("""COMPUTED_VALUE"""),"Netri")</f>
        <v>Netri</v>
      </c>
      <c r="Y4403" s="124" t="str">
        <f>IFERROR(__xludf.DUMMYFUNCTION("""COMPUTED_VALUE"""),"Delhi")</f>
        <v>Delhi</v>
      </c>
      <c r="Z4403" s="124">
        <f>IFERROR(__xludf.DUMMYFUNCTION("""COMPUTED_VALUE"""),1.0)</f>
        <v>1</v>
      </c>
      <c r="AA4403" s="124" t="str">
        <f>IFERROR(__xludf.DUMMYFUNCTION("""COMPUTED_VALUE"""),"Not Interested")</f>
        <v>Not Interested</v>
      </c>
      <c r="AB4403" s="124" t="str">
        <f>IFERROR(__xludf.DUMMYFUNCTION("""COMPUTED_VALUE"""),"GS Foundation")</f>
        <v>GS Foundation</v>
      </c>
    </row>
    <row r="4404">
      <c r="K4404" s="124"/>
      <c r="L4404" s="124"/>
      <c r="M4404" s="124"/>
      <c r="N4404" s="124"/>
      <c r="O4404" s="124"/>
      <c r="T4404" s="126">
        <f>IFERROR(__xludf.DUMMYFUNCTION("""COMPUTED_VALUE"""),46046.0)</f>
        <v>46046</v>
      </c>
      <c r="U4404" s="124" t="str">
        <f>IFERROR(__xludf.DUMMYFUNCTION("""COMPUTED_VALUE"""),"Paid Ads")</f>
        <v>Paid Ads</v>
      </c>
      <c r="V4404" s="124" t="str">
        <f>IFERROR(__xludf.DUMMYFUNCTION("""COMPUTED_VALUE"""),"Facebook")</f>
        <v>Facebook</v>
      </c>
      <c r="W4404" s="124" t="str">
        <f>IFERROR(__xludf.DUMMYFUNCTION("""COMPUTED_VALUE"""),"LeadAd")</f>
        <v>LeadAd</v>
      </c>
      <c r="X4404" s="124" t="str">
        <f>IFERROR(__xludf.DUMMYFUNCTION("""COMPUTED_VALUE"""),"Upsc_offline_26_delhi_FB_Creatives")</f>
        <v>Upsc_offline_26_delhi_FB_Creatives</v>
      </c>
      <c r="Y4404" s="124" t="str">
        <f>IFERROR(__xludf.DUMMYFUNCTION("""COMPUTED_VALUE"""),"Delhi")</f>
        <v>Delhi</v>
      </c>
      <c r="Z4404" s="124">
        <f>IFERROR(__xludf.DUMMYFUNCTION("""COMPUTED_VALUE"""),1.0)</f>
        <v>1</v>
      </c>
      <c r="AA4404" s="124" t="str">
        <f>IFERROR(__xludf.DUMMYFUNCTION("""COMPUTED_VALUE"""),"Future Prospects")</f>
        <v>Future Prospects</v>
      </c>
      <c r="AB4404" s="124" t="str">
        <f>IFERROR(__xludf.DUMMYFUNCTION("""COMPUTED_VALUE"""),"GS Foundation")</f>
        <v>GS Foundation</v>
      </c>
    </row>
    <row r="4405">
      <c r="K4405" s="124"/>
      <c r="L4405" s="124"/>
      <c r="M4405" s="124"/>
      <c r="N4405" s="124"/>
      <c r="O4405" s="124"/>
      <c r="T4405" s="129">
        <f>IFERROR(__xludf.DUMMYFUNCTION("""COMPUTED_VALUE"""),46087.0)</f>
        <v>46087</v>
      </c>
      <c r="U4405" s="124" t="str">
        <f>IFERROR(__xludf.DUMMYFUNCTION("""COMPUTED_VALUE"""),"Paid Ads")</f>
        <v>Paid Ads</v>
      </c>
      <c r="V4405" s="124" t="str">
        <f>IFERROR(__xludf.DUMMYFUNCTION("""COMPUTED_VALUE"""),"facebook")</f>
        <v>facebook</v>
      </c>
      <c r="W4405" s="124" t="str">
        <f>IFERROR(__xludf.DUMMYFUNCTION("""COMPUTED_VALUE"""),"lucknow")</f>
        <v>lucknow</v>
      </c>
      <c r="X4405" s="124" t="str">
        <f>IFERROR(__xludf.DUMMYFUNCTION("""COMPUTED_VALUE"""),"metaleads")</f>
        <v>metaleads</v>
      </c>
      <c r="Y4405" s="124" t="str">
        <f>IFERROR(__xludf.DUMMYFUNCTION("""COMPUTED_VALUE"""),"Lucknow")</f>
        <v>Lucknow</v>
      </c>
      <c r="Z4405" s="124">
        <f>IFERROR(__xludf.DUMMYFUNCTION("""COMPUTED_VALUE"""),1.0)</f>
        <v>1</v>
      </c>
      <c r="AA4405" s="124" t="str">
        <f>IFERROR(__xludf.DUMMYFUNCTION("""COMPUTED_VALUE"""),"Fake Lead")</f>
        <v>Fake Lead</v>
      </c>
      <c r="AB4405" s="124"/>
    </row>
    <row r="4406">
      <c r="K4406" s="124"/>
      <c r="L4406" s="124"/>
      <c r="M4406" s="124"/>
      <c r="N4406" s="124"/>
      <c r="O4406" s="124"/>
      <c r="T4406" s="126">
        <f>IFERROR(__xludf.DUMMYFUNCTION("""COMPUTED_VALUE"""),46078.0)</f>
        <v>46078</v>
      </c>
      <c r="U4406" s="124" t="str">
        <f>IFERROR(__xludf.DUMMYFUNCTION("""COMPUTED_VALUE"""),"Other Marketing Channels")</f>
        <v>Other Marketing Channels</v>
      </c>
      <c r="V4406" s="124" t="str">
        <f>IFERROR(__xludf.DUMMYFUNCTION("""COMPUTED_VALUE"""),"Referrals")</f>
        <v>Referrals</v>
      </c>
      <c r="W4406" s="124" t="str">
        <f>IFERROR(__xludf.DUMMYFUNCTION("""COMPUTED_VALUE"""),"New Delhi")</f>
        <v>New Delhi</v>
      </c>
      <c r="X4406" s="124" t="str">
        <f>IFERROR(__xludf.DUMMYFUNCTION("""COMPUTED_VALUE"""),"New Delhi")</f>
        <v>New Delhi</v>
      </c>
      <c r="Y4406" s="124" t="str">
        <f>IFERROR(__xludf.DUMMYFUNCTION("""COMPUTED_VALUE"""),"Delhi")</f>
        <v>Delhi</v>
      </c>
      <c r="Z4406" s="124">
        <f>IFERROR(__xludf.DUMMYFUNCTION("""COMPUTED_VALUE"""),1.0)</f>
        <v>1</v>
      </c>
      <c r="AA4406" s="124" t="str">
        <f>IFERROR(__xludf.DUMMYFUNCTION("""COMPUTED_VALUE"""),"Cold")</f>
        <v>Cold</v>
      </c>
      <c r="AB4406" s="124" t="str">
        <f>IFERROR(__xludf.DUMMYFUNCTION("""COMPUTED_VALUE"""),"GS Foundation")</f>
        <v>GS Foundation</v>
      </c>
    </row>
    <row r="4407">
      <c r="K4407" s="124"/>
      <c r="L4407" s="124"/>
      <c r="M4407" s="124"/>
      <c r="N4407" s="124"/>
      <c r="O4407" s="124"/>
      <c r="T4407" s="126">
        <f>IFERROR(__xludf.DUMMYFUNCTION("""COMPUTED_VALUE"""),46101.0)</f>
        <v>46101</v>
      </c>
      <c r="U4407" s="124" t="str">
        <f>IFERROR(__xludf.DUMMYFUNCTION("""COMPUTED_VALUE"""),"Walk-Ins")</f>
        <v>Walk-Ins</v>
      </c>
      <c r="V4407" s="124" t="str">
        <f>IFERROR(__xludf.DUMMYFUNCTION("""COMPUTED_VALUE"""),"Walk-In")</f>
        <v>Walk-In</v>
      </c>
      <c r="W4407" s="124" t="str">
        <f>IFERROR(__xludf.DUMMYFUNCTION("""COMPUTED_VALUE"""),"Delhi")</f>
        <v>Delhi</v>
      </c>
      <c r="X4407" s="124" t="str">
        <f>IFERROR(__xludf.DUMMYFUNCTION("""COMPUTED_VALUE"""),"Bijender")</f>
        <v>Bijender</v>
      </c>
      <c r="Y4407" s="124" t="str">
        <f>IFERROR(__xludf.DUMMYFUNCTION("""COMPUTED_VALUE"""),"Delhi")</f>
        <v>Delhi</v>
      </c>
      <c r="Z4407" s="124">
        <f>IFERROR(__xludf.DUMMYFUNCTION("""COMPUTED_VALUE"""),1.0)</f>
        <v>1</v>
      </c>
      <c r="AA4407" s="124" t="str">
        <f>IFERROR(__xludf.DUMMYFUNCTION("""COMPUTED_VALUE"""),"Cold")</f>
        <v>Cold</v>
      </c>
      <c r="AB4407" s="124" t="str">
        <f>IFERROR(__xludf.DUMMYFUNCTION("""COMPUTED_VALUE"""),"GS Foundation")</f>
        <v>GS Foundation</v>
      </c>
    </row>
    <row r="4408">
      <c r="K4408" s="124"/>
      <c r="L4408" s="124"/>
      <c r="M4408" s="124"/>
      <c r="N4408" s="124"/>
      <c r="O4408" s="124"/>
      <c r="T4408" s="126">
        <f>IFERROR(__xludf.DUMMYFUNCTION("""COMPUTED_VALUE"""),46048.0)</f>
        <v>46048</v>
      </c>
      <c r="U4408" s="124" t="str">
        <f>IFERROR(__xludf.DUMMYFUNCTION("""COMPUTED_VALUE"""),"Paid Ads")</f>
        <v>Paid Ads</v>
      </c>
      <c r="V4408" s="124" t="str">
        <f>IFERROR(__xludf.DUMMYFUNCTION("""COMPUTED_VALUE"""),"google")</f>
        <v>google</v>
      </c>
      <c r="W4408" s="124" t="str">
        <f>IFERROR(__xludf.DUMMYFUNCTION("""COMPUTED_VALUE"""),"cpc")</f>
        <v>cpc</v>
      </c>
      <c r="X4408" s="124">
        <f>IFERROR(__xludf.DUMMYFUNCTION("""COMPUTED_VALUE"""),2.2758016291E10)</f>
        <v>22758016291</v>
      </c>
      <c r="Y4408" s="124" t="str">
        <f>IFERROR(__xludf.DUMMYFUNCTION("""COMPUTED_VALUE"""),"Patna")</f>
        <v>Patna</v>
      </c>
      <c r="Z4408" s="124">
        <f>IFERROR(__xludf.DUMMYFUNCTION("""COMPUTED_VALUE"""),1.0)</f>
        <v>1</v>
      </c>
      <c r="AA4408" s="124" t="str">
        <f>IFERROR(__xludf.DUMMYFUNCTION("""COMPUTED_VALUE"""),"Cold")</f>
        <v>Cold</v>
      </c>
      <c r="AB4408" s="124" t="str">
        <f>IFERROR(__xludf.DUMMYFUNCTION("""COMPUTED_VALUE"""),"SIM")</f>
        <v>SIM</v>
      </c>
    </row>
    <row r="4409">
      <c r="K4409" s="124"/>
      <c r="L4409" s="124"/>
      <c r="M4409" s="124"/>
      <c r="N4409" s="124"/>
      <c r="O4409" s="124"/>
      <c r="T4409" s="126">
        <f>IFERROR(__xludf.DUMMYFUNCTION("""COMPUTED_VALUE"""),46101.0)</f>
        <v>46101</v>
      </c>
      <c r="U4409" s="124" t="str">
        <f>IFERROR(__xludf.DUMMYFUNCTION("""COMPUTED_VALUE"""),"Event")</f>
        <v>Event</v>
      </c>
      <c r="V4409" s="124" t="str">
        <f>IFERROR(__xludf.DUMMYFUNCTION("""COMPUTED_VALUE"""),"events")</f>
        <v>events</v>
      </c>
      <c r="W4409" s="124" t="str">
        <f>IFERROR(__xludf.DUMMYFUNCTION("""COMPUTED_VALUE"""),"prayagraj")</f>
        <v>prayagraj</v>
      </c>
      <c r="X4409" s="124" t="str">
        <f>IFERROR(__xludf.DUMMYFUNCTION("""COMPUTED_VALUE"""),"seminar")</f>
        <v>seminar</v>
      </c>
      <c r="Y4409" s="124" t="str">
        <f>IFERROR(__xludf.DUMMYFUNCTION("""COMPUTED_VALUE"""),"Prayagraj")</f>
        <v>Prayagraj</v>
      </c>
      <c r="Z4409" s="124">
        <f>IFERROR(__xludf.DUMMYFUNCTION("""COMPUTED_VALUE"""),1.0)</f>
        <v>1</v>
      </c>
      <c r="AA4409" s="124" t="str">
        <f>IFERROR(__xludf.DUMMYFUNCTION("""COMPUTED_VALUE"""),"Cold")</f>
        <v>Cold</v>
      </c>
      <c r="AB4409" s="124" t="str">
        <f>IFERROR(__xludf.DUMMYFUNCTION("""COMPUTED_VALUE"""),"GS Foundation")</f>
        <v>GS Foundation</v>
      </c>
    </row>
    <row r="4410">
      <c r="K4410" s="124"/>
      <c r="L4410" s="124"/>
      <c r="M4410" s="124"/>
      <c r="N4410" s="124"/>
      <c r="O4410" s="124"/>
      <c r="T4410" s="126">
        <f>IFERROR(__xludf.DUMMYFUNCTION("""COMPUTED_VALUE"""),46101.0)</f>
        <v>46101</v>
      </c>
      <c r="U4410" s="124" t="str">
        <f>IFERROR(__xludf.DUMMYFUNCTION("""COMPUTED_VALUE"""),"Event")</f>
        <v>Event</v>
      </c>
      <c r="V4410" s="124" t="str">
        <f>IFERROR(__xludf.DUMMYFUNCTION("""COMPUTED_VALUE"""),"events")</f>
        <v>events</v>
      </c>
      <c r="W4410" s="124" t="str">
        <f>IFERROR(__xludf.DUMMYFUNCTION("""COMPUTED_VALUE"""),"prayagraj")</f>
        <v>prayagraj</v>
      </c>
      <c r="X4410" s="124" t="str">
        <f>IFERROR(__xludf.DUMMYFUNCTION("""COMPUTED_VALUE"""),"seminar")</f>
        <v>seminar</v>
      </c>
      <c r="Y4410" s="124" t="str">
        <f>IFERROR(__xludf.DUMMYFUNCTION("""COMPUTED_VALUE"""),"Prayagraj")</f>
        <v>Prayagraj</v>
      </c>
      <c r="Z4410" s="124">
        <f>IFERROR(__xludf.DUMMYFUNCTION("""COMPUTED_VALUE"""),1.0)</f>
        <v>1</v>
      </c>
      <c r="AA4410" s="124" t="str">
        <f>IFERROR(__xludf.DUMMYFUNCTION("""COMPUTED_VALUE"""),"Fake Lead")</f>
        <v>Fake Lead</v>
      </c>
      <c r="AB4410" s="124"/>
    </row>
    <row r="4411">
      <c r="K4411" s="124"/>
      <c r="L4411" s="124"/>
      <c r="M4411" s="124"/>
      <c r="N4411" s="124"/>
      <c r="O4411" s="124"/>
      <c r="T4411" s="126">
        <f>IFERROR(__xludf.DUMMYFUNCTION("""COMPUTED_VALUE"""),46105.0)</f>
        <v>46105</v>
      </c>
      <c r="U4411" s="124" t="str">
        <f>IFERROR(__xludf.DUMMYFUNCTION("""COMPUTED_VALUE"""),"Paid Ads")</f>
        <v>Paid Ads</v>
      </c>
      <c r="V4411" s="124" t="str">
        <f>IFERROR(__xludf.DUMMYFUNCTION("""COMPUTED_VALUE"""),"Facebook")</f>
        <v>Facebook</v>
      </c>
      <c r="W4411" s="124" t="str">
        <f>IFERROR(__xludf.DUMMYFUNCTION("""COMPUTED_VALUE"""),"LeadAd")</f>
        <v>LeadAd</v>
      </c>
      <c r="X4411" s="124" t="str">
        <f>IFERROR(__xludf.DUMMYFUNCTION("""COMPUTED_VALUE"""),"Upsc_offline_Patna_Lead_Fb_Mar")</f>
        <v>Upsc_offline_Patna_Lead_Fb_Mar</v>
      </c>
      <c r="Y4411" s="124" t="str">
        <f>IFERROR(__xludf.DUMMYFUNCTION("""COMPUTED_VALUE"""),"Patna")</f>
        <v>Patna</v>
      </c>
      <c r="Z4411" s="124">
        <f>IFERROR(__xludf.DUMMYFUNCTION("""COMPUTED_VALUE"""),1.0)</f>
        <v>1</v>
      </c>
      <c r="AA4411" s="124" t="str">
        <f>IFERROR(__xludf.DUMMYFUNCTION("""COMPUTED_VALUE"""),"Fake Lead")</f>
        <v>Fake Lead</v>
      </c>
      <c r="AB4411" s="124"/>
    </row>
    <row r="4412">
      <c r="K4412" s="124"/>
      <c r="L4412" s="124"/>
      <c r="M4412" s="124"/>
      <c r="N4412" s="124"/>
      <c r="O4412" s="124"/>
      <c r="T4412" s="126">
        <f>IFERROR(__xludf.DUMMYFUNCTION("""COMPUTED_VALUE"""),46047.0)</f>
        <v>46047</v>
      </c>
      <c r="U4412" s="124" t="str">
        <f>IFERROR(__xludf.DUMMYFUNCTION("""COMPUTED_VALUE"""),"Walk-Ins")</f>
        <v>Walk-Ins</v>
      </c>
      <c r="V4412" s="124" t="str">
        <f>IFERROR(__xludf.DUMMYFUNCTION("""COMPUTED_VALUE"""),"Walkin")</f>
        <v>Walkin</v>
      </c>
      <c r="W4412" s="124" t="str">
        <f>IFERROR(__xludf.DUMMYFUNCTION("""COMPUTED_VALUE"""),"Prayagraj")</f>
        <v>Prayagraj</v>
      </c>
      <c r="X4412" s="124" t="str">
        <f>IFERROR(__xludf.DUMMYFUNCTION("""COMPUTED_VALUE"""),"Walkin")</f>
        <v>Walkin</v>
      </c>
      <c r="Y4412" s="124" t="str">
        <f>IFERROR(__xludf.DUMMYFUNCTION("""COMPUTED_VALUE"""),"Prayagraj")</f>
        <v>Prayagraj</v>
      </c>
      <c r="Z4412" s="124">
        <f>IFERROR(__xludf.DUMMYFUNCTION("""COMPUTED_VALUE"""),1.0)</f>
        <v>1</v>
      </c>
      <c r="AA4412" s="124" t="str">
        <f>IFERROR(__xludf.DUMMYFUNCTION("""COMPUTED_VALUE"""),"Enrolled")</f>
        <v>Enrolled</v>
      </c>
      <c r="AB4412" s="124" t="str">
        <f>IFERROR(__xludf.DUMMYFUNCTION("""COMPUTED_VALUE"""),"Mentorship")</f>
        <v>Mentorship</v>
      </c>
    </row>
    <row r="4413">
      <c r="K4413" s="124"/>
      <c r="L4413" s="124"/>
      <c r="M4413" s="124"/>
      <c r="N4413" s="124"/>
      <c r="O4413" s="124"/>
      <c r="T4413" s="126">
        <f>IFERROR(__xludf.DUMMYFUNCTION("""COMPUTED_VALUE"""),46079.0)</f>
        <v>46079</v>
      </c>
      <c r="U4413" s="124" t="str">
        <f>IFERROR(__xludf.DUMMYFUNCTION("""COMPUTED_VALUE"""),"Walk-Ins")</f>
        <v>Walk-Ins</v>
      </c>
      <c r="V4413" s="124" t="str">
        <f>IFERROR(__xludf.DUMMYFUNCTION("""COMPUTED_VALUE"""),"Walkin")</f>
        <v>Walkin</v>
      </c>
      <c r="W4413" s="124" t="str">
        <f>IFERROR(__xludf.DUMMYFUNCTION("""COMPUTED_VALUE"""),"Indore")</f>
        <v>Indore</v>
      </c>
      <c r="X4413" s="124" t="str">
        <f>IFERROR(__xludf.DUMMYFUNCTION("""COMPUTED_VALUE"""),"Walkin")</f>
        <v>Walkin</v>
      </c>
      <c r="Y4413" s="124" t="str">
        <f>IFERROR(__xludf.DUMMYFUNCTION("""COMPUTED_VALUE"""),"Indore")</f>
        <v>Indore</v>
      </c>
      <c r="Z4413" s="124">
        <f>IFERROR(__xludf.DUMMYFUNCTION("""COMPUTED_VALUE"""),1.0)</f>
        <v>1</v>
      </c>
      <c r="AA4413" s="124" t="str">
        <f>IFERROR(__xludf.DUMMYFUNCTION("""COMPUTED_VALUE"""),"Enrolled")</f>
        <v>Enrolled</v>
      </c>
      <c r="AB4413" s="124" t="str">
        <f>IFERROR(__xludf.DUMMYFUNCTION("""COMPUTED_VALUE"""),"GS Foundation")</f>
        <v>GS Foundation</v>
      </c>
    </row>
    <row r="4414">
      <c r="K4414" s="124"/>
      <c r="L4414" s="124"/>
      <c r="M4414" s="124"/>
      <c r="N4414" s="124"/>
      <c r="O4414" s="124"/>
      <c r="T4414" s="129">
        <f>IFERROR(__xludf.DUMMYFUNCTION("""COMPUTED_VALUE"""),46089.0)</f>
        <v>46089</v>
      </c>
      <c r="U4414" s="124" t="str">
        <f>IFERROR(__xludf.DUMMYFUNCTION("""COMPUTED_VALUE"""),"Walk-Ins")</f>
        <v>Walk-Ins</v>
      </c>
      <c r="V4414" s="124" t="str">
        <f>IFERROR(__xludf.DUMMYFUNCTION("""COMPUTED_VALUE"""),"Walkin")</f>
        <v>Walkin</v>
      </c>
      <c r="W4414" s="124" t="str">
        <f>IFERROR(__xludf.DUMMYFUNCTION("""COMPUTED_VALUE"""),"Patna")</f>
        <v>Patna</v>
      </c>
      <c r="X4414" s="124" t="str">
        <f>IFERROR(__xludf.DUMMYFUNCTION("""COMPUTED_VALUE"""),"Walkin")</f>
        <v>Walkin</v>
      </c>
      <c r="Y4414" s="124" t="str">
        <f>IFERROR(__xludf.DUMMYFUNCTION("""COMPUTED_VALUE"""),"Patna")</f>
        <v>Patna</v>
      </c>
      <c r="Z4414" s="124">
        <f>IFERROR(__xludf.DUMMYFUNCTION("""COMPUTED_VALUE"""),1.0)</f>
        <v>1</v>
      </c>
      <c r="AA4414" s="124" t="str">
        <f>IFERROR(__xludf.DUMMYFUNCTION("""COMPUTED_VALUE"""),"Warm")</f>
        <v>Warm</v>
      </c>
      <c r="AB4414" s="124" t="str">
        <f>IFERROR(__xludf.DUMMYFUNCTION("""COMPUTED_VALUE"""),"State PCS")</f>
        <v>State PCS</v>
      </c>
    </row>
    <row r="4415">
      <c r="K4415" s="124"/>
      <c r="L4415" s="124"/>
      <c r="M4415" s="124"/>
      <c r="N4415" s="124"/>
      <c r="O4415" s="124"/>
      <c r="T4415" s="129">
        <f>IFERROR(__xludf.DUMMYFUNCTION("""COMPUTED_VALUE"""),46062.0)</f>
        <v>46062</v>
      </c>
      <c r="U4415" s="124" t="str">
        <f>IFERROR(__xludf.DUMMYFUNCTION("""COMPUTED_VALUE"""),"Walk-Ins")</f>
        <v>Walk-Ins</v>
      </c>
      <c r="V4415" s="124" t="str">
        <f>IFERROR(__xludf.DUMMYFUNCTION("""COMPUTED_VALUE"""),"Walkin")</f>
        <v>Walkin</v>
      </c>
      <c r="W4415" s="124" t="str">
        <f>IFERROR(__xludf.DUMMYFUNCTION("""COMPUTED_VALUE"""),"Indore")</f>
        <v>Indore</v>
      </c>
      <c r="X4415" s="124" t="str">
        <f>IFERROR(__xludf.DUMMYFUNCTION("""COMPUTED_VALUE"""),"Walkin")</f>
        <v>Walkin</v>
      </c>
      <c r="Y4415" s="124" t="str">
        <f>IFERROR(__xludf.DUMMYFUNCTION("""COMPUTED_VALUE"""),"Indore")</f>
        <v>Indore</v>
      </c>
      <c r="Z4415" s="124">
        <f>IFERROR(__xludf.DUMMYFUNCTION("""COMPUTED_VALUE"""),1.0)</f>
        <v>1</v>
      </c>
      <c r="AA4415" s="124" t="str">
        <f>IFERROR(__xludf.DUMMYFUNCTION("""COMPUTED_VALUE"""),"Fake Lead")</f>
        <v>Fake Lead</v>
      </c>
      <c r="AB4415" s="124" t="str">
        <f>IFERROR(__xludf.DUMMYFUNCTION("""COMPUTED_VALUE"""),"State PCS")</f>
        <v>State PCS</v>
      </c>
    </row>
    <row r="4416">
      <c r="K4416" s="124"/>
      <c r="L4416" s="124"/>
      <c r="M4416" s="124"/>
      <c r="N4416" s="124"/>
      <c r="O4416" s="124"/>
      <c r="T4416" s="126">
        <f>IFERROR(__xludf.DUMMYFUNCTION("""COMPUTED_VALUE"""),46067.0)</f>
        <v>46067</v>
      </c>
      <c r="U4416" s="124" t="str">
        <f>IFERROR(__xludf.DUMMYFUNCTION("""COMPUTED_VALUE"""),"Walk-Ins")</f>
        <v>Walk-Ins</v>
      </c>
      <c r="V4416" s="124" t="str">
        <f>IFERROR(__xludf.DUMMYFUNCTION("""COMPUTED_VALUE"""),"Walkin")</f>
        <v>Walkin</v>
      </c>
      <c r="W4416" s="124" t="str">
        <f>IFERROR(__xludf.DUMMYFUNCTION("""COMPUTED_VALUE"""),"Patna")</f>
        <v>Patna</v>
      </c>
      <c r="X4416" s="124" t="str">
        <f>IFERROR(__xludf.DUMMYFUNCTION("""COMPUTED_VALUE"""),"Walkin")</f>
        <v>Walkin</v>
      </c>
      <c r="Y4416" s="124" t="str">
        <f>IFERROR(__xludf.DUMMYFUNCTION("""COMPUTED_VALUE"""),"Patna")</f>
        <v>Patna</v>
      </c>
      <c r="Z4416" s="124">
        <f>IFERROR(__xludf.DUMMYFUNCTION("""COMPUTED_VALUE"""),1.0)</f>
        <v>1</v>
      </c>
      <c r="AA4416" s="124" t="str">
        <f>IFERROR(__xludf.DUMMYFUNCTION("""COMPUTED_VALUE"""),"Not Interested")</f>
        <v>Not Interested</v>
      </c>
      <c r="AB4416" s="124" t="str">
        <f>IFERROR(__xludf.DUMMYFUNCTION("""COMPUTED_VALUE"""),"GS Foundation")</f>
        <v>GS Foundation</v>
      </c>
    </row>
    <row r="4417">
      <c r="K4417" s="124"/>
      <c r="L4417" s="124"/>
      <c r="M4417" s="124"/>
      <c r="N4417" s="124"/>
      <c r="O4417" s="124"/>
      <c r="T4417" s="126">
        <f>IFERROR(__xludf.DUMMYFUNCTION("""COMPUTED_VALUE"""),46103.0)</f>
        <v>46103</v>
      </c>
      <c r="U4417" s="124" t="str">
        <f>IFERROR(__xludf.DUMMYFUNCTION("""COMPUTED_VALUE"""),"Walk-Ins")</f>
        <v>Walk-Ins</v>
      </c>
      <c r="V4417" s="124" t="str">
        <f>IFERROR(__xludf.DUMMYFUNCTION("""COMPUTED_VALUE"""),"Walkin")</f>
        <v>Walkin</v>
      </c>
      <c r="W4417" s="124" t="str">
        <f>IFERROR(__xludf.DUMMYFUNCTION("""COMPUTED_VALUE"""),"Patna")</f>
        <v>Patna</v>
      </c>
      <c r="X4417" s="124" t="str">
        <f>IFERROR(__xludf.DUMMYFUNCTION("""COMPUTED_VALUE"""),"Walkin")</f>
        <v>Walkin</v>
      </c>
      <c r="Y4417" s="124" t="str">
        <f>IFERROR(__xludf.DUMMYFUNCTION("""COMPUTED_VALUE"""),"Patna")</f>
        <v>Patna</v>
      </c>
      <c r="Z4417" s="124">
        <f>IFERROR(__xludf.DUMMYFUNCTION("""COMPUTED_VALUE"""),1.0)</f>
        <v>1</v>
      </c>
      <c r="AA4417" s="124" t="str">
        <f>IFERROR(__xludf.DUMMYFUNCTION("""COMPUTED_VALUE"""),"Cold")</f>
        <v>Cold</v>
      </c>
      <c r="AB4417" s="124" t="str">
        <f>IFERROR(__xludf.DUMMYFUNCTION("""COMPUTED_VALUE"""),"Mentorship")</f>
        <v>Mentorship</v>
      </c>
    </row>
    <row r="4418">
      <c r="K4418" s="124"/>
      <c r="L4418" s="124"/>
      <c r="M4418" s="124"/>
      <c r="N4418" s="124"/>
      <c r="O4418" s="124"/>
      <c r="T4418" s="126">
        <f>IFERROR(__xludf.DUMMYFUNCTION("""COMPUTED_VALUE"""),46093.0)</f>
        <v>46093</v>
      </c>
      <c r="U4418" s="124" t="str">
        <f>IFERROR(__xludf.DUMMYFUNCTION("""COMPUTED_VALUE"""),"Walk-Ins")</f>
        <v>Walk-Ins</v>
      </c>
      <c r="V4418" s="124" t="str">
        <f>IFERROR(__xludf.DUMMYFUNCTION("""COMPUTED_VALUE"""),"Walkin")</f>
        <v>Walkin</v>
      </c>
      <c r="W4418" s="124" t="str">
        <f>IFERROR(__xludf.DUMMYFUNCTION("""COMPUTED_VALUE"""),"Prayagraj")</f>
        <v>Prayagraj</v>
      </c>
      <c r="X4418" s="124" t="str">
        <f>IFERROR(__xludf.DUMMYFUNCTION("""COMPUTED_VALUE"""),"Walkin")</f>
        <v>Walkin</v>
      </c>
      <c r="Y4418" s="124" t="str">
        <f>IFERROR(__xludf.DUMMYFUNCTION("""COMPUTED_VALUE"""),"Prayagraj")</f>
        <v>Prayagraj</v>
      </c>
      <c r="Z4418" s="124">
        <f>IFERROR(__xludf.DUMMYFUNCTION("""COMPUTED_VALUE"""),1.0)</f>
        <v>1</v>
      </c>
      <c r="AA4418" s="124" t="str">
        <f>IFERROR(__xludf.DUMMYFUNCTION("""COMPUTED_VALUE"""),"Fake Lead")</f>
        <v>Fake Lead</v>
      </c>
      <c r="AB4418" s="124" t="str">
        <f>IFERROR(__xludf.DUMMYFUNCTION("""COMPUTED_VALUE"""),"GS Foundation")</f>
        <v>GS Foundation</v>
      </c>
    </row>
    <row r="4419">
      <c r="K4419" s="124"/>
      <c r="L4419" s="124"/>
      <c r="M4419" s="124"/>
      <c r="N4419" s="124"/>
      <c r="O4419" s="124"/>
      <c r="T4419" s="126">
        <f>IFERROR(__xludf.DUMMYFUNCTION("""COMPUTED_VALUE"""),46092.0)</f>
        <v>46092</v>
      </c>
      <c r="U4419" s="124" t="str">
        <f>IFERROR(__xludf.DUMMYFUNCTION("""COMPUTED_VALUE"""),"Walk-Ins")</f>
        <v>Walk-Ins</v>
      </c>
      <c r="V4419" s="124" t="str">
        <f>IFERROR(__xludf.DUMMYFUNCTION("""COMPUTED_VALUE"""),"Walkin")</f>
        <v>Walkin</v>
      </c>
      <c r="W4419" s="124" t="str">
        <f>IFERROR(__xludf.DUMMYFUNCTION("""COMPUTED_VALUE"""),"Patna")</f>
        <v>Patna</v>
      </c>
      <c r="X4419" s="124" t="str">
        <f>IFERROR(__xludf.DUMMYFUNCTION("""COMPUTED_VALUE"""),"Walkin")</f>
        <v>Walkin</v>
      </c>
      <c r="Y4419" s="124" t="str">
        <f>IFERROR(__xludf.DUMMYFUNCTION("""COMPUTED_VALUE"""),"Patna")</f>
        <v>Patna</v>
      </c>
      <c r="Z4419" s="124">
        <f>IFERROR(__xludf.DUMMYFUNCTION("""COMPUTED_VALUE"""),1.0)</f>
        <v>1</v>
      </c>
      <c r="AA4419" s="124" t="str">
        <f>IFERROR(__xludf.DUMMYFUNCTION("""COMPUTED_VALUE"""),"Enrolled")</f>
        <v>Enrolled</v>
      </c>
      <c r="AB4419" s="124" t="str">
        <f>IFERROR(__xludf.DUMMYFUNCTION("""COMPUTED_VALUE"""),"State PCS")</f>
        <v>State PCS</v>
      </c>
    </row>
    <row r="4420">
      <c r="K4420" s="124"/>
      <c r="L4420" s="124"/>
      <c r="M4420" s="124"/>
      <c r="N4420" s="124"/>
      <c r="O4420" s="124"/>
      <c r="T4420" s="126">
        <f>IFERROR(__xludf.DUMMYFUNCTION("""COMPUTED_VALUE"""),46045.0)</f>
        <v>46045</v>
      </c>
      <c r="U4420" s="124" t="str">
        <f>IFERROR(__xludf.DUMMYFUNCTION("""COMPUTED_VALUE"""),"Walk-Ins")</f>
        <v>Walk-Ins</v>
      </c>
      <c r="V4420" s="124" t="str">
        <f>IFERROR(__xludf.DUMMYFUNCTION("""COMPUTED_VALUE"""),"Walkin")</f>
        <v>Walkin</v>
      </c>
      <c r="W4420" s="124" t="str">
        <f>IFERROR(__xludf.DUMMYFUNCTION("""COMPUTED_VALUE"""),"Lucknow")</f>
        <v>Lucknow</v>
      </c>
      <c r="X4420" s="124" t="str">
        <f>IFERROR(__xludf.DUMMYFUNCTION("""COMPUTED_VALUE"""),"Walkin")</f>
        <v>Walkin</v>
      </c>
      <c r="Y4420" s="124" t="str">
        <f>IFERROR(__xludf.DUMMYFUNCTION("""COMPUTED_VALUE"""),"Lucknow")</f>
        <v>Lucknow</v>
      </c>
      <c r="Z4420" s="124">
        <f>IFERROR(__xludf.DUMMYFUNCTION("""COMPUTED_VALUE"""),1.0)</f>
        <v>1</v>
      </c>
      <c r="AA4420" s="124" t="str">
        <f>IFERROR(__xludf.DUMMYFUNCTION("""COMPUTED_VALUE"""),"Enrolled")</f>
        <v>Enrolled</v>
      </c>
      <c r="AB4420" s="124" t="str">
        <f>IFERROR(__xludf.DUMMYFUNCTION("""COMPUTED_VALUE"""),"State PCS")</f>
        <v>State PCS</v>
      </c>
    </row>
    <row r="4421">
      <c r="K4421" s="124"/>
      <c r="L4421" s="124"/>
      <c r="M4421" s="124"/>
      <c r="N4421" s="124"/>
      <c r="O4421" s="124"/>
      <c r="T4421" s="126">
        <f>IFERROR(__xludf.DUMMYFUNCTION("""COMPUTED_VALUE"""),46106.0)</f>
        <v>46106</v>
      </c>
      <c r="U4421" s="124" t="str">
        <f>IFERROR(__xludf.DUMMYFUNCTION("""COMPUTED_VALUE"""),"Walk-Ins")</f>
        <v>Walk-Ins</v>
      </c>
      <c r="V4421" s="124" t="str">
        <f>IFERROR(__xludf.DUMMYFUNCTION("""COMPUTED_VALUE"""),"Walkin")</f>
        <v>Walkin</v>
      </c>
      <c r="W4421" s="124" t="str">
        <f>IFERROR(__xludf.DUMMYFUNCTION("""COMPUTED_VALUE"""),"Lucknow")</f>
        <v>Lucknow</v>
      </c>
      <c r="X4421" s="124" t="str">
        <f>IFERROR(__xludf.DUMMYFUNCTION("""COMPUTED_VALUE"""),"Walkin")</f>
        <v>Walkin</v>
      </c>
      <c r="Y4421" s="124" t="str">
        <f>IFERROR(__xludf.DUMMYFUNCTION("""COMPUTED_VALUE"""),"Lucknow")</f>
        <v>Lucknow</v>
      </c>
      <c r="Z4421" s="124">
        <f>IFERROR(__xludf.DUMMYFUNCTION("""COMPUTED_VALUE"""),1.0)</f>
        <v>1</v>
      </c>
      <c r="AA4421" s="124" t="str">
        <f>IFERROR(__xludf.DUMMYFUNCTION("""COMPUTED_VALUE"""),"Future Prospects")</f>
        <v>Future Prospects</v>
      </c>
      <c r="AB4421" s="124" t="str">
        <f>IFERROR(__xludf.DUMMYFUNCTION("""COMPUTED_VALUE"""),"State PCS")</f>
        <v>State PCS</v>
      </c>
    </row>
    <row r="4422">
      <c r="K4422" s="124"/>
      <c r="L4422" s="124"/>
      <c r="M4422" s="124"/>
      <c r="N4422" s="124"/>
      <c r="O4422" s="124"/>
      <c r="T4422" s="126">
        <f>IFERROR(__xludf.DUMMYFUNCTION("""COMPUTED_VALUE"""),46046.0)</f>
        <v>46046</v>
      </c>
      <c r="U4422" s="124" t="str">
        <f>IFERROR(__xludf.DUMMYFUNCTION("""COMPUTED_VALUE"""),"Walk-Ins")</f>
        <v>Walk-Ins</v>
      </c>
      <c r="V4422" s="124" t="str">
        <f>IFERROR(__xludf.DUMMYFUNCTION("""COMPUTED_VALUE"""),"Walkin")</f>
        <v>Walkin</v>
      </c>
      <c r="W4422" s="124" t="str">
        <f>IFERROR(__xludf.DUMMYFUNCTION("""COMPUTED_VALUE"""),"Patna")</f>
        <v>Patna</v>
      </c>
      <c r="X4422" s="124" t="str">
        <f>IFERROR(__xludf.DUMMYFUNCTION("""COMPUTED_VALUE"""),"Walkin")</f>
        <v>Walkin</v>
      </c>
      <c r="Y4422" s="124" t="str">
        <f>IFERROR(__xludf.DUMMYFUNCTION("""COMPUTED_VALUE"""),"Patna")</f>
        <v>Patna</v>
      </c>
      <c r="Z4422" s="124">
        <f>IFERROR(__xludf.DUMMYFUNCTION("""COMPUTED_VALUE"""),1.0)</f>
        <v>1</v>
      </c>
      <c r="AA4422" s="124" t="str">
        <f>IFERROR(__xludf.DUMMYFUNCTION("""COMPUTED_VALUE"""),"Future Prospects")</f>
        <v>Future Prospects</v>
      </c>
      <c r="AB4422" s="124" t="str">
        <f>IFERROR(__xludf.DUMMYFUNCTION("""COMPUTED_VALUE"""),"GS Foundation")</f>
        <v>GS Foundation</v>
      </c>
    </row>
    <row r="4423">
      <c r="K4423" s="124"/>
      <c r="L4423" s="124"/>
      <c r="M4423" s="124"/>
      <c r="N4423" s="124"/>
      <c r="O4423" s="124"/>
      <c r="T4423" s="126">
        <f>IFERROR(__xludf.DUMMYFUNCTION("""COMPUTED_VALUE"""),46043.0)</f>
        <v>46043</v>
      </c>
      <c r="U4423" s="124" t="str">
        <f>IFERROR(__xludf.DUMMYFUNCTION("""COMPUTED_VALUE"""),"Walk-Ins")</f>
        <v>Walk-Ins</v>
      </c>
      <c r="V4423" s="124" t="str">
        <f>IFERROR(__xludf.DUMMYFUNCTION("""COMPUTED_VALUE"""),"Walkin")</f>
        <v>Walkin</v>
      </c>
      <c r="W4423" s="124" t="str">
        <f>IFERROR(__xludf.DUMMYFUNCTION("""COMPUTED_VALUE"""),"Patna")</f>
        <v>Patna</v>
      </c>
      <c r="X4423" s="124" t="str">
        <f>IFERROR(__xludf.DUMMYFUNCTION("""COMPUTED_VALUE"""),"Walkin")</f>
        <v>Walkin</v>
      </c>
      <c r="Y4423" s="124" t="str">
        <f>IFERROR(__xludf.DUMMYFUNCTION("""COMPUTED_VALUE"""),"Patna")</f>
        <v>Patna</v>
      </c>
      <c r="Z4423" s="124">
        <f>IFERROR(__xludf.DUMMYFUNCTION("""COMPUTED_VALUE"""),1.0)</f>
        <v>1</v>
      </c>
      <c r="AA4423" s="124" t="str">
        <f>IFERROR(__xludf.DUMMYFUNCTION("""COMPUTED_VALUE"""),"Future Prospects")</f>
        <v>Future Prospects</v>
      </c>
      <c r="AB4423" s="124" t="str">
        <f>IFERROR(__xludf.DUMMYFUNCTION("""COMPUTED_VALUE"""),"GS Foundation")</f>
        <v>GS Foundation</v>
      </c>
    </row>
    <row r="4424">
      <c r="K4424" s="124"/>
      <c r="L4424" s="124"/>
      <c r="M4424" s="124"/>
      <c r="N4424" s="124"/>
      <c r="O4424" s="124"/>
      <c r="T4424" s="126">
        <f>IFERROR(__xludf.DUMMYFUNCTION("""COMPUTED_VALUE"""),46105.0)</f>
        <v>46105</v>
      </c>
      <c r="U4424" s="124" t="str">
        <f>IFERROR(__xludf.DUMMYFUNCTION("""COMPUTED_VALUE"""),"Walk-Ins")</f>
        <v>Walk-Ins</v>
      </c>
      <c r="V4424" s="124" t="str">
        <f>IFERROR(__xludf.DUMMYFUNCTION("""COMPUTED_VALUE"""),"Walkin")</f>
        <v>Walkin</v>
      </c>
      <c r="W4424" s="124" t="str">
        <f>IFERROR(__xludf.DUMMYFUNCTION("""COMPUTED_VALUE"""),"Indore")</f>
        <v>Indore</v>
      </c>
      <c r="X4424" s="124" t="str">
        <f>IFERROR(__xludf.DUMMYFUNCTION("""COMPUTED_VALUE"""),"Walkin")</f>
        <v>Walkin</v>
      </c>
      <c r="Y4424" s="124" t="str">
        <f>IFERROR(__xludf.DUMMYFUNCTION("""COMPUTED_VALUE"""),"Indore")</f>
        <v>Indore</v>
      </c>
      <c r="Z4424" s="124">
        <f>IFERROR(__xludf.DUMMYFUNCTION("""COMPUTED_VALUE"""),1.0)</f>
        <v>1</v>
      </c>
      <c r="AA4424" s="124" t="str">
        <f>IFERROR(__xludf.DUMMYFUNCTION("""COMPUTED_VALUE"""),"Cold")</f>
        <v>Cold</v>
      </c>
      <c r="AB4424" s="124" t="str">
        <f>IFERROR(__xludf.DUMMYFUNCTION("""COMPUTED_VALUE"""),"Mentorship")</f>
        <v>Mentorship</v>
      </c>
    </row>
    <row r="4425">
      <c r="K4425" s="124"/>
      <c r="L4425" s="124"/>
      <c r="M4425" s="124"/>
      <c r="N4425" s="124"/>
      <c r="O4425" s="124"/>
      <c r="T4425" s="126">
        <f>IFERROR(__xludf.DUMMYFUNCTION("""COMPUTED_VALUE"""),46067.0)</f>
        <v>46067</v>
      </c>
      <c r="U4425" s="124" t="str">
        <f>IFERROR(__xludf.DUMMYFUNCTION("""COMPUTED_VALUE"""),"Walk-Ins")</f>
        <v>Walk-Ins</v>
      </c>
      <c r="V4425" s="124" t="str">
        <f>IFERROR(__xludf.DUMMYFUNCTION("""COMPUTED_VALUE"""),"Walkin")</f>
        <v>Walkin</v>
      </c>
      <c r="W4425" s="124" t="str">
        <f>IFERROR(__xludf.DUMMYFUNCTION("""COMPUTED_VALUE"""),"Indore")</f>
        <v>Indore</v>
      </c>
      <c r="X4425" s="124" t="str">
        <f>IFERROR(__xludf.DUMMYFUNCTION("""COMPUTED_VALUE"""),"Walkin")</f>
        <v>Walkin</v>
      </c>
      <c r="Y4425" s="124" t="str">
        <f>IFERROR(__xludf.DUMMYFUNCTION("""COMPUTED_VALUE"""),"Indore")</f>
        <v>Indore</v>
      </c>
      <c r="Z4425" s="124">
        <f>IFERROR(__xludf.DUMMYFUNCTION("""COMPUTED_VALUE"""),1.0)</f>
        <v>1</v>
      </c>
      <c r="AA4425" s="124" t="str">
        <f>IFERROR(__xludf.DUMMYFUNCTION("""COMPUTED_VALUE"""),"Not Interested")</f>
        <v>Not Interested</v>
      </c>
      <c r="AB4425" s="124" t="str">
        <f>IFERROR(__xludf.DUMMYFUNCTION("""COMPUTED_VALUE"""),"State PCS")</f>
        <v>State PCS</v>
      </c>
    </row>
    <row r="4426">
      <c r="K4426" s="124"/>
      <c r="L4426" s="124"/>
      <c r="M4426" s="124"/>
      <c r="N4426" s="124"/>
      <c r="O4426" s="124"/>
      <c r="T4426" s="126">
        <f>IFERROR(__xludf.DUMMYFUNCTION("""COMPUTED_VALUE"""),46044.0)</f>
        <v>46044</v>
      </c>
      <c r="U4426" s="124" t="str">
        <f>IFERROR(__xludf.DUMMYFUNCTION("""COMPUTED_VALUE"""),"Walk-Ins")</f>
        <v>Walk-Ins</v>
      </c>
      <c r="V4426" s="124" t="str">
        <f>IFERROR(__xludf.DUMMYFUNCTION("""COMPUTED_VALUE"""),"Walk-In")</f>
        <v>Walk-In</v>
      </c>
      <c r="W4426" s="124" t="str">
        <f>IFERROR(__xludf.DUMMYFUNCTION("""COMPUTED_VALUE"""),"Lucknow")</f>
        <v>Lucknow</v>
      </c>
      <c r="X4426" s="124" t="str">
        <f>IFERROR(__xludf.DUMMYFUNCTION("""COMPUTED_VALUE"""),"Others")</f>
        <v>Others</v>
      </c>
      <c r="Y4426" s="124" t="str">
        <f>IFERROR(__xludf.DUMMYFUNCTION("""COMPUTED_VALUE"""),"Lucknow")</f>
        <v>Lucknow</v>
      </c>
      <c r="Z4426" s="124">
        <f>IFERROR(__xludf.DUMMYFUNCTION("""COMPUTED_VALUE"""),1.0)</f>
        <v>1</v>
      </c>
      <c r="AA4426" s="124" t="str">
        <f>IFERROR(__xludf.DUMMYFUNCTION("""COMPUTED_VALUE"""),"Cold")</f>
        <v>Cold</v>
      </c>
      <c r="AB4426" s="124" t="str">
        <f>IFERROR(__xludf.DUMMYFUNCTION("""COMPUTED_VALUE"""),"Optionals")</f>
        <v>Optionals</v>
      </c>
    </row>
    <row r="4427">
      <c r="K4427" s="124"/>
      <c r="L4427" s="124"/>
      <c r="M4427" s="124"/>
      <c r="N4427" s="124"/>
      <c r="O4427" s="124"/>
      <c r="T4427" s="126">
        <f>IFERROR(__xludf.DUMMYFUNCTION("""COMPUTED_VALUE"""),46097.0)</f>
        <v>46097</v>
      </c>
      <c r="U4427" s="124" t="str">
        <f>IFERROR(__xludf.DUMMYFUNCTION("""COMPUTED_VALUE"""),"Walk-Ins")</f>
        <v>Walk-Ins</v>
      </c>
      <c r="V4427" s="124" t="str">
        <f>IFERROR(__xludf.DUMMYFUNCTION("""COMPUTED_VALUE"""),"Walkin")</f>
        <v>Walkin</v>
      </c>
      <c r="W4427" s="124" t="str">
        <f>IFERROR(__xludf.DUMMYFUNCTION("""COMPUTED_VALUE"""),"Patna")</f>
        <v>Patna</v>
      </c>
      <c r="X4427" s="124" t="str">
        <f>IFERROR(__xludf.DUMMYFUNCTION("""COMPUTED_VALUE"""),"Walkin")</f>
        <v>Walkin</v>
      </c>
      <c r="Y4427" s="124" t="str">
        <f>IFERROR(__xludf.DUMMYFUNCTION("""COMPUTED_VALUE"""),"Patna")</f>
        <v>Patna</v>
      </c>
      <c r="Z4427" s="124">
        <f>IFERROR(__xludf.DUMMYFUNCTION("""COMPUTED_VALUE"""),1.0)</f>
        <v>1</v>
      </c>
      <c r="AA4427" s="124" t="str">
        <f>IFERROR(__xludf.DUMMYFUNCTION("""COMPUTED_VALUE"""),"Cold")</f>
        <v>Cold</v>
      </c>
      <c r="AB4427" s="124" t="str">
        <f>IFERROR(__xludf.DUMMYFUNCTION("""COMPUTED_VALUE"""),"State PCS")</f>
        <v>State PCS</v>
      </c>
    </row>
    <row r="4428">
      <c r="K4428" s="124"/>
      <c r="L4428" s="124"/>
      <c r="M4428" s="124"/>
      <c r="N4428" s="124"/>
      <c r="O4428" s="124"/>
      <c r="T4428" s="126">
        <f>IFERROR(__xludf.DUMMYFUNCTION("""COMPUTED_VALUE"""),46070.0)</f>
        <v>46070</v>
      </c>
      <c r="U4428" s="124" t="str">
        <f>IFERROR(__xludf.DUMMYFUNCTION("""COMPUTED_VALUE"""),"Walk-Ins")</f>
        <v>Walk-Ins</v>
      </c>
      <c r="V4428" s="124" t="str">
        <f>IFERROR(__xludf.DUMMYFUNCTION("""COMPUTED_VALUE"""),"Walk-In")</f>
        <v>Walk-In</v>
      </c>
      <c r="W4428" s="124" t="str">
        <f>IFERROR(__xludf.DUMMYFUNCTION("""COMPUTED_VALUE"""),"Patna")</f>
        <v>Patna</v>
      </c>
      <c r="X4428" s="124" t="str">
        <f>IFERROR(__xludf.DUMMYFUNCTION("""COMPUTED_VALUE"""),"Others")</f>
        <v>Others</v>
      </c>
      <c r="Y4428" s="124" t="str">
        <f>IFERROR(__xludf.DUMMYFUNCTION("""COMPUTED_VALUE"""),"Patna")</f>
        <v>Patna</v>
      </c>
      <c r="Z4428" s="124">
        <f>IFERROR(__xludf.DUMMYFUNCTION("""COMPUTED_VALUE"""),1.0)</f>
        <v>1</v>
      </c>
      <c r="AA4428" s="124" t="str">
        <f>IFERROR(__xludf.DUMMYFUNCTION("""COMPUTED_VALUE"""),"Future Prospects")</f>
        <v>Future Prospects</v>
      </c>
      <c r="AB4428" s="124" t="str">
        <f>IFERROR(__xludf.DUMMYFUNCTION("""COMPUTED_VALUE"""),"State PCS")</f>
        <v>State PCS</v>
      </c>
    </row>
    <row r="4429">
      <c r="K4429" s="124"/>
      <c r="L4429" s="124"/>
      <c r="M4429" s="124"/>
      <c r="N4429" s="124"/>
      <c r="O4429" s="124"/>
      <c r="T4429" s="126">
        <f>IFERROR(__xludf.DUMMYFUNCTION("""COMPUTED_VALUE"""),46105.0)</f>
        <v>46105</v>
      </c>
      <c r="U4429" s="124" t="str">
        <f>IFERROR(__xludf.DUMMYFUNCTION("""COMPUTED_VALUE"""),"Walk-Ins")</f>
        <v>Walk-Ins</v>
      </c>
      <c r="V4429" s="124" t="str">
        <f>IFERROR(__xludf.DUMMYFUNCTION("""COMPUTED_VALUE"""),"Walkin")</f>
        <v>Walkin</v>
      </c>
      <c r="W4429" s="124" t="str">
        <f>IFERROR(__xludf.DUMMYFUNCTION("""COMPUTED_VALUE"""),"Indore")</f>
        <v>Indore</v>
      </c>
      <c r="X4429" s="124" t="str">
        <f>IFERROR(__xludf.DUMMYFUNCTION("""COMPUTED_VALUE"""),"Walkin")</f>
        <v>Walkin</v>
      </c>
      <c r="Y4429" s="124" t="str">
        <f>IFERROR(__xludf.DUMMYFUNCTION("""COMPUTED_VALUE"""),"Indore")</f>
        <v>Indore</v>
      </c>
      <c r="Z4429" s="124">
        <f>IFERROR(__xludf.DUMMYFUNCTION("""COMPUTED_VALUE"""),1.0)</f>
        <v>1</v>
      </c>
      <c r="AA4429" s="124" t="str">
        <f>IFERROR(__xludf.DUMMYFUNCTION("""COMPUTED_VALUE"""),"Cold")</f>
        <v>Cold</v>
      </c>
      <c r="AB4429" s="124" t="str">
        <f>IFERROR(__xludf.DUMMYFUNCTION("""COMPUTED_VALUE"""),"GS Foundation")</f>
        <v>GS Foundation</v>
      </c>
    </row>
    <row r="4430">
      <c r="K4430" s="124"/>
      <c r="L4430" s="124"/>
      <c r="M4430" s="124"/>
      <c r="N4430" s="124"/>
      <c r="O4430" s="124"/>
      <c r="T4430" s="129">
        <f>IFERROR(__xludf.DUMMYFUNCTION("""COMPUTED_VALUE"""),46062.0)</f>
        <v>46062</v>
      </c>
      <c r="U4430" s="124" t="str">
        <f>IFERROR(__xludf.DUMMYFUNCTION("""COMPUTED_VALUE"""),"Walk-Ins")</f>
        <v>Walk-Ins</v>
      </c>
      <c r="V4430" s="124" t="str">
        <f>IFERROR(__xludf.DUMMYFUNCTION("""COMPUTED_VALUE"""),"Walkin")</f>
        <v>Walkin</v>
      </c>
      <c r="W4430" s="124" t="str">
        <f>IFERROR(__xludf.DUMMYFUNCTION("""COMPUTED_VALUE"""),"Patna")</f>
        <v>Patna</v>
      </c>
      <c r="X4430" s="124" t="str">
        <f>IFERROR(__xludf.DUMMYFUNCTION("""COMPUTED_VALUE"""),"Walkin")</f>
        <v>Walkin</v>
      </c>
      <c r="Y4430" s="124" t="str">
        <f>IFERROR(__xludf.DUMMYFUNCTION("""COMPUTED_VALUE"""),"Patna")</f>
        <v>Patna</v>
      </c>
      <c r="Z4430" s="124">
        <f>IFERROR(__xludf.DUMMYFUNCTION("""COMPUTED_VALUE"""),1.0)</f>
        <v>1</v>
      </c>
      <c r="AA4430" s="124" t="str">
        <f>IFERROR(__xludf.DUMMYFUNCTION("""COMPUTED_VALUE"""),"Cold")</f>
        <v>Cold</v>
      </c>
      <c r="AB4430" s="124" t="str">
        <f>IFERROR(__xludf.DUMMYFUNCTION("""COMPUTED_VALUE"""),"Other")</f>
        <v>Other</v>
      </c>
    </row>
    <row r="4431">
      <c r="K4431" s="124"/>
      <c r="L4431" s="124"/>
      <c r="M4431" s="124"/>
      <c r="N4431" s="124"/>
      <c r="O4431" s="124"/>
      <c r="T4431" s="126">
        <f>IFERROR(__xludf.DUMMYFUNCTION("""COMPUTED_VALUE"""),46103.0)</f>
        <v>46103</v>
      </c>
      <c r="U4431" s="124" t="str">
        <f>IFERROR(__xludf.DUMMYFUNCTION("""COMPUTED_VALUE"""),"Walk-Ins")</f>
        <v>Walk-Ins</v>
      </c>
      <c r="V4431" s="124" t="str">
        <f>IFERROR(__xludf.DUMMYFUNCTION("""COMPUTED_VALUE"""),"Walkin")</f>
        <v>Walkin</v>
      </c>
      <c r="W4431" s="124" t="str">
        <f>IFERROR(__xludf.DUMMYFUNCTION("""COMPUTED_VALUE"""),"Indore")</f>
        <v>Indore</v>
      </c>
      <c r="X4431" s="124" t="str">
        <f>IFERROR(__xludf.DUMMYFUNCTION("""COMPUTED_VALUE"""),"Walkin")</f>
        <v>Walkin</v>
      </c>
      <c r="Y4431" s="124" t="str">
        <f>IFERROR(__xludf.DUMMYFUNCTION("""COMPUTED_VALUE"""),"Indore")</f>
        <v>Indore</v>
      </c>
      <c r="Z4431" s="124">
        <f>IFERROR(__xludf.DUMMYFUNCTION("""COMPUTED_VALUE"""),1.0)</f>
        <v>1</v>
      </c>
      <c r="AA4431" s="124" t="str">
        <f>IFERROR(__xludf.DUMMYFUNCTION("""COMPUTED_VALUE"""),"Cold")</f>
        <v>Cold</v>
      </c>
      <c r="AB4431" s="124" t="str">
        <f>IFERROR(__xludf.DUMMYFUNCTION("""COMPUTED_VALUE"""),"GS Foundation")</f>
        <v>GS Foundation</v>
      </c>
    </row>
    <row r="4432">
      <c r="K4432" s="124"/>
      <c r="L4432" s="124"/>
      <c r="M4432" s="124"/>
      <c r="N4432" s="124"/>
      <c r="O4432" s="124"/>
      <c r="T4432" s="126">
        <f>IFERROR(__xludf.DUMMYFUNCTION("""COMPUTED_VALUE"""),46079.0)</f>
        <v>46079</v>
      </c>
      <c r="U4432" s="124" t="str">
        <f>IFERROR(__xludf.DUMMYFUNCTION("""COMPUTED_VALUE"""),"Walk-Ins")</f>
        <v>Walk-Ins</v>
      </c>
      <c r="V4432" s="124" t="str">
        <f>IFERROR(__xludf.DUMMYFUNCTION("""COMPUTED_VALUE"""),"Walkin")</f>
        <v>Walkin</v>
      </c>
      <c r="W4432" s="124" t="str">
        <f>IFERROR(__xludf.DUMMYFUNCTION("""COMPUTED_VALUE"""),"Indore")</f>
        <v>Indore</v>
      </c>
      <c r="X4432" s="124" t="str">
        <f>IFERROR(__xludf.DUMMYFUNCTION("""COMPUTED_VALUE"""),"Walkin")</f>
        <v>Walkin</v>
      </c>
      <c r="Y4432" s="124" t="str">
        <f>IFERROR(__xludf.DUMMYFUNCTION("""COMPUTED_VALUE"""),"Indore")</f>
        <v>Indore</v>
      </c>
      <c r="Z4432" s="124">
        <f>IFERROR(__xludf.DUMMYFUNCTION("""COMPUTED_VALUE"""),1.0)</f>
        <v>1</v>
      </c>
      <c r="AA4432" s="124" t="str">
        <f>IFERROR(__xludf.DUMMYFUNCTION("""COMPUTED_VALUE"""),"Enrolled")</f>
        <v>Enrolled</v>
      </c>
      <c r="AB4432" s="124" t="str">
        <f>IFERROR(__xludf.DUMMYFUNCTION("""COMPUTED_VALUE"""),"Optionals")</f>
        <v>Optionals</v>
      </c>
    </row>
    <row r="4433">
      <c r="K4433" s="124"/>
      <c r="L4433" s="124"/>
      <c r="M4433" s="124"/>
      <c r="N4433" s="124"/>
      <c r="O4433" s="124"/>
      <c r="T4433" s="129">
        <f>IFERROR(__xludf.DUMMYFUNCTION("""COMPUTED_VALUE"""),46058.0)</f>
        <v>46058</v>
      </c>
      <c r="U4433" s="124" t="str">
        <f>IFERROR(__xludf.DUMMYFUNCTION("""COMPUTED_VALUE"""),"Walk-Ins")</f>
        <v>Walk-Ins</v>
      </c>
      <c r="V4433" s="124" t="str">
        <f>IFERROR(__xludf.DUMMYFUNCTION("""COMPUTED_VALUE"""),"Walkin")</f>
        <v>Walkin</v>
      </c>
      <c r="W4433" s="124" t="str">
        <f>IFERROR(__xludf.DUMMYFUNCTION("""COMPUTED_VALUE"""),"Prayagraj")</f>
        <v>Prayagraj</v>
      </c>
      <c r="X4433" s="124" t="str">
        <f>IFERROR(__xludf.DUMMYFUNCTION("""COMPUTED_VALUE"""),"Walkin")</f>
        <v>Walkin</v>
      </c>
      <c r="Y4433" s="124" t="str">
        <f>IFERROR(__xludf.DUMMYFUNCTION("""COMPUTED_VALUE"""),"Prayagraj")</f>
        <v>Prayagraj</v>
      </c>
      <c r="Z4433" s="124">
        <f>IFERROR(__xludf.DUMMYFUNCTION("""COMPUTED_VALUE"""),1.0)</f>
        <v>1</v>
      </c>
      <c r="AA4433" s="124" t="str">
        <f>IFERROR(__xludf.DUMMYFUNCTION("""COMPUTED_VALUE"""),"Cold")</f>
        <v>Cold</v>
      </c>
      <c r="AB4433" s="124" t="str">
        <f>IFERROR(__xludf.DUMMYFUNCTION("""COMPUTED_VALUE"""),"Mentorship")</f>
        <v>Mentorship</v>
      </c>
    </row>
    <row r="4434">
      <c r="K4434" s="124"/>
      <c r="L4434" s="124"/>
      <c r="M4434" s="124"/>
      <c r="N4434" s="124"/>
      <c r="O4434" s="124"/>
      <c r="T4434" s="126">
        <f>IFERROR(__xludf.DUMMYFUNCTION("""COMPUTED_VALUE"""),46071.0)</f>
        <v>46071</v>
      </c>
      <c r="U4434" s="124" t="str">
        <f>IFERROR(__xludf.DUMMYFUNCTION("""COMPUTED_VALUE"""),"Walk-Ins")</f>
        <v>Walk-Ins</v>
      </c>
      <c r="V4434" s="124" t="str">
        <f>IFERROR(__xludf.DUMMYFUNCTION("""COMPUTED_VALUE"""),"Walkin")</f>
        <v>Walkin</v>
      </c>
      <c r="W4434" s="124" t="str">
        <f>IFERROR(__xludf.DUMMYFUNCTION("""COMPUTED_VALUE"""),"Lucknow")</f>
        <v>Lucknow</v>
      </c>
      <c r="X4434" s="124" t="str">
        <f>IFERROR(__xludf.DUMMYFUNCTION("""COMPUTED_VALUE"""),"Walkin")</f>
        <v>Walkin</v>
      </c>
      <c r="Y4434" s="124" t="str">
        <f>IFERROR(__xludf.DUMMYFUNCTION("""COMPUTED_VALUE"""),"Lucknow")</f>
        <v>Lucknow</v>
      </c>
      <c r="Z4434" s="124">
        <f>IFERROR(__xludf.DUMMYFUNCTION("""COMPUTED_VALUE"""),1.0)</f>
        <v>1</v>
      </c>
      <c r="AA4434" s="124" t="str">
        <f>IFERROR(__xludf.DUMMYFUNCTION("""COMPUTED_VALUE"""),"Not Interested")</f>
        <v>Not Interested</v>
      </c>
      <c r="AB4434" s="124" t="str">
        <f>IFERROR(__xludf.DUMMYFUNCTION("""COMPUTED_VALUE"""),"State PCS")</f>
        <v>State PCS</v>
      </c>
    </row>
    <row r="4435">
      <c r="K4435" s="124"/>
      <c r="L4435" s="124"/>
      <c r="M4435" s="124"/>
      <c r="N4435" s="124"/>
      <c r="O4435" s="124"/>
      <c r="T4435" s="126">
        <f>IFERROR(__xludf.DUMMYFUNCTION("""COMPUTED_VALUE"""),46070.0)</f>
        <v>46070</v>
      </c>
      <c r="U4435" s="124" t="str">
        <f>IFERROR(__xludf.DUMMYFUNCTION("""COMPUTED_VALUE"""),"Walk-Ins")</f>
        <v>Walk-Ins</v>
      </c>
      <c r="V4435" s="124" t="str">
        <f>IFERROR(__xludf.DUMMYFUNCTION("""COMPUTED_VALUE"""),"Walkin")</f>
        <v>Walkin</v>
      </c>
      <c r="W4435" s="124" t="str">
        <f>IFERROR(__xludf.DUMMYFUNCTION("""COMPUTED_VALUE"""),"Indore")</f>
        <v>Indore</v>
      </c>
      <c r="X4435" s="124" t="str">
        <f>IFERROR(__xludf.DUMMYFUNCTION("""COMPUTED_VALUE"""),"Walkin")</f>
        <v>Walkin</v>
      </c>
      <c r="Y4435" s="124" t="str">
        <f>IFERROR(__xludf.DUMMYFUNCTION("""COMPUTED_VALUE"""),"Indore")</f>
        <v>Indore</v>
      </c>
      <c r="Z4435" s="124">
        <f>IFERROR(__xludf.DUMMYFUNCTION("""COMPUTED_VALUE"""),1.0)</f>
        <v>1</v>
      </c>
      <c r="AA4435" s="124" t="str">
        <f>IFERROR(__xludf.DUMMYFUNCTION("""COMPUTED_VALUE"""),"Enrolled")</f>
        <v>Enrolled</v>
      </c>
      <c r="AB4435" s="124" t="str">
        <f>IFERROR(__xludf.DUMMYFUNCTION("""COMPUTED_VALUE"""),"State PCS")</f>
        <v>State PCS</v>
      </c>
    </row>
    <row r="4436">
      <c r="K4436" s="124"/>
      <c r="L4436" s="124"/>
      <c r="M4436" s="124"/>
      <c r="N4436" s="124"/>
      <c r="O4436" s="124"/>
      <c r="T4436" s="129">
        <f>IFERROR(__xludf.DUMMYFUNCTION("""COMPUTED_VALUE"""),46054.0)</f>
        <v>46054</v>
      </c>
      <c r="U4436" s="124" t="str">
        <f>IFERROR(__xludf.DUMMYFUNCTION("""COMPUTED_VALUE"""),"Walk-Ins")</f>
        <v>Walk-Ins</v>
      </c>
      <c r="V4436" s="124" t="str">
        <f>IFERROR(__xludf.DUMMYFUNCTION("""COMPUTED_VALUE"""),"Walkin")</f>
        <v>Walkin</v>
      </c>
      <c r="W4436" s="124" t="str">
        <f>IFERROR(__xludf.DUMMYFUNCTION("""COMPUTED_VALUE"""),"Patna")</f>
        <v>Patna</v>
      </c>
      <c r="X4436" s="124" t="str">
        <f>IFERROR(__xludf.DUMMYFUNCTION("""COMPUTED_VALUE"""),"Walkin")</f>
        <v>Walkin</v>
      </c>
      <c r="Y4436" s="124" t="str">
        <f>IFERROR(__xludf.DUMMYFUNCTION("""COMPUTED_VALUE"""),"Patna")</f>
        <v>Patna</v>
      </c>
      <c r="Z4436" s="124">
        <f>IFERROR(__xludf.DUMMYFUNCTION("""COMPUTED_VALUE"""),1.0)</f>
        <v>1</v>
      </c>
      <c r="AA4436" s="124" t="str">
        <f>IFERROR(__xludf.DUMMYFUNCTION("""COMPUTED_VALUE"""),"Cold")</f>
        <v>Cold</v>
      </c>
      <c r="AB4436" s="124" t="str">
        <f>IFERROR(__xludf.DUMMYFUNCTION("""COMPUTED_VALUE"""),"GS Advanced")</f>
        <v>GS Advanced</v>
      </c>
    </row>
    <row r="4437">
      <c r="K4437" s="124"/>
      <c r="L4437" s="124"/>
      <c r="M4437" s="124"/>
      <c r="N4437" s="124"/>
      <c r="O4437" s="124"/>
      <c r="T4437" s="126">
        <f>IFERROR(__xludf.DUMMYFUNCTION("""COMPUTED_VALUE"""),46044.0)</f>
        <v>46044</v>
      </c>
      <c r="U4437" s="124" t="str">
        <f>IFERROR(__xludf.DUMMYFUNCTION("""COMPUTED_VALUE"""),"Walk-Ins")</f>
        <v>Walk-Ins</v>
      </c>
      <c r="V4437" s="124" t="str">
        <f>IFERROR(__xludf.DUMMYFUNCTION("""COMPUTED_VALUE"""),"Walkin")</f>
        <v>Walkin</v>
      </c>
      <c r="W4437" s="124" t="str">
        <f>IFERROR(__xludf.DUMMYFUNCTION("""COMPUTED_VALUE"""),"Indore")</f>
        <v>Indore</v>
      </c>
      <c r="X4437" s="124" t="str">
        <f>IFERROR(__xludf.DUMMYFUNCTION("""COMPUTED_VALUE"""),"Walkin")</f>
        <v>Walkin</v>
      </c>
      <c r="Y4437" s="124" t="str">
        <f>IFERROR(__xludf.DUMMYFUNCTION("""COMPUTED_VALUE"""),"Indore")</f>
        <v>Indore</v>
      </c>
      <c r="Z4437" s="124">
        <f>IFERROR(__xludf.DUMMYFUNCTION("""COMPUTED_VALUE"""),1.0)</f>
        <v>1</v>
      </c>
      <c r="AA4437" s="124" t="str">
        <f>IFERROR(__xludf.DUMMYFUNCTION("""COMPUTED_VALUE"""),"Enrolled")</f>
        <v>Enrolled</v>
      </c>
      <c r="AB4437" s="124" t="str">
        <f>IFERROR(__xludf.DUMMYFUNCTION("""COMPUTED_VALUE"""),"Optionals")</f>
        <v>Optionals</v>
      </c>
    </row>
    <row r="4438">
      <c r="K4438" s="124"/>
      <c r="L4438" s="124"/>
      <c r="M4438" s="124"/>
      <c r="N4438" s="124"/>
      <c r="O4438" s="124"/>
      <c r="T4438" s="126">
        <f>IFERROR(__xludf.DUMMYFUNCTION("""COMPUTED_VALUE"""),46044.0)</f>
        <v>46044</v>
      </c>
      <c r="U4438" s="124" t="str">
        <f>IFERROR(__xludf.DUMMYFUNCTION("""COMPUTED_VALUE"""),"Walk-Ins")</f>
        <v>Walk-Ins</v>
      </c>
      <c r="V4438" s="124" t="str">
        <f>IFERROR(__xludf.DUMMYFUNCTION("""COMPUTED_VALUE"""),"Walkin")</f>
        <v>Walkin</v>
      </c>
      <c r="W4438" s="124" t="str">
        <f>IFERROR(__xludf.DUMMYFUNCTION("""COMPUTED_VALUE"""),"Prayagraj")</f>
        <v>Prayagraj</v>
      </c>
      <c r="X4438" s="124" t="str">
        <f>IFERROR(__xludf.DUMMYFUNCTION("""COMPUTED_VALUE"""),"Walkin")</f>
        <v>Walkin</v>
      </c>
      <c r="Y4438" s="124" t="str">
        <f>IFERROR(__xludf.DUMMYFUNCTION("""COMPUTED_VALUE"""),"Prayagraj")</f>
        <v>Prayagraj</v>
      </c>
      <c r="Z4438" s="124">
        <f>IFERROR(__xludf.DUMMYFUNCTION("""COMPUTED_VALUE"""),1.0)</f>
        <v>1</v>
      </c>
      <c r="AA4438" s="124" t="str">
        <f>IFERROR(__xludf.DUMMYFUNCTION("""COMPUTED_VALUE"""),"Cold")</f>
        <v>Cold</v>
      </c>
      <c r="AB4438" s="124" t="str">
        <f>IFERROR(__xludf.DUMMYFUNCTION("""COMPUTED_VALUE"""),"Mentorship")</f>
        <v>Mentorship</v>
      </c>
    </row>
    <row r="4439">
      <c r="K4439" s="124"/>
      <c r="L4439" s="124"/>
      <c r="M4439" s="124"/>
      <c r="N4439" s="124"/>
      <c r="O4439" s="124"/>
      <c r="T4439" s="126">
        <f>IFERROR(__xludf.DUMMYFUNCTION("""COMPUTED_VALUE"""),46092.0)</f>
        <v>46092</v>
      </c>
      <c r="U4439" s="124" t="str">
        <f>IFERROR(__xludf.DUMMYFUNCTION("""COMPUTED_VALUE"""),"Walk-Ins")</f>
        <v>Walk-Ins</v>
      </c>
      <c r="V4439" s="124" t="str">
        <f>IFERROR(__xludf.DUMMYFUNCTION("""COMPUTED_VALUE"""),"Walkin")</f>
        <v>Walkin</v>
      </c>
      <c r="W4439" s="124" t="str">
        <f>IFERROR(__xludf.DUMMYFUNCTION("""COMPUTED_VALUE"""),"Prayagraj")</f>
        <v>Prayagraj</v>
      </c>
      <c r="X4439" s="124" t="str">
        <f>IFERROR(__xludf.DUMMYFUNCTION("""COMPUTED_VALUE"""),"Walkin")</f>
        <v>Walkin</v>
      </c>
      <c r="Y4439" s="124" t="str">
        <f>IFERROR(__xludf.DUMMYFUNCTION("""COMPUTED_VALUE"""),"Prayagraj")</f>
        <v>Prayagraj</v>
      </c>
      <c r="Z4439" s="124">
        <f>IFERROR(__xludf.DUMMYFUNCTION("""COMPUTED_VALUE"""),1.0)</f>
        <v>1</v>
      </c>
      <c r="AA4439" s="124" t="str">
        <f>IFERROR(__xludf.DUMMYFUNCTION("""COMPUTED_VALUE"""),"Not Interested")</f>
        <v>Not Interested</v>
      </c>
      <c r="AB4439" s="124" t="str">
        <f>IFERROR(__xludf.DUMMYFUNCTION("""COMPUTED_VALUE"""),"Mentorship")</f>
        <v>Mentorship</v>
      </c>
    </row>
    <row r="4440">
      <c r="K4440" s="124"/>
      <c r="L4440" s="124"/>
      <c r="M4440" s="124"/>
      <c r="N4440" s="124"/>
      <c r="O4440" s="124"/>
      <c r="T4440" s="126">
        <f>IFERROR(__xludf.DUMMYFUNCTION("""COMPUTED_VALUE"""),46077.0)</f>
        <v>46077</v>
      </c>
      <c r="U4440" s="124" t="str">
        <f>IFERROR(__xludf.DUMMYFUNCTION("""COMPUTED_VALUE"""),"Walk-Ins")</f>
        <v>Walk-Ins</v>
      </c>
      <c r="V4440" s="124" t="str">
        <f>IFERROR(__xludf.DUMMYFUNCTION("""COMPUTED_VALUE"""),"Walkin")</f>
        <v>Walkin</v>
      </c>
      <c r="W4440" s="124" t="str">
        <f>IFERROR(__xludf.DUMMYFUNCTION("""COMPUTED_VALUE"""),"Patna")</f>
        <v>Patna</v>
      </c>
      <c r="X4440" s="124" t="str">
        <f>IFERROR(__xludf.DUMMYFUNCTION("""COMPUTED_VALUE"""),"Walkin")</f>
        <v>Walkin</v>
      </c>
      <c r="Y4440" s="124" t="str">
        <f>IFERROR(__xludf.DUMMYFUNCTION("""COMPUTED_VALUE"""),"Patna")</f>
        <v>Patna</v>
      </c>
      <c r="Z4440" s="124">
        <f>IFERROR(__xludf.DUMMYFUNCTION("""COMPUTED_VALUE"""),1.0)</f>
        <v>1</v>
      </c>
      <c r="AA4440" s="124" t="str">
        <f>IFERROR(__xludf.DUMMYFUNCTION("""COMPUTED_VALUE"""),"Fake Lead")</f>
        <v>Fake Lead</v>
      </c>
      <c r="AB4440" s="124" t="str">
        <f>IFERROR(__xludf.DUMMYFUNCTION("""COMPUTED_VALUE"""),"Test Series")</f>
        <v>Test Series</v>
      </c>
    </row>
    <row r="4441">
      <c r="K4441" s="124"/>
      <c r="L4441" s="124"/>
      <c r="M4441" s="124"/>
      <c r="N4441" s="124"/>
      <c r="O4441" s="124"/>
      <c r="T4441" s="129">
        <f>IFERROR(__xludf.DUMMYFUNCTION("""COMPUTED_VALUE"""),46058.0)</f>
        <v>46058</v>
      </c>
      <c r="U4441" s="124" t="str">
        <f>IFERROR(__xludf.DUMMYFUNCTION("""COMPUTED_VALUE"""),"Walk-Ins")</f>
        <v>Walk-Ins</v>
      </c>
      <c r="V4441" s="124" t="str">
        <f>IFERROR(__xludf.DUMMYFUNCTION("""COMPUTED_VALUE"""),"Walkin")</f>
        <v>Walkin</v>
      </c>
      <c r="W4441" s="124" t="str">
        <f>IFERROR(__xludf.DUMMYFUNCTION("""COMPUTED_VALUE"""),"Lucknow")</f>
        <v>Lucknow</v>
      </c>
      <c r="X4441" s="124" t="str">
        <f>IFERROR(__xludf.DUMMYFUNCTION("""COMPUTED_VALUE"""),"Walkin")</f>
        <v>Walkin</v>
      </c>
      <c r="Y4441" s="124" t="str">
        <f>IFERROR(__xludf.DUMMYFUNCTION("""COMPUTED_VALUE"""),"Lucknow")</f>
        <v>Lucknow</v>
      </c>
      <c r="Z4441" s="124">
        <f>IFERROR(__xludf.DUMMYFUNCTION("""COMPUTED_VALUE"""),1.0)</f>
        <v>1</v>
      </c>
      <c r="AA4441" s="124" t="str">
        <f>IFERROR(__xludf.DUMMYFUNCTION("""COMPUTED_VALUE"""),"Enrolled")</f>
        <v>Enrolled</v>
      </c>
      <c r="AB4441" s="124" t="str">
        <f>IFERROR(__xludf.DUMMYFUNCTION("""COMPUTED_VALUE"""),"State PCS")</f>
        <v>State PCS</v>
      </c>
    </row>
    <row r="4442">
      <c r="K4442" s="124"/>
      <c r="L4442" s="124"/>
      <c r="M4442" s="124"/>
      <c r="N4442" s="124"/>
      <c r="O4442" s="124"/>
      <c r="T4442" s="126">
        <f>IFERROR(__xludf.DUMMYFUNCTION("""COMPUTED_VALUE"""),46080.0)</f>
        <v>46080</v>
      </c>
      <c r="U4442" s="124" t="str">
        <f>IFERROR(__xludf.DUMMYFUNCTION("""COMPUTED_VALUE"""),"Walk-Ins")</f>
        <v>Walk-Ins</v>
      </c>
      <c r="V4442" s="124" t="str">
        <f>IFERROR(__xludf.DUMMYFUNCTION("""COMPUTED_VALUE"""),"Walkin")</f>
        <v>Walkin</v>
      </c>
      <c r="W4442" s="124" t="str">
        <f>IFERROR(__xludf.DUMMYFUNCTION("""COMPUTED_VALUE"""),"Patna")</f>
        <v>Patna</v>
      </c>
      <c r="X4442" s="124" t="str">
        <f>IFERROR(__xludf.DUMMYFUNCTION("""COMPUTED_VALUE"""),"Walkin")</f>
        <v>Walkin</v>
      </c>
      <c r="Y4442" s="124" t="str">
        <f>IFERROR(__xludf.DUMMYFUNCTION("""COMPUTED_VALUE"""),"Patna")</f>
        <v>Patna</v>
      </c>
      <c r="Z4442" s="124">
        <f>IFERROR(__xludf.DUMMYFUNCTION("""COMPUTED_VALUE"""),1.0)</f>
        <v>1</v>
      </c>
      <c r="AA4442" s="124" t="str">
        <f>IFERROR(__xludf.DUMMYFUNCTION("""COMPUTED_VALUE"""),"Warm")</f>
        <v>Warm</v>
      </c>
      <c r="AB4442" s="124" t="str">
        <f>IFERROR(__xludf.DUMMYFUNCTION("""COMPUTED_VALUE"""),"State PCS")</f>
        <v>State PCS</v>
      </c>
    </row>
    <row r="4443">
      <c r="K4443" s="124"/>
      <c r="L4443" s="124"/>
      <c r="M4443" s="124"/>
      <c r="N4443" s="124"/>
      <c r="O4443" s="124"/>
      <c r="T4443" s="126">
        <f>IFERROR(__xludf.DUMMYFUNCTION("""COMPUTED_VALUE"""),46045.0)</f>
        <v>46045</v>
      </c>
      <c r="U4443" s="124" t="str">
        <f>IFERROR(__xludf.DUMMYFUNCTION("""COMPUTED_VALUE"""),"Walk-Ins")</f>
        <v>Walk-Ins</v>
      </c>
      <c r="V4443" s="124" t="str">
        <f>IFERROR(__xludf.DUMMYFUNCTION("""COMPUTED_VALUE"""),"Walkin")</f>
        <v>Walkin</v>
      </c>
      <c r="W4443" s="124" t="str">
        <f>IFERROR(__xludf.DUMMYFUNCTION("""COMPUTED_VALUE"""),"Patna")</f>
        <v>Patna</v>
      </c>
      <c r="X4443" s="124" t="str">
        <f>IFERROR(__xludf.DUMMYFUNCTION("""COMPUTED_VALUE"""),"Walkin")</f>
        <v>Walkin</v>
      </c>
      <c r="Y4443" s="124" t="str">
        <f>IFERROR(__xludf.DUMMYFUNCTION("""COMPUTED_VALUE"""),"Patna")</f>
        <v>Patna</v>
      </c>
      <c r="Z4443" s="124">
        <f>IFERROR(__xludf.DUMMYFUNCTION("""COMPUTED_VALUE"""),1.0)</f>
        <v>1</v>
      </c>
      <c r="AA4443" s="124" t="str">
        <f>IFERROR(__xludf.DUMMYFUNCTION("""COMPUTED_VALUE"""),"Cold")</f>
        <v>Cold</v>
      </c>
      <c r="AB4443" s="124" t="str">
        <f>IFERROR(__xludf.DUMMYFUNCTION("""COMPUTED_VALUE"""),"Other")</f>
        <v>Other</v>
      </c>
    </row>
    <row r="4444">
      <c r="K4444" s="124"/>
      <c r="L4444" s="124"/>
      <c r="M4444" s="124"/>
      <c r="N4444" s="124"/>
      <c r="O4444" s="124"/>
      <c r="T4444" s="126">
        <f>IFERROR(__xludf.DUMMYFUNCTION("""COMPUTED_VALUE"""),46108.0)</f>
        <v>46108</v>
      </c>
      <c r="U4444" s="124" t="str">
        <f>IFERROR(__xludf.DUMMYFUNCTION("""COMPUTED_VALUE"""),"Walk-Ins")</f>
        <v>Walk-Ins</v>
      </c>
      <c r="V4444" s="124" t="str">
        <f>IFERROR(__xludf.DUMMYFUNCTION("""COMPUTED_VALUE"""),"Walkin")</f>
        <v>Walkin</v>
      </c>
      <c r="W4444" s="124" t="str">
        <f>IFERROR(__xludf.DUMMYFUNCTION("""COMPUTED_VALUE"""),"Patna")</f>
        <v>Patna</v>
      </c>
      <c r="X4444" s="124" t="str">
        <f>IFERROR(__xludf.DUMMYFUNCTION("""COMPUTED_VALUE"""),"Walkin")</f>
        <v>Walkin</v>
      </c>
      <c r="Y4444" s="124" t="str">
        <f>IFERROR(__xludf.DUMMYFUNCTION("""COMPUTED_VALUE"""),"Patna")</f>
        <v>Patna</v>
      </c>
      <c r="Z4444" s="124">
        <f>IFERROR(__xludf.DUMMYFUNCTION("""COMPUTED_VALUE"""),1.0)</f>
        <v>1</v>
      </c>
      <c r="AA4444" s="124" t="str">
        <f>IFERROR(__xludf.DUMMYFUNCTION("""COMPUTED_VALUE"""),"Fake Lead")</f>
        <v>Fake Lead</v>
      </c>
      <c r="AB4444" s="124" t="str">
        <f>IFERROR(__xludf.DUMMYFUNCTION("""COMPUTED_VALUE"""),"Test Series")</f>
        <v>Test Series</v>
      </c>
    </row>
    <row r="4445">
      <c r="K4445" s="124"/>
      <c r="L4445" s="124"/>
      <c r="M4445" s="124"/>
      <c r="N4445" s="124"/>
      <c r="O4445" s="124"/>
      <c r="T4445" s="126">
        <f>IFERROR(__xludf.DUMMYFUNCTION("""COMPUTED_VALUE"""),46081.0)</f>
        <v>46081</v>
      </c>
      <c r="U4445" s="124" t="str">
        <f>IFERROR(__xludf.DUMMYFUNCTION("""COMPUTED_VALUE"""),"Walk-Ins")</f>
        <v>Walk-Ins</v>
      </c>
      <c r="V4445" s="124" t="str">
        <f>IFERROR(__xludf.DUMMYFUNCTION("""COMPUTED_VALUE"""),"Walk-In")</f>
        <v>Walk-In</v>
      </c>
      <c r="W4445" s="124" t="str">
        <f>IFERROR(__xludf.DUMMYFUNCTION("""COMPUTED_VALUE"""),"Prayagraj")</f>
        <v>Prayagraj</v>
      </c>
      <c r="X4445" s="124" t="str">
        <f>IFERROR(__xludf.DUMMYFUNCTION("""COMPUTED_VALUE"""),"Others")</f>
        <v>Others</v>
      </c>
      <c r="Y4445" s="124"/>
      <c r="Z4445" s="124">
        <f>IFERROR(__xludf.DUMMYFUNCTION("""COMPUTED_VALUE"""),1.0)</f>
        <v>1</v>
      </c>
      <c r="AA4445" s="124" t="str">
        <f>IFERROR(__xludf.DUMMYFUNCTION("""COMPUTED_VALUE"""),"Enrolled")</f>
        <v>Enrolled</v>
      </c>
      <c r="AB4445" s="124" t="str">
        <f>IFERROR(__xludf.DUMMYFUNCTION("""COMPUTED_VALUE"""),"GS Foundation")</f>
        <v>GS Foundation</v>
      </c>
    </row>
    <row r="4446">
      <c r="K4446" s="124"/>
      <c r="L4446" s="124"/>
      <c r="M4446" s="124"/>
      <c r="N4446" s="124"/>
      <c r="O4446" s="124"/>
      <c r="T4446" s="126">
        <f>IFERROR(__xludf.DUMMYFUNCTION("""COMPUTED_VALUE"""),46075.0)</f>
        <v>46075</v>
      </c>
      <c r="U4446" s="124" t="str">
        <f>IFERROR(__xludf.DUMMYFUNCTION("""COMPUTED_VALUE"""),"Walk-Ins")</f>
        <v>Walk-Ins</v>
      </c>
      <c r="V4446" s="124" t="str">
        <f>IFERROR(__xludf.DUMMYFUNCTION("""COMPUTED_VALUE"""),"Walkin")</f>
        <v>Walkin</v>
      </c>
      <c r="W4446" s="124" t="str">
        <f>IFERROR(__xludf.DUMMYFUNCTION("""COMPUTED_VALUE"""),"Indore")</f>
        <v>Indore</v>
      </c>
      <c r="X4446" s="124" t="str">
        <f>IFERROR(__xludf.DUMMYFUNCTION("""COMPUTED_VALUE"""),"Walkin")</f>
        <v>Walkin</v>
      </c>
      <c r="Y4446" s="124" t="str">
        <f>IFERROR(__xludf.DUMMYFUNCTION("""COMPUTED_VALUE"""),"Indore")</f>
        <v>Indore</v>
      </c>
      <c r="Z4446" s="124">
        <f>IFERROR(__xludf.DUMMYFUNCTION("""COMPUTED_VALUE"""),1.0)</f>
        <v>1</v>
      </c>
      <c r="AA4446" s="124" t="str">
        <f>IFERROR(__xludf.DUMMYFUNCTION("""COMPUTED_VALUE"""),"Cold")</f>
        <v>Cold</v>
      </c>
      <c r="AB4446" s="124" t="str">
        <f>IFERROR(__xludf.DUMMYFUNCTION("""COMPUTED_VALUE"""),"GS Foundation")</f>
        <v>GS Foundation</v>
      </c>
    </row>
    <row r="4447">
      <c r="K4447" s="124"/>
      <c r="L4447" s="124"/>
      <c r="M4447" s="124"/>
      <c r="N4447" s="124"/>
      <c r="O4447" s="124"/>
      <c r="T4447" s="126">
        <f>IFERROR(__xludf.DUMMYFUNCTION("""COMPUTED_VALUE"""),46044.0)</f>
        <v>46044</v>
      </c>
      <c r="U4447" s="124" t="str">
        <f>IFERROR(__xludf.DUMMYFUNCTION("""COMPUTED_VALUE"""),"Walk-Ins")</f>
        <v>Walk-Ins</v>
      </c>
      <c r="V4447" s="124" t="str">
        <f>IFERROR(__xludf.DUMMYFUNCTION("""COMPUTED_VALUE"""),"Walkin")</f>
        <v>Walkin</v>
      </c>
      <c r="W4447" s="124" t="str">
        <f>IFERROR(__xludf.DUMMYFUNCTION("""COMPUTED_VALUE"""),"Indore")</f>
        <v>Indore</v>
      </c>
      <c r="X4447" s="124" t="str">
        <f>IFERROR(__xludf.DUMMYFUNCTION("""COMPUTED_VALUE"""),"Walkin")</f>
        <v>Walkin</v>
      </c>
      <c r="Y4447" s="124" t="str">
        <f>IFERROR(__xludf.DUMMYFUNCTION("""COMPUTED_VALUE"""),"Indore")</f>
        <v>Indore</v>
      </c>
      <c r="Z4447" s="124">
        <f>IFERROR(__xludf.DUMMYFUNCTION("""COMPUTED_VALUE"""),1.0)</f>
        <v>1</v>
      </c>
      <c r="AA4447" s="124" t="str">
        <f>IFERROR(__xludf.DUMMYFUNCTION("""COMPUTED_VALUE"""),"Cold")</f>
        <v>Cold</v>
      </c>
      <c r="AB4447" s="124" t="str">
        <f>IFERROR(__xludf.DUMMYFUNCTION("""COMPUTED_VALUE"""),"Optionals")</f>
        <v>Optionals</v>
      </c>
    </row>
    <row r="4448">
      <c r="K4448" s="124"/>
      <c r="L4448" s="124"/>
      <c r="M4448" s="124"/>
      <c r="N4448" s="124"/>
      <c r="O4448" s="124"/>
      <c r="T4448" s="126">
        <f>IFERROR(__xludf.DUMMYFUNCTION("""COMPUTED_VALUE"""),46043.0)</f>
        <v>46043</v>
      </c>
      <c r="U4448" s="124" t="str">
        <f>IFERROR(__xludf.DUMMYFUNCTION("""COMPUTED_VALUE"""),"Walk-Ins")</f>
        <v>Walk-Ins</v>
      </c>
      <c r="V4448" s="124" t="str">
        <f>IFERROR(__xludf.DUMMYFUNCTION("""COMPUTED_VALUE"""),"Walkin")</f>
        <v>Walkin</v>
      </c>
      <c r="W4448" s="124" t="str">
        <f>IFERROR(__xludf.DUMMYFUNCTION("""COMPUTED_VALUE"""),"Patna")</f>
        <v>Patna</v>
      </c>
      <c r="X4448" s="124" t="str">
        <f>IFERROR(__xludf.DUMMYFUNCTION("""COMPUTED_VALUE"""),"Walkin")</f>
        <v>Walkin</v>
      </c>
      <c r="Y4448" s="124" t="str">
        <f>IFERROR(__xludf.DUMMYFUNCTION("""COMPUTED_VALUE"""),"Patna")</f>
        <v>Patna</v>
      </c>
      <c r="Z4448" s="124">
        <f>IFERROR(__xludf.DUMMYFUNCTION("""COMPUTED_VALUE"""),1.0)</f>
        <v>1</v>
      </c>
      <c r="AA4448" s="124" t="str">
        <f>IFERROR(__xludf.DUMMYFUNCTION("""COMPUTED_VALUE"""),"Enrolled")</f>
        <v>Enrolled</v>
      </c>
      <c r="AB4448" s="124" t="str">
        <f>IFERROR(__xludf.DUMMYFUNCTION("""COMPUTED_VALUE"""),"State PCS")</f>
        <v>State PCS</v>
      </c>
    </row>
    <row r="4449">
      <c r="K4449" s="124"/>
      <c r="L4449" s="124"/>
      <c r="M4449" s="124"/>
      <c r="N4449" s="124"/>
      <c r="O4449" s="124"/>
      <c r="T4449" s="126">
        <f>IFERROR(__xludf.DUMMYFUNCTION("""COMPUTED_VALUE"""),46077.0)</f>
        <v>46077</v>
      </c>
      <c r="U4449" s="124" t="str">
        <f>IFERROR(__xludf.DUMMYFUNCTION("""COMPUTED_VALUE"""),"Walk-Ins")</f>
        <v>Walk-Ins</v>
      </c>
      <c r="V4449" s="124" t="str">
        <f>IFERROR(__xludf.DUMMYFUNCTION("""COMPUTED_VALUE"""),"Walkin")</f>
        <v>Walkin</v>
      </c>
      <c r="W4449" s="124" t="str">
        <f>IFERROR(__xludf.DUMMYFUNCTION("""COMPUTED_VALUE"""),"Patna")</f>
        <v>Patna</v>
      </c>
      <c r="X4449" s="124" t="str">
        <f>IFERROR(__xludf.DUMMYFUNCTION("""COMPUTED_VALUE"""),"Walkin")</f>
        <v>Walkin</v>
      </c>
      <c r="Y4449" s="124" t="str">
        <f>IFERROR(__xludf.DUMMYFUNCTION("""COMPUTED_VALUE"""),"Patna")</f>
        <v>Patna</v>
      </c>
      <c r="Z4449" s="124">
        <f>IFERROR(__xludf.DUMMYFUNCTION("""COMPUTED_VALUE"""),1.0)</f>
        <v>1</v>
      </c>
      <c r="AA4449" s="124" t="str">
        <f>IFERROR(__xludf.DUMMYFUNCTION("""COMPUTED_VALUE"""),"Warm")</f>
        <v>Warm</v>
      </c>
      <c r="AB4449" s="124" t="str">
        <f>IFERROR(__xludf.DUMMYFUNCTION("""COMPUTED_VALUE"""),"GS Foundation")</f>
        <v>GS Foundation</v>
      </c>
    </row>
    <row r="4450">
      <c r="K4450" s="124"/>
      <c r="L4450" s="124"/>
      <c r="M4450" s="124"/>
      <c r="N4450" s="124"/>
      <c r="O4450" s="124"/>
      <c r="T4450" s="129">
        <f>IFERROR(__xludf.DUMMYFUNCTION("""COMPUTED_VALUE"""),46059.0)</f>
        <v>46059</v>
      </c>
      <c r="U4450" s="124" t="str">
        <f>IFERROR(__xludf.DUMMYFUNCTION("""COMPUTED_VALUE"""),"Walk-Ins")</f>
        <v>Walk-Ins</v>
      </c>
      <c r="V4450" s="124" t="str">
        <f>IFERROR(__xludf.DUMMYFUNCTION("""COMPUTED_VALUE"""),"Walkin")</f>
        <v>Walkin</v>
      </c>
      <c r="W4450" s="124" t="str">
        <f>IFERROR(__xludf.DUMMYFUNCTION("""COMPUTED_VALUE"""),"Prayagraj")</f>
        <v>Prayagraj</v>
      </c>
      <c r="X4450" s="124" t="str">
        <f>IFERROR(__xludf.DUMMYFUNCTION("""COMPUTED_VALUE"""),"Walkin")</f>
        <v>Walkin</v>
      </c>
      <c r="Y4450" s="124" t="str">
        <f>IFERROR(__xludf.DUMMYFUNCTION("""COMPUTED_VALUE"""),"Prayagraj")</f>
        <v>Prayagraj</v>
      </c>
      <c r="Z4450" s="124">
        <f>IFERROR(__xludf.DUMMYFUNCTION("""COMPUTED_VALUE"""),1.0)</f>
        <v>1</v>
      </c>
      <c r="AA4450" s="124" t="str">
        <f>IFERROR(__xludf.DUMMYFUNCTION("""COMPUTED_VALUE"""),"Cold")</f>
        <v>Cold</v>
      </c>
      <c r="AB4450" s="124" t="str">
        <f>IFERROR(__xludf.DUMMYFUNCTION("""COMPUTED_VALUE"""),"Test Series")</f>
        <v>Test Series</v>
      </c>
    </row>
    <row r="4451">
      <c r="K4451" s="124"/>
      <c r="L4451" s="124"/>
      <c r="M4451" s="124"/>
      <c r="N4451" s="124"/>
      <c r="O4451" s="124"/>
      <c r="T4451" s="126">
        <f>IFERROR(__xludf.DUMMYFUNCTION("""COMPUTED_VALUE"""),46067.0)</f>
        <v>46067</v>
      </c>
      <c r="U4451" s="124" t="str">
        <f>IFERROR(__xludf.DUMMYFUNCTION("""COMPUTED_VALUE"""),"Walk-Ins")</f>
        <v>Walk-Ins</v>
      </c>
      <c r="V4451" s="124" t="str">
        <f>IFERROR(__xludf.DUMMYFUNCTION("""COMPUTED_VALUE"""),"Walkin")</f>
        <v>Walkin</v>
      </c>
      <c r="W4451" s="124" t="str">
        <f>IFERROR(__xludf.DUMMYFUNCTION("""COMPUTED_VALUE"""),"Prayagraj")</f>
        <v>Prayagraj</v>
      </c>
      <c r="X4451" s="124" t="str">
        <f>IFERROR(__xludf.DUMMYFUNCTION("""COMPUTED_VALUE"""),"Walkin")</f>
        <v>Walkin</v>
      </c>
      <c r="Y4451" s="124" t="str">
        <f>IFERROR(__xludf.DUMMYFUNCTION("""COMPUTED_VALUE"""),"Prayagraj")</f>
        <v>Prayagraj</v>
      </c>
      <c r="Z4451" s="124">
        <f>IFERROR(__xludf.DUMMYFUNCTION("""COMPUTED_VALUE"""),1.0)</f>
        <v>1</v>
      </c>
      <c r="AA4451" s="124" t="str">
        <f>IFERROR(__xludf.DUMMYFUNCTION("""COMPUTED_VALUE"""),"Cold")</f>
        <v>Cold</v>
      </c>
      <c r="AB4451" s="124" t="str">
        <f>IFERROR(__xludf.DUMMYFUNCTION("""COMPUTED_VALUE"""),"Mentorship")</f>
        <v>Mentorship</v>
      </c>
    </row>
    <row r="4452">
      <c r="K4452" s="124"/>
      <c r="L4452" s="124"/>
      <c r="M4452" s="124"/>
      <c r="N4452" s="124"/>
      <c r="O4452" s="124"/>
      <c r="T4452" s="126">
        <f>IFERROR(__xludf.DUMMYFUNCTION("""COMPUTED_VALUE"""),46105.0)</f>
        <v>46105</v>
      </c>
      <c r="U4452" s="124" t="str">
        <f>IFERROR(__xludf.DUMMYFUNCTION("""COMPUTED_VALUE"""),"Walk-Ins")</f>
        <v>Walk-Ins</v>
      </c>
      <c r="V4452" s="124" t="str">
        <f>IFERROR(__xludf.DUMMYFUNCTION("""COMPUTED_VALUE"""),"Walkin")</f>
        <v>Walkin</v>
      </c>
      <c r="W4452" s="124" t="str">
        <f>IFERROR(__xludf.DUMMYFUNCTION("""COMPUTED_VALUE"""),"Patna")</f>
        <v>Patna</v>
      </c>
      <c r="X4452" s="124" t="str">
        <f>IFERROR(__xludf.DUMMYFUNCTION("""COMPUTED_VALUE"""),"Walkin")</f>
        <v>Walkin</v>
      </c>
      <c r="Y4452" s="124" t="str">
        <f>IFERROR(__xludf.DUMMYFUNCTION("""COMPUTED_VALUE"""),"Patna")</f>
        <v>Patna</v>
      </c>
      <c r="Z4452" s="124">
        <f>IFERROR(__xludf.DUMMYFUNCTION("""COMPUTED_VALUE"""),1.0)</f>
        <v>1</v>
      </c>
      <c r="AA4452" s="124" t="str">
        <f>IFERROR(__xludf.DUMMYFUNCTION("""COMPUTED_VALUE"""),"Future Prospects")</f>
        <v>Future Prospects</v>
      </c>
      <c r="AB4452" s="124" t="str">
        <f>IFERROR(__xludf.DUMMYFUNCTION("""COMPUTED_VALUE"""),"GS Advanced")</f>
        <v>GS Advanced</v>
      </c>
    </row>
    <row r="4453">
      <c r="K4453" s="124"/>
      <c r="L4453" s="124"/>
      <c r="M4453" s="124"/>
      <c r="N4453" s="124"/>
      <c r="O4453" s="124"/>
      <c r="T4453" s="126">
        <f>IFERROR(__xludf.DUMMYFUNCTION("""COMPUTED_VALUE"""),46108.0)</f>
        <v>46108</v>
      </c>
      <c r="U4453" s="124" t="str">
        <f>IFERROR(__xludf.DUMMYFUNCTION("""COMPUTED_VALUE"""),"Walk-Ins")</f>
        <v>Walk-Ins</v>
      </c>
      <c r="V4453" s="124" t="str">
        <f>IFERROR(__xludf.DUMMYFUNCTION("""COMPUTED_VALUE"""),"Walkin")</f>
        <v>Walkin</v>
      </c>
      <c r="W4453" s="124" t="str">
        <f>IFERROR(__xludf.DUMMYFUNCTION("""COMPUTED_VALUE"""),"Prayagraj")</f>
        <v>Prayagraj</v>
      </c>
      <c r="X4453" s="124" t="str">
        <f>IFERROR(__xludf.DUMMYFUNCTION("""COMPUTED_VALUE"""),"Walkin")</f>
        <v>Walkin</v>
      </c>
      <c r="Y4453" s="124" t="str">
        <f>IFERROR(__xludf.DUMMYFUNCTION("""COMPUTED_VALUE"""),"Prayagraj")</f>
        <v>Prayagraj</v>
      </c>
      <c r="Z4453" s="124">
        <f>IFERROR(__xludf.DUMMYFUNCTION("""COMPUTED_VALUE"""),1.0)</f>
        <v>1</v>
      </c>
      <c r="AA4453" s="124" t="str">
        <f>IFERROR(__xludf.DUMMYFUNCTION("""COMPUTED_VALUE"""),"Not Interested")</f>
        <v>Not Interested</v>
      </c>
      <c r="AB4453" s="124" t="str">
        <f>IFERROR(__xludf.DUMMYFUNCTION("""COMPUTED_VALUE"""),"GS Foundation")</f>
        <v>GS Foundation</v>
      </c>
    </row>
    <row r="4454">
      <c r="K4454" s="124"/>
      <c r="L4454" s="124"/>
      <c r="M4454" s="124"/>
      <c r="N4454" s="124"/>
      <c r="O4454" s="124"/>
      <c r="T4454" s="126">
        <f>IFERROR(__xludf.DUMMYFUNCTION("""COMPUTED_VALUE"""),46065.0)</f>
        <v>46065</v>
      </c>
      <c r="U4454" s="124" t="str">
        <f>IFERROR(__xludf.DUMMYFUNCTION("""COMPUTED_VALUE"""),"Walk-Ins")</f>
        <v>Walk-Ins</v>
      </c>
      <c r="V4454" s="124" t="str">
        <f>IFERROR(__xludf.DUMMYFUNCTION("""COMPUTED_VALUE"""),"Walkin")</f>
        <v>Walkin</v>
      </c>
      <c r="W4454" s="124" t="str">
        <f>IFERROR(__xludf.DUMMYFUNCTION("""COMPUTED_VALUE"""),"Patna")</f>
        <v>Patna</v>
      </c>
      <c r="X4454" s="124" t="str">
        <f>IFERROR(__xludf.DUMMYFUNCTION("""COMPUTED_VALUE"""),"Walkin")</f>
        <v>Walkin</v>
      </c>
      <c r="Y4454" s="124" t="str">
        <f>IFERROR(__xludf.DUMMYFUNCTION("""COMPUTED_VALUE"""),"Patna")</f>
        <v>Patna</v>
      </c>
      <c r="Z4454" s="124">
        <f>IFERROR(__xludf.DUMMYFUNCTION("""COMPUTED_VALUE"""),1.0)</f>
        <v>1</v>
      </c>
      <c r="AA4454" s="124" t="str">
        <f>IFERROR(__xludf.DUMMYFUNCTION("""COMPUTED_VALUE"""),"Future Prospects")</f>
        <v>Future Prospects</v>
      </c>
      <c r="AB4454" s="124" t="str">
        <f>IFERROR(__xludf.DUMMYFUNCTION("""COMPUTED_VALUE"""),"GS Foundation")</f>
        <v>GS Foundation</v>
      </c>
    </row>
    <row r="4455">
      <c r="K4455" s="124"/>
      <c r="L4455" s="124"/>
      <c r="M4455" s="124"/>
      <c r="N4455" s="124"/>
      <c r="O4455" s="124"/>
      <c r="T4455" s="126">
        <f>IFERROR(__xludf.DUMMYFUNCTION("""COMPUTED_VALUE"""),46106.0)</f>
        <v>46106</v>
      </c>
      <c r="U4455" s="124" t="str">
        <f>IFERROR(__xludf.DUMMYFUNCTION("""COMPUTED_VALUE"""),"Walk-Ins")</f>
        <v>Walk-Ins</v>
      </c>
      <c r="V4455" s="124" t="str">
        <f>IFERROR(__xludf.DUMMYFUNCTION("""COMPUTED_VALUE"""),"Walkin")</f>
        <v>Walkin</v>
      </c>
      <c r="W4455" s="124" t="str">
        <f>IFERROR(__xludf.DUMMYFUNCTION("""COMPUTED_VALUE"""),"Patna")</f>
        <v>Patna</v>
      </c>
      <c r="X4455" s="124" t="str">
        <f>IFERROR(__xludf.DUMMYFUNCTION("""COMPUTED_VALUE"""),"Walkin")</f>
        <v>Walkin</v>
      </c>
      <c r="Y4455" s="124" t="str">
        <f>IFERROR(__xludf.DUMMYFUNCTION("""COMPUTED_VALUE"""),"Patna")</f>
        <v>Patna</v>
      </c>
      <c r="Z4455" s="124">
        <f>IFERROR(__xludf.DUMMYFUNCTION("""COMPUTED_VALUE"""),1.0)</f>
        <v>1</v>
      </c>
      <c r="AA4455" s="124" t="str">
        <f>IFERROR(__xludf.DUMMYFUNCTION("""COMPUTED_VALUE"""),"Warm")</f>
        <v>Warm</v>
      </c>
      <c r="AB4455" s="124" t="str">
        <f>IFERROR(__xludf.DUMMYFUNCTION("""COMPUTED_VALUE"""),"GS Foundation")</f>
        <v>GS Foundation</v>
      </c>
    </row>
    <row r="4456">
      <c r="K4456" s="124"/>
      <c r="L4456" s="124"/>
      <c r="M4456" s="124"/>
      <c r="N4456" s="124"/>
      <c r="O4456" s="124"/>
      <c r="T4456" s="126">
        <f>IFERROR(__xludf.DUMMYFUNCTION("""COMPUTED_VALUE"""),46092.0)</f>
        <v>46092</v>
      </c>
      <c r="U4456" s="124" t="str">
        <f>IFERROR(__xludf.DUMMYFUNCTION("""COMPUTED_VALUE"""),"Walk-Ins")</f>
        <v>Walk-Ins</v>
      </c>
      <c r="V4456" s="124" t="str">
        <f>IFERROR(__xludf.DUMMYFUNCTION("""COMPUTED_VALUE"""),"Walkin")</f>
        <v>Walkin</v>
      </c>
      <c r="W4456" s="124" t="str">
        <f>IFERROR(__xludf.DUMMYFUNCTION("""COMPUTED_VALUE"""),"Patna")</f>
        <v>Patna</v>
      </c>
      <c r="X4456" s="124" t="str">
        <f>IFERROR(__xludf.DUMMYFUNCTION("""COMPUTED_VALUE"""),"Walkin")</f>
        <v>Walkin</v>
      </c>
      <c r="Y4456" s="124" t="str">
        <f>IFERROR(__xludf.DUMMYFUNCTION("""COMPUTED_VALUE"""),"Patna")</f>
        <v>Patna</v>
      </c>
      <c r="Z4456" s="124">
        <f>IFERROR(__xludf.DUMMYFUNCTION("""COMPUTED_VALUE"""),1.0)</f>
        <v>1</v>
      </c>
      <c r="AA4456" s="124" t="str">
        <f>IFERROR(__xludf.DUMMYFUNCTION("""COMPUTED_VALUE"""),"Warm")</f>
        <v>Warm</v>
      </c>
      <c r="AB4456" s="124" t="str">
        <f>IFERROR(__xludf.DUMMYFUNCTION("""COMPUTED_VALUE"""),"State PCS")</f>
        <v>State PCS</v>
      </c>
    </row>
    <row r="4457">
      <c r="K4457" s="124"/>
      <c r="L4457" s="124"/>
      <c r="M4457" s="124"/>
      <c r="N4457" s="124"/>
      <c r="O4457" s="124"/>
      <c r="T4457" s="126">
        <f>IFERROR(__xludf.DUMMYFUNCTION("""COMPUTED_VALUE"""),46052.0)</f>
        <v>46052</v>
      </c>
      <c r="U4457" s="124" t="str">
        <f>IFERROR(__xludf.DUMMYFUNCTION("""COMPUTED_VALUE"""),"Walk-Ins")</f>
        <v>Walk-Ins</v>
      </c>
      <c r="V4457" s="124" t="str">
        <f>IFERROR(__xludf.DUMMYFUNCTION("""COMPUTED_VALUE"""),"Walkin")</f>
        <v>Walkin</v>
      </c>
      <c r="W4457" s="124" t="str">
        <f>IFERROR(__xludf.DUMMYFUNCTION("""COMPUTED_VALUE"""),"Patna")</f>
        <v>Patna</v>
      </c>
      <c r="X4457" s="124" t="str">
        <f>IFERROR(__xludf.DUMMYFUNCTION("""COMPUTED_VALUE"""),"Walkin")</f>
        <v>Walkin</v>
      </c>
      <c r="Y4457" s="124" t="str">
        <f>IFERROR(__xludf.DUMMYFUNCTION("""COMPUTED_VALUE"""),"Patna")</f>
        <v>Patna</v>
      </c>
      <c r="Z4457" s="124">
        <f>IFERROR(__xludf.DUMMYFUNCTION("""COMPUTED_VALUE"""),1.0)</f>
        <v>1</v>
      </c>
      <c r="AA4457" s="124" t="str">
        <f>IFERROR(__xludf.DUMMYFUNCTION("""COMPUTED_VALUE"""),"Future Prospects")</f>
        <v>Future Prospects</v>
      </c>
      <c r="AB4457" s="124" t="str">
        <f>IFERROR(__xludf.DUMMYFUNCTION("""COMPUTED_VALUE"""),"Other")</f>
        <v>Other</v>
      </c>
    </row>
    <row r="4458">
      <c r="K4458" s="124"/>
      <c r="L4458" s="124"/>
      <c r="M4458" s="124"/>
      <c r="N4458" s="124"/>
      <c r="O4458" s="124"/>
      <c r="T4458" s="129">
        <f>IFERROR(__xludf.DUMMYFUNCTION("""COMPUTED_VALUE"""),46060.0)</f>
        <v>46060</v>
      </c>
      <c r="U4458" s="124" t="str">
        <f>IFERROR(__xludf.DUMMYFUNCTION("""COMPUTED_VALUE"""),"Walk-Ins")</f>
        <v>Walk-Ins</v>
      </c>
      <c r="V4458" s="124" t="str">
        <f>IFERROR(__xludf.DUMMYFUNCTION("""COMPUTED_VALUE"""),"Walkin")</f>
        <v>Walkin</v>
      </c>
      <c r="W4458" s="124" t="str">
        <f>IFERROR(__xludf.DUMMYFUNCTION("""COMPUTED_VALUE"""),"Indore")</f>
        <v>Indore</v>
      </c>
      <c r="X4458" s="124" t="str">
        <f>IFERROR(__xludf.DUMMYFUNCTION("""COMPUTED_VALUE"""),"Walkin")</f>
        <v>Walkin</v>
      </c>
      <c r="Y4458" s="124" t="str">
        <f>IFERROR(__xludf.DUMMYFUNCTION("""COMPUTED_VALUE"""),"Indore")</f>
        <v>Indore</v>
      </c>
      <c r="Z4458" s="124">
        <f>IFERROR(__xludf.DUMMYFUNCTION("""COMPUTED_VALUE"""),1.0)</f>
        <v>1</v>
      </c>
      <c r="AA4458" s="124" t="str">
        <f>IFERROR(__xludf.DUMMYFUNCTION("""COMPUTED_VALUE"""),"Cold")</f>
        <v>Cold</v>
      </c>
      <c r="AB4458" s="124" t="str">
        <f>IFERROR(__xludf.DUMMYFUNCTION("""COMPUTED_VALUE"""),"GS Foundation")</f>
        <v>GS Foundation</v>
      </c>
    </row>
    <row r="4459">
      <c r="K4459" s="124"/>
      <c r="L4459" s="124"/>
      <c r="M4459" s="124"/>
      <c r="N4459" s="124"/>
      <c r="O4459" s="124"/>
      <c r="T4459" s="129">
        <f>IFERROR(__xludf.DUMMYFUNCTION("""COMPUTED_VALUE"""),46058.0)</f>
        <v>46058</v>
      </c>
      <c r="U4459" s="124" t="str">
        <f>IFERROR(__xludf.DUMMYFUNCTION("""COMPUTED_VALUE"""),"Walk-Ins")</f>
        <v>Walk-Ins</v>
      </c>
      <c r="V4459" s="124" t="str">
        <f>IFERROR(__xludf.DUMMYFUNCTION("""COMPUTED_VALUE"""),"Walkin")</f>
        <v>Walkin</v>
      </c>
      <c r="W4459" s="124" t="str">
        <f>IFERROR(__xludf.DUMMYFUNCTION("""COMPUTED_VALUE"""),"Indore")</f>
        <v>Indore</v>
      </c>
      <c r="X4459" s="124" t="str">
        <f>IFERROR(__xludf.DUMMYFUNCTION("""COMPUTED_VALUE"""),"Walkin")</f>
        <v>Walkin</v>
      </c>
      <c r="Y4459" s="124" t="str">
        <f>IFERROR(__xludf.DUMMYFUNCTION("""COMPUTED_VALUE"""),"Indore")</f>
        <v>Indore</v>
      </c>
      <c r="Z4459" s="124">
        <f>IFERROR(__xludf.DUMMYFUNCTION("""COMPUTED_VALUE"""),1.0)</f>
        <v>1</v>
      </c>
      <c r="AA4459" s="124" t="str">
        <f>IFERROR(__xludf.DUMMYFUNCTION("""COMPUTED_VALUE"""),"Cold")</f>
        <v>Cold</v>
      </c>
      <c r="AB4459" s="124" t="str">
        <f>IFERROR(__xludf.DUMMYFUNCTION("""COMPUTED_VALUE"""),"GS Foundation")</f>
        <v>GS Foundation</v>
      </c>
    </row>
    <row r="4460">
      <c r="K4460" s="124"/>
      <c r="L4460" s="124"/>
      <c r="M4460" s="124"/>
      <c r="N4460" s="124"/>
      <c r="O4460" s="124"/>
      <c r="T4460" s="126">
        <f>IFERROR(__xludf.DUMMYFUNCTION("""COMPUTED_VALUE"""),46075.0)</f>
        <v>46075</v>
      </c>
      <c r="U4460" s="124" t="str">
        <f>IFERROR(__xludf.DUMMYFUNCTION("""COMPUTED_VALUE"""),"Walk-Ins")</f>
        <v>Walk-Ins</v>
      </c>
      <c r="V4460" s="124" t="str">
        <f>IFERROR(__xludf.DUMMYFUNCTION("""COMPUTED_VALUE"""),"Walkin")</f>
        <v>Walkin</v>
      </c>
      <c r="W4460" s="124" t="str">
        <f>IFERROR(__xludf.DUMMYFUNCTION("""COMPUTED_VALUE"""),"Lucknow")</f>
        <v>Lucknow</v>
      </c>
      <c r="X4460" s="124" t="str">
        <f>IFERROR(__xludf.DUMMYFUNCTION("""COMPUTED_VALUE"""),"Walkin")</f>
        <v>Walkin</v>
      </c>
      <c r="Y4460" s="124" t="str">
        <f>IFERROR(__xludf.DUMMYFUNCTION("""COMPUTED_VALUE"""),"Lucknow")</f>
        <v>Lucknow</v>
      </c>
      <c r="Z4460" s="124">
        <f>IFERROR(__xludf.DUMMYFUNCTION("""COMPUTED_VALUE"""),1.0)</f>
        <v>1</v>
      </c>
      <c r="AA4460" s="124" t="str">
        <f>IFERROR(__xludf.DUMMYFUNCTION("""COMPUTED_VALUE"""),"Enrolled")</f>
        <v>Enrolled</v>
      </c>
      <c r="AB4460" s="124" t="str">
        <f>IFERROR(__xludf.DUMMYFUNCTION("""COMPUTED_VALUE"""),"Hybrid")</f>
        <v>Hybrid</v>
      </c>
    </row>
    <row r="4461">
      <c r="K4461" s="124"/>
      <c r="L4461" s="124"/>
      <c r="M4461" s="124"/>
      <c r="N4461" s="124"/>
      <c r="O4461" s="124"/>
      <c r="T4461" s="129">
        <f>IFERROR(__xludf.DUMMYFUNCTION("""COMPUTED_VALUE"""),46061.0)</f>
        <v>46061</v>
      </c>
      <c r="U4461" s="124" t="str">
        <f>IFERROR(__xludf.DUMMYFUNCTION("""COMPUTED_VALUE"""),"Walk-Ins")</f>
        <v>Walk-Ins</v>
      </c>
      <c r="V4461" s="124" t="str">
        <f>IFERROR(__xludf.DUMMYFUNCTION("""COMPUTED_VALUE"""),"Walkin")</f>
        <v>Walkin</v>
      </c>
      <c r="W4461" s="124" t="str">
        <f>IFERROR(__xludf.DUMMYFUNCTION("""COMPUTED_VALUE"""),"Prayagraj")</f>
        <v>Prayagraj</v>
      </c>
      <c r="X4461" s="124" t="str">
        <f>IFERROR(__xludf.DUMMYFUNCTION("""COMPUTED_VALUE"""),"Walkin")</f>
        <v>Walkin</v>
      </c>
      <c r="Y4461" s="124" t="str">
        <f>IFERROR(__xludf.DUMMYFUNCTION("""COMPUTED_VALUE"""),"Prayagraj")</f>
        <v>Prayagraj</v>
      </c>
      <c r="Z4461" s="124">
        <f>IFERROR(__xludf.DUMMYFUNCTION("""COMPUTED_VALUE"""),1.0)</f>
        <v>1</v>
      </c>
      <c r="AA4461" s="124" t="str">
        <f>IFERROR(__xludf.DUMMYFUNCTION("""COMPUTED_VALUE"""),"Enrolled")</f>
        <v>Enrolled</v>
      </c>
      <c r="AB4461" s="124" t="str">
        <f>IFERROR(__xludf.DUMMYFUNCTION("""COMPUTED_VALUE"""),"State PCS")</f>
        <v>State PCS</v>
      </c>
    </row>
    <row r="4462">
      <c r="K4462" s="124"/>
      <c r="L4462" s="124"/>
      <c r="M4462" s="124"/>
      <c r="N4462" s="124"/>
      <c r="O4462" s="124"/>
      <c r="T4462" s="129">
        <f>IFERROR(__xludf.DUMMYFUNCTION("""COMPUTED_VALUE"""),46057.0)</f>
        <v>46057</v>
      </c>
      <c r="U4462" s="124" t="str">
        <f>IFERROR(__xludf.DUMMYFUNCTION("""COMPUTED_VALUE"""),"Walk-Ins")</f>
        <v>Walk-Ins</v>
      </c>
      <c r="V4462" s="124" t="str">
        <f>IFERROR(__xludf.DUMMYFUNCTION("""COMPUTED_VALUE"""),"Walkin")</f>
        <v>Walkin</v>
      </c>
      <c r="W4462" s="124" t="str">
        <f>IFERROR(__xludf.DUMMYFUNCTION("""COMPUTED_VALUE"""),"Prayagraj")</f>
        <v>Prayagraj</v>
      </c>
      <c r="X4462" s="124" t="str">
        <f>IFERROR(__xludf.DUMMYFUNCTION("""COMPUTED_VALUE"""),"Walkin")</f>
        <v>Walkin</v>
      </c>
      <c r="Y4462" s="124" t="str">
        <f>IFERROR(__xludf.DUMMYFUNCTION("""COMPUTED_VALUE"""),"Prayagraj")</f>
        <v>Prayagraj</v>
      </c>
      <c r="Z4462" s="124">
        <f>IFERROR(__xludf.DUMMYFUNCTION("""COMPUTED_VALUE"""),1.0)</f>
        <v>1</v>
      </c>
      <c r="AA4462" s="124" t="str">
        <f>IFERROR(__xludf.DUMMYFUNCTION("""COMPUTED_VALUE"""),"Cold")</f>
        <v>Cold</v>
      </c>
      <c r="AB4462" s="124" t="str">
        <f>IFERROR(__xludf.DUMMYFUNCTION("""COMPUTED_VALUE"""),"State PCS")</f>
        <v>State PCS</v>
      </c>
    </row>
    <row r="4463">
      <c r="K4463" s="124"/>
      <c r="L4463" s="124"/>
      <c r="M4463" s="124"/>
      <c r="N4463" s="124"/>
      <c r="O4463" s="124"/>
      <c r="T4463" s="126">
        <f>IFERROR(__xludf.DUMMYFUNCTION("""COMPUTED_VALUE"""),46109.0)</f>
        <v>46109</v>
      </c>
      <c r="U4463" s="124" t="str">
        <f>IFERROR(__xludf.DUMMYFUNCTION("""COMPUTED_VALUE"""),"Walk-Ins")</f>
        <v>Walk-Ins</v>
      </c>
      <c r="V4463" s="124" t="str">
        <f>IFERROR(__xludf.DUMMYFUNCTION("""COMPUTED_VALUE"""),"Walkin")</f>
        <v>Walkin</v>
      </c>
      <c r="W4463" s="124" t="str">
        <f>IFERROR(__xludf.DUMMYFUNCTION("""COMPUTED_VALUE"""),"Patna")</f>
        <v>Patna</v>
      </c>
      <c r="X4463" s="124" t="str">
        <f>IFERROR(__xludf.DUMMYFUNCTION("""COMPUTED_VALUE"""),"Walkin")</f>
        <v>Walkin</v>
      </c>
      <c r="Y4463" s="124" t="str">
        <f>IFERROR(__xludf.DUMMYFUNCTION("""COMPUTED_VALUE"""),"Patna")</f>
        <v>Patna</v>
      </c>
      <c r="Z4463" s="124">
        <f>IFERROR(__xludf.DUMMYFUNCTION("""COMPUTED_VALUE"""),1.0)</f>
        <v>1</v>
      </c>
      <c r="AA4463" s="124" t="str">
        <f>IFERROR(__xludf.DUMMYFUNCTION("""COMPUTED_VALUE"""),"Future Prospects")</f>
        <v>Future Prospects</v>
      </c>
      <c r="AB4463" s="124" t="str">
        <f>IFERROR(__xludf.DUMMYFUNCTION("""COMPUTED_VALUE"""),"State PCS")</f>
        <v>State PCS</v>
      </c>
    </row>
    <row r="4464">
      <c r="K4464" s="124"/>
      <c r="L4464" s="124"/>
      <c r="M4464" s="124"/>
      <c r="N4464" s="124"/>
      <c r="O4464" s="124"/>
      <c r="T4464" s="126">
        <f>IFERROR(__xludf.DUMMYFUNCTION("""COMPUTED_VALUE"""),46053.0)</f>
        <v>46053</v>
      </c>
      <c r="U4464" s="124" t="str">
        <f>IFERROR(__xludf.DUMMYFUNCTION("""COMPUTED_VALUE"""),"Walk-Ins")</f>
        <v>Walk-Ins</v>
      </c>
      <c r="V4464" s="124" t="str">
        <f>IFERROR(__xludf.DUMMYFUNCTION("""COMPUTED_VALUE"""),"Walk-In")</f>
        <v>Walk-In</v>
      </c>
      <c r="W4464" s="124" t="str">
        <f>IFERROR(__xludf.DUMMYFUNCTION("""COMPUTED_VALUE"""),"Patna")</f>
        <v>Patna</v>
      </c>
      <c r="X4464" s="124" t="str">
        <f>IFERROR(__xludf.DUMMYFUNCTION("""COMPUTED_VALUE"""),"Others")</f>
        <v>Others</v>
      </c>
      <c r="Y4464" s="124" t="str">
        <f>IFERROR(__xludf.DUMMYFUNCTION("""COMPUTED_VALUE"""),"Patna")</f>
        <v>Patna</v>
      </c>
      <c r="Z4464" s="124">
        <f>IFERROR(__xludf.DUMMYFUNCTION("""COMPUTED_VALUE"""),1.0)</f>
        <v>1</v>
      </c>
      <c r="AA4464" s="124" t="str">
        <f>IFERROR(__xludf.DUMMYFUNCTION("""COMPUTED_VALUE"""),"Warm")</f>
        <v>Warm</v>
      </c>
      <c r="AB4464" s="124" t="str">
        <f>IFERROR(__xludf.DUMMYFUNCTION("""COMPUTED_VALUE"""),"State PCS")</f>
        <v>State PCS</v>
      </c>
    </row>
    <row r="4465">
      <c r="K4465" s="124"/>
      <c r="L4465" s="124"/>
      <c r="M4465" s="124"/>
      <c r="N4465" s="124"/>
      <c r="O4465" s="124"/>
      <c r="T4465" s="126">
        <f>IFERROR(__xludf.DUMMYFUNCTION("""COMPUTED_VALUE"""),46092.0)</f>
        <v>46092</v>
      </c>
      <c r="U4465" s="124" t="str">
        <f>IFERROR(__xludf.DUMMYFUNCTION("""COMPUTED_VALUE"""),"Walk-Ins")</f>
        <v>Walk-Ins</v>
      </c>
      <c r="V4465" s="124" t="str">
        <f>IFERROR(__xludf.DUMMYFUNCTION("""COMPUTED_VALUE"""),"Walkin")</f>
        <v>Walkin</v>
      </c>
      <c r="W4465" s="124" t="str">
        <f>IFERROR(__xludf.DUMMYFUNCTION("""COMPUTED_VALUE"""),"Prayagraj")</f>
        <v>Prayagraj</v>
      </c>
      <c r="X4465" s="124" t="str">
        <f>IFERROR(__xludf.DUMMYFUNCTION("""COMPUTED_VALUE"""),"Walkin")</f>
        <v>Walkin</v>
      </c>
      <c r="Y4465" s="124" t="str">
        <f>IFERROR(__xludf.DUMMYFUNCTION("""COMPUTED_VALUE"""),"Prayagraj")</f>
        <v>Prayagraj</v>
      </c>
      <c r="Z4465" s="124">
        <f>IFERROR(__xludf.DUMMYFUNCTION("""COMPUTED_VALUE"""),1.0)</f>
        <v>1</v>
      </c>
      <c r="AA4465" s="124" t="str">
        <f>IFERROR(__xludf.DUMMYFUNCTION("""COMPUTED_VALUE"""),"Cold")</f>
        <v>Cold</v>
      </c>
      <c r="AB4465" s="124" t="str">
        <f>IFERROR(__xludf.DUMMYFUNCTION("""COMPUTED_VALUE"""),"Optionals")</f>
        <v>Optionals</v>
      </c>
    </row>
    <row r="4466">
      <c r="K4466" s="124"/>
      <c r="L4466" s="124"/>
      <c r="M4466" s="124"/>
      <c r="N4466" s="124"/>
      <c r="O4466" s="124"/>
      <c r="T4466" s="126">
        <f>IFERROR(__xludf.DUMMYFUNCTION("""COMPUTED_VALUE"""),46079.0)</f>
        <v>46079</v>
      </c>
      <c r="U4466" s="124" t="str">
        <f>IFERROR(__xludf.DUMMYFUNCTION("""COMPUTED_VALUE"""),"Walk-Ins")</f>
        <v>Walk-Ins</v>
      </c>
      <c r="V4466" s="124" t="str">
        <f>IFERROR(__xludf.DUMMYFUNCTION("""COMPUTED_VALUE"""),"Walkin")</f>
        <v>Walkin</v>
      </c>
      <c r="W4466" s="124" t="str">
        <f>IFERROR(__xludf.DUMMYFUNCTION("""COMPUTED_VALUE"""),"Indore")</f>
        <v>Indore</v>
      </c>
      <c r="X4466" s="124" t="str">
        <f>IFERROR(__xludf.DUMMYFUNCTION("""COMPUTED_VALUE"""),"Walkin")</f>
        <v>Walkin</v>
      </c>
      <c r="Y4466" s="124" t="str">
        <f>IFERROR(__xludf.DUMMYFUNCTION("""COMPUTED_VALUE"""),"Indore")</f>
        <v>Indore</v>
      </c>
      <c r="Z4466" s="124">
        <f>IFERROR(__xludf.DUMMYFUNCTION("""COMPUTED_VALUE"""),1.0)</f>
        <v>1</v>
      </c>
      <c r="AA4466" s="124" t="str">
        <f>IFERROR(__xludf.DUMMYFUNCTION("""COMPUTED_VALUE"""),"Not Interested")</f>
        <v>Not Interested</v>
      </c>
      <c r="AB4466" s="124" t="str">
        <f>IFERROR(__xludf.DUMMYFUNCTION("""COMPUTED_VALUE"""),"Other")</f>
        <v>Other</v>
      </c>
    </row>
    <row r="4467">
      <c r="K4467" s="124"/>
      <c r="L4467" s="124"/>
      <c r="M4467" s="124"/>
      <c r="N4467" s="124"/>
      <c r="O4467" s="124"/>
      <c r="T4467" s="126">
        <f>IFERROR(__xludf.DUMMYFUNCTION("""COMPUTED_VALUE"""),46068.0)</f>
        <v>46068</v>
      </c>
      <c r="U4467" s="124" t="str">
        <f>IFERROR(__xludf.DUMMYFUNCTION("""COMPUTED_VALUE"""),"Walk-Ins")</f>
        <v>Walk-Ins</v>
      </c>
      <c r="V4467" s="124" t="str">
        <f>IFERROR(__xludf.DUMMYFUNCTION("""COMPUTED_VALUE"""),"Walkin")</f>
        <v>Walkin</v>
      </c>
      <c r="W4467" s="124" t="str">
        <f>IFERROR(__xludf.DUMMYFUNCTION("""COMPUTED_VALUE"""),"Lucknow")</f>
        <v>Lucknow</v>
      </c>
      <c r="X4467" s="124" t="str">
        <f>IFERROR(__xludf.DUMMYFUNCTION("""COMPUTED_VALUE"""),"Walkin")</f>
        <v>Walkin</v>
      </c>
      <c r="Y4467" s="124" t="str">
        <f>IFERROR(__xludf.DUMMYFUNCTION("""COMPUTED_VALUE"""),"Lucknow")</f>
        <v>Lucknow</v>
      </c>
      <c r="Z4467" s="124">
        <f>IFERROR(__xludf.DUMMYFUNCTION("""COMPUTED_VALUE"""),1.0)</f>
        <v>1</v>
      </c>
      <c r="AA4467" s="124" t="str">
        <f>IFERROR(__xludf.DUMMYFUNCTION("""COMPUTED_VALUE"""),"Future Prospects")</f>
        <v>Future Prospects</v>
      </c>
      <c r="AB4467" s="124" t="str">
        <f>IFERROR(__xludf.DUMMYFUNCTION("""COMPUTED_VALUE"""),"GS Foundation")</f>
        <v>GS Foundation</v>
      </c>
    </row>
    <row r="4468">
      <c r="K4468" s="124"/>
      <c r="L4468" s="124"/>
      <c r="M4468" s="124"/>
      <c r="N4468" s="124"/>
      <c r="O4468" s="124"/>
      <c r="T4468" s="126">
        <f>IFERROR(__xludf.DUMMYFUNCTION("""COMPUTED_VALUE"""),46092.0)</f>
        <v>46092</v>
      </c>
      <c r="U4468" s="124" t="str">
        <f>IFERROR(__xludf.DUMMYFUNCTION("""COMPUTED_VALUE"""),"Walk-Ins")</f>
        <v>Walk-Ins</v>
      </c>
      <c r="V4468" s="124" t="str">
        <f>IFERROR(__xludf.DUMMYFUNCTION("""COMPUTED_VALUE"""),"Walkin")</f>
        <v>Walkin</v>
      </c>
      <c r="W4468" s="124" t="str">
        <f>IFERROR(__xludf.DUMMYFUNCTION("""COMPUTED_VALUE"""),"Prayagraj")</f>
        <v>Prayagraj</v>
      </c>
      <c r="X4468" s="124" t="str">
        <f>IFERROR(__xludf.DUMMYFUNCTION("""COMPUTED_VALUE"""),"Walkin")</f>
        <v>Walkin</v>
      </c>
      <c r="Y4468" s="124" t="str">
        <f>IFERROR(__xludf.DUMMYFUNCTION("""COMPUTED_VALUE"""),"Prayagraj")</f>
        <v>Prayagraj</v>
      </c>
      <c r="Z4468" s="124">
        <f>IFERROR(__xludf.DUMMYFUNCTION("""COMPUTED_VALUE"""),1.0)</f>
        <v>1</v>
      </c>
      <c r="AA4468" s="124" t="str">
        <f>IFERROR(__xludf.DUMMYFUNCTION("""COMPUTED_VALUE"""),"Warm")</f>
        <v>Warm</v>
      </c>
      <c r="AB4468" s="124" t="str">
        <f>IFERROR(__xludf.DUMMYFUNCTION("""COMPUTED_VALUE"""),"State PCS")</f>
        <v>State PCS</v>
      </c>
    </row>
    <row r="4469">
      <c r="K4469" s="124"/>
      <c r="L4469" s="124"/>
      <c r="M4469" s="124"/>
      <c r="N4469" s="124"/>
      <c r="O4469" s="124"/>
      <c r="T4469" s="126">
        <f>IFERROR(__xludf.DUMMYFUNCTION("""COMPUTED_VALUE"""),46069.0)</f>
        <v>46069</v>
      </c>
      <c r="U4469" s="124" t="str">
        <f>IFERROR(__xludf.DUMMYFUNCTION("""COMPUTED_VALUE"""),"Walk-Ins")</f>
        <v>Walk-Ins</v>
      </c>
      <c r="V4469" s="124" t="str">
        <f>IFERROR(__xludf.DUMMYFUNCTION("""COMPUTED_VALUE"""),"Walkin")</f>
        <v>Walkin</v>
      </c>
      <c r="W4469" s="124" t="str">
        <f>IFERROR(__xludf.DUMMYFUNCTION("""COMPUTED_VALUE"""),"Indore")</f>
        <v>Indore</v>
      </c>
      <c r="X4469" s="124" t="str">
        <f>IFERROR(__xludf.DUMMYFUNCTION("""COMPUTED_VALUE"""),"Walkin")</f>
        <v>Walkin</v>
      </c>
      <c r="Y4469" s="124" t="str">
        <f>IFERROR(__xludf.DUMMYFUNCTION("""COMPUTED_VALUE"""),"Indore")</f>
        <v>Indore</v>
      </c>
      <c r="Z4469" s="124">
        <f>IFERROR(__xludf.DUMMYFUNCTION("""COMPUTED_VALUE"""),1.0)</f>
        <v>1</v>
      </c>
      <c r="AA4469" s="124" t="str">
        <f>IFERROR(__xludf.DUMMYFUNCTION("""COMPUTED_VALUE"""),"Future Prospects")</f>
        <v>Future Prospects</v>
      </c>
      <c r="AB4469" s="124" t="str">
        <f>IFERROR(__xludf.DUMMYFUNCTION("""COMPUTED_VALUE"""),"State PCS")</f>
        <v>State PCS</v>
      </c>
    </row>
    <row r="4470">
      <c r="K4470" s="124"/>
      <c r="L4470" s="124"/>
      <c r="M4470" s="124"/>
      <c r="N4470" s="124"/>
      <c r="O4470" s="124"/>
      <c r="T4470" s="126">
        <f>IFERROR(__xludf.DUMMYFUNCTION("""COMPUTED_VALUE"""),46049.0)</f>
        <v>46049</v>
      </c>
      <c r="U4470" s="124" t="str">
        <f>IFERROR(__xludf.DUMMYFUNCTION("""COMPUTED_VALUE"""),"Walk-Ins")</f>
        <v>Walk-Ins</v>
      </c>
      <c r="V4470" s="124" t="str">
        <f>IFERROR(__xludf.DUMMYFUNCTION("""COMPUTED_VALUE"""),"Walkin")</f>
        <v>Walkin</v>
      </c>
      <c r="W4470" s="124" t="str">
        <f>IFERROR(__xludf.DUMMYFUNCTION("""COMPUTED_VALUE"""),"Lucknow")</f>
        <v>Lucknow</v>
      </c>
      <c r="X4470" s="124" t="str">
        <f>IFERROR(__xludf.DUMMYFUNCTION("""COMPUTED_VALUE"""),"Walkin")</f>
        <v>Walkin</v>
      </c>
      <c r="Y4470" s="124" t="str">
        <f>IFERROR(__xludf.DUMMYFUNCTION("""COMPUTED_VALUE"""),"Lucknow")</f>
        <v>Lucknow</v>
      </c>
      <c r="Z4470" s="124">
        <f>IFERROR(__xludf.DUMMYFUNCTION("""COMPUTED_VALUE"""),1.0)</f>
        <v>1</v>
      </c>
      <c r="AA4470" s="124" t="str">
        <f>IFERROR(__xludf.DUMMYFUNCTION("""COMPUTED_VALUE"""),"Future Prospects")</f>
        <v>Future Prospects</v>
      </c>
      <c r="AB4470" s="124" t="str">
        <f>IFERROR(__xludf.DUMMYFUNCTION("""COMPUTED_VALUE"""),"GS Foundation")</f>
        <v>GS Foundation</v>
      </c>
    </row>
    <row r="4471">
      <c r="K4471" s="124"/>
      <c r="L4471" s="124"/>
      <c r="M4471" s="124"/>
      <c r="N4471" s="124"/>
      <c r="O4471" s="124"/>
      <c r="T4471" s="126">
        <f>IFERROR(__xludf.DUMMYFUNCTION("""COMPUTED_VALUE"""),46096.0)</f>
        <v>46096</v>
      </c>
      <c r="U4471" s="124" t="str">
        <f>IFERROR(__xludf.DUMMYFUNCTION("""COMPUTED_VALUE"""),"Walk-Ins")</f>
        <v>Walk-Ins</v>
      </c>
      <c r="V4471" s="124" t="str">
        <f>IFERROR(__xludf.DUMMYFUNCTION("""COMPUTED_VALUE"""),"Walkin")</f>
        <v>Walkin</v>
      </c>
      <c r="W4471" s="124" t="str">
        <f>IFERROR(__xludf.DUMMYFUNCTION("""COMPUTED_VALUE"""),"Prayagraj")</f>
        <v>Prayagraj</v>
      </c>
      <c r="X4471" s="124" t="str">
        <f>IFERROR(__xludf.DUMMYFUNCTION("""COMPUTED_VALUE"""),"Walkin")</f>
        <v>Walkin</v>
      </c>
      <c r="Y4471" s="124" t="str">
        <f>IFERROR(__xludf.DUMMYFUNCTION("""COMPUTED_VALUE"""),"Prayagraj")</f>
        <v>Prayagraj</v>
      </c>
      <c r="Z4471" s="124">
        <f>IFERROR(__xludf.DUMMYFUNCTION("""COMPUTED_VALUE"""),1.0)</f>
        <v>1</v>
      </c>
      <c r="AA4471" s="124" t="str">
        <f>IFERROR(__xludf.DUMMYFUNCTION("""COMPUTED_VALUE"""),"Cold")</f>
        <v>Cold</v>
      </c>
      <c r="AB4471" s="124" t="str">
        <f>IFERROR(__xludf.DUMMYFUNCTION("""COMPUTED_VALUE"""),"GS Foundation")</f>
        <v>GS Foundation</v>
      </c>
    </row>
    <row r="4472">
      <c r="K4472" s="124"/>
      <c r="L4472" s="124"/>
      <c r="M4472" s="124"/>
      <c r="N4472" s="124"/>
      <c r="O4472" s="124"/>
      <c r="T4472" s="126">
        <f>IFERROR(__xludf.DUMMYFUNCTION("""COMPUTED_VALUE"""),46076.0)</f>
        <v>46076</v>
      </c>
      <c r="U4472" s="124" t="str">
        <f>IFERROR(__xludf.DUMMYFUNCTION("""COMPUTED_VALUE"""),"Walk-Ins")</f>
        <v>Walk-Ins</v>
      </c>
      <c r="V4472" s="124" t="str">
        <f>IFERROR(__xludf.DUMMYFUNCTION("""COMPUTED_VALUE"""),"Walkin")</f>
        <v>Walkin</v>
      </c>
      <c r="W4472" s="124" t="str">
        <f>IFERROR(__xludf.DUMMYFUNCTION("""COMPUTED_VALUE"""),"Prayagraj")</f>
        <v>Prayagraj</v>
      </c>
      <c r="X4472" s="124" t="str">
        <f>IFERROR(__xludf.DUMMYFUNCTION("""COMPUTED_VALUE"""),"Walkin")</f>
        <v>Walkin</v>
      </c>
      <c r="Y4472" s="124" t="str">
        <f>IFERROR(__xludf.DUMMYFUNCTION("""COMPUTED_VALUE"""),"Prayagraj")</f>
        <v>Prayagraj</v>
      </c>
      <c r="Z4472" s="124">
        <f>IFERROR(__xludf.DUMMYFUNCTION("""COMPUTED_VALUE"""),1.0)</f>
        <v>1</v>
      </c>
      <c r="AA4472" s="124" t="str">
        <f>IFERROR(__xludf.DUMMYFUNCTION("""COMPUTED_VALUE"""),"Cold")</f>
        <v>Cold</v>
      </c>
      <c r="AB4472" s="124" t="str">
        <f>IFERROR(__xludf.DUMMYFUNCTION("""COMPUTED_VALUE"""),"Optionals")</f>
        <v>Optionals</v>
      </c>
    </row>
    <row r="4473">
      <c r="K4473" s="124"/>
      <c r="L4473" s="124"/>
      <c r="M4473" s="124"/>
      <c r="N4473" s="124"/>
      <c r="O4473" s="124"/>
      <c r="T4473" s="126">
        <f>IFERROR(__xludf.DUMMYFUNCTION("""COMPUTED_VALUE"""),46102.0)</f>
        <v>46102</v>
      </c>
      <c r="U4473" s="124" t="str">
        <f>IFERROR(__xludf.DUMMYFUNCTION("""COMPUTED_VALUE"""),"Walk-Ins")</f>
        <v>Walk-Ins</v>
      </c>
      <c r="V4473" s="124" t="str">
        <f>IFERROR(__xludf.DUMMYFUNCTION("""COMPUTED_VALUE"""),"Walkin")</f>
        <v>Walkin</v>
      </c>
      <c r="W4473" s="124" t="str">
        <f>IFERROR(__xludf.DUMMYFUNCTION("""COMPUTED_VALUE"""),"Patna")</f>
        <v>Patna</v>
      </c>
      <c r="X4473" s="124" t="str">
        <f>IFERROR(__xludf.DUMMYFUNCTION("""COMPUTED_VALUE"""),"Walkin")</f>
        <v>Walkin</v>
      </c>
      <c r="Y4473" s="124" t="str">
        <f>IFERROR(__xludf.DUMMYFUNCTION("""COMPUTED_VALUE"""),"Patna")</f>
        <v>Patna</v>
      </c>
      <c r="Z4473" s="124">
        <f>IFERROR(__xludf.DUMMYFUNCTION("""COMPUTED_VALUE"""),1.0)</f>
        <v>1</v>
      </c>
      <c r="AA4473" s="124" t="str">
        <f>IFERROR(__xludf.DUMMYFUNCTION("""COMPUTED_VALUE"""),"Cold")</f>
        <v>Cold</v>
      </c>
      <c r="AB4473" s="124" t="str">
        <f>IFERROR(__xludf.DUMMYFUNCTION("""COMPUTED_VALUE"""),"Prelims Crash Course - SIP")</f>
        <v>Prelims Crash Course - SIP</v>
      </c>
    </row>
    <row r="4474">
      <c r="K4474" s="124"/>
      <c r="L4474" s="124"/>
      <c r="M4474" s="124"/>
      <c r="N4474" s="124"/>
      <c r="O4474" s="124"/>
      <c r="T4474" s="126">
        <f>IFERROR(__xludf.DUMMYFUNCTION("""COMPUTED_VALUE"""),46094.0)</f>
        <v>46094</v>
      </c>
      <c r="U4474" s="124" t="str">
        <f>IFERROR(__xludf.DUMMYFUNCTION("""COMPUTED_VALUE"""),"Walk-Ins")</f>
        <v>Walk-Ins</v>
      </c>
      <c r="V4474" s="124" t="str">
        <f>IFERROR(__xludf.DUMMYFUNCTION("""COMPUTED_VALUE"""),"Walkin")</f>
        <v>Walkin</v>
      </c>
      <c r="W4474" s="124" t="str">
        <f>IFERROR(__xludf.DUMMYFUNCTION("""COMPUTED_VALUE"""),"Prayagraj")</f>
        <v>Prayagraj</v>
      </c>
      <c r="X4474" s="124" t="str">
        <f>IFERROR(__xludf.DUMMYFUNCTION("""COMPUTED_VALUE"""),"Walkin")</f>
        <v>Walkin</v>
      </c>
      <c r="Y4474" s="124" t="str">
        <f>IFERROR(__xludf.DUMMYFUNCTION("""COMPUTED_VALUE"""),"Prayagraj")</f>
        <v>Prayagraj</v>
      </c>
      <c r="Z4474" s="124">
        <f>IFERROR(__xludf.DUMMYFUNCTION("""COMPUTED_VALUE"""),1.0)</f>
        <v>1</v>
      </c>
      <c r="AA4474" s="124" t="str">
        <f>IFERROR(__xludf.DUMMYFUNCTION("""COMPUTED_VALUE"""),"Cold")</f>
        <v>Cold</v>
      </c>
      <c r="AB4474" s="124" t="str">
        <f>IFERROR(__xludf.DUMMYFUNCTION("""COMPUTED_VALUE"""),"GS Foundation")</f>
        <v>GS Foundation</v>
      </c>
    </row>
    <row r="4475">
      <c r="K4475" s="124"/>
      <c r="L4475" s="124"/>
      <c r="M4475" s="124"/>
      <c r="N4475" s="124"/>
      <c r="O4475" s="124"/>
      <c r="T4475" s="129">
        <f>IFERROR(__xludf.DUMMYFUNCTION("""COMPUTED_VALUE"""),46056.0)</f>
        <v>46056</v>
      </c>
      <c r="U4475" s="124" t="str">
        <f>IFERROR(__xludf.DUMMYFUNCTION("""COMPUTED_VALUE"""),"Walk-Ins")</f>
        <v>Walk-Ins</v>
      </c>
      <c r="V4475" s="124" t="str">
        <f>IFERROR(__xludf.DUMMYFUNCTION("""COMPUTED_VALUE"""),"Walk-In")</f>
        <v>Walk-In</v>
      </c>
      <c r="W4475" s="124" t="str">
        <f>IFERROR(__xludf.DUMMYFUNCTION("""COMPUTED_VALUE"""),"Patna")</f>
        <v>Patna</v>
      </c>
      <c r="X4475" s="124" t="str">
        <f>IFERROR(__xludf.DUMMYFUNCTION("""COMPUTED_VALUE"""),"Others")</f>
        <v>Others</v>
      </c>
      <c r="Y4475" s="124" t="str">
        <f>IFERROR(__xludf.DUMMYFUNCTION("""COMPUTED_VALUE"""),"Patna")</f>
        <v>Patna</v>
      </c>
      <c r="Z4475" s="124">
        <f>IFERROR(__xludf.DUMMYFUNCTION("""COMPUTED_VALUE"""),1.0)</f>
        <v>1</v>
      </c>
      <c r="AA4475" s="124" t="str">
        <f>IFERROR(__xludf.DUMMYFUNCTION("""COMPUTED_VALUE"""),"Not Interested")</f>
        <v>Not Interested</v>
      </c>
      <c r="AB4475" s="124" t="str">
        <f>IFERROR(__xludf.DUMMYFUNCTION("""COMPUTED_VALUE"""),"GS Foundation")</f>
        <v>GS Foundation</v>
      </c>
    </row>
    <row r="4476">
      <c r="K4476" s="124"/>
      <c r="L4476" s="124"/>
      <c r="M4476" s="124"/>
      <c r="N4476" s="124"/>
      <c r="O4476" s="124"/>
      <c r="T4476" s="126">
        <f>IFERROR(__xludf.DUMMYFUNCTION("""COMPUTED_VALUE"""),46093.0)</f>
        <v>46093</v>
      </c>
      <c r="U4476" s="124" t="str">
        <f>IFERROR(__xludf.DUMMYFUNCTION("""COMPUTED_VALUE"""),"Walk-Ins")</f>
        <v>Walk-Ins</v>
      </c>
      <c r="V4476" s="124" t="str">
        <f>IFERROR(__xludf.DUMMYFUNCTION("""COMPUTED_VALUE"""),"Walkin")</f>
        <v>Walkin</v>
      </c>
      <c r="W4476" s="124" t="str">
        <f>IFERROR(__xludf.DUMMYFUNCTION("""COMPUTED_VALUE"""),"Patna")</f>
        <v>Patna</v>
      </c>
      <c r="X4476" s="124" t="str">
        <f>IFERROR(__xludf.DUMMYFUNCTION("""COMPUTED_VALUE"""),"Walkin")</f>
        <v>Walkin</v>
      </c>
      <c r="Y4476" s="124" t="str">
        <f>IFERROR(__xludf.DUMMYFUNCTION("""COMPUTED_VALUE"""),"Patna")</f>
        <v>Patna</v>
      </c>
      <c r="Z4476" s="124">
        <f>IFERROR(__xludf.DUMMYFUNCTION("""COMPUTED_VALUE"""),1.0)</f>
        <v>1</v>
      </c>
      <c r="AA4476" s="124" t="str">
        <f>IFERROR(__xludf.DUMMYFUNCTION("""COMPUTED_VALUE"""),"Not Interested")</f>
        <v>Not Interested</v>
      </c>
      <c r="AB4476" s="124" t="str">
        <f>IFERROR(__xludf.DUMMYFUNCTION("""COMPUTED_VALUE"""),"GS Advanced")</f>
        <v>GS Advanced</v>
      </c>
    </row>
    <row r="4477">
      <c r="K4477" s="124"/>
      <c r="L4477" s="124"/>
      <c r="M4477" s="124"/>
      <c r="N4477" s="124"/>
      <c r="O4477" s="124"/>
      <c r="T4477" s="129">
        <f>IFERROR(__xludf.DUMMYFUNCTION("""COMPUTED_VALUE"""),46057.0)</f>
        <v>46057</v>
      </c>
      <c r="U4477" s="124" t="str">
        <f>IFERROR(__xludf.DUMMYFUNCTION("""COMPUTED_VALUE"""),"Walk-Ins")</f>
        <v>Walk-Ins</v>
      </c>
      <c r="V4477" s="124" t="str">
        <f>IFERROR(__xludf.DUMMYFUNCTION("""COMPUTED_VALUE"""),"Walkin")</f>
        <v>Walkin</v>
      </c>
      <c r="W4477" s="124" t="str">
        <f>IFERROR(__xludf.DUMMYFUNCTION("""COMPUTED_VALUE"""),"Indore")</f>
        <v>Indore</v>
      </c>
      <c r="X4477" s="124" t="str">
        <f>IFERROR(__xludf.DUMMYFUNCTION("""COMPUTED_VALUE"""),"Walkin")</f>
        <v>Walkin</v>
      </c>
      <c r="Y4477" s="124" t="str">
        <f>IFERROR(__xludf.DUMMYFUNCTION("""COMPUTED_VALUE"""),"Indore")</f>
        <v>Indore</v>
      </c>
      <c r="Z4477" s="124">
        <f>IFERROR(__xludf.DUMMYFUNCTION("""COMPUTED_VALUE"""),1.0)</f>
        <v>1</v>
      </c>
      <c r="AA4477" s="124" t="str">
        <f>IFERROR(__xludf.DUMMYFUNCTION("""COMPUTED_VALUE"""),"Not Interested")</f>
        <v>Not Interested</v>
      </c>
      <c r="AB4477" s="124" t="str">
        <f>IFERROR(__xludf.DUMMYFUNCTION("""COMPUTED_VALUE"""),"State PCS")</f>
        <v>State PCS</v>
      </c>
    </row>
    <row r="4478">
      <c r="K4478" s="124"/>
      <c r="L4478" s="124"/>
      <c r="M4478" s="124"/>
      <c r="N4478" s="124"/>
      <c r="O4478" s="124"/>
      <c r="T4478" s="126">
        <f>IFERROR(__xludf.DUMMYFUNCTION("""COMPUTED_VALUE"""),46078.0)</f>
        <v>46078</v>
      </c>
      <c r="U4478" s="124" t="str">
        <f>IFERROR(__xludf.DUMMYFUNCTION("""COMPUTED_VALUE"""),"Walk-Ins")</f>
        <v>Walk-Ins</v>
      </c>
      <c r="V4478" s="124" t="str">
        <f>IFERROR(__xludf.DUMMYFUNCTION("""COMPUTED_VALUE"""),"Walkin")</f>
        <v>Walkin</v>
      </c>
      <c r="W4478" s="124" t="str">
        <f>IFERROR(__xludf.DUMMYFUNCTION("""COMPUTED_VALUE"""),"Patna")</f>
        <v>Patna</v>
      </c>
      <c r="X4478" s="124" t="str">
        <f>IFERROR(__xludf.DUMMYFUNCTION("""COMPUTED_VALUE"""),"Walkin")</f>
        <v>Walkin</v>
      </c>
      <c r="Y4478" s="124" t="str">
        <f>IFERROR(__xludf.DUMMYFUNCTION("""COMPUTED_VALUE"""),"Patna")</f>
        <v>Patna</v>
      </c>
      <c r="Z4478" s="124">
        <f>IFERROR(__xludf.DUMMYFUNCTION("""COMPUTED_VALUE"""),1.0)</f>
        <v>1</v>
      </c>
      <c r="AA4478" s="124" t="str">
        <f>IFERROR(__xludf.DUMMYFUNCTION("""COMPUTED_VALUE"""),"Cold")</f>
        <v>Cold</v>
      </c>
      <c r="AB4478" s="124" t="str">
        <f>IFERROR(__xludf.DUMMYFUNCTION("""COMPUTED_VALUE"""),"GS Advanced")</f>
        <v>GS Advanced</v>
      </c>
    </row>
    <row r="4479">
      <c r="K4479" s="124"/>
      <c r="L4479" s="124"/>
      <c r="M4479" s="124"/>
      <c r="N4479" s="124"/>
      <c r="O4479" s="124"/>
      <c r="T4479" s="126">
        <f>IFERROR(__xludf.DUMMYFUNCTION("""COMPUTED_VALUE"""),46078.0)</f>
        <v>46078</v>
      </c>
      <c r="U4479" s="124" t="str">
        <f>IFERROR(__xludf.DUMMYFUNCTION("""COMPUTED_VALUE"""),"Walk-Ins")</f>
        <v>Walk-Ins</v>
      </c>
      <c r="V4479" s="124" t="str">
        <f>IFERROR(__xludf.DUMMYFUNCTION("""COMPUTED_VALUE"""),"Walkin")</f>
        <v>Walkin</v>
      </c>
      <c r="W4479" s="124" t="str">
        <f>IFERROR(__xludf.DUMMYFUNCTION("""COMPUTED_VALUE"""),"Prayagraj")</f>
        <v>Prayagraj</v>
      </c>
      <c r="X4479" s="124" t="str">
        <f>IFERROR(__xludf.DUMMYFUNCTION("""COMPUTED_VALUE"""),"Walkin")</f>
        <v>Walkin</v>
      </c>
      <c r="Y4479" s="124" t="str">
        <f>IFERROR(__xludf.DUMMYFUNCTION("""COMPUTED_VALUE"""),"Prayagraj")</f>
        <v>Prayagraj</v>
      </c>
      <c r="Z4479" s="124">
        <f>IFERROR(__xludf.DUMMYFUNCTION("""COMPUTED_VALUE"""),1.0)</f>
        <v>1</v>
      </c>
      <c r="AA4479" s="124" t="str">
        <f>IFERROR(__xludf.DUMMYFUNCTION("""COMPUTED_VALUE"""),"Future Prospects")</f>
        <v>Future Prospects</v>
      </c>
      <c r="AB4479" s="124" t="str">
        <f>IFERROR(__xludf.DUMMYFUNCTION("""COMPUTED_VALUE"""),"GS Foundation")</f>
        <v>GS Foundation</v>
      </c>
    </row>
    <row r="4480">
      <c r="K4480" s="124"/>
      <c r="L4480" s="124"/>
      <c r="M4480" s="124"/>
      <c r="N4480" s="124"/>
      <c r="O4480" s="124"/>
      <c r="T4480" s="126">
        <f>IFERROR(__xludf.DUMMYFUNCTION("""COMPUTED_VALUE"""),46102.0)</f>
        <v>46102</v>
      </c>
      <c r="U4480" s="124" t="str">
        <f>IFERROR(__xludf.DUMMYFUNCTION("""COMPUTED_VALUE"""),"Walk-Ins")</f>
        <v>Walk-Ins</v>
      </c>
      <c r="V4480" s="124" t="str">
        <f>IFERROR(__xludf.DUMMYFUNCTION("""COMPUTED_VALUE"""),"Walkin")</f>
        <v>Walkin</v>
      </c>
      <c r="W4480" s="124" t="str">
        <f>IFERROR(__xludf.DUMMYFUNCTION("""COMPUTED_VALUE"""),"Indore")</f>
        <v>Indore</v>
      </c>
      <c r="X4480" s="124" t="str">
        <f>IFERROR(__xludf.DUMMYFUNCTION("""COMPUTED_VALUE"""),"Walkin")</f>
        <v>Walkin</v>
      </c>
      <c r="Y4480" s="124" t="str">
        <f>IFERROR(__xludf.DUMMYFUNCTION("""COMPUTED_VALUE"""),"Indore")</f>
        <v>Indore</v>
      </c>
      <c r="Z4480" s="124">
        <f>IFERROR(__xludf.DUMMYFUNCTION("""COMPUTED_VALUE"""),1.0)</f>
        <v>1</v>
      </c>
      <c r="AA4480" s="124" t="str">
        <f>IFERROR(__xludf.DUMMYFUNCTION("""COMPUTED_VALUE"""),"Not Interested")</f>
        <v>Not Interested</v>
      </c>
      <c r="AB4480" s="124" t="str">
        <f>IFERROR(__xludf.DUMMYFUNCTION("""COMPUTED_VALUE"""),"GS Foundation")</f>
        <v>GS Foundation</v>
      </c>
    </row>
    <row r="4481">
      <c r="K4481" s="124"/>
      <c r="L4481" s="124"/>
      <c r="M4481" s="124"/>
      <c r="N4481" s="124"/>
      <c r="O4481" s="124"/>
      <c r="T4481" s="126">
        <f>IFERROR(__xludf.DUMMYFUNCTION("""COMPUTED_VALUE"""),46073.0)</f>
        <v>46073</v>
      </c>
      <c r="U4481" s="124" t="str">
        <f>IFERROR(__xludf.DUMMYFUNCTION("""COMPUTED_VALUE"""),"Walk-Ins")</f>
        <v>Walk-Ins</v>
      </c>
      <c r="V4481" s="124" t="str">
        <f>IFERROR(__xludf.DUMMYFUNCTION("""COMPUTED_VALUE"""),"Walkin")</f>
        <v>Walkin</v>
      </c>
      <c r="W4481" s="124" t="str">
        <f>IFERROR(__xludf.DUMMYFUNCTION("""COMPUTED_VALUE"""),"Lucknow")</f>
        <v>Lucknow</v>
      </c>
      <c r="X4481" s="124" t="str">
        <f>IFERROR(__xludf.DUMMYFUNCTION("""COMPUTED_VALUE"""),"Walkin")</f>
        <v>Walkin</v>
      </c>
      <c r="Y4481" s="124" t="str">
        <f>IFERROR(__xludf.DUMMYFUNCTION("""COMPUTED_VALUE"""),"Lucknow")</f>
        <v>Lucknow</v>
      </c>
      <c r="Z4481" s="124">
        <f>IFERROR(__xludf.DUMMYFUNCTION("""COMPUTED_VALUE"""),1.0)</f>
        <v>1</v>
      </c>
      <c r="AA4481" s="124" t="str">
        <f>IFERROR(__xludf.DUMMYFUNCTION("""COMPUTED_VALUE"""),"Enrolled")</f>
        <v>Enrolled</v>
      </c>
      <c r="AB4481" s="124" t="str">
        <f>IFERROR(__xludf.DUMMYFUNCTION("""COMPUTED_VALUE"""),"Other")</f>
        <v>Other</v>
      </c>
    </row>
    <row r="4482">
      <c r="K4482" s="124"/>
      <c r="L4482" s="124"/>
      <c r="M4482" s="124"/>
      <c r="N4482" s="124"/>
      <c r="O4482" s="124"/>
      <c r="T4482" s="126">
        <f>IFERROR(__xludf.DUMMYFUNCTION("""COMPUTED_VALUE"""),46071.0)</f>
        <v>46071</v>
      </c>
      <c r="U4482" s="124" t="str">
        <f>IFERROR(__xludf.DUMMYFUNCTION("""COMPUTED_VALUE"""),"Walk-Ins")</f>
        <v>Walk-Ins</v>
      </c>
      <c r="V4482" s="124" t="str">
        <f>IFERROR(__xludf.DUMMYFUNCTION("""COMPUTED_VALUE"""),"Walkin")</f>
        <v>Walkin</v>
      </c>
      <c r="W4482" s="124" t="str">
        <f>IFERROR(__xludf.DUMMYFUNCTION("""COMPUTED_VALUE"""),"Patna")</f>
        <v>Patna</v>
      </c>
      <c r="X4482" s="124" t="str">
        <f>IFERROR(__xludf.DUMMYFUNCTION("""COMPUTED_VALUE"""),"Walkin")</f>
        <v>Walkin</v>
      </c>
      <c r="Y4482" s="124" t="str">
        <f>IFERROR(__xludf.DUMMYFUNCTION("""COMPUTED_VALUE"""),"Patna")</f>
        <v>Patna</v>
      </c>
      <c r="Z4482" s="124">
        <f>IFERROR(__xludf.DUMMYFUNCTION("""COMPUTED_VALUE"""),1.0)</f>
        <v>1</v>
      </c>
      <c r="AA4482" s="124" t="str">
        <f>IFERROR(__xludf.DUMMYFUNCTION("""COMPUTED_VALUE"""),"Cold")</f>
        <v>Cold</v>
      </c>
      <c r="AB4482" s="124" t="str">
        <f>IFERROR(__xludf.DUMMYFUNCTION("""COMPUTED_VALUE"""),"Prelims Crash Course - SIP")</f>
        <v>Prelims Crash Course - SIP</v>
      </c>
    </row>
    <row r="4483">
      <c r="K4483" s="124"/>
      <c r="L4483" s="124"/>
      <c r="M4483" s="124"/>
      <c r="N4483" s="124"/>
      <c r="O4483" s="124"/>
      <c r="T4483" s="126">
        <f>IFERROR(__xludf.DUMMYFUNCTION("""COMPUTED_VALUE"""),46106.0)</f>
        <v>46106</v>
      </c>
      <c r="U4483" s="124" t="str">
        <f>IFERROR(__xludf.DUMMYFUNCTION("""COMPUTED_VALUE"""),"Paid Ads")</f>
        <v>Paid Ads</v>
      </c>
      <c r="V4483" s="124" t="str">
        <f>IFERROR(__xludf.DUMMYFUNCTION("""COMPUTED_VALUE"""),"Facebook")</f>
        <v>Facebook</v>
      </c>
      <c r="W4483" s="124" t="str">
        <f>IFERROR(__xludf.DUMMYFUNCTION("""COMPUTED_VALUE"""),"LeadAd")</f>
        <v>LeadAd</v>
      </c>
      <c r="X4483" s="124" t="str">
        <f>IFERROR(__xludf.DUMMYFUNCTION("""COMPUTED_VALUE"""),"Upsc_Hindi_Leads_FB_Creatives")</f>
        <v>Upsc_Hindi_Leads_FB_Creatives</v>
      </c>
      <c r="Y4483" s="124"/>
      <c r="Z4483" s="124">
        <f>IFERROR(__xludf.DUMMYFUNCTION("""COMPUTED_VALUE"""),1.0)</f>
        <v>1</v>
      </c>
      <c r="AA4483" s="124" t="str">
        <f>IFERROR(__xludf.DUMMYFUNCTION("""COMPUTED_VALUE"""),"Engaged")</f>
        <v>Engaged</v>
      </c>
      <c r="AB4483" s="124"/>
    </row>
    <row r="4484">
      <c r="K4484" s="124"/>
      <c r="L4484" s="124"/>
      <c r="M4484" s="124"/>
      <c r="N4484" s="124"/>
      <c r="O4484" s="124"/>
      <c r="T4484" s="126">
        <f>IFERROR(__xludf.DUMMYFUNCTION("""COMPUTED_VALUE"""),46106.0)</f>
        <v>46106</v>
      </c>
      <c r="U4484" s="124" t="str">
        <f>IFERROR(__xludf.DUMMYFUNCTION("""COMPUTED_VALUE"""),"Paid Ads")</f>
        <v>Paid Ads</v>
      </c>
      <c r="V4484" s="124" t="str">
        <f>IFERROR(__xludf.DUMMYFUNCTION("""COMPUTED_VALUE"""),"Facebook")</f>
        <v>Facebook</v>
      </c>
      <c r="W4484" s="124" t="str">
        <f>IFERROR(__xludf.DUMMYFUNCTION("""COMPUTED_VALUE"""),"LeadAd")</f>
        <v>LeadAd</v>
      </c>
      <c r="X4484" s="124" t="str">
        <f>IFERROR(__xludf.DUMMYFUNCTION("""COMPUTED_VALUE"""),"Upsc_Hindi_Leads_FB_Creatives")</f>
        <v>Upsc_Hindi_Leads_FB_Creatives</v>
      </c>
      <c r="Y4484" s="124"/>
      <c r="Z4484" s="124">
        <f>IFERROR(__xludf.DUMMYFUNCTION("""COMPUTED_VALUE"""),1.0)</f>
        <v>1</v>
      </c>
      <c r="AA4484" s="124" t="str">
        <f>IFERROR(__xludf.DUMMYFUNCTION("""COMPUTED_VALUE"""),"Not Interested")</f>
        <v>Not Interested</v>
      </c>
      <c r="AB4484" s="124"/>
    </row>
    <row r="4485">
      <c r="K4485" s="124"/>
      <c r="L4485" s="124"/>
      <c r="M4485" s="124"/>
      <c r="N4485" s="124"/>
      <c r="O4485" s="124"/>
      <c r="T4485" s="126">
        <f>IFERROR(__xludf.DUMMYFUNCTION("""COMPUTED_VALUE"""),46104.0)</f>
        <v>46104</v>
      </c>
      <c r="U4485" s="124" t="str">
        <f>IFERROR(__xludf.DUMMYFUNCTION("""COMPUTED_VALUE"""),"Paid Ads")</f>
        <v>Paid Ads</v>
      </c>
      <c r="V4485" s="124" t="str">
        <f>IFERROR(__xludf.DUMMYFUNCTION("""COMPUTED_VALUE"""),"Facebook")</f>
        <v>Facebook</v>
      </c>
      <c r="W4485" s="124" t="str">
        <f>IFERROR(__xludf.DUMMYFUNCTION("""COMPUTED_VALUE"""),"LeadAd")</f>
        <v>LeadAd</v>
      </c>
      <c r="X4485" s="124" t="str">
        <f>IFERROR(__xludf.DUMMYFUNCTION("""COMPUTED_VALUE"""),"Upsc_Hindi_Leads_FB_Creatives")</f>
        <v>Upsc_Hindi_Leads_FB_Creatives</v>
      </c>
      <c r="Y4485" s="124" t="str">
        <f>IFERROR(__xludf.DUMMYFUNCTION("""COMPUTED_VALUE"""),"Patna")</f>
        <v>Patna</v>
      </c>
      <c r="Z4485" s="124">
        <f>IFERROR(__xludf.DUMMYFUNCTION("""COMPUTED_VALUE"""),1.0)</f>
        <v>1</v>
      </c>
      <c r="AA4485" s="124" t="str">
        <f>IFERROR(__xludf.DUMMYFUNCTION("""COMPUTED_VALUE"""),"Cold")</f>
        <v>Cold</v>
      </c>
      <c r="AB4485" s="124"/>
    </row>
    <row r="4486">
      <c r="K4486" s="124"/>
      <c r="L4486" s="124"/>
      <c r="M4486" s="124"/>
      <c r="N4486" s="124"/>
      <c r="O4486" s="124"/>
      <c r="T4486" s="126">
        <f>IFERROR(__xludf.DUMMYFUNCTION("""COMPUTED_VALUE"""),46107.0)</f>
        <v>46107</v>
      </c>
      <c r="U4486" s="124" t="str">
        <f>IFERROR(__xludf.DUMMYFUNCTION("""COMPUTED_VALUE"""),"Paid Ads")</f>
        <v>Paid Ads</v>
      </c>
      <c r="V4486" s="124" t="str">
        <f>IFERROR(__xludf.DUMMYFUNCTION("""COMPUTED_VALUE"""),"Facebook")</f>
        <v>Facebook</v>
      </c>
      <c r="W4486" s="124" t="str">
        <f>IFERROR(__xludf.DUMMYFUNCTION("""COMPUTED_VALUE"""),"LeadAd")</f>
        <v>LeadAd</v>
      </c>
      <c r="X4486" s="124" t="str">
        <f>IFERROR(__xludf.DUMMYFUNCTION("""COMPUTED_VALUE"""),"Upsc_Hindi_Leads_FB_Creatives")</f>
        <v>Upsc_Hindi_Leads_FB_Creatives</v>
      </c>
      <c r="Y4486" s="124" t="str">
        <f>IFERROR(__xludf.DUMMYFUNCTION("""COMPUTED_VALUE"""),"Lucknow")</f>
        <v>Lucknow</v>
      </c>
      <c r="Z4486" s="124">
        <f>IFERROR(__xludf.DUMMYFUNCTION("""COMPUTED_VALUE"""),1.0)</f>
        <v>1</v>
      </c>
      <c r="AA4486" s="124" t="str">
        <f>IFERROR(__xludf.DUMMYFUNCTION("""COMPUTED_VALUE"""),"Cold")</f>
        <v>Cold</v>
      </c>
      <c r="AB4486" s="124" t="str">
        <f>IFERROR(__xludf.DUMMYFUNCTION("""COMPUTED_VALUE"""),"GS Foundation")</f>
        <v>GS Foundation</v>
      </c>
    </row>
    <row r="4487">
      <c r="K4487" s="124"/>
      <c r="L4487" s="124"/>
      <c r="M4487" s="124"/>
      <c r="N4487" s="124"/>
      <c r="O4487" s="124"/>
      <c r="T4487" s="126">
        <f>IFERROR(__xludf.DUMMYFUNCTION("""COMPUTED_VALUE"""),46103.0)</f>
        <v>46103</v>
      </c>
      <c r="U4487" s="124" t="str">
        <f>IFERROR(__xludf.DUMMYFUNCTION("""COMPUTED_VALUE"""),"Paid Ads")</f>
        <v>Paid Ads</v>
      </c>
      <c r="V4487" s="124" t="str">
        <f>IFERROR(__xludf.DUMMYFUNCTION("""COMPUTED_VALUE"""),"Facebook")</f>
        <v>Facebook</v>
      </c>
      <c r="W4487" s="124" t="str">
        <f>IFERROR(__xludf.DUMMYFUNCTION("""COMPUTED_VALUE"""),"LeadAd")</f>
        <v>LeadAd</v>
      </c>
      <c r="X4487" s="124" t="str">
        <f>IFERROR(__xludf.DUMMYFUNCTION("""COMPUTED_VALUE"""),"Upsc_Hindi_Leads_FB_Creatives")</f>
        <v>Upsc_Hindi_Leads_FB_Creatives</v>
      </c>
      <c r="Y4487" s="124"/>
      <c r="Z4487" s="124">
        <f>IFERROR(__xludf.DUMMYFUNCTION("""COMPUTED_VALUE"""),1.0)</f>
        <v>1</v>
      </c>
      <c r="AA4487" s="124" t="str">
        <f>IFERROR(__xludf.DUMMYFUNCTION("""COMPUTED_VALUE"""),"Warm")</f>
        <v>Warm</v>
      </c>
      <c r="AB4487" s="124"/>
    </row>
    <row r="4488">
      <c r="K4488" s="124"/>
      <c r="L4488" s="124"/>
      <c r="M4488" s="124"/>
      <c r="N4488" s="124"/>
      <c r="O4488" s="124"/>
      <c r="T4488" s="126">
        <f>IFERROR(__xludf.DUMMYFUNCTION("""COMPUTED_VALUE"""),46045.0)</f>
        <v>46045</v>
      </c>
      <c r="U4488" s="124" t="str">
        <f>IFERROR(__xludf.DUMMYFUNCTION("""COMPUTED_VALUE"""),"Event")</f>
        <v>Event</v>
      </c>
      <c r="V4488" s="124" t="str">
        <f>IFERROR(__xludf.DUMMYFUNCTION("""COMPUTED_VALUE"""),"Events")</f>
        <v>Events</v>
      </c>
      <c r="W4488" s="124" t="str">
        <f>IFERROR(__xludf.DUMMYFUNCTION("""COMPUTED_VALUE"""),"Delhi")</f>
        <v>Delhi</v>
      </c>
      <c r="X4488" s="124" t="str">
        <f>IFERROR(__xludf.DUMMYFUNCTION("""COMPUTED_VALUE"""),"DRCSEMINAR(CTC")</f>
        <v>DRCSEMINAR(CTC</v>
      </c>
      <c r="Y4488" s="124" t="str">
        <f>IFERROR(__xludf.DUMMYFUNCTION("""COMPUTED_VALUE"""),"Delhi")</f>
        <v>Delhi</v>
      </c>
      <c r="Z4488" s="124">
        <f>IFERROR(__xludf.DUMMYFUNCTION("""COMPUTED_VALUE"""),1.0)</f>
        <v>1</v>
      </c>
      <c r="AA4488" s="124" t="str">
        <f>IFERROR(__xludf.DUMMYFUNCTION("""COMPUTED_VALUE"""),"Cold")</f>
        <v>Cold</v>
      </c>
      <c r="AB4488" s="124" t="str">
        <f>IFERROR(__xludf.DUMMYFUNCTION("""COMPUTED_VALUE"""),"Other")</f>
        <v>Other</v>
      </c>
    </row>
    <row r="4489">
      <c r="K4489" s="124"/>
      <c r="L4489" s="124"/>
      <c r="M4489" s="124"/>
      <c r="N4489" s="124"/>
      <c r="O4489" s="124"/>
      <c r="T4489" s="126">
        <f>IFERROR(__xludf.DUMMYFUNCTION("""COMPUTED_VALUE"""),46052.0)</f>
        <v>46052</v>
      </c>
      <c r="U4489" s="124" t="str">
        <f>IFERROR(__xludf.DUMMYFUNCTION("""COMPUTED_VALUE"""),"Publisher Campaign")</f>
        <v>Publisher Campaign</v>
      </c>
      <c r="V4489" s="124" t="str">
        <f>IFERROR(__xludf.DUMMYFUNCTION("""COMPUTED_VALUE"""),"Patna Seminar")</f>
        <v>Patna Seminar</v>
      </c>
      <c r="W4489" s="124" t="str">
        <f>IFERROR(__xludf.DUMMYFUNCTION("""COMPUTED_VALUE"""),"Women's College")</f>
        <v>Women's College</v>
      </c>
      <c r="X4489" s="124">
        <f>IFERROR(__xludf.DUMMYFUNCTION("""COMPUTED_VALUE"""),2.2012026E7)</f>
        <v>22012026</v>
      </c>
      <c r="Y4489" s="124" t="str">
        <f>IFERROR(__xludf.DUMMYFUNCTION("""COMPUTED_VALUE"""),"Patna")</f>
        <v>Patna</v>
      </c>
      <c r="Z4489" s="124">
        <f>IFERROR(__xludf.DUMMYFUNCTION("""COMPUTED_VALUE"""),1.0)</f>
        <v>1</v>
      </c>
      <c r="AA4489" s="124" t="str">
        <f>IFERROR(__xludf.DUMMYFUNCTION("""COMPUTED_VALUE"""),"Fake Lead")</f>
        <v>Fake Lead</v>
      </c>
      <c r="AB4489" s="124" t="str">
        <f>IFERROR(__xludf.DUMMYFUNCTION("""COMPUTED_VALUE"""),"GS Foundation")</f>
        <v>GS Foundation</v>
      </c>
    </row>
    <row r="4490">
      <c r="K4490" s="124"/>
      <c r="L4490" s="124"/>
      <c r="M4490" s="124"/>
      <c r="N4490" s="124"/>
      <c r="O4490" s="124"/>
      <c r="T4490" s="126">
        <f>IFERROR(__xludf.DUMMYFUNCTION("""COMPUTED_VALUE"""),46080.0)</f>
        <v>46080</v>
      </c>
      <c r="U4490" s="124" t="str">
        <f>IFERROR(__xludf.DUMMYFUNCTION("""COMPUTED_VALUE"""),"Publisher Campaign")</f>
        <v>Publisher Campaign</v>
      </c>
      <c r="V4490" s="124" t="str">
        <f>IFERROR(__xludf.DUMMYFUNCTION("""COMPUTED_VALUE"""),"Vaishnav college")</f>
        <v>Vaishnav college</v>
      </c>
      <c r="W4490" s="124" t="str">
        <f>IFERROR(__xludf.DUMMYFUNCTION("""COMPUTED_VALUE"""),"Seminar Vaishnav college")</f>
        <v>Seminar Vaishnav college</v>
      </c>
      <c r="X4490" s="124">
        <f>IFERROR(__xludf.DUMMYFUNCTION("""COMPUTED_VALUE"""),2.2012026E7)</f>
        <v>22012026</v>
      </c>
      <c r="Y4490" s="124" t="str">
        <f>IFERROR(__xludf.DUMMYFUNCTION("""COMPUTED_VALUE"""),"Indore")</f>
        <v>Indore</v>
      </c>
      <c r="Z4490" s="124">
        <f>IFERROR(__xludf.DUMMYFUNCTION("""COMPUTED_VALUE"""),1.0)</f>
        <v>1</v>
      </c>
      <c r="AA4490" s="124"/>
      <c r="AB4490" s="124" t="str">
        <f>IFERROR(__xludf.DUMMYFUNCTION("""COMPUTED_VALUE"""),"Optionals")</f>
        <v>Optionals</v>
      </c>
    </row>
    <row r="4491">
      <c r="K4491" s="124"/>
      <c r="L4491" s="124"/>
      <c r="M4491" s="124"/>
      <c r="N4491" s="124"/>
      <c r="O4491" s="124"/>
      <c r="T4491" s="129">
        <f>IFERROR(__xludf.DUMMYFUNCTION("""COMPUTED_VALUE"""),46088.0)</f>
        <v>46088</v>
      </c>
      <c r="U4491" s="124" t="str">
        <f>IFERROR(__xludf.DUMMYFUNCTION("""COMPUTED_VALUE"""),"Publisher Campaign")</f>
        <v>Publisher Campaign</v>
      </c>
      <c r="V4491" s="124" t="str">
        <f>IFERROR(__xludf.DUMMYFUNCTION("""COMPUTED_VALUE"""),"Just Dial")</f>
        <v>Just Dial</v>
      </c>
      <c r="W4491" s="124" t="str">
        <f>IFERROR(__xludf.DUMMYFUNCTION("""COMPUTED_VALUE"""),"Manual")</f>
        <v>Manual</v>
      </c>
      <c r="X4491" s="124">
        <f>IFERROR(__xludf.DUMMYFUNCTION("""COMPUTED_VALUE"""),2.2012026E7)</f>
        <v>22012026</v>
      </c>
      <c r="Y4491" s="124" t="str">
        <f>IFERROR(__xludf.DUMMYFUNCTION("""COMPUTED_VALUE"""),"Indore")</f>
        <v>Indore</v>
      </c>
      <c r="Z4491" s="124">
        <f>IFERROR(__xludf.DUMMYFUNCTION("""COMPUTED_VALUE"""),1.0)</f>
        <v>1</v>
      </c>
      <c r="AA4491" s="124"/>
      <c r="AB4491" s="124" t="str">
        <f>IFERROR(__xludf.DUMMYFUNCTION("""COMPUTED_VALUE"""),"GS Foundation")</f>
        <v>GS Foundation</v>
      </c>
    </row>
    <row r="4492">
      <c r="K4492" s="124"/>
      <c r="L4492" s="124"/>
      <c r="M4492" s="124"/>
      <c r="N4492" s="124"/>
      <c r="O4492" s="124"/>
      <c r="T4492" s="126">
        <f>IFERROR(__xludf.DUMMYFUNCTION("""COMPUTED_VALUE"""),46053.0)</f>
        <v>46053</v>
      </c>
      <c r="U4492" s="124" t="str">
        <f>IFERROR(__xludf.DUMMYFUNCTION("""COMPUTED_VALUE"""),"Walk-Ins")</f>
        <v>Walk-Ins</v>
      </c>
      <c r="V4492" s="124" t="str">
        <f>IFERROR(__xludf.DUMMYFUNCTION("""COMPUTED_VALUE"""),"Walk-In")</f>
        <v>Walk-In</v>
      </c>
      <c r="W4492" s="124" t="str">
        <f>IFERROR(__xludf.DUMMYFUNCTION("""COMPUTED_VALUE"""),"Indore")</f>
        <v>Indore</v>
      </c>
      <c r="X4492" s="124" t="str">
        <f>IFERROR(__xludf.DUMMYFUNCTION("""COMPUTED_VALUE"""),"Shivani Patel")</f>
        <v>Shivani Patel</v>
      </c>
      <c r="Y4492" s="124"/>
      <c r="Z4492" s="124">
        <f>IFERROR(__xludf.DUMMYFUNCTION("""COMPUTED_VALUE"""),1.0)</f>
        <v>1</v>
      </c>
      <c r="AA4492" s="124" t="str">
        <f>IFERROR(__xludf.DUMMYFUNCTION("""COMPUTED_VALUE"""),"Not Interested")</f>
        <v>Not Interested</v>
      </c>
      <c r="AB4492" s="124" t="str">
        <f>IFERROR(__xludf.DUMMYFUNCTION("""COMPUTED_VALUE"""),"Test Series")</f>
        <v>Test Series</v>
      </c>
    </row>
    <row r="4493">
      <c r="K4493" s="124"/>
      <c r="L4493" s="124"/>
      <c r="M4493" s="124"/>
      <c r="N4493" s="124"/>
      <c r="O4493" s="124"/>
      <c r="T4493" s="129">
        <f>IFERROR(__xludf.DUMMYFUNCTION("""COMPUTED_VALUE"""),46062.0)</f>
        <v>46062</v>
      </c>
      <c r="U4493" s="124" t="str">
        <f>IFERROR(__xludf.DUMMYFUNCTION("""COMPUTED_VALUE"""),"Walk-Ins")</f>
        <v>Walk-Ins</v>
      </c>
      <c r="V4493" s="124" t="str">
        <f>IFERROR(__xludf.DUMMYFUNCTION("""COMPUTED_VALUE"""),"Walk-In")</f>
        <v>Walk-In</v>
      </c>
      <c r="W4493" s="124" t="str">
        <f>IFERROR(__xludf.DUMMYFUNCTION("""COMPUTED_VALUE"""),"Prayagraj")</f>
        <v>Prayagraj</v>
      </c>
      <c r="X4493" s="124" t="str">
        <f>IFERROR(__xludf.DUMMYFUNCTION("""COMPUTED_VALUE"""),"Prayagraj")</f>
        <v>Prayagraj</v>
      </c>
      <c r="Y4493" s="124" t="str">
        <f>IFERROR(__xludf.DUMMYFUNCTION("""COMPUTED_VALUE"""),"Prayagraj")</f>
        <v>Prayagraj</v>
      </c>
      <c r="Z4493" s="124">
        <f>IFERROR(__xludf.DUMMYFUNCTION("""COMPUTED_VALUE"""),1.0)</f>
        <v>1</v>
      </c>
      <c r="AA4493" s="124" t="str">
        <f>IFERROR(__xludf.DUMMYFUNCTION("""COMPUTED_VALUE"""),"Cold")</f>
        <v>Cold</v>
      </c>
      <c r="AB4493" s="124" t="str">
        <f>IFERROR(__xludf.DUMMYFUNCTION("""COMPUTED_VALUE"""),"GS Foundation")</f>
        <v>GS Foundation</v>
      </c>
    </row>
    <row r="4494">
      <c r="K4494" s="124"/>
      <c r="L4494" s="124"/>
      <c r="M4494" s="124"/>
      <c r="N4494" s="124"/>
      <c r="O4494" s="124"/>
      <c r="T4494" s="129">
        <f>IFERROR(__xludf.DUMMYFUNCTION("""COMPUTED_VALUE"""),46062.0)</f>
        <v>46062</v>
      </c>
      <c r="U4494" s="124" t="str">
        <f>IFERROR(__xludf.DUMMYFUNCTION("""COMPUTED_VALUE"""),"Walk-Ins")</f>
        <v>Walk-Ins</v>
      </c>
      <c r="V4494" s="124" t="str">
        <f>IFERROR(__xludf.DUMMYFUNCTION("""COMPUTED_VALUE"""),"Walk-In")</f>
        <v>Walk-In</v>
      </c>
      <c r="W4494" s="124" t="str">
        <f>IFERROR(__xludf.DUMMYFUNCTION("""COMPUTED_VALUE"""),"Prayagraj")</f>
        <v>Prayagraj</v>
      </c>
      <c r="X4494" s="124" t="str">
        <f>IFERROR(__xludf.DUMMYFUNCTION("""COMPUTED_VALUE"""),"Prayagraj")</f>
        <v>Prayagraj</v>
      </c>
      <c r="Y4494" s="124"/>
      <c r="Z4494" s="124">
        <f>IFERROR(__xludf.DUMMYFUNCTION("""COMPUTED_VALUE"""),1.0)</f>
        <v>1</v>
      </c>
      <c r="AA4494" s="124" t="str">
        <f>IFERROR(__xludf.DUMMYFUNCTION("""COMPUTED_VALUE"""),"Cold")</f>
        <v>Cold</v>
      </c>
      <c r="AB4494" s="124" t="str">
        <f>IFERROR(__xludf.DUMMYFUNCTION("""COMPUTED_VALUE"""),"State PCS")</f>
        <v>State PCS</v>
      </c>
    </row>
    <row r="4495">
      <c r="K4495" s="124"/>
      <c r="L4495" s="124"/>
      <c r="M4495" s="124"/>
      <c r="N4495" s="124"/>
      <c r="O4495" s="124"/>
      <c r="T4495" s="126">
        <f>IFERROR(__xludf.DUMMYFUNCTION("""COMPUTED_VALUE"""),46070.0)</f>
        <v>46070</v>
      </c>
      <c r="U4495" s="124" t="str">
        <f>IFERROR(__xludf.DUMMYFUNCTION("""COMPUTED_VALUE"""),"Publisher Campaign")</f>
        <v>Publisher Campaign</v>
      </c>
      <c r="V4495" s="124" t="str">
        <f>IFERROR(__xludf.DUMMYFUNCTION("""COMPUTED_VALUE"""),"Just Dial")</f>
        <v>Just Dial</v>
      </c>
      <c r="W4495" s="124" t="str">
        <f>IFERROR(__xludf.DUMMYFUNCTION("""COMPUTED_VALUE"""),"Manual")</f>
        <v>Manual</v>
      </c>
      <c r="X4495" s="124">
        <f>IFERROR(__xludf.DUMMYFUNCTION("""COMPUTED_VALUE"""),2.2012026E7)</f>
        <v>22012026</v>
      </c>
      <c r="Y4495" s="124" t="str">
        <f>IFERROR(__xludf.DUMMYFUNCTION("""COMPUTED_VALUE"""),"Indore")</f>
        <v>Indore</v>
      </c>
      <c r="Z4495" s="124">
        <f>IFERROR(__xludf.DUMMYFUNCTION("""COMPUTED_VALUE"""),1.0)</f>
        <v>1</v>
      </c>
      <c r="AA4495" s="124"/>
      <c r="AB4495" s="124" t="str">
        <f>IFERROR(__xludf.DUMMYFUNCTION("""COMPUTED_VALUE"""),"GS Foundation")</f>
        <v>GS Foundation</v>
      </c>
    </row>
    <row r="4496">
      <c r="K4496" s="124"/>
      <c r="L4496" s="124"/>
      <c r="M4496" s="124"/>
      <c r="N4496" s="124"/>
      <c r="O4496" s="124"/>
      <c r="T4496" s="126">
        <f>IFERROR(__xludf.DUMMYFUNCTION("""COMPUTED_VALUE"""),46051.0)</f>
        <v>46051</v>
      </c>
      <c r="U4496" s="124" t="str">
        <f>IFERROR(__xludf.DUMMYFUNCTION("""COMPUTED_VALUE"""),"External Leads")</f>
        <v>External Leads</v>
      </c>
      <c r="V4496" s="124" t="str">
        <f>IFERROR(__xludf.DUMMYFUNCTION("""COMPUTED_VALUE"""),"External Leads")</f>
        <v>External Leads</v>
      </c>
      <c r="W4496" s="124" t="str">
        <f>IFERROR(__xludf.DUMMYFUNCTION("""COMPUTED_VALUE"""),"Delhi")</f>
        <v>Delhi</v>
      </c>
      <c r="X4496" s="124" t="str">
        <f>IFERROR(__xludf.DUMMYFUNCTION("""COMPUTED_VALUE"""),"DRC")</f>
        <v>DRC</v>
      </c>
      <c r="Y4496" s="124" t="str">
        <f>IFERROR(__xludf.DUMMYFUNCTION("""COMPUTED_VALUE"""),"Delhi")</f>
        <v>Delhi</v>
      </c>
      <c r="Z4496" s="124">
        <f>IFERROR(__xludf.DUMMYFUNCTION("""COMPUTED_VALUE"""),1.0)</f>
        <v>1</v>
      </c>
      <c r="AA4496" s="124" t="str">
        <f>IFERROR(__xludf.DUMMYFUNCTION("""COMPUTED_VALUE"""),"Warm")</f>
        <v>Warm</v>
      </c>
      <c r="AB4496" s="124"/>
    </row>
    <row r="4497">
      <c r="K4497" s="124"/>
      <c r="L4497" s="124"/>
      <c r="M4497" s="124"/>
      <c r="N4497" s="124"/>
      <c r="O4497" s="124"/>
      <c r="T4497" s="129">
        <f>IFERROR(__xludf.DUMMYFUNCTION("""COMPUTED_VALUE"""),46083.0)</f>
        <v>46083</v>
      </c>
      <c r="U4497" s="124" t="str">
        <f>IFERROR(__xludf.DUMMYFUNCTION("""COMPUTED_VALUE"""),"Walk-Ins")</f>
        <v>Walk-Ins</v>
      </c>
      <c r="V4497" s="124" t="str">
        <f>IFERROR(__xludf.DUMMYFUNCTION("""COMPUTED_VALUE"""),"Walk-In")</f>
        <v>Walk-In</v>
      </c>
      <c r="W4497" s="124" t="str">
        <f>IFERROR(__xludf.DUMMYFUNCTION("""COMPUTED_VALUE"""),"Prayagraj")</f>
        <v>Prayagraj</v>
      </c>
      <c r="X4497" s="124" t="str">
        <f>IFERROR(__xludf.DUMMYFUNCTION("""COMPUTED_VALUE"""),"Shivanshi")</f>
        <v>Shivanshi</v>
      </c>
      <c r="Y4497" s="124" t="str">
        <f>IFERROR(__xludf.DUMMYFUNCTION("""COMPUTED_VALUE"""),"Prayagraj")</f>
        <v>Prayagraj</v>
      </c>
      <c r="Z4497" s="124">
        <f>IFERROR(__xludf.DUMMYFUNCTION("""COMPUTED_VALUE"""),1.0)</f>
        <v>1</v>
      </c>
      <c r="AA4497" s="124" t="str">
        <f>IFERROR(__xludf.DUMMYFUNCTION("""COMPUTED_VALUE"""),"Not Interested")</f>
        <v>Not Interested</v>
      </c>
      <c r="AB4497" s="124" t="str">
        <f>IFERROR(__xludf.DUMMYFUNCTION("""COMPUTED_VALUE"""),"GS Foundation")</f>
        <v>GS Foundation</v>
      </c>
    </row>
    <row r="4498">
      <c r="K4498" s="124"/>
      <c r="L4498" s="124"/>
      <c r="M4498" s="124"/>
      <c r="N4498" s="124"/>
      <c r="O4498" s="124"/>
      <c r="T4498" s="129">
        <f>IFERROR(__xludf.DUMMYFUNCTION("""COMPUTED_VALUE"""),46062.0)</f>
        <v>46062</v>
      </c>
      <c r="U4498" s="124" t="str">
        <f>IFERROR(__xludf.DUMMYFUNCTION("""COMPUTED_VALUE"""),"Walk-Ins")</f>
        <v>Walk-Ins</v>
      </c>
      <c r="V4498" s="124" t="str">
        <f>IFERROR(__xludf.DUMMYFUNCTION("""COMPUTED_VALUE"""),"Walk-In")</f>
        <v>Walk-In</v>
      </c>
      <c r="W4498" s="124" t="str">
        <f>IFERROR(__xludf.DUMMYFUNCTION("""COMPUTED_VALUE"""),"Prayagraj")</f>
        <v>Prayagraj</v>
      </c>
      <c r="X4498" s="124" t="str">
        <f>IFERROR(__xludf.DUMMYFUNCTION("""COMPUTED_VALUE"""),"Shivanshi")</f>
        <v>Shivanshi</v>
      </c>
      <c r="Y4498" s="124" t="str">
        <f>IFERROR(__xludf.DUMMYFUNCTION("""COMPUTED_VALUE"""),"Prayagraj")</f>
        <v>Prayagraj</v>
      </c>
      <c r="Z4498" s="124">
        <f>IFERROR(__xludf.DUMMYFUNCTION("""COMPUTED_VALUE"""),1.0)</f>
        <v>1</v>
      </c>
      <c r="AA4498" s="124" t="str">
        <f>IFERROR(__xludf.DUMMYFUNCTION("""COMPUTED_VALUE"""),"Cold")</f>
        <v>Cold</v>
      </c>
      <c r="AB4498" s="124" t="str">
        <f>IFERROR(__xludf.DUMMYFUNCTION("""COMPUTED_VALUE"""),"Other")</f>
        <v>Other</v>
      </c>
    </row>
    <row r="4499">
      <c r="K4499" s="124"/>
      <c r="L4499" s="124"/>
      <c r="M4499" s="124"/>
      <c r="N4499" s="124"/>
      <c r="O4499" s="124"/>
      <c r="T4499" s="126">
        <f>IFERROR(__xludf.DUMMYFUNCTION("""COMPUTED_VALUE"""),46098.0)</f>
        <v>46098</v>
      </c>
      <c r="U4499" s="124" t="str">
        <f>IFERROR(__xludf.DUMMYFUNCTION("""COMPUTED_VALUE"""),"Walk-Ins")</f>
        <v>Walk-Ins</v>
      </c>
      <c r="V4499" s="124" t="str">
        <f>IFERROR(__xludf.DUMMYFUNCTION("""COMPUTED_VALUE"""),"Walk-In")</f>
        <v>Walk-In</v>
      </c>
      <c r="W4499" s="124" t="str">
        <f>IFERROR(__xludf.DUMMYFUNCTION("""COMPUTED_VALUE"""),"Prayagraj")</f>
        <v>Prayagraj</v>
      </c>
      <c r="X4499" s="124" t="str">
        <f>IFERROR(__xludf.DUMMYFUNCTION("""COMPUTED_VALUE"""),"Shivanshi")</f>
        <v>Shivanshi</v>
      </c>
      <c r="Y4499" s="124" t="str">
        <f>IFERROR(__xludf.DUMMYFUNCTION("""COMPUTED_VALUE"""),"Prayagraj")</f>
        <v>Prayagraj</v>
      </c>
      <c r="Z4499" s="124">
        <f>IFERROR(__xludf.DUMMYFUNCTION("""COMPUTED_VALUE"""),1.0)</f>
        <v>1</v>
      </c>
      <c r="AA4499" s="124" t="str">
        <f>IFERROR(__xludf.DUMMYFUNCTION("""COMPUTED_VALUE"""),"Enrolled")</f>
        <v>Enrolled</v>
      </c>
      <c r="AB4499" s="124" t="str">
        <f>IFERROR(__xludf.DUMMYFUNCTION("""COMPUTED_VALUE"""),"GS Foundation")</f>
        <v>GS Foundation</v>
      </c>
    </row>
    <row r="4500">
      <c r="K4500" s="124"/>
      <c r="L4500" s="124"/>
      <c r="M4500" s="124"/>
      <c r="N4500" s="124"/>
      <c r="O4500" s="124"/>
    </row>
    <row r="4501">
      <c r="K4501" s="124"/>
      <c r="L4501" s="124"/>
      <c r="M4501" s="124"/>
      <c r="N4501" s="124"/>
      <c r="O4501" s="124"/>
    </row>
    <row r="4502">
      <c r="K4502" s="124"/>
      <c r="L4502" s="124"/>
      <c r="M4502" s="124"/>
      <c r="N4502" s="124"/>
      <c r="O4502" s="124"/>
    </row>
    <row r="4503">
      <c r="K4503" s="124"/>
      <c r="L4503" s="124"/>
      <c r="M4503" s="124"/>
      <c r="N4503" s="124"/>
      <c r="O4503" s="124"/>
    </row>
    <row r="4504">
      <c r="K4504" s="124"/>
      <c r="L4504" s="124"/>
      <c r="M4504" s="124"/>
      <c r="N4504" s="124"/>
      <c r="O4504" s="124"/>
    </row>
    <row r="4505">
      <c r="K4505" s="124"/>
      <c r="L4505" s="124"/>
      <c r="M4505" s="124"/>
      <c r="N4505" s="124"/>
      <c r="O4505" s="124"/>
    </row>
    <row r="4506">
      <c r="K4506" s="124"/>
      <c r="L4506" s="124"/>
      <c r="M4506" s="124"/>
      <c r="N4506" s="124"/>
      <c r="O4506" s="124"/>
    </row>
    <row r="4507">
      <c r="K4507" s="124"/>
      <c r="L4507" s="124"/>
      <c r="M4507" s="124"/>
      <c r="N4507" s="124"/>
      <c r="O4507" s="124"/>
    </row>
    <row r="4508">
      <c r="K4508" s="124"/>
      <c r="L4508" s="124"/>
      <c r="M4508" s="124"/>
      <c r="N4508" s="124"/>
      <c r="O4508" s="124"/>
    </row>
    <row r="4509">
      <c r="K4509" s="124"/>
      <c r="L4509" s="124"/>
      <c r="M4509" s="124"/>
      <c r="N4509" s="124"/>
      <c r="O4509" s="124"/>
    </row>
    <row r="4510">
      <c r="K4510" s="124"/>
      <c r="L4510" s="124"/>
      <c r="M4510" s="124"/>
      <c r="N4510" s="124"/>
      <c r="O4510" s="124"/>
    </row>
    <row r="4511">
      <c r="K4511" s="124"/>
      <c r="L4511" s="124"/>
      <c r="M4511" s="124"/>
      <c r="N4511" s="124"/>
      <c r="O4511" s="124"/>
    </row>
    <row r="4512">
      <c r="K4512" s="124"/>
      <c r="L4512" s="124"/>
      <c r="M4512" s="124"/>
      <c r="N4512" s="124"/>
      <c r="O4512" s="124"/>
    </row>
    <row r="4513">
      <c r="K4513" s="124"/>
      <c r="L4513" s="124"/>
      <c r="M4513" s="124"/>
      <c r="N4513" s="124"/>
      <c r="O4513" s="124"/>
    </row>
    <row r="4514">
      <c r="K4514" s="124"/>
      <c r="L4514" s="124"/>
      <c r="M4514" s="124"/>
      <c r="N4514" s="124"/>
      <c r="O4514" s="124"/>
    </row>
    <row r="4515">
      <c r="K4515" s="124"/>
      <c r="L4515" s="124"/>
      <c r="M4515" s="124"/>
      <c r="N4515" s="124"/>
      <c r="O4515" s="124"/>
    </row>
    <row r="4516">
      <c r="K4516" s="124"/>
      <c r="L4516" s="124"/>
      <c r="M4516" s="124"/>
      <c r="N4516" s="124"/>
      <c r="O4516" s="124"/>
    </row>
    <row r="4517">
      <c r="K4517" s="124"/>
      <c r="L4517" s="124"/>
      <c r="M4517" s="124"/>
      <c r="N4517" s="124"/>
      <c r="O4517" s="124"/>
    </row>
    <row r="4518">
      <c r="K4518" s="124"/>
      <c r="L4518" s="124"/>
      <c r="M4518" s="124"/>
      <c r="N4518" s="124"/>
      <c r="O4518" s="124"/>
    </row>
    <row r="4519">
      <c r="K4519" s="124"/>
      <c r="L4519" s="124"/>
      <c r="M4519" s="124"/>
      <c r="N4519" s="124"/>
      <c r="O4519" s="124"/>
    </row>
    <row r="4520">
      <c r="K4520" s="124"/>
      <c r="L4520" s="124"/>
      <c r="M4520" s="124"/>
      <c r="N4520" s="124"/>
      <c r="O4520" s="124"/>
    </row>
    <row r="4521">
      <c r="K4521" s="124"/>
      <c r="L4521" s="124"/>
      <c r="M4521" s="124"/>
      <c r="N4521" s="124"/>
      <c r="O4521" s="124"/>
    </row>
    <row r="4522">
      <c r="K4522" s="124"/>
      <c r="L4522" s="124"/>
      <c r="M4522" s="124"/>
      <c r="N4522" s="124"/>
      <c r="O4522" s="124"/>
    </row>
    <row r="4523">
      <c r="K4523" s="124"/>
      <c r="L4523" s="124"/>
      <c r="M4523" s="124"/>
      <c r="N4523" s="124"/>
      <c r="O4523" s="124"/>
    </row>
    <row r="4524">
      <c r="K4524" s="124"/>
      <c r="L4524" s="124"/>
      <c r="M4524" s="124"/>
      <c r="N4524" s="124"/>
      <c r="O4524" s="124"/>
    </row>
    <row r="4525">
      <c r="K4525" s="124"/>
      <c r="L4525" s="124"/>
      <c r="M4525" s="124"/>
      <c r="N4525" s="124"/>
      <c r="O4525" s="124"/>
    </row>
    <row r="4526">
      <c r="K4526" s="124"/>
      <c r="L4526" s="124"/>
      <c r="M4526" s="124"/>
      <c r="N4526" s="124"/>
      <c r="O4526" s="124"/>
    </row>
    <row r="4527">
      <c r="K4527" s="124"/>
      <c r="L4527" s="124"/>
      <c r="M4527" s="124"/>
      <c r="N4527" s="124"/>
      <c r="O4527" s="124"/>
    </row>
    <row r="4528">
      <c r="K4528" s="124"/>
      <c r="L4528" s="124"/>
      <c r="M4528" s="124"/>
      <c r="N4528" s="124"/>
      <c r="O4528" s="124"/>
    </row>
    <row r="4529">
      <c r="K4529" s="124"/>
      <c r="L4529" s="124"/>
      <c r="M4529" s="124"/>
      <c r="N4529" s="124"/>
      <c r="O4529" s="124"/>
    </row>
    <row r="4530">
      <c r="K4530" s="124"/>
      <c r="L4530" s="124"/>
      <c r="M4530" s="124"/>
      <c r="N4530" s="124"/>
      <c r="O4530" s="124"/>
    </row>
    <row r="4531">
      <c r="K4531" s="124"/>
      <c r="L4531" s="124"/>
      <c r="M4531" s="124"/>
      <c r="N4531" s="124"/>
      <c r="O4531" s="124"/>
    </row>
    <row r="4532">
      <c r="K4532" s="124"/>
      <c r="L4532" s="124"/>
      <c r="M4532" s="124"/>
      <c r="N4532" s="124"/>
      <c r="O4532" s="124"/>
    </row>
    <row r="4533">
      <c r="K4533" s="124"/>
      <c r="L4533" s="124"/>
      <c r="M4533" s="124"/>
      <c r="N4533" s="124"/>
      <c r="O4533" s="124"/>
    </row>
    <row r="4534">
      <c r="K4534" s="124"/>
      <c r="L4534" s="124"/>
      <c r="M4534" s="124"/>
      <c r="N4534" s="124"/>
      <c r="O4534" s="124"/>
    </row>
    <row r="4535">
      <c r="K4535" s="124"/>
      <c r="L4535" s="124"/>
      <c r="M4535" s="124"/>
      <c r="N4535" s="124"/>
      <c r="O4535" s="124"/>
    </row>
    <row r="4536">
      <c r="K4536" s="124"/>
      <c r="L4536" s="124"/>
      <c r="M4536" s="124"/>
      <c r="N4536" s="124"/>
      <c r="O4536" s="124"/>
    </row>
    <row r="4537">
      <c r="K4537" s="124"/>
      <c r="L4537" s="124"/>
      <c r="M4537" s="124"/>
      <c r="N4537" s="124"/>
      <c r="O4537" s="124"/>
    </row>
    <row r="4538">
      <c r="K4538" s="124"/>
      <c r="L4538" s="124"/>
      <c r="M4538" s="124"/>
      <c r="N4538" s="124"/>
      <c r="O4538" s="124"/>
    </row>
    <row r="4539">
      <c r="K4539" s="124"/>
      <c r="L4539" s="124"/>
      <c r="M4539" s="124"/>
      <c r="N4539" s="124"/>
      <c r="O4539" s="124"/>
    </row>
    <row r="4540">
      <c r="K4540" s="124"/>
      <c r="L4540" s="124"/>
      <c r="M4540" s="124"/>
      <c r="N4540" s="124"/>
      <c r="O4540" s="124"/>
    </row>
    <row r="4541">
      <c r="K4541" s="124"/>
      <c r="L4541" s="124"/>
      <c r="M4541" s="124"/>
      <c r="N4541" s="124"/>
      <c r="O4541" s="124"/>
    </row>
    <row r="4542">
      <c r="K4542" s="124"/>
      <c r="L4542" s="124"/>
      <c r="M4542" s="124"/>
      <c r="N4542" s="124"/>
      <c r="O4542" s="124"/>
    </row>
    <row r="4543">
      <c r="K4543" s="124"/>
      <c r="L4543" s="124"/>
      <c r="M4543" s="124"/>
      <c r="N4543" s="124"/>
      <c r="O4543" s="124"/>
    </row>
    <row r="4544">
      <c r="K4544" s="124"/>
      <c r="L4544" s="124"/>
      <c r="M4544" s="124"/>
      <c r="N4544" s="124"/>
      <c r="O4544" s="124"/>
    </row>
    <row r="4545">
      <c r="K4545" s="124"/>
      <c r="L4545" s="124"/>
      <c r="M4545" s="124"/>
      <c r="N4545" s="124"/>
      <c r="O4545" s="124"/>
    </row>
    <row r="4546">
      <c r="K4546" s="124"/>
      <c r="L4546" s="124"/>
      <c r="M4546" s="124"/>
      <c r="N4546" s="124"/>
      <c r="O4546" s="124"/>
    </row>
    <row r="4547">
      <c r="K4547" s="124"/>
      <c r="L4547" s="124"/>
      <c r="M4547" s="124"/>
      <c r="N4547" s="124"/>
      <c r="O4547" s="124"/>
    </row>
    <row r="4548">
      <c r="K4548" s="124"/>
      <c r="L4548" s="124"/>
      <c r="M4548" s="124"/>
      <c r="N4548" s="124"/>
      <c r="O4548" s="124"/>
    </row>
    <row r="4549">
      <c r="K4549" s="124"/>
      <c r="L4549" s="124"/>
      <c r="M4549" s="124"/>
      <c r="N4549" s="124"/>
      <c r="O4549" s="124"/>
    </row>
    <row r="4550">
      <c r="K4550" s="124"/>
      <c r="L4550" s="124"/>
      <c r="M4550" s="124"/>
      <c r="N4550" s="124"/>
      <c r="O4550" s="124"/>
    </row>
    <row r="4551">
      <c r="K4551" s="124"/>
      <c r="L4551" s="124"/>
      <c r="M4551" s="124"/>
      <c r="N4551" s="124"/>
      <c r="O4551" s="124"/>
    </row>
    <row r="4552">
      <c r="K4552" s="124"/>
      <c r="L4552" s="124"/>
      <c r="M4552" s="124"/>
      <c r="N4552" s="124"/>
      <c r="O4552" s="124"/>
    </row>
    <row r="4553">
      <c r="K4553" s="124"/>
      <c r="L4553" s="124"/>
      <c r="M4553" s="124"/>
      <c r="N4553" s="124"/>
      <c r="O4553" s="124"/>
    </row>
    <row r="4554">
      <c r="K4554" s="124"/>
      <c r="L4554" s="124"/>
      <c r="M4554" s="124"/>
      <c r="N4554" s="124"/>
      <c r="O4554" s="124"/>
    </row>
    <row r="4555">
      <c r="K4555" s="124"/>
      <c r="L4555" s="124"/>
      <c r="M4555" s="124"/>
      <c r="N4555" s="124"/>
      <c r="O4555" s="124"/>
    </row>
    <row r="4556">
      <c r="K4556" s="124"/>
      <c r="L4556" s="124"/>
      <c r="M4556" s="124"/>
      <c r="N4556" s="124"/>
      <c r="O4556" s="124"/>
    </row>
    <row r="4557">
      <c r="K4557" s="124"/>
      <c r="L4557" s="124"/>
      <c r="M4557" s="124"/>
      <c r="N4557" s="124"/>
      <c r="O4557" s="124"/>
    </row>
    <row r="4558">
      <c r="K4558" s="124"/>
      <c r="L4558" s="124"/>
      <c r="M4558" s="124"/>
      <c r="N4558" s="124"/>
      <c r="O4558" s="124"/>
    </row>
    <row r="4559">
      <c r="K4559" s="124"/>
      <c r="L4559" s="124"/>
      <c r="M4559" s="124"/>
      <c r="N4559" s="124"/>
      <c r="O4559" s="124"/>
    </row>
    <row r="4560">
      <c r="K4560" s="124"/>
      <c r="L4560" s="124"/>
      <c r="M4560" s="124"/>
      <c r="N4560" s="124"/>
      <c r="O4560" s="124"/>
    </row>
    <row r="4561">
      <c r="K4561" s="124"/>
      <c r="L4561" s="124"/>
      <c r="M4561" s="124"/>
      <c r="N4561" s="124"/>
      <c r="O4561" s="124"/>
    </row>
    <row r="4562">
      <c r="K4562" s="124"/>
      <c r="L4562" s="124"/>
      <c r="M4562" s="124"/>
      <c r="N4562" s="124"/>
      <c r="O4562" s="124"/>
    </row>
    <row r="4563">
      <c r="K4563" s="124"/>
      <c r="L4563" s="124"/>
      <c r="M4563" s="124"/>
      <c r="N4563" s="124"/>
      <c r="O4563" s="124"/>
    </row>
    <row r="4564">
      <c r="K4564" s="124"/>
      <c r="L4564" s="124"/>
      <c r="M4564" s="124"/>
      <c r="N4564" s="124"/>
      <c r="O4564" s="124"/>
    </row>
    <row r="4565">
      <c r="K4565" s="124"/>
      <c r="L4565" s="124"/>
      <c r="M4565" s="124"/>
      <c r="N4565" s="124"/>
      <c r="O4565" s="124"/>
    </row>
    <row r="4566">
      <c r="K4566" s="124"/>
      <c r="L4566" s="124"/>
      <c r="M4566" s="124"/>
      <c r="N4566" s="124"/>
      <c r="O4566" s="124"/>
    </row>
    <row r="4567">
      <c r="K4567" s="124"/>
      <c r="L4567" s="124"/>
      <c r="M4567" s="124"/>
      <c r="N4567" s="124"/>
      <c r="O4567" s="124"/>
    </row>
    <row r="4568">
      <c r="K4568" s="124"/>
      <c r="L4568" s="124"/>
      <c r="M4568" s="124"/>
      <c r="N4568" s="124"/>
      <c r="O4568" s="124"/>
    </row>
    <row r="4569">
      <c r="K4569" s="124"/>
      <c r="L4569" s="124"/>
      <c r="M4569" s="124"/>
      <c r="N4569" s="124"/>
      <c r="O4569" s="124"/>
    </row>
    <row r="4570">
      <c r="K4570" s="124"/>
      <c r="L4570" s="124"/>
      <c r="M4570" s="124"/>
      <c r="N4570" s="124"/>
      <c r="O4570" s="124"/>
    </row>
    <row r="4571">
      <c r="K4571" s="124"/>
      <c r="L4571" s="124"/>
      <c r="M4571" s="124"/>
      <c r="N4571" s="124"/>
      <c r="O4571" s="124"/>
    </row>
    <row r="4572">
      <c r="K4572" s="124"/>
      <c r="L4572" s="124"/>
      <c r="M4572" s="124"/>
      <c r="N4572" s="124"/>
      <c r="O4572" s="124"/>
    </row>
    <row r="4573">
      <c r="K4573" s="124"/>
      <c r="L4573" s="124"/>
      <c r="M4573" s="124"/>
      <c r="N4573" s="124"/>
      <c r="O4573" s="124"/>
    </row>
    <row r="4574">
      <c r="K4574" s="124"/>
      <c r="L4574" s="124"/>
      <c r="M4574" s="124"/>
      <c r="N4574" s="124"/>
      <c r="O4574" s="124"/>
    </row>
    <row r="4575">
      <c r="K4575" s="124"/>
      <c r="L4575" s="124"/>
      <c r="M4575" s="124"/>
      <c r="N4575" s="124"/>
      <c r="O4575" s="124"/>
    </row>
    <row r="4576">
      <c r="K4576" s="124"/>
      <c r="L4576" s="124"/>
      <c r="M4576" s="124"/>
      <c r="N4576" s="124"/>
      <c r="O4576" s="124"/>
    </row>
    <row r="4577">
      <c r="K4577" s="124"/>
      <c r="L4577" s="124"/>
      <c r="M4577" s="124"/>
      <c r="N4577" s="124"/>
      <c r="O4577" s="124"/>
    </row>
    <row r="4578">
      <c r="K4578" s="124"/>
      <c r="L4578" s="124"/>
      <c r="M4578" s="124"/>
      <c r="N4578" s="124"/>
      <c r="O4578" s="124"/>
    </row>
    <row r="4579">
      <c r="K4579" s="124"/>
      <c r="L4579" s="124"/>
      <c r="M4579" s="124"/>
      <c r="N4579" s="124"/>
      <c r="O4579" s="124"/>
    </row>
    <row r="4580">
      <c r="K4580" s="124"/>
      <c r="L4580" s="124"/>
      <c r="M4580" s="124"/>
      <c r="N4580" s="124"/>
      <c r="O4580" s="124"/>
    </row>
    <row r="4581">
      <c r="K4581" s="124"/>
      <c r="L4581" s="124"/>
      <c r="M4581" s="124"/>
      <c r="N4581" s="124"/>
      <c r="O4581" s="124"/>
    </row>
    <row r="4582">
      <c r="K4582" s="124"/>
      <c r="L4582" s="124"/>
      <c r="M4582" s="124"/>
      <c r="N4582" s="124"/>
      <c r="O4582" s="124"/>
    </row>
    <row r="4583">
      <c r="K4583" s="124"/>
      <c r="L4583" s="124"/>
      <c r="M4583" s="124"/>
      <c r="N4583" s="124"/>
      <c r="O4583" s="124"/>
    </row>
    <row r="4584">
      <c r="K4584" s="124"/>
      <c r="L4584" s="124"/>
      <c r="M4584" s="124"/>
      <c r="N4584" s="124"/>
      <c r="O4584" s="124"/>
    </row>
    <row r="4585">
      <c r="K4585" s="124"/>
      <c r="L4585" s="124"/>
      <c r="M4585" s="124"/>
      <c r="N4585" s="124"/>
      <c r="O4585" s="124"/>
    </row>
    <row r="4586">
      <c r="K4586" s="124"/>
      <c r="L4586" s="124"/>
      <c r="M4586" s="124"/>
      <c r="N4586" s="124"/>
      <c r="O4586" s="124"/>
    </row>
    <row r="4587">
      <c r="K4587" s="124"/>
      <c r="L4587" s="124"/>
      <c r="M4587" s="124"/>
      <c r="N4587" s="124"/>
      <c r="O4587" s="124"/>
    </row>
    <row r="4588">
      <c r="K4588" s="124"/>
      <c r="L4588" s="124"/>
      <c r="M4588" s="124"/>
      <c r="N4588" s="124"/>
      <c r="O4588" s="124"/>
    </row>
    <row r="4589">
      <c r="K4589" s="124"/>
      <c r="L4589" s="124"/>
      <c r="M4589" s="124"/>
      <c r="N4589" s="124"/>
      <c r="O4589" s="124"/>
    </row>
    <row r="4590">
      <c r="K4590" s="124"/>
      <c r="L4590" s="124"/>
      <c r="M4590" s="124"/>
      <c r="N4590" s="124"/>
      <c r="O4590" s="124"/>
    </row>
    <row r="4591">
      <c r="K4591" s="124"/>
      <c r="L4591" s="124"/>
      <c r="M4591" s="124"/>
      <c r="N4591" s="124"/>
      <c r="O4591" s="124"/>
    </row>
    <row r="4592">
      <c r="K4592" s="124"/>
      <c r="L4592" s="124"/>
      <c r="M4592" s="124"/>
      <c r="N4592" s="124"/>
      <c r="O4592" s="124"/>
    </row>
    <row r="4593">
      <c r="K4593" s="124"/>
      <c r="L4593" s="124"/>
      <c r="M4593" s="124"/>
      <c r="N4593" s="124"/>
      <c r="O4593" s="124"/>
    </row>
    <row r="4594">
      <c r="K4594" s="124"/>
      <c r="L4594" s="124"/>
      <c r="M4594" s="124"/>
      <c r="N4594" s="124"/>
      <c r="O4594" s="124"/>
    </row>
    <row r="4595">
      <c r="K4595" s="124"/>
      <c r="L4595" s="124"/>
      <c r="M4595" s="124"/>
      <c r="N4595" s="124"/>
      <c r="O4595" s="124"/>
    </row>
    <row r="4596">
      <c r="K4596" s="124"/>
      <c r="L4596" s="124"/>
      <c r="M4596" s="124"/>
      <c r="N4596" s="124"/>
      <c r="O4596" s="124"/>
    </row>
    <row r="4597">
      <c r="K4597" s="124"/>
      <c r="L4597" s="124"/>
      <c r="M4597" s="124"/>
      <c r="N4597" s="124"/>
      <c r="O4597" s="124"/>
    </row>
    <row r="4598">
      <c r="K4598" s="124"/>
      <c r="L4598" s="124"/>
      <c r="M4598" s="124"/>
      <c r="N4598" s="124"/>
      <c r="O4598" s="124"/>
    </row>
    <row r="4599">
      <c r="K4599" s="124"/>
      <c r="L4599" s="124"/>
      <c r="M4599" s="124"/>
      <c r="N4599" s="124"/>
      <c r="O4599" s="124"/>
    </row>
    <row r="4600">
      <c r="K4600" s="124"/>
      <c r="L4600" s="124"/>
      <c r="M4600" s="124"/>
      <c r="N4600" s="124"/>
      <c r="O4600" s="124"/>
    </row>
    <row r="4601">
      <c r="K4601" s="124"/>
      <c r="L4601" s="124"/>
      <c r="M4601" s="124"/>
      <c r="N4601" s="124"/>
      <c r="O4601" s="124"/>
    </row>
    <row r="4602">
      <c r="K4602" s="124"/>
      <c r="L4602" s="124"/>
      <c r="M4602" s="124"/>
      <c r="N4602" s="124"/>
      <c r="O4602" s="124"/>
    </row>
    <row r="4603">
      <c r="K4603" s="124"/>
      <c r="L4603" s="124"/>
      <c r="M4603" s="124"/>
      <c r="N4603" s="124"/>
      <c r="O4603" s="124"/>
    </row>
    <row r="4604">
      <c r="K4604" s="124"/>
      <c r="L4604" s="124"/>
      <c r="M4604" s="124"/>
      <c r="N4604" s="124"/>
      <c r="O4604" s="124"/>
    </row>
    <row r="4605">
      <c r="K4605" s="124"/>
      <c r="L4605" s="124"/>
      <c r="M4605" s="124"/>
      <c r="N4605" s="124"/>
      <c r="O4605" s="124"/>
    </row>
    <row r="4606">
      <c r="K4606" s="124"/>
      <c r="L4606" s="124"/>
      <c r="M4606" s="124"/>
      <c r="N4606" s="124"/>
      <c r="O4606" s="124"/>
    </row>
    <row r="4607">
      <c r="K4607" s="124"/>
      <c r="L4607" s="124"/>
      <c r="M4607" s="124"/>
      <c r="N4607" s="124"/>
      <c r="O4607" s="124"/>
    </row>
    <row r="4608">
      <c r="K4608" s="124"/>
      <c r="L4608" s="124"/>
      <c r="M4608" s="124"/>
      <c r="N4608" s="124"/>
      <c r="O4608" s="124"/>
    </row>
    <row r="4609">
      <c r="K4609" s="124"/>
      <c r="L4609" s="124"/>
      <c r="M4609" s="124"/>
      <c r="N4609" s="124"/>
      <c r="O4609" s="124"/>
    </row>
    <row r="4610">
      <c r="K4610" s="124"/>
      <c r="L4610" s="124"/>
      <c r="M4610" s="124"/>
      <c r="N4610" s="124"/>
      <c r="O4610" s="124"/>
    </row>
    <row r="4611">
      <c r="K4611" s="124"/>
      <c r="L4611" s="124"/>
      <c r="M4611" s="124"/>
      <c r="N4611" s="124"/>
      <c r="O4611" s="124"/>
    </row>
    <row r="4612">
      <c r="K4612" s="124"/>
      <c r="L4612" s="124"/>
      <c r="M4612" s="124"/>
      <c r="N4612" s="124"/>
      <c r="O4612" s="124"/>
    </row>
    <row r="4613">
      <c r="K4613" s="124"/>
      <c r="L4613" s="124"/>
      <c r="M4613" s="124"/>
      <c r="N4613" s="124"/>
      <c r="O4613" s="124"/>
    </row>
    <row r="4614">
      <c r="K4614" s="124"/>
      <c r="L4614" s="124"/>
      <c r="M4614" s="124"/>
      <c r="N4614" s="124"/>
      <c r="O4614" s="124"/>
    </row>
    <row r="4615">
      <c r="K4615" s="124"/>
      <c r="L4615" s="124"/>
      <c r="M4615" s="124"/>
      <c r="N4615" s="124"/>
      <c r="O4615" s="124"/>
    </row>
    <row r="4616">
      <c r="K4616" s="124"/>
      <c r="L4616" s="124"/>
      <c r="M4616" s="124"/>
      <c r="N4616" s="124"/>
      <c r="O4616" s="124"/>
    </row>
    <row r="4617">
      <c r="K4617" s="124"/>
      <c r="L4617" s="124"/>
      <c r="M4617" s="124"/>
      <c r="N4617" s="124"/>
      <c r="O4617" s="124"/>
    </row>
    <row r="4618">
      <c r="K4618" s="124"/>
      <c r="L4618" s="124"/>
      <c r="M4618" s="124"/>
      <c r="N4618" s="124"/>
      <c r="O4618" s="124"/>
    </row>
    <row r="4619">
      <c r="K4619" s="124"/>
      <c r="L4619" s="124"/>
      <c r="M4619" s="124"/>
      <c r="N4619" s="124"/>
      <c r="O4619" s="124"/>
    </row>
    <row r="4620">
      <c r="K4620" s="124"/>
      <c r="L4620" s="124"/>
      <c r="M4620" s="124"/>
      <c r="N4620" s="124"/>
      <c r="O4620" s="124"/>
    </row>
    <row r="4621">
      <c r="K4621" s="124"/>
      <c r="L4621" s="124"/>
      <c r="M4621" s="124"/>
      <c r="N4621" s="124"/>
      <c r="O4621" s="124"/>
    </row>
    <row r="4622">
      <c r="K4622" s="124"/>
      <c r="L4622" s="124"/>
      <c r="M4622" s="124"/>
      <c r="N4622" s="124"/>
      <c r="O4622" s="124"/>
    </row>
    <row r="4623">
      <c r="K4623" s="124"/>
      <c r="L4623" s="124"/>
      <c r="M4623" s="124"/>
      <c r="N4623" s="124"/>
      <c r="O4623" s="124"/>
    </row>
    <row r="4624">
      <c r="K4624" s="124"/>
      <c r="L4624" s="124"/>
      <c r="M4624" s="124"/>
      <c r="N4624" s="124"/>
      <c r="O4624" s="124"/>
    </row>
    <row r="4625">
      <c r="K4625" s="124"/>
      <c r="L4625" s="124"/>
      <c r="M4625" s="124"/>
      <c r="N4625" s="124"/>
      <c r="O4625" s="124"/>
    </row>
    <row r="4626">
      <c r="K4626" s="124"/>
      <c r="L4626" s="124"/>
      <c r="M4626" s="124"/>
      <c r="N4626" s="124"/>
      <c r="O4626" s="124"/>
    </row>
    <row r="4627">
      <c r="K4627" s="124"/>
      <c r="L4627" s="124"/>
      <c r="M4627" s="124"/>
      <c r="N4627" s="124"/>
      <c r="O4627" s="124"/>
    </row>
    <row r="4628">
      <c r="K4628" s="124"/>
      <c r="L4628" s="124"/>
      <c r="M4628" s="124"/>
      <c r="N4628" s="124"/>
      <c r="O4628" s="124"/>
    </row>
    <row r="4629">
      <c r="K4629" s="124"/>
      <c r="L4629" s="124"/>
      <c r="M4629" s="124"/>
      <c r="N4629" s="124"/>
      <c r="O4629" s="124"/>
    </row>
    <row r="4630">
      <c r="K4630" s="124"/>
      <c r="L4630" s="124"/>
      <c r="M4630" s="124"/>
      <c r="N4630" s="124"/>
      <c r="O4630" s="124"/>
    </row>
    <row r="4631">
      <c r="K4631" s="124"/>
      <c r="L4631" s="124"/>
      <c r="M4631" s="124"/>
      <c r="N4631" s="124"/>
      <c r="O4631" s="124"/>
    </row>
    <row r="4632">
      <c r="K4632" s="124"/>
      <c r="L4632" s="124"/>
      <c r="M4632" s="124"/>
      <c r="N4632" s="124"/>
      <c r="O4632" s="124"/>
    </row>
    <row r="4633">
      <c r="K4633" s="124"/>
      <c r="L4633" s="124"/>
      <c r="M4633" s="124"/>
      <c r="N4633" s="124"/>
      <c r="O4633" s="124"/>
    </row>
    <row r="4634">
      <c r="K4634" s="124"/>
      <c r="L4634" s="124"/>
      <c r="M4634" s="124"/>
      <c r="N4634" s="124"/>
      <c r="O4634" s="124"/>
    </row>
    <row r="4635">
      <c r="K4635" s="124"/>
      <c r="L4635" s="124"/>
      <c r="M4635" s="124"/>
      <c r="N4635" s="124"/>
      <c r="O4635" s="124"/>
    </row>
    <row r="4636">
      <c r="K4636" s="124"/>
      <c r="L4636" s="124"/>
      <c r="M4636" s="124"/>
      <c r="N4636" s="124"/>
      <c r="O4636" s="124"/>
    </row>
    <row r="4637">
      <c r="K4637" s="124"/>
      <c r="L4637" s="124"/>
      <c r="M4637" s="124"/>
      <c r="N4637" s="124"/>
      <c r="O4637" s="124"/>
    </row>
    <row r="4638">
      <c r="K4638" s="124"/>
      <c r="L4638" s="124"/>
      <c r="M4638" s="124"/>
      <c r="N4638" s="124"/>
      <c r="O4638" s="124"/>
    </row>
    <row r="4639">
      <c r="K4639" s="124"/>
      <c r="L4639" s="124"/>
      <c r="M4639" s="124"/>
      <c r="N4639" s="124"/>
      <c r="O4639" s="124"/>
    </row>
    <row r="4640">
      <c r="K4640" s="124"/>
      <c r="L4640" s="124"/>
      <c r="M4640" s="124"/>
      <c r="N4640" s="124"/>
      <c r="O4640" s="124"/>
    </row>
    <row r="4641">
      <c r="K4641" s="124"/>
      <c r="L4641" s="124"/>
      <c r="M4641" s="124"/>
      <c r="N4641" s="124"/>
      <c r="O4641" s="124"/>
    </row>
    <row r="4642">
      <c r="K4642" s="124"/>
      <c r="L4642" s="124"/>
      <c r="M4642" s="124"/>
      <c r="N4642" s="124"/>
      <c r="O4642" s="124"/>
    </row>
    <row r="4643">
      <c r="K4643" s="124"/>
      <c r="L4643" s="124"/>
      <c r="M4643" s="124"/>
      <c r="N4643" s="124"/>
      <c r="O4643" s="124"/>
    </row>
    <row r="4644">
      <c r="K4644" s="124"/>
      <c r="L4644" s="124"/>
      <c r="M4644" s="124"/>
      <c r="N4644" s="124"/>
      <c r="O4644" s="124"/>
    </row>
    <row r="4645">
      <c r="K4645" s="124"/>
      <c r="L4645" s="124"/>
      <c r="M4645" s="124"/>
      <c r="N4645" s="124"/>
      <c r="O4645" s="124"/>
    </row>
    <row r="4646">
      <c r="K4646" s="124"/>
      <c r="L4646" s="124"/>
      <c r="M4646" s="124"/>
      <c r="N4646" s="124"/>
      <c r="O4646" s="124"/>
    </row>
    <row r="4647">
      <c r="K4647" s="124"/>
      <c r="L4647" s="124"/>
      <c r="M4647" s="124"/>
      <c r="N4647" s="124"/>
      <c r="O4647" s="124"/>
    </row>
    <row r="4648">
      <c r="K4648" s="124"/>
      <c r="L4648" s="124"/>
      <c r="M4648" s="124"/>
      <c r="N4648" s="124"/>
      <c r="O4648" s="124"/>
    </row>
    <row r="4649">
      <c r="K4649" s="124"/>
      <c r="L4649" s="124"/>
      <c r="M4649" s="124"/>
      <c r="N4649" s="124"/>
      <c r="O4649" s="124"/>
    </row>
    <row r="4650">
      <c r="K4650" s="124"/>
      <c r="L4650" s="124"/>
      <c r="M4650" s="124"/>
      <c r="N4650" s="124"/>
      <c r="O4650" s="124"/>
    </row>
    <row r="4651">
      <c r="K4651" s="124"/>
      <c r="L4651" s="124"/>
      <c r="M4651" s="124"/>
      <c r="N4651" s="124"/>
      <c r="O4651" s="124"/>
    </row>
    <row r="4652">
      <c r="K4652" s="124"/>
      <c r="L4652" s="124"/>
      <c r="M4652" s="124"/>
      <c r="N4652" s="124"/>
      <c r="O4652" s="124"/>
    </row>
    <row r="4653">
      <c r="K4653" s="124"/>
      <c r="L4653" s="124"/>
      <c r="M4653" s="124"/>
      <c r="N4653" s="124"/>
      <c r="O4653" s="124"/>
    </row>
    <row r="4654">
      <c r="K4654" s="124"/>
      <c r="L4654" s="124"/>
      <c r="M4654" s="124"/>
      <c r="N4654" s="124"/>
      <c r="O4654" s="124"/>
    </row>
    <row r="4655">
      <c r="K4655" s="124"/>
      <c r="L4655" s="124"/>
      <c r="M4655" s="124"/>
      <c r="N4655" s="124"/>
      <c r="O4655" s="124"/>
    </row>
    <row r="4656">
      <c r="K4656" s="124"/>
      <c r="L4656" s="124"/>
      <c r="M4656" s="124"/>
      <c r="N4656" s="124"/>
      <c r="O4656" s="124"/>
    </row>
    <row r="4657">
      <c r="K4657" s="124"/>
      <c r="L4657" s="124"/>
      <c r="M4657" s="124"/>
      <c r="N4657" s="124"/>
      <c r="O4657" s="124"/>
    </row>
    <row r="4658">
      <c r="K4658" s="124"/>
      <c r="L4658" s="124"/>
      <c r="M4658" s="124"/>
      <c r="N4658" s="124"/>
      <c r="O4658" s="124"/>
    </row>
    <row r="4659">
      <c r="K4659" s="124"/>
      <c r="L4659" s="124"/>
      <c r="M4659" s="124"/>
      <c r="N4659" s="124"/>
      <c r="O4659" s="124"/>
    </row>
    <row r="4660">
      <c r="K4660" s="124"/>
      <c r="L4660" s="124"/>
      <c r="M4660" s="124"/>
      <c r="N4660" s="124"/>
      <c r="O4660" s="124"/>
    </row>
    <row r="4661">
      <c r="K4661" s="124"/>
      <c r="L4661" s="124"/>
      <c r="M4661" s="124"/>
      <c r="N4661" s="124"/>
      <c r="O4661" s="124"/>
    </row>
    <row r="4662">
      <c r="K4662" s="124"/>
      <c r="L4662" s="124"/>
      <c r="M4662" s="124"/>
      <c r="N4662" s="124"/>
      <c r="O4662" s="124"/>
    </row>
    <row r="4663">
      <c r="K4663" s="124"/>
      <c r="L4663" s="124"/>
      <c r="M4663" s="124"/>
      <c r="N4663" s="124"/>
      <c r="O4663" s="124"/>
    </row>
    <row r="4664">
      <c r="K4664" s="124"/>
      <c r="L4664" s="124"/>
      <c r="M4664" s="124"/>
      <c r="N4664" s="124"/>
      <c r="O4664" s="124"/>
    </row>
    <row r="4665">
      <c r="K4665" s="124"/>
      <c r="L4665" s="124"/>
      <c r="M4665" s="124"/>
      <c r="N4665" s="124"/>
      <c r="O4665" s="124"/>
    </row>
    <row r="4666">
      <c r="K4666" s="124"/>
      <c r="L4666" s="124"/>
      <c r="M4666" s="124"/>
      <c r="N4666" s="124"/>
      <c r="O4666" s="124"/>
    </row>
    <row r="4667">
      <c r="K4667" s="124"/>
      <c r="L4667" s="124"/>
      <c r="M4667" s="124"/>
      <c r="N4667" s="124"/>
      <c r="O4667" s="124"/>
    </row>
    <row r="4668">
      <c r="K4668" s="124"/>
      <c r="L4668" s="124"/>
      <c r="M4668" s="124"/>
      <c r="N4668" s="124"/>
      <c r="O4668" s="124"/>
    </row>
    <row r="4669">
      <c r="K4669" s="124"/>
      <c r="L4669" s="124"/>
      <c r="M4669" s="124"/>
      <c r="N4669" s="124"/>
      <c r="O4669" s="124"/>
    </row>
    <row r="4670">
      <c r="K4670" s="124"/>
      <c r="L4670" s="124"/>
      <c r="M4670" s="124"/>
      <c r="N4670" s="124"/>
      <c r="O4670" s="124"/>
    </row>
    <row r="4671">
      <c r="K4671" s="124"/>
      <c r="L4671" s="124"/>
      <c r="M4671" s="124"/>
      <c r="N4671" s="124"/>
      <c r="O4671" s="124"/>
    </row>
    <row r="4672">
      <c r="K4672" s="124"/>
      <c r="L4672" s="124"/>
      <c r="M4672" s="124"/>
      <c r="N4672" s="124"/>
      <c r="O4672" s="124"/>
    </row>
    <row r="4673">
      <c r="K4673" s="124"/>
      <c r="L4673" s="124"/>
      <c r="M4673" s="124"/>
      <c r="N4673" s="124"/>
      <c r="O4673" s="124"/>
    </row>
    <row r="4674">
      <c r="K4674" s="124"/>
      <c r="L4674" s="124"/>
      <c r="M4674" s="124"/>
      <c r="N4674" s="124"/>
      <c r="O4674" s="124"/>
    </row>
    <row r="4675">
      <c r="K4675" s="124"/>
      <c r="L4675" s="124"/>
      <c r="M4675" s="124"/>
      <c r="N4675" s="124"/>
      <c r="O4675" s="124"/>
    </row>
    <row r="4676">
      <c r="K4676" s="124"/>
      <c r="L4676" s="124"/>
      <c r="M4676" s="124"/>
      <c r="N4676" s="124"/>
      <c r="O4676" s="124"/>
    </row>
    <row r="4677">
      <c r="K4677" s="124"/>
      <c r="L4677" s="124"/>
      <c r="M4677" s="124"/>
      <c r="N4677" s="124"/>
      <c r="O4677" s="124"/>
    </row>
    <row r="4678">
      <c r="K4678" s="124"/>
      <c r="L4678" s="124"/>
      <c r="M4678" s="124"/>
      <c r="N4678" s="124"/>
      <c r="O4678" s="124"/>
    </row>
    <row r="4679">
      <c r="K4679" s="124"/>
      <c r="L4679" s="124"/>
      <c r="M4679" s="124"/>
      <c r="N4679" s="124"/>
      <c r="O4679" s="124"/>
    </row>
    <row r="4680">
      <c r="K4680" s="124"/>
      <c r="L4680" s="124"/>
      <c r="M4680" s="124"/>
      <c r="N4680" s="124"/>
      <c r="O4680" s="124"/>
    </row>
    <row r="4681">
      <c r="K4681" s="124"/>
      <c r="L4681" s="124"/>
      <c r="M4681" s="124"/>
      <c r="N4681" s="124"/>
      <c r="O4681" s="124"/>
    </row>
    <row r="4682">
      <c r="K4682" s="124"/>
      <c r="L4682" s="124"/>
      <c r="M4682" s="124"/>
      <c r="N4682" s="124"/>
      <c r="O4682" s="124"/>
    </row>
    <row r="4683">
      <c r="K4683" s="124"/>
      <c r="L4683" s="124"/>
      <c r="M4683" s="124"/>
      <c r="N4683" s="124"/>
      <c r="O4683" s="124"/>
    </row>
    <row r="4684">
      <c r="K4684" s="124"/>
      <c r="L4684" s="124"/>
      <c r="M4684" s="124"/>
      <c r="N4684" s="124"/>
      <c r="O4684" s="124"/>
    </row>
    <row r="4685">
      <c r="K4685" s="124"/>
      <c r="L4685" s="124"/>
      <c r="M4685" s="124"/>
      <c r="N4685" s="124"/>
      <c r="O4685" s="124"/>
    </row>
    <row r="4686">
      <c r="K4686" s="124"/>
      <c r="L4686" s="124"/>
      <c r="M4686" s="124"/>
      <c r="N4686" s="124"/>
      <c r="O4686" s="124"/>
    </row>
    <row r="4687">
      <c r="K4687" s="124"/>
      <c r="L4687" s="124"/>
      <c r="M4687" s="124"/>
      <c r="N4687" s="124"/>
      <c r="O4687" s="124"/>
    </row>
    <row r="4688">
      <c r="K4688" s="124"/>
      <c r="L4688" s="124"/>
      <c r="M4688" s="124"/>
      <c r="N4688" s="124"/>
      <c r="O4688" s="124"/>
    </row>
    <row r="4689">
      <c r="K4689" s="124"/>
      <c r="L4689" s="124"/>
      <c r="M4689" s="124"/>
      <c r="N4689" s="124"/>
      <c r="O4689" s="124"/>
    </row>
    <row r="4690">
      <c r="K4690" s="124"/>
      <c r="L4690" s="124"/>
      <c r="M4690" s="124"/>
      <c r="N4690" s="124"/>
      <c r="O4690" s="124"/>
    </row>
    <row r="4691">
      <c r="K4691" s="124"/>
      <c r="L4691" s="124"/>
      <c r="M4691" s="124"/>
      <c r="N4691" s="124"/>
      <c r="O4691" s="124"/>
    </row>
    <row r="4692">
      <c r="K4692" s="124"/>
      <c r="L4692" s="124"/>
      <c r="M4692" s="124"/>
      <c r="N4692" s="124"/>
      <c r="O4692" s="124"/>
    </row>
    <row r="4693">
      <c r="K4693" s="124"/>
      <c r="L4693" s="124"/>
      <c r="M4693" s="124"/>
      <c r="N4693" s="124"/>
      <c r="O4693" s="124"/>
    </row>
    <row r="4694">
      <c r="K4694" s="124"/>
      <c r="L4694" s="124"/>
      <c r="M4694" s="124"/>
      <c r="N4694" s="124"/>
      <c r="O4694" s="124"/>
    </row>
    <row r="4695">
      <c r="K4695" s="124"/>
      <c r="L4695" s="124"/>
      <c r="M4695" s="124"/>
      <c r="N4695" s="124"/>
      <c r="O4695" s="124"/>
    </row>
    <row r="4696">
      <c r="K4696" s="124"/>
      <c r="L4696" s="124"/>
      <c r="M4696" s="124"/>
      <c r="N4696" s="124"/>
      <c r="O4696" s="124"/>
    </row>
    <row r="4697">
      <c r="K4697" s="124"/>
      <c r="L4697" s="124"/>
      <c r="M4697" s="124"/>
      <c r="N4697" s="124"/>
      <c r="O4697" s="124"/>
    </row>
    <row r="4698">
      <c r="K4698" s="124"/>
      <c r="L4698" s="124"/>
      <c r="M4698" s="124"/>
      <c r="N4698" s="124"/>
      <c r="O4698" s="124"/>
    </row>
    <row r="4699">
      <c r="K4699" s="124"/>
      <c r="L4699" s="124"/>
      <c r="M4699" s="124"/>
      <c r="N4699" s="124"/>
      <c r="O4699" s="124"/>
    </row>
    <row r="4700">
      <c r="K4700" s="124"/>
      <c r="L4700" s="124"/>
      <c r="M4700" s="124"/>
      <c r="N4700" s="124"/>
      <c r="O4700" s="124"/>
    </row>
    <row r="4701">
      <c r="K4701" s="124"/>
      <c r="L4701" s="124"/>
      <c r="M4701" s="124"/>
      <c r="N4701" s="124"/>
      <c r="O4701" s="124"/>
    </row>
    <row r="4702">
      <c r="K4702" s="124"/>
      <c r="L4702" s="124"/>
      <c r="M4702" s="124"/>
      <c r="N4702" s="124"/>
      <c r="O4702" s="124"/>
    </row>
    <row r="4703">
      <c r="K4703" s="124"/>
      <c r="L4703" s="124"/>
      <c r="M4703" s="124"/>
      <c r="N4703" s="124"/>
      <c r="O4703" s="124"/>
    </row>
    <row r="4704">
      <c r="K4704" s="124"/>
      <c r="L4704" s="124"/>
      <c r="M4704" s="124"/>
      <c r="N4704" s="124"/>
      <c r="O4704" s="124"/>
    </row>
    <row r="4705">
      <c r="K4705" s="124"/>
      <c r="L4705" s="124"/>
      <c r="M4705" s="124"/>
      <c r="N4705" s="124"/>
      <c r="O4705" s="124"/>
    </row>
    <row r="4706">
      <c r="K4706" s="124"/>
      <c r="L4706" s="124"/>
      <c r="M4706" s="124"/>
      <c r="N4706" s="124"/>
      <c r="O4706" s="124"/>
    </row>
    <row r="4707">
      <c r="K4707" s="124"/>
      <c r="L4707" s="124"/>
      <c r="M4707" s="124"/>
      <c r="N4707" s="124"/>
      <c r="O4707" s="124"/>
    </row>
    <row r="4708">
      <c r="K4708" s="124"/>
      <c r="L4708" s="124"/>
      <c r="M4708" s="124"/>
      <c r="N4708" s="124"/>
      <c r="O4708" s="124"/>
    </row>
    <row r="4709">
      <c r="K4709" s="124"/>
      <c r="L4709" s="124"/>
      <c r="M4709" s="124"/>
      <c r="N4709" s="124"/>
      <c r="O4709" s="124"/>
    </row>
    <row r="4710">
      <c r="K4710" s="124"/>
      <c r="L4710" s="124"/>
      <c r="M4710" s="124"/>
      <c r="N4710" s="124"/>
      <c r="O4710" s="124"/>
    </row>
    <row r="4711">
      <c r="K4711" s="124"/>
      <c r="L4711" s="124"/>
      <c r="M4711" s="124"/>
      <c r="N4711" s="124"/>
      <c r="O4711" s="124"/>
    </row>
    <row r="4712">
      <c r="K4712" s="124"/>
      <c r="L4712" s="124"/>
      <c r="M4712" s="124"/>
      <c r="N4712" s="124"/>
      <c r="O4712" s="124"/>
    </row>
    <row r="4713">
      <c r="K4713" s="124"/>
      <c r="L4713" s="124"/>
      <c r="M4713" s="124"/>
      <c r="N4713" s="124"/>
      <c r="O4713" s="124"/>
    </row>
    <row r="4714">
      <c r="K4714" s="124"/>
      <c r="L4714" s="124"/>
      <c r="M4714" s="124"/>
      <c r="N4714" s="124"/>
      <c r="O4714" s="124"/>
    </row>
    <row r="4715">
      <c r="K4715" s="124"/>
      <c r="L4715" s="124"/>
      <c r="M4715" s="124"/>
      <c r="N4715" s="124"/>
      <c r="O4715" s="124"/>
    </row>
    <row r="4716">
      <c r="K4716" s="124"/>
      <c r="L4716" s="124"/>
      <c r="M4716" s="124"/>
      <c r="N4716" s="124"/>
      <c r="O4716" s="124"/>
    </row>
    <row r="4717">
      <c r="K4717" s="124"/>
      <c r="L4717" s="124"/>
      <c r="M4717" s="124"/>
      <c r="N4717" s="124"/>
      <c r="O4717" s="124"/>
    </row>
    <row r="4718">
      <c r="K4718" s="124"/>
      <c r="L4718" s="124"/>
      <c r="M4718" s="124"/>
      <c r="N4718" s="124"/>
      <c r="O4718" s="124"/>
    </row>
    <row r="4719">
      <c r="K4719" s="124"/>
      <c r="L4719" s="124"/>
      <c r="M4719" s="124"/>
      <c r="N4719" s="124"/>
      <c r="O4719" s="124"/>
    </row>
    <row r="4720">
      <c r="K4720" s="124"/>
      <c r="L4720" s="124"/>
      <c r="M4720" s="124"/>
      <c r="N4720" s="124"/>
      <c r="O4720" s="124"/>
    </row>
    <row r="4721">
      <c r="K4721" s="124"/>
      <c r="L4721" s="124"/>
      <c r="M4721" s="124"/>
      <c r="N4721" s="124"/>
      <c r="O4721" s="124"/>
    </row>
    <row r="4722">
      <c r="K4722" s="124"/>
      <c r="L4722" s="124"/>
      <c r="M4722" s="124"/>
      <c r="N4722" s="124"/>
      <c r="O4722" s="124"/>
    </row>
    <row r="4723">
      <c r="K4723" s="124"/>
      <c r="L4723" s="124"/>
      <c r="M4723" s="124"/>
      <c r="N4723" s="124"/>
      <c r="O4723" s="124"/>
    </row>
    <row r="4724">
      <c r="K4724" s="124"/>
      <c r="L4724" s="124"/>
      <c r="M4724" s="124"/>
      <c r="N4724" s="124"/>
      <c r="O4724" s="124"/>
    </row>
    <row r="4725">
      <c r="K4725" s="124"/>
      <c r="L4725" s="124"/>
      <c r="M4725" s="124"/>
      <c r="N4725" s="124"/>
      <c r="O4725" s="124"/>
    </row>
    <row r="4726">
      <c r="K4726" s="124"/>
      <c r="L4726" s="124"/>
      <c r="M4726" s="124"/>
      <c r="N4726" s="124"/>
      <c r="O4726" s="124"/>
    </row>
    <row r="4727">
      <c r="K4727" s="124"/>
      <c r="L4727" s="124"/>
      <c r="M4727" s="124"/>
      <c r="N4727" s="124"/>
      <c r="O4727" s="124"/>
    </row>
    <row r="4728">
      <c r="K4728" s="124"/>
      <c r="L4728" s="124"/>
      <c r="M4728" s="124"/>
      <c r="N4728" s="124"/>
      <c r="O4728" s="124"/>
    </row>
    <row r="4729">
      <c r="K4729" s="124"/>
      <c r="L4729" s="124"/>
      <c r="M4729" s="124"/>
      <c r="N4729" s="124"/>
      <c r="O4729" s="124"/>
    </row>
    <row r="4730">
      <c r="K4730" s="124"/>
      <c r="L4730" s="124"/>
      <c r="M4730" s="124"/>
      <c r="N4730" s="124"/>
      <c r="O4730" s="124"/>
    </row>
    <row r="4731">
      <c r="K4731" s="124"/>
      <c r="L4731" s="124"/>
      <c r="M4731" s="124"/>
      <c r="N4731" s="124"/>
      <c r="O4731" s="124"/>
    </row>
    <row r="4732">
      <c r="K4732" s="124"/>
      <c r="L4732" s="124"/>
      <c r="M4732" s="124"/>
      <c r="N4732" s="124"/>
      <c r="O4732" s="124"/>
    </row>
    <row r="4733">
      <c r="K4733" s="124"/>
      <c r="L4733" s="124"/>
      <c r="M4733" s="124"/>
      <c r="N4733" s="124"/>
      <c r="O4733" s="124"/>
    </row>
    <row r="4734">
      <c r="K4734" s="124"/>
      <c r="L4734" s="124"/>
      <c r="M4734" s="124"/>
      <c r="N4734" s="124"/>
      <c r="O4734" s="124"/>
    </row>
    <row r="4735">
      <c r="K4735" s="124"/>
      <c r="L4735" s="124"/>
      <c r="M4735" s="124"/>
      <c r="N4735" s="124"/>
      <c r="O4735" s="124"/>
    </row>
    <row r="4736">
      <c r="K4736" s="124"/>
      <c r="L4736" s="124"/>
      <c r="M4736" s="124"/>
      <c r="N4736" s="124"/>
      <c r="O4736" s="124"/>
    </row>
    <row r="4737">
      <c r="K4737" s="124"/>
      <c r="L4737" s="124"/>
      <c r="M4737" s="124"/>
      <c r="N4737" s="124"/>
      <c r="O4737" s="124"/>
    </row>
    <row r="4738">
      <c r="K4738" s="124"/>
      <c r="L4738" s="124"/>
      <c r="M4738" s="124"/>
      <c r="N4738" s="124"/>
      <c r="O4738" s="124"/>
    </row>
    <row r="4739">
      <c r="K4739" s="124"/>
      <c r="L4739" s="124"/>
      <c r="M4739" s="124"/>
      <c r="N4739" s="124"/>
      <c r="O4739" s="124"/>
    </row>
    <row r="4740">
      <c r="K4740" s="124"/>
      <c r="L4740" s="124"/>
      <c r="M4740" s="124"/>
      <c r="N4740" s="124"/>
      <c r="O4740" s="124"/>
    </row>
    <row r="4741">
      <c r="K4741" s="124"/>
      <c r="L4741" s="124"/>
      <c r="M4741" s="124"/>
      <c r="N4741" s="124"/>
      <c r="O4741" s="124"/>
    </row>
    <row r="4742">
      <c r="K4742" s="124"/>
      <c r="L4742" s="124"/>
      <c r="M4742" s="124"/>
      <c r="N4742" s="124"/>
      <c r="O4742" s="124"/>
    </row>
    <row r="4743">
      <c r="K4743" s="124"/>
      <c r="L4743" s="124"/>
      <c r="M4743" s="124"/>
      <c r="N4743" s="124"/>
      <c r="O4743" s="124"/>
    </row>
    <row r="4744">
      <c r="K4744" s="124"/>
      <c r="L4744" s="124"/>
      <c r="M4744" s="124"/>
      <c r="N4744" s="124"/>
      <c r="O4744" s="124"/>
    </row>
    <row r="4745">
      <c r="K4745" s="124"/>
      <c r="L4745" s="124"/>
      <c r="M4745" s="124"/>
      <c r="N4745" s="124"/>
      <c r="O4745" s="124"/>
    </row>
    <row r="4746">
      <c r="K4746" s="124"/>
      <c r="L4746" s="124"/>
      <c r="M4746" s="124"/>
      <c r="N4746" s="124"/>
      <c r="O4746" s="124"/>
    </row>
    <row r="4747">
      <c r="K4747" s="124"/>
      <c r="L4747" s="124"/>
      <c r="M4747" s="124"/>
      <c r="N4747" s="124"/>
      <c r="O4747" s="124"/>
    </row>
    <row r="4748">
      <c r="K4748" s="124"/>
      <c r="L4748" s="124"/>
      <c r="M4748" s="124"/>
      <c r="N4748" s="124"/>
      <c r="O4748" s="124"/>
    </row>
    <row r="4749">
      <c r="K4749" s="124"/>
      <c r="L4749" s="124"/>
      <c r="M4749" s="124"/>
      <c r="N4749" s="124"/>
      <c r="O4749" s="124"/>
    </row>
    <row r="4750">
      <c r="K4750" s="124"/>
      <c r="L4750" s="124"/>
      <c r="M4750" s="124"/>
      <c r="N4750" s="124"/>
      <c r="O4750" s="124"/>
    </row>
    <row r="4751">
      <c r="K4751" s="124"/>
      <c r="L4751" s="124"/>
      <c r="M4751" s="124"/>
      <c r="N4751" s="124"/>
      <c r="O4751" s="124"/>
    </row>
    <row r="4752">
      <c r="K4752" s="124"/>
      <c r="L4752" s="124"/>
      <c r="M4752" s="124"/>
      <c r="N4752" s="124"/>
      <c r="O4752" s="124"/>
    </row>
    <row r="4753">
      <c r="K4753" s="124"/>
      <c r="L4753" s="124"/>
      <c r="M4753" s="124"/>
      <c r="N4753" s="124"/>
      <c r="O4753" s="124"/>
    </row>
    <row r="4754">
      <c r="K4754" s="124"/>
      <c r="L4754" s="124"/>
      <c r="M4754" s="124"/>
      <c r="N4754" s="124"/>
      <c r="O4754" s="124"/>
    </row>
    <row r="4755">
      <c r="K4755" s="124"/>
      <c r="L4755" s="124"/>
      <c r="M4755" s="124"/>
      <c r="N4755" s="124"/>
      <c r="O4755" s="124"/>
    </row>
    <row r="4756">
      <c r="K4756" s="124"/>
      <c r="L4756" s="124"/>
      <c r="M4756" s="124"/>
      <c r="N4756" s="124"/>
      <c r="O4756" s="124"/>
    </row>
    <row r="4757">
      <c r="K4757" s="124"/>
      <c r="L4757" s="124"/>
      <c r="M4757" s="124"/>
      <c r="N4757" s="124"/>
      <c r="O4757" s="124"/>
    </row>
    <row r="4758">
      <c r="K4758" s="124"/>
      <c r="L4758" s="124"/>
      <c r="M4758" s="124"/>
      <c r="N4758" s="124"/>
      <c r="O4758" s="124"/>
    </row>
    <row r="4759">
      <c r="K4759" s="124"/>
      <c r="L4759" s="124"/>
      <c r="M4759" s="124"/>
      <c r="N4759" s="124"/>
      <c r="O4759" s="124"/>
    </row>
    <row r="4760">
      <c r="K4760" s="124"/>
      <c r="L4760" s="124"/>
      <c r="M4760" s="124"/>
      <c r="N4760" s="124"/>
      <c r="O4760" s="124"/>
    </row>
    <row r="4761">
      <c r="K4761" s="124"/>
      <c r="L4761" s="124"/>
      <c r="M4761" s="124"/>
      <c r="N4761" s="124"/>
      <c r="O4761" s="124"/>
    </row>
    <row r="4762">
      <c r="K4762" s="124"/>
      <c r="L4762" s="124"/>
      <c r="M4762" s="124"/>
      <c r="N4762" s="124"/>
      <c r="O4762" s="124"/>
    </row>
    <row r="4763">
      <c r="K4763" s="124"/>
      <c r="L4763" s="124"/>
      <c r="M4763" s="124"/>
      <c r="N4763" s="124"/>
      <c r="O4763" s="124"/>
    </row>
    <row r="4764">
      <c r="K4764" s="124"/>
      <c r="L4764" s="124"/>
      <c r="M4764" s="124"/>
      <c r="N4764" s="124"/>
      <c r="O4764" s="124"/>
    </row>
    <row r="4765">
      <c r="K4765" s="124"/>
      <c r="L4765" s="124"/>
      <c r="M4765" s="124"/>
      <c r="N4765" s="124"/>
      <c r="O4765" s="124"/>
    </row>
    <row r="4766">
      <c r="K4766" s="124"/>
      <c r="L4766" s="124"/>
      <c r="M4766" s="124"/>
      <c r="N4766" s="124"/>
      <c r="O4766" s="124"/>
    </row>
    <row r="4767">
      <c r="K4767" s="124"/>
      <c r="L4767" s="124"/>
      <c r="M4767" s="124"/>
      <c r="N4767" s="124"/>
      <c r="O4767" s="124"/>
    </row>
    <row r="4768">
      <c r="K4768" s="124"/>
      <c r="L4768" s="124"/>
      <c r="M4768" s="124"/>
      <c r="N4768" s="124"/>
      <c r="O4768" s="124"/>
    </row>
    <row r="4769">
      <c r="K4769" s="124"/>
      <c r="L4769" s="124"/>
      <c r="M4769" s="124"/>
      <c r="N4769" s="124"/>
      <c r="O4769" s="124"/>
    </row>
    <row r="4770">
      <c r="K4770" s="124"/>
      <c r="L4770" s="124"/>
      <c r="M4770" s="124"/>
      <c r="N4770" s="124"/>
      <c r="O4770" s="124"/>
    </row>
    <row r="4771">
      <c r="K4771" s="124"/>
      <c r="L4771" s="124"/>
      <c r="M4771" s="124"/>
      <c r="N4771" s="124"/>
      <c r="O4771" s="124"/>
    </row>
    <row r="4772">
      <c r="K4772" s="124"/>
      <c r="L4772" s="124"/>
      <c r="M4772" s="124"/>
      <c r="N4772" s="124"/>
      <c r="O4772" s="124"/>
    </row>
    <row r="4773">
      <c r="K4773" s="124"/>
      <c r="L4773" s="124"/>
      <c r="M4773" s="124"/>
      <c r="N4773" s="124"/>
      <c r="O4773" s="124"/>
    </row>
    <row r="4774">
      <c r="K4774" s="124"/>
      <c r="L4774" s="124"/>
      <c r="M4774" s="124"/>
      <c r="N4774" s="124"/>
      <c r="O4774" s="124"/>
    </row>
    <row r="4775">
      <c r="K4775" s="124"/>
      <c r="L4775" s="124"/>
      <c r="M4775" s="124"/>
      <c r="N4775" s="124"/>
      <c r="O4775" s="124"/>
    </row>
    <row r="4776">
      <c r="K4776" s="124"/>
      <c r="L4776" s="124"/>
      <c r="M4776" s="124"/>
      <c r="N4776" s="124"/>
      <c r="O4776" s="124"/>
    </row>
    <row r="4777">
      <c r="K4777" s="124"/>
      <c r="L4777" s="124"/>
      <c r="M4777" s="124"/>
      <c r="N4777" s="124"/>
      <c r="O4777" s="124"/>
    </row>
    <row r="4778">
      <c r="K4778" s="124"/>
      <c r="L4778" s="124"/>
      <c r="M4778" s="124"/>
      <c r="N4778" s="124"/>
      <c r="O4778" s="124"/>
    </row>
    <row r="4779">
      <c r="K4779" s="124"/>
      <c r="L4779" s="124"/>
      <c r="M4779" s="124"/>
      <c r="N4779" s="124"/>
      <c r="O4779" s="124"/>
    </row>
    <row r="4780">
      <c r="K4780" s="124"/>
      <c r="L4780" s="124"/>
      <c r="M4780" s="124"/>
      <c r="N4780" s="124"/>
      <c r="O4780" s="124"/>
    </row>
    <row r="4781">
      <c r="K4781" s="124"/>
      <c r="L4781" s="124"/>
      <c r="M4781" s="124"/>
      <c r="N4781" s="124"/>
      <c r="O4781" s="124"/>
    </row>
    <row r="4782">
      <c r="K4782" s="124"/>
      <c r="L4782" s="124"/>
      <c r="M4782" s="124"/>
      <c r="N4782" s="124"/>
      <c r="O4782" s="124"/>
    </row>
    <row r="4783">
      <c r="K4783" s="124"/>
      <c r="L4783" s="124"/>
      <c r="M4783" s="124"/>
      <c r="N4783" s="124"/>
      <c r="O4783" s="124"/>
    </row>
    <row r="4784">
      <c r="K4784" s="124"/>
      <c r="L4784" s="124"/>
      <c r="M4784" s="124"/>
      <c r="N4784" s="124"/>
      <c r="O4784" s="124"/>
    </row>
    <row r="4785">
      <c r="K4785" s="124"/>
      <c r="L4785" s="124"/>
      <c r="M4785" s="124"/>
      <c r="N4785" s="124"/>
      <c r="O4785" s="124"/>
    </row>
    <row r="4786">
      <c r="K4786" s="124"/>
      <c r="L4786" s="124"/>
      <c r="M4786" s="124"/>
      <c r="N4786" s="124"/>
      <c r="O4786" s="124"/>
    </row>
    <row r="4787">
      <c r="K4787" s="124"/>
      <c r="L4787" s="124"/>
      <c r="M4787" s="124"/>
      <c r="N4787" s="124"/>
      <c r="O4787" s="124"/>
    </row>
    <row r="4788">
      <c r="K4788" s="124"/>
      <c r="L4788" s="124"/>
      <c r="M4788" s="124"/>
      <c r="N4788" s="124"/>
      <c r="O4788" s="124"/>
    </row>
    <row r="4789">
      <c r="K4789" s="124"/>
      <c r="L4789" s="124"/>
      <c r="M4789" s="124"/>
      <c r="N4789" s="124"/>
      <c r="O4789" s="124"/>
    </row>
    <row r="4790">
      <c r="K4790" s="124"/>
      <c r="L4790" s="124"/>
      <c r="M4790" s="124"/>
      <c r="N4790" s="124"/>
      <c r="O4790" s="124"/>
    </row>
    <row r="4791">
      <c r="K4791" s="124"/>
      <c r="L4791" s="124"/>
      <c r="M4791" s="124"/>
      <c r="N4791" s="124"/>
      <c r="O4791" s="124"/>
    </row>
    <row r="4792">
      <c r="K4792" s="124"/>
      <c r="L4792" s="124"/>
      <c r="M4792" s="124"/>
      <c r="N4792" s="124"/>
      <c r="O4792" s="124"/>
    </row>
    <row r="4793">
      <c r="K4793" s="124"/>
      <c r="L4793" s="124"/>
      <c r="M4793" s="124"/>
      <c r="N4793" s="124"/>
      <c r="O4793" s="124"/>
    </row>
    <row r="4794">
      <c r="K4794" s="124"/>
      <c r="L4794" s="124"/>
      <c r="M4794" s="124"/>
      <c r="N4794" s="124"/>
      <c r="O4794" s="124"/>
    </row>
    <row r="4795">
      <c r="K4795" s="124"/>
      <c r="L4795" s="124"/>
      <c r="M4795" s="124"/>
      <c r="N4795" s="124"/>
      <c r="O4795" s="124"/>
    </row>
    <row r="4796">
      <c r="K4796" s="124"/>
      <c r="L4796" s="124"/>
      <c r="M4796" s="124"/>
      <c r="N4796" s="124"/>
      <c r="O4796" s="124"/>
    </row>
    <row r="4797">
      <c r="K4797" s="124"/>
      <c r="L4797" s="124"/>
      <c r="M4797" s="124"/>
      <c r="N4797" s="124"/>
      <c r="O4797" s="124"/>
    </row>
    <row r="4798">
      <c r="K4798" s="124"/>
      <c r="L4798" s="124"/>
      <c r="M4798" s="124"/>
      <c r="N4798" s="124"/>
      <c r="O4798" s="124"/>
    </row>
    <row r="4799">
      <c r="K4799" s="124"/>
      <c r="L4799" s="124"/>
      <c r="M4799" s="124"/>
      <c r="N4799" s="124"/>
      <c r="O4799" s="124"/>
    </row>
    <row r="4800">
      <c r="K4800" s="124"/>
      <c r="L4800" s="124"/>
      <c r="M4800" s="124"/>
      <c r="N4800" s="124"/>
      <c r="O4800" s="124"/>
    </row>
    <row r="4801">
      <c r="K4801" s="124"/>
      <c r="L4801" s="124"/>
      <c r="M4801" s="124"/>
      <c r="N4801" s="124"/>
      <c r="O4801" s="124"/>
    </row>
    <row r="4802">
      <c r="K4802" s="124"/>
      <c r="L4802" s="124"/>
      <c r="M4802" s="124"/>
      <c r="N4802" s="124"/>
      <c r="O4802" s="124"/>
    </row>
    <row r="4803">
      <c r="K4803" s="124"/>
      <c r="L4803" s="124"/>
      <c r="M4803" s="124"/>
      <c r="N4803" s="124"/>
      <c r="O4803" s="124"/>
    </row>
    <row r="4804">
      <c r="K4804" s="124"/>
      <c r="L4804" s="124"/>
      <c r="M4804" s="124"/>
      <c r="N4804" s="124"/>
      <c r="O4804" s="124"/>
    </row>
    <row r="4805">
      <c r="K4805" s="124"/>
      <c r="L4805" s="124"/>
      <c r="M4805" s="124"/>
      <c r="N4805" s="124"/>
      <c r="O4805" s="124"/>
    </row>
    <row r="4806">
      <c r="K4806" s="124"/>
      <c r="L4806" s="124"/>
      <c r="M4806" s="124"/>
      <c r="N4806" s="124"/>
      <c r="O4806" s="124"/>
    </row>
    <row r="4807">
      <c r="K4807" s="124"/>
      <c r="L4807" s="124"/>
      <c r="M4807" s="124"/>
      <c r="N4807" s="124"/>
      <c r="O4807" s="124"/>
    </row>
    <row r="4808">
      <c r="K4808" s="124"/>
      <c r="L4808" s="124"/>
      <c r="M4808" s="124"/>
      <c r="N4808" s="124"/>
      <c r="O4808" s="124"/>
    </row>
    <row r="4809">
      <c r="K4809" s="124"/>
      <c r="L4809" s="124"/>
      <c r="M4809" s="124"/>
      <c r="N4809" s="124"/>
      <c r="O4809" s="124"/>
    </row>
    <row r="4810">
      <c r="K4810" s="124"/>
      <c r="L4810" s="124"/>
      <c r="M4810" s="124"/>
      <c r="N4810" s="124"/>
      <c r="O4810" s="124"/>
    </row>
    <row r="4811">
      <c r="K4811" s="124"/>
      <c r="L4811" s="124"/>
      <c r="M4811" s="124"/>
      <c r="N4811" s="124"/>
      <c r="O4811" s="124"/>
    </row>
    <row r="4812">
      <c r="K4812" s="124"/>
      <c r="L4812" s="124"/>
      <c r="M4812" s="124"/>
      <c r="N4812" s="124"/>
      <c r="O4812" s="124"/>
    </row>
    <row r="4813">
      <c r="K4813" s="124"/>
      <c r="L4813" s="124"/>
      <c r="M4813" s="124"/>
      <c r="N4813" s="124"/>
      <c r="O4813" s="124"/>
    </row>
    <row r="4814">
      <c r="K4814" s="124"/>
      <c r="L4814" s="124"/>
      <c r="M4814" s="124"/>
      <c r="N4814" s="124"/>
      <c r="O4814" s="124"/>
    </row>
    <row r="4815">
      <c r="K4815" s="124"/>
      <c r="L4815" s="124"/>
      <c r="M4815" s="124"/>
      <c r="N4815" s="124"/>
      <c r="O4815" s="124"/>
    </row>
    <row r="4816">
      <c r="K4816" s="124"/>
      <c r="L4816" s="124"/>
      <c r="M4816" s="124"/>
      <c r="N4816" s="124"/>
      <c r="O4816" s="124"/>
    </row>
    <row r="4817">
      <c r="K4817" s="124"/>
      <c r="L4817" s="124"/>
      <c r="M4817" s="124"/>
      <c r="N4817" s="124"/>
      <c r="O4817" s="124"/>
    </row>
    <row r="4818">
      <c r="K4818" s="124"/>
      <c r="L4818" s="124"/>
      <c r="M4818" s="124"/>
      <c r="N4818" s="124"/>
      <c r="O4818" s="124"/>
    </row>
    <row r="4819">
      <c r="K4819" s="124"/>
      <c r="L4819" s="124"/>
      <c r="M4819" s="124"/>
      <c r="N4819" s="124"/>
      <c r="O4819" s="124"/>
    </row>
    <row r="4820">
      <c r="K4820" s="124"/>
      <c r="L4820" s="124"/>
      <c r="M4820" s="124"/>
      <c r="N4820" s="124"/>
      <c r="O4820" s="124"/>
    </row>
    <row r="4821">
      <c r="K4821" s="124"/>
      <c r="L4821" s="124"/>
      <c r="M4821" s="124"/>
      <c r="N4821" s="124"/>
      <c r="O4821" s="124"/>
    </row>
    <row r="4822">
      <c r="K4822" s="124"/>
      <c r="L4822" s="124"/>
      <c r="M4822" s="124"/>
      <c r="N4822" s="124"/>
      <c r="O4822" s="124"/>
    </row>
    <row r="4823">
      <c r="K4823" s="124"/>
      <c r="L4823" s="124"/>
      <c r="M4823" s="124"/>
      <c r="N4823" s="124"/>
      <c r="O4823" s="124"/>
    </row>
    <row r="4824">
      <c r="K4824" s="124"/>
      <c r="L4824" s="124"/>
      <c r="M4824" s="124"/>
      <c r="N4824" s="124"/>
      <c r="O4824" s="124"/>
    </row>
    <row r="4825">
      <c r="K4825" s="124"/>
      <c r="L4825" s="124"/>
      <c r="M4825" s="124"/>
      <c r="N4825" s="124"/>
      <c r="O4825" s="124"/>
    </row>
    <row r="4826">
      <c r="K4826" s="124"/>
      <c r="L4826" s="124"/>
      <c r="M4826" s="124"/>
      <c r="N4826" s="124"/>
      <c r="O4826" s="124"/>
    </row>
    <row r="4827">
      <c r="K4827" s="124"/>
      <c r="L4827" s="124"/>
      <c r="M4827" s="124"/>
      <c r="N4827" s="124"/>
      <c r="O4827" s="124"/>
    </row>
    <row r="4828">
      <c r="K4828" s="124"/>
      <c r="L4828" s="124"/>
      <c r="M4828" s="124"/>
      <c r="N4828" s="124"/>
      <c r="O4828" s="124"/>
    </row>
    <row r="4829">
      <c r="K4829" s="124"/>
      <c r="L4829" s="124"/>
      <c r="M4829" s="124"/>
      <c r="N4829" s="124"/>
      <c r="O4829" s="124"/>
    </row>
    <row r="4830">
      <c r="K4830" s="124"/>
      <c r="L4830" s="124"/>
      <c r="M4830" s="124"/>
      <c r="N4830" s="124"/>
      <c r="O4830" s="124"/>
    </row>
    <row r="4831">
      <c r="K4831" s="124"/>
      <c r="L4831" s="124"/>
      <c r="M4831" s="124"/>
      <c r="N4831" s="124"/>
      <c r="O4831" s="124"/>
    </row>
    <row r="4832">
      <c r="K4832" s="124"/>
      <c r="L4832" s="124"/>
      <c r="M4832" s="124"/>
      <c r="N4832" s="124"/>
      <c r="O4832" s="124"/>
    </row>
    <row r="4833">
      <c r="K4833" s="124"/>
      <c r="L4833" s="124"/>
      <c r="M4833" s="124"/>
      <c r="N4833" s="124"/>
      <c r="O4833" s="124"/>
    </row>
    <row r="4834">
      <c r="K4834" s="124"/>
      <c r="L4834" s="124"/>
      <c r="M4834" s="124"/>
      <c r="N4834" s="124"/>
      <c r="O4834" s="124"/>
    </row>
    <row r="4835">
      <c r="K4835" s="124"/>
      <c r="L4835" s="124"/>
      <c r="M4835" s="124"/>
      <c r="N4835" s="124"/>
      <c r="O4835" s="124"/>
    </row>
    <row r="4836">
      <c r="K4836" s="124"/>
      <c r="L4836" s="124"/>
      <c r="M4836" s="124"/>
      <c r="N4836" s="124"/>
      <c r="O4836" s="124"/>
    </row>
    <row r="4837">
      <c r="K4837" s="124"/>
      <c r="L4837" s="124"/>
      <c r="M4837" s="124"/>
      <c r="N4837" s="124"/>
      <c r="O4837" s="124"/>
    </row>
    <row r="4838">
      <c r="K4838" s="124"/>
      <c r="L4838" s="124"/>
      <c r="M4838" s="124"/>
      <c r="N4838" s="124"/>
      <c r="O4838" s="124"/>
    </row>
    <row r="4839">
      <c r="K4839" s="124"/>
      <c r="L4839" s="124"/>
      <c r="M4839" s="124"/>
      <c r="N4839" s="124"/>
      <c r="O4839" s="124"/>
    </row>
    <row r="4840">
      <c r="K4840" s="124"/>
      <c r="L4840" s="124"/>
      <c r="M4840" s="124"/>
      <c r="N4840" s="124"/>
      <c r="O4840" s="124"/>
    </row>
    <row r="4841">
      <c r="K4841" s="124"/>
      <c r="L4841" s="124"/>
      <c r="M4841" s="124"/>
      <c r="N4841" s="124"/>
      <c r="O4841" s="124"/>
    </row>
    <row r="4842">
      <c r="K4842" s="124"/>
      <c r="L4842" s="124"/>
      <c r="M4842" s="124"/>
      <c r="N4842" s="124"/>
      <c r="O4842" s="124"/>
    </row>
    <row r="4843">
      <c r="K4843" s="124"/>
      <c r="L4843" s="124"/>
      <c r="M4843" s="124"/>
      <c r="N4843" s="124"/>
      <c r="O4843" s="124"/>
    </row>
    <row r="4844">
      <c r="K4844" s="124"/>
      <c r="L4844" s="124"/>
      <c r="M4844" s="124"/>
      <c r="N4844" s="124"/>
      <c r="O4844" s="124"/>
    </row>
    <row r="4845">
      <c r="K4845" s="124"/>
      <c r="L4845" s="124"/>
      <c r="M4845" s="124"/>
      <c r="N4845" s="124"/>
      <c r="O4845" s="124"/>
    </row>
    <row r="4846">
      <c r="K4846" s="124"/>
      <c r="L4846" s="124"/>
      <c r="M4846" s="124"/>
      <c r="N4846" s="124"/>
      <c r="O4846" s="124"/>
    </row>
    <row r="4847">
      <c r="K4847" s="124"/>
      <c r="L4847" s="124"/>
      <c r="M4847" s="124"/>
      <c r="N4847" s="124"/>
      <c r="O4847" s="124"/>
    </row>
    <row r="4848">
      <c r="K4848" s="124"/>
      <c r="L4848" s="124"/>
      <c r="M4848" s="124"/>
      <c r="N4848" s="124"/>
      <c r="O4848" s="124"/>
    </row>
    <row r="4849">
      <c r="K4849" s="124"/>
      <c r="L4849" s="124"/>
      <c r="M4849" s="124"/>
      <c r="N4849" s="124"/>
      <c r="O4849" s="124"/>
    </row>
    <row r="4850">
      <c r="K4850" s="124"/>
      <c r="L4850" s="124"/>
      <c r="M4850" s="124"/>
      <c r="N4850" s="124"/>
      <c r="O4850" s="124"/>
    </row>
    <row r="4851">
      <c r="K4851" s="124"/>
      <c r="L4851" s="124"/>
      <c r="M4851" s="124"/>
      <c r="N4851" s="124"/>
      <c r="O4851" s="124"/>
    </row>
    <row r="4852">
      <c r="K4852" s="124"/>
      <c r="L4852" s="124"/>
      <c r="M4852" s="124"/>
      <c r="N4852" s="124"/>
      <c r="O4852" s="124"/>
    </row>
    <row r="4853">
      <c r="K4853" s="124"/>
      <c r="L4853" s="124"/>
      <c r="M4853" s="124"/>
      <c r="N4853" s="124"/>
      <c r="O4853" s="124"/>
    </row>
    <row r="4854">
      <c r="K4854" s="124"/>
      <c r="L4854" s="124"/>
      <c r="M4854" s="124"/>
      <c r="N4854" s="124"/>
      <c r="O4854" s="124"/>
    </row>
    <row r="4855">
      <c r="K4855" s="124"/>
      <c r="L4855" s="124"/>
      <c r="M4855" s="124"/>
      <c r="N4855" s="124"/>
      <c r="O4855" s="124"/>
    </row>
    <row r="4856">
      <c r="K4856" s="124"/>
      <c r="L4856" s="124"/>
      <c r="M4856" s="124"/>
      <c r="N4856" s="124"/>
      <c r="O4856" s="124"/>
    </row>
    <row r="4857">
      <c r="K4857" s="124"/>
      <c r="L4857" s="124"/>
      <c r="M4857" s="124"/>
      <c r="N4857" s="124"/>
      <c r="O4857" s="124"/>
    </row>
    <row r="4858">
      <c r="K4858" s="124"/>
      <c r="L4858" s="124"/>
      <c r="M4858" s="124"/>
      <c r="N4858" s="124"/>
      <c r="O4858" s="124"/>
    </row>
    <row r="4859">
      <c r="K4859" s="124"/>
      <c r="L4859" s="124"/>
      <c r="M4859" s="124"/>
      <c r="N4859" s="124"/>
      <c r="O4859" s="124"/>
    </row>
    <row r="4860">
      <c r="K4860" s="124"/>
      <c r="L4860" s="124"/>
      <c r="M4860" s="124"/>
      <c r="N4860" s="124"/>
      <c r="O4860" s="124"/>
    </row>
    <row r="4861">
      <c r="K4861" s="124"/>
      <c r="L4861" s="124"/>
      <c r="M4861" s="124"/>
      <c r="N4861" s="124"/>
      <c r="O4861" s="124"/>
    </row>
    <row r="4862">
      <c r="K4862" s="124"/>
      <c r="L4862" s="124"/>
      <c r="M4862" s="124"/>
      <c r="N4862" s="124"/>
      <c r="O4862" s="124"/>
    </row>
    <row r="4863">
      <c r="K4863" s="124"/>
      <c r="L4863" s="124"/>
      <c r="M4863" s="124"/>
      <c r="N4863" s="124"/>
      <c r="O4863" s="124"/>
    </row>
    <row r="4864">
      <c r="K4864" s="124"/>
      <c r="L4864" s="124"/>
      <c r="M4864" s="124"/>
      <c r="N4864" s="124"/>
      <c r="O4864" s="124"/>
    </row>
    <row r="4865">
      <c r="K4865" s="124"/>
      <c r="L4865" s="124"/>
      <c r="M4865" s="124"/>
      <c r="N4865" s="124"/>
      <c r="O4865" s="124"/>
    </row>
    <row r="4866">
      <c r="K4866" s="124"/>
      <c r="L4866" s="124"/>
      <c r="M4866" s="124"/>
      <c r="N4866" s="124"/>
      <c r="O4866" s="124"/>
    </row>
    <row r="4867">
      <c r="K4867" s="124"/>
      <c r="L4867" s="124"/>
      <c r="M4867" s="124"/>
      <c r="N4867" s="124"/>
      <c r="O4867" s="124"/>
    </row>
    <row r="4868">
      <c r="K4868" s="124"/>
      <c r="L4868" s="124"/>
      <c r="M4868" s="124"/>
      <c r="N4868" s="124"/>
      <c r="O4868" s="124"/>
    </row>
    <row r="4869">
      <c r="K4869" s="124"/>
      <c r="L4869" s="124"/>
      <c r="M4869" s="124"/>
      <c r="N4869" s="124"/>
      <c r="O4869" s="124"/>
    </row>
    <row r="4870">
      <c r="K4870" s="124"/>
      <c r="L4870" s="124"/>
      <c r="M4870" s="124"/>
      <c r="N4870" s="124"/>
      <c r="O4870" s="124"/>
    </row>
    <row r="4871">
      <c r="K4871" s="124"/>
      <c r="L4871" s="124"/>
      <c r="M4871" s="124"/>
      <c r="N4871" s="124"/>
      <c r="O4871" s="124"/>
    </row>
    <row r="4872">
      <c r="K4872" s="124"/>
      <c r="L4872" s="124"/>
      <c r="M4872" s="124"/>
      <c r="N4872" s="124"/>
      <c r="O4872" s="124"/>
    </row>
    <row r="4873">
      <c r="K4873" s="124"/>
      <c r="L4873" s="124"/>
      <c r="M4873" s="124"/>
      <c r="N4873" s="124"/>
      <c r="O4873" s="124"/>
    </row>
    <row r="4874">
      <c r="K4874" s="124"/>
      <c r="L4874" s="124"/>
      <c r="M4874" s="124"/>
      <c r="N4874" s="124"/>
      <c r="O4874" s="124"/>
    </row>
    <row r="4875">
      <c r="K4875" s="124"/>
      <c r="L4875" s="124"/>
      <c r="M4875" s="124"/>
      <c r="N4875" s="124"/>
      <c r="O4875" s="124"/>
    </row>
    <row r="4876">
      <c r="K4876" s="124"/>
      <c r="L4876" s="124"/>
      <c r="M4876" s="124"/>
      <c r="N4876" s="124"/>
      <c r="O4876" s="124"/>
    </row>
    <row r="4877">
      <c r="K4877" s="124"/>
      <c r="L4877" s="124"/>
      <c r="M4877" s="124"/>
      <c r="N4877" s="124"/>
      <c r="O4877" s="124"/>
    </row>
    <row r="4878">
      <c r="K4878" s="124"/>
      <c r="L4878" s="124"/>
      <c r="M4878" s="124"/>
      <c r="N4878" s="124"/>
      <c r="O4878" s="124"/>
    </row>
    <row r="4879">
      <c r="K4879" s="124"/>
      <c r="L4879" s="124"/>
      <c r="M4879" s="124"/>
      <c r="N4879" s="124"/>
      <c r="O4879" s="124"/>
    </row>
    <row r="4880">
      <c r="K4880" s="124"/>
      <c r="L4880" s="124"/>
      <c r="M4880" s="124"/>
      <c r="N4880" s="124"/>
      <c r="O4880" s="124"/>
    </row>
    <row r="4881">
      <c r="K4881" s="124"/>
      <c r="L4881" s="124"/>
      <c r="M4881" s="124"/>
      <c r="N4881" s="124"/>
      <c r="O4881" s="124"/>
    </row>
    <row r="4882">
      <c r="K4882" s="124"/>
      <c r="L4882" s="124"/>
      <c r="M4882" s="124"/>
      <c r="N4882" s="124"/>
      <c r="O4882" s="124"/>
    </row>
    <row r="4883">
      <c r="K4883" s="124"/>
      <c r="L4883" s="124"/>
      <c r="M4883" s="124"/>
      <c r="N4883" s="124"/>
      <c r="O4883" s="124"/>
    </row>
    <row r="4884">
      <c r="K4884" s="124"/>
      <c r="L4884" s="124"/>
      <c r="M4884" s="124"/>
      <c r="N4884" s="124"/>
      <c r="O4884" s="124"/>
    </row>
    <row r="4885">
      <c r="K4885" s="124"/>
      <c r="L4885" s="124"/>
      <c r="M4885" s="124"/>
      <c r="N4885" s="124"/>
      <c r="O4885" s="124"/>
    </row>
    <row r="4886">
      <c r="K4886" s="124"/>
      <c r="L4886" s="124"/>
      <c r="M4886" s="124"/>
      <c r="N4886" s="124"/>
      <c r="O4886" s="124"/>
    </row>
    <row r="4887">
      <c r="K4887" s="124"/>
      <c r="L4887" s="124"/>
      <c r="M4887" s="124"/>
      <c r="N4887" s="124"/>
      <c r="O4887" s="124"/>
    </row>
    <row r="4888">
      <c r="K4888" s="124"/>
      <c r="L4888" s="124"/>
      <c r="M4888" s="124"/>
      <c r="N4888" s="124"/>
      <c r="O4888" s="124"/>
    </row>
    <row r="4889">
      <c r="K4889" s="124"/>
      <c r="L4889" s="124"/>
      <c r="M4889" s="124"/>
      <c r="N4889" s="124"/>
      <c r="O4889" s="124"/>
    </row>
    <row r="4890">
      <c r="K4890" s="124"/>
      <c r="L4890" s="124"/>
      <c r="M4890" s="124"/>
      <c r="N4890" s="124"/>
      <c r="O4890" s="124"/>
    </row>
    <row r="4891">
      <c r="K4891" s="124"/>
      <c r="L4891" s="124"/>
      <c r="M4891" s="124"/>
      <c r="N4891" s="124"/>
      <c r="O4891" s="124"/>
    </row>
    <row r="4892">
      <c r="K4892" s="124"/>
      <c r="L4892" s="124"/>
      <c r="M4892" s="124"/>
      <c r="N4892" s="124"/>
      <c r="O4892" s="124"/>
    </row>
    <row r="4893">
      <c r="K4893" s="124"/>
      <c r="L4893" s="124"/>
      <c r="M4893" s="124"/>
      <c r="N4893" s="124"/>
      <c r="O4893" s="124"/>
    </row>
    <row r="4894">
      <c r="K4894" s="124"/>
      <c r="L4894" s="124"/>
      <c r="M4894" s="124"/>
      <c r="N4894" s="124"/>
      <c r="O4894" s="124"/>
    </row>
    <row r="4895">
      <c r="K4895" s="124"/>
      <c r="L4895" s="124"/>
      <c r="M4895" s="124"/>
      <c r="N4895" s="124"/>
      <c r="O4895" s="124"/>
    </row>
    <row r="4896">
      <c r="K4896" s="124"/>
      <c r="L4896" s="124"/>
      <c r="M4896" s="124"/>
      <c r="N4896" s="124"/>
      <c r="O4896" s="124"/>
    </row>
    <row r="4897">
      <c r="K4897" s="124"/>
      <c r="L4897" s="124"/>
      <c r="M4897" s="124"/>
      <c r="N4897" s="124"/>
      <c r="O4897" s="124"/>
    </row>
    <row r="4898">
      <c r="K4898" s="124"/>
      <c r="L4898" s="124"/>
      <c r="M4898" s="124"/>
      <c r="N4898" s="124"/>
      <c r="O4898" s="124"/>
    </row>
    <row r="4899">
      <c r="K4899" s="124"/>
      <c r="L4899" s="124"/>
      <c r="M4899" s="124"/>
      <c r="N4899" s="124"/>
      <c r="O4899" s="124"/>
    </row>
    <row r="4900">
      <c r="K4900" s="124"/>
      <c r="L4900" s="124"/>
      <c r="M4900" s="124"/>
      <c r="N4900" s="124"/>
      <c r="O4900" s="124"/>
    </row>
    <row r="4901">
      <c r="K4901" s="124"/>
      <c r="L4901" s="124"/>
      <c r="M4901" s="124"/>
      <c r="N4901" s="124"/>
      <c r="O4901" s="124"/>
    </row>
    <row r="4902">
      <c r="K4902" s="124"/>
      <c r="L4902" s="124"/>
      <c r="M4902" s="124"/>
      <c r="N4902" s="124"/>
      <c r="O4902" s="124"/>
    </row>
    <row r="4903">
      <c r="K4903" s="124"/>
      <c r="L4903" s="124"/>
      <c r="M4903" s="124"/>
      <c r="N4903" s="124"/>
      <c r="O4903" s="124"/>
    </row>
    <row r="4904">
      <c r="K4904" s="124"/>
      <c r="L4904" s="124"/>
      <c r="M4904" s="124"/>
      <c r="N4904" s="124"/>
      <c r="O4904" s="124"/>
    </row>
    <row r="4905">
      <c r="K4905" s="124"/>
      <c r="L4905" s="124"/>
      <c r="M4905" s="124"/>
      <c r="N4905" s="124"/>
      <c r="O4905" s="124"/>
    </row>
    <row r="4906">
      <c r="K4906" s="124"/>
      <c r="L4906" s="124"/>
      <c r="M4906" s="124"/>
      <c r="N4906" s="124"/>
      <c r="O4906" s="124"/>
    </row>
    <row r="4907">
      <c r="K4907" s="124"/>
      <c r="L4907" s="124"/>
      <c r="M4907" s="124"/>
      <c r="N4907" s="124"/>
      <c r="O4907" s="124"/>
    </row>
    <row r="4908">
      <c r="K4908" s="124"/>
      <c r="L4908" s="124"/>
      <c r="M4908" s="124"/>
      <c r="N4908" s="124"/>
      <c r="O4908" s="124"/>
    </row>
    <row r="4909">
      <c r="K4909" s="124"/>
      <c r="L4909" s="124"/>
      <c r="M4909" s="124"/>
      <c r="N4909" s="124"/>
      <c r="O4909" s="124"/>
    </row>
    <row r="4910">
      <c r="K4910" s="124"/>
      <c r="L4910" s="124"/>
      <c r="M4910" s="124"/>
      <c r="N4910" s="124"/>
      <c r="O4910" s="124"/>
    </row>
    <row r="4911">
      <c r="K4911" s="124"/>
      <c r="L4911" s="124"/>
      <c r="M4911" s="124"/>
      <c r="N4911" s="124"/>
      <c r="O4911" s="124"/>
    </row>
    <row r="4912">
      <c r="K4912" s="124"/>
      <c r="L4912" s="124"/>
      <c r="M4912" s="124"/>
      <c r="N4912" s="124"/>
      <c r="O4912" s="124"/>
    </row>
    <row r="4913">
      <c r="K4913" s="124"/>
      <c r="L4913" s="124"/>
      <c r="M4913" s="124"/>
      <c r="N4913" s="124"/>
      <c r="O4913" s="124"/>
    </row>
    <row r="4914">
      <c r="K4914" s="124"/>
      <c r="L4914" s="124"/>
      <c r="M4914" s="124"/>
      <c r="N4914" s="124"/>
      <c r="O4914" s="124"/>
    </row>
    <row r="4915">
      <c r="K4915" s="124"/>
      <c r="L4915" s="124"/>
      <c r="M4915" s="124"/>
      <c r="N4915" s="124"/>
      <c r="O4915" s="124"/>
    </row>
    <row r="4916">
      <c r="K4916" s="124"/>
      <c r="L4916" s="124"/>
      <c r="M4916" s="124"/>
      <c r="N4916" s="124"/>
      <c r="O4916" s="124"/>
    </row>
    <row r="4917">
      <c r="K4917" s="124"/>
      <c r="L4917" s="124"/>
      <c r="M4917" s="124"/>
      <c r="N4917" s="124"/>
      <c r="O4917" s="124"/>
    </row>
    <row r="4918">
      <c r="K4918" s="124"/>
      <c r="L4918" s="124"/>
      <c r="M4918" s="124"/>
      <c r="N4918" s="124"/>
      <c r="O4918" s="124"/>
    </row>
    <row r="4919">
      <c r="K4919" s="124"/>
      <c r="L4919" s="124"/>
      <c r="M4919" s="124"/>
      <c r="N4919" s="124"/>
      <c r="O4919" s="124"/>
    </row>
    <row r="4920">
      <c r="K4920" s="124"/>
      <c r="L4920" s="124"/>
      <c r="M4920" s="124"/>
      <c r="N4920" s="124"/>
      <c r="O4920" s="124"/>
    </row>
    <row r="4921">
      <c r="K4921" s="124"/>
      <c r="L4921" s="124"/>
      <c r="M4921" s="124"/>
      <c r="N4921" s="124"/>
      <c r="O4921" s="124"/>
    </row>
    <row r="4922">
      <c r="K4922" s="124"/>
      <c r="L4922" s="124"/>
      <c r="M4922" s="124"/>
      <c r="N4922" s="124"/>
      <c r="O4922" s="124"/>
    </row>
    <row r="4923">
      <c r="K4923" s="124"/>
      <c r="L4923" s="124"/>
      <c r="M4923" s="124"/>
      <c r="N4923" s="124"/>
      <c r="O4923" s="124"/>
    </row>
    <row r="4924">
      <c r="K4924" s="124"/>
      <c r="L4924" s="124"/>
      <c r="M4924" s="124"/>
      <c r="N4924" s="124"/>
      <c r="O4924" s="124"/>
    </row>
    <row r="4925">
      <c r="K4925" s="124"/>
      <c r="L4925" s="124"/>
      <c r="M4925" s="124"/>
      <c r="N4925" s="124"/>
      <c r="O4925" s="124"/>
    </row>
    <row r="4926">
      <c r="K4926" s="124"/>
      <c r="L4926" s="124"/>
      <c r="M4926" s="124"/>
      <c r="N4926" s="124"/>
      <c r="O4926" s="124"/>
    </row>
    <row r="4927">
      <c r="K4927" s="124"/>
      <c r="L4927" s="124"/>
      <c r="M4927" s="124"/>
      <c r="N4927" s="124"/>
      <c r="O4927" s="124"/>
    </row>
    <row r="4928">
      <c r="K4928" s="124"/>
      <c r="L4928" s="124"/>
      <c r="M4928" s="124"/>
      <c r="N4928" s="124"/>
      <c r="O4928" s="124"/>
    </row>
    <row r="4929">
      <c r="K4929" s="124"/>
      <c r="L4929" s="124"/>
      <c r="M4929" s="124"/>
      <c r="N4929" s="124"/>
      <c r="O4929" s="124"/>
    </row>
    <row r="4930">
      <c r="K4930" s="124"/>
      <c r="L4930" s="124"/>
      <c r="M4930" s="124"/>
      <c r="N4930" s="124"/>
      <c r="O4930" s="124"/>
    </row>
    <row r="4931">
      <c r="K4931" s="124"/>
      <c r="L4931" s="124"/>
      <c r="M4931" s="124"/>
      <c r="N4931" s="124"/>
      <c r="O4931" s="124"/>
    </row>
    <row r="4932">
      <c r="K4932" s="124"/>
      <c r="L4932" s="124"/>
      <c r="M4932" s="124"/>
      <c r="N4932" s="124"/>
      <c r="O4932" s="124"/>
    </row>
    <row r="4933">
      <c r="K4933" s="124"/>
      <c r="L4933" s="124"/>
      <c r="M4933" s="124"/>
      <c r="N4933" s="124"/>
      <c r="O4933" s="124"/>
    </row>
    <row r="4934">
      <c r="K4934" s="124"/>
      <c r="L4934" s="124"/>
      <c r="M4934" s="124"/>
      <c r="N4934" s="124"/>
      <c r="O4934" s="124"/>
    </row>
    <row r="4935">
      <c r="K4935" s="124"/>
      <c r="L4935" s="124"/>
      <c r="M4935" s="124"/>
      <c r="N4935" s="124"/>
      <c r="O4935" s="124"/>
    </row>
    <row r="4936">
      <c r="K4936" s="124"/>
      <c r="L4936" s="124"/>
      <c r="M4936" s="124"/>
      <c r="N4936" s="124"/>
      <c r="O4936" s="124"/>
    </row>
    <row r="4937">
      <c r="K4937" s="124"/>
      <c r="L4937" s="124"/>
      <c r="M4937" s="124"/>
      <c r="N4937" s="124"/>
      <c r="O4937" s="124"/>
    </row>
    <row r="4938">
      <c r="K4938" s="124"/>
      <c r="L4938" s="124"/>
      <c r="M4938" s="124"/>
      <c r="N4938" s="124"/>
      <c r="O4938" s="124"/>
    </row>
    <row r="4939">
      <c r="K4939" s="124"/>
      <c r="L4939" s="124"/>
      <c r="M4939" s="124"/>
      <c r="N4939" s="124"/>
      <c r="O4939" s="124"/>
    </row>
    <row r="4940">
      <c r="K4940" s="124"/>
      <c r="L4940" s="124"/>
      <c r="M4940" s="124"/>
      <c r="N4940" s="124"/>
      <c r="O4940" s="124"/>
    </row>
    <row r="4941">
      <c r="K4941" s="124"/>
      <c r="L4941" s="124"/>
      <c r="M4941" s="124"/>
      <c r="N4941" s="124"/>
      <c r="O4941" s="124"/>
    </row>
    <row r="4942">
      <c r="K4942" s="124"/>
      <c r="L4942" s="124"/>
      <c r="M4942" s="124"/>
      <c r="N4942" s="124"/>
      <c r="O4942" s="124"/>
    </row>
    <row r="4943">
      <c r="K4943" s="124"/>
      <c r="L4943" s="124"/>
      <c r="M4943" s="124"/>
      <c r="N4943" s="124"/>
      <c r="O4943" s="124"/>
    </row>
    <row r="4944">
      <c r="K4944" s="124"/>
      <c r="L4944" s="124"/>
      <c r="M4944" s="124"/>
      <c r="N4944" s="124"/>
      <c r="O4944" s="124"/>
    </row>
    <row r="4945">
      <c r="K4945" s="124"/>
      <c r="L4945" s="124"/>
      <c r="M4945" s="124"/>
      <c r="N4945" s="124"/>
      <c r="O4945" s="124"/>
    </row>
    <row r="4946">
      <c r="K4946" s="124"/>
      <c r="L4946" s="124"/>
      <c r="M4946" s="124"/>
      <c r="N4946" s="124"/>
      <c r="O4946" s="124"/>
    </row>
    <row r="4947">
      <c r="K4947" s="124"/>
      <c r="L4947" s="124"/>
      <c r="M4947" s="124"/>
      <c r="N4947" s="124"/>
      <c r="O4947" s="124"/>
    </row>
    <row r="4948">
      <c r="K4948" s="124"/>
      <c r="L4948" s="124"/>
      <c r="M4948" s="124"/>
      <c r="N4948" s="124"/>
      <c r="O4948" s="124"/>
    </row>
    <row r="4949">
      <c r="K4949" s="124"/>
      <c r="L4949" s="124"/>
      <c r="M4949" s="124"/>
      <c r="N4949" s="124"/>
      <c r="O4949" s="124"/>
    </row>
    <row r="4950">
      <c r="K4950" s="124"/>
      <c r="L4950" s="124"/>
      <c r="M4950" s="124"/>
      <c r="N4950" s="124"/>
      <c r="O4950" s="124"/>
    </row>
    <row r="4951">
      <c r="K4951" s="124"/>
      <c r="L4951" s="124"/>
      <c r="M4951" s="124"/>
      <c r="N4951" s="124"/>
      <c r="O4951" s="124"/>
    </row>
    <row r="4952">
      <c r="K4952" s="124"/>
      <c r="L4952" s="124"/>
      <c r="M4952" s="124"/>
      <c r="N4952" s="124"/>
      <c r="O4952" s="124"/>
    </row>
    <row r="4953">
      <c r="K4953" s="124"/>
      <c r="L4953" s="124"/>
      <c r="M4953" s="124"/>
      <c r="N4953" s="124"/>
      <c r="O4953" s="124"/>
    </row>
    <row r="4954">
      <c r="K4954" s="124"/>
      <c r="L4954" s="124"/>
      <c r="M4954" s="124"/>
      <c r="N4954" s="124"/>
      <c r="O4954" s="124"/>
    </row>
    <row r="4955">
      <c r="K4955" s="124"/>
      <c r="L4955" s="124"/>
      <c r="M4955" s="124"/>
      <c r="N4955" s="124"/>
      <c r="O4955" s="124"/>
    </row>
    <row r="4956">
      <c r="K4956" s="124"/>
      <c r="L4956" s="124"/>
      <c r="M4956" s="124"/>
      <c r="N4956" s="124"/>
      <c r="O4956" s="124"/>
    </row>
    <row r="4957">
      <c r="K4957" s="124"/>
      <c r="L4957" s="124"/>
      <c r="M4957" s="124"/>
      <c r="N4957" s="124"/>
      <c r="O4957" s="124"/>
    </row>
    <row r="4958">
      <c r="K4958" s="124"/>
      <c r="L4958" s="124"/>
      <c r="M4958" s="124"/>
      <c r="N4958" s="124"/>
      <c r="O4958" s="124"/>
    </row>
    <row r="4959">
      <c r="K4959" s="124"/>
      <c r="L4959" s="124"/>
      <c r="M4959" s="124"/>
      <c r="N4959" s="124"/>
      <c r="O4959" s="124"/>
    </row>
    <row r="4960">
      <c r="K4960" s="124"/>
      <c r="L4960" s="124"/>
      <c r="M4960" s="124"/>
      <c r="N4960" s="124"/>
      <c r="O4960" s="124"/>
    </row>
    <row r="4961">
      <c r="K4961" s="124"/>
      <c r="L4961" s="124"/>
      <c r="M4961" s="124"/>
      <c r="N4961" s="124"/>
      <c r="O4961" s="124"/>
    </row>
    <row r="4962">
      <c r="K4962" s="124"/>
      <c r="L4962" s="124"/>
      <c r="M4962" s="124"/>
      <c r="N4962" s="124"/>
      <c r="O4962" s="124"/>
    </row>
    <row r="4963">
      <c r="K4963" s="124"/>
      <c r="L4963" s="124"/>
      <c r="M4963" s="124"/>
      <c r="N4963" s="124"/>
      <c r="O4963" s="124"/>
    </row>
    <row r="4964">
      <c r="K4964" s="124"/>
      <c r="L4964" s="124"/>
      <c r="M4964" s="124"/>
      <c r="N4964" s="124"/>
      <c r="O4964" s="124"/>
    </row>
    <row r="4965">
      <c r="K4965" s="124"/>
      <c r="L4965" s="124"/>
      <c r="M4965" s="124"/>
      <c r="N4965" s="124"/>
      <c r="O4965" s="124"/>
    </row>
    <row r="4966">
      <c r="K4966" s="124"/>
      <c r="L4966" s="124"/>
      <c r="M4966" s="124"/>
      <c r="N4966" s="124"/>
      <c r="O4966" s="124"/>
    </row>
    <row r="4967">
      <c r="K4967" s="124"/>
      <c r="L4967" s="124"/>
      <c r="M4967" s="124"/>
      <c r="N4967" s="124"/>
      <c r="O4967" s="124"/>
    </row>
    <row r="4968">
      <c r="K4968" s="124"/>
      <c r="L4968" s="124"/>
      <c r="M4968" s="124"/>
      <c r="N4968" s="124"/>
      <c r="O4968" s="124"/>
    </row>
    <row r="4969">
      <c r="K4969" s="124"/>
      <c r="L4969" s="124"/>
      <c r="M4969" s="124"/>
      <c r="N4969" s="124"/>
      <c r="O4969" s="124"/>
    </row>
    <row r="4970">
      <c r="K4970" s="124"/>
      <c r="L4970" s="124"/>
      <c r="M4970" s="124"/>
      <c r="N4970" s="124"/>
      <c r="O4970" s="124"/>
    </row>
    <row r="4971">
      <c r="K4971" s="124"/>
      <c r="L4971" s="124"/>
      <c r="M4971" s="124"/>
      <c r="N4971" s="124"/>
      <c r="O4971" s="124"/>
    </row>
    <row r="4972">
      <c r="K4972" s="124"/>
      <c r="L4972" s="124"/>
      <c r="M4972" s="124"/>
      <c r="N4972" s="124"/>
      <c r="O4972" s="124"/>
    </row>
    <row r="4973">
      <c r="K4973" s="124"/>
      <c r="L4973" s="124"/>
      <c r="M4973" s="124"/>
      <c r="N4973" s="124"/>
      <c r="O4973" s="124"/>
    </row>
    <row r="4974">
      <c r="K4974" s="124"/>
      <c r="L4974" s="124"/>
      <c r="M4974" s="124"/>
      <c r="N4974" s="124"/>
      <c r="O4974" s="124"/>
    </row>
    <row r="4975">
      <c r="K4975" s="124"/>
      <c r="L4975" s="124"/>
      <c r="M4975" s="124"/>
      <c r="N4975" s="124"/>
      <c r="O4975" s="124"/>
    </row>
    <row r="4976">
      <c r="K4976" s="124"/>
      <c r="L4976" s="124"/>
      <c r="M4976" s="124"/>
      <c r="N4976" s="124"/>
      <c r="O4976" s="124"/>
    </row>
    <row r="4977">
      <c r="K4977" s="124"/>
      <c r="L4977" s="124"/>
      <c r="M4977" s="124"/>
      <c r="N4977" s="124"/>
      <c r="O4977" s="124"/>
    </row>
    <row r="4978">
      <c r="K4978" s="124"/>
      <c r="L4978" s="124"/>
      <c r="M4978" s="124"/>
      <c r="N4978" s="124"/>
      <c r="O4978" s="124"/>
    </row>
    <row r="4979">
      <c r="K4979" s="124"/>
      <c r="L4979" s="124"/>
      <c r="M4979" s="124"/>
      <c r="N4979" s="124"/>
      <c r="O4979" s="124"/>
    </row>
    <row r="4980">
      <c r="K4980" s="124"/>
      <c r="L4980" s="124"/>
      <c r="M4980" s="124"/>
      <c r="N4980" s="124"/>
      <c r="O4980" s="124"/>
    </row>
    <row r="4981">
      <c r="K4981" s="124"/>
      <c r="L4981" s="124"/>
      <c r="M4981" s="124"/>
      <c r="N4981" s="124"/>
      <c r="O4981" s="124"/>
    </row>
    <row r="4982">
      <c r="K4982" s="124"/>
      <c r="L4982" s="124"/>
      <c r="M4982" s="124"/>
      <c r="N4982" s="124"/>
      <c r="O4982" s="124"/>
    </row>
    <row r="4983">
      <c r="K4983" s="124"/>
      <c r="L4983" s="124"/>
      <c r="M4983" s="124"/>
      <c r="N4983" s="124"/>
      <c r="O4983" s="124"/>
    </row>
    <row r="4984">
      <c r="K4984" s="124"/>
      <c r="L4984" s="124"/>
      <c r="M4984" s="124"/>
      <c r="N4984" s="124"/>
      <c r="O4984" s="124"/>
    </row>
    <row r="4985">
      <c r="K4985" s="124"/>
      <c r="L4985" s="124"/>
      <c r="M4985" s="124"/>
      <c r="N4985" s="124"/>
      <c r="O4985" s="124"/>
    </row>
    <row r="4986">
      <c r="K4986" s="124"/>
      <c r="L4986" s="124"/>
      <c r="M4986" s="124"/>
      <c r="N4986" s="124"/>
      <c r="O4986" s="124"/>
    </row>
    <row r="4987">
      <c r="K4987" s="124"/>
      <c r="L4987" s="124"/>
      <c r="M4987" s="124"/>
      <c r="N4987" s="124"/>
      <c r="O4987" s="124"/>
    </row>
    <row r="4988">
      <c r="K4988" s="124"/>
      <c r="L4988" s="124"/>
      <c r="M4988" s="124"/>
      <c r="N4988" s="124"/>
      <c r="O4988" s="124"/>
    </row>
    <row r="4989">
      <c r="K4989" s="124"/>
      <c r="L4989" s="124"/>
      <c r="M4989" s="124"/>
      <c r="N4989" s="124"/>
      <c r="O4989" s="124"/>
    </row>
    <row r="4990">
      <c r="K4990" s="124"/>
      <c r="L4990" s="124"/>
      <c r="M4990" s="124"/>
      <c r="N4990" s="124"/>
      <c r="O4990" s="124"/>
    </row>
    <row r="4991">
      <c r="K4991" s="124"/>
      <c r="L4991" s="124"/>
      <c r="M4991" s="124"/>
      <c r="N4991" s="124"/>
      <c r="O4991" s="124"/>
    </row>
    <row r="4992">
      <c r="K4992" s="124"/>
      <c r="L4992" s="124"/>
      <c r="M4992" s="124"/>
      <c r="N4992" s="124"/>
      <c r="O4992" s="124"/>
    </row>
    <row r="4993">
      <c r="K4993" s="124"/>
      <c r="L4993" s="124"/>
      <c r="M4993" s="124"/>
      <c r="N4993" s="124"/>
      <c r="O4993" s="124"/>
    </row>
    <row r="4994">
      <c r="K4994" s="124"/>
      <c r="L4994" s="124"/>
      <c r="M4994" s="124"/>
      <c r="N4994" s="124"/>
      <c r="O4994" s="124"/>
    </row>
    <row r="4995">
      <c r="K4995" s="124"/>
      <c r="L4995" s="124"/>
      <c r="M4995" s="124"/>
      <c r="N4995" s="124"/>
      <c r="O4995" s="124"/>
    </row>
    <row r="4996">
      <c r="K4996" s="124"/>
      <c r="L4996" s="124"/>
      <c r="M4996" s="124"/>
      <c r="N4996" s="124"/>
      <c r="O4996" s="124"/>
    </row>
    <row r="4997">
      <c r="K4997" s="124"/>
      <c r="L4997" s="124"/>
      <c r="M4997" s="124"/>
      <c r="N4997" s="124"/>
      <c r="O4997" s="124"/>
    </row>
    <row r="4998">
      <c r="K4998" s="124"/>
      <c r="L4998" s="124"/>
      <c r="M4998" s="124"/>
      <c r="N4998" s="124"/>
      <c r="O4998" s="124"/>
    </row>
    <row r="4999">
      <c r="K4999" s="124"/>
      <c r="L4999" s="124"/>
      <c r="M4999" s="124"/>
      <c r="N4999" s="124"/>
      <c r="O4999" s="124"/>
    </row>
    <row r="5000">
      <c r="K5000" s="124"/>
      <c r="L5000" s="124"/>
      <c r="M5000" s="124"/>
      <c r="N5000" s="124"/>
      <c r="O5000" s="124"/>
    </row>
    <row r="5001">
      <c r="K5001" s="124"/>
      <c r="L5001" s="124"/>
      <c r="M5001" s="124"/>
      <c r="N5001" s="124"/>
      <c r="O5001" s="124"/>
    </row>
    <row r="5002">
      <c r="K5002" s="124"/>
      <c r="L5002" s="124"/>
      <c r="M5002" s="124"/>
      <c r="N5002" s="124"/>
      <c r="O5002" s="124"/>
    </row>
    <row r="5003">
      <c r="K5003" s="124"/>
      <c r="L5003" s="124"/>
      <c r="M5003" s="124"/>
      <c r="N5003" s="124"/>
      <c r="O5003" s="124"/>
    </row>
    <row r="5004">
      <c r="K5004" s="124"/>
      <c r="L5004" s="124"/>
      <c r="M5004" s="124"/>
      <c r="N5004" s="124"/>
      <c r="O5004" s="124"/>
    </row>
    <row r="5005">
      <c r="K5005" s="124"/>
      <c r="L5005" s="124"/>
      <c r="M5005" s="124"/>
      <c r="N5005" s="124"/>
      <c r="O5005" s="124"/>
    </row>
    <row r="5006">
      <c r="K5006" s="124"/>
      <c r="L5006" s="124"/>
      <c r="M5006" s="124"/>
      <c r="N5006" s="124"/>
      <c r="O5006" s="124"/>
    </row>
    <row r="5007">
      <c r="K5007" s="124"/>
      <c r="L5007" s="124"/>
      <c r="M5007" s="124"/>
      <c r="N5007" s="124"/>
      <c r="O5007" s="124"/>
    </row>
    <row r="5008">
      <c r="K5008" s="124"/>
      <c r="L5008" s="124"/>
      <c r="M5008" s="124"/>
      <c r="N5008" s="124"/>
      <c r="O5008" s="124"/>
    </row>
    <row r="5009">
      <c r="K5009" s="124"/>
      <c r="L5009" s="124"/>
      <c r="M5009" s="124"/>
      <c r="N5009" s="124"/>
      <c r="O5009" s="124"/>
    </row>
    <row r="5010">
      <c r="K5010" s="124"/>
      <c r="L5010" s="124"/>
      <c r="M5010" s="124"/>
      <c r="N5010" s="124"/>
      <c r="O5010" s="124"/>
    </row>
    <row r="5011">
      <c r="K5011" s="124"/>
      <c r="L5011" s="124"/>
      <c r="M5011" s="124"/>
      <c r="N5011" s="124"/>
      <c r="O5011" s="124"/>
    </row>
    <row r="5012">
      <c r="K5012" s="124"/>
      <c r="L5012" s="124"/>
      <c r="M5012" s="124"/>
      <c r="N5012" s="124"/>
      <c r="O5012" s="124"/>
    </row>
    <row r="5013">
      <c r="K5013" s="124"/>
      <c r="L5013" s="124"/>
      <c r="M5013" s="124"/>
      <c r="N5013" s="124"/>
      <c r="O5013" s="124"/>
    </row>
    <row r="5014">
      <c r="K5014" s="124"/>
      <c r="L5014" s="124"/>
      <c r="M5014" s="124"/>
      <c r="N5014" s="124"/>
      <c r="O5014" s="124"/>
    </row>
    <row r="5015">
      <c r="K5015" s="124"/>
      <c r="L5015" s="124"/>
      <c r="M5015" s="124"/>
      <c r="N5015" s="124"/>
      <c r="O5015" s="124"/>
    </row>
    <row r="5016">
      <c r="K5016" s="124"/>
      <c r="L5016" s="124"/>
      <c r="M5016" s="124"/>
      <c r="N5016" s="124"/>
      <c r="O5016" s="124"/>
    </row>
    <row r="5017">
      <c r="K5017" s="124"/>
      <c r="L5017" s="124"/>
      <c r="M5017" s="124"/>
      <c r="N5017" s="124"/>
      <c r="O5017" s="124"/>
    </row>
    <row r="5018">
      <c r="K5018" s="124"/>
      <c r="L5018" s="124"/>
      <c r="M5018" s="124"/>
      <c r="N5018" s="124"/>
      <c r="O5018" s="124"/>
    </row>
    <row r="5019">
      <c r="K5019" s="124"/>
      <c r="L5019" s="124"/>
      <c r="M5019" s="124"/>
      <c r="N5019" s="124"/>
      <c r="O5019" s="124"/>
    </row>
    <row r="5020">
      <c r="K5020" s="124"/>
      <c r="L5020" s="124"/>
      <c r="M5020" s="124"/>
      <c r="N5020" s="124"/>
      <c r="O5020" s="124"/>
    </row>
    <row r="5021">
      <c r="K5021" s="124"/>
      <c r="L5021" s="124"/>
      <c r="M5021" s="124"/>
      <c r="N5021" s="124"/>
      <c r="O5021" s="124"/>
    </row>
    <row r="5022">
      <c r="K5022" s="124"/>
      <c r="L5022" s="124"/>
      <c r="M5022" s="124"/>
      <c r="N5022" s="124"/>
      <c r="O5022" s="124"/>
    </row>
    <row r="5023">
      <c r="K5023" s="124"/>
      <c r="L5023" s="124"/>
      <c r="M5023" s="124"/>
      <c r="N5023" s="124"/>
      <c r="O5023" s="124"/>
    </row>
    <row r="5024">
      <c r="K5024" s="124"/>
      <c r="L5024" s="124"/>
      <c r="M5024" s="124"/>
      <c r="N5024" s="124"/>
      <c r="O5024" s="124"/>
    </row>
    <row r="5025">
      <c r="K5025" s="124"/>
      <c r="L5025" s="124"/>
      <c r="M5025" s="124"/>
      <c r="N5025" s="124"/>
      <c r="O5025" s="124"/>
    </row>
    <row r="5026">
      <c r="K5026" s="124"/>
      <c r="L5026" s="124"/>
      <c r="M5026" s="124"/>
      <c r="N5026" s="124"/>
      <c r="O5026" s="124"/>
    </row>
    <row r="5027">
      <c r="K5027" s="124"/>
      <c r="L5027" s="124"/>
      <c r="M5027" s="124"/>
      <c r="N5027" s="124"/>
      <c r="O5027" s="124"/>
    </row>
    <row r="5028">
      <c r="K5028" s="124"/>
      <c r="L5028" s="124"/>
      <c r="M5028" s="124"/>
      <c r="N5028" s="124"/>
      <c r="O5028" s="124"/>
    </row>
    <row r="5029">
      <c r="K5029" s="124"/>
      <c r="L5029" s="124"/>
      <c r="M5029" s="124"/>
      <c r="N5029" s="124"/>
      <c r="O5029" s="124"/>
    </row>
    <row r="5030">
      <c r="K5030" s="124"/>
      <c r="L5030" s="124"/>
      <c r="M5030" s="124"/>
      <c r="N5030" s="124"/>
      <c r="O5030" s="124"/>
    </row>
    <row r="5031">
      <c r="K5031" s="124"/>
      <c r="L5031" s="124"/>
      <c r="M5031" s="124"/>
      <c r="N5031" s="124"/>
      <c r="O5031" s="124"/>
    </row>
    <row r="5032">
      <c r="K5032" s="124"/>
      <c r="L5032" s="124"/>
      <c r="M5032" s="124"/>
      <c r="N5032" s="124"/>
      <c r="O5032" s="124"/>
    </row>
    <row r="5033">
      <c r="K5033" s="124"/>
      <c r="L5033" s="124"/>
      <c r="M5033" s="124"/>
      <c r="N5033" s="124"/>
      <c r="O5033" s="124"/>
    </row>
    <row r="5034">
      <c r="K5034" s="124"/>
      <c r="L5034" s="124"/>
      <c r="M5034" s="124"/>
      <c r="N5034" s="124"/>
      <c r="O5034" s="124"/>
    </row>
    <row r="5035">
      <c r="K5035" s="124"/>
      <c r="L5035" s="124"/>
      <c r="M5035" s="124"/>
      <c r="N5035" s="124"/>
      <c r="O5035" s="124"/>
    </row>
    <row r="5036">
      <c r="K5036" s="124"/>
      <c r="L5036" s="124"/>
      <c r="M5036" s="124"/>
      <c r="N5036" s="124"/>
      <c r="O5036" s="124"/>
    </row>
    <row r="5037">
      <c r="K5037" s="124"/>
      <c r="L5037" s="124"/>
      <c r="M5037" s="124"/>
      <c r="N5037" s="124"/>
      <c r="O5037" s="124"/>
    </row>
    <row r="5038">
      <c r="K5038" s="124"/>
      <c r="L5038" s="124"/>
      <c r="M5038" s="124"/>
      <c r="N5038" s="124"/>
      <c r="O5038" s="124"/>
    </row>
    <row r="5039">
      <c r="K5039" s="124"/>
      <c r="L5039" s="124"/>
      <c r="M5039" s="124"/>
      <c r="N5039" s="124"/>
      <c r="O5039" s="124"/>
    </row>
    <row r="5040">
      <c r="K5040" s="124"/>
      <c r="L5040" s="124"/>
      <c r="M5040" s="124"/>
      <c r="N5040" s="124"/>
      <c r="O5040" s="124"/>
    </row>
    <row r="5041">
      <c r="K5041" s="124"/>
      <c r="L5041" s="124"/>
      <c r="M5041" s="124"/>
      <c r="N5041" s="124"/>
      <c r="O5041" s="124"/>
    </row>
    <row r="5042">
      <c r="K5042" s="124"/>
      <c r="L5042" s="124"/>
      <c r="M5042" s="124"/>
      <c r="N5042" s="124"/>
      <c r="O5042" s="124"/>
    </row>
    <row r="5043">
      <c r="K5043" s="124"/>
      <c r="L5043" s="124"/>
      <c r="M5043" s="124"/>
      <c r="N5043" s="124"/>
      <c r="O5043" s="124"/>
    </row>
    <row r="5044">
      <c r="K5044" s="124"/>
      <c r="L5044" s="124"/>
      <c r="M5044" s="124"/>
      <c r="N5044" s="124"/>
      <c r="O5044" s="124"/>
    </row>
    <row r="5045">
      <c r="K5045" s="124"/>
      <c r="L5045" s="124"/>
      <c r="M5045" s="124"/>
      <c r="N5045" s="124"/>
      <c r="O5045" s="124"/>
    </row>
    <row r="5046">
      <c r="K5046" s="124"/>
      <c r="L5046" s="124"/>
      <c r="M5046" s="124"/>
      <c r="N5046" s="124"/>
      <c r="O5046" s="124"/>
    </row>
    <row r="5047">
      <c r="K5047" s="124"/>
      <c r="L5047" s="124"/>
      <c r="M5047" s="124"/>
      <c r="N5047" s="124"/>
      <c r="O5047" s="124"/>
    </row>
    <row r="5048">
      <c r="K5048" s="124"/>
      <c r="L5048" s="124"/>
      <c r="M5048" s="124"/>
      <c r="N5048" s="124"/>
      <c r="O5048" s="124"/>
    </row>
    <row r="5049">
      <c r="K5049" s="124"/>
      <c r="L5049" s="124"/>
      <c r="M5049" s="124"/>
      <c r="N5049" s="124"/>
      <c r="O5049" s="124"/>
    </row>
    <row r="5050">
      <c r="K5050" s="124"/>
      <c r="L5050" s="124"/>
      <c r="M5050" s="124"/>
      <c r="N5050" s="124"/>
      <c r="O5050" s="124"/>
    </row>
    <row r="5051">
      <c r="K5051" s="124"/>
      <c r="L5051" s="124"/>
      <c r="M5051" s="124"/>
      <c r="N5051" s="124"/>
      <c r="O5051" s="124"/>
    </row>
    <row r="5052">
      <c r="K5052" s="124"/>
      <c r="L5052" s="124"/>
      <c r="M5052" s="124"/>
      <c r="N5052" s="124"/>
      <c r="O5052" s="124"/>
    </row>
    <row r="5053">
      <c r="K5053" s="124"/>
      <c r="L5053" s="124"/>
      <c r="M5053" s="124"/>
      <c r="N5053" s="124"/>
      <c r="O5053" s="124"/>
    </row>
    <row r="5054">
      <c r="K5054" s="124"/>
      <c r="L5054" s="124"/>
      <c r="M5054" s="124"/>
      <c r="N5054" s="124"/>
      <c r="O5054" s="124"/>
    </row>
    <row r="5055">
      <c r="K5055" s="124"/>
      <c r="L5055" s="124"/>
      <c r="M5055" s="124"/>
      <c r="N5055" s="124"/>
      <c r="O5055" s="124"/>
    </row>
    <row r="5056">
      <c r="K5056" s="124"/>
      <c r="L5056" s="124"/>
      <c r="M5056" s="124"/>
      <c r="N5056" s="124"/>
      <c r="O5056" s="124"/>
    </row>
    <row r="5057">
      <c r="K5057" s="124"/>
      <c r="L5057" s="124"/>
      <c r="M5057" s="124"/>
      <c r="N5057" s="124"/>
      <c r="O5057" s="124"/>
    </row>
    <row r="5058">
      <c r="K5058" s="124"/>
      <c r="L5058" s="124"/>
      <c r="M5058" s="124"/>
      <c r="N5058" s="124"/>
      <c r="O5058" s="124"/>
    </row>
    <row r="5059">
      <c r="K5059" s="124"/>
      <c r="L5059" s="124"/>
      <c r="M5059" s="124"/>
      <c r="N5059" s="124"/>
      <c r="O5059" s="124"/>
    </row>
    <row r="5060">
      <c r="K5060" s="124"/>
      <c r="L5060" s="124"/>
      <c r="M5060" s="124"/>
      <c r="N5060" s="124"/>
      <c r="O5060" s="124"/>
    </row>
    <row r="5061">
      <c r="K5061" s="124"/>
      <c r="L5061" s="124"/>
      <c r="M5061" s="124"/>
      <c r="N5061" s="124"/>
      <c r="O5061" s="124"/>
    </row>
    <row r="5062">
      <c r="K5062" s="124"/>
      <c r="L5062" s="124"/>
      <c r="M5062" s="124"/>
      <c r="N5062" s="124"/>
      <c r="O5062" s="124"/>
    </row>
    <row r="5063">
      <c r="K5063" s="124"/>
      <c r="L5063" s="124"/>
      <c r="M5063" s="124"/>
      <c r="N5063" s="124"/>
      <c r="O5063" s="124"/>
    </row>
    <row r="5064">
      <c r="K5064" s="124"/>
      <c r="L5064" s="124"/>
      <c r="M5064" s="124"/>
      <c r="N5064" s="124"/>
      <c r="O5064" s="124"/>
    </row>
    <row r="5065">
      <c r="K5065" s="124"/>
      <c r="L5065" s="124"/>
      <c r="M5065" s="124"/>
      <c r="N5065" s="124"/>
      <c r="O5065" s="124"/>
    </row>
    <row r="5066">
      <c r="K5066" s="124"/>
      <c r="L5066" s="124"/>
      <c r="M5066" s="124"/>
      <c r="N5066" s="124"/>
      <c r="O5066" s="124"/>
    </row>
    <row r="5067">
      <c r="K5067" s="124"/>
      <c r="L5067" s="124"/>
      <c r="M5067" s="124"/>
      <c r="N5067" s="124"/>
      <c r="O5067" s="124"/>
    </row>
    <row r="5068">
      <c r="K5068" s="124"/>
      <c r="L5068" s="124"/>
      <c r="M5068" s="124"/>
      <c r="N5068" s="124"/>
      <c r="O5068" s="124"/>
    </row>
    <row r="5069">
      <c r="K5069" s="124"/>
      <c r="L5069" s="124"/>
      <c r="M5069" s="124"/>
      <c r="N5069" s="124"/>
      <c r="O5069" s="124"/>
    </row>
    <row r="5070">
      <c r="K5070" s="124"/>
      <c r="L5070" s="124"/>
      <c r="M5070" s="124"/>
      <c r="N5070" s="124"/>
      <c r="O5070" s="124"/>
    </row>
    <row r="5071">
      <c r="K5071" s="124"/>
      <c r="L5071" s="124"/>
      <c r="M5071" s="124"/>
      <c r="N5071" s="124"/>
      <c r="O5071" s="124"/>
    </row>
    <row r="5072">
      <c r="K5072" s="124"/>
      <c r="L5072" s="124"/>
      <c r="M5072" s="124"/>
      <c r="N5072" s="124"/>
      <c r="O5072" s="124"/>
    </row>
    <row r="5073">
      <c r="K5073" s="124"/>
      <c r="L5073" s="124"/>
      <c r="M5073" s="124"/>
      <c r="N5073" s="124"/>
      <c r="O5073" s="124"/>
    </row>
    <row r="5074">
      <c r="K5074" s="124"/>
      <c r="L5074" s="124"/>
      <c r="M5074" s="124"/>
      <c r="N5074" s="124"/>
      <c r="O5074" s="124"/>
    </row>
    <row r="5075">
      <c r="K5075" s="124"/>
      <c r="L5075" s="124"/>
      <c r="M5075" s="124"/>
      <c r="N5075" s="124"/>
      <c r="O5075" s="124"/>
    </row>
    <row r="5076">
      <c r="K5076" s="124"/>
      <c r="L5076" s="124"/>
      <c r="M5076" s="124"/>
      <c r="N5076" s="124"/>
      <c r="O5076" s="124"/>
    </row>
    <row r="5077">
      <c r="K5077" s="124"/>
      <c r="L5077" s="124"/>
      <c r="M5077" s="124"/>
      <c r="N5077" s="124"/>
      <c r="O5077" s="124"/>
    </row>
    <row r="5078">
      <c r="K5078" s="124"/>
      <c r="L5078" s="124"/>
      <c r="M5078" s="124"/>
      <c r="N5078" s="124"/>
      <c r="O5078" s="124"/>
    </row>
    <row r="5079">
      <c r="K5079" s="124"/>
      <c r="L5079" s="124"/>
      <c r="M5079" s="124"/>
      <c r="N5079" s="124"/>
      <c r="O5079" s="124"/>
    </row>
    <row r="5080">
      <c r="K5080" s="124"/>
      <c r="L5080" s="124"/>
      <c r="M5080" s="124"/>
      <c r="N5080" s="124"/>
      <c r="O5080" s="124"/>
    </row>
    <row r="5081">
      <c r="K5081" s="124"/>
      <c r="L5081" s="124"/>
      <c r="M5081" s="124"/>
      <c r="N5081" s="124"/>
      <c r="O5081" s="124"/>
    </row>
    <row r="5082">
      <c r="K5082" s="124"/>
      <c r="L5082" s="124"/>
      <c r="M5082" s="124"/>
      <c r="N5082" s="124"/>
      <c r="O5082" s="124"/>
    </row>
    <row r="5083">
      <c r="K5083" s="124"/>
      <c r="L5083" s="124"/>
      <c r="M5083" s="124"/>
      <c r="N5083" s="124"/>
      <c r="O5083" s="124"/>
    </row>
    <row r="5084">
      <c r="K5084" s="124"/>
      <c r="L5084" s="124"/>
      <c r="M5084" s="124"/>
      <c r="N5084" s="124"/>
      <c r="O5084" s="124"/>
    </row>
    <row r="5085">
      <c r="K5085" s="124"/>
      <c r="L5085" s="124"/>
      <c r="M5085" s="124"/>
      <c r="N5085" s="124"/>
      <c r="O5085" s="124"/>
    </row>
    <row r="5086">
      <c r="K5086" s="124"/>
      <c r="L5086" s="124"/>
      <c r="M5086" s="124"/>
      <c r="N5086" s="124"/>
      <c r="O5086" s="124"/>
    </row>
    <row r="5087">
      <c r="K5087" s="124"/>
      <c r="L5087" s="124"/>
      <c r="M5087" s="124"/>
      <c r="N5087" s="124"/>
      <c r="O5087" s="124"/>
    </row>
    <row r="5088">
      <c r="K5088" s="124"/>
      <c r="L5088" s="124"/>
      <c r="M5088" s="124"/>
      <c r="N5088" s="124"/>
      <c r="O5088" s="124"/>
    </row>
    <row r="5089">
      <c r="K5089" s="124"/>
      <c r="L5089" s="124"/>
      <c r="M5089" s="124"/>
      <c r="N5089" s="124"/>
      <c r="O5089" s="124"/>
    </row>
    <row r="5090">
      <c r="K5090" s="124"/>
      <c r="L5090" s="124"/>
      <c r="M5090" s="124"/>
      <c r="N5090" s="124"/>
      <c r="O5090" s="124"/>
    </row>
    <row r="5091">
      <c r="K5091" s="124"/>
      <c r="L5091" s="124"/>
      <c r="M5091" s="124"/>
      <c r="N5091" s="124"/>
      <c r="O5091" s="124"/>
    </row>
    <row r="5092">
      <c r="K5092" s="124"/>
      <c r="L5092" s="124"/>
      <c r="M5092" s="124"/>
      <c r="N5092" s="124"/>
      <c r="O5092" s="124"/>
    </row>
    <row r="5093">
      <c r="K5093" s="124"/>
      <c r="L5093" s="124"/>
      <c r="M5093" s="124"/>
      <c r="N5093" s="124"/>
      <c r="O5093" s="124"/>
    </row>
    <row r="5094">
      <c r="K5094" s="124"/>
      <c r="L5094" s="124"/>
      <c r="M5094" s="124"/>
      <c r="N5094" s="124"/>
      <c r="O5094" s="124"/>
    </row>
    <row r="5095">
      <c r="K5095" s="124"/>
      <c r="L5095" s="124"/>
      <c r="M5095" s="124"/>
      <c r="N5095" s="124"/>
      <c r="O5095" s="124"/>
    </row>
    <row r="5096">
      <c r="K5096" s="124"/>
      <c r="L5096" s="124"/>
      <c r="M5096" s="124"/>
      <c r="N5096" s="124"/>
      <c r="O5096" s="124"/>
    </row>
    <row r="5097">
      <c r="K5097" s="124"/>
      <c r="L5097" s="124"/>
      <c r="M5097" s="124"/>
      <c r="N5097" s="124"/>
      <c r="O5097" s="124"/>
    </row>
    <row r="5098">
      <c r="K5098" s="124"/>
      <c r="L5098" s="124"/>
      <c r="M5098" s="124"/>
      <c r="N5098" s="124"/>
      <c r="O5098" s="124"/>
    </row>
    <row r="5099">
      <c r="K5099" s="124"/>
      <c r="L5099" s="124"/>
      <c r="M5099" s="124"/>
      <c r="N5099" s="124"/>
      <c r="O5099" s="124"/>
    </row>
    <row r="5100">
      <c r="K5100" s="124"/>
      <c r="L5100" s="124"/>
      <c r="M5100" s="124"/>
      <c r="N5100" s="124"/>
      <c r="O5100" s="124"/>
    </row>
    <row r="5101">
      <c r="K5101" s="124"/>
      <c r="L5101" s="124"/>
      <c r="M5101" s="124"/>
      <c r="N5101" s="124"/>
      <c r="O5101" s="124"/>
    </row>
    <row r="5102">
      <c r="K5102" s="124"/>
      <c r="L5102" s="124"/>
      <c r="M5102" s="124"/>
      <c r="N5102" s="124"/>
      <c r="O5102" s="124"/>
    </row>
    <row r="5103">
      <c r="K5103" s="124"/>
      <c r="L5103" s="124"/>
      <c r="M5103" s="124"/>
      <c r="N5103" s="124"/>
      <c r="O5103" s="124"/>
    </row>
    <row r="5104">
      <c r="K5104" s="124"/>
      <c r="L5104" s="124"/>
      <c r="M5104" s="124"/>
      <c r="N5104" s="124"/>
      <c r="O5104" s="124"/>
    </row>
    <row r="5105">
      <c r="K5105" s="124"/>
      <c r="L5105" s="124"/>
      <c r="M5105" s="124"/>
      <c r="N5105" s="124"/>
      <c r="O5105" s="124"/>
    </row>
    <row r="5106">
      <c r="K5106" s="124"/>
      <c r="L5106" s="124"/>
      <c r="M5106" s="124"/>
      <c r="N5106" s="124"/>
      <c r="O5106" s="124"/>
    </row>
    <row r="5107">
      <c r="K5107" s="124"/>
      <c r="L5107" s="124"/>
      <c r="M5107" s="124"/>
      <c r="N5107" s="124"/>
      <c r="O5107" s="124"/>
    </row>
    <row r="5108">
      <c r="K5108" s="124"/>
      <c r="L5108" s="124"/>
      <c r="M5108" s="124"/>
      <c r="N5108" s="124"/>
      <c r="O5108" s="124"/>
    </row>
    <row r="5109">
      <c r="K5109" s="124"/>
      <c r="L5109" s="124"/>
      <c r="M5109" s="124"/>
      <c r="N5109" s="124"/>
      <c r="O5109" s="124"/>
    </row>
    <row r="5110">
      <c r="K5110" s="124"/>
      <c r="L5110" s="124"/>
      <c r="M5110" s="124"/>
      <c r="N5110" s="124"/>
      <c r="O5110" s="124"/>
    </row>
    <row r="5111">
      <c r="K5111" s="124"/>
      <c r="L5111" s="124"/>
      <c r="M5111" s="124"/>
      <c r="N5111" s="124"/>
      <c r="O5111" s="124"/>
    </row>
    <row r="5112">
      <c r="K5112" s="124"/>
      <c r="L5112" s="124"/>
      <c r="M5112" s="124"/>
      <c r="N5112" s="124"/>
      <c r="O5112" s="124"/>
    </row>
    <row r="5113">
      <c r="K5113" s="124"/>
      <c r="L5113" s="124"/>
      <c r="M5113" s="124"/>
      <c r="N5113" s="124"/>
      <c r="O5113" s="124"/>
    </row>
    <row r="5114">
      <c r="K5114" s="124"/>
      <c r="L5114" s="124"/>
      <c r="M5114" s="124"/>
      <c r="N5114" s="124"/>
      <c r="O5114" s="124"/>
    </row>
    <row r="5115">
      <c r="K5115" s="124"/>
      <c r="L5115" s="124"/>
      <c r="M5115" s="124"/>
      <c r="N5115" s="124"/>
      <c r="O5115" s="124"/>
    </row>
    <row r="5116">
      <c r="K5116" s="124"/>
      <c r="L5116" s="124"/>
      <c r="M5116" s="124"/>
      <c r="N5116" s="124"/>
      <c r="O5116" s="124"/>
    </row>
    <row r="5117">
      <c r="K5117" s="124"/>
      <c r="L5117" s="124"/>
      <c r="M5117" s="124"/>
      <c r="N5117" s="124"/>
      <c r="O5117" s="124"/>
    </row>
    <row r="5118">
      <c r="K5118" s="124"/>
      <c r="L5118" s="124"/>
      <c r="M5118" s="124"/>
      <c r="N5118" s="124"/>
      <c r="O5118" s="124"/>
    </row>
    <row r="5119">
      <c r="K5119" s="124"/>
      <c r="L5119" s="124"/>
      <c r="M5119" s="124"/>
      <c r="N5119" s="124"/>
      <c r="O5119" s="124"/>
    </row>
    <row r="5120">
      <c r="K5120" s="124"/>
      <c r="L5120" s="124"/>
      <c r="M5120" s="124"/>
      <c r="N5120" s="124"/>
      <c r="O5120" s="124"/>
    </row>
    <row r="5121">
      <c r="K5121" s="124"/>
      <c r="L5121" s="124"/>
      <c r="M5121" s="124"/>
      <c r="N5121" s="124"/>
      <c r="O5121" s="124"/>
    </row>
    <row r="5122">
      <c r="K5122" s="124"/>
      <c r="L5122" s="124"/>
      <c r="M5122" s="124"/>
      <c r="N5122" s="124"/>
      <c r="O5122" s="124"/>
    </row>
    <row r="5123">
      <c r="K5123" s="124"/>
      <c r="L5123" s="124"/>
      <c r="M5123" s="124"/>
      <c r="N5123" s="124"/>
      <c r="O5123" s="124"/>
    </row>
    <row r="5124">
      <c r="K5124" s="124"/>
      <c r="L5124" s="124"/>
      <c r="M5124" s="124"/>
      <c r="N5124" s="124"/>
      <c r="O5124" s="124"/>
    </row>
    <row r="5125">
      <c r="K5125" s="124"/>
      <c r="L5125" s="124"/>
      <c r="M5125" s="124"/>
      <c r="N5125" s="124"/>
      <c r="O5125" s="124"/>
    </row>
    <row r="5126">
      <c r="K5126" s="124"/>
      <c r="L5126" s="124"/>
      <c r="M5126" s="124"/>
      <c r="N5126" s="124"/>
      <c r="O5126" s="124"/>
    </row>
    <row r="5127">
      <c r="K5127" s="124"/>
      <c r="L5127" s="124"/>
      <c r="M5127" s="124"/>
      <c r="N5127" s="124"/>
      <c r="O5127" s="124"/>
    </row>
    <row r="5128">
      <c r="K5128" s="124"/>
      <c r="L5128" s="124"/>
      <c r="M5128" s="124"/>
      <c r="N5128" s="124"/>
      <c r="O5128" s="124"/>
    </row>
    <row r="5129">
      <c r="K5129" s="124"/>
      <c r="L5129" s="124"/>
      <c r="M5129" s="124"/>
      <c r="N5129" s="124"/>
      <c r="O5129" s="124"/>
    </row>
    <row r="5130">
      <c r="K5130" s="124"/>
      <c r="L5130" s="124"/>
      <c r="M5130" s="124"/>
      <c r="N5130" s="124"/>
      <c r="O5130" s="124"/>
    </row>
    <row r="5131">
      <c r="K5131" s="124"/>
      <c r="L5131" s="124"/>
      <c r="M5131" s="124"/>
      <c r="N5131" s="124"/>
      <c r="O5131" s="124"/>
    </row>
    <row r="5132">
      <c r="K5132" s="124"/>
      <c r="L5132" s="124"/>
      <c r="M5132" s="124"/>
      <c r="N5132" s="124"/>
      <c r="O5132" s="124"/>
    </row>
    <row r="5133">
      <c r="K5133" s="124"/>
      <c r="L5133" s="124"/>
      <c r="M5133" s="124"/>
      <c r="N5133" s="124"/>
      <c r="O5133" s="124"/>
    </row>
    <row r="5134">
      <c r="K5134" s="124"/>
      <c r="L5134" s="124"/>
      <c r="M5134" s="124"/>
      <c r="N5134" s="124"/>
      <c r="O5134" s="124"/>
    </row>
    <row r="5135">
      <c r="K5135" s="124"/>
      <c r="L5135" s="124"/>
      <c r="M5135" s="124"/>
      <c r="N5135" s="124"/>
      <c r="O5135" s="124"/>
    </row>
    <row r="5136">
      <c r="K5136" s="124"/>
      <c r="L5136" s="124"/>
      <c r="M5136" s="124"/>
      <c r="N5136" s="124"/>
      <c r="O5136" s="124"/>
    </row>
    <row r="5137">
      <c r="K5137" s="124"/>
      <c r="L5137" s="124"/>
      <c r="M5137" s="124"/>
      <c r="N5137" s="124"/>
      <c r="O5137" s="124"/>
    </row>
    <row r="5138">
      <c r="K5138" s="124"/>
      <c r="L5138" s="124"/>
      <c r="M5138" s="124"/>
      <c r="N5138" s="124"/>
      <c r="O5138" s="124"/>
    </row>
    <row r="5139">
      <c r="K5139" s="124"/>
      <c r="L5139" s="124"/>
      <c r="M5139" s="124"/>
      <c r="N5139" s="124"/>
      <c r="O5139" s="124"/>
    </row>
    <row r="5140">
      <c r="K5140" s="124"/>
      <c r="L5140" s="124"/>
      <c r="M5140" s="124"/>
      <c r="N5140" s="124"/>
      <c r="O5140" s="124"/>
    </row>
    <row r="5141">
      <c r="K5141" s="124"/>
      <c r="L5141" s="124"/>
      <c r="M5141" s="124"/>
      <c r="N5141" s="124"/>
      <c r="O5141" s="124"/>
    </row>
    <row r="5142">
      <c r="K5142" s="124"/>
      <c r="L5142" s="124"/>
      <c r="M5142" s="124"/>
      <c r="N5142" s="124"/>
      <c r="O5142" s="124"/>
    </row>
    <row r="5143">
      <c r="K5143" s="124"/>
      <c r="L5143" s="124"/>
      <c r="M5143" s="124"/>
      <c r="N5143" s="124"/>
      <c r="O5143" s="124"/>
    </row>
    <row r="5144">
      <c r="K5144" s="124"/>
      <c r="L5144" s="124"/>
      <c r="M5144" s="124"/>
      <c r="N5144" s="124"/>
      <c r="O5144" s="124"/>
    </row>
    <row r="5145">
      <c r="K5145" s="124"/>
      <c r="L5145" s="124"/>
      <c r="M5145" s="124"/>
      <c r="N5145" s="124"/>
      <c r="O5145" s="124"/>
    </row>
    <row r="5146">
      <c r="K5146" s="124"/>
      <c r="L5146" s="124"/>
      <c r="M5146" s="124"/>
      <c r="N5146" s="124"/>
      <c r="O5146" s="124"/>
    </row>
    <row r="5147">
      <c r="K5147" s="124"/>
      <c r="L5147" s="124"/>
      <c r="M5147" s="124"/>
      <c r="N5147" s="124"/>
      <c r="O5147" s="124"/>
    </row>
    <row r="5148">
      <c r="K5148" s="124"/>
      <c r="L5148" s="124"/>
      <c r="M5148" s="124"/>
      <c r="N5148" s="124"/>
      <c r="O5148" s="124"/>
    </row>
    <row r="5149">
      <c r="K5149" s="124"/>
      <c r="L5149" s="124"/>
      <c r="M5149" s="124"/>
      <c r="N5149" s="124"/>
      <c r="O5149" s="124"/>
    </row>
    <row r="5150">
      <c r="K5150" s="124"/>
      <c r="L5150" s="124"/>
      <c r="M5150" s="124"/>
      <c r="N5150" s="124"/>
      <c r="O5150" s="124"/>
    </row>
    <row r="5151">
      <c r="K5151" s="124"/>
      <c r="L5151" s="124"/>
      <c r="M5151" s="124"/>
      <c r="N5151" s="124"/>
      <c r="O5151" s="124"/>
    </row>
    <row r="5152">
      <c r="K5152" s="124"/>
      <c r="L5152" s="124"/>
      <c r="M5152" s="124"/>
      <c r="N5152" s="124"/>
      <c r="O5152" s="124"/>
    </row>
    <row r="5153">
      <c r="K5153" s="124"/>
      <c r="L5153" s="124"/>
      <c r="M5153" s="124"/>
      <c r="N5153" s="124"/>
      <c r="O5153" s="124"/>
    </row>
    <row r="5154">
      <c r="K5154" s="124"/>
      <c r="L5154" s="124"/>
      <c r="M5154" s="124"/>
      <c r="N5154" s="124"/>
      <c r="O5154" s="124"/>
    </row>
    <row r="5155">
      <c r="K5155" s="124"/>
      <c r="L5155" s="124"/>
      <c r="M5155" s="124"/>
      <c r="N5155" s="124"/>
      <c r="O5155" s="124"/>
    </row>
    <row r="5156">
      <c r="K5156" s="124"/>
      <c r="L5156" s="124"/>
      <c r="M5156" s="124"/>
      <c r="N5156" s="124"/>
      <c r="O5156" s="124"/>
    </row>
    <row r="5157">
      <c r="K5157" s="124"/>
      <c r="L5157" s="124"/>
      <c r="M5157" s="124"/>
      <c r="N5157" s="124"/>
      <c r="O5157" s="124"/>
    </row>
    <row r="5158">
      <c r="K5158" s="124"/>
      <c r="L5158" s="124"/>
      <c r="M5158" s="124"/>
      <c r="N5158" s="124"/>
      <c r="O5158" s="124"/>
    </row>
    <row r="5159">
      <c r="K5159" s="124"/>
      <c r="L5159" s="124"/>
      <c r="M5159" s="124"/>
      <c r="N5159" s="124"/>
      <c r="O5159" s="124"/>
    </row>
    <row r="5160">
      <c r="K5160" s="124"/>
      <c r="L5160" s="124"/>
      <c r="M5160" s="124"/>
      <c r="N5160" s="124"/>
      <c r="O5160" s="124"/>
    </row>
    <row r="5161">
      <c r="K5161" s="124"/>
      <c r="L5161" s="124"/>
      <c r="M5161" s="124"/>
      <c r="N5161" s="124"/>
      <c r="O5161" s="124"/>
    </row>
    <row r="5162">
      <c r="K5162" s="124"/>
      <c r="L5162" s="124"/>
      <c r="M5162" s="124"/>
      <c r="N5162" s="124"/>
      <c r="O5162" s="124"/>
    </row>
    <row r="5163">
      <c r="K5163" s="124"/>
      <c r="L5163" s="124"/>
      <c r="M5163" s="124"/>
      <c r="N5163" s="124"/>
      <c r="O5163" s="124"/>
    </row>
    <row r="5164">
      <c r="K5164" s="124"/>
      <c r="L5164" s="124"/>
      <c r="M5164" s="124"/>
      <c r="N5164" s="124"/>
      <c r="O5164" s="124"/>
    </row>
    <row r="5165">
      <c r="K5165" s="124"/>
      <c r="L5165" s="124"/>
      <c r="M5165" s="124"/>
      <c r="N5165" s="124"/>
      <c r="O5165" s="124"/>
    </row>
    <row r="5166">
      <c r="K5166" s="124"/>
      <c r="L5166" s="124"/>
      <c r="M5166" s="124"/>
      <c r="N5166" s="124"/>
      <c r="O5166" s="124"/>
    </row>
    <row r="5167">
      <c r="K5167" s="124"/>
      <c r="L5167" s="124"/>
      <c r="M5167" s="124"/>
      <c r="N5167" s="124"/>
      <c r="O5167" s="124"/>
    </row>
    <row r="5168">
      <c r="K5168" s="124"/>
      <c r="L5168" s="124"/>
      <c r="M5168" s="124"/>
      <c r="N5168" s="124"/>
      <c r="O5168" s="124"/>
    </row>
    <row r="5169">
      <c r="K5169" s="124"/>
      <c r="L5169" s="124"/>
      <c r="M5169" s="124"/>
      <c r="N5169" s="124"/>
      <c r="O5169" s="124"/>
    </row>
    <row r="5170">
      <c r="K5170" s="124"/>
      <c r="L5170" s="124"/>
      <c r="M5170" s="124"/>
      <c r="N5170" s="124"/>
      <c r="O5170" s="124"/>
    </row>
    <row r="5171">
      <c r="K5171" s="124"/>
      <c r="L5171" s="124"/>
      <c r="M5171" s="124"/>
      <c r="N5171" s="124"/>
      <c r="O5171" s="124"/>
    </row>
    <row r="5172">
      <c r="K5172" s="124"/>
      <c r="L5172" s="124"/>
      <c r="M5172" s="124"/>
      <c r="N5172" s="124"/>
      <c r="O5172" s="124"/>
    </row>
    <row r="5173">
      <c r="K5173" s="124"/>
      <c r="L5173" s="124"/>
      <c r="M5173" s="124"/>
      <c r="N5173" s="124"/>
      <c r="O5173" s="124"/>
    </row>
    <row r="5174">
      <c r="K5174" s="124"/>
      <c r="L5174" s="124"/>
      <c r="M5174" s="124"/>
      <c r="N5174" s="124"/>
      <c r="O5174" s="124"/>
    </row>
    <row r="5175">
      <c r="K5175" s="124"/>
      <c r="L5175" s="124"/>
      <c r="M5175" s="124"/>
      <c r="N5175" s="124"/>
      <c r="O5175" s="124"/>
    </row>
    <row r="5176">
      <c r="K5176" s="124"/>
      <c r="L5176" s="124"/>
      <c r="M5176" s="124"/>
      <c r="N5176" s="124"/>
      <c r="O5176" s="124"/>
    </row>
    <row r="5177">
      <c r="K5177" s="124"/>
      <c r="L5177" s="124"/>
      <c r="M5177" s="124"/>
      <c r="N5177" s="124"/>
      <c r="O5177" s="124"/>
    </row>
    <row r="5178">
      <c r="K5178" s="124"/>
      <c r="L5178" s="124"/>
      <c r="M5178" s="124"/>
      <c r="N5178" s="124"/>
      <c r="O5178" s="124"/>
    </row>
    <row r="5179">
      <c r="K5179" s="124"/>
      <c r="L5179" s="124"/>
      <c r="M5179" s="124"/>
      <c r="N5179" s="124"/>
      <c r="O5179" s="124"/>
    </row>
    <row r="5180">
      <c r="K5180" s="124"/>
      <c r="L5180" s="124"/>
      <c r="M5180" s="124"/>
      <c r="N5180" s="124"/>
      <c r="O5180" s="124"/>
    </row>
    <row r="5181">
      <c r="K5181" s="124"/>
      <c r="L5181" s="124"/>
      <c r="M5181" s="124"/>
      <c r="N5181" s="124"/>
      <c r="O5181" s="124"/>
    </row>
    <row r="5182">
      <c r="K5182" s="124"/>
      <c r="L5182" s="124"/>
      <c r="M5182" s="124"/>
      <c r="N5182" s="124"/>
      <c r="O5182" s="124"/>
    </row>
    <row r="5183">
      <c r="K5183" s="124"/>
      <c r="L5183" s="124"/>
      <c r="M5183" s="124"/>
      <c r="N5183" s="124"/>
      <c r="O5183" s="124"/>
    </row>
    <row r="5184">
      <c r="K5184" s="124"/>
      <c r="L5184" s="124"/>
      <c r="M5184" s="124"/>
      <c r="N5184" s="124"/>
      <c r="O5184" s="124"/>
    </row>
    <row r="5185">
      <c r="K5185" s="124"/>
      <c r="L5185" s="124"/>
      <c r="M5185" s="124"/>
      <c r="N5185" s="124"/>
      <c r="O5185" s="124"/>
    </row>
    <row r="5186">
      <c r="K5186" s="124"/>
      <c r="L5186" s="124"/>
      <c r="M5186" s="124"/>
      <c r="N5186" s="124"/>
      <c r="O5186" s="124"/>
    </row>
    <row r="5187">
      <c r="K5187" s="124"/>
      <c r="L5187" s="124"/>
      <c r="M5187" s="124"/>
      <c r="N5187" s="124"/>
      <c r="O5187" s="124"/>
    </row>
    <row r="5188">
      <c r="K5188" s="124"/>
      <c r="L5188" s="124"/>
      <c r="M5188" s="124"/>
      <c r="N5188" s="124"/>
      <c r="O5188" s="124"/>
    </row>
    <row r="5189">
      <c r="K5189" s="124"/>
      <c r="L5189" s="124"/>
      <c r="M5189" s="124"/>
      <c r="N5189" s="124"/>
      <c r="O5189" s="124"/>
    </row>
    <row r="5190">
      <c r="K5190" s="124"/>
      <c r="L5190" s="124"/>
      <c r="M5190" s="124"/>
      <c r="N5190" s="124"/>
      <c r="O5190" s="124"/>
    </row>
    <row r="5191">
      <c r="K5191" s="124"/>
      <c r="L5191" s="124"/>
      <c r="M5191" s="124"/>
      <c r="N5191" s="124"/>
      <c r="O5191" s="124"/>
    </row>
    <row r="5192">
      <c r="K5192" s="124"/>
      <c r="L5192" s="124"/>
      <c r="M5192" s="124"/>
      <c r="N5192" s="124"/>
      <c r="O5192" s="124"/>
    </row>
    <row r="5193">
      <c r="K5193" s="124"/>
      <c r="L5193" s="124"/>
      <c r="M5193" s="124"/>
      <c r="N5193" s="124"/>
      <c r="O5193" s="124"/>
    </row>
    <row r="5194">
      <c r="K5194" s="124"/>
      <c r="L5194" s="124"/>
      <c r="M5194" s="124"/>
      <c r="N5194" s="124"/>
      <c r="O5194" s="124"/>
    </row>
    <row r="5195">
      <c r="K5195" s="124"/>
      <c r="L5195" s="124"/>
      <c r="M5195" s="124"/>
      <c r="N5195" s="124"/>
      <c r="O5195" s="124"/>
    </row>
    <row r="5196">
      <c r="K5196" s="124"/>
      <c r="L5196" s="124"/>
      <c r="M5196" s="124"/>
      <c r="N5196" s="124"/>
      <c r="O5196" s="124"/>
    </row>
    <row r="5197">
      <c r="K5197" s="124"/>
      <c r="L5197" s="124"/>
      <c r="M5197" s="124"/>
      <c r="N5197" s="124"/>
      <c r="O5197" s="124"/>
    </row>
    <row r="5198">
      <c r="K5198" s="124"/>
      <c r="L5198" s="124"/>
      <c r="M5198" s="124"/>
      <c r="N5198" s="124"/>
      <c r="O5198" s="124"/>
    </row>
    <row r="5199">
      <c r="K5199" s="124"/>
      <c r="L5199" s="124"/>
      <c r="M5199" s="124"/>
      <c r="N5199" s="124"/>
      <c r="O5199" s="124"/>
    </row>
    <row r="5200">
      <c r="K5200" s="124"/>
      <c r="L5200" s="124"/>
      <c r="M5200" s="124"/>
      <c r="N5200" s="124"/>
      <c r="O5200" s="124"/>
    </row>
    <row r="5201">
      <c r="K5201" s="124"/>
      <c r="L5201" s="124"/>
      <c r="M5201" s="124"/>
      <c r="N5201" s="124"/>
      <c r="O5201" s="124"/>
    </row>
    <row r="5202">
      <c r="K5202" s="124"/>
      <c r="L5202" s="124"/>
      <c r="M5202" s="124"/>
      <c r="N5202" s="124"/>
      <c r="O5202" s="124"/>
    </row>
    <row r="5203">
      <c r="K5203" s="124"/>
      <c r="L5203" s="124"/>
      <c r="M5203" s="124"/>
      <c r="N5203" s="124"/>
      <c r="O5203" s="124"/>
    </row>
    <row r="5204">
      <c r="K5204" s="124"/>
      <c r="L5204" s="124"/>
      <c r="M5204" s="124"/>
      <c r="N5204" s="124"/>
      <c r="O5204" s="124"/>
    </row>
    <row r="5205">
      <c r="K5205" s="124"/>
      <c r="L5205" s="124"/>
      <c r="M5205" s="124"/>
      <c r="N5205" s="124"/>
      <c r="O5205" s="124"/>
    </row>
    <row r="5206">
      <c r="K5206" s="124"/>
      <c r="L5206" s="124"/>
      <c r="M5206" s="124"/>
      <c r="N5206" s="124"/>
      <c r="O5206" s="124"/>
    </row>
    <row r="5207">
      <c r="K5207" s="124"/>
      <c r="L5207" s="124"/>
      <c r="M5207" s="124"/>
      <c r="N5207" s="124"/>
      <c r="O5207" s="124"/>
    </row>
    <row r="5208">
      <c r="K5208" s="124"/>
      <c r="L5208" s="124"/>
      <c r="M5208" s="124"/>
      <c r="N5208" s="124"/>
      <c r="O5208" s="124"/>
    </row>
    <row r="5209">
      <c r="K5209" s="124"/>
      <c r="L5209" s="124"/>
      <c r="M5209" s="124"/>
      <c r="N5209" s="124"/>
      <c r="O5209" s="124"/>
    </row>
    <row r="5210">
      <c r="K5210" s="124"/>
      <c r="L5210" s="124"/>
      <c r="M5210" s="124"/>
      <c r="N5210" s="124"/>
      <c r="O5210" s="124"/>
    </row>
    <row r="5211">
      <c r="K5211" s="124"/>
      <c r="L5211" s="124"/>
      <c r="M5211" s="124"/>
      <c r="N5211" s="124"/>
      <c r="O5211" s="124"/>
    </row>
    <row r="5212">
      <c r="K5212" s="124"/>
      <c r="L5212" s="124"/>
      <c r="M5212" s="124"/>
      <c r="N5212" s="124"/>
      <c r="O5212" s="124"/>
    </row>
    <row r="5213">
      <c r="K5213" s="124"/>
      <c r="L5213" s="124"/>
      <c r="M5213" s="124"/>
      <c r="N5213" s="124"/>
      <c r="O5213" s="124"/>
    </row>
    <row r="5214">
      <c r="K5214" s="124"/>
      <c r="L5214" s="124"/>
      <c r="M5214" s="124"/>
      <c r="N5214" s="124"/>
      <c r="O5214" s="124"/>
    </row>
    <row r="5215">
      <c r="K5215" s="124"/>
      <c r="L5215" s="124"/>
      <c r="M5215" s="124"/>
      <c r="N5215" s="124"/>
      <c r="O5215" s="124"/>
    </row>
    <row r="5216">
      <c r="K5216" s="124"/>
      <c r="L5216" s="124"/>
      <c r="M5216" s="124"/>
      <c r="N5216" s="124"/>
      <c r="O5216" s="124"/>
    </row>
    <row r="5217">
      <c r="K5217" s="124"/>
      <c r="L5217" s="124"/>
      <c r="M5217" s="124"/>
      <c r="N5217" s="124"/>
      <c r="O5217" s="124"/>
    </row>
    <row r="5218">
      <c r="K5218" s="124"/>
      <c r="L5218" s="124"/>
      <c r="M5218" s="124"/>
      <c r="N5218" s="124"/>
      <c r="O5218" s="124"/>
    </row>
    <row r="5219">
      <c r="K5219" s="124"/>
      <c r="L5219" s="124"/>
      <c r="M5219" s="124"/>
      <c r="N5219" s="124"/>
      <c r="O5219" s="124"/>
    </row>
    <row r="5220">
      <c r="K5220" s="124"/>
      <c r="L5220" s="124"/>
      <c r="M5220" s="124"/>
      <c r="N5220" s="124"/>
      <c r="O5220" s="124"/>
    </row>
    <row r="5221">
      <c r="K5221" s="124"/>
      <c r="L5221" s="124"/>
      <c r="M5221" s="124"/>
      <c r="N5221" s="124"/>
      <c r="O5221" s="124"/>
    </row>
    <row r="5222">
      <c r="K5222" s="124"/>
      <c r="L5222" s="124"/>
      <c r="M5222" s="124"/>
      <c r="N5222" s="124"/>
      <c r="O5222" s="124"/>
    </row>
    <row r="5223">
      <c r="K5223" s="124"/>
      <c r="L5223" s="124"/>
      <c r="M5223" s="124"/>
      <c r="N5223" s="124"/>
      <c r="O5223" s="124"/>
    </row>
    <row r="5224">
      <c r="K5224" s="124"/>
      <c r="L5224" s="124"/>
      <c r="M5224" s="124"/>
      <c r="N5224" s="124"/>
      <c r="O5224" s="124"/>
    </row>
    <row r="5225">
      <c r="K5225" s="124"/>
      <c r="L5225" s="124"/>
      <c r="M5225" s="124"/>
      <c r="N5225" s="124"/>
      <c r="O5225" s="124"/>
    </row>
    <row r="5226">
      <c r="K5226" s="124"/>
      <c r="L5226" s="124"/>
      <c r="M5226" s="124"/>
      <c r="N5226" s="124"/>
      <c r="O5226" s="124"/>
    </row>
    <row r="5227">
      <c r="K5227" s="124"/>
      <c r="L5227" s="124"/>
      <c r="M5227" s="124"/>
      <c r="N5227" s="124"/>
      <c r="O5227" s="124"/>
    </row>
    <row r="5228">
      <c r="K5228" s="124"/>
      <c r="L5228" s="124"/>
      <c r="M5228" s="124"/>
      <c r="N5228" s="124"/>
      <c r="O5228" s="124"/>
    </row>
    <row r="5229">
      <c r="K5229" s="124"/>
      <c r="L5229" s="124"/>
      <c r="M5229" s="124"/>
      <c r="N5229" s="124"/>
      <c r="O5229" s="124"/>
    </row>
    <row r="5230">
      <c r="K5230" s="124"/>
      <c r="L5230" s="124"/>
      <c r="M5230" s="124"/>
      <c r="N5230" s="124"/>
      <c r="O5230" s="124"/>
    </row>
    <row r="5231">
      <c r="K5231" s="124"/>
      <c r="L5231" s="124"/>
      <c r="M5231" s="124"/>
      <c r="N5231" s="124"/>
      <c r="O5231" s="124"/>
    </row>
    <row r="5232">
      <c r="K5232" s="124"/>
      <c r="L5232" s="124"/>
      <c r="M5232" s="124"/>
      <c r="N5232" s="124"/>
      <c r="O5232" s="124"/>
    </row>
    <row r="5233">
      <c r="K5233" s="124"/>
      <c r="L5233" s="124"/>
      <c r="M5233" s="124"/>
      <c r="N5233" s="124"/>
      <c r="O5233" s="124"/>
    </row>
    <row r="5234">
      <c r="K5234" s="124"/>
      <c r="L5234" s="124"/>
      <c r="M5234" s="124"/>
      <c r="N5234" s="124"/>
      <c r="O5234" s="124"/>
    </row>
    <row r="5235">
      <c r="K5235" s="124"/>
      <c r="L5235" s="124"/>
      <c r="M5235" s="124"/>
      <c r="N5235" s="124"/>
      <c r="O5235" s="124"/>
    </row>
    <row r="5236">
      <c r="K5236" s="124"/>
      <c r="L5236" s="124"/>
      <c r="M5236" s="124"/>
      <c r="N5236" s="124"/>
      <c r="O5236" s="124"/>
    </row>
    <row r="5237">
      <c r="K5237" s="124"/>
      <c r="L5237" s="124"/>
      <c r="M5237" s="124"/>
      <c r="N5237" s="124"/>
      <c r="O5237" s="124"/>
    </row>
    <row r="5238">
      <c r="K5238" s="124"/>
      <c r="L5238" s="124"/>
      <c r="M5238" s="124"/>
      <c r="N5238" s="124"/>
      <c r="O5238" s="124"/>
    </row>
    <row r="5239">
      <c r="K5239" s="124"/>
      <c r="L5239" s="124"/>
      <c r="M5239" s="124"/>
      <c r="N5239" s="124"/>
      <c r="O5239" s="124"/>
    </row>
    <row r="5240">
      <c r="K5240" s="124"/>
      <c r="L5240" s="124"/>
      <c r="M5240" s="124"/>
      <c r="N5240" s="124"/>
      <c r="O5240" s="124"/>
    </row>
    <row r="5241">
      <c r="K5241" s="124"/>
      <c r="L5241" s="124"/>
      <c r="M5241" s="124"/>
      <c r="N5241" s="124"/>
      <c r="O5241" s="124"/>
    </row>
    <row r="5242">
      <c r="K5242" s="124"/>
      <c r="L5242" s="124"/>
      <c r="M5242" s="124"/>
      <c r="N5242" s="124"/>
      <c r="O5242" s="124"/>
    </row>
    <row r="5243">
      <c r="K5243" s="124"/>
      <c r="L5243" s="124"/>
      <c r="M5243" s="124"/>
      <c r="N5243" s="124"/>
      <c r="O5243" s="124"/>
    </row>
    <row r="5244">
      <c r="K5244" s="124"/>
      <c r="L5244" s="124"/>
      <c r="M5244" s="124"/>
      <c r="N5244" s="124"/>
      <c r="O5244" s="124"/>
    </row>
    <row r="5245">
      <c r="K5245" s="124"/>
      <c r="L5245" s="124"/>
      <c r="M5245" s="124"/>
      <c r="N5245" s="124"/>
      <c r="O5245" s="124"/>
    </row>
    <row r="5246">
      <c r="K5246" s="124"/>
      <c r="L5246" s="124"/>
      <c r="M5246" s="124"/>
      <c r="N5246" s="124"/>
      <c r="O5246" s="124"/>
    </row>
    <row r="5247">
      <c r="K5247" s="124"/>
      <c r="L5247" s="124"/>
      <c r="M5247" s="124"/>
      <c r="N5247" s="124"/>
      <c r="O5247" s="124"/>
    </row>
    <row r="5248">
      <c r="K5248" s="124"/>
      <c r="L5248" s="124"/>
      <c r="M5248" s="124"/>
      <c r="N5248" s="124"/>
      <c r="O5248" s="124"/>
    </row>
    <row r="5249">
      <c r="K5249" s="124"/>
      <c r="L5249" s="124"/>
      <c r="M5249" s="124"/>
      <c r="N5249" s="124"/>
      <c r="O5249" s="124"/>
    </row>
    <row r="5250">
      <c r="K5250" s="124"/>
      <c r="L5250" s="124"/>
      <c r="M5250" s="124"/>
      <c r="N5250" s="124"/>
      <c r="O5250" s="124"/>
    </row>
    <row r="5251">
      <c r="K5251" s="124"/>
      <c r="L5251" s="124"/>
      <c r="M5251" s="124"/>
      <c r="N5251" s="124"/>
      <c r="O5251" s="124"/>
    </row>
    <row r="5252">
      <c r="K5252" s="124"/>
      <c r="L5252" s="124"/>
      <c r="M5252" s="124"/>
      <c r="N5252" s="124"/>
      <c r="O5252" s="124"/>
    </row>
    <row r="5253">
      <c r="K5253" s="124"/>
      <c r="L5253" s="124"/>
      <c r="M5253" s="124"/>
      <c r="N5253" s="124"/>
      <c r="O5253" s="124"/>
    </row>
    <row r="5254">
      <c r="K5254" s="124"/>
      <c r="L5254" s="124"/>
      <c r="M5254" s="124"/>
      <c r="N5254" s="124"/>
      <c r="O5254" s="124"/>
    </row>
    <row r="5255">
      <c r="K5255" s="124"/>
      <c r="L5255" s="124"/>
      <c r="M5255" s="124"/>
      <c r="N5255" s="124"/>
      <c r="O5255" s="124"/>
    </row>
    <row r="5256">
      <c r="K5256" s="124"/>
      <c r="L5256" s="124"/>
      <c r="M5256" s="124"/>
      <c r="N5256" s="124"/>
      <c r="O5256" s="124"/>
    </row>
    <row r="5257">
      <c r="K5257" s="124"/>
      <c r="L5257" s="124"/>
      <c r="M5257" s="124"/>
      <c r="N5257" s="124"/>
      <c r="O5257" s="124"/>
    </row>
    <row r="5258">
      <c r="K5258" s="124"/>
      <c r="L5258" s="124"/>
      <c r="M5258" s="124"/>
      <c r="N5258" s="124"/>
      <c r="O5258" s="124"/>
    </row>
    <row r="5259">
      <c r="K5259" s="124"/>
      <c r="L5259" s="124"/>
      <c r="M5259" s="124"/>
      <c r="N5259" s="124"/>
      <c r="O5259" s="124"/>
    </row>
    <row r="5260">
      <c r="K5260" s="124"/>
      <c r="L5260" s="124"/>
      <c r="M5260" s="124"/>
      <c r="N5260" s="124"/>
      <c r="O5260" s="124"/>
    </row>
    <row r="5261">
      <c r="K5261" s="124"/>
      <c r="L5261" s="124"/>
      <c r="M5261" s="124"/>
      <c r="N5261" s="124"/>
      <c r="O5261" s="124"/>
    </row>
    <row r="5262">
      <c r="K5262" s="124"/>
      <c r="L5262" s="124"/>
      <c r="M5262" s="124"/>
      <c r="N5262" s="124"/>
      <c r="O5262" s="124"/>
    </row>
    <row r="5263">
      <c r="K5263" s="124"/>
      <c r="L5263" s="124"/>
      <c r="M5263" s="124"/>
      <c r="N5263" s="124"/>
      <c r="O5263" s="124"/>
    </row>
    <row r="5264">
      <c r="K5264" s="124"/>
      <c r="L5264" s="124"/>
      <c r="M5264" s="124"/>
      <c r="N5264" s="124"/>
      <c r="O5264" s="124"/>
    </row>
    <row r="5265">
      <c r="K5265" s="124"/>
      <c r="L5265" s="124"/>
      <c r="M5265" s="124"/>
      <c r="N5265" s="124"/>
      <c r="O5265" s="124"/>
    </row>
    <row r="5266">
      <c r="K5266" s="124"/>
      <c r="L5266" s="124"/>
      <c r="M5266" s="124"/>
      <c r="N5266" s="124"/>
      <c r="O5266" s="124"/>
    </row>
    <row r="5267">
      <c r="K5267" s="124"/>
      <c r="L5267" s="124"/>
      <c r="M5267" s="124"/>
      <c r="N5267" s="124"/>
      <c r="O5267" s="124"/>
    </row>
    <row r="5268">
      <c r="K5268" s="124"/>
      <c r="L5268" s="124"/>
      <c r="M5268" s="124"/>
      <c r="N5268" s="124"/>
      <c r="O5268" s="124"/>
    </row>
    <row r="5269">
      <c r="K5269" s="124"/>
      <c r="L5269" s="124"/>
      <c r="M5269" s="124"/>
      <c r="N5269" s="124"/>
      <c r="O5269" s="124"/>
    </row>
    <row r="5270">
      <c r="K5270" s="124"/>
      <c r="L5270" s="124"/>
      <c r="M5270" s="124"/>
      <c r="N5270" s="124"/>
      <c r="O5270" s="124"/>
    </row>
    <row r="5271">
      <c r="K5271" s="124"/>
      <c r="L5271" s="124"/>
      <c r="M5271" s="124"/>
      <c r="N5271" s="124"/>
      <c r="O5271" s="124"/>
    </row>
    <row r="5272">
      <c r="K5272" s="124"/>
      <c r="L5272" s="124"/>
      <c r="M5272" s="124"/>
      <c r="N5272" s="124"/>
      <c r="O5272" s="124"/>
    </row>
    <row r="5273">
      <c r="K5273" s="124"/>
      <c r="L5273" s="124"/>
      <c r="M5273" s="124"/>
      <c r="N5273" s="124"/>
      <c r="O5273" s="124"/>
    </row>
    <row r="5274">
      <c r="K5274" s="124"/>
      <c r="L5274" s="124"/>
      <c r="M5274" s="124"/>
      <c r="N5274" s="124"/>
      <c r="O5274" s="124"/>
    </row>
    <row r="5275">
      <c r="K5275" s="124"/>
      <c r="L5275" s="124"/>
      <c r="M5275" s="124"/>
      <c r="N5275" s="124"/>
      <c r="O5275" s="124"/>
    </row>
    <row r="5276">
      <c r="K5276" s="124"/>
      <c r="L5276" s="124"/>
      <c r="M5276" s="124"/>
      <c r="N5276" s="124"/>
      <c r="O5276" s="124"/>
    </row>
    <row r="5277">
      <c r="K5277" s="124"/>
      <c r="L5277" s="124"/>
      <c r="M5277" s="124"/>
      <c r="N5277" s="124"/>
      <c r="O5277" s="124"/>
    </row>
    <row r="5278">
      <c r="K5278" s="124"/>
      <c r="L5278" s="124"/>
      <c r="M5278" s="124"/>
      <c r="N5278" s="124"/>
      <c r="O5278" s="124"/>
    </row>
    <row r="5279">
      <c r="K5279" s="124"/>
      <c r="L5279" s="124"/>
      <c r="M5279" s="124"/>
      <c r="N5279" s="124"/>
      <c r="O5279" s="124"/>
    </row>
    <row r="5280">
      <c r="K5280" s="124"/>
      <c r="L5280" s="124"/>
      <c r="M5280" s="124"/>
      <c r="N5280" s="124"/>
      <c r="O5280" s="124"/>
    </row>
    <row r="5281">
      <c r="K5281" s="124"/>
      <c r="L5281" s="124"/>
      <c r="M5281" s="124"/>
      <c r="N5281" s="124"/>
      <c r="O5281" s="124"/>
    </row>
    <row r="5282">
      <c r="K5282" s="124"/>
      <c r="L5282" s="124"/>
      <c r="M5282" s="124"/>
      <c r="N5282" s="124"/>
      <c r="O5282" s="124"/>
    </row>
    <row r="5283">
      <c r="K5283" s="124"/>
      <c r="L5283" s="124"/>
      <c r="M5283" s="124"/>
      <c r="N5283" s="124"/>
      <c r="O5283" s="124"/>
    </row>
    <row r="5284">
      <c r="K5284" s="124"/>
      <c r="L5284" s="124"/>
      <c r="M5284" s="124"/>
      <c r="N5284" s="124"/>
      <c r="O5284" s="124"/>
    </row>
    <row r="5285">
      <c r="K5285" s="124"/>
      <c r="L5285" s="124"/>
      <c r="M5285" s="124"/>
      <c r="N5285" s="124"/>
      <c r="O5285" s="124"/>
    </row>
    <row r="5286">
      <c r="K5286" s="124"/>
      <c r="L5286" s="124"/>
      <c r="M5286" s="124"/>
      <c r="N5286" s="124"/>
      <c r="O5286" s="124"/>
    </row>
    <row r="5287">
      <c r="K5287" s="124"/>
      <c r="L5287" s="124"/>
      <c r="M5287" s="124"/>
      <c r="N5287" s="124"/>
      <c r="O5287" s="124"/>
    </row>
    <row r="5288">
      <c r="K5288" s="124"/>
      <c r="L5288" s="124"/>
      <c r="M5288" s="124"/>
      <c r="N5288" s="124"/>
      <c r="O5288" s="124"/>
    </row>
    <row r="5289">
      <c r="K5289" s="124"/>
      <c r="L5289" s="124"/>
      <c r="M5289" s="124"/>
      <c r="N5289" s="124"/>
      <c r="O5289" s="124"/>
    </row>
    <row r="5290">
      <c r="K5290" s="124"/>
      <c r="L5290" s="124"/>
      <c r="M5290" s="124"/>
      <c r="N5290" s="124"/>
      <c r="O5290" s="124"/>
    </row>
    <row r="5291">
      <c r="K5291" s="124"/>
      <c r="L5291" s="124"/>
      <c r="M5291" s="124"/>
      <c r="N5291" s="124"/>
      <c r="O5291" s="124"/>
    </row>
    <row r="5292">
      <c r="K5292" s="124"/>
      <c r="L5292" s="124"/>
      <c r="M5292" s="124"/>
      <c r="N5292" s="124"/>
      <c r="O5292" s="124"/>
    </row>
    <row r="5293">
      <c r="K5293" s="124"/>
      <c r="L5293" s="124"/>
      <c r="M5293" s="124"/>
      <c r="N5293" s="124"/>
      <c r="O5293" s="124"/>
    </row>
    <row r="5294">
      <c r="K5294" s="124"/>
      <c r="L5294" s="124"/>
      <c r="M5294" s="124"/>
      <c r="N5294" s="124"/>
      <c r="O5294" s="124"/>
    </row>
    <row r="5295">
      <c r="K5295" s="124"/>
      <c r="L5295" s="124"/>
      <c r="M5295" s="124"/>
      <c r="N5295" s="124"/>
      <c r="O5295" s="124"/>
    </row>
    <row r="5296">
      <c r="K5296" s="124"/>
      <c r="L5296" s="124"/>
      <c r="M5296" s="124"/>
      <c r="N5296" s="124"/>
      <c r="O5296" s="124"/>
    </row>
    <row r="5297">
      <c r="K5297" s="124"/>
      <c r="L5297" s="124"/>
      <c r="M5297" s="124"/>
      <c r="N5297" s="124"/>
      <c r="O5297" s="124"/>
    </row>
    <row r="5298">
      <c r="K5298" s="124"/>
      <c r="L5298" s="124"/>
      <c r="M5298" s="124"/>
      <c r="N5298" s="124"/>
      <c r="O5298" s="124"/>
    </row>
    <row r="5299">
      <c r="K5299" s="124"/>
      <c r="L5299" s="124"/>
      <c r="M5299" s="124"/>
      <c r="N5299" s="124"/>
      <c r="O5299" s="124"/>
    </row>
    <row r="5300">
      <c r="K5300" s="124"/>
      <c r="L5300" s="124"/>
      <c r="M5300" s="124"/>
      <c r="N5300" s="124"/>
      <c r="O5300" s="124"/>
    </row>
    <row r="5301">
      <c r="K5301" s="124"/>
      <c r="L5301" s="124"/>
      <c r="M5301" s="124"/>
      <c r="N5301" s="124"/>
      <c r="O5301" s="124"/>
    </row>
    <row r="5302">
      <c r="K5302" s="124"/>
      <c r="L5302" s="124"/>
      <c r="M5302" s="124"/>
      <c r="N5302" s="124"/>
      <c r="O5302" s="124"/>
    </row>
    <row r="5303">
      <c r="K5303" s="124"/>
      <c r="L5303" s="124"/>
      <c r="M5303" s="124"/>
      <c r="N5303" s="124"/>
      <c r="O5303" s="124"/>
    </row>
    <row r="5304">
      <c r="K5304" s="124"/>
      <c r="L5304" s="124"/>
      <c r="M5304" s="124"/>
      <c r="N5304" s="124"/>
      <c r="O5304" s="124"/>
    </row>
    <row r="5305">
      <c r="K5305" s="124"/>
      <c r="L5305" s="124"/>
      <c r="M5305" s="124"/>
      <c r="N5305" s="124"/>
      <c r="O5305" s="124"/>
    </row>
    <row r="5306">
      <c r="K5306" s="124"/>
      <c r="L5306" s="124"/>
      <c r="M5306" s="124"/>
      <c r="N5306" s="124"/>
      <c r="O5306" s="124"/>
    </row>
    <row r="5307">
      <c r="K5307" s="124"/>
      <c r="L5307" s="124"/>
      <c r="M5307" s="124"/>
      <c r="N5307" s="124"/>
      <c r="O5307" s="124"/>
    </row>
    <row r="5308">
      <c r="K5308" s="124"/>
      <c r="L5308" s="124"/>
      <c r="M5308" s="124"/>
      <c r="N5308" s="124"/>
      <c r="O5308" s="124"/>
    </row>
    <row r="5309">
      <c r="K5309" s="124"/>
      <c r="L5309" s="124"/>
      <c r="M5309" s="124"/>
      <c r="N5309" s="124"/>
      <c r="O5309" s="124"/>
    </row>
    <row r="5310">
      <c r="K5310" s="124"/>
      <c r="L5310" s="124"/>
      <c r="M5310" s="124"/>
      <c r="N5310" s="124"/>
      <c r="O5310" s="124"/>
    </row>
    <row r="5311">
      <c r="K5311" s="124"/>
      <c r="L5311" s="124"/>
      <c r="M5311" s="124"/>
      <c r="N5311" s="124"/>
      <c r="O5311" s="124"/>
    </row>
    <row r="5312">
      <c r="K5312" s="124"/>
      <c r="L5312" s="124"/>
      <c r="M5312" s="124"/>
      <c r="N5312" s="124"/>
      <c r="O5312" s="124"/>
    </row>
    <row r="5313">
      <c r="K5313" s="124"/>
      <c r="L5313" s="124"/>
      <c r="M5313" s="124"/>
      <c r="N5313" s="124"/>
      <c r="O5313" s="124"/>
    </row>
    <row r="5314">
      <c r="K5314" s="124"/>
      <c r="L5314" s="124"/>
      <c r="M5314" s="124"/>
      <c r="N5314" s="124"/>
      <c r="O5314" s="124"/>
    </row>
    <row r="5315">
      <c r="K5315" s="124"/>
      <c r="L5315" s="124"/>
      <c r="M5315" s="124"/>
      <c r="N5315" s="124"/>
      <c r="O5315" s="124"/>
    </row>
    <row r="5316">
      <c r="K5316" s="124"/>
      <c r="L5316" s="124"/>
      <c r="M5316" s="124"/>
      <c r="N5316" s="124"/>
      <c r="O5316" s="124"/>
    </row>
    <row r="5317">
      <c r="K5317" s="124"/>
      <c r="L5317" s="124"/>
      <c r="M5317" s="124"/>
      <c r="N5317" s="124"/>
      <c r="O5317" s="124"/>
    </row>
    <row r="5318">
      <c r="K5318" s="124"/>
      <c r="L5318" s="124"/>
      <c r="M5318" s="124"/>
      <c r="N5318" s="124"/>
      <c r="O5318" s="124"/>
    </row>
    <row r="5319">
      <c r="K5319" s="124"/>
      <c r="L5319" s="124"/>
      <c r="M5319" s="124"/>
      <c r="N5319" s="124"/>
      <c r="O5319" s="124"/>
    </row>
    <row r="5320">
      <c r="K5320" s="124"/>
      <c r="L5320" s="124"/>
      <c r="M5320" s="124"/>
      <c r="N5320" s="124"/>
      <c r="O5320" s="124"/>
    </row>
    <row r="5321">
      <c r="K5321" s="124"/>
      <c r="L5321" s="124"/>
      <c r="M5321" s="124"/>
      <c r="N5321" s="124"/>
      <c r="O5321" s="124"/>
    </row>
    <row r="5322">
      <c r="K5322" s="124"/>
      <c r="L5322" s="124"/>
      <c r="M5322" s="124"/>
      <c r="N5322" s="124"/>
      <c r="O5322" s="124"/>
    </row>
    <row r="5323">
      <c r="K5323" s="124"/>
      <c r="L5323" s="124"/>
      <c r="M5323" s="124"/>
      <c r="N5323" s="124"/>
      <c r="O5323" s="124"/>
    </row>
    <row r="5324">
      <c r="K5324" s="124"/>
      <c r="L5324" s="124"/>
      <c r="M5324" s="124"/>
      <c r="N5324" s="124"/>
      <c r="O5324" s="124"/>
    </row>
    <row r="5325">
      <c r="K5325" s="124"/>
      <c r="L5325" s="124"/>
      <c r="M5325" s="124"/>
      <c r="N5325" s="124"/>
      <c r="O5325" s="124"/>
    </row>
    <row r="5326">
      <c r="K5326" s="124"/>
      <c r="L5326" s="124"/>
      <c r="M5326" s="124"/>
      <c r="N5326" s="124"/>
      <c r="O5326" s="124"/>
    </row>
    <row r="5327">
      <c r="K5327" s="124"/>
      <c r="L5327" s="124"/>
      <c r="M5327" s="124"/>
      <c r="N5327" s="124"/>
      <c r="O5327" s="124"/>
    </row>
    <row r="5328">
      <c r="K5328" s="124"/>
      <c r="L5328" s="124"/>
      <c r="M5328" s="124"/>
      <c r="N5328" s="124"/>
      <c r="O5328" s="124"/>
    </row>
    <row r="5329">
      <c r="K5329" s="124"/>
      <c r="L5329" s="124"/>
      <c r="M5329" s="124"/>
      <c r="N5329" s="124"/>
      <c r="O5329" s="124"/>
    </row>
    <row r="5330">
      <c r="K5330" s="124"/>
      <c r="L5330" s="124"/>
      <c r="M5330" s="124"/>
      <c r="N5330" s="124"/>
      <c r="O5330" s="124"/>
    </row>
    <row r="5331">
      <c r="K5331" s="124"/>
      <c r="L5331" s="124"/>
      <c r="M5331" s="124"/>
      <c r="N5331" s="124"/>
      <c r="O5331" s="124"/>
    </row>
    <row r="5332">
      <c r="K5332" s="124"/>
      <c r="L5332" s="124"/>
      <c r="M5332" s="124"/>
      <c r="N5332" s="124"/>
      <c r="O5332" s="124"/>
    </row>
    <row r="5333">
      <c r="K5333" s="124"/>
      <c r="L5333" s="124"/>
      <c r="M5333" s="124"/>
      <c r="N5333" s="124"/>
      <c r="O5333" s="124"/>
    </row>
    <row r="5334">
      <c r="K5334" s="124"/>
      <c r="L5334" s="124"/>
      <c r="M5334" s="124"/>
      <c r="N5334" s="124"/>
      <c r="O5334" s="124"/>
    </row>
    <row r="5335">
      <c r="K5335" s="124"/>
      <c r="L5335" s="124"/>
      <c r="M5335" s="124"/>
      <c r="N5335" s="124"/>
      <c r="O5335" s="124"/>
    </row>
    <row r="5336">
      <c r="K5336" s="124"/>
      <c r="L5336" s="124"/>
      <c r="M5336" s="124"/>
      <c r="N5336" s="124"/>
      <c r="O5336" s="124"/>
    </row>
    <row r="5337">
      <c r="K5337" s="124"/>
      <c r="L5337" s="124"/>
      <c r="M5337" s="124"/>
      <c r="N5337" s="124"/>
      <c r="O5337" s="124"/>
    </row>
    <row r="5338">
      <c r="K5338" s="124"/>
      <c r="L5338" s="124"/>
      <c r="M5338" s="124"/>
      <c r="N5338" s="124"/>
      <c r="O5338" s="124"/>
    </row>
    <row r="5339">
      <c r="K5339" s="124"/>
      <c r="L5339" s="124"/>
      <c r="M5339" s="124"/>
      <c r="N5339" s="124"/>
      <c r="O5339" s="124"/>
    </row>
    <row r="5340">
      <c r="K5340" s="124"/>
      <c r="L5340" s="124"/>
      <c r="M5340" s="124"/>
      <c r="N5340" s="124"/>
      <c r="O5340" s="124"/>
    </row>
    <row r="5341">
      <c r="K5341" s="124"/>
      <c r="L5341" s="124"/>
      <c r="M5341" s="124"/>
      <c r="N5341" s="124"/>
      <c r="O5341" s="124"/>
    </row>
    <row r="5342">
      <c r="K5342" s="124"/>
      <c r="L5342" s="124"/>
      <c r="M5342" s="124"/>
      <c r="N5342" s="124"/>
      <c r="O5342" s="124"/>
    </row>
    <row r="5343">
      <c r="K5343" s="124"/>
      <c r="L5343" s="124"/>
      <c r="M5343" s="124"/>
      <c r="N5343" s="124"/>
      <c r="O5343" s="124"/>
    </row>
    <row r="5344">
      <c r="K5344" s="124"/>
      <c r="L5344" s="124"/>
      <c r="M5344" s="124"/>
      <c r="N5344" s="124"/>
      <c r="O5344" s="124"/>
    </row>
    <row r="5345">
      <c r="K5345" s="124"/>
      <c r="L5345" s="124"/>
      <c r="M5345" s="124"/>
      <c r="N5345" s="124"/>
      <c r="O5345" s="124"/>
    </row>
    <row r="5346">
      <c r="K5346" s="124"/>
      <c r="L5346" s="124"/>
      <c r="M5346" s="124"/>
      <c r="N5346" s="124"/>
      <c r="O5346" s="124"/>
    </row>
    <row r="5347">
      <c r="K5347" s="124"/>
      <c r="L5347" s="124"/>
      <c r="M5347" s="124"/>
      <c r="N5347" s="124"/>
      <c r="O5347" s="124"/>
    </row>
    <row r="5348">
      <c r="K5348" s="124"/>
      <c r="L5348" s="124"/>
      <c r="M5348" s="124"/>
      <c r="N5348" s="124"/>
      <c r="O5348" s="124"/>
    </row>
    <row r="5349">
      <c r="K5349" s="124"/>
      <c r="L5349" s="124"/>
      <c r="M5349" s="124"/>
      <c r="N5349" s="124"/>
      <c r="O5349" s="124"/>
    </row>
    <row r="5350">
      <c r="K5350" s="124"/>
      <c r="L5350" s="124"/>
      <c r="M5350" s="124"/>
      <c r="N5350" s="124"/>
      <c r="O5350" s="124"/>
    </row>
    <row r="5351">
      <c r="K5351" s="124"/>
      <c r="L5351" s="124"/>
      <c r="M5351" s="124"/>
      <c r="N5351" s="124"/>
      <c r="O5351" s="124"/>
    </row>
    <row r="5352">
      <c r="K5352" s="124"/>
      <c r="L5352" s="124"/>
      <c r="M5352" s="124"/>
      <c r="N5352" s="124"/>
      <c r="O5352" s="124"/>
    </row>
    <row r="5353">
      <c r="K5353" s="124"/>
      <c r="L5353" s="124"/>
      <c r="M5353" s="124"/>
      <c r="N5353" s="124"/>
      <c r="O5353" s="124"/>
    </row>
    <row r="5354">
      <c r="K5354" s="124"/>
      <c r="L5354" s="124"/>
      <c r="M5354" s="124"/>
      <c r="N5354" s="124"/>
      <c r="O5354" s="124"/>
    </row>
    <row r="5355">
      <c r="K5355" s="124"/>
      <c r="L5355" s="124"/>
      <c r="M5355" s="124"/>
      <c r="N5355" s="124"/>
      <c r="O5355" s="124"/>
    </row>
    <row r="5356">
      <c r="K5356" s="124"/>
      <c r="L5356" s="124"/>
      <c r="M5356" s="124"/>
      <c r="N5356" s="124"/>
      <c r="O5356" s="124"/>
    </row>
    <row r="5357">
      <c r="K5357" s="124"/>
      <c r="L5357" s="124"/>
      <c r="M5357" s="124"/>
      <c r="N5357" s="124"/>
      <c r="O5357" s="124"/>
    </row>
    <row r="5358">
      <c r="K5358" s="124"/>
      <c r="L5358" s="124"/>
      <c r="M5358" s="124"/>
      <c r="N5358" s="124"/>
      <c r="O5358" s="124"/>
    </row>
    <row r="5359">
      <c r="K5359" s="124"/>
      <c r="L5359" s="124"/>
      <c r="M5359" s="124"/>
      <c r="N5359" s="124"/>
      <c r="O5359" s="124"/>
    </row>
    <row r="5360">
      <c r="K5360" s="124"/>
      <c r="L5360" s="124"/>
      <c r="M5360" s="124"/>
      <c r="N5360" s="124"/>
      <c r="O5360" s="124"/>
    </row>
    <row r="5361">
      <c r="K5361" s="124"/>
      <c r="L5361" s="124"/>
      <c r="M5361" s="124"/>
      <c r="N5361" s="124"/>
      <c r="O5361" s="124"/>
    </row>
    <row r="5362">
      <c r="K5362" s="124"/>
      <c r="L5362" s="124"/>
      <c r="M5362" s="124"/>
      <c r="N5362" s="124"/>
      <c r="O5362" s="124"/>
    </row>
    <row r="5363">
      <c r="K5363" s="124"/>
      <c r="L5363" s="124"/>
      <c r="M5363" s="124"/>
      <c r="N5363" s="124"/>
      <c r="O5363" s="124"/>
    </row>
    <row r="5364">
      <c r="K5364" s="124"/>
      <c r="L5364" s="124"/>
      <c r="M5364" s="124"/>
      <c r="N5364" s="124"/>
      <c r="O5364" s="124"/>
    </row>
    <row r="5365">
      <c r="K5365" s="124"/>
      <c r="L5365" s="124"/>
      <c r="M5365" s="124"/>
      <c r="N5365" s="124"/>
      <c r="O5365" s="124"/>
    </row>
    <row r="5366">
      <c r="K5366" s="124"/>
      <c r="L5366" s="124"/>
      <c r="M5366" s="124"/>
      <c r="N5366" s="124"/>
      <c r="O5366" s="124"/>
    </row>
    <row r="5367">
      <c r="K5367" s="124"/>
      <c r="L5367" s="124"/>
      <c r="M5367" s="124"/>
      <c r="N5367" s="124"/>
      <c r="O5367" s="124"/>
    </row>
    <row r="5368">
      <c r="K5368" s="124"/>
      <c r="L5368" s="124"/>
      <c r="M5368" s="124"/>
      <c r="N5368" s="124"/>
      <c r="O5368" s="124"/>
    </row>
    <row r="5369">
      <c r="K5369" s="124"/>
      <c r="L5369" s="124"/>
      <c r="M5369" s="124"/>
      <c r="N5369" s="124"/>
      <c r="O5369" s="124"/>
    </row>
    <row r="5370">
      <c r="K5370" s="124"/>
      <c r="L5370" s="124"/>
      <c r="M5370" s="124"/>
      <c r="N5370" s="124"/>
      <c r="O5370" s="124"/>
    </row>
    <row r="5371">
      <c r="K5371" s="124"/>
      <c r="L5371" s="124"/>
      <c r="M5371" s="124"/>
      <c r="N5371" s="124"/>
      <c r="O5371" s="124"/>
    </row>
    <row r="5372">
      <c r="K5372" s="124"/>
      <c r="L5372" s="124"/>
      <c r="M5372" s="124"/>
      <c r="N5372" s="124"/>
      <c r="O5372" s="124"/>
    </row>
    <row r="5373">
      <c r="K5373" s="124"/>
      <c r="L5373" s="124"/>
      <c r="M5373" s="124"/>
      <c r="N5373" s="124"/>
      <c r="O5373" s="124"/>
    </row>
    <row r="5374">
      <c r="K5374" s="124"/>
      <c r="L5374" s="124"/>
      <c r="M5374" s="124"/>
      <c r="N5374" s="124"/>
      <c r="O5374" s="124"/>
    </row>
    <row r="5375">
      <c r="K5375" s="124"/>
      <c r="L5375" s="124"/>
      <c r="M5375" s="124"/>
      <c r="N5375" s="124"/>
      <c r="O5375" s="124"/>
    </row>
    <row r="5376">
      <c r="K5376" s="124"/>
      <c r="L5376" s="124"/>
      <c r="M5376" s="124"/>
      <c r="N5376" s="124"/>
      <c r="O5376" s="124"/>
    </row>
    <row r="5377">
      <c r="K5377" s="124"/>
      <c r="L5377" s="124"/>
      <c r="M5377" s="124"/>
      <c r="N5377" s="124"/>
      <c r="O5377" s="124"/>
    </row>
    <row r="5378">
      <c r="K5378" s="124"/>
      <c r="L5378" s="124"/>
      <c r="M5378" s="124"/>
      <c r="N5378" s="124"/>
      <c r="O5378" s="124"/>
    </row>
    <row r="5379">
      <c r="K5379" s="124"/>
      <c r="L5379" s="124"/>
      <c r="M5379" s="124"/>
      <c r="N5379" s="124"/>
      <c r="O5379" s="124"/>
    </row>
    <row r="5380">
      <c r="K5380" s="124"/>
      <c r="L5380" s="124"/>
      <c r="M5380" s="124"/>
      <c r="N5380" s="124"/>
      <c r="O5380" s="124"/>
    </row>
    <row r="5381">
      <c r="K5381" s="124"/>
      <c r="L5381" s="124"/>
      <c r="M5381" s="124"/>
      <c r="N5381" s="124"/>
      <c r="O5381" s="124"/>
    </row>
    <row r="5382">
      <c r="K5382" s="124"/>
      <c r="L5382" s="124"/>
      <c r="M5382" s="124"/>
      <c r="N5382" s="124"/>
      <c r="O5382" s="124"/>
    </row>
    <row r="5383">
      <c r="K5383" s="124"/>
      <c r="L5383" s="124"/>
      <c r="M5383" s="124"/>
      <c r="N5383" s="124"/>
      <c r="O5383" s="124"/>
    </row>
    <row r="5384">
      <c r="K5384" s="124"/>
      <c r="L5384" s="124"/>
      <c r="M5384" s="124"/>
      <c r="N5384" s="124"/>
      <c r="O5384" s="124"/>
    </row>
    <row r="5385">
      <c r="K5385" s="124"/>
      <c r="L5385" s="124"/>
      <c r="M5385" s="124"/>
      <c r="N5385" s="124"/>
      <c r="O5385" s="124"/>
    </row>
    <row r="5386">
      <c r="K5386" s="124"/>
      <c r="L5386" s="124"/>
      <c r="M5386" s="124"/>
      <c r="N5386" s="124"/>
      <c r="O5386" s="124"/>
    </row>
    <row r="5387">
      <c r="K5387" s="124"/>
      <c r="L5387" s="124"/>
      <c r="M5387" s="124"/>
      <c r="N5387" s="124"/>
      <c r="O5387" s="124"/>
    </row>
    <row r="5388">
      <c r="K5388" s="124"/>
      <c r="L5388" s="124"/>
      <c r="M5388" s="124"/>
      <c r="N5388" s="124"/>
      <c r="O5388" s="124"/>
    </row>
    <row r="5389">
      <c r="K5389" s="124"/>
      <c r="L5389" s="124"/>
      <c r="M5389" s="124"/>
      <c r="N5389" s="124"/>
      <c r="O5389" s="124"/>
    </row>
    <row r="5390">
      <c r="K5390" s="124"/>
      <c r="L5390" s="124"/>
      <c r="M5390" s="124"/>
      <c r="N5390" s="124"/>
      <c r="O5390" s="124"/>
    </row>
    <row r="5391">
      <c r="K5391" s="124"/>
      <c r="L5391" s="124"/>
      <c r="M5391" s="124"/>
      <c r="N5391" s="124"/>
      <c r="O5391" s="124"/>
    </row>
    <row r="5392">
      <c r="K5392" s="124"/>
      <c r="L5392" s="124"/>
      <c r="M5392" s="124"/>
      <c r="N5392" s="124"/>
      <c r="O5392" s="124"/>
    </row>
    <row r="5393">
      <c r="K5393" s="124"/>
      <c r="L5393" s="124"/>
      <c r="M5393" s="124"/>
      <c r="N5393" s="124"/>
      <c r="O5393" s="124"/>
    </row>
    <row r="5394">
      <c r="K5394" s="124"/>
      <c r="L5394" s="124"/>
      <c r="M5394" s="124"/>
      <c r="N5394" s="124"/>
      <c r="O5394" s="124"/>
    </row>
    <row r="5395">
      <c r="K5395" s="124"/>
      <c r="L5395" s="124"/>
      <c r="M5395" s="124"/>
      <c r="N5395" s="124"/>
      <c r="O5395" s="124"/>
    </row>
    <row r="5396">
      <c r="K5396" s="124"/>
      <c r="L5396" s="124"/>
      <c r="M5396" s="124"/>
      <c r="N5396" s="124"/>
      <c r="O5396" s="124"/>
    </row>
    <row r="5397">
      <c r="K5397" s="124"/>
      <c r="L5397" s="124"/>
      <c r="M5397" s="124"/>
      <c r="N5397" s="124"/>
      <c r="O5397" s="124"/>
    </row>
    <row r="5398">
      <c r="K5398" s="124"/>
      <c r="L5398" s="124"/>
      <c r="M5398" s="124"/>
      <c r="N5398" s="124"/>
      <c r="O5398" s="124"/>
    </row>
    <row r="5399">
      <c r="K5399" s="124"/>
      <c r="L5399" s="124"/>
      <c r="M5399" s="124"/>
      <c r="N5399" s="124"/>
      <c r="O5399" s="124"/>
    </row>
    <row r="5400">
      <c r="K5400" s="124"/>
      <c r="L5400" s="124"/>
      <c r="M5400" s="124"/>
      <c r="N5400" s="124"/>
      <c r="O5400" s="124"/>
    </row>
    <row r="5401">
      <c r="K5401" s="124"/>
      <c r="L5401" s="124"/>
      <c r="M5401" s="124"/>
      <c r="N5401" s="124"/>
      <c r="O5401" s="124"/>
    </row>
    <row r="5402">
      <c r="K5402" s="124"/>
      <c r="L5402" s="124"/>
      <c r="M5402" s="124"/>
      <c r="N5402" s="124"/>
      <c r="O5402" s="124"/>
    </row>
    <row r="5403">
      <c r="K5403" s="124"/>
      <c r="L5403" s="124"/>
      <c r="M5403" s="124"/>
      <c r="N5403" s="124"/>
      <c r="O5403" s="124"/>
    </row>
    <row r="5404">
      <c r="K5404" s="124"/>
      <c r="L5404" s="124"/>
      <c r="M5404" s="124"/>
      <c r="N5404" s="124"/>
      <c r="O5404" s="124"/>
    </row>
    <row r="5405">
      <c r="K5405" s="124"/>
      <c r="L5405" s="124"/>
      <c r="M5405" s="124"/>
      <c r="N5405" s="124"/>
      <c r="O5405" s="124"/>
    </row>
    <row r="5406">
      <c r="K5406" s="124"/>
      <c r="L5406" s="124"/>
      <c r="M5406" s="124"/>
      <c r="N5406" s="124"/>
      <c r="O5406" s="124"/>
    </row>
    <row r="5407">
      <c r="K5407" s="124"/>
      <c r="L5407" s="124"/>
      <c r="M5407" s="124"/>
      <c r="N5407" s="124"/>
      <c r="O5407" s="124"/>
    </row>
    <row r="5408">
      <c r="K5408" s="124"/>
      <c r="L5408" s="124"/>
      <c r="M5408" s="124"/>
      <c r="N5408" s="124"/>
      <c r="O5408" s="124"/>
    </row>
    <row r="5409">
      <c r="K5409" s="124"/>
      <c r="L5409" s="124"/>
      <c r="M5409" s="124"/>
      <c r="N5409" s="124"/>
      <c r="O5409" s="124"/>
    </row>
    <row r="5410">
      <c r="K5410" s="124"/>
      <c r="L5410" s="124"/>
      <c r="M5410" s="124"/>
      <c r="N5410" s="124"/>
      <c r="O5410" s="124"/>
    </row>
    <row r="5411">
      <c r="K5411" s="124"/>
      <c r="L5411" s="124"/>
      <c r="M5411" s="124"/>
      <c r="N5411" s="124"/>
      <c r="O5411" s="124"/>
    </row>
    <row r="5412">
      <c r="K5412" s="124"/>
      <c r="L5412" s="124"/>
      <c r="M5412" s="124"/>
      <c r="N5412" s="124"/>
      <c r="O5412" s="124"/>
    </row>
    <row r="5413">
      <c r="K5413" s="124"/>
      <c r="L5413" s="124"/>
      <c r="M5413" s="124"/>
      <c r="N5413" s="124"/>
      <c r="O5413" s="124"/>
    </row>
    <row r="5414">
      <c r="K5414" s="124"/>
      <c r="L5414" s="124"/>
      <c r="M5414" s="124"/>
      <c r="N5414" s="124"/>
      <c r="O5414" s="124"/>
    </row>
    <row r="5415">
      <c r="K5415" s="124"/>
      <c r="L5415" s="124"/>
      <c r="M5415" s="124"/>
      <c r="N5415" s="124"/>
      <c r="O5415" s="124"/>
    </row>
    <row r="5416">
      <c r="K5416" s="124"/>
      <c r="L5416" s="124"/>
      <c r="M5416" s="124"/>
      <c r="N5416" s="124"/>
      <c r="O5416" s="124"/>
    </row>
    <row r="5417">
      <c r="K5417" s="124"/>
      <c r="L5417" s="124"/>
      <c r="M5417" s="124"/>
      <c r="N5417" s="124"/>
      <c r="O5417" s="124"/>
    </row>
    <row r="5418">
      <c r="K5418" s="124"/>
      <c r="L5418" s="124"/>
      <c r="M5418" s="124"/>
      <c r="N5418" s="124"/>
      <c r="O5418" s="124"/>
    </row>
    <row r="5419">
      <c r="K5419" s="124"/>
      <c r="L5419" s="124"/>
      <c r="M5419" s="124"/>
      <c r="N5419" s="124"/>
      <c r="O5419" s="124"/>
    </row>
    <row r="5420">
      <c r="K5420" s="124"/>
      <c r="L5420" s="124"/>
      <c r="M5420" s="124"/>
      <c r="N5420" s="124"/>
      <c r="O5420" s="124"/>
    </row>
    <row r="5421">
      <c r="K5421" s="124"/>
      <c r="L5421" s="124"/>
      <c r="M5421" s="124"/>
      <c r="N5421" s="124"/>
      <c r="O5421" s="124"/>
    </row>
    <row r="5422">
      <c r="K5422" s="124"/>
      <c r="L5422" s="124"/>
      <c r="M5422" s="124"/>
      <c r="N5422" s="124"/>
      <c r="O5422" s="124"/>
    </row>
    <row r="5423">
      <c r="K5423" s="124"/>
      <c r="L5423" s="124"/>
      <c r="M5423" s="124"/>
      <c r="N5423" s="124"/>
      <c r="O5423" s="124"/>
    </row>
    <row r="5424">
      <c r="K5424" s="124"/>
      <c r="L5424" s="124"/>
      <c r="M5424" s="124"/>
      <c r="N5424" s="124"/>
      <c r="O5424" s="124"/>
    </row>
    <row r="5425">
      <c r="K5425" s="124"/>
      <c r="L5425" s="124"/>
      <c r="M5425" s="124"/>
      <c r="N5425" s="124"/>
      <c r="O5425" s="124"/>
    </row>
    <row r="5426">
      <c r="K5426" s="124"/>
      <c r="L5426" s="124"/>
      <c r="M5426" s="124"/>
      <c r="N5426" s="124"/>
      <c r="O5426" s="124"/>
    </row>
    <row r="5427">
      <c r="K5427" s="124"/>
      <c r="L5427" s="124"/>
      <c r="M5427" s="124"/>
      <c r="N5427" s="124"/>
      <c r="O5427" s="124"/>
    </row>
    <row r="5428">
      <c r="K5428" s="124"/>
      <c r="L5428" s="124"/>
      <c r="M5428" s="124"/>
      <c r="N5428" s="124"/>
      <c r="O5428" s="124"/>
    </row>
    <row r="5429">
      <c r="K5429" s="124"/>
      <c r="L5429" s="124"/>
      <c r="M5429" s="124"/>
      <c r="N5429" s="124"/>
      <c r="O5429" s="124"/>
    </row>
    <row r="5430">
      <c r="K5430" s="124"/>
      <c r="L5430" s="124"/>
      <c r="M5430" s="124"/>
      <c r="N5430" s="124"/>
      <c r="O5430" s="124"/>
    </row>
    <row r="5431">
      <c r="K5431" s="124"/>
      <c r="L5431" s="124"/>
      <c r="M5431" s="124"/>
      <c r="N5431" s="124"/>
      <c r="O5431" s="124"/>
    </row>
    <row r="5432">
      <c r="K5432" s="124"/>
      <c r="L5432" s="124"/>
      <c r="M5432" s="124"/>
      <c r="N5432" s="124"/>
      <c r="O5432" s="124"/>
    </row>
    <row r="5433">
      <c r="K5433" s="124"/>
      <c r="L5433" s="124"/>
      <c r="M5433" s="124"/>
      <c r="N5433" s="124"/>
      <c r="O5433" s="124"/>
    </row>
    <row r="5434">
      <c r="K5434" s="124"/>
      <c r="L5434" s="124"/>
      <c r="M5434" s="124"/>
      <c r="N5434" s="124"/>
      <c r="O5434" s="124"/>
    </row>
    <row r="5435">
      <c r="K5435" s="124"/>
      <c r="L5435" s="124"/>
      <c r="M5435" s="124"/>
      <c r="N5435" s="124"/>
      <c r="O5435" s="124"/>
    </row>
    <row r="5436">
      <c r="K5436" s="124"/>
      <c r="L5436" s="124"/>
      <c r="M5436" s="124"/>
      <c r="N5436" s="124"/>
      <c r="O5436" s="124"/>
    </row>
    <row r="5437">
      <c r="K5437" s="124"/>
      <c r="L5437" s="124"/>
      <c r="M5437" s="124"/>
      <c r="N5437" s="124"/>
      <c r="O5437" s="124"/>
    </row>
    <row r="5438">
      <c r="K5438" s="124"/>
      <c r="L5438" s="124"/>
      <c r="M5438" s="124"/>
      <c r="N5438" s="124"/>
      <c r="O5438" s="124"/>
    </row>
    <row r="5439">
      <c r="K5439" s="124"/>
      <c r="L5439" s="124"/>
      <c r="M5439" s="124"/>
      <c r="N5439" s="124"/>
      <c r="O5439" s="124"/>
    </row>
    <row r="5440">
      <c r="K5440" s="124"/>
      <c r="L5440" s="124"/>
      <c r="M5440" s="124"/>
      <c r="N5440" s="124"/>
      <c r="O5440" s="124"/>
    </row>
    <row r="5441">
      <c r="K5441" s="124"/>
      <c r="L5441" s="124"/>
      <c r="M5441" s="124"/>
      <c r="N5441" s="124"/>
      <c r="O5441" s="124"/>
    </row>
    <row r="5442">
      <c r="K5442" s="124"/>
      <c r="L5442" s="124"/>
      <c r="M5442" s="124"/>
      <c r="N5442" s="124"/>
      <c r="O5442" s="124"/>
    </row>
    <row r="5443">
      <c r="K5443" s="124"/>
      <c r="L5443" s="124"/>
      <c r="M5443" s="124"/>
      <c r="N5443" s="124"/>
      <c r="O5443" s="124"/>
    </row>
    <row r="5444">
      <c r="K5444" s="124"/>
      <c r="L5444" s="124"/>
      <c r="M5444" s="124"/>
      <c r="N5444" s="124"/>
      <c r="O5444" s="124"/>
    </row>
    <row r="5445">
      <c r="K5445" s="124"/>
      <c r="L5445" s="124"/>
      <c r="M5445" s="124"/>
      <c r="N5445" s="124"/>
      <c r="O5445" s="124"/>
    </row>
    <row r="5446">
      <c r="K5446" s="124"/>
      <c r="L5446" s="124"/>
      <c r="M5446" s="124"/>
      <c r="N5446" s="124"/>
      <c r="O5446" s="124"/>
    </row>
    <row r="5447">
      <c r="K5447" s="124"/>
      <c r="L5447" s="124"/>
      <c r="M5447" s="124"/>
      <c r="N5447" s="124"/>
      <c r="O5447" s="124"/>
    </row>
    <row r="5448">
      <c r="K5448" s="124"/>
      <c r="L5448" s="124"/>
      <c r="M5448" s="124"/>
      <c r="N5448" s="124"/>
      <c r="O5448" s="124"/>
    </row>
    <row r="5449">
      <c r="K5449" s="124"/>
      <c r="L5449" s="124"/>
      <c r="M5449" s="124"/>
      <c r="N5449" s="124"/>
      <c r="O5449" s="124"/>
    </row>
    <row r="5450">
      <c r="K5450" s="124"/>
      <c r="L5450" s="124"/>
      <c r="M5450" s="124"/>
      <c r="N5450" s="124"/>
      <c r="O5450" s="124"/>
    </row>
    <row r="5451">
      <c r="K5451" s="124"/>
      <c r="L5451" s="124"/>
      <c r="M5451" s="124"/>
      <c r="N5451" s="124"/>
      <c r="O5451" s="124"/>
    </row>
    <row r="5452">
      <c r="K5452" s="124"/>
      <c r="L5452" s="124"/>
      <c r="M5452" s="124"/>
      <c r="N5452" s="124"/>
      <c r="O5452" s="124"/>
    </row>
    <row r="5453">
      <c r="K5453" s="124"/>
      <c r="L5453" s="124"/>
      <c r="M5453" s="124"/>
      <c r="N5453" s="124"/>
      <c r="O5453" s="124"/>
    </row>
    <row r="5454">
      <c r="K5454" s="124"/>
      <c r="L5454" s="124"/>
      <c r="M5454" s="124"/>
      <c r="N5454" s="124"/>
      <c r="O5454" s="124"/>
    </row>
    <row r="5455">
      <c r="K5455" s="124"/>
      <c r="L5455" s="124"/>
      <c r="M5455" s="124"/>
      <c r="N5455" s="124"/>
      <c r="O5455" s="124"/>
    </row>
    <row r="5456">
      <c r="K5456" s="124"/>
      <c r="L5456" s="124"/>
      <c r="M5456" s="124"/>
      <c r="N5456" s="124"/>
      <c r="O5456" s="124"/>
    </row>
    <row r="5457">
      <c r="K5457" s="124"/>
      <c r="L5457" s="124"/>
      <c r="M5457" s="124"/>
      <c r="N5457" s="124"/>
      <c r="O5457" s="124"/>
    </row>
    <row r="5458">
      <c r="K5458" s="124"/>
      <c r="L5458" s="124"/>
      <c r="M5458" s="124"/>
      <c r="N5458" s="124"/>
      <c r="O5458" s="124"/>
    </row>
    <row r="5459">
      <c r="K5459" s="124"/>
      <c r="L5459" s="124"/>
      <c r="M5459" s="124"/>
      <c r="N5459" s="124"/>
      <c r="O5459" s="124"/>
    </row>
    <row r="5460">
      <c r="K5460" s="124"/>
      <c r="L5460" s="124"/>
      <c r="M5460" s="124"/>
      <c r="N5460" s="124"/>
      <c r="O5460" s="124"/>
    </row>
    <row r="5461">
      <c r="K5461" s="124"/>
      <c r="L5461" s="124"/>
      <c r="M5461" s="124"/>
      <c r="N5461" s="124"/>
      <c r="O5461" s="124"/>
    </row>
    <row r="5462">
      <c r="K5462" s="124"/>
      <c r="L5462" s="124"/>
      <c r="M5462" s="124"/>
      <c r="N5462" s="124"/>
      <c r="O5462" s="124"/>
    </row>
    <row r="5463">
      <c r="K5463" s="124"/>
      <c r="L5463" s="124"/>
      <c r="M5463" s="124"/>
      <c r="N5463" s="124"/>
      <c r="O5463" s="124"/>
    </row>
    <row r="5464">
      <c r="K5464" s="124"/>
      <c r="L5464" s="124"/>
      <c r="M5464" s="124"/>
      <c r="N5464" s="124"/>
      <c r="O5464" s="124"/>
    </row>
    <row r="5465">
      <c r="K5465" s="124"/>
      <c r="L5465" s="124"/>
      <c r="M5465" s="124"/>
      <c r="N5465" s="124"/>
      <c r="O5465" s="124"/>
    </row>
    <row r="5466">
      <c r="K5466" s="124"/>
      <c r="L5466" s="124"/>
      <c r="M5466" s="124"/>
      <c r="N5466" s="124"/>
      <c r="O5466" s="124"/>
    </row>
    <row r="5467">
      <c r="K5467" s="124"/>
      <c r="L5467" s="124"/>
      <c r="M5467" s="124"/>
      <c r="N5467" s="124"/>
      <c r="O5467" s="124"/>
    </row>
    <row r="5468">
      <c r="K5468" s="124"/>
      <c r="L5468" s="124"/>
      <c r="M5468" s="124"/>
      <c r="N5468" s="124"/>
      <c r="O5468" s="124"/>
    </row>
    <row r="5469">
      <c r="K5469" s="124"/>
      <c r="L5469" s="124"/>
      <c r="M5469" s="124"/>
      <c r="N5469" s="124"/>
      <c r="O5469" s="124"/>
    </row>
    <row r="5470">
      <c r="K5470" s="124"/>
      <c r="L5470" s="124"/>
      <c r="M5470" s="124"/>
      <c r="N5470" s="124"/>
      <c r="O5470" s="124"/>
    </row>
    <row r="5471">
      <c r="K5471" s="124"/>
      <c r="L5471" s="124"/>
      <c r="M5471" s="124"/>
      <c r="N5471" s="124"/>
      <c r="O5471" s="124"/>
    </row>
    <row r="5472">
      <c r="K5472" s="124"/>
      <c r="L5472" s="124"/>
      <c r="M5472" s="124"/>
      <c r="N5472" s="124"/>
      <c r="O5472" s="124"/>
    </row>
    <row r="5473">
      <c r="K5473" s="124"/>
      <c r="L5473" s="124"/>
      <c r="M5473" s="124"/>
      <c r="N5473" s="124"/>
      <c r="O5473" s="124"/>
    </row>
    <row r="5474">
      <c r="K5474" s="124"/>
      <c r="L5474" s="124"/>
      <c r="M5474" s="124"/>
      <c r="N5474" s="124"/>
      <c r="O5474" s="124"/>
    </row>
    <row r="5475">
      <c r="K5475" s="124"/>
      <c r="L5475" s="124"/>
      <c r="M5475" s="124"/>
      <c r="N5475" s="124"/>
      <c r="O5475" s="124"/>
    </row>
    <row r="5476">
      <c r="K5476" s="124"/>
      <c r="L5476" s="124"/>
      <c r="M5476" s="124"/>
      <c r="N5476" s="124"/>
      <c r="O5476" s="124"/>
    </row>
    <row r="5477">
      <c r="K5477" s="124"/>
      <c r="L5477" s="124"/>
      <c r="M5477" s="124"/>
      <c r="N5477" s="124"/>
      <c r="O5477" s="124"/>
    </row>
    <row r="5478">
      <c r="K5478" s="124"/>
      <c r="L5478" s="124"/>
      <c r="M5478" s="124"/>
      <c r="N5478" s="124"/>
      <c r="O5478" s="124"/>
    </row>
    <row r="5479">
      <c r="K5479" s="124"/>
      <c r="L5479" s="124"/>
      <c r="M5479" s="124"/>
      <c r="N5479" s="124"/>
      <c r="O5479" s="124"/>
    </row>
    <row r="5480">
      <c r="K5480" s="124"/>
      <c r="L5480" s="124"/>
      <c r="M5480" s="124"/>
      <c r="N5480" s="124"/>
      <c r="O5480" s="124"/>
    </row>
    <row r="5481">
      <c r="K5481" s="124"/>
      <c r="L5481" s="124"/>
      <c r="M5481" s="124"/>
      <c r="N5481" s="124"/>
      <c r="O5481" s="124"/>
    </row>
    <row r="5482">
      <c r="K5482" s="124"/>
      <c r="L5482" s="124"/>
      <c r="M5482" s="124"/>
      <c r="N5482" s="124"/>
      <c r="O5482" s="124"/>
    </row>
    <row r="5483">
      <c r="K5483" s="124"/>
      <c r="L5483" s="124"/>
      <c r="M5483" s="124"/>
      <c r="N5483" s="124"/>
      <c r="O5483" s="124"/>
    </row>
    <row r="5484">
      <c r="K5484" s="124"/>
      <c r="L5484" s="124"/>
      <c r="M5484" s="124"/>
      <c r="N5484" s="124"/>
      <c r="O5484" s="124"/>
    </row>
    <row r="5485">
      <c r="K5485" s="124"/>
      <c r="L5485" s="124"/>
      <c r="M5485" s="124"/>
      <c r="N5485" s="124"/>
      <c r="O5485" s="124"/>
    </row>
    <row r="5486">
      <c r="K5486" s="124"/>
      <c r="L5486" s="124"/>
      <c r="M5486" s="124"/>
      <c r="N5486" s="124"/>
      <c r="O5486" s="124"/>
    </row>
    <row r="5487">
      <c r="K5487" s="124"/>
      <c r="L5487" s="124"/>
      <c r="M5487" s="124"/>
      <c r="N5487" s="124"/>
      <c r="O5487" s="124"/>
    </row>
    <row r="5488">
      <c r="K5488" s="124"/>
      <c r="L5488" s="124"/>
      <c r="M5488" s="124"/>
      <c r="N5488" s="124"/>
      <c r="O5488" s="124"/>
    </row>
    <row r="5489">
      <c r="K5489" s="124"/>
      <c r="L5489" s="124"/>
      <c r="M5489" s="124"/>
      <c r="N5489" s="124"/>
      <c r="O5489" s="124"/>
    </row>
    <row r="5490">
      <c r="K5490" s="124"/>
      <c r="L5490" s="124"/>
      <c r="M5490" s="124"/>
      <c r="N5490" s="124"/>
      <c r="O5490" s="124"/>
    </row>
    <row r="5491">
      <c r="K5491" s="124"/>
      <c r="L5491" s="124"/>
      <c r="M5491" s="124"/>
      <c r="N5491" s="124"/>
      <c r="O5491" s="124"/>
    </row>
    <row r="5492">
      <c r="K5492" s="124"/>
      <c r="L5492" s="124"/>
      <c r="M5492" s="124"/>
      <c r="N5492" s="124"/>
      <c r="O5492" s="124"/>
    </row>
    <row r="5493">
      <c r="K5493" s="124"/>
      <c r="L5493" s="124"/>
      <c r="M5493" s="124"/>
      <c r="N5493" s="124"/>
      <c r="O5493" s="124"/>
    </row>
    <row r="5494">
      <c r="K5494" s="124"/>
      <c r="L5494" s="124"/>
      <c r="M5494" s="124"/>
      <c r="N5494" s="124"/>
      <c r="O5494" s="124"/>
    </row>
    <row r="5495">
      <c r="K5495" s="124"/>
      <c r="L5495" s="124"/>
      <c r="M5495" s="124"/>
      <c r="N5495" s="124"/>
      <c r="O5495" s="124"/>
    </row>
    <row r="5496">
      <c r="K5496" s="124"/>
      <c r="L5496" s="124"/>
      <c r="M5496" s="124"/>
      <c r="N5496" s="124"/>
      <c r="O5496" s="124"/>
    </row>
    <row r="5497">
      <c r="K5497" s="124"/>
      <c r="L5497" s="124"/>
      <c r="M5497" s="124"/>
      <c r="N5497" s="124"/>
      <c r="O5497" s="124"/>
    </row>
    <row r="5498">
      <c r="K5498" s="124"/>
      <c r="L5498" s="124"/>
      <c r="M5498" s="124"/>
      <c r="N5498" s="124"/>
      <c r="O5498" s="124"/>
    </row>
    <row r="5499">
      <c r="K5499" s="124"/>
      <c r="L5499" s="124"/>
      <c r="M5499" s="124"/>
      <c r="N5499" s="124"/>
      <c r="O5499" s="124"/>
    </row>
    <row r="5500">
      <c r="K5500" s="124"/>
      <c r="L5500" s="124"/>
      <c r="M5500" s="124"/>
      <c r="N5500" s="124"/>
      <c r="O5500" s="124"/>
    </row>
    <row r="5501">
      <c r="K5501" s="124"/>
      <c r="L5501" s="124"/>
      <c r="M5501" s="124"/>
      <c r="N5501" s="124"/>
      <c r="O5501" s="124"/>
    </row>
    <row r="5502">
      <c r="K5502" s="124"/>
      <c r="L5502" s="124"/>
      <c r="M5502" s="124"/>
      <c r="N5502" s="124"/>
      <c r="O5502" s="124"/>
    </row>
    <row r="5503">
      <c r="K5503" s="124"/>
      <c r="L5503" s="124"/>
      <c r="M5503" s="124"/>
      <c r="N5503" s="124"/>
      <c r="O5503" s="124"/>
    </row>
    <row r="5504">
      <c r="K5504" s="124"/>
      <c r="L5504" s="124"/>
      <c r="M5504" s="124"/>
      <c r="N5504" s="124"/>
      <c r="O5504" s="124"/>
    </row>
    <row r="5505">
      <c r="K5505" s="124"/>
      <c r="L5505" s="124"/>
      <c r="M5505" s="124"/>
      <c r="N5505" s="124"/>
      <c r="O5505" s="124"/>
    </row>
    <row r="5506">
      <c r="K5506" s="124"/>
      <c r="L5506" s="124"/>
      <c r="M5506" s="124"/>
      <c r="N5506" s="124"/>
      <c r="O5506" s="124"/>
    </row>
    <row r="5507">
      <c r="K5507" s="124"/>
      <c r="L5507" s="124"/>
      <c r="M5507" s="124"/>
      <c r="N5507" s="124"/>
      <c r="O5507" s="124"/>
    </row>
    <row r="5508">
      <c r="K5508" s="124"/>
      <c r="L5508" s="124"/>
      <c r="M5508" s="124"/>
      <c r="N5508" s="124"/>
      <c r="O5508" s="124"/>
    </row>
    <row r="5509">
      <c r="K5509" s="124"/>
      <c r="L5509" s="124"/>
      <c r="M5509" s="124"/>
      <c r="N5509" s="124"/>
      <c r="O5509" s="124"/>
    </row>
    <row r="5510">
      <c r="K5510" s="124"/>
      <c r="L5510" s="124"/>
      <c r="M5510" s="124"/>
      <c r="N5510" s="124"/>
      <c r="O5510" s="124"/>
    </row>
    <row r="5511">
      <c r="K5511" s="124"/>
      <c r="L5511" s="124"/>
      <c r="M5511" s="124"/>
      <c r="N5511" s="124"/>
      <c r="O5511" s="124"/>
    </row>
    <row r="5512">
      <c r="K5512" s="124"/>
      <c r="L5512" s="124"/>
      <c r="M5512" s="124"/>
      <c r="N5512" s="124"/>
      <c r="O5512" s="124"/>
    </row>
    <row r="5513">
      <c r="K5513" s="124"/>
      <c r="L5513" s="124"/>
      <c r="M5513" s="124"/>
      <c r="N5513" s="124"/>
      <c r="O5513" s="124"/>
    </row>
    <row r="5514">
      <c r="K5514" s="124"/>
      <c r="L5514" s="124"/>
      <c r="M5514" s="124"/>
      <c r="N5514" s="124"/>
      <c r="O5514" s="124"/>
    </row>
    <row r="5515">
      <c r="K5515" s="124"/>
      <c r="L5515" s="124"/>
      <c r="M5515" s="124"/>
      <c r="N5515" s="124"/>
      <c r="O5515" s="124"/>
    </row>
    <row r="5516">
      <c r="K5516" s="124"/>
      <c r="L5516" s="124"/>
      <c r="M5516" s="124"/>
      <c r="N5516" s="124"/>
      <c r="O5516" s="124"/>
    </row>
    <row r="5517">
      <c r="K5517" s="124"/>
      <c r="L5517" s="124"/>
      <c r="M5517" s="124"/>
      <c r="N5517" s="124"/>
      <c r="O5517" s="124"/>
    </row>
    <row r="5518">
      <c r="K5518" s="124"/>
      <c r="L5518" s="124"/>
      <c r="M5518" s="124"/>
      <c r="N5518" s="124"/>
      <c r="O5518" s="124"/>
    </row>
    <row r="5519">
      <c r="K5519" s="124"/>
      <c r="L5519" s="124"/>
      <c r="M5519" s="124"/>
      <c r="N5519" s="124"/>
      <c r="O5519" s="124"/>
    </row>
    <row r="5520">
      <c r="K5520" s="124"/>
      <c r="L5520" s="124"/>
      <c r="M5520" s="124"/>
      <c r="N5520" s="124"/>
      <c r="O5520" s="124"/>
    </row>
    <row r="5521">
      <c r="K5521" s="124"/>
      <c r="L5521" s="124"/>
      <c r="M5521" s="124"/>
      <c r="N5521" s="124"/>
      <c r="O5521" s="124"/>
    </row>
    <row r="5522">
      <c r="K5522" s="124"/>
      <c r="L5522" s="124"/>
      <c r="M5522" s="124"/>
      <c r="N5522" s="124"/>
      <c r="O5522" s="124"/>
    </row>
    <row r="5523">
      <c r="K5523" s="124"/>
      <c r="L5523" s="124"/>
      <c r="M5523" s="124"/>
      <c r="N5523" s="124"/>
      <c r="O5523" s="124"/>
    </row>
    <row r="5524">
      <c r="K5524" s="124"/>
      <c r="L5524" s="124"/>
      <c r="M5524" s="124"/>
      <c r="N5524" s="124"/>
      <c r="O5524" s="124"/>
    </row>
    <row r="5525">
      <c r="K5525" s="124"/>
      <c r="L5525" s="124"/>
      <c r="M5525" s="124"/>
      <c r="N5525" s="124"/>
      <c r="O5525" s="124"/>
    </row>
    <row r="5526">
      <c r="K5526" s="124"/>
      <c r="L5526" s="124"/>
      <c r="M5526" s="124"/>
      <c r="N5526" s="124"/>
      <c r="O5526" s="124"/>
    </row>
    <row r="5527">
      <c r="K5527" s="124"/>
      <c r="L5527" s="124"/>
      <c r="M5527" s="124"/>
      <c r="N5527" s="124"/>
      <c r="O5527" s="124"/>
    </row>
    <row r="5528">
      <c r="K5528" s="124"/>
      <c r="L5528" s="124"/>
      <c r="M5528" s="124"/>
      <c r="N5528" s="124"/>
      <c r="O5528" s="124"/>
    </row>
    <row r="5529">
      <c r="K5529" s="124"/>
      <c r="L5529" s="124"/>
      <c r="M5529" s="124"/>
      <c r="N5529" s="124"/>
      <c r="O5529" s="124"/>
    </row>
    <row r="5530">
      <c r="K5530" s="124"/>
      <c r="L5530" s="124"/>
      <c r="M5530" s="124"/>
      <c r="N5530" s="124"/>
      <c r="O5530" s="124"/>
    </row>
    <row r="5531">
      <c r="K5531" s="124"/>
      <c r="L5531" s="124"/>
      <c r="M5531" s="124"/>
      <c r="N5531" s="124"/>
      <c r="O5531" s="124"/>
    </row>
    <row r="5532">
      <c r="K5532" s="124"/>
      <c r="L5532" s="124"/>
      <c r="M5532" s="124"/>
      <c r="N5532" s="124"/>
      <c r="O5532" s="124"/>
    </row>
    <row r="5533">
      <c r="K5533" s="124"/>
      <c r="L5533" s="124"/>
      <c r="M5533" s="124"/>
      <c r="N5533" s="124"/>
      <c r="O5533" s="124"/>
    </row>
    <row r="5534">
      <c r="K5534" s="124"/>
      <c r="L5534" s="124"/>
      <c r="M5534" s="124"/>
      <c r="N5534" s="124"/>
      <c r="O5534" s="124"/>
    </row>
    <row r="5535">
      <c r="K5535" s="124"/>
      <c r="L5535" s="124"/>
      <c r="M5535" s="124"/>
      <c r="N5535" s="124"/>
      <c r="O5535" s="124"/>
    </row>
    <row r="5536">
      <c r="K5536" s="124"/>
      <c r="L5536" s="124"/>
      <c r="M5536" s="124"/>
      <c r="N5536" s="124"/>
      <c r="O5536" s="124"/>
    </row>
    <row r="5537">
      <c r="K5537" s="124"/>
      <c r="L5537" s="124"/>
      <c r="M5537" s="124"/>
      <c r="N5537" s="124"/>
      <c r="O5537" s="124"/>
    </row>
    <row r="5538">
      <c r="K5538" s="124"/>
      <c r="L5538" s="124"/>
      <c r="M5538" s="124"/>
      <c r="N5538" s="124"/>
      <c r="O5538" s="124"/>
    </row>
    <row r="5539">
      <c r="K5539" s="124"/>
      <c r="L5539" s="124"/>
      <c r="M5539" s="124"/>
      <c r="N5539" s="124"/>
      <c r="O5539" s="124"/>
    </row>
    <row r="5540">
      <c r="K5540" s="124"/>
      <c r="L5540" s="124"/>
      <c r="M5540" s="124"/>
      <c r="N5540" s="124"/>
      <c r="O5540" s="124"/>
    </row>
    <row r="5541">
      <c r="K5541" s="124"/>
      <c r="L5541" s="124"/>
      <c r="M5541" s="124"/>
      <c r="N5541" s="124"/>
      <c r="O5541" s="124"/>
    </row>
    <row r="5542">
      <c r="K5542" s="124"/>
      <c r="L5542" s="124"/>
      <c r="M5542" s="124"/>
      <c r="N5542" s="124"/>
      <c r="O5542" s="124"/>
    </row>
    <row r="5543">
      <c r="K5543" s="124"/>
      <c r="L5543" s="124"/>
      <c r="M5543" s="124"/>
      <c r="N5543" s="124"/>
      <c r="O5543" s="124"/>
    </row>
    <row r="5544">
      <c r="K5544" s="124"/>
      <c r="L5544" s="124"/>
      <c r="M5544" s="124"/>
      <c r="N5544" s="124"/>
      <c r="O5544" s="124"/>
    </row>
    <row r="5545">
      <c r="K5545" s="124"/>
      <c r="L5545" s="124"/>
      <c r="M5545" s="124"/>
      <c r="N5545" s="124"/>
      <c r="O5545" s="124"/>
    </row>
    <row r="5546">
      <c r="K5546" s="124"/>
      <c r="L5546" s="124"/>
      <c r="M5546" s="124"/>
      <c r="N5546" s="124"/>
      <c r="O5546" s="124"/>
    </row>
    <row r="5547">
      <c r="K5547" s="124"/>
      <c r="L5547" s="124"/>
      <c r="M5547" s="124"/>
      <c r="N5547" s="124"/>
      <c r="O5547" s="124"/>
    </row>
    <row r="5548">
      <c r="K5548" s="124"/>
      <c r="L5548" s="124"/>
      <c r="M5548" s="124"/>
      <c r="N5548" s="124"/>
      <c r="O5548" s="124"/>
    </row>
    <row r="5549">
      <c r="K5549" s="124"/>
      <c r="L5549" s="124"/>
      <c r="M5549" s="124"/>
      <c r="N5549" s="124"/>
      <c r="O5549" s="124"/>
    </row>
    <row r="5550">
      <c r="K5550" s="124"/>
      <c r="L5550" s="124"/>
      <c r="M5550" s="124"/>
      <c r="N5550" s="124"/>
      <c r="O5550" s="124"/>
    </row>
    <row r="5551">
      <c r="K5551" s="124"/>
      <c r="L5551" s="124"/>
      <c r="M5551" s="124"/>
      <c r="N5551" s="124"/>
      <c r="O5551" s="124"/>
    </row>
    <row r="5552">
      <c r="K5552" s="124"/>
      <c r="L5552" s="124"/>
      <c r="M5552" s="124"/>
      <c r="N5552" s="124"/>
      <c r="O5552" s="124"/>
    </row>
    <row r="5553">
      <c r="K5553" s="124"/>
      <c r="L5553" s="124"/>
      <c r="M5553" s="124"/>
      <c r="N5553" s="124"/>
      <c r="O5553" s="124"/>
    </row>
    <row r="5554">
      <c r="K5554" s="124"/>
      <c r="L5554" s="124"/>
      <c r="M5554" s="124"/>
      <c r="N5554" s="124"/>
      <c r="O5554" s="124"/>
    </row>
    <row r="5555">
      <c r="K5555" s="124"/>
      <c r="L5555" s="124"/>
      <c r="M5555" s="124"/>
      <c r="N5555" s="124"/>
      <c r="O5555" s="124"/>
    </row>
    <row r="5556">
      <c r="K5556" s="124"/>
      <c r="L5556" s="124"/>
      <c r="M5556" s="124"/>
      <c r="N5556" s="124"/>
      <c r="O5556" s="124"/>
    </row>
    <row r="5557">
      <c r="K5557" s="124"/>
      <c r="L5557" s="124"/>
      <c r="M5557" s="124"/>
      <c r="N5557" s="124"/>
      <c r="O5557" s="124"/>
    </row>
    <row r="5558">
      <c r="K5558" s="124"/>
      <c r="L5558" s="124"/>
      <c r="M5558" s="124"/>
      <c r="N5558" s="124"/>
      <c r="O5558" s="124"/>
    </row>
    <row r="5559">
      <c r="K5559" s="124"/>
      <c r="L5559" s="124"/>
      <c r="M5559" s="124"/>
      <c r="N5559" s="124"/>
      <c r="O5559" s="124"/>
    </row>
    <row r="5560">
      <c r="K5560" s="124"/>
      <c r="L5560" s="124"/>
      <c r="M5560" s="124"/>
      <c r="N5560" s="124"/>
      <c r="O5560" s="124"/>
    </row>
    <row r="5561">
      <c r="K5561" s="124"/>
      <c r="L5561" s="124"/>
      <c r="M5561" s="124"/>
      <c r="N5561" s="124"/>
      <c r="O5561" s="124"/>
    </row>
    <row r="5562">
      <c r="K5562" s="124"/>
      <c r="L5562" s="124"/>
      <c r="M5562" s="124"/>
      <c r="N5562" s="124"/>
      <c r="O5562" s="124"/>
    </row>
    <row r="5563">
      <c r="K5563" s="124"/>
      <c r="L5563" s="124"/>
      <c r="M5563" s="124"/>
      <c r="N5563" s="124"/>
      <c r="O5563" s="124"/>
    </row>
    <row r="5564">
      <c r="K5564" s="124"/>
      <c r="L5564" s="124"/>
      <c r="M5564" s="124"/>
      <c r="N5564" s="124"/>
      <c r="O5564" s="124"/>
    </row>
    <row r="5565">
      <c r="K5565" s="124"/>
      <c r="L5565" s="124"/>
      <c r="M5565" s="124"/>
      <c r="N5565" s="124"/>
      <c r="O5565" s="124"/>
    </row>
    <row r="5566">
      <c r="K5566" s="124"/>
      <c r="L5566" s="124"/>
      <c r="M5566" s="124"/>
      <c r="N5566" s="124"/>
      <c r="O5566" s="124"/>
    </row>
    <row r="5567">
      <c r="K5567" s="124"/>
      <c r="L5567" s="124"/>
      <c r="M5567" s="124"/>
      <c r="N5567" s="124"/>
      <c r="O5567" s="124"/>
    </row>
    <row r="5568">
      <c r="K5568" s="124"/>
      <c r="L5568" s="124"/>
      <c r="M5568" s="124"/>
      <c r="N5568" s="124"/>
      <c r="O5568" s="124"/>
    </row>
    <row r="5569">
      <c r="K5569" s="124"/>
      <c r="L5569" s="124"/>
      <c r="M5569" s="124"/>
      <c r="N5569" s="124"/>
      <c r="O5569" s="124"/>
    </row>
    <row r="5570">
      <c r="K5570" s="124"/>
      <c r="L5570" s="124"/>
      <c r="M5570" s="124"/>
      <c r="N5570" s="124"/>
      <c r="O5570" s="124"/>
    </row>
    <row r="5571">
      <c r="K5571" s="124"/>
      <c r="L5571" s="124"/>
      <c r="M5571" s="124"/>
      <c r="N5571" s="124"/>
      <c r="O5571" s="124"/>
    </row>
    <row r="5572">
      <c r="K5572" s="124"/>
      <c r="L5572" s="124"/>
      <c r="M5572" s="124"/>
      <c r="N5572" s="124"/>
      <c r="O5572" s="124"/>
    </row>
    <row r="5573">
      <c r="K5573" s="124"/>
      <c r="L5573" s="124"/>
      <c r="M5573" s="124"/>
      <c r="N5573" s="124"/>
      <c r="O5573" s="124"/>
    </row>
    <row r="5574">
      <c r="K5574" s="124"/>
      <c r="L5574" s="124"/>
      <c r="M5574" s="124"/>
      <c r="N5574" s="124"/>
      <c r="O5574" s="124"/>
    </row>
    <row r="5575">
      <c r="K5575" s="124"/>
      <c r="L5575" s="124"/>
      <c r="M5575" s="124"/>
      <c r="N5575" s="124"/>
      <c r="O5575" s="124"/>
    </row>
    <row r="5576">
      <c r="K5576" s="124"/>
      <c r="L5576" s="124"/>
      <c r="M5576" s="124"/>
      <c r="N5576" s="124"/>
      <c r="O5576" s="124"/>
    </row>
    <row r="5577">
      <c r="K5577" s="124"/>
      <c r="L5577" s="124"/>
      <c r="M5577" s="124"/>
      <c r="N5577" s="124"/>
      <c r="O5577" s="124"/>
    </row>
    <row r="5578">
      <c r="K5578" s="124"/>
      <c r="L5578" s="124"/>
      <c r="M5578" s="124"/>
      <c r="N5578" s="124"/>
      <c r="O5578" s="124"/>
    </row>
    <row r="5579">
      <c r="K5579" s="124"/>
      <c r="L5579" s="124"/>
      <c r="M5579" s="124"/>
      <c r="N5579" s="124"/>
      <c r="O5579" s="124"/>
    </row>
    <row r="5580">
      <c r="K5580" s="124"/>
      <c r="L5580" s="124"/>
      <c r="M5580" s="124"/>
      <c r="N5580" s="124"/>
      <c r="O5580" s="124"/>
    </row>
    <row r="5581">
      <c r="K5581" s="124"/>
      <c r="L5581" s="124"/>
      <c r="M5581" s="124"/>
      <c r="N5581" s="124"/>
      <c r="O5581" s="124"/>
    </row>
    <row r="5582">
      <c r="K5582" s="124"/>
      <c r="L5582" s="124"/>
      <c r="M5582" s="124"/>
      <c r="N5582" s="124"/>
      <c r="O5582" s="124"/>
    </row>
    <row r="5583">
      <c r="K5583" s="124"/>
      <c r="L5583" s="124"/>
      <c r="M5583" s="124"/>
      <c r="N5583" s="124"/>
      <c r="O5583" s="124"/>
    </row>
    <row r="5584">
      <c r="K5584" s="124"/>
      <c r="L5584" s="124"/>
      <c r="M5584" s="124"/>
      <c r="N5584" s="124"/>
      <c r="O5584" s="124"/>
    </row>
    <row r="5585">
      <c r="K5585" s="124"/>
      <c r="L5585" s="124"/>
      <c r="M5585" s="124"/>
      <c r="N5585" s="124"/>
      <c r="O5585" s="124"/>
    </row>
    <row r="5586">
      <c r="K5586" s="124"/>
      <c r="L5586" s="124"/>
      <c r="M5586" s="124"/>
      <c r="N5586" s="124"/>
      <c r="O5586" s="124"/>
    </row>
    <row r="5587">
      <c r="K5587" s="124"/>
      <c r="L5587" s="124"/>
      <c r="M5587" s="124"/>
      <c r="N5587" s="124"/>
      <c r="O5587" s="124"/>
    </row>
    <row r="5588">
      <c r="K5588" s="124"/>
      <c r="L5588" s="124"/>
      <c r="M5588" s="124"/>
      <c r="N5588" s="124"/>
      <c r="O5588" s="124"/>
    </row>
    <row r="5589">
      <c r="K5589" s="124"/>
      <c r="L5589" s="124"/>
      <c r="M5589" s="124"/>
      <c r="N5589" s="124"/>
      <c r="O5589" s="124"/>
    </row>
    <row r="5590">
      <c r="K5590" s="124"/>
      <c r="L5590" s="124"/>
      <c r="M5590" s="124"/>
      <c r="N5590" s="124"/>
      <c r="O5590" s="124"/>
    </row>
    <row r="5591">
      <c r="K5591" s="124"/>
      <c r="L5591" s="124"/>
      <c r="M5591" s="124"/>
      <c r="N5591" s="124"/>
      <c r="O5591" s="124"/>
    </row>
    <row r="5592">
      <c r="K5592" s="124"/>
      <c r="L5592" s="124"/>
      <c r="M5592" s="124"/>
      <c r="N5592" s="124"/>
      <c r="O5592" s="124"/>
    </row>
    <row r="5593">
      <c r="K5593" s="124"/>
      <c r="L5593" s="124"/>
      <c r="M5593" s="124"/>
      <c r="N5593" s="124"/>
      <c r="O5593" s="124"/>
    </row>
    <row r="5594">
      <c r="K5594" s="124"/>
      <c r="L5594" s="124"/>
      <c r="M5594" s="124"/>
      <c r="N5594" s="124"/>
      <c r="O5594" s="124"/>
    </row>
    <row r="5595">
      <c r="K5595" s="124"/>
      <c r="L5595" s="124"/>
      <c r="M5595" s="124"/>
      <c r="N5595" s="124"/>
      <c r="O5595" s="124"/>
    </row>
    <row r="5596">
      <c r="K5596" s="124"/>
      <c r="L5596" s="124"/>
      <c r="M5596" s="124"/>
      <c r="N5596" s="124"/>
      <c r="O5596" s="124"/>
    </row>
    <row r="5597">
      <c r="K5597" s="124"/>
      <c r="L5597" s="124"/>
      <c r="M5597" s="124"/>
      <c r="N5597" s="124"/>
      <c r="O5597" s="124"/>
    </row>
    <row r="5598">
      <c r="K5598" s="124"/>
      <c r="L5598" s="124"/>
      <c r="M5598" s="124"/>
      <c r="N5598" s="124"/>
      <c r="O5598" s="124"/>
    </row>
    <row r="5599">
      <c r="K5599" s="124"/>
      <c r="L5599" s="124"/>
      <c r="M5599" s="124"/>
      <c r="N5599" s="124"/>
      <c r="O5599" s="124"/>
    </row>
    <row r="5600">
      <c r="K5600" s="124"/>
      <c r="L5600" s="124"/>
      <c r="M5600" s="124"/>
      <c r="N5600" s="124"/>
      <c r="O5600" s="124"/>
    </row>
    <row r="5601">
      <c r="K5601" s="124"/>
      <c r="L5601" s="124"/>
      <c r="M5601" s="124"/>
      <c r="N5601" s="124"/>
      <c r="O5601" s="124"/>
    </row>
    <row r="5602">
      <c r="K5602" s="124"/>
      <c r="L5602" s="124"/>
      <c r="M5602" s="124"/>
      <c r="N5602" s="124"/>
      <c r="O5602" s="124"/>
    </row>
    <row r="5603">
      <c r="K5603" s="124"/>
      <c r="L5603" s="124"/>
      <c r="M5603" s="124"/>
      <c r="N5603" s="124"/>
      <c r="O5603" s="124"/>
    </row>
    <row r="5604">
      <c r="K5604" s="124"/>
      <c r="L5604" s="124"/>
      <c r="M5604" s="124"/>
      <c r="N5604" s="124"/>
      <c r="O5604" s="124"/>
    </row>
    <row r="5605">
      <c r="K5605" s="124"/>
      <c r="L5605" s="124"/>
      <c r="M5605" s="124"/>
      <c r="N5605" s="124"/>
      <c r="O5605" s="124"/>
    </row>
    <row r="5606">
      <c r="K5606" s="124"/>
      <c r="L5606" s="124"/>
      <c r="M5606" s="124"/>
      <c r="N5606" s="124"/>
      <c r="O5606" s="124"/>
    </row>
    <row r="5607">
      <c r="K5607" s="124"/>
      <c r="L5607" s="124"/>
      <c r="M5607" s="124"/>
      <c r="N5607" s="124"/>
      <c r="O5607" s="124"/>
    </row>
    <row r="5608">
      <c r="K5608" s="124"/>
      <c r="L5608" s="124"/>
      <c r="M5608" s="124"/>
      <c r="N5608" s="124"/>
      <c r="O5608" s="124"/>
    </row>
    <row r="5609">
      <c r="K5609" s="124"/>
      <c r="L5609" s="124"/>
      <c r="M5609" s="124"/>
      <c r="N5609" s="124"/>
      <c r="O5609" s="124"/>
    </row>
    <row r="5610">
      <c r="K5610" s="124"/>
      <c r="L5610" s="124"/>
      <c r="M5610" s="124"/>
      <c r="N5610" s="124"/>
      <c r="O5610" s="124"/>
    </row>
    <row r="5611">
      <c r="K5611" s="124"/>
      <c r="L5611" s="124"/>
      <c r="M5611" s="124"/>
      <c r="N5611" s="124"/>
      <c r="O5611" s="124"/>
    </row>
    <row r="5612">
      <c r="K5612" s="124"/>
      <c r="L5612" s="124"/>
      <c r="M5612" s="124"/>
      <c r="N5612" s="124"/>
      <c r="O5612" s="124"/>
    </row>
    <row r="5613">
      <c r="K5613" s="124"/>
      <c r="L5613" s="124"/>
      <c r="M5613" s="124"/>
      <c r="N5613" s="124"/>
      <c r="O5613" s="124"/>
    </row>
    <row r="5614">
      <c r="K5614" s="124"/>
      <c r="L5614" s="124"/>
      <c r="M5614" s="124"/>
      <c r="N5614" s="124"/>
      <c r="O5614" s="124"/>
    </row>
    <row r="5615">
      <c r="K5615" s="124"/>
      <c r="L5615" s="124"/>
      <c r="M5615" s="124"/>
      <c r="N5615" s="124"/>
      <c r="O5615" s="124"/>
    </row>
    <row r="5616">
      <c r="K5616" s="124"/>
      <c r="L5616" s="124"/>
      <c r="M5616" s="124"/>
      <c r="N5616" s="124"/>
      <c r="O5616" s="124"/>
    </row>
    <row r="5617">
      <c r="K5617" s="124"/>
      <c r="L5617" s="124"/>
      <c r="M5617" s="124"/>
      <c r="N5617" s="124"/>
      <c r="O5617" s="124"/>
    </row>
    <row r="5618">
      <c r="K5618" s="124"/>
      <c r="L5618" s="124"/>
      <c r="M5618" s="124"/>
      <c r="N5618" s="124"/>
      <c r="O5618" s="124"/>
    </row>
    <row r="5619">
      <c r="K5619" s="124"/>
      <c r="L5619" s="124"/>
      <c r="M5619" s="124"/>
      <c r="N5619" s="124"/>
      <c r="O5619" s="124"/>
    </row>
    <row r="5620">
      <c r="K5620" s="124"/>
      <c r="L5620" s="124"/>
      <c r="M5620" s="124"/>
      <c r="N5620" s="124"/>
      <c r="O5620" s="124"/>
    </row>
    <row r="5621">
      <c r="K5621" s="124"/>
      <c r="L5621" s="124"/>
      <c r="M5621" s="124"/>
      <c r="N5621" s="124"/>
      <c r="O5621" s="124"/>
    </row>
    <row r="5622">
      <c r="K5622" s="124"/>
      <c r="L5622" s="124"/>
      <c r="M5622" s="124"/>
      <c r="N5622" s="124"/>
      <c r="O5622" s="124"/>
    </row>
    <row r="5623">
      <c r="K5623" s="124"/>
      <c r="L5623" s="124"/>
      <c r="M5623" s="124"/>
      <c r="N5623" s="124"/>
      <c r="O5623" s="124"/>
    </row>
    <row r="5624">
      <c r="K5624" s="124"/>
      <c r="L5624" s="124"/>
      <c r="M5624" s="124"/>
      <c r="N5624" s="124"/>
      <c r="O5624" s="124"/>
    </row>
    <row r="5625">
      <c r="K5625" s="124"/>
      <c r="L5625" s="124"/>
      <c r="M5625" s="124"/>
      <c r="N5625" s="124"/>
      <c r="O5625" s="124"/>
    </row>
    <row r="5626">
      <c r="K5626" s="124"/>
      <c r="L5626" s="124"/>
      <c r="M5626" s="124"/>
      <c r="N5626" s="124"/>
      <c r="O5626" s="124"/>
    </row>
    <row r="5627">
      <c r="K5627" s="124"/>
      <c r="L5627" s="124"/>
      <c r="M5627" s="124"/>
      <c r="N5627" s="124"/>
      <c r="O5627" s="124"/>
    </row>
    <row r="5628">
      <c r="K5628" s="124"/>
      <c r="L5628" s="124"/>
      <c r="M5628" s="124"/>
      <c r="N5628" s="124"/>
      <c r="O5628" s="124"/>
    </row>
    <row r="5629">
      <c r="K5629" s="124"/>
      <c r="L5629" s="124"/>
      <c r="M5629" s="124"/>
      <c r="N5629" s="124"/>
      <c r="O5629" s="124"/>
    </row>
    <row r="5630">
      <c r="K5630" s="124"/>
      <c r="L5630" s="124"/>
      <c r="M5630" s="124"/>
      <c r="N5630" s="124"/>
      <c r="O5630" s="124"/>
    </row>
    <row r="5631">
      <c r="K5631" s="124"/>
      <c r="L5631" s="124"/>
      <c r="M5631" s="124"/>
      <c r="N5631" s="124"/>
      <c r="O5631" s="124"/>
    </row>
    <row r="5632">
      <c r="K5632" s="124"/>
      <c r="L5632" s="124"/>
      <c r="M5632" s="124"/>
      <c r="N5632" s="124"/>
      <c r="O5632" s="124"/>
    </row>
    <row r="5633">
      <c r="K5633" s="124"/>
      <c r="L5633" s="124"/>
      <c r="M5633" s="124"/>
      <c r="N5633" s="124"/>
      <c r="O5633" s="124"/>
    </row>
    <row r="5634">
      <c r="K5634" s="124"/>
      <c r="L5634" s="124"/>
      <c r="M5634" s="124"/>
      <c r="N5634" s="124"/>
      <c r="O5634" s="124"/>
    </row>
    <row r="5635">
      <c r="K5635" s="124"/>
      <c r="L5635" s="124"/>
      <c r="M5635" s="124"/>
      <c r="N5635" s="124"/>
      <c r="O5635" s="124"/>
    </row>
    <row r="5636">
      <c r="K5636" s="124"/>
      <c r="L5636" s="124"/>
      <c r="M5636" s="124"/>
      <c r="N5636" s="124"/>
      <c r="O5636" s="124"/>
    </row>
    <row r="5637">
      <c r="K5637" s="124"/>
      <c r="L5637" s="124"/>
      <c r="M5637" s="124"/>
      <c r="N5637" s="124"/>
      <c r="O5637" s="124"/>
    </row>
    <row r="5638">
      <c r="K5638" s="124"/>
      <c r="L5638" s="124"/>
      <c r="M5638" s="124"/>
      <c r="N5638" s="124"/>
      <c r="O5638" s="124"/>
    </row>
    <row r="5639">
      <c r="K5639" s="124"/>
      <c r="L5639" s="124"/>
      <c r="M5639" s="124"/>
      <c r="N5639" s="124"/>
      <c r="O5639" s="124"/>
    </row>
    <row r="5640">
      <c r="K5640" s="124"/>
      <c r="L5640" s="124"/>
      <c r="M5640" s="124"/>
      <c r="N5640" s="124"/>
      <c r="O5640" s="124"/>
    </row>
    <row r="5641">
      <c r="K5641" s="124"/>
      <c r="L5641" s="124"/>
      <c r="M5641" s="124"/>
      <c r="N5641" s="124"/>
      <c r="O5641" s="124"/>
    </row>
    <row r="5642">
      <c r="K5642" s="124"/>
      <c r="L5642" s="124"/>
      <c r="M5642" s="124"/>
      <c r="N5642" s="124"/>
      <c r="O5642" s="124"/>
    </row>
    <row r="5643">
      <c r="K5643" s="124"/>
      <c r="L5643" s="124"/>
      <c r="M5643" s="124"/>
      <c r="N5643" s="124"/>
      <c r="O5643" s="124"/>
    </row>
    <row r="5644">
      <c r="K5644" s="124"/>
      <c r="L5644" s="124"/>
      <c r="M5644" s="124"/>
      <c r="N5644" s="124"/>
      <c r="O5644" s="124"/>
    </row>
    <row r="5645">
      <c r="K5645" s="124"/>
      <c r="L5645" s="124"/>
      <c r="M5645" s="124"/>
      <c r="N5645" s="124"/>
      <c r="O5645" s="124"/>
    </row>
    <row r="5646">
      <c r="K5646" s="124"/>
      <c r="L5646" s="124"/>
      <c r="M5646" s="124"/>
      <c r="N5646" s="124"/>
      <c r="O5646" s="124"/>
    </row>
    <row r="5647">
      <c r="K5647" s="124"/>
      <c r="L5647" s="124"/>
      <c r="M5647" s="124"/>
      <c r="N5647" s="124"/>
      <c r="O5647" s="124"/>
    </row>
    <row r="5648">
      <c r="K5648" s="124"/>
      <c r="L5648" s="124"/>
      <c r="M5648" s="124"/>
      <c r="N5648" s="124"/>
      <c r="O5648" s="124"/>
    </row>
    <row r="5649">
      <c r="K5649" s="124"/>
      <c r="L5649" s="124"/>
      <c r="M5649" s="124"/>
      <c r="N5649" s="124"/>
      <c r="O5649" s="124"/>
    </row>
    <row r="5650">
      <c r="K5650" s="124"/>
      <c r="L5650" s="124"/>
      <c r="M5650" s="124"/>
      <c r="N5650" s="124"/>
      <c r="O5650" s="124"/>
    </row>
    <row r="5651">
      <c r="K5651" s="124"/>
      <c r="L5651" s="124"/>
      <c r="M5651" s="124"/>
      <c r="N5651" s="124"/>
      <c r="O5651" s="124"/>
    </row>
    <row r="5652">
      <c r="K5652" s="124"/>
      <c r="L5652" s="124"/>
      <c r="M5652" s="124"/>
      <c r="N5652" s="124"/>
      <c r="O5652" s="124"/>
    </row>
    <row r="5653">
      <c r="K5653" s="124"/>
      <c r="L5653" s="124"/>
      <c r="M5653" s="124"/>
      <c r="N5653" s="124"/>
      <c r="O5653" s="124"/>
    </row>
    <row r="5654">
      <c r="K5654" s="124"/>
      <c r="L5654" s="124"/>
      <c r="M5654" s="124"/>
      <c r="N5654" s="124"/>
      <c r="O5654" s="124"/>
    </row>
    <row r="5655">
      <c r="K5655" s="124"/>
      <c r="L5655" s="124"/>
      <c r="M5655" s="124"/>
      <c r="N5655" s="124"/>
      <c r="O5655" s="124"/>
    </row>
    <row r="5656">
      <c r="K5656" s="124"/>
      <c r="L5656" s="124"/>
      <c r="M5656" s="124"/>
      <c r="N5656" s="124"/>
      <c r="O5656" s="124"/>
    </row>
    <row r="5657">
      <c r="K5657" s="124"/>
      <c r="L5657" s="124"/>
      <c r="M5657" s="124"/>
      <c r="N5657" s="124"/>
      <c r="O5657" s="124"/>
    </row>
    <row r="5658">
      <c r="K5658" s="124"/>
      <c r="L5658" s="124"/>
      <c r="M5658" s="124"/>
      <c r="N5658" s="124"/>
      <c r="O5658" s="124"/>
    </row>
    <row r="5659">
      <c r="K5659" s="124"/>
      <c r="L5659" s="124"/>
      <c r="M5659" s="124"/>
      <c r="N5659" s="124"/>
      <c r="O5659" s="124"/>
    </row>
    <row r="5660">
      <c r="K5660" s="124"/>
      <c r="L5660" s="124"/>
      <c r="M5660" s="124"/>
      <c r="N5660" s="124"/>
      <c r="O5660" s="124"/>
    </row>
    <row r="5661">
      <c r="K5661" s="124"/>
      <c r="L5661" s="124"/>
      <c r="M5661" s="124"/>
      <c r="N5661" s="124"/>
      <c r="O5661" s="124"/>
    </row>
    <row r="5662">
      <c r="K5662" s="124"/>
      <c r="L5662" s="124"/>
      <c r="M5662" s="124"/>
      <c r="N5662" s="124"/>
      <c r="O5662" s="124"/>
    </row>
    <row r="5663">
      <c r="K5663" s="124"/>
      <c r="L5663" s="124"/>
      <c r="M5663" s="124"/>
      <c r="N5663" s="124"/>
      <c r="O5663" s="124"/>
    </row>
    <row r="5664">
      <c r="K5664" s="124"/>
      <c r="L5664" s="124"/>
      <c r="M5664" s="124"/>
      <c r="N5664" s="124"/>
      <c r="O5664" s="124"/>
    </row>
    <row r="5665">
      <c r="K5665" s="124"/>
      <c r="L5665" s="124"/>
      <c r="M5665" s="124"/>
      <c r="N5665" s="124"/>
      <c r="O5665" s="124"/>
    </row>
    <row r="5666">
      <c r="K5666" s="124"/>
      <c r="L5666" s="124"/>
      <c r="M5666" s="124"/>
      <c r="N5666" s="124"/>
      <c r="O5666" s="124"/>
    </row>
    <row r="5667">
      <c r="K5667" s="124"/>
      <c r="L5667" s="124"/>
      <c r="M5667" s="124"/>
      <c r="N5667" s="124"/>
      <c r="O5667" s="124"/>
    </row>
    <row r="5668">
      <c r="K5668" s="124"/>
      <c r="L5668" s="124"/>
      <c r="M5668" s="124"/>
      <c r="N5668" s="124"/>
      <c r="O5668" s="124"/>
    </row>
    <row r="5669">
      <c r="K5669" s="124"/>
      <c r="L5669" s="124"/>
      <c r="M5669" s="124"/>
      <c r="N5669" s="124"/>
      <c r="O5669" s="124"/>
    </row>
    <row r="5670">
      <c r="K5670" s="124"/>
      <c r="L5670" s="124"/>
      <c r="M5670" s="124"/>
      <c r="N5670" s="124"/>
      <c r="O5670" s="124"/>
    </row>
    <row r="5671">
      <c r="K5671" s="124"/>
      <c r="L5671" s="124"/>
      <c r="M5671" s="124"/>
      <c r="N5671" s="124"/>
      <c r="O5671" s="124"/>
    </row>
    <row r="5672">
      <c r="K5672" s="124"/>
      <c r="L5672" s="124"/>
      <c r="M5672" s="124"/>
      <c r="N5672" s="124"/>
      <c r="O5672" s="124"/>
    </row>
    <row r="5673">
      <c r="K5673" s="124"/>
      <c r="L5673" s="124"/>
      <c r="M5673" s="124"/>
      <c r="N5673" s="124"/>
      <c r="O5673" s="124"/>
    </row>
    <row r="5674">
      <c r="K5674" s="124"/>
      <c r="L5674" s="124"/>
      <c r="M5674" s="124"/>
      <c r="N5674" s="124"/>
      <c r="O5674" s="124"/>
    </row>
    <row r="5675">
      <c r="K5675" s="124"/>
      <c r="L5675" s="124"/>
      <c r="M5675" s="124"/>
      <c r="N5675" s="124"/>
      <c r="O5675" s="124"/>
    </row>
    <row r="5676">
      <c r="K5676" s="124"/>
      <c r="L5676" s="124"/>
      <c r="M5676" s="124"/>
      <c r="N5676" s="124"/>
      <c r="O5676" s="124"/>
    </row>
    <row r="5677">
      <c r="K5677" s="124"/>
      <c r="L5677" s="124"/>
      <c r="M5677" s="124"/>
      <c r="N5677" s="124"/>
      <c r="O5677" s="124"/>
    </row>
    <row r="5678">
      <c r="K5678" s="124"/>
      <c r="L5678" s="124"/>
      <c r="M5678" s="124"/>
      <c r="N5678" s="124"/>
      <c r="O5678" s="124"/>
    </row>
    <row r="5679">
      <c r="K5679" s="124"/>
      <c r="L5679" s="124"/>
      <c r="M5679" s="124"/>
      <c r="N5679" s="124"/>
      <c r="O5679" s="124"/>
    </row>
    <row r="5680">
      <c r="K5680" s="124"/>
      <c r="L5680" s="124"/>
      <c r="M5680" s="124"/>
      <c r="N5680" s="124"/>
      <c r="O5680" s="124"/>
    </row>
    <row r="5681">
      <c r="K5681" s="124"/>
      <c r="L5681" s="124"/>
      <c r="M5681" s="124"/>
      <c r="N5681" s="124"/>
      <c r="O5681" s="124"/>
    </row>
    <row r="5682">
      <c r="K5682" s="124"/>
      <c r="L5682" s="124"/>
      <c r="M5682" s="124"/>
      <c r="N5682" s="124"/>
      <c r="O5682" s="124"/>
    </row>
    <row r="5683">
      <c r="K5683" s="124"/>
      <c r="L5683" s="124"/>
      <c r="M5683" s="124"/>
      <c r="N5683" s="124"/>
      <c r="O5683" s="124"/>
    </row>
    <row r="5684">
      <c r="K5684" s="124"/>
      <c r="L5684" s="124"/>
      <c r="M5684" s="124"/>
      <c r="N5684" s="124"/>
      <c r="O5684" s="124"/>
    </row>
    <row r="5685">
      <c r="K5685" s="124"/>
      <c r="L5685" s="124"/>
      <c r="M5685" s="124"/>
      <c r="N5685" s="124"/>
      <c r="O5685" s="124"/>
    </row>
    <row r="5686">
      <c r="K5686" s="124"/>
      <c r="L5686" s="124"/>
      <c r="M5686" s="124"/>
      <c r="N5686" s="124"/>
      <c r="O5686" s="124"/>
    </row>
    <row r="5687">
      <c r="K5687" s="124"/>
      <c r="L5687" s="124"/>
      <c r="M5687" s="124"/>
      <c r="N5687" s="124"/>
      <c r="O5687" s="124"/>
    </row>
    <row r="5688">
      <c r="K5688" s="124"/>
      <c r="L5688" s="124"/>
      <c r="M5688" s="124"/>
      <c r="N5688" s="124"/>
      <c r="O5688" s="124"/>
    </row>
    <row r="5689">
      <c r="K5689" s="124"/>
      <c r="L5689" s="124"/>
      <c r="M5689" s="124"/>
      <c r="N5689" s="124"/>
      <c r="O5689" s="124"/>
    </row>
    <row r="5690">
      <c r="K5690" s="124"/>
      <c r="L5690" s="124"/>
      <c r="M5690" s="124"/>
      <c r="N5690" s="124"/>
      <c r="O5690" s="124"/>
    </row>
    <row r="5691">
      <c r="K5691" s="124"/>
      <c r="L5691" s="124"/>
      <c r="M5691" s="124"/>
      <c r="N5691" s="124"/>
      <c r="O5691" s="124"/>
    </row>
    <row r="5692">
      <c r="K5692" s="124"/>
      <c r="L5692" s="124"/>
      <c r="M5692" s="124"/>
      <c r="N5692" s="124"/>
      <c r="O5692" s="124"/>
    </row>
    <row r="5693">
      <c r="K5693" s="124"/>
      <c r="L5693" s="124"/>
      <c r="M5693" s="124"/>
      <c r="N5693" s="124"/>
      <c r="O5693" s="124"/>
    </row>
    <row r="5694">
      <c r="K5694" s="124"/>
      <c r="L5694" s="124"/>
      <c r="M5694" s="124"/>
      <c r="N5694" s="124"/>
      <c r="O5694" s="124"/>
    </row>
    <row r="5695">
      <c r="K5695" s="124"/>
      <c r="L5695" s="124"/>
      <c r="M5695" s="124"/>
      <c r="N5695" s="124"/>
      <c r="O5695" s="124"/>
    </row>
    <row r="5696">
      <c r="K5696" s="124"/>
      <c r="L5696" s="124"/>
      <c r="M5696" s="124"/>
      <c r="N5696" s="124"/>
      <c r="O5696" s="124"/>
    </row>
    <row r="5697">
      <c r="K5697" s="124"/>
      <c r="L5697" s="124"/>
      <c r="M5697" s="124"/>
      <c r="N5697" s="124"/>
      <c r="O5697" s="124"/>
    </row>
    <row r="5698">
      <c r="K5698" s="124"/>
      <c r="L5698" s="124"/>
      <c r="M5698" s="124"/>
      <c r="N5698" s="124"/>
      <c r="O5698" s="124"/>
    </row>
    <row r="5699">
      <c r="K5699" s="124"/>
      <c r="L5699" s="124"/>
      <c r="M5699" s="124"/>
      <c r="N5699" s="124"/>
      <c r="O5699" s="124"/>
    </row>
    <row r="5700">
      <c r="K5700" s="124"/>
      <c r="L5700" s="124"/>
      <c r="M5700" s="124"/>
      <c r="N5700" s="124"/>
      <c r="O5700" s="124"/>
    </row>
    <row r="5701">
      <c r="K5701" s="124"/>
      <c r="L5701" s="124"/>
      <c r="M5701" s="124"/>
      <c r="N5701" s="124"/>
      <c r="O5701" s="124"/>
    </row>
    <row r="5702">
      <c r="K5702" s="124"/>
      <c r="L5702" s="124"/>
      <c r="M5702" s="124"/>
      <c r="N5702" s="124"/>
      <c r="O5702" s="124"/>
    </row>
    <row r="5703">
      <c r="K5703" s="124"/>
      <c r="L5703" s="124"/>
      <c r="M5703" s="124"/>
      <c r="N5703" s="124"/>
      <c r="O5703" s="124"/>
    </row>
    <row r="5704">
      <c r="K5704" s="124"/>
      <c r="L5704" s="124"/>
      <c r="M5704" s="124"/>
      <c r="N5704" s="124"/>
      <c r="O5704" s="124"/>
    </row>
    <row r="5705">
      <c r="K5705" s="124"/>
      <c r="L5705" s="124"/>
      <c r="M5705" s="124"/>
      <c r="N5705" s="124"/>
      <c r="O5705" s="124"/>
    </row>
    <row r="5706">
      <c r="K5706" s="124"/>
      <c r="L5706" s="124"/>
      <c r="M5706" s="124"/>
      <c r="N5706" s="124"/>
      <c r="O5706" s="124"/>
    </row>
    <row r="5707">
      <c r="K5707" s="124"/>
      <c r="L5707" s="124"/>
      <c r="M5707" s="124"/>
      <c r="N5707" s="124"/>
      <c r="O5707" s="124"/>
    </row>
    <row r="5708">
      <c r="K5708" s="124"/>
      <c r="L5708" s="124"/>
      <c r="M5708" s="124"/>
      <c r="N5708" s="124"/>
      <c r="O5708" s="124"/>
    </row>
    <row r="5709">
      <c r="K5709" s="124"/>
      <c r="L5709" s="124"/>
      <c r="M5709" s="124"/>
      <c r="N5709" s="124"/>
      <c r="O5709" s="124"/>
    </row>
    <row r="5710">
      <c r="K5710" s="124"/>
      <c r="L5710" s="124"/>
      <c r="M5710" s="124"/>
      <c r="N5710" s="124"/>
      <c r="O5710" s="124"/>
    </row>
    <row r="5711">
      <c r="K5711" s="124"/>
      <c r="L5711" s="124"/>
      <c r="M5711" s="124"/>
      <c r="N5711" s="124"/>
      <c r="O5711" s="124"/>
    </row>
    <row r="5712">
      <c r="K5712" s="124"/>
      <c r="L5712" s="124"/>
      <c r="M5712" s="124"/>
      <c r="N5712" s="124"/>
      <c r="O5712" s="124"/>
    </row>
    <row r="5713">
      <c r="K5713" s="124"/>
      <c r="L5713" s="124"/>
      <c r="M5713" s="124"/>
      <c r="N5713" s="124"/>
      <c r="O5713" s="124"/>
    </row>
    <row r="5714">
      <c r="K5714" s="124"/>
      <c r="L5714" s="124"/>
      <c r="M5714" s="124"/>
      <c r="N5714" s="124"/>
      <c r="O5714" s="124"/>
    </row>
    <row r="5715">
      <c r="K5715" s="124"/>
      <c r="L5715" s="124"/>
      <c r="M5715" s="124"/>
      <c r="N5715" s="124"/>
      <c r="O5715" s="124"/>
    </row>
    <row r="5716">
      <c r="K5716" s="124"/>
      <c r="L5716" s="124"/>
      <c r="M5716" s="124"/>
      <c r="N5716" s="124"/>
      <c r="O5716" s="124"/>
    </row>
    <row r="5717">
      <c r="K5717" s="124"/>
      <c r="L5717" s="124"/>
      <c r="M5717" s="124"/>
      <c r="N5717" s="124"/>
      <c r="O5717" s="124"/>
    </row>
    <row r="5718">
      <c r="K5718" s="124"/>
      <c r="L5718" s="124"/>
      <c r="M5718" s="124"/>
      <c r="N5718" s="124"/>
      <c r="O5718" s="124"/>
    </row>
    <row r="5719">
      <c r="K5719" s="124"/>
      <c r="L5719" s="124"/>
      <c r="M5719" s="124"/>
      <c r="N5719" s="124"/>
      <c r="O5719" s="124"/>
    </row>
    <row r="5720">
      <c r="K5720" s="124"/>
      <c r="L5720" s="124"/>
      <c r="M5720" s="124"/>
      <c r="N5720" s="124"/>
      <c r="O5720" s="124"/>
    </row>
    <row r="5721">
      <c r="K5721" s="124"/>
      <c r="L5721" s="124"/>
      <c r="M5721" s="124"/>
      <c r="N5721" s="124"/>
      <c r="O5721" s="124"/>
    </row>
    <row r="5722">
      <c r="K5722" s="124"/>
      <c r="L5722" s="124"/>
      <c r="M5722" s="124"/>
      <c r="N5722" s="124"/>
      <c r="O5722" s="124"/>
    </row>
    <row r="5723">
      <c r="K5723" s="124"/>
      <c r="L5723" s="124"/>
      <c r="M5723" s="124"/>
      <c r="N5723" s="124"/>
      <c r="O5723" s="124"/>
    </row>
    <row r="5724">
      <c r="K5724" s="124"/>
      <c r="L5724" s="124"/>
      <c r="M5724" s="124"/>
      <c r="N5724" s="124"/>
      <c r="O5724" s="124"/>
    </row>
    <row r="5725">
      <c r="K5725" s="124"/>
      <c r="L5725" s="124"/>
      <c r="M5725" s="124"/>
      <c r="N5725" s="124"/>
      <c r="O5725" s="124"/>
    </row>
    <row r="5726">
      <c r="K5726" s="124"/>
      <c r="L5726" s="124"/>
      <c r="M5726" s="124"/>
      <c r="N5726" s="124"/>
      <c r="O5726" s="124"/>
    </row>
    <row r="5727">
      <c r="K5727" s="124"/>
      <c r="L5727" s="124"/>
      <c r="M5727" s="124"/>
      <c r="N5727" s="124"/>
      <c r="O5727" s="124"/>
    </row>
    <row r="5728">
      <c r="K5728" s="124"/>
      <c r="L5728" s="124"/>
      <c r="M5728" s="124"/>
      <c r="N5728" s="124"/>
      <c r="O5728" s="124"/>
    </row>
    <row r="5729">
      <c r="K5729" s="124"/>
      <c r="L5729" s="124"/>
      <c r="M5729" s="124"/>
      <c r="N5729" s="124"/>
      <c r="O5729" s="124"/>
    </row>
    <row r="5730">
      <c r="K5730" s="124"/>
      <c r="L5730" s="124"/>
      <c r="M5730" s="124"/>
      <c r="N5730" s="124"/>
      <c r="O5730" s="124"/>
    </row>
    <row r="5731">
      <c r="K5731" s="124"/>
      <c r="L5731" s="124"/>
      <c r="M5731" s="124"/>
      <c r="N5731" s="124"/>
      <c r="O5731" s="124"/>
    </row>
    <row r="5732">
      <c r="K5732" s="124"/>
      <c r="L5732" s="124"/>
      <c r="M5732" s="124"/>
      <c r="N5732" s="124"/>
      <c r="O5732" s="124"/>
    </row>
    <row r="5733">
      <c r="K5733" s="124"/>
      <c r="L5733" s="124"/>
      <c r="M5733" s="124"/>
      <c r="N5733" s="124"/>
      <c r="O5733" s="124"/>
    </row>
    <row r="5734">
      <c r="K5734" s="124"/>
      <c r="L5734" s="124"/>
      <c r="M5734" s="124"/>
      <c r="N5734" s="124"/>
      <c r="O5734" s="124"/>
    </row>
    <row r="5735">
      <c r="K5735" s="124"/>
      <c r="L5735" s="124"/>
      <c r="M5735" s="124"/>
      <c r="N5735" s="124"/>
      <c r="O5735" s="124"/>
    </row>
    <row r="5736">
      <c r="K5736" s="124"/>
      <c r="L5736" s="124"/>
      <c r="M5736" s="124"/>
      <c r="N5736" s="124"/>
      <c r="O5736" s="124"/>
    </row>
    <row r="5737">
      <c r="K5737" s="124"/>
      <c r="L5737" s="124"/>
      <c r="M5737" s="124"/>
      <c r="N5737" s="124"/>
      <c r="O5737" s="124"/>
    </row>
    <row r="5738">
      <c r="K5738" s="124"/>
      <c r="L5738" s="124"/>
      <c r="M5738" s="124"/>
      <c r="N5738" s="124"/>
      <c r="O5738" s="124"/>
    </row>
    <row r="5739">
      <c r="K5739" s="124"/>
      <c r="L5739" s="124"/>
      <c r="M5739" s="124"/>
      <c r="N5739" s="124"/>
      <c r="O5739" s="124"/>
    </row>
    <row r="5740">
      <c r="K5740" s="124"/>
      <c r="L5740" s="124"/>
      <c r="M5740" s="124"/>
      <c r="N5740" s="124"/>
      <c r="O5740" s="124"/>
    </row>
    <row r="5741">
      <c r="K5741" s="124"/>
      <c r="L5741" s="124"/>
      <c r="M5741" s="124"/>
      <c r="N5741" s="124"/>
      <c r="O5741" s="124"/>
    </row>
    <row r="5742">
      <c r="K5742" s="124"/>
      <c r="L5742" s="124"/>
      <c r="M5742" s="124"/>
      <c r="N5742" s="124"/>
      <c r="O5742" s="124"/>
    </row>
    <row r="5743">
      <c r="K5743" s="124"/>
      <c r="L5743" s="124"/>
      <c r="M5743" s="124"/>
      <c r="N5743" s="124"/>
      <c r="O5743" s="124"/>
    </row>
    <row r="5744">
      <c r="K5744" s="124"/>
      <c r="L5744" s="124"/>
      <c r="M5744" s="124"/>
      <c r="N5744" s="124"/>
      <c r="O5744" s="124"/>
    </row>
    <row r="5745">
      <c r="K5745" s="124"/>
      <c r="L5745" s="124"/>
      <c r="M5745" s="124"/>
      <c r="N5745" s="124"/>
      <c r="O5745" s="124"/>
    </row>
    <row r="5746">
      <c r="K5746" s="124"/>
      <c r="L5746" s="124"/>
      <c r="M5746" s="124"/>
      <c r="N5746" s="124"/>
      <c r="O5746" s="124"/>
    </row>
    <row r="5747">
      <c r="K5747" s="124"/>
      <c r="L5747" s="124"/>
      <c r="M5747" s="124"/>
      <c r="N5747" s="124"/>
      <c r="O5747" s="124"/>
    </row>
    <row r="5748">
      <c r="K5748" s="124"/>
      <c r="L5748" s="124"/>
      <c r="M5748" s="124"/>
      <c r="N5748" s="124"/>
      <c r="O5748" s="124"/>
    </row>
    <row r="5749">
      <c r="K5749" s="124"/>
      <c r="L5749" s="124"/>
      <c r="M5749" s="124"/>
      <c r="N5749" s="124"/>
      <c r="O5749" s="124"/>
    </row>
    <row r="5750">
      <c r="K5750" s="124"/>
      <c r="L5750" s="124"/>
      <c r="M5750" s="124"/>
      <c r="N5750" s="124"/>
      <c r="O5750" s="124"/>
    </row>
    <row r="5751">
      <c r="K5751" s="124"/>
      <c r="L5751" s="124"/>
      <c r="M5751" s="124"/>
      <c r="N5751" s="124"/>
      <c r="O5751" s="124"/>
    </row>
    <row r="5752">
      <c r="K5752" s="124"/>
      <c r="L5752" s="124"/>
      <c r="M5752" s="124"/>
      <c r="N5752" s="124"/>
      <c r="O5752" s="124"/>
    </row>
    <row r="5753">
      <c r="K5753" s="124"/>
      <c r="L5753" s="124"/>
      <c r="M5753" s="124"/>
      <c r="N5753" s="124"/>
      <c r="O5753" s="124"/>
    </row>
    <row r="5754">
      <c r="K5754" s="124"/>
      <c r="L5754" s="124"/>
      <c r="M5754" s="124"/>
      <c r="N5754" s="124"/>
      <c r="O5754" s="124"/>
    </row>
    <row r="5755">
      <c r="K5755" s="124"/>
      <c r="L5755" s="124"/>
      <c r="M5755" s="124"/>
      <c r="N5755" s="124"/>
      <c r="O5755" s="124"/>
    </row>
    <row r="5756">
      <c r="K5756" s="124"/>
      <c r="L5756" s="124"/>
      <c r="M5756" s="124"/>
      <c r="N5756" s="124"/>
      <c r="O5756" s="124"/>
    </row>
    <row r="5757">
      <c r="K5757" s="124"/>
      <c r="L5757" s="124"/>
      <c r="M5757" s="124"/>
      <c r="N5757" s="124"/>
      <c r="O5757" s="124"/>
    </row>
    <row r="5758">
      <c r="K5758" s="124"/>
      <c r="L5758" s="124"/>
      <c r="M5758" s="124"/>
      <c r="N5758" s="124"/>
      <c r="O5758" s="124"/>
    </row>
    <row r="5759">
      <c r="K5759" s="124"/>
      <c r="L5759" s="124"/>
      <c r="M5759" s="124"/>
      <c r="N5759" s="124"/>
      <c r="O5759" s="124"/>
    </row>
    <row r="5760">
      <c r="K5760" s="124"/>
      <c r="L5760" s="124"/>
      <c r="M5760" s="124"/>
      <c r="N5760" s="124"/>
      <c r="O5760" s="124"/>
    </row>
    <row r="5761">
      <c r="K5761" s="124"/>
      <c r="L5761" s="124"/>
      <c r="M5761" s="124"/>
      <c r="N5761" s="124"/>
      <c r="O5761" s="124"/>
    </row>
    <row r="5762">
      <c r="K5762" s="124"/>
      <c r="L5762" s="124"/>
      <c r="M5762" s="124"/>
      <c r="N5762" s="124"/>
      <c r="O5762" s="124"/>
    </row>
    <row r="5763">
      <c r="K5763" s="124"/>
      <c r="L5763" s="124"/>
      <c r="M5763" s="124"/>
      <c r="N5763" s="124"/>
      <c r="O5763" s="124"/>
    </row>
    <row r="5764">
      <c r="K5764" s="124"/>
      <c r="L5764" s="124"/>
      <c r="M5764" s="124"/>
      <c r="N5764" s="124"/>
      <c r="O5764" s="124"/>
    </row>
    <row r="5765">
      <c r="K5765" s="124"/>
      <c r="L5765" s="124"/>
      <c r="M5765" s="124"/>
      <c r="N5765" s="124"/>
      <c r="O5765" s="124"/>
    </row>
    <row r="5766">
      <c r="K5766" s="124"/>
      <c r="L5766" s="124"/>
      <c r="M5766" s="124"/>
      <c r="N5766" s="124"/>
      <c r="O5766" s="124"/>
    </row>
    <row r="5767">
      <c r="K5767" s="124"/>
      <c r="L5767" s="124"/>
      <c r="M5767" s="124"/>
      <c r="N5767" s="124"/>
      <c r="O5767" s="124"/>
    </row>
    <row r="5768">
      <c r="K5768" s="124"/>
      <c r="L5768" s="124"/>
      <c r="M5768" s="124"/>
      <c r="N5768" s="124"/>
      <c r="O5768" s="124"/>
    </row>
    <row r="5769">
      <c r="K5769" s="124"/>
      <c r="L5769" s="124"/>
      <c r="M5769" s="124"/>
      <c r="N5769" s="124"/>
      <c r="O5769" s="124"/>
    </row>
    <row r="5770">
      <c r="K5770" s="124"/>
      <c r="L5770" s="124"/>
      <c r="M5770" s="124"/>
      <c r="N5770" s="124"/>
      <c r="O5770" s="124"/>
    </row>
    <row r="5771">
      <c r="K5771" s="124"/>
      <c r="L5771" s="124"/>
      <c r="M5771" s="124"/>
      <c r="N5771" s="124"/>
      <c r="O5771" s="124"/>
    </row>
    <row r="5772">
      <c r="K5772" s="124"/>
      <c r="L5772" s="124"/>
      <c r="M5772" s="124"/>
      <c r="N5772" s="124"/>
      <c r="O5772" s="124"/>
    </row>
    <row r="5773">
      <c r="K5773" s="124"/>
      <c r="L5773" s="124"/>
      <c r="M5773" s="124"/>
      <c r="N5773" s="124"/>
      <c r="O5773" s="124"/>
    </row>
    <row r="5774">
      <c r="K5774" s="124"/>
      <c r="L5774" s="124"/>
      <c r="M5774" s="124"/>
      <c r="N5774" s="124"/>
      <c r="O5774" s="124"/>
    </row>
    <row r="5775">
      <c r="K5775" s="124"/>
      <c r="L5775" s="124"/>
      <c r="M5775" s="124"/>
      <c r="N5775" s="124"/>
      <c r="O5775" s="124"/>
    </row>
    <row r="5776">
      <c r="K5776" s="124"/>
      <c r="L5776" s="124"/>
      <c r="M5776" s="124"/>
      <c r="N5776" s="124"/>
      <c r="O5776" s="124"/>
    </row>
    <row r="5777">
      <c r="K5777" s="124"/>
      <c r="L5777" s="124"/>
      <c r="M5777" s="124"/>
      <c r="N5777" s="124"/>
      <c r="O5777" s="124"/>
    </row>
    <row r="5778">
      <c r="K5778" s="124"/>
      <c r="L5778" s="124"/>
      <c r="M5778" s="124"/>
      <c r="N5778" s="124"/>
      <c r="O5778" s="124"/>
    </row>
    <row r="5779">
      <c r="K5779" s="124"/>
      <c r="L5779" s="124"/>
      <c r="M5779" s="124"/>
      <c r="N5779" s="124"/>
      <c r="O5779" s="124"/>
    </row>
    <row r="5780">
      <c r="K5780" s="124"/>
      <c r="L5780" s="124"/>
      <c r="M5780" s="124"/>
      <c r="N5780" s="124"/>
      <c r="O5780" s="124"/>
    </row>
    <row r="5781">
      <c r="K5781" s="124"/>
      <c r="L5781" s="124"/>
      <c r="M5781" s="124"/>
      <c r="N5781" s="124"/>
      <c r="O5781" s="124"/>
    </row>
    <row r="5782">
      <c r="K5782" s="124"/>
      <c r="L5782" s="124"/>
      <c r="M5782" s="124"/>
      <c r="N5782" s="124"/>
      <c r="O5782" s="124"/>
    </row>
    <row r="5783">
      <c r="K5783" s="124"/>
      <c r="L5783" s="124"/>
      <c r="M5783" s="124"/>
      <c r="N5783" s="124"/>
      <c r="O5783" s="124"/>
    </row>
    <row r="5784">
      <c r="K5784" s="124"/>
      <c r="L5784" s="124"/>
      <c r="M5784" s="124"/>
      <c r="N5784" s="124"/>
      <c r="O5784" s="124"/>
    </row>
    <row r="5785">
      <c r="K5785" s="124"/>
      <c r="L5785" s="124"/>
      <c r="M5785" s="124"/>
      <c r="N5785" s="124"/>
      <c r="O5785" s="124"/>
    </row>
    <row r="5786">
      <c r="K5786" s="124"/>
      <c r="L5786" s="124"/>
      <c r="M5786" s="124"/>
      <c r="N5786" s="124"/>
      <c r="O5786" s="124"/>
    </row>
    <row r="5787">
      <c r="K5787" s="124"/>
      <c r="L5787" s="124"/>
      <c r="M5787" s="124"/>
      <c r="N5787" s="124"/>
      <c r="O5787" s="124"/>
    </row>
    <row r="5788">
      <c r="K5788" s="124"/>
      <c r="L5788" s="124"/>
      <c r="M5788" s="124"/>
      <c r="N5788" s="124"/>
      <c r="O5788" s="124"/>
    </row>
    <row r="5789">
      <c r="K5789" s="124"/>
      <c r="L5789" s="124"/>
      <c r="M5789" s="124"/>
      <c r="N5789" s="124"/>
      <c r="O5789" s="124"/>
    </row>
    <row r="5790">
      <c r="K5790" s="124"/>
      <c r="L5790" s="124"/>
      <c r="M5790" s="124"/>
      <c r="N5790" s="124"/>
      <c r="O5790" s="124"/>
    </row>
    <row r="5791">
      <c r="K5791" s="124"/>
      <c r="L5791" s="124"/>
      <c r="M5791" s="124"/>
      <c r="N5791" s="124"/>
      <c r="O5791" s="124"/>
    </row>
    <row r="5792">
      <c r="K5792" s="124"/>
      <c r="L5792" s="124"/>
      <c r="M5792" s="124"/>
      <c r="N5792" s="124"/>
      <c r="O5792" s="124"/>
    </row>
    <row r="5793">
      <c r="K5793" s="124"/>
      <c r="L5793" s="124"/>
      <c r="M5793" s="124"/>
      <c r="N5793" s="124"/>
      <c r="O5793" s="124"/>
    </row>
    <row r="5794">
      <c r="K5794" s="124"/>
      <c r="L5794" s="124"/>
      <c r="M5794" s="124"/>
      <c r="N5794" s="124"/>
      <c r="O5794" s="124"/>
    </row>
    <row r="5795">
      <c r="K5795" s="124"/>
      <c r="L5795" s="124"/>
      <c r="M5795" s="124"/>
      <c r="N5795" s="124"/>
      <c r="O5795" s="124"/>
    </row>
    <row r="5796">
      <c r="K5796" s="124"/>
      <c r="L5796" s="124"/>
      <c r="M5796" s="124"/>
      <c r="N5796" s="124"/>
      <c r="O5796" s="124"/>
    </row>
    <row r="5797">
      <c r="K5797" s="124"/>
      <c r="L5797" s="124"/>
      <c r="M5797" s="124"/>
      <c r="N5797" s="124"/>
      <c r="O5797" s="124"/>
    </row>
    <row r="5798">
      <c r="K5798" s="124"/>
      <c r="L5798" s="124"/>
      <c r="M5798" s="124"/>
      <c r="N5798" s="124"/>
      <c r="O5798" s="124"/>
    </row>
    <row r="5799">
      <c r="K5799" s="124"/>
      <c r="L5799" s="124"/>
      <c r="M5799" s="124"/>
      <c r="N5799" s="124"/>
      <c r="O5799" s="124"/>
    </row>
    <row r="5800">
      <c r="K5800" s="124"/>
      <c r="L5800" s="124"/>
      <c r="M5800" s="124"/>
      <c r="N5800" s="124"/>
      <c r="O5800" s="124"/>
    </row>
    <row r="5801">
      <c r="K5801" s="124"/>
      <c r="L5801" s="124"/>
      <c r="M5801" s="124"/>
      <c r="N5801" s="124"/>
      <c r="O5801" s="124"/>
    </row>
    <row r="5802">
      <c r="K5802" s="124"/>
      <c r="L5802" s="124"/>
      <c r="M5802" s="124"/>
      <c r="N5802" s="124"/>
      <c r="O5802" s="124"/>
    </row>
    <row r="5803">
      <c r="K5803" s="124"/>
      <c r="L5803" s="124"/>
      <c r="M5803" s="124"/>
      <c r="N5803" s="124"/>
      <c r="O5803" s="124"/>
    </row>
    <row r="5804">
      <c r="K5804" s="124"/>
      <c r="L5804" s="124"/>
      <c r="M5804" s="124"/>
      <c r="N5804" s="124"/>
      <c r="O5804" s="124"/>
    </row>
    <row r="5805">
      <c r="K5805" s="124"/>
      <c r="L5805" s="124"/>
      <c r="M5805" s="124"/>
      <c r="N5805" s="124"/>
      <c r="O5805" s="124"/>
    </row>
    <row r="5806">
      <c r="K5806" s="124"/>
      <c r="L5806" s="124"/>
      <c r="M5806" s="124"/>
      <c r="N5806" s="124"/>
      <c r="O5806" s="124"/>
    </row>
    <row r="5807">
      <c r="K5807" s="124"/>
      <c r="L5807" s="124"/>
      <c r="M5807" s="124"/>
      <c r="N5807" s="124"/>
      <c r="O5807" s="124"/>
    </row>
    <row r="5808">
      <c r="K5808" s="124"/>
      <c r="L5808" s="124"/>
      <c r="M5808" s="124"/>
      <c r="N5808" s="124"/>
      <c r="O5808" s="124"/>
    </row>
    <row r="5809">
      <c r="K5809" s="124"/>
      <c r="L5809" s="124"/>
      <c r="M5809" s="124"/>
      <c r="N5809" s="124"/>
      <c r="O5809" s="124"/>
    </row>
    <row r="5810">
      <c r="K5810" s="124"/>
      <c r="L5810" s="124"/>
      <c r="M5810" s="124"/>
      <c r="N5810" s="124"/>
      <c r="O5810" s="124"/>
    </row>
    <row r="5811">
      <c r="K5811" s="124"/>
      <c r="L5811" s="124"/>
      <c r="M5811" s="124"/>
      <c r="N5811" s="124"/>
      <c r="O5811" s="124"/>
    </row>
    <row r="5812">
      <c r="K5812" s="124"/>
      <c r="L5812" s="124"/>
      <c r="M5812" s="124"/>
      <c r="N5812" s="124"/>
      <c r="O5812" s="124"/>
    </row>
    <row r="5813">
      <c r="K5813" s="124"/>
      <c r="L5813" s="124"/>
      <c r="M5813" s="124"/>
      <c r="N5813" s="124"/>
      <c r="O5813" s="124"/>
    </row>
    <row r="5814">
      <c r="K5814" s="124"/>
      <c r="L5814" s="124"/>
      <c r="M5814" s="124"/>
      <c r="N5814" s="124"/>
      <c r="O5814" s="124"/>
    </row>
    <row r="5815">
      <c r="K5815" s="124"/>
      <c r="L5815" s="124"/>
      <c r="M5815" s="124"/>
      <c r="N5815" s="124"/>
      <c r="O5815" s="124"/>
    </row>
    <row r="5816">
      <c r="K5816" s="124"/>
      <c r="L5816" s="124"/>
      <c r="M5816" s="124"/>
      <c r="N5816" s="124"/>
      <c r="O5816" s="124"/>
    </row>
    <row r="5817">
      <c r="K5817" s="124"/>
      <c r="L5817" s="124"/>
      <c r="M5817" s="124"/>
      <c r="N5817" s="124"/>
      <c r="O5817" s="124"/>
    </row>
    <row r="5818">
      <c r="K5818" s="124"/>
      <c r="L5818" s="124"/>
      <c r="M5818" s="124"/>
      <c r="N5818" s="124"/>
      <c r="O5818" s="124"/>
    </row>
    <row r="5819">
      <c r="K5819" s="124"/>
      <c r="L5819" s="124"/>
      <c r="M5819" s="124"/>
      <c r="N5819" s="124"/>
      <c r="O5819" s="124"/>
    </row>
    <row r="5820">
      <c r="K5820" s="124"/>
      <c r="L5820" s="124"/>
      <c r="M5820" s="124"/>
      <c r="N5820" s="124"/>
      <c r="O5820" s="124"/>
    </row>
    <row r="5821">
      <c r="K5821" s="124"/>
      <c r="L5821" s="124"/>
      <c r="M5821" s="124"/>
      <c r="N5821" s="124"/>
      <c r="O5821" s="124"/>
    </row>
    <row r="5822">
      <c r="K5822" s="124"/>
      <c r="L5822" s="124"/>
      <c r="M5822" s="124"/>
      <c r="N5822" s="124"/>
      <c r="O5822" s="124"/>
    </row>
    <row r="5823">
      <c r="K5823" s="124"/>
      <c r="L5823" s="124"/>
      <c r="M5823" s="124"/>
      <c r="N5823" s="124"/>
      <c r="O5823" s="124"/>
    </row>
    <row r="5824">
      <c r="K5824" s="124"/>
      <c r="L5824" s="124"/>
      <c r="M5824" s="124"/>
      <c r="N5824" s="124"/>
      <c r="O5824" s="124"/>
    </row>
    <row r="5825">
      <c r="K5825" s="124"/>
      <c r="L5825" s="124"/>
      <c r="M5825" s="124"/>
      <c r="N5825" s="124"/>
      <c r="O5825" s="124"/>
    </row>
    <row r="5826">
      <c r="K5826" s="124"/>
      <c r="L5826" s="124"/>
      <c r="M5826" s="124"/>
      <c r="N5826" s="124"/>
      <c r="O5826" s="124"/>
    </row>
    <row r="5827">
      <c r="K5827" s="124"/>
      <c r="L5827" s="124"/>
      <c r="M5827" s="124"/>
      <c r="N5827" s="124"/>
      <c r="O5827" s="124"/>
    </row>
    <row r="5828">
      <c r="K5828" s="124"/>
      <c r="L5828" s="124"/>
      <c r="M5828" s="124"/>
      <c r="N5828" s="124"/>
      <c r="O5828" s="124"/>
    </row>
    <row r="5829">
      <c r="K5829" s="124"/>
      <c r="L5829" s="124"/>
      <c r="M5829" s="124"/>
      <c r="N5829" s="124"/>
      <c r="O5829" s="124"/>
    </row>
    <row r="5830">
      <c r="K5830" s="124"/>
      <c r="L5830" s="124"/>
      <c r="M5830" s="124"/>
      <c r="N5830" s="124"/>
      <c r="O5830" s="124"/>
    </row>
    <row r="5831">
      <c r="K5831" s="124"/>
      <c r="L5831" s="124"/>
      <c r="M5831" s="124"/>
      <c r="N5831" s="124"/>
      <c r="O5831" s="124"/>
    </row>
    <row r="5832">
      <c r="K5832" s="124"/>
      <c r="L5832" s="124"/>
      <c r="M5832" s="124"/>
      <c r="N5832" s="124"/>
      <c r="O5832" s="124"/>
    </row>
    <row r="5833">
      <c r="K5833" s="124"/>
      <c r="L5833" s="124"/>
      <c r="M5833" s="124"/>
      <c r="N5833" s="124"/>
      <c r="O5833" s="124"/>
    </row>
    <row r="5834">
      <c r="K5834" s="124"/>
      <c r="L5834" s="124"/>
      <c r="M5834" s="124"/>
      <c r="N5834" s="124"/>
      <c r="O5834" s="124"/>
    </row>
    <row r="5835">
      <c r="K5835" s="124"/>
      <c r="L5835" s="124"/>
      <c r="M5835" s="124"/>
      <c r="N5835" s="124"/>
      <c r="O5835" s="124"/>
    </row>
    <row r="5836">
      <c r="K5836" s="124"/>
      <c r="L5836" s="124"/>
      <c r="M5836" s="124"/>
      <c r="N5836" s="124"/>
      <c r="O5836" s="124"/>
    </row>
    <row r="5837">
      <c r="K5837" s="124"/>
      <c r="L5837" s="124"/>
      <c r="M5837" s="124"/>
      <c r="N5837" s="124"/>
      <c r="O5837" s="124"/>
    </row>
    <row r="5838">
      <c r="K5838" s="124"/>
      <c r="L5838" s="124"/>
      <c r="M5838" s="124"/>
      <c r="N5838" s="124"/>
      <c r="O5838" s="124"/>
    </row>
    <row r="5839">
      <c r="K5839" s="124"/>
      <c r="L5839" s="124"/>
      <c r="M5839" s="124"/>
      <c r="N5839" s="124"/>
      <c r="O5839" s="124"/>
    </row>
    <row r="5840">
      <c r="K5840" s="124"/>
      <c r="L5840" s="124"/>
      <c r="M5840" s="124"/>
      <c r="N5840" s="124"/>
      <c r="O5840" s="124"/>
    </row>
    <row r="5841">
      <c r="K5841" s="124"/>
      <c r="L5841" s="124"/>
      <c r="M5841" s="124"/>
      <c r="N5841" s="124"/>
      <c r="O5841" s="124"/>
    </row>
    <row r="5842">
      <c r="K5842" s="124"/>
      <c r="L5842" s="124"/>
      <c r="M5842" s="124"/>
      <c r="N5842" s="124"/>
      <c r="O5842" s="124"/>
    </row>
    <row r="5843">
      <c r="K5843" s="124"/>
      <c r="L5843" s="124"/>
      <c r="M5843" s="124"/>
      <c r="N5843" s="124"/>
      <c r="O5843" s="124"/>
    </row>
    <row r="5844">
      <c r="K5844" s="124"/>
      <c r="L5844" s="124"/>
      <c r="M5844" s="124"/>
      <c r="N5844" s="124"/>
      <c r="O5844" s="124"/>
    </row>
    <row r="5845">
      <c r="K5845" s="124"/>
      <c r="L5845" s="124"/>
      <c r="M5845" s="124"/>
      <c r="N5845" s="124"/>
      <c r="O5845" s="124"/>
    </row>
    <row r="5846">
      <c r="K5846" s="124"/>
      <c r="L5846" s="124"/>
      <c r="M5846" s="124"/>
      <c r="N5846" s="124"/>
      <c r="O5846" s="124"/>
    </row>
    <row r="5847">
      <c r="K5847" s="124"/>
      <c r="L5847" s="124"/>
      <c r="M5847" s="124"/>
      <c r="N5847" s="124"/>
      <c r="O5847" s="124"/>
    </row>
    <row r="5848">
      <c r="K5848" s="124"/>
      <c r="L5848" s="124"/>
      <c r="M5848" s="124"/>
      <c r="N5848" s="124"/>
      <c r="O5848" s="124"/>
    </row>
    <row r="5849">
      <c r="K5849" s="124"/>
      <c r="L5849" s="124"/>
      <c r="M5849" s="124"/>
      <c r="N5849" s="124"/>
      <c r="O5849" s="124"/>
    </row>
    <row r="5850">
      <c r="K5850" s="124"/>
      <c r="L5850" s="124"/>
      <c r="M5850" s="124"/>
      <c r="N5850" s="124"/>
      <c r="O5850" s="124"/>
    </row>
    <row r="5851">
      <c r="K5851" s="124"/>
      <c r="L5851" s="124"/>
      <c r="M5851" s="124"/>
      <c r="N5851" s="124"/>
      <c r="O5851" s="124"/>
    </row>
    <row r="5852">
      <c r="K5852" s="124"/>
      <c r="L5852" s="124"/>
      <c r="M5852" s="124"/>
      <c r="N5852" s="124"/>
      <c r="O5852" s="124"/>
    </row>
    <row r="5853">
      <c r="K5853" s="124"/>
      <c r="L5853" s="124"/>
      <c r="M5853" s="124"/>
      <c r="N5853" s="124"/>
      <c r="O5853" s="124"/>
    </row>
    <row r="5854">
      <c r="K5854" s="124"/>
      <c r="L5854" s="124"/>
      <c r="M5854" s="124"/>
      <c r="N5854" s="124"/>
      <c r="O5854" s="124"/>
    </row>
    <row r="5855">
      <c r="K5855" s="124"/>
      <c r="L5855" s="124"/>
      <c r="M5855" s="124"/>
      <c r="N5855" s="124"/>
      <c r="O5855" s="124"/>
    </row>
    <row r="5856">
      <c r="K5856" s="124"/>
      <c r="L5856" s="124"/>
      <c r="M5856" s="124"/>
      <c r="N5856" s="124"/>
      <c r="O5856" s="124"/>
    </row>
    <row r="5857">
      <c r="K5857" s="124"/>
      <c r="L5857" s="124"/>
      <c r="M5857" s="124"/>
      <c r="N5857" s="124"/>
      <c r="O5857" s="124"/>
    </row>
    <row r="5858">
      <c r="K5858" s="124"/>
      <c r="L5858" s="124"/>
      <c r="M5858" s="124"/>
      <c r="N5858" s="124"/>
      <c r="O5858" s="124"/>
    </row>
    <row r="5859">
      <c r="K5859" s="124"/>
      <c r="L5859" s="124"/>
      <c r="M5859" s="124"/>
      <c r="N5859" s="124"/>
      <c r="O5859" s="124"/>
    </row>
    <row r="5860">
      <c r="K5860" s="124"/>
      <c r="L5860" s="124"/>
      <c r="M5860" s="124"/>
      <c r="N5860" s="124"/>
      <c r="O5860" s="124"/>
    </row>
    <row r="5861">
      <c r="K5861" s="124"/>
      <c r="L5861" s="124"/>
      <c r="M5861" s="124"/>
      <c r="N5861" s="124"/>
      <c r="O5861" s="124"/>
    </row>
    <row r="5862">
      <c r="K5862" s="124"/>
      <c r="L5862" s="124"/>
      <c r="M5862" s="124"/>
      <c r="N5862" s="124"/>
      <c r="O5862" s="124"/>
    </row>
    <row r="5863">
      <c r="K5863" s="124"/>
      <c r="L5863" s="124"/>
      <c r="M5863" s="124"/>
      <c r="N5863" s="124"/>
      <c r="O5863" s="124"/>
    </row>
    <row r="5864">
      <c r="K5864" s="124"/>
      <c r="L5864" s="124"/>
      <c r="M5864" s="124"/>
      <c r="N5864" s="124"/>
      <c r="O5864" s="124"/>
    </row>
    <row r="5865">
      <c r="K5865" s="124"/>
      <c r="L5865" s="124"/>
      <c r="M5865" s="124"/>
      <c r="N5865" s="124"/>
      <c r="O5865" s="124"/>
    </row>
    <row r="5866">
      <c r="K5866" s="124"/>
      <c r="L5866" s="124"/>
      <c r="M5866" s="124"/>
      <c r="N5866" s="124"/>
      <c r="O5866" s="124"/>
    </row>
    <row r="5867">
      <c r="K5867" s="124"/>
      <c r="L5867" s="124"/>
      <c r="M5867" s="124"/>
      <c r="N5867" s="124"/>
      <c r="O5867" s="124"/>
    </row>
    <row r="5868">
      <c r="K5868" s="124"/>
      <c r="L5868" s="124"/>
      <c r="M5868" s="124"/>
      <c r="N5868" s="124"/>
      <c r="O5868" s="124"/>
    </row>
    <row r="5869">
      <c r="K5869" s="124"/>
      <c r="L5869" s="124"/>
      <c r="M5869" s="124"/>
      <c r="N5869" s="124"/>
      <c r="O5869" s="124"/>
    </row>
    <row r="5870">
      <c r="K5870" s="124"/>
      <c r="L5870" s="124"/>
      <c r="M5870" s="124"/>
      <c r="N5870" s="124"/>
      <c r="O5870" s="124"/>
    </row>
    <row r="5871">
      <c r="K5871" s="124"/>
      <c r="L5871" s="124"/>
      <c r="M5871" s="124"/>
      <c r="N5871" s="124"/>
      <c r="O5871" s="124"/>
    </row>
    <row r="5872">
      <c r="K5872" s="124"/>
      <c r="L5872" s="124"/>
      <c r="M5872" s="124"/>
      <c r="N5872" s="124"/>
      <c r="O5872" s="124"/>
    </row>
    <row r="5873">
      <c r="K5873" s="124"/>
      <c r="L5873" s="124"/>
      <c r="M5873" s="124"/>
      <c r="N5873" s="124"/>
      <c r="O5873" s="124"/>
    </row>
    <row r="5874">
      <c r="K5874" s="124"/>
      <c r="L5874" s="124"/>
      <c r="M5874" s="124"/>
      <c r="N5874" s="124"/>
      <c r="O5874" s="124"/>
    </row>
    <row r="5875">
      <c r="K5875" s="124"/>
      <c r="L5875" s="124"/>
      <c r="M5875" s="124"/>
      <c r="N5875" s="124"/>
      <c r="O5875" s="124"/>
    </row>
    <row r="5876">
      <c r="K5876" s="124"/>
      <c r="L5876" s="124"/>
      <c r="M5876" s="124"/>
      <c r="N5876" s="124"/>
      <c r="O5876" s="124"/>
    </row>
    <row r="5877">
      <c r="K5877" s="124"/>
      <c r="L5877" s="124"/>
      <c r="M5877" s="124"/>
      <c r="N5877" s="124"/>
      <c r="O5877" s="124"/>
    </row>
    <row r="5878">
      <c r="K5878" s="124"/>
      <c r="L5878" s="124"/>
      <c r="M5878" s="124"/>
      <c r="N5878" s="124"/>
      <c r="O5878" s="124"/>
    </row>
    <row r="5879">
      <c r="K5879" s="124"/>
      <c r="L5879" s="124"/>
      <c r="M5879" s="124"/>
      <c r="N5879" s="124"/>
      <c r="O5879" s="124"/>
    </row>
    <row r="5880">
      <c r="K5880" s="124"/>
      <c r="L5880" s="124"/>
      <c r="M5880" s="124"/>
      <c r="N5880" s="124"/>
      <c r="O5880" s="124"/>
    </row>
    <row r="5881">
      <c r="K5881" s="124"/>
      <c r="L5881" s="124"/>
      <c r="M5881" s="124"/>
      <c r="N5881" s="124"/>
      <c r="O5881" s="124"/>
    </row>
    <row r="5882">
      <c r="K5882" s="124"/>
      <c r="L5882" s="124"/>
      <c r="M5882" s="124"/>
      <c r="N5882" s="124"/>
      <c r="O5882" s="124"/>
    </row>
    <row r="5883">
      <c r="K5883" s="124"/>
      <c r="L5883" s="124"/>
      <c r="M5883" s="124"/>
      <c r="N5883" s="124"/>
      <c r="O5883" s="124"/>
    </row>
    <row r="5884">
      <c r="K5884" s="124"/>
      <c r="L5884" s="124"/>
      <c r="M5884" s="124"/>
      <c r="N5884" s="124"/>
      <c r="O5884" s="124"/>
    </row>
    <row r="5885">
      <c r="K5885" s="124"/>
      <c r="L5885" s="124"/>
      <c r="M5885" s="124"/>
      <c r="N5885" s="124"/>
      <c r="O5885" s="124"/>
    </row>
    <row r="5886">
      <c r="K5886" s="124"/>
      <c r="L5886" s="124"/>
      <c r="M5886" s="124"/>
      <c r="N5886" s="124"/>
      <c r="O5886" s="124"/>
    </row>
    <row r="5887">
      <c r="K5887" s="124"/>
      <c r="L5887" s="124"/>
      <c r="M5887" s="124"/>
      <c r="N5887" s="124"/>
      <c r="O5887" s="124"/>
    </row>
    <row r="5888">
      <c r="K5888" s="124"/>
      <c r="L5888" s="124"/>
      <c r="M5888" s="124"/>
      <c r="N5888" s="124"/>
      <c r="O5888" s="124"/>
    </row>
    <row r="5889">
      <c r="K5889" s="124"/>
      <c r="L5889" s="124"/>
      <c r="M5889" s="124"/>
      <c r="N5889" s="124"/>
      <c r="O5889" s="124"/>
    </row>
    <row r="5890">
      <c r="K5890" s="124"/>
      <c r="L5890" s="124"/>
      <c r="M5890" s="124"/>
      <c r="N5890" s="124"/>
      <c r="O5890" s="124"/>
    </row>
    <row r="5891">
      <c r="K5891" s="124"/>
      <c r="L5891" s="124"/>
      <c r="M5891" s="124"/>
      <c r="N5891" s="124"/>
      <c r="O5891" s="124"/>
    </row>
    <row r="5892">
      <c r="K5892" s="124"/>
      <c r="L5892" s="124"/>
      <c r="M5892" s="124"/>
      <c r="N5892" s="124"/>
      <c r="O5892" s="124"/>
    </row>
    <row r="5893">
      <c r="K5893" s="124"/>
      <c r="L5893" s="124"/>
      <c r="M5893" s="124"/>
      <c r="N5893" s="124"/>
      <c r="O5893" s="124"/>
    </row>
    <row r="5894">
      <c r="K5894" s="124"/>
      <c r="L5894" s="124"/>
      <c r="M5894" s="124"/>
      <c r="N5894" s="124"/>
      <c r="O5894" s="124"/>
    </row>
    <row r="5895">
      <c r="K5895" s="124"/>
      <c r="L5895" s="124"/>
      <c r="M5895" s="124"/>
      <c r="N5895" s="124"/>
      <c r="O5895" s="124"/>
    </row>
    <row r="5896">
      <c r="K5896" s="124"/>
      <c r="L5896" s="124"/>
      <c r="M5896" s="124"/>
      <c r="N5896" s="124"/>
      <c r="O5896" s="124"/>
    </row>
    <row r="5897">
      <c r="K5897" s="124"/>
      <c r="L5897" s="124"/>
      <c r="M5897" s="124"/>
      <c r="N5897" s="124"/>
      <c r="O5897" s="124"/>
    </row>
    <row r="5898">
      <c r="K5898" s="124"/>
      <c r="L5898" s="124"/>
      <c r="M5898" s="124"/>
      <c r="N5898" s="124"/>
      <c r="O5898" s="124"/>
    </row>
    <row r="5899">
      <c r="K5899" s="124"/>
      <c r="L5899" s="124"/>
      <c r="M5899" s="124"/>
      <c r="N5899" s="124"/>
      <c r="O5899" s="124"/>
    </row>
    <row r="5900">
      <c r="K5900" s="124"/>
      <c r="L5900" s="124"/>
      <c r="M5900" s="124"/>
      <c r="N5900" s="124"/>
      <c r="O5900" s="124"/>
    </row>
    <row r="5901">
      <c r="K5901" s="124"/>
      <c r="L5901" s="124"/>
      <c r="M5901" s="124"/>
      <c r="N5901" s="124"/>
      <c r="O5901" s="124"/>
    </row>
    <row r="5902">
      <c r="K5902" s="124"/>
      <c r="L5902" s="124"/>
      <c r="M5902" s="124"/>
      <c r="N5902" s="124"/>
      <c r="O5902" s="124"/>
    </row>
    <row r="5903">
      <c r="K5903" s="124"/>
      <c r="L5903" s="124"/>
      <c r="M5903" s="124"/>
      <c r="N5903" s="124"/>
      <c r="O5903" s="124"/>
    </row>
    <row r="5904">
      <c r="K5904" s="124"/>
      <c r="L5904" s="124"/>
      <c r="M5904" s="124"/>
      <c r="N5904" s="124"/>
      <c r="O5904" s="124"/>
    </row>
    <row r="5905">
      <c r="K5905" s="124"/>
      <c r="L5905" s="124"/>
      <c r="M5905" s="124"/>
      <c r="N5905" s="124"/>
      <c r="O5905" s="124"/>
    </row>
    <row r="5906">
      <c r="K5906" s="124"/>
      <c r="L5906" s="124"/>
      <c r="M5906" s="124"/>
      <c r="N5906" s="124"/>
      <c r="O5906" s="124"/>
    </row>
    <row r="5907">
      <c r="K5907" s="124"/>
      <c r="L5907" s="124"/>
      <c r="M5907" s="124"/>
      <c r="N5907" s="124"/>
      <c r="O5907" s="124"/>
    </row>
    <row r="5908">
      <c r="K5908" s="124"/>
      <c r="L5908" s="124"/>
      <c r="M5908" s="124"/>
      <c r="N5908" s="124"/>
      <c r="O5908" s="124"/>
    </row>
    <row r="5909">
      <c r="K5909" s="124"/>
      <c r="L5909" s="124"/>
      <c r="M5909" s="124"/>
      <c r="N5909" s="124"/>
      <c r="O5909" s="124"/>
    </row>
    <row r="5910">
      <c r="K5910" s="124"/>
      <c r="L5910" s="124"/>
      <c r="M5910" s="124"/>
      <c r="N5910" s="124"/>
      <c r="O5910" s="124"/>
    </row>
    <row r="5911">
      <c r="K5911" s="124"/>
      <c r="L5911" s="124"/>
      <c r="M5911" s="124"/>
      <c r="N5911" s="124"/>
      <c r="O5911" s="124"/>
    </row>
    <row r="5912">
      <c r="K5912" s="124"/>
      <c r="L5912" s="124"/>
      <c r="M5912" s="124"/>
      <c r="N5912" s="124"/>
      <c r="O5912" s="124"/>
    </row>
    <row r="5913">
      <c r="K5913" s="124"/>
      <c r="L5913" s="124"/>
      <c r="M5913" s="124"/>
      <c r="N5913" s="124"/>
      <c r="O5913" s="124"/>
    </row>
    <row r="5914">
      <c r="K5914" s="124"/>
      <c r="L5914" s="124"/>
      <c r="M5914" s="124"/>
      <c r="N5914" s="124"/>
      <c r="O5914" s="124"/>
    </row>
    <row r="5915">
      <c r="K5915" s="124"/>
      <c r="L5915" s="124"/>
      <c r="M5915" s="124"/>
      <c r="N5915" s="124"/>
      <c r="O5915" s="124"/>
    </row>
    <row r="5916">
      <c r="K5916" s="124"/>
      <c r="L5916" s="124"/>
      <c r="M5916" s="124"/>
      <c r="N5916" s="124"/>
      <c r="O5916" s="124"/>
    </row>
    <row r="5917">
      <c r="K5917" s="124"/>
      <c r="L5917" s="124"/>
      <c r="M5917" s="124"/>
      <c r="N5917" s="124"/>
      <c r="O5917" s="124"/>
    </row>
    <row r="5918">
      <c r="K5918" s="124"/>
      <c r="L5918" s="124"/>
      <c r="M5918" s="124"/>
      <c r="N5918" s="124"/>
      <c r="O5918" s="124"/>
    </row>
    <row r="5919">
      <c r="K5919" s="124"/>
      <c r="L5919" s="124"/>
      <c r="M5919" s="124"/>
      <c r="N5919" s="124"/>
      <c r="O5919" s="124"/>
    </row>
    <row r="5920">
      <c r="K5920" s="124"/>
      <c r="L5920" s="124"/>
      <c r="M5920" s="124"/>
      <c r="N5920" s="124"/>
      <c r="O5920" s="124"/>
    </row>
    <row r="5921">
      <c r="K5921" s="124"/>
      <c r="L5921" s="124"/>
      <c r="M5921" s="124"/>
      <c r="N5921" s="124"/>
      <c r="O5921" s="124"/>
    </row>
    <row r="5922">
      <c r="K5922" s="124"/>
      <c r="L5922" s="124"/>
      <c r="M5922" s="124"/>
      <c r="N5922" s="124"/>
      <c r="O5922" s="124"/>
    </row>
    <row r="5923">
      <c r="K5923" s="124"/>
      <c r="L5923" s="124"/>
      <c r="M5923" s="124"/>
      <c r="N5923" s="124"/>
      <c r="O5923" s="124"/>
    </row>
    <row r="5924">
      <c r="K5924" s="124"/>
      <c r="L5924" s="124"/>
      <c r="M5924" s="124"/>
      <c r="N5924" s="124"/>
      <c r="O5924" s="124"/>
    </row>
    <row r="5925">
      <c r="K5925" s="124"/>
      <c r="L5925" s="124"/>
      <c r="M5925" s="124"/>
      <c r="N5925" s="124"/>
      <c r="O5925" s="124"/>
    </row>
    <row r="5926">
      <c r="K5926" s="124"/>
      <c r="L5926" s="124"/>
      <c r="M5926" s="124"/>
      <c r="N5926" s="124"/>
      <c r="O5926" s="124"/>
    </row>
    <row r="5927">
      <c r="K5927" s="124"/>
      <c r="L5927" s="124"/>
      <c r="M5927" s="124"/>
      <c r="N5927" s="124"/>
      <c r="O5927" s="124"/>
    </row>
    <row r="5928">
      <c r="K5928" s="124"/>
      <c r="L5928" s="124"/>
      <c r="M5928" s="124"/>
      <c r="N5928" s="124"/>
      <c r="O5928" s="124"/>
    </row>
    <row r="5929">
      <c r="K5929" s="124"/>
      <c r="L5929" s="124"/>
      <c r="M5929" s="124"/>
      <c r="N5929" s="124"/>
      <c r="O5929" s="124"/>
    </row>
    <row r="5930">
      <c r="K5930" s="124"/>
      <c r="L5930" s="124"/>
      <c r="M5930" s="124"/>
      <c r="N5930" s="124"/>
      <c r="O5930" s="124"/>
    </row>
    <row r="5931">
      <c r="K5931" s="124"/>
      <c r="L5931" s="124"/>
      <c r="M5931" s="124"/>
      <c r="N5931" s="124"/>
      <c r="O5931" s="124"/>
    </row>
    <row r="5932">
      <c r="K5932" s="124"/>
      <c r="L5932" s="124"/>
      <c r="M5932" s="124"/>
      <c r="N5932" s="124"/>
      <c r="O5932" s="124"/>
    </row>
    <row r="5933">
      <c r="K5933" s="124"/>
      <c r="L5933" s="124"/>
      <c r="M5933" s="124"/>
      <c r="N5933" s="124"/>
      <c r="O5933" s="124"/>
    </row>
    <row r="5934">
      <c r="K5934" s="124"/>
      <c r="L5934" s="124"/>
      <c r="M5934" s="124"/>
      <c r="N5934" s="124"/>
      <c r="O5934" s="124"/>
    </row>
    <row r="5935">
      <c r="K5935" s="124"/>
      <c r="L5935" s="124"/>
      <c r="M5935" s="124"/>
      <c r="N5935" s="124"/>
      <c r="O5935" s="124"/>
    </row>
    <row r="5936">
      <c r="K5936" s="124"/>
      <c r="L5936" s="124"/>
      <c r="M5936" s="124"/>
      <c r="N5936" s="124"/>
      <c r="O5936" s="124"/>
    </row>
    <row r="5937">
      <c r="K5937" s="124"/>
      <c r="L5937" s="124"/>
      <c r="M5937" s="124"/>
      <c r="N5937" s="124"/>
      <c r="O5937" s="124"/>
    </row>
    <row r="5938">
      <c r="K5938" s="124"/>
      <c r="L5938" s="124"/>
      <c r="M5938" s="124"/>
      <c r="N5938" s="124"/>
      <c r="O5938" s="124"/>
    </row>
    <row r="5939">
      <c r="K5939" s="124"/>
      <c r="L5939" s="124"/>
      <c r="M5939" s="124"/>
      <c r="N5939" s="124"/>
      <c r="O5939" s="124"/>
    </row>
    <row r="5940">
      <c r="K5940" s="124"/>
      <c r="L5940" s="124"/>
      <c r="M5940" s="124"/>
      <c r="N5940" s="124"/>
      <c r="O5940" s="124"/>
    </row>
    <row r="5941">
      <c r="K5941" s="124"/>
      <c r="L5941" s="124"/>
      <c r="M5941" s="124"/>
      <c r="N5941" s="124"/>
      <c r="O5941" s="124"/>
    </row>
    <row r="5942">
      <c r="K5942" s="124"/>
      <c r="L5942" s="124"/>
      <c r="M5942" s="124"/>
      <c r="N5942" s="124"/>
      <c r="O5942" s="124"/>
    </row>
    <row r="5943">
      <c r="K5943" s="124"/>
      <c r="L5943" s="124"/>
      <c r="M5943" s="124"/>
      <c r="N5943" s="124"/>
      <c r="O5943" s="124"/>
    </row>
    <row r="5944">
      <c r="K5944" s="124"/>
      <c r="L5944" s="124"/>
      <c r="M5944" s="124"/>
      <c r="N5944" s="124"/>
      <c r="O5944" s="124"/>
    </row>
    <row r="5945">
      <c r="K5945" s="124"/>
      <c r="L5945" s="124"/>
      <c r="M5945" s="124"/>
      <c r="N5945" s="124"/>
      <c r="O5945" s="124"/>
    </row>
    <row r="5946">
      <c r="K5946" s="124"/>
      <c r="L5946" s="124"/>
      <c r="M5946" s="124"/>
      <c r="N5946" s="124"/>
      <c r="O5946" s="124"/>
    </row>
    <row r="5947">
      <c r="K5947" s="124"/>
      <c r="L5947" s="124"/>
      <c r="M5947" s="124"/>
      <c r="N5947" s="124"/>
      <c r="O5947" s="124"/>
    </row>
    <row r="5948">
      <c r="K5948" s="124"/>
      <c r="L5948" s="124"/>
      <c r="M5948" s="124"/>
      <c r="N5948" s="124"/>
      <c r="O5948" s="124"/>
    </row>
    <row r="5949">
      <c r="K5949" s="124"/>
      <c r="L5949" s="124"/>
      <c r="M5949" s="124"/>
      <c r="N5949" s="124"/>
      <c r="O5949" s="124"/>
    </row>
    <row r="5950">
      <c r="K5950" s="124"/>
      <c r="L5950" s="124"/>
      <c r="M5950" s="124"/>
      <c r="N5950" s="124"/>
      <c r="O5950" s="124"/>
    </row>
    <row r="5951">
      <c r="K5951" s="124"/>
      <c r="L5951" s="124"/>
      <c r="M5951" s="124"/>
      <c r="N5951" s="124"/>
      <c r="O5951" s="124"/>
    </row>
    <row r="5952">
      <c r="K5952" s="124"/>
      <c r="L5952" s="124"/>
      <c r="M5952" s="124"/>
      <c r="N5952" s="124"/>
      <c r="O5952" s="124"/>
    </row>
    <row r="5953">
      <c r="K5953" s="124"/>
      <c r="L5953" s="124"/>
      <c r="M5953" s="124"/>
      <c r="N5953" s="124"/>
      <c r="O5953" s="124"/>
    </row>
    <row r="5954">
      <c r="K5954" s="124"/>
      <c r="L5954" s="124"/>
      <c r="M5954" s="124"/>
      <c r="N5954" s="124"/>
      <c r="O5954" s="124"/>
    </row>
    <row r="5955">
      <c r="K5955" s="124"/>
      <c r="L5955" s="124"/>
      <c r="M5955" s="124"/>
      <c r="N5955" s="124"/>
      <c r="O5955" s="124"/>
    </row>
    <row r="5956">
      <c r="K5956" s="124"/>
      <c r="L5956" s="124"/>
      <c r="M5956" s="124"/>
      <c r="N5956" s="124"/>
      <c r="O5956" s="124"/>
    </row>
    <row r="5957">
      <c r="K5957" s="124"/>
      <c r="L5957" s="124"/>
      <c r="M5957" s="124"/>
      <c r="N5957" s="124"/>
      <c r="O5957" s="124"/>
    </row>
    <row r="5958">
      <c r="K5958" s="124"/>
      <c r="L5958" s="124"/>
      <c r="M5958" s="124"/>
      <c r="N5958" s="124"/>
      <c r="O5958" s="124"/>
    </row>
    <row r="5959">
      <c r="K5959" s="124"/>
      <c r="L5959" s="124"/>
      <c r="M5959" s="124"/>
      <c r="N5959" s="124"/>
      <c r="O5959" s="124"/>
    </row>
    <row r="5960">
      <c r="K5960" s="124"/>
      <c r="L5960" s="124"/>
      <c r="M5960" s="124"/>
      <c r="N5960" s="124"/>
      <c r="O5960" s="124"/>
    </row>
    <row r="5961">
      <c r="K5961" s="124"/>
      <c r="L5961" s="124"/>
      <c r="M5961" s="124"/>
      <c r="N5961" s="124"/>
      <c r="O5961" s="124"/>
    </row>
    <row r="5962">
      <c r="K5962" s="124"/>
      <c r="L5962" s="124"/>
      <c r="M5962" s="124"/>
      <c r="N5962" s="124"/>
      <c r="O5962" s="124"/>
    </row>
    <row r="5963">
      <c r="K5963" s="124"/>
      <c r="L5963" s="124"/>
      <c r="M5963" s="124"/>
      <c r="N5963" s="124"/>
      <c r="O5963" s="124"/>
    </row>
    <row r="5964">
      <c r="K5964" s="124"/>
      <c r="L5964" s="124"/>
      <c r="M5964" s="124"/>
      <c r="N5964" s="124"/>
      <c r="O5964" s="124"/>
    </row>
    <row r="5965">
      <c r="K5965" s="124"/>
      <c r="L5965" s="124"/>
      <c r="M5965" s="124"/>
      <c r="N5965" s="124"/>
      <c r="O5965" s="124"/>
    </row>
    <row r="5966">
      <c r="K5966" s="124"/>
      <c r="L5966" s="124"/>
      <c r="M5966" s="124"/>
      <c r="N5966" s="124"/>
      <c r="O5966" s="124"/>
    </row>
    <row r="5967">
      <c r="K5967" s="124"/>
      <c r="L5967" s="124"/>
      <c r="M5967" s="124"/>
      <c r="N5967" s="124"/>
      <c r="O5967" s="124"/>
    </row>
    <row r="5968">
      <c r="K5968" s="124"/>
      <c r="L5968" s="124"/>
      <c r="M5968" s="124"/>
      <c r="N5968" s="124"/>
      <c r="O5968" s="124"/>
    </row>
    <row r="5969">
      <c r="K5969" s="124"/>
      <c r="L5969" s="124"/>
      <c r="M5969" s="124"/>
      <c r="N5969" s="124"/>
      <c r="O5969" s="124"/>
    </row>
    <row r="5970">
      <c r="K5970" s="124"/>
      <c r="L5970" s="124"/>
      <c r="M5970" s="124"/>
      <c r="N5970" s="124"/>
      <c r="O5970" s="124"/>
    </row>
    <row r="5971">
      <c r="K5971" s="124"/>
      <c r="L5971" s="124"/>
      <c r="M5971" s="124"/>
      <c r="N5971" s="124"/>
      <c r="O5971" s="124"/>
    </row>
    <row r="5972">
      <c r="K5972" s="124"/>
      <c r="L5972" s="124"/>
      <c r="M5972" s="124"/>
      <c r="N5972" s="124"/>
      <c r="O5972" s="124"/>
    </row>
    <row r="5973">
      <c r="K5973" s="124"/>
      <c r="L5973" s="124"/>
      <c r="M5973" s="124"/>
      <c r="N5973" s="124"/>
      <c r="O5973" s="124"/>
    </row>
    <row r="5974">
      <c r="K5974" s="124"/>
      <c r="L5974" s="124"/>
      <c r="M5974" s="124"/>
      <c r="N5974" s="124"/>
      <c r="O5974" s="124"/>
    </row>
    <row r="5975">
      <c r="K5975" s="124"/>
      <c r="L5975" s="124"/>
      <c r="M5975" s="124"/>
      <c r="N5975" s="124"/>
      <c r="O5975" s="124"/>
    </row>
    <row r="5976">
      <c r="K5976" s="124"/>
      <c r="L5976" s="124"/>
      <c r="M5976" s="124"/>
      <c r="N5976" s="124"/>
      <c r="O5976" s="124"/>
    </row>
    <row r="5977">
      <c r="K5977" s="124"/>
      <c r="L5977" s="124"/>
      <c r="M5977" s="124"/>
      <c r="N5977" s="124"/>
      <c r="O5977" s="124"/>
    </row>
    <row r="5978">
      <c r="K5978" s="124"/>
      <c r="L5978" s="124"/>
      <c r="M5978" s="124"/>
      <c r="N5978" s="124"/>
      <c r="O5978" s="124"/>
    </row>
    <row r="5979">
      <c r="K5979" s="124"/>
      <c r="L5979" s="124"/>
      <c r="M5979" s="124"/>
      <c r="N5979" s="124"/>
      <c r="O5979" s="124"/>
    </row>
    <row r="5980">
      <c r="K5980" s="124"/>
      <c r="L5980" s="124"/>
      <c r="M5980" s="124"/>
      <c r="N5980" s="124"/>
      <c r="O5980" s="124"/>
    </row>
    <row r="5981">
      <c r="K5981" s="124"/>
      <c r="L5981" s="124"/>
      <c r="M5981" s="124"/>
      <c r="N5981" s="124"/>
      <c r="O5981" s="124"/>
    </row>
    <row r="5982">
      <c r="K5982" s="124"/>
      <c r="L5982" s="124"/>
      <c r="M5982" s="124"/>
      <c r="N5982" s="124"/>
      <c r="O5982" s="124"/>
    </row>
    <row r="5983">
      <c r="K5983" s="124"/>
      <c r="L5983" s="124"/>
      <c r="M5983" s="124"/>
      <c r="N5983" s="124"/>
      <c r="O5983" s="124"/>
    </row>
    <row r="5984">
      <c r="K5984" s="124"/>
      <c r="L5984" s="124"/>
      <c r="M5984" s="124"/>
      <c r="N5984" s="124"/>
      <c r="O5984" s="124"/>
    </row>
    <row r="5985">
      <c r="K5985" s="124"/>
      <c r="L5985" s="124"/>
      <c r="M5985" s="124"/>
      <c r="N5985" s="124"/>
      <c r="O5985" s="124"/>
    </row>
    <row r="5986">
      <c r="K5986" s="124"/>
      <c r="L5986" s="124"/>
      <c r="M5986" s="124"/>
      <c r="N5986" s="124"/>
      <c r="O5986" s="124"/>
    </row>
    <row r="5987">
      <c r="K5987" s="124"/>
      <c r="L5987" s="124"/>
      <c r="M5987" s="124"/>
      <c r="N5987" s="124"/>
      <c r="O5987" s="124"/>
    </row>
    <row r="5988">
      <c r="K5988" s="124"/>
      <c r="L5988" s="124"/>
      <c r="M5988" s="124"/>
      <c r="N5988" s="124"/>
      <c r="O5988" s="124"/>
    </row>
    <row r="5989">
      <c r="K5989" s="124"/>
      <c r="L5989" s="124"/>
      <c r="M5989" s="124"/>
      <c r="N5989" s="124"/>
      <c r="O5989" s="124"/>
    </row>
    <row r="5990">
      <c r="K5990" s="124"/>
      <c r="L5990" s="124"/>
      <c r="M5990" s="124"/>
      <c r="N5990" s="124"/>
      <c r="O5990" s="124"/>
    </row>
    <row r="5991">
      <c r="K5991" s="124"/>
      <c r="L5991" s="124"/>
      <c r="M5991" s="124"/>
      <c r="N5991" s="124"/>
      <c r="O5991" s="124"/>
    </row>
    <row r="5992">
      <c r="K5992" s="124"/>
      <c r="L5992" s="124"/>
      <c r="M5992" s="124"/>
      <c r="N5992" s="124"/>
      <c r="O5992" s="124"/>
    </row>
    <row r="5993">
      <c r="K5993" s="124"/>
      <c r="L5993" s="124"/>
      <c r="M5993" s="124"/>
      <c r="N5993" s="124"/>
      <c r="O5993" s="124"/>
    </row>
    <row r="5994">
      <c r="K5994" s="124"/>
      <c r="L5994" s="124"/>
      <c r="M5994" s="124"/>
      <c r="N5994" s="124"/>
      <c r="O5994" s="124"/>
    </row>
    <row r="5995">
      <c r="K5995" s="124"/>
      <c r="L5995" s="124"/>
      <c r="M5995" s="124"/>
      <c r="N5995" s="124"/>
      <c r="O5995" s="124"/>
    </row>
    <row r="5996">
      <c r="K5996" s="124"/>
      <c r="L5996" s="124"/>
      <c r="M5996" s="124"/>
      <c r="N5996" s="124"/>
      <c r="O5996" s="124"/>
    </row>
    <row r="5997">
      <c r="K5997" s="124"/>
      <c r="L5997" s="124"/>
      <c r="M5997" s="124"/>
      <c r="N5997" s="124"/>
      <c r="O5997" s="124"/>
    </row>
    <row r="5998">
      <c r="K5998" s="124"/>
      <c r="L5998" s="124"/>
      <c r="M5998" s="124"/>
      <c r="N5998" s="124"/>
      <c r="O5998" s="124"/>
    </row>
    <row r="5999">
      <c r="K5999" s="124"/>
      <c r="L5999" s="124"/>
      <c r="M5999" s="124"/>
      <c r="N5999" s="124"/>
      <c r="O5999" s="124"/>
    </row>
    <row r="6000">
      <c r="K6000" s="124"/>
      <c r="L6000" s="124"/>
      <c r="M6000" s="124"/>
      <c r="N6000" s="124"/>
      <c r="O6000" s="124"/>
    </row>
    <row r="6001">
      <c r="K6001" s="124"/>
      <c r="L6001" s="124"/>
      <c r="M6001" s="124"/>
      <c r="N6001" s="124"/>
      <c r="O6001" s="124"/>
    </row>
    <row r="6002">
      <c r="K6002" s="124"/>
      <c r="L6002" s="124"/>
      <c r="M6002" s="124"/>
      <c r="N6002" s="124"/>
      <c r="O6002" s="124"/>
    </row>
    <row r="6003">
      <c r="K6003" s="124"/>
      <c r="L6003" s="124"/>
      <c r="M6003" s="124"/>
      <c r="N6003" s="124"/>
      <c r="O6003" s="124"/>
    </row>
    <row r="6004">
      <c r="K6004" s="124"/>
      <c r="L6004" s="124"/>
      <c r="M6004" s="124"/>
      <c r="N6004" s="124"/>
      <c r="O6004" s="124"/>
    </row>
    <row r="6005">
      <c r="K6005" s="124"/>
      <c r="L6005" s="124"/>
      <c r="M6005" s="124"/>
      <c r="N6005" s="124"/>
      <c r="O6005" s="124"/>
    </row>
    <row r="6006">
      <c r="K6006" s="124"/>
      <c r="L6006" s="124"/>
      <c r="M6006" s="124"/>
      <c r="N6006" s="124"/>
      <c r="O6006" s="124"/>
    </row>
    <row r="6007">
      <c r="K6007" s="124"/>
      <c r="L6007" s="124"/>
      <c r="M6007" s="124"/>
      <c r="N6007" s="124"/>
      <c r="O6007" s="124"/>
    </row>
    <row r="6008">
      <c r="K6008" s="124"/>
      <c r="L6008" s="124"/>
      <c r="M6008" s="124"/>
      <c r="N6008" s="124"/>
      <c r="O6008" s="124"/>
    </row>
    <row r="6009">
      <c r="K6009" s="124"/>
      <c r="L6009" s="124"/>
      <c r="M6009" s="124"/>
      <c r="N6009" s="124"/>
      <c r="O6009" s="124"/>
    </row>
    <row r="6010">
      <c r="K6010" s="124"/>
      <c r="L6010" s="124"/>
      <c r="M6010" s="124"/>
      <c r="N6010" s="124"/>
      <c r="O6010" s="124"/>
    </row>
    <row r="6011">
      <c r="K6011" s="124"/>
      <c r="L6011" s="124"/>
      <c r="M6011" s="124"/>
      <c r="N6011" s="124"/>
      <c r="O6011" s="124"/>
    </row>
    <row r="6012">
      <c r="K6012" s="124"/>
      <c r="L6012" s="124"/>
      <c r="M6012" s="124"/>
      <c r="N6012" s="124"/>
      <c r="O6012" s="124"/>
    </row>
    <row r="6013">
      <c r="K6013" s="124"/>
      <c r="L6013" s="124"/>
      <c r="M6013" s="124"/>
      <c r="N6013" s="124"/>
      <c r="O6013" s="124"/>
    </row>
    <row r="6014">
      <c r="K6014" s="124"/>
      <c r="L6014" s="124"/>
      <c r="M6014" s="124"/>
      <c r="N6014" s="124"/>
      <c r="O6014" s="124"/>
    </row>
    <row r="6015">
      <c r="K6015" s="124"/>
      <c r="L6015" s="124"/>
      <c r="M6015" s="124"/>
      <c r="N6015" s="124"/>
      <c r="O6015" s="124"/>
    </row>
    <row r="6016">
      <c r="K6016" s="124"/>
      <c r="L6016" s="124"/>
      <c r="M6016" s="124"/>
      <c r="N6016" s="124"/>
      <c r="O6016" s="124"/>
    </row>
    <row r="6017">
      <c r="K6017" s="124"/>
      <c r="L6017" s="124"/>
      <c r="M6017" s="124"/>
      <c r="N6017" s="124"/>
      <c r="O6017" s="124"/>
    </row>
    <row r="6018">
      <c r="K6018" s="124"/>
      <c r="L6018" s="124"/>
      <c r="M6018" s="124"/>
      <c r="N6018" s="124"/>
      <c r="O6018" s="124"/>
    </row>
    <row r="6019">
      <c r="K6019" s="124"/>
      <c r="L6019" s="124"/>
      <c r="M6019" s="124"/>
      <c r="N6019" s="124"/>
      <c r="O6019" s="124"/>
    </row>
    <row r="6020">
      <c r="K6020" s="124"/>
      <c r="L6020" s="124"/>
      <c r="M6020" s="124"/>
      <c r="N6020" s="124"/>
      <c r="O6020" s="124"/>
    </row>
    <row r="6021">
      <c r="K6021" s="124"/>
      <c r="L6021" s="124"/>
      <c r="M6021" s="124"/>
      <c r="N6021" s="124"/>
      <c r="O6021" s="124"/>
    </row>
    <row r="6022">
      <c r="K6022" s="124"/>
      <c r="L6022" s="124"/>
      <c r="M6022" s="124"/>
      <c r="N6022" s="124"/>
      <c r="O6022" s="124"/>
    </row>
    <row r="6023">
      <c r="K6023" s="124"/>
      <c r="L6023" s="124"/>
      <c r="M6023" s="124"/>
      <c r="N6023" s="124"/>
      <c r="O6023" s="124"/>
    </row>
    <row r="6024">
      <c r="K6024" s="124"/>
      <c r="L6024" s="124"/>
      <c r="M6024" s="124"/>
      <c r="N6024" s="124"/>
      <c r="O6024" s="124"/>
    </row>
    <row r="6025">
      <c r="K6025" s="124"/>
      <c r="L6025" s="124"/>
      <c r="M6025" s="124"/>
      <c r="N6025" s="124"/>
      <c r="O6025" s="124"/>
    </row>
    <row r="6026">
      <c r="K6026" s="124"/>
      <c r="L6026" s="124"/>
      <c r="M6026" s="124"/>
      <c r="N6026" s="124"/>
      <c r="O6026" s="124"/>
    </row>
    <row r="6027">
      <c r="K6027" s="124"/>
      <c r="L6027" s="124"/>
      <c r="M6027" s="124"/>
      <c r="N6027" s="124"/>
      <c r="O6027" s="124"/>
    </row>
    <row r="6028">
      <c r="K6028" s="124"/>
      <c r="L6028" s="124"/>
      <c r="M6028" s="124"/>
      <c r="N6028" s="124"/>
      <c r="O6028" s="124"/>
    </row>
    <row r="6029">
      <c r="K6029" s="124"/>
      <c r="L6029" s="124"/>
      <c r="M6029" s="124"/>
      <c r="N6029" s="124"/>
      <c r="O6029" s="124"/>
    </row>
    <row r="6030">
      <c r="K6030" s="124"/>
      <c r="L6030" s="124"/>
      <c r="M6030" s="124"/>
      <c r="N6030" s="124"/>
      <c r="O6030" s="124"/>
    </row>
    <row r="6031">
      <c r="K6031" s="124"/>
      <c r="L6031" s="124"/>
      <c r="M6031" s="124"/>
      <c r="N6031" s="124"/>
      <c r="O6031" s="124"/>
    </row>
    <row r="6032">
      <c r="K6032" s="124"/>
      <c r="L6032" s="124"/>
      <c r="M6032" s="124"/>
      <c r="N6032" s="124"/>
      <c r="O6032" s="124"/>
    </row>
    <row r="6033">
      <c r="K6033" s="124"/>
      <c r="L6033" s="124"/>
      <c r="M6033" s="124"/>
      <c r="N6033" s="124"/>
      <c r="O6033" s="124"/>
    </row>
    <row r="6034">
      <c r="K6034" s="124"/>
      <c r="L6034" s="124"/>
      <c r="M6034" s="124"/>
      <c r="N6034" s="124"/>
      <c r="O6034" s="124"/>
    </row>
    <row r="6035">
      <c r="K6035" s="124"/>
      <c r="L6035" s="124"/>
      <c r="M6035" s="124"/>
      <c r="N6035" s="124"/>
      <c r="O6035" s="124"/>
    </row>
    <row r="6036">
      <c r="K6036" s="124"/>
      <c r="L6036" s="124"/>
      <c r="M6036" s="124"/>
      <c r="N6036" s="124"/>
      <c r="O6036" s="124"/>
    </row>
    <row r="6037">
      <c r="K6037" s="124"/>
      <c r="L6037" s="124"/>
      <c r="M6037" s="124"/>
      <c r="N6037" s="124"/>
      <c r="O6037" s="124"/>
    </row>
    <row r="6038">
      <c r="K6038" s="124"/>
      <c r="L6038" s="124"/>
      <c r="M6038" s="124"/>
      <c r="N6038" s="124"/>
      <c r="O6038" s="124"/>
    </row>
    <row r="6039">
      <c r="K6039" s="124"/>
      <c r="L6039" s="124"/>
      <c r="M6039" s="124"/>
      <c r="N6039" s="124"/>
      <c r="O6039" s="124"/>
    </row>
    <row r="6040">
      <c r="K6040" s="124"/>
      <c r="L6040" s="124"/>
      <c r="M6040" s="124"/>
      <c r="N6040" s="124"/>
      <c r="O6040" s="124"/>
    </row>
    <row r="6041">
      <c r="K6041" s="124"/>
      <c r="L6041" s="124"/>
      <c r="M6041" s="124"/>
      <c r="N6041" s="124"/>
      <c r="O6041" s="124"/>
    </row>
    <row r="6042">
      <c r="K6042" s="124"/>
      <c r="L6042" s="124"/>
      <c r="M6042" s="124"/>
      <c r="N6042" s="124"/>
      <c r="O6042" s="124"/>
    </row>
    <row r="6043">
      <c r="K6043" s="124"/>
      <c r="L6043" s="124"/>
      <c r="M6043" s="124"/>
      <c r="N6043" s="124"/>
      <c r="O6043" s="124"/>
    </row>
    <row r="6044">
      <c r="K6044" s="124"/>
      <c r="L6044" s="124"/>
      <c r="M6044" s="124"/>
      <c r="N6044" s="124"/>
      <c r="O6044" s="124"/>
    </row>
    <row r="6045">
      <c r="K6045" s="124"/>
      <c r="L6045" s="124"/>
      <c r="M6045" s="124"/>
      <c r="N6045" s="124"/>
      <c r="O6045" s="124"/>
    </row>
    <row r="6046">
      <c r="K6046" s="124"/>
      <c r="L6046" s="124"/>
      <c r="M6046" s="124"/>
      <c r="N6046" s="124"/>
      <c r="O6046" s="124"/>
    </row>
    <row r="6047">
      <c r="K6047" s="124"/>
      <c r="L6047" s="124"/>
      <c r="M6047" s="124"/>
      <c r="N6047" s="124"/>
      <c r="O6047" s="124"/>
    </row>
    <row r="6048">
      <c r="K6048" s="124"/>
      <c r="L6048" s="124"/>
      <c r="M6048" s="124"/>
      <c r="N6048" s="124"/>
      <c r="O6048" s="124"/>
    </row>
    <row r="6049">
      <c r="K6049" s="124"/>
      <c r="L6049" s="124"/>
      <c r="M6049" s="124"/>
      <c r="N6049" s="124"/>
      <c r="O6049" s="124"/>
    </row>
    <row r="6050">
      <c r="K6050" s="124"/>
      <c r="L6050" s="124"/>
      <c r="M6050" s="124"/>
      <c r="N6050" s="124"/>
      <c r="O6050" s="124"/>
    </row>
    <row r="6051">
      <c r="K6051" s="124"/>
      <c r="L6051" s="124"/>
      <c r="M6051" s="124"/>
      <c r="N6051" s="124"/>
      <c r="O6051" s="124"/>
    </row>
    <row r="6052">
      <c r="K6052" s="124"/>
      <c r="L6052" s="124"/>
      <c r="M6052" s="124"/>
      <c r="N6052" s="124"/>
      <c r="O6052" s="124"/>
    </row>
    <row r="6053">
      <c r="K6053" s="124"/>
      <c r="L6053" s="124"/>
      <c r="M6053" s="124"/>
      <c r="N6053" s="124"/>
      <c r="O6053" s="124"/>
    </row>
    <row r="6054">
      <c r="K6054" s="124"/>
      <c r="L6054" s="124"/>
      <c r="M6054" s="124"/>
      <c r="N6054" s="124"/>
      <c r="O6054" s="124"/>
    </row>
    <row r="6055">
      <c r="K6055" s="124"/>
      <c r="L6055" s="124"/>
      <c r="M6055" s="124"/>
      <c r="N6055" s="124"/>
      <c r="O6055" s="124"/>
    </row>
    <row r="6056">
      <c r="K6056" s="124"/>
      <c r="L6056" s="124"/>
      <c r="M6056" s="124"/>
      <c r="N6056" s="124"/>
      <c r="O6056" s="124"/>
    </row>
    <row r="6057">
      <c r="K6057" s="124"/>
      <c r="L6057" s="124"/>
      <c r="M6057" s="124"/>
      <c r="N6057" s="124"/>
      <c r="O6057" s="124"/>
    </row>
    <row r="6058">
      <c r="K6058" s="124"/>
      <c r="L6058" s="124"/>
      <c r="M6058" s="124"/>
      <c r="N6058" s="124"/>
      <c r="O6058" s="124"/>
    </row>
    <row r="6059">
      <c r="K6059" s="124"/>
      <c r="L6059" s="124"/>
      <c r="M6059" s="124"/>
      <c r="N6059" s="124"/>
      <c r="O6059" s="124"/>
    </row>
    <row r="6060">
      <c r="K6060" s="124"/>
      <c r="L6060" s="124"/>
      <c r="M6060" s="124"/>
      <c r="N6060" s="124"/>
      <c r="O6060" s="124"/>
    </row>
    <row r="6061">
      <c r="K6061" s="124"/>
      <c r="L6061" s="124"/>
      <c r="M6061" s="124"/>
      <c r="N6061" s="124"/>
      <c r="O6061" s="124"/>
    </row>
    <row r="6062">
      <c r="K6062" s="124"/>
      <c r="L6062" s="124"/>
      <c r="M6062" s="124"/>
      <c r="N6062" s="124"/>
      <c r="O6062" s="124"/>
    </row>
    <row r="6063">
      <c r="K6063" s="124"/>
      <c r="L6063" s="124"/>
      <c r="M6063" s="124"/>
      <c r="N6063" s="124"/>
      <c r="O6063" s="124"/>
    </row>
    <row r="6064">
      <c r="K6064" s="124"/>
      <c r="L6064" s="124"/>
      <c r="M6064" s="124"/>
      <c r="N6064" s="124"/>
      <c r="O6064" s="124"/>
    </row>
    <row r="6065">
      <c r="K6065" s="124"/>
      <c r="L6065" s="124"/>
      <c r="M6065" s="124"/>
      <c r="N6065" s="124"/>
      <c r="O6065" s="124"/>
    </row>
    <row r="6066">
      <c r="K6066" s="124"/>
      <c r="L6066" s="124"/>
      <c r="M6066" s="124"/>
      <c r="N6066" s="124"/>
      <c r="O6066" s="124"/>
    </row>
    <row r="6067">
      <c r="K6067" s="124"/>
      <c r="L6067" s="124"/>
      <c r="M6067" s="124"/>
      <c r="N6067" s="124"/>
      <c r="O6067" s="124"/>
    </row>
    <row r="6068">
      <c r="K6068" s="124"/>
      <c r="L6068" s="124"/>
      <c r="M6068" s="124"/>
      <c r="N6068" s="124"/>
      <c r="O6068" s="124"/>
    </row>
    <row r="6069">
      <c r="K6069" s="124"/>
      <c r="L6069" s="124"/>
      <c r="M6069" s="124"/>
      <c r="N6069" s="124"/>
      <c r="O6069" s="124"/>
    </row>
    <row r="6070">
      <c r="K6070" s="124"/>
      <c r="L6070" s="124"/>
      <c r="M6070" s="124"/>
      <c r="N6070" s="124"/>
      <c r="O6070" s="124"/>
    </row>
    <row r="6071">
      <c r="K6071" s="124"/>
      <c r="L6071" s="124"/>
      <c r="M6071" s="124"/>
      <c r="N6071" s="124"/>
      <c r="O6071" s="124"/>
    </row>
    <row r="6072">
      <c r="K6072" s="124"/>
      <c r="L6072" s="124"/>
      <c r="M6072" s="124"/>
      <c r="N6072" s="124"/>
      <c r="O6072" s="124"/>
    </row>
    <row r="6073">
      <c r="K6073" s="124"/>
      <c r="L6073" s="124"/>
      <c r="M6073" s="124"/>
      <c r="N6073" s="124"/>
      <c r="O6073" s="124"/>
    </row>
    <row r="6074">
      <c r="K6074" s="124"/>
      <c r="L6074" s="124"/>
      <c r="M6074" s="124"/>
      <c r="N6074" s="124"/>
      <c r="O6074" s="124"/>
    </row>
    <row r="6075">
      <c r="K6075" s="124"/>
      <c r="L6075" s="124"/>
      <c r="M6075" s="124"/>
      <c r="N6075" s="124"/>
      <c r="O6075" s="124"/>
    </row>
    <row r="6076">
      <c r="K6076" s="124"/>
      <c r="L6076" s="124"/>
      <c r="M6076" s="124"/>
      <c r="N6076" s="124"/>
      <c r="O6076" s="124"/>
    </row>
    <row r="6077">
      <c r="K6077" s="124"/>
      <c r="L6077" s="124"/>
      <c r="M6077" s="124"/>
      <c r="N6077" s="124"/>
      <c r="O6077" s="124"/>
    </row>
    <row r="6078">
      <c r="K6078" s="124"/>
      <c r="L6078" s="124"/>
      <c r="M6078" s="124"/>
      <c r="N6078" s="124"/>
      <c r="O6078" s="124"/>
    </row>
    <row r="6079">
      <c r="K6079" s="124"/>
      <c r="L6079" s="124"/>
      <c r="M6079" s="124"/>
      <c r="N6079" s="124"/>
      <c r="O6079" s="124"/>
    </row>
    <row r="6080">
      <c r="K6080" s="124"/>
      <c r="L6080" s="124"/>
      <c r="M6080" s="124"/>
      <c r="N6080" s="124"/>
      <c r="O6080" s="124"/>
    </row>
    <row r="6081">
      <c r="K6081" s="124"/>
      <c r="L6081" s="124"/>
      <c r="M6081" s="124"/>
      <c r="N6081" s="124"/>
      <c r="O6081" s="124"/>
    </row>
    <row r="6082">
      <c r="K6082" s="124"/>
      <c r="L6082" s="124"/>
      <c r="M6082" s="124"/>
      <c r="N6082" s="124"/>
      <c r="O6082" s="124"/>
    </row>
    <row r="6083">
      <c r="K6083" s="124"/>
      <c r="L6083" s="124"/>
      <c r="M6083" s="124"/>
      <c r="N6083" s="124"/>
      <c r="O6083" s="124"/>
    </row>
    <row r="6084">
      <c r="K6084" s="124"/>
      <c r="L6084" s="124"/>
      <c r="M6084" s="124"/>
      <c r="N6084" s="124"/>
      <c r="O6084" s="124"/>
    </row>
    <row r="6085">
      <c r="K6085" s="124"/>
      <c r="L6085" s="124"/>
      <c r="M6085" s="124"/>
      <c r="N6085" s="124"/>
      <c r="O6085" s="124"/>
    </row>
    <row r="6086">
      <c r="K6086" s="124"/>
      <c r="L6086" s="124"/>
      <c r="M6086" s="124"/>
      <c r="N6086" s="124"/>
      <c r="O6086" s="124"/>
    </row>
    <row r="6087">
      <c r="K6087" s="124"/>
      <c r="L6087" s="124"/>
      <c r="M6087" s="124"/>
      <c r="N6087" s="124"/>
      <c r="O6087" s="124"/>
    </row>
    <row r="6088">
      <c r="K6088" s="124"/>
      <c r="L6088" s="124"/>
      <c r="M6088" s="124"/>
      <c r="N6088" s="124"/>
      <c r="O6088" s="124"/>
    </row>
    <row r="6089">
      <c r="K6089" s="124"/>
      <c r="L6089" s="124"/>
      <c r="M6089" s="124"/>
      <c r="N6089" s="124"/>
      <c r="O6089" s="124"/>
    </row>
    <row r="6090">
      <c r="K6090" s="124"/>
      <c r="L6090" s="124"/>
      <c r="M6090" s="124"/>
      <c r="N6090" s="124"/>
      <c r="O6090" s="124"/>
    </row>
    <row r="6091">
      <c r="K6091" s="124"/>
      <c r="L6091" s="124"/>
      <c r="M6091" s="124"/>
      <c r="N6091" s="124"/>
      <c r="O6091" s="124"/>
    </row>
    <row r="6092">
      <c r="K6092" s="124"/>
      <c r="L6092" s="124"/>
      <c r="M6092" s="124"/>
      <c r="N6092" s="124"/>
      <c r="O6092" s="124"/>
    </row>
    <row r="6093">
      <c r="K6093" s="124"/>
      <c r="L6093" s="124"/>
      <c r="M6093" s="124"/>
      <c r="N6093" s="124"/>
      <c r="O6093" s="124"/>
    </row>
    <row r="6094">
      <c r="K6094" s="124"/>
      <c r="L6094" s="124"/>
      <c r="M6094" s="124"/>
      <c r="N6094" s="124"/>
      <c r="O6094" s="124"/>
    </row>
    <row r="6095">
      <c r="K6095" s="124"/>
      <c r="L6095" s="124"/>
      <c r="M6095" s="124"/>
      <c r="N6095" s="124"/>
      <c r="O6095" s="124"/>
    </row>
    <row r="6096">
      <c r="K6096" s="124"/>
      <c r="L6096" s="124"/>
      <c r="M6096" s="124"/>
      <c r="N6096" s="124"/>
      <c r="O6096" s="124"/>
    </row>
    <row r="6097">
      <c r="K6097" s="124"/>
      <c r="L6097" s="124"/>
      <c r="M6097" s="124"/>
      <c r="N6097" s="124"/>
      <c r="O6097" s="124"/>
    </row>
    <row r="6098">
      <c r="K6098" s="124"/>
      <c r="L6098" s="124"/>
      <c r="M6098" s="124"/>
      <c r="N6098" s="124"/>
      <c r="O6098" s="124"/>
    </row>
    <row r="6099">
      <c r="K6099" s="124"/>
      <c r="L6099" s="124"/>
      <c r="M6099" s="124"/>
      <c r="N6099" s="124"/>
      <c r="O6099" s="124"/>
    </row>
    <row r="6100">
      <c r="K6100" s="124"/>
      <c r="L6100" s="124"/>
      <c r="M6100" s="124"/>
      <c r="N6100" s="124"/>
      <c r="O6100" s="124"/>
    </row>
    <row r="6101">
      <c r="K6101" s="124"/>
      <c r="L6101" s="124"/>
      <c r="M6101" s="124"/>
      <c r="N6101" s="124"/>
      <c r="O6101" s="124"/>
    </row>
    <row r="6102">
      <c r="K6102" s="124"/>
      <c r="L6102" s="124"/>
      <c r="M6102" s="124"/>
      <c r="N6102" s="124"/>
      <c r="O6102" s="124"/>
    </row>
    <row r="6103">
      <c r="K6103" s="124"/>
      <c r="L6103" s="124"/>
      <c r="M6103" s="124"/>
      <c r="N6103" s="124"/>
      <c r="O6103" s="124"/>
    </row>
    <row r="6104">
      <c r="K6104" s="124"/>
      <c r="L6104" s="124"/>
      <c r="M6104" s="124"/>
      <c r="N6104" s="124"/>
      <c r="O6104" s="124"/>
    </row>
    <row r="6105">
      <c r="K6105" s="124"/>
      <c r="L6105" s="124"/>
      <c r="M6105" s="124"/>
      <c r="N6105" s="124"/>
      <c r="O6105" s="124"/>
    </row>
    <row r="6106">
      <c r="K6106" s="124"/>
      <c r="L6106" s="124"/>
      <c r="M6106" s="124"/>
      <c r="N6106" s="124"/>
      <c r="O6106" s="124"/>
    </row>
    <row r="6107">
      <c r="K6107" s="124"/>
      <c r="L6107" s="124"/>
      <c r="M6107" s="124"/>
      <c r="N6107" s="124"/>
      <c r="O6107" s="124"/>
    </row>
    <row r="6108">
      <c r="K6108" s="124"/>
      <c r="L6108" s="124"/>
      <c r="M6108" s="124"/>
      <c r="N6108" s="124"/>
      <c r="O6108" s="124"/>
    </row>
    <row r="6109">
      <c r="K6109" s="124"/>
      <c r="L6109" s="124"/>
      <c r="M6109" s="124"/>
      <c r="N6109" s="124"/>
      <c r="O6109" s="124"/>
    </row>
    <row r="6110">
      <c r="K6110" s="124"/>
      <c r="L6110" s="124"/>
      <c r="M6110" s="124"/>
      <c r="N6110" s="124"/>
      <c r="O6110" s="124"/>
    </row>
    <row r="6111">
      <c r="K6111" s="124"/>
      <c r="L6111" s="124"/>
      <c r="M6111" s="124"/>
      <c r="N6111" s="124"/>
      <c r="O6111" s="124"/>
    </row>
    <row r="6112">
      <c r="K6112" s="124"/>
      <c r="L6112" s="124"/>
      <c r="M6112" s="124"/>
      <c r="N6112" s="124"/>
      <c r="O6112" s="124"/>
    </row>
    <row r="6113">
      <c r="K6113" s="124"/>
      <c r="L6113" s="124"/>
      <c r="M6113" s="124"/>
      <c r="N6113" s="124"/>
      <c r="O6113" s="124"/>
    </row>
    <row r="6114">
      <c r="K6114" s="124"/>
      <c r="L6114" s="124"/>
      <c r="M6114" s="124"/>
      <c r="N6114" s="124"/>
      <c r="O6114" s="124"/>
    </row>
    <row r="6115">
      <c r="K6115" s="124"/>
      <c r="L6115" s="124"/>
      <c r="M6115" s="124"/>
      <c r="N6115" s="124"/>
      <c r="O6115" s="124"/>
    </row>
    <row r="6116">
      <c r="K6116" s="124"/>
      <c r="L6116" s="124"/>
      <c r="M6116" s="124"/>
      <c r="N6116" s="124"/>
      <c r="O6116" s="124"/>
    </row>
    <row r="6117">
      <c r="K6117" s="124"/>
      <c r="L6117" s="124"/>
      <c r="M6117" s="124"/>
      <c r="N6117" s="124"/>
      <c r="O6117" s="124"/>
    </row>
    <row r="6118">
      <c r="K6118" s="124"/>
      <c r="L6118" s="124"/>
      <c r="M6118" s="124"/>
      <c r="N6118" s="124"/>
      <c r="O6118" s="124"/>
    </row>
    <row r="6119">
      <c r="K6119" s="124"/>
      <c r="L6119" s="124"/>
      <c r="M6119" s="124"/>
      <c r="N6119" s="124"/>
      <c r="O6119" s="124"/>
    </row>
    <row r="6120">
      <c r="K6120" s="124"/>
      <c r="L6120" s="124"/>
      <c r="M6120" s="124"/>
      <c r="N6120" s="124"/>
      <c r="O6120" s="124"/>
    </row>
    <row r="6121">
      <c r="K6121" s="124"/>
      <c r="L6121" s="124"/>
      <c r="M6121" s="124"/>
      <c r="N6121" s="124"/>
      <c r="O6121" s="124"/>
    </row>
    <row r="6122">
      <c r="K6122" s="124"/>
      <c r="L6122" s="124"/>
      <c r="M6122" s="124"/>
      <c r="N6122" s="124"/>
      <c r="O6122" s="124"/>
    </row>
    <row r="6123">
      <c r="K6123" s="124"/>
      <c r="L6123" s="124"/>
      <c r="M6123" s="124"/>
      <c r="N6123" s="124"/>
      <c r="O6123" s="124"/>
    </row>
    <row r="6124">
      <c r="K6124" s="124"/>
      <c r="L6124" s="124"/>
      <c r="M6124" s="124"/>
      <c r="N6124" s="124"/>
      <c r="O6124" s="124"/>
    </row>
    <row r="6125">
      <c r="K6125" s="124"/>
      <c r="L6125" s="124"/>
      <c r="M6125" s="124"/>
      <c r="N6125" s="124"/>
      <c r="O6125" s="124"/>
    </row>
    <row r="6126">
      <c r="K6126" s="124"/>
      <c r="L6126" s="124"/>
      <c r="M6126" s="124"/>
      <c r="N6126" s="124"/>
      <c r="O6126" s="124"/>
    </row>
    <row r="6127">
      <c r="K6127" s="124"/>
      <c r="L6127" s="124"/>
      <c r="M6127" s="124"/>
      <c r="N6127" s="124"/>
      <c r="O6127" s="124"/>
    </row>
    <row r="6128">
      <c r="K6128" s="124"/>
      <c r="L6128" s="124"/>
      <c r="M6128" s="124"/>
      <c r="N6128" s="124"/>
      <c r="O6128" s="124"/>
    </row>
    <row r="6129">
      <c r="K6129" s="124"/>
      <c r="L6129" s="124"/>
      <c r="M6129" s="124"/>
      <c r="N6129" s="124"/>
      <c r="O6129" s="124"/>
    </row>
    <row r="6130">
      <c r="K6130" s="124"/>
      <c r="L6130" s="124"/>
      <c r="M6130" s="124"/>
      <c r="N6130" s="124"/>
      <c r="O6130" s="124"/>
    </row>
    <row r="6131">
      <c r="K6131" s="124"/>
      <c r="L6131" s="124"/>
      <c r="M6131" s="124"/>
      <c r="N6131" s="124"/>
      <c r="O6131" s="124"/>
    </row>
    <row r="6132">
      <c r="K6132" s="124"/>
      <c r="L6132" s="124"/>
      <c r="M6132" s="124"/>
      <c r="N6132" s="124"/>
      <c r="O6132" s="124"/>
    </row>
    <row r="6133">
      <c r="K6133" s="124"/>
      <c r="L6133" s="124"/>
      <c r="M6133" s="124"/>
      <c r="N6133" s="124"/>
      <c r="O6133" s="124"/>
    </row>
    <row r="6134">
      <c r="K6134" s="124"/>
      <c r="L6134" s="124"/>
      <c r="M6134" s="124"/>
      <c r="N6134" s="124"/>
      <c r="O6134" s="124"/>
    </row>
    <row r="6135">
      <c r="K6135" s="124"/>
      <c r="L6135" s="124"/>
      <c r="M6135" s="124"/>
      <c r="N6135" s="124"/>
      <c r="O6135" s="124"/>
    </row>
    <row r="6136">
      <c r="K6136" s="124"/>
      <c r="L6136" s="124"/>
      <c r="M6136" s="124"/>
      <c r="N6136" s="124"/>
      <c r="O6136" s="124"/>
    </row>
    <row r="6137">
      <c r="K6137" s="124"/>
      <c r="L6137" s="124"/>
      <c r="M6137" s="124"/>
      <c r="N6137" s="124"/>
      <c r="O6137" s="124"/>
    </row>
    <row r="6138">
      <c r="K6138" s="124"/>
      <c r="L6138" s="124"/>
      <c r="M6138" s="124"/>
      <c r="N6138" s="124"/>
      <c r="O6138" s="124"/>
    </row>
    <row r="6139">
      <c r="K6139" s="124"/>
      <c r="L6139" s="124"/>
      <c r="M6139" s="124"/>
      <c r="N6139" s="124"/>
      <c r="O6139" s="124"/>
    </row>
    <row r="6140">
      <c r="K6140" s="124"/>
      <c r="L6140" s="124"/>
      <c r="M6140" s="124"/>
      <c r="N6140" s="124"/>
      <c r="O6140" s="124"/>
    </row>
    <row r="6141">
      <c r="K6141" s="124"/>
      <c r="L6141" s="124"/>
      <c r="M6141" s="124"/>
      <c r="N6141" s="124"/>
      <c r="O6141" s="124"/>
    </row>
    <row r="6142">
      <c r="K6142" s="124"/>
      <c r="L6142" s="124"/>
      <c r="M6142" s="124"/>
      <c r="N6142" s="124"/>
      <c r="O6142" s="124"/>
    </row>
    <row r="6143">
      <c r="K6143" s="124"/>
      <c r="L6143" s="124"/>
      <c r="M6143" s="124"/>
      <c r="N6143" s="124"/>
      <c r="O6143" s="124"/>
    </row>
    <row r="6144">
      <c r="K6144" s="124"/>
      <c r="L6144" s="124"/>
      <c r="M6144" s="124"/>
      <c r="N6144" s="124"/>
      <c r="O6144" s="124"/>
    </row>
    <row r="6145">
      <c r="K6145" s="124"/>
      <c r="L6145" s="124"/>
      <c r="M6145" s="124"/>
      <c r="N6145" s="124"/>
      <c r="O6145" s="124"/>
    </row>
    <row r="6146">
      <c r="K6146" s="124"/>
      <c r="L6146" s="124"/>
      <c r="M6146" s="124"/>
      <c r="N6146" s="124"/>
      <c r="O6146" s="124"/>
    </row>
    <row r="6147">
      <c r="K6147" s="124"/>
      <c r="L6147" s="124"/>
      <c r="M6147" s="124"/>
      <c r="N6147" s="124"/>
      <c r="O6147" s="124"/>
    </row>
    <row r="6148">
      <c r="K6148" s="124"/>
      <c r="L6148" s="124"/>
      <c r="M6148" s="124"/>
      <c r="N6148" s="124"/>
      <c r="O6148" s="124"/>
    </row>
    <row r="6149">
      <c r="K6149" s="124"/>
      <c r="L6149" s="124"/>
      <c r="M6149" s="124"/>
      <c r="N6149" s="124"/>
      <c r="O6149" s="124"/>
    </row>
    <row r="6150">
      <c r="K6150" s="124"/>
      <c r="L6150" s="124"/>
      <c r="M6150" s="124"/>
      <c r="N6150" s="124"/>
      <c r="O6150" s="124"/>
    </row>
    <row r="6151">
      <c r="K6151" s="124"/>
      <c r="L6151" s="124"/>
      <c r="M6151" s="124"/>
      <c r="N6151" s="124"/>
      <c r="O6151" s="124"/>
    </row>
    <row r="6152">
      <c r="K6152" s="124"/>
      <c r="L6152" s="124"/>
      <c r="M6152" s="124"/>
      <c r="N6152" s="124"/>
      <c r="O6152" s="124"/>
    </row>
    <row r="6153">
      <c r="K6153" s="124"/>
      <c r="L6153" s="124"/>
      <c r="M6153" s="124"/>
      <c r="N6153" s="124"/>
      <c r="O6153" s="124"/>
    </row>
    <row r="6154">
      <c r="K6154" s="124"/>
      <c r="L6154" s="124"/>
      <c r="M6154" s="124"/>
      <c r="N6154" s="124"/>
      <c r="O6154" s="124"/>
    </row>
    <row r="6155">
      <c r="K6155" s="124"/>
      <c r="L6155" s="124"/>
      <c r="M6155" s="124"/>
      <c r="N6155" s="124"/>
      <c r="O6155" s="124"/>
    </row>
    <row r="6156">
      <c r="K6156" s="124"/>
      <c r="L6156" s="124"/>
      <c r="M6156" s="124"/>
      <c r="N6156" s="124"/>
      <c r="O6156" s="124"/>
    </row>
    <row r="6157">
      <c r="K6157" s="124"/>
      <c r="L6157" s="124"/>
      <c r="M6157" s="124"/>
      <c r="N6157" s="124"/>
      <c r="O6157" s="124"/>
    </row>
    <row r="6158">
      <c r="K6158" s="124"/>
      <c r="L6158" s="124"/>
      <c r="M6158" s="124"/>
      <c r="N6158" s="124"/>
      <c r="O6158" s="124"/>
    </row>
    <row r="6159">
      <c r="K6159" s="124"/>
      <c r="L6159" s="124"/>
      <c r="M6159" s="124"/>
      <c r="N6159" s="124"/>
      <c r="O6159" s="124"/>
    </row>
    <row r="6160">
      <c r="K6160" s="124"/>
      <c r="L6160" s="124"/>
      <c r="M6160" s="124"/>
      <c r="N6160" s="124"/>
      <c r="O6160" s="124"/>
    </row>
    <row r="6161">
      <c r="K6161" s="124"/>
      <c r="L6161" s="124"/>
      <c r="M6161" s="124"/>
      <c r="N6161" s="124"/>
      <c r="O6161" s="124"/>
    </row>
    <row r="6162">
      <c r="K6162" s="124"/>
      <c r="L6162" s="124"/>
      <c r="M6162" s="124"/>
      <c r="N6162" s="124"/>
      <c r="O6162" s="124"/>
    </row>
    <row r="6163">
      <c r="K6163" s="124"/>
      <c r="L6163" s="124"/>
      <c r="M6163" s="124"/>
      <c r="N6163" s="124"/>
      <c r="O6163" s="124"/>
    </row>
    <row r="6164">
      <c r="K6164" s="124"/>
      <c r="L6164" s="124"/>
      <c r="M6164" s="124"/>
      <c r="N6164" s="124"/>
      <c r="O6164" s="124"/>
    </row>
    <row r="6165">
      <c r="K6165" s="124"/>
      <c r="L6165" s="124"/>
      <c r="M6165" s="124"/>
      <c r="N6165" s="124"/>
      <c r="O6165" s="124"/>
    </row>
    <row r="6166">
      <c r="K6166" s="124"/>
      <c r="L6166" s="124"/>
      <c r="M6166" s="124"/>
      <c r="N6166" s="124"/>
      <c r="O6166" s="124"/>
    </row>
    <row r="6167">
      <c r="K6167" s="124"/>
      <c r="L6167" s="124"/>
      <c r="M6167" s="124"/>
      <c r="N6167" s="124"/>
      <c r="O6167" s="124"/>
    </row>
    <row r="6168">
      <c r="K6168" s="124"/>
      <c r="L6168" s="124"/>
      <c r="M6168" s="124"/>
      <c r="N6168" s="124"/>
      <c r="O6168" s="124"/>
    </row>
    <row r="6169">
      <c r="K6169" s="124"/>
      <c r="L6169" s="124"/>
      <c r="M6169" s="124"/>
      <c r="N6169" s="124"/>
      <c r="O6169" s="124"/>
    </row>
    <row r="6170">
      <c r="K6170" s="124"/>
      <c r="L6170" s="124"/>
      <c r="M6170" s="124"/>
      <c r="N6170" s="124"/>
      <c r="O6170" s="124"/>
    </row>
    <row r="6171">
      <c r="K6171" s="124"/>
      <c r="L6171" s="124"/>
      <c r="M6171" s="124"/>
      <c r="N6171" s="124"/>
      <c r="O6171" s="124"/>
    </row>
    <row r="6172">
      <c r="K6172" s="124"/>
      <c r="L6172" s="124"/>
      <c r="M6172" s="124"/>
      <c r="N6172" s="124"/>
      <c r="O6172" s="124"/>
    </row>
    <row r="6173">
      <c r="K6173" s="124"/>
      <c r="L6173" s="124"/>
      <c r="M6173" s="124"/>
      <c r="N6173" s="124"/>
      <c r="O6173" s="124"/>
    </row>
    <row r="6174">
      <c r="K6174" s="124"/>
      <c r="L6174" s="124"/>
      <c r="M6174" s="124"/>
      <c r="N6174" s="124"/>
      <c r="O6174" s="124"/>
    </row>
    <row r="6175">
      <c r="K6175" s="124"/>
      <c r="L6175" s="124"/>
      <c r="M6175" s="124"/>
      <c r="N6175" s="124"/>
      <c r="O6175" s="124"/>
    </row>
    <row r="6176">
      <c r="K6176" s="124"/>
      <c r="L6176" s="124"/>
      <c r="M6176" s="124"/>
      <c r="N6176" s="124"/>
      <c r="O6176" s="124"/>
    </row>
    <row r="6177">
      <c r="K6177" s="124"/>
      <c r="L6177" s="124"/>
      <c r="M6177" s="124"/>
      <c r="N6177" s="124"/>
      <c r="O6177" s="124"/>
    </row>
    <row r="6178">
      <c r="K6178" s="124"/>
      <c r="L6178" s="124"/>
      <c r="M6178" s="124"/>
      <c r="N6178" s="124"/>
      <c r="O6178" s="124"/>
    </row>
    <row r="6179">
      <c r="K6179" s="124"/>
      <c r="L6179" s="124"/>
      <c r="M6179" s="124"/>
      <c r="N6179" s="124"/>
      <c r="O6179" s="124"/>
    </row>
    <row r="6180">
      <c r="K6180" s="124"/>
      <c r="L6180" s="124"/>
      <c r="M6180" s="124"/>
      <c r="N6180" s="124"/>
      <c r="O6180" s="124"/>
    </row>
    <row r="6181">
      <c r="K6181" s="124"/>
      <c r="L6181" s="124"/>
      <c r="M6181" s="124"/>
      <c r="N6181" s="124"/>
      <c r="O6181" s="124"/>
    </row>
    <row r="6182">
      <c r="K6182" s="124"/>
      <c r="L6182" s="124"/>
      <c r="M6182" s="124"/>
      <c r="N6182" s="124"/>
      <c r="O6182" s="124"/>
    </row>
    <row r="6183">
      <c r="K6183" s="124"/>
      <c r="L6183" s="124"/>
      <c r="M6183" s="124"/>
      <c r="N6183" s="124"/>
      <c r="O6183" s="124"/>
    </row>
    <row r="6184">
      <c r="K6184" s="124"/>
      <c r="L6184" s="124"/>
      <c r="M6184" s="124"/>
      <c r="N6184" s="124"/>
      <c r="O6184" s="124"/>
    </row>
    <row r="6185">
      <c r="K6185" s="124"/>
      <c r="L6185" s="124"/>
      <c r="M6185" s="124"/>
      <c r="N6185" s="124"/>
      <c r="O6185" s="124"/>
    </row>
    <row r="6186">
      <c r="K6186" s="124"/>
      <c r="L6186" s="124"/>
      <c r="M6186" s="124"/>
      <c r="N6186" s="124"/>
      <c r="O6186" s="124"/>
    </row>
    <row r="6187">
      <c r="K6187" s="124"/>
      <c r="L6187" s="124"/>
      <c r="M6187" s="124"/>
      <c r="N6187" s="124"/>
      <c r="O6187" s="124"/>
    </row>
    <row r="6188">
      <c r="K6188" s="124"/>
      <c r="L6188" s="124"/>
      <c r="M6188" s="124"/>
      <c r="N6188" s="124"/>
      <c r="O6188" s="124"/>
    </row>
    <row r="6189">
      <c r="K6189" s="124"/>
      <c r="L6189" s="124"/>
      <c r="M6189" s="124"/>
      <c r="N6189" s="124"/>
      <c r="O6189" s="124"/>
    </row>
    <row r="6190">
      <c r="K6190" s="124"/>
      <c r="L6190" s="124"/>
      <c r="M6190" s="124"/>
      <c r="N6190" s="124"/>
      <c r="O6190" s="124"/>
    </row>
    <row r="6191">
      <c r="K6191" s="124"/>
      <c r="L6191" s="124"/>
      <c r="M6191" s="124"/>
      <c r="N6191" s="124"/>
      <c r="O6191" s="124"/>
    </row>
    <row r="6192">
      <c r="K6192" s="124"/>
      <c r="L6192" s="124"/>
      <c r="M6192" s="124"/>
      <c r="N6192" s="124"/>
      <c r="O6192" s="124"/>
    </row>
    <row r="6193">
      <c r="K6193" s="124"/>
      <c r="L6193" s="124"/>
      <c r="M6193" s="124"/>
      <c r="N6193" s="124"/>
      <c r="O6193" s="124"/>
    </row>
    <row r="6194">
      <c r="K6194" s="124"/>
      <c r="L6194" s="124"/>
      <c r="M6194" s="124"/>
      <c r="N6194" s="124"/>
      <c r="O6194" s="124"/>
    </row>
    <row r="6195">
      <c r="K6195" s="124"/>
      <c r="L6195" s="124"/>
      <c r="M6195" s="124"/>
      <c r="N6195" s="124"/>
      <c r="O6195" s="124"/>
    </row>
    <row r="6196">
      <c r="K6196" s="124"/>
      <c r="L6196" s="124"/>
      <c r="M6196" s="124"/>
      <c r="N6196" s="124"/>
      <c r="O6196" s="124"/>
    </row>
    <row r="6197">
      <c r="K6197" s="124"/>
      <c r="L6197" s="124"/>
      <c r="M6197" s="124"/>
      <c r="N6197" s="124"/>
      <c r="O6197" s="124"/>
    </row>
    <row r="6198">
      <c r="K6198" s="124"/>
      <c r="L6198" s="124"/>
      <c r="M6198" s="124"/>
      <c r="N6198" s="124"/>
      <c r="O6198" s="124"/>
    </row>
    <row r="6199">
      <c r="K6199" s="124"/>
      <c r="L6199" s="124"/>
      <c r="M6199" s="124"/>
      <c r="N6199" s="124"/>
      <c r="O6199" s="124"/>
    </row>
    <row r="6200">
      <c r="K6200" s="124"/>
      <c r="L6200" s="124"/>
      <c r="M6200" s="124"/>
      <c r="N6200" s="124"/>
      <c r="O6200" s="124"/>
    </row>
    <row r="6201">
      <c r="K6201" s="124"/>
      <c r="L6201" s="124"/>
      <c r="M6201" s="124"/>
      <c r="N6201" s="124"/>
      <c r="O6201" s="124"/>
    </row>
    <row r="6202">
      <c r="K6202" s="124"/>
      <c r="L6202" s="124"/>
      <c r="M6202" s="124"/>
      <c r="N6202" s="124"/>
      <c r="O6202" s="124"/>
    </row>
    <row r="6203">
      <c r="K6203" s="124"/>
      <c r="L6203" s="124"/>
      <c r="M6203" s="124"/>
      <c r="N6203" s="124"/>
      <c r="O6203" s="124"/>
    </row>
    <row r="6204">
      <c r="K6204" s="124"/>
      <c r="L6204" s="124"/>
      <c r="M6204" s="124"/>
      <c r="N6204" s="124"/>
      <c r="O6204" s="124"/>
    </row>
    <row r="6205">
      <c r="K6205" s="124"/>
      <c r="L6205" s="124"/>
      <c r="M6205" s="124"/>
      <c r="N6205" s="124"/>
      <c r="O6205" s="124"/>
    </row>
    <row r="6206">
      <c r="K6206" s="124"/>
      <c r="L6206" s="124"/>
      <c r="M6206" s="124"/>
      <c r="N6206" s="124"/>
      <c r="O6206" s="124"/>
    </row>
    <row r="6207">
      <c r="K6207" s="124"/>
      <c r="L6207" s="124"/>
      <c r="M6207" s="124"/>
      <c r="N6207" s="124"/>
      <c r="O6207" s="124"/>
    </row>
    <row r="6208">
      <c r="K6208" s="124"/>
      <c r="L6208" s="124"/>
      <c r="M6208" s="124"/>
      <c r="N6208" s="124"/>
      <c r="O6208" s="124"/>
    </row>
    <row r="6209">
      <c r="K6209" s="124"/>
      <c r="L6209" s="124"/>
      <c r="M6209" s="124"/>
      <c r="N6209" s="124"/>
      <c r="O6209" s="124"/>
    </row>
    <row r="6210">
      <c r="K6210" s="124"/>
      <c r="L6210" s="124"/>
      <c r="M6210" s="124"/>
      <c r="N6210" s="124"/>
      <c r="O6210" s="124"/>
    </row>
    <row r="6211">
      <c r="K6211" s="124"/>
      <c r="L6211" s="124"/>
      <c r="M6211" s="124"/>
      <c r="N6211" s="124"/>
      <c r="O6211" s="124"/>
    </row>
    <row r="6212">
      <c r="K6212" s="124"/>
      <c r="L6212" s="124"/>
      <c r="M6212" s="124"/>
      <c r="N6212" s="124"/>
      <c r="O6212" s="124"/>
    </row>
    <row r="6213">
      <c r="K6213" s="124"/>
      <c r="L6213" s="124"/>
      <c r="M6213" s="124"/>
      <c r="N6213" s="124"/>
      <c r="O6213" s="124"/>
    </row>
    <row r="6214">
      <c r="K6214" s="124"/>
      <c r="L6214" s="124"/>
      <c r="M6214" s="124"/>
      <c r="N6214" s="124"/>
      <c r="O6214" s="124"/>
    </row>
    <row r="6215">
      <c r="K6215" s="124"/>
      <c r="L6215" s="124"/>
      <c r="M6215" s="124"/>
      <c r="N6215" s="124"/>
      <c r="O6215" s="124"/>
    </row>
    <row r="6216">
      <c r="K6216" s="124"/>
      <c r="L6216" s="124"/>
      <c r="M6216" s="124"/>
      <c r="N6216" s="124"/>
      <c r="O6216" s="124"/>
    </row>
    <row r="6217">
      <c r="K6217" s="124"/>
      <c r="L6217" s="124"/>
      <c r="M6217" s="124"/>
      <c r="N6217" s="124"/>
      <c r="O6217" s="124"/>
    </row>
    <row r="6218">
      <c r="K6218" s="124"/>
      <c r="L6218" s="124"/>
      <c r="M6218" s="124"/>
      <c r="N6218" s="124"/>
      <c r="O6218" s="124"/>
    </row>
    <row r="6219">
      <c r="K6219" s="124"/>
      <c r="L6219" s="124"/>
      <c r="M6219" s="124"/>
      <c r="N6219" s="124"/>
      <c r="O6219" s="124"/>
    </row>
    <row r="6220">
      <c r="K6220" s="124"/>
      <c r="L6220" s="124"/>
      <c r="M6220" s="124"/>
      <c r="N6220" s="124"/>
      <c r="O6220" s="124"/>
    </row>
    <row r="6221">
      <c r="K6221" s="124"/>
      <c r="L6221" s="124"/>
      <c r="M6221" s="124"/>
      <c r="N6221" s="124"/>
      <c r="O6221" s="124"/>
    </row>
    <row r="6222">
      <c r="K6222" s="124"/>
      <c r="L6222" s="124"/>
      <c r="M6222" s="124"/>
      <c r="N6222" s="124"/>
      <c r="O6222" s="124"/>
    </row>
    <row r="6223">
      <c r="K6223" s="124"/>
      <c r="L6223" s="124"/>
      <c r="M6223" s="124"/>
      <c r="N6223" s="124"/>
      <c r="O6223" s="124"/>
    </row>
    <row r="6224">
      <c r="K6224" s="124"/>
      <c r="L6224" s="124"/>
      <c r="M6224" s="124"/>
      <c r="N6224" s="124"/>
      <c r="O6224" s="124"/>
    </row>
    <row r="6225">
      <c r="K6225" s="124"/>
      <c r="L6225" s="124"/>
      <c r="M6225" s="124"/>
      <c r="N6225" s="124"/>
      <c r="O6225" s="124"/>
    </row>
    <row r="6226">
      <c r="K6226" s="124"/>
      <c r="L6226" s="124"/>
      <c r="M6226" s="124"/>
      <c r="N6226" s="124"/>
      <c r="O6226" s="124"/>
    </row>
    <row r="6227">
      <c r="K6227" s="124"/>
      <c r="L6227" s="124"/>
      <c r="M6227" s="124"/>
      <c r="N6227" s="124"/>
      <c r="O6227" s="124"/>
    </row>
    <row r="6228">
      <c r="K6228" s="124"/>
      <c r="L6228" s="124"/>
      <c r="M6228" s="124"/>
      <c r="N6228" s="124"/>
      <c r="O6228" s="124"/>
    </row>
    <row r="6229">
      <c r="K6229" s="124"/>
      <c r="L6229" s="124"/>
      <c r="M6229" s="124"/>
      <c r="N6229" s="124"/>
      <c r="O6229" s="124"/>
    </row>
    <row r="6230">
      <c r="K6230" s="124"/>
      <c r="L6230" s="124"/>
      <c r="M6230" s="124"/>
      <c r="N6230" s="124"/>
      <c r="O6230" s="124"/>
    </row>
    <row r="6231">
      <c r="K6231" s="124"/>
      <c r="L6231" s="124"/>
      <c r="M6231" s="124"/>
      <c r="N6231" s="124"/>
      <c r="O6231" s="124"/>
    </row>
    <row r="6232">
      <c r="K6232" s="124"/>
      <c r="L6232" s="124"/>
      <c r="M6232" s="124"/>
      <c r="N6232" s="124"/>
      <c r="O6232" s="124"/>
    </row>
    <row r="6233">
      <c r="K6233" s="124"/>
      <c r="L6233" s="124"/>
      <c r="M6233" s="124"/>
      <c r="N6233" s="124"/>
      <c r="O6233" s="124"/>
    </row>
    <row r="6234">
      <c r="K6234" s="124"/>
      <c r="L6234" s="124"/>
      <c r="M6234" s="124"/>
      <c r="N6234" s="124"/>
      <c r="O6234" s="124"/>
    </row>
    <row r="6235">
      <c r="K6235" s="124"/>
      <c r="L6235" s="124"/>
      <c r="M6235" s="124"/>
      <c r="N6235" s="124"/>
      <c r="O6235" s="124"/>
    </row>
    <row r="6236">
      <c r="K6236" s="124"/>
      <c r="L6236" s="124"/>
      <c r="M6236" s="124"/>
      <c r="N6236" s="124"/>
      <c r="O6236" s="124"/>
    </row>
    <row r="6237">
      <c r="K6237" s="124"/>
      <c r="L6237" s="124"/>
      <c r="M6237" s="124"/>
      <c r="N6237" s="124"/>
      <c r="O6237" s="124"/>
    </row>
    <row r="6238">
      <c r="K6238" s="124"/>
      <c r="L6238" s="124"/>
      <c r="M6238" s="124"/>
      <c r="N6238" s="124"/>
      <c r="O6238" s="124"/>
    </row>
    <row r="6239">
      <c r="K6239" s="124"/>
      <c r="L6239" s="124"/>
      <c r="M6239" s="124"/>
      <c r="N6239" s="124"/>
      <c r="O6239" s="124"/>
    </row>
    <row r="6240">
      <c r="K6240" s="124"/>
      <c r="L6240" s="124"/>
      <c r="M6240" s="124"/>
      <c r="N6240" s="124"/>
      <c r="O6240" s="124"/>
    </row>
    <row r="6241">
      <c r="K6241" s="124"/>
      <c r="L6241" s="124"/>
      <c r="M6241" s="124"/>
      <c r="N6241" s="124"/>
      <c r="O6241" s="124"/>
    </row>
    <row r="6242">
      <c r="K6242" s="124"/>
      <c r="L6242" s="124"/>
      <c r="M6242" s="124"/>
      <c r="N6242" s="124"/>
      <c r="O6242" s="124"/>
    </row>
    <row r="6243">
      <c r="K6243" s="124"/>
      <c r="L6243" s="124"/>
      <c r="M6243" s="124"/>
      <c r="N6243" s="124"/>
      <c r="O6243" s="124"/>
    </row>
    <row r="6244">
      <c r="K6244" s="124"/>
      <c r="L6244" s="124"/>
      <c r="M6244" s="124"/>
      <c r="N6244" s="124"/>
      <c r="O6244" s="124"/>
    </row>
    <row r="6245">
      <c r="K6245" s="124"/>
      <c r="L6245" s="124"/>
      <c r="M6245" s="124"/>
      <c r="N6245" s="124"/>
      <c r="O6245" s="124"/>
    </row>
    <row r="6246">
      <c r="K6246" s="124"/>
      <c r="L6246" s="124"/>
      <c r="M6246" s="124"/>
      <c r="N6246" s="124"/>
      <c r="O6246" s="124"/>
    </row>
    <row r="6247">
      <c r="K6247" s="124"/>
      <c r="L6247" s="124"/>
      <c r="M6247" s="124"/>
      <c r="N6247" s="124"/>
      <c r="O6247" s="124"/>
    </row>
    <row r="6248">
      <c r="K6248" s="124"/>
      <c r="L6248" s="124"/>
      <c r="M6248" s="124"/>
      <c r="N6248" s="124"/>
      <c r="O6248" s="124"/>
    </row>
    <row r="6249">
      <c r="K6249" s="124"/>
      <c r="L6249" s="124"/>
      <c r="M6249" s="124"/>
      <c r="N6249" s="124"/>
      <c r="O6249" s="124"/>
    </row>
    <row r="6250">
      <c r="K6250" s="124"/>
      <c r="L6250" s="124"/>
      <c r="M6250" s="124"/>
      <c r="N6250" s="124"/>
      <c r="O6250" s="124"/>
    </row>
    <row r="6251">
      <c r="K6251" s="124"/>
      <c r="L6251" s="124"/>
      <c r="M6251" s="124"/>
      <c r="N6251" s="124"/>
      <c r="O6251" s="124"/>
    </row>
    <row r="6252">
      <c r="K6252" s="124"/>
      <c r="L6252" s="124"/>
      <c r="M6252" s="124"/>
      <c r="N6252" s="124"/>
      <c r="O6252" s="124"/>
    </row>
    <row r="6253">
      <c r="K6253" s="124"/>
      <c r="L6253" s="124"/>
      <c r="M6253" s="124"/>
      <c r="N6253" s="124"/>
      <c r="O6253" s="124"/>
    </row>
    <row r="6254">
      <c r="K6254" s="124"/>
      <c r="L6254" s="124"/>
      <c r="M6254" s="124"/>
      <c r="N6254" s="124"/>
      <c r="O6254" s="124"/>
    </row>
    <row r="6255">
      <c r="K6255" s="124"/>
      <c r="L6255" s="124"/>
      <c r="M6255" s="124"/>
      <c r="N6255" s="124"/>
      <c r="O6255" s="124"/>
    </row>
    <row r="6256">
      <c r="K6256" s="124"/>
      <c r="L6256" s="124"/>
      <c r="M6256" s="124"/>
      <c r="N6256" s="124"/>
      <c r="O6256" s="124"/>
    </row>
    <row r="6257">
      <c r="K6257" s="124"/>
      <c r="L6257" s="124"/>
      <c r="M6257" s="124"/>
      <c r="N6257" s="124"/>
      <c r="O6257" s="124"/>
    </row>
    <row r="6258">
      <c r="K6258" s="124"/>
      <c r="L6258" s="124"/>
      <c r="M6258" s="124"/>
      <c r="N6258" s="124"/>
      <c r="O6258" s="124"/>
    </row>
    <row r="6259">
      <c r="K6259" s="124"/>
      <c r="L6259" s="124"/>
      <c r="M6259" s="124"/>
      <c r="N6259" s="124"/>
      <c r="O6259" s="124"/>
    </row>
    <row r="6260">
      <c r="K6260" s="124"/>
      <c r="L6260" s="124"/>
      <c r="M6260" s="124"/>
      <c r="N6260" s="124"/>
      <c r="O6260" s="124"/>
    </row>
    <row r="6261">
      <c r="K6261" s="124"/>
      <c r="L6261" s="124"/>
      <c r="M6261" s="124"/>
      <c r="N6261" s="124"/>
      <c r="O6261" s="124"/>
    </row>
    <row r="6262">
      <c r="K6262" s="124"/>
      <c r="L6262" s="124"/>
      <c r="M6262" s="124"/>
      <c r="N6262" s="124"/>
      <c r="O6262" s="124"/>
    </row>
    <row r="6263">
      <c r="K6263" s="124"/>
      <c r="L6263" s="124"/>
      <c r="M6263" s="124"/>
      <c r="N6263" s="124"/>
      <c r="O6263" s="124"/>
    </row>
    <row r="6264">
      <c r="K6264" s="124"/>
      <c r="L6264" s="124"/>
      <c r="M6264" s="124"/>
      <c r="N6264" s="124"/>
      <c r="O6264" s="124"/>
    </row>
    <row r="6265">
      <c r="K6265" s="124"/>
      <c r="L6265" s="124"/>
      <c r="M6265" s="124"/>
      <c r="N6265" s="124"/>
      <c r="O6265" s="124"/>
    </row>
    <row r="6266">
      <c r="K6266" s="124"/>
      <c r="L6266" s="124"/>
      <c r="M6266" s="124"/>
      <c r="N6266" s="124"/>
      <c r="O6266" s="124"/>
    </row>
    <row r="6267">
      <c r="K6267" s="124"/>
      <c r="L6267" s="124"/>
      <c r="M6267" s="124"/>
      <c r="N6267" s="124"/>
      <c r="O6267" s="124"/>
    </row>
    <row r="6268">
      <c r="K6268" s="124"/>
      <c r="L6268" s="124"/>
      <c r="M6268" s="124"/>
      <c r="N6268" s="124"/>
      <c r="O6268" s="124"/>
    </row>
    <row r="6269">
      <c r="K6269" s="124"/>
      <c r="L6269" s="124"/>
      <c r="M6269" s="124"/>
      <c r="N6269" s="124"/>
      <c r="O6269" s="124"/>
    </row>
    <row r="6270">
      <c r="K6270" s="124"/>
      <c r="L6270" s="124"/>
      <c r="M6270" s="124"/>
      <c r="N6270" s="124"/>
      <c r="O6270" s="124"/>
    </row>
    <row r="6271">
      <c r="K6271" s="124"/>
      <c r="L6271" s="124"/>
      <c r="M6271" s="124"/>
      <c r="N6271" s="124"/>
      <c r="O6271" s="124"/>
    </row>
    <row r="6272">
      <c r="K6272" s="124"/>
      <c r="L6272" s="124"/>
      <c r="M6272" s="124"/>
      <c r="N6272" s="124"/>
      <c r="O6272" s="124"/>
    </row>
    <row r="6273">
      <c r="K6273" s="124"/>
      <c r="L6273" s="124"/>
      <c r="M6273" s="124"/>
      <c r="N6273" s="124"/>
      <c r="O6273" s="124"/>
    </row>
    <row r="6274">
      <c r="K6274" s="124"/>
      <c r="L6274" s="124"/>
      <c r="M6274" s="124"/>
      <c r="N6274" s="124"/>
      <c r="O6274" s="124"/>
    </row>
    <row r="6275">
      <c r="K6275" s="124"/>
      <c r="L6275" s="124"/>
      <c r="M6275" s="124"/>
      <c r="N6275" s="124"/>
      <c r="O6275" s="124"/>
    </row>
    <row r="6276">
      <c r="K6276" s="124"/>
      <c r="L6276" s="124"/>
      <c r="M6276" s="124"/>
      <c r="N6276" s="124"/>
      <c r="O6276" s="124"/>
    </row>
    <row r="6277">
      <c r="K6277" s="124"/>
      <c r="L6277" s="124"/>
      <c r="M6277" s="124"/>
      <c r="N6277" s="124"/>
      <c r="O6277" s="124"/>
    </row>
    <row r="6278">
      <c r="K6278" s="124"/>
      <c r="L6278" s="124"/>
      <c r="M6278" s="124"/>
      <c r="N6278" s="124"/>
      <c r="O6278" s="124"/>
    </row>
    <row r="6279">
      <c r="K6279" s="124"/>
      <c r="L6279" s="124"/>
      <c r="M6279" s="124"/>
      <c r="N6279" s="124"/>
      <c r="O6279" s="124"/>
    </row>
    <row r="6280">
      <c r="K6280" s="124"/>
      <c r="L6280" s="124"/>
      <c r="M6280" s="124"/>
      <c r="N6280" s="124"/>
      <c r="O6280" s="124"/>
    </row>
    <row r="6281">
      <c r="K6281" s="124"/>
      <c r="L6281" s="124"/>
      <c r="M6281" s="124"/>
      <c r="N6281" s="124"/>
      <c r="O6281" s="124"/>
    </row>
    <row r="6282">
      <c r="K6282" s="124"/>
      <c r="L6282" s="124"/>
      <c r="M6282" s="124"/>
      <c r="N6282" s="124"/>
      <c r="O6282" s="124"/>
    </row>
    <row r="6283">
      <c r="K6283" s="124"/>
      <c r="L6283" s="124"/>
      <c r="M6283" s="124"/>
      <c r="N6283" s="124"/>
      <c r="O6283" s="124"/>
    </row>
    <row r="6284">
      <c r="K6284" s="124"/>
      <c r="L6284" s="124"/>
      <c r="M6284" s="124"/>
      <c r="N6284" s="124"/>
      <c r="O6284" s="124"/>
    </row>
    <row r="6285">
      <c r="K6285" s="124"/>
      <c r="L6285" s="124"/>
      <c r="M6285" s="124"/>
      <c r="N6285" s="124"/>
      <c r="O6285" s="124"/>
    </row>
    <row r="6286">
      <c r="K6286" s="124"/>
      <c r="L6286" s="124"/>
      <c r="M6286" s="124"/>
      <c r="N6286" s="124"/>
      <c r="O6286" s="124"/>
    </row>
    <row r="6287">
      <c r="K6287" s="124"/>
      <c r="L6287" s="124"/>
      <c r="M6287" s="124"/>
      <c r="N6287" s="124"/>
      <c r="O6287" s="124"/>
    </row>
    <row r="6288">
      <c r="K6288" s="124"/>
      <c r="L6288" s="124"/>
      <c r="M6288" s="124"/>
      <c r="N6288" s="124"/>
      <c r="O6288" s="124"/>
    </row>
    <row r="6289">
      <c r="K6289" s="124"/>
      <c r="L6289" s="124"/>
      <c r="M6289" s="124"/>
      <c r="N6289" s="124"/>
      <c r="O6289" s="124"/>
    </row>
    <row r="6290">
      <c r="K6290" s="124"/>
      <c r="L6290" s="124"/>
      <c r="M6290" s="124"/>
      <c r="N6290" s="124"/>
      <c r="O6290" s="124"/>
    </row>
    <row r="6291">
      <c r="K6291" s="124"/>
      <c r="L6291" s="124"/>
      <c r="M6291" s="124"/>
      <c r="N6291" s="124"/>
      <c r="O6291" s="124"/>
    </row>
    <row r="6292">
      <c r="K6292" s="124"/>
      <c r="L6292" s="124"/>
      <c r="M6292" s="124"/>
      <c r="N6292" s="124"/>
      <c r="O6292" s="124"/>
    </row>
    <row r="6293">
      <c r="K6293" s="124"/>
      <c r="L6293" s="124"/>
      <c r="M6293" s="124"/>
      <c r="N6293" s="124"/>
      <c r="O6293" s="124"/>
    </row>
    <row r="6294">
      <c r="K6294" s="124"/>
      <c r="L6294" s="124"/>
      <c r="M6294" s="124"/>
      <c r="N6294" s="124"/>
      <c r="O6294" s="124"/>
    </row>
    <row r="6295">
      <c r="K6295" s="124"/>
      <c r="L6295" s="124"/>
      <c r="M6295" s="124"/>
      <c r="N6295" s="124"/>
      <c r="O6295" s="124"/>
    </row>
    <row r="6296">
      <c r="K6296" s="124"/>
      <c r="L6296" s="124"/>
      <c r="M6296" s="124"/>
      <c r="N6296" s="124"/>
      <c r="O6296" s="124"/>
    </row>
    <row r="6297">
      <c r="K6297" s="124"/>
      <c r="L6297" s="124"/>
      <c r="M6297" s="124"/>
      <c r="N6297" s="124"/>
      <c r="O6297" s="124"/>
    </row>
    <row r="6298">
      <c r="K6298" s="124"/>
      <c r="L6298" s="124"/>
      <c r="M6298" s="124"/>
      <c r="N6298" s="124"/>
      <c r="O6298" s="124"/>
    </row>
    <row r="6299">
      <c r="K6299" s="124"/>
      <c r="L6299" s="124"/>
      <c r="M6299" s="124"/>
      <c r="N6299" s="124"/>
      <c r="O6299" s="124"/>
    </row>
    <row r="6300">
      <c r="K6300" s="124"/>
      <c r="L6300" s="124"/>
      <c r="M6300" s="124"/>
      <c r="N6300" s="124"/>
      <c r="O6300" s="124"/>
    </row>
    <row r="6301">
      <c r="K6301" s="124"/>
      <c r="L6301" s="124"/>
      <c r="M6301" s="124"/>
      <c r="N6301" s="124"/>
      <c r="O6301" s="124"/>
    </row>
    <row r="6302">
      <c r="K6302" s="124"/>
      <c r="L6302" s="124"/>
      <c r="M6302" s="124"/>
      <c r="N6302" s="124"/>
      <c r="O6302" s="124"/>
    </row>
    <row r="6303">
      <c r="K6303" s="124"/>
      <c r="L6303" s="124"/>
      <c r="M6303" s="124"/>
      <c r="N6303" s="124"/>
      <c r="O6303" s="124"/>
    </row>
    <row r="6304">
      <c r="K6304" s="124"/>
      <c r="L6304" s="124"/>
      <c r="M6304" s="124"/>
      <c r="N6304" s="124"/>
      <c r="O6304" s="124"/>
    </row>
    <row r="6305">
      <c r="K6305" s="124"/>
      <c r="L6305" s="124"/>
      <c r="M6305" s="124"/>
      <c r="N6305" s="124"/>
      <c r="O6305" s="124"/>
    </row>
    <row r="6306">
      <c r="K6306" s="124"/>
      <c r="L6306" s="124"/>
      <c r="M6306" s="124"/>
      <c r="N6306" s="124"/>
      <c r="O6306" s="124"/>
    </row>
    <row r="6307">
      <c r="K6307" s="124"/>
      <c r="L6307" s="124"/>
      <c r="M6307" s="124"/>
      <c r="N6307" s="124"/>
      <c r="O6307" s="124"/>
    </row>
    <row r="6308">
      <c r="K6308" s="124"/>
      <c r="L6308" s="124"/>
      <c r="M6308" s="124"/>
      <c r="N6308" s="124"/>
      <c r="O6308" s="124"/>
    </row>
    <row r="6309">
      <c r="K6309" s="124"/>
      <c r="L6309" s="124"/>
      <c r="M6309" s="124"/>
      <c r="N6309" s="124"/>
      <c r="O6309" s="124"/>
    </row>
    <row r="6310">
      <c r="K6310" s="124"/>
      <c r="L6310" s="124"/>
      <c r="M6310" s="124"/>
      <c r="N6310" s="124"/>
      <c r="O6310" s="124"/>
    </row>
    <row r="6311">
      <c r="K6311" s="124"/>
      <c r="L6311" s="124"/>
      <c r="M6311" s="124"/>
      <c r="N6311" s="124"/>
      <c r="O6311" s="124"/>
    </row>
    <row r="6312">
      <c r="K6312" s="124"/>
      <c r="L6312" s="124"/>
      <c r="M6312" s="124"/>
      <c r="N6312" s="124"/>
      <c r="O6312" s="124"/>
    </row>
    <row r="6313">
      <c r="K6313" s="124"/>
      <c r="L6313" s="124"/>
      <c r="M6313" s="124"/>
      <c r="N6313" s="124"/>
      <c r="O6313" s="124"/>
    </row>
    <row r="6314">
      <c r="K6314" s="124"/>
      <c r="L6314" s="124"/>
      <c r="M6314" s="124"/>
      <c r="N6314" s="124"/>
      <c r="O6314" s="124"/>
    </row>
    <row r="6315">
      <c r="K6315" s="124"/>
      <c r="L6315" s="124"/>
      <c r="M6315" s="124"/>
      <c r="N6315" s="124"/>
      <c r="O6315" s="124"/>
    </row>
    <row r="6316">
      <c r="K6316" s="124"/>
      <c r="L6316" s="124"/>
      <c r="M6316" s="124"/>
      <c r="N6316" s="124"/>
      <c r="O6316" s="124"/>
    </row>
    <row r="6317">
      <c r="K6317" s="124"/>
      <c r="L6317" s="124"/>
      <c r="M6317" s="124"/>
      <c r="N6317" s="124"/>
      <c r="O6317" s="124"/>
    </row>
    <row r="6318">
      <c r="K6318" s="124"/>
      <c r="L6318" s="124"/>
      <c r="M6318" s="124"/>
      <c r="N6318" s="124"/>
      <c r="O6318" s="124"/>
    </row>
    <row r="6319">
      <c r="K6319" s="124"/>
      <c r="L6319" s="124"/>
      <c r="M6319" s="124"/>
      <c r="N6319" s="124"/>
      <c r="O6319" s="124"/>
    </row>
    <row r="6320">
      <c r="K6320" s="124"/>
      <c r="L6320" s="124"/>
      <c r="M6320" s="124"/>
      <c r="N6320" s="124"/>
      <c r="O6320" s="124"/>
    </row>
    <row r="6321">
      <c r="K6321" s="124"/>
      <c r="L6321" s="124"/>
      <c r="M6321" s="124"/>
      <c r="N6321" s="124"/>
      <c r="O6321" s="124"/>
    </row>
    <row r="6322">
      <c r="K6322" s="124"/>
      <c r="L6322" s="124"/>
      <c r="M6322" s="124"/>
      <c r="N6322" s="124"/>
      <c r="O6322" s="124"/>
    </row>
    <row r="6323">
      <c r="K6323" s="124"/>
      <c r="L6323" s="124"/>
      <c r="M6323" s="124"/>
      <c r="N6323" s="124"/>
      <c r="O6323" s="124"/>
    </row>
    <row r="6324">
      <c r="K6324" s="124"/>
      <c r="L6324" s="124"/>
      <c r="M6324" s="124"/>
      <c r="N6324" s="124"/>
      <c r="O6324" s="124"/>
    </row>
    <row r="6325">
      <c r="K6325" s="124"/>
      <c r="L6325" s="124"/>
      <c r="M6325" s="124"/>
      <c r="N6325" s="124"/>
      <c r="O6325" s="124"/>
    </row>
    <row r="6326">
      <c r="K6326" s="124"/>
      <c r="L6326" s="124"/>
      <c r="M6326" s="124"/>
      <c r="N6326" s="124"/>
      <c r="O6326" s="124"/>
    </row>
    <row r="6327">
      <c r="K6327" s="124"/>
      <c r="L6327" s="124"/>
      <c r="M6327" s="124"/>
      <c r="N6327" s="124"/>
      <c r="O6327" s="124"/>
    </row>
    <row r="6328">
      <c r="K6328" s="124"/>
      <c r="L6328" s="124"/>
      <c r="M6328" s="124"/>
      <c r="N6328" s="124"/>
      <c r="O6328" s="124"/>
    </row>
    <row r="6329">
      <c r="K6329" s="124"/>
      <c r="L6329" s="124"/>
      <c r="M6329" s="124"/>
      <c r="N6329" s="124"/>
      <c r="O6329" s="124"/>
    </row>
    <row r="6330">
      <c r="K6330" s="124"/>
      <c r="L6330" s="124"/>
      <c r="M6330" s="124"/>
      <c r="N6330" s="124"/>
      <c r="O6330" s="124"/>
    </row>
    <row r="6331">
      <c r="K6331" s="124"/>
      <c r="L6331" s="124"/>
      <c r="M6331" s="124"/>
      <c r="N6331" s="124"/>
      <c r="O6331" s="124"/>
    </row>
    <row r="6332">
      <c r="K6332" s="124"/>
      <c r="L6332" s="124"/>
      <c r="M6332" s="124"/>
      <c r="N6332" s="124"/>
      <c r="O6332" s="124"/>
    </row>
    <row r="6333">
      <c r="K6333" s="124"/>
      <c r="L6333" s="124"/>
      <c r="M6333" s="124"/>
      <c r="N6333" s="124"/>
      <c r="O6333" s="124"/>
    </row>
    <row r="6334">
      <c r="K6334" s="124"/>
      <c r="L6334" s="124"/>
      <c r="M6334" s="124"/>
      <c r="N6334" s="124"/>
      <c r="O6334" s="124"/>
    </row>
    <row r="6335">
      <c r="K6335" s="124"/>
      <c r="L6335" s="124"/>
      <c r="M6335" s="124"/>
      <c r="N6335" s="124"/>
      <c r="O6335" s="124"/>
    </row>
    <row r="6336">
      <c r="K6336" s="124"/>
      <c r="L6336" s="124"/>
      <c r="M6336" s="124"/>
      <c r="N6336" s="124"/>
      <c r="O6336" s="124"/>
    </row>
    <row r="6337">
      <c r="K6337" s="124"/>
      <c r="L6337" s="124"/>
      <c r="M6337" s="124"/>
      <c r="N6337" s="124"/>
      <c r="O6337" s="124"/>
    </row>
    <row r="6338">
      <c r="K6338" s="124"/>
      <c r="L6338" s="124"/>
      <c r="M6338" s="124"/>
      <c r="N6338" s="124"/>
      <c r="O6338" s="124"/>
    </row>
    <row r="6339">
      <c r="K6339" s="124"/>
      <c r="L6339" s="124"/>
      <c r="M6339" s="124"/>
      <c r="N6339" s="124"/>
      <c r="O6339" s="124"/>
    </row>
    <row r="6340">
      <c r="K6340" s="124"/>
      <c r="L6340" s="124"/>
      <c r="M6340" s="124"/>
      <c r="N6340" s="124"/>
      <c r="O6340" s="124"/>
    </row>
    <row r="6341">
      <c r="K6341" s="124"/>
      <c r="L6341" s="124"/>
      <c r="M6341" s="124"/>
      <c r="N6341" s="124"/>
      <c r="O6341" s="124"/>
    </row>
    <row r="6342">
      <c r="K6342" s="124"/>
      <c r="L6342" s="124"/>
      <c r="M6342" s="124"/>
      <c r="N6342" s="124"/>
      <c r="O6342" s="124"/>
    </row>
    <row r="6343">
      <c r="K6343" s="124"/>
      <c r="L6343" s="124"/>
      <c r="M6343" s="124"/>
      <c r="N6343" s="124"/>
      <c r="O6343" s="124"/>
    </row>
    <row r="6344">
      <c r="K6344" s="124"/>
      <c r="L6344" s="124"/>
      <c r="M6344" s="124"/>
      <c r="N6344" s="124"/>
      <c r="O6344" s="124"/>
    </row>
    <row r="6345">
      <c r="K6345" s="124"/>
      <c r="L6345" s="124"/>
      <c r="M6345" s="124"/>
      <c r="N6345" s="124"/>
      <c r="O6345" s="124"/>
    </row>
    <row r="6346">
      <c r="K6346" s="124"/>
      <c r="L6346" s="124"/>
      <c r="M6346" s="124"/>
      <c r="N6346" s="124"/>
      <c r="O6346" s="124"/>
    </row>
    <row r="6347">
      <c r="K6347" s="124"/>
      <c r="L6347" s="124"/>
      <c r="M6347" s="124"/>
      <c r="N6347" s="124"/>
      <c r="O6347" s="124"/>
    </row>
    <row r="6348">
      <c r="K6348" s="124"/>
      <c r="L6348" s="124"/>
      <c r="M6348" s="124"/>
      <c r="N6348" s="124"/>
      <c r="O6348" s="124"/>
    </row>
    <row r="6349">
      <c r="K6349" s="124"/>
      <c r="L6349" s="124"/>
      <c r="M6349" s="124"/>
      <c r="N6349" s="124"/>
      <c r="O6349" s="124"/>
    </row>
    <row r="6350">
      <c r="K6350" s="124"/>
      <c r="L6350" s="124"/>
      <c r="M6350" s="124"/>
      <c r="N6350" s="124"/>
      <c r="O6350" s="124"/>
    </row>
    <row r="6351">
      <c r="K6351" s="124"/>
      <c r="L6351" s="124"/>
      <c r="M6351" s="124"/>
      <c r="N6351" s="124"/>
      <c r="O6351" s="124"/>
    </row>
    <row r="6352">
      <c r="K6352" s="124"/>
      <c r="L6352" s="124"/>
      <c r="M6352" s="124"/>
      <c r="N6352" s="124"/>
      <c r="O6352" s="124"/>
    </row>
    <row r="6353">
      <c r="K6353" s="124"/>
      <c r="L6353" s="124"/>
      <c r="M6353" s="124"/>
      <c r="N6353" s="124"/>
      <c r="O6353" s="124"/>
    </row>
    <row r="6354">
      <c r="K6354" s="124"/>
      <c r="L6354" s="124"/>
      <c r="M6354" s="124"/>
      <c r="N6354" s="124"/>
      <c r="O6354" s="124"/>
    </row>
    <row r="6355">
      <c r="K6355" s="124"/>
      <c r="L6355" s="124"/>
      <c r="M6355" s="124"/>
      <c r="N6355" s="124"/>
      <c r="O6355" s="124"/>
    </row>
    <row r="6356">
      <c r="K6356" s="124"/>
      <c r="L6356" s="124"/>
      <c r="M6356" s="124"/>
      <c r="N6356" s="124"/>
      <c r="O6356" s="124"/>
    </row>
    <row r="6357">
      <c r="K6357" s="124"/>
      <c r="L6357" s="124"/>
      <c r="M6357" s="124"/>
      <c r="N6357" s="124"/>
      <c r="O6357" s="124"/>
    </row>
    <row r="6358">
      <c r="K6358" s="124"/>
      <c r="L6358" s="124"/>
      <c r="M6358" s="124"/>
      <c r="N6358" s="124"/>
      <c r="O6358" s="124"/>
    </row>
    <row r="6359">
      <c r="K6359" s="124"/>
      <c r="L6359" s="124"/>
      <c r="M6359" s="124"/>
      <c r="N6359" s="124"/>
      <c r="O6359" s="124"/>
    </row>
    <row r="6360">
      <c r="K6360" s="124"/>
      <c r="L6360" s="124"/>
      <c r="M6360" s="124"/>
      <c r="N6360" s="124"/>
      <c r="O6360" s="124"/>
    </row>
    <row r="6361">
      <c r="K6361" s="124"/>
      <c r="L6361" s="124"/>
      <c r="M6361" s="124"/>
      <c r="N6361" s="124"/>
      <c r="O6361" s="124"/>
    </row>
    <row r="6362">
      <c r="K6362" s="124"/>
      <c r="L6362" s="124"/>
      <c r="M6362" s="124"/>
      <c r="N6362" s="124"/>
      <c r="O6362" s="124"/>
    </row>
    <row r="6363">
      <c r="K6363" s="124"/>
      <c r="L6363" s="124"/>
      <c r="M6363" s="124"/>
      <c r="N6363" s="124"/>
      <c r="O6363" s="124"/>
    </row>
    <row r="6364">
      <c r="K6364" s="124"/>
      <c r="L6364" s="124"/>
      <c r="M6364" s="124"/>
      <c r="N6364" s="124"/>
      <c r="O6364" s="124"/>
    </row>
    <row r="6365">
      <c r="K6365" s="124"/>
      <c r="L6365" s="124"/>
      <c r="M6365" s="124"/>
      <c r="N6365" s="124"/>
      <c r="O6365" s="124"/>
    </row>
    <row r="6366">
      <c r="K6366" s="124"/>
      <c r="L6366" s="124"/>
      <c r="M6366" s="124"/>
      <c r="N6366" s="124"/>
      <c r="O6366" s="124"/>
    </row>
    <row r="6367">
      <c r="K6367" s="124"/>
      <c r="L6367" s="124"/>
      <c r="M6367" s="124"/>
      <c r="N6367" s="124"/>
      <c r="O6367" s="124"/>
    </row>
    <row r="6368">
      <c r="K6368" s="124"/>
      <c r="L6368" s="124"/>
      <c r="M6368" s="124"/>
      <c r="N6368" s="124"/>
      <c r="O6368" s="124"/>
    </row>
    <row r="6369">
      <c r="K6369" s="124"/>
      <c r="L6369" s="124"/>
      <c r="M6369" s="124"/>
      <c r="N6369" s="124"/>
      <c r="O6369" s="124"/>
    </row>
    <row r="6370">
      <c r="K6370" s="124"/>
      <c r="L6370" s="124"/>
      <c r="M6370" s="124"/>
      <c r="N6370" s="124"/>
      <c r="O6370" s="124"/>
    </row>
    <row r="6371">
      <c r="K6371" s="124"/>
      <c r="L6371" s="124"/>
      <c r="M6371" s="124"/>
      <c r="N6371" s="124"/>
      <c r="O6371" s="124"/>
    </row>
    <row r="6372">
      <c r="K6372" s="124"/>
      <c r="L6372" s="124"/>
      <c r="M6372" s="124"/>
      <c r="N6372" s="124"/>
      <c r="O6372" s="124"/>
    </row>
    <row r="6373">
      <c r="K6373" s="124"/>
      <c r="L6373" s="124"/>
      <c r="M6373" s="124"/>
      <c r="N6373" s="124"/>
      <c r="O6373" s="124"/>
    </row>
    <row r="6374">
      <c r="K6374" s="124"/>
      <c r="L6374" s="124"/>
      <c r="M6374" s="124"/>
      <c r="N6374" s="124"/>
      <c r="O6374" s="124"/>
    </row>
    <row r="6375">
      <c r="K6375" s="124"/>
      <c r="L6375" s="124"/>
      <c r="M6375" s="124"/>
      <c r="N6375" s="124"/>
      <c r="O6375" s="124"/>
    </row>
    <row r="6376">
      <c r="K6376" s="124"/>
      <c r="L6376" s="124"/>
      <c r="M6376" s="124"/>
      <c r="N6376" s="124"/>
      <c r="O6376" s="124"/>
    </row>
    <row r="6377">
      <c r="K6377" s="124"/>
      <c r="L6377" s="124"/>
      <c r="M6377" s="124"/>
      <c r="N6377" s="124"/>
      <c r="O6377" s="124"/>
    </row>
    <row r="6378">
      <c r="K6378" s="124"/>
      <c r="L6378" s="124"/>
      <c r="M6378" s="124"/>
      <c r="N6378" s="124"/>
      <c r="O6378" s="124"/>
    </row>
    <row r="6379">
      <c r="K6379" s="124"/>
      <c r="L6379" s="124"/>
      <c r="M6379" s="124"/>
      <c r="N6379" s="124"/>
      <c r="O6379" s="124"/>
    </row>
    <row r="6380">
      <c r="K6380" s="124"/>
      <c r="L6380" s="124"/>
      <c r="M6380" s="124"/>
      <c r="N6380" s="124"/>
      <c r="O6380" s="124"/>
    </row>
    <row r="6381">
      <c r="K6381" s="124"/>
      <c r="L6381" s="124"/>
      <c r="M6381" s="124"/>
      <c r="N6381" s="124"/>
      <c r="O6381" s="124"/>
    </row>
    <row r="6382">
      <c r="K6382" s="124"/>
      <c r="L6382" s="124"/>
      <c r="M6382" s="124"/>
      <c r="N6382" s="124"/>
      <c r="O6382" s="124"/>
    </row>
    <row r="6383">
      <c r="K6383" s="124"/>
      <c r="L6383" s="124"/>
      <c r="M6383" s="124"/>
      <c r="N6383" s="124"/>
      <c r="O6383" s="124"/>
    </row>
    <row r="6384">
      <c r="K6384" s="124"/>
      <c r="L6384" s="124"/>
      <c r="M6384" s="124"/>
      <c r="N6384" s="124"/>
      <c r="O6384" s="124"/>
    </row>
    <row r="6385">
      <c r="K6385" s="124"/>
      <c r="L6385" s="124"/>
      <c r="M6385" s="124"/>
      <c r="N6385" s="124"/>
      <c r="O6385" s="124"/>
    </row>
    <row r="6386">
      <c r="K6386" s="124"/>
      <c r="L6386" s="124"/>
      <c r="M6386" s="124"/>
      <c r="N6386" s="124"/>
      <c r="O6386" s="124"/>
    </row>
    <row r="6387">
      <c r="K6387" s="124"/>
      <c r="L6387" s="124"/>
      <c r="M6387" s="124"/>
      <c r="N6387" s="124"/>
      <c r="O6387" s="124"/>
    </row>
    <row r="6388">
      <c r="K6388" s="124"/>
      <c r="L6388" s="124"/>
      <c r="M6388" s="124"/>
      <c r="N6388" s="124"/>
      <c r="O6388" s="124"/>
    </row>
    <row r="6389">
      <c r="K6389" s="124"/>
      <c r="L6389" s="124"/>
      <c r="M6389" s="124"/>
      <c r="N6389" s="124"/>
      <c r="O6389" s="124"/>
    </row>
    <row r="6390">
      <c r="K6390" s="124"/>
      <c r="L6390" s="124"/>
      <c r="M6390" s="124"/>
      <c r="N6390" s="124"/>
      <c r="O6390" s="124"/>
    </row>
    <row r="6391">
      <c r="K6391" s="124"/>
      <c r="L6391" s="124"/>
      <c r="M6391" s="124"/>
      <c r="N6391" s="124"/>
      <c r="O6391" s="124"/>
    </row>
    <row r="6392">
      <c r="K6392" s="124"/>
      <c r="L6392" s="124"/>
      <c r="M6392" s="124"/>
      <c r="N6392" s="124"/>
      <c r="O6392" s="124"/>
    </row>
    <row r="6393">
      <c r="K6393" s="124"/>
      <c r="L6393" s="124"/>
      <c r="M6393" s="124"/>
      <c r="N6393" s="124"/>
      <c r="O6393" s="124"/>
    </row>
    <row r="6394">
      <c r="K6394" s="124"/>
      <c r="L6394" s="124"/>
      <c r="M6394" s="124"/>
      <c r="N6394" s="124"/>
      <c r="O6394" s="124"/>
    </row>
    <row r="6395">
      <c r="K6395" s="124"/>
      <c r="L6395" s="124"/>
      <c r="M6395" s="124"/>
      <c r="N6395" s="124"/>
      <c r="O6395" s="124"/>
    </row>
    <row r="6396">
      <c r="K6396" s="124"/>
      <c r="L6396" s="124"/>
      <c r="M6396" s="124"/>
      <c r="N6396" s="124"/>
      <c r="O6396" s="124"/>
    </row>
    <row r="6397">
      <c r="K6397" s="124"/>
      <c r="L6397" s="124"/>
      <c r="M6397" s="124"/>
      <c r="N6397" s="124"/>
      <c r="O6397" s="124"/>
    </row>
    <row r="6398">
      <c r="K6398" s="124"/>
      <c r="L6398" s="124"/>
      <c r="M6398" s="124"/>
      <c r="N6398" s="124"/>
      <c r="O6398" s="124"/>
    </row>
    <row r="6399">
      <c r="K6399" s="124"/>
      <c r="L6399" s="124"/>
      <c r="M6399" s="124"/>
      <c r="N6399" s="124"/>
      <c r="O6399" s="124"/>
    </row>
    <row r="6400">
      <c r="K6400" s="124"/>
      <c r="L6400" s="124"/>
      <c r="M6400" s="124"/>
      <c r="N6400" s="124"/>
      <c r="O6400" s="124"/>
    </row>
    <row r="6401">
      <c r="K6401" s="124"/>
      <c r="L6401" s="124"/>
      <c r="M6401" s="124"/>
      <c r="N6401" s="124"/>
      <c r="O6401" s="124"/>
    </row>
    <row r="6402">
      <c r="K6402" s="124"/>
      <c r="L6402" s="124"/>
      <c r="M6402" s="124"/>
      <c r="N6402" s="124"/>
      <c r="O6402" s="124"/>
    </row>
    <row r="6403">
      <c r="K6403" s="124"/>
      <c r="L6403" s="124"/>
      <c r="M6403" s="124"/>
      <c r="N6403" s="124"/>
      <c r="O6403" s="124"/>
    </row>
    <row r="6404">
      <c r="K6404" s="124"/>
      <c r="L6404" s="124"/>
      <c r="M6404" s="124"/>
      <c r="N6404" s="124"/>
      <c r="O6404" s="124"/>
    </row>
    <row r="6405">
      <c r="K6405" s="124"/>
      <c r="L6405" s="124"/>
      <c r="M6405" s="124"/>
      <c r="N6405" s="124"/>
      <c r="O6405" s="124"/>
    </row>
    <row r="6406">
      <c r="K6406" s="124"/>
      <c r="L6406" s="124"/>
      <c r="M6406" s="124"/>
      <c r="N6406" s="124"/>
      <c r="O6406" s="124"/>
    </row>
    <row r="6407">
      <c r="K6407" s="124"/>
      <c r="L6407" s="124"/>
      <c r="M6407" s="124"/>
      <c r="N6407" s="124"/>
      <c r="O6407" s="124"/>
    </row>
    <row r="6408">
      <c r="K6408" s="124"/>
      <c r="L6408" s="124"/>
      <c r="M6408" s="124"/>
      <c r="N6408" s="124"/>
      <c r="O6408" s="124"/>
    </row>
    <row r="6409">
      <c r="K6409" s="124"/>
      <c r="L6409" s="124"/>
      <c r="M6409" s="124"/>
      <c r="N6409" s="124"/>
      <c r="O6409" s="124"/>
    </row>
    <row r="6410">
      <c r="K6410" s="124"/>
      <c r="L6410" s="124"/>
      <c r="M6410" s="124"/>
      <c r="N6410" s="124"/>
      <c r="O6410" s="124"/>
    </row>
    <row r="6411">
      <c r="K6411" s="124"/>
      <c r="L6411" s="124"/>
      <c r="M6411" s="124"/>
      <c r="N6411" s="124"/>
      <c r="O6411" s="124"/>
    </row>
    <row r="6412">
      <c r="K6412" s="124"/>
      <c r="L6412" s="124"/>
      <c r="M6412" s="124"/>
      <c r="N6412" s="124"/>
      <c r="O6412" s="124"/>
    </row>
    <row r="6413">
      <c r="K6413" s="124"/>
      <c r="L6413" s="124"/>
      <c r="M6413" s="124"/>
      <c r="N6413" s="124"/>
      <c r="O6413" s="124"/>
    </row>
    <row r="6414">
      <c r="K6414" s="124"/>
      <c r="L6414" s="124"/>
      <c r="M6414" s="124"/>
      <c r="N6414" s="124"/>
      <c r="O6414" s="124"/>
    </row>
    <row r="6415">
      <c r="K6415" s="124"/>
      <c r="L6415" s="124"/>
      <c r="M6415" s="124"/>
      <c r="N6415" s="124"/>
      <c r="O6415" s="124"/>
    </row>
    <row r="6416">
      <c r="K6416" s="124"/>
      <c r="L6416" s="124"/>
      <c r="M6416" s="124"/>
      <c r="N6416" s="124"/>
      <c r="O6416" s="124"/>
    </row>
    <row r="6417">
      <c r="K6417" s="124"/>
      <c r="L6417" s="124"/>
      <c r="M6417" s="124"/>
      <c r="N6417" s="124"/>
      <c r="O6417" s="124"/>
    </row>
    <row r="6418">
      <c r="K6418" s="124"/>
      <c r="L6418" s="124"/>
      <c r="M6418" s="124"/>
      <c r="N6418" s="124"/>
      <c r="O6418" s="124"/>
    </row>
    <row r="6419">
      <c r="K6419" s="124"/>
      <c r="L6419" s="124"/>
      <c r="M6419" s="124"/>
      <c r="N6419" s="124"/>
      <c r="O6419" s="124"/>
    </row>
    <row r="6420">
      <c r="K6420" s="124"/>
      <c r="L6420" s="124"/>
      <c r="M6420" s="124"/>
      <c r="N6420" s="124"/>
      <c r="O6420" s="124"/>
    </row>
    <row r="6421">
      <c r="K6421" s="124"/>
      <c r="L6421" s="124"/>
      <c r="M6421" s="124"/>
      <c r="N6421" s="124"/>
      <c r="O6421" s="124"/>
    </row>
    <row r="6422">
      <c r="K6422" s="124"/>
      <c r="L6422" s="124"/>
      <c r="M6422" s="124"/>
      <c r="N6422" s="124"/>
      <c r="O6422" s="124"/>
    </row>
    <row r="6423">
      <c r="K6423" s="124"/>
      <c r="L6423" s="124"/>
      <c r="M6423" s="124"/>
      <c r="N6423" s="124"/>
      <c r="O6423" s="124"/>
    </row>
    <row r="6424">
      <c r="K6424" s="124"/>
      <c r="L6424" s="124"/>
      <c r="M6424" s="124"/>
      <c r="N6424" s="124"/>
      <c r="O6424" s="124"/>
    </row>
    <row r="6425">
      <c r="K6425" s="124"/>
      <c r="L6425" s="124"/>
      <c r="M6425" s="124"/>
      <c r="N6425" s="124"/>
      <c r="O6425" s="124"/>
    </row>
    <row r="6426">
      <c r="K6426" s="124"/>
      <c r="L6426" s="124"/>
      <c r="M6426" s="124"/>
      <c r="N6426" s="124"/>
      <c r="O6426" s="124"/>
    </row>
    <row r="6427">
      <c r="K6427" s="124"/>
      <c r="L6427" s="124"/>
      <c r="M6427" s="124"/>
      <c r="N6427" s="124"/>
      <c r="O6427" s="124"/>
    </row>
    <row r="6428">
      <c r="K6428" s="124"/>
      <c r="L6428" s="124"/>
      <c r="M6428" s="124"/>
      <c r="N6428" s="124"/>
      <c r="O6428" s="124"/>
    </row>
    <row r="6429">
      <c r="K6429" s="124"/>
      <c r="L6429" s="124"/>
      <c r="M6429" s="124"/>
      <c r="N6429" s="124"/>
      <c r="O6429" s="124"/>
    </row>
    <row r="6430">
      <c r="K6430" s="124"/>
      <c r="L6430" s="124"/>
      <c r="M6430" s="124"/>
      <c r="N6430" s="124"/>
      <c r="O6430" s="124"/>
    </row>
    <row r="6431">
      <c r="K6431" s="124"/>
      <c r="L6431" s="124"/>
      <c r="M6431" s="124"/>
      <c r="N6431" s="124"/>
      <c r="O6431" s="124"/>
    </row>
    <row r="6432">
      <c r="K6432" s="124"/>
      <c r="L6432" s="124"/>
      <c r="M6432" s="124"/>
      <c r="N6432" s="124"/>
      <c r="O6432" s="124"/>
    </row>
    <row r="6433">
      <c r="K6433" s="124"/>
      <c r="L6433" s="124"/>
      <c r="M6433" s="124"/>
      <c r="N6433" s="124"/>
      <c r="O6433" s="124"/>
    </row>
    <row r="6434">
      <c r="K6434" s="124"/>
      <c r="L6434" s="124"/>
      <c r="M6434" s="124"/>
      <c r="N6434" s="124"/>
      <c r="O6434" s="124"/>
    </row>
    <row r="6435">
      <c r="K6435" s="124"/>
      <c r="L6435" s="124"/>
      <c r="M6435" s="124"/>
      <c r="N6435" s="124"/>
      <c r="O6435" s="124"/>
    </row>
    <row r="6436">
      <c r="K6436" s="124"/>
      <c r="L6436" s="124"/>
      <c r="M6436" s="124"/>
      <c r="N6436" s="124"/>
      <c r="O6436" s="124"/>
    </row>
    <row r="6437">
      <c r="K6437" s="124"/>
      <c r="L6437" s="124"/>
      <c r="M6437" s="124"/>
      <c r="N6437" s="124"/>
      <c r="O6437" s="124"/>
    </row>
    <row r="6438">
      <c r="K6438" s="124"/>
      <c r="L6438" s="124"/>
      <c r="M6438" s="124"/>
      <c r="N6438" s="124"/>
      <c r="O6438" s="124"/>
    </row>
    <row r="6439">
      <c r="K6439" s="124"/>
      <c r="L6439" s="124"/>
      <c r="M6439" s="124"/>
      <c r="N6439" s="124"/>
      <c r="O6439" s="124"/>
    </row>
    <row r="6440">
      <c r="K6440" s="124"/>
      <c r="L6440" s="124"/>
      <c r="M6440" s="124"/>
      <c r="N6440" s="124"/>
      <c r="O6440" s="124"/>
    </row>
    <row r="6441">
      <c r="K6441" s="124"/>
      <c r="L6441" s="124"/>
      <c r="M6441" s="124"/>
      <c r="N6441" s="124"/>
      <c r="O6441" s="124"/>
    </row>
    <row r="6442">
      <c r="K6442" s="124"/>
      <c r="L6442" s="124"/>
      <c r="M6442" s="124"/>
      <c r="N6442" s="124"/>
      <c r="O6442" s="124"/>
    </row>
    <row r="6443">
      <c r="K6443" s="124"/>
      <c r="L6443" s="124"/>
      <c r="M6443" s="124"/>
      <c r="N6443" s="124"/>
      <c r="O6443" s="124"/>
    </row>
    <row r="6444">
      <c r="K6444" s="124"/>
      <c r="L6444" s="124"/>
      <c r="M6444" s="124"/>
      <c r="N6444" s="124"/>
      <c r="O6444" s="124"/>
    </row>
    <row r="6445">
      <c r="K6445" s="124"/>
      <c r="L6445" s="124"/>
      <c r="M6445" s="124"/>
      <c r="N6445" s="124"/>
      <c r="O6445" s="124"/>
    </row>
    <row r="6446">
      <c r="K6446" s="124"/>
      <c r="L6446" s="124"/>
      <c r="M6446" s="124"/>
      <c r="N6446" s="124"/>
      <c r="O6446" s="124"/>
    </row>
    <row r="6447">
      <c r="K6447" s="124"/>
      <c r="L6447" s="124"/>
      <c r="M6447" s="124"/>
      <c r="N6447" s="124"/>
      <c r="O6447" s="124"/>
    </row>
    <row r="6448">
      <c r="K6448" s="124"/>
      <c r="L6448" s="124"/>
      <c r="M6448" s="124"/>
      <c r="N6448" s="124"/>
      <c r="O6448" s="124"/>
    </row>
    <row r="6449">
      <c r="K6449" s="124"/>
      <c r="L6449" s="124"/>
      <c r="M6449" s="124"/>
      <c r="N6449" s="124"/>
      <c r="O6449" s="124"/>
    </row>
    <row r="6450">
      <c r="K6450" s="124"/>
      <c r="L6450" s="124"/>
      <c r="M6450" s="124"/>
      <c r="N6450" s="124"/>
      <c r="O6450" s="124"/>
    </row>
    <row r="6451">
      <c r="K6451" s="124"/>
      <c r="L6451" s="124"/>
      <c r="M6451" s="124"/>
      <c r="N6451" s="124"/>
      <c r="O6451" s="124"/>
    </row>
    <row r="6452">
      <c r="K6452" s="124"/>
      <c r="L6452" s="124"/>
      <c r="M6452" s="124"/>
      <c r="N6452" s="124"/>
      <c r="O6452" s="124"/>
    </row>
    <row r="6453">
      <c r="K6453" s="124"/>
      <c r="L6453" s="124"/>
      <c r="M6453" s="124"/>
      <c r="N6453" s="124"/>
      <c r="O6453" s="124"/>
    </row>
    <row r="6454">
      <c r="K6454" s="124"/>
      <c r="L6454" s="124"/>
      <c r="M6454" s="124"/>
      <c r="N6454" s="124"/>
      <c r="O6454" s="124"/>
    </row>
    <row r="6455">
      <c r="K6455" s="124"/>
      <c r="L6455" s="124"/>
      <c r="M6455" s="124"/>
      <c r="N6455" s="124"/>
      <c r="O6455" s="124"/>
    </row>
    <row r="6456">
      <c r="K6456" s="124"/>
      <c r="L6456" s="124"/>
      <c r="M6456" s="124"/>
      <c r="N6456" s="124"/>
      <c r="O6456" s="124"/>
    </row>
    <row r="6457">
      <c r="K6457" s="124"/>
      <c r="L6457" s="124"/>
      <c r="M6457" s="124"/>
      <c r="N6457" s="124"/>
      <c r="O6457" s="124"/>
    </row>
    <row r="6458">
      <c r="K6458" s="124"/>
      <c r="L6458" s="124"/>
      <c r="M6458" s="124"/>
      <c r="N6458" s="124"/>
      <c r="O6458" s="124"/>
    </row>
    <row r="6459">
      <c r="K6459" s="124"/>
      <c r="L6459" s="124"/>
      <c r="M6459" s="124"/>
      <c r="N6459" s="124"/>
      <c r="O6459" s="124"/>
    </row>
    <row r="6460">
      <c r="K6460" s="124"/>
      <c r="L6460" s="124"/>
      <c r="M6460" s="124"/>
      <c r="N6460" s="124"/>
      <c r="O6460" s="124"/>
    </row>
    <row r="6461">
      <c r="K6461" s="124"/>
      <c r="L6461" s="124"/>
      <c r="M6461" s="124"/>
      <c r="N6461" s="124"/>
      <c r="O6461" s="124"/>
    </row>
    <row r="6462">
      <c r="K6462" s="124"/>
      <c r="L6462" s="124"/>
      <c r="M6462" s="124"/>
      <c r="N6462" s="124"/>
      <c r="O6462" s="124"/>
    </row>
    <row r="6463">
      <c r="K6463" s="124"/>
      <c r="L6463" s="124"/>
      <c r="M6463" s="124"/>
      <c r="N6463" s="124"/>
      <c r="O6463" s="124"/>
    </row>
    <row r="6464">
      <c r="K6464" s="124"/>
      <c r="L6464" s="124"/>
      <c r="M6464" s="124"/>
      <c r="N6464" s="124"/>
      <c r="O6464" s="124"/>
    </row>
    <row r="6465">
      <c r="K6465" s="124"/>
      <c r="L6465" s="124"/>
      <c r="M6465" s="124"/>
      <c r="N6465" s="124"/>
      <c r="O6465" s="124"/>
    </row>
    <row r="6466">
      <c r="K6466" s="124"/>
      <c r="L6466" s="124"/>
      <c r="M6466" s="124"/>
      <c r="N6466" s="124"/>
      <c r="O6466" s="124"/>
    </row>
    <row r="6467">
      <c r="K6467" s="124"/>
      <c r="L6467" s="124"/>
      <c r="M6467" s="124"/>
      <c r="N6467" s="124"/>
      <c r="O6467" s="124"/>
    </row>
    <row r="6468">
      <c r="K6468" s="124"/>
      <c r="L6468" s="124"/>
      <c r="M6468" s="124"/>
      <c r="N6468" s="124"/>
      <c r="O6468" s="124"/>
    </row>
    <row r="6469">
      <c r="K6469" s="124"/>
      <c r="L6469" s="124"/>
      <c r="M6469" s="124"/>
      <c r="N6469" s="124"/>
      <c r="O6469" s="124"/>
    </row>
    <row r="6470">
      <c r="K6470" s="124"/>
      <c r="L6470" s="124"/>
      <c r="M6470" s="124"/>
      <c r="N6470" s="124"/>
      <c r="O6470" s="124"/>
    </row>
    <row r="6471">
      <c r="K6471" s="124"/>
      <c r="L6471" s="124"/>
      <c r="M6471" s="124"/>
      <c r="N6471" s="124"/>
      <c r="O6471" s="124"/>
    </row>
    <row r="6472">
      <c r="K6472" s="124"/>
      <c r="L6472" s="124"/>
      <c r="M6472" s="124"/>
      <c r="N6472" s="124"/>
      <c r="O6472" s="124"/>
    </row>
    <row r="6473">
      <c r="K6473" s="124"/>
      <c r="L6473" s="124"/>
      <c r="M6473" s="124"/>
      <c r="N6473" s="124"/>
      <c r="O6473" s="124"/>
    </row>
    <row r="6474">
      <c r="K6474" s="124"/>
      <c r="L6474" s="124"/>
      <c r="M6474" s="124"/>
      <c r="N6474" s="124"/>
      <c r="O6474" s="124"/>
    </row>
    <row r="6475">
      <c r="K6475" s="124"/>
      <c r="L6475" s="124"/>
      <c r="M6475" s="124"/>
      <c r="N6475" s="124"/>
      <c r="O6475" s="124"/>
    </row>
    <row r="6476">
      <c r="K6476" s="124"/>
      <c r="L6476" s="124"/>
      <c r="M6476" s="124"/>
      <c r="N6476" s="124"/>
      <c r="O6476" s="124"/>
    </row>
    <row r="6477">
      <c r="K6477" s="124"/>
      <c r="L6477" s="124"/>
      <c r="M6477" s="124"/>
      <c r="N6477" s="124"/>
      <c r="O6477" s="124"/>
    </row>
    <row r="6478">
      <c r="K6478" s="124"/>
      <c r="L6478" s="124"/>
      <c r="M6478" s="124"/>
      <c r="N6478" s="124"/>
      <c r="O6478" s="124"/>
    </row>
    <row r="6479">
      <c r="K6479" s="124"/>
      <c r="L6479" s="124"/>
      <c r="M6479" s="124"/>
      <c r="N6479" s="124"/>
      <c r="O6479" s="124"/>
    </row>
    <row r="6480">
      <c r="K6480" s="124"/>
      <c r="L6480" s="124"/>
      <c r="M6480" s="124"/>
      <c r="N6480" s="124"/>
      <c r="O6480" s="124"/>
    </row>
    <row r="6481">
      <c r="K6481" s="124"/>
      <c r="L6481" s="124"/>
      <c r="M6481" s="124"/>
      <c r="N6481" s="124"/>
      <c r="O6481" s="124"/>
    </row>
    <row r="6482">
      <c r="K6482" s="124"/>
      <c r="L6482" s="124"/>
      <c r="M6482" s="124"/>
      <c r="N6482" s="124"/>
      <c r="O6482" s="124"/>
    </row>
    <row r="6483">
      <c r="K6483" s="124"/>
      <c r="L6483" s="124"/>
      <c r="M6483" s="124"/>
      <c r="N6483" s="124"/>
      <c r="O6483" s="124"/>
    </row>
    <row r="6484">
      <c r="K6484" s="124"/>
      <c r="L6484" s="124"/>
      <c r="M6484" s="124"/>
      <c r="N6484" s="124"/>
      <c r="O6484" s="124"/>
    </row>
    <row r="6485">
      <c r="K6485" s="124"/>
      <c r="L6485" s="124"/>
      <c r="M6485" s="124"/>
      <c r="N6485" s="124"/>
      <c r="O6485" s="124"/>
    </row>
    <row r="6486">
      <c r="K6486" s="124"/>
      <c r="L6486" s="124"/>
      <c r="M6486" s="124"/>
      <c r="N6486" s="124"/>
      <c r="O6486" s="124"/>
    </row>
    <row r="6487">
      <c r="K6487" s="124"/>
      <c r="L6487" s="124"/>
      <c r="M6487" s="124"/>
      <c r="N6487" s="124"/>
      <c r="O6487" s="124"/>
    </row>
    <row r="6488">
      <c r="K6488" s="124"/>
      <c r="L6488" s="124"/>
      <c r="M6488" s="124"/>
      <c r="N6488" s="124"/>
      <c r="O6488" s="124"/>
    </row>
    <row r="6489">
      <c r="K6489" s="124"/>
      <c r="L6489" s="124"/>
      <c r="M6489" s="124"/>
      <c r="N6489" s="124"/>
      <c r="O6489" s="124"/>
    </row>
    <row r="6490">
      <c r="K6490" s="124"/>
      <c r="L6490" s="124"/>
      <c r="M6490" s="124"/>
      <c r="N6490" s="124"/>
      <c r="O6490" s="124"/>
    </row>
    <row r="6491">
      <c r="K6491" s="124"/>
      <c r="L6491" s="124"/>
      <c r="M6491" s="124"/>
      <c r="N6491" s="124"/>
      <c r="O6491" s="124"/>
    </row>
    <row r="6492">
      <c r="K6492" s="124"/>
      <c r="L6492" s="124"/>
      <c r="M6492" s="124"/>
      <c r="N6492" s="124"/>
      <c r="O6492" s="124"/>
    </row>
    <row r="6493">
      <c r="K6493" s="124"/>
      <c r="L6493" s="124"/>
      <c r="M6493" s="124"/>
      <c r="N6493" s="124"/>
      <c r="O6493" s="124"/>
    </row>
    <row r="6494">
      <c r="K6494" s="124"/>
      <c r="L6494" s="124"/>
      <c r="M6494" s="124"/>
      <c r="N6494" s="124"/>
      <c r="O6494" s="124"/>
    </row>
    <row r="6495">
      <c r="K6495" s="124"/>
      <c r="L6495" s="124"/>
      <c r="M6495" s="124"/>
      <c r="N6495" s="124"/>
      <c r="O6495" s="124"/>
    </row>
    <row r="6496">
      <c r="K6496" s="124"/>
      <c r="L6496" s="124"/>
      <c r="M6496" s="124"/>
      <c r="N6496" s="124"/>
      <c r="O6496" s="124"/>
    </row>
    <row r="6497">
      <c r="K6497" s="124"/>
      <c r="L6497" s="124"/>
      <c r="M6497" s="124"/>
      <c r="N6497" s="124"/>
      <c r="O6497" s="124"/>
    </row>
    <row r="6498">
      <c r="K6498" s="124"/>
      <c r="L6498" s="124"/>
      <c r="M6498" s="124"/>
      <c r="N6498" s="124"/>
      <c r="O6498" s="124"/>
    </row>
    <row r="6499">
      <c r="K6499" s="124"/>
      <c r="L6499" s="124"/>
      <c r="M6499" s="124"/>
      <c r="N6499" s="124"/>
      <c r="O6499" s="124"/>
    </row>
    <row r="6500">
      <c r="K6500" s="124"/>
      <c r="L6500" s="124"/>
      <c r="M6500" s="124"/>
      <c r="N6500" s="124"/>
      <c r="O6500" s="124"/>
    </row>
    <row r="6501">
      <c r="K6501" s="124"/>
      <c r="L6501" s="124"/>
      <c r="M6501" s="124"/>
      <c r="N6501" s="124"/>
      <c r="O6501" s="124"/>
    </row>
    <row r="6502">
      <c r="K6502" s="124"/>
      <c r="L6502" s="124"/>
      <c r="M6502" s="124"/>
      <c r="N6502" s="124"/>
      <c r="O6502" s="124"/>
    </row>
    <row r="6503">
      <c r="K6503" s="124"/>
      <c r="L6503" s="124"/>
      <c r="M6503" s="124"/>
      <c r="N6503" s="124"/>
      <c r="O6503" s="124"/>
    </row>
    <row r="6504">
      <c r="K6504" s="124"/>
      <c r="L6504" s="124"/>
      <c r="M6504" s="124"/>
      <c r="N6504" s="124"/>
      <c r="O6504" s="124"/>
    </row>
    <row r="6505">
      <c r="K6505" s="124"/>
      <c r="L6505" s="124"/>
      <c r="M6505" s="124"/>
      <c r="N6505" s="124"/>
      <c r="O6505" s="124"/>
    </row>
    <row r="6506">
      <c r="K6506" s="124"/>
      <c r="L6506" s="124"/>
      <c r="M6506" s="124"/>
      <c r="N6506" s="124"/>
      <c r="O6506" s="124"/>
    </row>
    <row r="6507">
      <c r="K6507" s="124"/>
      <c r="L6507" s="124"/>
      <c r="M6507" s="124"/>
      <c r="N6507" s="124"/>
      <c r="O6507" s="124"/>
    </row>
    <row r="6508">
      <c r="K6508" s="124"/>
      <c r="L6508" s="124"/>
      <c r="M6508" s="124"/>
      <c r="N6508" s="124"/>
      <c r="O6508" s="124"/>
    </row>
    <row r="6509">
      <c r="K6509" s="124"/>
      <c r="L6509" s="124"/>
      <c r="M6509" s="124"/>
      <c r="N6509" s="124"/>
      <c r="O6509" s="124"/>
    </row>
    <row r="6510">
      <c r="K6510" s="124"/>
      <c r="L6510" s="124"/>
      <c r="M6510" s="124"/>
      <c r="N6510" s="124"/>
      <c r="O6510" s="124"/>
    </row>
    <row r="6511">
      <c r="K6511" s="124"/>
      <c r="L6511" s="124"/>
      <c r="M6511" s="124"/>
      <c r="N6511" s="124"/>
      <c r="O6511" s="124"/>
    </row>
    <row r="6512">
      <c r="K6512" s="124"/>
      <c r="L6512" s="124"/>
      <c r="M6512" s="124"/>
      <c r="N6512" s="124"/>
      <c r="O6512" s="124"/>
    </row>
    <row r="6513">
      <c r="K6513" s="124"/>
      <c r="L6513" s="124"/>
      <c r="M6513" s="124"/>
      <c r="N6513" s="124"/>
      <c r="O6513" s="124"/>
    </row>
    <row r="6514">
      <c r="K6514" s="124"/>
      <c r="L6514" s="124"/>
      <c r="M6514" s="124"/>
      <c r="N6514" s="124"/>
      <c r="O6514" s="124"/>
    </row>
    <row r="6515">
      <c r="K6515" s="124"/>
      <c r="L6515" s="124"/>
      <c r="M6515" s="124"/>
      <c r="N6515" s="124"/>
      <c r="O6515" s="124"/>
    </row>
    <row r="6516">
      <c r="K6516" s="124"/>
      <c r="L6516" s="124"/>
      <c r="M6516" s="124"/>
      <c r="N6516" s="124"/>
      <c r="O6516" s="124"/>
    </row>
    <row r="6517">
      <c r="K6517" s="124"/>
      <c r="L6517" s="124"/>
      <c r="M6517" s="124"/>
      <c r="N6517" s="124"/>
      <c r="O6517" s="124"/>
    </row>
    <row r="6518">
      <c r="K6518" s="124"/>
      <c r="L6518" s="124"/>
      <c r="M6518" s="124"/>
      <c r="N6518" s="124"/>
      <c r="O6518" s="124"/>
    </row>
    <row r="6519">
      <c r="K6519" s="124"/>
      <c r="L6519" s="124"/>
      <c r="M6519" s="124"/>
      <c r="N6519" s="124"/>
      <c r="O6519" s="124"/>
    </row>
    <row r="6520">
      <c r="K6520" s="124"/>
      <c r="L6520" s="124"/>
      <c r="M6520" s="124"/>
      <c r="N6520" s="124"/>
      <c r="O6520" s="124"/>
    </row>
    <row r="6521">
      <c r="K6521" s="124"/>
      <c r="L6521" s="124"/>
      <c r="M6521" s="124"/>
      <c r="N6521" s="124"/>
      <c r="O6521" s="124"/>
    </row>
    <row r="6522">
      <c r="K6522" s="124"/>
      <c r="L6522" s="124"/>
      <c r="M6522" s="124"/>
      <c r="N6522" s="124"/>
      <c r="O6522" s="124"/>
    </row>
    <row r="6523">
      <c r="K6523" s="124"/>
      <c r="L6523" s="124"/>
      <c r="M6523" s="124"/>
      <c r="N6523" s="124"/>
      <c r="O6523" s="124"/>
    </row>
    <row r="6524">
      <c r="K6524" s="124"/>
      <c r="L6524" s="124"/>
      <c r="M6524" s="124"/>
      <c r="N6524" s="124"/>
      <c r="O6524" s="124"/>
    </row>
    <row r="6525">
      <c r="K6525" s="124"/>
      <c r="L6525" s="124"/>
      <c r="M6525" s="124"/>
      <c r="N6525" s="124"/>
      <c r="O6525" s="124"/>
    </row>
    <row r="6526">
      <c r="K6526" s="124"/>
      <c r="L6526" s="124"/>
      <c r="M6526" s="124"/>
      <c r="N6526" s="124"/>
      <c r="O6526" s="124"/>
    </row>
    <row r="6527">
      <c r="K6527" s="124"/>
      <c r="L6527" s="124"/>
      <c r="M6527" s="124"/>
      <c r="N6527" s="124"/>
      <c r="O6527" s="124"/>
    </row>
    <row r="6528">
      <c r="K6528" s="124"/>
      <c r="L6528" s="124"/>
      <c r="M6528" s="124"/>
      <c r="N6528" s="124"/>
      <c r="O6528" s="124"/>
    </row>
    <row r="6529">
      <c r="K6529" s="124"/>
      <c r="L6529" s="124"/>
      <c r="M6529" s="124"/>
      <c r="N6529" s="124"/>
      <c r="O6529" s="124"/>
    </row>
    <row r="6530">
      <c r="K6530" s="124"/>
      <c r="L6530" s="124"/>
      <c r="M6530" s="124"/>
      <c r="N6530" s="124"/>
      <c r="O6530" s="124"/>
    </row>
    <row r="6531">
      <c r="K6531" s="124"/>
      <c r="L6531" s="124"/>
      <c r="M6531" s="124"/>
      <c r="N6531" s="124"/>
      <c r="O6531" s="124"/>
    </row>
    <row r="6532">
      <c r="K6532" s="124"/>
      <c r="L6532" s="124"/>
      <c r="M6532" s="124"/>
      <c r="N6532" s="124"/>
      <c r="O6532" s="124"/>
    </row>
    <row r="6533">
      <c r="K6533" s="124"/>
      <c r="L6533" s="124"/>
      <c r="M6533" s="124"/>
      <c r="N6533" s="124"/>
      <c r="O6533" s="124"/>
    </row>
    <row r="6534">
      <c r="K6534" s="124"/>
      <c r="L6534" s="124"/>
      <c r="M6534" s="124"/>
      <c r="N6534" s="124"/>
      <c r="O6534" s="124"/>
    </row>
    <row r="6535">
      <c r="K6535" s="124"/>
      <c r="L6535" s="124"/>
      <c r="M6535" s="124"/>
      <c r="N6535" s="124"/>
      <c r="O6535" s="124"/>
    </row>
    <row r="6536">
      <c r="K6536" s="124"/>
      <c r="L6536" s="124"/>
      <c r="M6536" s="124"/>
      <c r="N6536" s="124"/>
      <c r="O6536" s="124"/>
    </row>
    <row r="6537">
      <c r="K6537" s="124"/>
      <c r="L6537" s="124"/>
      <c r="M6537" s="124"/>
      <c r="N6537" s="124"/>
      <c r="O6537" s="124"/>
    </row>
    <row r="6538">
      <c r="K6538" s="124"/>
      <c r="L6538" s="124"/>
      <c r="M6538" s="124"/>
      <c r="N6538" s="124"/>
      <c r="O6538" s="124"/>
    </row>
    <row r="6539">
      <c r="K6539" s="124"/>
      <c r="L6539" s="124"/>
      <c r="M6539" s="124"/>
      <c r="N6539" s="124"/>
      <c r="O6539" s="124"/>
    </row>
    <row r="6540">
      <c r="K6540" s="124"/>
      <c r="L6540" s="124"/>
      <c r="M6540" s="124"/>
      <c r="N6540" s="124"/>
      <c r="O6540" s="124"/>
    </row>
    <row r="6541">
      <c r="K6541" s="124"/>
      <c r="L6541" s="124"/>
      <c r="M6541" s="124"/>
      <c r="N6541" s="124"/>
      <c r="O6541" s="124"/>
    </row>
    <row r="6542">
      <c r="K6542" s="124"/>
      <c r="L6542" s="124"/>
      <c r="M6542" s="124"/>
      <c r="N6542" s="124"/>
      <c r="O6542" s="124"/>
    </row>
    <row r="6543">
      <c r="K6543" s="124"/>
      <c r="L6543" s="124"/>
      <c r="M6543" s="124"/>
      <c r="N6543" s="124"/>
      <c r="O6543" s="124"/>
    </row>
    <row r="6544">
      <c r="K6544" s="124"/>
      <c r="L6544" s="124"/>
      <c r="M6544" s="124"/>
      <c r="N6544" s="124"/>
      <c r="O6544" s="124"/>
    </row>
    <row r="6545">
      <c r="K6545" s="124"/>
      <c r="L6545" s="124"/>
      <c r="M6545" s="124"/>
      <c r="N6545" s="124"/>
      <c r="O6545" s="124"/>
    </row>
    <row r="6546">
      <c r="K6546" s="124"/>
      <c r="L6546" s="124"/>
      <c r="M6546" s="124"/>
      <c r="N6546" s="124"/>
      <c r="O6546" s="124"/>
    </row>
    <row r="6547">
      <c r="K6547" s="124"/>
      <c r="L6547" s="124"/>
      <c r="M6547" s="124"/>
      <c r="N6547" s="124"/>
      <c r="O6547" s="124"/>
    </row>
    <row r="6548">
      <c r="K6548" s="124"/>
      <c r="L6548" s="124"/>
      <c r="M6548" s="124"/>
      <c r="N6548" s="124"/>
      <c r="O6548" s="124"/>
    </row>
    <row r="6549">
      <c r="K6549" s="124"/>
      <c r="L6549" s="124"/>
      <c r="M6549" s="124"/>
      <c r="N6549" s="124"/>
      <c r="O6549" s="124"/>
    </row>
    <row r="6550">
      <c r="K6550" s="124"/>
      <c r="L6550" s="124"/>
      <c r="M6550" s="124"/>
      <c r="N6550" s="124"/>
      <c r="O6550" s="124"/>
    </row>
    <row r="6551">
      <c r="K6551" s="124"/>
      <c r="L6551" s="124"/>
      <c r="M6551" s="124"/>
      <c r="N6551" s="124"/>
      <c r="O6551" s="124"/>
    </row>
    <row r="6552">
      <c r="K6552" s="124"/>
      <c r="L6552" s="124"/>
      <c r="M6552" s="124"/>
      <c r="N6552" s="124"/>
      <c r="O6552" s="124"/>
    </row>
    <row r="6553">
      <c r="K6553" s="124"/>
      <c r="L6553" s="124"/>
      <c r="M6553" s="124"/>
      <c r="N6553" s="124"/>
      <c r="O6553" s="124"/>
    </row>
    <row r="6554">
      <c r="K6554" s="124"/>
      <c r="L6554" s="124"/>
      <c r="M6554" s="124"/>
      <c r="N6554" s="124"/>
      <c r="O6554" s="124"/>
    </row>
    <row r="6555">
      <c r="K6555" s="124"/>
      <c r="L6555" s="124"/>
      <c r="M6555" s="124"/>
      <c r="N6555" s="124"/>
      <c r="O6555" s="124"/>
    </row>
    <row r="6556">
      <c r="K6556" s="124"/>
      <c r="L6556" s="124"/>
      <c r="M6556" s="124"/>
      <c r="N6556" s="124"/>
      <c r="O6556" s="124"/>
    </row>
    <row r="6557">
      <c r="K6557" s="124"/>
      <c r="L6557" s="124"/>
      <c r="M6557" s="124"/>
      <c r="N6557" s="124"/>
      <c r="O6557" s="124"/>
    </row>
    <row r="6558">
      <c r="K6558" s="124"/>
      <c r="L6558" s="124"/>
      <c r="M6558" s="124"/>
      <c r="N6558" s="124"/>
      <c r="O6558" s="124"/>
    </row>
    <row r="6559">
      <c r="K6559" s="124"/>
      <c r="L6559" s="124"/>
      <c r="M6559" s="124"/>
      <c r="N6559" s="124"/>
      <c r="O6559" s="124"/>
    </row>
    <row r="6560">
      <c r="K6560" s="124"/>
      <c r="L6560" s="124"/>
      <c r="M6560" s="124"/>
      <c r="N6560" s="124"/>
      <c r="O6560" s="124"/>
    </row>
    <row r="6561">
      <c r="K6561" s="124"/>
      <c r="L6561" s="124"/>
      <c r="M6561" s="124"/>
      <c r="N6561" s="124"/>
      <c r="O6561" s="124"/>
    </row>
    <row r="6562">
      <c r="K6562" s="124"/>
      <c r="L6562" s="124"/>
      <c r="M6562" s="124"/>
      <c r="N6562" s="124"/>
      <c r="O6562" s="124"/>
    </row>
    <row r="6563">
      <c r="K6563" s="124"/>
      <c r="L6563" s="124"/>
      <c r="M6563" s="124"/>
      <c r="N6563" s="124"/>
      <c r="O6563" s="124"/>
    </row>
    <row r="6564">
      <c r="K6564" s="124"/>
      <c r="L6564" s="124"/>
      <c r="M6564" s="124"/>
      <c r="N6564" s="124"/>
      <c r="O6564" s="124"/>
    </row>
    <row r="6565">
      <c r="K6565" s="124"/>
      <c r="L6565" s="124"/>
      <c r="M6565" s="124"/>
      <c r="N6565" s="124"/>
      <c r="O6565" s="124"/>
    </row>
    <row r="6566">
      <c r="K6566" s="124"/>
      <c r="L6566" s="124"/>
      <c r="M6566" s="124"/>
      <c r="N6566" s="124"/>
      <c r="O6566" s="124"/>
    </row>
    <row r="6567">
      <c r="K6567" s="124"/>
      <c r="L6567" s="124"/>
      <c r="M6567" s="124"/>
      <c r="N6567" s="124"/>
      <c r="O6567" s="124"/>
    </row>
    <row r="6568">
      <c r="K6568" s="124"/>
      <c r="L6568" s="124"/>
      <c r="M6568" s="124"/>
      <c r="N6568" s="124"/>
      <c r="O6568" s="124"/>
    </row>
    <row r="6569">
      <c r="K6569" s="124"/>
      <c r="L6569" s="124"/>
      <c r="M6569" s="124"/>
      <c r="N6569" s="124"/>
      <c r="O6569" s="124"/>
    </row>
    <row r="6570">
      <c r="K6570" s="124"/>
      <c r="L6570" s="124"/>
      <c r="M6570" s="124"/>
      <c r="N6570" s="124"/>
      <c r="O6570" s="124"/>
    </row>
    <row r="6571">
      <c r="K6571" s="124"/>
      <c r="L6571" s="124"/>
      <c r="M6571" s="124"/>
      <c r="N6571" s="124"/>
      <c r="O6571" s="124"/>
    </row>
    <row r="6572">
      <c r="K6572" s="124"/>
      <c r="L6572" s="124"/>
      <c r="M6572" s="124"/>
      <c r="N6572" s="124"/>
      <c r="O6572" s="124"/>
    </row>
    <row r="6573">
      <c r="K6573" s="124"/>
      <c r="L6573" s="124"/>
      <c r="M6573" s="124"/>
      <c r="N6573" s="124"/>
      <c r="O6573" s="124"/>
    </row>
    <row r="6574">
      <c r="K6574" s="124"/>
      <c r="L6574" s="124"/>
      <c r="M6574" s="124"/>
      <c r="N6574" s="124"/>
      <c r="O6574" s="124"/>
    </row>
    <row r="6575">
      <c r="K6575" s="124"/>
      <c r="L6575" s="124"/>
      <c r="M6575" s="124"/>
      <c r="N6575" s="124"/>
      <c r="O6575" s="124"/>
    </row>
    <row r="6576">
      <c r="K6576" s="124"/>
      <c r="L6576" s="124"/>
      <c r="M6576" s="124"/>
      <c r="N6576" s="124"/>
      <c r="O6576" s="124"/>
    </row>
    <row r="6577">
      <c r="K6577" s="124"/>
      <c r="L6577" s="124"/>
      <c r="M6577" s="124"/>
      <c r="N6577" s="124"/>
      <c r="O6577" s="124"/>
    </row>
    <row r="6578">
      <c r="K6578" s="124"/>
      <c r="L6578" s="124"/>
      <c r="M6578" s="124"/>
      <c r="N6578" s="124"/>
      <c r="O6578" s="124"/>
    </row>
    <row r="6579">
      <c r="K6579" s="124"/>
      <c r="L6579" s="124"/>
      <c r="M6579" s="124"/>
      <c r="N6579" s="124"/>
      <c r="O6579" s="124"/>
    </row>
    <row r="6580">
      <c r="K6580" s="124"/>
      <c r="L6580" s="124"/>
      <c r="M6580" s="124"/>
      <c r="N6580" s="124"/>
      <c r="O6580" s="124"/>
    </row>
    <row r="6581">
      <c r="K6581" s="124"/>
      <c r="L6581" s="124"/>
      <c r="M6581" s="124"/>
      <c r="N6581" s="124"/>
      <c r="O6581" s="124"/>
    </row>
    <row r="6582">
      <c r="K6582" s="124"/>
      <c r="L6582" s="124"/>
      <c r="M6582" s="124"/>
      <c r="N6582" s="124"/>
      <c r="O6582" s="124"/>
    </row>
    <row r="6583">
      <c r="K6583" s="124"/>
      <c r="L6583" s="124"/>
      <c r="M6583" s="124"/>
      <c r="N6583" s="124"/>
      <c r="O6583" s="124"/>
    </row>
    <row r="6584">
      <c r="K6584" s="124"/>
      <c r="L6584" s="124"/>
      <c r="M6584" s="124"/>
      <c r="N6584" s="124"/>
      <c r="O6584" s="124"/>
    </row>
    <row r="6585">
      <c r="K6585" s="124"/>
      <c r="L6585" s="124"/>
      <c r="M6585" s="124"/>
      <c r="N6585" s="124"/>
      <c r="O6585" s="124"/>
    </row>
    <row r="6586">
      <c r="K6586" s="124"/>
      <c r="L6586" s="124"/>
      <c r="M6586" s="124"/>
      <c r="N6586" s="124"/>
      <c r="O6586" s="124"/>
    </row>
    <row r="6587">
      <c r="K6587" s="124"/>
      <c r="L6587" s="124"/>
      <c r="M6587" s="124"/>
      <c r="N6587" s="124"/>
      <c r="O6587" s="124"/>
    </row>
    <row r="6588">
      <c r="K6588" s="124"/>
      <c r="L6588" s="124"/>
      <c r="M6588" s="124"/>
      <c r="N6588" s="124"/>
      <c r="O6588" s="124"/>
    </row>
    <row r="6589">
      <c r="K6589" s="124"/>
      <c r="L6589" s="124"/>
      <c r="M6589" s="124"/>
      <c r="N6589" s="124"/>
      <c r="O6589" s="124"/>
    </row>
    <row r="6590">
      <c r="K6590" s="124"/>
      <c r="L6590" s="124"/>
      <c r="M6590" s="124"/>
      <c r="N6590" s="124"/>
      <c r="O6590" s="124"/>
    </row>
    <row r="6591">
      <c r="K6591" s="124"/>
      <c r="L6591" s="124"/>
      <c r="M6591" s="124"/>
      <c r="N6591" s="124"/>
      <c r="O6591" s="124"/>
    </row>
    <row r="6592">
      <c r="K6592" s="124"/>
      <c r="L6592" s="124"/>
      <c r="M6592" s="124"/>
      <c r="N6592" s="124"/>
      <c r="O6592" s="124"/>
    </row>
    <row r="6593">
      <c r="K6593" s="124"/>
      <c r="L6593" s="124"/>
      <c r="M6593" s="124"/>
      <c r="N6593" s="124"/>
      <c r="O6593" s="124"/>
    </row>
    <row r="6594">
      <c r="K6594" s="124"/>
      <c r="L6594" s="124"/>
      <c r="M6594" s="124"/>
      <c r="N6594" s="124"/>
      <c r="O6594" s="124"/>
    </row>
    <row r="6595">
      <c r="K6595" s="124"/>
      <c r="L6595" s="124"/>
      <c r="M6595" s="124"/>
      <c r="N6595" s="124"/>
      <c r="O6595" s="124"/>
    </row>
    <row r="6596">
      <c r="K6596" s="124"/>
      <c r="L6596" s="124"/>
      <c r="M6596" s="124"/>
      <c r="N6596" s="124"/>
      <c r="O6596" s="124"/>
    </row>
    <row r="6597">
      <c r="K6597" s="124"/>
      <c r="L6597" s="124"/>
      <c r="M6597" s="124"/>
      <c r="N6597" s="124"/>
      <c r="O6597" s="124"/>
    </row>
    <row r="6598">
      <c r="K6598" s="124"/>
      <c r="L6598" s="124"/>
      <c r="M6598" s="124"/>
      <c r="N6598" s="124"/>
      <c r="O6598" s="124"/>
    </row>
    <row r="6599">
      <c r="K6599" s="124"/>
      <c r="L6599" s="124"/>
      <c r="M6599" s="124"/>
      <c r="N6599" s="124"/>
      <c r="O6599" s="124"/>
    </row>
    <row r="6600">
      <c r="K6600" s="124"/>
      <c r="L6600" s="124"/>
      <c r="M6600" s="124"/>
      <c r="N6600" s="124"/>
      <c r="O6600" s="124"/>
    </row>
    <row r="6601">
      <c r="K6601" s="124"/>
      <c r="L6601" s="124"/>
      <c r="M6601" s="124"/>
      <c r="N6601" s="124"/>
      <c r="O6601" s="124"/>
    </row>
    <row r="6602">
      <c r="K6602" s="124"/>
      <c r="L6602" s="124"/>
      <c r="M6602" s="124"/>
      <c r="N6602" s="124"/>
      <c r="O6602" s="124"/>
    </row>
    <row r="6603">
      <c r="K6603" s="124"/>
      <c r="L6603" s="124"/>
      <c r="M6603" s="124"/>
      <c r="N6603" s="124"/>
      <c r="O6603" s="124"/>
    </row>
    <row r="6604">
      <c r="K6604" s="124"/>
      <c r="L6604" s="124"/>
      <c r="M6604" s="124"/>
      <c r="N6604" s="124"/>
      <c r="O6604" s="124"/>
    </row>
    <row r="6605">
      <c r="K6605" s="124"/>
      <c r="L6605" s="124"/>
      <c r="M6605" s="124"/>
      <c r="N6605" s="124"/>
      <c r="O6605" s="124"/>
    </row>
    <row r="6606">
      <c r="K6606" s="124"/>
      <c r="L6606" s="124"/>
      <c r="M6606" s="124"/>
      <c r="N6606" s="124"/>
      <c r="O6606" s="124"/>
    </row>
    <row r="6607">
      <c r="K6607" s="124"/>
      <c r="L6607" s="124"/>
      <c r="M6607" s="124"/>
      <c r="N6607" s="124"/>
      <c r="O6607" s="124"/>
    </row>
    <row r="6608">
      <c r="K6608" s="124"/>
      <c r="L6608" s="124"/>
      <c r="M6608" s="124"/>
      <c r="N6608" s="124"/>
      <c r="O6608" s="124"/>
    </row>
    <row r="6609">
      <c r="K6609" s="124"/>
      <c r="L6609" s="124"/>
      <c r="M6609" s="124"/>
      <c r="N6609" s="124"/>
      <c r="O6609" s="124"/>
    </row>
    <row r="6610">
      <c r="K6610" s="124"/>
      <c r="L6610" s="124"/>
      <c r="M6610" s="124"/>
      <c r="N6610" s="124"/>
      <c r="O6610" s="124"/>
    </row>
    <row r="6611">
      <c r="K6611" s="124"/>
      <c r="L6611" s="124"/>
      <c r="M6611" s="124"/>
      <c r="N6611" s="124"/>
      <c r="O6611" s="124"/>
    </row>
    <row r="6612">
      <c r="K6612" s="124"/>
      <c r="L6612" s="124"/>
      <c r="M6612" s="124"/>
      <c r="N6612" s="124"/>
      <c r="O6612" s="124"/>
    </row>
    <row r="6613">
      <c r="K6613" s="124"/>
      <c r="L6613" s="124"/>
      <c r="M6613" s="124"/>
      <c r="N6613" s="124"/>
      <c r="O6613" s="124"/>
    </row>
    <row r="6614">
      <c r="K6614" s="124"/>
      <c r="L6614" s="124"/>
      <c r="M6614" s="124"/>
      <c r="N6614" s="124"/>
      <c r="O6614" s="124"/>
    </row>
    <row r="6615">
      <c r="K6615" s="124"/>
      <c r="L6615" s="124"/>
      <c r="M6615" s="124"/>
      <c r="N6615" s="124"/>
      <c r="O6615" s="124"/>
    </row>
    <row r="6616">
      <c r="K6616" s="124"/>
      <c r="L6616" s="124"/>
      <c r="M6616" s="124"/>
      <c r="N6616" s="124"/>
      <c r="O6616" s="124"/>
    </row>
    <row r="6617">
      <c r="K6617" s="124"/>
      <c r="L6617" s="124"/>
      <c r="M6617" s="124"/>
      <c r="N6617" s="124"/>
      <c r="O6617" s="124"/>
    </row>
    <row r="6618">
      <c r="K6618" s="124"/>
      <c r="L6618" s="124"/>
      <c r="M6618" s="124"/>
      <c r="N6618" s="124"/>
      <c r="O6618" s="124"/>
    </row>
    <row r="6619">
      <c r="K6619" s="124"/>
      <c r="L6619" s="124"/>
      <c r="M6619" s="124"/>
      <c r="N6619" s="124"/>
      <c r="O6619" s="124"/>
    </row>
    <row r="6620">
      <c r="K6620" s="124"/>
      <c r="L6620" s="124"/>
      <c r="M6620" s="124"/>
      <c r="N6620" s="124"/>
      <c r="O6620" s="124"/>
    </row>
    <row r="6621">
      <c r="K6621" s="124"/>
      <c r="L6621" s="124"/>
      <c r="M6621" s="124"/>
      <c r="N6621" s="124"/>
      <c r="O6621" s="124"/>
    </row>
    <row r="6622">
      <c r="K6622" s="124"/>
      <c r="L6622" s="124"/>
      <c r="M6622" s="124"/>
      <c r="N6622" s="124"/>
      <c r="O6622" s="124"/>
    </row>
    <row r="6623">
      <c r="K6623" s="124"/>
      <c r="L6623" s="124"/>
      <c r="M6623" s="124"/>
      <c r="N6623" s="124"/>
      <c r="O6623" s="124"/>
    </row>
    <row r="6624">
      <c r="K6624" s="124"/>
      <c r="L6624" s="124"/>
      <c r="M6624" s="124"/>
      <c r="N6624" s="124"/>
      <c r="O6624" s="124"/>
    </row>
    <row r="6625">
      <c r="K6625" s="124"/>
      <c r="L6625" s="124"/>
      <c r="M6625" s="124"/>
      <c r="N6625" s="124"/>
      <c r="O6625" s="124"/>
    </row>
    <row r="6626">
      <c r="K6626" s="124"/>
      <c r="L6626" s="124"/>
      <c r="M6626" s="124"/>
      <c r="N6626" s="124"/>
      <c r="O6626" s="124"/>
    </row>
    <row r="6627">
      <c r="K6627" s="124"/>
      <c r="L6627" s="124"/>
      <c r="M6627" s="124"/>
      <c r="N6627" s="124"/>
      <c r="O6627" s="124"/>
    </row>
    <row r="6628">
      <c r="K6628" s="124"/>
      <c r="L6628" s="124"/>
      <c r="M6628" s="124"/>
      <c r="N6628" s="124"/>
      <c r="O6628" s="124"/>
    </row>
    <row r="6629">
      <c r="K6629" s="124"/>
      <c r="L6629" s="124"/>
      <c r="M6629" s="124"/>
      <c r="N6629" s="124"/>
      <c r="O6629" s="124"/>
    </row>
    <row r="6630">
      <c r="K6630" s="124"/>
      <c r="L6630" s="124"/>
      <c r="M6630" s="124"/>
      <c r="N6630" s="124"/>
      <c r="O6630" s="124"/>
    </row>
    <row r="6631">
      <c r="K6631" s="124"/>
      <c r="L6631" s="124"/>
      <c r="M6631" s="124"/>
      <c r="N6631" s="124"/>
      <c r="O6631" s="124"/>
    </row>
    <row r="6632">
      <c r="K6632" s="124"/>
      <c r="L6632" s="124"/>
      <c r="M6632" s="124"/>
      <c r="N6632" s="124"/>
      <c r="O6632" s="124"/>
    </row>
    <row r="6633">
      <c r="K6633" s="124"/>
      <c r="L6633" s="124"/>
      <c r="M6633" s="124"/>
      <c r="N6633" s="124"/>
      <c r="O6633" s="124"/>
    </row>
    <row r="6634">
      <c r="K6634" s="124"/>
      <c r="L6634" s="124"/>
      <c r="M6634" s="124"/>
      <c r="N6634" s="124"/>
      <c r="O6634" s="124"/>
    </row>
    <row r="6635">
      <c r="K6635" s="124"/>
      <c r="L6635" s="124"/>
      <c r="M6635" s="124"/>
      <c r="N6635" s="124"/>
      <c r="O6635" s="124"/>
    </row>
    <row r="6636">
      <c r="K6636" s="124"/>
      <c r="L6636" s="124"/>
      <c r="M6636" s="124"/>
      <c r="N6636" s="124"/>
      <c r="O6636" s="124"/>
    </row>
    <row r="6637">
      <c r="K6637" s="124"/>
      <c r="L6637" s="124"/>
      <c r="M6637" s="124"/>
      <c r="N6637" s="124"/>
      <c r="O6637" s="124"/>
    </row>
    <row r="6638">
      <c r="K6638" s="124"/>
      <c r="L6638" s="124"/>
      <c r="M6638" s="124"/>
      <c r="N6638" s="124"/>
      <c r="O6638" s="124"/>
    </row>
    <row r="6639">
      <c r="K6639" s="124"/>
      <c r="L6639" s="124"/>
      <c r="M6639" s="124"/>
      <c r="N6639" s="124"/>
      <c r="O6639" s="124"/>
    </row>
    <row r="6640">
      <c r="K6640" s="124"/>
      <c r="L6640" s="124"/>
      <c r="M6640" s="124"/>
      <c r="N6640" s="124"/>
      <c r="O6640" s="124"/>
    </row>
    <row r="6641">
      <c r="K6641" s="124"/>
      <c r="L6641" s="124"/>
      <c r="M6641" s="124"/>
      <c r="N6641" s="124"/>
      <c r="O6641" s="124"/>
    </row>
    <row r="6642">
      <c r="K6642" s="124"/>
      <c r="L6642" s="124"/>
      <c r="M6642" s="124"/>
      <c r="N6642" s="124"/>
      <c r="O6642" s="124"/>
    </row>
    <row r="6643">
      <c r="K6643" s="124"/>
      <c r="L6643" s="124"/>
      <c r="M6643" s="124"/>
      <c r="N6643" s="124"/>
      <c r="O6643" s="124"/>
    </row>
    <row r="6644">
      <c r="K6644" s="124"/>
      <c r="L6644" s="124"/>
      <c r="M6644" s="124"/>
      <c r="N6644" s="124"/>
      <c r="O6644" s="124"/>
    </row>
    <row r="6645">
      <c r="K6645" s="124"/>
      <c r="L6645" s="124"/>
      <c r="M6645" s="124"/>
      <c r="N6645" s="124"/>
      <c r="O6645" s="124"/>
    </row>
    <row r="6646">
      <c r="K6646" s="124"/>
      <c r="L6646" s="124"/>
      <c r="M6646" s="124"/>
      <c r="N6646" s="124"/>
      <c r="O6646" s="124"/>
    </row>
    <row r="6647">
      <c r="K6647" s="124"/>
      <c r="L6647" s="124"/>
      <c r="M6647" s="124"/>
      <c r="N6647" s="124"/>
      <c r="O6647" s="124"/>
    </row>
    <row r="6648">
      <c r="K6648" s="124"/>
      <c r="L6648" s="124"/>
      <c r="M6648" s="124"/>
      <c r="N6648" s="124"/>
      <c r="O6648" s="124"/>
    </row>
    <row r="6649">
      <c r="K6649" s="124"/>
      <c r="L6649" s="124"/>
      <c r="M6649" s="124"/>
      <c r="N6649" s="124"/>
      <c r="O6649" s="124"/>
    </row>
    <row r="6650">
      <c r="K6650" s="124"/>
      <c r="L6650" s="124"/>
      <c r="M6650" s="124"/>
      <c r="N6650" s="124"/>
      <c r="O6650" s="124"/>
    </row>
    <row r="6651">
      <c r="K6651" s="124"/>
      <c r="L6651" s="124"/>
      <c r="M6651" s="124"/>
      <c r="N6651" s="124"/>
      <c r="O6651" s="124"/>
    </row>
    <row r="6652">
      <c r="K6652" s="124"/>
      <c r="L6652" s="124"/>
      <c r="M6652" s="124"/>
      <c r="N6652" s="124"/>
      <c r="O6652" s="124"/>
    </row>
    <row r="6653">
      <c r="K6653" s="124"/>
      <c r="L6653" s="124"/>
      <c r="M6653" s="124"/>
      <c r="N6653" s="124"/>
      <c r="O6653" s="124"/>
    </row>
    <row r="6654">
      <c r="K6654" s="124"/>
      <c r="L6654" s="124"/>
      <c r="M6654" s="124"/>
      <c r="N6654" s="124"/>
      <c r="O6654" s="124"/>
    </row>
    <row r="6655">
      <c r="K6655" s="124"/>
      <c r="L6655" s="124"/>
      <c r="M6655" s="124"/>
      <c r="N6655" s="124"/>
      <c r="O6655" s="124"/>
    </row>
    <row r="6656">
      <c r="K6656" s="124"/>
      <c r="L6656" s="124"/>
      <c r="M6656" s="124"/>
      <c r="N6656" s="124"/>
      <c r="O6656" s="124"/>
    </row>
    <row r="6657">
      <c r="K6657" s="124"/>
      <c r="L6657" s="124"/>
      <c r="M6657" s="124"/>
      <c r="N6657" s="124"/>
      <c r="O6657" s="124"/>
    </row>
    <row r="6658">
      <c r="K6658" s="124"/>
      <c r="L6658" s="124"/>
      <c r="M6658" s="124"/>
      <c r="N6658" s="124"/>
      <c r="O6658" s="124"/>
    </row>
    <row r="6659">
      <c r="K6659" s="124"/>
      <c r="L6659" s="124"/>
      <c r="M6659" s="124"/>
      <c r="N6659" s="124"/>
      <c r="O6659" s="124"/>
    </row>
    <row r="6660">
      <c r="K6660" s="124"/>
      <c r="L6660" s="124"/>
      <c r="M6660" s="124"/>
      <c r="N6660" s="124"/>
      <c r="O6660" s="124"/>
    </row>
    <row r="6661">
      <c r="K6661" s="124"/>
      <c r="L6661" s="124"/>
      <c r="M6661" s="124"/>
      <c r="N6661" s="124"/>
      <c r="O6661" s="124"/>
    </row>
    <row r="6662">
      <c r="K6662" s="124"/>
      <c r="L6662" s="124"/>
      <c r="M6662" s="124"/>
      <c r="N6662" s="124"/>
      <c r="O6662" s="124"/>
    </row>
    <row r="6663">
      <c r="K6663" s="124"/>
      <c r="L6663" s="124"/>
      <c r="M6663" s="124"/>
      <c r="N6663" s="124"/>
      <c r="O6663" s="124"/>
    </row>
    <row r="6664">
      <c r="K6664" s="124"/>
      <c r="L6664" s="124"/>
      <c r="M6664" s="124"/>
      <c r="N6664" s="124"/>
      <c r="O6664" s="124"/>
    </row>
    <row r="6665">
      <c r="K6665" s="124"/>
      <c r="L6665" s="124"/>
      <c r="M6665" s="124"/>
      <c r="N6665" s="124"/>
      <c r="O6665" s="124"/>
    </row>
    <row r="6666">
      <c r="K6666" s="124"/>
      <c r="L6666" s="124"/>
      <c r="M6666" s="124"/>
      <c r="N6666" s="124"/>
      <c r="O6666" s="124"/>
    </row>
    <row r="6667">
      <c r="K6667" s="124"/>
      <c r="L6667" s="124"/>
      <c r="M6667" s="124"/>
      <c r="N6667" s="124"/>
      <c r="O6667" s="124"/>
    </row>
    <row r="6668">
      <c r="K6668" s="124"/>
      <c r="L6668" s="124"/>
      <c r="M6668" s="124"/>
      <c r="N6668" s="124"/>
      <c r="O6668" s="124"/>
    </row>
    <row r="6669">
      <c r="K6669" s="124"/>
      <c r="L6669" s="124"/>
      <c r="M6669" s="124"/>
      <c r="N6669" s="124"/>
      <c r="O6669" s="124"/>
    </row>
    <row r="6670">
      <c r="K6670" s="124"/>
      <c r="L6670" s="124"/>
      <c r="M6670" s="124"/>
      <c r="N6670" s="124"/>
      <c r="O6670" s="124"/>
    </row>
    <row r="6671">
      <c r="K6671" s="124"/>
      <c r="L6671" s="124"/>
      <c r="M6671" s="124"/>
      <c r="N6671" s="124"/>
      <c r="O6671" s="124"/>
    </row>
    <row r="6672">
      <c r="K6672" s="124"/>
      <c r="L6672" s="124"/>
      <c r="M6672" s="124"/>
      <c r="N6672" s="124"/>
      <c r="O6672" s="124"/>
    </row>
    <row r="6673">
      <c r="K6673" s="124"/>
      <c r="L6673" s="124"/>
      <c r="M6673" s="124"/>
      <c r="N6673" s="124"/>
      <c r="O6673" s="124"/>
    </row>
    <row r="6674">
      <c r="K6674" s="124"/>
      <c r="L6674" s="124"/>
      <c r="M6674" s="124"/>
      <c r="N6674" s="124"/>
      <c r="O6674" s="124"/>
    </row>
    <row r="6675">
      <c r="K6675" s="124"/>
      <c r="L6675" s="124"/>
      <c r="M6675" s="124"/>
      <c r="N6675" s="124"/>
      <c r="O6675" s="124"/>
    </row>
    <row r="6676">
      <c r="K6676" s="124"/>
      <c r="L6676" s="124"/>
      <c r="M6676" s="124"/>
      <c r="N6676" s="124"/>
      <c r="O6676" s="124"/>
    </row>
    <row r="6677">
      <c r="K6677" s="124"/>
      <c r="L6677" s="124"/>
      <c r="M6677" s="124"/>
      <c r="N6677" s="124"/>
      <c r="O6677" s="124"/>
    </row>
    <row r="6678">
      <c r="K6678" s="124"/>
      <c r="L6678" s="124"/>
      <c r="M6678" s="124"/>
      <c r="N6678" s="124"/>
      <c r="O6678" s="124"/>
    </row>
    <row r="6679">
      <c r="K6679" s="124"/>
      <c r="L6679" s="124"/>
      <c r="M6679" s="124"/>
      <c r="N6679" s="124"/>
      <c r="O6679" s="124"/>
    </row>
    <row r="6680">
      <c r="K6680" s="124"/>
      <c r="L6680" s="124"/>
      <c r="M6680" s="124"/>
      <c r="N6680" s="124"/>
      <c r="O6680" s="124"/>
    </row>
    <row r="6681">
      <c r="K6681" s="124"/>
      <c r="L6681" s="124"/>
      <c r="M6681" s="124"/>
      <c r="N6681" s="124"/>
      <c r="O6681" s="124"/>
    </row>
    <row r="6682">
      <c r="K6682" s="124"/>
      <c r="L6682" s="124"/>
      <c r="M6682" s="124"/>
      <c r="N6682" s="124"/>
      <c r="O6682" s="124"/>
    </row>
    <row r="6683">
      <c r="K6683" s="124"/>
      <c r="L6683" s="124"/>
      <c r="M6683" s="124"/>
      <c r="N6683" s="124"/>
      <c r="O6683" s="124"/>
    </row>
    <row r="6684">
      <c r="K6684" s="124"/>
      <c r="L6684" s="124"/>
      <c r="M6684" s="124"/>
      <c r="N6684" s="124"/>
      <c r="O6684" s="124"/>
    </row>
    <row r="6685">
      <c r="K6685" s="124"/>
      <c r="L6685" s="124"/>
      <c r="M6685" s="124"/>
      <c r="N6685" s="124"/>
      <c r="O6685" s="124"/>
    </row>
    <row r="6686">
      <c r="K6686" s="124"/>
      <c r="L6686" s="124"/>
      <c r="M6686" s="124"/>
      <c r="N6686" s="124"/>
      <c r="O6686" s="124"/>
    </row>
    <row r="6687">
      <c r="K6687" s="124"/>
      <c r="L6687" s="124"/>
      <c r="M6687" s="124"/>
      <c r="N6687" s="124"/>
      <c r="O6687" s="124"/>
    </row>
    <row r="6688">
      <c r="K6688" s="124"/>
      <c r="L6688" s="124"/>
      <c r="M6688" s="124"/>
      <c r="N6688" s="124"/>
      <c r="O6688" s="124"/>
    </row>
    <row r="6689">
      <c r="K6689" s="124"/>
      <c r="L6689" s="124"/>
      <c r="M6689" s="124"/>
      <c r="N6689" s="124"/>
      <c r="O6689" s="124"/>
    </row>
    <row r="6690">
      <c r="K6690" s="124"/>
      <c r="L6690" s="124"/>
      <c r="M6690" s="124"/>
      <c r="N6690" s="124"/>
      <c r="O6690" s="124"/>
    </row>
    <row r="6691">
      <c r="K6691" s="124"/>
      <c r="L6691" s="124"/>
      <c r="M6691" s="124"/>
      <c r="N6691" s="124"/>
      <c r="O6691" s="124"/>
    </row>
    <row r="6692">
      <c r="K6692" s="124"/>
      <c r="L6692" s="124"/>
      <c r="M6692" s="124"/>
      <c r="N6692" s="124"/>
      <c r="O6692" s="124"/>
    </row>
    <row r="6693">
      <c r="K6693" s="124"/>
      <c r="L6693" s="124"/>
      <c r="M6693" s="124"/>
      <c r="N6693" s="124"/>
      <c r="O6693" s="124"/>
    </row>
    <row r="6694">
      <c r="K6694" s="124"/>
      <c r="L6694" s="124"/>
      <c r="M6694" s="124"/>
      <c r="N6694" s="124"/>
      <c r="O6694" s="124"/>
    </row>
    <row r="6695">
      <c r="K6695" s="124"/>
      <c r="L6695" s="124"/>
      <c r="M6695" s="124"/>
      <c r="N6695" s="124"/>
      <c r="O6695" s="124"/>
    </row>
    <row r="6696">
      <c r="K6696" s="124"/>
      <c r="L6696" s="124"/>
      <c r="M6696" s="124"/>
      <c r="N6696" s="124"/>
      <c r="O6696" s="124"/>
    </row>
    <row r="6697">
      <c r="K6697" s="124"/>
      <c r="L6697" s="124"/>
      <c r="M6697" s="124"/>
      <c r="N6697" s="124"/>
      <c r="O6697" s="124"/>
    </row>
    <row r="6698">
      <c r="K6698" s="124"/>
      <c r="L6698" s="124"/>
      <c r="M6698" s="124"/>
      <c r="N6698" s="124"/>
      <c r="O6698" s="124"/>
    </row>
    <row r="6699">
      <c r="K6699" s="124"/>
      <c r="L6699" s="124"/>
      <c r="M6699" s="124"/>
      <c r="N6699" s="124"/>
      <c r="O6699" s="124"/>
    </row>
    <row r="6700">
      <c r="K6700" s="124"/>
      <c r="L6700" s="124"/>
      <c r="M6700" s="124"/>
      <c r="N6700" s="124"/>
      <c r="O6700" s="124"/>
    </row>
    <row r="6701">
      <c r="K6701" s="124"/>
      <c r="L6701" s="124"/>
      <c r="M6701" s="124"/>
      <c r="N6701" s="124"/>
      <c r="O6701" s="124"/>
    </row>
    <row r="6702">
      <c r="K6702" s="124"/>
      <c r="L6702" s="124"/>
      <c r="M6702" s="124"/>
      <c r="N6702" s="124"/>
      <c r="O6702" s="124"/>
    </row>
    <row r="6703">
      <c r="K6703" s="124"/>
      <c r="L6703" s="124"/>
      <c r="M6703" s="124"/>
      <c r="N6703" s="124"/>
      <c r="O6703" s="124"/>
    </row>
    <row r="6704">
      <c r="K6704" s="124"/>
      <c r="L6704" s="124"/>
      <c r="M6704" s="124"/>
      <c r="N6704" s="124"/>
      <c r="O6704" s="124"/>
    </row>
    <row r="6705">
      <c r="K6705" s="124"/>
      <c r="L6705" s="124"/>
      <c r="M6705" s="124"/>
      <c r="N6705" s="124"/>
      <c r="O6705" s="124"/>
    </row>
    <row r="6706">
      <c r="K6706" s="124"/>
      <c r="L6706" s="124"/>
      <c r="M6706" s="124"/>
      <c r="N6706" s="124"/>
      <c r="O6706" s="124"/>
    </row>
    <row r="6707">
      <c r="K6707" s="124"/>
      <c r="L6707" s="124"/>
      <c r="M6707" s="124"/>
      <c r="N6707" s="124"/>
      <c r="O6707" s="124"/>
    </row>
    <row r="6708">
      <c r="K6708" s="124"/>
      <c r="L6708" s="124"/>
      <c r="M6708" s="124"/>
      <c r="N6708" s="124"/>
      <c r="O6708" s="124"/>
    </row>
    <row r="6709">
      <c r="K6709" s="124"/>
      <c r="L6709" s="124"/>
      <c r="M6709" s="124"/>
      <c r="N6709" s="124"/>
      <c r="O6709" s="124"/>
    </row>
    <row r="6710">
      <c r="K6710" s="124"/>
      <c r="L6710" s="124"/>
      <c r="M6710" s="124"/>
      <c r="N6710" s="124"/>
      <c r="O6710" s="124"/>
    </row>
    <row r="6711">
      <c r="K6711" s="124"/>
      <c r="L6711" s="124"/>
      <c r="M6711" s="124"/>
      <c r="N6711" s="124"/>
      <c r="O6711" s="124"/>
    </row>
    <row r="6712">
      <c r="K6712" s="124"/>
      <c r="L6712" s="124"/>
      <c r="M6712" s="124"/>
      <c r="N6712" s="124"/>
      <c r="O6712" s="124"/>
    </row>
    <row r="6713">
      <c r="K6713" s="124"/>
      <c r="L6713" s="124"/>
      <c r="M6713" s="124"/>
      <c r="N6713" s="124"/>
      <c r="O6713" s="124"/>
    </row>
    <row r="6714">
      <c r="K6714" s="124"/>
      <c r="L6714" s="124"/>
      <c r="M6714" s="124"/>
      <c r="N6714" s="124"/>
      <c r="O6714" s="124"/>
    </row>
    <row r="6715">
      <c r="K6715" s="124"/>
      <c r="L6715" s="124"/>
      <c r="M6715" s="124"/>
      <c r="N6715" s="124"/>
      <c r="O6715" s="124"/>
    </row>
    <row r="6716">
      <c r="K6716" s="124"/>
      <c r="L6716" s="124"/>
      <c r="M6716" s="124"/>
      <c r="N6716" s="124"/>
      <c r="O6716" s="124"/>
    </row>
    <row r="6717">
      <c r="K6717" s="124"/>
      <c r="L6717" s="124"/>
      <c r="M6717" s="124"/>
      <c r="N6717" s="124"/>
      <c r="O6717" s="124"/>
    </row>
    <row r="6718">
      <c r="K6718" s="124"/>
      <c r="L6718" s="124"/>
      <c r="M6718" s="124"/>
      <c r="N6718" s="124"/>
      <c r="O6718" s="124"/>
    </row>
    <row r="6719">
      <c r="K6719" s="124"/>
      <c r="L6719" s="124"/>
      <c r="M6719" s="124"/>
      <c r="N6719" s="124"/>
      <c r="O6719" s="124"/>
    </row>
    <row r="6720">
      <c r="K6720" s="124"/>
      <c r="L6720" s="124"/>
      <c r="M6720" s="124"/>
      <c r="N6720" s="124"/>
      <c r="O6720" s="124"/>
    </row>
    <row r="6721">
      <c r="K6721" s="124"/>
      <c r="L6721" s="124"/>
      <c r="M6721" s="124"/>
      <c r="N6721" s="124"/>
      <c r="O6721" s="124"/>
    </row>
    <row r="6722">
      <c r="K6722" s="124"/>
      <c r="L6722" s="124"/>
      <c r="M6722" s="124"/>
      <c r="N6722" s="124"/>
      <c r="O6722" s="124"/>
    </row>
    <row r="6723">
      <c r="K6723" s="124"/>
      <c r="L6723" s="124"/>
      <c r="M6723" s="124"/>
      <c r="N6723" s="124"/>
      <c r="O6723" s="124"/>
    </row>
    <row r="6724">
      <c r="K6724" s="124"/>
      <c r="L6724" s="124"/>
      <c r="M6724" s="124"/>
      <c r="N6724" s="124"/>
      <c r="O6724" s="124"/>
    </row>
    <row r="6725">
      <c r="K6725" s="124"/>
      <c r="L6725" s="124"/>
      <c r="M6725" s="124"/>
      <c r="N6725" s="124"/>
      <c r="O6725" s="124"/>
    </row>
    <row r="6726">
      <c r="K6726" s="124"/>
      <c r="L6726" s="124"/>
      <c r="M6726" s="124"/>
      <c r="N6726" s="124"/>
      <c r="O6726" s="124"/>
    </row>
    <row r="6727">
      <c r="K6727" s="124"/>
      <c r="L6727" s="124"/>
      <c r="M6727" s="124"/>
      <c r="N6727" s="124"/>
      <c r="O6727" s="124"/>
    </row>
    <row r="6728">
      <c r="K6728" s="124"/>
      <c r="L6728" s="124"/>
      <c r="M6728" s="124"/>
      <c r="N6728" s="124"/>
      <c r="O6728" s="124"/>
    </row>
    <row r="6729">
      <c r="K6729" s="124"/>
      <c r="L6729" s="124"/>
      <c r="M6729" s="124"/>
      <c r="N6729" s="124"/>
      <c r="O6729" s="124"/>
    </row>
    <row r="6730">
      <c r="K6730" s="124"/>
      <c r="L6730" s="124"/>
      <c r="M6730" s="124"/>
      <c r="N6730" s="124"/>
      <c r="O6730" s="124"/>
    </row>
    <row r="6731">
      <c r="K6731" s="124"/>
      <c r="L6731" s="124"/>
      <c r="M6731" s="124"/>
      <c r="N6731" s="124"/>
      <c r="O6731" s="124"/>
    </row>
    <row r="6732">
      <c r="K6732" s="124"/>
      <c r="L6732" s="124"/>
      <c r="M6732" s="124"/>
      <c r="N6732" s="124"/>
      <c r="O6732" s="124"/>
    </row>
    <row r="6733">
      <c r="K6733" s="124"/>
      <c r="L6733" s="124"/>
      <c r="M6733" s="124"/>
      <c r="N6733" s="124"/>
      <c r="O6733" s="124"/>
    </row>
    <row r="6734">
      <c r="K6734" s="124"/>
      <c r="L6734" s="124"/>
      <c r="M6734" s="124"/>
      <c r="N6734" s="124"/>
      <c r="O6734" s="124"/>
    </row>
    <row r="6735">
      <c r="K6735" s="124"/>
      <c r="L6735" s="124"/>
      <c r="M6735" s="124"/>
      <c r="N6735" s="124"/>
      <c r="O6735" s="124"/>
    </row>
    <row r="6736">
      <c r="K6736" s="124"/>
      <c r="L6736" s="124"/>
      <c r="M6736" s="124"/>
      <c r="N6736" s="124"/>
      <c r="O6736" s="124"/>
    </row>
    <row r="6737">
      <c r="K6737" s="124"/>
      <c r="L6737" s="124"/>
      <c r="M6737" s="124"/>
      <c r="N6737" s="124"/>
      <c r="O6737" s="124"/>
    </row>
    <row r="6738">
      <c r="K6738" s="124"/>
      <c r="L6738" s="124"/>
      <c r="M6738" s="124"/>
      <c r="N6738" s="124"/>
      <c r="O6738" s="124"/>
    </row>
    <row r="6739">
      <c r="K6739" s="124"/>
      <c r="L6739" s="124"/>
      <c r="M6739" s="124"/>
      <c r="N6739" s="124"/>
      <c r="O6739" s="124"/>
    </row>
    <row r="6740">
      <c r="K6740" s="124"/>
      <c r="L6740" s="124"/>
      <c r="M6740" s="124"/>
      <c r="N6740" s="124"/>
      <c r="O6740" s="124"/>
    </row>
    <row r="6741">
      <c r="K6741" s="124"/>
      <c r="L6741" s="124"/>
      <c r="M6741" s="124"/>
      <c r="N6741" s="124"/>
      <c r="O6741" s="124"/>
    </row>
    <row r="6742">
      <c r="K6742" s="124"/>
      <c r="L6742" s="124"/>
      <c r="M6742" s="124"/>
      <c r="N6742" s="124"/>
      <c r="O6742" s="124"/>
    </row>
    <row r="6743">
      <c r="K6743" s="124"/>
      <c r="L6743" s="124"/>
      <c r="M6743" s="124"/>
      <c r="N6743" s="124"/>
      <c r="O6743" s="124"/>
    </row>
    <row r="6744">
      <c r="K6744" s="124"/>
      <c r="L6744" s="124"/>
      <c r="M6744" s="124"/>
      <c r="N6744" s="124"/>
      <c r="O6744" s="124"/>
    </row>
    <row r="6745">
      <c r="K6745" s="124"/>
      <c r="L6745" s="124"/>
      <c r="M6745" s="124"/>
      <c r="N6745" s="124"/>
      <c r="O6745" s="124"/>
    </row>
    <row r="6746">
      <c r="K6746" s="124"/>
      <c r="L6746" s="124"/>
      <c r="M6746" s="124"/>
      <c r="N6746" s="124"/>
      <c r="O6746" s="124"/>
    </row>
    <row r="6747">
      <c r="K6747" s="124"/>
      <c r="L6747" s="124"/>
      <c r="M6747" s="124"/>
      <c r="N6747" s="124"/>
      <c r="O6747" s="124"/>
    </row>
    <row r="6748">
      <c r="K6748" s="124"/>
      <c r="L6748" s="124"/>
      <c r="M6748" s="124"/>
      <c r="N6748" s="124"/>
      <c r="O6748" s="124"/>
    </row>
    <row r="6749">
      <c r="K6749" s="124"/>
      <c r="L6749" s="124"/>
      <c r="M6749" s="124"/>
      <c r="N6749" s="124"/>
      <c r="O6749" s="124"/>
    </row>
    <row r="6750">
      <c r="K6750" s="124"/>
      <c r="L6750" s="124"/>
      <c r="M6750" s="124"/>
      <c r="N6750" s="124"/>
      <c r="O6750" s="124"/>
    </row>
    <row r="6751">
      <c r="K6751" s="124"/>
      <c r="L6751" s="124"/>
      <c r="M6751" s="124"/>
      <c r="N6751" s="124"/>
      <c r="O6751" s="124"/>
    </row>
    <row r="6752">
      <c r="K6752" s="124"/>
      <c r="L6752" s="124"/>
      <c r="M6752" s="124"/>
      <c r="N6752" s="124"/>
      <c r="O6752" s="124"/>
    </row>
    <row r="6753">
      <c r="K6753" s="124"/>
      <c r="L6753" s="124"/>
      <c r="M6753" s="124"/>
      <c r="N6753" s="124"/>
      <c r="O6753" s="124"/>
    </row>
    <row r="6754">
      <c r="K6754" s="124"/>
      <c r="L6754" s="124"/>
      <c r="M6754" s="124"/>
      <c r="N6754" s="124"/>
      <c r="O6754" s="124"/>
    </row>
    <row r="6755">
      <c r="K6755" s="124"/>
      <c r="L6755" s="124"/>
      <c r="M6755" s="124"/>
      <c r="N6755" s="124"/>
      <c r="O6755" s="124"/>
    </row>
    <row r="6756">
      <c r="K6756" s="124"/>
      <c r="L6756" s="124"/>
      <c r="M6756" s="124"/>
      <c r="N6756" s="124"/>
      <c r="O6756" s="124"/>
    </row>
    <row r="6757">
      <c r="K6757" s="124"/>
      <c r="L6757" s="124"/>
      <c r="M6757" s="124"/>
      <c r="N6757" s="124"/>
      <c r="O6757" s="124"/>
    </row>
    <row r="6758">
      <c r="K6758" s="124"/>
      <c r="L6758" s="124"/>
      <c r="M6758" s="124"/>
      <c r="N6758" s="124"/>
      <c r="O6758" s="124"/>
    </row>
    <row r="6759">
      <c r="K6759" s="124"/>
      <c r="L6759" s="124"/>
      <c r="M6759" s="124"/>
      <c r="N6759" s="124"/>
      <c r="O6759" s="124"/>
    </row>
    <row r="6760">
      <c r="K6760" s="124"/>
      <c r="L6760" s="124"/>
      <c r="M6760" s="124"/>
      <c r="N6760" s="124"/>
      <c r="O6760" s="124"/>
    </row>
    <row r="6761">
      <c r="K6761" s="124"/>
      <c r="L6761" s="124"/>
      <c r="M6761" s="124"/>
      <c r="N6761" s="124"/>
      <c r="O6761" s="124"/>
    </row>
    <row r="6762">
      <c r="K6762" s="124"/>
      <c r="L6762" s="124"/>
      <c r="M6762" s="124"/>
      <c r="N6762" s="124"/>
      <c r="O6762" s="124"/>
    </row>
    <row r="6763">
      <c r="K6763" s="124"/>
      <c r="L6763" s="124"/>
      <c r="M6763" s="124"/>
      <c r="N6763" s="124"/>
      <c r="O6763" s="124"/>
    </row>
    <row r="6764">
      <c r="K6764" s="124"/>
      <c r="L6764" s="124"/>
      <c r="M6764" s="124"/>
      <c r="N6764" s="124"/>
      <c r="O6764" s="124"/>
    </row>
    <row r="6765">
      <c r="K6765" s="124"/>
      <c r="L6765" s="124"/>
      <c r="M6765" s="124"/>
      <c r="N6765" s="124"/>
      <c r="O6765" s="124"/>
    </row>
    <row r="6766">
      <c r="K6766" s="124"/>
      <c r="L6766" s="124"/>
      <c r="M6766" s="124"/>
      <c r="N6766" s="124"/>
      <c r="O6766" s="124"/>
    </row>
    <row r="6767">
      <c r="K6767" s="124"/>
      <c r="L6767" s="124"/>
      <c r="M6767" s="124"/>
      <c r="N6767" s="124"/>
      <c r="O6767" s="124"/>
    </row>
    <row r="6768">
      <c r="K6768" s="124"/>
      <c r="L6768" s="124"/>
      <c r="M6768" s="124"/>
      <c r="N6768" s="124"/>
      <c r="O6768" s="124"/>
    </row>
    <row r="6769">
      <c r="K6769" s="124"/>
      <c r="L6769" s="124"/>
      <c r="M6769" s="124"/>
      <c r="N6769" s="124"/>
      <c r="O6769" s="124"/>
    </row>
    <row r="6770">
      <c r="K6770" s="124"/>
      <c r="L6770" s="124"/>
      <c r="M6770" s="124"/>
      <c r="N6770" s="124"/>
      <c r="O6770" s="124"/>
    </row>
    <row r="6771">
      <c r="K6771" s="124"/>
      <c r="L6771" s="124"/>
      <c r="M6771" s="124"/>
      <c r="N6771" s="124"/>
      <c r="O6771" s="124"/>
    </row>
    <row r="6772">
      <c r="K6772" s="124"/>
      <c r="L6772" s="124"/>
      <c r="M6772" s="124"/>
      <c r="N6772" s="124"/>
      <c r="O6772" s="124"/>
    </row>
    <row r="6773">
      <c r="K6773" s="124"/>
      <c r="L6773" s="124"/>
      <c r="M6773" s="124"/>
      <c r="N6773" s="124"/>
      <c r="O6773" s="124"/>
    </row>
    <row r="6774">
      <c r="K6774" s="124"/>
      <c r="L6774" s="124"/>
      <c r="M6774" s="124"/>
      <c r="N6774" s="124"/>
      <c r="O6774" s="124"/>
    </row>
    <row r="6775">
      <c r="K6775" s="124"/>
      <c r="L6775" s="124"/>
      <c r="M6775" s="124"/>
      <c r="N6775" s="124"/>
      <c r="O6775" s="124"/>
    </row>
    <row r="6776">
      <c r="K6776" s="124"/>
      <c r="L6776" s="124"/>
      <c r="M6776" s="124"/>
      <c r="N6776" s="124"/>
      <c r="O6776" s="124"/>
    </row>
    <row r="6777">
      <c r="K6777" s="124"/>
      <c r="L6777" s="124"/>
      <c r="M6777" s="124"/>
      <c r="N6777" s="124"/>
      <c r="O6777" s="124"/>
    </row>
    <row r="6778">
      <c r="K6778" s="124"/>
      <c r="L6778" s="124"/>
      <c r="M6778" s="124"/>
      <c r="N6778" s="124"/>
      <c r="O6778" s="124"/>
    </row>
    <row r="6779">
      <c r="K6779" s="124"/>
      <c r="L6779" s="124"/>
      <c r="M6779" s="124"/>
      <c r="N6779" s="124"/>
      <c r="O6779" s="124"/>
    </row>
    <row r="6780">
      <c r="K6780" s="124"/>
      <c r="L6780" s="124"/>
      <c r="M6780" s="124"/>
      <c r="N6780" s="124"/>
      <c r="O6780" s="124"/>
    </row>
    <row r="6781">
      <c r="K6781" s="124"/>
      <c r="L6781" s="124"/>
      <c r="M6781" s="124"/>
      <c r="N6781" s="124"/>
      <c r="O6781" s="124"/>
    </row>
    <row r="6782">
      <c r="K6782" s="124"/>
      <c r="L6782" s="124"/>
      <c r="M6782" s="124"/>
      <c r="N6782" s="124"/>
      <c r="O6782" s="124"/>
    </row>
    <row r="6783">
      <c r="K6783" s="124"/>
      <c r="L6783" s="124"/>
      <c r="M6783" s="124"/>
      <c r="N6783" s="124"/>
      <c r="O6783" s="124"/>
    </row>
    <row r="6784">
      <c r="K6784" s="124"/>
      <c r="L6784" s="124"/>
      <c r="M6784" s="124"/>
      <c r="N6784" s="124"/>
      <c r="O6784" s="124"/>
    </row>
    <row r="6785">
      <c r="K6785" s="124"/>
      <c r="L6785" s="124"/>
      <c r="M6785" s="124"/>
      <c r="N6785" s="124"/>
      <c r="O6785" s="124"/>
    </row>
    <row r="6786">
      <c r="K6786" s="124"/>
      <c r="L6786" s="124"/>
      <c r="M6786" s="124"/>
      <c r="N6786" s="124"/>
      <c r="O6786" s="124"/>
    </row>
    <row r="6787">
      <c r="K6787" s="124"/>
      <c r="L6787" s="124"/>
      <c r="M6787" s="124"/>
      <c r="N6787" s="124"/>
      <c r="O6787" s="124"/>
    </row>
    <row r="6788">
      <c r="K6788" s="124"/>
      <c r="L6788" s="124"/>
      <c r="M6788" s="124"/>
      <c r="N6788" s="124"/>
      <c r="O6788" s="124"/>
    </row>
    <row r="6789">
      <c r="K6789" s="124"/>
      <c r="L6789" s="124"/>
      <c r="M6789" s="124"/>
      <c r="N6789" s="124"/>
      <c r="O6789" s="124"/>
    </row>
    <row r="6790">
      <c r="K6790" s="124"/>
      <c r="L6790" s="124"/>
      <c r="M6790" s="124"/>
      <c r="N6790" s="124"/>
      <c r="O6790" s="124"/>
    </row>
    <row r="6791">
      <c r="K6791" s="124"/>
      <c r="L6791" s="124"/>
      <c r="M6791" s="124"/>
      <c r="N6791" s="124"/>
      <c r="O6791" s="124"/>
    </row>
    <row r="6792">
      <c r="K6792" s="124"/>
      <c r="L6792" s="124"/>
      <c r="M6792" s="124"/>
      <c r="N6792" s="124"/>
      <c r="O6792" s="124"/>
    </row>
    <row r="6793">
      <c r="K6793" s="124"/>
      <c r="L6793" s="124"/>
      <c r="M6793" s="124"/>
      <c r="N6793" s="124"/>
      <c r="O6793" s="124"/>
    </row>
    <row r="6794">
      <c r="K6794" s="124"/>
      <c r="L6794" s="124"/>
      <c r="M6794" s="124"/>
      <c r="N6794" s="124"/>
      <c r="O6794" s="124"/>
    </row>
    <row r="6795">
      <c r="K6795" s="124"/>
      <c r="L6795" s="124"/>
      <c r="M6795" s="124"/>
      <c r="N6795" s="124"/>
      <c r="O6795" s="124"/>
    </row>
    <row r="6796">
      <c r="K6796" s="124"/>
      <c r="L6796" s="124"/>
      <c r="M6796" s="124"/>
      <c r="N6796" s="124"/>
      <c r="O6796" s="124"/>
    </row>
    <row r="6797">
      <c r="K6797" s="124"/>
      <c r="L6797" s="124"/>
      <c r="M6797" s="124"/>
      <c r="N6797" s="124"/>
      <c r="O6797" s="124"/>
    </row>
    <row r="6798">
      <c r="K6798" s="124"/>
      <c r="L6798" s="124"/>
      <c r="M6798" s="124"/>
      <c r="N6798" s="124"/>
      <c r="O6798" s="124"/>
    </row>
    <row r="6799">
      <c r="K6799" s="124"/>
      <c r="L6799" s="124"/>
      <c r="M6799" s="124"/>
      <c r="N6799" s="124"/>
      <c r="O6799" s="124"/>
    </row>
    <row r="6800">
      <c r="K6800" s="124"/>
      <c r="L6800" s="124"/>
      <c r="M6800" s="124"/>
      <c r="N6800" s="124"/>
      <c r="O6800" s="124"/>
    </row>
    <row r="6801">
      <c r="K6801" s="124"/>
      <c r="L6801" s="124"/>
      <c r="M6801" s="124"/>
      <c r="N6801" s="124"/>
      <c r="O6801" s="124"/>
    </row>
    <row r="6802">
      <c r="K6802" s="124"/>
      <c r="L6802" s="124"/>
      <c r="M6802" s="124"/>
      <c r="N6802" s="124"/>
      <c r="O6802" s="124"/>
    </row>
    <row r="6803">
      <c r="K6803" s="124"/>
      <c r="L6803" s="124"/>
      <c r="M6803" s="124"/>
      <c r="N6803" s="124"/>
      <c r="O6803" s="124"/>
    </row>
    <row r="6804">
      <c r="K6804" s="124"/>
      <c r="L6804" s="124"/>
      <c r="M6804" s="124"/>
      <c r="N6804" s="124"/>
      <c r="O6804" s="124"/>
    </row>
    <row r="6805">
      <c r="K6805" s="124"/>
      <c r="L6805" s="124"/>
      <c r="M6805" s="124"/>
      <c r="N6805" s="124"/>
      <c r="O6805" s="124"/>
    </row>
    <row r="6806">
      <c r="K6806" s="124"/>
      <c r="L6806" s="124"/>
      <c r="M6806" s="124"/>
      <c r="N6806" s="124"/>
      <c r="O6806" s="124"/>
    </row>
    <row r="6807">
      <c r="K6807" s="124"/>
      <c r="L6807" s="124"/>
      <c r="M6807" s="124"/>
      <c r="N6807" s="124"/>
      <c r="O6807" s="124"/>
    </row>
    <row r="6808">
      <c r="K6808" s="124"/>
      <c r="L6808" s="124"/>
      <c r="M6808" s="124"/>
      <c r="N6808" s="124"/>
      <c r="O6808" s="124"/>
    </row>
    <row r="6809">
      <c r="K6809" s="124"/>
      <c r="L6809" s="124"/>
      <c r="M6809" s="124"/>
      <c r="N6809" s="124"/>
      <c r="O6809" s="124"/>
    </row>
    <row r="6810">
      <c r="K6810" s="124"/>
      <c r="L6810" s="124"/>
      <c r="M6810" s="124"/>
      <c r="N6810" s="124"/>
      <c r="O6810" s="124"/>
    </row>
    <row r="6811">
      <c r="K6811" s="124"/>
      <c r="L6811" s="124"/>
      <c r="M6811" s="124"/>
      <c r="N6811" s="124"/>
      <c r="O6811" s="124"/>
    </row>
    <row r="6812">
      <c r="K6812" s="124"/>
      <c r="L6812" s="124"/>
      <c r="M6812" s="124"/>
      <c r="N6812" s="124"/>
      <c r="O6812" s="124"/>
    </row>
    <row r="6813">
      <c r="K6813" s="124"/>
      <c r="L6813" s="124"/>
      <c r="M6813" s="124"/>
      <c r="N6813" s="124"/>
      <c r="O6813" s="124"/>
    </row>
    <row r="6814">
      <c r="K6814" s="124"/>
      <c r="L6814" s="124"/>
      <c r="M6814" s="124"/>
      <c r="N6814" s="124"/>
      <c r="O6814" s="124"/>
    </row>
    <row r="6815">
      <c r="K6815" s="124"/>
      <c r="L6815" s="124"/>
      <c r="M6815" s="124"/>
      <c r="N6815" s="124"/>
      <c r="O6815" s="124"/>
    </row>
    <row r="6816">
      <c r="K6816" s="124"/>
      <c r="L6816" s="124"/>
      <c r="M6816" s="124"/>
      <c r="N6816" s="124"/>
      <c r="O6816" s="124"/>
    </row>
    <row r="6817">
      <c r="K6817" s="124"/>
      <c r="L6817" s="124"/>
      <c r="M6817" s="124"/>
      <c r="N6817" s="124"/>
      <c r="O6817" s="124"/>
    </row>
    <row r="6818">
      <c r="K6818" s="124"/>
      <c r="L6818" s="124"/>
      <c r="M6818" s="124"/>
      <c r="N6818" s="124"/>
      <c r="O6818" s="124"/>
    </row>
    <row r="6819">
      <c r="K6819" s="124"/>
      <c r="L6819" s="124"/>
      <c r="M6819" s="124"/>
      <c r="N6819" s="124"/>
      <c r="O6819" s="124"/>
    </row>
    <row r="6820">
      <c r="K6820" s="124"/>
      <c r="L6820" s="124"/>
      <c r="M6820" s="124"/>
      <c r="N6820" s="124"/>
      <c r="O6820" s="124"/>
    </row>
    <row r="6821">
      <c r="K6821" s="124"/>
      <c r="L6821" s="124"/>
      <c r="M6821" s="124"/>
      <c r="N6821" s="124"/>
      <c r="O6821" s="124"/>
    </row>
    <row r="6822">
      <c r="K6822" s="124"/>
      <c r="L6822" s="124"/>
      <c r="M6822" s="124"/>
      <c r="N6822" s="124"/>
      <c r="O6822" s="124"/>
    </row>
    <row r="6823">
      <c r="K6823" s="124"/>
      <c r="L6823" s="124"/>
      <c r="M6823" s="124"/>
      <c r="N6823" s="124"/>
      <c r="O6823" s="124"/>
    </row>
    <row r="6824">
      <c r="K6824" s="124"/>
      <c r="L6824" s="124"/>
      <c r="M6824" s="124"/>
      <c r="N6824" s="124"/>
      <c r="O6824" s="124"/>
    </row>
    <row r="6825">
      <c r="K6825" s="124"/>
      <c r="L6825" s="124"/>
      <c r="M6825" s="124"/>
      <c r="N6825" s="124"/>
      <c r="O6825" s="124"/>
    </row>
    <row r="6826">
      <c r="K6826" s="124"/>
      <c r="L6826" s="124"/>
      <c r="M6826" s="124"/>
      <c r="N6826" s="124"/>
      <c r="O6826" s="124"/>
    </row>
    <row r="6827">
      <c r="K6827" s="124"/>
      <c r="L6827" s="124"/>
      <c r="M6827" s="124"/>
      <c r="N6827" s="124"/>
      <c r="O6827" s="124"/>
    </row>
    <row r="6828">
      <c r="K6828" s="124"/>
      <c r="L6828" s="124"/>
      <c r="M6828" s="124"/>
      <c r="N6828" s="124"/>
      <c r="O6828" s="124"/>
    </row>
    <row r="6829">
      <c r="K6829" s="124"/>
      <c r="L6829" s="124"/>
      <c r="M6829" s="124"/>
      <c r="N6829" s="124"/>
      <c r="O6829" s="124"/>
    </row>
    <row r="6830">
      <c r="K6830" s="124"/>
      <c r="L6830" s="124"/>
      <c r="M6830" s="124"/>
      <c r="N6830" s="124"/>
      <c r="O6830" s="124"/>
    </row>
    <row r="6831">
      <c r="K6831" s="124"/>
      <c r="L6831" s="124"/>
      <c r="M6831" s="124"/>
      <c r="N6831" s="124"/>
      <c r="O6831" s="124"/>
    </row>
    <row r="6832">
      <c r="K6832" s="124"/>
      <c r="L6832" s="124"/>
      <c r="M6832" s="124"/>
      <c r="N6832" s="124"/>
      <c r="O6832" s="124"/>
    </row>
    <row r="6833">
      <c r="K6833" s="124"/>
      <c r="L6833" s="124"/>
      <c r="M6833" s="124"/>
      <c r="N6833" s="124"/>
      <c r="O6833" s="124"/>
    </row>
    <row r="6834">
      <c r="K6834" s="124"/>
      <c r="L6834" s="124"/>
      <c r="M6834" s="124"/>
      <c r="N6834" s="124"/>
      <c r="O6834" s="124"/>
    </row>
    <row r="6835">
      <c r="K6835" s="124"/>
      <c r="L6835" s="124"/>
      <c r="M6835" s="124"/>
      <c r="N6835" s="124"/>
      <c r="O6835" s="124"/>
    </row>
    <row r="6836">
      <c r="K6836" s="124"/>
      <c r="L6836" s="124"/>
      <c r="M6836" s="124"/>
      <c r="N6836" s="124"/>
      <c r="O6836" s="124"/>
    </row>
    <row r="6837">
      <c r="K6837" s="124"/>
      <c r="L6837" s="124"/>
      <c r="M6837" s="124"/>
      <c r="N6837" s="124"/>
      <c r="O6837" s="124"/>
    </row>
    <row r="6838">
      <c r="K6838" s="124"/>
      <c r="L6838" s="124"/>
      <c r="M6838" s="124"/>
      <c r="N6838" s="124"/>
      <c r="O6838" s="124"/>
    </row>
    <row r="6839">
      <c r="K6839" s="124"/>
      <c r="L6839" s="124"/>
      <c r="M6839" s="124"/>
      <c r="N6839" s="124"/>
      <c r="O6839" s="124"/>
    </row>
    <row r="6840">
      <c r="K6840" s="124"/>
      <c r="L6840" s="124"/>
      <c r="M6840" s="124"/>
      <c r="N6840" s="124"/>
      <c r="O6840" s="124"/>
    </row>
    <row r="6841">
      <c r="K6841" s="124"/>
      <c r="L6841" s="124"/>
      <c r="M6841" s="124"/>
      <c r="N6841" s="124"/>
      <c r="O6841" s="124"/>
    </row>
    <row r="6842">
      <c r="K6842" s="124"/>
      <c r="L6842" s="124"/>
      <c r="M6842" s="124"/>
      <c r="N6842" s="124"/>
      <c r="O6842" s="124"/>
    </row>
    <row r="6843">
      <c r="K6843" s="124"/>
      <c r="L6843" s="124"/>
      <c r="M6843" s="124"/>
      <c r="N6843" s="124"/>
      <c r="O6843" s="124"/>
    </row>
    <row r="6844">
      <c r="K6844" s="124"/>
      <c r="L6844" s="124"/>
      <c r="M6844" s="124"/>
      <c r="N6844" s="124"/>
      <c r="O6844" s="124"/>
    </row>
    <row r="6845">
      <c r="K6845" s="124"/>
      <c r="L6845" s="124"/>
      <c r="M6845" s="124"/>
      <c r="N6845" s="124"/>
      <c r="O6845" s="124"/>
    </row>
    <row r="6846">
      <c r="K6846" s="124"/>
      <c r="L6846" s="124"/>
      <c r="M6846" s="124"/>
      <c r="N6846" s="124"/>
      <c r="O6846" s="124"/>
    </row>
    <row r="6847">
      <c r="K6847" s="124"/>
      <c r="L6847" s="124"/>
      <c r="M6847" s="124"/>
      <c r="N6847" s="124"/>
      <c r="O6847" s="124"/>
    </row>
    <row r="6848">
      <c r="K6848" s="124"/>
      <c r="L6848" s="124"/>
      <c r="M6848" s="124"/>
      <c r="N6848" s="124"/>
      <c r="O6848" s="124"/>
    </row>
    <row r="6849">
      <c r="K6849" s="124"/>
      <c r="L6849" s="124"/>
      <c r="M6849" s="124"/>
      <c r="N6849" s="124"/>
      <c r="O6849" s="124"/>
    </row>
    <row r="6850">
      <c r="K6850" s="124"/>
      <c r="L6850" s="124"/>
      <c r="M6850" s="124"/>
      <c r="N6850" s="124"/>
      <c r="O6850" s="124"/>
    </row>
    <row r="6851">
      <c r="K6851" s="124"/>
      <c r="L6851" s="124"/>
      <c r="M6851" s="124"/>
      <c r="N6851" s="124"/>
      <c r="O6851" s="124"/>
    </row>
    <row r="6852">
      <c r="K6852" s="124"/>
      <c r="L6852" s="124"/>
      <c r="M6852" s="124"/>
      <c r="N6852" s="124"/>
      <c r="O6852" s="124"/>
    </row>
    <row r="6853">
      <c r="K6853" s="124"/>
      <c r="L6853" s="124"/>
      <c r="M6853" s="124"/>
      <c r="N6853" s="124"/>
      <c r="O6853" s="124"/>
    </row>
    <row r="6854">
      <c r="K6854" s="124"/>
      <c r="L6854" s="124"/>
      <c r="M6854" s="124"/>
      <c r="N6854" s="124"/>
      <c r="O6854" s="124"/>
    </row>
    <row r="6855">
      <c r="K6855" s="124"/>
      <c r="L6855" s="124"/>
      <c r="M6855" s="124"/>
      <c r="N6855" s="124"/>
      <c r="O6855" s="124"/>
    </row>
    <row r="6856">
      <c r="K6856" s="124"/>
      <c r="L6856" s="124"/>
      <c r="M6856" s="124"/>
      <c r="N6856" s="124"/>
      <c r="O6856" s="124"/>
    </row>
    <row r="6857">
      <c r="K6857" s="124"/>
      <c r="L6857" s="124"/>
      <c r="M6857" s="124"/>
      <c r="N6857" s="124"/>
      <c r="O6857" s="124"/>
    </row>
    <row r="6858">
      <c r="K6858" s="124"/>
      <c r="L6858" s="124"/>
      <c r="M6858" s="124"/>
      <c r="N6858" s="124"/>
      <c r="O6858" s="124"/>
    </row>
    <row r="6859">
      <c r="K6859" s="124"/>
      <c r="L6859" s="124"/>
      <c r="M6859" s="124"/>
      <c r="N6859" s="124"/>
      <c r="O6859" s="124"/>
    </row>
    <row r="6860">
      <c r="K6860" s="124"/>
      <c r="L6860" s="124"/>
      <c r="M6860" s="124"/>
      <c r="N6860" s="124"/>
      <c r="O6860" s="124"/>
    </row>
    <row r="6861">
      <c r="K6861" s="124"/>
      <c r="L6861" s="124"/>
      <c r="M6861" s="124"/>
      <c r="N6861" s="124"/>
      <c r="O6861" s="124"/>
    </row>
    <row r="6862">
      <c r="K6862" s="124"/>
      <c r="L6862" s="124"/>
      <c r="M6862" s="124"/>
      <c r="N6862" s="124"/>
      <c r="O6862" s="124"/>
    </row>
    <row r="6863">
      <c r="K6863" s="124"/>
      <c r="L6863" s="124"/>
      <c r="M6863" s="124"/>
      <c r="N6863" s="124"/>
      <c r="O6863" s="124"/>
    </row>
    <row r="6864">
      <c r="K6864" s="124"/>
      <c r="L6864" s="124"/>
      <c r="M6864" s="124"/>
      <c r="N6864" s="124"/>
      <c r="O6864" s="124"/>
    </row>
    <row r="6865">
      <c r="K6865" s="124"/>
      <c r="L6865" s="124"/>
      <c r="M6865" s="124"/>
      <c r="N6865" s="124"/>
      <c r="O6865" s="124"/>
    </row>
    <row r="6866">
      <c r="K6866" s="124"/>
      <c r="L6866" s="124"/>
      <c r="M6866" s="124"/>
      <c r="N6866" s="124"/>
      <c r="O6866" s="124"/>
    </row>
    <row r="6867">
      <c r="K6867" s="124"/>
      <c r="L6867" s="124"/>
      <c r="M6867" s="124"/>
      <c r="N6867" s="124"/>
      <c r="O6867" s="124"/>
    </row>
    <row r="6868">
      <c r="K6868" s="124"/>
      <c r="L6868" s="124"/>
      <c r="M6868" s="124"/>
      <c r="N6868" s="124"/>
      <c r="O6868" s="124"/>
    </row>
    <row r="6869">
      <c r="K6869" s="124"/>
      <c r="L6869" s="124"/>
      <c r="M6869" s="124"/>
      <c r="N6869" s="124"/>
      <c r="O6869" s="124"/>
    </row>
    <row r="6870">
      <c r="K6870" s="124"/>
      <c r="L6870" s="124"/>
      <c r="M6870" s="124"/>
      <c r="N6870" s="124"/>
      <c r="O6870" s="124"/>
    </row>
    <row r="6871">
      <c r="K6871" s="124"/>
      <c r="L6871" s="124"/>
      <c r="M6871" s="124"/>
      <c r="N6871" s="124"/>
      <c r="O6871" s="124"/>
    </row>
    <row r="6872">
      <c r="K6872" s="124"/>
      <c r="L6872" s="124"/>
      <c r="M6872" s="124"/>
      <c r="N6872" s="124"/>
      <c r="O6872" s="124"/>
    </row>
    <row r="6873">
      <c r="K6873" s="124"/>
      <c r="L6873" s="124"/>
      <c r="M6873" s="124"/>
      <c r="N6873" s="124"/>
      <c r="O6873" s="124"/>
    </row>
    <row r="6874">
      <c r="K6874" s="124"/>
      <c r="L6874" s="124"/>
      <c r="M6874" s="124"/>
      <c r="N6874" s="124"/>
      <c r="O6874" s="124"/>
    </row>
    <row r="6875">
      <c r="K6875" s="124"/>
      <c r="L6875" s="124"/>
      <c r="M6875" s="124"/>
      <c r="N6875" s="124"/>
      <c r="O6875" s="124"/>
    </row>
    <row r="6876">
      <c r="K6876" s="124"/>
      <c r="L6876" s="124"/>
      <c r="M6876" s="124"/>
      <c r="N6876" s="124"/>
      <c r="O6876" s="124"/>
    </row>
    <row r="6877">
      <c r="K6877" s="124"/>
      <c r="L6877" s="124"/>
      <c r="M6877" s="124"/>
      <c r="N6877" s="124"/>
      <c r="O6877" s="124"/>
    </row>
    <row r="6878">
      <c r="K6878" s="124"/>
      <c r="L6878" s="124"/>
      <c r="M6878" s="124"/>
      <c r="N6878" s="124"/>
      <c r="O6878" s="124"/>
    </row>
    <row r="6879">
      <c r="K6879" s="124"/>
      <c r="L6879" s="124"/>
      <c r="M6879" s="124"/>
      <c r="N6879" s="124"/>
      <c r="O6879" s="124"/>
    </row>
    <row r="6880">
      <c r="K6880" s="124"/>
      <c r="L6880" s="124"/>
      <c r="M6880" s="124"/>
      <c r="N6880" s="124"/>
      <c r="O6880" s="124"/>
    </row>
    <row r="6881">
      <c r="K6881" s="124"/>
      <c r="L6881" s="124"/>
      <c r="M6881" s="124"/>
      <c r="N6881" s="124"/>
      <c r="O6881" s="124"/>
    </row>
    <row r="6882">
      <c r="K6882" s="124"/>
      <c r="L6882" s="124"/>
      <c r="M6882" s="124"/>
      <c r="N6882" s="124"/>
      <c r="O6882" s="124"/>
    </row>
    <row r="6883">
      <c r="K6883" s="124"/>
      <c r="L6883" s="124"/>
      <c r="M6883" s="124"/>
      <c r="N6883" s="124"/>
      <c r="O6883" s="124"/>
    </row>
    <row r="6884">
      <c r="K6884" s="124"/>
      <c r="L6884" s="124"/>
      <c r="M6884" s="124"/>
      <c r="N6884" s="124"/>
      <c r="O6884" s="124"/>
    </row>
    <row r="6885">
      <c r="K6885" s="124"/>
      <c r="L6885" s="124"/>
      <c r="M6885" s="124"/>
      <c r="N6885" s="124"/>
      <c r="O6885" s="124"/>
    </row>
    <row r="6886">
      <c r="K6886" s="124"/>
      <c r="L6886" s="124"/>
      <c r="M6886" s="124"/>
      <c r="N6886" s="124"/>
      <c r="O6886" s="124"/>
    </row>
    <row r="6887">
      <c r="K6887" s="124"/>
      <c r="L6887" s="124"/>
      <c r="M6887" s="124"/>
      <c r="N6887" s="124"/>
      <c r="O6887" s="124"/>
    </row>
    <row r="6888">
      <c r="K6888" s="124"/>
      <c r="L6888" s="124"/>
      <c r="M6888" s="124"/>
      <c r="N6888" s="124"/>
      <c r="O6888" s="124"/>
    </row>
    <row r="6889">
      <c r="K6889" s="124"/>
      <c r="L6889" s="124"/>
      <c r="M6889" s="124"/>
      <c r="N6889" s="124"/>
      <c r="O6889" s="124"/>
    </row>
    <row r="6890">
      <c r="K6890" s="124"/>
      <c r="L6890" s="124"/>
      <c r="M6890" s="124"/>
      <c r="N6890" s="124"/>
      <c r="O6890" s="124"/>
    </row>
    <row r="6891">
      <c r="K6891" s="124"/>
      <c r="L6891" s="124"/>
      <c r="M6891" s="124"/>
      <c r="N6891" s="124"/>
      <c r="O6891" s="124"/>
    </row>
    <row r="6892">
      <c r="K6892" s="124"/>
      <c r="L6892" s="124"/>
      <c r="M6892" s="124"/>
      <c r="N6892" s="124"/>
      <c r="O6892" s="124"/>
    </row>
    <row r="6893">
      <c r="K6893" s="124"/>
      <c r="L6893" s="124"/>
      <c r="M6893" s="124"/>
      <c r="N6893" s="124"/>
      <c r="O6893" s="124"/>
    </row>
    <row r="6894">
      <c r="K6894" s="124"/>
      <c r="L6894" s="124"/>
      <c r="M6894" s="124"/>
      <c r="N6894" s="124"/>
      <c r="O6894" s="124"/>
    </row>
    <row r="6895">
      <c r="K6895" s="124"/>
      <c r="L6895" s="124"/>
      <c r="M6895" s="124"/>
      <c r="N6895" s="124"/>
      <c r="O6895" s="124"/>
    </row>
    <row r="6896">
      <c r="K6896" s="124"/>
      <c r="L6896" s="124"/>
      <c r="M6896" s="124"/>
      <c r="N6896" s="124"/>
      <c r="O6896" s="124"/>
    </row>
    <row r="6897">
      <c r="K6897" s="124"/>
      <c r="L6897" s="124"/>
      <c r="M6897" s="124"/>
      <c r="N6897" s="124"/>
      <c r="O6897" s="124"/>
    </row>
    <row r="6898">
      <c r="K6898" s="124"/>
      <c r="L6898" s="124"/>
      <c r="M6898" s="124"/>
      <c r="N6898" s="124"/>
      <c r="O6898" s="124"/>
    </row>
    <row r="6899">
      <c r="K6899" s="124"/>
      <c r="L6899" s="124"/>
      <c r="M6899" s="124"/>
      <c r="N6899" s="124"/>
      <c r="O6899" s="124"/>
    </row>
    <row r="6900">
      <c r="K6900" s="124"/>
      <c r="L6900" s="124"/>
      <c r="M6900" s="124"/>
      <c r="N6900" s="124"/>
      <c r="O6900" s="124"/>
    </row>
    <row r="6901">
      <c r="K6901" s="124"/>
      <c r="L6901" s="124"/>
      <c r="M6901" s="124"/>
      <c r="N6901" s="124"/>
      <c r="O6901" s="124"/>
    </row>
    <row r="6902">
      <c r="K6902" s="124"/>
      <c r="L6902" s="124"/>
      <c r="M6902" s="124"/>
      <c r="N6902" s="124"/>
      <c r="O6902" s="124"/>
    </row>
    <row r="6903">
      <c r="K6903" s="124"/>
      <c r="L6903" s="124"/>
      <c r="M6903" s="124"/>
      <c r="N6903" s="124"/>
      <c r="O6903" s="124"/>
    </row>
    <row r="6904">
      <c r="K6904" s="124"/>
      <c r="L6904" s="124"/>
      <c r="M6904" s="124"/>
      <c r="N6904" s="124"/>
      <c r="O6904" s="124"/>
    </row>
    <row r="6905">
      <c r="K6905" s="124"/>
      <c r="L6905" s="124"/>
      <c r="M6905" s="124"/>
      <c r="N6905" s="124"/>
      <c r="O6905" s="124"/>
    </row>
    <row r="6906">
      <c r="K6906" s="124"/>
      <c r="L6906" s="124"/>
      <c r="M6906" s="124"/>
      <c r="N6906" s="124"/>
      <c r="O6906" s="124"/>
    </row>
    <row r="6907">
      <c r="K6907" s="124"/>
      <c r="L6907" s="124"/>
      <c r="M6907" s="124"/>
      <c r="N6907" s="124"/>
      <c r="O6907" s="124"/>
    </row>
    <row r="6908">
      <c r="K6908" s="124"/>
      <c r="L6908" s="124"/>
      <c r="M6908" s="124"/>
      <c r="N6908" s="124"/>
      <c r="O6908" s="124"/>
    </row>
    <row r="6909">
      <c r="K6909" s="124"/>
      <c r="L6909" s="124"/>
      <c r="M6909" s="124"/>
      <c r="N6909" s="124"/>
      <c r="O6909" s="124"/>
    </row>
    <row r="6910">
      <c r="K6910" s="124"/>
      <c r="L6910" s="124"/>
      <c r="M6910" s="124"/>
      <c r="N6910" s="124"/>
      <c r="O6910" s="124"/>
    </row>
    <row r="6911">
      <c r="K6911" s="124"/>
      <c r="L6911" s="124"/>
      <c r="M6911" s="124"/>
      <c r="N6911" s="124"/>
      <c r="O6911" s="124"/>
    </row>
    <row r="6912">
      <c r="K6912" s="124"/>
      <c r="L6912" s="124"/>
      <c r="M6912" s="124"/>
      <c r="N6912" s="124"/>
      <c r="O6912" s="124"/>
    </row>
    <row r="6913">
      <c r="K6913" s="124"/>
      <c r="L6913" s="124"/>
      <c r="M6913" s="124"/>
      <c r="N6913" s="124"/>
      <c r="O6913" s="124"/>
    </row>
    <row r="6914">
      <c r="K6914" s="124"/>
      <c r="L6914" s="124"/>
      <c r="M6914" s="124"/>
      <c r="N6914" s="124"/>
      <c r="O6914" s="124"/>
    </row>
    <row r="6915">
      <c r="K6915" s="124"/>
      <c r="L6915" s="124"/>
      <c r="M6915" s="124"/>
      <c r="N6915" s="124"/>
      <c r="O6915" s="124"/>
    </row>
    <row r="6916">
      <c r="K6916" s="124"/>
      <c r="L6916" s="124"/>
      <c r="M6916" s="124"/>
      <c r="N6916" s="124"/>
      <c r="O6916" s="124"/>
    </row>
    <row r="6917">
      <c r="K6917" s="124"/>
      <c r="L6917" s="124"/>
      <c r="M6917" s="124"/>
      <c r="N6917" s="124"/>
      <c r="O6917" s="124"/>
    </row>
    <row r="6918">
      <c r="K6918" s="124"/>
      <c r="L6918" s="124"/>
      <c r="M6918" s="124"/>
      <c r="N6918" s="124"/>
      <c r="O6918" s="124"/>
    </row>
    <row r="6919">
      <c r="K6919" s="124"/>
      <c r="L6919" s="124"/>
      <c r="M6919" s="124"/>
      <c r="N6919" s="124"/>
      <c r="O6919" s="124"/>
    </row>
    <row r="6920">
      <c r="K6920" s="124"/>
      <c r="L6920" s="124"/>
      <c r="M6920" s="124"/>
      <c r="N6920" s="124"/>
      <c r="O6920" s="124"/>
    </row>
    <row r="6921">
      <c r="K6921" s="124"/>
      <c r="L6921" s="124"/>
      <c r="M6921" s="124"/>
      <c r="N6921" s="124"/>
      <c r="O6921" s="124"/>
    </row>
    <row r="6922">
      <c r="K6922" s="124"/>
      <c r="L6922" s="124"/>
      <c r="M6922" s="124"/>
      <c r="N6922" s="124"/>
      <c r="O6922" s="124"/>
    </row>
    <row r="6923">
      <c r="K6923" s="124"/>
      <c r="L6923" s="124"/>
      <c r="M6923" s="124"/>
      <c r="N6923" s="124"/>
      <c r="O6923" s="124"/>
    </row>
    <row r="6924">
      <c r="K6924" s="124"/>
      <c r="L6924" s="124"/>
      <c r="M6924" s="124"/>
      <c r="N6924" s="124"/>
      <c r="O6924" s="124"/>
    </row>
    <row r="6925">
      <c r="K6925" s="124"/>
      <c r="L6925" s="124"/>
      <c r="M6925" s="124"/>
      <c r="N6925" s="124"/>
      <c r="O6925" s="124"/>
    </row>
    <row r="6926">
      <c r="K6926" s="124"/>
      <c r="L6926" s="124"/>
      <c r="M6926" s="124"/>
      <c r="N6926" s="124"/>
      <c r="O6926" s="124"/>
    </row>
    <row r="6927">
      <c r="K6927" s="124"/>
      <c r="L6927" s="124"/>
      <c r="M6927" s="124"/>
      <c r="N6927" s="124"/>
      <c r="O6927" s="124"/>
    </row>
    <row r="6928">
      <c r="K6928" s="124"/>
      <c r="L6928" s="124"/>
      <c r="M6928" s="124"/>
      <c r="N6928" s="124"/>
      <c r="O6928" s="124"/>
    </row>
    <row r="6929">
      <c r="K6929" s="124"/>
      <c r="L6929" s="124"/>
      <c r="M6929" s="124"/>
      <c r="N6929" s="124"/>
      <c r="O6929" s="124"/>
    </row>
    <row r="6930">
      <c r="K6930" s="124"/>
      <c r="L6930" s="124"/>
      <c r="M6930" s="124"/>
      <c r="N6930" s="124"/>
      <c r="O6930" s="124"/>
    </row>
    <row r="6931">
      <c r="K6931" s="124"/>
      <c r="L6931" s="124"/>
      <c r="M6931" s="124"/>
      <c r="N6931" s="124"/>
      <c r="O6931" s="124"/>
    </row>
    <row r="6932">
      <c r="K6932" s="124"/>
      <c r="L6932" s="124"/>
      <c r="M6932" s="124"/>
      <c r="N6932" s="124"/>
      <c r="O6932" s="124"/>
    </row>
    <row r="6933">
      <c r="K6933" s="124"/>
      <c r="L6933" s="124"/>
      <c r="M6933" s="124"/>
      <c r="N6933" s="124"/>
      <c r="O6933" s="124"/>
    </row>
    <row r="6934">
      <c r="K6934" s="124"/>
      <c r="L6934" s="124"/>
      <c r="M6934" s="124"/>
      <c r="N6934" s="124"/>
      <c r="O6934" s="124"/>
    </row>
    <row r="6935">
      <c r="K6935" s="124"/>
      <c r="L6935" s="124"/>
      <c r="M6935" s="124"/>
      <c r="N6935" s="124"/>
      <c r="O6935" s="124"/>
    </row>
    <row r="6936">
      <c r="K6936" s="124"/>
      <c r="L6936" s="124"/>
      <c r="M6936" s="124"/>
      <c r="N6936" s="124"/>
      <c r="O6936" s="124"/>
    </row>
    <row r="6937">
      <c r="K6937" s="124"/>
      <c r="L6937" s="124"/>
      <c r="M6937" s="124"/>
      <c r="N6937" s="124"/>
      <c r="O6937" s="124"/>
    </row>
    <row r="6938">
      <c r="K6938" s="124"/>
      <c r="L6938" s="124"/>
      <c r="M6938" s="124"/>
      <c r="N6938" s="124"/>
      <c r="O6938" s="124"/>
    </row>
    <row r="6939">
      <c r="K6939" s="124"/>
      <c r="L6939" s="124"/>
      <c r="M6939" s="124"/>
      <c r="N6939" s="124"/>
      <c r="O6939" s="124"/>
    </row>
    <row r="6940">
      <c r="K6940" s="124"/>
      <c r="L6940" s="124"/>
      <c r="M6940" s="124"/>
      <c r="N6940" s="124"/>
      <c r="O6940" s="124"/>
    </row>
    <row r="6941">
      <c r="K6941" s="124"/>
      <c r="L6941" s="124"/>
      <c r="M6941" s="124"/>
      <c r="N6941" s="124"/>
      <c r="O6941" s="124"/>
    </row>
    <row r="6942">
      <c r="K6942" s="124"/>
      <c r="L6942" s="124"/>
      <c r="M6942" s="124"/>
      <c r="N6942" s="124"/>
      <c r="O6942" s="124"/>
    </row>
    <row r="6943">
      <c r="K6943" s="124"/>
      <c r="L6943" s="124"/>
      <c r="M6943" s="124"/>
      <c r="N6943" s="124"/>
      <c r="O6943" s="124"/>
    </row>
    <row r="6944">
      <c r="K6944" s="124"/>
      <c r="L6944" s="124"/>
      <c r="M6944" s="124"/>
      <c r="N6944" s="124"/>
      <c r="O6944" s="124"/>
    </row>
    <row r="6945">
      <c r="K6945" s="124"/>
      <c r="L6945" s="124"/>
      <c r="M6945" s="124"/>
      <c r="N6945" s="124"/>
      <c r="O6945" s="124"/>
    </row>
    <row r="6946">
      <c r="K6946" s="124"/>
      <c r="L6946" s="124"/>
      <c r="M6946" s="124"/>
      <c r="N6946" s="124"/>
      <c r="O6946" s="124"/>
    </row>
    <row r="6947">
      <c r="K6947" s="124"/>
      <c r="L6947" s="124"/>
      <c r="M6947" s="124"/>
      <c r="N6947" s="124"/>
      <c r="O6947" s="124"/>
    </row>
    <row r="6948">
      <c r="K6948" s="124"/>
      <c r="L6948" s="124"/>
      <c r="M6948" s="124"/>
      <c r="N6948" s="124"/>
      <c r="O6948" s="124"/>
    </row>
    <row r="6949">
      <c r="K6949" s="124"/>
      <c r="L6949" s="124"/>
      <c r="M6949" s="124"/>
      <c r="N6949" s="124"/>
      <c r="O6949" s="124"/>
    </row>
    <row r="6950">
      <c r="K6950" s="124"/>
      <c r="L6950" s="124"/>
      <c r="M6950" s="124"/>
      <c r="N6950" s="124"/>
      <c r="O6950" s="124"/>
    </row>
    <row r="6951">
      <c r="K6951" s="124"/>
      <c r="L6951" s="124"/>
      <c r="M6951" s="124"/>
      <c r="N6951" s="124"/>
      <c r="O6951" s="124"/>
    </row>
    <row r="6952">
      <c r="K6952" s="124"/>
      <c r="L6952" s="124"/>
      <c r="M6952" s="124"/>
      <c r="N6952" s="124"/>
      <c r="O6952" s="124"/>
    </row>
    <row r="6953">
      <c r="K6953" s="124"/>
      <c r="L6953" s="124"/>
      <c r="M6953" s="124"/>
      <c r="N6953" s="124"/>
      <c r="O6953" s="124"/>
    </row>
    <row r="6954">
      <c r="K6954" s="124"/>
      <c r="L6954" s="124"/>
      <c r="M6954" s="124"/>
      <c r="N6954" s="124"/>
      <c r="O6954" s="124"/>
    </row>
    <row r="6955">
      <c r="K6955" s="124"/>
      <c r="L6955" s="124"/>
      <c r="M6955" s="124"/>
      <c r="N6955" s="124"/>
      <c r="O6955" s="124"/>
    </row>
    <row r="6956">
      <c r="K6956" s="124"/>
      <c r="L6956" s="124"/>
      <c r="M6956" s="124"/>
      <c r="N6956" s="124"/>
      <c r="O6956" s="124"/>
    </row>
    <row r="6957">
      <c r="K6957" s="124"/>
      <c r="L6957" s="124"/>
      <c r="M6957" s="124"/>
      <c r="N6957" s="124"/>
      <c r="O6957" s="124"/>
    </row>
    <row r="6958">
      <c r="K6958" s="124"/>
      <c r="L6958" s="124"/>
      <c r="M6958" s="124"/>
      <c r="N6958" s="124"/>
      <c r="O6958" s="124"/>
    </row>
    <row r="6959">
      <c r="K6959" s="124"/>
      <c r="L6959" s="124"/>
      <c r="M6959" s="124"/>
      <c r="N6959" s="124"/>
      <c r="O6959" s="124"/>
    </row>
    <row r="6960">
      <c r="K6960" s="124"/>
      <c r="L6960" s="124"/>
      <c r="M6960" s="124"/>
      <c r="N6960" s="124"/>
      <c r="O6960" s="124"/>
    </row>
    <row r="6961">
      <c r="K6961" s="124"/>
      <c r="L6961" s="124"/>
      <c r="M6961" s="124"/>
      <c r="N6961" s="124"/>
      <c r="O6961" s="124"/>
    </row>
    <row r="6962">
      <c r="K6962" s="124"/>
      <c r="L6962" s="124"/>
      <c r="M6962" s="124"/>
      <c r="N6962" s="124"/>
      <c r="O6962" s="124"/>
    </row>
    <row r="6963">
      <c r="K6963" s="124"/>
      <c r="L6963" s="124"/>
      <c r="M6963" s="124"/>
      <c r="N6963" s="124"/>
      <c r="O6963" s="124"/>
    </row>
    <row r="6964">
      <c r="K6964" s="124"/>
      <c r="L6964" s="124"/>
      <c r="M6964" s="124"/>
      <c r="N6964" s="124"/>
      <c r="O6964" s="124"/>
    </row>
    <row r="6965">
      <c r="K6965" s="124"/>
      <c r="L6965" s="124"/>
      <c r="M6965" s="124"/>
      <c r="N6965" s="124"/>
      <c r="O6965" s="124"/>
    </row>
    <row r="6966">
      <c r="K6966" s="124"/>
      <c r="L6966" s="124"/>
      <c r="M6966" s="124"/>
      <c r="N6966" s="124"/>
      <c r="O6966" s="124"/>
    </row>
    <row r="6967">
      <c r="K6967" s="124"/>
      <c r="L6967" s="124"/>
      <c r="M6967" s="124"/>
      <c r="N6967" s="124"/>
      <c r="O6967" s="124"/>
    </row>
    <row r="6968">
      <c r="K6968" s="124"/>
      <c r="L6968" s="124"/>
      <c r="M6968" s="124"/>
      <c r="N6968" s="124"/>
      <c r="O6968" s="124"/>
    </row>
    <row r="6969">
      <c r="K6969" s="124"/>
      <c r="L6969" s="124"/>
      <c r="M6969" s="124"/>
      <c r="N6969" s="124"/>
      <c r="O6969" s="124"/>
    </row>
    <row r="6970">
      <c r="K6970" s="124"/>
      <c r="L6970" s="124"/>
      <c r="M6970" s="124"/>
      <c r="N6970" s="124"/>
      <c r="O6970" s="124"/>
    </row>
    <row r="6971">
      <c r="K6971" s="124"/>
      <c r="L6971" s="124"/>
      <c r="M6971" s="124"/>
      <c r="N6971" s="124"/>
      <c r="O6971" s="124"/>
    </row>
    <row r="6972">
      <c r="K6972" s="124"/>
      <c r="L6972" s="124"/>
      <c r="M6972" s="124"/>
      <c r="N6972" s="124"/>
      <c r="O6972" s="124"/>
    </row>
    <row r="6973">
      <c r="K6973" s="124"/>
      <c r="L6973" s="124"/>
      <c r="M6973" s="124"/>
      <c r="N6973" s="124"/>
      <c r="O6973" s="124"/>
    </row>
    <row r="6974">
      <c r="K6974" s="124"/>
      <c r="L6974" s="124"/>
      <c r="M6974" s="124"/>
      <c r="N6974" s="124"/>
      <c r="O6974" s="124"/>
    </row>
    <row r="6975">
      <c r="K6975" s="124"/>
      <c r="L6975" s="124"/>
      <c r="M6975" s="124"/>
      <c r="N6975" s="124"/>
      <c r="O6975" s="124"/>
    </row>
    <row r="6976">
      <c r="K6976" s="124"/>
      <c r="L6976" s="124"/>
      <c r="M6976" s="124"/>
      <c r="N6976" s="124"/>
      <c r="O6976" s="124"/>
    </row>
    <row r="6977">
      <c r="K6977" s="124"/>
      <c r="L6977" s="124"/>
      <c r="M6977" s="124"/>
      <c r="N6977" s="124"/>
      <c r="O6977" s="124"/>
    </row>
    <row r="6978">
      <c r="K6978" s="124"/>
      <c r="L6978" s="124"/>
      <c r="M6978" s="124"/>
      <c r="N6978" s="124"/>
      <c r="O6978" s="124"/>
    </row>
    <row r="6979">
      <c r="K6979" s="124"/>
      <c r="L6979" s="124"/>
      <c r="M6979" s="124"/>
      <c r="N6979" s="124"/>
      <c r="O6979" s="124"/>
    </row>
    <row r="6980">
      <c r="K6980" s="124"/>
      <c r="L6980" s="124"/>
      <c r="M6980" s="124"/>
      <c r="N6980" s="124"/>
      <c r="O6980" s="124"/>
    </row>
    <row r="6981">
      <c r="K6981" s="124"/>
      <c r="L6981" s="124"/>
      <c r="M6981" s="124"/>
      <c r="N6981" s="124"/>
      <c r="O6981" s="124"/>
    </row>
    <row r="6982">
      <c r="K6982" s="124"/>
      <c r="L6982" s="124"/>
      <c r="M6982" s="124"/>
      <c r="N6982" s="124"/>
      <c r="O6982" s="124"/>
    </row>
    <row r="6983">
      <c r="K6983" s="124"/>
      <c r="L6983" s="124"/>
      <c r="M6983" s="124"/>
      <c r="N6983" s="124"/>
      <c r="O6983" s="124"/>
    </row>
    <row r="6984">
      <c r="K6984" s="124"/>
      <c r="L6984" s="124"/>
      <c r="M6984" s="124"/>
      <c r="N6984" s="124"/>
      <c r="O6984" s="124"/>
    </row>
    <row r="6985">
      <c r="K6985" s="124"/>
      <c r="L6985" s="124"/>
      <c r="M6985" s="124"/>
      <c r="N6985" s="124"/>
      <c r="O6985" s="124"/>
    </row>
    <row r="6986">
      <c r="K6986" s="124"/>
      <c r="L6986" s="124"/>
      <c r="M6986" s="124"/>
      <c r="N6986" s="124"/>
      <c r="O6986" s="124"/>
    </row>
    <row r="6987">
      <c r="K6987" s="124"/>
      <c r="L6987" s="124"/>
      <c r="M6987" s="124"/>
      <c r="N6987" s="124"/>
      <c r="O6987" s="124"/>
    </row>
    <row r="6988">
      <c r="K6988" s="124"/>
      <c r="L6988" s="124"/>
      <c r="M6988" s="124"/>
      <c r="N6988" s="124"/>
      <c r="O6988" s="124"/>
    </row>
    <row r="6989">
      <c r="K6989" s="124"/>
      <c r="L6989" s="124"/>
      <c r="M6989" s="124"/>
      <c r="N6989" s="124"/>
      <c r="O6989" s="124"/>
    </row>
    <row r="6990">
      <c r="K6990" s="124"/>
      <c r="L6990" s="124"/>
      <c r="M6990" s="124"/>
      <c r="N6990" s="124"/>
      <c r="O6990" s="124"/>
    </row>
    <row r="6991">
      <c r="K6991" s="124"/>
      <c r="L6991" s="124"/>
      <c r="M6991" s="124"/>
      <c r="N6991" s="124"/>
      <c r="O6991" s="124"/>
    </row>
    <row r="6992">
      <c r="K6992" s="124"/>
      <c r="L6992" s="124"/>
      <c r="M6992" s="124"/>
      <c r="N6992" s="124"/>
      <c r="O6992" s="124"/>
    </row>
    <row r="6993">
      <c r="K6993" s="124"/>
      <c r="L6993" s="124"/>
      <c r="M6993" s="124"/>
      <c r="N6993" s="124"/>
      <c r="O6993" s="124"/>
    </row>
    <row r="6994">
      <c r="K6994" s="124"/>
      <c r="L6994" s="124"/>
      <c r="M6994" s="124"/>
      <c r="N6994" s="124"/>
      <c r="O6994" s="124"/>
    </row>
    <row r="6995">
      <c r="K6995" s="124"/>
      <c r="L6995" s="124"/>
      <c r="M6995" s="124"/>
      <c r="N6995" s="124"/>
      <c r="O6995" s="124"/>
    </row>
    <row r="6996">
      <c r="K6996" s="124"/>
      <c r="L6996" s="124"/>
      <c r="M6996" s="124"/>
      <c r="N6996" s="124"/>
      <c r="O6996" s="124"/>
    </row>
    <row r="6997">
      <c r="K6997" s="124"/>
      <c r="L6997" s="124"/>
      <c r="M6997" s="124"/>
      <c r="N6997" s="124"/>
      <c r="O6997" s="124"/>
    </row>
    <row r="6998">
      <c r="K6998" s="124"/>
      <c r="L6998" s="124"/>
      <c r="M6998" s="124"/>
      <c r="N6998" s="124"/>
      <c r="O6998" s="124"/>
    </row>
    <row r="6999">
      <c r="K6999" s="124"/>
      <c r="L6999" s="124"/>
      <c r="M6999" s="124"/>
      <c r="N6999" s="124"/>
      <c r="O6999" s="124"/>
    </row>
    <row r="7000">
      <c r="K7000" s="124"/>
      <c r="L7000" s="124"/>
      <c r="M7000" s="124"/>
      <c r="N7000" s="124"/>
      <c r="O7000" s="124"/>
    </row>
    <row r="7001">
      <c r="K7001" s="124"/>
      <c r="L7001" s="124"/>
      <c r="M7001" s="124"/>
      <c r="N7001" s="124"/>
      <c r="O7001" s="124"/>
    </row>
    <row r="7002">
      <c r="K7002" s="124"/>
      <c r="L7002" s="124"/>
      <c r="M7002" s="124"/>
      <c r="N7002" s="124"/>
      <c r="O7002" s="124"/>
    </row>
    <row r="7003">
      <c r="K7003" s="124"/>
      <c r="L7003" s="124"/>
      <c r="M7003" s="124"/>
      <c r="N7003" s="124"/>
      <c r="O7003" s="124"/>
    </row>
    <row r="7004">
      <c r="K7004" s="124"/>
      <c r="L7004" s="124"/>
      <c r="M7004" s="124"/>
      <c r="N7004" s="124"/>
      <c r="O7004" s="124"/>
    </row>
    <row r="7005">
      <c r="K7005" s="124"/>
      <c r="L7005" s="124"/>
      <c r="M7005" s="124"/>
      <c r="N7005" s="124"/>
      <c r="O7005" s="124"/>
    </row>
    <row r="7006">
      <c r="K7006" s="124"/>
      <c r="L7006" s="124"/>
      <c r="M7006" s="124"/>
      <c r="N7006" s="124"/>
      <c r="O7006" s="124"/>
    </row>
    <row r="7007">
      <c r="K7007" s="124"/>
      <c r="L7007" s="124"/>
      <c r="M7007" s="124"/>
      <c r="N7007" s="124"/>
      <c r="O7007" s="124"/>
    </row>
    <row r="7008">
      <c r="K7008" s="124"/>
      <c r="L7008" s="124"/>
      <c r="M7008" s="124"/>
      <c r="N7008" s="124"/>
      <c r="O7008" s="124"/>
    </row>
    <row r="7009">
      <c r="K7009" s="124"/>
      <c r="L7009" s="124"/>
      <c r="M7009" s="124"/>
      <c r="N7009" s="124"/>
      <c r="O7009" s="124"/>
    </row>
    <row r="7010">
      <c r="K7010" s="124"/>
      <c r="L7010" s="124"/>
      <c r="M7010" s="124"/>
      <c r="N7010" s="124"/>
      <c r="O7010" s="124"/>
    </row>
    <row r="7011">
      <c r="K7011" s="124"/>
      <c r="L7011" s="124"/>
      <c r="M7011" s="124"/>
      <c r="N7011" s="124"/>
      <c r="O7011" s="124"/>
    </row>
    <row r="7012">
      <c r="K7012" s="124"/>
      <c r="L7012" s="124"/>
      <c r="M7012" s="124"/>
      <c r="N7012" s="124"/>
      <c r="O7012" s="124"/>
    </row>
    <row r="7013">
      <c r="K7013" s="124"/>
      <c r="L7013" s="124"/>
      <c r="M7013" s="124"/>
      <c r="N7013" s="124"/>
      <c r="O7013" s="124"/>
    </row>
    <row r="7014">
      <c r="K7014" s="124"/>
      <c r="L7014" s="124"/>
      <c r="M7014" s="124"/>
      <c r="N7014" s="124"/>
      <c r="O7014" s="124"/>
    </row>
    <row r="7015">
      <c r="K7015" s="124"/>
      <c r="L7015" s="124"/>
      <c r="M7015" s="124"/>
      <c r="N7015" s="124"/>
      <c r="O7015" s="124"/>
    </row>
    <row r="7016">
      <c r="K7016" s="124"/>
      <c r="L7016" s="124"/>
      <c r="M7016" s="124"/>
      <c r="N7016" s="124"/>
      <c r="O7016" s="124"/>
    </row>
    <row r="7017">
      <c r="K7017" s="124"/>
      <c r="L7017" s="124"/>
      <c r="M7017" s="124"/>
      <c r="N7017" s="124"/>
      <c r="O7017" s="124"/>
    </row>
    <row r="7018">
      <c r="K7018" s="124"/>
      <c r="L7018" s="124"/>
      <c r="M7018" s="124"/>
      <c r="N7018" s="124"/>
      <c r="O7018" s="124"/>
    </row>
    <row r="7019">
      <c r="K7019" s="124"/>
      <c r="L7019" s="124"/>
      <c r="M7019" s="124"/>
      <c r="N7019" s="124"/>
      <c r="O7019" s="124"/>
    </row>
    <row r="7020">
      <c r="K7020" s="124"/>
      <c r="L7020" s="124"/>
      <c r="M7020" s="124"/>
      <c r="N7020" s="124"/>
      <c r="O7020" s="124"/>
    </row>
    <row r="7021">
      <c r="K7021" s="124"/>
      <c r="L7021" s="124"/>
      <c r="M7021" s="124"/>
      <c r="N7021" s="124"/>
      <c r="O7021" s="124"/>
    </row>
    <row r="7022">
      <c r="K7022" s="124"/>
      <c r="L7022" s="124"/>
      <c r="M7022" s="124"/>
      <c r="N7022" s="124"/>
      <c r="O7022" s="124"/>
    </row>
    <row r="7023">
      <c r="K7023" s="124"/>
      <c r="L7023" s="124"/>
      <c r="M7023" s="124"/>
      <c r="N7023" s="124"/>
      <c r="O7023" s="124"/>
    </row>
    <row r="7024">
      <c r="K7024" s="124"/>
      <c r="L7024" s="124"/>
      <c r="M7024" s="124"/>
      <c r="N7024" s="124"/>
      <c r="O7024" s="124"/>
    </row>
    <row r="7025">
      <c r="K7025" s="124"/>
      <c r="L7025" s="124"/>
      <c r="M7025" s="124"/>
      <c r="N7025" s="124"/>
      <c r="O7025" s="124"/>
    </row>
    <row r="7026">
      <c r="K7026" s="124"/>
      <c r="L7026" s="124"/>
      <c r="M7026" s="124"/>
      <c r="N7026" s="124"/>
      <c r="O7026" s="124"/>
    </row>
    <row r="7027">
      <c r="K7027" s="124"/>
      <c r="L7027" s="124"/>
      <c r="M7027" s="124"/>
      <c r="N7027" s="124"/>
      <c r="O7027" s="124"/>
    </row>
    <row r="7028">
      <c r="K7028" s="124"/>
      <c r="L7028" s="124"/>
      <c r="M7028" s="124"/>
      <c r="N7028" s="124"/>
      <c r="O7028" s="124"/>
    </row>
    <row r="7029">
      <c r="K7029" s="124"/>
      <c r="L7029" s="124"/>
      <c r="M7029" s="124"/>
      <c r="N7029" s="124"/>
      <c r="O7029" s="124"/>
    </row>
    <row r="7030">
      <c r="K7030" s="124"/>
      <c r="L7030" s="124"/>
      <c r="M7030" s="124"/>
      <c r="N7030" s="124"/>
      <c r="O7030" s="124"/>
    </row>
    <row r="7031">
      <c r="K7031" s="124"/>
      <c r="L7031" s="124"/>
      <c r="M7031" s="124"/>
      <c r="N7031" s="124"/>
      <c r="O7031" s="124"/>
    </row>
    <row r="7032">
      <c r="K7032" s="124"/>
      <c r="L7032" s="124"/>
      <c r="M7032" s="124"/>
      <c r="N7032" s="124"/>
      <c r="O7032" s="124"/>
    </row>
    <row r="7033">
      <c r="K7033" s="124"/>
      <c r="L7033" s="124"/>
      <c r="M7033" s="124"/>
      <c r="N7033" s="124"/>
      <c r="O7033" s="124"/>
    </row>
    <row r="7034">
      <c r="K7034" s="124"/>
      <c r="L7034" s="124"/>
      <c r="M7034" s="124"/>
      <c r="N7034" s="124"/>
      <c r="O7034" s="124"/>
    </row>
    <row r="7035">
      <c r="K7035" s="124"/>
      <c r="L7035" s="124"/>
      <c r="M7035" s="124"/>
      <c r="N7035" s="124"/>
      <c r="O7035" s="124"/>
    </row>
    <row r="7036">
      <c r="K7036" s="124"/>
      <c r="L7036" s="124"/>
      <c r="M7036" s="124"/>
      <c r="N7036" s="124"/>
      <c r="O7036" s="124"/>
    </row>
    <row r="7037">
      <c r="K7037" s="124"/>
      <c r="L7037" s="124"/>
      <c r="M7037" s="124"/>
      <c r="N7037" s="124"/>
      <c r="O7037" s="124"/>
    </row>
    <row r="7038">
      <c r="K7038" s="124"/>
      <c r="L7038" s="124"/>
      <c r="M7038" s="124"/>
      <c r="N7038" s="124"/>
      <c r="O7038" s="124"/>
    </row>
    <row r="7039">
      <c r="K7039" s="124"/>
      <c r="L7039" s="124"/>
      <c r="M7039" s="124"/>
      <c r="N7039" s="124"/>
      <c r="O7039" s="124"/>
    </row>
    <row r="7040">
      <c r="K7040" s="124"/>
      <c r="L7040" s="124"/>
      <c r="M7040" s="124"/>
      <c r="N7040" s="124"/>
      <c r="O7040" s="124"/>
    </row>
    <row r="7041">
      <c r="K7041" s="124"/>
      <c r="L7041" s="124"/>
      <c r="M7041" s="124"/>
      <c r="N7041" s="124"/>
      <c r="O7041" s="124"/>
    </row>
    <row r="7042">
      <c r="K7042" s="124"/>
      <c r="L7042" s="124"/>
      <c r="M7042" s="124"/>
      <c r="N7042" s="124"/>
      <c r="O7042" s="124"/>
    </row>
    <row r="7043">
      <c r="K7043" s="124"/>
      <c r="L7043" s="124"/>
      <c r="M7043" s="124"/>
      <c r="N7043" s="124"/>
      <c r="O7043" s="124"/>
    </row>
    <row r="7044">
      <c r="K7044" s="124"/>
      <c r="L7044" s="124"/>
      <c r="M7044" s="124"/>
      <c r="N7044" s="124"/>
      <c r="O7044" s="124"/>
    </row>
    <row r="7045">
      <c r="K7045" s="124"/>
      <c r="L7045" s="124"/>
      <c r="M7045" s="124"/>
      <c r="N7045" s="124"/>
      <c r="O7045" s="124"/>
    </row>
    <row r="7046">
      <c r="K7046" s="124"/>
      <c r="L7046" s="124"/>
      <c r="M7046" s="124"/>
      <c r="N7046" s="124"/>
      <c r="O7046" s="124"/>
    </row>
    <row r="7047">
      <c r="K7047" s="124"/>
      <c r="L7047" s="124"/>
      <c r="M7047" s="124"/>
      <c r="N7047" s="124"/>
      <c r="O7047" s="124"/>
    </row>
    <row r="7048">
      <c r="K7048" s="124"/>
      <c r="L7048" s="124"/>
      <c r="M7048" s="124"/>
      <c r="N7048" s="124"/>
      <c r="O7048" s="124"/>
    </row>
    <row r="7049">
      <c r="K7049" s="124"/>
      <c r="L7049" s="124"/>
      <c r="M7049" s="124"/>
      <c r="N7049" s="124"/>
      <c r="O7049" s="124"/>
    </row>
    <row r="7050">
      <c r="K7050" s="124"/>
      <c r="L7050" s="124"/>
      <c r="M7050" s="124"/>
      <c r="N7050" s="124"/>
      <c r="O7050" s="124"/>
    </row>
    <row r="7051">
      <c r="K7051" s="124"/>
      <c r="L7051" s="124"/>
      <c r="M7051" s="124"/>
      <c r="N7051" s="124"/>
      <c r="O7051" s="124"/>
    </row>
    <row r="7052">
      <c r="K7052" s="124"/>
      <c r="L7052" s="124"/>
      <c r="M7052" s="124"/>
      <c r="N7052" s="124"/>
      <c r="O7052" s="124"/>
    </row>
    <row r="7053">
      <c r="K7053" s="124"/>
      <c r="L7053" s="124"/>
      <c r="M7053" s="124"/>
      <c r="N7053" s="124"/>
      <c r="O7053" s="124"/>
    </row>
    <row r="7054">
      <c r="K7054" s="124"/>
      <c r="L7054" s="124"/>
      <c r="M7054" s="124"/>
      <c r="N7054" s="124"/>
      <c r="O7054" s="124"/>
    </row>
    <row r="7055">
      <c r="K7055" s="124"/>
      <c r="L7055" s="124"/>
      <c r="M7055" s="124"/>
      <c r="N7055" s="124"/>
      <c r="O7055" s="124"/>
    </row>
    <row r="7056">
      <c r="K7056" s="124"/>
      <c r="L7056" s="124"/>
      <c r="M7056" s="124"/>
      <c r="N7056" s="124"/>
      <c r="O7056" s="124"/>
    </row>
    <row r="7057">
      <c r="K7057" s="124"/>
      <c r="L7057" s="124"/>
      <c r="M7057" s="124"/>
      <c r="N7057" s="124"/>
      <c r="O7057" s="124"/>
    </row>
    <row r="7058">
      <c r="K7058" s="124"/>
      <c r="L7058" s="124"/>
      <c r="M7058" s="124"/>
      <c r="N7058" s="124"/>
      <c r="O7058" s="124"/>
    </row>
    <row r="7059">
      <c r="K7059" s="124"/>
      <c r="L7059" s="124"/>
      <c r="M7059" s="124"/>
      <c r="N7059" s="124"/>
      <c r="O7059" s="124"/>
    </row>
    <row r="7060">
      <c r="K7060" s="124"/>
      <c r="L7060" s="124"/>
      <c r="M7060" s="124"/>
      <c r="N7060" s="124"/>
      <c r="O7060" s="124"/>
    </row>
    <row r="7061">
      <c r="K7061" s="124"/>
      <c r="L7061" s="124"/>
      <c r="M7061" s="124"/>
      <c r="N7061" s="124"/>
      <c r="O7061" s="124"/>
    </row>
    <row r="7062">
      <c r="K7062" s="124"/>
      <c r="L7062" s="124"/>
      <c r="M7062" s="124"/>
      <c r="N7062" s="124"/>
      <c r="O7062" s="124"/>
    </row>
    <row r="7063">
      <c r="K7063" s="124"/>
      <c r="L7063" s="124"/>
      <c r="M7063" s="124"/>
      <c r="N7063" s="124"/>
      <c r="O7063" s="124"/>
    </row>
    <row r="7064">
      <c r="K7064" s="124"/>
      <c r="L7064" s="124"/>
      <c r="M7064" s="124"/>
      <c r="N7064" s="124"/>
      <c r="O7064" s="124"/>
    </row>
    <row r="7065">
      <c r="K7065" s="124"/>
      <c r="L7065" s="124"/>
      <c r="M7065" s="124"/>
      <c r="N7065" s="124"/>
      <c r="O7065" s="124"/>
    </row>
    <row r="7066">
      <c r="K7066" s="124"/>
      <c r="L7066" s="124"/>
      <c r="M7066" s="124"/>
      <c r="N7066" s="124"/>
      <c r="O7066" s="124"/>
    </row>
    <row r="7067">
      <c r="K7067" s="124"/>
      <c r="L7067" s="124"/>
      <c r="M7067" s="124"/>
      <c r="N7067" s="124"/>
      <c r="O7067" s="124"/>
    </row>
    <row r="7068">
      <c r="K7068" s="124"/>
      <c r="L7068" s="124"/>
      <c r="M7068" s="124"/>
      <c r="N7068" s="124"/>
      <c r="O7068" s="124"/>
    </row>
    <row r="7069">
      <c r="K7069" s="124"/>
      <c r="L7069" s="124"/>
      <c r="M7069" s="124"/>
      <c r="N7069" s="124"/>
      <c r="O7069" s="124"/>
    </row>
    <row r="7070">
      <c r="K7070" s="124"/>
      <c r="L7070" s="124"/>
      <c r="M7070" s="124"/>
      <c r="N7070" s="124"/>
      <c r="O7070" s="124"/>
    </row>
    <row r="7071">
      <c r="K7071" s="124"/>
      <c r="L7071" s="124"/>
      <c r="M7071" s="124"/>
      <c r="N7071" s="124"/>
      <c r="O7071" s="124"/>
    </row>
    <row r="7072">
      <c r="K7072" s="124"/>
      <c r="L7072" s="124"/>
      <c r="M7072" s="124"/>
      <c r="N7072" s="124"/>
      <c r="O7072" s="124"/>
    </row>
    <row r="7073">
      <c r="K7073" s="124"/>
      <c r="L7073" s="124"/>
      <c r="M7073" s="124"/>
      <c r="N7073" s="124"/>
      <c r="O7073" s="124"/>
    </row>
    <row r="7074">
      <c r="K7074" s="124"/>
      <c r="L7074" s="124"/>
      <c r="M7074" s="124"/>
      <c r="N7074" s="124"/>
      <c r="O7074" s="124"/>
    </row>
    <row r="7075">
      <c r="K7075" s="124"/>
      <c r="L7075" s="124"/>
      <c r="M7075" s="124"/>
      <c r="N7075" s="124"/>
      <c r="O7075" s="124"/>
    </row>
    <row r="7076">
      <c r="K7076" s="124"/>
      <c r="L7076" s="124"/>
      <c r="M7076" s="124"/>
      <c r="N7076" s="124"/>
      <c r="O7076" s="124"/>
    </row>
    <row r="7077">
      <c r="K7077" s="124"/>
      <c r="L7077" s="124"/>
      <c r="M7077" s="124"/>
      <c r="N7077" s="124"/>
      <c r="O7077" s="124"/>
    </row>
    <row r="7078">
      <c r="K7078" s="124"/>
      <c r="L7078" s="124"/>
      <c r="M7078" s="124"/>
      <c r="N7078" s="124"/>
      <c r="O7078" s="124"/>
    </row>
    <row r="7079">
      <c r="K7079" s="124"/>
      <c r="L7079" s="124"/>
      <c r="M7079" s="124"/>
      <c r="N7079" s="124"/>
      <c r="O7079" s="124"/>
    </row>
    <row r="7080">
      <c r="K7080" s="124"/>
      <c r="L7080" s="124"/>
      <c r="M7080" s="124"/>
      <c r="N7080" s="124"/>
      <c r="O7080" s="124"/>
    </row>
    <row r="7081">
      <c r="K7081" s="124"/>
      <c r="L7081" s="124"/>
      <c r="M7081" s="124"/>
      <c r="N7081" s="124"/>
      <c r="O7081" s="124"/>
    </row>
    <row r="7082">
      <c r="K7082" s="124"/>
      <c r="L7082" s="124"/>
      <c r="M7082" s="124"/>
      <c r="N7082" s="124"/>
      <c r="O7082" s="124"/>
    </row>
    <row r="7083">
      <c r="K7083" s="124"/>
      <c r="L7083" s="124"/>
      <c r="M7083" s="124"/>
      <c r="N7083" s="124"/>
      <c r="O7083" s="124"/>
    </row>
    <row r="7084">
      <c r="K7084" s="124"/>
      <c r="L7084" s="124"/>
      <c r="M7084" s="124"/>
      <c r="N7084" s="124"/>
      <c r="O7084" s="124"/>
    </row>
    <row r="7085">
      <c r="K7085" s="124"/>
      <c r="L7085" s="124"/>
      <c r="M7085" s="124"/>
      <c r="N7085" s="124"/>
      <c r="O7085" s="124"/>
    </row>
    <row r="7086">
      <c r="K7086" s="124"/>
      <c r="L7086" s="124"/>
      <c r="M7086" s="124"/>
      <c r="N7086" s="124"/>
      <c r="O7086" s="124"/>
    </row>
    <row r="7087">
      <c r="K7087" s="124"/>
      <c r="L7087" s="124"/>
      <c r="M7087" s="124"/>
      <c r="N7087" s="124"/>
      <c r="O7087" s="124"/>
    </row>
    <row r="7088">
      <c r="K7088" s="124"/>
      <c r="L7088" s="124"/>
      <c r="M7088" s="124"/>
      <c r="N7088" s="124"/>
      <c r="O7088" s="124"/>
    </row>
    <row r="7089">
      <c r="K7089" s="124"/>
      <c r="L7089" s="124"/>
      <c r="M7089" s="124"/>
      <c r="N7089" s="124"/>
      <c r="O7089" s="124"/>
    </row>
    <row r="7090">
      <c r="K7090" s="124"/>
      <c r="L7090" s="124"/>
      <c r="M7090" s="124"/>
      <c r="N7090" s="124"/>
      <c r="O7090" s="124"/>
    </row>
    <row r="7091">
      <c r="K7091" s="124"/>
      <c r="L7091" s="124"/>
      <c r="M7091" s="124"/>
      <c r="N7091" s="124"/>
      <c r="O7091" s="124"/>
    </row>
    <row r="7092">
      <c r="K7092" s="124"/>
      <c r="L7092" s="124"/>
      <c r="M7092" s="124"/>
      <c r="N7092" s="124"/>
      <c r="O7092" s="124"/>
    </row>
    <row r="7093">
      <c r="K7093" s="124"/>
      <c r="L7093" s="124"/>
      <c r="M7093" s="124"/>
      <c r="N7093" s="124"/>
      <c r="O7093" s="124"/>
    </row>
    <row r="7094">
      <c r="K7094" s="124"/>
      <c r="L7094" s="124"/>
      <c r="M7094" s="124"/>
      <c r="N7094" s="124"/>
      <c r="O7094" s="124"/>
    </row>
    <row r="7095">
      <c r="K7095" s="124"/>
      <c r="L7095" s="124"/>
      <c r="M7095" s="124"/>
      <c r="N7095" s="124"/>
      <c r="O7095" s="124"/>
    </row>
    <row r="7096">
      <c r="K7096" s="124"/>
      <c r="L7096" s="124"/>
      <c r="M7096" s="124"/>
      <c r="N7096" s="124"/>
      <c r="O7096" s="124"/>
    </row>
    <row r="7097">
      <c r="K7097" s="124"/>
      <c r="L7097" s="124"/>
      <c r="M7097" s="124"/>
      <c r="N7097" s="124"/>
      <c r="O7097" s="124"/>
    </row>
    <row r="7098">
      <c r="K7098" s="124"/>
      <c r="L7098" s="124"/>
      <c r="M7098" s="124"/>
      <c r="N7098" s="124"/>
      <c r="O7098" s="124"/>
    </row>
    <row r="7099">
      <c r="K7099" s="124"/>
      <c r="L7099" s="124"/>
      <c r="M7099" s="124"/>
      <c r="N7099" s="124"/>
      <c r="O7099" s="124"/>
    </row>
    <row r="7100">
      <c r="K7100" s="124"/>
      <c r="L7100" s="124"/>
      <c r="M7100" s="124"/>
      <c r="N7100" s="124"/>
      <c r="O7100" s="124"/>
    </row>
    <row r="7101">
      <c r="K7101" s="124"/>
      <c r="L7101" s="124"/>
      <c r="M7101" s="124"/>
      <c r="N7101" s="124"/>
      <c r="O7101" s="124"/>
    </row>
    <row r="7102">
      <c r="K7102" s="124"/>
      <c r="L7102" s="124"/>
      <c r="M7102" s="124"/>
      <c r="N7102" s="124"/>
      <c r="O7102" s="124"/>
    </row>
    <row r="7103">
      <c r="K7103" s="124"/>
      <c r="L7103" s="124"/>
      <c r="M7103" s="124"/>
      <c r="N7103" s="124"/>
      <c r="O7103" s="124"/>
    </row>
    <row r="7104">
      <c r="K7104" s="124"/>
      <c r="L7104" s="124"/>
      <c r="M7104" s="124"/>
      <c r="N7104" s="124"/>
      <c r="O7104" s="124"/>
    </row>
    <row r="7105">
      <c r="K7105" s="124"/>
      <c r="L7105" s="124"/>
      <c r="M7105" s="124"/>
      <c r="N7105" s="124"/>
      <c r="O7105" s="124"/>
    </row>
    <row r="7106">
      <c r="K7106" s="124"/>
      <c r="L7106" s="124"/>
      <c r="M7106" s="124"/>
      <c r="N7106" s="124"/>
      <c r="O7106" s="124"/>
    </row>
    <row r="7107">
      <c r="K7107" s="124"/>
      <c r="L7107" s="124"/>
      <c r="M7107" s="124"/>
      <c r="N7107" s="124"/>
      <c r="O7107" s="124"/>
    </row>
    <row r="7108">
      <c r="K7108" s="124"/>
      <c r="L7108" s="124"/>
      <c r="M7108" s="124"/>
      <c r="N7108" s="124"/>
      <c r="O7108" s="124"/>
    </row>
    <row r="7109">
      <c r="K7109" s="124"/>
      <c r="L7109" s="124"/>
      <c r="M7109" s="124"/>
      <c r="N7109" s="124"/>
      <c r="O7109" s="124"/>
    </row>
    <row r="7110">
      <c r="K7110" s="124"/>
      <c r="L7110" s="124"/>
      <c r="M7110" s="124"/>
      <c r="N7110" s="124"/>
      <c r="O7110" s="124"/>
    </row>
    <row r="7111">
      <c r="K7111" s="124"/>
      <c r="L7111" s="124"/>
      <c r="M7111" s="124"/>
      <c r="N7111" s="124"/>
      <c r="O7111" s="124"/>
    </row>
    <row r="7112">
      <c r="K7112" s="124"/>
      <c r="L7112" s="124"/>
      <c r="M7112" s="124"/>
      <c r="N7112" s="124"/>
      <c r="O7112" s="124"/>
    </row>
    <row r="7113">
      <c r="K7113" s="124"/>
      <c r="L7113" s="124"/>
      <c r="M7113" s="124"/>
      <c r="N7113" s="124"/>
      <c r="O7113" s="124"/>
    </row>
    <row r="7114">
      <c r="K7114" s="124"/>
      <c r="L7114" s="124"/>
      <c r="M7114" s="124"/>
      <c r="N7114" s="124"/>
      <c r="O7114" s="124"/>
    </row>
    <row r="7115">
      <c r="K7115" s="124"/>
      <c r="L7115" s="124"/>
      <c r="M7115" s="124"/>
      <c r="N7115" s="124"/>
      <c r="O7115" s="124"/>
    </row>
    <row r="7116">
      <c r="K7116" s="124"/>
      <c r="L7116" s="124"/>
      <c r="M7116" s="124"/>
      <c r="N7116" s="124"/>
      <c r="O7116" s="124"/>
    </row>
    <row r="7117">
      <c r="K7117" s="124"/>
      <c r="L7117" s="124"/>
      <c r="M7117" s="124"/>
      <c r="N7117" s="124"/>
      <c r="O7117" s="124"/>
    </row>
    <row r="7118">
      <c r="K7118" s="124"/>
      <c r="L7118" s="124"/>
      <c r="M7118" s="124"/>
      <c r="N7118" s="124"/>
      <c r="O7118" s="124"/>
    </row>
    <row r="7119">
      <c r="K7119" s="124"/>
      <c r="L7119" s="124"/>
      <c r="M7119" s="124"/>
      <c r="N7119" s="124"/>
      <c r="O7119" s="124"/>
    </row>
    <row r="7120">
      <c r="K7120" s="124"/>
      <c r="L7120" s="124"/>
      <c r="M7120" s="124"/>
      <c r="N7120" s="124"/>
      <c r="O7120" s="124"/>
    </row>
    <row r="7121">
      <c r="K7121" s="124"/>
      <c r="L7121" s="124"/>
      <c r="M7121" s="124"/>
      <c r="N7121" s="124"/>
      <c r="O7121" s="124"/>
    </row>
    <row r="7122">
      <c r="K7122" s="124"/>
      <c r="L7122" s="124"/>
      <c r="M7122" s="124"/>
      <c r="N7122" s="124"/>
      <c r="O7122" s="124"/>
    </row>
    <row r="7123">
      <c r="K7123" s="124"/>
      <c r="L7123" s="124"/>
      <c r="M7123" s="124"/>
      <c r="N7123" s="124"/>
      <c r="O7123" s="124"/>
    </row>
    <row r="7124">
      <c r="K7124" s="124"/>
      <c r="L7124" s="124"/>
      <c r="M7124" s="124"/>
      <c r="N7124" s="124"/>
      <c r="O7124" s="124"/>
    </row>
    <row r="7125">
      <c r="K7125" s="124"/>
      <c r="L7125" s="124"/>
      <c r="M7125" s="124"/>
      <c r="N7125" s="124"/>
      <c r="O7125" s="124"/>
    </row>
    <row r="7126">
      <c r="K7126" s="124"/>
      <c r="L7126" s="124"/>
      <c r="M7126" s="124"/>
      <c r="N7126" s="124"/>
      <c r="O7126" s="124"/>
    </row>
    <row r="7127">
      <c r="K7127" s="124"/>
      <c r="L7127" s="124"/>
      <c r="M7127" s="124"/>
      <c r="N7127" s="124"/>
      <c r="O7127" s="124"/>
    </row>
    <row r="7128">
      <c r="K7128" s="124"/>
      <c r="L7128" s="124"/>
      <c r="M7128" s="124"/>
      <c r="N7128" s="124"/>
      <c r="O7128" s="124"/>
    </row>
    <row r="7129">
      <c r="K7129" s="124"/>
      <c r="L7129" s="124"/>
      <c r="M7129" s="124"/>
      <c r="N7129" s="124"/>
      <c r="O7129" s="124"/>
    </row>
    <row r="7130">
      <c r="K7130" s="124"/>
      <c r="L7130" s="124"/>
      <c r="M7130" s="124"/>
      <c r="N7130" s="124"/>
      <c r="O7130" s="124"/>
    </row>
    <row r="7131">
      <c r="K7131" s="124"/>
      <c r="L7131" s="124"/>
      <c r="M7131" s="124"/>
      <c r="N7131" s="124"/>
      <c r="O7131" s="124"/>
    </row>
    <row r="7132">
      <c r="K7132" s="124"/>
      <c r="L7132" s="124"/>
      <c r="M7132" s="124"/>
      <c r="N7132" s="124"/>
      <c r="O7132" s="124"/>
    </row>
    <row r="7133">
      <c r="K7133" s="124"/>
      <c r="L7133" s="124"/>
      <c r="M7133" s="124"/>
      <c r="N7133" s="124"/>
      <c r="O7133" s="124"/>
    </row>
    <row r="7134">
      <c r="K7134" s="124"/>
      <c r="L7134" s="124"/>
      <c r="M7134" s="124"/>
      <c r="N7134" s="124"/>
      <c r="O7134" s="124"/>
    </row>
    <row r="7135">
      <c r="K7135" s="124"/>
      <c r="L7135" s="124"/>
      <c r="M7135" s="124"/>
      <c r="N7135" s="124"/>
      <c r="O7135" s="124"/>
    </row>
    <row r="7136">
      <c r="K7136" s="124"/>
      <c r="L7136" s="124"/>
      <c r="M7136" s="124"/>
      <c r="N7136" s="124"/>
      <c r="O7136" s="124"/>
    </row>
    <row r="7137">
      <c r="K7137" s="124"/>
      <c r="L7137" s="124"/>
      <c r="M7137" s="124"/>
      <c r="N7137" s="124"/>
      <c r="O7137" s="124"/>
    </row>
    <row r="7138">
      <c r="K7138" s="124"/>
      <c r="L7138" s="124"/>
      <c r="M7138" s="124"/>
      <c r="N7138" s="124"/>
      <c r="O7138" s="124"/>
    </row>
    <row r="7139">
      <c r="K7139" s="124"/>
      <c r="L7139" s="124"/>
      <c r="M7139" s="124"/>
      <c r="N7139" s="124"/>
      <c r="O7139" s="124"/>
    </row>
    <row r="7140">
      <c r="K7140" s="124"/>
      <c r="L7140" s="124"/>
      <c r="M7140" s="124"/>
      <c r="N7140" s="124"/>
      <c r="O7140" s="124"/>
    </row>
    <row r="7141">
      <c r="K7141" s="124"/>
      <c r="L7141" s="124"/>
      <c r="M7141" s="124"/>
      <c r="N7141" s="124"/>
      <c r="O7141" s="124"/>
    </row>
    <row r="7142">
      <c r="K7142" s="124"/>
      <c r="L7142" s="124"/>
      <c r="M7142" s="124"/>
      <c r="N7142" s="124"/>
      <c r="O7142" s="124"/>
    </row>
    <row r="7143">
      <c r="K7143" s="124"/>
      <c r="L7143" s="124"/>
      <c r="M7143" s="124"/>
      <c r="N7143" s="124"/>
      <c r="O7143" s="124"/>
    </row>
    <row r="7144">
      <c r="K7144" s="124"/>
      <c r="L7144" s="124"/>
      <c r="M7144" s="124"/>
      <c r="N7144" s="124"/>
      <c r="O7144" s="124"/>
    </row>
    <row r="7145">
      <c r="K7145" s="124"/>
      <c r="L7145" s="124"/>
      <c r="M7145" s="124"/>
      <c r="N7145" s="124"/>
      <c r="O7145" s="124"/>
    </row>
    <row r="7146">
      <c r="K7146" s="124"/>
      <c r="L7146" s="124"/>
      <c r="M7146" s="124"/>
      <c r="N7146" s="124"/>
      <c r="O7146" s="124"/>
    </row>
    <row r="7147">
      <c r="K7147" s="124"/>
      <c r="L7147" s="124"/>
      <c r="M7147" s="124"/>
      <c r="N7147" s="124"/>
      <c r="O7147" s="124"/>
    </row>
    <row r="7148">
      <c r="K7148" s="124"/>
      <c r="L7148" s="124"/>
      <c r="M7148" s="124"/>
      <c r="N7148" s="124"/>
      <c r="O7148" s="124"/>
    </row>
    <row r="7149">
      <c r="K7149" s="124"/>
      <c r="L7149" s="124"/>
      <c r="M7149" s="124"/>
      <c r="N7149" s="124"/>
      <c r="O7149" s="124"/>
    </row>
    <row r="7150">
      <c r="K7150" s="124"/>
      <c r="L7150" s="124"/>
      <c r="M7150" s="124"/>
      <c r="N7150" s="124"/>
      <c r="O7150" s="124"/>
    </row>
    <row r="7151">
      <c r="K7151" s="124"/>
      <c r="L7151" s="124"/>
      <c r="M7151" s="124"/>
      <c r="N7151" s="124"/>
      <c r="O7151" s="124"/>
    </row>
    <row r="7152">
      <c r="K7152" s="124"/>
      <c r="L7152" s="124"/>
      <c r="M7152" s="124"/>
      <c r="N7152" s="124"/>
      <c r="O7152" s="124"/>
    </row>
    <row r="7153">
      <c r="K7153" s="124"/>
      <c r="L7153" s="124"/>
      <c r="M7153" s="124"/>
      <c r="N7153" s="124"/>
      <c r="O7153" s="124"/>
    </row>
    <row r="7154">
      <c r="K7154" s="124"/>
      <c r="L7154" s="124"/>
      <c r="M7154" s="124"/>
      <c r="N7154" s="124"/>
      <c r="O7154" s="124"/>
    </row>
    <row r="7155">
      <c r="K7155" s="124"/>
      <c r="L7155" s="124"/>
      <c r="M7155" s="124"/>
      <c r="N7155" s="124"/>
      <c r="O7155" s="124"/>
    </row>
    <row r="7156">
      <c r="K7156" s="124"/>
      <c r="L7156" s="124"/>
      <c r="M7156" s="124"/>
      <c r="N7156" s="124"/>
      <c r="O7156" s="124"/>
    </row>
    <row r="7157">
      <c r="K7157" s="124"/>
      <c r="L7157" s="124"/>
      <c r="M7157" s="124"/>
      <c r="N7157" s="124"/>
      <c r="O7157" s="124"/>
    </row>
    <row r="7158">
      <c r="K7158" s="124"/>
      <c r="L7158" s="124"/>
      <c r="M7158" s="124"/>
      <c r="N7158" s="124"/>
      <c r="O7158" s="124"/>
    </row>
    <row r="7159">
      <c r="K7159" s="124"/>
      <c r="L7159" s="124"/>
      <c r="M7159" s="124"/>
      <c r="N7159" s="124"/>
      <c r="O7159" s="124"/>
    </row>
    <row r="7160">
      <c r="K7160" s="124"/>
      <c r="L7160" s="124"/>
      <c r="M7160" s="124"/>
      <c r="N7160" s="124"/>
      <c r="O7160" s="124"/>
    </row>
    <row r="7161">
      <c r="K7161" s="124"/>
      <c r="L7161" s="124"/>
      <c r="M7161" s="124"/>
      <c r="N7161" s="124"/>
      <c r="O7161" s="124"/>
    </row>
    <row r="7162">
      <c r="K7162" s="124"/>
      <c r="L7162" s="124"/>
      <c r="M7162" s="124"/>
      <c r="N7162" s="124"/>
      <c r="O7162" s="124"/>
    </row>
    <row r="7163">
      <c r="K7163" s="124"/>
      <c r="L7163" s="124"/>
      <c r="M7163" s="124"/>
      <c r="N7163" s="124"/>
      <c r="O7163" s="124"/>
    </row>
    <row r="7164">
      <c r="K7164" s="124"/>
      <c r="L7164" s="124"/>
      <c r="M7164" s="124"/>
      <c r="N7164" s="124"/>
      <c r="O7164" s="124"/>
    </row>
    <row r="7165">
      <c r="K7165" s="124"/>
      <c r="L7165" s="124"/>
      <c r="M7165" s="124"/>
      <c r="N7165" s="124"/>
      <c r="O7165" s="124"/>
    </row>
    <row r="7166">
      <c r="K7166" s="124"/>
      <c r="L7166" s="124"/>
      <c r="M7166" s="124"/>
      <c r="N7166" s="124"/>
      <c r="O7166" s="124"/>
    </row>
    <row r="7167">
      <c r="K7167" s="124"/>
      <c r="L7167" s="124"/>
      <c r="M7167" s="124"/>
      <c r="N7167" s="124"/>
      <c r="O7167" s="124"/>
    </row>
    <row r="7168">
      <c r="K7168" s="124"/>
      <c r="L7168" s="124"/>
      <c r="M7168" s="124"/>
      <c r="N7168" s="124"/>
      <c r="O7168" s="124"/>
    </row>
    <row r="7169">
      <c r="K7169" s="124"/>
      <c r="L7169" s="124"/>
      <c r="M7169" s="124"/>
      <c r="N7169" s="124"/>
      <c r="O7169" s="124"/>
    </row>
    <row r="7170">
      <c r="K7170" s="124"/>
      <c r="L7170" s="124"/>
      <c r="M7170" s="124"/>
      <c r="N7170" s="124"/>
      <c r="O7170" s="124"/>
    </row>
    <row r="7171">
      <c r="K7171" s="124"/>
      <c r="L7171" s="124"/>
      <c r="M7171" s="124"/>
      <c r="N7171" s="124"/>
      <c r="O7171" s="124"/>
    </row>
    <row r="7172">
      <c r="K7172" s="124"/>
      <c r="L7172" s="124"/>
      <c r="M7172" s="124"/>
      <c r="N7172" s="124"/>
      <c r="O7172" s="124"/>
    </row>
    <row r="7173">
      <c r="K7173" s="124"/>
      <c r="L7173" s="124"/>
      <c r="M7173" s="124"/>
      <c r="N7173" s="124"/>
      <c r="O7173" s="124"/>
    </row>
    <row r="7174">
      <c r="K7174" s="124"/>
      <c r="L7174" s="124"/>
      <c r="M7174" s="124"/>
      <c r="N7174" s="124"/>
      <c r="O7174" s="124"/>
    </row>
    <row r="7175">
      <c r="K7175" s="124"/>
      <c r="L7175" s="124"/>
      <c r="M7175" s="124"/>
      <c r="N7175" s="124"/>
      <c r="O7175" s="124"/>
    </row>
    <row r="7176">
      <c r="K7176" s="124"/>
      <c r="L7176" s="124"/>
      <c r="M7176" s="124"/>
      <c r="N7176" s="124"/>
      <c r="O7176" s="124"/>
    </row>
    <row r="7177">
      <c r="K7177" s="124"/>
      <c r="L7177" s="124"/>
      <c r="M7177" s="124"/>
      <c r="N7177" s="124"/>
      <c r="O7177" s="124"/>
    </row>
    <row r="7178">
      <c r="K7178" s="124"/>
      <c r="L7178" s="124"/>
      <c r="M7178" s="124"/>
      <c r="N7178" s="124"/>
      <c r="O7178" s="124"/>
    </row>
    <row r="7179">
      <c r="K7179" s="124"/>
      <c r="L7179" s="124"/>
      <c r="M7179" s="124"/>
      <c r="N7179" s="124"/>
      <c r="O7179" s="124"/>
    </row>
    <row r="7180">
      <c r="K7180" s="124"/>
      <c r="L7180" s="124"/>
      <c r="M7180" s="124"/>
      <c r="N7180" s="124"/>
      <c r="O7180" s="124"/>
    </row>
    <row r="7181">
      <c r="K7181" s="124"/>
      <c r="L7181" s="124"/>
      <c r="M7181" s="124"/>
      <c r="N7181" s="124"/>
      <c r="O7181" s="124"/>
    </row>
    <row r="7182">
      <c r="K7182" s="124"/>
      <c r="L7182" s="124"/>
      <c r="M7182" s="124"/>
      <c r="N7182" s="124"/>
      <c r="O7182" s="124"/>
    </row>
    <row r="7183">
      <c r="K7183" s="124"/>
      <c r="L7183" s="124"/>
      <c r="M7183" s="124"/>
      <c r="N7183" s="124"/>
      <c r="O7183" s="124"/>
    </row>
    <row r="7184">
      <c r="K7184" s="124"/>
      <c r="L7184" s="124"/>
      <c r="M7184" s="124"/>
      <c r="N7184" s="124"/>
      <c r="O7184" s="124"/>
    </row>
    <row r="7185">
      <c r="K7185" s="124"/>
      <c r="L7185" s="124"/>
      <c r="M7185" s="124"/>
      <c r="N7185" s="124"/>
      <c r="O7185" s="124"/>
    </row>
    <row r="7186">
      <c r="K7186" s="124"/>
      <c r="L7186" s="124"/>
      <c r="M7186" s="124"/>
      <c r="N7186" s="124"/>
      <c r="O7186" s="124"/>
    </row>
    <row r="7187">
      <c r="K7187" s="124"/>
      <c r="L7187" s="124"/>
      <c r="M7187" s="124"/>
      <c r="N7187" s="124"/>
      <c r="O7187" s="124"/>
    </row>
    <row r="7188">
      <c r="K7188" s="124"/>
      <c r="L7188" s="124"/>
      <c r="M7188" s="124"/>
      <c r="N7188" s="124"/>
      <c r="O7188" s="124"/>
    </row>
    <row r="7189">
      <c r="K7189" s="124"/>
      <c r="L7189" s="124"/>
      <c r="M7189" s="124"/>
      <c r="N7189" s="124"/>
      <c r="O7189" s="124"/>
    </row>
    <row r="7190">
      <c r="K7190" s="124"/>
      <c r="L7190" s="124"/>
      <c r="M7190" s="124"/>
      <c r="N7190" s="124"/>
      <c r="O7190" s="124"/>
    </row>
    <row r="7191">
      <c r="K7191" s="124"/>
      <c r="L7191" s="124"/>
      <c r="M7191" s="124"/>
      <c r="N7191" s="124"/>
      <c r="O7191" s="124"/>
    </row>
    <row r="7192">
      <c r="K7192" s="124"/>
      <c r="L7192" s="124"/>
      <c r="M7192" s="124"/>
      <c r="N7192" s="124"/>
      <c r="O7192" s="124"/>
    </row>
    <row r="7193">
      <c r="K7193" s="124"/>
      <c r="L7193" s="124"/>
      <c r="M7193" s="124"/>
      <c r="N7193" s="124"/>
      <c r="O7193" s="124"/>
    </row>
    <row r="7194">
      <c r="K7194" s="124"/>
      <c r="L7194" s="124"/>
      <c r="M7194" s="124"/>
      <c r="N7194" s="124"/>
      <c r="O7194" s="124"/>
    </row>
    <row r="7195">
      <c r="K7195" s="124"/>
      <c r="L7195" s="124"/>
      <c r="M7195" s="124"/>
      <c r="N7195" s="124"/>
      <c r="O7195" s="124"/>
    </row>
    <row r="7196">
      <c r="K7196" s="124"/>
      <c r="L7196" s="124"/>
      <c r="M7196" s="124"/>
      <c r="N7196" s="124"/>
      <c r="O7196" s="124"/>
    </row>
    <row r="7197">
      <c r="K7197" s="124"/>
      <c r="L7197" s="124"/>
      <c r="M7197" s="124"/>
      <c r="N7197" s="124"/>
      <c r="O7197" s="124"/>
    </row>
    <row r="7198">
      <c r="K7198" s="124"/>
      <c r="L7198" s="124"/>
      <c r="M7198" s="124"/>
      <c r="N7198" s="124"/>
      <c r="O7198" s="124"/>
    </row>
    <row r="7199">
      <c r="K7199" s="124"/>
      <c r="L7199" s="124"/>
      <c r="M7199" s="124"/>
      <c r="N7199" s="124"/>
      <c r="O7199" s="124"/>
    </row>
    <row r="7200">
      <c r="K7200" s="124"/>
      <c r="L7200" s="124"/>
      <c r="M7200" s="124"/>
      <c r="N7200" s="124"/>
      <c r="O7200" s="124"/>
    </row>
    <row r="7201">
      <c r="K7201" s="124"/>
      <c r="L7201" s="124"/>
      <c r="M7201" s="124"/>
      <c r="N7201" s="124"/>
      <c r="O7201" s="124"/>
    </row>
    <row r="7202">
      <c r="K7202" s="124"/>
      <c r="L7202" s="124"/>
      <c r="M7202" s="124"/>
      <c r="N7202" s="124"/>
      <c r="O7202" s="124"/>
    </row>
    <row r="7203">
      <c r="K7203" s="124"/>
      <c r="L7203" s="124"/>
      <c r="M7203" s="124"/>
      <c r="N7203" s="124"/>
      <c r="O7203" s="124"/>
    </row>
    <row r="7204">
      <c r="K7204" s="124"/>
      <c r="L7204" s="124"/>
      <c r="M7204" s="124"/>
      <c r="N7204" s="124"/>
      <c r="O7204" s="124"/>
    </row>
    <row r="7205">
      <c r="K7205" s="124"/>
      <c r="L7205" s="124"/>
      <c r="M7205" s="124"/>
      <c r="N7205" s="124"/>
      <c r="O7205" s="124"/>
    </row>
    <row r="7206">
      <c r="K7206" s="124"/>
      <c r="L7206" s="124"/>
      <c r="M7206" s="124"/>
      <c r="N7206" s="124"/>
      <c r="O7206" s="124"/>
    </row>
    <row r="7207">
      <c r="K7207" s="124"/>
      <c r="L7207" s="124"/>
      <c r="M7207" s="124"/>
      <c r="N7207" s="124"/>
      <c r="O7207" s="124"/>
    </row>
    <row r="7208">
      <c r="K7208" s="124"/>
      <c r="L7208" s="124"/>
      <c r="M7208" s="124"/>
      <c r="N7208" s="124"/>
      <c r="O7208" s="124"/>
    </row>
    <row r="7209">
      <c r="K7209" s="124"/>
      <c r="L7209" s="124"/>
      <c r="M7209" s="124"/>
      <c r="N7209" s="124"/>
      <c r="O7209" s="124"/>
    </row>
    <row r="7210">
      <c r="K7210" s="124"/>
      <c r="L7210" s="124"/>
      <c r="M7210" s="124"/>
      <c r="N7210" s="124"/>
      <c r="O7210" s="124"/>
    </row>
    <row r="7211">
      <c r="K7211" s="124"/>
      <c r="L7211" s="124"/>
      <c r="M7211" s="124"/>
      <c r="N7211" s="124"/>
      <c r="O7211" s="124"/>
    </row>
    <row r="7212">
      <c r="K7212" s="124"/>
      <c r="L7212" s="124"/>
      <c r="M7212" s="124"/>
      <c r="N7212" s="124"/>
      <c r="O7212" s="124"/>
    </row>
    <row r="7213">
      <c r="K7213" s="124"/>
      <c r="L7213" s="124"/>
      <c r="M7213" s="124"/>
      <c r="N7213" s="124"/>
      <c r="O7213" s="124"/>
    </row>
    <row r="7214">
      <c r="K7214" s="124"/>
      <c r="L7214" s="124"/>
      <c r="M7214" s="124"/>
      <c r="N7214" s="124"/>
      <c r="O7214" s="124"/>
    </row>
    <row r="7215">
      <c r="K7215" s="124"/>
      <c r="L7215" s="124"/>
      <c r="M7215" s="124"/>
      <c r="N7215" s="124"/>
      <c r="O7215" s="124"/>
    </row>
    <row r="7216">
      <c r="K7216" s="124"/>
      <c r="L7216" s="124"/>
      <c r="M7216" s="124"/>
      <c r="N7216" s="124"/>
      <c r="O7216" s="124"/>
    </row>
    <row r="7217">
      <c r="K7217" s="124"/>
      <c r="L7217" s="124"/>
      <c r="M7217" s="124"/>
      <c r="N7217" s="124"/>
      <c r="O7217" s="124"/>
    </row>
    <row r="7218">
      <c r="K7218" s="124"/>
      <c r="L7218" s="124"/>
      <c r="M7218" s="124"/>
      <c r="N7218" s="124"/>
      <c r="O7218" s="124"/>
    </row>
    <row r="7219">
      <c r="K7219" s="124"/>
      <c r="L7219" s="124"/>
      <c r="M7219" s="124"/>
      <c r="N7219" s="124"/>
      <c r="O7219" s="124"/>
    </row>
    <row r="7220">
      <c r="K7220" s="124"/>
      <c r="L7220" s="124"/>
      <c r="M7220" s="124"/>
      <c r="N7220" s="124"/>
      <c r="O7220" s="124"/>
    </row>
    <row r="7221">
      <c r="K7221" s="124"/>
      <c r="L7221" s="124"/>
      <c r="M7221" s="124"/>
      <c r="N7221" s="124"/>
      <c r="O7221" s="124"/>
    </row>
    <row r="7222">
      <c r="K7222" s="124"/>
      <c r="L7222" s="124"/>
      <c r="M7222" s="124"/>
      <c r="N7222" s="124"/>
      <c r="O7222" s="124"/>
    </row>
    <row r="7223">
      <c r="K7223" s="124"/>
      <c r="L7223" s="124"/>
      <c r="M7223" s="124"/>
      <c r="N7223" s="124"/>
      <c r="O7223" s="124"/>
    </row>
    <row r="7224">
      <c r="K7224" s="124"/>
      <c r="L7224" s="124"/>
      <c r="M7224" s="124"/>
      <c r="N7224" s="124"/>
      <c r="O7224" s="124"/>
    </row>
    <row r="7225">
      <c r="K7225" s="124"/>
      <c r="L7225" s="124"/>
      <c r="M7225" s="124"/>
      <c r="N7225" s="124"/>
      <c r="O7225" s="124"/>
    </row>
    <row r="7226">
      <c r="K7226" s="124"/>
      <c r="L7226" s="124"/>
      <c r="M7226" s="124"/>
      <c r="N7226" s="124"/>
      <c r="O7226" s="124"/>
    </row>
    <row r="7227">
      <c r="K7227" s="124"/>
      <c r="L7227" s="124"/>
      <c r="M7227" s="124"/>
      <c r="N7227" s="124"/>
      <c r="O7227" s="124"/>
    </row>
    <row r="7228">
      <c r="K7228" s="124"/>
      <c r="L7228" s="124"/>
      <c r="M7228" s="124"/>
      <c r="N7228" s="124"/>
      <c r="O7228" s="124"/>
    </row>
    <row r="7229">
      <c r="K7229" s="124"/>
      <c r="L7229" s="124"/>
      <c r="M7229" s="124"/>
      <c r="N7229" s="124"/>
      <c r="O7229" s="124"/>
    </row>
    <row r="7230">
      <c r="K7230" s="124"/>
      <c r="L7230" s="124"/>
      <c r="M7230" s="124"/>
      <c r="N7230" s="124"/>
      <c r="O7230" s="124"/>
    </row>
    <row r="7231">
      <c r="K7231" s="124"/>
      <c r="L7231" s="124"/>
      <c r="M7231" s="124"/>
      <c r="N7231" s="124"/>
      <c r="O7231" s="124"/>
    </row>
    <row r="7232">
      <c r="K7232" s="124"/>
      <c r="L7232" s="124"/>
      <c r="M7232" s="124"/>
      <c r="N7232" s="124"/>
      <c r="O7232" s="124"/>
    </row>
    <row r="7233">
      <c r="K7233" s="124"/>
      <c r="L7233" s="124"/>
      <c r="M7233" s="124"/>
      <c r="N7233" s="124"/>
      <c r="O7233" s="124"/>
    </row>
    <row r="7234">
      <c r="K7234" s="124"/>
      <c r="L7234" s="124"/>
      <c r="M7234" s="124"/>
      <c r="N7234" s="124"/>
      <c r="O7234" s="124"/>
    </row>
    <row r="7235">
      <c r="K7235" s="124"/>
      <c r="L7235" s="124"/>
      <c r="M7235" s="124"/>
      <c r="N7235" s="124"/>
      <c r="O7235" s="124"/>
    </row>
    <row r="7236">
      <c r="K7236" s="124"/>
      <c r="L7236" s="124"/>
      <c r="M7236" s="124"/>
      <c r="N7236" s="124"/>
      <c r="O7236" s="124"/>
    </row>
    <row r="7237">
      <c r="K7237" s="124"/>
      <c r="L7237" s="124"/>
      <c r="M7237" s="124"/>
      <c r="N7237" s="124"/>
      <c r="O7237" s="124"/>
    </row>
    <row r="7238">
      <c r="K7238" s="124"/>
      <c r="L7238" s="124"/>
      <c r="M7238" s="124"/>
      <c r="N7238" s="124"/>
      <c r="O7238" s="124"/>
    </row>
    <row r="7239">
      <c r="K7239" s="124"/>
      <c r="L7239" s="124"/>
      <c r="M7239" s="124"/>
      <c r="N7239" s="124"/>
      <c r="O7239" s="124"/>
    </row>
    <row r="7240">
      <c r="K7240" s="124"/>
      <c r="L7240" s="124"/>
      <c r="M7240" s="124"/>
      <c r="N7240" s="124"/>
      <c r="O7240" s="124"/>
    </row>
    <row r="7241">
      <c r="K7241" s="124"/>
      <c r="L7241" s="124"/>
      <c r="M7241" s="124"/>
      <c r="N7241" s="124"/>
      <c r="O7241" s="124"/>
    </row>
    <row r="7242">
      <c r="K7242" s="124"/>
      <c r="L7242" s="124"/>
      <c r="M7242" s="124"/>
      <c r="N7242" s="124"/>
      <c r="O7242" s="124"/>
    </row>
    <row r="7243">
      <c r="K7243" s="124"/>
      <c r="L7243" s="124"/>
      <c r="M7243" s="124"/>
      <c r="N7243" s="124"/>
      <c r="O7243" s="124"/>
    </row>
    <row r="7244">
      <c r="K7244" s="124"/>
      <c r="L7244" s="124"/>
      <c r="M7244" s="124"/>
      <c r="N7244" s="124"/>
      <c r="O7244" s="124"/>
    </row>
    <row r="7245">
      <c r="K7245" s="124"/>
      <c r="L7245" s="124"/>
      <c r="M7245" s="124"/>
      <c r="N7245" s="124"/>
      <c r="O7245" s="124"/>
    </row>
    <row r="7246">
      <c r="K7246" s="124"/>
      <c r="L7246" s="124"/>
      <c r="M7246" s="124"/>
      <c r="N7246" s="124"/>
      <c r="O7246" s="124"/>
    </row>
    <row r="7247">
      <c r="K7247" s="124"/>
      <c r="L7247" s="124"/>
      <c r="M7247" s="124"/>
      <c r="N7247" s="124"/>
      <c r="O7247" s="124"/>
    </row>
    <row r="7248">
      <c r="K7248" s="124"/>
      <c r="L7248" s="124"/>
      <c r="M7248" s="124"/>
      <c r="N7248" s="124"/>
      <c r="O7248" s="124"/>
    </row>
    <row r="7249">
      <c r="K7249" s="124"/>
      <c r="L7249" s="124"/>
      <c r="M7249" s="124"/>
      <c r="N7249" s="124"/>
      <c r="O7249" s="124"/>
    </row>
    <row r="7250">
      <c r="K7250" s="124"/>
      <c r="L7250" s="124"/>
      <c r="M7250" s="124"/>
      <c r="N7250" s="124"/>
      <c r="O7250" s="124"/>
    </row>
    <row r="7251">
      <c r="K7251" s="124"/>
      <c r="L7251" s="124"/>
      <c r="M7251" s="124"/>
      <c r="N7251" s="124"/>
      <c r="O7251" s="124"/>
    </row>
    <row r="7252">
      <c r="K7252" s="124"/>
      <c r="L7252" s="124"/>
      <c r="M7252" s="124"/>
      <c r="N7252" s="124"/>
      <c r="O7252" s="124"/>
    </row>
    <row r="7253">
      <c r="K7253" s="124"/>
      <c r="L7253" s="124"/>
      <c r="M7253" s="124"/>
      <c r="N7253" s="124"/>
      <c r="O7253" s="124"/>
    </row>
    <row r="7254">
      <c r="K7254" s="124"/>
      <c r="L7254" s="124"/>
      <c r="M7254" s="124"/>
      <c r="N7254" s="124"/>
      <c r="O7254" s="124"/>
    </row>
    <row r="7255">
      <c r="K7255" s="124"/>
      <c r="L7255" s="124"/>
      <c r="M7255" s="124"/>
      <c r="N7255" s="124"/>
      <c r="O7255" s="124"/>
    </row>
    <row r="7256">
      <c r="K7256" s="124"/>
      <c r="L7256" s="124"/>
      <c r="M7256" s="124"/>
      <c r="N7256" s="124"/>
      <c r="O7256" s="124"/>
    </row>
    <row r="7257">
      <c r="K7257" s="124"/>
      <c r="L7257" s="124"/>
      <c r="M7257" s="124"/>
      <c r="N7257" s="124"/>
      <c r="O7257" s="124"/>
    </row>
    <row r="7258">
      <c r="K7258" s="124"/>
      <c r="L7258" s="124"/>
      <c r="M7258" s="124"/>
      <c r="N7258" s="124"/>
      <c r="O7258" s="124"/>
    </row>
    <row r="7259">
      <c r="K7259" s="124"/>
      <c r="L7259" s="124"/>
      <c r="M7259" s="124"/>
      <c r="N7259" s="124"/>
      <c r="O7259" s="124"/>
    </row>
    <row r="7260">
      <c r="K7260" s="124"/>
      <c r="L7260" s="124"/>
      <c r="M7260" s="124"/>
      <c r="N7260" s="124"/>
      <c r="O7260" s="124"/>
    </row>
    <row r="7261">
      <c r="K7261" s="124"/>
      <c r="L7261" s="124"/>
      <c r="M7261" s="124"/>
      <c r="N7261" s="124"/>
      <c r="O7261" s="124"/>
    </row>
    <row r="7262">
      <c r="K7262" s="124"/>
      <c r="L7262" s="124"/>
      <c r="M7262" s="124"/>
      <c r="N7262" s="124"/>
      <c r="O7262" s="124"/>
    </row>
    <row r="7263">
      <c r="K7263" s="124"/>
      <c r="L7263" s="124"/>
      <c r="M7263" s="124"/>
      <c r="N7263" s="124"/>
      <c r="O7263" s="124"/>
    </row>
    <row r="7264">
      <c r="K7264" s="124"/>
      <c r="L7264" s="124"/>
      <c r="M7264" s="124"/>
      <c r="N7264" s="124"/>
      <c r="O7264" s="124"/>
    </row>
    <row r="7265">
      <c r="K7265" s="124"/>
      <c r="L7265" s="124"/>
      <c r="M7265" s="124"/>
      <c r="N7265" s="124"/>
      <c r="O7265" s="124"/>
    </row>
    <row r="7266">
      <c r="K7266" s="124"/>
      <c r="L7266" s="124"/>
      <c r="M7266" s="124"/>
      <c r="N7266" s="124"/>
      <c r="O7266" s="124"/>
    </row>
    <row r="7267">
      <c r="K7267" s="124"/>
      <c r="L7267" s="124"/>
      <c r="M7267" s="124"/>
      <c r="N7267" s="124"/>
      <c r="O7267" s="124"/>
    </row>
    <row r="7268">
      <c r="K7268" s="124"/>
      <c r="L7268" s="124"/>
      <c r="M7268" s="124"/>
      <c r="N7268" s="124"/>
      <c r="O7268" s="124"/>
    </row>
    <row r="7269">
      <c r="K7269" s="124"/>
      <c r="L7269" s="124"/>
      <c r="M7269" s="124"/>
      <c r="N7269" s="124"/>
      <c r="O7269" s="124"/>
    </row>
    <row r="7270">
      <c r="K7270" s="124"/>
      <c r="L7270" s="124"/>
      <c r="M7270" s="124"/>
      <c r="N7270" s="124"/>
      <c r="O7270" s="124"/>
    </row>
    <row r="7271">
      <c r="K7271" s="124"/>
      <c r="L7271" s="124"/>
      <c r="M7271" s="124"/>
      <c r="N7271" s="124"/>
      <c r="O7271" s="124"/>
    </row>
    <row r="7272">
      <c r="K7272" s="124"/>
      <c r="L7272" s="124"/>
      <c r="M7272" s="124"/>
      <c r="N7272" s="124"/>
      <c r="O7272" s="124"/>
    </row>
    <row r="7273">
      <c r="K7273" s="124"/>
      <c r="L7273" s="124"/>
      <c r="M7273" s="124"/>
      <c r="N7273" s="124"/>
      <c r="O7273" s="124"/>
    </row>
    <row r="7274">
      <c r="K7274" s="124"/>
      <c r="L7274" s="124"/>
      <c r="M7274" s="124"/>
      <c r="N7274" s="124"/>
      <c r="O7274" s="124"/>
    </row>
    <row r="7275">
      <c r="K7275" s="124"/>
      <c r="L7275" s="124"/>
      <c r="M7275" s="124"/>
      <c r="N7275" s="124"/>
      <c r="O7275" s="124"/>
    </row>
    <row r="7276">
      <c r="K7276" s="124"/>
      <c r="L7276" s="124"/>
      <c r="M7276" s="124"/>
      <c r="N7276" s="124"/>
      <c r="O7276" s="124"/>
    </row>
    <row r="7277">
      <c r="K7277" s="124"/>
      <c r="L7277" s="124"/>
      <c r="M7277" s="124"/>
      <c r="N7277" s="124"/>
      <c r="O7277" s="124"/>
    </row>
    <row r="7278">
      <c r="K7278" s="124"/>
      <c r="L7278" s="124"/>
      <c r="M7278" s="124"/>
      <c r="N7278" s="124"/>
      <c r="O7278" s="124"/>
    </row>
    <row r="7279">
      <c r="K7279" s="124"/>
      <c r="L7279" s="124"/>
      <c r="M7279" s="124"/>
      <c r="N7279" s="124"/>
      <c r="O7279" s="124"/>
    </row>
    <row r="7280">
      <c r="K7280" s="124"/>
      <c r="L7280" s="124"/>
      <c r="M7280" s="124"/>
      <c r="N7280" s="124"/>
      <c r="O7280" s="124"/>
    </row>
    <row r="7281">
      <c r="K7281" s="124"/>
      <c r="L7281" s="124"/>
      <c r="M7281" s="124"/>
      <c r="N7281" s="124"/>
      <c r="O7281" s="124"/>
    </row>
    <row r="7282">
      <c r="K7282" s="124"/>
      <c r="L7282" s="124"/>
      <c r="M7282" s="124"/>
      <c r="N7282" s="124"/>
      <c r="O7282" s="124"/>
    </row>
    <row r="7283">
      <c r="K7283" s="124"/>
      <c r="L7283" s="124"/>
      <c r="M7283" s="124"/>
      <c r="N7283" s="124"/>
      <c r="O7283" s="124"/>
    </row>
    <row r="7284">
      <c r="K7284" s="124"/>
      <c r="L7284" s="124"/>
      <c r="M7284" s="124"/>
      <c r="N7284" s="124"/>
      <c r="O7284" s="124"/>
    </row>
    <row r="7285">
      <c r="K7285" s="124"/>
      <c r="L7285" s="124"/>
      <c r="M7285" s="124"/>
      <c r="N7285" s="124"/>
      <c r="O7285" s="124"/>
    </row>
    <row r="7286">
      <c r="K7286" s="124"/>
      <c r="L7286" s="124"/>
      <c r="M7286" s="124"/>
      <c r="N7286" s="124"/>
      <c r="O7286" s="124"/>
    </row>
    <row r="7287">
      <c r="K7287" s="124"/>
      <c r="L7287" s="124"/>
      <c r="M7287" s="124"/>
      <c r="N7287" s="124"/>
      <c r="O7287" s="124"/>
    </row>
    <row r="7288">
      <c r="K7288" s="124"/>
      <c r="L7288" s="124"/>
      <c r="M7288" s="124"/>
      <c r="N7288" s="124"/>
      <c r="O7288" s="124"/>
    </row>
    <row r="7289">
      <c r="K7289" s="124"/>
      <c r="L7289" s="124"/>
      <c r="M7289" s="124"/>
      <c r="N7289" s="124"/>
      <c r="O7289" s="124"/>
    </row>
    <row r="7290">
      <c r="K7290" s="124"/>
      <c r="L7290" s="124"/>
      <c r="M7290" s="124"/>
      <c r="N7290" s="124"/>
      <c r="O7290" s="124"/>
    </row>
    <row r="7291">
      <c r="K7291" s="124"/>
      <c r="L7291" s="124"/>
      <c r="M7291" s="124"/>
      <c r="N7291" s="124"/>
      <c r="O7291" s="124"/>
    </row>
    <row r="7292">
      <c r="K7292" s="124"/>
      <c r="L7292" s="124"/>
      <c r="M7292" s="124"/>
      <c r="N7292" s="124"/>
      <c r="O7292" s="124"/>
    </row>
    <row r="7293">
      <c r="K7293" s="124"/>
      <c r="L7293" s="124"/>
      <c r="M7293" s="124"/>
      <c r="N7293" s="124"/>
      <c r="O7293" s="124"/>
    </row>
    <row r="7294">
      <c r="K7294" s="124"/>
      <c r="L7294" s="124"/>
      <c r="M7294" s="124"/>
      <c r="N7294" s="124"/>
      <c r="O7294" s="124"/>
    </row>
    <row r="7295">
      <c r="K7295" s="124"/>
      <c r="L7295" s="124"/>
      <c r="M7295" s="124"/>
      <c r="N7295" s="124"/>
      <c r="O7295" s="124"/>
    </row>
    <row r="7296">
      <c r="K7296" s="124"/>
      <c r="L7296" s="124"/>
      <c r="M7296" s="124"/>
      <c r="N7296" s="124"/>
      <c r="O7296" s="124"/>
    </row>
    <row r="7297">
      <c r="K7297" s="124"/>
      <c r="L7297" s="124"/>
      <c r="M7297" s="124"/>
      <c r="N7297" s="124"/>
      <c r="O7297" s="124"/>
    </row>
    <row r="7298">
      <c r="K7298" s="124"/>
      <c r="L7298" s="124"/>
      <c r="M7298" s="124"/>
      <c r="N7298" s="124"/>
      <c r="O7298" s="124"/>
    </row>
    <row r="7299">
      <c r="K7299" s="124"/>
      <c r="L7299" s="124"/>
      <c r="M7299" s="124"/>
      <c r="N7299" s="124"/>
      <c r="O7299" s="124"/>
    </row>
    <row r="7300">
      <c r="K7300" s="124"/>
      <c r="L7300" s="124"/>
      <c r="M7300" s="124"/>
      <c r="N7300" s="124"/>
      <c r="O7300" s="124"/>
    </row>
    <row r="7301">
      <c r="K7301" s="124"/>
      <c r="L7301" s="124"/>
      <c r="M7301" s="124"/>
      <c r="N7301" s="124"/>
      <c r="O7301" s="124"/>
    </row>
    <row r="7302">
      <c r="K7302" s="124"/>
      <c r="L7302" s="124"/>
      <c r="M7302" s="124"/>
      <c r="N7302" s="124"/>
      <c r="O7302" s="124"/>
    </row>
    <row r="7303">
      <c r="K7303" s="124"/>
      <c r="L7303" s="124"/>
      <c r="M7303" s="124"/>
      <c r="N7303" s="124"/>
      <c r="O7303" s="124"/>
    </row>
    <row r="7304">
      <c r="K7304" s="124"/>
      <c r="L7304" s="124"/>
      <c r="M7304" s="124"/>
      <c r="N7304" s="124"/>
      <c r="O7304" s="124"/>
    </row>
    <row r="7305">
      <c r="K7305" s="124"/>
      <c r="L7305" s="124"/>
      <c r="M7305" s="124"/>
      <c r="N7305" s="124"/>
      <c r="O7305" s="124"/>
    </row>
    <row r="7306">
      <c r="K7306" s="124"/>
      <c r="L7306" s="124"/>
      <c r="M7306" s="124"/>
      <c r="N7306" s="124"/>
      <c r="O7306" s="124"/>
    </row>
    <row r="7307">
      <c r="K7307" s="124"/>
      <c r="L7307" s="124"/>
      <c r="M7307" s="124"/>
      <c r="N7307" s="124"/>
      <c r="O7307" s="124"/>
    </row>
    <row r="7308">
      <c r="K7308" s="124"/>
      <c r="L7308" s="124"/>
      <c r="M7308" s="124"/>
      <c r="N7308" s="124"/>
      <c r="O7308" s="124"/>
    </row>
    <row r="7309">
      <c r="K7309" s="124"/>
      <c r="L7309" s="124"/>
      <c r="M7309" s="124"/>
      <c r="N7309" s="124"/>
      <c r="O7309" s="124"/>
    </row>
    <row r="7310">
      <c r="K7310" s="124"/>
      <c r="L7310" s="124"/>
      <c r="M7310" s="124"/>
      <c r="N7310" s="124"/>
      <c r="O7310" s="124"/>
    </row>
    <row r="7311">
      <c r="K7311" s="124"/>
      <c r="L7311" s="124"/>
      <c r="M7311" s="124"/>
      <c r="N7311" s="124"/>
      <c r="O7311" s="124"/>
    </row>
    <row r="7312">
      <c r="K7312" s="124"/>
      <c r="L7312" s="124"/>
      <c r="M7312" s="124"/>
      <c r="N7312" s="124"/>
      <c r="O7312" s="124"/>
    </row>
    <row r="7313">
      <c r="K7313" s="124"/>
      <c r="L7313" s="124"/>
      <c r="M7313" s="124"/>
      <c r="N7313" s="124"/>
      <c r="O7313" s="124"/>
    </row>
    <row r="7314">
      <c r="K7314" s="124"/>
      <c r="L7314" s="124"/>
      <c r="M7314" s="124"/>
      <c r="N7314" s="124"/>
      <c r="O7314" s="124"/>
    </row>
    <row r="7315">
      <c r="K7315" s="124"/>
      <c r="L7315" s="124"/>
      <c r="M7315" s="124"/>
      <c r="N7315" s="124"/>
      <c r="O7315" s="124"/>
    </row>
    <row r="7316">
      <c r="K7316" s="124"/>
      <c r="L7316" s="124"/>
      <c r="M7316" s="124"/>
      <c r="N7316" s="124"/>
      <c r="O7316" s="124"/>
    </row>
    <row r="7317">
      <c r="K7317" s="124"/>
      <c r="L7317" s="124"/>
      <c r="M7317" s="124"/>
      <c r="N7317" s="124"/>
      <c r="O7317" s="124"/>
    </row>
    <row r="7318">
      <c r="K7318" s="124"/>
      <c r="L7318" s="124"/>
      <c r="M7318" s="124"/>
      <c r="N7318" s="124"/>
      <c r="O7318" s="124"/>
    </row>
    <row r="7319">
      <c r="K7319" s="124"/>
      <c r="L7319" s="124"/>
      <c r="M7319" s="124"/>
      <c r="N7319" s="124"/>
      <c r="O7319" s="124"/>
    </row>
    <row r="7320">
      <c r="K7320" s="124"/>
      <c r="L7320" s="124"/>
      <c r="M7320" s="124"/>
      <c r="N7320" s="124"/>
      <c r="O7320" s="124"/>
    </row>
    <row r="7321">
      <c r="K7321" s="124"/>
      <c r="L7321" s="124"/>
      <c r="M7321" s="124"/>
      <c r="N7321" s="124"/>
      <c r="O7321" s="124"/>
    </row>
    <row r="7322">
      <c r="K7322" s="124"/>
      <c r="L7322" s="124"/>
      <c r="M7322" s="124"/>
      <c r="N7322" s="124"/>
      <c r="O7322" s="124"/>
    </row>
    <row r="7323">
      <c r="K7323" s="124"/>
      <c r="L7323" s="124"/>
      <c r="M7323" s="124"/>
      <c r="N7323" s="124"/>
      <c r="O7323" s="124"/>
    </row>
    <row r="7324">
      <c r="K7324" s="124"/>
      <c r="L7324" s="124"/>
      <c r="M7324" s="124"/>
      <c r="N7324" s="124"/>
      <c r="O7324" s="124"/>
    </row>
    <row r="7325">
      <c r="K7325" s="124"/>
      <c r="L7325" s="124"/>
      <c r="M7325" s="124"/>
      <c r="N7325" s="124"/>
      <c r="O7325" s="124"/>
    </row>
    <row r="7326">
      <c r="K7326" s="124"/>
      <c r="L7326" s="124"/>
      <c r="M7326" s="124"/>
      <c r="N7326" s="124"/>
      <c r="O7326" s="124"/>
    </row>
    <row r="7327">
      <c r="K7327" s="124"/>
      <c r="L7327" s="124"/>
      <c r="M7327" s="124"/>
      <c r="N7327" s="124"/>
      <c r="O7327" s="124"/>
    </row>
    <row r="7328">
      <c r="K7328" s="124"/>
      <c r="L7328" s="124"/>
      <c r="M7328" s="124"/>
      <c r="N7328" s="124"/>
      <c r="O7328" s="124"/>
    </row>
    <row r="7329">
      <c r="K7329" s="124"/>
      <c r="L7329" s="124"/>
      <c r="M7329" s="124"/>
      <c r="N7329" s="124"/>
      <c r="O7329" s="124"/>
    </row>
    <row r="7330">
      <c r="K7330" s="124"/>
      <c r="L7330" s="124"/>
      <c r="M7330" s="124"/>
      <c r="N7330" s="124"/>
      <c r="O7330" s="124"/>
    </row>
    <row r="7331">
      <c r="K7331" s="124"/>
      <c r="L7331" s="124"/>
      <c r="M7331" s="124"/>
      <c r="N7331" s="124"/>
      <c r="O7331" s="124"/>
    </row>
    <row r="7332">
      <c r="K7332" s="124"/>
      <c r="L7332" s="124"/>
      <c r="M7332" s="124"/>
      <c r="N7332" s="124"/>
      <c r="O7332" s="124"/>
    </row>
    <row r="7333">
      <c r="K7333" s="124"/>
      <c r="L7333" s="124"/>
      <c r="M7333" s="124"/>
      <c r="N7333" s="124"/>
      <c r="O7333" s="124"/>
    </row>
    <row r="7334">
      <c r="K7334" s="124"/>
      <c r="L7334" s="124"/>
      <c r="M7334" s="124"/>
      <c r="N7334" s="124"/>
      <c r="O7334" s="124"/>
    </row>
    <row r="7335">
      <c r="K7335" s="124"/>
      <c r="L7335" s="124"/>
      <c r="M7335" s="124"/>
      <c r="N7335" s="124"/>
      <c r="O7335" s="124"/>
    </row>
    <row r="7336">
      <c r="K7336" s="124"/>
      <c r="L7336" s="124"/>
      <c r="M7336" s="124"/>
      <c r="N7336" s="124"/>
      <c r="O7336" s="124"/>
    </row>
    <row r="7337">
      <c r="K7337" s="124"/>
      <c r="L7337" s="124"/>
      <c r="M7337" s="124"/>
      <c r="N7337" s="124"/>
      <c r="O7337" s="124"/>
    </row>
    <row r="7338">
      <c r="K7338" s="124"/>
      <c r="L7338" s="124"/>
      <c r="M7338" s="124"/>
      <c r="N7338" s="124"/>
      <c r="O7338" s="124"/>
    </row>
    <row r="7339">
      <c r="K7339" s="124"/>
      <c r="L7339" s="124"/>
      <c r="M7339" s="124"/>
      <c r="N7339" s="124"/>
      <c r="O7339" s="124"/>
    </row>
    <row r="7340">
      <c r="K7340" s="124"/>
      <c r="L7340" s="124"/>
      <c r="M7340" s="124"/>
      <c r="N7340" s="124"/>
      <c r="O7340" s="124"/>
    </row>
    <row r="7341">
      <c r="K7341" s="124"/>
      <c r="L7341" s="124"/>
      <c r="M7341" s="124"/>
      <c r="N7341" s="124"/>
      <c r="O7341" s="124"/>
    </row>
    <row r="7342">
      <c r="K7342" s="124"/>
      <c r="L7342" s="124"/>
      <c r="M7342" s="124"/>
      <c r="N7342" s="124"/>
      <c r="O7342" s="124"/>
    </row>
    <row r="7343">
      <c r="K7343" s="124"/>
      <c r="L7343" s="124"/>
      <c r="M7343" s="124"/>
      <c r="N7343" s="124"/>
      <c r="O7343" s="124"/>
    </row>
    <row r="7344">
      <c r="K7344" s="124"/>
      <c r="L7344" s="124"/>
      <c r="M7344" s="124"/>
      <c r="N7344" s="124"/>
      <c r="O7344" s="124"/>
    </row>
    <row r="7345">
      <c r="K7345" s="124"/>
      <c r="L7345" s="124"/>
      <c r="M7345" s="124"/>
      <c r="N7345" s="124"/>
      <c r="O7345" s="124"/>
    </row>
    <row r="7346">
      <c r="K7346" s="124"/>
      <c r="L7346" s="124"/>
      <c r="M7346" s="124"/>
      <c r="N7346" s="124"/>
      <c r="O7346" s="124"/>
    </row>
    <row r="7347">
      <c r="K7347" s="124"/>
      <c r="L7347" s="124"/>
      <c r="M7347" s="124"/>
      <c r="N7347" s="124"/>
      <c r="O7347" s="124"/>
    </row>
    <row r="7348">
      <c r="K7348" s="124"/>
      <c r="L7348" s="124"/>
      <c r="M7348" s="124"/>
      <c r="N7348" s="124"/>
      <c r="O7348" s="124"/>
    </row>
    <row r="7349">
      <c r="K7349" s="124"/>
      <c r="L7349" s="124"/>
      <c r="M7349" s="124"/>
      <c r="N7349" s="124"/>
      <c r="O7349" s="124"/>
    </row>
    <row r="7350">
      <c r="K7350" s="124"/>
      <c r="L7350" s="124"/>
      <c r="M7350" s="124"/>
      <c r="N7350" s="124"/>
      <c r="O7350" s="124"/>
    </row>
    <row r="7351">
      <c r="K7351" s="124"/>
      <c r="L7351" s="124"/>
      <c r="M7351" s="124"/>
      <c r="N7351" s="124"/>
      <c r="O7351" s="124"/>
    </row>
    <row r="7352">
      <c r="K7352" s="124"/>
      <c r="L7352" s="124"/>
      <c r="M7352" s="124"/>
      <c r="N7352" s="124"/>
      <c r="O7352" s="124"/>
    </row>
    <row r="7353">
      <c r="K7353" s="124"/>
      <c r="L7353" s="124"/>
      <c r="M7353" s="124"/>
      <c r="N7353" s="124"/>
      <c r="O7353" s="124"/>
    </row>
    <row r="7354">
      <c r="K7354" s="124"/>
      <c r="L7354" s="124"/>
      <c r="M7354" s="124"/>
      <c r="N7354" s="124"/>
      <c r="O7354" s="124"/>
    </row>
    <row r="7355">
      <c r="K7355" s="124"/>
      <c r="L7355" s="124"/>
      <c r="M7355" s="124"/>
      <c r="N7355" s="124"/>
      <c r="O7355" s="124"/>
    </row>
    <row r="7356">
      <c r="K7356" s="124"/>
      <c r="L7356" s="124"/>
      <c r="M7356" s="124"/>
      <c r="N7356" s="124"/>
      <c r="O7356" s="124"/>
    </row>
    <row r="7357">
      <c r="K7357" s="124"/>
      <c r="L7357" s="124"/>
      <c r="M7357" s="124"/>
      <c r="N7357" s="124"/>
      <c r="O7357" s="124"/>
    </row>
    <row r="7358">
      <c r="K7358" s="124"/>
      <c r="L7358" s="124"/>
      <c r="M7358" s="124"/>
      <c r="N7358" s="124"/>
      <c r="O7358" s="124"/>
    </row>
    <row r="7359">
      <c r="K7359" s="124"/>
      <c r="L7359" s="124"/>
      <c r="M7359" s="124"/>
      <c r="N7359" s="124"/>
      <c r="O7359" s="124"/>
    </row>
    <row r="7360">
      <c r="K7360" s="124"/>
      <c r="L7360" s="124"/>
      <c r="M7360" s="124"/>
      <c r="N7360" s="124"/>
      <c r="O7360" s="124"/>
    </row>
    <row r="7361">
      <c r="K7361" s="124"/>
      <c r="L7361" s="124"/>
      <c r="M7361" s="124"/>
      <c r="N7361" s="124"/>
      <c r="O7361" s="124"/>
    </row>
    <row r="7362">
      <c r="K7362" s="124"/>
      <c r="L7362" s="124"/>
      <c r="M7362" s="124"/>
      <c r="N7362" s="124"/>
      <c r="O7362" s="124"/>
    </row>
    <row r="7363">
      <c r="K7363" s="124"/>
      <c r="L7363" s="124"/>
      <c r="M7363" s="124"/>
      <c r="N7363" s="124"/>
      <c r="O7363" s="124"/>
    </row>
    <row r="7364">
      <c r="K7364" s="124"/>
      <c r="L7364" s="124"/>
      <c r="M7364" s="124"/>
      <c r="N7364" s="124"/>
      <c r="O7364" s="124"/>
    </row>
    <row r="7365">
      <c r="K7365" s="124"/>
      <c r="L7365" s="124"/>
      <c r="M7365" s="124"/>
      <c r="N7365" s="124"/>
      <c r="O7365" s="124"/>
    </row>
    <row r="7366">
      <c r="K7366" s="124"/>
      <c r="L7366" s="124"/>
      <c r="M7366" s="124"/>
      <c r="N7366" s="124"/>
      <c r="O7366" s="124"/>
    </row>
    <row r="7367">
      <c r="K7367" s="124"/>
      <c r="L7367" s="124"/>
      <c r="M7367" s="124"/>
      <c r="N7367" s="124"/>
      <c r="O7367" s="124"/>
    </row>
    <row r="7368">
      <c r="K7368" s="124"/>
      <c r="L7368" s="124"/>
      <c r="M7368" s="124"/>
      <c r="N7368" s="124"/>
      <c r="O7368" s="124"/>
    </row>
    <row r="7369">
      <c r="K7369" s="124"/>
      <c r="L7369" s="124"/>
      <c r="M7369" s="124"/>
      <c r="N7369" s="124"/>
      <c r="O7369" s="124"/>
    </row>
    <row r="7370">
      <c r="K7370" s="124"/>
      <c r="L7370" s="124"/>
      <c r="M7370" s="124"/>
      <c r="N7370" s="124"/>
      <c r="O7370" s="124"/>
    </row>
    <row r="7371">
      <c r="K7371" s="124"/>
      <c r="L7371" s="124"/>
      <c r="M7371" s="124"/>
      <c r="N7371" s="124"/>
      <c r="O7371" s="124"/>
    </row>
    <row r="7372">
      <c r="K7372" s="124"/>
      <c r="L7372" s="124"/>
      <c r="M7372" s="124"/>
      <c r="N7372" s="124"/>
      <c r="O7372" s="124"/>
    </row>
    <row r="7373">
      <c r="K7373" s="124"/>
      <c r="L7373" s="124"/>
      <c r="M7373" s="124"/>
      <c r="N7373" s="124"/>
      <c r="O7373" s="124"/>
    </row>
    <row r="7374">
      <c r="K7374" s="124"/>
      <c r="L7374" s="124"/>
      <c r="M7374" s="124"/>
      <c r="N7374" s="124"/>
      <c r="O7374" s="124"/>
    </row>
    <row r="7375">
      <c r="K7375" s="124"/>
      <c r="L7375" s="124"/>
      <c r="M7375" s="124"/>
      <c r="N7375" s="124"/>
      <c r="O7375" s="124"/>
    </row>
    <row r="7376">
      <c r="K7376" s="124"/>
      <c r="L7376" s="124"/>
      <c r="M7376" s="124"/>
      <c r="N7376" s="124"/>
      <c r="O7376" s="124"/>
    </row>
    <row r="7377">
      <c r="K7377" s="124"/>
      <c r="L7377" s="124"/>
      <c r="M7377" s="124"/>
      <c r="N7377" s="124"/>
      <c r="O7377" s="124"/>
    </row>
    <row r="7378">
      <c r="K7378" s="124"/>
      <c r="L7378" s="124"/>
      <c r="M7378" s="124"/>
      <c r="N7378" s="124"/>
      <c r="O7378" s="124"/>
    </row>
    <row r="7379">
      <c r="K7379" s="124"/>
      <c r="L7379" s="124"/>
      <c r="M7379" s="124"/>
      <c r="N7379" s="124"/>
      <c r="O7379" s="124"/>
    </row>
    <row r="7380">
      <c r="K7380" s="124"/>
      <c r="L7380" s="124"/>
      <c r="M7380" s="124"/>
      <c r="N7380" s="124"/>
      <c r="O7380" s="124"/>
    </row>
    <row r="7381">
      <c r="K7381" s="124"/>
      <c r="L7381" s="124"/>
      <c r="M7381" s="124"/>
      <c r="N7381" s="124"/>
      <c r="O7381" s="124"/>
    </row>
    <row r="7382">
      <c r="K7382" s="124"/>
      <c r="L7382" s="124"/>
      <c r="M7382" s="124"/>
      <c r="N7382" s="124"/>
      <c r="O7382" s="124"/>
    </row>
    <row r="7383">
      <c r="K7383" s="124"/>
      <c r="L7383" s="124"/>
      <c r="M7383" s="124"/>
      <c r="N7383" s="124"/>
      <c r="O7383" s="124"/>
    </row>
    <row r="7384">
      <c r="K7384" s="124"/>
      <c r="L7384" s="124"/>
      <c r="M7384" s="124"/>
      <c r="N7384" s="124"/>
      <c r="O7384" s="124"/>
    </row>
    <row r="7385">
      <c r="K7385" s="124"/>
      <c r="L7385" s="124"/>
      <c r="M7385" s="124"/>
      <c r="N7385" s="124"/>
      <c r="O7385" s="124"/>
    </row>
    <row r="7386">
      <c r="K7386" s="124"/>
      <c r="L7386" s="124"/>
      <c r="M7386" s="124"/>
      <c r="N7386" s="124"/>
      <c r="O7386" s="124"/>
    </row>
    <row r="7387">
      <c r="K7387" s="124"/>
      <c r="L7387" s="124"/>
      <c r="M7387" s="124"/>
      <c r="N7387" s="124"/>
      <c r="O7387" s="124"/>
    </row>
    <row r="7388">
      <c r="K7388" s="124"/>
      <c r="L7388" s="124"/>
      <c r="M7388" s="124"/>
      <c r="N7388" s="124"/>
      <c r="O7388" s="124"/>
    </row>
    <row r="7389">
      <c r="K7389" s="124"/>
      <c r="L7389" s="124"/>
      <c r="M7389" s="124"/>
      <c r="N7389" s="124"/>
      <c r="O7389" s="124"/>
    </row>
    <row r="7390">
      <c r="K7390" s="124"/>
      <c r="L7390" s="124"/>
      <c r="M7390" s="124"/>
      <c r="N7390" s="124"/>
      <c r="O7390" s="124"/>
    </row>
    <row r="7391">
      <c r="K7391" s="124"/>
      <c r="L7391" s="124"/>
      <c r="M7391" s="124"/>
      <c r="N7391" s="124"/>
      <c r="O7391" s="124"/>
    </row>
    <row r="7392">
      <c r="K7392" s="124"/>
      <c r="L7392" s="124"/>
      <c r="M7392" s="124"/>
      <c r="N7392" s="124"/>
      <c r="O7392" s="124"/>
    </row>
    <row r="7393">
      <c r="K7393" s="124"/>
      <c r="L7393" s="124"/>
      <c r="M7393" s="124"/>
      <c r="N7393" s="124"/>
      <c r="O7393" s="124"/>
    </row>
    <row r="7394">
      <c r="K7394" s="124"/>
      <c r="L7394" s="124"/>
      <c r="M7394" s="124"/>
      <c r="N7394" s="124"/>
      <c r="O7394" s="124"/>
    </row>
    <row r="7395">
      <c r="K7395" s="124"/>
      <c r="L7395" s="124"/>
      <c r="M7395" s="124"/>
      <c r="N7395" s="124"/>
      <c r="O7395" s="124"/>
    </row>
    <row r="7396">
      <c r="K7396" s="124"/>
      <c r="L7396" s="124"/>
      <c r="M7396" s="124"/>
      <c r="N7396" s="124"/>
      <c r="O7396" s="124"/>
    </row>
    <row r="7397">
      <c r="K7397" s="124"/>
      <c r="L7397" s="124"/>
      <c r="M7397" s="124"/>
      <c r="N7397" s="124"/>
      <c r="O7397" s="124"/>
    </row>
    <row r="7398">
      <c r="K7398" s="124"/>
      <c r="L7398" s="124"/>
      <c r="M7398" s="124"/>
      <c r="N7398" s="124"/>
      <c r="O7398" s="124"/>
    </row>
    <row r="7399">
      <c r="K7399" s="124"/>
      <c r="L7399" s="124"/>
      <c r="M7399" s="124"/>
      <c r="N7399" s="124"/>
      <c r="O7399" s="124"/>
    </row>
    <row r="7400">
      <c r="K7400" s="124"/>
      <c r="L7400" s="124"/>
      <c r="M7400" s="124"/>
      <c r="N7400" s="124"/>
      <c r="O7400" s="124"/>
    </row>
    <row r="7401">
      <c r="K7401" s="124"/>
      <c r="L7401" s="124"/>
      <c r="M7401" s="124"/>
      <c r="N7401" s="124"/>
      <c r="O7401" s="124"/>
    </row>
    <row r="7402">
      <c r="K7402" s="124"/>
      <c r="L7402" s="124"/>
      <c r="M7402" s="124"/>
      <c r="N7402" s="124"/>
      <c r="O7402" s="124"/>
    </row>
    <row r="7403">
      <c r="K7403" s="124"/>
      <c r="L7403" s="124"/>
      <c r="M7403" s="124"/>
      <c r="N7403" s="124"/>
      <c r="O7403" s="124"/>
    </row>
    <row r="7404">
      <c r="K7404" s="124"/>
      <c r="L7404" s="124"/>
      <c r="M7404" s="124"/>
      <c r="N7404" s="124"/>
      <c r="O7404" s="124"/>
    </row>
    <row r="7405">
      <c r="K7405" s="124"/>
      <c r="L7405" s="124"/>
      <c r="M7405" s="124"/>
      <c r="N7405" s="124"/>
      <c r="O7405" s="124"/>
    </row>
    <row r="7406">
      <c r="K7406" s="124"/>
      <c r="L7406" s="124"/>
      <c r="M7406" s="124"/>
      <c r="N7406" s="124"/>
      <c r="O7406" s="124"/>
    </row>
    <row r="7407">
      <c r="K7407" s="124"/>
      <c r="L7407" s="124"/>
      <c r="M7407" s="124"/>
      <c r="N7407" s="124"/>
      <c r="O7407" s="124"/>
    </row>
    <row r="7408">
      <c r="K7408" s="124"/>
      <c r="L7408" s="124"/>
      <c r="M7408" s="124"/>
      <c r="N7408" s="124"/>
      <c r="O7408" s="124"/>
    </row>
    <row r="7409">
      <c r="K7409" s="124"/>
      <c r="L7409" s="124"/>
      <c r="M7409" s="124"/>
      <c r="N7409" s="124"/>
      <c r="O7409" s="124"/>
    </row>
    <row r="7410">
      <c r="K7410" s="124"/>
      <c r="L7410" s="124"/>
      <c r="M7410" s="124"/>
      <c r="N7410" s="124"/>
      <c r="O7410" s="124"/>
    </row>
    <row r="7411">
      <c r="K7411" s="124"/>
      <c r="L7411" s="124"/>
      <c r="M7411" s="124"/>
      <c r="N7411" s="124"/>
      <c r="O7411" s="124"/>
    </row>
    <row r="7412">
      <c r="K7412" s="124"/>
      <c r="L7412" s="124"/>
      <c r="M7412" s="124"/>
      <c r="N7412" s="124"/>
      <c r="O7412" s="124"/>
    </row>
    <row r="7413">
      <c r="K7413" s="124"/>
      <c r="L7413" s="124"/>
      <c r="M7413" s="124"/>
      <c r="N7413" s="124"/>
      <c r="O7413" s="124"/>
    </row>
    <row r="7414">
      <c r="K7414" s="124"/>
      <c r="L7414" s="124"/>
      <c r="M7414" s="124"/>
      <c r="N7414" s="124"/>
      <c r="O7414" s="124"/>
    </row>
    <row r="7415">
      <c r="K7415" s="124"/>
      <c r="L7415" s="124"/>
      <c r="M7415" s="124"/>
      <c r="N7415" s="124"/>
      <c r="O7415" s="124"/>
    </row>
    <row r="7416">
      <c r="K7416" s="124"/>
      <c r="L7416" s="124"/>
      <c r="M7416" s="124"/>
      <c r="N7416" s="124"/>
      <c r="O7416" s="124"/>
    </row>
    <row r="7417">
      <c r="K7417" s="124"/>
      <c r="L7417" s="124"/>
      <c r="M7417" s="124"/>
      <c r="N7417" s="124"/>
      <c r="O7417" s="124"/>
    </row>
    <row r="7418">
      <c r="K7418" s="124"/>
      <c r="L7418" s="124"/>
      <c r="M7418" s="124"/>
      <c r="N7418" s="124"/>
      <c r="O7418" s="124"/>
    </row>
    <row r="7419">
      <c r="K7419" s="124"/>
      <c r="L7419" s="124"/>
      <c r="M7419" s="124"/>
      <c r="N7419" s="124"/>
      <c r="O7419" s="124"/>
    </row>
    <row r="7420">
      <c r="K7420" s="124"/>
      <c r="L7420" s="124"/>
      <c r="M7420" s="124"/>
      <c r="N7420" s="124"/>
      <c r="O7420" s="124"/>
    </row>
    <row r="7421">
      <c r="K7421" s="124"/>
      <c r="L7421" s="124"/>
      <c r="M7421" s="124"/>
      <c r="N7421" s="124"/>
      <c r="O7421" s="124"/>
    </row>
    <row r="7422">
      <c r="K7422" s="124"/>
      <c r="L7422" s="124"/>
      <c r="M7422" s="124"/>
      <c r="N7422" s="124"/>
      <c r="O7422" s="124"/>
    </row>
    <row r="7423">
      <c r="K7423" s="124"/>
      <c r="L7423" s="124"/>
      <c r="M7423" s="124"/>
      <c r="N7423" s="124"/>
      <c r="O7423" s="124"/>
    </row>
    <row r="7424">
      <c r="K7424" s="124"/>
      <c r="L7424" s="124"/>
      <c r="M7424" s="124"/>
      <c r="N7424" s="124"/>
      <c r="O7424" s="124"/>
    </row>
    <row r="7425">
      <c r="K7425" s="124"/>
      <c r="L7425" s="124"/>
      <c r="M7425" s="124"/>
      <c r="N7425" s="124"/>
      <c r="O7425" s="124"/>
    </row>
    <row r="7426">
      <c r="K7426" s="124"/>
      <c r="L7426" s="124"/>
      <c r="M7426" s="124"/>
      <c r="N7426" s="124"/>
      <c r="O7426" s="124"/>
    </row>
    <row r="7427">
      <c r="K7427" s="124"/>
      <c r="L7427" s="124"/>
      <c r="M7427" s="124"/>
      <c r="N7427" s="124"/>
      <c r="O7427" s="124"/>
    </row>
    <row r="7428">
      <c r="K7428" s="124"/>
      <c r="L7428" s="124"/>
      <c r="M7428" s="124"/>
      <c r="N7428" s="124"/>
      <c r="O7428" s="124"/>
    </row>
    <row r="7429">
      <c r="K7429" s="124"/>
      <c r="L7429" s="124"/>
      <c r="M7429" s="124"/>
      <c r="N7429" s="124"/>
      <c r="O7429" s="124"/>
    </row>
    <row r="7430">
      <c r="K7430" s="124"/>
      <c r="L7430" s="124"/>
      <c r="M7430" s="124"/>
      <c r="N7430" s="124"/>
      <c r="O7430" s="124"/>
    </row>
    <row r="7431">
      <c r="K7431" s="124"/>
      <c r="L7431" s="124"/>
      <c r="M7431" s="124"/>
      <c r="N7431" s="124"/>
      <c r="O7431" s="124"/>
    </row>
    <row r="7432">
      <c r="K7432" s="124"/>
      <c r="L7432" s="124"/>
      <c r="M7432" s="124"/>
      <c r="N7432" s="124"/>
      <c r="O7432" s="124"/>
    </row>
    <row r="7433">
      <c r="K7433" s="124"/>
      <c r="L7433" s="124"/>
      <c r="M7433" s="124"/>
      <c r="N7433" s="124"/>
      <c r="O7433" s="124"/>
    </row>
    <row r="7434">
      <c r="K7434" s="124"/>
      <c r="L7434" s="124"/>
      <c r="M7434" s="124"/>
      <c r="N7434" s="124"/>
      <c r="O7434" s="124"/>
    </row>
    <row r="7435">
      <c r="K7435" s="124"/>
      <c r="L7435" s="124"/>
      <c r="M7435" s="124"/>
      <c r="N7435" s="124"/>
      <c r="O7435" s="124"/>
    </row>
    <row r="7436">
      <c r="K7436" s="124"/>
      <c r="L7436" s="124"/>
      <c r="M7436" s="124"/>
      <c r="N7436" s="124"/>
      <c r="O7436" s="124"/>
    </row>
    <row r="7437">
      <c r="K7437" s="124"/>
      <c r="L7437" s="124"/>
      <c r="M7437" s="124"/>
      <c r="N7437" s="124"/>
      <c r="O7437" s="124"/>
    </row>
    <row r="7438">
      <c r="K7438" s="124"/>
      <c r="L7438" s="124"/>
      <c r="M7438" s="124"/>
      <c r="N7438" s="124"/>
      <c r="O7438" s="124"/>
    </row>
    <row r="7439">
      <c r="K7439" s="124"/>
      <c r="L7439" s="124"/>
      <c r="M7439" s="124"/>
      <c r="N7439" s="124"/>
      <c r="O7439" s="124"/>
    </row>
    <row r="7440">
      <c r="K7440" s="124"/>
      <c r="L7440" s="124"/>
      <c r="M7440" s="124"/>
      <c r="N7440" s="124"/>
      <c r="O7440" s="124"/>
    </row>
    <row r="7441">
      <c r="K7441" s="124"/>
      <c r="L7441" s="124"/>
      <c r="M7441" s="124"/>
      <c r="N7441" s="124"/>
      <c r="O7441" s="124"/>
    </row>
    <row r="7442">
      <c r="K7442" s="124"/>
      <c r="L7442" s="124"/>
      <c r="M7442" s="124"/>
      <c r="N7442" s="124"/>
      <c r="O7442" s="124"/>
    </row>
    <row r="7443">
      <c r="K7443" s="124"/>
      <c r="L7443" s="124"/>
      <c r="M7443" s="124"/>
      <c r="N7443" s="124"/>
      <c r="O7443" s="124"/>
    </row>
    <row r="7444">
      <c r="K7444" s="124"/>
      <c r="L7444" s="124"/>
      <c r="M7444" s="124"/>
      <c r="N7444" s="124"/>
      <c r="O7444" s="124"/>
    </row>
    <row r="7445">
      <c r="K7445" s="124"/>
      <c r="L7445" s="124"/>
      <c r="M7445" s="124"/>
      <c r="N7445" s="124"/>
      <c r="O7445" s="124"/>
    </row>
    <row r="7446">
      <c r="K7446" s="124"/>
      <c r="L7446" s="124"/>
      <c r="M7446" s="124"/>
      <c r="N7446" s="124"/>
      <c r="O7446" s="124"/>
    </row>
    <row r="7447">
      <c r="K7447" s="124"/>
      <c r="L7447" s="124"/>
      <c r="M7447" s="124"/>
      <c r="N7447" s="124"/>
      <c r="O7447" s="124"/>
    </row>
    <row r="7448">
      <c r="K7448" s="124"/>
      <c r="L7448" s="124"/>
      <c r="M7448" s="124"/>
      <c r="N7448" s="124"/>
      <c r="O7448" s="124"/>
    </row>
    <row r="7449">
      <c r="K7449" s="124"/>
      <c r="L7449" s="124"/>
      <c r="M7449" s="124"/>
      <c r="N7449" s="124"/>
      <c r="O7449" s="124"/>
    </row>
    <row r="7450">
      <c r="K7450" s="124"/>
      <c r="L7450" s="124"/>
      <c r="M7450" s="124"/>
      <c r="N7450" s="124"/>
      <c r="O7450" s="124"/>
    </row>
    <row r="7451">
      <c r="K7451" s="124"/>
      <c r="L7451" s="124"/>
      <c r="M7451" s="124"/>
      <c r="N7451" s="124"/>
      <c r="O7451" s="124"/>
    </row>
    <row r="7452">
      <c r="K7452" s="124"/>
      <c r="L7452" s="124"/>
      <c r="M7452" s="124"/>
      <c r="N7452" s="124"/>
      <c r="O7452" s="124"/>
    </row>
    <row r="7453">
      <c r="K7453" s="124"/>
      <c r="L7453" s="124"/>
      <c r="M7453" s="124"/>
      <c r="N7453" s="124"/>
      <c r="O7453" s="124"/>
    </row>
    <row r="7454">
      <c r="K7454" s="124"/>
      <c r="L7454" s="124"/>
      <c r="M7454" s="124"/>
      <c r="N7454" s="124"/>
      <c r="O7454" s="124"/>
    </row>
    <row r="7455">
      <c r="K7455" s="124"/>
      <c r="L7455" s="124"/>
      <c r="M7455" s="124"/>
      <c r="N7455" s="124"/>
      <c r="O7455" s="124"/>
    </row>
    <row r="7456">
      <c r="K7456" s="124"/>
      <c r="L7456" s="124"/>
      <c r="M7456" s="124"/>
      <c r="N7456" s="124"/>
      <c r="O7456" s="124"/>
    </row>
    <row r="7457">
      <c r="K7457" s="124"/>
      <c r="L7457" s="124"/>
      <c r="M7457" s="124"/>
      <c r="N7457" s="124"/>
      <c r="O7457" s="124"/>
    </row>
    <row r="7458">
      <c r="K7458" s="124"/>
      <c r="L7458" s="124"/>
      <c r="M7458" s="124"/>
      <c r="N7458" s="124"/>
      <c r="O7458" s="124"/>
    </row>
    <row r="7459">
      <c r="K7459" s="124"/>
      <c r="L7459" s="124"/>
      <c r="M7459" s="124"/>
      <c r="N7459" s="124"/>
      <c r="O7459" s="124"/>
    </row>
    <row r="7460">
      <c r="K7460" s="124"/>
      <c r="L7460" s="124"/>
      <c r="M7460" s="124"/>
      <c r="N7460" s="124"/>
      <c r="O7460" s="124"/>
    </row>
    <row r="7461">
      <c r="K7461" s="124"/>
      <c r="L7461" s="124"/>
      <c r="M7461" s="124"/>
      <c r="N7461" s="124"/>
      <c r="O7461" s="124"/>
    </row>
    <row r="7462">
      <c r="K7462" s="124"/>
      <c r="L7462" s="124"/>
      <c r="M7462" s="124"/>
      <c r="N7462" s="124"/>
      <c r="O7462" s="124"/>
    </row>
    <row r="7463">
      <c r="K7463" s="124"/>
      <c r="L7463" s="124"/>
      <c r="M7463" s="124"/>
      <c r="N7463" s="124"/>
      <c r="O7463" s="124"/>
    </row>
    <row r="7464">
      <c r="K7464" s="124"/>
      <c r="L7464" s="124"/>
      <c r="M7464" s="124"/>
      <c r="N7464" s="124"/>
      <c r="O7464" s="124"/>
    </row>
    <row r="7465">
      <c r="K7465" s="124"/>
      <c r="L7465" s="124"/>
      <c r="M7465" s="124"/>
      <c r="N7465" s="124"/>
      <c r="O7465" s="124"/>
    </row>
    <row r="7466">
      <c r="K7466" s="124"/>
      <c r="L7466" s="124"/>
      <c r="M7466" s="124"/>
      <c r="N7466" s="124"/>
      <c r="O7466" s="124"/>
    </row>
    <row r="7467">
      <c r="K7467" s="124"/>
      <c r="L7467" s="124"/>
      <c r="M7467" s="124"/>
      <c r="N7467" s="124"/>
      <c r="O7467" s="124"/>
    </row>
    <row r="7468">
      <c r="K7468" s="124"/>
      <c r="L7468" s="124"/>
      <c r="M7468" s="124"/>
      <c r="N7468" s="124"/>
      <c r="O7468" s="124"/>
    </row>
    <row r="7469">
      <c r="K7469" s="124"/>
      <c r="L7469" s="124"/>
      <c r="M7469" s="124"/>
      <c r="N7469" s="124"/>
      <c r="O7469" s="124"/>
    </row>
    <row r="7470">
      <c r="K7470" s="124"/>
      <c r="L7470" s="124"/>
      <c r="M7470" s="124"/>
      <c r="N7470" s="124"/>
      <c r="O7470" s="124"/>
    </row>
    <row r="7471">
      <c r="K7471" s="124"/>
      <c r="L7471" s="124"/>
      <c r="M7471" s="124"/>
      <c r="N7471" s="124"/>
      <c r="O7471" s="124"/>
    </row>
    <row r="7472">
      <c r="K7472" s="124"/>
      <c r="L7472" s="124"/>
      <c r="M7472" s="124"/>
      <c r="N7472" s="124"/>
      <c r="O7472" s="124"/>
    </row>
    <row r="7473">
      <c r="K7473" s="124"/>
      <c r="L7473" s="124"/>
      <c r="M7473" s="124"/>
      <c r="N7473" s="124"/>
      <c r="O7473" s="124"/>
    </row>
    <row r="7474">
      <c r="K7474" s="124"/>
      <c r="L7474" s="124"/>
      <c r="M7474" s="124"/>
      <c r="N7474" s="124"/>
      <c r="O7474" s="124"/>
    </row>
    <row r="7475">
      <c r="K7475" s="124"/>
      <c r="L7475" s="124"/>
      <c r="M7475" s="124"/>
      <c r="N7475" s="124"/>
      <c r="O7475" s="124"/>
    </row>
    <row r="7476">
      <c r="K7476" s="124"/>
      <c r="L7476" s="124"/>
      <c r="M7476" s="124"/>
      <c r="N7476" s="124"/>
      <c r="O7476" s="124"/>
    </row>
    <row r="7477">
      <c r="K7477" s="124"/>
      <c r="L7477" s="124"/>
      <c r="M7477" s="124"/>
      <c r="N7477" s="124"/>
      <c r="O7477" s="124"/>
    </row>
    <row r="7478">
      <c r="K7478" s="124"/>
      <c r="L7478" s="124"/>
      <c r="M7478" s="124"/>
      <c r="N7478" s="124"/>
      <c r="O7478" s="124"/>
    </row>
    <row r="7479">
      <c r="K7479" s="124"/>
      <c r="L7479" s="124"/>
      <c r="M7479" s="124"/>
      <c r="N7479" s="124"/>
      <c r="O7479" s="124"/>
    </row>
    <row r="7480">
      <c r="K7480" s="124"/>
      <c r="L7480" s="124"/>
      <c r="M7480" s="124"/>
      <c r="N7480" s="124"/>
      <c r="O7480" s="124"/>
    </row>
    <row r="7481">
      <c r="K7481" s="124"/>
      <c r="L7481" s="124"/>
      <c r="M7481" s="124"/>
      <c r="N7481" s="124"/>
      <c r="O7481" s="124"/>
    </row>
    <row r="7482">
      <c r="K7482" s="124"/>
      <c r="L7482" s="124"/>
      <c r="M7482" s="124"/>
      <c r="N7482" s="124"/>
      <c r="O7482" s="124"/>
    </row>
    <row r="7483">
      <c r="K7483" s="124"/>
      <c r="L7483" s="124"/>
      <c r="M7483" s="124"/>
      <c r="N7483" s="124"/>
      <c r="O7483" s="124"/>
    </row>
    <row r="7484">
      <c r="K7484" s="124"/>
      <c r="L7484" s="124"/>
      <c r="M7484" s="124"/>
      <c r="N7484" s="124"/>
      <c r="O7484" s="124"/>
    </row>
    <row r="7485">
      <c r="K7485" s="124"/>
      <c r="L7485" s="124"/>
      <c r="M7485" s="124"/>
      <c r="N7485" s="124"/>
      <c r="O7485" s="124"/>
    </row>
    <row r="7486">
      <c r="K7486" s="124"/>
      <c r="L7486" s="124"/>
      <c r="M7486" s="124"/>
      <c r="N7486" s="124"/>
      <c r="O7486" s="124"/>
    </row>
    <row r="7487">
      <c r="K7487" s="124"/>
      <c r="L7487" s="124"/>
      <c r="M7487" s="124"/>
      <c r="N7487" s="124"/>
      <c r="O7487" s="124"/>
    </row>
    <row r="7488">
      <c r="K7488" s="124"/>
      <c r="L7488" s="124"/>
      <c r="M7488" s="124"/>
      <c r="N7488" s="124"/>
      <c r="O7488" s="124"/>
    </row>
    <row r="7489">
      <c r="K7489" s="124"/>
      <c r="L7489" s="124"/>
      <c r="M7489" s="124"/>
      <c r="N7489" s="124"/>
      <c r="O7489" s="124"/>
    </row>
    <row r="7490">
      <c r="K7490" s="124"/>
      <c r="L7490" s="124"/>
      <c r="M7490" s="124"/>
      <c r="N7490" s="124"/>
      <c r="O7490" s="124"/>
    </row>
    <row r="7491">
      <c r="K7491" s="124"/>
      <c r="L7491" s="124"/>
      <c r="M7491" s="124"/>
      <c r="N7491" s="124"/>
      <c r="O7491" s="124"/>
    </row>
    <row r="7492">
      <c r="K7492" s="124"/>
      <c r="L7492" s="124"/>
      <c r="M7492" s="124"/>
      <c r="N7492" s="124"/>
      <c r="O7492" s="124"/>
    </row>
    <row r="7493">
      <c r="K7493" s="124"/>
      <c r="L7493" s="124"/>
      <c r="M7493" s="124"/>
      <c r="N7493" s="124"/>
      <c r="O7493" s="124"/>
    </row>
    <row r="7494">
      <c r="K7494" s="124"/>
      <c r="L7494" s="124"/>
      <c r="M7494" s="124"/>
      <c r="N7494" s="124"/>
      <c r="O7494" s="124"/>
    </row>
    <row r="7495">
      <c r="K7495" s="124"/>
      <c r="L7495" s="124"/>
      <c r="M7495" s="124"/>
      <c r="N7495" s="124"/>
      <c r="O7495" s="124"/>
    </row>
    <row r="7496">
      <c r="K7496" s="124"/>
      <c r="L7496" s="124"/>
      <c r="M7496" s="124"/>
      <c r="N7496" s="124"/>
      <c r="O7496" s="124"/>
    </row>
    <row r="7497">
      <c r="K7497" s="124"/>
      <c r="L7497" s="124"/>
      <c r="M7497" s="124"/>
      <c r="N7497" s="124"/>
      <c r="O7497" s="124"/>
    </row>
    <row r="7498">
      <c r="K7498" s="124"/>
      <c r="L7498" s="124"/>
      <c r="M7498" s="124"/>
      <c r="N7498" s="124"/>
      <c r="O7498" s="124"/>
    </row>
    <row r="7499">
      <c r="K7499" s="124"/>
      <c r="L7499" s="124"/>
      <c r="M7499" s="124"/>
      <c r="N7499" s="124"/>
      <c r="O7499" s="124"/>
    </row>
    <row r="7500">
      <c r="K7500" s="124"/>
      <c r="L7500" s="124"/>
      <c r="M7500" s="124"/>
      <c r="N7500" s="124"/>
      <c r="O7500" s="124"/>
    </row>
    <row r="7501">
      <c r="K7501" s="124"/>
      <c r="L7501" s="124"/>
      <c r="M7501" s="124"/>
      <c r="N7501" s="124"/>
      <c r="O7501" s="124"/>
    </row>
    <row r="7502">
      <c r="K7502" s="124"/>
      <c r="L7502" s="124"/>
      <c r="M7502" s="124"/>
      <c r="N7502" s="124"/>
      <c r="O7502" s="124"/>
    </row>
    <row r="7503">
      <c r="K7503" s="124"/>
      <c r="L7503" s="124"/>
      <c r="M7503" s="124"/>
      <c r="N7503" s="124"/>
      <c r="O7503" s="124"/>
    </row>
    <row r="7504">
      <c r="K7504" s="124"/>
      <c r="L7504" s="124"/>
      <c r="M7504" s="124"/>
      <c r="N7504" s="124"/>
      <c r="O7504" s="124"/>
    </row>
    <row r="7505">
      <c r="K7505" s="124"/>
      <c r="L7505" s="124"/>
      <c r="M7505" s="124"/>
      <c r="N7505" s="124"/>
      <c r="O7505" s="124"/>
    </row>
    <row r="7506">
      <c r="K7506" s="124"/>
      <c r="L7506" s="124"/>
      <c r="M7506" s="124"/>
      <c r="N7506" s="124"/>
      <c r="O7506" s="124"/>
    </row>
    <row r="7507">
      <c r="K7507" s="124"/>
      <c r="L7507" s="124"/>
      <c r="M7507" s="124"/>
      <c r="N7507" s="124"/>
      <c r="O7507" s="124"/>
    </row>
    <row r="7508">
      <c r="K7508" s="124"/>
      <c r="L7508" s="124"/>
      <c r="M7508" s="124"/>
      <c r="N7508" s="124"/>
      <c r="O7508" s="124"/>
    </row>
    <row r="7509">
      <c r="K7509" s="124"/>
      <c r="L7509" s="124"/>
      <c r="M7509" s="124"/>
      <c r="N7509" s="124"/>
      <c r="O7509" s="124"/>
    </row>
    <row r="7510">
      <c r="K7510" s="124"/>
      <c r="L7510" s="124"/>
      <c r="M7510" s="124"/>
      <c r="N7510" s="124"/>
      <c r="O7510" s="124"/>
    </row>
    <row r="7511">
      <c r="K7511" s="124"/>
      <c r="L7511" s="124"/>
      <c r="M7511" s="124"/>
      <c r="N7511" s="124"/>
      <c r="O7511" s="124"/>
    </row>
    <row r="7512">
      <c r="K7512" s="124"/>
      <c r="L7512" s="124"/>
      <c r="M7512" s="124"/>
      <c r="N7512" s="124"/>
      <c r="O7512" s="124"/>
    </row>
    <row r="7513">
      <c r="K7513" s="124"/>
      <c r="L7513" s="124"/>
      <c r="M7513" s="124"/>
      <c r="N7513" s="124"/>
      <c r="O7513" s="124"/>
    </row>
    <row r="7514">
      <c r="K7514" s="124"/>
      <c r="L7514" s="124"/>
      <c r="M7514" s="124"/>
      <c r="N7514" s="124"/>
      <c r="O7514" s="124"/>
    </row>
    <row r="7515">
      <c r="K7515" s="124"/>
      <c r="L7515" s="124"/>
      <c r="M7515" s="124"/>
      <c r="N7515" s="124"/>
      <c r="O7515" s="124"/>
    </row>
    <row r="7516">
      <c r="K7516" s="124"/>
      <c r="L7516" s="124"/>
      <c r="M7516" s="124"/>
      <c r="N7516" s="124"/>
      <c r="O7516" s="124"/>
    </row>
    <row r="7517">
      <c r="K7517" s="124"/>
      <c r="L7517" s="124"/>
      <c r="M7517" s="124"/>
      <c r="N7517" s="124"/>
      <c r="O7517" s="124"/>
    </row>
    <row r="7518">
      <c r="K7518" s="124"/>
      <c r="L7518" s="124"/>
      <c r="M7518" s="124"/>
      <c r="N7518" s="124"/>
      <c r="O7518" s="124"/>
    </row>
    <row r="7519">
      <c r="K7519" s="124"/>
      <c r="L7519" s="124"/>
      <c r="M7519" s="124"/>
      <c r="N7519" s="124"/>
      <c r="O7519" s="124"/>
    </row>
    <row r="7520">
      <c r="K7520" s="124"/>
      <c r="L7520" s="124"/>
      <c r="M7520" s="124"/>
      <c r="N7520" s="124"/>
      <c r="O7520" s="124"/>
    </row>
    <row r="7521">
      <c r="K7521" s="124"/>
      <c r="L7521" s="124"/>
      <c r="M7521" s="124"/>
      <c r="N7521" s="124"/>
      <c r="O7521" s="124"/>
    </row>
    <row r="7522">
      <c r="K7522" s="124"/>
      <c r="L7522" s="124"/>
      <c r="M7522" s="124"/>
      <c r="N7522" s="124"/>
      <c r="O7522" s="124"/>
    </row>
    <row r="7523">
      <c r="K7523" s="124"/>
      <c r="L7523" s="124"/>
      <c r="M7523" s="124"/>
      <c r="N7523" s="124"/>
      <c r="O7523" s="124"/>
    </row>
    <row r="7524">
      <c r="K7524" s="124"/>
      <c r="L7524" s="124"/>
      <c r="M7524" s="124"/>
      <c r="N7524" s="124"/>
      <c r="O7524" s="124"/>
    </row>
    <row r="7525">
      <c r="K7525" s="124"/>
      <c r="L7525" s="124"/>
      <c r="M7525" s="124"/>
      <c r="N7525" s="124"/>
      <c r="O7525" s="124"/>
    </row>
    <row r="7526">
      <c r="K7526" s="124"/>
      <c r="L7526" s="124"/>
      <c r="M7526" s="124"/>
      <c r="N7526" s="124"/>
      <c r="O7526" s="124"/>
    </row>
    <row r="7527">
      <c r="K7527" s="124"/>
      <c r="L7527" s="124"/>
      <c r="M7527" s="124"/>
      <c r="N7527" s="124"/>
      <c r="O7527" s="124"/>
    </row>
    <row r="7528">
      <c r="K7528" s="124"/>
      <c r="L7528" s="124"/>
      <c r="M7528" s="124"/>
      <c r="N7528" s="124"/>
      <c r="O7528" s="124"/>
    </row>
    <row r="7529">
      <c r="K7529" s="124"/>
      <c r="L7529" s="124"/>
      <c r="M7529" s="124"/>
      <c r="N7529" s="124"/>
      <c r="O7529" s="124"/>
    </row>
    <row r="7530">
      <c r="K7530" s="124"/>
      <c r="L7530" s="124"/>
      <c r="M7530" s="124"/>
      <c r="N7530" s="124"/>
      <c r="O7530" s="124"/>
    </row>
    <row r="7531">
      <c r="K7531" s="124"/>
      <c r="L7531" s="124"/>
      <c r="M7531" s="124"/>
      <c r="N7531" s="124"/>
      <c r="O7531" s="124"/>
    </row>
    <row r="7532">
      <c r="K7532" s="124"/>
      <c r="L7532" s="124"/>
      <c r="M7532" s="124"/>
      <c r="N7532" s="124"/>
      <c r="O7532" s="124"/>
    </row>
    <row r="7533">
      <c r="K7533" s="124"/>
      <c r="L7533" s="124"/>
      <c r="M7533" s="124"/>
      <c r="N7533" s="124"/>
      <c r="O7533" s="124"/>
    </row>
    <row r="7534">
      <c r="K7534" s="124"/>
      <c r="L7534" s="124"/>
      <c r="M7534" s="124"/>
      <c r="N7534" s="124"/>
      <c r="O7534" s="124"/>
    </row>
    <row r="7535">
      <c r="K7535" s="124"/>
      <c r="L7535" s="124"/>
      <c r="M7535" s="124"/>
      <c r="N7535" s="124"/>
      <c r="O7535" s="124"/>
    </row>
    <row r="7536">
      <c r="K7536" s="124"/>
      <c r="L7536" s="124"/>
      <c r="M7536" s="124"/>
      <c r="N7536" s="124"/>
      <c r="O7536" s="124"/>
    </row>
    <row r="7537">
      <c r="K7537" s="124"/>
      <c r="L7537" s="124"/>
      <c r="M7537" s="124"/>
      <c r="N7537" s="124"/>
      <c r="O7537" s="124"/>
    </row>
    <row r="7538">
      <c r="K7538" s="124"/>
      <c r="L7538" s="124"/>
      <c r="M7538" s="124"/>
      <c r="N7538" s="124"/>
      <c r="O7538" s="124"/>
    </row>
    <row r="7539">
      <c r="K7539" s="124"/>
      <c r="L7539" s="124"/>
      <c r="M7539" s="124"/>
      <c r="N7539" s="124"/>
      <c r="O7539" s="124"/>
    </row>
    <row r="7540">
      <c r="K7540" s="124"/>
      <c r="L7540" s="124"/>
      <c r="M7540" s="124"/>
      <c r="N7540" s="124"/>
      <c r="O7540" s="124"/>
    </row>
    <row r="7541">
      <c r="K7541" s="124"/>
      <c r="L7541" s="124"/>
      <c r="M7541" s="124"/>
      <c r="N7541" s="124"/>
      <c r="O7541" s="124"/>
    </row>
    <row r="7542">
      <c r="K7542" s="124"/>
      <c r="L7542" s="124"/>
      <c r="M7542" s="124"/>
      <c r="N7542" s="124"/>
      <c r="O7542" s="124"/>
    </row>
    <row r="7543">
      <c r="K7543" s="124"/>
      <c r="L7543" s="124"/>
      <c r="M7543" s="124"/>
      <c r="N7543" s="124"/>
      <c r="O7543" s="124"/>
    </row>
    <row r="7544">
      <c r="K7544" s="124"/>
      <c r="L7544" s="124"/>
      <c r="M7544" s="124"/>
      <c r="N7544" s="124"/>
      <c r="O7544" s="124"/>
    </row>
    <row r="7545">
      <c r="K7545" s="124"/>
      <c r="L7545" s="124"/>
      <c r="M7545" s="124"/>
      <c r="N7545" s="124"/>
      <c r="O7545" s="124"/>
    </row>
    <row r="7546">
      <c r="K7546" s="124"/>
      <c r="L7546" s="124"/>
      <c r="M7546" s="124"/>
      <c r="N7546" s="124"/>
      <c r="O7546" s="124"/>
    </row>
    <row r="7547">
      <c r="K7547" s="124"/>
      <c r="L7547" s="124"/>
      <c r="M7547" s="124"/>
      <c r="N7547" s="124"/>
      <c r="O7547" s="124"/>
    </row>
    <row r="7548">
      <c r="K7548" s="124"/>
      <c r="L7548" s="124"/>
      <c r="M7548" s="124"/>
      <c r="N7548" s="124"/>
      <c r="O7548" s="124"/>
    </row>
    <row r="7549">
      <c r="K7549" s="124"/>
      <c r="L7549" s="124"/>
      <c r="M7549" s="124"/>
      <c r="N7549" s="124"/>
      <c r="O7549" s="124"/>
    </row>
    <row r="7550">
      <c r="K7550" s="124"/>
      <c r="L7550" s="124"/>
      <c r="M7550" s="124"/>
      <c r="N7550" s="124"/>
      <c r="O7550" s="124"/>
    </row>
    <row r="7551">
      <c r="K7551" s="124"/>
      <c r="L7551" s="124"/>
      <c r="M7551" s="124"/>
      <c r="N7551" s="124"/>
      <c r="O7551" s="124"/>
    </row>
    <row r="7552">
      <c r="K7552" s="124"/>
      <c r="L7552" s="124"/>
      <c r="M7552" s="124"/>
      <c r="N7552" s="124"/>
      <c r="O7552" s="124"/>
    </row>
    <row r="7553">
      <c r="K7553" s="124"/>
      <c r="L7553" s="124"/>
      <c r="M7553" s="124"/>
      <c r="N7553" s="124"/>
      <c r="O7553" s="124"/>
    </row>
    <row r="7554">
      <c r="K7554" s="124"/>
      <c r="L7554" s="124"/>
      <c r="M7554" s="124"/>
      <c r="N7554" s="124"/>
      <c r="O7554" s="124"/>
    </row>
    <row r="7555">
      <c r="K7555" s="124"/>
      <c r="L7555" s="124"/>
      <c r="M7555" s="124"/>
      <c r="N7555" s="124"/>
      <c r="O7555" s="124"/>
    </row>
    <row r="7556">
      <c r="K7556" s="124"/>
      <c r="L7556" s="124"/>
      <c r="M7556" s="124"/>
      <c r="N7556" s="124"/>
      <c r="O7556" s="124"/>
    </row>
    <row r="7557">
      <c r="K7557" s="124"/>
      <c r="L7557" s="124"/>
      <c r="M7557" s="124"/>
      <c r="N7557" s="124"/>
      <c r="O7557" s="124"/>
    </row>
    <row r="7558">
      <c r="K7558" s="124"/>
      <c r="L7558" s="124"/>
      <c r="M7558" s="124"/>
      <c r="N7558" s="124"/>
      <c r="O7558" s="124"/>
    </row>
    <row r="7559">
      <c r="K7559" s="124"/>
      <c r="L7559" s="124"/>
      <c r="M7559" s="124"/>
      <c r="N7559" s="124"/>
      <c r="O7559" s="124"/>
    </row>
    <row r="7560">
      <c r="K7560" s="124"/>
      <c r="L7560" s="124"/>
      <c r="M7560" s="124"/>
      <c r="N7560" s="124"/>
      <c r="O7560" s="124"/>
    </row>
    <row r="7561">
      <c r="K7561" s="124"/>
      <c r="L7561" s="124"/>
      <c r="M7561" s="124"/>
      <c r="N7561" s="124"/>
      <c r="O7561" s="124"/>
    </row>
    <row r="7562">
      <c r="K7562" s="124"/>
      <c r="L7562" s="124"/>
      <c r="M7562" s="124"/>
      <c r="N7562" s="124"/>
      <c r="O7562" s="124"/>
    </row>
    <row r="7563">
      <c r="K7563" s="124"/>
      <c r="L7563" s="124"/>
      <c r="M7563" s="124"/>
      <c r="N7563" s="124"/>
      <c r="O7563" s="124"/>
    </row>
    <row r="7564">
      <c r="K7564" s="124"/>
      <c r="L7564" s="124"/>
      <c r="M7564" s="124"/>
      <c r="N7564" s="124"/>
      <c r="O7564" s="124"/>
    </row>
    <row r="7565">
      <c r="K7565" s="124"/>
      <c r="L7565" s="124"/>
      <c r="M7565" s="124"/>
      <c r="N7565" s="124"/>
      <c r="O7565" s="124"/>
    </row>
    <row r="7566">
      <c r="K7566" s="124"/>
      <c r="L7566" s="124"/>
      <c r="M7566" s="124"/>
      <c r="N7566" s="124"/>
      <c r="O7566" s="124"/>
    </row>
    <row r="7567">
      <c r="K7567" s="124"/>
      <c r="L7567" s="124"/>
      <c r="M7567" s="124"/>
      <c r="N7567" s="124"/>
      <c r="O7567" s="124"/>
    </row>
    <row r="7568">
      <c r="K7568" s="124"/>
      <c r="L7568" s="124"/>
      <c r="M7568" s="124"/>
      <c r="N7568" s="124"/>
      <c r="O7568" s="124"/>
    </row>
    <row r="7569">
      <c r="K7569" s="124"/>
      <c r="L7569" s="124"/>
      <c r="M7569" s="124"/>
      <c r="N7569" s="124"/>
      <c r="O7569" s="124"/>
    </row>
    <row r="7570">
      <c r="K7570" s="124"/>
      <c r="L7570" s="124"/>
      <c r="M7570" s="124"/>
      <c r="N7570" s="124"/>
      <c r="O7570" s="124"/>
    </row>
    <row r="7571">
      <c r="K7571" s="124"/>
      <c r="L7571" s="124"/>
      <c r="M7571" s="124"/>
      <c r="N7571" s="124"/>
      <c r="O7571" s="124"/>
    </row>
    <row r="7572">
      <c r="K7572" s="124"/>
      <c r="L7572" s="124"/>
      <c r="M7572" s="124"/>
      <c r="N7572" s="124"/>
      <c r="O7572" s="124"/>
    </row>
    <row r="7573">
      <c r="K7573" s="124"/>
      <c r="L7573" s="124"/>
      <c r="M7573" s="124"/>
      <c r="N7573" s="124"/>
      <c r="O7573" s="124"/>
    </row>
    <row r="7574">
      <c r="K7574" s="124"/>
      <c r="L7574" s="124"/>
      <c r="M7574" s="124"/>
      <c r="N7574" s="124"/>
      <c r="O7574" s="124"/>
    </row>
    <row r="7575">
      <c r="K7575" s="124"/>
      <c r="L7575" s="124"/>
      <c r="M7575" s="124"/>
      <c r="N7575" s="124"/>
      <c r="O7575" s="124"/>
    </row>
    <row r="7576">
      <c r="K7576" s="124"/>
      <c r="L7576" s="124"/>
      <c r="M7576" s="124"/>
      <c r="N7576" s="124"/>
      <c r="O7576" s="124"/>
    </row>
    <row r="7577">
      <c r="K7577" s="124"/>
      <c r="L7577" s="124"/>
      <c r="M7577" s="124"/>
      <c r="N7577" s="124"/>
      <c r="O7577" s="124"/>
    </row>
    <row r="7578">
      <c r="K7578" s="124"/>
      <c r="L7578" s="124"/>
      <c r="M7578" s="124"/>
      <c r="N7578" s="124"/>
      <c r="O7578" s="124"/>
    </row>
    <row r="7579">
      <c r="K7579" s="124"/>
      <c r="L7579" s="124"/>
      <c r="M7579" s="124"/>
      <c r="N7579" s="124"/>
      <c r="O7579" s="124"/>
    </row>
    <row r="7580">
      <c r="K7580" s="124"/>
      <c r="L7580" s="124"/>
      <c r="M7580" s="124"/>
      <c r="N7580" s="124"/>
      <c r="O7580" s="124"/>
    </row>
    <row r="7581">
      <c r="K7581" s="124"/>
      <c r="L7581" s="124"/>
      <c r="M7581" s="124"/>
      <c r="N7581" s="124"/>
      <c r="O7581" s="124"/>
    </row>
    <row r="7582">
      <c r="K7582" s="124"/>
      <c r="L7582" s="124"/>
      <c r="M7582" s="124"/>
      <c r="N7582" s="124"/>
      <c r="O7582" s="124"/>
    </row>
    <row r="7583">
      <c r="K7583" s="124"/>
      <c r="L7583" s="124"/>
      <c r="M7583" s="124"/>
      <c r="N7583" s="124"/>
      <c r="O7583" s="124"/>
    </row>
    <row r="7584">
      <c r="K7584" s="124"/>
      <c r="L7584" s="124"/>
      <c r="M7584" s="124"/>
      <c r="N7584" s="124"/>
      <c r="O7584" s="124"/>
    </row>
    <row r="7585">
      <c r="K7585" s="124"/>
      <c r="L7585" s="124"/>
      <c r="M7585" s="124"/>
      <c r="N7585" s="124"/>
      <c r="O7585" s="124"/>
    </row>
    <row r="7586">
      <c r="K7586" s="124"/>
      <c r="L7586" s="124"/>
      <c r="M7586" s="124"/>
      <c r="N7586" s="124"/>
      <c r="O7586" s="124"/>
    </row>
    <row r="7587">
      <c r="K7587" s="124"/>
      <c r="L7587" s="124"/>
      <c r="M7587" s="124"/>
      <c r="N7587" s="124"/>
      <c r="O7587" s="124"/>
    </row>
    <row r="7588">
      <c r="K7588" s="124"/>
      <c r="L7588" s="124"/>
      <c r="M7588" s="124"/>
      <c r="N7588" s="124"/>
      <c r="O7588" s="124"/>
    </row>
    <row r="7589">
      <c r="K7589" s="124"/>
      <c r="L7589" s="124"/>
      <c r="M7589" s="124"/>
      <c r="N7589" s="124"/>
      <c r="O7589" s="124"/>
    </row>
    <row r="7590">
      <c r="K7590" s="124"/>
      <c r="L7590" s="124"/>
      <c r="M7590" s="124"/>
      <c r="N7590" s="124"/>
      <c r="O7590" s="124"/>
    </row>
    <row r="7591">
      <c r="K7591" s="124"/>
      <c r="L7591" s="124"/>
      <c r="M7591" s="124"/>
      <c r="N7591" s="124"/>
      <c r="O7591" s="124"/>
    </row>
    <row r="7592">
      <c r="K7592" s="124"/>
      <c r="L7592" s="124"/>
      <c r="M7592" s="124"/>
      <c r="N7592" s="124"/>
      <c r="O7592" s="124"/>
    </row>
    <row r="7593">
      <c r="K7593" s="124"/>
      <c r="L7593" s="124"/>
      <c r="M7593" s="124"/>
      <c r="N7593" s="124"/>
      <c r="O7593" s="124"/>
    </row>
    <row r="7594">
      <c r="K7594" s="124"/>
      <c r="L7594" s="124"/>
      <c r="M7594" s="124"/>
      <c r="N7594" s="124"/>
      <c r="O7594" s="124"/>
    </row>
    <row r="7595">
      <c r="K7595" s="124"/>
      <c r="L7595" s="124"/>
      <c r="M7595" s="124"/>
      <c r="N7595" s="124"/>
      <c r="O7595" s="124"/>
    </row>
    <row r="7596">
      <c r="K7596" s="124"/>
      <c r="L7596" s="124"/>
      <c r="M7596" s="124"/>
      <c r="N7596" s="124"/>
      <c r="O7596" s="124"/>
    </row>
    <row r="7597">
      <c r="K7597" s="124"/>
      <c r="L7597" s="124"/>
      <c r="M7597" s="124"/>
      <c r="N7597" s="124"/>
      <c r="O7597" s="124"/>
    </row>
    <row r="7598">
      <c r="K7598" s="124"/>
      <c r="L7598" s="124"/>
      <c r="M7598" s="124"/>
      <c r="N7598" s="124"/>
      <c r="O7598" s="124"/>
    </row>
    <row r="7599">
      <c r="K7599" s="124"/>
      <c r="L7599" s="124"/>
      <c r="M7599" s="124"/>
      <c r="N7599" s="124"/>
      <c r="O7599" s="124"/>
    </row>
    <row r="7600">
      <c r="K7600" s="124"/>
      <c r="L7600" s="124"/>
      <c r="M7600" s="124"/>
      <c r="N7600" s="124"/>
      <c r="O7600" s="124"/>
    </row>
    <row r="7601">
      <c r="K7601" s="124"/>
      <c r="L7601" s="124"/>
      <c r="M7601" s="124"/>
      <c r="N7601" s="124"/>
      <c r="O7601" s="124"/>
    </row>
    <row r="7602">
      <c r="K7602" s="124"/>
      <c r="L7602" s="124"/>
      <c r="M7602" s="124"/>
      <c r="N7602" s="124"/>
      <c r="O7602" s="124"/>
    </row>
    <row r="7603">
      <c r="K7603" s="124"/>
      <c r="L7603" s="124"/>
      <c r="M7603" s="124"/>
      <c r="N7603" s="124"/>
      <c r="O7603" s="124"/>
    </row>
    <row r="7604">
      <c r="K7604" s="124"/>
      <c r="L7604" s="124"/>
      <c r="M7604" s="124"/>
      <c r="N7604" s="124"/>
      <c r="O7604" s="124"/>
    </row>
    <row r="7605">
      <c r="K7605" s="124"/>
      <c r="L7605" s="124"/>
      <c r="M7605" s="124"/>
      <c r="N7605" s="124"/>
      <c r="O7605" s="124"/>
    </row>
    <row r="7606">
      <c r="K7606" s="124"/>
      <c r="L7606" s="124"/>
      <c r="M7606" s="124"/>
      <c r="N7606" s="124"/>
      <c r="O7606" s="124"/>
    </row>
    <row r="7607">
      <c r="K7607" s="124"/>
      <c r="L7607" s="124"/>
      <c r="M7607" s="124"/>
      <c r="N7607" s="124"/>
      <c r="O7607" s="124"/>
    </row>
    <row r="7608">
      <c r="K7608" s="124"/>
      <c r="L7608" s="124"/>
      <c r="M7608" s="124"/>
      <c r="N7608" s="124"/>
      <c r="O7608" s="124"/>
    </row>
    <row r="7609">
      <c r="K7609" s="124"/>
      <c r="L7609" s="124"/>
      <c r="M7609" s="124"/>
      <c r="N7609" s="124"/>
      <c r="O7609" s="124"/>
    </row>
    <row r="7610">
      <c r="K7610" s="124"/>
      <c r="L7610" s="124"/>
      <c r="M7610" s="124"/>
      <c r="N7610" s="124"/>
      <c r="O7610" s="124"/>
    </row>
    <row r="7611">
      <c r="K7611" s="124"/>
      <c r="L7611" s="124"/>
      <c r="M7611" s="124"/>
      <c r="N7611" s="124"/>
      <c r="O7611" s="124"/>
    </row>
    <row r="7612">
      <c r="K7612" s="124"/>
      <c r="L7612" s="124"/>
      <c r="M7612" s="124"/>
      <c r="N7612" s="124"/>
      <c r="O7612" s="124"/>
    </row>
    <row r="7613">
      <c r="K7613" s="124"/>
      <c r="L7613" s="124"/>
      <c r="M7613" s="124"/>
      <c r="N7613" s="124"/>
      <c r="O7613" s="124"/>
    </row>
    <row r="7614">
      <c r="K7614" s="124"/>
      <c r="L7614" s="124"/>
      <c r="M7614" s="124"/>
      <c r="N7614" s="124"/>
      <c r="O7614" s="124"/>
    </row>
    <row r="7615">
      <c r="K7615" s="124"/>
      <c r="L7615" s="124"/>
      <c r="M7615" s="124"/>
      <c r="N7615" s="124"/>
      <c r="O7615" s="124"/>
    </row>
    <row r="7616">
      <c r="K7616" s="124"/>
      <c r="L7616" s="124"/>
      <c r="M7616" s="124"/>
      <c r="N7616" s="124"/>
      <c r="O7616" s="124"/>
    </row>
    <row r="7617">
      <c r="K7617" s="124"/>
      <c r="L7617" s="124"/>
      <c r="M7617" s="124"/>
      <c r="N7617" s="124"/>
      <c r="O7617" s="124"/>
    </row>
    <row r="7618">
      <c r="K7618" s="124"/>
      <c r="L7618" s="124"/>
      <c r="M7618" s="124"/>
      <c r="N7618" s="124"/>
      <c r="O7618" s="124"/>
    </row>
    <row r="7619">
      <c r="K7619" s="124"/>
      <c r="L7619" s="124"/>
      <c r="M7619" s="124"/>
      <c r="N7619" s="124"/>
      <c r="O7619" s="124"/>
    </row>
    <row r="7620">
      <c r="K7620" s="124"/>
      <c r="L7620" s="124"/>
      <c r="M7620" s="124"/>
      <c r="N7620" s="124"/>
      <c r="O7620" s="124"/>
    </row>
    <row r="7621">
      <c r="K7621" s="124"/>
      <c r="L7621" s="124"/>
      <c r="M7621" s="124"/>
      <c r="N7621" s="124"/>
      <c r="O7621" s="124"/>
    </row>
    <row r="7622">
      <c r="K7622" s="124"/>
      <c r="L7622" s="124"/>
      <c r="M7622" s="124"/>
      <c r="N7622" s="124"/>
      <c r="O7622" s="124"/>
    </row>
    <row r="7623">
      <c r="K7623" s="124"/>
      <c r="L7623" s="124"/>
      <c r="M7623" s="124"/>
      <c r="N7623" s="124"/>
      <c r="O7623" s="124"/>
    </row>
    <row r="7624">
      <c r="K7624" s="124"/>
      <c r="L7624" s="124"/>
      <c r="M7624" s="124"/>
      <c r="N7624" s="124"/>
      <c r="O7624" s="124"/>
    </row>
    <row r="7625">
      <c r="K7625" s="124"/>
      <c r="L7625" s="124"/>
      <c r="M7625" s="124"/>
      <c r="N7625" s="124"/>
      <c r="O7625" s="124"/>
    </row>
    <row r="7626">
      <c r="K7626" s="124"/>
      <c r="L7626" s="124"/>
      <c r="M7626" s="124"/>
      <c r="N7626" s="124"/>
      <c r="O7626" s="124"/>
    </row>
    <row r="7627">
      <c r="K7627" s="124"/>
      <c r="L7627" s="124"/>
      <c r="M7627" s="124"/>
      <c r="N7627" s="124"/>
      <c r="O7627" s="124"/>
    </row>
    <row r="7628">
      <c r="K7628" s="124"/>
      <c r="L7628" s="124"/>
      <c r="M7628" s="124"/>
      <c r="N7628" s="124"/>
      <c r="O7628" s="124"/>
    </row>
    <row r="7629">
      <c r="K7629" s="124"/>
      <c r="L7629" s="124"/>
      <c r="M7629" s="124"/>
      <c r="N7629" s="124"/>
      <c r="O7629" s="124"/>
    </row>
    <row r="7630">
      <c r="K7630" s="124"/>
      <c r="L7630" s="124"/>
      <c r="M7630" s="124"/>
      <c r="N7630" s="124"/>
      <c r="O7630" s="124"/>
    </row>
    <row r="7631">
      <c r="K7631" s="124"/>
      <c r="L7631" s="124"/>
      <c r="M7631" s="124"/>
      <c r="N7631" s="124"/>
      <c r="O7631" s="124"/>
    </row>
    <row r="7632">
      <c r="K7632" s="124"/>
      <c r="L7632" s="124"/>
      <c r="M7632" s="124"/>
      <c r="N7632" s="124"/>
      <c r="O7632" s="124"/>
    </row>
    <row r="7633">
      <c r="K7633" s="124"/>
      <c r="L7633" s="124"/>
      <c r="M7633" s="124"/>
      <c r="N7633" s="124"/>
      <c r="O7633" s="124"/>
    </row>
    <row r="7634">
      <c r="K7634" s="124"/>
      <c r="L7634" s="124"/>
      <c r="M7634" s="124"/>
      <c r="N7634" s="124"/>
      <c r="O7634" s="124"/>
    </row>
    <row r="7635">
      <c r="K7635" s="124"/>
      <c r="L7635" s="124"/>
      <c r="M7635" s="124"/>
      <c r="N7635" s="124"/>
      <c r="O7635" s="124"/>
    </row>
    <row r="7636">
      <c r="K7636" s="124"/>
      <c r="L7636" s="124"/>
      <c r="M7636" s="124"/>
      <c r="N7636" s="124"/>
      <c r="O7636" s="124"/>
    </row>
    <row r="7637">
      <c r="K7637" s="124"/>
      <c r="L7637" s="124"/>
      <c r="M7637" s="124"/>
      <c r="N7637" s="124"/>
      <c r="O7637" s="124"/>
    </row>
    <row r="7638">
      <c r="K7638" s="124"/>
      <c r="L7638" s="124"/>
      <c r="M7638" s="124"/>
      <c r="N7638" s="124"/>
      <c r="O7638" s="124"/>
    </row>
    <row r="7639">
      <c r="K7639" s="124"/>
      <c r="L7639" s="124"/>
      <c r="M7639" s="124"/>
      <c r="N7639" s="124"/>
      <c r="O7639" s="124"/>
    </row>
    <row r="7640">
      <c r="K7640" s="124"/>
      <c r="L7640" s="124"/>
      <c r="M7640" s="124"/>
      <c r="N7640" s="124"/>
      <c r="O7640" s="124"/>
    </row>
    <row r="7641">
      <c r="K7641" s="124"/>
      <c r="L7641" s="124"/>
      <c r="M7641" s="124"/>
      <c r="N7641" s="124"/>
      <c r="O7641" s="124"/>
    </row>
    <row r="7642">
      <c r="K7642" s="124"/>
      <c r="L7642" s="124"/>
      <c r="M7642" s="124"/>
      <c r="N7642" s="124"/>
      <c r="O7642" s="124"/>
    </row>
    <row r="7643">
      <c r="K7643" s="124"/>
      <c r="L7643" s="124"/>
      <c r="M7643" s="124"/>
      <c r="N7643" s="124"/>
      <c r="O7643" s="124"/>
    </row>
    <row r="7644">
      <c r="K7644" s="124"/>
      <c r="L7644" s="124"/>
      <c r="M7644" s="124"/>
      <c r="N7644" s="124"/>
      <c r="O7644" s="124"/>
    </row>
    <row r="7645">
      <c r="K7645" s="124"/>
      <c r="L7645" s="124"/>
      <c r="M7645" s="124"/>
      <c r="N7645" s="124"/>
      <c r="O7645" s="124"/>
    </row>
    <row r="7646">
      <c r="K7646" s="124"/>
      <c r="L7646" s="124"/>
      <c r="M7646" s="124"/>
      <c r="N7646" s="124"/>
      <c r="O7646" s="124"/>
    </row>
    <row r="7647">
      <c r="K7647" s="124"/>
      <c r="L7647" s="124"/>
      <c r="M7647" s="124"/>
      <c r="N7647" s="124"/>
      <c r="O7647" s="124"/>
    </row>
    <row r="7648">
      <c r="K7648" s="124"/>
      <c r="L7648" s="124"/>
      <c r="M7648" s="124"/>
      <c r="N7648" s="124"/>
      <c r="O7648" s="124"/>
    </row>
    <row r="7649">
      <c r="K7649" s="124"/>
      <c r="L7649" s="124"/>
      <c r="M7649" s="124"/>
      <c r="N7649" s="124"/>
      <c r="O7649" s="124"/>
    </row>
    <row r="7650">
      <c r="K7650" s="124"/>
      <c r="L7650" s="124"/>
      <c r="M7650" s="124"/>
      <c r="N7650" s="124"/>
      <c r="O7650" s="124"/>
    </row>
    <row r="7651">
      <c r="K7651" s="124"/>
      <c r="L7651" s="124"/>
      <c r="M7651" s="124"/>
      <c r="N7651" s="124"/>
      <c r="O7651" s="124"/>
    </row>
    <row r="7652">
      <c r="K7652" s="124"/>
      <c r="L7652" s="124"/>
      <c r="M7652" s="124"/>
      <c r="N7652" s="124"/>
      <c r="O7652" s="124"/>
    </row>
    <row r="7653">
      <c r="K7653" s="124"/>
      <c r="L7653" s="124"/>
      <c r="M7653" s="124"/>
      <c r="N7653" s="124"/>
      <c r="O7653" s="124"/>
    </row>
    <row r="7654">
      <c r="K7654" s="124"/>
      <c r="L7654" s="124"/>
      <c r="M7654" s="124"/>
      <c r="N7654" s="124"/>
      <c r="O7654" s="124"/>
    </row>
    <row r="7655">
      <c r="K7655" s="124"/>
      <c r="L7655" s="124"/>
      <c r="M7655" s="124"/>
      <c r="N7655" s="124"/>
      <c r="O7655" s="124"/>
    </row>
    <row r="7656">
      <c r="K7656" s="124"/>
      <c r="L7656" s="124"/>
      <c r="M7656" s="124"/>
      <c r="N7656" s="124"/>
      <c r="O7656" s="124"/>
    </row>
    <row r="7657">
      <c r="K7657" s="124"/>
      <c r="L7657" s="124"/>
      <c r="M7657" s="124"/>
      <c r="N7657" s="124"/>
      <c r="O7657" s="124"/>
    </row>
    <row r="7658">
      <c r="K7658" s="124"/>
      <c r="L7658" s="124"/>
      <c r="M7658" s="124"/>
      <c r="N7658" s="124"/>
      <c r="O7658" s="124"/>
    </row>
    <row r="7659">
      <c r="K7659" s="124"/>
      <c r="L7659" s="124"/>
      <c r="M7659" s="124"/>
      <c r="N7659" s="124"/>
      <c r="O7659" s="124"/>
    </row>
    <row r="7660">
      <c r="K7660" s="124"/>
      <c r="L7660" s="124"/>
      <c r="M7660" s="124"/>
      <c r="N7660" s="124"/>
      <c r="O7660" s="124"/>
    </row>
    <row r="7661">
      <c r="K7661" s="124"/>
      <c r="L7661" s="124"/>
      <c r="M7661" s="124"/>
      <c r="N7661" s="124"/>
      <c r="O7661" s="124"/>
    </row>
    <row r="7662">
      <c r="K7662" s="124"/>
      <c r="L7662" s="124"/>
      <c r="M7662" s="124"/>
      <c r="N7662" s="124"/>
      <c r="O7662" s="124"/>
    </row>
    <row r="7663">
      <c r="K7663" s="124"/>
      <c r="L7663" s="124"/>
      <c r="M7663" s="124"/>
      <c r="N7663" s="124"/>
      <c r="O7663" s="124"/>
    </row>
    <row r="7664">
      <c r="K7664" s="124"/>
      <c r="L7664" s="124"/>
      <c r="M7664" s="124"/>
      <c r="N7664" s="124"/>
      <c r="O7664" s="124"/>
    </row>
    <row r="7665">
      <c r="K7665" s="124"/>
      <c r="L7665" s="124"/>
      <c r="M7665" s="124"/>
      <c r="N7665" s="124"/>
      <c r="O7665" s="124"/>
    </row>
    <row r="7666">
      <c r="K7666" s="124"/>
      <c r="L7666" s="124"/>
      <c r="M7666" s="124"/>
      <c r="N7666" s="124"/>
      <c r="O7666" s="124"/>
    </row>
    <row r="7667">
      <c r="K7667" s="124"/>
      <c r="L7667" s="124"/>
      <c r="M7667" s="124"/>
      <c r="N7667" s="124"/>
      <c r="O7667" s="124"/>
    </row>
    <row r="7668">
      <c r="K7668" s="124"/>
      <c r="L7668" s="124"/>
      <c r="M7668" s="124"/>
      <c r="N7668" s="124"/>
      <c r="O7668" s="124"/>
    </row>
    <row r="7669">
      <c r="K7669" s="124"/>
      <c r="L7669" s="124"/>
      <c r="M7669" s="124"/>
      <c r="N7669" s="124"/>
      <c r="O7669" s="124"/>
    </row>
    <row r="7670">
      <c r="K7670" s="124"/>
      <c r="L7670" s="124"/>
      <c r="M7670" s="124"/>
      <c r="N7670" s="124"/>
      <c r="O7670" s="124"/>
    </row>
    <row r="7671">
      <c r="K7671" s="124"/>
      <c r="L7671" s="124"/>
      <c r="M7671" s="124"/>
      <c r="N7671" s="124"/>
      <c r="O7671" s="124"/>
    </row>
    <row r="7672">
      <c r="K7672" s="124"/>
      <c r="L7672" s="124"/>
      <c r="M7672" s="124"/>
      <c r="N7672" s="124"/>
      <c r="O7672" s="124"/>
    </row>
    <row r="7673">
      <c r="K7673" s="124"/>
      <c r="L7673" s="124"/>
      <c r="M7673" s="124"/>
      <c r="N7673" s="124"/>
      <c r="O7673" s="124"/>
    </row>
    <row r="7674">
      <c r="K7674" s="124"/>
      <c r="L7674" s="124"/>
      <c r="M7674" s="124"/>
      <c r="N7674" s="124"/>
      <c r="O7674" s="124"/>
    </row>
    <row r="7675">
      <c r="K7675" s="124"/>
      <c r="L7675" s="124"/>
      <c r="M7675" s="124"/>
      <c r="N7675" s="124"/>
      <c r="O7675" s="124"/>
    </row>
    <row r="7676">
      <c r="K7676" s="124"/>
      <c r="L7676" s="124"/>
      <c r="M7676" s="124"/>
      <c r="N7676" s="124"/>
      <c r="O7676" s="124"/>
    </row>
    <row r="7677">
      <c r="K7677" s="124"/>
      <c r="L7677" s="124"/>
      <c r="M7677" s="124"/>
      <c r="N7677" s="124"/>
      <c r="O7677" s="124"/>
    </row>
    <row r="7678">
      <c r="K7678" s="124"/>
      <c r="L7678" s="124"/>
      <c r="M7678" s="124"/>
      <c r="N7678" s="124"/>
      <c r="O7678" s="124"/>
    </row>
    <row r="7679">
      <c r="K7679" s="124"/>
      <c r="L7679" s="124"/>
      <c r="M7679" s="124"/>
      <c r="N7679" s="124"/>
      <c r="O7679" s="124"/>
    </row>
    <row r="7680">
      <c r="K7680" s="124"/>
      <c r="L7680" s="124"/>
      <c r="M7680" s="124"/>
      <c r="N7680" s="124"/>
      <c r="O7680" s="124"/>
    </row>
    <row r="7681">
      <c r="K7681" s="124"/>
      <c r="L7681" s="124"/>
      <c r="M7681" s="124"/>
      <c r="N7681" s="124"/>
      <c r="O7681" s="124"/>
    </row>
    <row r="7682">
      <c r="K7682" s="124"/>
      <c r="L7682" s="124"/>
      <c r="M7682" s="124"/>
      <c r="N7682" s="124"/>
      <c r="O7682" s="124"/>
    </row>
    <row r="7683">
      <c r="K7683" s="124"/>
      <c r="L7683" s="124"/>
      <c r="M7683" s="124"/>
      <c r="N7683" s="124"/>
      <c r="O7683" s="124"/>
    </row>
    <row r="7684">
      <c r="K7684" s="124"/>
      <c r="L7684" s="124"/>
      <c r="M7684" s="124"/>
      <c r="N7684" s="124"/>
      <c r="O7684" s="124"/>
    </row>
    <row r="7685">
      <c r="K7685" s="124"/>
      <c r="L7685" s="124"/>
      <c r="M7685" s="124"/>
      <c r="N7685" s="124"/>
      <c r="O7685" s="124"/>
    </row>
    <row r="7686">
      <c r="K7686" s="124"/>
      <c r="L7686" s="124"/>
      <c r="M7686" s="124"/>
      <c r="N7686" s="124"/>
      <c r="O7686" s="124"/>
    </row>
    <row r="7687">
      <c r="K7687" s="124"/>
      <c r="L7687" s="124"/>
      <c r="M7687" s="124"/>
      <c r="N7687" s="124"/>
      <c r="O7687" s="124"/>
    </row>
    <row r="7688">
      <c r="K7688" s="124"/>
      <c r="L7688" s="124"/>
      <c r="M7688" s="124"/>
      <c r="N7688" s="124"/>
      <c r="O7688" s="124"/>
    </row>
    <row r="7689">
      <c r="K7689" s="124"/>
      <c r="L7689" s="124"/>
      <c r="M7689" s="124"/>
      <c r="N7689" s="124"/>
      <c r="O7689" s="124"/>
    </row>
    <row r="7690">
      <c r="K7690" s="124"/>
      <c r="L7690" s="124"/>
      <c r="M7690" s="124"/>
      <c r="N7690" s="124"/>
      <c r="O7690" s="124"/>
    </row>
    <row r="7691">
      <c r="K7691" s="124"/>
      <c r="L7691" s="124"/>
      <c r="M7691" s="124"/>
      <c r="N7691" s="124"/>
      <c r="O7691" s="124"/>
    </row>
    <row r="7692">
      <c r="K7692" s="124"/>
      <c r="L7692" s="124"/>
      <c r="M7692" s="124"/>
      <c r="N7692" s="124"/>
      <c r="O7692" s="124"/>
    </row>
    <row r="7693">
      <c r="K7693" s="124"/>
      <c r="L7693" s="124"/>
      <c r="M7693" s="124"/>
      <c r="N7693" s="124"/>
      <c r="O7693" s="124"/>
    </row>
    <row r="7694">
      <c r="K7694" s="124"/>
      <c r="L7694" s="124"/>
      <c r="M7694" s="124"/>
      <c r="N7694" s="124"/>
      <c r="O7694" s="124"/>
    </row>
    <row r="7695">
      <c r="K7695" s="124"/>
      <c r="L7695" s="124"/>
      <c r="M7695" s="124"/>
      <c r="N7695" s="124"/>
      <c r="O7695" s="124"/>
    </row>
    <row r="7696">
      <c r="K7696" s="124"/>
      <c r="L7696" s="124"/>
      <c r="M7696" s="124"/>
      <c r="N7696" s="124"/>
      <c r="O7696" s="124"/>
    </row>
    <row r="7697">
      <c r="K7697" s="124"/>
      <c r="L7697" s="124"/>
      <c r="M7697" s="124"/>
      <c r="N7697" s="124"/>
      <c r="O7697" s="124"/>
    </row>
    <row r="7698">
      <c r="K7698" s="124"/>
      <c r="L7698" s="124"/>
      <c r="M7698" s="124"/>
      <c r="N7698" s="124"/>
      <c r="O7698" s="124"/>
    </row>
    <row r="7699">
      <c r="K7699" s="124"/>
      <c r="L7699" s="124"/>
      <c r="M7699" s="124"/>
      <c r="N7699" s="124"/>
      <c r="O7699" s="124"/>
    </row>
    <row r="7700">
      <c r="K7700" s="124"/>
      <c r="L7700" s="124"/>
      <c r="M7700" s="124"/>
      <c r="N7700" s="124"/>
      <c r="O7700" s="124"/>
    </row>
    <row r="7701">
      <c r="K7701" s="124"/>
      <c r="L7701" s="124"/>
      <c r="M7701" s="124"/>
      <c r="N7701" s="124"/>
      <c r="O7701" s="124"/>
    </row>
    <row r="7702">
      <c r="K7702" s="124"/>
      <c r="L7702" s="124"/>
      <c r="M7702" s="124"/>
      <c r="N7702" s="124"/>
      <c r="O7702" s="124"/>
    </row>
    <row r="7703">
      <c r="K7703" s="124"/>
      <c r="L7703" s="124"/>
      <c r="M7703" s="124"/>
      <c r="N7703" s="124"/>
      <c r="O7703" s="124"/>
    </row>
    <row r="7704">
      <c r="K7704" s="124"/>
      <c r="L7704" s="124"/>
      <c r="M7704" s="124"/>
      <c r="N7704" s="124"/>
      <c r="O7704" s="124"/>
    </row>
    <row r="7705">
      <c r="K7705" s="124"/>
      <c r="L7705" s="124"/>
      <c r="M7705" s="124"/>
      <c r="N7705" s="124"/>
      <c r="O7705" s="124"/>
    </row>
    <row r="7706">
      <c r="K7706" s="124"/>
      <c r="L7706" s="124"/>
      <c r="M7706" s="124"/>
      <c r="N7706" s="124"/>
      <c r="O7706" s="124"/>
    </row>
    <row r="7707">
      <c r="K7707" s="124"/>
      <c r="L7707" s="124"/>
      <c r="M7707" s="124"/>
      <c r="N7707" s="124"/>
      <c r="O7707" s="124"/>
    </row>
    <row r="7708">
      <c r="K7708" s="124"/>
      <c r="L7708" s="124"/>
      <c r="M7708" s="124"/>
      <c r="N7708" s="124"/>
      <c r="O7708" s="124"/>
    </row>
    <row r="7709">
      <c r="K7709" s="124"/>
      <c r="L7709" s="124"/>
      <c r="M7709" s="124"/>
      <c r="N7709" s="124"/>
      <c r="O7709" s="124"/>
    </row>
    <row r="7710">
      <c r="K7710" s="124"/>
      <c r="L7710" s="124"/>
      <c r="M7710" s="124"/>
      <c r="N7710" s="124"/>
      <c r="O7710" s="124"/>
    </row>
    <row r="7711">
      <c r="K7711" s="124"/>
      <c r="L7711" s="124"/>
      <c r="M7711" s="124"/>
      <c r="N7711" s="124"/>
      <c r="O7711" s="124"/>
    </row>
    <row r="7712">
      <c r="K7712" s="124"/>
      <c r="L7712" s="124"/>
      <c r="M7712" s="124"/>
      <c r="N7712" s="124"/>
      <c r="O7712" s="124"/>
    </row>
    <row r="7713">
      <c r="K7713" s="124"/>
      <c r="L7713" s="124"/>
      <c r="M7713" s="124"/>
      <c r="N7713" s="124"/>
      <c r="O7713" s="124"/>
    </row>
    <row r="7714">
      <c r="K7714" s="124"/>
      <c r="L7714" s="124"/>
      <c r="M7714" s="124"/>
      <c r="N7714" s="124"/>
      <c r="O7714" s="124"/>
    </row>
    <row r="7715">
      <c r="K7715" s="124"/>
      <c r="L7715" s="124"/>
      <c r="M7715" s="124"/>
      <c r="N7715" s="124"/>
      <c r="O7715" s="124"/>
    </row>
    <row r="7716">
      <c r="K7716" s="124"/>
      <c r="L7716" s="124"/>
      <c r="M7716" s="124"/>
      <c r="N7716" s="124"/>
      <c r="O7716" s="124"/>
    </row>
    <row r="7717">
      <c r="K7717" s="124"/>
      <c r="L7717" s="124"/>
      <c r="M7717" s="124"/>
      <c r="N7717" s="124"/>
      <c r="O7717" s="124"/>
    </row>
    <row r="7718">
      <c r="K7718" s="124"/>
      <c r="L7718" s="124"/>
      <c r="M7718" s="124"/>
      <c r="N7718" s="124"/>
      <c r="O7718" s="124"/>
    </row>
    <row r="7719">
      <c r="K7719" s="124"/>
      <c r="L7719" s="124"/>
      <c r="M7719" s="124"/>
      <c r="N7719" s="124"/>
      <c r="O7719" s="124"/>
    </row>
    <row r="7720">
      <c r="K7720" s="124"/>
      <c r="L7720" s="124"/>
      <c r="M7720" s="124"/>
      <c r="N7720" s="124"/>
      <c r="O7720" s="124"/>
    </row>
    <row r="7721">
      <c r="K7721" s="124"/>
      <c r="L7721" s="124"/>
      <c r="M7721" s="124"/>
      <c r="N7721" s="124"/>
      <c r="O7721" s="124"/>
    </row>
    <row r="7722">
      <c r="K7722" s="124"/>
      <c r="L7722" s="124"/>
      <c r="M7722" s="124"/>
      <c r="N7722" s="124"/>
      <c r="O7722" s="124"/>
    </row>
    <row r="7723">
      <c r="K7723" s="124"/>
      <c r="L7723" s="124"/>
      <c r="M7723" s="124"/>
      <c r="N7723" s="124"/>
      <c r="O7723" s="124"/>
    </row>
    <row r="7724">
      <c r="K7724" s="124"/>
      <c r="L7724" s="124"/>
      <c r="M7724" s="124"/>
      <c r="N7724" s="124"/>
      <c r="O7724" s="124"/>
    </row>
    <row r="7725">
      <c r="K7725" s="124"/>
      <c r="L7725" s="124"/>
      <c r="M7725" s="124"/>
      <c r="N7725" s="124"/>
      <c r="O7725" s="124"/>
    </row>
    <row r="7726">
      <c r="K7726" s="124"/>
      <c r="L7726" s="124"/>
      <c r="M7726" s="124"/>
      <c r="N7726" s="124"/>
      <c r="O7726" s="124"/>
    </row>
    <row r="7727">
      <c r="K7727" s="124"/>
      <c r="L7727" s="124"/>
      <c r="M7727" s="124"/>
      <c r="N7727" s="124"/>
      <c r="O7727" s="124"/>
    </row>
    <row r="7728">
      <c r="K7728" s="124"/>
      <c r="L7728" s="124"/>
      <c r="M7728" s="124"/>
      <c r="N7728" s="124"/>
      <c r="O7728" s="124"/>
    </row>
    <row r="7729">
      <c r="K7729" s="124"/>
      <c r="L7729" s="124"/>
      <c r="M7729" s="124"/>
      <c r="N7729" s="124"/>
      <c r="O7729" s="124"/>
    </row>
    <row r="7730">
      <c r="K7730" s="124"/>
      <c r="L7730" s="124"/>
      <c r="M7730" s="124"/>
      <c r="N7730" s="124"/>
      <c r="O7730" s="124"/>
    </row>
    <row r="7731">
      <c r="K7731" s="124"/>
      <c r="L7731" s="124"/>
      <c r="M7731" s="124"/>
      <c r="N7731" s="124"/>
      <c r="O7731" s="124"/>
    </row>
    <row r="7732">
      <c r="K7732" s="124"/>
      <c r="L7732" s="124"/>
      <c r="M7732" s="124"/>
      <c r="N7732" s="124"/>
      <c r="O7732" s="124"/>
    </row>
    <row r="7733">
      <c r="K7733" s="124"/>
      <c r="L7733" s="124"/>
      <c r="M7733" s="124"/>
      <c r="N7733" s="124"/>
      <c r="O7733" s="124"/>
    </row>
    <row r="7734">
      <c r="K7734" s="124"/>
      <c r="L7734" s="124"/>
      <c r="M7734" s="124"/>
      <c r="N7734" s="124"/>
      <c r="O7734" s="124"/>
    </row>
    <row r="7735">
      <c r="K7735" s="124"/>
      <c r="L7735" s="124"/>
      <c r="M7735" s="124"/>
      <c r="N7735" s="124"/>
      <c r="O7735" s="124"/>
    </row>
    <row r="7736">
      <c r="K7736" s="124"/>
      <c r="L7736" s="124"/>
      <c r="M7736" s="124"/>
      <c r="N7736" s="124"/>
      <c r="O7736" s="124"/>
    </row>
    <row r="7737">
      <c r="K7737" s="124"/>
      <c r="L7737" s="124"/>
      <c r="M7737" s="124"/>
      <c r="N7737" s="124"/>
      <c r="O7737" s="124"/>
    </row>
    <row r="7738">
      <c r="K7738" s="124"/>
      <c r="L7738" s="124"/>
      <c r="M7738" s="124"/>
      <c r="N7738" s="124"/>
      <c r="O7738" s="124"/>
    </row>
    <row r="7739">
      <c r="K7739" s="124"/>
      <c r="L7739" s="124"/>
      <c r="M7739" s="124"/>
      <c r="N7739" s="124"/>
      <c r="O7739" s="124"/>
    </row>
    <row r="7740">
      <c r="K7740" s="124"/>
      <c r="L7740" s="124"/>
      <c r="M7740" s="124"/>
      <c r="N7740" s="124"/>
      <c r="O7740" s="124"/>
    </row>
    <row r="7741">
      <c r="K7741" s="124"/>
      <c r="L7741" s="124"/>
      <c r="M7741" s="124"/>
      <c r="N7741" s="124"/>
      <c r="O7741" s="124"/>
    </row>
    <row r="7742">
      <c r="K7742" s="124"/>
      <c r="L7742" s="124"/>
      <c r="M7742" s="124"/>
      <c r="N7742" s="124"/>
      <c r="O7742" s="124"/>
    </row>
    <row r="7743">
      <c r="K7743" s="124"/>
      <c r="L7743" s="124"/>
      <c r="M7743" s="124"/>
      <c r="N7743" s="124"/>
      <c r="O7743" s="124"/>
    </row>
    <row r="7744">
      <c r="K7744" s="124"/>
      <c r="L7744" s="124"/>
      <c r="M7744" s="124"/>
      <c r="N7744" s="124"/>
      <c r="O7744" s="124"/>
    </row>
    <row r="7745">
      <c r="K7745" s="124"/>
      <c r="L7745" s="124"/>
      <c r="M7745" s="124"/>
      <c r="N7745" s="124"/>
      <c r="O7745" s="124"/>
    </row>
    <row r="7746">
      <c r="K7746" s="124"/>
      <c r="L7746" s="124"/>
      <c r="M7746" s="124"/>
      <c r="N7746" s="124"/>
      <c r="O7746" s="124"/>
    </row>
    <row r="7747">
      <c r="K7747" s="124"/>
      <c r="L7747" s="124"/>
      <c r="M7747" s="124"/>
      <c r="N7747" s="124"/>
      <c r="O7747" s="124"/>
    </row>
    <row r="7748">
      <c r="K7748" s="124"/>
      <c r="L7748" s="124"/>
      <c r="M7748" s="124"/>
      <c r="N7748" s="124"/>
      <c r="O7748" s="124"/>
    </row>
    <row r="7749">
      <c r="K7749" s="124"/>
      <c r="L7749" s="124"/>
      <c r="M7749" s="124"/>
      <c r="N7749" s="124"/>
      <c r="O7749" s="124"/>
    </row>
    <row r="7750">
      <c r="K7750" s="124"/>
      <c r="L7750" s="124"/>
      <c r="M7750" s="124"/>
      <c r="N7750" s="124"/>
      <c r="O7750" s="124"/>
    </row>
    <row r="7751">
      <c r="K7751" s="124"/>
      <c r="L7751" s="124"/>
      <c r="M7751" s="124"/>
      <c r="N7751" s="124"/>
      <c r="O7751" s="124"/>
    </row>
    <row r="7752">
      <c r="K7752" s="124"/>
      <c r="L7752" s="124"/>
      <c r="M7752" s="124"/>
      <c r="N7752" s="124"/>
      <c r="O7752" s="124"/>
    </row>
    <row r="7753">
      <c r="K7753" s="124"/>
      <c r="L7753" s="124"/>
      <c r="M7753" s="124"/>
      <c r="N7753" s="124"/>
      <c r="O7753" s="124"/>
    </row>
    <row r="7754">
      <c r="K7754" s="124"/>
      <c r="L7754" s="124"/>
      <c r="M7754" s="124"/>
      <c r="N7754" s="124"/>
      <c r="O7754" s="124"/>
    </row>
    <row r="7755">
      <c r="K7755" s="124"/>
      <c r="L7755" s="124"/>
      <c r="M7755" s="124"/>
      <c r="N7755" s="124"/>
      <c r="O7755" s="124"/>
    </row>
    <row r="7756">
      <c r="K7756" s="124"/>
      <c r="L7756" s="124"/>
      <c r="M7756" s="124"/>
      <c r="N7756" s="124"/>
      <c r="O7756" s="124"/>
    </row>
    <row r="7757">
      <c r="K7757" s="124"/>
      <c r="L7757" s="124"/>
      <c r="M7757" s="124"/>
      <c r="N7757" s="124"/>
      <c r="O7757" s="124"/>
    </row>
    <row r="7758">
      <c r="K7758" s="124"/>
      <c r="L7758" s="124"/>
      <c r="M7758" s="124"/>
      <c r="N7758" s="124"/>
      <c r="O7758" s="124"/>
    </row>
    <row r="7759">
      <c r="K7759" s="124"/>
      <c r="L7759" s="124"/>
      <c r="M7759" s="124"/>
      <c r="N7759" s="124"/>
      <c r="O7759" s="124"/>
    </row>
    <row r="7760">
      <c r="K7760" s="124"/>
      <c r="L7760" s="124"/>
      <c r="M7760" s="124"/>
      <c r="N7760" s="124"/>
      <c r="O7760" s="124"/>
    </row>
    <row r="7761">
      <c r="K7761" s="124"/>
      <c r="L7761" s="124"/>
      <c r="M7761" s="124"/>
      <c r="N7761" s="124"/>
      <c r="O7761" s="124"/>
    </row>
    <row r="7762">
      <c r="K7762" s="124"/>
      <c r="L7762" s="124"/>
      <c r="M7762" s="124"/>
      <c r="N7762" s="124"/>
      <c r="O7762" s="124"/>
    </row>
    <row r="7763">
      <c r="K7763" s="124"/>
      <c r="L7763" s="124"/>
      <c r="M7763" s="124"/>
      <c r="N7763" s="124"/>
      <c r="O7763" s="124"/>
    </row>
    <row r="7764">
      <c r="K7764" s="124"/>
      <c r="L7764" s="124"/>
      <c r="M7764" s="124"/>
      <c r="N7764" s="124"/>
      <c r="O7764" s="124"/>
    </row>
    <row r="7765">
      <c r="K7765" s="124"/>
      <c r="L7765" s="124"/>
      <c r="M7765" s="124"/>
      <c r="N7765" s="124"/>
      <c r="O7765" s="124"/>
    </row>
    <row r="7766">
      <c r="K7766" s="124"/>
      <c r="L7766" s="124"/>
      <c r="M7766" s="124"/>
      <c r="N7766" s="124"/>
      <c r="O7766" s="124"/>
    </row>
    <row r="7767">
      <c r="K7767" s="124"/>
      <c r="L7767" s="124"/>
      <c r="M7767" s="124"/>
      <c r="N7767" s="124"/>
      <c r="O7767" s="124"/>
    </row>
    <row r="7768">
      <c r="K7768" s="124"/>
      <c r="L7768" s="124"/>
      <c r="M7768" s="124"/>
      <c r="N7768" s="124"/>
      <c r="O7768" s="124"/>
    </row>
    <row r="7769">
      <c r="K7769" s="124"/>
      <c r="L7769" s="124"/>
      <c r="M7769" s="124"/>
      <c r="N7769" s="124"/>
      <c r="O7769" s="124"/>
    </row>
    <row r="7770">
      <c r="K7770" s="124"/>
      <c r="L7770" s="124"/>
      <c r="M7770" s="124"/>
      <c r="N7770" s="124"/>
      <c r="O7770" s="124"/>
    </row>
    <row r="7771">
      <c r="K7771" s="124"/>
      <c r="L7771" s="124"/>
      <c r="M7771" s="124"/>
      <c r="N7771" s="124"/>
      <c r="O7771" s="124"/>
    </row>
    <row r="7772">
      <c r="K7772" s="124"/>
      <c r="L7772" s="124"/>
      <c r="M7772" s="124"/>
      <c r="N7772" s="124"/>
      <c r="O7772" s="124"/>
    </row>
    <row r="7773">
      <c r="K7773" s="124"/>
      <c r="L7773" s="124"/>
      <c r="M7773" s="124"/>
      <c r="N7773" s="124"/>
      <c r="O7773" s="124"/>
    </row>
    <row r="7774">
      <c r="K7774" s="124"/>
      <c r="L7774" s="124"/>
      <c r="M7774" s="124"/>
      <c r="N7774" s="124"/>
      <c r="O7774" s="124"/>
    </row>
    <row r="7775">
      <c r="K7775" s="124"/>
      <c r="L7775" s="124"/>
      <c r="M7775" s="124"/>
      <c r="N7775" s="124"/>
      <c r="O7775" s="124"/>
    </row>
    <row r="7776">
      <c r="K7776" s="124"/>
      <c r="L7776" s="124"/>
      <c r="M7776" s="124"/>
      <c r="N7776" s="124"/>
      <c r="O7776" s="124"/>
    </row>
    <row r="7777">
      <c r="K7777" s="124"/>
      <c r="L7777" s="124"/>
      <c r="M7777" s="124"/>
      <c r="N7777" s="124"/>
      <c r="O7777" s="124"/>
    </row>
    <row r="7778">
      <c r="K7778" s="124"/>
      <c r="L7778" s="124"/>
      <c r="M7778" s="124"/>
      <c r="N7778" s="124"/>
      <c r="O7778" s="124"/>
    </row>
    <row r="7779">
      <c r="K7779" s="124"/>
      <c r="L7779" s="124"/>
      <c r="M7779" s="124"/>
      <c r="N7779" s="124"/>
      <c r="O7779" s="124"/>
    </row>
    <row r="7780">
      <c r="K7780" s="124"/>
      <c r="L7780" s="124"/>
      <c r="M7780" s="124"/>
      <c r="N7780" s="124"/>
      <c r="O7780" s="124"/>
    </row>
    <row r="7781">
      <c r="K7781" s="124"/>
      <c r="L7781" s="124"/>
      <c r="M7781" s="124"/>
      <c r="N7781" s="124"/>
      <c r="O7781" s="124"/>
    </row>
    <row r="7782">
      <c r="K7782" s="124"/>
      <c r="L7782" s="124"/>
      <c r="M7782" s="124"/>
      <c r="N7782" s="124"/>
      <c r="O7782" s="124"/>
    </row>
    <row r="7783">
      <c r="K7783" s="124"/>
      <c r="L7783" s="124"/>
      <c r="M7783" s="124"/>
      <c r="N7783" s="124"/>
      <c r="O7783" s="124"/>
    </row>
    <row r="7784">
      <c r="K7784" s="124"/>
      <c r="L7784" s="124"/>
      <c r="M7784" s="124"/>
      <c r="N7784" s="124"/>
      <c r="O7784" s="124"/>
    </row>
    <row r="7785">
      <c r="K7785" s="124"/>
      <c r="L7785" s="124"/>
      <c r="M7785" s="124"/>
      <c r="N7785" s="124"/>
      <c r="O7785" s="124"/>
    </row>
    <row r="7786">
      <c r="K7786" s="124"/>
      <c r="L7786" s="124"/>
      <c r="M7786" s="124"/>
      <c r="N7786" s="124"/>
      <c r="O7786" s="124"/>
    </row>
    <row r="7787">
      <c r="K7787" s="124"/>
      <c r="L7787" s="124"/>
      <c r="M7787" s="124"/>
      <c r="N7787" s="124"/>
      <c r="O7787" s="124"/>
    </row>
    <row r="7788">
      <c r="K7788" s="124"/>
      <c r="L7788" s="124"/>
      <c r="M7788" s="124"/>
      <c r="N7788" s="124"/>
      <c r="O7788" s="124"/>
    </row>
    <row r="7789">
      <c r="K7789" s="124"/>
      <c r="L7789" s="124"/>
      <c r="M7789" s="124"/>
      <c r="N7789" s="124"/>
      <c r="O7789" s="124"/>
    </row>
    <row r="7790">
      <c r="K7790" s="124"/>
      <c r="L7790" s="124"/>
      <c r="M7790" s="124"/>
      <c r="N7790" s="124"/>
      <c r="O7790" s="124"/>
    </row>
    <row r="7791">
      <c r="K7791" s="124"/>
      <c r="L7791" s="124"/>
      <c r="M7791" s="124"/>
      <c r="N7791" s="124"/>
      <c r="O7791" s="124"/>
    </row>
    <row r="7792">
      <c r="K7792" s="124"/>
      <c r="L7792" s="124"/>
      <c r="M7792" s="124"/>
      <c r="N7792" s="124"/>
      <c r="O7792" s="124"/>
    </row>
    <row r="7793">
      <c r="K7793" s="124"/>
      <c r="L7793" s="124"/>
      <c r="M7793" s="124"/>
      <c r="N7793" s="124"/>
      <c r="O7793" s="124"/>
    </row>
    <row r="7794">
      <c r="K7794" s="124"/>
      <c r="L7794" s="124"/>
      <c r="M7794" s="124"/>
      <c r="N7794" s="124"/>
      <c r="O7794" s="124"/>
    </row>
    <row r="7795">
      <c r="K7795" s="124"/>
      <c r="L7795" s="124"/>
      <c r="M7795" s="124"/>
      <c r="N7795" s="124"/>
      <c r="O7795" s="124"/>
    </row>
    <row r="7796">
      <c r="K7796" s="124"/>
      <c r="L7796" s="124"/>
      <c r="M7796" s="124"/>
      <c r="N7796" s="124"/>
      <c r="O7796" s="124"/>
    </row>
    <row r="7797">
      <c r="K7797" s="124"/>
      <c r="L7797" s="124"/>
      <c r="M7797" s="124"/>
      <c r="N7797" s="124"/>
      <c r="O7797" s="124"/>
    </row>
    <row r="7798">
      <c r="K7798" s="124"/>
      <c r="L7798" s="124"/>
      <c r="M7798" s="124"/>
      <c r="N7798" s="124"/>
      <c r="O7798" s="124"/>
    </row>
    <row r="7799">
      <c r="K7799" s="124"/>
      <c r="L7799" s="124"/>
      <c r="M7799" s="124"/>
      <c r="N7799" s="124"/>
      <c r="O7799" s="124"/>
    </row>
    <row r="7800">
      <c r="K7800" s="124"/>
      <c r="L7800" s="124"/>
      <c r="M7800" s="124"/>
      <c r="N7800" s="124"/>
      <c r="O7800" s="124"/>
    </row>
    <row r="7801">
      <c r="K7801" s="124"/>
      <c r="L7801" s="124"/>
      <c r="M7801" s="124"/>
      <c r="N7801" s="124"/>
      <c r="O7801" s="124"/>
    </row>
    <row r="7802">
      <c r="K7802" s="124"/>
      <c r="L7802" s="124"/>
      <c r="M7802" s="124"/>
      <c r="N7802" s="124"/>
      <c r="O7802" s="124"/>
    </row>
    <row r="7803">
      <c r="K7803" s="124"/>
      <c r="L7803" s="124"/>
      <c r="M7803" s="124"/>
      <c r="N7803" s="124"/>
      <c r="O7803" s="124"/>
    </row>
    <row r="7804">
      <c r="K7804" s="124"/>
      <c r="L7804" s="124"/>
      <c r="M7804" s="124"/>
      <c r="N7804" s="124"/>
      <c r="O7804" s="124"/>
    </row>
    <row r="7805">
      <c r="K7805" s="124"/>
      <c r="L7805" s="124"/>
      <c r="M7805" s="124"/>
      <c r="N7805" s="124"/>
      <c r="O7805" s="124"/>
    </row>
    <row r="7806">
      <c r="K7806" s="124"/>
      <c r="L7806" s="124"/>
      <c r="M7806" s="124"/>
      <c r="N7806" s="124"/>
      <c r="O7806" s="124"/>
    </row>
    <row r="7807">
      <c r="K7807" s="124"/>
      <c r="L7807" s="124"/>
      <c r="M7807" s="124"/>
      <c r="N7807" s="124"/>
      <c r="O7807" s="124"/>
    </row>
    <row r="7808">
      <c r="K7808" s="124"/>
      <c r="L7808" s="124"/>
      <c r="M7808" s="124"/>
      <c r="N7808" s="124"/>
      <c r="O7808" s="124"/>
    </row>
    <row r="7809">
      <c r="K7809" s="124"/>
      <c r="L7809" s="124"/>
      <c r="M7809" s="124"/>
      <c r="N7809" s="124"/>
      <c r="O7809" s="124"/>
    </row>
    <row r="7810">
      <c r="K7810" s="124"/>
      <c r="L7810" s="124"/>
      <c r="M7810" s="124"/>
      <c r="N7810" s="124"/>
      <c r="O7810" s="124"/>
    </row>
    <row r="7811">
      <c r="K7811" s="124"/>
      <c r="L7811" s="124"/>
      <c r="M7811" s="124"/>
      <c r="N7811" s="124"/>
      <c r="O7811" s="124"/>
    </row>
    <row r="7812">
      <c r="K7812" s="124"/>
      <c r="L7812" s="124"/>
      <c r="M7812" s="124"/>
      <c r="N7812" s="124"/>
      <c r="O7812" s="124"/>
    </row>
    <row r="7813">
      <c r="K7813" s="124"/>
      <c r="L7813" s="124"/>
      <c r="M7813" s="124"/>
      <c r="N7813" s="124"/>
      <c r="O7813" s="124"/>
    </row>
    <row r="7814">
      <c r="K7814" s="124"/>
      <c r="L7814" s="124"/>
      <c r="M7814" s="124"/>
      <c r="N7814" s="124"/>
      <c r="O7814" s="124"/>
    </row>
    <row r="7815">
      <c r="K7815" s="124"/>
      <c r="L7815" s="124"/>
      <c r="M7815" s="124"/>
      <c r="N7815" s="124"/>
      <c r="O7815" s="124"/>
    </row>
    <row r="7816">
      <c r="K7816" s="124"/>
      <c r="L7816" s="124"/>
      <c r="M7816" s="124"/>
      <c r="N7816" s="124"/>
      <c r="O7816" s="124"/>
    </row>
    <row r="7817">
      <c r="K7817" s="124"/>
      <c r="L7817" s="124"/>
      <c r="M7817" s="124"/>
      <c r="N7817" s="124"/>
      <c r="O7817" s="124"/>
    </row>
    <row r="7818">
      <c r="K7818" s="124"/>
      <c r="L7818" s="124"/>
      <c r="M7818" s="124"/>
      <c r="N7818" s="124"/>
      <c r="O7818" s="124"/>
    </row>
    <row r="7819">
      <c r="K7819" s="124"/>
      <c r="L7819" s="124"/>
      <c r="M7819" s="124"/>
      <c r="N7819" s="124"/>
      <c r="O7819" s="124"/>
    </row>
    <row r="7820">
      <c r="K7820" s="124"/>
      <c r="L7820" s="124"/>
      <c r="M7820" s="124"/>
      <c r="N7820" s="124"/>
      <c r="O7820" s="124"/>
    </row>
    <row r="7821">
      <c r="K7821" s="124"/>
      <c r="L7821" s="124"/>
      <c r="M7821" s="124"/>
      <c r="N7821" s="124"/>
      <c r="O7821" s="124"/>
    </row>
    <row r="7822">
      <c r="K7822" s="124"/>
      <c r="L7822" s="124"/>
      <c r="M7822" s="124"/>
      <c r="N7822" s="124"/>
      <c r="O7822" s="124"/>
    </row>
    <row r="7823">
      <c r="K7823" s="124"/>
      <c r="L7823" s="124"/>
      <c r="M7823" s="124"/>
      <c r="N7823" s="124"/>
      <c r="O7823" s="124"/>
    </row>
    <row r="7824">
      <c r="K7824" s="124"/>
      <c r="L7824" s="124"/>
      <c r="M7824" s="124"/>
      <c r="N7824" s="124"/>
      <c r="O7824" s="124"/>
    </row>
    <row r="7825">
      <c r="K7825" s="124"/>
      <c r="L7825" s="124"/>
      <c r="M7825" s="124"/>
      <c r="N7825" s="124"/>
      <c r="O7825" s="124"/>
    </row>
    <row r="7826">
      <c r="K7826" s="124"/>
      <c r="L7826" s="124"/>
      <c r="M7826" s="124"/>
      <c r="N7826" s="124"/>
      <c r="O7826" s="124"/>
    </row>
    <row r="7827">
      <c r="K7827" s="124"/>
      <c r="L7827" s="124"/>
      <c r="M7827" s="124"/>
      <c r="N7827" s="124"/>
      <c r="O7827" s="124"/>
    </row>
    <row r="7828">
      <c r="K7828" s="124"/>
      <c r="L7828" s="124"/>
      <c r="M7828" s="124"/>
      <c r="N7828" s="124"/>
      <c r="O7828" s="124"/>
    </row>
    <row r="7829">
      <c r="K7829" s="124"/>
      <c r="L7829" s="124"/>
      <c r="M7829" s="124"/>
      <c r="N7829" s="124"/>
      <c r="O7829" s="124"/>
    </row>
    <row r="7830">
      <c r="K7830" s="124"/>
      <c r="L7830" s="124"/>
      <c r="M7830" s="124"/>
      <c r="N7830" s="124"/>
      <c r="O7830" s="124"/>
    </row>
    <row r="7831">
      <c r="K7831" s="124"/>
      <c r="L7831" s="124"/>
      <c r="M7831" s="124"/>
      <c r="N7831" s="124"/>
      <c r="O7831" s="124"/>
    </row>
    <row r="7832">
      <c r="K7832" s="124"/>
      <c r="L7832" s="124"/>
      <c r="M7832" s="124"/>
      <c r="N7832" s="124"/>
      <c r="O7832" s="124"/>
    </row>
    <row r="7833">
      <c r="K7833" s="124"/>
      <c r="L7833" s="124"/>
      <c r="M7833" s="124"/>
      <c r="N7833" s="124"/>
      <c r="O7833" s="124"/>
    </row>
    <row r="7834">
      <c r="K7834" s="124"/>
      <c r="L7834" s="124"/>
      <c r="M7834" s="124"/>
      <c r="N7834" s="124"/>
      <c r="O7834" s="124"/>
    </row>
    <row r="7835">
      <c r="K7835" s="124"/>
      <c r="L7835" s="124"/>
      <c r="M7835" s="124"/>
      <c r="N7835" s="124"/>
      <c r="O7835" s="124"/>
    </row>
    <row r="7836">
      <c r="K7836" s="124"/>
      <c r="L7836" s="124"/>
      <c r="M7836" s="124"/>
      <c r="N7836" s="124"/>
      <c r="O7836" s="124"/>
    </row>
    <row r="7837">
      <c r="K7837" s="124"/>
      <c r="L7837" s="124"/>
      <c r="M7837" s="124"/>
      <c r="N7837" s="124"/>
      <c r="O7837" s="124"/>
    </row>
    <row r="7838">
      <c r="K7838" s="124"/>
      <c r="L7838" s="124"/>
      <c r="M7838" s="124"/>
      <c r="N7838" s="124"/>
      <c r="O7838" s="124"/>
    </row>
    <row r="7839">
      <c r="K7839" s="124"/>
      <c r="L7839" s="124"/>
      <c r="M7839" s="124"/>
      <c r="N7839" s="124"/>
      <c r="O7839" s="124"/>
    </row>
    <row r="7840">
      <c r="K7840" s="124"/>
      <c r="L7840" s="124"/>
      <c r="M7840" s="124"/>
      <c r="N7840" s="124"/>
      <c r="O7840" s="124"/>
    </row>
    <row r="7841">
      <c r="K7841" s="124"/>
      <c r="L7841" s="124"/>
      <c r="M7841" s="124"/>
      <c r="N7841" s="124"/>
      <c r="O7841" s="124"/>
    </row>
    <row r="7842">
      <c r="K7842" s="124"/>
      <c r="L7842" s="124"/>
      <c r="M7842" s="124"/>
      <c r="N7842" s="124"/>
      <c r="O7842" s="124"/>
    </row>
    <row r="7843">
      <c r="K7843" s="124"/>
      <c r="L7843" s="124"/>
      <c r="M7843" s="124"/>
      <c r="N7843" s="124"/>
      <c r="O7843" s="124"/>
    </row>
    <row r="7844">
      <c r="K7844" s="124"/>
      <c r="L7844" s="124"/>
      <c r="M7844" s="124"/>
      <c r="N7844" s="124"/>
      <c r="O7844" s="124"/>
    </row>
    <row r="7845">
      <c r="K7845" s="124"/>
      <c r="L7845" s="124"/>
      <c r="M7845" s="124"/>
      <c r="N7845" s="124"/>
      <c r="O7845" s="124"/>
    </row>
    <row r="7846">
      <c r="K7846" s="124"/>
      <c r="L7846" s="124"/>
      <c r="M7846" s="124"/>
      <c r="N7846" s="124"/>
      <c r="O7846" s="124"/>
    </row>
    <row r="7847">
      <c r="K7847" s="124"/>
      <c r="L7847" s="124"/>
      <c r="M7847" s="124"/>
      <c r="N7847" s="124"/>
      <c r="O7847" s="124"/>
    </row>
    <row r="7848">
      <c r="K7848" s="124"/>
      <c r="L7848" s="124"/>
      <c r="M7848" s="124"/>
      <c r="N7848" s="124"/>
      <c r="O7848" s="124"/>
    </row>
    <row r="7849">
      <c r="K7849" s="124"/>
      <c r="L7849" s="124"/>
      <c r="M7849" s="124"/>
      <c r="N7849" s="124"/>
      <c r="O7849" s="124"/>
    </row>
    <row r="7850">
      <c r="K7850" s="124"/>
      <c r="L7850" s="124"/>
      <c r="M7850" s="124"/>
      <c r="N7850" s="124"/>
      <c r="O7850" s="124"/>
    </row>
    <row r="7851">
      <c r="K7851" s="124"/>
      <c r="L7851" s="124"/>
      <c r="M7851" s="124"/>
      <c r="N7851" s="124"/>
      <c r="O7851" s="124"/>
    </row>
    <row r="7852">
      <c r="K7852" s="124"/>
      <c r="L7852" s="124"/>
      <c r="M7852" s="124"/>
      <c r="N7852" s="124"/>
      <c r="O7852" s="124"/>
    </row>
    <row r="7853">
      <c r="K7853" s="124"/>
      <c r="L7853" s="124"/>
      <c r="M7853" s="124"/>
      <c r="N7853" s="124"/>
      <c r="O7853" s="124"/>
    </row>
    <row r="7854">
      <c r="K7854" s="124"/>
      <c r="L7854" s="124"/>
      <c r="M7854" s="124"/>
      <c r="N7854" s="124"/>
      <c r="O7854" s="124"/>
    </row>
    <row r="7855">
      <c r="K7855" s="124"/>
      <c r="L7855" s="124"/>
      <c r="M7855" s="124"/>
      <c r="N7855" s="124"/>
      <c r="O7855" s="124"/>
    </row>
    <row r="7856">
      <c r="K7856" s="124"/>
      <c r="L7856" s="124"/>
      <c r="M7856" s="124"/>
      <c r="N7856" s="124"/>
      <c r="O7856" s="124"/>
    </row>
    <row r="7857">
      <c r="K7857" s="124"/>
      <c r="L7857" s="124"/>
      <c r="M7857" s="124"/>
      <c r="N7857" s="124"/>
      <c r="O7857" s="124"/>
    </row>
    <row r="7858">
      <c r="K7858" s="124"/>
      <c r="L7858" s="124"/>
      <c r="M7858" s="124"/>
      <c r="N7858" s="124"/>
      <c r="O7858" s="124"/>
    </row>
    <row r="7859">
      <c r="K7859" s="124"/>
      <c r="L7859" s="124"/>
      <c r="M7859" s="124"/>
      <c r="N7859" s="124"/>
      <c r="O7859" s="124"/>
    </row>
    <row r="7860">
      <c r="K7860" s="124"/>
      <c r="L7860" s="124"/>
      <c r="M7860" s="124"/>
      <c r="N7860" s="124"/>
      <c r="O7860" s="124"/>
    </row>
    <row r="7861">
      <c r="K7861" s="124"/>
      <c r="L7861" s="124"/>
      <c r="M7861" s="124"/>
      <c r="N7861" s="124"/>
      <c r="O7861" s="124"/>
    </row>
    <row r="7862">
      <c r="K7862" s="124"/>
      <c r="L7862" s="124"/>
      <c r="M7862" s="124"/>
      <c r="N7862" s="124"/>
      <c r="O7862" s="124"/>
    </row>
    <row r="7863">
      <c r="K7863" s="124"/>
      <c r="L7863" s="124"/>
      <c r="M7863" s="124"/>
      <c r="N7863" s="124"/>
      <c r="O7863" s="124"/>
    </row>
    <row r="7864">
      <c r="K7864" s="124"/>
      <c r="L7864" s="124"/>
      <c r="M7864" s="124"/>
      <c r="N7864" s="124"/>
      <c r="O7864" s="124"/>
    </row>
    <row r="7865">
      <c r="K7865" s="124"/>
      <c r="L7865" s="124"/>
      <c r="M7865" s="124"/>
      <c r="N7865" s="124"/>
      <c r="O7865" s="124"/>
    </row>
    <row r="7866">
      <c r="K7866" s="124"/>
      <c r="L7866" s="124"/>
      <c r="M7866" s="124"/>
      <c r="N7866" s="124"/>
      <c r="O7866" s="124"/>
    </row>
    <row r="7867">
      <c r="K7867" s="124"/>
      <c r="L7867" s="124"/>
      <c r="M7867" s="124"/>
      <c r="N7867" s="124"/>
      <c r="O7867" s="124"/>
    </row>
    <row r="7868">
      <c r="K7868" s="124"/>
      <c r="L7868" s="124"/>
      <c r="M7868" s="124"/>
      <c r="N7868" s="124"/>
      <c r="O7868" s="124"/>
    </row>
    <row r="7869">
      <c r="K7869" s="124"/>
      <c r="L7869" s="124"/>
      <c r="M7869" s="124"/>
      <c r="N7869" s="124"/>
      <c r="O7869" s="124"/>
    </row>
    <row r="7870">
      <c r="K7870" s="124"/>
      <c r="L7870" s="124"/>
      <c r="M7870" s="124"/>
      <c r="N7870" s="124"/>
      <c r="O7870" s="124"/>
    </row>
    <row r="7871">
      <c r="K7871" s="124"/>
      <c r="L7871" s="124"/>
      <c r="M7871" s="124"/>
      <c r="N7871" s="124"/>
      <c r="O7871" s="124"/>
    </row>
    <row r="7872">
      <c r="K7872" s="124"/>
      <c r="L7872" s="124"/>
      <c r="M7872" s="124"/>
      <c r="N7872" s="124"/>
      <c r="O7872" s="124"/>
    </row>
    <row r="7873">
      <c r="K7873" s="124"/>
      <c r="L7873" s="124"/>
      <c r="M7873" s="124"/>
      <c r="N7873" s="124"/>
      <c r="O7873" s="124"/>
    </row>
    <row r="7874">
      <c r="K7874" s="124"/>
      <c r="L7874" s="124"/>
      <c r="M7874" s="124"/>
      <c r="N7874" s="124"/>
      <c r="O7874" s="124"/>
    </row>
    <row r="7875">
      <c r="K7875" s="124"/>
      <c r="L7875" s="124"/>
      <c r="M7875" s="124"/>
      <c r="N7875" s="124"/>
      <c r="O7875" s="124"/>
    </row>
    <row r="7876">
      <c r="K7876" s="124"/>
      <c r="L7876" s="124"/>
      <c r="M7876" s="124"/>
      <c r="N7876" s="124"/>
      <c r="O7876" s="124"/>
    </row>
    <row r="7877">
      <c r="K7877" s="124"/>
      <c r="L7877" s="124"/>
      <c r="M7877" s="124"/>
      <c r="N7877" s="124"/>
      <c r="O7877" s="124"/>
    </row>
    <row r="7878">
      <c r="K7878" s="124"/>
      <c r="L7878" s="124"/>
      <c r="M7878" s="124"/>
      <c r="N7878" s="124"/>
      <c r="O7878" s="124"/>
    </row>
    <row r="7879">
      <c r="K7879" s="124"/>
      <c r="L7879" s="124"/>
      <c r="M7879" s="124"/>
      <c r="N7879" s="124"/>
      <c r="O7879" s="124"/>
    </row>
    <row r="7880">
      <c r="K7880" s="124"/>
      <c r="L7880" s="124"/>
      <c r="M7880" s="124"/>
      <c r="N7880" s="124"/>
      <c r="O7880" s="124"/>
    </row>
    <row r="7881">
      <c r="K7881" s="124"/>
      <c r="L7881" s="124"/>
      <c r="M7881" s="124"/>
      <c r="N7881" s="124"/>
      <c r="O7881" s="124"/>
    </row>
    <row r="7882">
      <c r="K7882" s="124"/>
      <c r="L7882" s="124"/>
      <c r="M7882" s="124"/>
      <c r="N7882" s="124"/>
      <c r="O7882" s="124"/>
    </row>
    <row r="7883">
      <c r="K7883" s="124"/>
      <c r="L7883" s="124"/>
      <c r="M7883" s="124"/>
      <c r="N7883" s="124"/>
      <c r="O7883" s="124"/>
    </row>
    <row r="7884">
      <c r="K7884" s="124"/>
      <c r="L7884" s="124"/>
      <c r="M7884" s="124"/>
      <c r="N7884" s="124"/>
      <c r="O7884" s="124"/>
    </row>
    <row r="7885">
      <c r="K7885" s="124"/>
      <c r="L7885" s="124"/>
      <c r="M7885" s="124"/>
      <c r="N7885" s="124"/>
      <c r="O7885" s="124"/>
    </row>
    <row r="7886">
      <c r="K7886" s="124"/>
      <c r="L7886" s="124"/>
      <c r="M7886" s="124"/>
      <c r="N7886" s="124"/>
      <c r="O7886" s="124"/>
    </row>
    <row r="7887">
      <c r="K7887" s="124"/>
      <c r="L7887" s="124"/>
      <c r="M7887" s="124"/>
      <c r="N7887" s="124"/>
      <c r="O7887" s="124"/>
    </row>
    <row r="7888">
      <c r="K7888" s="124"/>
      <c r="L7888" s="124"/>
      <c r="M7888" s="124"/>
      <c r="N7888" s="124"/>
      <c r="O7888" s="124"/>
    </row>
    <row r="7889">
      <c r="K7889" s="124"/>
      <c r="L7889" s="124"/>
      <c r="M7889" s="124"/>
      <c r="N7889" s="124"/>
      <c r="O7889" s="124"/>
    </row>
    <row r="7890">
      <c r="K7890" s="124"/>
      <c r="L7890" s="124"/>
      <c r="M7890" s="124"/>
      <c r="N7890" s="124"/>
      <c r="O7890" s="124"/>
    </row>
    <row r="7891">
      <c r="K7891" s="124"/>
      <c r="L7891" s="124"/>
      <c r="M7891" s="124"/>
      <c r="N7891" s="124"/>
      <c r="O7891" s="124"/>
    </row>
    <row r="7892">
      <c r="K7892" s="124"/>
      <c r="L7892" s="124"/>
      <c r="M7892" s="124"/>
      <c r="N7892" s="124"/>
      <c r="O7892" s="124"/>
    </row>
    <row r="7893">
      <c r="K7893" s="124"/>
      <c r="L7893" s="124"/>
      <c r="M7893" s="124"/>
      <c r="N7893" s="124"/>
      <c r="O7893" s="124"/>
    </row>
    <row r="7894">
      <c r="K7894" s="124"/>
      <c r="L7894" s="124"/>
      <c r="M7894" s="124"/>
      <c r="N7894" s="124"/>
      <c r="O7894" s="124"/>
    </row>
    <row r="7895">
      <c r="K7895" s="124"/>
      <c r="L7895" s="124"/>
      <c r="M7895" s="124"/>
      <c r="N7895" s="124"/>
      <c r="O7895" s="124"/>
    </row>
    <row r="7896">
      <c r="K7896" s="124"/>
      <c r="L7896" s="124"/>
      <c r="M7896" s="124"/>
      <c r="N7896" s="124"/>
      <c r="O7896" s="124"/>
    </row>
    <row r="7897">
      <c r="K7897" s="124"/>
      <c r="L7897" s="124"/>
      <c r="M7897" s="124"/>
      <c r="N7897" s="124"/>
      <c r="O7897" s="124"/>
    </row>
    <row r="7898">
      <c r="K7898" s="124"/>
      <c r="L7898" s="124"/>
      <c r="M7898" s="124"/>
      <c r="N7898" s="124"/>
      <c r="O7898" s="124"/>
    </row>
    <row r="7899">
      <c r="K7899" s="124"/>
      <c r="L7899" s="124"/>
      <c r="M7899" s="124"/>
      <c r="N7899" s="124"/>
      <c r="O7899" s="124"/>
    </row>
    <row r="7900">
      <c r="K7900" s="124"/>
      <c r="L7900" s="124"/>
      <c r="M7900" s="124"/>
      <c r="N7900" s="124"/>
      <c r="O7900" s="124"/>
    </row>
    <row r="7901">
      <c r="K7901" s="124"/>
      <c r="L7901" s="124"/>
      <c r="M7901" s="124"/>
      <c r="N7901" s="124"/>
      <c r="O7901" s="124"/>
    </row>
    <row r="7902">
      <c r="K7902" s="124"/>
      <c r="L7902" s="124"/>
      <c r="M7902" s="124"/>
      <c r="N7902" s="124"/>
      <c r="O7902" s="124"/>
    </row>
    <row r="7903">
      <c r="K7903" s="124"/>
      <c r="L7903" s="124"/>
      <c r="M7903" s="124"/>
      <c r="N7903" s="124"/>
      <c r="O7903" s="124"/>
    </row>
    <row r="7904">
      <c r="K7904" s="124"/>
      <c r="L7904" s="124"/>
      <c r="M7904" s="124"/>
      <c r="N7904" s="124"/>
      <c r="O7904" s="124"/>
    </row>
    <row r="7905">
      <c r="K7905" s="124"/>
      <c r="L7905" s="124"/>
      <c r="M7905" s="124"/>
      <c r="N7905" s="124"/>
      <c r="O7905" s="124"/>
    </row>
    <row r="7906">
      <c r="K7906" s="124"/>
      <c r="L7906" s="124"/>
      <c r="M7906" s="124"/>
      <c r="N7906" s="124"/>
      <c r="O7906" s="124"/>
    </row>
    <row r="7907">
      <c r="K7907" s="124"/>
      <c r="L7907" s="124"/>
      <c r="M7907" s="124"/>
      <c r="N7907" s="124"/>
      <c r="O7907" s="124"/>
    </row>
    <row r="7908">
      <c r="K7908" s="124"/>
      <c r="L7908" s="124"/>
      <c r="M7908" s="124"/>
      <c r="N7908" s="124"/>
      <c r="O7908" s="124"/>
    </row>
    <row r="7909">
      <c r="K7909" s="124"/>
      <c r="L7909" s="124"/>
      <c r="M7909" s="124"/>
      <c r="N7909" s="124"/>
      <c r="O7909" s="124"/>
    </row>
    <row r="7910">
      <c r="K7910" s="124"/>
      <c r="L7910" s="124"/>
      <c r="M7910" s="124"/>
      <c r="N7910" s="124"/>
      <c r="O7910" s="124"/>
    </row>
    <row r="7911">
      <c r="K7911" s="124"/>
      <c r="L7911" s="124"/>
      <c r="M7911" s="124"/>
      <c r="N7911" s="124"/>
      <c r="O7911" s="124"/>
    </row>
    <row r="7912">
      <c r="K7912" s="124"/>
      <c r="L7912" s="124"/>
      <c r="M7912" s="124"/>
      <c r="N7912" s="124"/>
      <c r="O7912" s="124"/>
    </row>
    <row r="7913">
      <c r="K7913" s="124"/>
      <c r="L7913" s="124"/>
      <c r="M7913" s="124"/>
      <c r="N7913" s="124"/>
      <c r="O7913" s="124"/>
    </row>
    <row r="7914">
      <c r="K7914" s="124"/>
      <c r="L7914" s="124"/>
      <c r="M7914" s="124"/>
      <c r="N7914" s="124"/>
      <c r="O7914" s="124"/>
    </row>
    <row r="7915">
      <c r="K7915" s="124"/>
      <c r="L7915" s="124"/>
      <c r="M7915" s="124"/>
      <c r="N7915" s="124"/>
      <c r="O7915" s="124"/>
    </row>
    <row r="7916">
      <c r="K7916" s="124"/>
      <c r="L7916" s="124"/>
      <c r="M7916" s="124"/>
      <c r="N7916" s="124"/>
      <c r="O7916" s="124"/>
    </row>
    <row r="7917">
      <c r="K7917" s="124"/>
      <c r="L7917" s="124"/>
      <c r="M7917" s="124"/>
      <c r="N7917" s="124"/>
      <c r="O7917" s="124"/>
    </row>
    <row r="7918">
      <c r="K7918" s="124"/>
      <c r="L7918" s="124"/>
      <c r="M7918" s="124"/>
      <c r="N7918" s="124"/>
      <c r="O7918" s="124"/>
    </row>
    <row r="7919">
      <c r="K7919" s="124"/>
      <c r="L7919" s="124"/>
      <c r="M7919" s="124"/>
      <c r="N7919" s="124"/>
      <c r="O7919" s="124"/>
    </row>
    <row r="7920">
      <c r="K7920" s="124"/>
      <c r="L7920" s="124"/>
      <c r="M7920" s="124"/>
      <c r="N7920" s="124"/>
      <c r="O7920" s="124"/>
    </row>
    <row r="7921">
      <c r="K7921" s="124"/>
      <c r="L7921" s="124"/>
      <c r="M7921" s="124"/>
      <c r="N7921" s="124"/>
      <c r="O7921" s="124"/>
    </row>
    <row r="7922">
      <c r="K7922" s="124"/>
      <c r="L7922" s="124"/>
      <c r="M7922" s="124"/>
      <c r="N7922" s="124"/>
      <c r="O7922" s="124"/>
    </row>
    <row r="7923">
      <c r="K7923" s="124"/>
      <c r="L7923" s="124"/>
      <c r="M7923" s="124"/>
      <c r="N7923" s="124"/>
      <c r="O7923" s="124"/>
    </row>
    <row r="7924">
      <c r="K7924" s="124"/>
      <c r="L7924" s="124"/>
      <c r="M7924" s="124"/>
      <c r="N7924" s="124"/>
      <c r="O7924" s="124"/>
    </row>
    <row r="7925">
      <c r="K7925" s="124"/>
      <c r="L7925" s="124"/>
      <c r="M7925" s="124"/>
      <c r="N7925" s="124"/>
      <c r="O7925" s="124"/>
    </row>
    <row r="7926">
      <c r="K7926" s="124"/>
      <c r="L7926" s="124"/>
      <c r="M7926" s="124"/>
      <c r="N7926" s="124"/>
      <c r="O7926" s="124"/>
    </row>
    <row r="7927">
      <c r="K7927" s="124"/>
      <c r="L7927" s="124"/>
      <c r="M7927" s="124"/>
      <c r="N7927" s="124"/>
      <c r="O7927" s="124"/>
    </row>
    <row r="7928">
      <c r="K7928" s="124"/>
      <c r="L7928" s="124"/>
      <c r="M7928" s="124"/>
      <c r="N7928" s="124"/>
      <c r="O7928" s="124"/>
    </row>
    <row r="7929">
      <c r="K7929" s="124"/>
      <c r="L7929" s="124"/>
      <c r="M7929" s="124"/>
      <c r="N7929" s="124"/>
      <c r="O7929" s="124"/>
    </row>
    <row r="7930">
      <c r="K7930" s="124"/>
      <c r="L7930" s="124"/>
      <c r="M7930" s="124"/>
      <c r="N7930" s="124"/>
      <c r="O7930" s="124"/>
    </row>
    <row r="7931">
      <c r="K7931" s="124"/>
      <c r="L7931" s="124"/>
      <c r="M7931" s="124"/>
      <c r="N7931" s="124"/>
      <c r="O7931" s="124"/>
    </row>
    <row r="7932">
      <c r="K7932" s="124"/>
      <c r="L7932" s="124"/>
      <c r="M7932" s="124"/>
      <c r="N7932" s="124"/>
      <c r="O7932" s="124"/>
    </row>
    <row r="7933">
      <c r="K7933" s="124"/>
      <c r="L7933" s="124"/>
      <c r="M7933" s="124"/>
      <c r="N7933" s="124"/>
      <c r="O7933" s="124"/>
    </row>
    <row r="7934">
      <c r="K7934" s="124"/>
      <c r="L7934" s="124"/>
      <c r="M7934" s="124"/>
      <c r="N7934" s="124"/>
      <c r="O7934" s="124"/>
    </row>
    <row r="7935">
      <c r="K7935" s="124"/>
      <c r="L7935" s="124"/>
      <c r="M7935" s="124"/>
      <c r="N7935" s="124"/>
      <c r="O7935" s="124"/>
    </row>
    <row r="7936">
      <c r="K7936" s="124"/>
      <c r="L7936" s="124"/>
      <c r="M7936" s="124"/>
      <c r="N7936" s="124"/>
      <c r="O7936" s="124"/>
    </row>
    <row r="7937">
      <c r="K7937" s="124"/>
      <c r="L7937" s="124"/>
      <c r="M7937" s="124"/>
      <c r="N7937" s="124"/>
      <c r="O7937" s="124"/>
    </row>
    <row r="7938">
      <c r="K7938" s="124"/>
      <c r="L7938" s="124"/>
      <c r="M7938" s="124"/>
      <c r="N7938" s="124"/>
      <c r="O7938" s="124"/>
    </row>
    <row r="7939">
      <c r="K7939" s="124"/>
      <c r="L7939" s="124"/>
      <c r="M7939" s="124"/>
      <c r="N7939" s="124"/>
      <c r="O7939" s="124"/>
    </row>
    <row r="7940">
      <c r="K7940" s="124"/>
      <c r="L7940" s="124"/>
      <c r="M7940" s="124"/>
      <c r="N7940" s="124"/>
      <c r="O7940" s="124"/>
    </row>
    <row r="7941">
      <c r="K7941" s="124"/>
      <c r="L7941" s="124"/>
      <c r="M7941" s="124"/>
      <c r="N7941" s="124"/>
      <c r="O7941" s="124"/>
    </row>
    <row r="7942">
      <c r="K7942" s="124"/>
      <c r="L7942" s="124"/>
      <c r="M7942" s="124"/>
      <c r="N7942" s="124"/>
      <c r="O7942" s="124"/>
    </row>
    <row r="7943">
      <c r="K7943" s="124"/>
      <c r="L7943" s="124"/>
      <c r="M7943" s="124"/>
      <c r="N7943" s="124"/>
      <c r="O7943" s="124"/>
    </row>
    <row r="7944">
      <c r="K7944" s="124"/>
      <c r="L7944" s="124"/>
      <c r="M7944" s="124"/>
      <c r="N7944" s="124"/>
      <c r="O7944" s="124"/>
    </row>
    <row r="7945">
      <c r="K7945" s="124"/>
      <c r="L7945" s="124"/>
      <c r="M7945" s="124"/>
      <c r="N7945" s="124"/>
      <c r="O7945" s="124"/>
    </row>
    <row r="7946">
      <c r="K7946" s="124"/>
      <c r="L7946" s="124"/>
      <c r="M7946" s="124"/>
      <c r="N7946" s="124"/>
      <c r="O7946" s="124"/>
    </row>
    <row r="7947">
      <c r="K7947" s="124"/>
      <c r="L7947" s="124"/>
      <c r="M7947" s="124"/>
      <c r="N7947" s="124"/>
      <c r="O7947" s="124"/>
    </row>
    <row r="7948">
      <c r="K7948" s="124"/>
      <c r="L7948" s="124"/>
      <c r="M7948" s="124"/>
      <c r="N7948" s="124"/>
      <c r="O7948" s="124"/>
    </row>
    <row r="7949">
      <c r="K7949" s="124"/>
      <c r="L7949" s="124"/>
      <c r="M7949" s="124"/>
      <c r="N7949" s="124"/>
      <c r="O7949" s="124"/>
    </row>
    <row r="7950">
      <c r="K7950" s="124"/>
      <c r="L7950" s="124"/>
      <c r="M7950" s="124"/>
      <c r="N7950" s="124"/>
      <c r="O7950" s="124"/>
    </row>
    <row r="7951">
      <c r="K7951" s="124"/>
      <c r="L7951" s="124"/>
      <c r="M7951" s="124"/>
      <c r="N7951" s="124"/>
      <c r="O7951" s="124"/>
    </row>
    <row r="7952">
      <c r="K7952" s="124"/>
      <c r="L7952" s="124"/>
      <c r="M7952" s="124"/>
      <c r="N7952" s="124"/>
      <c r="O7952" s="124"/>
    </row>
    <row r="7953">
      <c r="K7953" s="124"/>
      <c r="L7953" s="124"/>
      <c r="M7953" s="124"/>
      <c r="N7953" s="124"/>
      <c r="O7953" s="124"/>
    </row>
    <row r="7954">
      <c r="K7954" s="124"/>
      <c r="L7954" s="124"/>
      <c r="M7954" s="124"/>
      <c r="N7954" s="124"/>
      <c r="O7954" s="124"/>
    </row>
    <row r="7955">
      <c r="K7955" s="124"/>
      <c r="L7955" s="124"/>
      <c r="M7955" s="124"/>
      <c r="N7955" s="124"/>
      <c r="O7955" s="124"/>
    </row>
    <row r="7956">
      <c r="K7956" s="124"/>
      <c r="L7956" s="124"/>
      <c r="M7956" s="124"/>
      <c r="N7956" s="124"/>
      <c r="O7956" s="124"/>
    </row>
    <row r="7957">
      <c r="K7957" s="124"/>
      <c r="L7957" s="124"/>
      <c r="M7957" s="124"/>
      <c r="N7957" s="124"/>
      <c r="O7957" s="124"/>
    </row>
    <row r="7958">
      <c r="K7958" s="124"/>
      <c r="L7958" s="124"/>
      <c r="M7958" s="124"/>
      <c r="N7958" s="124"/>
      <c r="O7958" s="124"/>
    </row>
    <row r="7959">
      <c r="K7959" s="124"/>
      <c r="L7959" s="124"/>
      <c r="M7959" s="124"/>
      <c r="N7959" s="124"/>
      <c r="O7959" s="124"/>
    </row>
    <row r="7960">
      <c r="K7960" s="124"/>
      <c r="L7960" s="124"/>
      <c r="M7960" s="124"/>
      <c r="N7960" s="124"/>
      <c r="O7960" s="124"/>
    </row>
    <row r="7961">
      <c r="K7961" s="124"/>
      <c r="L7961" s="124"/>
      <c r="M7961" s="124"/>
      <c r="N7961" s="124"/>
      <c r="O7961" s="124"/>
    </row>
    <row r="7962">
      <c r="K7962" s="124"/>
      <c r="L7962" s="124"/>
      <c r="M7962" s="124"/>
      <c r="N7962" s="124"/>
      <c r="O7962" s="124"/>
    </row>
    <row r="7963">
      <c r="K7963" s="124"/>
      <c r="L7963" s="124"/>
      <c r="M7963" s="124"/>
      <c r="N7963" s="124"/>
      <c r="O7963" s="124"/>
    </row>
    <row r="7964">
      <c r="K7964" s="124"/>
      <c r="L7964" s="124"/>
      <c r="M7964" s="124"/>
      <c r="N7964" s="124"/>
      <c r="O7964" s="124"/>
    </row>
    <row r="7965">
      <c r="K7965" s="124"/>
      <c r="L7965" s="124"/>
      <c r="M7965" s="124"/>
      <c r="N7965" s="124"/>
      <c r="O7965" s="124"/>
    </row>
    <row r="7966">
      <c r="K7966" s="124"/>
      <c r="L7966" s="124"/>
      <c r="M7966" s="124"/>
      <c r="N7966" s="124"/>
      <c r="O7966" s="124"/>
    </row>
    <row r="7967">
      <c r="K7967" s="124"/>
      <c r="L7967" s="124"/>
      <c r="M7967" s="124"/>
      <c r="N7967" s="124"/>
      <c r="O7967" s="124"/>
    </row>
    <row r="7968">
      <c r="K7968" s="124"/>
      <c r="L7968" s="124"/>
      <c r="M7968" s="124"/>
      <c r="N7968" s="124"/>
      <c r="O7968" s="124"/>
    </row>
    <row r="7969">
      <c r="K7969" s="124"/>
      <c r="L7969" s="124"/>
      <c r="M7969" s="124"/>
      <c r="N7969" s="124"/>
      <c r="O7969" s="124"/>
    </row>
    <row r="7970">
      <c r="K7970" s="124"/>
      <c r="L7970" s="124"/>
      <c r="M7970" s="124"/>
      <c r="N7970" s="124"/>
      <c r="O7970" s="124"/>
    </row>
    <row r="7971">
      <c r="K7971" s="124"/>
      <c r="L7971" s="124"/>
      <c r="M7971" s="124"/>
      <c r="N7971" s="124"/>
      <c r="O7971" s="124"/>
    </row>
    <row r="7972">
      <c r="K7972" s="124"/>
      <c r="L7972" s="124"/>
      <c r="M7972" s="124"/>
      <c r="N7972" s="124"/>
      <c r="O7972" s="124"/>
    </row>
    <row r="7973">
      <c r="K7973" s="124"/>
      <c r="L7973" s="124"/>
      <c r="M7973" s="124"/>
      <c r="N7973" s="124"/>
      <c r="O7973" s="124"/>
    </row>
    <row r="7974">
      <c r="K7974" s="124"/>
      <c r="L7974" s="124"/>
      <c r="M7974" s="124"/>
      <c r="N7974" s="124"/>
      <c r="O7974" s="124"/>
    </row>
    <row r="7975">
      <c r="K7975" s="124"/>
      <c r="L7975" s="124"/>
      <c r="M7975" s="124"/>
      <c r="N7975" s="124"/>
      <c r="O7975" s="124"/>
    </row>
    <row r="7976">
      <c r="K7976" s="124"/>
      <c r="L7976" s="124"/>
      <c r="M7976" s="124"/>
      <c r="N7976" s="124"/>
      <c r="O7976" s="124"/>
    </row>
    <row r="7977">
      <c r="K7977" s="124"/>
      <c r="L7977" s="124"/>
      <c r="M7977" s="124"/>
      <c r="N7977" s="124"/>
      <c r="O7977" s="124"/>
    </row>
    <row r="7978">
      <c r="K7978" s="124"/>
      <c r="L7978" s="124"/>
      <c r="M7978" s="124"/>
      <c r="N7978" s="124"/>
      <c r="O7978" s="124"/>
    </row>
    <row r="7979">
      <c r="K7979" s="124"/>
      <c r="L7979" s="124"/>
      <c r="M7979" s="124"/>
      <c r="N7979" s="124"/>
      <c r="O7979" s="124"/>
    </row>
    <row r="7980">
      <c r="K7980" s="124"/>
      <c r="L7980" s="124"/>
      <c r="M7980" s="124"/>
      <c r="N7980" s="124"/>
      <c r="O7980" s="124"/>
    </row>
    <row r="7981">
      <c r="K7981" s="124"/>
      <c r="L7981" s="124"/>
      <c r="M7981" s="124"/>
      <c r="N7981" s="124"/>
      <c r="O7981" s="124"/>
    </row>
    <row r="7982">
      <c r="K7982" s="124"/>
      <c r="L7982" s="124"/>
      <c r="M7982" s="124"/>
      <c r="N7982" s="124"/>
      <c r="O7982" s="124"/>
    </row>
    <row r="7983">
      <c r="K7983" s="124"/>
      <c r="L7983" s="124"/>
      <c r="M7983" s="124"/>
      <c r="N7983" s="124"/>
      <c r="O7983" s="124"/>
    </row>
    <row r="7984">
      <c r="K7984" s="124"/>
      <c r="L7984" s="124"/>
      <c r="M7984" s="124"/>
      <c r="N7984" s="124"/>
      <c r="O7984" s="124"/>
    </row>
    <row r="7985">
      <c r="K7985" s="124"/>
      <c r="L7985" s="124"/>
      <c r="M7985" s="124"/>
      <c r="N7985" s="124"/>
      <c r="O7985" s="124"/>
    </row>
    <row r="7986">
      <c r="K7986" s="124"/>
      <c r="L7986" s="124"/>
      <c r="M7986" s="124"/>
      <c r="N7986" s="124"/>
      <c r="O7986" s="124"/>
    </row>
    <row r="7987">
      <c r="K7987" s="124"/>
      <c r="L7987" s="124"/>
      <c r="M7987" s="124"/>
      <c r="N7987" s="124"/>
      <c r="O7987" s="124"/>
    </row>
    <row r="7988">
      <c r="K7988" s="124"/>
      <c r="L7988" s="124"/>
      <c r="M7988" s="124"/>
      <c r="N7988" s="124"/>
      <c r="O7988" s="124"/>
    </row>
    <row r="7989">
      <c r="K7989" s="124"/>
      <c r="L7989" s="124"/>
      <c r="M7989" s="124"/>
      <c r="N7989" s="124"/>
      <c r="O7989" s="124"/>
    </row>
    <row r="7990">
      <c r="K7990" s="124"/>
      <c r="L7990" s="124"/>
      <c r="M7990" s="124"/>
      <c r="N7990" s="124"/>
      <c r="O7990" s="124"/>
    </row>
    <row r="7991">
      <c r="K7991" s="124"/>
      <c r="L7991" s="124"/>
      <c r="M7991" s="124"/>
      <c r="N7991" s="124"/>
      <c r="O7991" s="124"/>
    </row>
    <row r="7992">
      <c r="K7992" s="124"/>
      <c r="L7992" s="124"/>
      <c r="M7992" s="124"/>
      <c r="N7992" s="124"/>
      <c r="O7992" s="124"/>
    </row>
    <row r="7993">
      <c r="K7993" s="124"/>
      <c r="L7993" s="124"/>
      <c r="M7993" s="124"/>
      <c r="N7993" s="124"/>
      <c r="O7993" s="124"/>
    </row>
    <row r="7994">
      <c r="K7994" s="124"/>
      <c r="L7994" s="124"/>
      <c r="M7994" s="124"/>
      <c r="N7994" s="124"/>
      <c r="O7994" s="124"/>
    </row>
    <row r="7995">
      <c r="K7995" s="124"/>
      <c r="L7995" s="124"/>
      <c r="M7995" s="124"/>
      <c r="N7995" s="124"/>
      <c r="O7995" s="124"/>
    </row>
    <row r="7996">
      <c r="K7996" s="124"/>
      <c r="L7996" s="124"/>
      <c r="M7996" s="124"/>
      <c r="N7996" s="124"/>
      <c r="O7996" s="124"/>
    </row>
    <row r="7997">
      <c r="K7997" s="124"/>
      <c r="L7997" s="124"/>
      <c r="M7997" s="124"/>
      <c r="N7997" s="124"/>
      <c r="O7997" s="124"/>
    </row>
    <row r="7998">
      <c r="K7998" s="124"/>
      <c r="L7998" s="124"/>
      <c r="M7998" s="124"/>
      <c r="N7998" s="124"/>
      <c r="O7998" s="124"/>
    </row>
    <row r="7999">
      <c r="K7999" s="124"/>
      <c r="L7999" s="124"/>
      <c r="M7999" s="124"/>
      <c r="N7999" s="124"/>
      <c r="O7999" s="124"/>
    </row>
    <row r="8000">
      <c r="K8000" s="124"/>
      <c r="L8000" s="124"/>
      <c r="M8000" s="124"/>
      <c r="N8000" s="124"/>
      <c r="O8000" s="124"/>
    </row>
    <row r="8001">
      <c r="K8001" s="124"/>
      <c r="L8001" s="124"/>
      <c r="M8001" s="124"/>
      <c r="N8001" s="124"/>
      <c r="O8001" s="124"/>
    </row>
    <row r="8002">
      <c r="K8002" s="124"/>
      <c r="L8002" s="124"/>
      <c r="M8002" s="124"/>
      <c r="N8002" s="124"/>
      <c r="O8002" s="124"/>
    </row>
    <row r="8003">
      <c r="K8003" s="124"/>
      <c r="L8003" s="124"/>
      <c r="M8003" s="124"/>
      <c r="N8003" s="124"/>
      <c r="O8003" s="124"/>
    </row>
    <row r="8004">
      <c r="K8004" s="124"/>
      <c r="L8004" s="124"/>
      <c r="M8004" s="124"/>
      <c r="N8004" s="124"/>
      <c r="O8004" s="124"/>
    </row>
    <row r="8005">
      <c r="K8005" s="124"/>
      <c r="L8005" s="124"/>
      <c r="M8005" s="124"/>
      <c r="N8005" s="124"/>
      <c r="O8005" s="124"/>
    </row>
    <row r="8006">
      <c r="K8006" s="124"/>
      <c r="L8006" s="124"/>
      <c r="M8006" s="124"/>
      <c r="N8006" s="124"/>
      <c r="O8006" s="124"/>
    </row>
    <row r="8007">
      <c r="K8007" s="124"/>
      <c r="L8007" s="124"/>
      <c r="M8007" s="124"/>
      <c r="N8007" s="124"/>
      <c r="O8007" s="124"/>
    </row>
    <row r="8008">
      <c r="K8008" s="124"/>
      <c r="L8008" s="124"/>
      <c r="M8008" s="124"/>
      <c r="N8008" s="124"/>
      <c r="O8008" s="124"/>
    </row>
    <row r="8009">
      <c r="K8009" s="124"/>
      <c r="L8009" s="124"/>
      <c r="M8009" s="124"/>
      <c r="N8009" s="124"/>
      <c r="O8009" s="124"/>
    </row>
    <row r="8010">
      <c r="K8010" s="124"/>
      <c r="L8010" s="124"/>
      <c r="M8010" s="124"/>
      <c r="N8010" s="124"/>
      <c r="O8010" s="124"/>
    </row>
    <row r="8011">
      <c r="K8011" s="124"/>
      <c r="L8011" s="124"/>
      <c r="M8011" s="124"/>
      <c r="N8011" s="124"/>
      <c r="O8011" s="124"/>
    </row>
    <row r="8012">
      <c r="K8012" s="124"/>
      <c r="L8012" s="124"/>
      <c r="M8012" s="124"/>
      <c r="N8012" s="124"/>
      <c r="O8012" s="124"/>
    </row>
    <row r="8013">
      <c r="K8013" s="124"/>
      <c r="L8013" s="124"/>
      <c r="M8013" s="124"/>
      <c r="N8013" s="124"/>
      <c r="O8013" s="124"/>
    </row>
    <row r="8014">
      <c r="K8014" s="124"/>
      <c r="L8014" s="124"/>
      <c r="M8014" s="124"/>
      <c r="N8014" s="124"/>
      <c r="O8014" s="124"/>
    </row>
    <row r="8015">
      <c r="K8015" s="124"/>
      <c r="L8015" s="124"/>
      <c r="M8015" s="124"/>
      <c r="N8015" s="124"/>
      <c r="O8015" s="124"/>
    </row>
    <row r="8016">
      <c r="K8016" s="124"/>
      <c r="L8016" s="124"/>
      <c r="M8016" s="124"/>
      <c r="N8016" s="124"/>
      <c r="O8016" s="124"/>
    </row>
    <row r="8017">
      <c r="K8017" s="124"/>
      <c r="L8017" s="124"/>
      <c r="M8017" s="124"/>
      <c r="N8017" s="124"/>
      <c r="O8017" s="124"/>
    </row>
    <row r="8018">
      <c r="K8018" s="124"/>
      <c r="L8018" s="124"/>
      <c r="M8018" s="124"/>
      <c r="N8018" s="124"/>
      <c r="O8018" s="124"/>
    </row>
    <row r="8019">
      <c r="K8019" s="124"/>
      <c r="L8019" s="124"/>
      <c r="M8019" s="124"/>
      <c r="N8019" s="124"/>
      <c r="O8019" s="124"/>
    </row>
    <row r="8020">
      <c r="K8020" s="124"/>
      <c r="L8020" s="124"/>
      <c r="M8020" s="124"/>
      <c r="N8020" s="124"/>
      <c r="O8020" s="124"/>
    </row>
    <row r="8021">
      <c r="K8021" s="124"/>
      <c r="L8021" s="124"/>
      <c r="M8021" s="124"/>
      <c r="N8021" s="124"/>
      <c r="O8021" s="124"/>
    </row>
    <row r="8022">
      <c r="K8022" s="124"/>
      <c r="L8022" s="124"/>
      <c r="M8022" s="124"/>
      <c r="N8022" s="124"/>
      <c r="O8022" s="124"/>
    </row>
    <row r="8023">
      <c r="K8023" s="124"/>
      <c r="L8023" s="124"/>
      <c r="M8023" s="124"/>
      <c r="N8023" s="124"/>
      <c r="O8023" s="124"/>
    </row>
    <row r="8024">
      <c r="K8024" s="124"/>
      <c r="L8024" s="124"/>
      <c r="M8024" s="124"/>
      <c r="N8024" s="124"/>
      <c r="O8024" s="124"/>
    </row>
    <row r="8025">
      <c r="K8025" s="124"/>
      <c r="L8025" s="124"/>
      <c r="M8025" s="124"/>
      <c r="N8025" s="124"/>
      <c r="O8025" s="124"/>
    </row>
    <row r="8026">
      <c r="K8026" s="124"/>
      <c r="L8026" s="124"/>
      <c r="M8026" s="124"/>
      <c r="N8026" s="124"/>
      <c r="O8026" s="124"/>
    </row>
    <row r="8027">
      <c r="K8027" s="124"/>
      <c r="L8027" s="124"/>
      <c r="M8027" s="124"/>
      <c r="N8027" s="124"/>
      <c r="O8027" s="124"/>
    </row>
    <row r="8028">
      <c r="K8028" s="124"/>
      <c r="L8028" s="124"/>
      <c r="M8028" s="124"/>
      <c r="N8028" s="124"/>
      <c r="O8028" s="124"/>
    </row>
    <row r="8029">
      <c r="K8029" s="124"/>
      <c r="L8029" s="124"/>
      <c r="M8029" s="124"/>
      <c r="N8029" s="124"/>
      <c r="O8029" s="124"/>
    </row>
    <row r="8030">
      <c r="K8030" s="124"/>
      <c r="L8030" s="124"/>
      <c r="M8030" s="124"/>
      <c r="N8030" s="124"/>
      <c r="O8030" s="124"/>
    </row>
    <row r="8031">
      <c r="K8031" s="124"/>
      <c r="L8031" s="124"/>
      <c r="M8031" s="124"/>
      <c r="N8031" s="124"/>
      <c r="O8031" s="124"/>
    </row>
    <row r="8032">
      <c r="K8032" s="124"/>
      <c r="L8032" s="124"/>
      <c r="M8032" s="124"/>
      <c r="N8032" s="124"/>
      <c r="O8032" s="124"/>
    </row>
    <row r="8033">
      <c r="K8033" s="124"/>
      <c r="L8033" s="124"/>
      <c r="M8033" s="124"/>
      <c r="N8033" s="124"/>
      <c r="O8033" s="124"/>
    </row>
    <row r="8034">
      <c r="K8034" s="124"/>
      <c r="L8034" s="124"/>
      <c r="M8034" s="124"/>
      <c r="N8034" s="124"/>
      <c r="O8034" s="124"/>
    </row>
    <row r="8035">
      <c r="K8035" s="124"/>
      <c r="L8035" s="124"/>
      <c r="M8035" s="124"/>
      <c r="N8035" s="124"/>
      <c r="O8035" s="124"/>
    </row>
    <row r="8036">
      <c r="K8036" s="124"/>
      <c r="L8036" s="124"/>
      <c r="M8036" s="124"/>
      <c r="N8036" s="124"/>
      <c r="O8036" s="124"/>
    </row>
    <row r="8037">
      <c r="K8037" s="124"/>
      <c r="L8037" s="124"/>
      <c r="M8037" s="124"/>
      <c r="N8037" s="124"/>
      <c r="O8037" s="124"/>
    </row>
    <row r="8038">
      <c r="K8038" s="124"/>
      <c r="L8038" s="124"/>
      <c r="M8038" s="124"/>
      <c r="N8038" s="124"/>
      <c r="O8038" s="124"/>
    </row>
    <row r="8039">
      <c r="K8039" s="124"/>
      <c r="L8039" s="124"/>
      <c r="M8039" s="124"/>
      <c r="N8039" s="124"/>
      <c r="O8039" s="124"/>
    </row>
    <row r="8040">
      <c r="K8040" s="124"/>
      <c r="L8040" s="124"/>
      <c r="M8040" s="124"/>
      <c r="N8040" s="124"/>
      <c r="O8040" s="124"/>
    </row>
    <row r="8041">
      <c r="K8041" s="124"/>
      <c r="L8041" s="124"/>
      <c r="M8041" s="124"/>
      <c r="N8041" s="124"/>
      <c r="O8041" s="124"/>
    </row>
    <row r="8042">
      <c r="K8042" s="124"/>
      <c r="L8042" s="124"/>
      <c r="M8042" s="124"/>
      <c r="N8042" s="124"/>
      <c r="O8042" s="124"/>
    </row>
    <row r="8043">
      <c r="K8043" s="124"/>
      <c r="L8043" s="124"/>
      <c r="M8043" s="124"/>
      <c r="N8043" s="124"/>
      <c r="O8043" s="124"/>
    </row>
    <row r="8044">
      <c r="K8044" s="124"/>
      <c r="L8044" s="124"/>
      <c r="M8044" s="124"/>
      <c r="N8044" s="124"/>
      <c r="O8044" s="124"/>
    </row>
    <row r="8045">
      <c r="K8045" s="124"/>
      <c r="L8045" s="124"/>
      <c r="M8045" s="124"/>
      <c r="N8045" s="124"/>
      <c r="O8045" s="124"/>
    </row>
    <row r="8046">
      <c r="K8046" s="124"/>
      <c r="L8046" s="124"/>
      <c r="M8046" s="124"/>
      <c r="N8046" s="124"/>
      <c r="O8046" s="124"/>
    </row>
    <row r="8047">
      <c r="K8047" s="124"/>
      <c r="L8047" s="124"/>
      <c r="M8047" s="124"/>
      <c r="N8047" s="124"/>
      <c r="O8047" s="124"/>
    </row>
    <row r="8048">
      <c r="K8048" s="124"/>
      <c r="L8048" s="124"/>
      <c r="M8048" s="124"/>
      <c r="N8048" s="124"/>
      <c r="O8048" s="124"/>
    </row>
    <row r="8049">
      <c r="K8049" s="124"/>
      <c r="L8049" s="124"/>
      <c r="M8049" s="124"/>
      <c r="N8049" s="124"/>
      <c r="O8049" s="124"/>
    </row>
    <row r="8050">
      <c r="K8050" s="124"/>
      <c r="L8050" s="124"/>
      <c r="M8050" s="124"/>
      <c r="N8050" s="124"/>
      <c r="O8050" s="124"/>
    </row>
    <row r="8051">
      <c r="K8051" s="124"/>
      <c r="L8051" s="124"/>
      <c r="M8051" s="124"/>
      <c r="N8051" s="124"/>
      <c r="O8051" s="124"/>
    </row>
    <row r="8052">
      <c r="K8052" s="124"/>
      <c r="L8052" s="124"/>
      <c r="M8052" s="124"/>
      <c r="N8052" s="124"/>
      <c r="O8052" s="124"/>
    </row>
    <row r="8053">
      <c r="K8053" s="124"/>
      <c r="L8053" s="124"/>
      <c r="M8053" s="124"/>
      <c r="N8053" s="124"/>
      <c r="O8053" s="124"/>
    </row>
    <row r="8054">
      <c r="K8054" s="124"/>
      <c r="L8054" s="124"/>
      <c r="M8054" s="124"/>
      <c r="N8054" s="124"/>
      <c r="O8054" s="124"/>
    </row>
    <row r="8055">
      <c r="K8055" s="124"/>
      <c r="L8055" s="124"/>
      <c r="M8055" s="124"/>
      <c r="N8055" s="124"/>
      <c r="O8055" s="124"/>
    </row>
    <row r="8056">
      <c r="K8056" s="124"/>
      <c r="L8056" s="124"/>
      <c r="M8056" s="124"/>
      <c r="N8056" s="124"/>
      <c r="O8056" s="124"/>
    </row>
    <row r="8057">
      <c r="K8057" s="124"/>
      <c r="L8057" s="124"/>
      <c r="M8057" s="124"/>
      <c r="N8057" s="124"/>
      <c r="O8057" s="124"/>
    </row>
    <row r="8058">
      <c r="K8058" s="124"/>
      <c r="L8058" s="124"/>
      <c r="M8058" s="124"/>
      <c r="N8058" s="124"/>
      <c r="O8058" s="124"/>
    </row>
    <row r="8059">
      <c r="K8059" s="124"/>
      <c r="L8059" s="124"/>
      <c r="M8059" s="124"/>
      <c r="N8059" s="124"/>
      <c r="O8059" s="124"/>
    </row>
    <row r="8060">
      <c r="K8060" s="124"/>
      <c r="L8060" s="124"/>
      <c r="M8060" s="124"/>
      <c r="N8060" s="124"/>
      <c r="O8060" s="124"/>
    </row>
    <row r="8061">
      <c r="K8061" s="124"/>
      <c r="L8061" s="124"/>
      <c r="M8061" s="124"/>
      <c r="N8061" s="124"/>
      <c r="O8061" s="124"/>
    </row>
    <row r="8062">
      <c r="K8062" s="124"/>
      <c r="L8062" s="124"/>
      <c r="M8062" s="124"/>
      <c r="N8062" s="124"/>
      <c r="O8062" s="124"/>
    </row>
    <row r="8063">
      <c r="K8063" s="124"/>
      <c r="L8063" s="124"/>
      <c r="M8063" s="124"/>
      <c r="N8063" s="124"/>
      <c r="O8063" s="124"/>
    </row>
    <row r="8064">
      <c r="K8064" s="124"/>
      <c r="L8064" s="124"/>
      <c r="M8064" s="124"/>
      <c r="N8064" s="124"/>
      <c r="O8064" s="124"/>
    </row>
    <row r="8065">
      <c r="K8065" s="124"/>
      <c r="L8065" s="124"/>
      <c r="M8065" s="124"/>
      <c r="N8065" s="124"/>
      <c r="O8065" s="124"/>
    </row>
    <row r="8066">
      <c r="K8066" s="124"/>
      <c r="L8066" s="124"/>
      <c r="M8066" s="124"/>
      <c r="N8066" s="124"/>
      <c r="O8066" s="124"/>
    </row>
    <row r="8067">
      <c r="K8067" s="124"/>
      <c r="L8067" s="124"/>
      <c r="M8067" s="124"/>
      <c r="N8067" s="124"/>
      <c r="O8067" s="124"/>
    </row>
    <row r="8068">
      <c r="K8068" s="124"/>
      <c r="L8068" s="124"/>
      <c r="M8068" s="124"/>
      <c r="N8068" s="124"/>
      <c r="O8068" s="124"/>
    </row>
    <row r="8069">
      <c r="K8069" s="124"/>
      <c r="L8069" s="124"/>
      <c r="M8069" s="124"/>
      <c r="N8069" s="124"/>
      <c r="O8069" s="124"/>
    </row>
    <row r="8070">
      <c r="K8070" s="124"/>
      <c r="L8070" s="124"/>
      <c r="M8070" s="124"/>
      <c r="N8070" s="124"/>
      <c r="O8070" s="124"/>
    </row>
    <row r="8071">
      <c r="K8071" s="124"/>
      <c r="L8071" s="124"/>
      <c r="M8071" s="124"/>
      <c r="N8071" s="124"/>
      <c r="O8071" s="124"/>
    </row>
    <row r="8072">
      <c r="K8072" s="124"/>
      <c r="L8072" s="124"/>
      <c r="M8072" s="124"/>
      <c r="N8072" s="124"/>
      <c r="O8072" s="124"/>
    </row>
    <row r="8073">
      <c r="K8073" s="124"/>
      <c r="L8073" s="124"/>
      <c r="M8073" s="124"/>
      <c r="N8073" s="124"/>
      <c r="O8073" s="124"/>
    </row>
    <row r="8074">
      <c r="K8074" s="124"/>
      <c r="L8074" s="124"/>
      <c r="M8074" s="124"/>
      <c r="N8074" s="124"/>
      <c r="O8074" s="124"/>
    </row>
    <row r="8075">
      <c r="K8075" s="124"/>
      <c r="L8075" s="124"/>
      <c r="M8075" s="124"/>
      <c r="N8075" s="124"/>
      <c r="O8075" s="124"/>
    </row>
    <row r="8076">
      <c r="K8076" s="124"/>
      <c r="L8076" s="124"/>
      <c r="M8076" s="124"/>
      <c r="N8076" s="124"/>
      <c r="O8076" s="124"/>
    </row>
    <row r="8077">
      <c r="K8077" s="124"/>
      <c r="L8077" s="124"/>
      <c r="M8077" s="124"/>
      <c r="N8077" s="124"/>
      <c r="O8077" s="124"/>
    </row>
    <row r="8078">
      <c r="K8078" s="124"/>
      <c r="L8078" s="124"/>
      <c r="M8078" s="124"/>
      <c r="N8078" s="124"/>
      <c r="O8078" s="124"/>
    </row>
    <row r="8079">
      <c r="K8079" s="124"/>
      <c r="L8079" s="124"/>
      <c r="M8079" s="124"/>
      <c r="N8079" s="124"/>
      <c r="O8079" s="124"/>
    </row>
    <row r="8080">
      <c r="K8080" s="124"/>
      <c r="L8080" s="124"/>
      <c r="M8080" s="124"/>
      <c r="N8080" s="124"/>
      <c r="O8080" s="124"/>
    </row>
    <row r="8081">
      <c r="K8081" s="124"/>
      <c r="L8081" s="124"/>
      <c r="M8081" s="124"/>
      <c r="N8081" s="124"/>
      <c r="O8081" s="124"/>
    </row>
    <row r="8082">
      <c r="K8082" s="124"/>
      <c r="L8082" s="124"/>
      <c r="M8082" s="124"/>
      <c r="N8082" s="124"/>
      <c r="O8082" s="124"/>
    </row>
    <row r="8083">
      <c r="K8083" s="124"/>
      <c r="L8083" s="124"/>
      <c r="M8083" s="124"/>
      <c r="N8083" s="124"/>
      <c r="O8083" s="124"/>
    </row>
    <row r="8084">
      <c r="K8084" s="124"/>
      <c r="L8084" s="124"/>
      <c r="M8084" s="124"/>
      <c r="N8084" s="124"/>
      <c r="O8084" s="124"/>
    </row>
    <row r="8085">
      <c r="K8085" s="124"/>
      <c r="L8085" s="124"/>
      <c r="M8085" s="124"/>
      <c r="N8085" s="124"/>
      <c r="O8085" s="124"/>
    </row>
    <row r="8086">
      <c r="K8086" s="124"/>
      <c r="L8086" s="124"/>
      <c r="M8086" s="124"/>
      <c r="N8086" s="124"/>
      <c r="O8086" s="124"/>
    </row>
    <row r="8087">
      <c r="K8087" s="124"/>
      <c r="L8087" s="124"/>
      <c r="M8087" s="124"/>
      <c r="N8087" s="124"/>
      <c r="O8087" s="124"/>
    </row>
    <row r="8088">
      <c r="K8088" s="124"/>
      <c r="L8088" s="124"/>
      <c r="M8088" s="124"/>
      <c r="N8088" s="124"/>
      <c r="O8088" s="124"/>
    </row>
    <row r="8089">
      <c r="K8089" s="124"/>
      <c r="L8089" s="124"/>
      <c r="M8089" s="124"/>
      <c r="N8089" s="124"/>
      <c r="O8089" s="124"/>
    </row>
    <row r="8090">
      <c r="K8090" s="124"/>
      <c r="L8090" s="124"/>
      <c r="M8090" s="124"/>
      <c r="N8090" s="124"/>
      <c r="O8090" s="124"/>
    </row>
    <row r="8091">
      <c r="K8091" s="124"/>
      <c r="L8091" s="124"/>
      <c r="M8091" s="124"/>
      <c r="N8091" s="124"/>
      <c r="O8091" s="124"/>
    </row>
    <row r="8092">
      <c r="K8092" s="124"/>
      <c r="L8092" s="124"/>
      <c r="M8092" s="124"/>
      <c r="N8092" s="124"/>
      <c r="O8092" s="124"/>
    </row>
    <row r="8093">
      <c r="K8093" s="124"/>
      <c r="L8093" s="124"/>
      <c r="M8093" s="124"/>
      <c r="N8093" s="124"/>
      <c r="O8093" s="124"/>
    </row>
    <row r="8094">
      <c r="K8094" s="124"/>
      <c r="L8094" s="124"/>
      <c r="M8094" s="124"/>
      <c r="N8094" s="124"/>
      <c r="O8094" s="124"/>
    </row>
    <row r="8095">
      <c r="K8095" s="124"/>
      <c r="L8095" s="124"/>
      <c r="M8095" s="124"/>
      <c r="N8095" s="124"/>
      <c r="O8095" s="124"/>
    </row>
    <row r="8096">
      <c r="K8096" s="124"/>
      <c r="L8096" s="124"/>
      <c r="M8096" s="124"/>
      <c r="N8096" s="124"/>
      <c r="O8096" s="124"/>
    </row>
    <row r="8097">
      <c r="K8097" s="124"/>
      <c r="L8097" s="124"/>
      <c r="M8097" s="124"/>
      <c r="N8097" s="124"/>
      <c r="O8097" s="124"/>
    </row>
    <row r="8098">
      <c r="K8098" s="124"/>
      <c r="L8098" s="124"/>
      <c r="M8098" s="124"/>
      <c r="N8098" s="124"/>
      <c r="O8098" s="124"/>
    </row>
    <row r="8099">
      <c r="K8099" s="124"/>
      <c r="L8099" s="124"/>
      <c r="M8099" s="124"/>
      <c r="N8099" s="124"/>
      <c r="O8099" s="124"/>
    </row>
    <row r="8100">
      <c r="K8100" s="124"/>
      <c r="L8100" s="124"/>
      <c r="M8100" s="124"/>
      <c r="N8100" s="124"/>
      <c r="O8100" s="124"/>
    </row>
    <row r="8101">
      <c r="K8101" s="124"/>
      <c r="L8101" s="124"/>
      <c r="M8101" s="124"/>
      <c r="N8101" s="124"/>
      <c r="O8101" s="124"/>
    </row>
    <row r="8102">
      <c r="K8102" s="124"/>
      <c r="L8102" s="124"/>
      <c r="M8102" s="124"/>
      <c r="N8102" s="124"/>
      <c r="O8102" s="124"/>
    </row>
    <row r="8103">
      <c r="K8103" s="124"/>
      <c r="L8103" s="124"/>
      <c r="M8103" s="124"/>
      <c r="N8103" s="124"/>
      <c r="O8103" s="124"/>
    </row>
    <row r="8104">
      <c r="K8104" s="124"/>
      <c r="L8104" s="124"/>
      <c r="M8104" s="124"/>
      <c r="N8104" s="124"/>
      <c r="O8104" s="124"/>
    </row>
    <row r="8105">
      <c r="K8105" s="124"/>
      <c r="L8105" s="124"/>
      <c r="M8105" s="124"/>
      <c r="N8105" s="124"/>
      <c r="O8105" s="124"/>
    </row>
    <row r="8106">
      <c r="K8106" s="124"/>
      <c r="L8106" s="124"/>
      <c r="M8106" s="124"/>
      <c r="N8106" s="124"/>
      <c r="O8106" s="124"/>
    </row>
    <row r="8107">
      <c r="K8107" s="124"/>
      <c r="L8107" s="124"/>
      <c r="M8107" s="124"/>
      <c r="N8107" s="124"/>
      <c r="O8107" s="124"/>
    </row>
    <row r="8108">
      <c r="K8108" s="124"/>
      <c r="L8108" s="124"/>
      <c r="M8108" s="124"/>
      <c r="N8108" s="124"/>
      <c r="O8108" s="124"/>
    </row>
    <row r="8109">
      <c r="K8109" s="124"/>
      <c r="L8109" s="124"/>
      <c r="M8109" s="124"/>
      <c r="N8109" s="124"/>
      <c r="O8109" s="124"/>
    </row>
    <row r="8110">
      <c r="K8110" s="124"/>
      <c r="L8110" s="124"/>
      <c r="M8110" s="124"/>
      <c r="N8110" s="124"/>
      <c r="O8110" s="124"/>
    </row>
    <row r="8111">
      <c r="K8111" s="124"/>
      <c r="L8111" s="124"/>
      <c r="M8111" s="124"/>
      <c r="N8111" s="124"/>
      <c r="O8111" s="124"/>
    </row>
    <row r="8112">
      <c r="K8112" s="124"/>
      <c r="L8112" s="124"/>
      <c r="M8112" s="124"/>
      <c r="N8112" s="124"/>
      <c r="O8112" s="124"/>
    </row>
    <row r="8113">
      <c r="K8113" s="124"/>
      <c r="L8113" s="124"/>
      <c r="M8113" s="124"/>
      <c r="N8113" s="124"/>
      <c r="O8113" s="124"/>
    </row>
    <row r="8114">
      <c r="K8114" s="124"/>
      <c r="L8114" s="124"/>
      <c r="M8114" s="124"/>
      <c r="N8114" s="124"/>
      <c r="O8114" s="124"/>
    </row>
    <row r="8115">
      <c r="K8115" s="124"/>
      <c r="L8115" s="124"/>
      <c r="M8115" s="124"/>
      <c r="N8115" s="124"/>
      <c r="O8115" s="124"/>
    </row>
    <row r="8116">
      <c r="K8116" s="124"/>
      <c r="L8116" s="124"/>
      <c r="M8116" s="124"/>
      <c r="N8116" s="124"/>
      <c r="O8116" s="124"/>
    </row>
    <row r="8117">
      <c r="K8117" s="124"/>
      <c r="L8117" s="124"/>
      <c r="M8117" s="124"/>
      <c r="N8117" s="124"/>
      <c r="O8117" s="124"/>
    </row>
    <row r="8118">
      <c r="K8118" s="124"/>
      <c r="L8118" s="124"/>
      <c r="M8118" s="124"/>
      <c r="N8118" s="124"/>
      <c r="O8118" s="124"/>
    </row>
    <row r="8119">
      <c r="K8119" s="124"/>
      <c r="L8119" s="124"/>
      <c r="M8119" s="124"/>
      <c r="N8119" s="124"/>
      <c r="O8119" s="124"/>
    </row>
    <row r="8120">
      <c r="K8120" s="124"/>
      <c r="L8120" s="124"/>
      <c r="M8120" s="124"/>
      <c r="N8120" s="124"/>
      <c r="O8120" s="124"/>
    </row>
    <row r="8121">
      <c r="K8121" s="124"/>
      <c r="L8121" s="124"/>
      <c r="M8121" s="124"/>
      <c r="N8121" s="124"/>
      <c r="O8121" s="124"/>
    </row>
    <row r="8122">
      <c r="K8122" s="124"/>
      <c r="L8122" s="124"/>
      <c r="M8122" s="124"/>
      <c r="N8122" s="124"/>
      <c r="O8122" s="124"/>
    </row>
    <row r="8123">
      <c r="K8123" s="124"/>
      <c r="L8123" s="124"/>
      <c r="M8123" s="124"/>
      <c r="N8123" s="124"/>
      <c r="O8123" s="124"/>
    </row>
    <row r="8124">
      <c r="K8124" s="124"/>
      <c r="L8124" s="124"/>
      <c r="M8124" s="124"/>
      <c r="N8124" s="124"/>
      <c r="O8124" s="124"/>
    </row>
    <row r="8125">
      <c r="K8125" s="124"/>
      <c r="L8125" s="124"/>
      <c r="M8125" s="124"/>
      <c r="N8125" s="124"/>
      <c r="O8125" s="124"/>
    </row>
    <row r="8126">
      <c r="K8126" s="124"/>
      <c r="L8126" s="124"/>
      <c r="M8126" s="124"/>
      <c r="N8126" s="124"/>
      <c r="O8126" s="124"/>
    </row>
    <row r="8127">
      <c r="K8127" s="124"/>
      <c r="L8127" s="124"/>
      <c r="M8127" s="124"/>
      <c r="N8127" s="124"/>
      <c r="O8127" s="124"/>
    </row>
    <row r="8128">
      <c r="K8128" s="124"/>
      <c r="L8128" s="124"/>
      <c r="M8128" s="124"/>
      <c r="N8128" s="124"/>
      <c r="O8128" s="124"/>
    </row>
    <row r="8129">
      <c r="K8129" s="124"/>
      <c r="L8129" s="124"/>
      <c r="M8129" s="124"/>
      <c r="N8129" s="124"/>
      <c r="O8129" s="124"/>
    </row>
    <row r="8130">
      <c r="K8130" s="124"/>
      <c r="L8130" s="124"/>
      <c r="M8130" s="124"/>
      <c r="N8130" s="124"/>
      <c r="O8130" s="124"/>
    </row>
    <row r="8131">
      <c r="K8131" s="124"/>
      <c r="L8131" s="124"/>
      <c r="M8131" s="124"/>
      <c r="N8131" s="124"/>
      <c r="O8131" s="124"/>
    </row>
    <row r="8132">
      <c r="K8132" s="124"/>
      <c r="L8132" s="124"/>
      <c r="M8132" s="124"/>
      <c r="N8132" s="124"/>
      <c r="O8132" s="124"/>
    </row>
    <row r="8133">
      <c r="K8133" s="124"/>
      <c r="L8133" s="124"/>
      <c r="M8133" s="124"/>
      <c r="N8133" s="124"/>
      <c r="O8133" s="124"/>
    </row>
    <row r="8134">
      <c r="K8134" s="124"/>
      <c r="L8134" s="124"/>
      <c r="M8134" s="124"/>
      <c r="N8134" s="124"/>
      <c r="O8134" s="124"/>
    </row>
    <row r="8135">
      <c r="K8135" s="124"/>
      <c r="L8135" s="124"/>
      <c r="M8135" s="124"/>
      <c r="N8135" s="124"/>
      <c r="O8135" s="124"/>
    </row>
    <row r="8136">
      <c r="K8136" s="124"/>
      <c r="L8136" s="124"/>
      <c r="M8136" s="124"/>
      <c r="N8136" s="124"/>
      <c r="O8136" s="124"/>
    </row>
    <row r="8137">
      <c r="K8137" s="124"/>
      <c r="L8137" s="124"/>
      <c r="M8137" s="124"/>
      <c r="N8137" s="124"/>
      <c r="O8137" s="124"/>
    </row>
    <row r="8138">
      <c r="K8138" s="124"/>
      <c r="L8138" s="124"/>
      <c r="M8138" s="124"/>
      <c r="N8138" s="124"/>
      <c r="O8138" s="124"/>
    </row>
    <row r="8139">
      <c r="K8139" s="124"/>
      <c r="L8139" s="124"/>
      <c r="M8139" s="124"/>
      <c r="N8139" s="124"/>
      <c r="O8139" s="124"/>
    </row>
    <row r="8140">
      <c r="K8140" s="124"/>
      <c r="L8140" s="124"/>
      <c r="M8140" s="124"/>
      <c r="N8140" s="124"/>
      <c r="O8140" s="124"/>
    </row>
    <row r="8141">
      <c r="K8141" s="124"/>
      <c r="L8141" s="124"/>
      <c r="M8141" s="124"/>
      <c r="N8141" s="124"/>
      <c r="O8141" s="124"/>
    </row>
    <row r="8142">
      <c r="K8142" s="124"/>
      <c r="L8142" s="124"/>
      <c r="M8142" s="124"/>
      <c r="N8142" s="124"/>
      <c r="O8142" s="124"/>
    </row>
    <row r="8143">
      <c r="K8143" s="124"/>
      <c r="L8143" s="124"/>
      <c r="M8143" s="124"/>
      <c r="N8143" s="124"/>
      <c r="O8143" s="124"/>
    </row>
    <row r="8144">
      <c r="K8144" s="124"/>
      <c r="L8144" s="124"/>
      <c r="M8144" s="124"/>
      <c r="N8144" s="124"/>
      <c r="O8144" s="124"/>
    </row>
    <row r="8145">
      <c r="K8145" s="124"/>
      <c r="L8145" s="124"/>
      <c r="M8145" s="124"/>
      <c r="N8145" s="124"/>
      <c r="O8145" s="124"/>
    </row>
    <row r="8146">
      <c r="K8146" s="124"/>
      <c r="L8146" s="124"/>
      <c r="M8146" s="124"/>
      <c r="N8146" s="124"/>
      <c r="O8146" s="124"/>
    </row>
    <row r="8147">
      <c r="K8147" s="124"/>
      <c r="L8147" s="124"/>
      <c r="M8147" s="124"/>
      <c r="N8147" s="124"/>
      <c r="O8147" s="124"/>
    </row>
    <row r="8148">
      <c r="K8148" s="124"/>
      <c r="L8148" s="124"/>
      <c r="M8148" s="124"/>
      <c r="N8148" s="124"/>
      <c r="O8148" s="124"/>
    </row>
    <row r="8149">
      <c r="K8149" s="124"/>
      <c r="L8149" s="124"/>
      <c r="M8149" s="124"/>
      <c r="N8149" s="124"/>
      <c r="O8149" s="124"/>
    </row>
    <row r="8150">
      <c r="K8150" s="124"/>
      <c r="L8150" s="124"/>
      <c r="M8150" s="124"/>
      <c r="N8150" s="124"/>
      <c r="O8150" s="124"/>
    </row>
    <row r="8151">
      <c r="K8151" s="124"/>
      <c r="L8151" s="124"/>
      <c r="M8151" s="124"/>
      <c r="N8151" s="124"/>
      <c r="O8151" s="124"/>
    </row>
    <row r="8152">
      <c r="K8152" s="124"/>
      <c r="L8152" s="124"/>
      <c r="M8152" s="124"/>
      <c r="N8152" s="124"/>
      <c r="O8152" s="124"/>
    </row>
    <row r="8153">
      <c r="K8153" s="124"/>
      <c r="L8153" s="124"/>
      <c r="M8153" s="124"/>
      <c r="N8153" s="124"/>
      <c r="O8153" s="124"/>
    </row>
    <row r="8154">
      <c r="K8154" s="124"/>
      <c r="L8154" s="124"/>
      <c r="M8154" s="124"/>
      <c r="N8154" s="124"/>
      <c r="O8154" s="124"/>
    </row>
    <row r="8155">
      <c r="K8155" s="124"/>
      <c r="L8155" s="124"/>
      <c r="M8155" s="124"/>
      <c r="N8155" s="124"/>
      <c r="O8155" s="124"/>
    </row>
    <row r="8156">
      <c r="K8156" s="124"/>
      <c r="L8156" s="124"/>
      <c r="M8156" s="124"/>
      <c r="N8156" s="124"/>
      <c r="O8156" s="124"/>
    </row>
    <row r="8157">
      <c r="K8157" s="124"/>
      <c r="L8157" s="124"/>
      <c r="M8157" s="124"/>
      <c r="N8157" s="124"/>
      <c r="O8157" s="124"/>
    </row>
    <row r="8158">
      <c r="K8158" s="124"/>
      <c r="L8158" s="124"/>
      <c r="M8158" s="124"/>
      <c r="N8158" s="124"/>
      <c r="O8158" s="124"/>
    </row>
    <row r="8159">
      <c r="K8159" s="124"/>
      <c r="L8159" s="124"/>
      <c r="M8159" s="124"/>
      <c r="N8159" s="124"/>
      <c r="O8159" s="124"/>
    </row>
    <row r="8160">
      <c r="K8160" s="124"/>
      <c r="L8160" s="124"/>
      <c r="M8160" s="124"/>
      <c r="N8160" s="124"/>
      <c r="O8160" s="124"/>
    </row>
    <row r="8161">
      <c r="K8161" s="124"/>
      <c r="L8161" s="124"/>
      <c r="M8161" s="124"/>
      <c r="N8161" s="124"/>
      <c r="O8161" s="124"/>
    </row>
    <row r="8162">
      <c r="K8162" s="124"/>
      <c r="L8162" s="124"/>
      <c r="M8162" s="124"/>
      <c r="N8162" s="124"/>
      <c r="O8162" s="124"/>
    </row>
    <row r="8163">
      <c r="K8163" s="124"/>
      <c r="L8163" s="124"/>
      <c r="M8163" s="124"/>
      <c r="N8163" s="124"/>
      <c r="O8163" s="124"/>
    </row>
    <row r="8164">
      <c r="K8164" s="124"/>
      <c r="L8164" s="124"/>
      <c r="M8164" s="124"/>
      <c r="N8164" s="124"/>
      <c r="O8164" s="124"/>
    </row>
    <row r="8165">
      <c r="K8165" s="124"/>
      <c r="L8165" s="124"/>
      <c r="M8165" s="124"/>
      <c r="N8165" s="124"/>
      <c r="O8165" s="124"/>
    </row>
    <row r="8166">
      <c r="K8166" s="124"/>
      <c r="L8166" s="124"/>
      <c r="M8166" s="124"/>
      <c r="N8166" s="124"/>
      <c r="O8166" s="124"/>
    </row>
    <row r="8167">
      <c r="K8167" s="124"/>
      <c r="L8167" s="124"/>
      <c r="M8167" s="124"/>
      <c r="N8167" s="124"/>
      <c r="O8167" s="124"/>
    </row>
    <row r="8168">
      <c r="K8168" s="124"/>
      <c r="L8168" s="124"/>
      <c r="M8168" s="124"/>
      <c r="N8168" s="124"/>
      <c r="O8168" s="124"/>
    </row>
    <row r="8169">
      <c r="K8169" s="124"/>
      <c r="L8169" s="124"/>
      <c r="M8169" s="124"/>
      <c r="N8169" s="124"/>
      <c r="O8169" s="124"/>
    </row>
    <row r="8170">
      <c r="K8170" s="124"/>
      <c r="L8170" s="124"/>
      <c r="M8170" s="124"/>
      <c r="N8170" s="124"/>
      <c r="O8170" s="124"/>
    </row>
    <row r="8171">
      <c r="K8171" s="124"/>
      <c r="L8171" s="124"/>
      <c r="M8171" s="124"/>
      <c r="N8171" s="124"/>
      <c r="O8171" s="124"/>
    </row>
    <row r="8172">
      <c r="K8172" s="124"/>
      <c r="L8172" s="124"/>
      <c r="M8172" s="124"/>
      <c r="N8172" s="124"/>
      <c r="O8172" s="124"/>
    </row>
    <row r="8173">
      <c r="K8173" s="124"/>
      <c r="L8173" s="124"/>
      <c r="M8173" s="124"/>
      <c r="N8173" s="124"/>
      <c r="O8173" s="124"/>
    </row>
    <row r="8174">
      <c r="K8174" s="124"/>
      <c r="L8174" s="124"/>
      <c r="M8174" s="124"/>
      <c r="N8174" s="124"/>
      <c r="O8174" s="124"/>
    </row>
    <row r="8175">
      <c r="K8175" s="124"/>
      <c r="L8175" s="124"/>
      <c r="M8175" s="124"/>
      <c r="N8175" s="124"/>
      <c r="O8175" s="124"/>
    </row>
    <row r="8176">
      <c r="K8176" s="124"/>
      <c r="L8176" s="124"/>
      <c r="M8176" s="124"/>
      <c r="N8176" s="124"/>
      <c r="O8176" s="124"/>
    </row>
    <row r="8177">
      <c r="K8177" s="124"/>
      <c r="L8177" s="124"/>
      <c r="M8177" s="124"/>
      <c r="N8177" s="124"/>
      <c r="O8177" s="124"/>
    </row>
    <row r="8178">
      <c r="K8178" s="124"/>
      <c r="L8178" s="124"/>
      <c r="M8178" s="124"/>
      <c r="N8178" s="124"/>
      <c r="O8178" s="124"/>
    </row>
    <row r="8179">
      <c r="K8179" s="124"/>
      <c r="L8179" s="124"/>
      <c r="M8179" s="124"/>
      <c r="N8179" s="124"/>
      <c r="O8179" s="124"/>
    </row>
    <row r="8180">
      <c r="K8180" s="124"/>
      <c r="L8180" s="124"/>
      <c r="M8180" s="124"/>
      <c r="N8180" s="124"/>
      <c r="O8180" s="124"/>
    </row>
    <row r="8181">
      <c r="K8181" s="124"/>
      <c r="L8181" s="124"/>
      <c r="M8181" s="124"/>
      <c r="N8181" s="124"/>
      <c r="O8181" s="124"/>
    </row>
    <row r="8182">
      <c r="K8182" s="124"/>
      <c r="L8182" s="124"/>
      <c r="M8182" s="124"/>
      <c r="N8182" s="124"/>
      <c r="O8182" s="124"/>
    </row>
    <row r="8183">
      <c r="K8183" s="124"/>
      <c r="L8183" s="124"/>
      <c r="M8183" s="124"/>
      <c r="N8183" s="124"/>
      <c r="O8183" s="124"/>
    </row>
    <row r="8184">
      <c r="K8184" s="124"/>
      <c r="L8184" s="124"/>
      <c r="M8184" s="124"/>
      <c r="N8184" s="124"/>
      <c r="O8184" s="124"/>
    </row>
    <row r="8185">
      <c r="K8185" s="124"/>
      <c r="L8185" s="124"/>
      <c r="M8185" s="124"/>
      <c r="N8185" s="124"/>
      <c r="O8185" s="124"/>
    </row>
    <row r="8186">
      <c r="K8186" s="124"/>
      <c r="L8186" s="124"/>
      <c r="M8186" s="124"/>
      <c r="N8186" s="124"/>
      <c r="O8186" s="124"/>
    </row>
    <row r="8187">
      <c r="K8187" s="124"/>
      <c r="L8187" s="124"/>
      <c r="M8187" s="124"/>
      <c r="N8187" s="124"/>
      <c r="O8187" s="124"/>
    </row>
    <row r="8188">
      <c r="K8188" s="124"/>
      <c r="L8188" s="124"/>
      <c r="M8188" s="124"/>
      <c r="N8188" s="124"/>
      <c r="O8188" s="124"/>
    </row>
    <row r="8189">
      <c r="K8189" s="124"/>
      <c r="L8189" s="124"/>
      <c r="M8189" s="124"/>
      <c r="N8189" s="124"/>
      <c r="O8189" s="124"/>
    </row>
    <row r="8190">
      <c r="K8190" s="124"/>
      <c r="L8190" s="124"/>
      <c r="M8190" s="124"/>
      <c r="N8190" s="124"/>
      <c r="O8190" s="124"/>
    </row>
    <row r="8191">
      <c r="K8191" s="124"/>
      <c r="L8191" s="124"/>
      <c r="M8191" s="124"/>
      <c r="N8191" s="124"/>
      <c r="O8191" s="124"/>
    </row>
    <row r="8192">
      <c r="K8192" s="124"/>
      <c r="L8192" s="124"/>
      <c r="M8192" s="124"/>
      <c r="N8192" s="124"/>
      <c r="O8192" s="124"/>
    </row>
    <row r="8193">
      <c r="K8193" s="124"/>
      <c r="L8193" s="124"/>
      <c r="M8193" s="124"/>
      <c r="N8193" s="124"/>
      <c r="O8193" s="124"/>
    </row>
    <row r="8194">
      <c r="K8194" s="124"/>
      <c r="L8194" s="124"/>
      <c r="M8194" s="124"/>
      <c r="N8194" s="124"/>
      <c r="O8194" s="124"/>
    </row>
    <row r="8195">
      <c r="K8195" s="124"/>
      <c r="L8195" s="124"/>
      <c r="M8195" s="124"/>
      <c r="N8195" s="124"/>
      <c r="O8195" s="124"/>
    </row>
    <row r="8196">
      <c r="K8196" s="124"/>
      <c r="L8196" s="124"/>
      <c r="M8196" s="124"/>
      <c r="N8196" s="124"/>
      <c r="O8196" s="124"/>
    </row>
    <row r="8197">
      <c r="K8197" s="124"/>
      <c r="L8197" s="124"/>
      <c r="M8197" s="124"/>
      <c r="N8197" s="124"/>
      <c r="O8197" s="124"/>
    </row>
    <row r="8198">
      <c r="K8198" s="124"/>
      <c r="L8198" s="124"/>
      <c r="M8198" s="124"/>
      <c r="N8198" s="124"/>
      <c r="O8198" s="124"/>
    </row>
    <row r="8199">
      <c r="K8199" s="124"/>
      <c r="L8199" s="124"/>
      <c r="M8199" s="124"/>
      <c r="N8199" s="124"/>
      <c r="O8199" s="124"/>
    </row>
    <row r="8200">
      <c r="K8200" s="124"/>
      <c r="L8200" s="124"/>
      <c r="M8200" s="124"/>
      <c r="N8200" s="124"/>
      <c r="O8200" s="124"/>
    </row>
    <row r="8201">
      <c r="K8201" s="124"/>
      <c r="L8201" s="124"/>
      <c r="M8201" s="124"/>
      <c r="N8201" s="124"/>
      <c r="O8201" s="124"/>
    </row>
    <row r="8202">
      <c r="K8202" s="124"/>
      <c r="L8202" s="124"/>
      <c r="M8202" s="124"/>
      <c r="N8202" s="124"/>
      <c r="O8202" s="124"/>
    </row>
    <row r="8203">
      <c r="K8203" s="124"/>
      <c r="L8203" s="124"/>
      <c r="M8203" s="124"/>
      <c r="N8203" s="124"/>
      <c r="O8203" s="124"/>
    </row>
    <row r="8204">
      <c r="K8204" s="124"/>
      <c r="L8204" s="124"/>
      <c r="M8204" s="124"/>
      <c r="N8204" s="124"/>
      <c r="O8204" s="124"/>
    </row>
    <row r="8205">
      <c r="K8205" s="124"/>
      <c r="L8205" s="124"/>
      <c r="M8205" s="124"/>
      <c r="N8205" s="124"/>
      <c r="O8205" s="124"/>
    </row>
    <row r="8206">
      <c r="K8206" s="124"/>
      <c r="L8206" s="124"/>
      <c r="M8206" s="124"/>
      <c r="N8206" s="124"/>
      <c r="O8206" s="124"/>
    </row>
    <row r="8207">
      <c r="K8207" s="124"/>
      <c r="L8207" s="124"/>
      <c r="M8207" s="124"/>
      <c r="N8207" s="124"/>
      <c r="O8207" s="124"/>
    </row>
    <row r="8208">
      <c r="K8208" s="124"/>
      <c r="L8208" s="124"/>
      <c r="M8208" s="124"/>
      <c r="N8208" s="124"/>
      <c r="O8208" s="124"/>
    </row>
    <row r="8209">
      <c r="K8209" s="124"/>
      <c r="L8209" s="124"/>
      <c r="M8209" s="124"/>
      <c r="N8209" s="124"/>
      <c r="O8209" s="124"/>
    </row>
    <row r="8210">
      <c r="K8210" s="124"/>
      <c r="L8210" s="124"/>
      <c r="M8210" s="124"/>
      <c r="N8210" s="124"/>
      <c r="O8210" s="124"/>
    </row>
    <row r="8211">
      <c r="K8211" s="124"/>
      <c r="L8211" s="124"/>
      <c r="M8211" s="124"/>
      <c r="N8211" s="124"/>
      <c r="O8211" s="124"/>
    </row>
    <row r="8212">
      <c r="K8212" s="124"/>
      <c r="L8212" s="124"/>
      <c r="M8212" s="124"/>
      <c r="N8212" s="124"/>
      <c r="O8212" s="124"/>
    </row>
    <row r="8213">
      <c r="K8213" s="124"/>
      <c r="L8213" s="124"/>
      <c r="M8213" s="124"/>
      <c r="N8213" s="124"/>
      <c r="O8213" s="124"/>
    </row>
    <row r="8214">
      <c r="K8214" s="124"/>
      <c r="L8214" s="124"/>
      <c r="M8214" s="124"/>
      <c r="N8214" s="124"/>
      <c r="O8214" s="124"/>
    </row>
    <row r="8215">
      <c r="K8215" s="124"/>
      <c r="L8215" s="124"/>
      <c r="M8215" s="124"/>
      <c r="N8215" s="124"/>
      <c r="O8215" s="124"/>
    </row>
    <row r="8216">
      <c r="K8216" s="124"/>
      <c r="L8216" s="124"/>
      <c r="M8216" s="124"/>
      <c r="N8216" s="124"/>
      <c r="O8216" s="124"/>
    </row>
    <row r="8217">
      <c r="K8217" s="124"/>
      <c r="L8217" s="124"/>
      <c r="M8217" s="124"/>
      <c r="N8217" s="124"/>
      <c r="O8217" s="124"/>
    </row>
    <row r="8218">
      <c r="K8218" s="124"/>
      <c r="L8218" s="124"/>
      <c r="M8218" s="124"/>
      <c r="N8218" s="124"/>
      <c r="O8218" s="124"/>
    </row>
    <row r="8219">
      <c r="K8219" s="124"/>
      <c r="L8219" s="124"/>
      <c r="M8219" s="124"/>
      <c r="N8219" s="124"/>
      <c r="O8219" s="124"/>
    </row>
    <row r="8220">
      <c r="K8220" s="124"/>
      <c r="L8220" s="124"/>
      <c r="M8220" s="124"/>
      <c r="N8220" s="124"/>
      <c r="O8220" s="124"/>
    </row>
    <row r="8221">
      <c r="K8221" s="124"/>
      <c r="L8221" s="124"/>
      <c r="M8221" s="124"/>
      <c r="N8221" s="124"/>
      <c r="O8221" s="124"/>
    </row>
    <row r="8222">
      <c r="K8222" s="124"/>
      <c r="L8222" s="124"/>
      <c r="M8222" s="124"/>
      <c r="N8222" s="124"/>
      <c r="O8222" s="124"/>
    </row>
    <row r="8223">
      <c r="K8223" s="124"/>
      <c r="L8223" s="124"/>
      <c r="M8223" s="124"/>
      <c r="N8223" s="124"/>
      <c r="O8223" s="124"/>
    </row>
    <row r="8224">
      <c r="K8224" s="124"/>
      <c r="L8224" s="124"/>
      <c r="M8224" s="124"/>
      <c r="N8224" s="124"/>
      <c r="O8224" s="124"/>
    </row>
    <row r="8225">
      <c r="K8225" s="124"/>
      <c r="L8225" s="124"/>
      <c r="M8225" s="124"/>
      <c r="N8225" s="124"/>
      <c r="O8225" s="124"/>
    </row>
    <row r="8226">
      <c r="K8226" s="124"/>
      <c r="L8226" s="124"/>
      <c r="M8226" s="124"/>
      <c r="N8226" s="124"/>
      <c r="O8226" s="124"/>
    </row>
    <row r="8227">
      <c r="K8227" s="124"/>
      <c r="L8227" s="124"/>
      <c r="M8227" s="124"/>
      <c r="N8227" s="124"/>
      <c r="O8227" s="124"/>
    </row>
    <row r="8228">
      <c r="K8228" s="124"/>
      <c r="L8228" s="124"/>
      <c r="M8228" s="124"/>
      <c r="N8228" s="124"/>
      <c r="O8228" s="124"/>
    </row>
    <row r="8229">
      <c r="K8229" s="124"/>
      <c r="L8229" s="124"/>
      <c r="M8229" s="124"/>
      <c r="N8229" s="124"/>
      <c r="O8229" s="124"/>
    </row>
    <row r="8230">
      <c r="K8230" s="124"/>
      <c r="L8230" s="124"/>
      <c r="M8230" s="124"/>
      <c r="N8230" s="124"/>
      <c r="O8230" s="124"/>
    </row>
    <row r="8231">
      <c r="K8231" s="124"/>
      <c r="L8231" s="124"/>
      <c r="M8231" s="124"/>
      <c r="N8231" s="124"/>
      <c r="O8231" s="124"/>
    </row>
    <row r="8232">
      <c r="K8232" s="124"/>
      <c r="L8232" s="124"/>
      <c r="M8232" s="124"/>
      <c r="N8232" s="124"/>
      <c r="O8232" s="124"/>
    </row>
    <row r="8233">
      <c r="K8233" s="124"/>
      <c r="L8233" s="124"/>
      <c r="M8233" s="124"/>
      <c r="N8233" s="124"/>
      <c r="O8233" s="124"/>
    </row>
    <row r="8234">
      <c r="K8234" s="124"/>
      <c r="L8234" s="124"/>
      <c r="M8234" s="124"/>
      <c r="N8234" s="124"/>
      <c r="O8234" s="124"/>
    </row>
    <row r="8235">
      <c r="K8235" s="124"/>
      <c r="L8235" s="124"/>
      <c r="M8235" s="124"/>
      <c r="N8235" s="124"/>
      <c r="O8235" s="124"/>
    </row>
    <row r="8236">
      <c r="K8236" s="124"/>
      <c r="L8236" s="124"/>
      <c r="M8236" s="124"/>
      <c r="N8236" s="124"/>
      <c r="O8236" s="124"/>
    </row>
    <row r="8237">
      <c r="K8237" s="124"/>
      <c r="L8237" s="124"/>
      <c r="M8237" s="124"/>
      <c r="N8237" s="124"/>
      <c r="O8237" s="124"/>
    </row>
    <row r="8238">
      <c r="K8238" s="124"/>
      <c r="L8238" s="124"/>
      <c r="M8238" s="124"/>
      <c r="N8238" s="124"/>
      <c r="O8238" s="124"/>
    </row>
    <row r="8239">
      <c r="K8239" s="124"/>
      <c r="L8239" s="124"/>
      <c r="M8239" s="124"/>
      <c r="N8239" s="124"/>
      <c r="O8239" s="124"/>
    </row>
    <row r="8240">
      <c r="K8240" s="124"/>
      <c r="L8240" s="124"/>
      <c r="M8240" s="124"/>
      <c r="N8240" s="124"/>
      <c r="O8240" s="124"/>
    </row>
    <row r="8241">
      <c r="K8241" s="124"/>
      <c r="L8241" s="124"/>
      <c r="M8241" s="124"/>
      <c r="N8241" s="124"/>
      <c r="O8241" s="124"/>
    </row>
    <row r="8242">
      <c r="K8242" s="124"/>
      <c r="L8242" s="124"/>
      <c r="M8242" s="124"/>
      <c r="N8242" s="124"/>
      <c r="O8242" s="124"/>
    </row>
    <row r="8243">
      <c r="K8243" s="124"/>
      <c r="L8243" s="124"/>
      <c r="M8243" s="124"/>
      <c r="N8243" s="124"/>
      <c r="O8243" s="124"/>
    </row>
    <row r="8244">
      <c r="K8244" s="124"/>
      <c r="L8244" s="124"/>
      <c r="M8244" s="124"/>
      <c r="N8244" s="124"/>
      <c r="O8244" s="124"/>
    </row>
    <row r="8245">
      <c r="K8245" s="124"/>
      <c r="L8245" s="124"/>
      <c r="M8245" s="124"/>
      <c r="N8245" s="124"/>
      <c r="O8245" s="124"/>
    </row>
    <row r="8246">
      <c r="K8246" s="124"/>
      <c r="L8246" s="124"/>
      <c r="M8246" s="124"/>
      <c r="N8246" s="124"/>
      <c r="O8246" s="124"/>
    </row>
    <row r="8247">
      <c r="K8247" s="124"/>
      <c r="L8247" s="124"/>
      <c r="M8247" s="124"/>
      <c r="N8247" s="124"/>
      <c r="O8247" s="124"/>
    </row>
    <row r="8248">
      <c r="K8248" s="124"/>
      <c r="L8248" s="124"/>
      <c r="M8248" s="124"/>
      <c r="N8248" s="124"/>
      <c r="O8248" s="124"/>
    </row>
    <row r="8249">
      <c r="K8249" s="124"/>
      <c r="L8249" s="124"/>
      <c r="M8249" s="124"/>
      <c r="N8249" s="124"/>
      <c r="O8249" s="124"/>
    </row>
    <row r="8250">
      <c r="K8250" s="124"/>
      <c r="L8250" s="124"/>
      <c r="M8250" s="124"/>
      <c r="N8250" s="124"/>
      <c r="O8250" s="124"/>
    </row>
    <row r="8251">
      <c r="K8251" s="124"/>
      <c r="L8251" s="124"/>
      <c r="M8251" s="124"/>
      <c r="N8251" s="124"/>
      <c r="O8251" s="124"/>
    </row>
    <row r="8252">
      <c r="K8252" s="124"/>
      <c r="L8252" s="124"/>
      <c r="M8252" s="124"/>
      <c r="N8252" s="124"/>
      <c r="O8252" s="124"/>
    </row>
    <row r="8253">
      <c r="K8253" s="124"/>
      <c r="L8253" s="124"/>
      <c r="M8253" s="124"/>
      <c r="N8253" s="124"/>
      <c r="O8253" s="124"/>
    </row>
    <row r="8254">
      <c r="K8254" s="124"/>
      <c r="L8254" s="124"/>
      <c r="M8254" s="124"/>
      <c r="N8254" s="124"/>
      <c r="O8254" s="124"/>
    </row>
    <row r="8255">
      <c r="K8255" s="124"/>
      <c r="L8255" s="124"/>
      <c r="M8255" s="124"/>
      <c r="N8255" s="124"/>
      <c r="O8255" s="124"/>
    </row>
    <row r="8256">
      <c r="K8256" s="124"/>
      <c r="L8256" s="124"/>
      <c r="M8256" s="124"/>
      <c r="N8256" s="124"/>
      <c r="O8256" s="124"/>
    </row>
    <row r="8257">
      <c r="K8257" s="124"/>
      <c r="L8257" s="124"/>
      <c r="M8257" s="124"/>
      <c r="N8257" s="124"/>
      <c r="O8257" s="124"/>
    </row>
    <row r="8258">
      <c r="K8258" s="124"/>
      <c r="L8258" s="124"/>
      <c r="M8258" s="124"/>
      <c r="N8258" s="124"/>
      <c r="O8258" s="124"/>
    </row>
    <row r="8259">
      <c r="K8259" s="124"/>
      <c r="L8259" s="124"/>
      <c r="M8259" s="124"/>
      <c r="N8259" s="124"/>
      <c r="O8259" s="124"/>
    </row>
    <row r="8260">
      <c r="K8260" s="124"/>
      <c r="L8260" s="124"/>
      <c r="M8260" s="124"/>
      <c r="N8260" s="124"/>
      <c r="O8260" s="124"/>
    </row>
    <row r="8261">
      <c r="K8261" s="124"/>
      <c r="L8261" s="124"/>
      <c r="M8261" s="124"/>
      <c r="N8261" s="124"/>
      <c r="O8261" s="124"/>
    </row>
    <row r="8262">
      <c r="K8262" s="124"/>
      <c r="L8262" s="124"/>
      <c r="M8262" s="124"/>
      <c r="N8262" s="124"/>
      <c r="O8262" s="124"/>
    </row>
    <row r="8263">
      <c r="K8263" s="124"/>
      <c r="L8263" s="124"/>
      <c r="M8263" s="124"/>
      <c r="N8263" s="124"/>
      <c r="O8263" s="124"/>
    </row>
    <row r="8264">
      <c r="K8264" s="124"/>
      <c r="L8264" s="124"/>
      <c r="M8264" s="124"/>
      <c r="N8264" s="124"/>
      <c r="O8264" s="124"/>
    </row>
    <row r="8265">
      <c r="K8265" s="124"/>
      <c r="L8265" s="124"/>
      <c r="M8265" s="124"/>
      <c r="N8265" s="124"/>
      <c r="O8265" s="124"/>
    </row>
    <row r="8266">
      <c r="K8266" s="124"/>
      <c r="L8266" s="124"/>
      <c r="M8266" s="124"/>
      <c r="N8266" s="124"/>
      <c r="O8266" s="124"/>
    </row>
    <row r="8267">
      <c r="K8267" s="124"/>
      <c r="L8267" s="124"/>
      <c r="M8267" s="124"/>
      <c r="N8267" s="124"/>
      <c r="O8267" s="124"/>
    </row>
    <row r="8268">
      <c r="K8268" s="124"/>
      <c r="L8268" s="124"/>
      <c r="M8268" s="124"/>
      <c r="N8268" s="124"/>
      <c r="O8268" s="124"/>
    </row>
    <row r="8269">
      <c r="K8269" s="124"/>
      <c r="L8269" s="124"/>
      <c r="M8269" s="124"/>
      <c r="N8269" s="124"/>
      <c r="O8269" s="124"/>
    </row>
    <row r="8270">
      <c r="K8270" s="124"/>
      <c r="L8270" s="124"/>
      <c r="M8270" s="124"/>
      <c r="N8270" s="124"/>
      <c r="O8270" s="124"/>
    </row>
    <row r="8271">
      <c r="K8271" s="124"/>
      <c r="L8271" s="124"/>
      <c r="M8271" s="124"/>
      <c r="N8271" s="124"/>
      <c r="O8271" s="124"/>
    </row>
    <row r="8272">
      <c r="K8272" s="124"/>
      <c r="L8272" s="124"/>
      <c r="M8272" s="124"/>
      <c r="N8272" s="124"/>
      <c r="O8272" s="124"/>
    </row>
    <row r="8273">
      <c r="K8273" s="124"/>
      <c r="L8273" s="124"/>
      <c r="M8273" s="124"/>
      <c r="N8273" s="124"/>
      <c r="O8273" s="124"/>
    </row>
    <row r="8274">
      <c r="K8274" s="124"/>
      <c r="L8274" s="124"/>
      <c r="M8274" s="124"/>
      <c r="N8274" s="124"/>
      <c r="O8274" s="124"/>
    </row>
    <row r="8275">
      <c r="K8275" s="124"/>
      <c r="L8275" s="124"/>
      <c r="M8275" s="124"/>
      <c r="N8275" s="124"/>
      <c r="O8275" s="124"/>
    </row>
    <row r="8276">
      <c r="K8276" s="124"/>
      <c r="L8276" s="124"/>
      <c r="M8276" s="124"/>
      <c r="N8276" s="124"/>
      <c r="O8276" s="124"/>
    </row>
    <row r="8277">
      <c r="K8277" s="124"/>
      <c r="L8277" s="124"/>
      <c r="M8277" s="124"/>
      <c r="N8277" s="124"/>
      <c r="O8277" s="124"/>
    </row>
    <row r="8278">
      <c r="K8278" s="124"/>
      <c r="L8278" s="124"/>
      <c r="M8278" s="124"/>
      <c r="N8278" s="124"/>
      <c r="O8278" s="124"/>
    </row>
    <row r="8279">
      <c r="K8279" s="124"/>
      <c r="L8279" s="124"/>
      <c r="M8279" s="124"/>
      <c r="N8279" s="124"/>
      <c r="O8279" s="124"/>
    </row>
    <row r="8280">
      <c r="K8280" s="124"/>
      <c r="L8280" s="124"/>
      <c r="M8280" s="124"/>
      <c r="N8280" s="124"/>
      <c r="O8280" s="124"/>
    </row>
    <row r="8281">
      <c r="K8281" s="124"/>
      <c r="L8281" s="124"/>
      <c r="M8281" s="124"/>
      <c r="N8281" s="124"/>
      <c r="O8281" s="124"/>
    </row>
    <row r="8282">
      <c r="K8282" s="124"/>
      <c r="L8282" s="124"/>
      <c r="M8282" s="124"/>
      <c r="N8282" s="124"/>
      <c r="O8282" s="124"/>
    </row>
    <row r="8283">
      <c r="K8283" s="124"/>
      <c r="L8283" s="124"/>
      <c r="M8283" s="124"/>
      <c r="N8283" s="124"/>
      <c r="O8283" s="124"/>
    </row>
    <row r="8284">
      <c r="K8284" s="124"/>
      <c r="L8284" s="124"/>
      <c r="M8284" s="124"/>
      <c r="N8284" s="124"/>
      <c r="O8284" s="124"/>
    </row>
    <row r="8285">
      <c r="K8285" s="124"/>
      <c r="L8285" s="124"/>
      <c r="M8285" s="124"/>
      <c r="N8285" s="124"/>
      <c r="O8285" s="124"/>
    </row>
    <row r="8286">
      <c r="K8286" s="124"/>
      <c r="L8286" s="124"/>
      <c r="M8286" s="124"/>
      <c r="N8286" s="124"/>
      <c r="O8286" s="124"/>
    </row>
    <row r="8287">
      <c r="K8287" s="124"/>
      <c r="L8287" s="124"/>
      <c r="M8287" s="124"/>
      <c r="N8287" s="124"/>
      <c r="O8287" s="124"/>
    </row>
    <row r="8288">
      <c r="K8288" s="124"/>
      <c r="L8288" s="124"/>
      <c r="M8288" s="124"/>
      <c r="N8288" s="124"/>
      <c r="O8288" s="124"/>
    </row>
    <row r="8289">
      <c r="K8289" s="124"/>
      <c r="L8289" s="124"/>
      <c r="M8289" s="124"/>
      <c r="N8289" s="124"/>
      <c r="O8289" s="124"/>
    </row>
    <row r="8290">
      <c r="K8290" s="124"/>
      <c r="L8290" s="124"/>
      <c r="M8290" s="124"/>
      <c r="N8290" s="124"/>
      <c r="O8290" s="124"/>
    </row>
    <row r="8291">
      <c r="K8291" s="124"/>
      <c r="L8291" s="124"/>
      <c r="M8291" s="124"/>
      <c r="N8291" s="124"/>
      <c r="O8291" s="124"/>
    </row>
    <row r="8292">
      <c r="K8292" s="124"/>
      <c r="L8292" s="124"/>
      <c r="M8292" s="124"/>
      <c r="N8292" s="124"/>
      <c r="O8292" s="124"/>
    </row>
    <row r="8293">
      <c r="K8293" s="124"/>
      <c r="L8293" s="124"/>
      <c r="M8293" s="124"/>
      <c r="N8293" s="124"/>
      <c r="O8293" s="124"/>
    </row>
    <row r="8294">
      <c r="K8294" s="124"/>
      <c r="L8294" s="124"/>
      <c r="M8294" s="124"/>
      <c r="N8294" s="124"/>
      <c r="O8294" s="124"/>
    </row>
    <row r="8295">
      <c r="K8295" s="124"/>
      <c r="L8295" s="124"/>
      <c r="M8295" s="124"/>
      <c r="N8295" s="124"/>
      <c r="O8295" s="124"/>
    </row>
    <row r="8296">
      <c r="K8296" s="124"/>
      <c r="L8296" s="124"/>
      <c r="M8296" s="124"/>
      <c r="N8296" s="124"/>
      <c r="O8296" s="124"/>
    </row>
    <row r="8297">
      <c r="K8297" s="124"/>
      <c r="L8297" s="124"/>
      <c r="M8297" s="124"/>
      <c r="N8297" s="124"/>
      <c r="O8297" s="124"/>
    </row>
    <row r="8298">
      <c r="K8298" s="124"/>
      <c r="L8298" s="124"/>
      <c r="M8298" s="124"/>
      <c r="N8298" s="124"/>
      <c r="O8298" s="124"/>
    </row>
    <row r="8299">
      <c r="K8299" s="124"/>
      <c r="L8299" s="124"/>
      <c r="M8299" s="124"/>
      <c r="N8299" s="124"/>
      <c r="O8299" s="124"/>
    </row>
    <row r="8300">
      <c r="K8300" s="124"/>
      <c r="L8300" s="124"/>
      <c r="M8300" s="124"/>
      <c r="N8300" s="124"/>
      <c r="O8300" s="124"/>
    </row>
    <row r="8301">
      <c r="K8301" s="124"/>
      <c r="L8301" s="124"/>
      <c r="M8301" s="124"/>
      <c r="N8301" s="124"/>
      <c r="O8301" s="124"/>
    </row>
    <row r="8302">
      <c r="K8302" s="124"/>
      <c r="L8302" s="124"/>
      <c r="M8302" s="124"/>
      <c r="N8302" s="124"/>
      <c r="O8302" s="124"/>
    </row>
    <row r="8303">
      <c r="K8303" s="124"/>
      <c r="L8303" s="124"/>
      <c r="M8303" s="124"/>
      <c r="N8303" s="124"/>
      <c r="O8303" s="124"/>
    </row>
    <row r="8304">
      <c r="K8304" s="124"/>
      <c r="L8304" s="124"/>
      <c r="M8304" s="124"/>
      <c r="N8304" s="124"/>
      <c r="O8304" s="124"/>
    </row>
    <row r="8305">
      <c r="K8305" s="124"/>
      <c r="L8305" s="124"/>
      <c r="M8305" s="124"/>
      <c r="N8305" s="124"/>
      <c r="O8305" s="124"/>
    </row>
    <row r="8306">
      <c r="K8306" s="124"/>
      <c r="L8306" s="124"/>
      <c r="M8306" s="124"/>
      <c r="N8306" s="124"/>
      <c r="O8306" s="124"/>
    </row>
    <row r="8307">
      <c r="K8307" s="124"/>
      <c r="L8307" s="124"/>
      <c r="M8307" s="124"/>
      <c r="N8307" s="124"/>
      <c r="O8307" s="124"/>
    </row>
    <row r="8308">
      <c r="K8308" s="124"/>
      <c r="L8308" s="124"/>
      <c r="M8308" s="124"/>
      <c r="N8308" s="124"/>
      <c r="O8308" s="124"/>
    </row>
    <row r="8309">
      <c r="K8309" s="124"/>
      <c r="L8309" s="124"/>
      <c r="M8309" s="124"/>
      <c r="N8309" s="124"/>
      <c r="O8309" s="124"/>
    </row>
    <row r="8310">
      <c r="K8310" s="124"/>
      <c r="L8310" s="124"/>
      <c r="M8310" s="124"/>
      <c r="N8310" s="124"/>
      <c r="O8310" s="124"/>
    </row>
    <row r="8311">
      <c r="K8311" s="124"/>
      <c r="L8311" s="124"/>
      <c r="M8311" s="124"/>
      <c r="N8311" s="124"/>
      <c r="O8311" s="124"/>
    </row>
    <row r="8312">
      <c r="K8312" s="124"/>
      <c r="L8312" s="124"/>
      <c r="M8312" s="124"/>
      <c r="N8312" s="124"/>
      <c r="O8312" s="124"/>
    </row>
    <row r="8313">
      <c r="K8313" s="124"/>
      <c r="L8313" s="124"/>
      <c r="M8313" s="124"/>
      <c r="N8313" s="124"/>
      <c r="O8313" s="124"/>
    </row>
    <row r="8314">
      <c r="K8314" s="124"/>
      <c r="L8314" s="124"/>
      <c r="M8314" s="124"/>
      <c r="N8314" s="124"/>
      <c r="O8314" s="124"/>
    </row>
    <row r="8315">
      <c r="K8315" s="124"/>
      <c r="L8315" s="124"/>
      <c r="M8315" s="124"/>
      <c r="N8315" s="124"/>
      <c r="O8315" s="124"/>
    </row>
    <row r="8316">
      <c r="K8316" s="124"/>
      <c r="L8316" s="124"/>
      <c r="M8316" s="124"/>
      <c r="N8316" s="124"/>
      <c r="O8316" s="124"/>
    </row>
    <row r="8317">
      <c r="K8317" s="124"/>
      <c r="L8317" s="124"/>
      <c r="M8317" s="124"/>
      <c r="N8317" s="124"/>
      <c r="O8317" s="124"/>
    </row>
    <row r="8318">
      <c r="K8318" s="124"/>
      <c r="L8318" s="124"/>
      <c r="M8318" s="124"/>
      <c r="N8318" s="124"/>
      <c r="O8318" s="124"/>
    </row>
    <row r="8319">
      <c r="K8319" s="124"/>
      <c r="L8319" s="124"/>
      <c r="M8319" s="124"/>
      <c r="N8319" s="124"/>
      <c r="O8319" s="124"/>
    </row>
    <row r="8320">
      <c r="K8320" s="124"/>
      <c r="L8320" s="124"/>
      <c r="M8320" s="124"/>
      <c r="N8320" s="124"/>
      <c r="O8320" s="124"/>
    </row>
    <row r="8321">
      <c r="K8321" s="124"/>
      <c r="L8321" s="124"/>
      <c r="M8321" s="124"/>
      <c r="N8321" s="124"/>
      <c r="O8321" s="124"/>
    </row>
    <row r="8322">
      <c r="K8322" s="124"/>
      <c r="L8322" s="124"/>
      <c r="M8322" s="124"/>
      <c r="N8322" s="124"/>
      <c r="O8322" s="124"/>
    </row>
    <row r="8323">
      <c r="K8323" s="124"/>
      <c r="L8323" s="124"/>
      <c r="M8323" s="124"/>
      <c r="N8323" s="124"/>
      <c r="O8323" s="124"/>
    </row>
    <row r="8324">
      <c r="K8324" s="124"/>
      <c r="L8324" s="124"/>
      <c r="M8324" s="124"/>
      <c r="N8324" s="124"/>
      <c r="O8324" s="124"/>
    </row>
    <row r="8325">
      <c r="K8325" s="124"/>
      <c r="L8325" s="124"/>
      <c r="M8325" s="124"/>
      <c r="N8325" s="124"/>
      <c r="O8325" s="124"/>
    </row>
    <row r="8326">
      <c r="K8326" s="124"/>
      <c r="L8326" s="124"/>
      <c r="M8326" s="124"/>
      <c r="N8326" s="124"/>
      <c r="O8326" s="124"/>
    </row>
    <row r="8327">
      <c r="K8327" s="124"/>
      <c r="L8327" s="124"/>
      <c r="M8327" s="124"/>
      <c r="N8327" s="124"/>
      <c r="O8327" s="124"/>
    </row>
    <row r="8328">
      <c r="K8328" s="124"/>
      <c r="L8328" s="124"/>
      <c r="M8328" s="124"/>
      <c r="N8328" s="124"/>
      <c r="O8328" s="124"/>
    </row>
    <row r="8329">
      <c r="K8329" s="124"/>
      <c r="L8329" s="124"/>
      <c r="M8329" s="124"/>
      <c r="N8329" s="124"/>
      <c r="O8329" s="124"/>
    </row>
    <row r="8330">
      <c r="K8330" s="124"/>
      <c r="L8330" s="124"/>
      <c r="M8330" s="124"/>
      <c r="N8330" s="124"/>
      <c r="O8330" s="124"/>
    </row>
    <row r="8331">
      <c r="K8331" s="124"/>
      <c r="L8331" s="124"/>
      <c r="M8331" s="124"/>
      <c r="N8331" s="124"/>
      <c r="O8331" s="124"/>
    </row>
    <row r="8332">
      <c r="K8332" s="124"/>
      <c r="L8332" s="124"/>
      <c r="M8332" s="124"/>
      <c r="N8332" s="124"/>
      <c r="O8332" s="124"/>
    </row>
    <row r="8333">
      <c r="K8333" s="124"/>
      <c r="L8333" s="124"/>
      <c r="M8333" s="124"/>
      <c r="N8333" s="124"/>
      <c r="O8333" s="124"/>
    </row>
    <row r="8334">
      <c r="K8334" s="124"/>
      <c r="L8334" s="124"/>
      <c r="M8334" s="124"/>
      <c r="N8334" s="124"/>
      <c r="O8334" s="124"/>
    </row>
    <row r="8335">
      <c r="K8335" s="124"/>
      <c r="L8335" s="124"/>
      <c r="M8335" s="124"/>
      <c r="N8335" s="124"/>
      <c r="O8335" s="124"/>
    </row>
    <row r="8336">
      <c r="K8336" s="124"/>
      <c r="L8336" s="124"/>
      <c r="M8336" s="124"/>
      <c r="N8336" s="124"/>
      <c r="O8336" s="124"/>
    </row>
    <row r="8337">
      <c r="K8337" s="124"/>
      <c r="L8337" s="124"/>
      <c r="M8337" s="124"/>
      <c r="N8337" s="124"/>
      <c r="O8337" s="124"/>
    </row>
    <row r="8338">
      <c r="K8338" s="124"/>
      <c r="L8338" s="124"/>
      <c r="M8338" s="124"/>
      <c r="N8338" s="124"/>
      <c r="O8338" s="124"/>
    </row>
    <row r="8339">
      <c r="K8339" s="124"/>
      <c r="L8339" s="124"/>
      <c r="M8339" s="124"/>
      <c r="N8339" s="124"/>
      <c r="O8339" s="124"/>
    </row>
    <row r="8340">
      <c r="K8340" s="124"/>
      <c r="L8340" s="124"/>
      <c r="M8340" s="124"/>
      <c r="N8340" s="124"/>
      <c r="O8340" s="124"/>
    </row>
    <row r="8341">
      <c r="K8341" s="124"/>
      <c r="L8341" s="124"/>
      <c r="M8341" s="124"/>
      <c r="N8341" s="124"/>
      <c r="O8341" s="124"/>
    </row>
    <row r="8342">
      <c r="K8342" s="124"/>
      <c r="L8342" s="124"/>
      <c r="M8342" s="124"/>
      <c r="N8342" s="124"/>
      <c r="O8342" s="124"/>
    </row>
    <row r="8343">
      <c r="K8343" s="124"/>
      <c r="L8343" s="124"/>
      <c r="M8343" s="124"/>
      <c r="N8343" s="124"/>
      <c r="O8343" s="124"/>
    </row>
    <row r="8344">
      <c r="K8344" s="124"/>
      <c r="L8344" s="124"/>
      <c r="M8344" s="124"/>
      <c r="N8344" s="124"/>
      <c r="O8344" s="124"/>
    </row>
    <row r="8345">
      <c r="K8345" s="124"/>
      <c r="L8345" s="124"/>
      <c r="M8345" s="124"/>
      <c r="N8345" s="124"/>
      <c r="O8345" s="124"/>
    </row>
    <row r="8346">
      <c r="K8346" s="124"/>
      <c r="L8346" s="124"/>
      <c r="M8346" s="124"/>
      <c r="N8346" s="124"/>
      <c r="O8346" s="124"/>
    </row>
    <row r="8347">
      <c r="K8347" s="124"/>
      <c r="L8347" s="124"/>
      <c r="M8347" s="124"/>
      <c r="N8347" s="124"/>
      <c r="O8347" s="124"/>
    </row>
    <row r="8348">
      <c r="K8348" s="124"/>
      <c r="L8348" s="124"/>
      <c r="M8348" s="124"/>
      <c r="N8348" s="124"/>
      <c r="O8348" s="124"/>
    </row>
    <row r="8349">
      <c r="K8349" s="124"/>
      <c r="L8349" s="124"/>
      <c r="M8349" s="124"/>
      <c r="N8349" s="124"/>
      <c r="O8349" s="124"/>
    </row>
    <row r="8350">
      <c r="K8350" s="124"/>
      <c r="L8350" s="124"/>
      <c r="M8350" s="124"/>
      <c r="N8350" s="124"/>
      <c r="O8350" s="124"/>
    </row>
    <row r="8351">
      <c r="K8351" s="124"/>
      <c r="L8351" s="124"/>
      <c r="M8351" s="124"/>
      <c r="N8351" s="124"/>
      <c r="O8351" s="124"/>
    </row>
    <row r="8352">
      <c r="K8352" s="124"/>
      <c r="L8352" s="124"/>
      <c r="M8352" s="124"/>
      <c r="N8352" s="124"/>
      <c r="O8352" s="124"/>
    </row>
    <row r="8353">
      <c r="K8353" s="124"/>
      <c r="L8353" s="124"/>
      <c r="M8353" s="124"/>
      <c r="N8353" s="124"/>
      <c r="O8353" s="124"/>
    </row>
    <row r="8354">
      <c r="K8354" s="124"/>
      <c r="L8354" s="124"/>
      <c r="M8354" s="124"/>
      <c r="N8354" s="124"/>
      <c r="O8354" s="124"/>
    </row>
    <row r="8355">
      <c r="K8355" s="124"/>
      <c r="L8355" s="124"/>
      <c r="M8355" s="124"/>
      <c r="N8355" s="124"/>
      <c r="O8355" s="124"/>
    </row>
    <row r="8356">
      <c r="K8356" s="124"/>
      <c r="L8356" s="124"/>
      <c r="M8356" s="124"/>
      <c r="N8356" s="124"/>
      <c r="O8356" s="124"/>
    </row>
    <row r="8357">
      <c r="K8357" s="124"/>
      <c r="L8357" s="124"/>
      <c r="M8357" s="124"/>
      <c r="N8357" s="124"/>
      <c r="O8357" s="124"/>
    </row>
    <row r="8358">
      <c r="K8358" s="124"/>
      <c r="L8358" s="124"/>
      <c r="M8358" s="124"/>
      <c r="N8358" s="124"/>
      <c r="O8358" s="124"/>
    </row>
    <row r="8359">
      <c r="K8359" s="124"/>
      <c r="L8359" s="124"/>
      <c r="M8359" s="124"/>
      <c r="N8359" s="124"/>
      <c r="O8359" s="124"/>
    </row>
    <row r="8360">
      <c r="K8360" s="124"/>
      <c r="L8360" s="124"/>
      <c r="M8360" s="124"/>
      <c r="N8360" s="124"/>
      <c r="O8360" s="124"/>
    </row>
    <row r="8361">
      <c r="K8361" s="124"/>
      <c r="L8361" s="124"/>
      <c r="M8361" s="124"/>
      <c r="N8361" s="124"/>
      <c r="O8361" s="124"/>
    </row>
    <row r="8362">
      <c r="K8362" s="124"/>
      <c r="L8362" s="124"/>
      <c r="M8362" s="124"/>
      <c r="N8362" s="124"/>
      <c r="O8362" s="124"/>
    </row>
    <row r="8363">
      <c r="K8363" s="124"/>
      <c r="L8363" s="124"/>
      <c r="M8363" s="124"/>
      <c r="N8363" s="124"/>
      <c r="O8363" s="124"/>
    </row>
    <row r="8364">
      <c r="K8364" s="124"/>
      <c r="L8364" s="124"/>
      <c r="M8364" s="124"/>
      <c r="N8364" s="124"/>
      <c r="O8364" s="124"/>
    </row>
    <row r="8365">
      <c r="K8365" s="124"/>
      <c r="L8365" s="124"/>
      <c r="M8365" s="124"/>
      <c r="N8365" s="124"/>
      <c r="O8365" s="124"/>
    </row>
    <row r="8366">
      <c r="K8366" s="124"/>
      <c r="L8366" s="124"/>
      <c r="M8366" s="124"/>
      <c r="N8366" s="124"/>
      <c r="O8366" s="124"/>
    </row>
    <row r="8367">
      <c r="K8367" s="124"/>
      <c r="L8367" s="124"/>
      <c r="M8367" s="124"/>
      <c r="N8367" s="124"/>
      <c r="O8367" s="124"/>
    </row>
    <row r="8368">
      <c r="K8368" s="124"/>
      <c r="L8368" s="124"/>
      <c r="M8368" s="124"/>
      <c r="N8368" s="124"/>
      <c r="O8368" s="124"/>
    </row>
    <row r="8369">
      <c r="K8369" s="124"/>
      <c r="L8369" s="124"/>
      <c r="M8369" s="124"/>
      <c r="N8369" s="124"/>
      <c r="O8369" s="124"/>
    </row>
    <row r="8370">
      <c r="K8370" s="124"/>
      <c r="L8370" s="124"/>
      <c r="M8370" s="124"/>
      <c r="N8370" s="124"/>
      <c r="O8370" s="124"/>
    </row>
    <row r="8371">
      <c r="K8371" s="124"/>
      <c r="L8371" s="124"/>
      <c r="M8371" s="124"/>
      <c r="N8371" s="124"/>
      <c r="O8371" s="124"/>
    </row>
    <row r="8372">
      <c r="K8372" s="124"/>
      <c r="L8372" s="124"/>
      <c r="M8372" s="124"/>
      <c r="N8372" s="124"/>
      <c r="O8372" s="124"/>
    </row>
    <row r="8373">
      <c r="K8373" s="124"/>
      <c r="L8373" s="124"/>
      <c r="M8373" s="124"/>
      <c r="N8373" s="124"/>
      <c r="O8373" s="124"/>
    </row>
    <row r="8374">
      <c r="K8374" s="124"/>
      <c r="L8374" s="124"/>
      <c r="M8374" s="124"/>
      <c r="N8374" s="124"/>
      <c r="O8374" s="124"/>
    </row>
    <row r="8375">
      <c r="K8375" s="124"/>
      <c r="L8375" s="124"/>
      <c r="M8375" s="124"/>
      <c r="N8375" s="124"/>
      <c r="O8375" s="124"/>
    </row>
    <row r="8376">
      <c r="K8376" s="124"/>
      <c r="L8376" s="124"/>
      <c r="M8376" s="124"/>
      <c r="N8376" s="124"/>
      <c r="O8376" s="124"/>
    </row>
    <row r="8377">
      <c r="K8377" s="124"/>
      <c r="L8377" s="124"/>
      <c r="M8377" s="124"/>
      <c r="N8377" s="124"/>
      <c r="O8377" s="124"/>
    </row>
    <row r="8378">
      <c r="K8378" s="124"/>
      <c r="L8378" s="124"/>
      <c r="M8378" s="124"/>
      <c r="N8378" s="124"/>
      <c r="O8378" s="124"/>
    </row>
    <row r="8379">
      <c r="K8379" s="124"/>
      <c r="L8379" s="124"/>
      <c r="M8379" s="124"/>
      <c r="N8379" s="124"/>
      <c r="O8379" s="124"/>
    </row>
    <row r="8380">
      <c r="K8380" s="124"/>
      <c r="L8380" s="124"/>
      <c r="M8380" s="124"/>
      <c r="N8380" s="124"/>
      <c r="O8380" s="124"/>
    </row>
    <row r="8381">
      <c r="K8381" s="124"/>
      <c r="L8381" s="124"/>
      <c r="M8381" s="124"/>
      <c r="N8381" s="124"/>
      <c r="O8381" s="124"/>
    </row>
    <row r="8382">
      <c r="K8382" s="124"/>
      <c r="L8382" s="124"/>
      <c r="M8382" s="124"/>
      <c r="N8382" s="124"/>
      <c r="O8382" s="124"/>
    </row>
    <row r="8383">
      <c r="K8383" s="124"/>
      <c r="L8383" s="124"/>
      <c r="M8383" s="124"/>
      <c r="N8383" s="124"/>
      <c r="O8383" s="124"/>
    </row>
    <row r="8384">
      <c r="K8384" s="124"/>
      <c r="L8384" s="124"/>
      <c r="M8384" s="124"/>
      <c r="N8384" s="124"/>
      <c r="O8384" s="124"/>
    </row>
    <row r="8385">
      <c r="K8385" s="124"/>
      <c r="L8385" s="124"/>
      <c r="M8385" s="124"/>
      <c r="N8385" s="124"/>
      <c r="O8385" s="124"/>
    </row>
    <row r="8386">
      <c r="K8386" s="124"/>
      <c r="L8386" s="124"/>
      <c r="M8386" s="124"/>
      <c r="N8386" s="124"/>
      <c r="O8386" s="124"/>
    </row>
    <row r="8387">
      <c r="K8387" s="124"/>
      <c r="L8387" s="124"/>
      <c r="M8387" s="124"/>
      <c r="N8387" s="124"/>
      <c r="O8387" s="124"/>
    </row>
    <row r="8388">
      <c r="K8388" s="124"/>
      <c r="L8388" s="124"/>
      <c r="M8388" s="124"/>
      <c r="N8388" s="124"/>
      <c r="O8388" s="124"/>
    </row>
    <row r="8389">
      <c r="K8389" s="124"/>
      <c r="L8389" s="124"/>
      <c r="M8389" s="124"/>
      <c r="N8389" s="124"/>
      <c r="O8389" s="124"/>
    </row>
    <row r="8390">
      <c r="K8390" s="124"/>
      <c r="L8390" s="124"/>
      <c r="M8390" s="124"/>
      <c r="N8390" s="124"/>
      <c r="O8390" s="124"/>
    </row>
    <row r="8391">
      <c r="K8391" s="124"/>
      <c r="L8391" s="124"/>
      <c r="M8391" s="124"/>
      <c r="N8391" s="124"/>
      <c r="O8391" s="124"/>
    </row>
    <row r="8392">
      <c r="K8392" s="124"/>
      <c r="L8392" s="124"/>
      <c r="M8392" s="124"/>
      <c r="N8392" s="124"/>
      <c r="O8392" s="124"/>
    </row>
    <row r="8393">
      <c r="K8393" s="124"/>
      <c r="L8393" s="124"/>
      <c r="M8393" s="124"/>
      <c r="N8393" s="124"/>
      <c r="O8393" s="124"/>
    </row>
    <row r="8394">
      <c r="K8394" s="124"/>
      <c r="L8394" s="124"/>
      <c r="M8394" s="124"/>
      <c r="N8394" s="124"/>
      <c r="O8394" s="124"/>
    </row>
    <row r="8395">
      <c r="K8395" s="124"/>
      <c r="L8395" s="124"/>
      <c r="M8395" s="124"/>
      <c r="N8395" s="124"/>
      <c r="O8395" s="124"/>
    </row>
    <row r="8396">
      <c r="K8396" s="124"/>
      <c r="L8396" s="124"/>
      <c r="M8396" s="124"/>
      <c r="N8396" s="124"/>
      <c r="O8396" s="124"/>
    </row>
    <row r="8397">
      <c r="K8397" s="124"/>
      <c r="L8397" s="124"/>
      <c r="M8397" s="124"/>
      <c r="N8397" s="124"/>
      <c r="O8397" s="124"/>
    </row>
    <row r="8398">
      <c r="K8398" s="124"/>
      <c r="L8398" s="124"/>
      <c r="M8398" s="124"/>
      <c r="N8398" s="124"/>
      <c r="O8398" s="124"/>
    </row>
    <row r="8399">
      <c r="K8399" s="124"/>
      <c r="L8399" s="124"/>
      <c r="M8399" s="124"/>
      <c r="N8399" s="124"/>
      <c r="O8399" s="124"/>
    </row>
    <row r="8400">
      <c r="K8400" s="124"/>
      <c r="L8400" s="124"/>
      <c r="M8400" s="124"/>
      <c r="N8400" s="124"/>
      <c r="O8400" s="124"/>
    </row>
    <row r="8401">
      <c r="K8401" s="124"/>
      <c r="L8401" s="124"/>
      <c r="M8401" s="124"/>
      <c r="N8401" s="124"/>
      <c r="O8401" s="124"/>
    </row>
    <row r="8402">
      <c r="K8402" s="124"/>
      <c r="L8402" s="124"/>
      <c r="M8402" s="124"/>
      <c r="N8402" s="124"/>
      <c r="O8402" s="124"/>
    </row>
    <row r="8403">
      <c r="K8403" s="124"/>
      <c r="L8403" s="124"/>
      <c r="M8403" s="124"/>
      <c r="N8403" s="124"/>
      <c r="O8403" s="124"/>
    </row>
    <row r="8404">
      <c r="K8404" s="124"/>
      <c r="L8404" s="124"/>
      <c r="M8404" s="124"/>
      <c r="N8404" s="124"/>
      <c r="O8404" s="124"/>
    </row>
    <row r="8405">
      <c r="K8405" s="124"/>
      <c r="L8405" s="124"/>
      <c r="M8405" s="124"/>
      <c r="N8405" s="124"/>
      <c r="O8405" s="124"/>
    </row>
    <row r="8406">
      <c r="K8406" s="124"/>
      <c r="L8406" s="124"/>
      <c r="M8406" s="124"/>
      <c r="N8406" s="124"/>
      <c r="O8406" s="124"/>
    </row>
    <row r="8407">
      <c r="K8407" s="124"/>
      <c r="L8407" s="124"/>
      <c r="M8407" s="124"/>
      <c r="N8407" s="124"/>
      <c r="O8407" s="124"/>
    </row>
    <row r="8408">
      <c r="K8408" s="124"/>
      <c r="L8408" s="124"/>
      <c r="M8408" s="124"/>
      <c r="N8408" s="124"/>
      <c r="O8408" s="124"/>
    </row>
    <row r="8409">
      <c r="K8409" s="124"/>
      <c r="L8409" s="124"/>
      <c r="M8409" s="124"/>
      <c r="N8409" s="124"/>
      <c r="O8409" s="124"/>
    </row>
    <row r="8410">
      <c r="K8410" s="124"/>
      <c r="L8410" s="124"/>
      <c r="M8410" s="124"/>
      <c r="N8410" s="124"/>
      <c r="O8410" s="124"/>
    </row>
    <row r="8411">
      <c r="K8411" s="124"/>
      <c r="L8411" s="124"/>
      <c r="M8411" s="124"/>
      <c r="N8411" s="124"/>
      <c r="O8411" s="124"/>
    </row>
    <row r="8412">
      <c r="K8412" s="124"/>
      <c r="L8412" s="124"/>
      <c r="M8412" s="124"/>
      <c r="N8412" s="124"/>
      <c r="O8412" s="124"/>
    </row>
    <row r="8413">
      <c r="K8413" s="124"/>
      <c r="L8413" s="124"/>
      <c r="M8413" s="124"/>
      <c r="N8413" s="124"/>
      <c r="O8413" s="124"/>
    </row>
    <row r="8414">
      <c r="K8414" s="124"/>
      <c r="L8414" s="124"/>
      <c r="M8414" s="124"/>
      <c r="N8414" s="124"/>
      <c r="O8414" s="124"/>
    </row>
    <row r="8415">
      <c r="K8415" s="124"/>
      <c r="L8415" s="124"/>
      <c r="M8415" s="124"/>
      <c r="N8415" s="124"/>
      <c r="O8415" s="124"/>
    </row>
    <row r="8416">
      <c r="K8416" s="124"/>
      <c r="L8416" s="124"/>
      <c r="M8416" s="124"/>
      <c r="N8416" s="124"/>
      <c r="O8416" s="124"/>
    </row>
    <row r="8417">
      <c r="K8417" s="124"/>
      <c r="L8417" s="124"/>
      <c r="M8417" s="124"/>
      <c r="N8417" s="124"/>
      <c r="O8417" s="124"/>
    </row>
    <row r="8418">
      <c r="K8418" s="124"/>
      <c r="L8418" s="124"/>
      <c r="M8418" s="124"/>
      <c r="N8418" s="124"/>
      <c r="O8418" s="124"/>
    </row>
    <row r="8419">
      <c r="K8419" s="124"/>
      <c r="L8419" s="124"/>
      <c r="M8419" s="124"/>
      <c r="N8419" s="124"/>
      <c r="O8419" s="124"/>
    </row>
    <row r="8420">
      <c r="K8420" s="124"/>
      <c r="L8420" s="124"/>
      <c r="M8420" s="124"/>
      <c r="N8420" s="124"/>
      <c r="O8420" s="124"/>
    </row>
    <row r="8421">
      <c r="K8421" s="124"/>
      <c r="L8421" s="124"/>
      <c r="M8421" s="124"/>
      <c r="N8421" s="124"/>
      <c r="O8421" s="124"/>
    </row>
    <row r="8422">
      <c r="K8422" s="124"/>
      <c r="L8422" s="124"/>
      <c r="M8422" s="124"/>
      <c r="N8422" s="124"/>
      <c r="O8422" s="124"/>
    </row>
    <row r="8423">
      <c r="K8423" s="124"/>
      <c r="L8423" s="124"/>
      <c r="M8423" s="124"/>
      <c r="N8423" s="124"/>
      <c r="O8423" s="124"/>
    </row>
    <row r="8424">
      <c r="K8424" s="124"/>
      <c r="L8424" s="124"/>
      <c r="M8424" s="124"/>
      <c r="N8424" s="124"/>
      <c r="O8424" s="124"/>
    </row>
    <row r="8425">
      <c r="K8425" s="124"/>
      <c r="L8425" s="124"/>
      <c r="M8425" s="124"/>
      <c r="N8425" s="124"/>
      <c r="O8425" s="124"/>
    </row>
    <row r="8426">
      <c r="K8426" s="124"/>
      <c r="L8426" s="124"/>
      <c r="M8426" s="124"/>
      <c r="N8426" s="124"/>
      <c r="O8426" s="124"/>
    </row>
    <row r="8427">
      <c r="K8427" s="124"/>
      <c r="L8427" s="124"/>
      <c r="M8427" s="124"/>
      <c r="N8427" s="124"/>
      <c r="O8427" s="124"/>
    </row>
    <row r="8428">
      <c r="K8428" s="124"/>
      <c r="L8428" s="124"/>
      <c r="M8428" s="124"/>
      <c r="N8428" s="124"/>
      <c r="O8428" s="124"/>
    </row>
    <row r="8429">
      <c r="K8429" s="124"/>
      <c r="L8429" s="124"/>
      <c r="M8429" s="124"/>
      <c r="N8429" s="124"/>
      <c r="O8429" s="124"/>
    </row>
    <row r="8430">
      <c r="K8430" s="124"/>
      <c r="L8430" s="124"/>
      <c r="M8430" s="124"/>
      <c r="N8430" s="124"/>
      <c r="O8430" s="124"/>
    </row>
    <row r="8431">
      <c r="K8431" s="124"/>
      <c r="L8431" s="124"/>
      <c r="M8431" s="124"/>
      <c r="N8431" s="124"/>
      <c r="O8431" s="124"/>
    </row>
    <row r="8432">
      <c r="K8432" s="124"/>
      <c r="L8432" s="124"/>
      <c r="M8432" s="124"/>
      <c r="N8432" s="124"/>
      <c r="O8432" s="124"/>
    </row>
    <row r="8433">
      <c r="K8433" s="124"/>
      <c r="L8433" s="124"/>
      <c r="M8433" s="124"/>
      <c r="N8433" s="124"/>
      <c r="O8433" s="124"/>
    </row>
    <row r="8434">
      <c r="K8434" s="124"/>
      <c r="L8434" s="124"/>
      <c r="M8434" s="124"/>
      <c r="N8434" s="124"/>
      <c r="O8434" s="124"/>
    </row>
    <row r="8435">
      <c r="K8435" s="124"/>
      <c r="L8435" s="124"/>
      <c r="M8435" s="124"/>
      <c r="N8435" s="124"/>
      <c r="O8435" s="124"/>
    </row>
    <row r="8436">
      <c r="K8436" s="124"/>
      <c r="L8436" s="124"/>
      <c r="M8436" s="124"/>
      <c r="N8436" s="124"/>
      <c r="O8436" s="124"/>
    </row>
    <row r="8437">
      <c r="K8437" s="124"/>
      <c r="L8437" s="124"/>
      <c r="M8437" s="124"/>
      <c r="N8437" s="124"/>
      <c r="O8437" s="124"/>
    </row>
    <row r="8438">
      <c r="K8438" s="124"/>
      <c r="L8438" s="124"/>
      <c r="M8438" s="124"/>
      <c r="N8438" s="124"/>
      <c r="O8438" s="124"/>
    </row>
    <row r="8439">
      <c r="K8439" s="124"/>
      <c r="L8439" s="124"/>
      <c r="M8439" s="124"/>
      <c r="N8439" s="124"/>
      <c r="O8439" s="124"/>
    </row>
    <row r="8440">
      <c r="K8440" s="124"/>
      <c r="L8440" s="124"/>
      <c r="M8440" s="124"/>
      <c r="N8440" s="124"/>
      <c r="O8440" s="124"/>
    </row>
    <row r="8441">
      <c r="K8441" s="124"/>
      <c r="L8441" s="124"/>
      <c r="M8441" s="124"/>
      <c r="N8441" s="124"/>
      <c r="O8441" s="124"/>
    </row>
    <row r="8442">
      <c r="K8442" s="124"/>
      <c r="L8442" s="124"/>
      <c r="M8442" s="124"/>
      <c r="N8442" s="124"/>
      <c r="O8442" s="124"/>
    </row>
    <row r="8443">
      <c r="K8443" s="124"/>
      <c r="L8443" s="124"/>
      <c r="M8443" s="124"/>
      <c r="N8443" s="124"/>
      <c r="O8443" s="124"/>
    </row>
    <row r="8444">
      <c r="K8444" s="124"/>
      <c r="L8444" s="124"/>
      <c r="M8444" s="124"/>
      <c r="N8444" s="124"/>
      <c r="O8444" s="124"/>
    </row>
    <row r="8445">
      <c r="K8445" s="124"/>
      <c r="L8445" s="124"/>
      <c r="M8445" s="124"/>
      <c r="N8445" s="124"/>
      <c r="O8445" s="124"/>
    </row>
    <row r="8446">
      <c r="K8446" s="124"/>
      <c r="L8446" s="124"/>
      <c r="M8446" s="124"/>
      <c r="N8446" s="124"/>
      <c r="O8446" s="124"/>
    </row>
    <row r="8447">
      <c r="K8447" s="124"/>
      <c r="L8447" s="124"/>
      <c r="M8447" s="124"/>
      <c r="N8447" s="124"/>
      <c r="O8447" s="124"/>
    </row>
    <row r="8448">
      <c r="K8448" s="124"/>
      <c r="L8448" s="124"/>
      <c r="M8448" s="124"/>
      <c r="N8448" s="124"/>
      <c r="O8448" s="124"/>
    </row>
    <row r="8449">
      <c r="K8449" s="124"/>
      <c r="L8449" s="124"/>
      <c r="M8449" s="124"/>
      <c r="N8449" s="124"/>
      <c r="O8449" s="124"/>
    </row>
    <row r="8450">
      <c r="K8450" s="124"/>
      <c r="L8450" s="124"/>
      <c r="M8450" s="124"/>
      <c r="N8450" s="124"/>
      <c r="O8450" s="124"/>
    </row>
    <row r="8451">
      <c r="K8451" s="124"/>
      <c r="L8451" s="124"/>
      <c r="M8451" s="124"/>
      <c r="N8451" s="124"/>
      <c r="O8451" s="124"/>
    </row>
    <row r="8452">
      <c r="K8452" s="124"/>
      <c r="L8452" s="124"/>
      <c r="M8452" s="124"/>
      <c r="N8452" s="124"/>
      <c r="O8452" s="124"/>
    </row>
    <row r="8453">
      <c r="K8453" s="124"/>
      <c r="L8453" s="124"/>
      <c r="M8453" s="124"/>
      <c r="N8453" s="124"/>
      <c r="O8453" s="124"/>
    </row>
    <row r="8454">
      <c r="K8454" s="124"/>
      <c r="L8454" s="124"/>
      <c r="M8454" s="124"/>
      <c r="N8454" s="124"/>
      <c r="O8454" s="124"/>
    </row>
    <row r="8455">
      <c r="K8455" s="124"/>
      <c r="L8455" s="124"/>
      <c r="M8455" s="124"/>
      <c r="N8455" s="124"/>
      <c r="O8455" s="124"/>
    </row>
    <row r="8456">
      <c r="K8456" s="124"/>
      <c r="L8456" s="124"/>
      <c r="M8456" s="124"/>
      <c r="N8456" s="124"/>
      <c r="O8456" s="124"/>
    </row>
    <row r="8457">
      <c r="K8457" s="124"/>
      <c r="L8457" s="124"/>
      <c r="M8457" s="124"/>
      <c r="N8457" s="124"/>
      <c r="O8457" s="124"/>
    </row>
    <row r="8458">
      <c r="K8458" s="124"/>
      <c r="L8458" s="124"/>
      <c r="M8458" s="124"/>
      <c r="N8458" s="124"/>
      <c r="O8458" s="124"/>
    </row>
    <row r="8459">
      <c r="K8459" s="124"/>
      <c r="L8459" s="124"/>
      <c r="M8459" s="124"/>
      <c r="N8459" s="124"/>
      <c r="O8459" s="124"/>
    </row>
    <row r="8460">
      <c r="K8460" s="124"/>
      <c r="L8460" s="124"/>
      <c r="M8460" s="124"/>
      <c r="N8460" s="124"/>
      <c r="O8460" s="124"/>
    </row>
    <row r="8461">
      <c r="K8461" s="124"/>
      <c r="L8461" s="124"/>
      <c r="M8461" s="124"/>
      <c r="N8461" s="124"/>
      <c r="O8461" s="124"/>
    </row>
    <row r="8462">
      <c r="K8462" s="124"/>
      <c r="L8462" s="124"/>
      <c r="M8462" s="124"/>
      <c r="N8462" s="124"/>
      <c r="O8462" s="124"/>
    </row>
    <row r="8463">
      <c r="K8463" s="124"/>
      <c r="L8463" s="124"/>
      <c r="M8463" s="124"/>
      <c r="N8463" s="124"/>
      <c r="O8463" s="124"/>
    </row>
    <row r="8464">
      <c r="K8464" s="124"/>
      <c r="L8464" s="124"/>
      <c r="M8464" s="124"/>
      <c r="N8464" s="124"/>
      <c r="O8464" s="124"/>
    </row>
    <row r="8465">
      <c r="K8465" s="124"/>
      <c r="L8465" s="124"/>
      <c r="M8465" s="124"/>
      <c r="N8465" s="124"/>
      <c r="O8465" s="124"/>
    </row>
    <row r="8466">
      <c r="K8466" s="124"/>
      <c r="L8466" s="124"/>
      <c r="M8466" s="124"/>
      <c r="N8466" s="124"/>
      <c r="O8466" s="124"/>
    </row>
    <row r="8467">
      <c r="K8467" s="124"/>
      <c r="L8467" s="124"/>
      <c r="M8467" s="124"/>
      <c r="N8467" s="124"/>
      <c r="O8467" s="124"/>
    </row>
    <row r="8468">
      <c r="K8468" s="124"/>
      <c r="L8468" s="124"/>
      <c r="M8468" s="124"/>
      <c r="N8468" s="124"/>
      <c r="O8468" s="124"/>
    </row>
    <row r="8469">
      <c r="K8469" s="124"/>
      <c r="L8469" s="124"/>
      <c r="M8469" s="124"/>
      <c r="N8469" s="124"/>
      <c r="O8469" s="124"/>
    </row>
    <row r="8470">
      <c r="K8470" s="124"/>
      <c r="L8470" s="124"/>
      <c r="M8470" s="124"/>
      <c r="N8470" s="124"/>
      <c r="O8470" s="124"/>
    </row>
    <row r="8471">
      <c r="K8471" s="124"/>
      <c r="L8471" s="124"/>
      <c r="M8471" s="124"/>
      <c r="N8471" s="124"/>
      <c r="O8471" s="124"/>
    </row>
    <row r="8472">
      <c r="K8472" s="124"/>
      <c r="L8472" s="124"/>
      <c r="M8472" s="124"/>
      <c r="N8472" s="124"/>
      <c r="O8472" s="124"/>
    </row>
    <row r="8473">
      <c r="K8473" s="124"/>
      <c r="L8473" s="124"/>
      <c r="M8473" s="124"/>
      <c r="N8473" s="124"/>
      <c r="O8473" s="124"/>
    </row>
    <row r="8474">
      <c r="K8474" s="124"/>
      <c r="L8474" s="124"/>
      <c r="M8474" s="124"/>
      <c r="N8474" s="124"/>
      <c r="O8474" s="124"/>
    </row>
    <row r="8475">
      <c r="K8475" s="124"/>
      <c r="L8475" s="124"/>
      <c r="M8475" s="124"/>
      <c r="N8475" s="124"/>
      <c r="O8475" s="124"/>
    </row>
    <row r="8476">
      <c r="K8476" s="124"/>
      <c r="L8476" s="124"/>
      <c r="M8476" s="124"/>
      <c r="N8476" s="124"/>
      <c r="O8476" s="124"/>
    </row>
    <row r="8477">
      <c r="K8477" s="124"/>
      <c r="L8477" s="124"/>
      <c r="M8477" s="124"/>
      <c r="N8477" s="124"/>
      <c r="O8477" s="124"/>
    </row>
    <row r="8478">
      <c r="K8478" s="124"/>
      <c r="L8478" s="124"/>
      <c r="M8478" s="124"/>
      <c r="N8478" s="124"/>
      <c r="O8478" s="124"/>
    </row>
    <row r="8479">
      <c r="K8479" s="124"/>
      <c r="L8479" s="124"/>
      <c r="M8479" s="124"/>
      <c r="N8479" s="124"/>
      <c r="O8479" s="124"/>
    </row>
    <row r="8480">
      <c r="K8480" s="124"/>
      <c r="L8480" s="124"/>
      <c r="M8480" s="124"/>
      <c r="N8480" s="124"/>
      <c r="O8480" s="124"/>
    </row>
    <row r="8481">
      <c r="K8481" s="124"/>
      <c r="L8481" s="124"/>
      <c r="M8481" s="124"/>
      <c r="N8481" s="124"/>
      <c r="O8481" s="124"/>
    </row>
    <row r="8482">
      <c r="K8482" s="124"/>
      <c r="L8482" s="124"/>
      <c r="M8482" s="124"/>
      <c r="N8482" s="124"/>
      <c r="O8482" s="124"/>
    </row>
    <row r="8483">
      <c r="K8483" s="124"/>
      <c r="L8483" s="124"/>
      <c r="M8483" s="124"/>
      <c r="N8483" s="124"/>
      <c r="O8483" s="124"/>
    </row>
    <row r="8484">
      <c r="K8484" s="124"/>
      <c r="L8484" s="124"/>
      <c r="M8484" s="124"/>
      <c r="N8484" s="124"/>
      <c r="O8484" s="124"/>
    </row>
    <row r="8485">
      <c r="K8485" s="124"/>
      <c r="L8485" s="124"/>
      <c r="M8485" s="124"/>
      <c r="N8485" s="124"/>
      <c r="O8485" s="124"/>
    </row>
    <row r="8486">
      <c r="K8486" s="124"/>
      <c r="L8486" s="124"/>
      <c r="M8486" s="124"/>
      <c r="N8486" s="124"/>
      <c r="O8486" s="124"/>
    </row>
    <row r="8487">
      <c r="K8487" s="124"/>
      <c r="L8487" s="124"/>
      <c r="M8487" s="124"/>
      <c r="N8487" s="124"/>
      <c r="O8487" s="124"/>
    </row>
    <row r="8488">
      <c r="K8488" s="124"/>
      <c r="L8488" s="124"/>
      <c r="M8488" s="124"/>
      <c r="N8488" s="124"/>
      <c r="O8488" s="124"/>
    </row>
    <row r="8489">
      <c r="K8489" s="124"/>
      <c r="L8489" s="124"/>
      <c r="M8489" s="124"/>
      <c r="N8489" s="124"/>
      <c r="O8489" s="124"/>
    </row>
    <row r="8490">
      <c r="K8490" s="124"/>
      <c r="L8490" s="124"/>
      <c r="M8490" s="124"/>
      <c r="N8490" s="124"/>
      <c r="O8490" s="124"/>
    </row>
    <row r="8491">
      <c r="K8491" s="124"/>
      <c r="L8491" s="124"/>
      <c r="M8491" s="124"/>
      <c r="N8491" s="124"/>
      <c r="O8491" s="124"/>
    </row>
    <row r="8492">
      <c r="K8492" s="124"/>
      <c r="L8492" s="124"/>
      <c r="M8492" s="124"/>
      <c r="N8492" s="124"/>
      <c r="O8492" s="124"/>
    </row>
    <row r="8493">
      <c r="K8493" s="124"/>
      <c r="L8493" s="124"/>
      <c r="M8493" s="124"/>
      <c r="N8493" s="124"/>
      <c r="O8493" s="124"/>
    </row>
    <row r="8494">
      <c r="K8494" s="124"/>
      <c r="L8494" s="124"/>
      <c r="M8494" s="124"/>
      <c r="N8494" s="124"/>
      <c r="O8494" s="124"/>
    </row>
    <row r="8495">
      <c r="K8495" s="124"/>
      <c r="L8495" s="124"/>
      <c r="M8495" s="124"/>
      <c r="N8495" s="124"/>
      <c r="O8495" s="124"/>
    </row>
    <row r="8496">
      <c r="K8496" s="124"/>
      <c r="L8496" s="124"/>
      <c r="M8496" s="124"/>
      <c r="N8496" s="124"/>
      <c r="O8496" s="124"/>
    </row>
    <row r="8497">
      <c r="K8497" s="124"/>
      <c r="L8497" s="124"/>
      <c r="M8497" s="124"/>
      <c r="N8497" s="124"/>
      <c r="O8497" s="124"/>
    </row>
    <row r="8498">
      <c r="K8498" s="124"/>
      <c r="L8498" s="124"/>
      <c r="M8498" s="124"/>
      <c r="N8498" s="124"/>
      <c r="O8498" s="124"/>
    </row>
    <row r="8499">
      <c r="K8499" s="124"/>
      <c r="L8499" s="124"/>
      <c r="M8499" s="124"/>
      <c r="N8499" s="124"/>
      <c r="O8499" s="124"/>
    </row>
    <row r="8500">
      <c r="K8500" s="124"/>
      <c r="L8500" s="124"/>
      <c r="M8500" s="124"/>
      <c r="N8500" s="124"/>
      <c r="O8500" s="124"/>
    </row>
    <row r="8501">
      <c r="K8501" s="124"/>
      <c r="L8501" s="124"/>
      <c r="M8501" s="124"/>
      <c r="N8501" s="124"/>
      <c r="O8501" s="124"/>
    </row>
    <row r="8502">
      <c r="K8502" s="124"/>
      <c r="L8502" s="124"/>
      <c r="M8502" s="124"/>
      <c r="N8502" s="124"/>
      <c r="O8502" s="124"/>
    </row>
    <row r="8503">
      <c r="K8503" s="124"/>
      <c r="L8503" s="124"/>
      <c r="M8503" s="124"/>
      <c r="N8503" s="124"/>
      <c r="O8503" s="124"/>
    </row>
    <row r="8504">
      <c r="K8504" s="124"/>
      <c r="L8504" s="124"/>
      <c r="M8504" s="124"/>
      <c r="N8504" s="124"/>
      <c r="O8504" s="124"/>
    </row>
    <row r="8505">
      <c r="K8505" s="124"/>
      <c r="L8505" s="124"/>
      <c r="M8505" s="124"/>
      <c r="N8505" s="124"/>
      <c r="O8505" s="124"/>
    </row>
    <row r="8506">
      <c r="K8506" s="124"/>
      <c r="L8506" s="124"/>
      <c r="M8506" s="124"/>
      <c r="N8506" s="124"/>
      <c r="O8506" s="124"/>
    </row>
    <row r="8507">
      <c r="K8507" s="124"/>
      <c r="L8507" s="124"/>
      <c r="M8507" s="124"/>
      <c r="N8507" s="124"/>
      <c r="O8507" s="124"/>
    </row>
    <row r="8508">
      <c r="K8508" s="124"/>
      <c r="L8508" s="124"/>
      <c r="M8508" s="124"/>
      <c r="N8508" s="124"/>
      <c r="O8508" s="124"/>
    </row>
    <row r="8509">
      <c r="K8509" s="124"/>
      <c r="L8509" s="124"/>
      <c r="M8509" s="124"/>
      <c r="N8509" s="124"/>
      <c r="O8509" s="124"/>
    </row>
    <row r="8510">
      <c r="K8510" s="124"/>
      <c r="L8510" s="124"/>
      <c r="M8510" s="124"/>
      <c r="N8510" s="124"/>
      <c r="O8510" s="124"/>
    </row>
    <row r="8511">
      <c r="K8511" s="124"/>
      <c r="L8511" s="124"/>
      <c r="M8511" s="124"/>
      <c r="N8511" s="124"/>
      <c r="O8511" s="124"/>
    </row>
    <row r="8512">
      <c r="K8512" s="124"/>
      <c r="L8512" s="124"/>
      <c r="M8512" s="124"/>
      <c r="N8512" s="124"/>
      <c r="O8512" s="124"/>
    </row>
    <row r="8513">
      <c r="K8513" s="124"/>
      <c r="L8513" s="124"/>
      <c r="M8513" s="124"/>
      <c r="N8513" s="124"/>
      <c r="O8513" s="124"/>
    </row>
    <row r="8514">
      <c r="K8514" s="124"/>
      <c r="L8514" s="124"/>
      <c r="M8514" s="124"/>
      <c r="N8514" s="124"/>
      <c r="O8514" s="124"/>
    </row>
    <row r="8515">
      <c r="K8515" s="124"/>
      <c r="L8515" s="124"/>
      <c r="M8515" s="124"/>
      <c r="N8515" s="124"/>
      <c r="O8515" s="124"/>
    </row>
    <row r="8516">
      <c r="K8516" s="124"/>
      <c r="L8516" s="124"/>
      <c r="M8516" s="124"/>
      <c r="N8516" s="124"/>
      <c r="O8516" s="124"/>
    </row>
    <row r="8517">
      <c r="K8517" s="124"/>
      <c r="L8517" s="124"/>
      <c r="M8517" s="124"/>
      <c r="N8517" s="124"/>
      <c r="O8517" s="124"/>
    </row>
    <row r="8518">
      <c r="K8518" s="124"/>
      <c r="L8518" s="124"/>
      <c r="M8518" s="124"/>
      <c r="N8518" s="124"/>
      <c r="O8518" s="124"/>
    </row>
    <row r="8519">
      <c r="K8519" s="124"/>
      <c r="L8519" s="124"/>
      <c r="M8519" s="124"/>
      <c r="N8519" s="124"/>
      <c r="O8519" s="124"/>
    </row>
    <row r="8520">
      <c r="K8520" s="124"/>
      <c r="L8520" s="124"/>
      <c r="M8520" s="124"/>
      <c r="N8520" s="124"/>
      <c r="O8520" s="124"/>
    </row>
    <row r="8521">
      <c r="K8521" s="124"/>
      <c r="L8521" s="124"/>
      <c r="M8521" s="124"/>
      <c r="N8521" s="124"/>
      <c r="O8521" s="124"/>
    </row>
    <row r="8522">
      <c r="K8522" s="124"/>
      <c r="L8522" s="124"/>
      <c r="M8522" s="124"/>
      <c r="N8522" s="124"/>
      <c r="O8522" s="124"/>
    </row>
    <row r="8523">
      <c r="K8523" s="124"/>
      <c r="L8523" s="124"/>
      <c r="M8523" s="124"/>
      <c r="N8523" s="124"/>
      <c r="O8523" s="124"/>
    </row>
    <row r="8524">
      <c r="K8524" s="124"/>
      <c r="L8524" s="124"/>
      <c r="M8524" s="124"/>
      <c r="N8524" s="124"/>
      <c r="O8524" s="124"/>
    </row>
    <row r="8525">
      <c r="K8525" s="124"/>
      <c r="L8525" s="124"/>
      <c r="M8525" s="124"/>
      <c r="N8525" s="124"/>
      <c r="O8525" s="124"/>
    </row>
    <row r="8526">
      <c r="K8526" s="124"/>
      <c r="L8526" s="124"/>
      <c r="M8526" s="124"/>
      <c r="N8526" s="124"/>
      <c r="O8526" s="124"/>
    </row>
    <row r="8527">
      <c r="K8527" s="124"/>
      <c r="L8527" s="124"/>
      <c r="M8527" s="124"/>
      <c r="N8527" s="124"/>
      <c r="O8527" s="124"/>
    </row>
    <row r="8528">
      <c r="K8528" s="124"/>
      <c r="L8528" s="124"/>
      <c r="M8528" s="124"/>
      <c r="N8528" s="124"/>
      <c r="O8528" s="124"/>
    </row>
    <row r="8529">
      <c r="K8529" s="124"/>
      <c r="L8529" s="124"/>
      <c r="M8529" s="124"/>
      <c r="N8529" s="124"/>
      <c r="O8529" s="124"/>
    </row>
    <row r="8530">
      <c r="K8530" s="124"/>
      <c r="L8530" s="124"/>
      <c r="M8530" s="124"/>
      <c r="N8530" s="124"/>
      <c r="O8530" s="124"/>
    </row>
    <row r="8531">
      <c r="K8531" s="124"/>
      <c r="L8531" s="124"/>
      <c r="M8531" s="124"/>
      <c r="N8531" s="124"/>
      <c r="O8531" s="124"/>
    </row>
    <row r="8532">
      <c r="K8532" s="124"/>
      <c r="L8532" s="124"/>
      <c r="M8532" s="124"/>
      <c r="N8532" s="124"/>
      <c r="O8532" s="124"/>
    </row>
    <row r="8533">
      <c r="K8533" s="124"/>
      <c r="L8533" s="124"/>
      <c r="M8533" s="124"/>
      <c r="N8533" s="124"/>
      <c r="O8533" s="124"/>
    </row>
    <row r="8534">
      <c r="K8534" s="124"/>
      <c r="L8534" s="124"/>
      <c r="M8534" s="124"/>
      <c r="N8534" s="124"/>
      <c r="O8534" s="124"/>
    </row>
    <row r="8535">
      <c r="K8535" s="124"/>
      <c r="L8535" s="124"/>
      <c r="M8535" s="124"/>
      <c r="N8535" s="124"/>
      <c r="O8535" s="124"/>
    </row>
    <row r="8536">
      <c r="K8536" s="124"/>
      <c r="L8536" s="124"/>
      <c r="M8536" s="124"/>
      <c r="N8536" s="124"/>
      <c r="O8536" s="124"/>
    </row>
    <row r="8537">
      <c r="K8537" s="124"/>
      <c r="L8537" s="124"/>
      <c r="M8537" s="124"/>
      <c r="N8537" s="124"/>
      <c r="O8537" s="124"/>
    </row>
    <row r="8538">
      <c r="K8538" s="124"/>
      <c r="L8538" s="124"/>
      <c r="M8538" s="124"/>
      <c r="N8538" s="124"/>
      <c r="O8538" s="124"/>
    </row>
    <row r="8539">
      <c r="K8539" s="124"/>
      <c r="L8539" s="124"/>
      <c r="M8539" s="124"/>
      <c r="N8539" s="124"/>
      <c r="O8539" s="124"/>
    </row>
    <row r="8540">
      <c r="K8540" s="124"/>
      <c r="L8540" s="124"/>
      <c r="M8540" s="124"/>
      <c r="N8540" s="124"/>
      <c r="O8540" s="124"/>
    </row>
    <row r="8541">
      <c r="K8541" s="124"/>
      <c r="L8541" s="124"/>
      <c r="M8541" s="124"/>
      <c r="N8541" s="124"/>
      <c r="O8541" s="124"/>
    </row>
    <row r="8542">
      <c r="K8542" s="124"/>
      <c r="L8542" s="124"/>
      <c r="M8542" s="124"/>
      <c r="N8542" s="124"/>
      <c r="O8542" s="124"/>
    </row>
    <row r="8543">
      <c r="K8543" s="124"/>
      <c r="L8543" s="124"/>
      <c r="M8543" s="124"/>
      <c r="N8543" s="124"/>
      <c r="O8543" s="124"/>
    </row>
    <row r="8544">
      <c r="K8544" s="124"/>
      <c r="L8544" s="124"/>
      <c r="M8544" s="124"/>
      <c r="N8544" s="124"/>
      <c r="O8544" s="124"/>
    </row>
    <row r="8545">
      <c r="K8545" s="124"/>
      <c r="L8545" s="124"/>
      <c r="M8545" s="124"/>
      <c r="N8545" s="124"/>
      <c r="O8545" s="124"/>
    </row>
    <row r="8546">
      <c r="K8546" s="124"/>
      <c r="L8546" s="124"/>
      <c r="M8546" s="124"/>
      <c r="N8546" s="124"/>
      <c r="O8546" s="124"/>
    </row>
    <row r="8547">
      <c r="K8547" s="124"/>
      <c r="L8547" s="124"/>
      <c r="M8547" s="124"/>
      <c r="N8547" s="124"/>
      <c r="O8547" s="124"/>
    </row>
    <row r="8548">
      <c r="K8548" s="124"/>
      <c r="L8548" s="124"/>
      <c r="M8548" s="124"/>
      <c r="N8548" s="124"/>
      <c r="O8548" s="124"/>
    </row>
    <row r="8549">
      <c r="K8549" s="124"/>
      <c r="L8549" s="124"/>
      <c r="M8549" s="124"/>
      <c r="N8549" s="124"/>
      <c r="O8549" s="124"/>
    </row>
    <row r="8550">
      <c r="K8550" s="124"/>
      <c r="L8550" s="124"/>
      <c r="M8550" s="124"/>
      <c r="N8550" s="124"/>
      <c r="O8550" s="124"/>
    </row>
    <row r="8551">
      <c r="K8551" s="124"/>
      <c r="L8551" s="124"/>
      <c r="M8551" s="124"/>
      <c r="N8551" s="124"/>
      <c r="O8551" s="124"/>
    </row>
    <row r="8552">
      <c r="K8552" s="124"/>
      <c r="L8552" s="124"/>
      <c r="M8552" s="124"/>
      <c r="N8552" s="124"/>
      <c r="O8552" s="124"/>
    </row>
    <row r="8553">
      <c r="K8553" s="124"/>
      <c r="L8553" s="124"/>
      <c r="M8553" s="124"/>
      <c r="N8553" s="124"/>
      <c r="O8553" s="124"/>
    </row>
    <row r="8554">
      <c r="K8554" s="124"/>
      <c r="L8554" s="124"/>
      <c r="M8554" s="124"/>
      <c r="N8554" s="124"/>
      <c r="O8554" s="124"/>
    </row>
    <row r="8555">
      <c r="K8555" s="124"/>
      <c r="L8555" s="124"/>
      <c r="M8555" s="124"/>
      <c r="N8555" s="124"/>
      <c r="O8555" s="124"/>
    </row>
    <row r="8556">
      <c r="K8556" s="124"/>
      <c r="L8556" s="124"/>
      <c r="M8556" s="124"/>
      <c r="N8556" s="124"/>
      <c r="O8556" s="124"/>
    </row>
    <row r="8557">
      <c r="K8557" s="124"/>
      <c r="L8557" s="124"/>
      <c r="M8557" s="124"/>
      <c r="N8557" s="124"/>
      <c r="O8557" s="124"/>
    </row>
    <row r="8558">
      <c r="K8558" s="124"/>
      <c r="L8558" s="124"/>
      <c r="M8558" s="124"/>
      <c r="N8558" s="124"/>
      <c r="O8558" s="124"/>
    </row>
    <row r="8559">
      <c r="K8559" s="124"/>
      <c r="L8559" s="124"/>
      <c r="M8559" s="124"/>
      <c r="N8559" s="124"/>
      <c r="O8559" s="124"/>
    </row>
    <row r="8560">
      <c r="K8560" s="124"/>
      <c r="L8560" s="124"/>
      <c r="M8560" s="124"/>
      <c r="N8560" s="124"/>
      <c r="O8560" s="124"/>
    </row>
    <row r="8561">
      <c r="K8561" s="124"/>
      <c r="L8561" s="124"/>
      <c r="M8561" s="124"/>
      <c r="N8561" s="124"/>
      <c r="O8561" s="124"/>
    </row>
    <row r="8562">
      <c r="K8562" s="124"/>
      <c r="L8562" s="124"/>
      <c r="M8562" s="124"/>
      <c r="N8562" s="124"/>
      <c r="O8562" s="124"/>
    </row>
    <row r="8563">
      <c r="K8563" s="124"/>
      <c r="L8563" s="124"/>
      <c r="M8563" s="124"/>
      <c r="N8563" s="124"/>
      <c r="O8563" s="124"/>
    </row>
    <row r="8564">
      <c r="K8564" s="124"/>
      <c r="L8564" s="124"/>
      <c r="M8564" s="124"/>
      <c r="N8564" s="124"/>
      <c r="O8564" s="124"/>
    </row>
    <row r="8565">
      <c r="K8565" s="124"/>
      <c r="L8565" s="124"/>
      <c r="M8565" s="124"/>
      <c r="N8565" s="124"/>
      <c r="O8565" s="124"/>
    </row>
    <row r="8566">
      <c r="K8566" s="124"/>
      <c r="L8566" s="124"/>
      <c r="M8566" s="124"/>
      <c r="N8566" s="124"/>
      <c r="O8566" s="124"/>
    </row>
    <row r="8567">
      <c r="K8567" s="124"/>
      <c r="L8567" s="124"/>
      <c r="M8567" s="124"/>
      <c r="N8567" s="124"/>
      <c r="O8567" s="124"/>
    </row>
    <row r="8568">
      <c r="K8568" s="124"/>
      <c r="L8568" s="124"/>
      <c r="M8568" s="124"/>
      <c r="N8568" s="124"/>
      <c r="O8568" s="124"/>
    </row>
    <row r="8569">
      <c r="K8569" s="124"/>
      <c r="L8569" s="124"/>
      <c r="M8569" s="124"/>
      <c r="N8569" s="124"/>
      <c r="O8569" s="124"/>
    </row>
    <row r="8570">
      <c r="K8570" s="124"/>
      <c r="L8570" s="124"/>
      <c r="M8570" s="124"/>
      <c r="N8570" s="124"/>
      <c r="O8570" s="124"/>
    </row>
    <row r="8571">
      <c r="K8571" s="124"/>
      <c r="L8571" s="124"/>
      <c r="M8571" s="124"/>
      <c r="N8571" s="124"/>
      <c r="O8571" s="124"/>
    </row>
    <row r="8572">
      <c r="K8572" s="124"/>
      <c r="L8572" s="124"/>
      <c r="M8572" s="124"/>
      <c r="N8572" s="124"/>
      <c r="O8572" s="124"/>
    </row>
    <row r="8573">
      <c r="K8573" s="124"/>
      <c r="L8573" s="124"/>
      <c r="M8573" s="124"/>
      <c r="N8573" s="124"/>
      <c r="O8573" s="124"/>
    </row>
    <row r="8574">
      <c r="K8574" s="124"/>
      <c r="L8574" s="124"/>
      <c r="M8574" s="124"/>
      <c r="N8574" s="124"/>
      <c r="O8574" s="124"/>
    </row>
    <row r="8575">
      <c r="K8575" s="124"/>
      <c r="L8575" s="124"/>
      <c r="M8575" s="124"/>
      <c r="N8575" s="124"/>
      <c r="O8575" s="124"/>
    </row>
    <row r="8576">
      <c r="K8576" s="124"/>
      <c r="L8576" s="124"/>
      <c r="M8576" s="124"/>
      <c r="N8576" s="124"/>
      <c r="O8576" s="124"/>
    </row>
    <row r="8577">
      <c r="K8577" s="124"/>
      <c r="L8577" s="124"/>
      <c r="M8577" s="124"/>
      <c r="N8577" s="124"/>
      <c r="O8577" s="124"/>
    </row>
    <row r="8578">
      <c r="K8578" s="124"/>
      <c r="L8578" s="124"/>
      <c r="M8578" s="124"/>
      <c r="N8578" s="124"/>
      <c r="O8578" s="124"/>
    </row>
    <row r="8579">
      <c r="K8579" s="124"/>
      <c r="L8579" s="124"/>
      <c r="M8579" s="124"/>
      <c r="N8579" s="124"/>
      <c r="O8579" s="124"/>
    </row>
    <row r="8580">
      <c r="K8580" s="124"/>
      <c r="L8580" s="124"/>
      <c r="M8580" s="124"/>
      <c r="N8580" s="124"/>
      <c r="O8580" s="124"/>
    </row>
    <row r="8581">
      <c r="K8581" s="124"/>
      <c r="L8581" s="124"/>
      <c r="M8581" s="124"/>
      <c r="N8581" s="124"/>
      <c r="O8581" s="124"/>
    </row>
    <row r="8582">
      <c r="K8582" s="124"/>
      <c r="L8582" s="124"/>
      <c r="M8582" s="124"/>
      <c r="N8582" s="124"/>
      <c r="O8582" s="124"/>
    </row>
    <row r="8583">
      <c r="K8583" s="124"/>
      <c r="L8583" s="124"/>
      <c r="M8583" s="124"/>
      <c r="N8583" s="124"/>
      <c r="O8583" s="124"/>
    </row>
    <row r="8584">
      <c r="K8584" s="124"/>
      <c r="L8584" s="124"/>
      <c r="M8584" s="124"/>
      <c r="N8584" s="124"/>
      <c r="O8584" s="124"/>
    </row>
    <row r="8585">
      <c r="K8585" s="124"/>
      <c r="L8585" s="124"/>
      <c r="M8585" s="124"/>
      <c r="N8585" s="124"/>
      <c r="O8585" s="124"/>
    </row>
    <row r="8586">
      <c r="K8586" s="124"/>
      <c r="L8586" s="124"/>
      <c r="M8586" s="124"/>
      <c r="N8586" s="124"/>
      <c r="O8586" s="124"/>
    </row>
    <row r="8587">
      <c r="K8587" s="124"/>
      <c r="L8587" s="124"/>
      <c r="M8587" s="124"/>
      <c r="N8587" s="124"/>
      <c r="O8587" s="124"/>
    </row>
    <row r="8588">
      <c r="K8588" s="124"/>
      <c r="L8588" s="124"/>
      <c r="M8588" s="124"/>
      <c r="N8588" s="124"/>
      <c r="O8588" s="124"/>
    </row>
    <row r="8589">
      <c r="K8589" s="124"/>
      <c r="L8589" s="124"/>
      <c r="M8589" s="124"/>
      <c r="N8589" s="124"/>
      <c r="O8589" s="124"/>
    </row>
    <row r="8590">
      <c r="K8590" s="124"/>
      <c r="L8590" s="124"/>
      <c r="M8590" s="124"/>
      <c r="N8590" s="124"/>
      <c r="O8590" s="124"/>
    </row>
    <row r="8591">
      <c r="K8591" s="124"/>
      <c r="L8591" s="124"/>
      <c r="M8591" s="124"/>
      <c r="N8591" s="124"/>
      <c r="O8591" s="124"/>
    </row>
    <row r="8592">
      <c r="K8592" s="124"/>
      <c r="L8592" s="124"/>
      <c r="M8592" s="124"/>
      <c r="N8592" s="124"/>
      <c r="O8592" s="124"/>
    </row>
    <row r="8593">
      <c r="K8593" s="124"/>
      <c r="L8593" s="124"/>
      <c r="M8593" s="124"/>
      <c r="N8593" s="124"/>
      <c r="O8593" s="124"/>
    </row>
    <row r="8594">
      <c r="K8594" s="124"/>
      <c r="L8594" s="124"/>
      <c r="M8594" s="124"/>
      <c r="N8594" s="124"/>
      <c r="O8594" s="124"/>
    </row>
    <row r="8595">
      <c r="K8595" s="124"/>
      <c r="L8595" s="124"/>
      <c r="M8595" s="124"/>
      <c r="N8595" s="124"/>
      <c r="O8595" s="124"/>
    </row>
    <row r="8596">
      <c r="K8596" s="124"/>
      <c r="L8596" s="124"/>
      <c r="M8596" s="124"/>
      <c r="N8596" s="124"/>
      <c r="O8596" s="124"/>
    </row>
    <row r="8597">
      <c r="K8597" s="124"/>
      <c r="L8597" s="124"/>
      <c r="M8597" s="124"/>
      <c r="N8597" s="124"/>
      <c r="O8597" s="124"/>
    </row>
    <row r="8598">
      <c r="K8598" s="124"/>
      <c r="L8598" s="124"/>
      <c r="M8598" s="124"/>
      <c r="N8598" s="124"/>
      <c r="O8598" s="124"/>
    </row>
    <row r="8599">
      <c r="K8599" s="124"/>
      <c r="L8599" s="124"/>
      <c r="M8599" s="124"/>
      <c r="N8599" s="124"/>
      <c r="O8599" s="124"/>
    </row>
    <row r="8600">
      <c r="K8600" s="124"/>
      <c r="L8600" s="124"/>
      <c r="M8600" s="124"/>
      <c r="N8600" s="124"/>
      <c r="O8600" s="124"/>
    </row>
    <row r="8601">
      <c r="K8601" s="124"/>
      <c r="L8601" s="124"/>
      <c r="M8601" s="124"/>
      <c r="N8601" s="124"/>
      <c r="O8601" s="124"/>
    </row>
    <row r="8602">
      <c r="K8602" s="124"/>
      <c r="L8602" s="124"/>
      <c r="M8602" s="124"/>
      <c r="N8602" s="124"/>
      <c r="O8602" s="124"/>
    </row>
    <row r="8603">
      <c r="K8603" s="124"/>
      <c r="L8603" s="124"/>
      <c r="M8603" s="124"/>
      <c r="N8603" s="124"/>
      <c r="O8603" s="124"/>
    </row>
    <row r="8604">
      <c r="K8604" s="124"/>
      <c r="L8604" s="124"/>
      <c r="M8604" s="124"/>
      <c r="N8604" s="124"/>
      <c r="O8604" s="124"/>
    </row>
    <row r="8605">
      <c r="K8605" s="124"/>
      <c r="L8605" s="124"/>
      <c r="M8605" s="124"/>
      <c r="N8605" s="124"/>
      <c r="O8605" s="124"/>
    </row>
    <row r="8606">
      <c r="K8606" s="124"/>
      <c r="L8606" s="124"/>
      <c r="M8606" s="124"/>
      <c r="N8606" s="124"/>
      <c r="O8606" s="124"/>
    </row>
    <row r="8607">
      <c r="K8607" s="124"/>
      <c r="L8607" s="124"/>
      <c r="M8607" s="124"/>
      <c r="N8607" s="124"/>
      <c r="O8607" s="124"/>
    </row>
    <row r="8608">
      <c r="K8608" s="124"/>
      <c r="L8608" s="124"/>
      <c r="M8608" s="124"/>
      <c r="N8608" s="124"/>
      <c r="O8608" s="124"/>
    </row>
    <row r="8609">
      <c r="K8609" s="124"/>
      <c r="L8609" s="124"/>
      <c r="M8609" s="124"/>
      <c r="N8609" s="124"/>
      <c r="O8609" s="124"/>
    </row>
    <row r="8610">
      <c r="K8610" s="124"/>
      <c r="L8610" s="124"/>
      <c r="M8610" s="124"/>
      <c r="N8610" s="124"/>
      <c r="O8610" s="124"/>
    </row>
    <row r="8611">
      <c r="K8611" s="124"/>
      <c r="L8611" s="124"/>
      <c r="M8611" s="124"/>
      <c r="N8611" s="124"/>
      <c r="O8611" s="124"/>
    </row>
    <row r="8612">
      <c r="K8612" s="124"/>
      <c r="L8612" s="124"/>
      <c r="M8612" s="124"/>
      <c r="N8612" s="124"/>
      <c r="O8612" s="124"/>
    </row>
    <row r="8613">
      <c r="K8613" s="124"/>
      <c r="L8613" s="124"/>
      <c r="M8613" s="124"/>
      <c r="N8613" s="124"/>
      <c r="O8613" s="124"/>
    </row>
    <row r="8614">
      <c r="K8614" s="124"/>
      <c r="L8614" s="124"/>
      <c r="M8614" s="124"/>
      <c r="N8614" s="124"/>
      <c r="O8614" s="124"/>
    </row>
    <row r="8615">
      <c r="K8615" s="124"/>
      <c r="L8615" s="124"/>
      <c r="M8615" s="124"/>
      <c r="N8615" s="124"/>
      <c r="O8615" s="124"/>
    </row>
    <row r="8616">
      <c r="K8616" s="124"/>
      <c r="L8616" s="124"/>
      <c r="M8616" s="124"/>
      <c r="N8616" s="124"/>
      <c r="O8616" s="124"/>
    </row>
    <row r="8617">
      <c r="K8617" s="124"/>
      <c r="L8617" s="124"/>
      <c r="M8617" s="124"/>
      <c r="N8617" s="124"/>
      <c r="O8617" s="124"/>
    </row>
    <row r="8618">
      <c r="K8618" s="124"/>
      <c r="L8618" s="124"/>
      <c r="M8618" s="124"/>
      <c r="N8618" s="124"/>
      <c r="O8618" s="124"/>
    </row>
    <row r="8619">
      <c r="K8619" s="124"/>
      <c r="L8619" s="124"/>
      <c r="M8619" s="124"/>
      <c r="N8619" s="124"/>
      <c r="O8619" s="124"/>
    </row>
    <row r="8620">
      <c r="K8620" s="124"/>
      <c r="L8620" s="124"/>
      <c r="M8620" s="124"/>
      <c r="N8620" s="124"/>
      <c r="O8620" s="124"/>
    </row>
    <row r="8621">
      <c r="K8621" s="124"/>
      <c r="L8621" s="124"/>
      <c r="M8621" s="124"/>
      <c r="N8621" s="124"/>
      <c r="O8621" s="124"/>
    </row>
    <row r="8622">
      <c r="K8622" s="124"/>
      <c r="L8622" s="124"/>
      <c r="M8622" s="124"/>
      <c r="N8622" s="124"/>
      <c r="O8622" s="124"/>
    </row>
    <row r="8623">
      <c r="K8623" s="124"/>
      <c r="L8623" s="124"/>
      <c r="M8623" s="124"/>
      <c r="N8623" s="124"/>
      <c r="O8623" s="124"/>
    </row>
    <row r="8624">
      <c r="K8624" s="124"/>
      <c r="L8624" s="124"/>
      <c r="M8624" s="124"/>
      <c r="N8624" s="124"/>
      <c r="O8624" s="124"/>
    </row>
    <row r="8625">
      <c r="K8625" s="124"/>
      <c r="L8625" s="124"/>
      <c r="M8625" s="124"/>
      <c r="N8625" s="124"/>
      <c r="O8625" s="124"/>
    </row>
    <row r="8626">
      <c r="K8626" s="124"/>
      <c r="L8626" s="124"/>
      <c r="M8626" s="124"/>
      <c r="N8626" s="124"/>
      <c r="O8626" s="124"/>
    </row>
    <row r="8627">
      <c r="K8627" s="124"/>
      <c r="L8627" s="124"/>
      <c r="M8627" s="124"/>
      <c r="N8627" s="124"/>
      <c r="O8627" s="124"/>
    </row>
    <row r="8628">
      <c r="K8628" s="124"/>
      <c r="L8628" s="124"/>
      <c r="M8628" s="124"/>
      <c r="N8628" s="124"/>
      <c r="O8628" s="124"/>
    </row>
    <row r="8629">
      <c r="K8629" s="124"/>
      <c r="L8629" s="124"/>
      <c r="M8629" s="124"/>
      <c r="N8629" s="124"/>
      <c r="O8629" s="124"/>
    </row>
    <row r="8630">
      <c r="K8630" s="124"/>
      <c r="L8630" s="124"/>
      <c r="M8630" s="124"/>
      <c r="N8630" s="124"/>
      <c r="O8630" s="124"/>
    </row>
    <row r="8631">
      <c r="K8631" s="124"/>
      <c r="L8631" s="124"/>
      <c r="M8631" s="124"/>
      <c r="N8631" s="124"/>
      <c r="O8631" s="124"/>
    </row>
    <row r="8632">
      <c r="K8632" s="124"/>
      <c r="L8632" s="124"/>
      <c r="M8632" s="124"/>
      <c r="N8632" s="124"/>
      <c r="O8632" s="124"/>
    </row>
    <row r="8633">
      <c r="K8633" s="124"/>
      <c r="L8633" s="124"/>
      <c r="M8633" s="124"/>
      <c r="N8633" s="124"/>
      <c r="O8633" s="124"/>
    </row>
    <row r="8634">
      <c r="K8634" s="124"/>
      <c r="L8634" s="124"/>
      <c r="M8634" s="124"/>
      <c r="N8634" s="124"/>
      <c r="O8634" s="124"/>
    </row>
    <row r="8635">
      <c r="K8635" s="124"/>
      <c r="L8635" s="124"/>
      <c r="M8635" s="124"/>
      <c r="N8635" s="124"/>
      <c r="O8635" s="124"/>
    </row>
    <row r="8636">
      <c r="K8636" s="124"/>
      <c r="L8636" s="124"/>
      <c r="M8636" s="124"/>
      <c r="N8636" s="124"/>
      <c r="O8636" s="124"/>
    </row>
    <row r="8637">
      <c r="K8637" s="124"/>
      <c r="L8637" s="124"/>
      <c r="M8637" s="124"/>
      <c r="N8637" s="124"/>
      <c r="O8637" s="124"/>
    </row>
    <row r="8638">
      <c r="K8638" s="124"/>
      <c r="L8638" s="124"/>
      <c r="M8638" s="124"/>
      <c r="N8638" s="124"/>
      <c r="O8638" s="124"/>
    </row>
    <row r="8639">
      <c r="K8639" s="124"/>
      <c r="L8639" s="124"/>
      <c r="M8639" s="124"/>
      <c r="N8639" s="124"/>
      <c r="O8639" s="124"/>
    </row>
    <row r="8640">
      <c r="K8640" s="124"/>
      <c r="L8640" s="124"/>
      <c r="M8640" s="124"/>
      <c r="N8640" s="124"/>
      <c r="O8640" s="124"/>
    </row>
    <row r="8641">
      <c r="K8641" s="124"/>
      <c r="L8641" s="124"/>
      <c r="M8641" s="124"/>
      <c r="N8641" s="124"/>
      <c r="O8641" s="124"/>
    </row>
    <row r="8642">
      <c r="K8642" s="124"/>
      <c r="L8642" s="124"/>
      <c r="M8642" s="124"/>
      <c r="N8642" s="124"/>
      <c r="O8642" s="124"/>
    </row>
    <row r="8643">
      <c r="K8643" s="124"/>
      <c r="L8643" s="124"/>
      <c r="M8643" s="124"/>
      <c r="N8643" s="124"/>
      <c r="O8643" s="124"/>
    </row>
    <row r="8644">
      <c r="K8644" s="124"/>
      <c r="L8644" s="124"/>
      <c r="M8644" s="124"/>
      <c r="N8644" s="124"/>
      <c r="O8644" s="124"/>
    </row>
    <row r="8645">
      <c r="K8645" s="124"/>
      <c r="L8645" s="124"/>
      <c r="M8645" s="124"/>
      <c r="N8645" s="124"/>
      <c r="O8645" s="124"/>
    </row>
    <row r="8646">
      <c r="K8646" s="124"/>
      <c r="L8646" s="124"/>
      <c r="M8646" s="124"/>
      <c r="N8646" s="124"/>
      <c r="O8646" s="124"/>
    </row>
    <row r="8647">
      <c r="K8647" s="124"/>
      <c r="L8647" s="124"/>
      <c r="M8647" s="124"/>
      <c r="N8647" s="124"/>
      <c r="O8647" s="124"/>
    </row>
    <row r="8648">
      <c r="K8648" s="124"/>
      <c r="L8648" s="124"/>
      <c r="M8648" s="124"/>
      <c r="N8648" s="124"/>
      <c r="O8648" s="124"/>
    </row>
    <row r="8649">
      <c r="K8649" s="124"/>
      <c r="L8649" s="124"/>
      <c r="M8649" s="124"/>
      <c r="N8649" s="124"/>
      <c r="O8649" s="124"/>
    </row>
    <row r="8650">
      <c r="K8650" s="124"/>
      <c r="L8650" s="124"/>
      <c r="M8650" s="124"/>
      <c r="N8650" s="124"/>
      <c r="O8650" s="124"/>
    </row>
    <row r="8651">
      <c r="K8651" s="124"/>
      <c r="L8651" s="124"/>
      <c r="M8651" s="124"/>
      <c r="N8651" s="124"/>
      <c r="O8651" s="124"/>
    </row>
    <row r="8652">
      <c r="K8652" s="124"/>
      <c r="L8652" s="124"/>
      <c r="M8652" s="124"/>
      <c r="N8652" s="124"/>
      <c r="O8652" s="124"/>
    </row>
    <row r="8653">
      <c r="K8653" s="124"/>
      <c r="L8653" s="124"/>
      <c r="M8653" s="124"/>
      <c r="N8653" s="124"/>
      <c r="O8653" s="124"/>
    </row>
    <row r="8654">
      <c r="K8654" s="124"/>
      <c r="L8654" s="124"/>
      <c r="M8654" s="124"/>
      <c r="N8654" s="124"/>
      <c r="O8654" s="124"/>
    </row>
    <row r="8655">
      <c r="K8655" s="124"/>
      <c r="L8655" s="124"/>
      <c r="M8655" s="124"/>
      <c r="N8655" s="124"/>
      <c r="O8655" s="124"/>
    </row>
    <row r="8656">
      <c r="K8656" s="124"/>
      <c r="L8656" s="124"/>
      <c r="M8656" s="124"/>
      <c r="N8656" s="124"/>
      <c r="O8656" s="124"/>
    </row>
    <row r="8657">
      <c r="K8657" s="124"/>
      <c r="L8657" s="124"/>
      <c r="M8657" s="124"/>
      <c r="N8657" s="124"/>
      <c r="O8657" s="124"/>
    </row>
    <row r="8658">
      <c r="K8658" s="124"/>
      <c r="L8658" s="124"/>
      <c r="M8658" s="124"/>
      <c r="N8658" s="124"/>
      <c r="O8658" s="124"/>
    </row>
    <row r="8659">
      <c r="K8659" s="124"/>
      <c r="L8659" s="124"/>
      <c r="M8659" s="124"/>
      <c r="N8659" s="124"/>
      <c r="O8659" s="124"/>
    </row>
    <row r="8660">
      <c r="K8660" s="124"/>
      <c r="L8660" s="124"/>
      <c r="M8660" s="124"/>
      <c r="N8660" s="124"/>
      <c r="O8660" s="124"/>
    </row>
    <row r="8661">
      <c r="K8661" s="124"/>
      <c r="L8661" s="124"/>
      <c r="M8661" s="124"/>
      <c r="N8661" s="124"/>
      <c r="O8661" s="124"/>
    </row>
    <row r="8662">
      <c r="K8662" s="124"/>
      <c r="L8662" s="124"/>
      <c r="M8662" s="124"/>
      <c r="N8662" s="124"/>
      <c r="O8662" s="124"/>
    </row>
    <row r="8663">
      <c r="K8663" s="124"/>
      <c r="L8663" s="124"/>
      <c r="M8663" s="124"/>
      <c r="N8663" s="124"/>
      <c r="O8663" s="124"/>
    </row>
    <row r="8664">
      <c r="K8664" s="124"/>
      <c r="L8664" s="124"/>
      <c r="M8664" s="124"/>
      <c r="N8664" s="124"/>
      <c r="O8664" s="124"/>
    </row>
    <row r="8665">
      <c r="K8665" s="124"/>
      <c r="L8665" s="124"/>
      <c r="M8665" s="124"/>
      <c r="N8665" s="124"/>
      <c r="O8665" s="124"/>
    </row>
    <row r="8666">
      <c r="K8666" s="124"/>
      <c r="L8666" s="124"/>
      <c r="M8666" s="124"/>
      <c r="N8666" s="124"/>
      <c r="O8666" s="124"/>
    </row>
    <row r="8667">
      <c r="K8667" s="124"/>
      <c r="L8667" s="124"/>
      <c r="M8667" s="124"/>
      <c r="N8667" s="124"/>
      <c r="O8667" s="124"/>
    </row>
    <row r="8668">
      <c r="K8668" s="124"/>
      <c r="L8668" s="124"/>
      <c r="M8668" s="124"/>
      <c r="N8668" s="124"/>
      <c r="O8668" s="124"/>
    </row>
    <row r="8669">
      <c r="K8669" s="124"/>
      <c r="L8669" s="124"/>
      <c r="M8669" s="124"/>
      <c r="N8669" s="124"/>
      <c r="O8669" s="124"/>
    </row>
    <row r="8670">
      <c r="K8670" s="124"/>
      <c r="L8670" s="124"/>
      <c r="M8670" s="124"/>
      <c r="N8670" s="124"/>
      <c r="O8670" s="124"/>
    </row>
    <row r="8671">
      <c r="K8671" s="124"/>
      <c r="L8671" s="124"/>
      <c r="M8671" s="124"/>
      <c r="N8671" s="124"/>
      <c r="O8671" s="124"/>
    </row>
    <row r="8672">
      <c r="K8672" s="124"/>
      <c r="L8672" s="124"/>
      <c r="M8672" s="124"/>
      <c r="N8672" s="124"/>
      <c r="O8672" s="124"/>
    </row>
    <row r="8673">
      <c r="K8673" s="124"/>
      <c r="L8673" s="124"/>
      <c r="M8673" s="124"/>
      <c r="N8673" s="124"/>
      <c r="O8673" s="124"/>
    </row>
    <row r="8674">
      <c r="K8674" s="124"/>
      <c r="L8674" s="124"/>
      <c r="M8674" s="124"/>
      <c r="N8674" s="124"/>
      <c r="O8674" s="124"/>
    </row>
    <row r="8675">
      <c r="K8675" s="124"/>
      <c r="L8675" s="124"/>
      <c r="M8675" s="124"/>
      <c r="N8675" s="124"/>
      <c r="O8675" s="124"/>
    </row>
    <row r="8676">
      <c r="K8676" s="124"/>
      <c r="L8676" s="124"/>
      <c r="M8676" s="124"/>
      <c r="N8676" s="124"/>
      <c r="O8676" s="124"/>
    </row>
    <row r="8677">
      <c r="K8677" s="124"/>
      <c r="L8677" s="124"/>
      <c r="M8677" s="124"/>
      <c r="N8677" s="124"/>
      <c r="O8677" s="124"/>
    </row>
    <row r="8678">
      <c r="K8678" s="124"/>
      <c r="L8678" s="124"/>
      <c r="M8678" s="124"/>
      <c r="N8678" s="124"/>
      <c r="O8678" s="124"/>
    </row>
    <row r="8679">
      <c r="K8679" s="124"/>
      <c r="L8679" s="124"/>
      <c r="M8679" s="124"/>
      <c r="N8679" s="124"/>
      <c r="O8679" s="124"/>
    </row>
    <row r="8680">
      <c r="K8680" s="124"/>
      <c r="L8680" s="124"/>
      <c r="M8680" s="124"/>
      <c r="N8680" s="124"/>
      <c r="O8680" s="124"/>
    </row>
    <row r="8681">
      <c r="K8681" s="124"/>
      <c r="L8681" s="124"/>
      <c r="M8681" s="124"/>
      <c r="N8681" s="124"/>
      <c r="O8681" s="124"/>
    </row>
    <row r="8682">
      <c r="K8682" s="124"/>
      <c r="L8682" s="124"/>
      <c r="M8682" s="124"/>
      <c r="N8682" s="124"/>
      <c r="O8682" s="124"/>
    </row>
    <row r="8683">
      <c r="K8683" s="124"/>
      <c r="L8683" s="124"/>
      <c r="M8683" s="124"/>
      <c r="N8683" s="124"/>
      <c r="O8683" s="124"/>
    </row>
    <row r="8684">
      <c r="K8684" s="124"/>
      <c r="L8684" s="124"/>
      <c r="M8684" s="124"/>
      <c r="N8684" s="124"/>
      <c r="O8684" s="124"/>
    </row>
    <row r="8685">
      <c r="K8685" s="124"/>
      <c r="L8685" s="124"/>
      <c r="M8685" s="124"/>
      <c r="N8685" s="124"/>
      <c r="O8685" s="124"/>
    </row>
    <row r="8686">
      <c r="K8686" s="124"/>
      <c r="L8686" s="124"/>
      <c r="M8686" s="124"/>
      <c r="N8686" s="124"/>
      <c r="O8686" s="124"/>
    </row>
    <row r="8687">
      <c r="K8687" s="124"/>
      <c r="L8687" s="124"/>
      <c r="M8687" s="124"/>
      <c r="N8687" s="124"/>
      <c r="O8687" s="124"/>
    </row>
    <row r="8688">
      <c r="K8688" s="124"/>
      <c r="L8688" s="124"/>
      <c r="M8688" s="124"/>
      <c r="N8688" s="124"/>
      <c r="O8688" s="124"/>
    </row>
    <row r="8689">
      <c r="K8689" s="124"/>
      <c r="L8689" s="124"/>
      <c r="M8689" s="124"/>
      <c r="N8689" s="124"/>
      <c r="O8689" s="124"/>
    </row>
    <row r="8690">
      <c r="K8690" s="124"/>
      <c r="L8690" s="124"/>
      <c r="M8690" s="124"/>
      <c r="N8690" s="124"/>
      <c r="O8690" s="124"/>
    </row>
    <row r="8691">
      <c r="K8691" s="124"/>
      <c r="L8691" s="124"/>
      <c r="M8691" s="124"/>
      <c r="N8691" s="124"/>
      <c r="O8691" s="124"/>
    </row>
    <row r="8692">
      <c r="K8692" s="124"/>
      <c r="L8692" s="124"/>
      <c r="M8692" s="124"/>
      <c r="N8692" s="124"/>
      <c r="O8692" s="124"/>
    </row>
    <row r="8693">
      <c r="K8693" s="124"/>
      <c r="L8693" s="124"/>
      <c r="M8693" s="124"/>
      <c r="N8693" s="124"/>
      <c r="O8693" s="124"/>
    </row>
    <row r="8694">
      <c r="K8694" s="124"/>
      <c r="L8694" s="124"/>
      <c r="M8694" s="124"/>
      <c r="N8694" s="124"/>
      <c r="O8694" s="124"/>
    </row>
    <row r="8695">
      <c r="K8695" s="124"/>
      <c r="L8695" s="124"/>
      <c r="M8695" s="124"/>
      <c r="N8695" s="124"/>
      <c r="O8695" s="124"/>
    </row>
    <row r="8696">
      <c r="K8696" s="124"/>
      <c r="L8696" s="124"/>
      <c r="M8696" s="124"/>
      <c r="N8696" s="124"/>
      <c r="O8696" s="124"/>
    </row>
    <row r="8697">
      <c r="K8697" s="124"/>
      <c r="L8697" s="124"/>
      <c r="M8697" s="124"/>
      <c r="N8697" s="124"/>
      <c r="O8697" s="124"/>
    </row>
    <row r="8698">
      <c r="K8698" s="124"/>
      <c r="L8698" s="124"/>
      <c r="M8698" s="124"/>
      <c r="N8698" s="124"/>
      <c r="O8698" s="124"/>
    </row>
    <row r="8699">
      <c r="K8699" s="124"/>
      <c r="L8699" s="124"/>
      <c r="M8699" s="124"/>
      <c r="N8699" s="124"/>
      <c r="O8699" s="124"/>
    </row>
    <row r="8700">
      <c r="K8700" s="124"/>
      <c r="L8700" s="124"/>
      <c r="M8700" s="124"/>
      <c r="N8700" s="124"/>
      <c r="O8700" s="124"/>
    </row>
    <row r="8701">
      <c r="K8701" s="124"/>
      <c r="L8701" s="124"/>
      <c r="M8701" s="124"/>
      <c r="N8701" s="124"/>
      <c r="O8701" s="124"/>
    </row>
    <row r="8702">
      <c r="K8702" s="124"/>
      <c r="L8702" s="124"/>
      <c r="M8702" s="124"/>
      <c r="N8702" s="124"/>
      <c r="O8702" s="124"/>
    </row>
    <row r="8703">
      <c r="K8703" s="124"/>
      <c r="L8703" s="124"/>
      <c r="M8703" s="124"/>
      <c r="N8703" s="124"/>
      <c r="O8703" s="124"/>
    </row>
    <row r="8704">
      <c r="K8704" s="124"/>
      <c r="L8704" s="124"/>
      <c r="M8704" s="124"/>
      <c r="N8704" s="124"/>
      <c r="O8704" s="124"/>
    </row>
    <row r="8705">
      <c r="K8705" s="124"/>
      <c r="L8705" s="124"/>
      <c r="M8705" s="124"/>
      <c r="N8705" s="124"/>
      <c r="O8705" s="124"/>
    </row>
    <row r="8706">
      <c r="K8706" s="124"/>
      <c r="L8706" s="124"/>
      <c r="M8706" s="124"/>
      <c r="N8706" s="124"/>
      <c r="O8706" s="124"/>
    </row>
    <row r="8707">
      <c r="K8707" s="124"/>
      <c r="L8707" s="124"/>
      <c r="M8707" s="124"/>
      <c r="N8707" s="124"/>
      <c r="O8707" s="124"/>
    </row>
    <row r="8708">
      <c r="K8708" s="124"/>
      <c r="L8708" s="124"/>
      <c r="M8708" s="124"/>
      <c r="N8708" s="124"/>
      <c r="O8708" s="124"/>
    </row>
    <row r="8709">
      <c r="K8709" s="124"/>
      <c r="L8709" s="124"/>
      <c r="M8709" s="124"/>
      <c r="N8709" s="124"/>
      <c r="O8709" s="124"/>
    </row>
    <row r="8710">
      <c r="K8710" s="124"/>
      <c r="L8710" s="124"/>
      <c r="M8710" s="124"/>
      <c r="N8710" s="124"/>
      <c r="O8710" s="124"/>
    </row>
    <row r="8711">
      <c r="K8711" s="124"/>
      <c r="L8711" s="124"/>
      <c r="M8711" s="124"/>
      <c r="N8711" s="124"/>
      <c r="O8711" s="124"/>
    </row>
    <row r="8712">
      <c r="K8712" s="124"/>
      <c r="L8712" s="124"/>
      <c r="M8712" s="124"/>
      <c r="N8712" s="124"/>
      <c r="O8712" s="124"/>
    </row>
    <row r="8713">
      <c r="K8713" s="124"/>
      <c r="L8713" s="124"/>
      <c r="M8713" s="124"/>
      <c r="N8713" s="124"/>
      <c r="O8713" s="124"/>
    </row>
    <row r="8714">
      <c r="K8714" s="124"/>
      <c r="L8714" s="124"/>
      <c r="M8714" s="124"/>
      <c r="N8714" s="124"/>
      <c r="O8714" s="124"/>
    </row>
    <row r="8715">
      <c r="K8715" s="124"/>
      <c r="L8715" s="124"/>
      <c r="M8715" s="124"/>
      <c r="N8715" s="124"/>
      <c r="O8715" s="124"/>
    </row>
    <row r="8716">
      <c r="K8716" s="124"/>
      <c r="L8716" s="124"/>
      <c r="M8716" s="124"/>
      <c r="N8716" s="124"/>
      <c r="O8716" s="124"/>
    </row>
    <row r="8717">
      <c r="K8717" s="124"/>
      <c r="L8717" s="124"/>
      <c r="M8717" s="124"/>
      <c r="N8717" s="124"/>
      <c r="O8717" s="124"/>
    </row>
    <row r="8718">
      <c r="K8718" s="124"/>
      <c r="L8718" s="124"/>
      <c r="M8718" s="124"/>
      <c r="N8718" s="124"/>
      <c r="O8718" s="124"/>
    </row>
    <row r="8719">
      <c r="K8719" s="124"/>
      <c r="L8719" s="124"/>
      <c r="M8719" s="124"/>
      <c r="N8719" s="124"/>
      <c r="O8719" s="124"/>
    </row>
    <row r="8720">
      <c r="K8720" s="124"/>
      <c r="L8720" s="124"/>
      <c r="M8720" s="124"/>
      <c r="N8720" s="124"/>
      <c r="O8720" s="124"/>
    </row>
    <row r="8721">
      <c r="K8721" s="124"/>
      <c r="L8721" s="124"/>
      <c r="M8721" s="124"/>
      <c r="N8721" s="124"/>
      <c r="O8721" s="124"/>
    </row>
    <row r="8722">
      <c r="K8722" s="124"/>
      <c r="L8722" s="124"/>
      <c r="M8722" s="124"/>
      <c r="N8722" s="124"/>
      <c r="O8722" s="124"/>
    </row>
    <row r="8723">
      <c r="K8723" s="124"/>
      <c r="L8723" s="124"/>
      <c r="M8723" s="124"/>
      <c r="N8723" s="124"/>
      <c r="O8723" s="124"/>
    </row>
    <row r="8724">
      <c r="K8724" s="124"/>
      <c r="L8724" s="124"/>
      <c r="M8724" s="124"/>
      <c r="N8724" s="124"/>
      <c r="O8724" s="124"/>
    </row>
    <row r="8725">
      <c r="K8725" s="124"/>
      <c r="L8725" s="124"/>
      <c r="M8725" s="124"/>
      <c r="N8725" s="124"/>
      <c r="O8725" s="124"/>
    </row>
    <row r="8726">
      <c r="K8726" s="124"/>
      <c r="L8726" s="124"/>
      <c r="M8726" s="124"/>
      <c r="N8726" s="124"/>
      <c r="O8726" s="124"/>
    </row>
    <row r="8727">
      <c r="K8727" s="124"/>
      <c r="L8727" s="124"/>
      <c r="M8727" s="124"/>
      <c r="N8727" s="124"/>
      <c r="O8727" s="124"/>
    </row>
    <row r="8728">
      <c r="K8728" s="124"/>
      <c r="L8728" s="124"/>
      <c r="M8728" s="124"/>
      <c r="N8728" s="124"/>
      <c r="O8728" s="124"/>
    </row>
    <row r="8729">
      <c r="K8729" s="124"/>
      <c r="L8729" s="124"/>
      <c r="M8729" s="124"/>
      <c r="N8729" s="124"/>
      <c r="O8729" s="124"/>
    </row>
    <row r="8730">
      <c r="K8730" s="124"/>
      <c r="L8730" s="124"/>
      <c r="M8730" s="124"/>
      <c r="N8730" s="124"/>
      <c r="O8730" s="124"/>
    </row>
    <row r="8731">
      <c r="K8731" s="124"/>
      <c r="L8731" s="124"/>
      <c r="M8731" s="124"/>
      <c r="N8731" s="124"/>
      <c r="O8731" s="124"/>
    </row>
    <row r="8732">
      <c r="K8732" s="124"/>
      <c r="L8732" s="124"/>
      <c r="M8732" s="124"/>
      <c r="N8732" s="124"/>
      <c r="O8732" s="124"/>
    </row>
    <row r="8733">
      <c r="K8733" s="124"/>
      <c r="L8733" s="124"/>
      <c r="M8733" s="124"/>
      <c r="N8733" s="124"/>
      <c r="O8733" s="124"/>
    </row>
    <row r="8734">
      <c r="K8734" s="124"/>
      <c r="L8734" s="124"/>
      <c r="M8734" s="124"/>
      <c r="N8734" s="124"/>
      <c r="O8734" s="124"/>
    </row>
    <row r="8735">
      <c r="K8735" s="124"/>
      <c r="L8735" s="124"/>
      <c r="M8735" s="124"/>
      <c r="N8735" s="124"/>
      <c r="O8735" s="124"/>
    </row>
    <row r="8736">
      <c r="K8736" s="124"/>
      <c r="L8736" s="124"/>
      <c r="M8736" s="124"/>
      <c r="N8736" s="124"/>
      <c r="O8736" s="124"/>
    </row>
    <row r="8737">
      <c r="K8737" s="124"/>
      <c r="L8737" s="124"/>
      <c r="M8737" s="124"/>
      <c r="N8737" s="124"/>
      <c r="O8737" s="124"/>
    </row>
    <row r="8738">
      <c r="K8738" s="124"/>
      <c r="L8738" s="124"/>
      <c r="M8738" s="124"/>
      <c r="N8738" s="124"/>
      <c r="O8738" s="124"/>
    </row>
    <row r="8739">
      <c r="K8739" s="124"/>
      <c r="L8739" s="124"/>
      <c r="M8739" s="124"/>
      <c r="N8739" s="124"/>
      <c r="O8739" s="124"/>
    </row>
    <row r="8740">
      <c r="K8740" s="124"/>
      <c r="L8740" s="124"/>
      <c r="M8740" s="124"/>
      <c r="N8740" s="124"/>
      <c r="O8740" s="124"/>
    </row>
    <row r="8741">
      <c r="K8741" s="124"/>
      <c r="L8741" s="124"/>
      <c r="M8741" s="124"/>
      <c r="N8741" s="124"/>
      <c r="O8741" s="124"/>
    </row>
    <row r="8742">
      <c r="K8742" s="124"/>
      <c r="L8742" s="124"/>
      <c r="M8742" s="124"/>
      <c r="N8742" s="124"/>
      <c r="O8742" s="124"/>
    </row>
    <row r="8743">
      <c r="K8743" s="124"/>
      <c r="L8743" s="124"/>
      <c r="M8743" s="124"/>
      <c r="N8743" s="124"/>
      <c r="O8743" s="124"/>
    </row>
    <row r="8744">
      <c r="K8744" s="124"/>
      <c r="L8744" s="124"/>
      <c r="M8744" s="124"/>
      <c r="N8744" s="124"/>
      <c r="O8744" s="124"/>
    </row>
    <row r="8745">
      <c r="K8745" s="124"/>
      <c r="L8745" s="124"/>
      <c r="M8745" s="124"/>
      <c r="N8745" s="124"/>
      <c r="O8745" s="124"/>
    </row>
    <row r="8746">
      <c r="K8746" s="124"/>
      <c r="L8746" s="124"/>
      <c r="M8746" s="124"/>
      <c r="N8746" s="124"/>
      <c r="O8746" s="124"/>
    </row>
    <row r="8747">
      <c r="K8747" s="124"/>
      <c r="L8747" s="124"/>
      <c r="M8747" s="124"/>
      <c r="N8747" s="124"/>
      <c r="O8747" s="124"/>
    </row>
    <row r="8748">
      <c r="K8748" s="124"/>
      <c r="L8748" s="124"/>
      <c r="M8748" s="124"/>
      <c r="N8748" s="124"/>
      <c r="O8748" s="124"/>
    </row>
    <row r="8749">
      <c r="K8749" s="124"/>
      <c r="L8749" s="124"/>
      <c r="M8749" s="124"/>
      <c r="N8749" s="124"/>
      <c r="O8749" s="124"/>
    </row>
    <row r="8750">
      <c r="K8750" s="124"/>
      <c r="L8750" s="124"/>
      <c r="M8750" s="124"/>
      <c r="N8750" s="124"/>
      <c r="O8750" s="124"/>
    </row>
    <row r="8751">
      <c r="K8751" s="124"/>
      <c r="L8751" s="124"/>
      <c r="M8751" s="124"/>
      <c r="N8751" s="124"/>
      <c r="O8751" s="124"/>
    </row>
    <row r="8752">
      <c r="K8752" s="124"/>
      <c r="L8752" s="124"/>
      <c r="M8752" s="124"/>
      <c r="N8752" s="124"/>
      <c r="O8752" s="124"/>
    </row>
    <row r="8753">
      <c r="K8753" s="124"/>
      <c r="L8753" s="124"/>
      <c r="M8753" s="124"/>
      <c r="N8753" s="124"/>
      <c r="O8753" s="124"/>
    </row>
    <row r="8754">
      <c r="K8754" s="124"/>
      <c r="L8754" s="124"/>
      <c r="M8754" s="124"/>
      <c r="N8754" s="124"/>
      <c r="O8754" s="124"/>
    </row>
    <row r="8755">
      <c r="K8755" s="124"/>
      <c r="L8755" s="124"/>
      <c r="M8755" s="124"/>
      <c r="N8755" s="124"/>
      <c r="O8755" s="124"/>
    </row>
    <row r="8756">
      <c r="K8756" s="124"/>
      <c r="L8756" s="124"/>
      <c r="M8756" s="124"/>
      <c r="N8756" s="124"/>
      <c r="O8756" s="124"/>
    </row>
    <row r="8757">
      <c r="K8757" s="124"/>
      <c r="L8757" s="124"/>
      <c r="M8757" s="124"/>
      <c r="N8757" s="124"/>
      <c r="O8757" s="124"/>
    </row>
    <row r="8758">
      <c r="K8758" s="124"/>
      <c r="L8758" s="124"/>
      <c r="M8758" s="124"/>
      <c r="N8758" s="124"/>
      <c r="O8758" s="124"/>
    </row>
    <row r="8759">
      <c r="K8759" s="124"/>
      <c r="L8759" s="124"/>
      <c r="M8759" s="124"/>
      <c r="N8759" s="124"/>
      <c r="O8759" s="124"/>
    </row>
    <row r="8760">
      <c r="K8760" s="124"/>
      <c r="L8760" s="124"/>
      <c r="M8760" s="124"/>
      <c r="N8760" s="124"/>
      <c r="O8760" s="124"/>
    </row>
    <row r="8761">
      <c r="K8761" s="124"/>
      <c r="L8761" s="124"/>
      <c r="M8761" s="124"/>
      <c r="N8761" s="124"/>
      <c r="O8761" s="124"/>
    </row>
    <row r="8762">
      <c r="K8762" s="124"/>
      <c r="L8762" s="124"/>
      <c r="M8762" s="124"/>
      <c r="N8762" s="124"/>
      <c r="O8762" s="124"/>
    </row>
    <row r="8763">
      <c r="K8763" s="124"/>
      <c r="L8763" s="124"/>
      <c r="M8763" s="124"/>
      <c r="N8763" s="124"/>
      <c r="O8763" s="124"/>
    </row>
    <row r="8764">
      <c r="K8764" s="124"/>
      <c r="L8764" s="124"/>
      <c r="M8764" s="124"/>
      <c r="N8764" s="124"/>
      <c r="O8764" s="124"/>
    </row>
    <row r="8765">
      <c r="K8765" s="124"/>
      <c r="L8765" s="124"/>
      <c r="M8765" s="124"/>
      <c r="N8765" s="124"/>
      <c r="O8765" s="124"/>
    </row>
    <row r="8766">
      <c r="K8766" s="124"/>
      <c r="L8766" s="124"/>
      <c r="M8766" s="124"/>
      <c r="N8766" s="124"/>
      <c r="O8766" s="124"/>
    </row>
    <row r="8767">
      <c r="K8767" s="124"/>
      <c r="L8767" s="124"/>
      <c r="M8767" s="124"/>
      <c r="N8767" s="124"/>
      <c r="O8767" s="124"/>
    </row>
    <row r="8768">
      <c r="K8768" s="124"/>
      <c r="L8768" s="124"/>
      <c r="M8768" s="124"/>
      <c r="N8768" s="124"/>
      <c r="O8768" s="124"/>
    </row>
    <row r="8769">
      <c r="K8769" s="124"/>
      <c r="L8769" s="124"/>
      <c r="M8769" s="124"/>
      <c r="N8769" s="124"/>
      <c r="O8769" s="124"/>
    </row>
    <row r="8770">
      <c r="K8770" s="124"/>
      <c r="L8770" s="124"/>
      <c r="M8770" s="124"/>
      <c r="N8770" s="124"/>
      <c r="O8770" s="124"/>
    </row>
    <row r="8771">
      <c r="K8771" s="124"/>
      <c r="L8771" s="124"/>
      <c r="M8771" s="124"/>
      <c r="N8771" s="124"/>
      <c r="O8771" s="124"/>
    </row>
    <row r="8772">
      <c r="K8772" s="124"/>
      <c r="L8772" s="124"/>
      <c r="M8772" s="124"/>
      <c r="N8772" s="124"/>
      <c r="O8772" s="124"/>
    </row>
    <row r="8773">
      <c r="K8773" s="124"/>
      <c r="L8773" s="124"/>
      <c r="M8773" s="124"/>
      <c r="N8773" s="124"/>
      <c r="O8773" s="124"/>
    </row>
    <row r="8774">
      <c r="K8774" s="124"/>
      <c r="L8774" s="124"/>
      <c r="M8774" s="124"/>
      <c r="N8774" s="124"/>
      <c r="O8774" s="124"/>
    </row>
    <row r="8775">
      <c r="K8775" s="124"/>
      <c r="L8775" s="124"/>
      <c r="M8775" s="124"/>
      <c r="N8775" s="124"/>
      <c r="O8775" s="124"/>
    </row>
    <row r="8776">
      <c r="K8776" s="124"/>
      <c r="L8776" s="124"/>
      <c r="M8776" s="124"/>
      <c r="N8776" s="124"/>
      <c r="O8776" s="124"/>
    </row>
    <row r="8777">
      <c r="K8777" s="124"/>
      <c r="L8777" s="124"/>
      <c r="M8777" s="124"/>
      <c r="N8777" s="124"/>
      <c r="O8777" s="124"/>
    </row>
    <row r="8778">
      <c r="K8778" s="124"/>
      <c r="L8778" s="124"/>
      <c r="M8778" s="124"/>
      <c r="N8778" s="124"/>
      <c r="O8778" s="124"/>
    </row>
    <row r="8779">
      <c r="K8779" s="124"/>
      <c r="L8779" s="124"/>
      <c r="M8779" s="124"/>
      <c r="N8779" s="124"/>
      <c r="O8779" s="124"/>
    </row>
    <row r="8780">
      <c r="K8780" s="124"/>
      <c r="L8780" s="124"/>
      <c r="M8780" s="124"/>
      <c r="N8780" s="124"/>
      <c r="O8780" s="124"/>
    </row>
    <row r="8781">
      <c r="K8781" s="124"/>
      <c r="L8781" s="124"/>
      <c r="M8781" s="124"/>
      <c r="N8781" s="124"/>
      <c r="O8781" s="124"/>
    </row>
    <row r="8782">
      <c r="K8782" s="124"/>
      <c r="L8782" s="124"/>
      <c r="M8782" s="124"/>
      <c r="N8782" s="124"/>
      <c r="O8782" s="124"/>
    </row>
    <row r="8783">
      <c r="K8783" s="124"/>
      <c r="L8783" s="124"/>
      <c r="M8783" s="124"/>
      <c r="N8783" s="124"/>
      <c r="O8783" s="124"/>
    </row>
    <row r="8784">
      <c r="K8784" s="124"/>
      <c r="L8784" s="124"/>
      <c r="M8784" s="124"/>
      <c r="N8784" s="124"/>
      <c r="O8784" s="124"/>
    </row>
    <row r="8785">
      <c r="K8785" s="124"/>
      <c r="L8785" s="124"/>
      <c r="M8785" s="124"/>
      <c r="N8785" s="124"/>
      <c r="O8785" s="124"/>
    </row>
    <row r="8786">
      <c r="K8786" s="124"/>
      <c r="L8786" s="124"/>
      <c r="M8786" s="124"/>
      <c r="N8786" s="124"/>
      <c r="O8786" s="124"/>
    </row>
    <row r="8787">
      <c r="K8787" s="124"/>
      <c r="L8787" s="124"/>
      <c r="M8787" s="124"/>
      <c r="N8787" s="124"/>
      <c r="O8787" s="124"/>
    </row>
    <row r="8788">
      <c r="K8788" s="124"/>
      <c r="L8788" s="124"/>
      <c r="M8788" s="124"/>
      <c r="N8788" s="124"/>
      <c r="O8788" s="124"/>
    </row>
    <row r="8789">
      <c r="K8789" s="124"/>
      <c r="L8789" s="124"/>
      <c r="M8789" s="124"/>
      <c r="N8789" s="124"/>
      <c r="O8789" s="124"/>
    </row>
    <row r="8790">
      <c r="K8790" s="124"/>
      <c r="L8790" s="124"/>
      <c r="M8790" s="124"/>
      <c r="N8790" s="124"/>
      <c r="O8790" s="124"/>
    </row>
    <row r="8791">
      <c r="K8791" s="124"/>
      <c r="L8791" s="124"/>
      <c r="M8791" s="124"/>
      <c r="N8791" s="124"/>
      <c r="O8791" s="124"/>
    </row>
    <row r="8792">
      <c r="K8792" s="124"/>
      <c r="L8792" s="124"/>
      <c r="M8792" s="124"/>
      <c r="N8792" s="124"/>
      <c r="O8792" s="124"/>
    </row>
    <row r="8793">
      <c r="K8793" s="124"/>
      <c r="L8793" s="124"/>
      <c r="M8793" s="124"/>
      <c r="N8793" s="124"/>
      <c r="O8793" s="124"/>
    </row>
    <row r="8794">
      <c r="K8794" s="124"/>
      <c r="L8794" s="124"/>
      <c r="M8794" s="124"/>
      <c r="N8794" s="124"/>
      <c r="O8794" s="124"/>
    </row>
    <row r="8795">
      <c r="K8795" s="124"/>
      <c r="L8795" s="124"/>
      <c r="M8795" s="124"/>
      <c r="N8795" s="124"/>
      <c r="O8795" s="124"/>
    </row>
    <row r="8796">
      <c r="K8796" s="124"/>
      <c r="L8796" s="124"/>
      <c r="M8796" s="124"/>
      <c r="N8796" s="124"/>
      <c r="O8796" s="124"/>
    </row>
    <row r="8797">
      <c r="K8797" s="124"/>
      <c r="L8797" s="124"/>
      <c r="M8797" s="124"/>
      <c r="N8797" s="124"/>
      <c r="O8797" s="124"/>
    </row>
    <row r="8798">
      <c r="K8798" s="124"/>
      <c r="L8798" s="124"/>
      <c r="M8798" s="124"/>
      <c r="N8798" s="124"/>
      <c r="O8798" s="124"/>
    </row>
    <row r="8799">
      <c r="K8799" s="124"/>
      <c r="L8799" s="124"/>
      <c r="M8799" s="124"/>
      <c r="N8799" s="124"/>
      <c r="O8799" s="124"/>
    </row>
    <row r="8800">
      <c r="K8800" s="124"/>
      <c r="L8800" s="124"/>
      <c r="M8800" s="124"/>
      <c r="N8800" s="124"/>
      <c r="O8800" s="124"/>
    </row>
    <row r="8801">
      <c r="K8801" s="124"/>
      <c r="L8801" s="124"/>
      <c r="M8801" s="124"/>
      <c r="N8801" s="124"/>
      <c r="O8801" s="124"/>
    </row>
    <row r="8802">
      <c r="K8802" s="124"/>
      <c r="L8802" s="124"/>
      <c r="M8802" s="124"/>
      <c r="N8802" s="124"/>
      <c r="O8802" s="124"/>
    </row>
    <row r="8803">
      <c r="K8803" s="124"/>
      <c r="L8803" s="124"/>
      <c r="M8803" s="124"/>
      <c r="N8803" s="124"/>
      <c r="O8803" s="124"/>
    </row>
    <row r="8804">
      <c r="K8804" s="124"/>
      <c r="L8804" s="124"/>
      <c r="M8804" s="124"/>
      <c r="N8804" s="124"/>
      <c r="O8804" s="124"/>
    </row>
    <row r="8805">
      <c r="K8805" s="124"/>
      <c r="L8805" s="124"/>
      <c r="M8805" s="124"/>
      <c r="N8805" s="124"/>
      <c r="O8805" s="124"/>
    </row>
    <row r="8806">
      <c r="K8806" s="124"/>
      <c r="L8806" s="124"/>
      <c r="M8806" s="124"/>
      <c r="N8806" s="124"/>
      <c r="O8806" s="124"/>
    </row>
    <row r="8807">
      <c r="K8807" s="124"/>
      <c r="L8807" s="124"/>
      <c r="M8807" s="124"/>
      <c r="N8807" s="124"/>
      <c r="O8807" s="124"/>
    </row>
    <row r="8808">
      <c r="K8808" s="124"/>
      <c r="L8808" s="124"/>
      <c r="M8808" s="124"/>
      <c r="N8808" s="124"/>
      <c r="O8808" s="124"/>
    </row>
    <row r="8809">
      <c r="K8809" s="124"/>
      <c r="L8809" s="124"/>
      <c r="M8809" s="124"/>
      <c r="N8809" s="124"/>
      <c r="O8809" s="124"/>
    </row>
    <row r="8810">
      <c r="K8810" s="124"/>
      <c r="L8810" s="124"/>
      <c r="M8810" s="124"/>
      <c r="N8810" s="124"/>
      <c r="O8810" s="124"/>
    </row>
    <row r="8811">
      <c r="K8811" s="124"/>
      <c r="L8811" s="124"/>
      <c r="M8811" s="124"/>
      <c r="N8811" s="124"/>
      <c r="O8811" s="124"/>
    </row>
    <row r="8812">
      <c r="K8812" s="124"/>
      <c r="L8812" s="124"/>
      <c r="M8812" s="124"/>
      <c r="N8812" s="124"/>
      <c r="O8812" s="124"/>
    </row>
    <row r="8813">
      <c r="K8813" s="124"/>
      <c r="L8813" s="124"/>
      <c r="M8813" s="124"/>
      <c r="N8813" s="124"/>
      <c r="O8813" s="124"/>
    </row>
    <row r="8814">
      <c r="K8814" s="124"/>
      <c r="L8814" s="124"/>
      <c r="M8814" s="124"/>
      <c r="N8814" s="124"/>
      <c r="O8814" s="124"/>
    </row>
    <row r="8815">
      <c r="K8815" s="124"/>
      <c r="L8815" s="124"/>
      <c r="M8815" s="124"/>
      <c r="N8815" s="124"/>
      <c r="O8815" s="124"/>
    </row>
    <row r="8816">
      <c r="K8816" s="124"/>
      <c r="L8816" s="124"/>
      <c r="M8816" s="124"/>
      <c r="N8816" s="124"/>
      <c r="O8816" s="124"/>
    </row>
    <row r="8817">
      <c r="K8817" s="124"/>
      <c r="L8817" s="124"/>
      <c r="M8817" s="124"/>
      <c r="N8817" s="124"/>
      <c r="O8817" s="124"/>
    </row>
    <row r="8818">
      <c r="K8818" s="124"/>
      <c r="L8818" s="124"/>
      <c r="M8818" s="124"/>
      <c r="N8818" s="124"/>
      <c r="O8818" s="124"/>
    </row>
    <row r="8819">
      <c r="K8819" s="124"/>
      <c r="L8819" s="124"/>
      <c r="M8819" s="124"/>
      <c r="N8819" s="124"/>
      <c r="O8819" s="124"/>
    </row>
    <row r="8820">
      <c r="K8820" s="124"/>
      <c r="L8820" s="124"/>
      <c r="M8820" s="124"/>
      <c r="N8820" s="124"/>
      <c r="O8820" s="124"/>
    </row>
    <row r="8821">
      <c r="K8821" s="124"/>
      <c r="L8821" s="124"/>
      <c r="M8821" s="124"/>
      <c r="N8821" s="124"/>
      <c r="O8821" s="124"/>
    </row>
    <row r="8822">
      <c r="K8822" s="124"/>
      <c r="L8822" s="124"/>
      <c r="M8822" s="124"/>
      <c r="N8822" s="124"/>
      <c r="O8822" s="124"/>
    </row>
    <row r="8823">
      <c r="K8823" s="124"/>
      <c r="L8823" s="124"/>
      <c r="M8823" s="124"/>
      <c r="N8823" s="124"/>
      <c r="O8823" s="124"/>
    </row>
    <row r="8824">
      <c r="K8824" s="124"/>
      <c r="L8824" s="124"/>
      <c r="M8824" s="124"/>
      <c r="N8824" s="124"/>
      <c r="O8824" s="124"/>
    </row>
    <row r="8825">
      <c r="K8825" s="124"/>
      <c r="L8825" s="124"/>
      <c r="M8825" s="124"/>
      <c r="N8825" s="124"/>
      <c r="O8825" s="124"/>
    </row>
    <row r="8826">
      <c r="K8826" s="124"/>
      <c r="L8826" s="124"/>
      <c r="M8826" s="124"/>
      <c r="N8826" s="124"/>
      <c r="O8826" s="124"/>
    </row>
    <row r="8827">
      <c r="K8827" s="124"/>
      <c r="L8827" s="124"/>
      <c r="M8827" s="124"/>
      <c r="N8827" s="124"/>
      <c r="O8827" s="124"/>
    </row>
    <row r="8828">
      <c r="K8828" s="124"/>
      <c r="L8828" s="124"/>
      <c r="M8828" s="124"/>
      <c r="N8828" s="124"/>
      <c r="O8828" s="124"/>
    </row>
    <row r="8829">
      <c r="K8829" s="124"/>
      <c r="L8829" s="124"/>
      <c r="M8829" s="124"/>
      <c r="N8829" s="124"/>
      <c r="O8829" s="124"/>
    </row>
    <row r="8830">
      <c r="K8830" s="124"/>
      <c r="L8830" s="124"/>
      <c r="M8830" s="124"/>
      <c r="N8830" s="124"/>
      <c r="O8830" s="124"/>
    </row>
    <row r="8831">
      <c r="K8831" s="124"/>
      <c r="L8831" s="124"/>
      <c r="M8831" s="124"/>
      <c r="N8831" s="124"/>
      <c r="O8831" s="124"/>
    </row>
    <row r="8832">
      <c r="K8832" s="124"/>
      <c r="L8832" s="124"/>
      <c r="M8832" s="124"/>
      <c r="N8832" s="124"/>
      <c r="O8832" s="124"/>
    </row>
    <row r="8833">
      <c r="K8833" s="124"/>
      <c r="L8833" s="124"/>
      <c r="M8833" s="124"/>
      <c r="N8833" s="124"/>
      <c r="O8833" s="124"/>
    </row>
    <row r="8834">
      <c r="K8834" s="124"/>
      <c r="L8834" s="124"/>
      <c r="M8834" s="124"/>
      <c r="N8834" s="124"/>
      <c r="O8834" s="124"/>
    </row>
    <row r="8835">
      <c r="K8835" s="124"/>
      <c r="L8835" s="124"/>
      <c r="M8835" s="124"/>
      <c r="N8835" s="124"/>
      <c r="O8835" s="124"/>
    </row>
    <row r="8836">
      <c r="K8836" s="124"/>
      <c r="L8836" s="124"/>
      <c r="M8836" s="124"/>
      <c r="N8836" s="124"/>
      <c r="O8836" s="124"/>
    </row>
    <row r="8837">
      <c r="K8837" s="124"/>
      <c r="L8837" s="124"/>
      <c r="M8837" s="124"/>
      <c r="N8837" s="124"/>
      <c r="O8837" s="124"/>
    </row>
    <row r="8838">
      <c r="K8838" s="124"/>
      <c r="L8838" s="124"/>
      <c r="M8838" s="124"/>
      <c r="N8838" s="124"/>
      <c r="O8838" s="124"/>
    </row>
    <row r="8839">
      <c r="K8839" s="124"/>
      <c r="L8839" s="124"/>
      <c r="M8839" s="124"/>
      <c r="N8839" s="124"/>
      <c r="O8839" s="124"/>
    </row>
    <row r="8840">
      <c r="K8840" s="124"/>
      <c r="L8840" s="124"/>
      <c r="M8840" s="124"/>
      <c r="N8840" s="124"/>
      <c r="O8840" s="124"/>
    </row>
    <row r="8841">
      <c r="K8841" s="124"/>
      <c r="L8841" s="124"/>
      <c r="M8841" s="124"/>
      <c r="N8841" s="124"/>
      <c r="O8841" s="124"/>
    </row>
    <row r="8842">
      <c r="K8842" s="124"/>
      <c r="L8842" s="124"/>
      <c r="M8842" s="124"/>
      <c r="N8842" s="124"/>
      <c r="O8842" s="124"/>
    </row>
    <row r="8843">
      <c r="K8843" s="124"/>
      <c r="L8843" s="124"/>
      <c r="M8843" s="124"/>
      <c r="N8843" s="124"/>
      <c r="O8843" s="124"/>
    </row>
    <row r="8844">
      <c r="K8844" s="124"/>
      <c r="L8844" s="124"/>
      <c r="M8844" s="124"/>
      <c r="N8844" s="124"/>
      <c r="O8844" s="124"/>
    </row>
    <row r="8845">
      <c r="K8845" s="124"/>
      <c r="L8845" s="124"/>
      <c r="M8845" s="124"/>
      <c r="N8845" s="124"/>
      <c r="O8845" s="124"/>
    </row>
    <row r="8846">
      <c r="K8846" s="124"/>
      <c r="L8846" s="124"/>
      <c r="M8846" s="124"/>
      <c r="N8846" s="124"/>
      <c r="O8846" s="124"/>
    </row>
    <row r="8847">
      <c r="K8847" s="124"/>
      <c r="L8847" s="124"/>
      <c r="M8847" s="124"/>
      <c r="N8847" s="124"/>
      <c r="O8847" s="124"/>
    </row>
    <row r="8848">
      <c r="K8848" s="124"/>
      <c r="L8848" s="124"/>
      <c r="M8848" s="124"/>
      <c r="N8848" s="124"/>
      <c r="O8848" s="124"/>
    </row>
    <row r="8849">
      <c r="K8849" s="124"/>
      <c r="L8849" s="124"/>
      <c r="M8849" s="124"/>
      <c r="N8849" s="124"/>
      <c r="O8849" s="124"/>
    </row>
    <row r="8850">
      <c r="K8850" s="124"/>
      <c r="L8850" s="124"/>
      <c r="M8850" s="124"/>
      <c r="N8850" s="124"/>
      <c r="O8850" s="124"/>
    </row>
    <row r="8851">
      <c r="K8851" s="124"/>
      <c r="L8851" s="124"/>
      <c r="M8851" s="124"/>
      <c r="N8851" s="124"/>
      <c r="O8851" s="124"/>
    </row>
    <row r="8852">
      <c r="K8852" s="124"/>
      <c r="L8852" s="124"/>
      <c r="M8852" s="124"/>
      <c r="N8852" s="124"/>
      <c r="O8852" s="124"/>
    </row>
    <row r="8853">
      <c r="K8853" s="124"/>
      <c r="L8853" s="124"/>
      <c r="M8853" s="124"/>
      <c r="N8853" s="124"/>
      <c r="O8853" s="124"/>
    </row>
    <row r="8854">
      <c r="K8854" s="124"/>
      <c r="L8854" s="124"/>
      <c r="M8854" s="124"/>
      <c r="N8854" s="124"/>
      <c r="O8854" s="124"/>
    </row>
    <row r="8855">
      <c r="K8855" s="124"/>
      <c r="L8855" s="124"/>
      <c r="M8855" s="124"/>
      <c r="N8855" s="124"/>
      <c r="O8855" s="124"/>
    </row>
    <row r="8856">
      <c r="K8856" s="124"/>
      <c r="L8856" s="124"/>
      <c r="M8856" s="124"/>
      <c r="N8856" s="124"/>
      <c r="O8856" s="124"/>
    </row>
    <row r="8857">
      <c r="K8857" s="124"/>
      <c r="L8857" s="124"/>
      <c r="M8857" s="124"/>
      <c r="N8857" s="124"/>
      <c r="O8857" s="124"/>
    </row>
    <row r="8858">
      <c r="K8858" s="124"/>
      <c r="L8858" s="124"/>
      <c r="M8858" s="124"/>
      <c r="N8858" s="124"/>
      <c r="O8858" s="124"/>
    </row>
    <row r="8859">
      <c r="K8859" s="124"/>
      <c r="L8859" s="124"/>
      <c r="M8859" s="124"/>
      <c r="N8859" s="124"/>
      <c r="O8859" s="124"/>
    </row>
    <row r="8860">
      <c r="K8860" s="124"/>
      <c r="L8860" s="124"/>
      <c r="M8860" s="124"/>
      <c r="N8860" s="124"/>
      <c r="O8860" s="124"/>
    </row>
    <row r="8861">
      <c r="K8861" s="124"/>
      <c r="L8861" s="124"/>
      <c r="M8861" s="124"/>
      <c r="N8861" s="124"/>
      <c r="O8861" s="124"/>
    </row>
    <row r="8862">
      <c r="K8862" s="124"/>
      <c r="L8862" s="124"/>
      <c r="M8862" s="124"/>
      <c r="N8862" s="124"/>
      <c r="O8862" s="124"/>
    </row>
    <row r="8863">
      <c r="K8863" s="124"/>
      <c r="L8863" s="124"/>
      <c r="M8863" s="124"/>
      <c r="N8863" s="124"/>
      <c r="O8863" s="124"/>
    </row>
    <row r="8864">
      <c r="K8864" s="124"/>
      <c r="L8864" s="124"/>
      <c r="M8864" s="124"/>
      <c r="N8864" s="124"/>
      <c r="O8864" s="124"/>
    </row>
    <row r="8865">
      <c r="K8865" s="124"/>
      <c r="L8865" s="124"/>
      <c r="M8865" s="124"/>
      <c r="N8865" s="124"/>
      <c r="O8865" s="124"/>
    </row>
    <row r="8866">
      <c r="K8866" s="124"/>
      <c r="L8866" s="124"/>
      <c r="M8866" s="124"/>
      <c r="N8866" s="124"/>
      <c r="O8866" s="124"/>
    </row>
    <row r="8867">
      <c r="K8867" s="124"/>
      <c r="L8867" s="124"/>
      <c r="M8867" s="124"/>
      <c r="N8867" s="124"/>
      <c r="O8867" s="124"/>
    </row>
    <row r="8868">
      <c r="K8868" s="124"/>
      <c r="L8868" s="124"/>
      <c r="M8868" s="124"/>
      <c r="N8868" s="124"/>
      <c r="O8868" s="124"/>
    </row>
    <row r="8869">
      <c r="K8869" s="124"/>
      <c r="L8869" s="124"/>
      <c r="M8869" s="124"/>
      <c r="N8869" s="124"/>
      <c r="O8869" s="124"/>
    </row>
    <row r="8870">
      <c r="K8870" s="124"/>
      <c r="L8870" s="124"/>
      <c r="M8870" s="124"/>
      <c r="N8870" s="124"/>
      <c r="O8870" s="124"/>
    </row>
    <row r="8871">
      <c r="K8871" s="124"/>
      <c r="L8871" s="124"/>
      <c r="M8871" s="124"/>
      <c r="N8871" s="124"/>
      <c r="O8871" s="124"/>
    </row>
    <row r="8872">
      <c r="K8872" s="124"/>
      <c r="L8872" s="124"/>
      <c r="M8872" s="124"/>
      <c r="N8872" s="124"/>
      <c r="O8872" s="124"/>
    </row>
    <row r="8873">
      <c r="K8873" s="124"/>
      <c r="L8873" s="124"/>
      <c r="M8873" s="124"/>
      <c r="N8873" s="124"/>
      <c r="O8873" s="124"/>
    </row>
    <row r="8874">
      <c r="K8874" s="124"/>
      <c r="L8874" s="124"/>
      <c r="M8874" s="124"/>
      <c r="N8874" s="124"/>
      <c r="O8874" s="124"/>
    </row>
    <row r="8875">
      <c r="K8875" s="124"/>
      <c r="L8875" s="124"/>
      <c r="M8875" s="124"/>
      <c r="N8875" s="124"/>
      <c r="O8875" s="124"/>
    </row>
    <row r="8876">
      <c r="K8876" s="124"/>
      <c r="L8876" s="124"/>
      <c r="M8876" s="124"/>
      <c r="N8876" s="124"/>
      <c r="O8876" s="124"/>
    </row>
    <row r="8877">
      <c r="K8877" s="124"/>
      <c r="L8877" s="124"/>
      <c r="M8877" s="124"/>
      <c r="N8877" s="124"/>
      <c r="O8877" s="124"/>
    </row>
    <row r="8878">
      <c r="K8878" s="124"/>
      <c r="L8878" s="124"/>
      <c r="M8878" s="124"/>
      <c r="N8878" s="124"/>
      <c r="O8878" s="124"/>
    </row>
    <row r="8879">
      <c r="K8879" s="124"/>
      <c r="L8879" s="124"/>
      <c r="M8879" s="124"/>
      <c r="N8879" s="124"/>
      <c r="O8879" s="124"/>
    </row>
    <row r="8880">
      <c r="K8880" s="124"/>
      <c r="L8880" s="124"/>
      <c r="M8880" s="124"/>
      <c r="N8880" s="124"/>
      <c r="O8880" s="124"/>
    </row>
    <row r="8881">
      <c r="K8881" s="124"/>
      <c r="L8881" s="124"/>
      <c r="M8881" s="124"/>
      <c r="N8881" s="124"/>
      <c r="O8881" s="124"/>
    </row>
    <row r="8882">
      <c r="K8882" s="124"/>
      <c r="L8882" s="124"/>
      <c r="M8882" s="124"/>
      <c r="N8882" s="124"/>
      <c r="O8882" s="124"/>
    </row>
    <row r="8883">
      <c r="K8883" s="124"/>
      <c r="L8883" s="124"/>
      <c r="M8883" s="124"/>
      <c r="N8883" s="124"/>
      <c r="O8883" s="124"/>
    </row>
    <row r="8884">
      <c r="K8884" s="124"/>
      <c r="L8884" s="124"/>
      <c r="M8884" s="124"/>
      <c r="N8884" s="124"/>
      <c r="O8884" s="124"/>
    </row>
    <row r="8885">
      <c r="K8885" s="124"/>
      <c r="L8885" s="124"/>
      <c r="M8885" s="124"/>
      <c r="N8885" s="124"/>
      <c r="O8885" s="124"/>
    </row>
    <row r="8886">
      <c r="K8886" s="124"/>
      <c r="L8886" s="124"/>
      <c r="M8886" s="124"/>
      <c r="N8886" s="124"/>
      <c r="O8886" s="124"/>
    </row>
    <row r="8887">
      <c r="K8887" s="124"/>
      <c r="L8887" s="124"/>
      <c r="M8887" s="124"/>
      <c r="N8887" s="124"/>
      <c r="O8887" s="124"/>
    </row>
    <row r="8888">
      <c r="K8888" s="124"/>
      <c r="L8888" s="124"/>
      <c r="M8888" s="124"/>
      <c r="N8888" s="124"/>
      <c r="O8888" s="124"/>
    </row>
    <row r="8889">
      <c r="K8889" s="124"/>
      <c r="L8889" s="124"/>
      <c r="M8889" s="124"/>
      <c r="N8889" s="124"/>
      <c r="O8889" s="124"/>
    </row>
    <row r="8890">
      <c r="K8890" s="124"/>
      <c r="L8890" s="124"/>
      <c r="M8890" s="124"/>
      <c r="N8890" s="124"/>
      <c r="O8890" s="124"/>
    </row>
    <row r="8891">
      <c r="K8891" s="124"/>
      <c r="L8891" s="124"/>
      <c r="M8891" s="124"/>
      <c r="N8891" s="124"/>
      <c r="O8891" s="124"/>
    </row>
    <row r="8892">
      <c r="K8892" s="124"/>
      <c r="L8892" s="124"/>
      <c r="M8892" s="124"/>
      <c r="N8892" s="124"/>
      <c r="O8892" s="124"/>
    </row>
    <row r="8893">
      <c r="K8893" s="124"/>
      <c r="L8893" s="124"/>
      <c r="M8893" s="124"/>
      <c r="N8893" s="124"/>
      <c r="O8893" s="124"/>
    </row>
    <row r="8894">
      <c r="K8894" s="124"/>
      <c r="L8894" s="124"/>
      <c r="M8894" s="124"/>
      <c r="N8894" s="124"/>
      <c r="O8894" s="124"/>
    </row>
    <row r="8895">
      <c r="K8895" s="124"/>
      <c r="L8895" s="124"/>
      <c r="M8895" s="124"/>
      <c r="N8895" s="124"/>
      <c r="O8895" s="124"/>
    </row>
    <row r="8896">
      <c r="K8896" s="124"/>
      <c r="L8896" s="124"/>
      <c r="M8896" s="124"/>
      <c r="N8896" s="124"/>
      <c r="O8896" s="124"/>
    </row>
    <row r="8897">
      <c r="K8897" s="124"/>
      <c r="L8897" s="124"/>
      <c r="M8897" s="124"/>
      <c r="N8897" s="124"/>
      <c r="O8897" s="124"/>
    </row>
    <row r="8898">
      <c r="K8898" s="124"/>
      <c r="L8898" s="124"/>
      <c r="M8898" s="124"/>
      <c r="N8898" s="124"/>
      <c r="O8898" s="124"/>
    </row>
    <row r="8899">
      <c r="K8899" s="124"/>
      <c r="L8899" s="124"/>
      <c r="M8899" s="124"/>
      <c r="N8899" s="124"/>
      <c r="O8899" s="124"/>
    </row>
    <row r="8900">
      <c r="K8900" s="124"/>
      <c r="L8900" s="124"/>
      <c r="M8900" s="124"/>
      <c r="N8900" s="124"/>
      <c r="O8900" s="124"/>
    </row>
    <row r="8901">
      <c r="K8901" s="124"/>
      <c r="L8901" s="124"/>
      <c r="M8901" s="124"/>
      <c r="N8901" s="124"/>
      <c r="O8901" s="124"/>
    </row>
    <row r="8902">
      <c r="K8902" s="124"/>
      <c r="L8902" s="124"/>
      <c r="M8902" s="124"/>
      <c r="N8902" s="124"/>
      <c r="O8902" s="124"/>
    </row>
    <row r="8903">
      <c r="K8903" s="124"/>
      <c r="L8903" s="124"/>
      <c r="M8903" s="124"/>
      <c r="N8903" s="124"/>
      <c r="O8903" s="124"/>
    </row>
    <row r="8904">
      <c r="K8904" s="124"/>
      <c r="L8904" s="124"/>
      <c r="M8904" s="124"/>
      <c r="N8904" s="124"/>
      <c r="O8904" s="124"/>
    </row>
    <row r="8905">
      <c r="K8905" s="124"/>
      <c r="L8905" s="124"/>
      <c r="M8905" s="124"/>
      <c r="N8905" s="124"/>
      <c r="O8905" s="124"/>
    </row>
    <row r="8906">
      <c r="K8906" s="124"/>
      <c r="L8906" s="124"/>
      <c r="M8906" s="124"/>
      <c r="N8906" s="124"/>
      <c r="O8906" s="124"/>
    </row>
    <row r="8907">
      <c r="K8907" s="124"/>
      <c r="L8907" s="124"/>
      <c r="M8907" s="124"/>
      <c r="N8907" s="124"/>
      <c r="O8907" s="124"/>
    </row>
    <row r="8908">
      <c r="K8908" s="124"/>
      <c r="L8908" s="124"/>
      <c r="M8908" s="124"/>
      <c r="N8908" s="124"/>
      <c r="O8908" s="124"/>
    </row>
    <row r="8909">
      <c r="K8909" s="124"/>
      <c r="L8909" s="124"/>
      <c r="M8909" s="124"/>
      <c r="N8909" s="124"/>
      <c r="O8909" s="124"/>
    </row>
    <row r="8910">
      <c r="K8910" s="124"/>
      <c r="L8910" s="124"/>
      <c r="M8910" s="124"/>
      <c r="N8910" s="124"/>
      <c r="O8910" s="124"/>
    </row>
    <row r="8911">
      <c r="K8911" s="124"/>
      <c r="L8911" s="124"/>
      <c r="M8911" s="124"/>
      <c r="N8911" s="124"/>
      <c r="O8911" s="124"/>
    </row>
    <row r="8912">
      <c r="K8912" s="124"/>
      <c r="L8912" s="124"/>
      <c r="M8912" s="124"/>
      <c r="N8912" s="124"/>
      <c r="O8912" s="124"/>
    </row>
    <row r="8913">
      <c r="K8913" s="124"/>
      <c r="L8913" s="124"/>
      <c r="M8913" s="124"/>
      <c r="N8913" s="124"/>
      <c r="O8913" s="124"/>
    </row>
    <row r="8914">
      <c r="K8914" s="124"/>
      <c r="L8914" s="124"/>
      <c r="M8914" s="124"/>
      <c r="N8914" s="124"/>
      <c r="O8914" s="124"/>
    </row>
    <row r="8915">
      <c r="K8915" s="124"/>
      <c r="L8915" s="124"/>
      <c r="M8915" s="124"/>
      <c r="N8915" s="124"/>
      <c r="O8915" s="124"/>
    </row>
    <row r="8916">
      <c r="K8916" s="124"/>
      <c r="L8916" s="124"/>
      <c r="M8916" s="124"/>
      <c r="N8916" s="124"/>
      <c r="O8916" s="124"/>
    </row>
    <row r="8917">
      <c r="K8917" s="124"/>
      <c r="L8917" s="124"/>
      <c r="M8917" s="124"/>
      <c r="N8917" s="124"/>
      <c r="O8917" s="124"/>
    </row>
    <row r="8918">
      <c r="K8918" s="124"/>
      <c r="L8918" s="124"/>
      <c r="M8918" s="124"/>
      <c r="N8918" s="124"/>
      <c r="O8918" s="124"/>
    </row>
    <row r="8919">
      <c r="K8919" s="124"/>
      <c r="L8919" s="124"/>
      <c r="M8919" s="124"/>
      <c r="N8919" s="124"/>
      <c r="O8919" s="124"/>
    </row>
    <row r="8920">
      <c r="K8920" s="124"/>
      <c r="L8920" s="124"/>
      <c r="M8920" s="124"/>
      <c r="N8920" s="124"/>
      <c r="O8920" s="124"/>
    </row>
    <row r="8921">
      <c r="K8921" s="124"/>
      <c r="L8921" s="124"/>
      <c r="M8921" s="124"/>
      <c r="N8921" s="124"/>
      <c r="O8921" s="124"/>
    </row>
    <row r="8922">
      <c r="K8922" s="124"/>
      <c r="L8922" s="124"/>
      <c r="M8922" s="124"/>
      <c r="N8922" s="124"/>
      <c r="O8922" s="124"/>
    </row>
    <row r="8923">
      <c r="K8923" s="124"/>
      <c r="L8923" s="124"/>
      <c r="M8923" s="124"/>
      <c r="N8923" s="124"/>
      <c r="O8923" s="124"/>
    </row>
    <row r="8924">
      <c r="K8924" s="124"/>
      <c r="L8924" s="124"/>
      <c r="M8924" s="124"/>
      <c r="N8924" s="124"/>
      <c r="O8924" s="124"/>
    </row>
    <row r="8925">
      <c r="K8925" s="124"/>
      <c r="L8925" s="124"/>
      <c r="M8925" s="124"/>
      <c r="N8925" s="124"/>
      <c r="O8925" s="124"/>
    </row>
    <row r="8926">
      <c r="K8926" s="124"/>
      <c r="L8926" s="124"/>
      <c r="M8926" s="124"/>
      <c r="N8926" s="124"/>
      <c r="O8926" s="124"/>
    </row>
    <row r="8927">
      <c r="K8927" s="124"/>
      <c r="L8927" s="124"/>
      <c r="M8927" s="124"/>
      <c r="N8927" s="124"/>
      <c r="O8927" s="124"/>
    </row>
    <row r="8928">
      <c r="K8928" s="124"/>
      <c r="L8928" s="124"/>
      <c r="M8928" s="124"/>
      <c r="N8928" s="124"/>
      <c r="O8928" s="124"/>
    </row>
    <row r="8929">
      <c r="K8929" s="124"/>
      <c r="L8929" s="124"/>
      <c r="M8929" s="124"/>
      <c r="N8929" s="124"/>
      <c r="O8929" s="124"/>
    </row>
    <row r="8930">
      <c r="K8930" s="124"/>
      <c r="L8930" s="124"/>
      <c r="M8930" s="124"/>
      <c r="N8930" s="124"/>
      <c r="O8930" s="124"/>
    </row>
    <row r="8931">
      <c r="K8931" s="124"/>
      <c r="L8931" s="124"/>
      <c r="M8931" s="124"/>
      <c r="N8931" s="124"/>
      <c r="O8931" s="124"/>
    </row>
    <row r="8932">
      <c r="K8932" s="124"/>
      <c r="L8932" s="124"/>
      <c r="M8932" s="124"/>
      <c r="N8932" s="124"/>
      <c r="O8932" s="124"/>
    </row>
    <row r="8933">
      <c r="K8933" s="124"/>
      <c r="L8933" s="124"/>
      <c r="M8933" s="124"/>
      <c r="N8933" s="124"/>
      <c r="O8933" s="124"/>
    </row>
    <row r="8934">
      <c r="K8934" s="124"/>
      <c r="L8934" s="124"/>
      <c r="M8934" s="124"/>
      <c r="N8934" s="124"/>
      <c r="O8934" s="124"/>
    </row>
    <row r="8935">
      <c r="K8935" s="124"/>
      <c r="L8935" s="124"/>
      <c r="M8935" s="124"/>
      <c r="N8935" s="124"/>
      <c r="O8935" s="124"/>
    </row>
    <row r="8936">
      <c r="K8936" s="124"/>
      <c r="L8936" s="124"/>
      <c r="M8936" s="124"/>
      <c r="N8936" s="124"/>
      <c r="O8936" s="124"/>
    </row>
    <row r="8937">
      <c r="K8937" s="124"/>
      <c r="L8937" s="124"/>
      <c r="M8937" s="124"/>
      <c r="N8937" s="124"/>
      <c r="O8937" s="124"/>
    </row>
    <row r="8938">
      <c r="K8938" s="124"/>
      <c r="L8938" s="124"/>
      <c r="M8938" s="124"/>
      <c r="N8938" s="124"/>
      <c r="O8938" s="124"/>
    </row>
    <row r="8939">
      <c r="K8939" s="124"/>
      <c r="L8939" s="124"/>
      <c r="M8939" s="124"/>
      <c r="N8939" s="124"/>
      <c r="O8939" s="124"/>
    </row>
    <row r="8940">
      <c r="K8940" s="124"/>
      <c r="L8940" s="124"/>
      <c r="M8940" s="124"/>
      <c r="N8940" s="124"/>
      <c r="O8940" s="124"/>
    </row>
    <row r="8941">
      <c r="K8941" s="124"/>
      <c r="L8941" s="124"/>
      <c r="M8941" s="124"/>
      <c r="N8941" s="124"/>
      <c r="O8941" s="124"/>
    </row>
    <row r="8942">
      <c r="K8942" s="124"/>
      <c r="L8942" s="124"/>
      <c r="M8942" s="124"/>
      <c r="N8942" s="124"/>
      <c r="O8942" s="124"/>
    </row>
    <row r="8943">
      <c r="K8943" s="124"/>
      <c r="L8943" s="124"/>
      <c r="M8943" s="124"/>
      <c r="N8943" s="124"/>
      <c r="O8943" s="124"/>
    </row>
    <row r="8944">
      <c r="K8944" s="124"/>
      <c r="L8944" s="124"/>
      <c r="M8944" s="124"/>
      <c r="N8944" s="124"/>
      <c r="O8944" s="124"/>
    </row>
    <row r="8945">
      <c r="K8945" s="124"/>
      <c r="L8945" s="124"/>
      <c r="M8945" s="124"/>
      <c r="N8945" s="124"/>
      <c r="O8945" s="124"/>
    </row>
    <row r="8946">
      <c r="K8946" s="124"/>
      <c r="L8946" s="124"/>
      <c r="M8946" s="124"/>
      <c r="N8946" s="124"/>
      <c r="O8946" s="124"/>
    </row>
    <row r="8947">
      <c r="K8947" s="124"/>
      <c r="L8947" s="124"/>
      <c r="M8947" s="124"/>
      <c r="N8947" s="124"/>
      <c r="O8947" s="124"/>
    </row>
    <row r="8948">
      <c r="K8948" s="124"/>
      <c r="L8948" s="124"/>
      <c r="M8948" s="124"/>
      <c r="N8948" s="124"/>
      <c r="O8948" s="124"/>
    </row>
    <row r="8949">
      <c r="K8949" s="124"/>
      <c r="L8949" s="124"/>
      <c r="M8949" s="124"/>
      <c r="N8949" s="124"/>
      <c r="O8949" s="124"/>
    </row>
    <row r="8950">
      <c r="K8950" s="124"/>
      <c r="L8950" s="124"/>
      <c r="M8950" s="124"/>
      <c r="N8950" s="124"/>
      <c r="O8950" s="124"/>
    </row>
    <row r="8951">
      <c r="K8951" s="124"/>
      <c r="L8951" s="124"/>
      <c r="M8951" s="124"/>
      <c r="N8951" s="124"/>
      <c r="O8951" s="124"/>
    </row>
    <row r="8952">
      <c r="K8952" s="124"/>
      <c r="L8952" s="124"/>
      <c r="M8952" s="124"/>
      <c r="N8952" s="124"/>
      <c r="O8952" s="124"/>
    </row>
    <row r="8953">
      <c r="K8953" s="124"/>
      <c r="L8953" s="124"/>
      <c r="M8953" s="124"/>
      <c r="N8953" s="124"/>
      <c r="O8953" s="124"/>
    </row>
    <row r="8954">
      <c r="K8954" s="124"/>
      <c r="L8954" s="124"/>
      <c r="M8954" s="124"/>
      <c r="N8954" s="124"/>
      <c r="O8954" s="124"/>
    </row>
    <row r="8955">
      <c r="K8955" s="124"/>
      <c r="L8955" s="124"/>
      <c r="M8955" s="124"/>
      <c r="N8955" s="124"/>
      <c r="O8955" s="124"/>
    </row>
    <row r="8956">
      <c r="K8956" s="124"/>
      <c r="L8956" s="124"/>
      <c r="M8956" s="124"/>
      <c r="N8956" s="124"/>
      <c r="O8956" s="124"/>
    </row>
    <row r="8957">
      <c r="K8957" s="124"/>
      <c r="L8957" s="124"/>
      <c r="M8957" s="124"/>
      <c r="N8957" s="124"/>
      <c r="O8957" s="124"/>
    </row>
    <row r="8958">
      <c r="K8958" s="124"/>
      <c r="L8958" s="124"/>
      <c r="M8958" s="124"/>
      <c r="N8958" s="124"/>
      <c r="O8958" s="124"/>
    </row>
    <row r="8959">
      <c r="K8959" s="124"/>
      <c r="L8959" s="124"/>
      <c r="M8959" s="124"/>
      <c r="N8959" s="124"/>
      <c r="O8959" s="124"/>
    </row>
    <row r="8960">
      <c r="K8960" s="124"/>
      <c r="L8960" s="124"/>
      <c r="M8960" s="124"/>
      <c r="N8960" s="124"/>
      <c r="O8960" s="124"/>
    </row>
    <row r="8961">
      <c r="K8961" s="124"/>
      <c r="L8961" s="124"/>
      <c r="M8961" s="124"/>
      <c r="N8961" s="124"/>
      <c r="O8961" s="124"/>
    </row>
    <row r="8962">
      <c r="K8962" s="124"/>
      <c r="L8962" s="124"/>
      <c r="M8962" s="124"/>
      <c r="N8962" s="124"/>
      <c r="O8962" s="124"/>
    </row>
    <row r="8963">
      <c r="K8963" s="124"/>
      <c r="L8963" s="124"/>
      <c r="M8963" s="124"/>
      <c r="N8963" s="124"/>
      <c r="O8963" s="124"/>
    </row>
    <row r="8964">
      <c r="K8964" s="124"/>
      <c r="L8964" s="124"/>
      <c r="M8964" s="124"/>
      <c r="N8964" s="124"/>
      <c r="O8964" s="124"/>
    </row>
    <row r="8965">
      <c r="K8965" s="124"/>
      <c r="L8965" s="124"/>
      <c r="M8965" s="124"/>
      <c r="N8965" s="124"/>
      <c r="O8965" s="124"/>
    </row>
    <row r="8966">
      <c r="K8966" s="124"/>
      <c r="L8966" s="124"/>
      <c r="M8966" s="124"/>
      <c r="N8966" s="124"/>
      <c r="O8966" s="124"/>
    </row>
    <row r="8967">
      <c r="K8967" s="124"/>
      <c r="L8967" s="124"/>
      <c r="M8967" s="124"/>
      <c r="N8967" s="124"/>
      <c r="O8967" s="124"/>
    </row>
    <row r="8968">
      <c r="K8968" s="124"/>
      <c r="L8968" s="124"/>
      <c r="M8968" s="124"/>
      <c r="N8968" s="124"/>
      <c r="O8968" s="124"/>
    </row>
    <row r="8969">
      <c r="K8969" s="124"/>
      <c r="L8969" s="124"/>
      <c r="M8969" s="124"/>
      <c r="N8969" s="124"/>
      <c r="O8969" s="124"/>
    </row>
    <row r="8970">
      <c r="K8970" s="124"/>
      <c r="L8970" s="124"/>
      <c r="M8970" s="124"/>
      <c r="N8970" s="124"/>
      <c r="O8970" s="124"/>
    </row>
    <row r="8971">
      <c r="K8971" s="124"/>
      <c r="L8971" s="124"/>
      <c r="M8971" s="124"/>
      <c r="N8971" s="124"/>
      <c r="O8971" s="124"/>
    </row>
    <row r="8972">
      <c r="K8972" s="124"/>
      <c r="L8972" s="124"/>
      <c r="M8972" s="124"/>
      <c r="N8972" s="124"/>
      <c r="O8972" s="124"/>
    </row>
    <row r="8973">
      <c r="K8973" s="124"/>
      <c r="L8973" s="124"/>
      <c r="M8973" s="124"/>
      <c r="N8973" s="124"/>
      <c r="O8973" s="124"/>
    </row>
    <row r="8974">
      <c r="K8974" s="124"/>
      <c r="L8974" s="124"/>
      <c r="M8974" s="124"/>
      <c r="N8974" s="124"/>
      <c r="O8974" s="124"/>
    </row>
    <row r="8975">
      <c r="K8975" s="124"/>
      <c r="L8975" s="124"/>
      <c r="M8975" s="124"/>
      <c r="N8975" s="124"/>
      <c r="O8975" s="124"/>
    </row>
    <row r="8976">
      <c r="K8976" s="124"/>
      <c r="L8976" s="124"/>
      <c r="M8976" s="124"/>
      <c r="N8976" s="124"/>
      <c r="O8976" s="124"/>
    </row>
    <row r="8977">
      <c r="K8977" s="124"/>
      <c r="L8977" s="124"/>
      <c r="M8977" s="124"/>
      <c r="N8977" s="124"/>
      <c r="O8977" s="124"/>
    </row>
    <row r="8978">
      <c r="K8978" s="124"/>
      <c r="L8978" s="124"/>
      <c r="M8978" s="124"/>
      <c r="N8978" s="124"/>
      <c r="O8978" s="124"/>
    </row>
    <row r="8979">
      <c r="K8979" s="124"/>
      <c r="L8979" s="124"/>
      <c r="M8979" s="124"/>
      <c r="N8979" s="124"/>
      <c r="O8979" s="124"/>
    </row>
    <row r="8980">
      <c r="K8980" s="124"/>
      <c r="L8980" s="124"/>
      <c r="M8980" s="124"/>
      <c r="N8980" s="124"/>
      <c r="O8980" s="124"/>
    </row>
    <row r="8981">
      <c r="K8981" s="124"/>
      <c r="L8981" s="124"/>
      <c r="M8981" s="124"/>
      <c r="N8981" s="124"/>
      <c r="O8981" s="124"/>
    </row>
    <row r="8982">
      <c r="K8982" s="124"/>
      <c r="L8982" s="124"/>
      <c r="M8982" s="124"/>
      <c r="N8982" s="124"/>
      <c r="O8982" s="124"/>
    </row>
    <row r="8983">
      <c r="K8983" s="124"/>
      <c r="L8983" s="124"/>
      <c r="M8983" s="124"/>
      <c r="N8983" s="124"/>
      <c r="O8983" s="124"/>
    </row>
    <row r="8984">
      <c r="K8984" s="124"/>
      <c r="L8984" s="124"/>
      <c r="M8984" s="124"/>
      <c r="N8984" s="124"/>
      <c r="O8984" s="124"/>
    </row>
    <row r="8985">
      <c r="K8985" s="124"/>
      <c r="L8985" s="124"/>
      <c r="M8985" s="124"/>
      <c r="N8985" s="124"/>
      <c r="O8985" s="124"/>
    </row>
    <row r="8986">
      <c r="K8986" s="124"/>
      <c r="L8986" s="124"/>
      <c r="M8986" s="124"/>
      <c r="N8986" s="124"/>
      <c r="O8986" s="124"/>
    </row>
    <row r="8987">
      <c r="K8987" s="124"/>
      <c r="L8987" s="124"/>
      <c r="M8987" s="124"/>
      <c r="N8987" s="124"/>
      <c r="O8987" s="124"/>
    </row>
    <row r="8988">
      <c r="K8988" s="124"/>
      <c r="L8988" s="124"/>
      <c r="M8988" s="124"/>
      <c r="N8988" s="124"/>
      <c r="O8988" s="124"/>
    </row>
    <row r="8989">
      <c r="K8989" s="124"/>
      <c r="L8989" s="124"/>
      <c r="M8989" s="124"/>
      <c r="N8989" s="124"/>
      <c r="O8989" s="124"/>
    </row>
    <row r="8990">
      <c r="K8990" s="124"/>
      <c r="L8990" s="124"/>
      <c r="M8990" s="124"/>
      <c r="N8990" s="124"/>
      <c r="O8990" s="124"/>
    </row>
    <row r="8991">
      <c r="K8991" s="124"/>
      <c r="L8991" s="124"/>
      <c r="M8991" s="124"/>
      <c r="N8991" s="124"/>
      <c r="O8991" s="124"/>
    </row>
    <row r="8992">
      <c r="K8992" s="124"/>
      <c r="L8992" s="124"/>
      <c r="M8992" s="124"/>
      <c r="N8992" s="124"/>
      <c r="O8992" s="124"/>
    </row>
    <row r="8993">
      <c r="K8993" s="124"/>
      <c r="L8993" s="124"/>
      <c r="M8993" s="124"/>
      <c r="N8993" s="124"/>
      <c r="O8993" s="124"/>
    </row>
    <row r="8994">
      <c r="K8994" s="124"/>
      <c r="L8994" s="124"/>
      <c r="M8994" s="124"/>
      <c r="N8994" s="124"/>
      <c r="O8994" s="124"/>
    </row>
    <row r="8995">
      <c r="K8995" s="124"/>
      <c r="L8995" s="124"/>
      <c r="M8995" s="124"/>
      <c r="N8995" s="124"/>
      <c r="O8995" s="124"/>
    </row>
    <row r="8996">
      <c r="K8996" s="124"/>
      <c r="L8996" s="124"/>
      <c r="M8996" s="124"/>
      <c r="N8996" s="124"/>
      <c r="O8996" s="124"/>
    </row>
    <row r="8997">
      <c r="K8997" s="124"/>
      <c r="L8997" s="124"/>
      <c r="M8997" s="124"/>
      <c r="N8997" s="124"/>
      <c r="O8997" s="124"/>
    </row>
    <row r="8998">
      <c r="K8998" s="124"/>
      <c r="L8998" s="124"/>
      <c r="M8998" s="124"/>
      <c r="N8998" s="124"/>
      <c r="O8998" s="124"/>
    </row>
    <row r="8999">
      <c r="K8999" s="124"/>
      <c r="L8999" s="124"/>
      <c r="M8999" s="124"/>
      <c r="N8999" s="124"/>
      <c r="O8999" s="124"/>
    </row>
    <row r="9000">
      <c r="K9000" s="124"/>
      <c r="L9000" s="124"/>
      <c r="M9000" s="124"/>
      <c r="N9000" s="124"/>
      <c r="O9000" s="124"/>
    </row>
    <row r="9001">
      <c r="K9001" s="124"/>
      <c r="L9001" s="124"/>
      <c r="M9001" s="124"/>
      <c r="N9001" s="124"/>
      <c r="O9001" s="124"/>
    </row>
    <row r="9002">
      <c r="K9002" s="124"/>
      <c r="L9002" s="124"/>
      <c r="M9002" s="124"/>
      <c r="N9002" s="124"/>
      <c r="O9002" s="124"/>
    </row>
    <row r="9003">
      <c r="K9003" s="124"/>
      <c r="L9003" s="124"/>
      <c r="M9003" s="124"/>
      <c r="N9003" s="124"/>
      <c r="O9003" s="124"/>
    </row>
    <row r="9004">
      <c r="K9004" s="124"/>
      <c r="L9004" s="124"/>
      <c r="M9004" s="124"/>
      <c r="N9004" s="124"/>
      <c r="O9004" s="124"/>
    </row>
    <row r="9005">
      <c r="K9005" s="124"/>
      <c r="L9005" s="124"/>
      <c r="M9005" s="124"/>
      <c r="N9005" s="124"/>
      <c r="O9005" s="124"/>
    </row>
    <row r="9006">
      <c r="K9006" s="124"/>
      <c r="L9006" s="124"/>
      <c r="M9006" s="124"/>
      <c r="N9006" s="124"/>
      <c r="O9006" s="124"/>
    </row>
    <row r="9007">
      <c r="K9007" s="124"/>
      <c r="L9007" s="124"/>
      <c r="M9007" s="124"/>
      <c r="N9007" s="124"/>
      <c r="O9007" s="124"/>
    </row>
    <row r="9008">
      <c r="K9008" s="124"/>
      <c r="L9008" s="124"/>
      <c r="M9008" s="124"/>
      <c r="N9008" s="124"/>
      <c r="O9008" s="124"/>
    </row>
    <row r="9009">
      <c r="K9009" s="124"/>
      <c r="L9009" s="124"/>
      <c r="M9009" s="124"/>
      <c r="N9009" s="124"/>
      <c r="O9009" s="124"/>
    </row>
    <row r="9010">
      <c r="K9010" s="124"/>
      <c r="L9010" s="124"/>
      <c r="M9010" s="124"/>
      <c r="N9010" s="124"/>
      <c r="O9010" s="124"/>
    </row>
    <row r="9011">
      <c r="K9011" s="124"/>
      <c r="L9011" s="124"/>
      <c r="M9011" s="124"/>
      <c r="N9011" s="124"/>
      <c r="O9011" s="124"/>
    </row>
    <row r="9012">
      <c r="K9012" s="124"/>
      <c r="L9012" s="124"/>
      <c r="M9012" s="124"/>
      <c r="N9012" s="124"/>
      <c r="O9012" s="124"/>
    </row>
    <row r="9013">
      <c r="K9013" s="124"/>
      <c r="L9013" s="124"/>
      <c r="M9013" s="124"/>
      <c r="N9013" s="124"/>
      <c r="O9013" s="124"/>
    </row>
    <row r="9014">
      <c r="K9014" s="124"/>
      <c r="L9014" s="124"/>
      <c r="M9014" s="124"/>
      <c r="N9014" s="124"/>
      <c r="O9014" s="124"/>
    </row>
    <row r="9015">
      <c r="K9015" s="124"/>
      <c r="L9015" s="124"/>
      <c r="M9015" s="124"/>
      <c r="N9015" s="124"/>
      <c r="O9015" s="124"/>
    </row>
    <row r="9016">
      <c r="K9016" s="124"/>
      <c r="L9016" s="124"/>
      <c r="M9016" s="124"/>
      <c r="N9016" s="124"/>
      <c r="O9016" s="124"/>
    </row>
    <row r="9017">
      <c r="K9017" s="124"/>
      <c r="L9017" s="124"/>
      <c r="M9017" s="124"/>
      <c r="N9017" s="124"/>
      <c r="O9017" s="124"/>
    </row>
    <row r="9018">
      <c r="K9018" s="124"/>
      <c r="L9018" s="124"/>
      <c r="M9018" s="124"/>
      <c r="N9018" s="124"/>
      <c r="O9018" s="124"/>
    </row>
    <row r="9019">
      <c r="K9019" s="124"/>
      <c r="L9019" s="124"/>
      <c r="M9019" s="124"/>
      <c r="N9019" s="124"/>
      <c r="O9019" s="124"/>
    </row>
    <row r="9020">
      <c r="K9020" s="124"/>
      <c r="L9020" s="124"/>
      <c r="M9020" s="124"/>
      <c r="N9020" s="124"/>
      <c r="O9020" s="124"/>
    </row>
    <row r="9021">
      <c r="K9021" s="124"/>
      <c r="L9021" s="124"/>
      <c r="M9021" s="124"/>
      <c r="N9021" s="124"/>
      <c r="O9021" s="124"/>
    </row>
    <row r="9022">
      <c r="K9022" s="124"/>
      <c r="L9022" s="124"/>
      <c r="M9022" s="124"/>
      <c r="N9022" s="124"/>
      <c r="O9022" s="124"/>
    </row>
    <row r="9023">
      <c r="K9023" s="124"/>
      <c r="L9023" s="124"/>
      <c r="M9023" s="124"/>
      <c r="N9023" s="124"/>
      <c r="O9023" s="124"/>
    </row>
    <row r="9024">
      <c r="K9024" s="124"/>
      <c r="L9024" s="124"/>
      <c r="M9024" s="124"/>
      <c r="N9024" s="124"/>
      <c r="O9024" s="124"/>
    </row>
    <row r="9025">
      <c r="K9025" s="124"/>
      <c r="L9025" s="124"/>
      <c r="M9025" s="124"/>
      <c r="N9025" s="124"/>
      <c r="O9025" s="124"/>
    </row>
    <row r="9026">
      <c r="K9026" s="124"/>
      <c r="L9026" s="124"/>
      <c r="M9026" s="124"/>
      <c r="N9026" s="124"/>
      <c r="O9026" s="124"/>
    </row>
    <row r="9027">
      <c r="K9027" s="124"/>
      <c r="L9027" s="124"/>
      <c r="M9027" s="124"/>
      <c r="N9027" s="124"/>
      <c r="O9027" s="124"/>
    </row>
    <row r="9028">
      <c r="K9028" s="124"/>
      <c r="L9028" s="124"/>
      <c r="M9028" s="124"/>
      <c r="N9028" s="124"/>
      <c r="O9028" s="124"/>
    </row>
    <row r="9029">
      <c r="K9029" s="124"/>
      <c r="L9029" s="124"/>
      <c r="M9029" s="124"/>
      <c r="N9029" s="124"/>
      <c r="O9029" s="124"/>
    </row>
    <row r="9030">
      <c r="K9030" s="124"/>
      <c r="L9030" s="124"/>
      <c r="M9030" s="124"/>
      <c r="N9030" s="124"/>
      <c r="O9030" s="124"/>
    </row>
    <row r="9031">
      <c r="K9031" s="124"/>
      <c r="L9031" s="124"/>
      <c r="M9031" s="124"/>
      <c r="N9031" s="124"/>
      <c r="O9031" s="124"/>
    </row>
    <row r="9032">
      <c r="K9032" s="124"/>
      <c r="L9032" s="124"/>
      <c r="M9032" s="124"/>
      <c r="N9032" s="124"/>
      <c r="O9032" s="124"/>
    </row>
    <row r="9033">
      <c r="K9033" s="124"/>
      <c r="L9033" s="124"/>
      <c r="M9033" s="124"/>
      <c r="N9033" s="124"/>
      <c r="O9033" s="124"/>
    </row>
    <row r="9034">
      <c r="K9034" s="124"/>
      <c r="L9034" s="124"/>
      <c r="M9034" s="124"/>
      <c r="N9034" s="124"/>
      <c r="O9034" s="124"/>
    </row>
    <row r="9035">
      <c r="K9035" s="124"/>
      <c r="L9035" s="124"/>
      <c r="M9035" s="124"/>
      <c r="N9035" s="124"/>
      <c r="O9035" s="124"/>
    </row>
    <row r="9036">
      <c r="K9036" s="124"/>
      <c r="L9036" s="124"/>
      <c r="M9036" s="124"/>
      <c r="N9036" s="124"/>
      <c r="O9036" s="124"/>
    </row>
    <row r="9037">
      <c r="K9037" s="124"/>
      <c r="L9037" s="124"/>
      <c r="M9037" s="124"/>
      <c r="N9037" s="124"/>
      <c r="O9037" s="124"/>
    </row>
    <row r="9038">
      <c r="K9038" s="124"/>
      <c r="L9038" s="124"/>
      <c r="M9038" s="124"/>
      <c r="N9038" s="124"/>
      <c r="O9038" s="124"/>
    </row>
    <row r="9039">
      <c r="K9039" s="124"/>
      <c r="L9039" s="124"/>
      <c r="M9039" s="124"/>
      <c r="N9039" s="124"/>
      <c r="O9039" s="124"/>
    </row>
    <row r="9040">
      <c r="K9040" s="124"/>
      <c r="L9040" s="124"/>
      <c r="M9040" s="124"/>
      <c r="N9040" s="124"/>
      <c r="O9040" s="124"/>
    </row>
    <row r="9041">
      <c r="K9041" s="124"/>
      <c r="L9041" s="124"/>
      <c r="M9041" s="124"/>
      <c r="N9041" s="124"/>
      <c r="O9041" s="124"/>
    </row>
    <row r="9042">
      <c r="K9042" s="124"/>
      <c r="L9042" s="124"/>
      <c r="M9042" s="124"/>
      <c r="N9042" s="124"/>
      <c r="O9042" s="124"/>
    </row>
    <row r="9043">
      <c r="K9043" s="124"/>
      <c r="L9043" s="124"/>
      <c r="M9043" s="124"/>
      <c r="N9043" s="124"/>
      <c r="O9043" s="124"/>
    </row>
    <row r="9044">
      <c r="K9044" s="124"/>
      <c r="L9044" s="124"/>
      <c r="M9044" s="124"/>
      <c r="N9044" s="124"/>
      <c r="O9044" s="124"/>
    </row>
    <row r="9045">
      <c r="K9045" s="124"/>
      <c r="L9045" s="124"/>
      <c r="M9045" s="124"/>
      <c r="N9045" s="124"/>
      <c r="O9045" s="124"/>
    </row>
    <row r="9046">
      <c r="K9046" s="124"/>
      <c r="L9046" s="124"/>
      <c r="M9046" s="124"/>
      <c r="N9046" s="124"/>
      <c r="O9046" s="124"/>
    </row>
    <row r="9047">
      <c r="K9047" s="124"/>
      <c r="L9047" s="124"/>
      <c r="M9047" s="124"/>
      <c r="N9047" s="124"/>
      <c r="O9047" s="124"/>
    </row>
    <row r="9048">
      <c r="K9048" s="124"/>
      <c r="L9048" s="124"/>
      <c r="M9048" s="124"/>
      <c r="N9048" s="124"/>
      <c r="O9048" s="124"/>
    </row>
    <row r="9049">
      <c r="K9049" s="124"/>
      <c r="L9049" s="124"/>
      <c r="M9049" s="124"/>
      <c r="N9049" s="124"/>
      <c r="O9049" s="124"/>
    </row>
    <row r="9050">
      <c r="K9050" s="124"/>
      <c r="L9050" s="124"/>
      <c r="M9050" s="124"/>
      <c r="N9050" s="124"/>
      <c r="O9050" s="124"/>
    </row>
    <row r="9051">
      <c r="K9051" s="124"/>
      <c r="L9051" s="124"/>
      <c r="M9051" s="124"/>
      <c r="N9051" s="124"/>
      <c r="O9051" s="124"/>
    </row>
    <row r="9052">
      <c r="K9052" s="124"/>
      <c r="L9052" s="124"/>
      <c r="M9052" s="124"/>
      <c r="N9052" s="124"/>
      <c r="O9052" s="124"/>
    </row>
    <row r="9053">
      <c r="K9053" s="124"/>
      <c r="L9053" s="124"/>
      <c r="M9053" s="124"/>
      <c r="N9053" s="124"/>
      <c r="O9053" s="124"/>
    </row>
    <row r="9054">
      <c r="K9054" s="124"/>
      <c r="L9054" s="124"/>
      <c r="M9054" s="124"/>
      <c r="N9054" s="124"/>
      <c r="O9054" s="124"/>
    </row>
    <row r="9055">
      <c r="K9055" s="124"/>
      <c r="L9055" s="124"/>
      <c r="M9055" s="124"/>
      <c r="N9055" s="124"/>
      <c r="O9055" s="124"/>
    </row>
    <row r="9056">
      <c r="K9056" s="124"/>
      <c r="L9056" s="124"/>
      <c r="M9056" s="124"/>
      <c r="N9056" s="124"/>
      <c r="O9056" s="124"/>
    </row>
    <row r="9057">
      <c r="K9057" s="124"/>
      <c r="L9057" s="124"/>
      <c r="M9057" s="124"/>
      <c r="N9057" s="124"/>
      <c r="O9057" s="124"/>
    </row>
    <row r="9058">
      <c r="K9058" s="124"/>
      <c r="L9058" s="124"/>
      <c r="M9058" s="124"/>
      <c r="N9058" s="124"/>
      <c r="O9058" s="124"/>
    </row>
    <row r="9059">
      <c r="K9059" s="124"/>
      <c r="L9059" s="124"/>
      <c r="M9059" s="124"/>
      <c r="N9059" s="124"/>
      <c r="O9059" s="124"/>
    </row>
    <row r="9060">
      <c r="K9060" s="124"/>
      <c r="L9060" s="124"/>
      <c r="M9060" s="124"/>
      <c r="N9060" s="124"/>
      <c r="O9060" s="124"/>
    </row>
    <row r="9061">
      <c r="K9061" s="124"/>
      <c r="L9061" s="124"/>
      <c r="M9061" s="124"/>
      <c r="N9061" s="124"/>
      <c r="O9061" s="124"/>
    </row>
    <row r="9062">
      <c r="K9062" s="124"/>
      <c r="L9062" s="124"/>
      <c r="M9062" s="124"/>
      <c r="N9062" s="124"/>
      <c r="O9062" s="124"/>
    </row>
    <row r="9063">
      <c r="K9063" s="124"/>
      <c r="L9063" s="124"/>
      <c r="M9063" s="124"/>
      <c r="N9063" s="124"/>
      <c r="O9063" s="124"/>
    </row>
    <row r="9064">
      <c r="K9064" s="124"/>
      <c r="L9064" s="124"/>
      <c r="M9064" s="124"/>
      <c r="N9064" s="124"/>
      <c r="O9064" s="124"/>
    </row>
    <row r="9065">
      <c r="K9065" s="124"/>
      <c r="L9065" s="124"/>
      <c r="M9065" s="124"/>
      <c r="N9065" s="124"/>
      <c r="O9065" s="124"/>
    </row>
    <row r="9066">
      <c r="K9066" s="124"/>
      <c r="L9066" s="124"/>
      <c r="M9066" s="124"/>
      <c r="N9066" s="124"/>
      <c r="O9066" s="124"/>
    </row>
    <row r="9067">
      <c r="K9067" s="124"/>
      <c r="L9067" s="124"/>
      <c r="M9067" s="124"/>
      <c r="N9067" s="124"/>
      <c r="O9067" s="124"/>
    </row>
    <row r="9068">
      <c r="K9068" s="124"/>
      <c r="L9068" s="124"/>
      <c r="M9068" s="124"/>
      <c r="N9068" s="124"/>
      <c r="O9068" s="124"/>
    </row>
    <row r="9069">
      <c r="K9069" s="124"/>
      <c r="L9069" s="124"/>
      <c r="M9069" s="124"/>
      <c r="N9069" s="124"/>
      <c r="O9069" s="124"/>
    </row>
    <row r="9070">
      <c r="K9070" s="124"/>
      <c r="L9070" s="124"/>
      <c r="M9070" s="124"/>
      <c r="N9070" s="124"/>
      <c r="O9070" s="124"/>
    </row>
    <row r="9071">
      <c r="K9071" s="124"/>
      <c r="L9071" s="124"/>
      <c r="M9071" s="124"/>
      <c r="N9071" s="124"/>
      <c r="O9071" s="124"/>
    </row>
    <row r="9072">
      <c r="K9072" s="124"/>
      <c r="L9072" s="124"/>
      <c r="M9072" s="124"/>
      <c r="N9072" s="124"/>
      <c r="O9072" s="124"/>
    </row>
    <row r="9073">
      <c r="K9073" s="124"/>
      <c r="L9073" s="124"/>
      <c r="M9073" s="124"/>
      <c r="N9073" s="124"/>
      <c r="O9073" s="124"/>
    </row>
    <row r="9074">
      <c r="K9074" s="124"/>
      <c r="L9074" s="124"/>
      <c r="M9074" s="124"/>
      <c r="N9074" s="124"/>
      <c r="O9074" s="124"/>
    </row>
    <row r="9075">
      <c r="K9075" s="124"/>
      <c r="L9075" s="124"/>
      <c r="M9075" s="124"/>
      <c r="N9075" s="124"/>
      <c r="O9075" s="124"/>
    </row>
    <row r="9076">
      <c r="K9076" s="124"/>
      <c r="L9076" s="124"/>
      <c r="M9076" s="124"/>
      <c r="N9076" s="124"/>
      <c r="O9076" s="124"/>
    </row>
    <row r="9077">
      <c r="K9077" s="124"/>
      <c r="L9077" s="124"/>
      <c r="M9077" s="124"/>
      <c r="N9077" s="124"/>
      <c r="O9077" s="124"/>
    </row>
    <row r="9078">
      <c r="K9078" s="124"/>
      <c r="L9078" s="124"/>
      <c r="M9078" s="124"/>
      <c r="N9078" s="124"/>
      <c r="O9078" s="124"/>
    </row>
    <row r="9079">
      <c r="K9079" s="124"/>
      <c r="L9079" s="124"/>
      <c r="M9079" s="124"/>
      <c r="N9079" s="124"/>
      <c r="O9079" s="124"/>
    </row>
    <row r="9080">
      <c r="K9080" s="124"/>
      <c r="L9080" s="124"/>
      <c r="M9080" s="124"/>
      <c r="N9080" s="124"/>
      <c r="O9080" s="124"/>
    </row>
    <row r="9081">
      <c r="K9081" s="124"/>
      <c r="L9081" s="124"/>
      <c r="M9081" s="124"/>
      <c r="N9081" s="124"/>
      <c r="O9081" s="124"/>
    </row>
    <row r="9082">
      <c r="K9082" s="124"/>
      <c r="L9082" s="124"/>
      <c r="M9082" s="124"/>
      <c r="N9082" s="124"/>
      <c r="O9082" s="124"/>
    </row>
    <row r="9083">
      <c r="K9083" s="124"/>
      <c r="L9083" s="124"/>
      <c r="M9083" s="124"/>
      <c r="N9083" s="124"/>
      <c r="O9083" s="124"/>
    </row>
    <row r="9084">
      <c r="K9084" s="124"/>
      <c r="L9084" s="124"/>
      <c r="M9084" s="124"/>
      <c r="N9084" s="124"/>
      <c r="O9084" s="124"/>
    </row>
    <row r="9085">
      <c r="K9085" s="124"/>
      <c r="L9085" s="124"/>
      <c r="M9085" s="124"/>
      <c r="N9085" s="124"/>
      <c r="O9085" s="124"/>
    </row>
    <row r="9086">
      <c r="K9086" s="124"/>
      <c r="L9086" s="124"/>
      <c r="M9086" s="124"/>
      <c r="N9086" s="124"/>
      <c r="O9086" s="124"/>
    </row>
    <row r="9087">
      <c r="K9087" s="124"/>
      <c r="L9087" s="124"/>
      <c r="M9087" s="124"/>
      <c r="N9087" s="124"/>
      <c r="O9087" s="124"/>
    </row>
    <row r="9088">
      <c r="K9088" s="124"/>
      <c r="L9088" s="124"/>
      <c r="M9088" s="124"/>
      <c r="N9088" s="124"/>
      <c r="O9088" s="124"/>
    </row>
    <row r="9089">
      <c r="K9089" s="124"/>
      <c r="L9089" s="124"/>
      <c r="M9089" s="124"/>
      <c r="N9089" s="124"/>
      <c r="O9089" s="124"/>
    </row>
    <row r="9090">
      <c r="K9090" s="124"/>
      <c r="L9090" s="124"/>
      <c r="M9090" s="124"/>
      <c r="N9090" s="124"/>
      <c r="O9090" s="124"/>
    </row>
    <row r="9091">
      <c r="K9091" s="124"/>
      <c r="L9091" s="124"/>
      <c r="M9091" s="124"/>
      <c r="N9091" s="124"/>
      <c r="O9091" s="124"/>
    </row>
    <row r="9092">
      <c r="K9092" s="124"/>
      <c r="L9092" s="124"/>
      <c r="M9092" s="124"/>
      <c r="N9092" s="124"/>
      <c r="O9092" s="124"/>
    </row>
    <row r="9093">
      <c r="K9093" s="124"/>
      <c r="L9093" s="124"/>
      <c r="M9093" s="124"/>
      <c r="N9093" s="124"/>
      <c r="O9093" s="124"/>
    </row>
    <row r="9094">
      <c r="K9094" s="124"/>
      <c r="L9094" s="124"/>
      <c r="M9094" s="124"/>
      <c r="N9094" s="124"/>
      <c r="O9094" s="124"/>
    </row>
    <row r="9095">
      <c r="K9095" s="124"/>
      <c r="L9095" s="124"/>
      <c r="M9095" s="124"/>
      <c r="N9095" s="124"/>
      <c r="O9095" s="124"/>
    </row>
    <row r="9096">
      <c r="K9096" s="124"/>
      <c r="L9096" s="124"/>
      <c r="M9096" s="124"/>
      <c r="N9096" s="124"/>
      <c r="O9096" s="124"/>
    </row>
    <row r="9097">
      <c r="K9097" s="124"/>
      <c r="L9097" s="124"/>
      <c r="M9097" s="124"/>
      <c r="N9097" s="124"/>
      <c r="O9097" s="124"/>
    </row>
    <row r="9098">
      <c r="K9098" s="124"/>
      <c r="L9098" s="124"/>
      <c r="M9098" s="124"/>
      <c r="N9098" s="124"/>
      <c r="O9098" s="124"/>
    </row>
    <row r="9099">
      <c r="K9099" s="124"/>
      <c r="L9099" s="124"/>
      <c r="M9099" s="124"/>
      <c r="N9099" s="124"/>
      <c r="O9099" s="124"/>
    </row>
    <row r="9100">
      <c r="K9100" s="124"/>
      <c r="L9100" s="124"/>
      <c r="M9100" s="124"/>
      <c r="N9100" s="124"/>
      <c r="O9100" s="124"/>
    </row>
    <row r="9101">
      <c r="K9101" s="124"/>
      <c r="L9101" s="124"/>
      <c r="M9101" s="124"/>
      <c r="N9101" s="124"/>
      <c r="O9101" s="124"/>
    </row>
    <row r="9102">
      <c r="K9102" s="124"/>
      <c r="L9102" s="124"/>
      <c r="M9102" s="124"/>
      <c r="N9102" s="124"/>
      <c r="O9102" s="124"/>
    </row>
    <row r="9103">
      <c r="K9103" s="124"/>
      <c r="L9103" s="124"/>
      <c r="M9103" s="124"/>
      <c r="N9103" s="124"/>
      <c r="O9103" s="124"/>
    </row>
    <row r="9104">
      <c r="K9104" s="124"/>
      <c r="L9104" s="124"/>
      <c r="M9104" s="124"/>
      <c r="N9104" s="124"/>
      <c r="O9104" s="124"/>
    </row>
    <row r="9105">
      <c r="K9105" s="124"/>
      <c r="L9105" s="124"/>
      <c r="M9105" s="124"/>
      <c r="N9105" s="124"/>
      <c r="O9105" s="124"/>
    </row>
    <row r="9106">
      <c r="K9106" s="124"/>
      <c r="L9106" s="124"/>
      <c r="M9106" s="124"/>
      <c r="N9106" s="124"/>
      <c r="O9106" s="124"/>
    </row>
    <row r="9107">
      <c r="K9107" s="124"/>
      <c r="L9107" s="124"/>
      <c r="M9107" s="124"/>
      <c r="N9107" s="124"/>
      <c r="O9107" s="124"/>
    </row>
    <row r="9108">
      <c r="K9108" s="124"/>
      <c r="L9108" s="124"/>
      <c r="M9108" s="124"/>
      <c r="N9108" s="124"/>
      <c r="O9108" s="124"/>
    </row>
    <row r="9109">
      <c r="K9109" s="124"/>
      <c r="L9109" s="124"/>
      <c r="M9109" s="124"/>
      <c r="N9109" s="124"/>
      <c r="O9109" s="124"/>
    </row>
    <row r="9110">
      <c r="K9110" s="124"/>
      <c r="L9110" s="124"/>
      <c r="M9110" s="124"/>
      <c r="N9110" s="124"/>
      <c r="O9110" s="124"/>
    </row>
    <row r="9111">
      <c r="K9111" s="124"/>
      <c r="L9111" s="124"/>
      <c r="M9111" s="124"/>
      <c r="N9111" s="124"/>
      <c r="O9111" s="124"/>
    </row>
    <row r="9112">
      <c r="K9112" s="124"/>
      <c r="L9112" s="124"/>
      <c r="M9112" s="124"/>
      <c r="N9112" s="124"/>
      <c r="O9112" s="124"/>
    </row>
    <row r="9113">
      <c r="K9113" s="124"/>
      <c r="L9113" s="124"/>
      <c r="M9113" s="124"/>
      <c r="N9113" s="124"/>
      <c r="O9113" s="124"/>
    </row>
    <row r="9114">
      <c r="K9114" s="124"/>
      <c r="L9114" s="124"/>
      <c r="M9114" s="124"/>
      <c r="N9114" s="124"/>
      <c r="O9114" s="124"/>
    </row>
    <row r="9115">
      <c r="K9115" s="124"/>
      <c r="L9115" s="124"/>
      <c r="M9115" s="124"/>
      <c r="N9115" s="124"/>
      <c r="O9115" s="124"/>
    </row>
    <row r="9116">
      <c r="K9116" s="124"/>
      <c r="L9116" s="124"/>
      <c r="M9116" s="124"/>
      <c r="N9116" s="124"/>
      <c r="O9116" s="124"/>
    </row>
    <row r="9117">
      <c r="K9117" s="124"/>
      <c r="L9117" s="124"/>
      <c r="M9117" s="124"/>
      <c r="N9117" s="124"/>
      <c r="O9117" s="124"/>
    </row>
    <row r="9118">
      <c r="K9118" s="124"/>
      <c r="L9118" s="124"/>
      <c r="M9118" s="124"/>
      <c r="N9118" s="124"/>
      <c r="O9118" s="124"/>
    </row>
    <row r="9119">
      <c r="K9119" s="124"/>
      <c r="L9119" s="124"/>
      <c r="M9119" s="124"/>
      <c r="N9119" s="124"/>
      <c r="O9119" s="124"/>
    </row>
    <row r="9120">
      <c r="K9120" s="124"/>
      <c r="L9120" s="124"/>
      <c r="M9120" s="124"/>
      <c r="N9120" s="124"/>
      <c r="O9120" s="124"/>
    </row>
    <row r="9121">
      <c r="K9121" s="124"/>
      <c r="L9121" s="124"/>
      <c r="M9121" s="124"/>
      <c r="N9121" s="124"/>
      <c r="O9121" s="124"/>
    </row>
    <row r="9122">
      <c r="K9122" s="124"/>
      <c r="L9122" s="124"/>
      <c r="M9122" s="124"/>
      <c r="N9122" s="124"/>
      <c r="O9122" s="124"/>
    </row>
    <row r="9123">
      <c r="K9123" s="124"/>
      <c r="L9123" s="124"/>
      <c r="M9123" s="124"/>
      <c r="N9123" s="124"/>
      <c r="O9123" s="124"/>
    </row>
    <row r="9124">
      <c r="K9124" s="124"/>
      <c r="L9124" s="124"/>
      <c r="M9124" s="124"/>
      <c r="N9124" s="124"/>
      <c r="O9124" s="124"/>
    </row>
    <row r="9125">
      <c r="K9125" s="124"/>
      <c r="L9125" s="124"/>
      <c r="M9125" s="124"/>
      <c r="N9125" s="124"/>
      <c r="O9125" s="124"/>
    </row>
    <row r="9126">
      <c r="K9126" s="124"/>
      <c r="L9126" s="124"/>
      <c r="M9126" s="124"/>
      <c r="N9126" s="124"/>
      <c r="O9126" s="124"/>
    </row>
    <row r="9127">
      <c r="K9127" s="124"/>
      <c r="L9127" s="124"/>
      <c r="M9127" s="124"/>
      <c r="N9127" s="124"/>
      <c r="O9127" s="124"/>
    </row>
    <row r="9128">
      <c r="K9128" s="124"/>
      <c r="L9128" s="124"/>
      <c r="M9128" s="124"/>
      <c r="N9128" s="124"/>
      <c r="O9128" s="124"/>
    </row>
    <row r="9129">
      <c r="K9129" s="124"/>
      <c r="L9129" s="124"/>
      <c r="M9129" s="124"/>
      <c r="N9129" s="124"/>
      <c r="O9129" s="124"/>
    </row>
    <row r="9130">
      <c r="K9130" s="124"/>
      <c r="L9130" s="124"/>
      <c r="M9130" s="124"/>
      <c r="N9130" s="124"/>
      <c r="O9130" s="124"/>
    </row>
    <row r="9131">
      <c r="K9131" s="124"/>
      <c r="L9131" s="124"/>
      <c r="M9131" s="124"/>
      <c r="N9131" s="124"/>
      <c r="O9131" s="124"/>
    </row>
    <row r="9132">
      <c r="K9132" s="124"/>
      <c r="L9132" s="124"/>
      <c r="M9132" s="124"/>
      <c r="N9132" s="124"/>
      <c r="O9132" s="124"/>
    </row>
    <row r="9133">
      <c r="K9133" s="124"/>
      <c r="L9133" s="124"/>
      <c r="M9133" s="124"/>
      <c r="N9133" s="124"/>
      <c r="O9133" s="124"/>
    </row>
    <row r="9134">
      <c r="K9134" s="124"/>
      <c r="L9134" s="124"/>
      <c r="M9134" s="124"/>
      <c r="N9134" s="124"/>
      <c r="O9134" s="124"/>
    </row>
    <row r="9135">
      <c r="K9135" s="124"/>
      <c r="L9135" s="124"/>
      <c r="M9135" s="124"/>
      <c r="N9135" s="124"/>
      <c r="O9135" s="124"/>
    </row>
    <row r="9136">
      <c r="K9136" s="124"/>
      <c r="L9136" s="124"/>
      <c r="M9136" s="124"/>
      <c r="N9136" s="124"/>
      <c r="O9136" s="124"/>
    </row>
    <row r="9137">
      <c r="K9137" s="124"/>
      <c r="L9137" s="124"/>
      <c r="M9137" s="124"/>
      <c r="N9137" s="124"/>
      <c r="O9137" s="124"/>
    </row>
    <row r="9138">
      <c r="K9138" s="124"/>
      <c r="L9138" s="124"/>
      <c r="M9138" s="124"/>
      <c r="N9138" s="124"/>
      <c r="O9138" s="124"/>
    </row>
    <row r="9139">
      <c r="K9139" s="124"/>
      <c r="L9139" s="124"/>
      <c r="M9139" s="124"/>
      <c r="N9139" s="124"/>
      <c r="O9139" s="124"/>
    </row>
    <row r="9140">
      <c r="K9140" s="124"/>
      <c r="L9140" s="124"/>
      <c r="M9140" s="124"/>
      <c r="N9140" s="124"/>
      <c r="O9140" s="124"/>
    </row>
    <row r="9141">
      <c r="K9141" s="124"/>
      <c r="L9141" s="124"/>
      <c r="M9141" s="124"/>
      <c r="N9141" s="124"/>
      <c r="O9141" s="124"/>
    </row>
    <row r="9142">
      <c r="K9142" s="124"/>
      <c r="L9142" s="124"/>
      <c r="M9142" s="124"/>
      <c r="N9142" s="124"/>
      <c r="O9142" s="124"/>
    </row>
    <row r="9143">
      <c r="K9143" s="124"/>
      <c r="L9143" s="124"/>
      <c r="M9143" s="124"/>
      <c r="N9143" s="124"/>
      <c r="O9143" s="124"/>
    </row>
    <row r="9144">
      <c r="K9144" s="124"/>
      <c r="L9144" s="124"/>
      <c r="M9144" s="124"/>
      <c r="N9144" s="124"/>
      <c r="O9144" s="124"/>
    </row>
    <row r="9145">
      <c r="K9145" s="124"/>
      <c r="L9145" s="124"/>
      <c r="M9145" s="124"/>
      <c r="N9145" s="124"/>
      <c r="O9145" s="124"/>
    </row>
    <row r="9146">
      <c r="K9146" s="124"/>
      <c r="L9146" s="124"/>
      <c r="M9146" s="124"/>
      <c r="N9146" s="124"/>
      <c r="O9146" s="124"/>
    </row>
    <row r="9147">
      <c r="K9147" s="124"/>
      <c r="L9147" s="124"/>
      <c r="M9147" s="124"/>
      <c r="N9147" s="124"/>
      <c r="O9147" s="124"/>
    </row>
    <row r="9148">
      <c r="K9148" s="124"/>
      <c r="L9148" s="124"/>
      <c r="M9148" s="124"/>
      <c r="N9148" s="124"/>
      <c r="O9148" s="124"/>
    </row>
    <row r="9149">
      <c r="K9149" s="124"/>
      <c r="L9149" s="124"/>
      <c r="M9149" s="124"/>
      <c r="N9149" s="124"/>
      <c r="O9149" s="124"/>
    </row>
    <row r="9150">
      <c r="K9150" s="124"/>
      <c r="L9150" s="124"/>
      <c r="M9150" s="124"/>
      <c r="N9150" s="124"/>
      <c r="O9150" s="124"/>
    </row>
    <row r="9151">
      <c r="K9151" s="124"/>
      <c r="L9151" s="124"/>
      <c r="M9151" s="124"/>
      <c r="N9151" s="124"/>
      <c r="O9151" s="124"/>
    </row>
    <row r="9152">
      <c r="K9152" s="124"/>
      <c r="L9152" s="124"/>
      <c r="M9152" s="124"/>
      <c r="N9152" s="124"/>
      <c r="O9152" s="124"/>
    </row>
    <row r="9153">
      <c r="K9153" s="124"/>
      <c r="L9153" s="124"/>
      <c r="M9153" s="124"/>
      <c r="N9153" s="124"/>
      <c r="O9153" s="124"/>
    </row>
    <row r="9154">
      <c r="K9154" s="124"/>
      <c r="L9154" s="124"/>
      <c r="M9154" s="124"/>
      <c r="N9154" s="124"/>
      <c r="O9154" s="124"/>
    </row>
    <row r="9155">
      <c r="K9155" s="124"/>
      <c r="L9155" s="124"/>
      <c r="M9155" s="124"/>
      <c r="N9155" s="124"/>
      <c r="O9155" s="124"/>
    </row>
    <row r="9156">
      <c r="K9156" s="124"/>
      <c r="L9156" s="124"/>
      <c r="M9156" s="124"/>
      <c r="N9156" s="124"/>
      <c r="O9156" s="124"/>
    </row>
    <row r="9157">
      <c r="K9157" s="124"/>
      <c r="L9157" s="124"/>
      <c r="M9157" s="124"/>
      <c r="N9157" s="124"/>
      <c r="O9157" s="124"/>
    </row>
    <row r="9158">
      <c r="K9158" s="124"/>
      <c r="L9158" s="124"/>
      <c r="M9158" s="124"/>
      <c r="N9158" s="124"/>
      <c r="O9158" s="124"/>
    </row>
    <row r="9159">
      <c r="K9159" s="124"/>
      <c r="L9159" s="124"/>
      <c r="M9159" s="124"/>
      <c r="N9159" s="124"/>
      <c r="O9159" s="124"/>
    </row>
    <row r="9160">
      <c r="K9160" s="124"/>
      <c r="L9160" s="124"/>
      <c r="M9160" s="124"/>
      <c r="N9160" s="124"/>
      <c r="O9160" s="124"/>
    </row>
    <row r="9161">
      <c r="K9161" s="124"/>
      <c r="L9161" s="124"/>
      <c r="M9161" s="124"/>
      <c r="N9161" s="124"/>
      <c r="O9161" s="124"/>
    </row>
    <row r="9162">
      <c r="K9162" s="124"/>
      <c r="L9162" s="124"/>
      <c r="M9162" s="124"/>
      <c r="N9162" s="124"/>
      <c r="O9162" s="124"/>
    </row>
    <row r="9163">
      <c r="K9163" s="124"/>
      <c r="L9163" s="124"/>
      <c r="M9163" s="124"/>
      <c r="N9163" s="124"/>
      <c r="O9163" s="124"/>
    </row>
    <row r="9164">
      <c r="K9164" s="124"/>
      <c r="L9164" s="124"/>
      <c r="M9164" s="124"/>
      <c r="N9164" s="124"/>
      <c r="O9164" s="124"/>
    </row>
    <row r="9165">
      <c r="K9165" s="124"/>
      <c r="L9165" s="124"/>
      <c r="M9165" s="124"/>
      <c r="N9165" s="124"/>
      <c r="O9165" s="124"/>
    </row>
    <row r="9166">
      <c r="K9166" s="124"/>
      <c r="L9166" s="124"/>
      <c r="M9166" s="124"/>
      <c r="N9166" s="124"/>
      <c r="O9166" s="124"/>
    </row>
    <row r="9167">
      <c r="K9167" s="124"/>
      <c r="L9167" s="124"/>
      <c r="M9167" s="124"/>
      <c r="N9167" s="124"/>
      <c r="O9167" s="124"/>
    </row>
    <row r="9168">
      <c r="K9168" s="124"/>
      <c r="L9168" s="124"/>
      <c r="M9168" s="124"/>
      <c r="N9168" s="124"/>
      <c r="O9168" s="124"/>
    </row>
    <row r="9169">
      <c r="K9169" s="124"/>
      <c r="L9169" s="124"/>
      <c r="M9169" s="124"/>
      <c r="N9169" s="124"/>
      <c r="O9169" s="124"/>
    </row>
    <row r="9170">
      <c r="K9170" s="124"/>
      <c r="L9170" s="124"/>
      <c r="M9170" s="124"/>
      <c r="N9170" s="124"/>
      <c r="O9170" s="124"/>
    </row>
    <row r="9171">
      <c r="K9171" s="124"/>
      <c r="L9171" s="124"/>
      <c r="M9171" s="124"/>
      <c r="N9171" s="124"/>
      <c r="O9171" s="124"/>
    </row>
    <row r="9172">
      <c r="K9172" s="124"/>
      <c r="L9172" s="124"/>
      <c r="M9172" s="124"/>
      <c r="N9172" s="124"/>
      <c r="O9172" s="124"/>
    </row>
    <row r="9173">
      <c r="K9173" s="124"/>
      <c r="L9173" s="124"/>
      <c r="M9173" s="124"/>
      <c r="N9173" s="124"/>
      <c r="O9173" s="124"/>
    </row>
    <row r="9174">
      <c r="K9174" s="124"/>
      <c r="L9174" s="124"/>
      <c r="M9174" s="124"/>
      <c r="N9174" s="124"/>
      <c r="O9174" s="124"/>
    </row>
    <row r="9175">
      <c r="K9175" s="124"/>
      <c r="L9175" s="124"/>
      <c r="M9175" s="124"/>
      <c r="N9175" s="124"/>
      <c r="O9175" s="124"/>
    </row>
    <row r="9176">
      <c r="K9176" s="124"/>
      <c r="L9176" s="124"/>
      <c r="M9176" s="124"/>
      <c r="N9176" s="124"/>
      <c r="O9176" s="124"/>
    </row>
    <row r="9177">
      <c r="K9177" s="124"/>
      <c r="L9177" s="124"/>
      <c r="M9177" s="124"/>
      <c r="N9177" s="124"/>
      <c r="O9177" s="124"/>
    </row>
    <row r="9178">
      <c r="K9178" s="124"/>
      <c r="L9178" s="124"/>
      <c r="M9178" s="124"/>
      <c r="N9178" s="124"/>
      <c r="O9178" s="124"/>
    </row>
    <row r="9179">
      <c r="K9179" s="124"/>
      <c r="L9179" s="124"/>
      <c r="M9179" s="124"/>
      <c r="N9179" s="124"/>
      <c r="O9179" s="124"/>
    </row>
    <row r="9180">
      <c r="K9180" s="124"/>
      <c r="L9180" s="124"/>
      <c r="M9180" s="124"/>
      <c r="N9180" s="124"/>
      <c r="O9180" s="124"/>
    </row>
    <row r="9181">
      <c r="K9181" s="124"/>
      <c r="L9181" s="124"/>
      <c r="M9181" s="124"/>
      <c r="N9181" s="124"/>
      <c r="O9181" s="124"/>
    </row>
    <row r="9182">
      <c r="K9182" s="124"/>
      <c r="L9182" s="124"/>
      <c r="M9182" s="124"/>
      <c r="N9182" s="124"/>
      <c r="O9182" s="124"/>
    </row>
    <row r="9183">
      <c r="K9183" s="124"/>
      <c r="L9183" s="124"/>
      <c r="M9183" s="124"/>
      <c r="N9183" s="124"/>
      <c r="O9183" s="124"/>
    </row>
    <row r="9184">
      <c r="K9184" s="124"/>
      <c r="L9184" s="124"/>
      <c r="M9184" s="124"/>
      <c r="N9184" s="124"/>
      <c r="O9184" s="124"/>
    </row>
    <row r="9185">
      <c r="K9185" s="124"/>
      <c r="L9185" s="124"/>
      <c r="M9185" s="124"/>
      <c r="N9185" s="124"/>
      <c r="O9185" s="124"/>
    </row>
    <row r="9186">
      <c r="K9186" s="124"/>
      <c r="L9186" s="124"/>
      <c r="M9186" s="124"/>
      <c r="N9186" s="124"/>
      <c r="O9186" s="124"/>
    </row>
    <row r="9187">
      <c r="K9187" s="124"/>
      <c r="L9187" s="124"/>
      <c r="M9187" s="124"/>
      <c r="N9187" s="124"/>
      <c r="O9187" s="124"/>
    </row>
    <row r="9188">
      <c r="K9188" s="124"/>
      <c r="L9188" s="124"/>
      <c r="M9188" s="124"/>
      <c r="N9188" s="124"/>
      <c r="O9188" s="124"/>
    </row>
    <row r="9189">
      <c r="K9189" s="124"/>
      <c r="L9189" s="124"/>
      <c r="M9189" s="124"/>
      <c r="N9189" s="124"/>
      <c r="O9189" s="124"/>
    </row>
    <row r="9190">
      <c r="K9190" s="124"/>
      <c r="L9190" s="124"/>
      <c r="M9190" s="124"/>
      <c r="N9190" s="124"/>
      <c r="O9190" s="124"/>
    </row>
    <row r="9191">
      <c r="K9191" s="124"/>
      <c r="L9191" s="124"/>
      <c r="M9191" s="124"/>
      <c r="N9191" s="124"/>
      <c r="O9191" s="124"/>
    </row>
    <row r="9192">
      <c r="K9192" s="124"/>
      <c r="L9192" s="124"/>
      <c r="M9192" s="124"/>
      <c r="N9192" s="124"/>
      <c r="O9192" s="124"/>
    </row>
    <row r="9193">
      <c r="K9193" s="124"/>
      <c r="L9193" s="124"/>
      <c r="M9193" s="124"/>
      <c r="N9193" s="124"/>
      <c r="O9193" s="124"/>
    </row>
    <row r="9194">
      <c r="K9194" s="124"/>
      <c r="L9194" s="124"/>
      <c r="M9194" s="124"/>
      <c r="N9194" s="124"/>
      <c r="O9194" s="124"/>
    </row>
    <row r="9195">
      <c r="K9195" s="124"/>
      <c r="L9195" s="124"/>
      <c r="M9195" s="124"/>
      <c r="N9195" s="124"/>
      <c r="O9195" s="124"/>
    </row>
    <row r="9196">
      <c r="K9196" s="124"/>
      <c r="L9196" s="124"/>
      <c r="M9196" s="124"/>
      <c r="N9196" s="124"/>
      <c r="O9196" s="124"/>
    </row>
    <row r="9197">
      <c r="K9197" s="124"/>
      <c r="L9197" s="124"/>
      <c r="M9197" s="124"/>
      <c r="N9197" s="124"/>
      <c r="O9197" s="124"/>
    </row>
    <row r="9198">
      <c r="K9198" s="124"/>
      <c r="L9198" s="124"/>
      <c r="M9198" s="124"/>
      <c r="N9198" s="124"/>
      <c r="O9198" s="124"/>
    </row>
    <row r="9199">
      <c r="K9199" s="124"/>
      <c r="L9199" s="124"/>
      <c r="M9199" s="124"/>
      <c r="N9199" s="124"/>
      <c r="O9199" s="124"/>
    </row>
    <row r="9200">
      <c r="K9200" s="124"/>
      <c r="L9200" s="124"/>
      <c r="M9200" s="124"/>
      <c r="N9200" s="124"/>
      <c r="O9200" s="124"/>
    </row>
    <row r="9201">
      <c r="K9201" s="124"/>
      <c r="L9201" s="124"/>
      <c r="M9201" s="124"/>
      <c r="N9201" s="124"/>
      <c r="O9201" s="124"/>
    </row>
    <row r="9202">
      <c r="K9202" s="124"/>
      <c r="L9202" s="124"/>
      <c r="M9202" s="124"/>
      <c r="N9202" s="124"/>
      <c r="O9202" s="124"/>
    </row>
    <row r="9203">
      <c r="K9203" s="124"/>
      <c r="L9203" s="124"/>
      <c r="M9203" s="124"/>
      <c r="N9203" s="124"/>
      <c r="O9203" s="124"/>
    </row>
    <row r="9204">
      <c r="K9204" s="124"/>
      <c r="L9204" s="124"/>
      <c r="M9204" s="124"/>
      <c r="N9204" s="124"/>
      <c r="O9204" s="124"/>
    </row>
    <row r="9205">
      <c r="K9205" s="124"/>
      <c r="L9205" s="124"/>
      <c r="M9205" s="124"/>
      <c r="N9205" s="124"/>
      <c r="O9205" s="124"/>
    </row>
    <row r="9206">
      <c r="K9206" s="124"/>
      <c r="L9206" s="124"/>
      <c r="M9206" s="124"/>
      <c r="N9206" s="124"/>
      <c r="O9206" s="124"/>
    </row>
    <row r="9207">
      <c r="K9207" s="124"/>
      <c r="L9207" s="124"/>
      <c r="M9207" s="124"/>
      <c r="N9207" s="124"/>
      <c r="O9207" s="124"/>
    </row>
    <row r="9208">
      <c r="K9208" s="124"/>
      <c r="L9208" s="124"/>
      <c r="M9208" s="124"/>
      <c r="N9208" s="124"/>
      <c r="O9208" s="124"/>
    </row>
    <row r="9209">
      <c r="K9209" s="124"/>
      <c r="L9209" s="124"/>
      <c r="M9209" s="124"/>
      <c r="N9209" s="124"/>
      <c r="O9209" s="124"/>
    </row>
    <row r="9210">
      <c r="K9210" s="124"/>
      <c r="L9210" s="124"/>
      <c r="M9210" s="124"/>
      <c r="N9210" s="124"/>
      <c r="O9210" s="124"/>
    </row>
    <row r="9211">
      <c r="K9211" s="124"/>
      <c r="L9211" s="124"/>
      <c r="M9211" s="124"/>
      <c r="N9211" s="124"/>
      <c r="O9211" s="124"/>
    </row>
    <row r="9212">
      <c r="K9212" s="124"/>
      <c r="L9212" s="124"/>
      <c r="M9212" s="124"/>
      <c r="N9212" s="124"/>
      <c r="O9212" s="124"/>
    </row>
    <row r="9213">
      <c r="K9213" s="124"/>
      <c r="L9213" s="124"/>
      <c r="M9213" s="124"/>
      <c r="N9213" s="124"/>
      <c r="O9213" s="124"/>
    </row>
    <row r="9214">
      <c r="K9214" s="124"/>
      <c r="L9214" s="124"/>
      <c r="M9214" s="124"/>
      <c r="N9214" s="124"/>
      <c r="O9214" s="124"/>
    </row>
    <row r="9215">
      <c r="K9215" s="124"/>
      <c r="L9215" s="124"/>
      <c r="M9215" s="124"/>
      <c r="N9215" s="124"/>
      <c r="O9215" s="124"/>
    </row>
    <row r="9216">
      <c r="K9216" s="124"/>
      <c r="L9216" s="124"/>
      <c r="M9216" s="124"/>
      <c r="N9216" s="124"/>
      <c r="O9216" s="124"/>
    </row>
    <row r="9217">
      <c r="K9217" s="124"/>
      <c r="L9217" s="124"/>
      <c r="M9217" s="124"/>
      <c r="N9217" s="124"/>
      <c r="O9217" s="124"/>
    </row>
    <row r="9218">
      <c r="K9218" s="124"/>
      <c r="L9218" s="124"/>
      <c r="M9218" s="124"/>
      <c r="N9218" s="124"/>
      <c r="O9218" s="124"/>
    </row>
    <row r="9219">
      <c r="K9219" s="124"/>
      <c r="L9219" s="124"/>
      <c r="M9219" s="124"/>
      <c r="N9219" s="124"/>
      <c r="O9219" s="124"/>
    </row>
    <row r="9220">
      <c r="K9220" s="124"/>
      <c r="L9220" s="124"/>
      <c r="M9220" s="124"/>
      <c r="N9220" s="124"/>
      <c r="O9220" s="124"/>
    </row>
    <row r="9221">
      <c r="K9221" s="124"/>
      <c r="L9221" s="124"/>
      <c r="M9221" s="124"/>
      <c r="N9221" s="124"/>
      <c r="O9221" s="124"/>
    </row>
    <row r="9222">
      <c r="K9222" s="124"/>
      <c r="L9222" s="124"/>
      <c r="M9222" s="124"/>
      <c r="N9222" s="124"/>
      <c r="O9222" s="124"/>
    </row>
    <row r="9223">
      <c r="K9223" s="124"/>
      <c r="L9223" s="124"/>
      <c r="M9223" s="124"/>
      <c r="N9223" s="124"/>
      <c r="O9223" s="124"/>
    </row>
    <row r="9224">
      <c r="K9224" s="124"/>
      <c r="L9224" s="124"/>
      <c r="M9224" s="124"/>
      <c r="N9224" s="124"/>
      <c r="O9224" s="124"/>
    </row>
    <row r="9225">
      <c r="K9225" s="124"/>
      <c r="L9225" s="124"/>
      <c r="M9225" s="124"/>
      <c r="N9225" s="124"/>
      <c r="O9225" s="124"/>
    </row>
    <row r="9226">
      <c r="K9226" s="124"/>
      <c r="L9226" s="124"/>
      <c r="M9226" s="124"/>
      <c r="N9226" s="124"/>
      <c r="O9226" s="124"/>
    </row>
    <row r="9227">
      <c r="K9227" s="124"/>
      <c r="L9227" s="124"/>
      <c r="M9227" s="124"/>
      <c r="N9227" s="124"/>
      <c r="O9227" s="124"/>
    </row>
    <row r="9228">
      <c r="K9228" s="124"/>
      <c r="L9228" s="124"/>
      <c r="M9228" s="124"/>
      <c r="N9228" s="124"/>
      <c r="O9228" s="124"/>
    </row>
    <row r="9229">
      <c r="K9229" s="124"/>
      <c r="L9229" s="124"/>
      <c r="M9229" s="124"/>
      <c r="N9229" s="124"/>
      <c r="O9229" s="124"/>
    </row>
    <row r="9230">
      <c r="K9230" s="124"/>
      <c r="L9230" s="124"/>
      <c r="M9230" s="124"/>
      <c r="N9230" s="124"/>
      <c r="O9230" s="124"/>
    </row>
    <row r="9231">
      <c r="K9231" s="124"/>
      <c r="L9231" s="124"/>
      <c r="M9231" s="124"/>
      <c r="N9231" s="124"/>
      <c r="O9231" s="124"/>
    </row>
    <row r="9232">
      <c r="K9232" s="124"/>
      <c r="L9232" s="124"/>
      <c r="M9232" s="124"/>
      <c r="N9232" s="124"/>
      <c r="O9232" s="124"/>
    </row>
    <row r="9233">
      <c r="K9233" s="124"/>
      <c r="L9233" s="124"/>
      <c r="M9233" s="124"/>
      <c r="N9233" s="124"/>
      <c r="O9233" s="124"/>
    </row>
    <row r="9234">
      <c r="K9234" s="124"/>
      <c r="L9234" s="124"/>
      <c r="M9234" s="124"/>
      <c r="N9234" s="124"/>
      <c r="O9234" s="124"/>
    </row>
    <row r="9235">
      <c r="K9235" s="124"/>
      <c r="L9235" s="124"/>
      <c r="M9235" s="124"/>
      <c r="N9235" s="124"/>
      <c r="O9235" s="124"/>
    </row>
    <row r="9236">
      <c r="K9236" s="124"/>
      <c r="L9236" s="124"/>
      <c r="M9236" s="124"/>
      <c r="N9236" s="124"/>
      <c r="O9236" s="124"/>
    </row>
    <row r="9237">
      <c r="K9237" s="124"/>
      <c r="L9237" s="124"/>
      <c r="M9237" s="124"/>
      <c r="N9237" s="124"/>
      <c r="O9237" s="124"/>
    </row>
    <row r="9238">
      <c r="K9238" s="124"/>
      <c r="L9238" s="124"/>
      <c r="M9238" s="124"/>
      <c r="N9238" s="124"/>
      <c r="O9238" s="124"/>
    </row>
    <row r="9239">
      <c r="K9239" s="124"/>
      <c r="L9239" s="124"/>
      <c r="M9239" s="124"/>
      <c r="N9239" s="124"/>
      <c r="O9239" s="124"/>
    </row>
    <row r="9240">
      <c r="K9240" s="124"/>
      <c r="L9240" s="124"/>
      <c r="M9240" s="124"/>
      <c r="N9240" s="124"/>
      <c r="O9240" s="124"/>
    </row>
    <row r="9241">
      <c r="K9241" s="124"/>
      <c r="L9241" s="124"/>
      <c r="M9241" s="124"/>
      <c r="N9241" s="124"/>
      <c r="O9241" s="124"/>
    </row>
    <row r="9242">
      <c r="K9242" s="124"/>
      <c r="L9242" s="124"/>
      <c r="M9242" s="124"/>
      <c r="N9242" s="124"/>
      <c r="O9242" s="124"/>
    </row>
    <row r="9243">
      <c r="K9243" s="124"/>
      <c r="L9243" s="124"/>
      <c r="M9243" s="124"/>
      <c r="N9243" s="124"/>
      <c r="O9243" s="124"/>
    </row>
    <row r="9244">
      <c r="K9244" s="124"/>
      <c r="L9244" s="124"/>
      <c r="M9244" s="124"/>
      <c r="N9244" s="124"/>
      <c r="O9244" s="124"/>
    </row>
    <row r="9245">
      <c r="K9245" s="124"/>
      <c r="L9245" s="124"/>
      <c r="M9245" s="124"/>
      <c r="N9245" s="124"/>
      <c r="O9245" s="124"/>
    </row>
    <row r="9246">
      <c r="K9246" s="124"/>
      <c r="L9246" s="124"/>
      <c r="M9246" s="124"/>
      <c r="N9246" s="124"/>
      <c r="O9246" s="124"/>
    </row>
    <row r="9247">
      <c r="K9247" s="124"/>
      <c r="L9247" s="124"/>
      <c r="M9247" s="124"/>
      <c r="N9247" s="124"/>
      <c r="O9247" s="124"/>
    </row>
    <row r="9248">
      <c r="K9248" s="124"/>
      <c r="L9248" s="124"/>
      <c r="M9248" s="124"/>
      <c r="N9248" s="124"/>
      <c r="O9248" s="124"/>
    </row>
    <row r="9249">
      <c r="K9249" s="124"/>
      <c r="L9249" s="124"/>
      <c r="M9249" s="124"/>
      <c r="N9249" s="124"/>
      <c r="O9249" s="124"/>
    </row>
    <row r="9250">
      <c r="K9250" s="124"/>
      <c r="L9250" s="124"/>
      <c r="M9250" s="124"/>
      <c r="N9250" s="124"/>
      <c r="O9250" s="124"/>
    </row>
    <row r="9251">
      <c r="K9251" s="124"/>
      <c r="L9251" s="124"/>
      <c r="M9251" s="124"/>
      <c r="N9251" s="124"/>
      <c r="O9251" s="124"/>
    </row>
    <row r="9252">
      <c r="K9252" s="124"/>
      <c r="L9252" s="124"/>
      <c r="M9252" s="124"/>
      <c r="N9252" s="124"/>
      <c r="O9252" s="124"/>
    </row>
    <row r="9253">
      <c r="K9253" s="124"/>
      <c r="L9253" s="124"/>
      <c r="M9253" s="124"/>
      <c r="N9253" s="124"/>
      <c r="O9253" s="124"/>
    </row>
    <row r="9254">
      <c r="K9254" s="124"/>
      <c r="L9254" s="124"/>
      <c r="M9254" s="124"/>
      <c r="N9254" s="124"/>
      <c r="O9254" s="124"/>
    </row>
    <row r="9255">
      <c r="K9255" s="124"/>
      <c r="L9255" s="124"/>
      <c r="M9255" s="124"/>
      <c r="N9255" s="124"/>
      <c r="O9255" s="124"/>
    </row>
    <row r="9256">
      <c r="K9256" s="124"/>
      <c r="L9256" s="124"/>
      <c r="M9256" s="124"/>
      <c r="N9256" s="124"/>
      <c r="O9256" s="124"/>
    </row>
    <row r="9257">
      <c r="K9257" s="124"/>
      <c r="L9257" s="124"/>
      <c r="M9257" s="124"/>
      <c r="N9257" s="124"/>
      <c r="O9257" s="124"/>
    </row>
    <row r="9258">
      <c r="K9258" s="124"/>
      <c r="L9258" s="124"/>
      <c r="M9258" s="124"/>
      <c r="N9258" s="124"/>
      <c r="O9258" s="124"/>
    </row>
    <row r="9259">
      <c r="K9259" s="124"/>
      <c r="L9259" s="124"/>
      <c r="M9259" s="124"/>
      <c r="N9259" s="124"/>
      <c r="O9259" s="124"/>
    </row>
    <row r="9260">
      <c r="K9260" s="124"/>
      <c r="L9260" s="124"/>
      <c r="M9260" s="124"/>
      <c r="N9260" s="124"/>
      <c r="O9260" s="124"/>
    </row>
    <row r="9261">
      <c r="K9261" s="124"/>
      <c r="L9261" s="124"/>
      <c r="M9261" s="124"/>
      <c r="N9261" s="124"/>
      <c r="O9261" s="124"/>
    </row>
    <row r="9262">
      <c r="K9262" s="124"/>
      <c r="L9262" s="124"/>
      <c r="M9262" s="124"/>
      <c r="N9262" s="124"/>
      <c r="O9262" s="124"/>
    </row>
    <row r="9263">
      <c r="K9263" s="124"/>
      <c r="L9263" s="124"/>
      <c r="M9263" s="124"/>
      <c r="N9263" s="124"/>
      <c r="O9263" s="124"/>
    </row>
    <row r="9264">
      <c r="K9264" s="124"/>
      <c r="L9264" s="124"/>
      <c r="M9264" s="124"/>
      <c r="N9264" s="124"/>
      <c r="O9264" s="124"/>
    </row>
    <row r="9265">
      <c r="K9265" s="124"/>
      <c r="L9265" s="124"/>
      <c r="M9265" s="124"/>
      <c r="N9265" s="124"/>
      <c r="O9265" s="124"/>
    </row>
    <row r="9266">
      <c r="K9266" s="124"/>
      <c r="L9266" s="124"/>
      <c r="M9266" s="124"/>
      <c r="N9266" s="124"/>
      <c r="O9266" s="124"/>
    </row>
    <row r="9267">
      <c r="K9267" s="124"/>
      <c r="L9267" s="124"/>
      <c r="M9267" s="124"/>
      <c r="N9267" s="124"/>
      <c r="O9267" s="124"/>
    </row>
    <row r="9268">
      <c r="K9268" s="124"/>
      <c r="L9268" s="124"/>
      <c r="M9268" s="124"/>
      <c r="N9268" s="124"/>
      <c r="O9268" s="124"/>
    </row>
    <row r="9269">
      <c r="K9269" s="124"/>
      <c r="L9269" s="124"/>
      <c r="M9269" s="124"/>
      <c r="N9269" s="124"/>
      <c r="O9269" s="124"/>
    </row>
    <row r="9270">
      <c r="K9270" s="124"/>
      <c r="L9270" s="124"/>
      <c r="M9270" s="124"/>
      <c r="N9270" s="124"/>
      <c r="O9270" s="124"/>
    </row>
    <row r="9271">
      <c r="K9271" s="124"/>
      <c r="L9271" s="124"/>
      <c r="M9271" s="124"/>
      <c r="N9271" s="124"/>
      <c r="O9271" s="124"/>
    </row>
    <row r="9272">
      <c r="K9272" s="124"/>
      <c r="L9272" s="124"/>
      <c r="M9272" s="124"/>
      <c r="N9272" s="124"/>
      <c r="O9272" s="124"/>
    </row>
    <row r="9273">
      <c r="K9273" s="124"/>
      <c r="L9273" s="124"/>
      <c r="M9273" s="124"/>
      <c r="N9273" s="124"/>
      <c r="O9273" s="124"/>
    </row>
    <row r="9274">
      <c r="K9274" s="124"/>
      <c r="L9274" s="124"/>
      <c r="M9274" s="124"/>
      <c r="N9274" s="124"/>
      <c r="O9274" s="124"/>
    </row>
    <row r="9275">
      <c r="K9275" s="124"/>
      <c r="L9275" s="124"/>
      <c r="M9275" s="124"/>
      <c r="N9275" s="124"/>
      <c r="O9275" s="124"/>
    </row>
    <row r="9276">
      <c r="K9276" s="124"/>
      <c r="L9276" s="124"/>
      <c r="M9276" s="124"/>
      <c r="N9276" s="124"/>
      <c r="O9276" s="124"/>
    </row>
    <row r="9277">
      <c r="K9277" s="124"/>
      <c r="L9277" s="124"/>
      <c r="M9277" s="124"/>
      <c r="N9277" s="124"/>
      <c r="O9277" s="124"/>
    </row>
    <row r="9278">
      <c r="K9278" s="124"/>
      <c r="L9278" s="124"/>
      <c r="M9278" s="124"/>
      <c r="N9278" s="124"/>
      <c r="O9278" s="124"/>
    </row>
    <row r="9279">
      <c r="K9279" s="124"/>
      <c r="L9279" s="124"/>
      <c r="M9279" s="124"/>
      <c r="N9279" s="124"/>
      <c r="O9279" s="124"/>
    </row>
    <row r="9280">
      <c r="K9280" s="124"/>
      <c r="L9280" s="124"/>
      <c r="M9280" s="124"/>
      <c r="N9280" s="124"/>
      <c r="O9280" s="124"/>
    </row>
    <row r="9281">
      <c r="K9281" s="124"/>
      <c r="L9281" s="124"/>
      <c r="M9281" s="124"/>
      <c r="N9281" s="124"/>
      <c r="O9281" s="124"/>
    </row>
    <row r="9282">
      <c r="K9282" s="124"/>
      <c r="L9282" s="124"/>
      <c r="M9282" s="124"/>
      <c r="N9282" s="124"/>
      <c r="O9282" s="124"/>
    </row>
    <row r="9283">
      <c r="K9283" s="124"/>
      <c r="L9283" s="124"/>
      <c r="M9283" s="124"/>
      <c r="N9283" s="124"/>
      <c r="O9283" s="124"/>
    </row>
    <row r="9284">
      <c r="K9284" s="124"/>
      <c r="L9284" s="124"/>
      <c r="M9284" s="124"/>
      <c r="N9284" s="124"/>
      <c r="O9284" s="124"/>
    </row>
    <row r="9285">
      <c r="K9285" s="124"/>
      <c r="L9285" s="124"/>
      <c r="M9285" s="124"/>
      <c r="N9285" s="124"/>
      <c r="O9285" s="124"/>
    </row>
    <row r="9286">
      <c r="K9286" s="124"/>
      <c r="L9286" s="124"/>
      <c r="M9286" s="124"/>
      <c r="N9286" s="124"/>
      <c r="O9286" s="124"/>
    </row>
    <row r="9287">
      <c r="K9287" s="124"/>
      <c r="L9287" s="124"/>
      <c r="M9287" s="124"/>
      <c r="N9287" s="124"/>
      <c r="O9287" s="124"/>
    </row>
    <row r="9288">
      <c r="K9288" s="124"/>
      <c r="L9288" s="124"/>
      <c r="M9288" s="124"/>
      <c r="N9288" s="124"/>
      <c r="O9288" s="124"/>
    </row>
    <row r="9289">
      <c r="K9289" s="124"/>
      <c r="L9289" s="124"/>
      <c r="M9289" s="124"/>
      <c r="N9289" s="124"/>
      <c r="O9289" s="124"/>
    </row>
    <row r="9290">
      <c r="K9290" s="124"/>
      <c r="L9290" s="124"/>
      <c r="M9290" s="124"/>
      <c r="N9290" s="124"/>
      <c r="O9290" s="124"/>
    </row>
    <row r="9291">
      <c r="K9291" s="124"/>
      <c r="L9291" s="124"/>
      <c r="M9291" s="124"/>
      <c r="N9291" s="124"/>
      <c r="O9291" s="124"/>
    </row>
    <row r="9292">
      <c r="K9292" s="124"/>
      <c r="L9292" s="124"/>
      <c r="M9292" s="124"/>
      <c r="N9292" s="124"/>
      <c r="O9292" s="124"/>
    </row>
    <row r="9293">
      <c r="K9293" s="124"/>
      <c r="L9293" s="124"/>
      <c r="M9293" s="124"/>
      <c r="N9293" s="124"/>
      <c r="O9293" s="124"/>
    </row>
    <row r="9294">
      <c r="K9294" s="124"/>
      <c r="L9294" s="124"/>
      <c r="M9294" s="124"/>
      <c r="N9294" s="124"/>
      <c r="O9294" s="124"/>
    </row>
    <row r="9295">
      <c r="K9295" s="124"/>
      <c r="L9295" s="124"/>
      <c r="M9295" s="124"/>
      <c r="N9295" s="124"/>
      <c r="O9295" s="124"/>
    </row>
    <row r="9296">
      <c r="K9296" s="124"/>
      <c r="L9296" s="124"/>
      <c r="M9296" s="124"/>
      <c r="N9296" s="124"/>
      <c r="O9296" s="124"/>
    </row>
    <row r="9297">
      <c r="K9297" s="124"/>
      <c r="L9297" s="124"/>
      <c r="M9297" s="124"/>
      <c r="N9297" s="124"/>
      <c r="O9297" s="124"/>
    </row>
    <row r="9298">
      <c r="K9298" s="124"/>
      <c r="L9298" s="124"/>
      <c r="M9298" s="124"/>
      <c r="N9298" s="124"/>
      <c r="O9298" s="124"/>
    </row>
    <row r="9299">
      <c r="K9299" s="124"/>
      <c r="L9299" s="124"/>
      <c r="M9299" s="124"/>
      <c r="N9299" s="124"/>
      <c r="O9299" s="124"/>
    </row>
    <row r="9300">
      <c r="K9300" s="124"/>
      <c r="L9300" s="124"/>
      <c r="M9300" s="124"/>
      <c r="N9300" s="124"/>
      <c r="O9300" s="124"/>
    </row>
    <row r="9301">
      <c r="K9301" s="124"/>
      <c r="L9301" s="124"/>
      <c r="M9301" s="124"/>
      <c r="N9301" s="124"/>
      <c r="O9301" s="124"/>
    </row>
    <row r="9302">
      <c r="K9302" s="124"/>
      <c r="L9302" s="124"/>
      <c r="M9302" s="124"/>
      <c r="N9302" s="124"/>
      <c r="O9302" s="124"/>
    </row>
    <row r="9303">
      <c r="K9303" s="124"/>
      <c r="L9303" s="124"/>
      <c r="M9303" s="124"/>
      <c r="N9303" s="124"/>
      <c r="O9303" s="124"/>
    </row>
    <row r="9304">
      <c r="K9304" s="124"/>
      <c r="L9304" s="124"/>
      <c r="M9304" s="124"/>
      <c r="N9304" s="124"/>
      <c r="O9304" s="124"/>
    </row>
    <row r="9305">
      <c r="K9305" s="124"/>
      <c r="L9305" s="124"/>
      <c r="M9305" s="124"/>
      <c r="N9305" s="124"/>
      <c r="O9305" s="124"/>
    </row>
    <row r="9306">
      <c r="K9306" s="124"/>
      <c r="L9306" s="124"/>
      <c r="M9306" s="124"/>
      <c r="N9306" s="124"/>
      <c r="O9306" s="124"/>
    </row>
    <row r="9307">
      <c r="K9307" s="124"/>
      <c r="L9307" s="124"/>
      <c r="M9307" s="124"/>
      <c r="N9307" s="124"/>
      <c r="O9307" s="124"/>
    </row>
    <row r="9308">
      <c r="K9308" s="124"/>
      <c r="L9308" s="124"/>
      <c r="M9308" s="124"/>
      <c r="N9308" s="124"/>
      <c r="O9308" s="124"/>
    </row>
    <row r="9309">
      <c r="K9309" s="124"/>
      <c r="L9309" s="124"/>
      <c r="M9309" s="124"/>
      <c r="N9309" s="124"/>
      <c r="O9309" s="124"/>
    </row>
    <row r="9310">
      <c r="K9310" s="124"/>
      <c r="L9310" s="124"/>
      <c r="M9310" s="124"/>
      <c r="N9310" s="124"/>
      <c r="O9310" s="124"/>
    </row>
    <row r="9311">
      <c r="K9311" s="124"/>
      <c r="L9311" s="124"/>
      <c r="M9311" s="124"/>
      <c r="N9311" s="124"/>
      <c r="O9311" s="124"/>
    </row>
    <row r="9312">
      <c r="K9312" s="124"/>
      <c r="L9312" s="124"/>
      <c r="M9312" s="124"/>
      <c r="N9312" s="124"/>
      <c r="O9312" s="124"/>
    </row>
    <row r="9313">
      <c r="K9313" s="124"/>
      <c r="L9313" s="124"/>
      <c r="M9313" s="124"/>
      <c r="N9313" s="124"/>
      <c r="O9313" s="124"/>
    </row>
    <row r="9314">
      <c r="K9314" s="124"/>
      <c r="L9314" s="124"/>
      <c r="M9314" s="124"/>
      <c r="N9314" s="124"/>
      <c r="O9314" s="124"/>
    </row>
    <row r="9315">
      <c r="K9315" s="124"/>
      <c r="L9315" s="124"/>
      <c r="M9315" s="124"/>
      <c r="N9315" s="124"/>
      <c r="O9315" s="124"/>
    </row>
    <row r="9316">
      <c r="K9316" s="124"/>
      <c r="L9316" s="124"/>
      <c r="M9316" s="124"/>
      <c r="N9316" s="124"/>
      <c r="O9316" s="124"/>
    </row>
    <row r="9317">
      <c r="K9317" s="124"/>
      <c r="L9317" s="124"/>
      <c r="M9317" s="124"/>
      <c r="N9317" s="124"/>
      <c r="O9317" s="124"/>
    </row>
    <row r="9318">
      <c r="K9318" s="124"/>
      <c r="L9318" s="124"/>
      <c r="M9318" s="124"/>
      <c r="N9318" s="124"/>
      <c r="O9318" s="124"/>
    </row>
    <row r="9319">
      <c r="K9319" s="124"/>
      <c r="L9319" s="124"/>
      <c r="M9319" s="124"/>
      <c r="N9319" s="124"/>
      <c r="O9319" s="124"/>
    </row>
    <row r="9320">
      <c r="K9320" s="124"/>
      <c r="L9320" s="124"/>
      <c r="M9320" s="124"/>
      <c r="N9320" s="124"/>
      <c r="O9320" s="124"/>
    </row>
    <row r="9321">
      <c r="K9321" s="124"/>
      <c r="L9321" s="124"/>
      <c r="M9321" s="124"/>
      <c r="N9321" s="124"/>
      <c r="O9321" s="124"/>
    </row>
    <row r="9322">
      <c r="K9322" s="124"/>
      <c r="L9322" s="124"/>
      <c r="M9322" s="124"/>
      <c r="N9322" s="124"/>
      <c r="O9322" s="124"/>
    </row>
    <row r="9323">
      <c r="K9323" s="124"/>
      <c r="L9323" s="124"/>
      <c r="M9323" s="124"/>
      <c r="N9323" s="124"/>
      <c r="O9323" s="124"/>
    </row>
    <row r="9324">
      <c r="K9324" s="124"/>
      <c r="L9324" s="124"/>
      <c r="M9324" s="124"/>
      <c r="N9324" s="124"/>
      <c r="O9324" s="124"/>
    </row>
    <row r="9325">
      <c r="K9325" s="124"/>
      <c r="L9325" s="124"/>
      <c r="M9325" s="124"/>
      <c r="N9325" s="124"/>
      <c r="O9325" s="124"/>
    </row>
    <row r="9326">
      <c r="K9326" s="124"/>
      <c r="L9326" s="124"/>
      <c r="M9326" s="124"/>
      <c r="N9326" s="124"/>
      <c r="O9326" s="124"/>
    </row>
    <row r="9327">
      <c r="K9327" s="124"/>
      <c r="L9327" s="124"/>
      <c r="M9327" s="124"/>
      <c r="N9327" s="124"/>
      <c r="O9327" s="124"/>
    </row>
    <row r="9328">
      <c r="K9328" s="124"/>
      <c r="L9328" s="124"/>
      <c r="M9328" s="124"/>
      <c r="N9328" s="124"/>
      <c r="O9328" s="124"/>
    </row>
    <row r="9329">
      <c r="K9329" s="124"/>
      <c r="L9329" s="124"/>
      <c r="M9329" s="124"/>
      <c r="N9329" s="124"/>
      <c r="O9329" s="124"/>
    </row>
    <row r="9330">
      <c r="K9330" s="124"/>
      <c r="L9330" s="124"/>
      <c r="M9330" s="124"/>
      <c r="N9330" s="124"/>
      <c r="O9330" s="124"/>
    </row>
    <row r="9331">
      <c r="K9331" s="124"/>
      <c r="L9331" s="124"/>
      <c r="M9331" s="124"/>
      <c r="N9331" s="124"/>
      <c r="O9331" s="124"/>
    </row>
    <row r="9332">
      <c r="K9332" s="124"/>
      <c r="L9332" s="124"/>
      <c r="M9332" s="124"/>
      <c r="N9332" s="124"/>
      <c r="O9332" s="124"/>
    </row>
    <row r="9333">
      <c r="K9333" s="124"/>
      <c r="L9333" s="124"/>
      <c r="M9333" s="124"/>
      <c r="N9333" s="124"/>
      <c r="O9333" s="124"/>
    </row>
    <row r="9334">
      <c r="K9334" s="124"/>
      <c r="L9334" s="124"/>
      <c r="M9334" s="124"/>
      <c r="N9334" s="124"/>
      <c r="O9334" s="124"/>
    </row>
    <row r="9335">
      <c r="K9335" s="124"/>
      <c r="L9335" s="124"/>
      <c r="M9335" s="124"/>
      <c r="N9335" s="124"/>
      <c r="O9335" s="124"/>
    </row>
    <row r="9336">
      <c r="K9336" s="124"/>
      <c r="L9336" s="124"/>
      <c r="M9336" s="124"/>
      <c r="N9336" s="124"/>
      <c r="O9336" s="124"/>
    </row>
    <row r="9337">
      <c r="K9337" s="124"/>
      <c r="L9337" s="124"/>
      <c r="M9337" s="124"/>
      <c r="N9337" s="124"/>
      <c r="O9337" s="124"/>
    </row>
    <row r="9338">
      <c r="K9338" s="124"/>
      <c r="L9338" s="124"/>
      <c r="M9338" s="124"/>
      <c r="N9338" s="124"/>
      <c r="O9338" s="124"/>
    </row>
    <row r="9339">
      <c r="K9339" s="124"/>
      <c r="L9339" s="124"/>
      <c r="M9339" s="124"/>
      <c r="N9339" s="124"/>
      <c r="O9339" s="124"/>
    </row>
    <row r="9340">
      <c r="K9340" s="124"/>
      <c r="L9340" s="124"/>
      <c r="M9340" s="124"/>
      <c r="N9340" s="124"/>
      <c r="O9340" s="124"/>
    </row>
    <row r="9341">
      <c r="K9341" s="124"/>
      <c r="L9341" s="124"/>
      <c r="M9341" s="124"/>
      <c r="N9341" s="124"/>
      <c r="O9341" s="124"/>
    </row>
    <row r="9342">
      <c r="K9342" s="124"/>
      <c r="L9342" s="124"/>
      <c r="M9342" s="124"/>
      <c r="N9342" s="124"/>
      <c r="O9342" s="124"/>
    </row>
    <row r="9343">
      <c r="K9343" s="124"/>
      <c r="L9343" s="124"/>
      <c r="M9343" s="124"/>
      <c r="N9343" s="124"/>
      <c r="O9343" s="124"/>
    </row>
    <row r="9344">
      <c r="K9344" s="124"/>
      <c r="L9344" s="124"/>
      <c r="M9344" s="124"/>
      <c r="N9344" s="124"/>
      <c r="O9344" s="124"/>
    </row>
    <row r="9345">
      <c r="K9345" s="124"/>
      <c r="L9345" s="124"/>
      <c r="M9345" s="124"/>
      <c r="N9345" s="124"/>
      <c r="O9345" s="124"/>
    </row>
    <row r="9346">
      <c r="K9346" s="124"/>
      <c r="L9346" s="124"/>
      <c r="M9346" s="124"/>
      <c r="N9346" s="124"/>
      <c r="O9346" s="124"/>
    </row>
    <row r="9347">
      <c r="K9347" s="124"/>
      <c r="L9347" s="124"/>
      <c r="M9347" s="124"/>
      <c r="N9347" s="124"/>
      <c r="O9347" s="124"/>
    </row>
    <row r="9348">
      <c r="K9348" s="124"/>
      <c r="L9348" s="124"/>
      <c r="M9348" s="124"/>
      <c r="N9348" s="124"/>
      <c r="O9348" s="124"/>
    </row>
    <row r="9349">
      <c r="K9349" s="124"/>
      <c r="L9349" s="124"/>
      <c r="M9349" s="124"/>
      <c r="N9349" s="124"/>
      <c r="O9349" s="124"/>
    </row>
    <row r="9350">
      <c r="K9350" s="124"/>
      <c r="L9350" s="124"/>
      <c r="M9350" s="124"/>
      <c r="N9350" s="124"/>
      <c r="O9350" s="124"/>
    </row>
    <row r="9351">
      <c r="K9351" s="124"/>
      <c r="L9351" s="124"/>
      <c r="M9351" s="124"/>
      <c r="N9351" s="124"/>
      <c r="O9351" s="124"/>
    </row>
    <row r="9352">
      <c r="K9352" s="124"/>
      <c r="L9352" s="124"/>
      <c r="M9352" s="124"/>
      <c r="N9352" s="124"/>
      <c r="O9352" s="124"/>
    </row>
    <row r="9353">
      <c r="K9353" s="124"/>
      <c r="L9353" s="124"/>
      <c r="M9353" s="124"/>
      <c r="N9353" s="124"/>
      <c r="O9353" s="124"/>
    </row>
    <row r="9354">
      <c r="K9354" s="124"/>
      <c r="L9354" s="124"/>
      <c r="M9354" s="124"/>
      <c r="N9354" s="124"/>
      <c r="O9354" s="124"/>
    </row>
    <row r="9355">
      <c r="K9355" s="124"/>
      <c r="L9355" s="124"/>
      <c r="M9355" s="124"/>
      <c r="N9355" s="124"/>
      <c r="O9355" s="124"/>
    </row>
    <row r="9356">
      <c r="K9356" s="124"/>
      <c r="L9356" s="124"/>
      <c r="M9356" s="124"/>
      <c r="N9356" s="124"/>
      <c r="O9356" s="124"/>
    </row>
    <row r="9357">
      <c r="K9357" s="124"/>
      <c r="L9357" s="124"/>
      <c r="M9357" s="124"/>
      <c r="N9357" s="124"/>
      <c r="O9357" s="124"/>
    </row>
    <row r="9358">
      <c r="K9358" s="124"/>
      <c r="L9358" s="124"/>
      <c r="M9358" s="124"/>
      <c r="N9358" s="124"/>
      <c r="O9358" s="124"/>
    </row>
    <row r="9359">
      <c r="K9359" s="124"/>
      <c r="L9359" s="124"/>
      <c r="M9359" s="124"/>
      <c r="N9359" s="124"/>
      <c r="O9359" s="124"/>
    </row>
    <row r="9360">
      <c r="K9360" s="124"/>
      <c r="L9360" s="124"/>
      <c r="M9360" s="124"/>
      <c r="N9360" s="124"/>
      <c r="O9360" s="124"/>
    </row>
    <row r="9361">
      <c r="K9361" s="124"/>
      <c r="L9361" s="124"/>
      <c r="M9361" s="124"/>
      <c r="N9361" s="124"/>
      <c r="O9361" s="124"/>
    </row>
    <row r="9362">
      <c r="K9362" s="124"/>
      <c r="L9362" s="124"/>
      <c r="M9362" s="124"/>
      <c r="N9362" s="124"/>
      <c r="O9362" s="124"/>
    </row>
    <row r="9363">
      <c r="K9363" s="124"/>
      <c r="L9363" s="124"/>
      <c r="M9363" s="124"/>
      <c r="N9363" s="124"/>
      <c r="O9363" s="124"/>
    </row>
    <row r="9364">
      <c r="K9364" s="124"/>
      <c r="L9364" s="124"/>
      <c r="M9364" s="124"/>
      <c r="N9364" s="124"/>
      <c r="O9364" s="124"/>
    </row>
    <row r="9365">
      <c r="K9365" s="124"/>
      <c r="L9365" s="124"/>
      <c r="M9365" s="124"/>
      <c r="N9365" s="124"/>
      <c r="O9365" s="124"/>
    </row>
    <row r="9366">
      <c r="K9366" s="124"/>
      <c r="L9366" s="124"/>
      <c r="M9366" s="124"/>
      <c r="N9366" s="124"/>
      <c r="O9366" s="124"/>
    </row>
    <row r="9367">
      <c r="K9367" s="124"/>
      <c r="L9367" s="124"/>
      <c r="M9367" s="124"/>
      <c r="N9367" s="124"/>
      <c r="O9367" s="124"/>
    </row>
    <row r="9368">
      <c r="K9368" s="124"/>
      <c r="L9368" s="124"/>
      <c r="M9368" s="124"/>
      <c r="N9368" s="124"/>
      <c r="O9368" s="124"/>
    </row>
    <row r="9369">
      <c r="K9369" s="124"/>
      <c r="L9369" s="124"/>
      <c r="M9369" s="124"/>
      <c r="N9369" s="124"/>
      <c r="O9369" s="124"/>
    </row>
    <row r="9370">
      <c r="K9370" s="124"/>
      <c r="L9370" s="124"/>
      <c r="M9370" s="124"/>
      <c r="N9370" s="124"/>
      <c r="O9370" s="124"/>
    </row>
    <row r="9371">
      <c r="K9371" s="124"/>
      <c r="L9371" s="124"/>
      <c r="M9371" s="124"/>
      <c r="N9371" s="124"/>
      <c r="O9371" s="124"/>
    </row>
    <row r="9372">
      <c r="K9372" s="124"/>
      <c r="L9372" s="124"/>
      <c r="M9372" s="124"/>
      <c r="N9372" s="124"/>
      <c r="O9372" s="124"/>
    </row>
    <row r="9373">
      <c r="K9373" s="124"/>
      <c r="L9373" s="124"/>
      <c r="M9373" s="124"/>
      <c r="N9373" s="124"/>
      <c r="O9373" s="124"/>
    </row>
    <row r="9374">
      <c r="K9374" s="124"/>
      <c r="L9374" s="124"/>
      <c r="M9374" s="124"/>
      <c r="N9374" s="124"/>
      <c r="O9374" s="124"/>
    </row>
    <row r="9375">
      <c r="K9375" s="124"/>
      <c r="L9375" s="124"/>
      <c r="M9375" s="124"/>
      <c r="N9375" s="124"/>
      <c r="O9375" s="124"/>
    </row>
    <row r="9376">
      <c r="K9376" s="124"/>
      <c r="L9376" s="124"/>
      <c r="M9376" s="124"/>
      <c r="N9376" s="124"/>
      <c r="O9376" s="124"/>
    </row>
    <row r="9377">
      <c r="K9377" s="124"/>
      <c r="L9377" s="124"/>
      <c r="M9377" s="124"/>
      <c r="N9377" s="124"/>
      <c r="O9377" s="124"/>
    </row>
    <row r="9378">
      <c r="K9378" s="124"/>
      <c r="L9378" s="124"/>
      <c r="M9378" s="124"/>
      <c r="N9378" s="124"/>
      <c r="O9378" s="124"/>
    </row>
    <row r="9379">
      <c r="K9379" s="124"/>
      <c r="L9379" s="124"/>
      <c r="M9379" s="124"/>
      <c r="N9379" s="124"/>
      <c r="O9379" s="124"/>
    </row>
    <row r="9380">
      <c r="K9380" s="124"/>
      <c r="L9380" s="124"/>
      <c r="M9380" s="124"/>
      <c r="N9380" s="124"/>
      <c r="O9380" s="124"/>
    </row>
    <row r="9381">
      <c r="K9381" s="124"/>
      <c r="L9381" s="124"/>
      <c r="M9381" s="124"/>
      <c r="N9381" s="124"/>
      <c r="O9381" s="124"/>
    </row>
    <row r="9382">
      <c r="K9382" s="124"/>
      <c r="L9382" s="124"/>
      <c r="M9382" s="124"/>
      <c r="N9382" s="124"/>
      <c r="O9382" s="124"/>
    </row>
    <row r="9383">
      <c r="K9383" s="124"/>
      <c r="L9383" s="124"/>
      <c r="M9383" s="124"/>
      <c r="N9383" s="124"/>
      <c r="O9383" s="124"/>
    </row>
    <row r="9384">
      <c r="K9384" s="124"/>
      <c r="L9384" s="124"/>
      <c r="M9384" s="124"/>
      <c r="N9384" s="124"/>
      <c r="O9384" s="124"/>
    </row>
    <row r="9385">
      <c r="K9385" s="124"/>
      <c r="L9385" s="124"/>
      <c r="M9385" s="124"/>
      <c r="N9385" s="124"/>
      <c r="O9385" s="124"/>
    </row>
    <row r="9386">
      <c r="K9386" s="124"/>
      <c r="L9386" s="124"/>
      <c r="M9386" s="124"/>
      <c r="N9386" s="124"/>
      <c r="O9386" s="124"/>
    </row>
    <row r="9387">
      <c r="K9387" s="124"/>
      <c r="L9387" s="124"/>
      <c r="M9387" s="124"/>
      <c r="N9387" s="124"/>
      <c r="O9387" s="124"/>
    </row>
    <row r="9388">
      <c r="K9388" s="124"/>
      <c r="L9388" s="124"/>
      <c r="M9388" s="124"/>
      <c r="N9388" s="124"/>
      <c r="O9388" s="124"/>
    </row>
    <row r="9389">
      <c r="K9389" s="124"/>
      <c r="L9389" s="124"/>
      <c r="M9389" s="124"/>
      <c r="N9389" s="124"/>
      <c r="O9389" s="124"/>
    </row>
    <row r="9390">
      <c r="K9390" s="124"/>
      <c r="L9390" s="124"/>
      <c r="M9390" s="124"/>
      <c r="N9390" s="124"/>
      <c r="O9390" s="124"/>
    </row>
    <row r="9391">
      <c r="K9391" s="124"/>
      <c r="L9391" s="124"/>
      <c r="M9391" s="124"/>
      <c r="N9391" s="124"/>
      <c r="O9391" s="124"/>
    </row>
    <row r="9392">
      <c r="K9392" s="124"/>
      <c r="L9392" s="124"/>
      <c r="M9392" s="124"/>
      <c r="N9392" s="124"/>
      <c r="O9392" s="124"/>
    </row>
    <row r="9393">
      <c r="K9393" s="124"/>
      <c r="L9393" s="124"/>
      <c r="M9393" s="124"/>
      <c r="N9393" s="124"/>
      <c r="O9393" s="124"/>
    </row>
    <row r="9394">
      <c r="K9394" s="124"/>
      <c r="L9394" s="124"/>
      <c r="M9394" s="124"/>
      <c r="N9394" s="124"/>
      <c r="O9394" s="124"/>
    </row>
    <row r="9395">
      <c r="K9395" s="124"/>
      <c r="L9395" s="124"/>
      <c r="M9395" s="124"/>
      <c r="N9395" s="124"/>
      <c r="O9395" s="124"/>
    </row>
    <row r="9396">
      <c r="K9396" s="124"/>
      <c r="L9396" s="124"/>
      <c r="M9396" s="124"/>
      <c r="N9396" s="124"/>
      <c r="O9396" s="124"/>
    </row>
    <row r="9397">
      <c r="K9397" s="124"/>
      <c r="L9397" s="124"/>
      <c r="M9397" s="124"/>
      <c r="N9397" s="124"/>
      <c r="O9397" s="124"/>
    </row>
    <row r="9398">
      <c r="K9398" s="124"/>
      <c r="L9398" s="124"/>
      <c r="M9398" s="124"/>
      <c r="N9398" s="124"/>
      <c r="O9398" s="124"/>
    </row>
    <row r="9399">
      <c r="K9399" s="124"/>
      <c r="L9399" s="124"/>
      <c r="M9399" s="124"/>
      <c r="N9399" s="124"/>
      <c r="O9399" s="124"/>
    </row>
    <row r="9400">
      <c r="K9400" s="124"/>
      <c r="L9400" s="124"/>
      <c r="M9400" s="124"/>
      <c r="N9400" s="124"/>
      <c r="O9400" s="124"/>
    </row>
    <row r="9401">
      <c r="K9401" s="124"/>
      <c r="L9401" s="124"/>
      <c r="M9401" s="124"/>
      <c r="N9401" s="124"/>
      <c r="O9401" s="124"/>
    </row>
    <row r="9402">
      <c r="K9402" s="124"/>
      <c r="L9402" s="124"/>
      <c r="M9402" s="124"/>
      <c r="N9402" s="124"/>
      <c r="O9402" s="124"/>
    </row>
    <row r="9403">
      <c r="K9403" s="124"/>
      <c r="L9403" s="124"/>
      <c r="M9403" s="124"/>
      <c r="N9403" s="124"/>
      <c r="O9403" s="124"/>
    </row>
    <row r="9404">
      <c r="K9404" s="124"/>
      <c r="L9404" s="124"/>
      <c r="M9404" s="124"/>
      <c r="N9404" s="124"/>
      <c r="O9404" s="124"/>
    </row>
    <row r="9405">
      <c r="K9405" s="124"/>
      <c r="L9405" s="124"/>
      <c r="M9405" s="124"/>
      <c r="N9405" s="124"/>
      <c r="O9405" s="124"/>
    </row>
    <row r="9406">
      <c r="K9406" s="124"/>
      <c r="L9406" s="124"/>
      <c r="M9406" s="124"/>
      <c r="N9406" s="124"/>
      <c r="O9406" s="124"/>
    </row>
    <row r="9407">
      <c r="K9407" s="124"/>
      <c r="L9407" s="124"/>
      <c r="M9407" s="124"/>
      <c r="N9407" s="124"/>
      <c r="O9407" s="124"/>
    </row>
    <row r="9408">
      <c r="K9408" s="124"/>
      <c r="L9408" s="124"/>
      <c r="M9408" s="124"/>
      <c r="N9408" s="124"/>
      <c r="O9408" s="124"/>
    </row>
    <row r="9409">
      <c r="K9409" s="124"/>
      <c r="L9409" s="124"/>
      <c r="M9409" s="124"/>
      <c r="N9409" s="124"/>
      <c r="O9409" s="124"/>
    </row>
    <row r="9410">
      <c r="K9410" s="124"/>
      <c r="L9410" s="124"/>
      <c r="M9410" s="124"/>
      <c r="N9410" s="124"/>
      <c r="O9410" s="124"/>
    </row>
    <row r="9411">
      <c r="K9411" s="124"/>
      <c r="L9411" s="124"/>
      <c r="M9411" s="124"/>
      <c r="N9411" s="124"/>
      <c r="O9411" s="124"/>
    </row>
    <row r="9412">
      <c r="K9412" s="124"/>
      <c r="L9412" s="124"/>
      <c r="M9412" s="124"/>
      <c r="N9412" s="124"/>
      <c r="O9412" s="124"/>
    </row>
    <row r="9413">
      <c r="K9413" s="124"/>
      <c r="L9413" s="124"/>
      <c r="M9413" s="124"/>
      <c r="N9413" s="124"/>
      <c r="O9413" s="124"/>
    </row>
    <row r="9414">
      <c r="K9414" s="124"/>
      <c r="L9414" s="124"/>
      <c r="M9414" s="124"/>
      <c r="N9414" s="124"/>
      <c r="O9414" s="124"/>
    </row>
    <row r="9415">
      <c r="K9415" s="124"/>
      <c r="L9415" s="124"/>
      <c r="M9415" s="124"/>
      <c r="N9415" s="124"/>
      <c r="O9415" s="124"/>
    </row>
    <row r="9416">
      <c r="K9416" s="124"/>
      <c r="L9416" s="124"/>
      <c r="M9416" s="124"/>
      <c r="N9416" s="124"/>
      <c r="O9416" s="124"/>
    </row>
    <row r="9417">
      <c r="K9417" s="124"/>
      <c r="L9417" s="124"/>
      <c r="M9417" s="124"/>
      <c r="N9417" s="124"/>
      <c r="O9417" s="124"/>
    </row>
    <row r="9418">
      <c r="K9418" s="124"/>
      <c r="L9418" s="124"/>
      <c r="M9418" s="124"/>
      <c r="N9418" s="124"/>
      <c r="O9418" s="124"/>
    </row>
    <row r="9419">
      <c r="K9419" s="124"/>
      <c r="L9419" s="124"/>
      <c r="M9419" s="124"/>
      <c r="N9419" s="124"/>
      <c r="O9419" s="124"/>
    </row>
    <row r="9420">
      <c r="K9420" s="124"/>
      <c r="L9420" s="124"/>
      <c r="M9420" s="124"/>
      <c r="N9420" s="124"/>
      <c r="O9420" s="124"/>
    </row>
    <row r="9421">
      <c r="K9421" s="124"/>
      <c r="L9421" s="124"/>
      <c r="M9421" s="124"/>
      <c r="N9421" s="124"/>
      <c r="O9421" s="124"/>
    </row>
    <row r="9422">
      <c r="K9422" s="124"/>
      <c r="L9422" s="124"/>
      <c r="M9422" s="124"/>
      <c r="N9422" s="124"/>
      <c r="O9422" s="124"/>
    </row>
    <row r="9423">
      <c r="K9423" s="124"/>
      <c r="L9423" s="124"/>
      <c r="M9423" s="124"/>
      <c r="N9423" s="124"/>
      <c r="O9423" s="124"/>
    </row>
    <row r="9424">
      <c r="K9424" s="124"/>
      <c r="L9424" s="124"/>
      <c r="M9424" s="124"/>
      <c r="N9424" s="124"/>
      <c r="O9424" s="124"/>
    </row>
    <row r="9425">
      <c r="K9425" s="124"/>
      <c r="L9425" s="124"/>
      <c r="M9425" s="124"/>
      <c r="N9425" s="124"/>
      <c r="O9425" s="124"/>
    </row>
    <row r="9426">
      <c r="K9426" s="124"/>
      <c r="L9426" s="124"/>
      <c r="M9426" s="124"/>
      <c r="N9426" s="124"/>
      <c r="O9426" s="124"/>
    </row>
    <row r="9427">
      <c r="K9427" s="124"/>
      <c r="L9427" s="124"/>
      <c r="M9427" s="124"/>
      <c r="N9427" s="124"/>
      <c r="O9427" s="124"/>
    </row>
    <row r="9428">
      <c r="K9428" s="124"/>
      <c r="L9428" s="124"/>
      <c r="M9428" s="124"/>
      <c r="N9428" s="124"/>
      <c r="O9428" s="124"/>
    </row>
    <row r="9429">
      <c r="K9429" s="124"/>
      <c r="L9429" s="124"/>
      <c r="M9429" s="124"/>
      <c r="N9429" s="124"/>
      <c r="O9429" s="124"/>
    </row>
    <row r="9430">
      <c r="K9430" s="124"/>
      <c r="L9430" s="124"/>
      <c r="M9430" s="124"/>
      <c r="N9430" s="124"/>
      <c r="O9430" s="124"/>
    </row>
    <row r="9431">
      <c r="K9431" s="124"/>
      <c r="L9431" s="124"/>
      <c r="M9431" s="124"/>
      <c r="N9431" s="124"/>
      <c r="O9431" s="124"/>
    </row>
    <row r="9432">
      <c r="K9432" s="124"/>
      <c r="L9432" s="124"/>
      <c r="M9432" s="124"/>
      <c r="N9432" s="124"/>
      <c r="O9432" s="124"/>
    </row>
    <row r="9433">
      <c r="K9433" s="124"/>
      <c r="L9433" s="124"/>
      <c r="M9433" s="124"/>
      <c r="N9433" s="124"/>
      <c r="O9433" s="124"/>
    </row>
    <row r="9434">
      <c r="K9434" s="124"/>
      <c r="L9434" s="124"/>
      <c r="M9434" s="124"/>
      <c r="N9434" s="124"/>
      <c r="O9434" s="124"/>
    </row>
    <row r="9435">
      <c r="K9435" s="124"/>
      <c r="L9435" s="124"/>
      <c r="M9435" s="124"/>
      <c r="N9435" s="124"/>
      <c r="O9435" s="124"/>
    </row>
    <row r="9436">
      <c r="K9436" s="124"/>
      <c r="L9436" s="124"/>
      <c r="M9436" s="124"/>
      <c r="N9436" s="124"/>
      <c r="O9436" s="124"/>
    </row>
    <row r="9437">
      <c r="K9437" s="124"/>
      <c r="L9437" s="124"/>
      <c r="M9437" s="124"/>
      <c r="N9437" s="124"/>
      <c r="O9437" s="124"/>
    </row>
    <row r="9438">
      <c r="K9438" s="124"/>
      <c r="L9438" s="124"/>
      <c r="M9438" s="124"/>
      <c r="N9438" s="124"/>
      <c r="O9438" s="124"/>
    </row>
    <row r="9439">
      <c r="K9439" s="124"/>
      <c r="L9439" s="124"/>
      <c r="M9439" s="124"/>
      <c r="N9439" s="124"/>
      <c r="O9439" s="124"/>
    </row>
    <row r="9440">
      <c r="K9440" s="124"/>
      <c r="L9440" s="124"/>
      <c r="M9440" s="124"/>
      <c r="N9440" s="124"/>
      <c r="O9440" s="124"/>
    </row>
    <row r="9441">
      <c r="K9441" s="124"/>
      <c r="L9441" s="124"/>
      <c r="M9441" s="124"/>
      <c r="N9441" s="124"/>
      <c r="O9441" s="124"/>
    </row>
    <row r="9442">
      <c r="K9442" s="124"/>
      <c r="L9442" s="124"/>
      <c r="M9442" s="124"/>
      <c r="N9442" s="124"/>
      <c r="O9442" s="124"/>
    </row>
    <row r="9443">
      <c r="K9443" s="124"/>
      <c r="L9443" s="124"/>
      <c r="M9443" s="124"/>
      <c r="N9443" s="124"/>
      <c r="O9443" s="124"/>
    </row>
    <row r="9444">
      <c r="K9444" s="124"/>
      <c r="L9444" s="124"/>
      <c r="M9444" s="124"/>
      <c r="N9444" s="124"/>
      <c r="O9444" s="124"/>
    </row>
    <row r="9445">
      <c r="K9445" s="124"/>
      <c r="L9445" s="124"/>
      <c r="M9445" s="124"/>
      <c r="N9445" s="124"/>
      <c r="O9445" s="124"/>
    </row>
    <row r="9446">
      <c r="K9446" s="124"/>
      <c r="L9446" s="124"/>
      <c r="M9446" s="124"/>
      <c r="N9446" s="124"/>
      <c r="O9446" s="124"/>
    </row>
    <row r="9447">
      <c r="K9447" s="124"/>
      <c r="L9447" s="124"/>
      <c r="M9447" s="124"/>
      <c r="N9447" s="124"/>
      <c r="O9447" s="124"/>
    </row>
    <row r="9448">
      <c r="K9448" s="124"/>
      <c r="L9448" s="124"/>
      <c r="M9448" s="124"/>
      <c r="N9448" s="124"/>
      <c r="O9448" s="124"/>
    </row>
    <row r="9449">
      <c r="K9449" s="124"/>
      <c r="L9449" s="124"/>
      <c r="M9449" s="124"/>
      <c r="N9449" s="124"/>
      <c r="O9449" s="124"/>
    </row>
    <row r="9450">
      <c r="K9450" s="124"/>
      <c r="L9450" s="124"/>
      <c r="M9450" s="124"/>
      <c r="N9450" s="124"/>
      <c r="O9450" s="124"/>
    </row>
    <row r="9451">
      <c r="K9451" s="124"/>
      <c r="L9451" s="124"/>
      <c r="M9451" s="124"/>
      <c r="N9451" s="124"/>
      <c r="O9451" s="124"/>
    </row>
    <row r="9452">
      <c r="K9452" s="124"/>
      <c r="L9452" s="124"/>
      <c r="M9452" s="124"/>
      <c r="N9452" s="124"/>
      <c r="O9452" s="124"/>
    </row>
    <row r="9453">
      <c r="K9453" s="124"/>
      <c r="L9453" s="124"/>
      <c r="M9453" s="124"/>
      <c r="N9453" s="124"/>
      <c r="O9453" s="124"/>
    </row>
    <row r="9454">
      <c r="K9454" s="124"/>
      <c r="L9454" s="124"/>
      <c r="M9454" s="124"/>
      <c r="N9454" s="124"/>
      <c r="O9454" s="124"/>
    </row>
    <row r="9455">
      <c r="K9455" s="124"/>
      <c r="L9455" s="124"/>
      <c r="M9455" s="124"/>
      <c r="N9455" s="124"/>
      <c r="O9455" s="124"/>
    </row>
    <row r="9456">
      <c r="K9456" s="124"/>
      <c r="L9456" s="124"/>
      <c r="M9456" s="124"/>
      <c r="N9456" s="124"/>
      <c r="O9456" s="124"/>
    </row>
    <row r="9457">
      <c r="K9457" s="124"/>
      <c r="L9457" s="124"/>
      <c r="M9457" s="124"/>
      <c r="N9457" s="124"/>
      <c r="O9457" s="124"/>
    </row>
    <row r="9458">
      <c r="K9458" s="124"/>
      <c r="L9458" s="124"/>
      <c r="M9458" s="124"/>
      <c r="N9458" s="124"/>
      <c r="O9458" s="124"/>
    </row>
    <row r="9459">
      <c r="K9459" s="124"/>
      <c r="L9459" s="124"/>
      <c r="M9459" s="124"/>
      <c r="N9459" s="124"/>
      <c r="O9459" s="124"/>
    </row>
    <row r="9460">
      <c r="K9460" s="124"/>
      <c r="L9460" s="124"/>
      <c r="M9460" s="124"/>
      <c r="N9460" s="124"/>
      <c r="O9460" s="124"/>
    </row>
    <row r="9461">
      <c r="K9461" s="124"/>
      <c r="L9461" s="124"/>
      <c r="M9461" s="124"/>
      <c r="N9461" s="124"/>
      <c r="O9461" s="124"/>
    </row>
    <row r="9462">
      <c r="K9462" s="124"/>
      <c r="L9462" s="124"/>
      <c r="M9462" s="124"/>
      <c r="N9462" s="124"/>
      <c r="O9462" s="124"/>
    </row>
    <row r="9463">
      <c r="K9463" s="124"/>
      <c r="L9463" s="124"/>
      <c r="M9463" s="124"/>
      <c r="N9463" s="124"/>
      <c r="O9463" s="124"/>
    </row>
    <row r="9464">
      <c r="K9464" s="124"/>
      <c r="L9464" s="124"/>
      <c r="M9464" s="124"/>
      <c r="N9464" s="124"/>
      <c r="O9464" s="124"/>
    </row>
    <row r="9465">
      <c r="K9465" s="124"/>
      <c r="L9465" s="124"/>
      <c r="M9465" s="124"/>
      <c r="N9465" s="124"/>
      <c r="O9465" s="124"/>
    </row>
    <row r="9466">
      <c r="K9466" s="124"/>
      <c r="L9466" s="124"/>
      <c r="M9466" s="124"/>
      <c r="N9466" s="124"/>
      <c r="O9466" s="124"/>
    </row>
    <row r="9467">
      <c r="K9467" s="124"/>
      <c r="L9467" s="124"/>
      <c r="M9467" s="124"/>
      <c r="N9467" s="124"/>
      <c r="O9467" s="124"/>
    </row>
    <row r="9468">
      <c r="K9468" s="124"/>
      <c r="L9468" s="124"/>
      <c r="M9468" s="124"/>
      <c r="N9468" s="124"/>
      <c r="O9468" s="124"/>
    </row>
    <row r="9469">
      <c r="K9469" s="124"/>
      <c r="L9469" s="124"/>
      <c r="M9469" s="124"/>
      <c r="N9469" s="124"/>
      <c r="O9469" s="124"/>
    </row>
    <row r="9470">
      <c r="K9470" s="124"/>
      <c r="L9470" s="124"/>
      <c r="M9470" s="124"/>
      <c r="N9470" s="124"/>
      <c r="O9470" s="124"/>
    </row>
    <row r="9471">
      <c r="K9471" s="124"/>
      <c r="L9471" s="124"/>
      <c r="M9471" s="124"/>
      <c r="N9471" s="124"/>
      <c r="O9471" s="124"/>
    </row>
    <row r="9472">
      <c r="K9472" s="124"/>
      <c r="L9472" s="124"/>
      <c r="M9472" s="124"/>
      <c r="N9472" s="124"/>
      <c r="O9472" s="124"/>
    </row>
    <row r="9473">
      <c r="K9473" s="124"/>
      <c r="L9473" s="124"/>
      <c r="M9473" s="124"/>
      <c r="N9473" s="124"/>
      <c r="O9473" s="124"/>
    </row>
    <row r="9474">
      <c r="K9474" s="124"/>
      <c r="L9474" s="124"/>
      <c r="M9474" s="124"/>
      <c r="N9474" s="124"/>
      <c r="O9474" s="124"/>
    </row>
    <row r="9475">
      <c r="K9475" s="124"/>
      <c r="L9475" s="124"/>
      <c r="M9475" s="124"/>
      <c r="N9475" s="124"/>
      <c r="O9475" s="124"/>
    </row>
    <row r="9476">
      <c r="K9476" s="124"/>
      <c r="L9476" s="124"/>
      <c r="M9476" s="124"/>
      <c r="N9476" s="124"/>
      <c r="O9476" s="124"/>
    </row>
    <row r="9477">
      <c r="K9477" s="124"/>
      <c r="L9477" s="124"/>
      <c r="M9477" s="124"/>
      <c r="N9477" s="124"/>
      <c r="O9477" s="124"/>
    </row>
    <row r="9478">
      <c r="K9478" s="124"/>
      <c r="L9478" s="124"/>
      <c r="M9478" s="124"/>
      <c r="N9478" s="124"/>
      <c r="O9478" s="124"/>
    </row>
    <row r="9479">
      <c r="K9479" s="124"/>
      <c r="L9479" s="124"/>
      <c r="M9479" s="124"/>
      <c r="N9479" s="124"/>
      <c r="O9479" s="124"/>
    </row>
    <row r="9480">
      <c r="K9480" s="124"/>
      <c r="L9480" s="124"/>
      <c r="M9480" s="124"/>
      <c r="N9480" s="124"/>
      <c r="O9480" s="124"/>
    </row>
    <row r="9481">
      <c r="K9481" s="124"/>
      <c r="L9481" s="124"/>
      <c r="M9481" s="124"/>
      <c r="N9481" s="124"/>
      <c r="O9481" s="124"/>
    </row>
    <row r="9482">
      <c r="K9482" s="124"/>
      <c r="L9482" s="124"/>
      <c r="M9482" s="124"/>
      <c r="N9482" s="124"/>
      <c r="O9482" s="124"/>
    </row>
    <row r="9483">
      <c r="K9483" s="124"/>
      <c r="L9483" s="124"/>
      <c r="M9483" s="124"/>
      <c r="N9483" s="124"/>
      <c r="O9483" s="124"/>
    </row>
    <row r="9484">
      <c r="K9484" s="124"/>
      <c r="L9484" s="124"/>
      <c r="M9484" s="124"/>
      <c r="N9484" s="124"/>
      <c r="O9484" s="124"/>
    </row>
    <row r="9485">
      <c r="K9485" s="124"/>
      <c r="L9485" s="124"/>
      <c r="M9485" s="124"/>
      <c r="N9485" s="124"/>
      <c r="O9485" s="124"/>
    </row>
    <row r="9486">
      <c r="K9486" s="124"/>
      <c r="L9486" s="124"/>
      <c r="M9486" s="124"/>
      <c r="N9486" s="124"/>
      <c r="O9486" s="124"/>
    </row>
    <row r="9487">
      <c r="K9487" s="124"/>
      <c r="L9487" s="124"/>
      <c r="M9487" s="124"/>
      <c r="N9487" s="124"/>
      <c r="O9487" s="124"/>
    </row>
    <row r="9488">
      <c r="K9488" s="124"/>
      <c r="L9488" s="124"/>
      <c r="M9488" s="124"/>
      <c r="N9488" s="124"/>
      <c r="O9488" s="124"/>
    </row>
    <row r="9489">
      <c r="K9489" s="124"/>
      <c r="L9489" s="124"/>
      <c r="M9489" s="124"/>
      <c r="N9489" s="124"/>
      <c r="O9489" s="124"/>
    </row>
    <row r="9490">
      <c r="K9490" s="124"/>
      <c r="L9490" s="124"/>
      <c r="M9490" s="124"/>
      <c r="N9490" s="124"/>
      <c r="O9490" s="124"/>
    </row>
    <row r="9491">
      <c r="K9491" s="124"/>
      <c r="L9491" s="124"/>
      <c r="M9491" s="124"/>
      <c r="N9491" s="124"/>
      <c r="O9491" s="124"/>
    </row>
    <row r="9492">
      <c r="K9492" s="124"/>
      <c r="L9492" s="124"/>
      <c r="M9492" s="124"/>
      <c r="N9492" s="124"/>
      <c r="O9492" s="124"/>
    </row>
    <row r="9493">
      <c r="K9493" s="124"/>
      <c r="L9493" s="124"/>
      <c r="M9493" s="124"/>
      <c r="N9493" s="124"/>
      <c r="O9493" s="124"/>
    </row>
    <row r="9494">
      <c r="K9494" s="124"/>
      <c r="L9494" s="124"/>
      <c r="M9494" s="124"/>
      <c r="N9494" s="124"/>
      <c r="O9494" s="124"/>
    </row>
    <row r="9495">
      <c r="K9495" s="124"/>
      <c r="L9495" s="124"/>
      <c r="M9495" s="124"/>
      <c r="N9495" s="124"/>
      <c r="O9495" s="124"/>
    </row>
    <row r="9496">
      <c r="K9496" s="124"/>
      <c r="L9496" s="124"/>
      <c r="M9496" s="124"/>
      <c r="N9496" s="124"/>
      <c r="O9496" s="124"/>
    </row>
    <row r="9497">
      <c r="K9497" s="124"/>
      <c r="L9497" s="124"/>
      <c r="M9497" s="124"/>
      <c r="N9497" s="124"/>
      <c r="O9497" s="124"/>
    </row>
    <row r="9498">
      <c r="K9498" s="124"/>
      <c r="L9498" s="124"/>
      <c r="M9498" s="124"/>
      <c r="N9498" s="124"/>
      <c r="O9498" s="124"/>
    </row>
    <row r="9499">
      <c r="K9499" s="124"/>
      <c r="L9499" s="124"/>
      <c r="M9499" s="124"/>
      <c r="N9499" s="124"/>
      <c r="O9499" s="124"/>
    </row>
    <row r="9500">
      <c r="K9500" s="124"/>
      <c r="L9500" s="124"/>
      <c r="M9500" s="124"/>
      <c r="N9500" s="124"/>
      <c r="O9500" s="124"/>
    </row>
    <row r="9501">
      <c r="K9501" s="124"/>
      <c r="L9501" s="124"/>
      <c r="M9501" s="124"/>
      <c r="N9501" s="124"/>
      <c r="O9501" s="124"/>
    </row>
    <row r="9502">
      <c r="K9502" s="124"/>
      <c r="L9502" s="124"/>
      <c r="M9502" s="124"/>
      <c r="N9502" s="124"/>
      <c r="O9502" s="124"/>
    </row>
    <row r="9503">
      <c r="K9503" s="124"/>
      <c r="L9503" s="124"/>
      <c r="M9503" s="124"/>
      <c r="N9503" s="124"/>
      <c r="O9503" s="124"/>
    </row>
    <row r="9504">
      <c r="K9504" s="124"/>
      <c r="L9504" s="124"/>
      <c r="M9504" s="124"/>
      <c r="N9504" s="124"/>
      <c r="O9504" s="124"/>
    </row>
    <row r="9505">
      <c r="K9505" s="124"/>
      <c r="L9505" s="124"/>
      <c r="M9505" s="124"/>
      <c r="N9505" s="124"/>
      <c r="O9505" s="124"/>
    </row>
    <row r="9506">
      <c r="K9506" s="124"/>
      <c r="L9506" s="124"/>
      <c r="M9506" s="124"/>
      <c r="N9506" s="124"/>
      <c r="O9506" s="124"/>
    </row>
    <row r="9507">
      <c r="K9507" s="124"/>
      <c r="L9507" s="124"/>
      <c r="M9507" s="124"/>
      <c r="N9507" s="124"/>
      <c r="O9507" s="124"/>
    </row>
    <row r="9508">
      <c r="K9508" s="124"/>
      <c r="L9508" s="124"/>
      <c r="M9508" s="124"/>
      <c r="N9508" s="124"/>
      <c r="O9508" s="124"/>
    </row>
    <row r="9509">
      <c r="K9509" s="124"/>
      <c r="L9509" s="124"/>
      <c r="M9509" s="124"/>
      <c r="N9509" s="124"/>
      <c r="O9509" s="124"/>
    </row>
    <row r="9510">
      <c r="K9510" s="124"/>
      <c r="L9510" s="124"/>
      <c r="M9510" s="124"/>
      <c r="N9510" s="124"/>
      <c r="O9510" s="124"/>
    </row>
    <row r="9511">
      <c r="K9511" s="124"/>
      <c r="L9511" s="124"/>
      <c r="M9511" s="124"/>
      <c r="N9511" s="124"/>
      <c r="O9511" s="124"/>
    </row>
    <row r="9512">
      <c r="K9512" s="124"/>
      <c r="L9512" s="124"/>
      <c r="M9512" s="124"/>
      <c r="N9512" s="124"/>
      <c r="O9512" s="124"/>
    </row>
    <row r="9513">
      <c r="K9513" s="124"/>
      <c r="L9513" s="124"/>
      <c r="M9513" s="124"/>
      <c r="N9513" s="124"/>
      <c r="O9513" s="124"/>
    </row>
    <row r="9514">
      <c r="K9514" s="124"/>
      <c r="L9514" s="124"/>
      <c r="M9514" s="124"/>
      <c r="N9514" s="124"/>
      <c r="O9514" s="124"/>
    </row>
    <row r="9515">
      <c r="K9515" s="124"/>
      <c r="L9515" s="124"/>
      <c r="M9515" s="124"/>
      <c r="N9515" s="124"/>
      <c r="O9515" s="124"/>
    </row>
    <row r="9516">
      <c r="K9516" s="124"/>
      <c r="L9516" s="124"/>
      <c r="M9516" s="124"/>
      <c r="N9516" s="124"/>
      <c r="O9516" s="124"/>
    </row>
    <row r="9517">
      <c r="K9517" s="124"/>
      <c r="L9517" s="124"/>
      <c r="M9517" s="124"/>
      <c r="N9517" s="124"/>
      <c r="O9517" s="124"/>
    </row>
    <row r="9518">
      <c r="K9518" s="124"/>
      <c r="L9518" s="124"/>
      <c r="M9518" s="124"/>
      <c r="N9518" s="124"/>
      <c r="O9518" s="124"/>
    </row>
    <row r="9519">
      <c r="K9519" s="124"/>
      <c r="L9519" s="124"/>
      <c r="M9519" s="124"/>
      <c r="N9519" s="124"/>
      <c r="O9519" s="124"/>
    </row>
    <row r="9520">
      <c r="K9520" s="124"/>
      <c r="L9520" s="124"/>
      <c r="M9520" s="124"/>
      <c r="N9520" s="124"/>
      <c r="O9520" s="124"/>
    </row>
    <row r="9521">
      <c r="K9521" s="124"/>
      <c r="L9521" s="124"/>
      <c r="M9521" s="124"/>
      <c r="N9521" s="124"/>
      <c r="O9521" s="124"/>
    </row>
    <row r="9522">
      <c r="K9522" s="124"/>
      <c r="L9522" s="124"/>
      <c r="M9522" s="124"/>
      <c r="N9522" s="124"/>
      <c r="O9522" s="124"/>
    </row>
    <row r="9523">
      <c r="K9523" s="124"/>
      <c r="L9523" s="124"/>
      <c r="M9523" s="124"/>
      <c r="N9523" s="124"/>
      <c r="O9523" s="124"/>
    </row>
    <row r="9524">
      <c r="K9524" s="124"/>
      <c r="L9524" s="124"/>
      <c r="M9524" s="124"/>
      <c r="N9524" s="124"/>
      <c r="O9524" s="124"/>
    </row>
    <row r="9525">
      <c r="K9525" s="124"/>
      <c r="L9525" s="124"/>
      <c r="M9525" s="124"/>
      <c r="N9525" s="124"/>
      <c r="O9525" s="124"/>
    </row>
    <row r="9526">
      <c r="K9526" s="124"/>
      <c r="L9526" s="124"/>
      <c r="M9526" s="124"/>
      <c r="N9526" s="124"/>
      <c r="O9526" s="124"/>
    </row>
    <row r="9527">
      <c r="K9527" s="124"/>
      <c r="L9527" s="124"/>
      <c r="M9527" s="124"/>
      <c r="N9527" s="124"/>
      <c r="O9527" s="124"/>
    </row>
    <row r="9528">
      <c r="K9528" s="124"/>
      <c r="L9528" s="124"/>
      <c r="M9528" s="124"/>
      <c r="N9528" s="124"/>
      <c r="O9528" s="124"/>
    </row>
    <row r="9529">
      <c r="K9529" s="124"/>
      <c r="L9529" s="124"/>
      <c r="M9529" s="124"/>
      <c r="N9529" s="124"/>
      <c r="O9529" s="124"/>
    </row>
    <row r="9530">
      <c r="K9530" s="124"/>
      <c r="L9530" s="124"/>
      <c r="M9530" s="124"/>
      <c r="N9530" s="124"/>
      <c r="O9530" s="124"/>
    </row>
    <row r="9531">
      <c r="K9531" s="124"/>
      <c r="L9531" s="124"/>
      <c r="M9531" s="124"/>
      <c r="N9531" s="124"/>
      <c r="O9531" s="124"/>
    </row>
    <row r="9532">
      <c r="K9532" s="124"/>
      <c r="L9532" s="124"/>
      <c r="M9532" s="124"/>
      <c r="N9532" s="124"/>
      <c r="O9532" s="124"/>
    </row>
    <row r="9533">
      <c r="K9533" s="124"/>
      <c r="L9533" s="124"/>
      <c r="M9533" s="124"/>
      <c r="N9533" s="124"/>
      <c r="O9533" s="124"/>
    </row>
    <row r="9534">
      <c r="K9534" s="124"/>
      <c r="L9534" s="124"/>
      <c r="M9534" s="124"/>
      <c r="N9534" s="124"/>
      <c r="O9534" s="124"/>
    </row>
    <row r="9535">
      <c r="K9535" s="124"/>
      <c r="L9535" s="124"/>
      <c r="M9535" s="124"/>
      <c r="N9535" s="124"/>
      <c r="O9535" s="124"/>
    </row>
    <row r="9536">
      <c r="K9536" s="124"/>
      <c r="L9536" s="124"/>
      <c r="M9536" s="124"/>
      <c r="N9536" s="124"/>
      <c r="O9536" s="124"/>
    </row>
    <row r="9537">
      <c r="K9537" s="124"/>
      <c r="L9537" s="124"/>
      <c r="M9537" s="124"/>
      <c r="N9537" s="124"/>
      <c r="O9537" s="124"/>
    </row>
    <row r="9538">
      <c r="K9538" s="124"/>
      <c r="L9538" s="124"/>
      <c r="M9538" s="124"/>
      <c r="N9538" s="124"/>
      <c r="O9538" s="124"/>
    </row>
    <row r="9539">
      <c r="K9539" s="124"/>
      <c r="L9539" s="124"/>
      <c r="M9539" s="124"/>
      <c r="N9539" s="124"/>
      <c r="O9539" s="124"/>
    </row>
    <row r="9540">
      <c r="K9540" s="124"/>
      <c r="L9540" s="124"/>
      <c r="M9540" s="124"/>
      <c r="N9540" s="124"/>
      <c r="O9540" s="124"/>
    </row>
    <row r="9541">
      <c r="K9541" s="124"/>
      <c r="L9541" s="124"/>
      <c r="M9541" s="124"/>
      <c r="N9541" s="124"/>
      <c r="O9541" s="124"/>
    </row>
    <row r="9542">
      <c r="K9542" s="124"/>
      <c r="L9542" s="124"/>
      <c r="M9542" s="124"/>
      <c r="N9542" s="124"/>
      <c r="O9542" s="124"/>
    </row>
    <row r="9543">
      <c r="K9543" s="124"/>
      <c r="L9543" s="124"/>
      <c r="M9543" s="124"/>
      <c r="N9543" s="124"/>
      <c r="O9543" s="124"/>
    </row>
    <row r="9544">
      <c r="K9544" s="124"/>
      <c r="L9544" s="124"/>
      <c r="M9544" s="124"/>
      <c r="N9544" s="124"/>
      <c r="O9544" s="124"/>
    </row>
    <row r="9545">
      <c r="K9545" s="124"/>
      <c r="L9545" s="124"/>
      <c r="M9545" s="124"/>
      <c r="N9545" s="124"/>
      <c r="O9545" s="124"/>
    </row>
    <row r="9546">
      <c r="K9546" s="124"/>
      <c r="L9546" s="124"/>
      <c r="M9546" s="124"/>
      <c r="N9546" s="124"/>
      <c r="O9546" s="124"/>
    </row>
    <row r="9547">
      <c r="K9547" s="124"/>
      <c r="L9547" s="124"/>
      <c r="M9547" s="124"/>
      <c r="N9547" s="124"/>
      <c r="O9547" s="124"/>
    </row>
    <row r="9548">
      <c r="K9548" s="124"/>
      <c r="L9548" s="124"/>
      <c r="M9548" s="124"/>
      <c r="N9548" s="124"/>
      <c r="O9548" s="124"/>
    </row>
    <row r="9549">
      <c r="K9549" s="124"/>
      <c r="L9549" s="124"/>
      <c r="M9549" s="124"/>
      <c r="N9549" s="124"/>
      <c r="O9549" s="124"/>
    </row>
    <row r="9550">
      <c r="K9550" s="124"/>
      <c r="L9550" s="124"/>
      <c r="M9550" s="124"/>
      <c r="N9550" s="124"/>
      <c r="O9550" s="124"/>
    </row>
    <row r="9551">
      <c r="K9551" s="124"/>
      <c r="L9551" s="124"/>
      <c r="M9551" s="124"/>
      <c r="N9551" s="124"/>
      <c r="O9551" s="124"/>
    </row>
    <row r="9552">
      <c r="K9552" s="124"/>
      <c r="L9552" s="124"/>
      <c r="M9552" s="124"/>
      <c r="N9552" s="124"/>
      <c r="O9552" s="124"/>
    </row>
    <row r="9553">
      <c r="K9553" s="124"/>
      <c r="L9553" s="124"/>
      <c r="M9553" s="124"/>
      <c r="N9553" s="124"/>
      <c r="O9553" s="124"/>
    </row>
    <row r="9554">
      <c r="K9554" s="124"/>
      <c r="L9554" s="124"/>
      <c r="M9554" s="124"/>
      <c r="N9554" s="124"/>
      <c r="O9554" s="124"/>
    </row>
    <row r="9555">
      <c r="K9555" s="124"/>
      <c r="L9555" s="124"/>
      <c r="M9555" s="124"/>
      <c r="N9555" s="124"/>
      <c r="O9555" s="124"/>
    </row>
    <row r="9556">
      <c r="K9556" s="124"/>
      <c r="L9556" s="124"/>
      <c r="M9556" s="124"/>
      <c r="N9556" s="124"/>
      <c r="O9556" s="124"/>
    </row>
    <row r="9557">
      <c r="K9557" s="124"/>
      <c r="L9557" s="124"/>
      <c r="M9557" s="124"/>
      <c r="N9557" s="124"/>
      <c r="O9557" s="124"/>
    </row>
    <row r="9558">
      <c r="K9558" s="124"/>
      <c r="L9558" s="124"/>
      <c r="M9558" s="124"/>
      <c r="N9558" s="124"/>
      <c r="O9558" s="124"/>
    </row>
    <row r="9559">
      <c r="K9559" s="124"/>
      <c r="L9559" s="124"/>
      <c r="M9559" s="124"/>
      <c r="N9559" s="124"/>
      <c r="O9559" s="124"/>
    </row>
    <row r="9560">
      <c r="K9560" s="124"/>
      <c r="L9560" s="124"/>
      <c r="M9560" s="124"/>
      <c r="N9560" s="124"/>
      <c r="O9560" s="124"/>
    </row>
    <row r="9561">
      <c r="K9561" s="124"/>
      <c r="L9561" s="124"/>
      <c r="M9561" s="124"/>
      <c r="N9561" s="124"/>
      <c r="O9561" s="124"/>
    </row>
    <row r="9562">
      <c r="K9562" s="124"/>
      <c r="L9562" s="124"/>
      <c r="M9562" s="124"/>
      <c r="N9562" s="124"/>
      <c r="O9562" s="124"/>
    </row>
    <row r="9563">
      <c r="K9563" s="124"/>
      <c r="L9563" s="124"/>
      <c r="M9563" s="124"/>
      <c r="N9563" s="124"/>
      <c r="O9563" s="124"/>
    </row>
    <row r="9564">
      <c r="K9564" s="124"/>
      <c r="L9564" s="124"/>
      <c r="M9564" s="124"/>
      <c r="N9564" s="124"/>
      <c r="O9564" s="124"/>
    </row>
    <row r="9565">
      <c r="K9565" s="124"/>
      <c r="L9565" s="124"/>
      <c r="M9565" s="124"/>
      <c r="N9565" s="124"/>
      <c r="O9565" s="124"/>
    </row>
    <row r="9566">
      <c r="K9566" s="124"/>
      <c r="L9566" s="124"/>
      <c r="M9566" s="124"/>
      <c r="N9566" s="124"/>
      <c r="O9566" s="124"/>
    </row>
    <row r="9567">
      <c r="K9567" s="124"/>
      <c r="L9567" s="124"/>
      <c r="M9567" s="124"/>
      <c r="N9567" s="124"/>
      <c r="O9567" s="124"/>
    </row>
    <row r="9568">
      <c r="K9568" s="124"/>
      <c r="L9568" s="124"/>
      <c r="M9568" s="124"/>
      <c r="N9568" s="124"/>
      <c r="O9568" s="124"/>
    </row>
    <row r="9569">
      <c r="K9569" s="124"/>
      <c r="L9569" s="124"/>
      <c r="M9569" s="124"/>
      <c r="N9569" s="124"/>
      <c r="O9569" s="124"/>
    </row>
    <row r="9570">
      <c r="K9570" s="124"/>
      <c r="L9570" s="124"/>
      <c r="M9570" s="124"/>
      <c r="N9570" s="124"/>
      <c r="O9570" s="124"/>
    </row>
    <row r="9571">
      <c r="K9571" s="124"/>
      <c r="L9571" s="124"/>
      <c r="M9571" s="124"/>
      <c r="N9571" s="124"/>
      <c r="O9571" s="124"/>
    </row>
    <row r="9572">
      <c r="K9572" s="124"/>
      <c r="L9572" s="124"/>
      <c r="M9572" s="124"/>
      <c r="N9572" s="124"/>
      <c r="O9572" s="124"/>
    </row>
    <row r="9573">
      <c r="K9573" s="124"/>
      <c r="L9573" s="124"/>
      <c r="M9573" s="124"/>
      <c r="N9573" s="124"/>
      <c r="O9573" s="124"/>
    </row>
    <row r="9574">
      <c r="K9574" s="124"/>
      <c r="L9574" s="124"/>
      <c r="M9574" s="124"/>
      <c r="N9574" s="124"/>
      <c r="O9574" s="124"/>
    </row>
    <row r="9575">
      <c r="K9575" s="124"/>
      <c r="L9575" s="124"/>
      <c r="M9575" s="124"/>
      <c r="N9575" s="124"/>
      <c r="O9575" s="124"/>
    </row>
    <row r="9576">
      <c r="K9576" s="124"/>
      <c r="L9576" s="124"/>
      <c r="M9576" s="124"/>
      <c r="N9576" s="124"/>
      <c r="O9576" s="124"/>
    </row>
    <row r="9577">
      <c r="K9577" s="124"/>
      <c r="L9577" s="124"/>
      <c r="M9577" s="124"/>
      <c r="N9577" s="124"/>
      <c r="O9577" s="124"/>
    </row>
    <row r="9578">
      <c r="K9578" s="124"/>
      <c r="L9578" s="124"/>
      <c r="M9578" s="124"/>
      <c r="N9578" s="124"/>
      <c r="O9578" s="124"/>
    </row>
    <row r="9579">
      <c r="K9579" s="124"/>
      <c r="L9579" s="124"/>
      <c r="M9579" s="124"/>
      <c r="N9579" s="124"/>
      <c r="O9579" s="124"/>
    </row>
    <row r="9580">
      <c r="K9580" s="124"/>
      <c r="L9580" s="124"/>
      <c r="M9580" s="124"/>
      <c r="N9580" s="124"/>
      <c r="O9580" s="124"/>
    </row>
    <row r="9581">
      <c r="K9581" s="124"/>
      <c r="L9581" s="124"/>
      <c r="M9581" s="124"/>
      <c r="N9581" s="124"/>
      <c r="O9581" s="124"/>
    </row>
    <row r="9582">
      <c r="K9582" s="124"/>
      <c r="L9582" s="124"/>
      <c r="M9582" s="124"/>
      <c r="N9582" s="124"/>
      <c r="O9582" s="124"/>
    </row>
    <row r="9583">
      <c r="K9583" s="124"/>
      <c r="L9583" s="124"/>
      <c r="M9583" s="124"/>
      <c r="N9583" s="124"/>
      <c r="O9583" s="124"/>
    </row>
    <row r="9584">
      <c r="K9584" s="124"/>
      <c r="L9584" s="124"/>
      <c r="M9584" s="124"/>
      <c r="N9584" s="124"/>
      <c r="O9584" s="124"/>
    </row>
    <row r="9585">
      <c r="K9585" s="124"/>
      <c r="L9585" s="124"/>
      <c r="M9585" s="124"/>
      <c r="N9585" s="124"/>
      <c r="O9585" s="124"/>
    </row>
    <row r="9586">
      <c r="K9586" s="124"/>
      <c r="L9586" s="124"/>
      <c r="M9586" s="124"/>
      <c r="N9586" s="124"/>
      <c r="O9586" s="124"/>
    </row>
    <row r="9587">
      <c r="K9587" s="124"/>
      <c r="L9587" s="124"/>
      <c r="M9587" s="124"/>
      <c r="N9587" s="124"/>
      <c r="O9587" s="124"/>
    </row>
    <row r="9588">
      <c r="K9588" s="124"/>
      <c r="L9588" s="124"/>
      <c r="M9588" s="124"/>
      <c r="N9588" s="124"/>
      <c r="O9588" s="124"/>
    </row>
    <row r="9589">
      <c r="K9589" s="124"/>
      <c r="L9589" s="124"/>
      <c r="M9589" s="124"/>
      <c r="N9589" s="124"/>
      <c r="O9589" s="124"/>
    </row>
    <row r="9590">
      <c r="K9590" s="124"/>
      <c r="L9590" s="124"/>
      <c r="M9590" s="124"/>
      <c r="N9590" s="124"/>
      <c r="O9590" s="124"/>
    </row>
    <row r="9591">
      <c r="K9591" s="124"/>
      <c r="L9591" s="124"/>
      <c r="M9591" s="124"/>
      <c r="N9591" s="124"/>
      <c r="O9591" s="124"/>
    </row>
    <row r="9592">
      <c r="K9592" s="124"/>
      <c r="L9592" s="124"/>
      <c r="M9592" s="124"/>
      <c r="N9592" s="124"/>
      <c r="O9592" s="124"/>
    </row>
    <row r="9593">
      <c r="K9593" s="124"/>
      <c r="L9593" s="124"/>
      <c r="M9593" s="124"/>
      <c r="N9593" s="124"/>
      <c r="O9593" s="124"/>
    </row>
    <row r="9594">
      <c r="K9594" s="124"/>
      <c r="L9594" s="124"/>
      <c r="M9594" s="124"/>
      <c r="N9594" s="124"/>
      <c r="O9594" s="124"/>
    </row>
    <row r="9595">
      <c r="K9595" s="124"/>
      <c r="L9595" s="124"/>
      <c r="M9595" s="124"/>
      <c r="N9595" s="124"/>
      <c r="O9595" s="124"/>
    </row>
    <row r="9596">
      <c r="K9596" s="124"/>
      <c r="L9596" s="124"/>
      <c r="M9596" s="124"/>
      <c r="N9596" s="124"/>
      <c r="O9596" s="124"/>
    </row>
    <row r="9597">
      <c r="K9597" s="124"/>
      <c r="L9597" s="124"/>
      <c r="M9597" s="124"/>
      <c r="N9597" s="124"/>
      <c r="O9597" s="124"/>
    </row>
    <row r="9598">
      <c r="K9598" s="124"/>
      <c r="L9598" s="124"/>
      <c r="M9598" s="124"/>
      <c r="N9598" s="124"/>
      <c r="O9598" s="124"/>
    </row>
    <row r="9599">
      <c r="K9599" s="124"/>
      <c r="L9599" s="124"/>
      <c r="M9599" s="124"/>
      <c r="N9599" s="124"/>
      <c r="O9599" s="124"/>
    </row>
    <row r="9600">
      <c r="K9600" s="124"/>
      <c r="L9600" s="124"/>
      <c r="M9600" s="124"/>
      <c r="N9600" s="124"/>
      <c r="O9600" s="124"/>
    </row>
    <row r="9601">
      <c r="K9601" s="124"/>
      <c r="L9601" s="124"/>
      <c r="M9601" s="124"/>
      <c r="N9601" s="124"/>
      <c r="O9601" s="124"/>
    </row>
    <row r="9602">
      <c r="K9602" s="124"/>
      <c r="L9602" s="124"/>
      <c r="M9602" s="124"/>
      <c r="N9602" s="124"/>
      <c r="O9602" s="124"/>
    </row>
    <row r="9603">
      <c r="K9603" s="124"/>
      <c r="L9603" s="124"/>
      <c r="M9603" s="124"/>
      <c r="N9603" s="124"/>
      <c r="O9603" s="124"/>
    </row>
    <row r="9604">
      <c r="K9604" s="124"/>
      <c r="L9604" s="124"/>
      <c r="M9604" s="124"/>
      <c r="N9604" s="124"/>
      <c r="O9604" s="124"/>
    </row>
    <row r="9605">
      <c r="K9605" s="124"/>
      <c r="L9605" s="124"/>
      <c r="M9605" s="124"/>
      <c r="N9605" s="124"/>
      <c r="O9605" s="124"/>
    </row>
    <row r="9606">
      <c r="K9606" s="124"/>
      <c r="L9606" s="124"/>
      <c r="M9606" s="124"/>
      <c r="N9606" s="124"/>
      <c r="O9606" s="124"/>
    </row>
    <row r="9607">
      <c r="K9607" s="124"/>
      <c r="L9607" s="124"/>
      <c r="M9607" s="124"/>
      <c r="N9607" s="124"/>
      <c r="O9607" s="124"/>
    </row>
    <row r="9608">
      <c r="K9608" s="124"/>
      <c r="L9608" s="124"/>
      <c r="M9608" s="124"/>
      <c r="N9608" s="124"/>
      <c r="O9608" s="124"/>
    </row>
    <row r="9609">
      <c r="K9609" s="124"/>
      <c r="L9609" s="124"/>
      <c r="M9609" s="124"/>
      <c r="N9609" s="124"/>
      <c r="O9609" s="124"/>
    </row>
    <row r="9610">
      <c r="K9610" s="124"/>
      <c r="L9610" s="124"/>
      <c r="M9610" s="124"/>
      <c r="N9610" s="124"/>
      <c r="O9610" s="124"/>
    </row>
    <row r="9611">
      <c r="K9611" s="124"/>
      <c r="L9611" s="124"/>
      <c r="M9611" s="124"/>
      <c r="N9611" s="124"/>
      <c r="O9611" s="124"/>
    </row>
    <row r="9612">
      <c r="K9612" s="124"/>
      <c r="L9612" s="124"/>
      <c r="M9612" s="124"/>
      <c r="N9612" s="124"/>
      <c r="O9612" s="124"/>
    </row>
    <row r="9613">
      <c r="K9613" s="124"/>
      <c r="L9613" s="124"/>
      <c r="M9613" s="124"/>
      <c r="N9613" s="124"/>
      <c r="O9613" s="124"/>
    </row>
    <row r="9614">
      <c r="K9614" s="124"/>
      <c r="L9614" s="124"/>
      <c r="M9614" s="124"/>
      <c r="N9614" s="124"/>
      <c r="O9614" s="124"/>
    </row>
    <row r="9615">
      <c r="K9615" s="124"/>
      <c r="L9615" s="124"/>
      <c r="M9615" s="124"/>
      <c r="N9615" s="124"/>
      <c r="O9615" s="124"/>
    </row>
    <row r="9616">
      <c r="K9616" s="124"/>
      <c r="L9616" s="124"/>
      <c r="M9616" s="124"/>
      <c r="N9616" s="124"/>
      <c r="O9616" s="124"/>
    </row>
    <row r="9617">
      <c r="K9617" s="124"/>
      <c r="L9617" s="124"/>
      <c r="M9617" s="124"/>
      <c r="N9617" s="124"/>
      <c r="O9617" s="124"/>
    </row>
    <row r="9618">
      <c r="K9618" s="124"/>
      <c r="L9618" s="124"/>
      <c r="M9618" s="124"/>
      <c r="N9618" s="124"/>
      <c r="O9618" s="124"/>
    </row>
    <row r="9619">
      <c r="K9619" s="124"/>
      <c r="L9619" s="124"/>
      <c r="M9619" s="124"/>
      <c r="N9619" s="124"/>
      <c r="O9619" s="124"/>
    </row>
    <row r="9620">
      <c r="K9620" s="124"/>
      <c r="L9620" s="124"/>
      <c r="M9620" s="124"/>
      <c r="N9620" s="124"/>
      <c r="O9620" s="124"/>
    </row>
    <row r="9621">
      <c r="K9621" s="124"/>
      <c r="L9621" s="124"/>
      <c r="M9621" s="124"/>
      <c r="N9621" s="124"/>
      <c r="O9621" s="124"/>
    </row>
    <row r="9622">
      <c r="K9622" s="124"/>
      <c r="L9622" s="124"/>
      <c r="M9622" s="124"/>
      <c r="N9622" s="124"/>
      <c r="O9622" s="124"/>
    </row>
    <row r="9623">
      <c r="K9623" s="124"/>
      <c r="L9623" s="124"/>
      <c r="M9623" s="124"/>
      <c r="N9623" s="124"/>
      <c r="O9623" s="124"/>
    </row>
    <row r="9624">
      <c r="K9624" s="124"/>
      <c r="L9624" s="124"/>
      <c r="M9624" s="124"/>
      <c r="N9624" s="124"/>
      <c r="O9624" s="124"/>
    </row>
    <row r="9625">
      <c r="K9625" s="124"/>
      <c r="L9625" s="124"/>
      <c r="M9625" s="124"/>
      <c r="N9625" s="124"/>
      <c r="O9625" s="124"/>
    </row>
    <row r="9626">
      <c r="K9626" s="124"/>
      <c r="L9626" s="124"/>
      <c r="M9626" s="124"/>
      <c r="N9626" s="124"/>
      <c r="O9626" s="124"/>
    </row>
    <row r="9627">
      <c r="K9627" s="124"/>
      <c r="L9627" s="124"/>
      <c r="M9627" s="124"/>
      <c r="N9627" s="124"/>
      <c r="O9627" s="124"/>
    </row>
    <row r="9628">
      <c r="K9628" s="124"/>
      <c r="L9628" s="124"/>
      <c r="M9628" s="124"/>
      <c r="N9628" s="124"/>
      <c r="O9628" s="124"/>
    </row>
    <row r="9629">
      <c r="K9629" s="124"/>
      <c r="L9629" s="124"/>
      <c r="M9629" s="124"/>
      <c r="N9629" s="124"/>
      <c r="O9629" s="124"/>
    </row>
    <row r="9630">
      <c r="K9630" s="124"/>
      <c r="L9630" s="124"/>
      <c r="M9630" s="124"/>
      <c r="N9630" s="124"/>
      <c r="O9630" s="124"/>
    </row>
    <row r="9631">
      <c r="K9631" s="124"/>
      <c r="L9631" s="124"/>
      <c r="M9631" s="124"/>
      <c r="N9631" s="124"/>
      <c r="O9631" s="124"/>
    </row>
    <row r="9632">
      <c r="K9632" s="124"/>
      <c r="L9632" s="124"/>
      <c r="M9632" s="124"/>
      <c r="N9632" s="124"/>
      <c r="O9632" s="124"/>
    </row>
    <row r="9633">
      <c r="K9633" s="124"/>
      <c r="L9633" s="124"/>
      <c r="M9633" s="124"/>
      <c r="N9633" s="124"/>
      <c r="O9633" s="124"/>
    </row>
    <row r="9634">
      <c r="K9634" s="124"/>
      <c r="L9634" s="124"/>
      <c r="M9634" s="124"/>
      <c r="N9634" s="124"/>
      <c r="O9634" s="124"/>
    </row>
    <row r="9635">
      <c r="K9635" s="124"/>
      <c r="L9635" s="124"/>
      <c r="M9635" s="124"/>
      <c r="N9635" s="124"/>
      <c r="O9635" s="124"/>
    </row>
    <row r="9636">
      <c r="K9636" s="124"/>
      <c r="L9636" s="124"/>
      <c r="M9636" s="124"/>
      <c r="N9636" s="124"/>
      <c r="O9636" s="124"/>
    </row>
    <row r="9637">
      <c r="K9637" s="124"/>
      <c r="L9637" s="124"/>
      <c r="M9637" s="124"/>
      <c r="N9637" s="124"/>
      <c r="O9637" s="124"/>
    </row>
    <row r="9638">
      <c r="K9638" s="124"/>
      <c r="L9638" s="124"/>
      <c r="M9638" s="124"/>
      <c r="N9638" s="124"/>
      <c r="O9638" s="124"/>
    </row>
    <row r="9639">
      <c r="K9639" s="124"/>
      <c r="L9639" s="124"/>
      <c r="M9639" s="124"/>
      <c r="N9639" s="124"/>
      <c r="O9639" s="124"/>
    </row>
    <row r="9640">
      <c r="K9640" s="124"/>
      <c r="L9640" s="124"/>
      <c r="M9640" s="124"/>
      <c r="N9640" s="124"/>
      <c r="O9640" s="124"/>
    </row>
    <row r="9641">
      <c r="K9641" s="124"/>
      <c r="L9641" s="124"/>
      <c r="M9641" s="124"/>
      <c r="N9641" s="124"/>
      <c r="O9641" s="124"/>
    </row>
    <row r="9642">
      <c r="K9642" s="124"/>
      <c r="L9642" s="124"/>
      <c r="M9642" s="124"/>
      <c r="N9642" s="124"/>
      <c r="O9642" s="124"/>
    </row>
    <row r="9643">
      <c r="K9643" s="124"/>
      <c r="L9643" s="124"/>
      <c r="M9643" s="124"/>
      <c r="N9643" s="124"/>
      <c r="O9643" s="124"/>
    </row>
    <row r="9644">
      <c r="K9644" s="124"/>
      <c r="L9644" s="124"/>
      <c r="M9644" s="124"/>
      <c r="N9644" s="124"/>
      <c r="O9644" s="124"/>
    </row>
    <row r="9645">
      <c r="K9645" s="124"/>
      <c r="L9645" s="124"/>
      <c r="M9645" s="124"/>
      <c r="N9645" s="124"/>
      <c r="O9645" s="124"/>
    </row>
    <row r="9646">
      <c r="K9646" s="124"/>
      <c r="L9646" s="124"/>
      <c r="M9646" s="124"/>
      <c r="N9646" s="124"/>
      <c r="O9646" s="124"/>
    </row>
    <row r="9647">
      <c r="K9647" s="124"/>
      <c r="L9647" s="124"/>
      <c r="M9647" s="124"/>
      <c r="N9647" s="124"/>
      <c r="O9647" s="124"/>
    </row>
    <row r="9648">
      <c r="K9648" s="124"/>
      <c r="L9648" s="124"/>
      <c r="M9648" s="124"/>
      <c r="N9648" s="124"/>
      <c r="O9648" s="124"/>
    </row>
    <row r="9649">
      <c r="K9649" s="124"/>
      <c r="L9649" s="124"/>
      <c r="M9649" s="124"/>
      <c r="N9649" s="124"/>
      <c r="O9649" s="124"/>
    </row>
    <row r="9650">
      <c r="K9650" s="124"/>
      <c r="L9650" s="124"/>
      <c r="M9650" s="124"/>
      <c r="N9650" s="124"/>
      <c r="O9650" s="124"/>
    </row>
    <row r="9651">
      <c r="K9651" s="124"/>
      <c r="L9651" s="124"/>
      <c r="M9651" s="124"/>
      <c r="N9651" s="124"/>
      <c r="O9651" s="124"/>
    </row>
    <row r="9652">
      <c r="K9652" s="124"/>
      <c r="L9652" s="124"/>
      <c r="M9652" s="124"/>
      <c r="N9652" s="124"/>
      <c r="O9652" s="124"/>
    </row>
    <row r="9653">
      <c r="K9653" s="124"/>
      <c r="L9653" s="124"/>
      <c r="M9653" s="124"/>
      <c r="N9653" s="124"/>
      <c r="O9653" s="124"/>
    </row>
    <row r="9654">
      <c r="K9654" s="124"/>
      <c r="L9654" s="124"/>
      <c r="M9654" s="124"/>
      <c r="N9654" s="124"/>
      <c r="O9654" s="124"/>
    </row>
    <row r="9655">
      <c r="K9655" s="124"/>
      <c r="L9655" s="124"/>
      <c r="M9655" s="124"/>
      <c r="N9655" s="124"/>
      <c r="O9655" s="124"/>
    </row>
    <row r="9656">
      <c r="K9656" s="124"/>
      <c r="L9656" s="124"/>
      <c r="M9656" s="124"/>
      <c r="N9656" s="124"/>
      <c r="O9656" s="124"/>
    </row>
    <row r="9657">
      <c r="K9657" s="124"/>
      <c r="L9657" s="124"/>
      <c r="M9657" s="124"/>
      <c r="N9657" s="124"/>
      <c r="O9657" s="124"/>
    </row>
    <row r="9658">
      <c r="K9658" s="124"/>
      <c r="L9658" s="124"/>
      <c r="M9658" s="124"/>
      <c r="N9658" s="124"/>
      <c r="O9658" s="124"/>
    </row>
    <row r="9659">
      <c r="K9659" s="124"/>
      <c r="L9659" s="124"/>
      <c r="M9659" s="124"/>
      <c r="N9659" s="124"/>
      <c r="O9659" s="124"/>
    </row>
    <row r="9660">
      <c r="K9660" s="124"/>
      <c r="L9660" s="124"/>
      <c r="M9660" s="124"/>
      <c r="N9660" s="124"/>
      <c r="O9660" s="124"/>
    </row>
    <row r="9661">
      <c r="K9661" s="124"/>
      <c r="L9661" s="124"/>
      <c r="M9661" s="124"/>
      <c r="N9661" s="124"/>
      <c r="O9661" s="124"/>
    </row>
    <row r="9662">
      <c r="K9662" s="124"/>
      <c r="L9662" s="124"/>
      <c r="M9662" s="124"/>
      <c r="N9662" s="124"/>
      <c r="O9662" s="124"/>
    </row>
    <row r="9663">
      <c r="K9663" s="124"/>
      <c r="L9663" s="124"/>
      <c r="M9663" s="124"/>
      <c r="N9663" s="124"/>
      <c r="O9663" s="124"/>
    </row>
    <row r="9664">
      <c r="K9664" s="124"/>
      <c r="L9664" s="124"/>
      <c r="M9664" s="124"/>
      <c r="N9664" s="124"/>
      <c r="O9664" s="124"/>
    </row>
    <row r="9665">
      <c r="K9665" s="124"/>
      <c r="L9665" s="124"/>
      <c r="M9665" s="124"/>
      <c r="N9665" s="124"/>
      <c r="O9665" s="124"/>
    </row>
    <row r="9666">
      <c r="K9666" s="124"/>
      <c r="L9666" s="124"/>
      <c r="M9666" s="124"/>
      <c r="N9666" s="124"/>
      <c r="O9666" s="124"/>
    </row>
    <row r="9667">
      <c r="K9667" s="124"/>
      <c r="L9667" s="124"/>
      <c r="M9667" s="124"/>
      <c r="N9667" s="124"/>
      <c r="O9667" s="124"/>
    </row>
    <row r="9668">
      <c r="K9668" s="124"/>
      <c r="L9668" s="124"/>
      <c r="M9668" s="124"/>
      <c r="N9668" s="124"/>
      <c r="O9668" s="124"/>
    </row>
    <row r="9669">
      <c r="K9669" s="124"/>
      <c r="L9669" s="124"/>
      <c r="M9669" s="124"/>
      <c r="N9669" s="124"/>
      <c r="O9669" s="124"/>
    </row>
    <row r="9670">
      <c r="K9670" s="124"/>
      <c r="L9670" s="124"/>
      <c r="M9670" s="124"/>
      <c r="N9670" s="124"/>
      <c r="O9670" s="124"/>
    </row>
    <row r="9671">
      <c r="K9671" s="124"/>
      <c r="L9671" s="124"/>
      <c r="M9671" s="124"/>
      <c r="N9671" s="124"/>
      <c r="O9671" s="124"/>
    </row>
    <row r="9672">
      <c r="K9672" s="124"/>
      <c r="L9672" s="124"/>
      <c r="M9672" s="124"/>
      <c r="N9672" s="124"/>
      <c r="O9672" s="124"/>
    </row>
    <row r="9673">
      <c r="K9673" s="124"/>
      <c r="L9673" s="124"/>
      <c r="M9673" s="124"/>
      <c r="N9673" s="124"/>
      <c r="O9673" s="124"/>
    </row>
    <row r="9674">
      <c r="K9674" s="124"/>
      <c r="L9674" s="124"/>
      <c r="M9674" s="124"/>
      <c r="N9674" s="124"/>
      <c r="O9674" s="124"/>
    </row>
    <row r="9675">
      <c r="K9675" s="124"/>
      <c r="L9675" s="124"/>
      <c r="M9675" s="124"/>
      <c r="N9675" s="124"/>
      <c r="O9675" s="124"/>
    </row>
    <row r="9676">
      <c r="K9676" s="124"/>
      <c r="L9676" s="124"/>
      <c r="M9676" s="124"/>
      <c r="N9676" s="124"/>
      <c r="O9676" s="124"/>
    </row>
    <row r="9677">
      <c r="K9677" s="124"/>
      <c r="L9677" s="124"/>
      <c r="M9677" s="124"/>
      <c r="N9677" s="124"/>
      <c r="O9677" s="124"/>
    </row>
    <row r="9678">
      <c r="K9678" s="124"/>
      <c r="L9678" s="124"/>
      <c r="M9678" s="124"/>
      <c r="N9678" s="124"/>
      <c r="O9678" s="124"/>
    </row>
    <row r="9679">
      <c r="K9679" s="124"/>
      <c r="L9679" s="124"/>
      <c r="M9679" s="124"/>
      <c r="N9679" s="124"/>
      <c r="O9679" s="124"/>
    </row>
    <row r="9680">
      <c r="K9680" s="124"/>
      <c r="L9680" s="124"/>
      <c r="M9680" s="124"/>
      <c r="N9680" s="124"/>
      <c r="O9680" s="124"/>
    </row>
    <row r="9681">
      <c r="K9681" s="124"/>
      <c r="L9681" s="124"/>
      <c r="M9681" s="124"/>
      <c r="N9681" s="124"/>
      <c r="O9681" s="124"/>
    </row>
    <row r="9682">
      <c r="K9682" s="124"/>
      <c r="L9682" s="124"/>
      <c r="M9682" s="124"/>
      <c r="N9682" s="124"/>
      <c r="O9682" s="124"/>
    </row>
    <row r="9683">
      <c r="K9683" s="124"/>
      <c r="L9683" s="124"/>
      <c r="M9683" s="124"/>
      <c r="N9683" s="124"/>
      <c r="O9683" s="124"/>
    </row>
    <row r="9684">
      <c r="K9684" s="124"/>
      <c r="L9684" s="124"/>
      <c r="M9684" s="124"/>
      <c r="N9684" s="124"/>
      <c r="O9684" s="124"/>
    </row>
    <row r="9685">
      <c r="K9685" s="124"/>
      <c r="L9685" s="124"/>
      <c r="M9685" s="124"/>
      <c r="N9685" s="124"/>
      <c r="O9685" s="124"/>
    </row>
    <row r="9686">
      <c r="K9686" s="124"/>
      <c r="L9686" s="124"/>
      <c r="M9686" s="124"/>
      <c r="N9686" s="124"/>
      <c r="O9686" s="124"/>
    </row>
    <row r="9687">
      <c r="K9687" s="124"/>
      <c r="L9687" s="124"/>
      <c r="M9687" s="124"/>
      <c r="N9687" s="124"/>
      <c r="O9687" s="124"/>
    </row>
    <row r="9688">
      <c r="K9688" s="124"/>
      <c r="L9688" s="124"/>
      <c r="M9688" s="124"/>
      <c r="N9688" s="124"/>
      <c r="O9688" s="124"/>
    </row>
    <row r="9689">
      <c r="K9689" s="124"/>
      <c r="L9689" s="124"/>
      <c r="M9689" s="124"/>
      <c r="N9689" s="124"/>
      <c r="O9689" s="124"/>
    </row>
    <row r="9690">
      <c r="K9690" s="124"/>
      <c r="L9690" s="124"/>
      <c r="M9690" s="124"/>
      <c r="N9690" s="124"/>
      <c r="O9690" s="124"/>
    </row>
    <row r="9691">
      <c r="K9691" s="124"/>
      <c r="L9691" s="124"/>
      <c r="M9691" s="124"/>
      <c r="N9691" s="124"/>
      <c r="O9691" s="124"/>
    </row>
    <row r="9692">
      <c r="K9692" s="124"/>
      <c r="L9692" s="124"/>
      <c r="M9692" s="124"/>
      <c r="N9692" s="124"/>
      <c r="O9692" s="124"/>
    </row>
    <row r="9693">
      <c r="K9693" s="124"/>
      <c r="L9693" s="124"/>
      <c r="M9693" s="124"/>
      <c r="N9693" s="124"/>
      <c r="O9693" s="124"/>
    </row>
    <row r="9694">
      <c r="K9694" s="124"/>
      <c r="L9694" s="124"/>
      <c r="M9694" s="124"/>
      <c r="N9694" s="124"/>
      <c r="O9694" s="124"/>
    </row>
    <row r="9695">
      <c r="K9695" s="124"/>
      <c r="L9695" s="124"/>
      <c r="M9695" s="124"/>
      <c r="N9695" s="124"/>
      <c r="O9695" s="124"/>
    </row>
    <row r="9696">
      <c r="K9696" s="124"/>
      <c r="L9696" s="124"/>
      <c r="M9696" s="124"/>
      <c r="N9696" s="124"/>
      <c r="O9696" s="124"/>
    </row>
    <row r="9697">
      <c r="K9697" s="124"/>
      <c r="L9697" s="124"/>
      <c r="M9697" s="124"/>
      <c r="N9697" s="124"/>
      <c r="O9697" s="124"/>
    </row>
    <row r="9698">
      <c r="K9698" s="124"/>
      <c r="L9698" s="124"/>
      <c r="M9698" s="124"/>
      <c r="N9698" s="124"/>
      <c r="O9698" s="124"/>
    </row>
    <row r="9699">
      <c r="K9699" s="124"/>
      <c r="L9699" s="124"/>
      <c r="M9699" s="124"/>
      <c r="N9699" s="124"/>
      <c r="O9699" s="124"/>
    </row>
    <row r="9700">
      <c r="K9700" s="124"/>
      <c r="L9700" s="124"/>
      <c r="M9700" s="124"/>
      <c r="N9700" s="124"/>
      <c r="O9700" s="124"/>
    </row>
    <row r="9701">
      <c r="K9701" s="124"/>
      <c r="L9701" s="124"/>
      <c r="M9701" s="124"/>
      <c r="N9701" s="124"/>
      <c r="O9701" s="124"/>
    </row>
    <row r="9702">
      <c r="K9702" s="124"/>
      <c r="L9702" s="124"/>
      <c r="M9702" s="124"/>
      <c r="N9702" s="124"/>
      <c r="O9702" s="124"/>
    </row>
    <row r="9703">
      <c r="K9703" s="124"/>
      <c r="L9703" s="124"/>
      <c r="M9703" s="124"/>
      <c r="N9703" s="124"/>
      <c r="O9703" s="124"/>
    </row>
    <row r="9704">
      <c r="K9704" s="124"/>
      <c r="L9704" s="124"/>
      <c r="M9704" s="124"/>
      <c r="N9704" s="124"/>
      <c r="O9704" s="124"/>
    </row>
    <row r="9705">
      <c r="K9705" s="124"/>
      <c r="L9705" s="124"/>
      <c r="M9705" s="124"/>
      <c r="N9705" s="124"/>
      <c r="O9705" s="124"/>
    </row>
    <row r="9706">
      <c r="K9706" s="124"/>
      <c r="L9706" s="124"/>
      <c r="M9706" s="124"/>
      <c r="N9706" s="124"/>
      <c r="O9706" s="124"/>
    </row>
    <row r="9707">
      <c r="K9707" s="124"/>
      <c r="L9707" s="124"/>
      <c r="M9707" s="124"/>
      <c r="N9707" s="124"/>
      <c r="O9707" s="124"/>
    </row>
    <row r="9708">
      <c r="K9708" s="124"/>
      <c r="L9708" s="124"/>
      <c r="M9708" s="124"/>
      <c r="N9708" s="124"/>
      <c r="O9708" s="124"/>
    </row>
    <row r="9709">
      <c r="K9709" s="124"/>
      <c r="L9709" s="124"/>
      <c r="M9709" s="124"/>
      <c r="N9709" s="124"/>
      <c r="O9709" s="124"/>
    </row>
    <row r="9710">
      <c r="K9710" s="124"/>
      <c r="L9710" s="124"/>
      <c r="M9710" s="124"/>
      <c r="N9710" s="124"/>
      <c r="O9710" s="124"/>
    </row>
    <row r="9711">
      <c r="K9711" s="124"/>
      <c r="L9711" s="124"/>
      <c r="M9711" s="124"/>
      <c r="N9711" s="124"/>
      <c r="O9711" s="124"/>
    </row>
    <row r="9712">
      <c r="K9712" s="124"/>
      <c r="L9712" s="124"/>
      <c r="M9712" s="124"/>
      <c r="N9712" s="124"/>
      <c r="O9712" s="124"/>
    </row>
    <row r="9713">
      <c r="K9713" s="124"/>
      <c r="L9713" s="124"/>
      <c r="M9713" s="124"/>
      <c r="N9713" s="124"/>
      <c r="O9713" s="124"/>
    </row>
    <row r="9714">
      <c r="K9714" s="124"/>
      <c r="L9714" s="124"/>
      <c r="M9714" s="124"/>
      <c r="N9714" s="124"/>
      <c r="O9714" s="124"/>
    </row>
    <row r="9715">
      <c r="K9715" s="124"/>
      <c r="L9715" s="124"/>
      <c r="M9715" s="124"/>
      <c r="N9715" s="124"/>
      <c r="O9715" s="124"/>
    </row>
    <row r="9716">
      <c r="K9716" s="124"/>
      <c r="L9716" s="124"/>
      <c r="M9716" s="124"/>
      <c r="N9716" s="124"/>
      <c r="O9716" s="124"/>
    </row>
    <row r="9717">
      <c r="K9717" s="124"/>
      <c r="L9717" s="124"/>
      <c r="M9717" s="124"/>
      <c r="N9717" s="124"/>
      <c r="O9717" s="124"/>
    </row>
    <row r="9718">
      <c r="K9718" s="124"/>
      <c r="L9718" s="124"/>
      <c r="M9718" s="124"/>
      <c r="N9718" s="124"/>
      <c r="O9718" s="124"/>
    </row>
    <row r="9719">
      <c r="K9719" s="124"/>
      <c r="L9719" s="124"/>
      <c r="M9719" s="124"/>
      <c r="N9719" s="124"/>
      <c r="O9719" s="124"/>
    </row>
    <row r="9720">
      <c r="K9720" s="124"/>
      <c r="L9720" s="124"/>
      <c r="M9720" s="124"/>
      <c r="N9720" s="124"/>
      <c r="O9720" s="124"/>
    </row>
    <row r="9721">
      <c r="K9721" s="124"/>
      <c r="L9721" s="124"/>
      <c r="M9721" s="124"/>
      <c r="N9721" s="124"/>
      <c r="O9721" s="124"/>
    </row>
    <row r="9722">
      <c r="K9722" s="124"/>
      <c r="L9722" s="124"/>
      <c r="M9722" s="124"/>
      <c r="N9722" s="124"/>
      <c r="O9722" s="124"/>
    </row>
    <row r="9723">
      <c r="K9723" s="124"/>
      <c r="L9723" s="124"/>
      <c r="M9723" s="124"/>
      <c r="N9723" s="124"/>
      <c r="O9723" s="124"/>
    </row>
    <row r="9724">
      <c r="K9724" s="124"/>
      <c r="L9724" s="124"/>
      <c r="M9724" s="124"/>
      <c r="N9724" s="124"/>
      <c r="O9724" s="124"/>
    </row>
    <row r="9725">
      <c r="K9725" s="124"/>
      <c r="L9725" s="124"/>
      <c r="M9725" s="124"/>
      <c r="N9725" s="124"/>
      <c r="O9725" s="124"/>
    </row>
    <row r="9726">
      <c r="K9726" s="124"/>
      <c r="L9726" s="124"/>
      <c r="M9726" s="124"/>
      <c r="N9726" s="124"/>
      <c r="O9726" s="124"/>
    </row>
    <row r="9727">
      <c r="K9727" s="124"/>
      <c r="L9727" s="124"/>
      <c r="M9727" s="124"/>
      <c r="N9727" s="124"/>
      <c r="O9727" s="124"/>
    </row>
    <row r="9728">
      <c r="K9728" s="124"/>
      <c r="L9728" s="124"/>
      <c r="M9728" s="124"/>
      <c r="N9728" s="124"/>
      <c r="O9728" s="124"/>
    </row>
    <row r="9729">
      <c r="K9729" s="124"/>
      <c r="L9729" s="124"/>
      <c r="M9729" s="124"/>
      <c r="N9729" s="124"/>
      <c r="O9729" s="124"/>
    </row>
    <row r="9730">
      <c r="K9730" s="124"/>
      <c r="L9730" s="124"/>
      <c r="M9730" s="124"/>
      <c r="N9730" s="124"/>
      <c r="O9730" s="124"/>
    </row>
    <row r="9731">
      <c r="K9731" s="124"/>
      <c r="L9731" s="124"/>
      <c r="M9731" s="124"/>
      <c r="N9731" s="124"/>
      <c r="O9731" s="124"/>
    </row>
    <row r="9732">
      <c r="K9732" s="124"/>
      <c r="L9732" s="124"/>
      <c r="M9732" s="124"/>
      <c r="N9732" s="124"/>
      <c r="O9732" s="124"/>
    </row>
    <row r="9733">
      <c r="K9733" s="124"/>
      <c r="L9733" s="124"/>
      <c r="M9733" s="124"/>
      <c r="N9733" s="124"/>
      <c r="O9733" s="124"/>
    </row>
    <row r="9734">
      <c r="K9734" s="124"/>
      <c r="L9734" s="124"/>
      <c r="M9734" s="124"/>
      <c r="N9734" s="124"/>
      <c r="O9734" s="124"/>
    </row>
    <row r="9735">
      <c r="K9735" s="124"/>
      <c r="L9735" s="124"/>
      <c r="M9735" s="124"/>
      <c r="N9735" s="124"/>
      <c r="O9735" s="124"/>
    </row>
    <row r="9736">
      <c r="K9736" s="124"/>
      <c r="L9736" s="124"/>
      <c r="M9736" s="124"/>
      <c r="N9736" s="124"/>
      <c r="O9736" s="124"/>
    </row>
    <row r="9737">
      <c r="K9737" s="124"/>
      <c r="L9737" s="124"/>
      <c r="M9737" s="124"/>
      <c r="N9737" s="124"/>
      <c r="O9737" s="124"/>
    </row>
    <row r="9738">
      <c r="K9738" s="124"/>
      <c r="L9738" s="124"/>
      <c r="M9738" s="124"/>
      <c r="N9738" s="124"/>
      <c r="O9738" s="124"/>
    </row>
    <row r="9739">
      <c r="K9739" s="124"/>
      <c r="L9739" s="124"/>
      <c r="M9739" s="124"/>
      <c r="N9739" s="124"/>
      <c r="O9739" s="124"/>
    </row>
    <row r="9740">
      <c r="K9740" s="124"/>
      <c r="L9740" s="124"/>
      <c r="M9740" s="124"/>
      <c r="N9740" s="124"/>
      <c r="O9740" s="124"/>
    </row>
    <row r="9741">
      <c r="K9741" s="124"/>
      <c r="L9741" s="124"/>
      <c r="M9741" s="124"/>
      <c r="N9741" s="124"/>
      <c r="O9741" s="124"/>
    </row>
    <row r="9742">
      <c r="K9742" s="124"/>
      <c r="L9742" s="124"/>
      <c r="M9742" s="124"/>
      <c r="N9742" s="124"/>
      <c r="O9742" s="124"/>
    </row>
    <row r="9743">
      <c r="K9743" s="124"/>
      <c r="L9743" s="124"/>
      <c r="M9743" s="124"/>
      <c r="N9743" s="124"/>
      <c r="O9743" s="124"/>
    </row>
    <row r="9744">
      <c r="K9744" s="124"/>
      <c r="L9744" s="124"/>
      <c r="M9744" s="124"/>
      <c r="N9744" s="124"/>
      <c r="O9744" s="124"/>
    </row>
    <row r="9745">
      <c r="K9745" s="124"/>
      <c r="L9745" s="124"/>
      <c r="M9745" s="124"/>
      <c r="N9745" s="124"/>
      <c r="O9745" s="124"/>
    </row>
    <row r="9746">
      <c r="K9746" s="124"/>
      <c r="L9746" s="124"/>
      <c r="M9746" s="124"/>
      <c r="N9746" s="124"/>
      <c r="O9746" s="124"/>
    </row>
    <row r="9747">
      <c r="K9747" s="124"/>
      <c r="L9747" s="124"/>
      <c r="M9747" s="124"/>
      <c r="N9747" s="124"/>
      <c r="O9747" s="124"/>
    </row>
    <row r="9748">
      <c r="K9748" s="124"/>
      <c r="L9748" s="124"/>
      <c r="M9748" s="124"/>
      <c r="N9748" s="124"/>
      <c r="O9748" s="124"/>
    </row>
    <row r="9749">
      <c r="K9749" s="124"/>
      <c r="L9749" s="124"/>
      <c r="M9749" s="124"/>
      <c r="N9749" s="124"/>
      <c r="O9749" s="124"/>
    </row>
    <row r="9750">
      <c r="K9750" s="124"/>
      <c r="L9750" s="124"/>
      <c r="M9750" s="124"/>
      <c r="N9750" s="124"/>
      <c r="O9750" s="124"/>
    </row>
    <row r="9751">
      <c r="K9751" s="124"/>
      <c r="L9751" s="124"/>
      <c r="M9751" s="124"/>
      <c r="N9751" s="124"/>
      <c r="O9751" s="124"/>
    </row>
    <row r="9752">
      <c r="K9752" s="124"/>
      <c r="L9752" s="124"/>
      <c r="M9752" s="124"/>
      <c r="N9752" s="124"/>
      <c r="O9752" s="124"/>
    </row>
    <row r="9753">
      <c r="K9753" s="124"/>
      <c r="L9753" s="124"/>
      <c r="M9753" s="124"/>
      <c r="N9753" s="124"/>
      <c r="O9753" s="124"/>
    </row>
    <row r="9754">
      <c r="K9754" s="124"/>
      <c r="L9754" s="124"/>
      <c r="M9754" s="124"/>
      <c r="N9754" s="124"/>
      <c r="O9754" s="124"/>
    </row>
    <row r="9755">
      <c r="K9755" s="124"/>
      <c r="L9755" s="124"/>
      <c r="M9755" s="124"/>
      <c r="N9755" s="124"/>
      <c r="O9755" s="124"/>
    </row>
    <row r="9756">
      <c r="K9756" s="124"/>
      <c r="L9756" s="124"/>
      <c r="M9756" s="124"/>
      <c r="N9756" s="124"/>
      <c r="O9756" s="124"/>
    </row>
    <row r="9757">
      <c r="K9757" s="124"/>
      <c r="L9757" s="124"/>
      <c r="M9757" s="124"/>
      <c r="N9757" s="124"/>
      <c r="O9757" s="124"/>
    </row>
    <row r="9758">
      <c r="K9758" s="124"/>
      <c r="L9758" s="124"/>
      <c r="M9758" s="124"/>
      <c r="N9758" s="124"/>
      <c r="O9758" s="124"/>
    </row>
    <row r="9759">
      <c r="K9759" s="124"/>
      <c r="L9759" s="124"/>
      <c r="M9759" s="124"/>
      <c r="N9759" s="124"/>
      <c r="O9759" s="124"/>
    </row>
    <row r="9760">
      <c r="K9760" s="124"/>
      <c r="L9760" s="124"/>
      <c r="M9760" s="124"/>
      <c r="N9760" s="124"/>
      <c r="O9760" s="124"/>
    </row>
    <row r="9761">
      <c r="K9761" s="124"/>
      <c r="L9761" s="124"/>
      <c r="M9761" s="124"/>
      <c r="N9761" s="124"/>
      <c r="O9761" s="124"/>
    </row>
    <row r="9762">
      <c r="K9762" s="124"/>
      <c r="L9762" s="124"/>
      <c r="M9762" s="124"/>
      <c r="N9762" s="124"/>
      <c r="O9762" s="124"/>
    </row>
    <row r="9763">
      <c r="K9763" s="124"/>
      <c r="L9763" s="124"/>
      <c r="M9763" s="124"/>
      <c r="N9763" s="124"/>
      <c r="O9763" s="124"/>
    </row>
    <row r="9764">
      <c r="K9764" s="124"/>
      <c r="L9764" s="124"/>
      <c r="M9764" s="124"/>
      <c r="N9764" s="124"/>
      <c r="O9764" s="124"/>
    </row>
    <row r="9765">
      <c r="K9765" s="124"/>
      <c r="L9765" s="124"/>
      <c r="M9765" s="124"/>
      <c r="N9765" s="124"/>
      <c r="O9765" s="124"/>
    </row>
    <row r="9766">
      <c r="K9766" s="124"/>
      <c r="L9766" s="124"/>
      <c r="M9766" s="124"/>
      <c r="N9766" s="124"/>
      <c r="O9766" s="124"/>
    </row>
    <row r="9767">
      <c r="K9767" s="124"/>
      <c r="L9767" s="124"/>
      <c r="M9767" s="124"/>
      <c r="N9767" s="124"/>
      <c r="O9767" s="124"/>
    </row>
    <row r="9768">
      <c r="K9768" s="124"/>
      <c r="L9768" s="124"/>
      <c r="M9768" s="124"/>
      <c r="N9768" s="124"/>
      <c r="O9768" s="124"/>
    </row>
    <row r="9769">
      <c r="K9769" s="124"/>
      <c r="L9769" s="124"/>
      <c r="M9769" s="124"/>
      <c r="N9769" s="124"/>
      <c r="O9769" s="124"/>
    </row>
    <row r="9770">
      <c r="K9770" s="124"/>
      <c r="L9770" s="124"/>
      <c r="M9770" s="124"/>
      <c r="N9770" s="124"/>
      <c r="O9770" s="124"/>
    </row>
    <row r="9771">
      <c r="K9771" s="124"/>
      <c r="L9771" s="124"/>
      <c r="M9771" s="124"/>
      <c r="N9771" s="124"/>
      <c r="O9771" s="124"/>
    </row>
    <row r="9772">
      <c r="K9772" s="124"/>
      <c r="L9772" s="124"/>
      <c r="M9772" s="124"/>
      <c r="N9772" s="124"/>
      <c r="O9772" s="124"/>
    </row>
    <row r="9773">
      <c r="K9773" s="124"/>
      <c r="L9773" s="124"/>
      <c r="M9773" s="124"/>
      <c r="N9773" s="124"/>
      <c r="O9773" s="124"/>
    </row>
    <row r="9774">
      <c r="K9774" s="124"/>
      <c r="L9774" s="124"/>
      <c r="M9774" s="124"/>
      <c r="N9774" s="124"/>
      <c r="O9774" s="124"/>
    </row>
    <row r="9775">
      <c r="K9775" s="124"/>
      <c r="L9775" s="124"/>
      <c r="M9775" s="124"/>
      <c r="N9775" s="124"/>
      <c r="O9775" s="124"/>
    </row>
    <row r="9776">
      <c r="K9776" s="124"/>
      <c r="L9776" s="124"/>
      <c r="M9776" s="124"/>
      <c r="N9776" s="124"/>
      <c r="O9776" s="124"/>
    </row>
    <row r="9777">
      <c r="K9777" s="124"/>
      <c r="L9777" s="124"/>
      <c r="M9777" s="124"/>
      <c r="N9777" s="124"/>
      <c r="O9777" s="124"/>
    </row>
    <row r="9778">
      <c r="K9778" s="124"/>
      <c r="L9778" s="124"/>
      <c r="M9778" s="124"/>
      <c r="N9778" s="124"/>
      <c r="O9778" s="124"/>
    </row>
    <row r="9779">
      <c r="K9779" s="124"/>
      <c r="L9779" s="124"/>
      <c r="M9779" s="124"/>
      <c r="N9779" s="124"/>
      <c r="O9779" s="124"/>
    </row>
    <row r="9780">
      <c r="K9780" s="124"/>
      <c r="L9780" s="124"/>
      <c r="M9780" s="124"/>
      <c r="N9780" s="124"/>
      <c r="O9780" s="124"/>
    </row>
    <row r="9781">
      <c r="K9781" s="124"/>
      <c r="L9781" s="124"/>
      <c r="M9781" s="124"/>
      <c r="N9781" s="124"/>
      <c r="O9781" s="124"/>
    </row>
    <row r="9782">
      <c r="K9782" s="124"/>
      <c r="L9782" s="124"/>
      <c r="M9782" s="124"/>
      <c r="N9782" s="124"/>
      <c r="O9782" s="124"/>
    </row>
    <row r="9783">
      <c r="K9783" s="124"/>
      <c r="L9783" s="124"/>
      <c r="M9783" s="124"/>
      <c r="N9783" s="124"/>
      <c r="O9783" s="124"/>
    </row>
    <row r="9784">
      <c r="K9784" s="124"/>
      <c r="L9784" s="124"/>
      <c r="M9784" s="124"/>
      <c r="N9784" s="124"/>
      <c r="O9784" s="124"/>
    </row>
    <row r="9785">
      <c r="K9785" s="124"/>
      <c r="L9785" s="124"/>
      <c r="M9785" s="124"/>
      <c r="N9785" s="124"/>
      <c r="O9785" s="124"/>
    </row>
    <row r="9786">
      <c r="K9786" s="124"/>
      <c r="L9786" s="124"/>
      <c r="M9786" s="124"/>
      <c r="N9786" s="124"/>
      <c r="O9786" s="124"/>
    </row>
    <row r="9787">
      <c r="K9787" s="124"/>
      <c r="L9787" s="124"/>
      <c r="M9787" s="124"/>
      <c r="N9787" s="124"/>
      <c r="O9787" s="124"/>
    </row>
    <row r="9788">
      <c r="K9788" s="124"/>
      <c r="L9788" s="124"/>
      <c r="M9788" s="124"/>
      <c r="N9788" s="124"/>
      <c r="O9788" s="124"/>
    </row>
    <row r="9789">
      <c r="K9789" s="124"/>
      <c r="L9789" s="124"/>
      <c r="M9789" s="124"/>
      <c r="N9789" s="124"/>
      <c r="O9789" s="124"/>
    </row>
    <row r="9790">
      <c r="K9790" s="124"/>
      <c r="L9790" s="124"/>
      <c r="M9790" s="124"/>
      <c r="N9790" s="124"/>
      <c r="O9790" s="124"/>
    </row>
    <row r="9791">
      <c r="K9791" s="124"/>
      <c r="L9791" s="124"/>
      <c r="M9791" s="124"/>
      <c r="N9791" s="124"/>
      <c r="O9791" s="124"/>
    </row>
    <row r="9792">
      <c r="K9792" s="124"/>
      <c r="L9792" s="124"/>
      <c r="M9792" s="124"/>
      <c r="N9792" s="124"/>
      <c r="O9792" s="124"/>
    </row>
    <row r="9793">
      <c r="K9793" s="124"/>
      <c r="L9793" s="124"/>
      <c r="M9793" s="124"/>
      <c r="N9793" s="124"/>
      <c r="O9793" s="124"/>
    </row>
    <row r="9794">
      <c r="K9794" s="124"/>
      <c r="L9794" s="124"/>
      <c r="M9794" s="124"/>
      <c r="N9794" s="124"/>
      <c r="O9794" s="124"/>
    </row>
    <row r="9795">
      <c r="K9795" s="124"/>
      <c r="L9795" s="124"/>
      <c r="M9795" s="124"/>
      <c r="N9795" s="124"/>
      <c r="O9795" s="124"/>
    </row>
    <row r="9796">
      <c r="K9796" s="124"/>
      <c r="L9796" s="124"/>
      <c r="M9796" s="124"/>
      <c r="N9796" s="124"/>
      <c r="O9796" s="124"/>
    </row>
    <row r="9797">
      <c r="K9797" s="124"/>
      <c r="L9797" s="124"/>
      <c r="M9797" s="124"/>
      <c r="N9797" s="124"/>
      <c r="O9797" s="124"/>
    </row>
    <row r="9798">
      <c r="K9798" s="124"/>
      <c r="L9798" s="124"/>
      <c r="M9798" s="124"/>
      <c r="N9798" s="124"/>
      <c r="O9798" s="124"/>
    </row>
    <row r="9799">
      <c r="K9799" s="124"/>
      <c r="L9799" s="124"/>
      <c r="M9799" s="124"/>
      <c r="N9799" s="124"/>
      <c r="O9799" s="124"/>
    </row>
    <row r="9800">
      <c r="K9800" s="124"/>
      <c r="L9800" s="124"/>
      <c r="M9800" s="124"/>
      <c r="N9800" s="124"/>
      <c r="O9800" s="124"/>
    </row>
    <row r="9801">
      <c r="K9801" s="124"/>
      <c r="L9801" s="124"/>
      <c r="M9801" s="124"/>
      <c r="N9801" s="124"/>
      <c r="O9801" s="124"/>
    </row>
    <row r="9802">
      <c r="K9802" s="124"/>
      <c r="L9802" s="124"/>
      <c r="M9802" s="124"/>
      <c r="N9802" s="124"/>
      <c r="O9802" s="124"/>
    </row>
    <row r="9803">
      <c r="K9803" s="124"/>
      <c r="L9803" s="124"/>
      <c r="M9803" s="124"/>
      <c r="N9803" s="124"/>
      <c r="O9803" s="124"/>
    </row>
    <row r="9804">
      <c r="K9804" s="124"/>
      <c r="L9804" s="124"/>
      <c r="M9804" s="124"/>
      <c r="N9804" s="124"/>
      <c r="O9804" s="124"/>
    </row>
    <row r="9805">
      <c r="K9805" s="124"/>
      <c r="L9805" s="124"/>
      <c r="M9805" s="124"/>
      <c r="N9805" s="124"/>
      <c r="O9805" s="124"/>
    </row>
    <row r="9806">
      <c r="K9806" s="124"/>
      <c r="L9806" s="124"/>
      <c r="M9806" s="124"/>
      <c r="N9806" s="124"/>
      <c r="O9806" s="124"/>
    </row>
    <row r="9807">
      <c r="K9807" s="124"/>
      <c r="L9807" s="124"/>
      <c r="M9807" s="124"/>
      <c r="N9807" s="124"/>
      <c r="O9807" s="124"/>
    </row>
    <row r="9808">
      <c r="K9808" s="124"/>
      <c r="L9808" s="124"/>
      <c r="M9808" s="124"/>
      <c r="N9808" s="124"/>
      <c r="O9808" s="124"/>
    </row>
    <row r="9809">
      <c r="K9809" s="124"/>
      <c r="L9809" s="124"/>
      <c r="M9809" s="124"/>
      <c r="N9809" s="124"/>
      <c r="O9809" s="124"/>
    </row>
    <row r="9810">
      <c r="K9810" s="124"/>
      <c r="L9810" s="124"/>
      <c r="M9810" s="124"/>
      <c r="N9810" s="124"/>
      <c r="O9810" s="124"/>
    </row>
    <row r="9811">
      <c r="K9811" s="124"/>
      <c r="L9811" s="124"/>
      <c r="M9811" s="124"/>
      <c r="N9811" s="124"/>
      <c r="O9811" s="124"/>
    </row>
    <row r="9812">
      <c r="K9812" s="124"/>
      <c r="L9812" s="124"/>
      <c r="M9812" s="124"/>
      <c r="N9812" s="124"/>
      <c r="O9812" s="124"/>
    </row>
    <row r="9813">
      <c r="K9813" s="124"/>
      <c r="L9813" s="124"/>
      <c r="M9813" s="124"/>
      <c r="N9813" s="124"/>
      <c r="O9813" s="124"/>
    </row>
    <row r="9814">
      <c r="K9814" s="124"/>
      <c r="L9814" s="124"/>
      <c r="M9814" s="124"/>
      <c r="N9814" s="124"/>
      <c r="O9814" s="124"/>
    </row>
    <row r="9815">
      <c r="K9815" s="124"/>
      <c r="L9815" s="124"/>
      <c r="M9815" s="124"/>
      <c r="N9815" s="124"/>
      <c r="O9815" s="124"/>
    </row>
    <row r="9816">
      <c r="K9816" s="124"/>
      <c r="L9816" s="124"/>
      <c r="M9816" s="124"/>
      <c r="N9816" s="124"/>
      <c r="O9816" s="124"/>
    </row>
    <row r="9817">
      <c r="K9817" s="124"/>
      <c r="L9817" s="124"/>
      <c r="M9817" s="124"/>
      <c r="N9817" s="124"/>
      <c r="O9817" s="124"/>
    </row>
    <row r="9818">
      <c r="K9818" s="124"/>
      <c r="L9818" s="124"/>
      <c r="M9818" s="124"/>
      <c r="N9818" s="124"/>
      <c r="O9818" s="124"/>
    </row>
    <row r="9819">
      <c r="K9819" s="124"/>
      <c r="L9819" s="124"/>
      <c r="M9819" s="124"/>
      <c r="N9819" s="124"/>
      <c r="O9819" s="124"/>
    </row>
    <row r="9820">
      <c r="K9820" s="124"/>
      <c r="L9820" s="124"/>
      <c r="M9820" s="124"/>
      <c r="N9820" s="124"/>
      <c r="O9820" s="124"/>
    </row>
    <row r="9821">
      <c r="K9821" s="124"/>
      <c r="L9821" s="124"/>
      <c r="M9821" s="124"/>
      <c r="N9821" s="124"/>
      <c r="O9821" s="124"/>
    </row>
    <row r="9822">
      <c r="K9822" s="124"/>
      <c r="L9822" s="124"/>
      <c r="M9822" s="124"/>
      <c r="N9822" s="124"/>
      <c r="O9822" s="124"/>
    </row>
    <row r="9823">
      <c r="K9823" s="124"/>
      <c r="L9823" s="124"/>
      <c r="M9823" s="124"/>
      <c r="N9823" s="124"/>
      <c r="O9823" s="124"/>
    </row>
    <row r="9824">
      <c r="K9824" s="124"/>
      <c r="L9824" s="124"/>
      <c r="M9824" s="124"/>
      <c r="N9824" s="124"/>
      <c r="O9824" s="124"/>
    </row>
    <row r="9825">
      <c r="K9825" s="124"/>
      <c r="L9825" s="124"/>
      <c r="M9825" s="124"/>
      <c r="N9825" s="124"/>
      <c r="O9825" s="124"/>
    </row>
    <row r="9826">
      <c r="K9826" s="124"/>
      <c r="L9826" s="124"/>
      <c r="M9826" s="124"/>
      <c r="N9826" s="124"/>
      <c r="O9826" s="124"/>
    </row>
    <row r="9827">
      <c r="K9827" s="124"/>
      <c r="L9827" s="124"/>
      <c r="M9827" s="124"/>
      <c r="N9827" s="124"/>
      <c r="O9827" s="124"/>
    </row>
    <row r="9828">
      <c r="K9828" s="124"/>
      <c r="L9828" s="124"/>
      <c r="M9828" s="124"/>
      <c r="N9828" s="124"/>
      <c r="O9828" s="124"/>
    </row>
    <row r="9829">
      <c r="K9829" s="124"/>
      <c r="L9829" s="124"/>
      <c r="M9829" s="124"/>
      <c r="N9829" s="124"/>
      <c r="O9829" s="124"/>
    </row>
    <row r="9830">
      <c r="K9830" s="124"/>
      <c r="L9830" s="124"/>
      <c r="M9830" s="124"/>
      <c r="N9830" s="124"/>
      <c r="O9830" s="124"/>
    </row>
    <row r="9831">
      <c r="K9831" s="124"/>
      <c r="L9831" s="124"/>
      <c r="M9831" s="124"/>
      <c r="N9831" s="124"/>
      <c r="O9831" s="124"/>
    </row>
    <row r="9832">
      <c r="K9832" s="124"/>
      <c r="L9832" s="124"/>
      <c r="M9832" s="124"/>
      <c r="N9832" s="124"/>
      <c r="O9832" s="124"/>
    </row>
    <row r="9833">
      <c r="K9833" s="124"/>
      <c r="L9833" s="124"/>
      <c r="M9833" s="124"/>
      <c r="N9833" s="124"/>
      <c r="O9833" s="124"/>
    </row>
    <row r="9834">
      <c r="K9834" s="124"/>
      <c r="L9834" s="124"/>
      <c r="M9834" s="124"/>
      <c r="N9834" s="124"/>
      <c r="O9834" s="124"/>
    </row>
    <row r="9835">
      <c r="K9835" s="124"/>
      <c r="L9835" s="124"/>
      <c r="M9835" s="124"/>
      <c r="N9835" s="124"/>
      <c r="O9835" s="124"/>
    </row>
    <row r="9836">
      <c r="K9836" s="124"/>
      <c r="L9836" s="124"/>
      <c r="M9836" s="124"/>
      <c r="N9836" s="124"/>
      <c r="O9836" s="124"/>
    </row>
    <row r="9837">
      <c r="K9837" s="124"/>
      <c r="L9837" s="124"/>
      <c r="M9837" s="124"/>
      <c r="N9837" s="124"/>
      <c r="O9837" s="124"/>
    </row>
    <row r="9838">
      <c r="K9838" s="124"/>
      <c r="L9838" s="124"/>
      <c r="M9838" s="124"/>
      <c r="N9838" s="124"/>
      <c r="O9838" s="124"/>
    </row>
    <row r="9839">
      <c r="K9839" s="124"/>
      <c r="L9839" s="124"/>
      <c r="M9839" s="124"/>
      <c r="N9839" s="124"/>
      <c r="O9839" s="124"/>
    </row>
    <row r="9840">
      <c r="K9840" s="124"/>
      <c r="L9840" s="124"/>
      <c r="M9840" s="124"/>
      <c r="N9840" s="124"/>
      <c r="O9840" s="124"/>
    </row>
    <row r="9841">
      <c r="K9841" s="124"/>
      <c r="L9841" s="124"/>
      <c r="M9841" s="124"/>
      <c r="N9841" s="124"/>
      <c r="O9841" s="124"/>
    </row>
    <row r="9842">
      <c r="K9842" s="124"/>
      <c r="L9842" s="124"/>
      <c r="M9842" s="124"/>
      <c r="N9842" s="124"/>
      <c r="O9842" s="124"/>
    </row>
    <row r="9843">
      <c r="K9843" s="124"/>
      <c r="L9843" s="124"/>
      <c r="M9843" s="124"/>
      <c r="N9843" s="124"/>
      <c r="O9843" s="124"/>
    </row>
    <row r="9844">
      <c r="K9844" s="124"/>
      <c r="L9844" s="124"/>
      <c r="M9844" s="124"/>
      <c r="N9844" s="124"/>
      <c r="O9844" s="124"/>
    </row>
    <row r="9845">
      <c r="K9845" s="124"/>
      <c r="L9845" s="124"/>
      <c r="M9845" s="124"/>
      <c r="N9845" s="124"/>
      <c r="O9845" s="124"/>
    </row>
    <row r="9846">
      <c r="K9846" s="124"/>
      <c r="L9846" s="124"/>
      <c r="M9846" s="124"/>
      <c r="N9846" s="124"/>
      <c r="O9846" s="124"/>
    </row>
    <row r="9847">
      <c r="K9847" s="124"/>
      <c r="L9847" s="124"/>
      <c r="M9847" s="124"/>
      <c r="N9847" s="124"/>
      <c r="O9847" s="124"/>
    </row>
    <row r="9848">
      <c r="K9848" s="124"/>
      <c r="L9848" s="124"/>
      <c r="M9848" s="124"/>
      <c r="N9848" s="124"/>
      <c r="O9848" s="124"/>
    </row>
    <row r="9849">
      <c r="K9849" s="124"/>
      <c r="L9849" s="124"/>
      <c r="M9849" s="124"/>
      <c r="N9849" s="124"/>
      <c r="O9849" s="124"/>
    </row>
    <row r="9850">
      <c r="K9850" s="124"/>
      <c r="L9850" s="124"/>
      <c r="M9850" s="124"/>
      <c r="N9850" s="124"/>
      <c r="O9850" s="124"/>
    </row>
    <row r="9851">
      <c r="K9851" s="124"/>
      <c r="L9851" s="124"/>
      <c r="M9851" s="124"/>
      <c r="N9851" s="124"/>
      <c r="O9851" s="124"/>
    </row>
    <row r="9852">
      <c r="K9852" s="124"/>
      <c r="L9852" s="124"/>
      <c r="M9852" s="124"/>
      <c r="N9852" s="124"/>
      <c r="O9852" s="124"/>
    </row>
    <row r="9853">
      <c r="K9853" s="124"/>
      <c r="L9853" s="124"/>
      <c r="M9853" s="124"/>
      <c r="N9853" s="124"/>
      <c r="O9853" s="124"/>
    </row>
    <row r="9854">
      <c r="K9854" s="124"/>
      <c r="L9854" s="124"/>
      <c r="M9854" s="124"/>
      <c r="N9854" s="124"/>
      <c r="O9854" s="124"/>
    </row>
    <row r="9855">
      <c r="K9855" s="124"/>
      <c r="L9855" s="124"/>
      <c r="M9855" s="124"/>
      <c r="N9855" s="124"/>
      <c r="O9855" s="124"/>
    </row>
    <row r="9856">
      <c r="K9856" s="124"/>
      <c r="L9856" s="124"/>
      <c r="M9856" s="124"/>
      <c r="N9856" s="124"/>
      <c r="O9856" s="124"/>
    </row>
    <row r="9857">
      <c r="K9857" s="124"/>
      <c r="L9857" s="124"/>
      <c r="M9857" s="124"/>
      <c r="N9857" s="124"/>
      <c r="O9857" s="124"/>
    </row>
    <row r="9858">
      <c r="K9858" s="124"/>
      <c r="L9858" s="124"/>
      <c r="M9858" s="124"/>
      <c r="N9858" s="124"/>
      <c r="O9858" s="124"/>
    </row>
    <row r="9859">
      <c r="K9859" s="124"/>
      <c r="L9859" s="124"/>
      <c r="M9859" s="124"/>
      <c r="N9859" s="124"/>
      <c r="O9859" s="124"/>
    </row>
    <row r="9860">
      <c r="K9860" s="124"/>
      <c r="L9860" s="124"/>
      <c r="M9860" s="124"/>
      <c r="N9860" s="124"/>
      <c r="O9860" s="124"/>
    </row>
    <row r="9861">
      <c r="K9861" s="124"/>
      <c r="L9861" s="124"/>
      <c r="M9861" s="124"/>
      <c r="N9861" s="124"/>
      <c r="O9861" s="124"/>
    </row>
    <row r="9862">
      <c r="K9862" s="124"/>
      <c r="L9862" s="124"/>
      <c r="M9862" s="124"/>
      <c r="N9862" s="124"/>
      <c r="O9862" s="124"/>
    </row>
    <row r="9863">
      <c r="K9863" s="124"/>
      <c r="L9863" s="124"/>
      <c r="M9863" s="124"/>
      <c r="N9863" s="124"/>
      <c r="O9863" s="124"/>
    </row>
    <row r="9864">
      <c r="K9864" s="124"/>
      <c r="L9864" s="124"/>
      <c r="M9864" s="124"/>
      <c r="N9864" s="124"/>
      <c r="O9864" s="124"/>
    </row>
    <row r="9865">
      <c r="K9865" s="124"/>
      <c r="L9865" s="124"/>
      <c r="M9865" s="124"/>
      <c r="N9865" s="124"/>
      <c r="O9865" s="124"/>
    </row>
    <row r="9866">
      <c r="K9866" s="124"/>
      <c r="L9866" s="124"/>
      <c r="M9866" s="124"/>
      <c r="N9866" s="124"/>
      <c r="O9866" s="124"/>
    </row>
    <row r="9867">
      <c r="K9867" s="124"/>
      <c r="L9867" s="124"/>
      <c r="M9867" s="124"/>
      <c r="N9867" s="124"/>
      <c r="O9867" s="124"/>
    </row>
    <row r="9868">
      <c r="K9868" s="124"/>
      <c r="L9868" s="124"/>
      <c r="M9868" s="124"/>
      <c r="N9868" s="124"/>
      <c r="O9868" s="124"/>
    </row>
    <row r="9869">
      <c r="K9869" s="124"/>
      <c r="L9869" s="124"/>
      <c r="M9869" s="124"/>
      <c r="N9869" s="124"/>
      <c r="O9869" s="124"/>
    </row>
    <row r="9870">
      <c r="K9870" s="124"/>
      <c r="L9870" s="124"/>
      <c r="M9870" s="124"/>
      <c r="N9870" s="124"/>
      <c r="O9870" s="124"/>
    </row>
    <row r="9871">
      <c r="K9871" s="124"/>
      <c r="L9871" s="124"/>
      <c r="M9871" s="124"/>
      <c r="N9871" s="124"/>
      <c r="O9871" s="124"/>
    </row>
    <row r="9872">
      <c r="K9872" s="124"/>
      <c r="L9872" s="124"/>
      <c r="M9872" s="124"/>
      <c r="N9872" s="124"/>
      <c r="O9872" s="124"/>
    </row>
    <row r="9873">
      <c r="K9873" s="124"/>
      <c r="L9873" s="124"/>
      <c r="M9873" s="124"/>
      <c r="N9873" s="124"/>
      <c r="O9873" s="124"/>
    </row>
    <row r="9874">
      <c r="K9874" s="124"/>
      <c r="L9874" s="124"/>
      <c r="M9874" s="124"/>
      <c r="N9874" s="124"/>
      <c r="O9874" s="124"/>
    </row>
    <row r="9875">
      <c r="K9875" s="124"/>
      <c r="L9875" s="124"/>
      <c r="M9875" s="124"/>
      <c r="N9875" s="124"/>
      <c r="O9875" s="124"/>
    </row>
    <row r="9876">
      <c r="K9876" s="124"/>
      <c r="L9876" s="124"/>
      <c r="M9876" s="124"/>
      <c r="N9876" s="124"/>
      <c r="O9876" s="124"/>
    </row>
    <row r="9877">
      <c r="K9877" s="124"/>
      <c r="L9877" s="124"/>
      <c r="M9877" s="124"/>
      <c r="N9877" s="124"/>
      <c r="O9877" s="124"/>
    </row>
    <row r="9878">
      <c r="K9878" s="124"/>
      <c r="L9878" s="124"/>
      <c r="M9878" s="124"/>
      <c r="N9878" s="124"/>
      <c r="O9878" s="124"/>
    </row>
    <row r="9879">
      <c r="K9879" s="124"/>
      <c r="L9879" s="124"/>
      <c r="M9879" s="124"/>
      <c r="N9879" s="124"/>
      <c r="O9879" s="124"/>
    </row>
    <row r="9880">
      <c r="K9880" s="124"/>
      <c r="L9880" s="124"/>
      <c r="M9880" s="124"/>
      <c r="N9880" s="124"/>
      <c r="O9880" s="124"/>
    </row>
    <row r="9881">
      <c r="K9881" s="124"/>
      <c r="L9881" s="124"/>
      <c r="M9881" s="124"/>
      <c r="N9881" s="124"/>
      <c r="O9881" s="124"/>
    </row>
    <row r="9882">
      <c r="K9882" s="124"/>
      <c r="L9882" s="124"/>
      <c r="M9882" s="124"/>
      <c r="N9882" s="124"/>
      <c r="O9882" s="124"/>
    </row>
    <row r="9883">
      <c r="K9883" s="124"/>
      <c r="L9883" s="124"/>
      <c r="M9883" s="124"/>
      <c r="N9883" s="124"/>
      <c r="O9883" s="124"/>
    </row>
    <row r="9884">
      <c r="K9884" s="124"/>
      <c r="L9884" s="124"/>
      <c r="M9884" s="124"/>
      <c r="N9884" s="124"/>
      <c r="O9884" s="124"/>
    </row>
    <row r="9885">
      <c r="K9885" s="124"/>
      <c r="L9885" s="124"/>
      <c r="M9885" s="124"/>
      <c r="N9885" s="124"/>
      <c r="O9885" s="124"/>
    </row>
    <row r="9886">
      <c r="K9886" s="124"/>
      <c r="L9886" s="124"/>
      <c r="M9886" s="124"/>
      <c r="N9886" s="124"/>
      <c r="O9886" s="124"/>
    </row>
    <row r="9887">
      <c r="K9887" s="124"/>
      <c r="L9887" s="124"/>
      <c r="M9887" s="124"/>
      <c r="N9887" s="124"/>
      <c r="O9887" s="124"/>
    </row>
    <row r="9888">
      <c r="K9888" s="124"/>
      <c r="L9888" s="124"/>
      <c r="M9888" s="124"/>
      <c r="N9888" s="124"/>
      <c r="O9888" s="124"/>
    </row>
    <row r="9889">
      <c r="K9889" s="124"/>
      <c r="L9889" s="124"/>
      <c r="M9889" s="124"/>
      <c r="N9889" s="124"/>
      <c r="O9889" s="124"/>
    </row>
    <row r="9890">
      <c r="K9890" s="124"/>
      <c r="L9890" s="124"/>
      <c r="M9890" s="124"/>
      <c r="N9890" s="124"/>
      <c r="O9890" s="124"/>
    </row>
    <row r="9891">
      <c r="K9891" s="124"/>
      <c r="L9891" s="124"/>
      <c r="M9891" s="124"/>
      <c r="N9891" s="124"/>
      <c r="O9891" s="124"/>
    </row>
    <row r="9892">
      <c r="K9892" s="124"/>
      <c r="L9892" s="124"/>
      <c r="M9892" s="124"/>
      <c r="N9892" s="124"/>
      <c r="O9892" s="124"/>
    </row>
    <row r="9893">
      <c r="K9893" s="124"/>
      <c r="L9893" s="124"/>
      <c r="M9893" s="124"/>
      <c r="N9893" s="124"/>
      <c r="O9893" s="124"/>
    </row>
    <row r="9894">
      <c r="K9894" s="124"/>
      <c r="L9894" s="124"/>
      <c r="M9894" s="124"/>
      <c r="N9894" s="124"/>
      <c r="O9894" s="124"/>
    </row>
    <row r="9895">
      <c r="K9895" s="124"/>
      <c r="L9895" s="124"/>
      <c r="M9895" s="124"/>
      <c r="N9895" s="124"/>
      <c r="O9895" s="124"/>
    </row>
    <row r="9896">
      <c r="K9896" s="124"/>
      <c r="L9896" s="124"/>
      <c r="M9896" s="124"/>
      <c r="N9896" s="124"/>
      <c r="O9896" s="124"/>
    </row>
    <row r="9897">
      <c r="K9897" s="124"/>
      <c r="L9897" s="124"/>
      <c r="M9897" s="124"/>
      <c r="N9897" s="124"/>
      <c r="O9897" s="124"/>
    </row>
    <row r="9898">
      <c r="K9898" s="124"/>
      <c r="L9898" s="124"/>
      <c r="M9898" s="124"/>
      <c r="N9898" s="124"/>
      <c r="O9898" s="124"/>
    </row>
    <row r="9899">
      <c r="K9899" s="124"/>
      <c r="L9899" s="124"/>
      <c r="M9899" s="124"/>
      <c r="N9899" s="124"/>
      <c r="O9899" s="124"/>
    </row>
    <row r="9900">
      <c r="K9900" s="124"/>
      <c r="L9900" s="124"/>
      <c r="M9900" s="124"/>
      <c r="N9900" s="124"/>
      <c r="O9900" s="124"/>
    </row>
    <row r="9901">
      <c r="K9901" s="124"/>
      <c r="L9901" s="124"/>
      <c r="M9901" s="124"/>
      <c r="N9901" s="124"/>
      <c r="O9901" s="124"/>
    </row>
    <row r="9902">
      <c r="K9902" s="124"/>
      <c r="L9902" s="124"/>
      <c r="M9902" s="124"/>
      <c r="N9902" s="124"/>
      <c r="O9902" s="124"/>
    </row>
    <row r="9903">
      <c r="K9903" s="124"/>
      <c r="L9903" s="124"/>
      <c r="M9903" s="124"/>
      <c r="N9903" s="124"/>
      <c r="O9903" s="124"/>
    </row>
    <row r="9904">
      <c r="K9904" s="124"/>
      <c r="L9904" s="124"/>
      <c r="M9904" s="124"/>
      <c r="N9904" s="124"/>
      <c r="O9904" s="124"/>
    </row>
    <row r="9905">
      <c r="K9905" s="124"/>
      <c r="L9905" s="124"/>
      <c r="M9905" s="124"/>
      <c r="N9905" s="124"/>
      <c r="O9905" s="124"/>
    </row>
    <row r="9906">
      <c r="K9906" s="124"/>
      <c r="L9906" s="124"/>
      <c r="M9906" s="124"/>
      <c r="N9906" s="124"/>
      <c r="O9906" s="124"/>
    </row>
    <row r="9907">
      <c r="K9907" s="124"/>
      <c r="L9907" s="124"/>
      <c r="M9907" s="124"/>
      <c r="N9907" s="124"/>
      <c r="O9907" s="124"/>
    </row>
    <row r="9908">
      <c r="K9908" s="124"/>
      <c r="L9908" s="124"/>
      <c r="M9908" s="124"/>
      <c r="N9908" s="124"/>
      <c r="O9908" s="124"/>
    </row>
    <row r="9909">
      <c r="K9909" s="124"/>
      <c r="L9909" s="124"/>
      <c r="M9909" s="124"/>
      <c r="N9909" s="124"/>
      <c r="O9909" s="124"/>
    </row>
    <row r="9910">
      <c r="K9910" s="124"/>
      <c r="L9910" s="124"/>
      <c r="M9910" s="124"/>
      <c r="N9910" s="124"/>
      <c r="O9910" s="124"/>
    </row>
    <row r="9911">
      <c r="K9911" s="124"/>
      <c r="L9911" s="124"/>
      <c r="M9911" s="124"/>
      <c r="N9911" s="124"/>
      <c r="O9911" s="124"/>
    </row>
    <row r="9912">
      <c r="K9912" s="124"/>
      <c r="L9912" s="124"/>
      <c r="M9912" s="124"/>
      <c r="N9912" s="124"/>
      <c r="O9912" s="124"/>
    </row>
    <row r="9913">
      <c r="K9913" s="124"/>
      <c r="L9913" s="124"/>
      <c r="M9913" s="124"/>
      <c r="N9913" s="124"/>
      <c r="O9913" s="124"/>
    </row>
    <row r="9914">
      <c r="K9914" s="124"/>
      <c r="L9914" s="124"/>
      <c r="M9914" s="124"/>
      <c r="N9914" s="124"/>
      <c r="O9914" s="124"/>
    </row>
    <row r="9915">
      <c r="K9915" s="124"/>
      <c r="L9915" s="124"/>
      <c r="M9915" s="124"/>
      <c r="N9915" s="124"/>
      <c r="O9915" s="124"/>
    </row>
    <row r="9916">
      <c r="K9916" s="124"/>
      <c r="L9916" s="124"/>
      <c r="M9916" s="124"/>
      <c r="N9916" s="124"/>
      <c r="O9916" s="124"/>
    </row>
    <row r="9917">
      <c r="K9917" s="124"/>
      <c r="L9917" s="124"/>
      <c r="M9917" s="124"/>
      <c r="N9917" s="124"/>
      <c r="O9917" s="124"/>
    </row>
    <row r="9918">
      <c r="K9918" s="124"/>
      <c r="L9918" s="124"/>
      <c r="M9918" s="124"/>
      <c r="N9918" s="124"/>
      <c r="O9918" s="124"/>
    </row>
    <row r="9919">
      <c r="K9919" s="124"/>
      <c r="L9919" s="124"/>
      <c r="M9919" s="124"/>
      <c r="N9919" s="124"/>
      <c r="O9919" s="124"/>
    </row>
    <row r="9920">
      <c r="K9920" s="124"/>
      <c r="L9920" s="124"/>
      <c r="M9920" s="124"/>
      <c r="N9920" s="124"/>
      <c r="O9920" s="124"/>
    </row>
    <row r="9921">
      <c r="K9921" s="124"/>
      <c r="L9921" s="124"/>
      <c r="M9921" s="124"/>
      <c r="N9921" s="124"/>
      <c r="O9921" s="124"/>
    </row>
    <row r="9922">
      <c r="K9922" s="124"/>
      <c r="L9922" s="124"/>
      <c r="M9922" s="124"/>
      <c r="N9922" s="124"/>
      <c r="O9922" s="124"/>
    </row>
    <row r="9923">
      <c r="K9923" s="124"/>
      <c r="L9923" s="124"/>
      <c r="M9923" s="124"/>
      <c r="N9923" s="124"/>
      <c r="O9923" s="124"/>
    </row>
    <row r="9924">
      <c r="K9924" s="124"/>
      <c r="L9924" s="124"/>
      <c r="M9924" s="124"/>
      <c r="N9924" s="124"/>
      <c r="O9924" s="124"/>
    </row>
    <row r="9925">
      <c r="K9925" s="124"/>
      <c r="L9925" s="124"/>
      <c r="M9925" s="124"/>
      <c r="N9925" s="124"/>
      <c r="O9925" s="124"/>
    </row>
    <row r="9926">
      <c r="K9926" s="124"/>
      <c r="L9926" s="124"/>
      <c r="M9926" s="124"/>
      <c r="N9926" s="124"/>
      <c r="O9926" s="124"/>
    </row>
    <row r="9927">
      <c r="K9927" s="124"/>
      <c r="L9927" s="124"/>
      <c r="M9927" s="124"/>
      <c r="N9927" s="124"/>
      <c r="O9927" s="124"/>
    </row>
    <row r="9928">
      <c r="K9928" s="124"/>
      <c r="L9928" s="124"/>
      <c r="M9928" s="124"/>
      <c r="N9928" s="124"/>
      <c r="O9928" s="124"/>
    </row>
    <row r="9929">
      <c r="K9929" s="124"/>
      <c r="L9929" s="124"/>
      <c r="M9929" s="124"/>
      <c r="N9929" s="124"/>
      <c r="O9929" s="124"/>
    </row>
    <row r="9930">
      <c r="K9930" s="124"/>
      <c r="L9930" s="124"/>
      <c r="M9930" s="124"/>
      <c r="N9930" s="124"/>
      <c r="O9930" s="124"/>
    </row>
    <row r="9931">
      <c r="K9931" s="124"/>
      <c r="L9931" s="124"/>
      <c r="M9931" s="124"/>
      <c r="N9931" s="124"/>
      <c r="O9931" s="124"/>
    </row>
    <row r="9932">
      <c r="K9932" s="124"/>
      <c r="L9932" s="124"/>
      <c r="M9932" s="124"/>
      <c r="N9932" s="124"/>
      <c r="O9932" s="124"/>
    </row>
    <row r="9933">
      <c r="K9933" s="124"/>
      <c r="L9933" s="124"/>
      <c r="M9933" s="124"/>
      <c r="N9933" s="124"/>
      <c r="O9933" s="124"/>
    </row>
    <row r="9934">
      <c r="K9934" s="124"/>
      <c r="L9934" s="124"/>
      <c r="M9934" s="124"/>
      <c r="N9934" s="124"/>
      <c r="O9934" s="124"/>
    </row>
    <row r="9935">
      <c r="K9935" s="124"/>
      <c r="L9935" s="124"/>
      <c r="M9935" s="124"/>
      <c r="N9935" s="124"/>
      <c r="O9935" s="124"/>
    </row>
    <row r="9936">
      <c r="K9936" s="124"/>
      <c r="L9936" s="124"/>
      <c r="M9936" s="124"/>
      <c r="N9936" s="124"/>
      <c r="O9936" s="124"/>
    </row>
    <row r="9937">
      <c r="K9937" s="124"/>
      <c r="L9937" s="124"/>
      <c r="M9937" s="124"/>
      <c r="N9937" s="124"/>
      <c r="O9937" s="124"/>
    </row>
    <row r="9938">
      <c r="K9938" s="124"/>
      <c r="L9938" s="124"/>
      <c r="M9938" s="124"/>
      <c r="N9938" s="124"/>
      <c r="O9938" s="124"/>
    </row>
    <row r="9939">
      <c r="K9939" s="124"/>
      <c r="L9939" s="124"/>
      <c r="M9939" s="124"/>
      <c r="N9939" s="124"/>
      <c r="O9939" s="124"/>
    </row>
    <row r="9940">
      <c r="K9940" s="124"/>
      <c r="L9940" s="124"/>
      <c r="M9940" s="124"/>
      <c r="N9940" s="124"/>
      <c r="O9940" s="124"/>
    </row>
    <row r="9941">
      <c r="K9941" s="124"/>
      <c r="L9941" s="124"/>
      <c r="M9941" s="124"/>
      <c r="N9941" s="124"/>
      <c r="O9941" s="124"/>
    </row>
    <row r="9942">
      <c r="K9942" s="124"/>
      <c r="L9942" s="124"/>
      <c r="M9942" s="124"/>
      <c r="N9942" s="124"/>
      <c r="O9942" s="124"/>
    </row>
    <row r="9943">
      <c r="K9943" s="124"/>
      <c r="L9943" s="124"/>
      <c r="M9943" s="124"/>
      <c r="N9943" s="124"/>
      <c r="O9943" s="124"/>
    </row>
    <row r="9944">
      <c r="K9944" s="124"/>
      <c r="L9944" s="124"/>
      <c r="M9944" s="124"/>
      <c r="N9944" s="124"/>
      <c r="O9944" s="124"/>
    </row>
    <row r="9945">
      <c r="K9945" s="124"/>
      <c r="L9945" s="124"/>
      <c r="M9945" s="124"/>
      <c r="N9945" s="124"/>
      <c r="O9945" s="124"/>
    </row>
    <row r="9946">
      <c r="K9946" s="124"/>
      <c r="L9946" s="124"/>
      <c r="M9946" s="124"/>
      <c r="N9946" s="124"/>
      <c r="O9946" s="124"/>
    </row>
    <row r="9947">
      <c r="K9947" s="124"/>
      <c r="L9947" s="124"/>
      <c r="M9947" s="124"/>
      <c r="N9947" s="124"/>
      <c r="O9947" s="124"/>
    </row>
    <row r="9948">
      <c r="K9948" s="124"/>
      <c r="L9948" s="124"/>
      <c r="M9948" s="124"/>
      <c r="N9948" s="124"/>
      <c r="O9948" s="124"/>
    </row>
    <row r="9949">
      <c r="K9949" s="124"/>
      <c r="L9949" s="124"/>
      <c r="M9949" s="124"/>
      <c r="N9949" s="124"/>
      <c r="O9949" s="124"/>
    </row>
    <row r="9950">
      <c r="K9950" s="124"/>
      <c r="L9950" s="124"/>
      <c r="M9950" s="124"/>
      <c r="N9950" s="124"/>
      <c r="O9950" s="124"/>
    </row>
    <row r="9951">
      <c r="K9951" s="124"/>
      <c r="L9951" s="124"/>
      <c r="M9951" s="124"/>
      <c r="N9951" s="124"/>
      <c r="O9951" s="124"/>
    </row>
    <row r="9952">
      <c r="K9952" s="124"/>
      <c r="L9952" s="124"/>
      <c r="M9952" s="124"/>
      <c r="N9952" s="124"/>
      <c r="O9952" s="124"/>
    </row>
    <row r="9953">
      <c r="K9953" s="124"/>
      <c r="L9953" s="124"/>
      <c r="M9953" s="124"/>
      <c r="N9953" s="124"/>
      <c r="O9953" s="124"/>
    </row>
    <row r="9954">
      <c r="K9954" s="124"/>
      <c r="L9954" s="124"/>
      <c r="M9954" s="124"/>
      <c r="N9954" s="124"/>
      <c r="O9954" s="124"/>
    </row>
    <row r="9955">
      <c r="K9955" s="124"/>
      <c r="L9955" s="124"/>
      <c r="M9955" s="124"/>
      <c r="N9955" s="124"/>
      <c r="O9955" s="124"/>
    </row>
    <row r="9956">
      <c r="K9956" s="124"/>
      <c r="L9956" s="124"/>
      <c r="M9956" s="124"/>
      <c r="N9956" s="124"/>
      <c r="O9956" s="124"/>
    </row>
    <row r="9957">
      <c r="K9957" s="124"/>
      <c r="L9957" s="124"/>
      <c r="M9957" s="124"/>
      <c r="N9957" s="124"/>
      <c r="O9957" s="124"/>
    </row>
    <row r="9958">
      <c r="K9958" s="124"/>
      <c r="L9958" s="124"/>
      <c r="M9958" s="124"/>
      <c r="N9958" s="124"/>
      <c r="O9958" s="124"/>
    </row>
    <row r="9959">
      <c r="K9959" s="124"/>
      <c r="L9959" s="124"/>
      <c r="M9959" s="124"/>
      <c r="N9959" s="124"/>
      <c r="O9959" s="124"/>
    </row>
    <row r="9960">
      <c r="K9960" s="124"/>
      <c r="L9960" s="124"/>
      <c r="M9960" s="124"/>
      <c r="N9960" s="124"/>
      <c r="O9960" s="124"/>
    </row>
    <row r="9961">
      <c r="K9961" s="124"/>
      <c r="L9961" s="124"/>
      <c r="M9961" s="124"/>
      <c r="N9961" s="124"/>
      <c r="O9961" s="124"/>
    </row>
    <row r="9962">
      <c r="K9962" s="124"/>
      <c r="L9962" s="124"/>
      <c r="M9962" s="124"/>
      <c r="N9962" s="124"/>
      <c r="O9962" s="124"/>
    </row>
    <row r="9963">
      <c r="K9963" s="124"/>
      <c r="L9963" s="124"/>
      <c r="M9963" s="124"/>
      <c r="N9963" s="124"/>
      <c r="O9963" s="124"/>
    </row>
    <row r="9964">
      <c r="K9964" s="124"/>
      <c r="L9964" s="124"/>
      <c r="M9964" s="124"/>
      <c r="N9964" s="124"/>
      <c r="O9964" s="124"/>
    </row>
    <row r="9965">
      <c r="K9965" s="124"/>
      <c r="L9965" s="124"/>
      <c r="M9965" s="124"/>
      <c r="N9965" s="124"/>
      <c r="O9965" s="124"/>
    </row>
    <row r="9966">
      <c r="K9966" s="124"/>
      <c r="L9966" s="124"/>
      <c r="M9966" s="124"/>
      <c r="N9966" s="124"/>
      <c r="O9966" s="124"/>
    </row>
    <row r="9967">
      <c r="K9967" s="124"/>
      <c r="L9967" s="124"/>
      <c r="M9967" s="124"/>
      <c r="N9967" s="124"/>
      <c r="O9967" s="124"/>
    </row>
    <row r="9968">
      <c r="K9968" s="124"/>
      <c r="L9968" s="124"/>
      <c r="M9968" s="124"/>
      <c r="N9968" s="124"/>
      <c r="O9968" s="124"/>
    </row>
    <row r="9969">
      <c r="K9969" s="124"/>
      <c r="L9969" s="124"/>
      <c r="M9969" s="124"/>
      <c r="N9969" s="124"/>
      <c r="O9969" s="124"/>
    </row>
    <row r="9970">
      <c r="K9970" s="124"/>
      <c r="L9970" s="124"/>
      <c r="M9970" s="124"/>
      <c r="N9970" s="124"/>
      <c r="O9970" s="124"/>
    </row>
    <row r="9971">
      <c r="K9971" s="124"/>
      <c r="L9971" s="124"/>
      <c r="M9971" s="124"/>
      <c r="N9971" s="124"/>
      <c r="O9971" s="124"/>
    </row>
    <row r="9972">
      <c r="K9972" s="124"/>
      <c r="L9972" s="124"/>
      <c r="M9972" s="124"/>
      <c r="N9972" s="124"/>
      <c r="O9972" s="124"/>
    </row>
    <row r="9973">
      <c r="K9973" s="124"/>
      <c r="L9973" s="124"/>
      <c r="M9973" s="124"/>
      <c r="N9973" s="124"/>
      <c r="O9973" s="124"/>
    </row>
    <row r="9974">
      <c r="K9974" s="124"/>
      <c r="L9974" s="124"/>
      <c r="M9974" s="124"/>
      <c r="N9974" s="124"/>
      <c r="O9974" s="124"/>
    </row>
    <row r="9975">
      <c r="K9975" s="124"/>
      <c r="L9975" s="124"/>
      <c r="M9975" s="124"/>
      <c r="N9975" s="124"/>
      <c r="O9975" s="124"/>
    </row>
    <row r="9976">
      <c r="K9976" s="124"/>
      <c r="L9976" s="124"/>
      <c r="M9976" s="124"/>
      <c r="N9976" s="124"/>
      <c r="O9976" s="124"/>
    </row>
    <row r="9977">
      <c r="K9977" s="124"/>
      <c r="L9977" s="124"/>
      <c r="M9977" s="124"/>
      <c r="N9977" s="124"/>
      <c r="O9977" s="124"/>
    </row>
    <row r="9978">
      <c r="K9978" s="124"/>
      <c r="L9978" s="124"/>
      <c r="M9978" s="124"/>
      <c r="N9978" s="124"/>
      <c r="O9978" s="124"/>
    </row>
    <row r="9979">
      <c r="K9979" s="124"/>
      <c r="L9979" s="124"/>
      <c r="M9979" s="124"/>
      <c r="N9979" s="124"/>
      <c r="O9979" s="124"/>
    </row>
    <row r="9980">
      <c r="K9980" s="124"/>
      <c r="L9980" s="124"/>
      <c r="M9980" s="124"/>
      <c r="N9980" s="124"/>
      <c r="O9980" s="124"/>
    </row>
    <row r="9981">
      <c r="K9981" s="124"/>
      <c r="L9981" s="124"/>
      <c r="M9981" s="124"/>
      <c r="N9981" s="124"/>
      <c r="O9981" s="124"/>
    </row>
    <row r="9982">
      <c r="K9982" s="124"/>
      <c r="L9982" s="124"/>
      <c r="M9982" s="124"/>
      <c r="N9982" s="124"/>
      <c r="O9982" s="124"/>
    </row>
    <row r="9983">
      <c r="K9983" s="124"/>
      <c r="L9983" s="124"/>
      <c r="M9983" s="124"/>
      <c r="N9983" s="124"/>
      <c r="O9983" s="124"/>
    </row>
    <row r="9984">
      <c r="K9984" s="124"/>
      <c r="L9984" s="124"/>
      <c r="M9984" s="124"/>
      <c r="N9984" s="124"/>
      <c r="O9984" s="124"/>
    </row>
    <row r="9985">
      <c r="K9985" s="124"/>
      <c r="L9985" s="124"/>
      <c r="M9985" s="124"/>
      <c r="N9985" s="124"/>
      <c r="O9985" s="124"/>
    </row>
    <row r="9986">
      <c r="K9986" s="124"/>
      <c r="L9986" s="124"/>
      <c r="M9986" s="124"/>
      <c r="N9986" s="124"/>
      <c r="O9986" s="124"/>
    </row>
    <row r="9987">
      <c r="K9987" s="124"/>
      <c r="L9987" s="124"/>
      <c r="M9987" s="124"/>
      <c r="N9987" s="124"/>
      <c r="O9987" s="124"/>
    </row>
    <row r="9988">
      <c r="K9988" s="124"/>
      <c r="L9988" s="124"/>
      <c r="M9988" s="124"/>
      <c r="N9988" s="124"/>
      <c r="O9988" s="124"/>
    </row>
    <row r="9989">
      <c r="K9989" s="124"/>
      <c r="L9989" s="124"/>
      <c r="M9989" s="124"/>
      <c r="N9989" s="124"/>
      <c r="O9989" s="124"/>
    </row>
    <row r="9990">
      <c r="K9990" s="124"/>
      <c r="L9990" s="124"/>
      <c r="M9990" s="124"/>
      <c r="N9990" s="124"/>
      <c r="O9990" s="124"/>
    </row>
    <row r="9991">
      <c r="K9991" s="124"/>
      <c r="L9991" s="124"/>
      <c r="M9991" s="124"/>
      <c r="N9991" s="124"/>
      <c r="O9991" s="124"/>
    </row>
    <row r="9992">
      <c r="K9992" s="124"/>
      <c r="L9992" s="124"/>
      <c r="M9992" s="124"/>
      <c r="N9992" s="124"/>
      <c r="O9992" s="124"/>
    </row>
    <row r="9993">
      <c r="K9993" s="124"/>
      <c r="L9993" s="124"/>
      <c r="M9993" s="124"/>
      <c r="N9993" s="124"/>
      <c r="O9993" s="124"/>
    </row>
    <row r="9994">
      <c r="K9994" s="124"/>
      <c r="L9994" s="124"/>
      <c r="M9994" s="124"/>
      <c r="N9994" s="124"/>
      <c r="O9994" s="124"/>
    </row>
    <row r="9995">
      <c r="K9995" s="124"/>
      <c r="L9995" s="124"/>
      <c r="M9995" s="124"/>
      <c r="N9995" s="124"/>
      <c r="O9995" s="124"/>
    </row>
    <row r="9996">
      <c r="K9996" s="124"/>
      <c r="L9996" s="124"/>
      <c r="M9996" s="124"/>
      <c r="N9996" s="124"/>
      <c r="O9996" s="124"/>
    </row>
    <row r="9997">
      <c r="K9997" s="124"/>
      <c r="L9997" s="124"/>
      <c r="M9997" s="124"/>
      <c r="N9997" s="124"/>
      <c r="O9997" s="124"/>
    </row>
    <row r="9998">
      <c r="K9998" s="124"/>
      <c r="L9998" s="124"/>
      <c r="M9998" s="124"/>
      <c r="N9998" s="124"/>
      <c r="O9998" s="124"/>
    </row>
    <row r="9999">
      <c r="K9999" s="124"/>
      <c r="L9999" s="124"/>
      <c r="M9999" s="124"/>
      <c r="N9999" s="124"/>
      <c r="O9999" s="124"/>
    </row>
    <row r="10000">
      <c r="K10000" s="124"/>
      <c r="L10000" s="124"/>
      <c r="M10000" s="124"/>
      <c r="N10000" s="124"/>
      <c r="O10000" s="124"/>
    </row>
    <row r="10001">
      <c r="K10001" s="124"/>
      <c r="L10001" s="124"/>
      <c r="M10001" s="124"/>
      <c r="N10001" s="124"/>
      <c r="O10001" s="124"/>
    </row>
    <row r="10002">
      <c r="K10002" s="124"/>
      <c r="L10002" s="124"/>
      <c r="M10002" s="124"/>
      <c r="N10002" s="124"/>
      <c r="O10002" s="124"/>
    </row>
    <row r="10003">
      <c r="K10003" s="124"/>
      <c r="L10003" s="124"/>
      <c r="M10003" s="124"/>
      <c r="N10003" s="124"/>
      <c r="O10003" s="124"/>
    </row>
    <row r="10004">
      <c r="K10004" s="124"/>
      <c r="L10004" s="124"/>
      <c r="M10004" s="124"/>
      <c r="N10004" s="124"/>
      <c r="O10004" s="124"/>
    </row>
    <row r="10005">
      <c r="K10005" s="124"/>
      <c r="L10005" s="124"/>
      <c r="M10005" s="124"/>
      <c r="N10005" s="124"/>
      <c r="O10005" s="124"/>
    </row>
    <row r="10006">
      <c r="K10006" s="124"/>
      <c r="L10006" s="124"/>
      <c r="M10006" s="124"/>
      <c r="N10006" s="124"/>
      <c r="O10006" s="124"/>
    </row>
    <row r="10007">
      <c r="K10007" s="124"/>
      <c r="L10007" s="124"/>
      <c r="M10007" s="124"/>
      <c r="N10007" s="124"/>
      <c r="O10007" s="124"/>
    </row>
    <row r="10008">
      <c r="K10008" s="124"/>
      <c r="L10008" s="124"/>
      <c r="M10008" s="124"/>
      <c r="N10008" s="124"/>
      <c r="O10008" s="124"/>
    </row>
    <row r="10009">
      <c r="K10009" s="124"/>
      <c r="L10009" s="124"/>
      <c r="M10009" s="124"/>
      <c r="N10009" s="124"/>
      <c r="O10009" s="124"/>
    </row>
    <row r="10010">
      <c r="K10010" s="124"/>
      <c r="L10010" s="124"/>
      <c r="M10010" s="124"/>
      <c r="N10010" s="124"/>
      <c r="O10010" s="124"/>
    </row>
    <row r="10011">
      <c r="K10011" s="124"/>
      <c r="L10011" s="124"/>
      <c r="M10011" s="124"/>
      <c r="N10011" s="124"/>
      <c r="O10011" s="124"/>
    </row>
    <row r="10012">
      <c r="K10012" s="124"/>
      <c r="L10012" s="124"/>
      <c r="M10012" s="124"/>
      <c r="N10012" s="124"/>
      <c r="O10012" s="124"/>
    </row>
    <row r="10013">
      <c r="K10013" s="124"/>
      <c r="L10013" s="124"/>
      <c r="M10013" s="124"/>
      <c r="N10013" s="124"/>
      <c r="O10013" s="124"/>
    </row>
    <row r="10014">
      <c r="K10014" s="124"/>
      <c r="L10014" s="124"/>
      <c r="M10014" s="124"/>
      <c r="N10014" s="124"/>
      <c r="O10014" s="124"/>
    </row>
    <row r="10015">
      <c r="K10015" s="124"/>
      <c r="L10015" s="124"/>
      <c r="M10015" s="124"/>
      <c r="N10015" s="124"/>
      <c r="O10015" s="124"/>
    </row>
    <row r="10016">
      <c r="K10016" s="124"/>
      <c r="L10016" s="124"/>
      <c r="M10016" s="124"/>
      <c r="N10016" s="124"/>
      <c r="O10016" s="124"/>
    </row>
    <row r="10017">
      <c r="K10017" s="124"/>
      <c r="L10017" s="124"/>
      <c r="M10017" s="124"/>
      <c r="N10017" s="124"/>
      <c r="O10017" s="124"/>
    </row>
    <row r="10018">
      <c r="K10018" s="124"/>
      <c r="L10018" s="124"/>
      <c r="M10018" s="124"/>
      <c r="N10018" s="124"/>
      <c r="O10018" s="124"/>
    </row>
    <row r="10019">
      <c r="K10019" s="124"/>
      <c r="L10019" s="124"/>
      <c r="M10019" s="124"/>
      <c r="N10019" s="124"/>
      <c r="O10019" s="124"/>
    </row>
    <row r="10020">
      <c r="K10020" s="124"/>
      <c r="L10020" s="124"/>
      <c r="M10020" s="124"/>
      <c r="N10020" s="124"/>
      <c r="O10020" s="124"/>
    </row>
    <row r="10021">
      <c r="K10021" s="124"/>
      <c r="L10021" s="124"/>
      <c r="M10021" s="124"/>
      <c r="N10021" s="124"/>
      <c r="O10021" s="124"/>
    </row>
    <row r="10022">
      <c r="K10022" s="124"/>
      <c r="L10022" s="124"/>
      <c r="M10022" s="124"/>
      <c r="N10022" s="124"/>
      <c r="O10022" s="124"/>
    </row>
    <row r="10023">
      <c r="K10023" s="124"/>
      <c r="L10023" s="124"/>
      <c r="M10023" s="124"/>
      <c r="N10023" s="124"/>
      <c r="O10023" s="124"/>
    </row>
    <row r="10024">
      <c r="K10024" s="124"/>
      <c r="L10024" s="124"/>
      <c r="M10024" s="124"/>
      <c r="N10024" s="124"/>
      <c r="O10024" s="124"/>
    </row>
    <row r="10025">
      <c r="K10025" s="124"/>
      <c r="L10025" s="124"/>
      <c r="M10025" s="124"/>
      <c r="N10025" s="124"/>
      <c r="O10025" s="124"/>
    </row>
    <row r="10026">
      <c r="K10026" s="124"/>
      <c r="L10026" s="124"/>
      <c r="M10026" s="124"/>
      <c r="N10026" s="124"/>
      <c r="O10026" s="124"/>
    </row>
    <row r="10027">
      <c r="K10027" s="124"/>
      <c r="L10027" s="124"/>
      <c r="M10027" s="124"/>
      <c r="N10027" s="124"/>
      <c r="O10027" s="124"/>
    </row>
    <row r="10028">
      <c r="K10028" s="124"/>
      <c r="L10028" s="124"/>
      <c r="M10028" s="124"/>
      <c r="N10028" s="124"/>
      <c r="O10028" s="124"/>
    </row>
    <row r="10029">
      <c r="K10029" s="124"/>
      <c r="L10029" s="124"/>
      <c r="M10029" s="124"/>
      <c r="N10029" s="124"/>
      <c r="O10029" s="124"/>
    </row>
    <row r="10030">
      <c r="K10030" s="124"/>
      <c r="L10030" s="124"/>
      <c r="M10030" s="124"/>
      <c r="N10030" s="124"/>
      <c r="O10030" s="124"/>
    </row>
    <row r="10031">
      <c r="K10031" s="124"/>
      <c r="L10031" s="124"/>
      <c r="M10031" s="124"/>
      <c r="N10031" s="124"/>
      <c r="O10031" s="124"/>
    </row>
    <row r="10032">
      <c r="K10032" s="124"/>
      <c r="L10032" s="124"/>
      <c r="M10032" s="124"/>
      <c r="N10032" s="124"/>
      <c r="O10032" s="124"/>
    </row>
    <row r="10033">
      <c r="K10033" s="124"/>
      <c r="L10033" s="124"/>
      <c r="M10033" s="124"/>
      <c r="N10033" s="124"/>
      <c r="O10033" s="124"/>
    </row>
    <row r="10034">
      <c r="K10034" s="124"/>
      <c r="L10034" s="124"/>
      <c r="M10034" s="124"/>
      <c r="N10034" s="124"/>
      <c r="O10034" s="124"/>
    </row>
    <row r="10035">
      <c r="K10035" s="124"/>
      <c r="L10035" s="124"/>
      <c r="M10035" s="124"/>
      <c r="N10035" s="124"/>
      <c r="O10035" s="124"/>
    </row>
    <row r="10036">
      <c r="K10036" s="124"/>
      <c r="L10036" s="124"/>
      <c r="M10036" s="124"/>
      <c r="N10036" s="124"/>
      <c r="O10036" s="124"/>
    </row>
    <row r="10037">
      <c r="K10037" s="124"/>
      <c r="L10037" s="124"/>
      <c r="M10037" s="124"/>
      <c r="N10037" s="124"/>
      <c r="O10037" s="124"/>
    </row>
    <row r="10038">
      <c r="K10038" s="124"/>
      <c r="L10038" s="124"/>
      <c r="M10038" s="124"/>
      <c r="N10038" s="124"/>
      <c r="O10038" s="124"/>
    </row>
    <row r="10039">
      <c r="K10039" s="124"/>
      <c r="L10039" s="124"/>
      <c r="M10039" s="124"/>
      <c r="N10039" s="124"/>
      <c r="O10039" s="124"/>
    </row>
    <row r="10040">
      <c r="K10040" s="124"/>
      <c r="L10040" s="124"/>
      <c r="M10040" s="124"/>
      <c r="N10040" s="124"/>
      <c r="O10040" s="124"/>
    </row>
    <row r="10041">
      <c r="K10041" s="124"/>
      <c r="L10041" s="124"/>
      <c r="M10041" s="124"/>
      <c r="N10041" s="124"/>
      <c r="O10041" s="124"/>
    </row>
    <row r="10042">
      <c r="K10042" s="124"/>
      <c r="L10042" s="124"/>
      <c r="M10042" s="124"/>
      <c r="N10042" s="124"/>
      <c r="O10042" s="124"/>
    </row>
    <row r="10043">
      <c r="K10043" s="124"/>
      <c r="L10043" s="124"/>
      <c r="M10043" s="124"/>
      <c r="N10043" s="124"/>
      <c r="O10043" s="124"/>
    </row>
    <row r="10044">
      <c r="K10044" s="124"/>
      <c r="L10044" s="124"/>
      <c r="M10044" s="124"/>
      <c r="N10044" s="124"/>
      <c r="O10044" s="124"/>
    </row>
    <row r="10045">
      <c r="K10045" s="124"/>
      <c r="L10045" s="124"/>
      <c r="M10045" s="124"/>
      <c r="N10045" s="124"/>
      <c r="O10045" s="124"/>
    </row>
    <row r="10046">
      <c r="K10046" s="124"/>
      <c r="L10046" s="124"/>
      <c r="M10046" s="124"/>
      <c r="N10046" s="124"/>
      <c r="O10046" s="124"/>
    </row>
    <row r="10047">
      <c r="K10047" s="124"/>
      <c r="L10047" s="124"/>
      <c r="M10047" s="124"/>
      <c r="N10047" s="124"/>
      <c r="O10047" s="124"/>
    </row>
    <row r="10048">
      <c r="K10048" s="124"/>
      <c r="L10048" s="124"/>
      <c r="M10048" s="124"/>
      <c r="N10048" s="124"/>
      <c r="O10048" s="124"/>
    </row>
    <row r="10049">
      <c r="K10049" s="124"/>
      <c r="L10049" s="124"/>
      <c r="M10049" s="124"/>
      <c r="N10049" s="124"/>
      <c r="O10049" s="124"/>
    </row>
    <row r="10050">
      <c r="K10050" s="124"/>
      <c r="L10050" s="124"/>
      <c r="M10050" s="124"/>
      <c r="N10050" s="124"/>
      <c r="O10050" s="124"/>
    </row>
    <row r="10051">
      <c r="K10051" s="124"/>
      <c r="L10051" s="124"/>
      <c r="M10051" s="124"/>
      <c r="N10051" s="124"/>
      <c r="O10051" s="124"/>
    </row>
    <row r="10052">
      <c r="K10052" s="124"/>
      <c r="L10052" s="124"/>
      <c r="M10052" s="124"/>
      <c r="N10052" s="124"/>
      <c r="O10052" s="124"/>
    </row>
    <row r="10053">
      <c r="K10053" s="124"/>
      <c r="L10053" s="124"/>
      <c r="M10053" s="124"/>
      <c r="N10053" s="124"/>
      <c r="O10053" s="124"/>
    </row>
    <row r="10054">
      <c r="K10054" s="124"/>
      <c r="L10054" s="124"/>
      <c r="M10054" s="124"/>
      <c r="N10054" s="124"/>
      <c r="O10054" s="124"/>
    </row>
    <row r="10055">
      <c r="K10055" s="124"/>
      <c r="L10055" s="124"/>
      <c r="M10055" s="124"/>
      <c r="N10055" s="124"/>
      <c r="O10055" s="124"/>
    </row>
    <row r="10056">
      <c r="K10056" s="124"/>
      <c r="L10056" s="124"/>
      <c r="M10056" s="124"/>
      <c r="N10056" s="124"/>
      <c r="O10056" s="124"/>
    </row>
    <row r="10057">
      <c r="K10057" s="124"/>
      <c r="L10057" s="124"/>
      <c r="M10057" s="124"/>
      <c r="N10057" s="124"/>
      <c r="O10057" s="124"/>
    </row>
    <row r="10058">
      <c r="K10058" s="124"/>
      <c r="L10058" s="124"/>
      <c r="M10058" s="124"/>
      <c r="N10058" s="124"/>
      <c r="O10058" s="124"/>
    </row>
    <row r="10059">
      <c r="K10059" s="124"/>
      <c r="L10059" s="124"/>
      <c r="M10059" s="124"/>
      <c r="N10059" s="124"/>
      <c r="O10059" s="124"/>
    </row>
    <row r="10060">
      <c r="K10060" s="124"/>
      <c r="L10060" s="124"/>
      <c r="M10060" s="124"/>
      <c r="N10060" s="124"/>
      <c r="O10060" s="124"/>
    </row>
    <row r="10061">
      <c r="K10061" s="124"/>
      <c r="L10061" s="124"/>
      <c r="M10061" s="124"/>
      <c r="N10061" s="124"/>
      <c r="O10061" s="124"/>
    </row>
    <row r="10062">
      <c r="K10062" s="124"/>
      <c r="L10062" s="124"/>
      <c r="M10062" s="124"/>
      <c r="N10062" s="124"/>
      <c r="O10062" s="124"/>
    </row>
    <row r="10063">
      <c r="K10063" s="124"/>
      <c r="L10063" s="124"/>
      <c r="M10063" s="124"/>
      <c r="N10063" s="124"/>
      <c r="O10063" s="124"/>
    </row>
    <row r="10064">
      <c r="K10064" s="124"/>
      <c r="L10064" s="124"/>
      <c r="M10064" s="124"/>
      <c r="N10064" s="124"/>
      <c r="O10064" s="124"/>
    </row>
    <row r="10065">
      <c r="K10065" s="124"/>
      <c r="L10065" s="124"/>
      <c r="M10065" s="124"/>
      <c r="N10065" s="124"/>
      <c r="O10065" s="124"/>
    </row>
    <row r="10066">
      <c r="K10066" s="124"/>
      <c r="L10066" s="124"/>
      <c r="M10066" s="124"/>
      <c r="N10066" s="124"/>
      <c r="O10066" s="124"/>
    </row>
    <row r="10067">
      <c r="K10067" s="124"/>
      <c r="L10067" s="124"/>
      <c r="M10067" s="124"/>
      <c r="N10067" s="124"/>
      <c r="O10067" s="124"/>
    </row>
    <row r="10068">
      <c r="K10068" s="124"/>
      <c r="L10068" s="124"/>
      <c r="M10068" s="124"/>
      <c r="N10068" s="124"/>
      <c r="O10068" s="124"/>
    </row>
    <row r="10069">
      <c r="K10069" s="124"/>
      <c r="L10069" s="124"/>
      <c r="M10069" s="124"/>
      <c r="N10069" s="124"/>
      <c r="O10069" s="124"/>
    </row>
    <row r="10070">
      <c r="K10070" s="124"/>
      <c r="L10070" s="124"/>
      <c r="M10070" s="124"/>
      <c r="N10070" s="124"/>
      <c r="O10070" s="124"/>
    </row>
    <row r="10071">
      <c r="K10071" s="124"/>
      <c r="L10071" s="124"/>
      <c r="M10071" s="124"/>
      <c r="N10071" s="124"/>
      <c r="O10071" s="124"/>
    </row>
    <row r="10072">
      <c r="K10072" s="124"/>
      <c r="L10072" s="124"/>
      <c r="M10072" s="124"/>
      <c r="N10072" s="124"/>
      <c r="O10072" s="124"/>
    </row>
    <row r="10073">
      <c r="K10073" s="124"/>
      <c r="L10073" s="124"/>
      <c r="M10073" s="124"/>
      <c r="N10073" s="124"/>
      <c r="O10073" s="124"/>
    </row>
    <row r="10074">
      <c r="K10074" s="124"/>
      <c r="L10074" s="124"/>
      <c r="M10074" s="124"/>
      <c r="N10074" s="124"/>
      <c r="O10074" s="124"/>
    </row>
    <row r="10075">
      <c r="K10075" s="124"/>
      <c r="L10075" s="124"/>
      <c r="M10075" s="124"/>
      <c r="N10075" s="124"/>
      <c r="O10075" s="124"/>
    </row>
    <row r="10076">
      <c r="K10076" s="124"/>
      <c r="L10076" s="124"/>
      <c r="M10076" s="124"/>
      <c r="N10076" s="124"/>
      <c r="O10076" s="124"/>
    </row>
    <row r="10077">
      <c r="K10077" s="124"/>
      <c r="L10077" s="124"/>
      <c r="M10077" s="124"/>
      <c r="N10077" s="124"/>
      <c r="O10077" s="124"/>
    </row>
    <row r="10078">
      <c r="K10078" s="124"/>
      <c r="L10078" s="124"/>
      <c r="M10078" s="124"/>
      <c r="N10078" s="124"/>
      <c r="O10078" s="124"/>
    </row>
    <row r="10079">
      <c r="K10079" s="124"/>
      <c r="L10079" s="124"/>
      <c r="M10079" s="124"/>
      <c r="N10079" s="124"/>
      <c r="O10079" s="124"/>
    </row>
    <row r="10080">
      <c r="K10080" s="124"/>
      <c r="L10080" s="124"/>
      <c r="M10080" s="124"/>
      <c r="N10080" s="124"/>
      <c r="O10080" s="124"/>
    </row>
    <row r="10081">
      <c r="K10081" s="124"/>
      <c r="L10081" s="124"/>
      <c r="M10081" s="124"/>
      <c r="N10081" s="124"/>
      <c r="O10081" s="124"/>
    </row>
    <row r="10082">
      <c r="K10082" s="124"/>
      <c r="L10082" s="124"/>
      <c r="M10082" s="124"/>
      <c r="N10082" s="124"/>
      <c r="O10082" s="124"/>
    </row>
    <row r="10083">
      <c r="K10083" s="124"/>
      <c r="L10083" s="124"/>
      <c r="M10083" s="124"/>
      <c r="N10083" s="124"/>
      <c r="O10083" s="124"/>
    </row>
    <row r="10084">
      <c r="K10084" s="124"/>
      <c r="L10084" s="124"/>
      <c r="M10084" s="124"/>
      <c r="N10084" s="124"/>
      <c r="O10084" s="124"/>
    </row>
    <row r="10085">
      <c r="K10085" s="124"/>
      <c r="L10085" s="124"/>
      <c r="M10085" s="124"/>
      <c r="N10085" s="124"/>
      <c r="O10085" s="124"/>
    </row>
    <row r="10086">
      <c r="K10086" s="124"/>
      <c r="L10086" s="124"/>
      <c r="M10086" s="124"/>
      <c r="N10086" s="124"/>
      <c r="O10086" s="124"/>
    </row>
    <row r="10087">
      <c r="K10087" s="124"/>
      <c r="L10087" s="124"/>
      <c r="M10087" s="124"/>
      <c r="N10087" s="124"/>
      <c r="O10087" s="124"/>
    </row>
    <row r="10088">
      <c r="K10088" s="124"/>
      <c r="L10088" s="124"/>
      <c r="M10088" s="124"/>
      <c r="N10088" s="124"/>
      <c r="O10088" s="124"/>
    </row>
    <row r="10089">
      <c r="K10089" s="124"/>
      <c r="L10089" s="124"/>
      <c r="M10089" s="124"/>
      <c r="N10089" s="124"/>
      <c r="O10089" s="124"/>
    </row>
    <row r="10090">
      <c r="K10090" s="124"/>
      <c r="L10090" s="124"/>
      <c r="M10090" s="124"/>
      <c r="N10090" s="124"/>
      <c r="O10090" s="124"/>
    </row>
    <row r="10091">
      <c r="K10091" s="124"/>
      <c r="L10091" s="124"/>
      <c r="M10091" s="124"/>
      <c r="N10091" s="124"/>
      <c r="O10091" s="124"/>
    </row>
    <row r="10092">
      <c r="K10092" s="124"/>
      <c r="L10092" s="124"/>
      <c r="M10092" s="124"/>
      <c r="N10092" s="124"/>
      <c r="O10092" s="124"/>
    </row>
    <row r="10093">
      <c r="K10093" s="124"/>
      <c r="L10093" s="124"/>
      <c r="M10093" s="124"/>
      <c r="N10093" s="124"/>
      <c r="O10093" s="124"/>
    </row>
    <row r="10094">
      <c r="K10094" s="124"/>
      <c r="L10094" s="124"/>
      <c r="M10094" s="124"/>
      <c r="N10094" s="124"/>
      <c r="O10094" s="124"/>
    </row>
    <row r="10095">
      <c r="K10095" s="124"/>
      <c r="L10095" s="124"/>
      <c r="M10095" s="124"/>
      <c r="N10095" s="124"/>
      <c r="O10095" s="124"/>
    </row>
    <row r="10096">
      <c r="K10096" s="124"/>
      <c r="L10096" s="124"/>
      <c r="M10096" s="124"/>
      <c r="N10096" s="124"/>
      <c r="O10096" s="124"/>
    </row>
    <row r="10097">
      <c r="K10097" s="124"/>
      <c r="L10097" s="124"/>
      <c r="M10097" s="124"/>
      <c r="N10097" s="124"/>
      <c r="O10097" s="124"/>
    </row>
    <row r="10098">
      <c r="K10098" s="124"/>
      <c r="L10098" s="124"/>
      <c r="M10098" s="124"/>
      <c r="N10098" s="124"/>
      <c r="O10098" s="124"/>
    </row>
    <row r="10099">
      <c r="K10099" s="124"/>
      <c r="L10099" s="124"/>
      <c r="M10099" s="124"/>
      <c r="N10099" s="124"/>
      <c r="O10099" s="124"/>
    </row>
    <row r="10100">
      <c r="K10100" s="124"/>
      <c r="L10100" s="124"/>
      <c r="M10100" s="124"/>
      <c r="N10100" s="124"/>
      <c r="O10100" s="124"/>
    </row>
    <row r="10101">
      <c r="K10101" s="124"/>
      <c r="L10101" s="124"/>
      <c r="M10101" s="124"/>
      <c r="N10101" s="124"/>
      <c r="O10101" s="124"/>
    </row>
    <row r="10102">
      <c r="K10102" s="124"/>
      <c r="L10102" s="124"/>
      <c r="M10102" s="124"/>
      <c r="N10102" s="124"/>
      <c r="O10102" s="124"/>
    </row>
    <row r="10103">
      <c r="K10103" s="124"/>
      <c r="L10103" s="124"/>
      <c r="M10103" s="124"/>
      <c r="N10103" s="124"/>
      <c r="O10103" s="124"/>
    </row>
    <row r="10104">
      <c r="K10104" s="124"/>
      <c r="L10104" s="124"/>
      <c r="M10104" s="124"/>
      <c r="N10104" s="124"/>
      <c r="O10104" s="124"/>
    </row>
    <row r="10105">
      <c r="K10105" s="124"/>
      <c r="L10105" s="124"/>
      <c r="M10105" s="124"/>
      <c r="N10105" s="124"/>
      <c r="O10105" s="124"/>
    </row>
    <row r="10106">
      <c r="K10106" s="124"/>
      <c r="L10106" s="124"/>
      <c r="M10106" s="124"/>
      <c r="N10106" s="124"/>
      <c r="O10106" s="124"/>
    </row>
    <row r="10107">
      <c r="K10107" s="124"/>
      <c r="L10107" s="124"/>
      <c r="M10107" s="124"/>
      <c r="N10107" s="124"/>
      <c r="O10107" s="124"/>
    </row>
    <row r="10108">
      <c r="K10108" s="124"/>
      <c r="L10108" s="124"/>
      <c r="M10108" s="124"/>
      <c r="N10108" s="124"/>
      <c r="O10108" s="124"/>
    </row>
    <row r="10109">
      <c r="K10109" s="124"/>
      <c r="L10109" s="124"/>
      <c r="M10109" s="124"/>
      <c r="N10109" s="124"/>
      <c r="O10109" s="124"/>
    </row>
    <row r="10110">
      <c r="K10110" s="124"/>
      <c r="L10110" s="124"/>
      <c r="M10110" s="124"/>
      <c r="N10110" s="124"/>
      <c r="O10110" s="124"/>
    </row>
    <row r="10111">
      <c r="K10111" s="124"/>
      <c r="L10111" s="124"/>
      <c r="M10111" s="124"/>
      <c r="N10111" s="124"/>
      <c r="O10111" s="124"/>
    </row>
    <row r="10112">
      <c r="K10112" s="124"/>
      <c r="L10112" s="124"/>
      <c r="M10112" s="124"/>
      <c r="N10112" s="124"/>
      <c r="O10112" s="124"/>
    </row>
    <row r="10113">
      <c r="K10113" s="124"/>
      <c r="L10113" s="124"/>
      <c r="M10113" s="124"/>
      <c r="N10113" s="124"/>
      <c r="O10113" s="124"/>
    </row>
    <row r="10114">
      <c r="K10114" s="124"/>
      <c r="L10114" s="124"/>
      <c r="M10114" s="124"/>
      <c r="N10114" s="124"/>
      <c r="O10114" s="124"/>
    </row>
    <row r="10115">
      <c r="K10115" s="124"/>
      <c r="L10115" s="124"/>
      <c r="M10115" s="124"/>
      <c r="N10115" s="124"/>
      <c r="O10115" s="124"/>
    </row>
    <row r="10116">
      <c r="K10116" s="124"/>
      <c r="L10116" s="124"/>
      <c r="M10116" s="124"/>
      <c r="N10116" s="124"/>
      <c r="O10116" s="124"/>
    </row>
    <row r="10117">
      <c r="K10117" s="124"/>
      <c r="L10117" s="124"/>
      <c r="M10117" s="124"/>
      <c r="N10117" s="124"/>
      <c r="O10117" s="124"/>
    </row>
    <row r="10118">
      <c r="K10118" s="124"/>
      <c r="L10118" s="124"/>
      <c r="M10118" s="124"/>
      <c r="N10118" s="124"/>
      <c r="O10118" s="124"/>
    </row>
    <row r="10119">
      <c r="K10119" s="124"/>
      <c r="L10119" s="124"/>
      <c r="M10119" s="124"/>
      <c r="N10119" s="124"/>
      <c r="O10119" s="124"/>
    </row>
    <row r="10120">
      <c r="K10120" s="124"/>
      <c r="L10120" s="124"/>
      <c r="M10120" s="124"/>
      <c r="N10120" s="124"/>
      <c r="O10120" s="124"/>
    </row>
    <row r="10121">
      <c r="K10121" s="124"/>
      <c r="L10121" s="124"/>
      <c r="M10121" s="124"/>
      <c r="N10121" s="124"/>
      <c r="O10121" s="124"/>
    </row>
    <row r="10122">
      <c r="K10122" s="124"/>
      <c r="L10122" s="124"/>
      <c r="M10122" s="124"/>
      <c r="N10122" s="124"/>
      <c r="O10122" s="124"/>
    </row>
    <row r="10123">
      <c r="K10123" s="124"/>
      <c r="L10123" s="124"/>
      <c r="M10123" s="124"/>
      <c r="N10123" s="124"/>
      <c r="O10123" s="124"/>
    </row>
    <row r="10124">
      <c r="K10124" s="124"/>
      <c r="L10124" s="124"/>
      <c r="M10124" s="124"/>
      <c r="N10124" s="124"/>
      <c r="O10124" s="124"/>
    </row>
    <row r="10125">
      <c r="K10125" s="124"/>
      <c r="L10125" s="124"/>
      <c r="M10125" s="124"/>
      <c r="N10125" s="124"/>
      <c r="O10125" s="124"/>
    </row>
    <row r="10126">
      <c r="K10126" s="124"/>
      <c r="L10126" s="124"/>
      <c r="M10126" s="124"/>
      <c r="N10126" s="124"/>
      <c r="O10126" s="124"/>
    </row>
    <row r="10127">
      <c r="K10127" s="124"/>
      <c r="L10127" s="124"/>
      <c r="M10127" s="124"/>
      <c r="N10127" s="124"/>
      <c r="O10127" s="124"/>
    </row>
    <row r="10128">
      <c r="K10128" s="124"/>
      <c r="L10128" s="124"/>
      <c r="M10128" s="124"/>
      <c r="N10128" s="124"/>
      <c r="O10128" s="124"/>
    </row>
    <row r="10129">
      <c r="K10129" s="124"/>
      <c r="L10129" s="124"/>
      <c r="M10129" s="124"/>
      <c r="N10129" s="124"/>
      <c r="O10129" s="124"/>
    </row>
    <row r="10130">
      <c r="K10130" s="124"/>
      <c r="L10130" s="124"/>
      <c r="M10130" s="124"/>
      <c r="N10130" s="124"/>
      <c r="O10130" s="124"/>
    </row>
    <row r="10131">
      <c r="K10131" s="124"/>
      <c r="L10131" s="124"/>
      <c r="M10131" s="124"/>
      <c r="N10131" s="124"/>
      <c r="O10131" s="124"/>
    </row>
    <row r="10132">
      <c r="K10132" s="124"/>
      <c r="L10132" s="124"/>
      <c r="M10132" s="124"/>
      <c r="N10132" s="124"/>
      <c r="O10132" s="124"/>
    </row>
    <row r="10133">
      <c r="K10133" s="124"/>
      <c r="L10133" s="124"/>
      <c r="M10133" s="124"/>
      <c r="N10133" s="124"/>
      <c r="O10133" s="124"/>
    </row>
    <row r="10134">
      <c r="K10134" s="124"/>
      <c r="L10134" s="124"/>
      <c r="M10134" s="124"/>
      <c r="N10134" s="124"/>
      <c r="O10134" s="124"/>
    </row>
    <row r="10135">
      <c r="K10135" s="124"/>
      <c r="L10135" s="124"/>
      <c r="M10135" s="124"/>
      <c r="N10135" s="124"/>
      <c r="O10135" s="124"/>
    </row>
    <row r="10136">
      <c r="K10136" s="124"/>
      <c r="L10136" s="124"/>
      <c r="M10136" s="124"/>
      <c r="N10136" s="124"/>
      <c r="O10136" s="124"/>
    </row>
    <row r="10137">
      <c r="K10137" s="124"/>
      <c r="L10137" s="124"/>
      <c r="M10137" s="124"/>
      <c r="N10137" s="124"/>
      <c r="O10137" s="124"/>
    </row>
    <row r="10138">
      <c r="K10138" s="124"/>
      <c r="L10138" s="124"/>
      <c r="M10138" s="124"/>
      <c r="N10138" s="124"/>
      <c r="O10138" s="124"/>
    </row>
    <row r="10139">
      <c r="K10139" s="124"/>
      <c r="L10139" s="124"/>
      <c r="M10139" s="124"/>
      <c r="N10139" s="124"/>
      <c r="O10139" s="124"/>
    </row>
    <row r="10140">
      <c r="K10140" s="124"/>
      <c r="L10140" s="124"/>
      <c r="M10140" s="124"/>
      <c r="N10140" s="124"/>
      <c r="O10140" s="124"/>
    </row>
    <row r="10141">
      <c r="K10141" s="124"/>
      <c r="L10141" s="124"/>
      <c r="M10141" s="124"/>
      <c r="N10141" s="124"/>
      <c r="O10141" s="124"/>
    </row>
    <row r="10142">
      <c r="K10142" s="124"/>
      <c r="L10142" s="124"/>
      <c r="M10142" s="124"/>
      <c r="N10142" s="124"/>
      <c r="O10142" s="124"/>
    </row>
    <row r="10143">
      <c r="K10143" s="124"/>
      <c r="L10143" s="124"/>
      <c r="M10143" s="124"/>
      <c r="N10143" s="124"/>
      <c r="O10143" s="124"/>
    </row>
    <row r="10144">
      <c r="K10144" s="124"/>
      <c r="L10144" s="124"/>
      <c r="M10144" s="124"/>
      <c r="N10144" s="124"/>
      <c r="O10144" s="124"/>
    </row>
    <row r="10145">
      <c r="K10145" s="124"/>
      <c r="L10145" s="124"/>
      <c r="M10145" s="124"/>
      <c r="N10145" s="124"/>
      <c r="O10145" s="124"/>
    </row>
    <row r="10146">
      <c r="K10146" s="124"/>
      <c r="L10146" s="124"/>
      <c r="M10146" s="124"/>
      <c r="N10146" s="124"/>
      <c r="O10146" s="124"/>
    </row>
    <row r="10147">
      <c r="K10147" s="124"/>
      <c r="L10147" s="124"/>
      <c r="M10147" s="124"/>
      <c r="N10147" s="124"/>
      <c r="O10147" s="124"/>
    </row>
    <row r="10148">
      <c r="K10148" s="124"/>
      <c r="L10148" s="124"/>
      <c r="M10148" s="124"/>
      <c r="N10148" s="124"/>
      <c r="O10148" s="124"/>
    </row>
    <row r="10149">
      <c r="K10149" s="124"/>
      <c r="L10149" s="124"/>
      <c r="M10149" s="124"/>
      <c r="N10149" s="124"/>
      <c r="O10149" s="124"/>
    </row>
    <row r="10150">
      <c r="K10150" s="124"/>
      <c r="L10150" s="124"/>
      <c r="M10150" s="124"/>
      <c r="N10150" s="124"/>
      <c r="O10150" s="124"/>
    </row>
    <row r="10151">
      <c r="K10151" s="124"/>
      <c r="L10151" s="124"/>
      <c r="M10151" s="124"/>
      <c r="N10151" s="124"/>
      <c r="O10151" s="124"/>
    </row>
    <row r="10152">
      <c r="K10152" s="124"/>
      <c r="L10152" s="124"/>
      <c r="M10152" s="124"/>
      <c r="N10152" s="124"/>
      <c r="O10152" s="124"/>
    </row>
    <row r="10153">
      <c r="K10153" s="124"/>
      <c r="L10153" s="124"/>
      <c r="M10153" s="124"/>
      <c r="N10153" s="124"/>
      <c r="O10153" s="124"/>
    </row>
    <row r="10154">
      <c r="K10154" s="124"/>
      <c r="L10154" s="124"/>
      <c r="M10154" s="124"/>
      <c r="N10154" s="124"/>
      <c r="O10154" s="124"/>
    </row>
    <row r="10155">
      <c r="K10155" s="124"/>
      <c r="L10155" s="124"/>
      <c r="M10155" s="124"/>
      <c r="N10155" s="124"/>
      <c r="O10155" s="124"/>
    </row>
    <row r="10156">
      <c r="K10156" s="124"/>
      <c r="L10156" s="124"/>
      <c r="M10156" s="124"/>
      <c r="N10156" s="124"/>
      <c r="O10156" s="124"/>
    </row>
    <row r="10157">
      <c r="K10157" s="124"/>
      <c r="L10157" s="124"/>
      <c r="M10157" s="124"/>
      <c r="N10157" s="124"/>
      <c r="O10157" s="124"/>
    </row>
    <row r="10158">
      <c r="K10158" s="124"/>
      <c r="L10158" s="124"/>
      <c r="M10158" s="124"/>
      <c r="N10158" s="124"/>
      <c r="O10158" s="124"/>
    </row>
    <row r="10159">
      <c r="K10159" s="124"/>
      <c r="L10159" s="124"/>
      <c r="M10159" s="124"/>
      <c r="N10159" s="124"/>
      <c r="O10159" s="124"/>
    </row>
    <row r="10160">
      <c r="K10160" s="124"/>
      <c r="L10160" s="124"/>
      <c r="M10160" s="124"/>
      <c r="N10160" s="124"/>
      <c r="O10160" s="124"/>
    </row>
    <row r="10161">
      <c r="K10161" s="124"/>
      <c r="L10161" s="124"/>
      <c r="M10161" s="124"/>
      <c r="N10161" s="124"/>
      <c r="O10161" s="124"/>
    </row>
    <row r="10162">
      <c r="K10162" s="124"/>
      <c r="L10162" s="124"/>
      <c r="M10162" s="124"/>
      <c r="N10162" s="124"/>
      <c r="O10162" s="124"/>
    </row>
    <row r="10163">
      <c r="K10163" s="124"/>
      <c r="L10163" s="124"/>
      <c r="M10163" s="124"/>
      <c r="N10163" s="124"/>
      <c r="O10163" s="124"/>
    </row>
    <row r="10164">
      <c r="K10164" s="124"/>
      <c r="L10164" s="124"/>
      <c r="M10164" s="124"/>
      <c r="N10164" s="124"/>
      <c r="O10164" s="124"/>
    </row>
    <row r="10165">
      <c r="K10165" s="124"/>
      <c r="L10165" s="124"/>
      <c r="M10165" s="124"/>
      <c r="N10165" s="124"/>
      <c r="O10165" s="124"/>
    </row>
    <row r="10166">
      <c r="K10166" s="124"/>
      <c r="L10166" s="124"/>
      <c r="M10166" s="124"/>
      <c r="N10166" s="124"/>
      <c r="O10166" s="124"/>
    </row>
    <row r="10167">
      <c r="K10167" s="124"/>
      <c r="L10167" s="124"/>
      <c r="M10167" s="124"/>
      <c r="N10167" s="124"/>
      <c r="O10167" s="124"/>
    </row>
    <row r="10168">
      <c r="K10168" s="124"/>
      <c r="L10168" s="124"/>
      <c r="M10168" s="124"/>
      <c r="N10168" s="124"/>
      <c r="O10168" s="124"/>
    </row>
    <row r="10169">
      <c r="K10169" s="124"/>
      <c r="L10169" s="124"/>
      <c r="M10169" s="124"/>
      <c r="N10169" s="124"/>
      <c r="O10169" s="124"/>
    </row>
    <row r="10170">
      <c r="K10170" s="124"/>
      <c r="L10170" s="124"/>
      <c r="M10170" s="124"/>
      <c r="N10170" s="124"/>
      <c r="O10170" s="124"/>
    </row>
    <row r="10171">
      <c r="K10171" s="124"/>
      <c r="L10171" s="124"/>
      <c r="M10171" s="124"/>
      <c r="N10171" s="124"/>
      <c r="O10171" s="124"/>
    </row>
    <row r="10172">
      <c r="K10172" s="124"/>
      <c r="L10172" s="124"/>
      <c r="M10172" s="124"/>
      <c r="N10172" s="124"/>
      <c r="O10172" s="124"/>
    </row>
    <row r="10173">
      <c r="K10173" s="124"/>
      <c r="L10173" s="124"/>
      <c r="M10173" s="124"/>
      <c r="N10173" s="124"/>
      <c r="O10173" s="124"/>
    </row>
    <row r="10174">
      <c r="K10174" s="124"/>
      <c r="L10174" s="124"/>
      <c r="M10174" s="124"/>
      <c r="N10174" s="124"/>
      <c r="O10174" s="124"/>
    </row>
    <row r="10175">
      <c r="K10175" s="124"/>
      <c r="L10175" s="124"/>
      <c r="M10175" s="124"/>
      <c r="N10175" s="124"/>
      <c r="O10175" s="124"/>
    </row>
    <row r="10176">
      <c r="K10176" s="124"/>
      <c r="L10176" s="124"/>
      <c r="M10176" s="124"/>
      <c r="N10176" s="124"/>
      <c r="O10176" s="124"/>
    </row>
    <row r="10177">
      <c r="K10177" s="124"/>
      <c r="L10177" s="124"/>
      <c r="M10177" s="124"/>
      <c r="N10177" s="124"/>
      <c r="O10177" s="124"/>
    </row>
    <row r="10178">
      <c r="K10178" s="124"/>
      <c r="L10178" s="124"/>
      <c r="M10178" s="124"/>
      <c r="N10178" s="124"/>
      <c r="O10178" s="124"/>
    </row>
    <row r="10179">
      <c r="K10179" s="124"/>
      <c r="L10179" s="124"/>
      <c r="M10179" s="124"/>
      <c r="N10179" s="124"/>
      <c r="O10179" s="124"/>
    </row>
    <row r="10180">
      <c r="K10180" s="124"/>
      <c r="L10180" s="124"/>
      <c r="M10180" s="124"/>
      <c r="N10180" s="124"/>
      <c r="O10180" s="124"/>
    </row>
    <row r="10181">
      <c r="K10181" s="124"/>
      <c r="L10181" s="124"/>
      <c r="M10181" s="124"/>
      <c r="N10181" s="124"/>
      <c r="O10181" s="124"/>
    </row>
    <row r="10182">
      <c r="K10182" s="124"/>
      <c r="L10182" s="124"/>
      <c r="M10182" s="124"/>
      <c r="N10182" s="124"/>
      <c r="O10182" s="124"/>
    </row>
    <row r="10183">
      <c r="K10183" s="124"/>
      <c r="L10183" s="124"/>
      <c r="M10183" s="124"/>
      <c r="N10183" s="124"/>
      <c r="O10183" s="124"/>
    </row>
    <row r="10184">
      <c r="K10184" s="124"/>
      <c r="L10184" s="124"/>
      <c r="M10184" s="124"/>
      <c r="N10184" s="124"/>
      <c r="O10184" s="124"/>
    </row>
    <row r="10185">
      <c r="K10185" s="124"/>
      <c r="L10185" s="124"/>
      <c r="M10185" s="124"/>
      <c r="N10185" s="124"/>
      <c r="O10185" s="124"/>
    </row>
    <row r="10186">
      <c r="K10186" s="124"/>
      <c r="L10186" s="124"/>
      <c r="M10186" s="124"/>
      <c r="N10186" s="124"/>
      <c r="O10186" s="124"/>
    </row>
    <row r="10187">
      <c r="K10187" s="124"/>
      <c r="L10187" s="124"/>
      <c r="M10187" s="124"/>
      <c r="N10187" s="124"/>
      <c r="O10187" s="124"/>
    </row>
    <row r="10188">
      <c r="K10188" s="124"/>
      <c r="L10188" s="124"/>
      <c r="M10188" s="124"/>
      <c r="N10188" s="124"/>
      <c r="O10188" s="124"/>
    </row>
    <row r="10189">
      <c r="K10189" s="124"/>
      <c r="L10189" s="124"/>
      <c r="M10189" s="124"/>
      <c r="N10189" s="124"/>
      <c r="O10189" s="124"/>
    </row>
    <row r="10190">
      <c r="K10190" s="124"/>
      <c r="L10190" s="124"/>
      <c r="M10190" s="124"/>
      <c r="N10190" s="124"/>
      <c r="O10190" s="124"/>
    </row>
    <row r="10191">
      <c r="K10191" s="124"/>
      <c r="L10191" s="124"/>
      <c r="M10191" s="124"/>
      <c r="N10191" s="124"/>
      <c r="O10191" s="124"/>
    </row>
    <row r="10192">
      <c r="K10192" s="124"/>
      <c r="L10192" s="124"/>
      <c r="M10192" s="124"/>
      <c r="N10192" s="124"/>
      <c r="O10192" s="124"/>
    </row>
    <row r="10193">
      <c r="K10193" s="124"/>
      <c r="L10193" s="124"/>
      <c r="M10193" s="124"/>
      <c r="N10193" s="124"/>
      <c r="O10193" s="124"/>
    </row>
    <row r="10194">
      <c r="K10194" s="124"/>
      <c r="L10194" s="124"/>
      <c r="M10194" s="124"/>
      <c r="N10194" s="124"/>
      <c r="O10194" s="124"/>
    </row>
    <row r="10195">
      <c r="K10195" s="124"/>
      <c r="L10195" s="124"/>
      <c r="M10195" s="124"/>
      <c r="N10195" s="124"/>
      <c r="O10195" s="124"/>
    </row>
    <row r="10196">
      <c r="K10196" s="124"/>
      <c r="L10196" s="124"/>
      <c r="M10196" s="124"/>
      <c r="N10196" s="124"/>
      <c r="O10196" s="124"/>
    </row>
    <row r="10197">
      <c r="K10197" s="124"/>
      <c r="L10197" s="124"/>
      <c r="M10197" s="124"/>
      <c r="N10197" s="124"/>
      <c r="O10197" s="124"/>
    </row>
    <row r="10198">
      <c r="K10198" s="124"/>
      <c r="L10198" s="124"/>
      <c r="M10198" s="124"/>
      <c r="N10198" s="124"/>
      <c r="O10198" s="124"/>
    </row>
    <row r="10199">
      <c r="K10199" s="124"/>
      <c r="L10199" s="124"/>
      <c r="M10199" s="124"/>
      <c r="N10199" s="124"/>
      <c r="O10199" s="124"/>
    </row>
    <row r="10200">
      <c r="K10200" s="124"/>
      <c r="L10200" s="124"/>
      <c r="M10200" s="124"/>
      <c r="N10200" s="124"/>
      <c r="O10200" s="124"/>
    </row>
    <row r="10201">
      <c r="K10201" s="124"/>
      <c r="L10201" s="124"/>
      <c r="M10201" s="124"/>
      <c r="N10201" s="124"/>
      <c r="O10201" s="124"/>
    </row>
    <row r="10202">
      <c r="K10202" s="124"/>
      <c r="L10202" s="124"/>
      <c r="M10202" s="124"/>
      <c r="N10202" s="124"/>
      <c r="O10202" s="124"/>
    </row>
    <row r="10203">
      <c r="K10203" s="124"/>
      <c r="L10203" s="124"/>
      <c r="M10203" s="124"/>
      <c r="N10203" s="124"/>
      <c r="O10203" s="124"/>
    </row>
    <row r="10204">
      <c r="K10204" s="124"/>
      <c r="L10204" s="124"/>
      <c r="M10204" s="124"/>
      <c r="N10204" s="124"/>
      <c r="O10204" s="124"/>
    </row>
    <row r="10205">
      <c r="K10205" s="124"/>
      <c r="L10205" s="124"/>
      <c r="M10205" s="124"/>
      <c r="N10205" s="124"/>
      <c r="O10205" s="124"/>
    </row>
    <row r="10206">
      <c r="K10206" s="124"/>
      <c r="L10206" s="124"/>
      <c r="M10206" s="124"/>
      <c r="N10206" s="124"/>
      <c r="O10206" s="124"/>
    </row>
    <row r="10207">
      <c r="K10207" s="124"/>
      <c r="L10207" s="124"/>
      <c r="M10207" s="124"/>
      <c r="N10207" s="124"/>
      <c r="O10207" s="124"/>
    </row>
    <row r="10208">
      <c r="K10208" s="124"/>
      <c r="L10208" s="124"/>
      <c r="M10208" s="124"/>
      <c r="N10208" s="124"/>
      <c r="O10208" s="124"/>
    </row>
    <row r="10209">
      <c r="K10209" s="124"/>
      <c r="L10209" s="124"/>
      <c r="M10209" s="124"/>
      <c r="N10209" s="124"/>
      <c r="O10209" s="124"/>
    </row>
    <row r="10210">
      <c r="K10210" s="124"/>
      <c r="L10210" s="124"/>
      <c r="M10210" s="124"/>
      <c r="N10210" s="124"/>
      <c r="O10210" s="124"/>
    </row>
    <row r="10211">
      <c r="K10211" s="124"/>
      <c r="L10211" s="124"/>
      <c r="M10211" s="124"/>
      <c r="N10211" s="124"/>
      <c r="O10211" s="124"/>
    </row>
    <row r="10212">
      <c r="K10212" s="124"/>
      <c r="L10212" s="124"/>
      <c r="M10212" s="124"/>
      <c r="N10212" s="124"/>
      <c r="O10212" s="124"/>
    </row>
    <row r="10213">
      <c r="K10213" s="124"/>
      <c r="L10213" s="124"/>
      <c r="M10213" s="124"/>
      <c r="N10213" s="124"/>
      <c r="O10213" s="124"/>
    </row>
    <row r="10214">
      <c r="K10214" s="124"/>
      <c r="L10214" s="124"/>
      <c r="M10214" s="124"/>
      <c r="N10214" s="124"/>
      <c r="O10214" s="124"/>
    </row>
    <row r="10215">
      <c r="K10215" s="124"/>
      <c r="L10215" s="124"/>
      <c r="M10215" s="124"/>
      <c r="N10215" s="124"/>
      <c r="O10215" s="124"/>
    </row>
    <row r="10216">
      <c r="K10216" s="124"/>
      <c r="L10216" s="124"/>
      <c r="M10216" s="124"/>
      <c r="N10216" s="124"/>
      <c r="O10216" s="124"/>
    </row>
    <row r="10217">
      <c r="K10217" s="124"/>
      <c r="L10217" s="124"/>
      <c r="M10217" s="124"/>
      <c r="N10217" s="124"/>
      <c r="O10217" s="124"/>
    </row>
    <row r="10218">
      <c r="K10218" s="124"/>
      <c r="L10218" s="124"/>
      <c r="M10218" s="124"/>
      <c r="N10218" s="124"/>
      <c r="O10218" s="124"/>
    </row>
    <row r="10219">
      <c r="K10219" s="124"/>
      <c r="L10219" s="124"/>
      <c r="M10219" s="124"/>
      <c r="N10219" s="124"/>
      <c r="O10219" s="124"/>
    </row>
    <row r="10220">
      <c r="K10220" s="124"/>
      <c r="L10220" s="124"/>
      <c r="M10220" s="124"/>
      <c r="N10220" s="124"/>
      <c r="O10220" s="124"/>
    </row>
    <row r="10221">
      <c r="K10221" s="124"/>
      <c r="L10221" s="124"/>
      <c r="M10221" s="124"/>
      <c r="N10221" s="124"/>
      <c r="O10221" s="124"/>
    </row>
    <row r="10222">
      <c r="K10222" s="124"/>
      <c r="L10222" s="124"/>
      <c r="M10222" s="124"/>
      <c r="N10222" s="124"/>
      <c r="O10222" s="124"/>
    </row>
    <row r="10223">
      <c r="K10223" s="124"/>
      <c r="L10223" s="124"/>
      <c r="M10223" s="124"/>
      <c r="N10223" s="124"/>
      <c r="O10223" s="124"/>
    </row>
    <row r="10224">
      <c r="K10224" s="124"/>
      <c r="L10224" s="124"/>
      <c r="M10224" s="124"/>
      <c r="N10224" s="124"/>
      <c r="O10224" s="124"/>
    </row>
    <row r="10225">
      <c r="K10225" s="124"/>
      <c r="L10225" s="124"/>
      <c r="M10225" s="124"/>
      <c r="N10225" s="124"/>
      <c r="O10225" s="124"/>
    </row>
    <row r="10226">
      <c r="K10226" s="124"/>
      <c r="L10226" s="124"/>
      <c r="M10226" s="124"/>
      <c r="N10226" s="124"/>
      <c r="O10226" s="124"/>
    </row>
    <row r="10227">
      <c r="K10227" s="124"/>
      <c r="L10227" s="124"/>
      <c r="M10227" s="124"/>
      <c r="N10227" s="124"/>
      <c r="O10227" s="124"/>
    </row>
    <row r="10228">
      <c r="K10228" s="124"/>
      <c r="L10228" s="124"/>
      <c r="M10228" s="124"/>
      <c r="N10228" s="124"/>
      <c r="O10228" s="124"/>
    </row>
    <row r="10229">
      <c r="K10229" s="124"/>
      <c r="L10229" s="124"/>
      <c r="M10229" s="124"/>
      <c r="N10229" s="124"/>
      <c r="O10229" s="124"/>
    </row>
    <row r="10230">
      <c r="K10230" s="124"/>
      <c r="L10230" s="124"/>
      <c r="M10230" s="124"/>
      <c r="N10230" s="124"/>
      <c r="O10230" s="124"/>
    </row>
    <row r="10231">
      <c r="K10231" s="124"/>
      <c r="L10231" s="124"/>
      <c r="M10231" s="124"/>
      <c r="N10231" s="124"/>
      <c r="O10231" s="124"/>
    </row>
    <row r="10232">
      <c r="K10232" s="124"/>
      <c r="L10232" s="124"/>
      <c r="M10232" s="124"/>
      <c r="N10232" s="124"/>
      <c r="O10232" s="124"/>
    </row>
    <row r="10233">
      <c r="K10233" s="124"/>
      <c r="L10233" s="124"/>
      <c r="M10233" s="124"/>
      <c r="N10233" s="124"/>
      <c r="O10233" s="124"/>
    </row>
    <row r="10234">
      <c r="K10234" s="124"/>
      <c r="L10234" s="124"/>
      <c r="M10234" s="124"/>
      <c r="N10234" s="124"/>
      <c r="O10234" s="124"/>
    </row>
    <row r="10235">
      <c r="K10235" s="124"/>
      <c r="L10235" s="124"/>
      <c r="M10235" s="124"/>
      <c r="N10235" s="124"/>
      <c r="O10235" s="124"/>
    </row>
    <row r="10236">
      <c r="K10236" s="124"/>
      <c r="L10236" s="124"/>
      <c r="M10236" s="124"/>
      <c r="N10236" s="124"/>
      <c r="O10236" s="124"/>
    </row>
    <row r="10237">
      <c r="K10237" s="124"/>
      <c r="L10237" s="124"/>
      <c r="M10237" s="124"/>
      <c r="N10237" s="124"/>
      <c r="O10237" s="124"/>
    </row>
    <row r="10238">
      <c r="K10238" s="124"/>
      <c r="L10238" s="124"/>
      <c r="M10238" s="124"/>
      <c r="N10238" s="124"/>
      <c r="O10238" s="124"/>
    </row>
    <row r="10239">
      <c r="K10239" s="124"/>
      <c r="L10239" s="124"/>
      <c r="M10239" s="124"/>
      <c r="N10239" s="124"/>
      <c r="O10239" s="124"/>
    </row>
    <row r="10240">
      <c r="K10240" s="124"/>
      <c r="L10240" s="124"/>
      <c r="M10240" s="124"/>
      <c r="N10240" s="124"/>
      <c r="O10240" s="124"/>
    </row>
    <row r="10241">
      <c r="K10241" s="124"/>
      <c r="L10241" s="124"/>
      <c r="M10241" s="124"/>
      <c r="N10241" s="124"/>
      <c r="O10241" s="124"/>
    </row>
    <row r="10242">
      <c r="K10242" s="124"/>
      <c r="L10242" s="124"/>
      <c r="M10242" s="124"/>
      <c r="N10242" s="124"/>
      <c r="O10242" s="124"/>
    </row>
    <row r="10243">
      <c r="K10243" s="124"/>
      <c r="L10243" s="124"/>
      <c r="M10243" s="124"/>
      <c r="N10243" s="124"/>
      <c r="O10243" s="124"/>
    </row>
    <row r="10244">
      <c r="K10244" s="124"/>
      <c r="L10244" s="124"/>
      <c r="M10244" s="124"/>
      <c r="N10244" s="124"/>
      <c r="O10244" s="124"/>
    </row>
    <row r="10245">
      <c r="K10245" s="124"/>
      <c r="L10245" s="124"/>
      <c r="M10245" s="124"/>
      <c r="N10245" s="124"/>
      <c r="O10245" s="124"/>
    </row>
    <row r="10246">
      <c r="K10246" s="124"/>
      <c r="L10246" s="124"/>
      <c r="M10246" s="124"/>
      <c r="N10246" s="124"/>
      <c r="O10246" s="124"/>
    </row>
    <row r="10247">
      <c r="K10247" s="124"/>
      <c r="L10247" s="124"/>
      <c r="M10247" s="124"/>
      <c r="N10247" s="124"/>
      <c r="O10247" s="124"/>
    </row>
    <row r="10248">
      <c r="K10248" s="124"/>
      <c r="L10248" s="124"/>
      <c r="M10248" s="124"/>
      <c r="N10248" s="124"/>
      <c r="O10248" s="124"/>
    </row>
    <row r="10249">
      <c r="K10249" s="124"/>
      <c r="L10249" s="124"/>
      <c r="M10249" s="124"/>
      <c r="N10249" s="124"/>
      <c r="O10249" s="124"/>
    </row>
    <row r="10250">
      <c r="K10250" s="124"/>
      <c r="L10250" s="124"/>
      <c r="M10250" s="124"/>
      <c r="N10250" s="124"/>
      <c r="O10250" s="124"/>
    </row>
    <row r="10251">
      <c r="K10251" s="124"/>
      <c r="L10251" s="124"/>
      <c r="M10251" s="124"/>
      <c r="N10251" s="124"/>
      <c r="O10251" s="124"/>
    </row>
    <row r="10252">
      <c r="K10252" s="124"/>
      <c r="L10252" s="124"/>
      <c r="M10252" s="124"/>
      <c r="N10252" s="124"/>
      <c r="O10252" s="124"/>
    </row>
    <row r="10253">
      <c r="K10253" s="124"/>
      <c r="L10253" s="124"/>
      <c r="M10253" s="124"/>
      <c r="N10253" s="124"/>
      <c r="O10253" s="124"/>
    </row>
    <row r="10254">
      <c r="K10254" s="124"/>
      <c r="L10254" s="124"/>
      <c r="M10254" s="124"/>
      <c r="N10254" s="124"/>
      <c r="O10254" s="124"/>
    </row>
    <row r="10255">
      <c r="K10255" s="124"/>
      <c r="L10255" s="124"/>
      <c r="M10255" s="124"/>
      <c r="N10255" s="124"/>
      <c r="O10255" s="124"/>
    </row>
    <row r="10256">
      <c r="K10256" s="124"/>
      <c r="L10256" s="124"/>
      <c r="M10256" s="124"/>
      <c r="N10256" s="124"/>
      <c r="O10256" s="124"/>
    </row>
    <row r="10257">
      <c r="K10257" s="124"/>
      <c r="L10257" s="124"/>
      <c r="M10257" s="124"/>
      <c r="N10257" s="124"/>
      <c r="O10257" s="124"/>
    </row>
    <row r="10258">
      <c r="K10258" s="124"/>
      <c r="L10258" s="124"/>
      <c r="M10258" s="124"/>
      <c r="N10258" s="124"/>
      <c r="O10258" s="124"/>
    </row>
    <row r="10259">
      <c r="K10259" s="124"/>
      <c r="L10259" s="124"/>
      <c r="M10259" s="124"/>
      <c r="N10259" s="124"/>
      <c r="O10259" s="124"/>
    </row>
    <row r="10260">
      <c r="K10260" s="124"/>
      <c r="L10260" s="124"/>
      <c r="M10260" s="124"/>
      <c r="N10260" s="124"/>
      <c r="O10260" s="124"/>
    </row>
    <row r="10261">
      <c r="K10261" s="124"/>
      <c r="L10261" s="124"/>
      <c r="M10261" s="124"/>
      <c r="N10261" s="124"/>
      <c r="O10261" s="124"/>
    </row>
    <row r="10262">
      <c r="K10262" s="124"/>
      <c r="L10262" s="124"/>
      <c r="M10262" s="124"/>
      <c r="N10262" s="124"/>
      <c r="O10262" s="124"/>
    </row>
    <row r="10263">
      <c r="K10263" s="124"/>
      <c r="L10263" s="124"/>
      <c r="M10263" s="124"/>
      <c r="N10263" s="124"/>
      <c r="O10263" s="124"/>
    </row>
    <row r="10264">
      <c r="K10264" s="124"/>
      <c r="L10264" s="124"/>
      <c r="M10264" s="124"/>
      <c r="N10264" s="124"/>
      <c r="O10264" s="124"/>
    </row>
    <row r="10265">
      <c r="K10265" s="124"/>
      <c r="L10265" s="124"/>
      <c r="M10265" s="124"/>
      <c r="N10265" s="124"/>
      <c r="O10265" s="124"/>
    </row>
    <row r="10266">
      <c r="K10266" s="124"/>
      <c r="L10266" s="124"/>
      <c r="M10266" s="124"/>
      <c r="N10266" s="124"/>
      <c r="O10266" s="124"/>
    </row>
    <row r="10267">
      <c r="K10267" s="124"/>
      <c r="L10267" s="124"/>
      <c r="M10267" s="124"/>
      <c r="N10267" s="124"/>
      <c r="O10267" s="124"/>
    </row>
    <row r="10268">
      <c r="K10268" s="124"/>
      <c r="L10268" s="124"/>
      <c r="M10268" s="124"/>
      <c r="N10268" s="124"/>
      <c r="O10268" s="124"/>
    </row>
    <row r="10269">
      <c r="K10269" s="124"/>
      <c r="L10269" s="124"/>
      <c r="M10269" s="124"/>
      <c r="N10269" s="124"/>
      <c r="O10269" s="124"/>
    </row>
    <row r="10270">
      <c r="K10270" s="124"/>
      <c r="L10270" s="124"/>
      <c r="M10270" s="124"/>
      <c r="N10270" s="124"/>
      <c r="O10270" s="124"/>
    </row>
    <row r="10271">
      <c r="K10271" s="124"/>
      <c r="L10271" s="124"/>
      <c r="M10271" s="124"/>
      <c r="N10271" s="124"/>
      <c r="O10271" s="124"/>
    </row>
    <row r="10272">
      <c r="K10272" s="124"/>
      <c r="L10272" s="124"/>
      <c r="M10272" s="124"/>
      <c r="N10272" s="124"/>
      <c r="O10272" s="124"/>
    </row>
    <row r="10273">
      <c r="K10273" s="124"/>
      <c r="L10273" s="124"/>
      <c r="M10273" s="124"/>
      <c r="N10273" s="124"/>
      <c r="O10273" s="124"/>
    </row>
    <row r="10274">
      <c r="K10274" s="124"/>
      <c r="L10274" s="124"/>
      <c r="M10274" s="124"/>
      <c r="N10274" s="124"/>
      <c r="O10274" s="124"/>
    </row>
    <row r="10275">
      <c r="K10275" s="124"/>
      <c r="L10275" s="124"/>
      <c r="M10275" s="124"/>
      <c r="N10275" s="124"/>
      <c r="O10275" s="124"/>
    </row>
    <row r="10276">
      <c r="K10276" s="124"/>
      <c r="L10276" s="124"/>
      <c r="M10276" s="124"/>
      <c r="N10276" s="124"/>
      <c r="O10276" s="124"/>
    </row>
    <row r="10277">
      <c r="K10277" s="124"/>
      <c r="L10277" s="124"/>
      <c r="M10277" s="124"/>
      <c r="N10277" s="124"/>
      <c r="O10277" s="124"/>
    </row>
    <row r="10278">
      <c r="K10278" s="124"/>
      <c r="L10278" s="124"/>
      <c r="M10278" s="124"/>
      <c r="N10278" s="124"/>
      <c r="O10278" s="124"/>
    </row>
    <row r="10279">
      <c r="K10279" s="124"/>
      <c r="L10279" s="124"/>
      <c r="M10279" s="124"/>
      <c r="N10279" s="124"/>
      <c r="O10279" s="124"/>
    </row>
    <row r="10280">
      <c r="K10280" s="124"/>
      <c r="L10280" s="124"/>
      <c r="M10280" s="124"/>
      <c r="N10280" s="124"/>
      <c r="O10280" s="124"/>
    </row>
    <row r="10281">
      <c r="K10281" s="124"/>
      <c r="L10281" s="124"/>
      <c r="M10281" s="124"/>
      <c r="N10281" s="124"/>
      <c r="O10281" s="124"/>
    </row>
    <row r="10282">
      <c r="K10282" s="124"/>
      <c r="L10282" s="124"/>
      <c r="M10282" s="124"/>
      <c r="N10282" s="124"/>
      <c r="O10282" s="124"/>
    </row>
    <row r="10283">
      <c r="K10283" s="124"/>
      <c r="L10283" s="124"/>
      <c r="M10283" s="124"/>
      <c r="N10283" s="124"/>
      <c r="O10283" s="124"/>
    </row>
    <row r="10284">
      <c r="K10284" s="124"/>
      <c r="L10284" s="124"/>
      <c r="M10284" s="124"/>
      <c r="N10284" s="124"/>
      <c r="O10284" s="124"/>
    </row>
    <row r="10285">
      <c r="K10285" s="124"/>
      <c r="L10285" s="124"/>
      <c r="M10285" s="124"/>
      <c r="N10285" s="124"/>
      <c r="O10285" s="124"/>
    </row>
    <row r="10286">
      <c r="K10286" s="124"/>
      <c r="L10286" s="124"/>
      <c r="M10286" s="124"/>
      <c r="N10286" s="124"/>
      <c r="O10286" s="124"/>
    </row>
    <row r="10287">
      <c r="K10287" s="124"/>
      <c r="L10287" s="124"/>
      <c r="M10287" s="124"/>
      <c r="N10287" s="124"/>
      <c r="O10287" s="124"/>
    </row>
    <row r="10288">
      <c r="K10288" s="124"/>
      <c r="L10288" s="124"/>
      <c r="M10288" s="124"/>
      <c r="N10288" s="124"/>
      <c r="O10288" s="124"/>
    </row>
    <row r="10289">
      <c r="K10289" s="124"/>
      <c r="L10289" s="124"/>
      <c r="M10289" s="124"/>
      <c r="N10289" s="124"/>
      <c r="O10289" s="124"/>
    </row>
    <row r="10290">
      <c r="K10290" s="124"/>
      <c r="L10290" s="124"/>
      <c r="M10290" s="124"/>
      <c r="N10290" s="124"/>
      <c r="O10290" s="124"/>
    </row>
    <row r="10291">
      <c r="K10291" s="124"/>
      <c r="L10291" s="124"/>
      <c r="M10291" s="124"/>
      <c r="N10291" s="124"/>
      <c r="O10291" s="124"/>
    </row>
    <row r="10292">
      <c r="K10292" s="124"/>
      <c r="L10292" s="124"/>
      <c r="M10292" s="124"/>
      <c r="N10292" s="124"/>
      <c r="O10292" s="124"/>
    </row>
    <row r="10293">
      <c r="K10293" s="124"/>
      <c r="L10293" s="124"/>
      <c r="M10293" s="124"/>
      <c r="N10293" s="124"/>
      <c r="O10293" s="124"/>
    </row>
    <row r="10294">
      <c r="K10294" s="124"/>
      <c r="L10294" s="124"/>
      <c r="M10294" s="124"/>
      <c r="N10294" s="124"/>
      <c r="O10294" s="124"/>
    </row>
    <row r="10295">
      <c r="K10295" s="124"/>
      <c r="L10295" s="124"/>
      <c r="M10295" s="124"/>
      <c r="N10295" s="124"/>
      <c r="O10295" s="124"/>
    </row>
    <row r="10296">
      <c r="K10296" s="124"/>
      <c r="L10296" s="124"/>
      <c r="M10296" s="124"/>
      <c r="N10296" s="124"/>
      <c r="O10296" s="124"/>
    </row>
    <row r="10297">
      <c r="K10297" s="124"/>
      <c r="L10297" s="124"/>
      <c r="M10297" s="124"/>
      <c r="N10297" s="124"/>
      <c r="O10297" s="124"/>
    </row>
    <row r="10298">
      <c r="K10298" s="124"/>
      <c r="L10298" s="124"/>
      <c r="M10298" s="124"/>
      <c r="N10298" s="124"/>
      <c r="O10298" s="124"/>
    </row>
    <row r="10299">
      <c r="K10299" s="124"/>
      <c r="L10299" s="124"/>
      <c r="M10299" s="124"/>
      <c r="N10299" s="124"/>
      <c r="O10299" s="124"/>
    </row>
    <row r="10300">
      <c r="K10300" s="124"/>
      <c r="L10300" s="124"/>
      <c r="M10300" s="124"/>
      <c r="N10300" s="124"/>
      <c r="O10300" s="124"/>
    </row>
    <row r="10301">
      <c r="K10301" s="124"/>
      <c r="L10301" s="124"/>
      <c r="M10301" s="124"/>
      <c r="N10301" s="124"/>
      <c r="O10301" s="124"/>
    </row>
    <row r="10302">
      <c r="K10302" s="124"/>
      <c r="L10302" s="124"/>
      <c r="M10302" s="124"/>
      <c r="N10302" s="124"/>
      <c r="O10302" s="124"/>
    </row>
    <row r="10303">
      <c r="K10303" s="124"/>
      <c r="L10303" s="124"/>
      <c r="M10303" s="124"/>
      <c r="N10303" s="124"/>
      <c r="O10303" s="124"/>
    </row>
    <row r="10304">
      <c r="K10304" s="124"/>
      <c r="L10304" s="124"/>
      <c r="M10304" s="124"/>
      <c r="N10304" s="124"/>
      <c r="O10304" s="124"/>
    </row>
    <row r="10305">
      <c r="K10305" s="124"/>
      <c r="L10305" s="124"/>
      <c r="M10305" s="124"/>
      <c r="N10305" s="124"/>
      <c r="O10305" s="124"/>
    </row>
    <row r="10306">
      <c r="K10306" s="124"/>
      <c r="L10306" s="124"/>
      <c r="M10306" s="124"/>
      <c r="N10306" s="124"/>
      <c r="O10306" s="124"/>
    </row>
    <row r="10307">
      <c r="K10307" s="124"/>
      <c r="L10307" s="124"/>
      <c r="M10307" s="124"/>
      <c r="N10307" s="124"/>
      <c r="O10307" s="124"/>
    </row>
    <row r="10308">
      <c r="K10308" s="124"/>
      <c r="L10308" s="124"/>
      <c r="M10308" s="124"/>
      <c r="N10308" s="124"/>
      <c r="O10308" s="124"/>
    </row>
    <row r="10309">
      <c r="K10309" s="124"/>
      <c r="L10309" s="124"/>
      <c r="M10309" s="124"/>
      <c r="N10309" s="124"/>
      <c r="O10309" s="124"/>
    </row>
    <row r="10310">
      <c r="K10310" s="124"/>
      <c r="L10310" s="124"/>
      <c r="M10310" s="124"/>
      <c r="N10310" s="124"/>
      <c r="O10310" s="124"/>
    </row>
    <row r="10311">
      <c r="K10311" s="124"/>
      <c r="L10311" s="124"/>
      <c r="M10311" s="124"/>
      <c r="N10311" s="124"/>
      <c r="O10311" s="124"/>
    </row>
    <row r="10312">
      <c r="K10312" s="124"/>
      <c r="L10312" s="124"/>
      <c r="M10312" s="124"/>
      <c r="N10312" s="124"/>
      <c r="O10312" s="124"/>
    </row>
    <row r="10313">
      <c r="K10313" s="124"/>
      <c r="L10313" s="124"/>
      <c r="M10313" s="124"/>
      <c r="N10313" s="124"/>
      <c r="O10313" s="124"/>
    </row>
    <row r="10314">
      <c r="K10314" s="124"/>
      <c r="L10314" s="124"/>
      <c r="M10314" s="124"/>
      <c r="N10314" s="124"/>
      <c r="O10314" s="124"/>
    </row>
    <row r="10315">
      <c r="K10315" s="124"/>
      <c r="L10315" s="124"/>
      <c r="M10315" s="124"/>
      <c r="N10315" s="124"/>
      <c r="O10315" s="124"/>
    </row>
    <row r="10316">
      <c r="K10316" s="124"/>
      <c r="L10316" s="124"/>
      <c r="M10316" s="124"/>
      <c r="N10316" s="124"/>
      <c r="O10316" s="124"/>
    </row>
    <row r="10317">
      <c r="K10317" s="124"/>
      <c r="L10317" s="124"/>
      <c r="M10317" s="124"/>
      <c r="N10317" s="124"/>
      <c r="O10317" s="124"/>
    </row>
    <row r="10318">
      <c r="K10318" s="124"/>
      <c r="L10318" s="124"/>
      <c r="M10318" s="124"/>
      <c r="N10318" s="124"/>
      <c r="O10318" s="124"/>
    </row>
    <row r="10319">
      <c r="K10319" s="124"/>
      <c r="L10319" s="124"/>
      <c r="M10319" s="124"/>
      <c r="N10319" s="124"/>
      <c r="O10319" s="124"/>
    </row>
    <row r="10320">
      <c r="K10320" s="124"/>
      <c r="L10320" s="124"/>
      <c r="M10320" s="124"/>
      <c r="N10320" s="124"/>
      <c r="O10320" s="124"/>
    </row>
    <row r="10321">
      <c r="K10321" s="124"/>
      <c r="L10321" s="124"/>
      <c r="M10321" s="124"/>
      <c r="N10321" s="124"/>
      <c r="O10321" s="124"/>
    </row>
    <row r="10322">
      <c r="K10322" s="124"/>
      <c r="L10322" s="124"/>
      <c r="M10322" s="124"/>
      <c r="N10322" s="124"/>
      <c r="O10322" s="124"/>
    </row>
    <row r="10323">
      <c r="K10323" s="124"/>
      <c r="L10323" s="124"/>
      <c r="M10323" s="124"/>
      <c r="N10323" s="124"/>
      <c r="O10323" s="124"/>
    </row>
    <row r="10324">
      <c r="K10324" s="124"/>
      <c r="L10324" s="124"/>
      <c r="M10324" s="124"/>
      <c r="N10324" s="124"/>
      <c r="O10324" s="124"/>
    </row>
    <row r="10325">
      <c r="K10325" s="124"/>
      <c r="L10325" s="124"/>
      <c r="M10325" s="124"/>
      <c r="N10325" s="124"/>
      <c r="O10325" s="124"/>
    </row>
    <row r="10326">
      <c r="K10326" s="124"/>
      <c r="L10326" s="124"/>
      <c r="M10326" s="124"/>
      <c r="N10326" s="124"/>
      <c r="O10326" s="124"/>
    </row>
    <row r="10327">
      <c r="K10327" s="124"/>
      <c r="L10327" s="124"/>
      <c r="M10327" s="124"/>
      <c r="N10327" s="124"/>
      <c r="O10327" s="124"/>
    </row>
    <row r="10328">
      <c r="K10328" s="124"/>
      <c r="L10328" s="124"/>
      <c r="M10328" s="124"/>
      <c r="N10328" s="124"/>
      <c r="O10328" s="124"/>
    </row>
    <row r="10329">
      <c r="K10329" s="124"/>
      <c r="L10329" s="124"/>
      <c r="M10329" s="124"/>
      <c r="N10329" s="124"/>
      <c r="O10329" s="124"/>
    </row>
    <row r="10330">
      <c r="K10330" s="124"/>
      <c r="L10330" s="124"/>
      <c r="M10330" s="124"/>
      <c r="N10330" s="124"/>
      <c r="O10330" s="124"/>
    </row>
    <row r="10331">
      <c r="K10331" s="124"/>
      <c r="L10331" s="124"/>
      <c r="M10331" s="124"/>
      <c r="N10331" s="124"/>
      <c r="O10331" s="124"/>
    </row>
    <row r="10332">
      <c r="K10332" s="124"/>
      <c r="L10332" s="124"/>
      <c r="M10332" s="124"/>
      <c r="N10332" s="124"/>
      <c r="O10332" s="124"/>
    </row>
    <row r="10333">
      <c r="K10333" s="124"/>
      <c r="L10333" s="124"/>
      <c r="M10333" s="124"/>
      <c r="N10333" s="124"/>
      <c r="O10333" s="124"/>
    </row>
    <row r="10334">
      <c r="K10334" s="124"/>
      <c r="L10334" s="124"/>
      <c r="M10334" s="124"/>
      <c r="N10334" s="124"/>
      <c r="O10334" s="124"/>
    </row>
    <row r="10335">
      <c r="K10335" s="124"/>
      <c r="L10335" s="124"/>
      <c r="M10335" s="124"/>
      <c r="N10335" s="124"/>
      <c r="O10335" s="124"/>
    </row>
    <row r="10336">
      <c r="K10336" s="124"/>
      <c r="L10336" s="124"/>
      <c r="M10336" s="124"/>
      <c r="N10336" s="124"/>
      <c r="O10336" s="124"/>
    </row>
    <row r="10337">
      <c r="K10337" s="124"/>
      <c r="L10337" s="124"/>
      <c r="M10337" s="124"/>
      <c r="N10337" s="124"/>
      <c r="O10337" s="124"/>
    </row>
    <row r="10338">
      <c r="K10338" s="124"/>
      <c r="L10338" s="124"/>
      <c r="M10338" s="124"/>
      <c r="N10338" s="124"/>
      <c r="O10338" s="124"/>
    </row>
    <row r="10339">
      <c r="K10339" s="124"/>
      <c r="L10339" s="124"/>
      <c r="M10339" s="124"/>
      <c r="N10339" s="124"/>
      <c r="O10339" s="124"/>
    </row>
    <row r="10340">
      <c r="K10340" s="124"/>
      <c r="L10340" s="124"/>
      <c r="M10340" s="124"/>
      <c r="N10340" s="124"/>
      <c r="O10340" s="124"/>
    </row>
    <row r="10341">
      <c r="K10341" s="124"/>
      <c r="L10341" s="124"/>
      <c r="M10341" s="124"/>
      <c r="N10341" s="124"/>
      <c r="O10341" s="124"/>
    </row>
    <row r="10342">
      <c r="K10342" s="124"/>
      <c r="L10342" s="124"/>
      <c r="M10342" s="124"/>
      <c r="N10342" s="124"/>
      <c r="O10342" s="124"/>
    </row>
    <row r="10343">
      <c r="K10343" s="124"/>
      <c r="L10343" s="124"/>
      <c r="M10343" s="124"/>
      <c r="N10343" s="124"/>
      <c r="O10343" s="124"/>
    </row>
    <row r="10344">
      <c r="K10344" s="124"/>
      <c r="L10344" s="124"/>
      <c r="M10344" s="124"/>
      <c r="N10344" s="124"/>
      <c r="O10344" s="124"/>
    </row>
    <row r="10345">
      <c r="K10345" s="124"/>
      <c r="L10345" s="124"/>
      <c r="M10345" s="124"/>
      <c r="N10345" s="124"/>
      <c r="O10345" s="124"/>
    </row>
    <row r="10346">
      <c r="K10346" s="124"/>
      <c r="L10346" s="124"/>
      <c r="M10346" s="124"/>
      <c r="N10346" s="124"/>
      <c r="O10346" s="124"/>
    </row>
    <row r="10347">
      <c r="K10347" s="124"/>
      <c r="L10347" s="124"/>
      <c r="M10347" s="124"/>
      <c r="N10347" s="124"/>
      <c r="O10347" s="124"/>
    </row>
    <row r="10348">
      <c r="K10348" s="124"/>
      <c r="L10348" s="124"/>
      <c r="M10348" s="124"/>
      <c r="N10348" s="124"/>
      <c r="O10348" s="124"/>
    </row>
    <row r="10349">
      <c r="K10349" s="124"/>
      <c r="L10349" s="124"/>
      <c r="M10349" s="124"/>
      <c r="N10349" s="124"/>
      <c r="O10349" s="124"/>
    </row>
    <row r="10350">
      <c r="K10350" s="124"/>
      <c r="L10350" s="124"/>
      <c r="M10350" s="124"/>
      <c r="N10350" s="124"/>
      <c r="O10350" s="124"/>
    </row>
    <row r="10351">
      <c r="K10351" s="124"/>
      <c r="L10351" s="124"/>
      <c r="M10351" s="124"/>
      <c r="N10351" s="124"/>
      <c r="O10351" s="124"/>
    </row>
    <row r="10352">
      <c r="K10352" s="124"/>
      <c r="L10352" s="124"/>
      <c r="M10352" s="124"/>
      <c r="N10352" s="124"/>
      <c r="O10352" s="124"/>
    </row>
    <row r="10353">
      <c r="K10353" s="124"/>
      <c r="L10353" s="124"/>
      <c r="M10353" s="124"/>
      <c r="N10353" s="124"/>
      <c r="O10353" s="124"/>
    </row>
    <row r="10354">
      <c r="K10354" s="124"/>
      <c r="L10354" s="124"/>
      <c r="M10354" s="124"/>
      <c r="N10354" s="124"/>
      <c r="O10354" s="124"/>
    </row>
    <row r="10355">
      <c r="K10355" s="124"/>
      <c r="L10355" s="124"/>
      <c r="M10355" s="124"/>
      <c r="N10355" s="124"/>
      <c r="O10355" s="124"/>
    </row>
    <row r="10356">
      <c r="K10356" s="124"/>
      <c r="L10356" s="124"/>
      <c r="M10356" s="124"/>
      <c r="N10356" s="124"/>
      <c r="O10356" s="124"/>
    </row>
    <row r="10357">
      <c r="K10357" s="124"/>
      <c r="L10357" s="124"/>
      <c r="M10357" s="124"/>
      <c r="N10357" s="124"/>
      <c r="O10357" s="124"/>
    </row>
    <row r="10358">
      <c r="K10358" s="124"/>
      <c r="L10358" s="124"/>
      <c r="M10358" s="124"/>
      <c r="N10358" s="124"/>
      <c r="O10358" s="124"/>
    </row>
    <row r="10359">
      <c r="K10359" s="124"/>
      <c r="L10359" s="124"/>
      <c r="M10359" s="124"/>
      <c r="N10359" s="124"/>
      <c r="O10359" s="124"/>
    </row>
    <row r="10360">
      <c r="K10360" s="124"/>
      <c r="L10360" s="124"/>
      <c r="M10360" s="124"/>
      <c r="N10360" s="124"/>
      <c r="O10360" s="124"/>
    </row>
    <row r="10361">
      <c r="K10361" s="124"/>
      <c r="L10361" s="124"/>
      <c r="M10361" s="124"/>
      <c r="N10361" s="124"/>
      <c r="O10361" s="124"/>
    </row>
    <row r="10362">
      <c r="K10362" s="124"/>
      <c r="L10362" s="124"/>
      <c r="M10362" s="124"/>
      <c r="N10362" s="124"/>
      <c r="O10362" s="124"/>
    </row>
    <row r="10363">
      <c r="K10363" s="124"/>
      <c r="L10363" s="124"/>
      <c r="M10363" s="124"/>
      <c r="N10363" s="124"/>
      <c r="O10363" s="124"/>
    </row>
    <row r="10364">
      <c r="K10364" s="124"/>
      <c r="L10364" s="124"/>
      <c r="M10364" s="124"/>
      <c r="N10364" s="124"/>
      <c r="O10364" s="124"/>
    </row>
    <row r="10365">
      <c r="K10365" s="124"/>
      <c r="L10365" s="124"/>
      <c r="M10365" s="124"/>
      <c r="N10365" s="124"/>
      <c r="O10365" s="124"/>
    </row>
    <row r="10366">
      <c r="K10366" s="124"/>
      <c r="L10366" s="124"/>
      <c r="M10366" s="124"/>
      <c r="N10366" s="124"/>
      <c r="O10366" s="124"/>
    </row>
    <row r="10367">
      <c r="K10367" s="124"/>
      <c r="L10367" s="124"/>
      <c r="M10367" s="124"/>
      <c r="N10367" s="124"/>
      <c r="O10367" s="124"/>
    </row>
    <row r="10368">
      <c r="K10368" s="124"/>
      <c r="L10368" s="124"/>
      <c r="M10368" s="124"/>
      <c r="N10368" s="124"/>
      <c r="O10368" s="124"/>
    </row>
    <row r="10369">
      <c r="K10369" s="124"/>
      <c r="L10369" s="124"/>
      <c r="M10369" s="124"/>
      <c r="N10369" s="124"/>
      <c r="O10369" s="124"/>
    </row>
    <row r="10370">
      <c r="K10370" s="124"/>
      <c r="L10370" s="124"/>
      <c r="M10370" s="124"/>
      <c r="N10370" s="124"/>
      <c r="O10370" s="124"/>
    </row>
    <row r="10371">
      <c r="K10371" s="124"/>
      <c r="L10371" s="124"/>
      <c r="M10371" s="124"/>
      <c r="N10371" s="124"/>
      <c r="O10371" s="124"/>
    </row>
    <row r="10372">
      <c r="K10372" s="124"/>
      <c r="L10372" s="124"/>
      <c r="M10372" s="124"/>
      <c r="N10372" s="124"/>
      <c r="O10372" s="124"/>
    </row>
    <row r="10373">
      <c r="K10373" s="124"/>
      <c r="L10373" s="124"/>
      <c r="M10373" s="124"/>
      <c r="N10373" s="124"/>
      <c r="O10373" s="124"/>
    </row>
    <row r="10374">
      <c r="K10374" s="124"/>
      <c r="L10374" s="124"/>
      <c r="M10374" s="124"/>
      <c r="N10374" s="124"/>
      <c r="O10374" s="124"/>
    </row>
    <row r="10375">
      <c r="K10375" s="124"/>
      <c r="L10375" s="124"/>
      <c r="M10375" s="124"/>
      <c r="N10375" s="124"/>
      <c r="O10375" s="124"/>
    </row>
    <row r="10376">
      <c r="K10376" s="124"/>
      <c r="L10376" s="124"/>
      <c r="M10376" s="124"/>
      <c r="N10376" s="124"/>
      <c r="O10376" s="124"/>
    </row>
    <row r="10377">
      <c r="K10377" s="124"/>
      <c r="L10377" s="124"/>
      <c r="M10377" s="124"/>
      <c r="N10377" s="124"/>
      <c r="O10377" s="124"/>
    </row>
    <row r="10378">
      <c r="K10378" s="124"/>
      <c r="L10378" s="124"/>
      <c r="M10378" s="124"/>
      <c r="N10378" s="124"/>
      <c r="O10378" s="124"/>
    </row>
    <row r="10379">
      <c r="K10379" s="124"/>
      <c r="L10379" s="124"/>
      <c r="M10379" s="124"/>
      <c r="N10379" s="124"/>
      <c r="O10379" s="124"/>
    </row>
    <row r="10380">
      <c r="K10380" s="124"/>
      <c r="L10380" s="124"/>
      <c r="M10380" s="124"/>
      <c r="N10380" s="124"/>
      <c r="O10380" s="124"/>
    </row>
    <row r="10381">
      <c r="K10381" s="124"/>
      <c r="L10381" s="124"/>
      <c r="M10381" s="124"/>
      <c r="N10381" s="124"/>
      <c r="O10381" s="124"/>
    </row>
    <row r="10382">
      <c r="K10382" s="124"/>
      <c r="L10382" s="124"/>
      <c r="M10382" s="124"/>
      <c r="N10382" s="124"/>
      <c r="O10382" s="124"/>
    </row>
    <row r="10383">
      <c r="K10383" s="124"/>
      <c r="L10383" s="124"/>
      <c r="M10383" s="124"/>
      <c r="N10383" s="124"/>
      <c r="O10383" s="124"/>
    </row>
    <row r="10384">
      <c r="K10384" s="124"/>
      <c r="L10384" s="124"/>
      <c r="M10384" s="124"/>
      <c r="N10384" s="124"/>
      <c r="O10384" s="124"/>
    </row>
    <row r="10385">
      <c r="K10385" s="124"/>
      <c r="L10385" s="124"/>
      <c r="M10385" s="124"/>
      <c r="N10385" s="124"/>
      <c r="O10385" s="124"/>
    </row>
    <row r="10386">
      <c r="K10386" s="124"/>
      <c r="L10386" s="124"/>
      <c r="M10386" s="124"/>
      <c r="N10386" s="124"/>
      <c r="O10386" s="124"/>
    </row>
    <row r="10387">
      <c r="K10387" s="124"/>
      <c r="L10387" s="124"/>
      <c r="M10387" s="124"/>
      <c r="N10387" s="124"/>
      <c r="O10387" s="124"/>
    </row>
    <row r="10388">
      <c r="K10388" s="124"/>
      <c r="L10388" s="124"/>
      <c r="M10388" s="124"/>
      <c r="N10388" s="124"/>
      <c r="O10388" s="124"/>
    </row>
    <row r="10389">
      <c r="K10389" s="124"/>
      <c r="L10389" s="124"/>
      <c r="M10389" s="124"/>
      <c r="N10389" s="124"/>
      <c r="O10389" s="124"/>
    </row>
    <row r="10390">
      <c r="K10390" s="124"/>
      <c r="L10390" s="124"/>
      <c r="M10390" s="124"/>
      <c r="N10390" s="124"/>
      <c r="O10390" s="124"/>
    </row>
    <row r="10391">
      <c r="K10391" s="124"/>
      <c r="L10391" s="124"/>
      <c r="M10391" s="124"/>
      <c r="N10391" s="124"/>
      <c r="O10391" s="124"/>
    </row>
    <row r="10392">
      <c r="K10392" s="124"/>
      <c r="L10392" s="124"/>
      <c r="M10392" s="124"/>
      <c r="N10392" s="124"/>
      <c r="O10392" s="124"/>
    </row>
    <row r="10393">
      <c r="K10393" s="124"/>
      <c r="L10393" s="124"/>
      <c r="M10393" s="124"/>
      <c r="N10393" s="124"/>
      <c r="O10393" s="124"/>
    </row>
    <row r="10394">
      <c r="K10394" s="124"/>
      <c r="L10394" s="124"/>
      <c r="M10394" s="124"/>
      <c r="N10394" s="124"/>
      <c r="O10394" s="124"/>
    </row>
    <row r="10395">
      <c r="K10395" s="124"/>
      <c r="L10395" s="124"/>
      <c r="M10395" s="124"/>
      <c r="N10395" s="124"/>
      <c r="O10395" s="124"/>
    </row>
    <row r="10396">
      <c r="K10396" s="124"/>
      <c r="L10396" s="124"/>
      <c r="M10396" s="124"/>
      <c r="N10396" s="124"/>
      <c r="O10396" s="124"/>
    </row>
    <row r="10397">
      <c r="K10397" s="124"/>
      <c r="L10397" s="124"/>
      <c r="M10397" s="124"/>
      <c r="N10397" s="124"/>
      <c r="O10397" s="124"/>
    </row>
    <row r="10398">
      <c r="K10398" s="124"/>
      <c r="L10398" s="124"/>
      <c r="M10398" s="124"/>
      <c r="N10398" s="124"/>
      <c r="O10398" s="124"/>
    </row>
    <row r="10399">
      <c r="K10399" s="124"/>
      <c r="L10399" s="124"/>
      <c r="M10399" s="124"/>
      <c r="N10399" s="124"/>
      <c r="O10399" s="124"/>
    </row>
    <row r="10400">
      <c r="K10400" s="124"/>
      <c r="L10400" s="124"/>
      <c r="M10400" s="124"/>
      <c r="N10400" s="124"/>
      <c r="O10400" s="124"/>
    </row>
    <row r="10401">
      <c r="K10401" s="124"/>
      <c r="L10401" s="124"/>
      <c r="M10401" s="124"/>
      <c r="N10401" s="124"/>
      <c r="O10401" s="124"/>
    </row>
    <row r="10402">
      <c r="K10402" s="124"/>
      <c r="L10402" s="124"/>
      <c r="M10402" s="124"/>
      <c r="N10402" s="124"/>
      <c r="O10402" s="124"/>
    </row>
    <row r="10403">
      <c r="K10403" s="124"/>
      <c r="L10403" s="124"/>
      <c r="M10403" s="124"/>
      <c r="N10403" s="124"/>
      <c r="O10403" s="124"/>
    </row>
    <row r="10404">
      <c r="K10404" s="124"/>
      <c r="L10404" s="124"/>
      <c r="M10404" s="124"/>
      <c r="N10404" s="124"/>
      <c r="O10404" s="124"/>
    </row>
    <row r="10405">
      <c r="K10405" s="124"/>
      <c r="L10405" s="124"/>
      <c r="M10405" s="124"/>
      <c r="N10405" s="124"/>
      <c r="O10405" s="124"/>
    </row>
    <row r="10406">
      <c r="K10406" s="124"/>
      <c r="L10406" s="124"/>
      <c r="M10406" s="124"/>
      <c r="N10406" s="124"/>
      <c r="O10406" s="124"/>
    </row>
    <row r="10407">
      <c r="K10407" s="124"/>
      <c r="L10407" s="124"/>
      <c r="M10407" s="124"/>
      <c r="N10407" s="124"/>
      <c r="O10407" s="124"/>
    </row>
    <row r="10408">
      <c r="K10408" s="124"/>
      <c r="L10408" s="124"/>
      <c r="M10408" s="124"/>
      <c r="N10408" s="124"/>
      <c r="O10408" s="124"/>
    </row>
    <row r="10409">
      <c r="K10409" s="124"/>
      <c r="L10409" s="124"/>
      <c r="M10409" s="124"/>
      <c r="N10409" s="124"/>
      <c r="O10409" s="124"/>
    </row>
    <row r="10410">
      <c r="K10410" s="124"/>
      <c r="L10410" s="124"/>
      <c r="M10410" s="124"/>
      <c r="N10410" s="124"/>
      <c r="O10410" s="124"/>
    </row>
    <row r="10411">
      <c r="K10411" s="124"/>
      <c r="L10411" s="124"/>
      <c r="M10411" s="124"/>
      <c r="N10411" s="124"/>
      <c r="O10411" s="124"/>
    </row>
    <row r="10412">
      <c r="K10412" s="124"/>
      <c r="L10412" s="124"/>
      <c r="M10412" s="124"/>
      <c r="N10412" s="124"/>
      <c r="O10412" s="124"/>
    </row>
    <row r="10413">
      <c r="K10413" s="124"/>
      <c r="L10413" s="124"/>
      <c r="M10413" s="124"/>
      <c r="N10413" s="124"/>
      <c r="O10413" s="124"/>
    </row>
    <row r="10414">
      <c r="K10414" s="124"/>
      <c r="L10414" s="124"/>
      <c r="M10414" s="124"/>
      <c r="N10414" s="124"/>
      <c r="O10414" s="124"/>
    </row>
    <row r="10415">
      <c r="K10415" s="124"/>
      <c r="L10415" s="124"/>
      <c r="M10415" s="124"/>
      <c r="N10415" s="124"/>
      <c r="O10415" s="124"/>
    </row>
    <row r="10416">
      <c r="K10416" s="124"/>
      <c r="L10416" s="124"/>
      <c r="M10416" s="124"/>
      <c r="N10416" s="124"/>
      <c r="O10416" s="124"/>
    </row>
    <row r="10417">
      <c r="K10417" s="124"/>
      <c r="L10417" s="124"/>
      <c r="M10417" s="124"/>
      <c r="N10417" s="124"/>
      <c r="O10417" s="124"/>
    </row>
    <row r="10418">
      <c r="K10418" s="124"/>
      <c r="L10418" s="124"/>
      <c r="M10418" s="124"/>
      <c r="N10418" s="124"/>
      <c r="O10418" s="124"/>
    </row>
    <row r="10419">
      <c r="K10419" s="124"/>
      <c r="L10419" s="124"/>
      <c r="M10419" s="124"/>
      <c r="N10419" s="124"/>
      <c r="O10419" s="124"/>
    </row>
    <row r="10420">
      <c r="K10420" s="124"/>
      <c r="L10420" s="124"/>
      <c r="M10420" s="124"/>
      <c r="N10420" s="124"/>
      <c r="O10420" s="124"/>
    </row>
    <row r="10421">
      <c r="K10421" s="124"/>
      <c r="L10421" s="124"/>
      <c r="M10421" s="124"/>
      <c r="N10421" s="124"/>
      <c r="O10421" s="124"/>
    </row>
    <row r="10422">
      <c r="K10422" s="124"/>
      <c r="L10422" s="124"/>
      <c r="M10422" s="124"/>
      <c r="N10422" s="124"/>
      <c r="O10422" s="124"/>
    </row>
    <row r="10423">
      <c r="K10423" s="124"/>
      <c r="L10423" s="124"/>
      <c r="M10423" s="124"/>
      <c r="N10423" s="124"/>
      <c r="O10423" s="124"/>
    </row>
    <row r="10424">
      <c r="K10424" s="124"/>
      <c r="L10424" s="124"/>
      <c r="M10424" s="124"/>
      <c r="N10424" s="124"/>
      <c r="O10424" s="124"/>
    </row>
    <row r="10425">
      <c r="K10425" s="124"/>
      <c r="L10425" s="124"/>
      <c r="M10425" s="124"/>
      <c r="N10425" s="124"/>
      <c r="O10425" s="124"/>
    </row>
    <row r="10426">
      <c r="K10426" s="124"/>
      <c r="L10426" s="124"/>
      <c r="M10426" s="124"/>
      <c r="N10426" s="124"/>
      <c r="O10426" s="124"/>
    </row>
    <row r="10427">
      <c r="K10427" s="124"/>
      <c r="L10427" s="124"/>
      <c r="M10427" s="124"/>
      <c r="N10427" s="124"/>
      <c r="O10427" s="124"/>
    </row>
    <row r="10428">
      <c r="K10428" s="124"/>
      <c r="L10428" s="124"/>
      <c r="M10428" s="124"/>
      <c r="N10428" s="124"/>
      <c r="O10428" s="124"/>
    </row>
    <row r="10429">
      <c r="K10429" s="124"/>
      <c r="L10429" s="124"/>
      <c r="M10429" s="124"/>
      <c r="N10429" s="124"/>
      <c r="O10429" s="124"/>
    </row>
    <row r="10430">
      <c r="K10430" s="124"/>
      <c r="L10430" s="124"/>
      <c r="M10430" s="124"/>
      <c r="N10430" s="124"/>
      <c r="O10430" s="124"/>
    </row>
    <row r="10431">
      <c r="K10431" s="124"/>
      <c r="L10431" s="124"/>
      <c r="M10431" s="124"/>
      <c r="N10431" s="124"/>
      <c r="O10431" s="124"/>
    </row>
    <row r="10432">
      <c r="K10432" s="124"/>
      <c r="L10432" s="124"/>
      <c r="M10432" s="124"/>
      <c r="N10432" s="124"/>
      <c r="O10432" s="124"/>
    </row>
    <row r="10433">
      <c r="K10433" s="124"/>
      <c r="L10433" s="124"/>
      <c r="M10433" s="124"/>
      <c r="N10433" s="124"/>
      <c r="O10433" s="124"/>
    </row>
    <row r="10434">
      <c r="K10434" s="124"/>
      <c r="L10434" s="124"/>
      <c r="M10434" s="124"/>
      <c r="N10434" s="124"/>
      <c r="O10434" s="124"/>
    </row>
    <row r="10435">
      <c r="K10435" s="124"/>
      <c r="L10435" s="124"/>
      <c r="M10435" s="124"/>
      <c r="N10435" s="124"/>
      <c r="O10435" s="124"/>
    </row>
    <row r="10436">
      <c r="K10436" s="124"/>
      <c r="L10436" s="124"/>
      <c r="M10436" s="124"/>
      <c r="N10436" s="124"/>
      <c r="O10436" s="124"/>
    </row>
    <row r="10437">
      <c r="K10437" s="124"/>
      <c r="L10437" s="124"/>
      <c r="M10437" s="124"/>
      <c r="N10437" s="124"/>
      <c r="O10437" s="124"/>
    </row>
    <row r="10438">
      <c r="K10438" s="124"/>
      <c r="L10438" s="124"/>
      <c r="M10438" s="124"/>
      <c r="N10438" s="124"/>
      <c r="O10438" s="124"/>
    </row>
    <row r="10439">
      <c r="K10439" s="124"/>
      <c r="L10439" s="124"/>
      <c r="M10439" s="124"/>
      <c r="N10439" s="124"/>
      <c r="O10439" s="124"/>
    </row>
    <row r="10440">
      <c r="K10440" s="124"/>
      <c r="L10440" s="124"/>
      <c r="M10440" s="124"/>
      <c r="N10440" s="124"/>
      <c r="O10440" s="124"/>
    </row>
    <row r="10441">
      <c r="K10441" s="124"/>
      <c r="L10441" s="124"/>
      <c r="M10441" s="124"/>
      <c r="N10441" s="124"/>
      <c r="O10441" s="124"/>
    </row>
    <row r="10442">
      <c r="K10442" s="124"/>
      <c r="L10442" s="124"/>
      <c r="M10442" s="124"/>
      <c r="N10442" s="124"/>
      <c r="O10442" s="124"/>
    </row>
    <row r="10443">
      <c r="K10443" s="124"/>
      <c r="L10443" s="124"/>
      <c r="M10443" s="124"/>
      <c r="N10443" s="124"/>
      <c r="O10443" s="124"/>
    </row>
    <row r="10444">
      <c r="K10444" s="124"/>
      <c r="L10444" s="124"/>
      <c r="M10444" s="124"/>
      <c r="N10444" s="124"/>
      <c r="O10444" s="124"/>
    </row>
    <row r="10445">
      <c r="K10445" s="124"/>
      <c r="L10445" s="124"/>
      <c r="M10445" s="124"/>
      <c r="N10445" s="124"/>
      <c r="O10445" s="124"/>
    </row>
    <row r="10446">
      <c r="K10446" s="124"/>
      <c r="L10446" s="124"/>
      <c r="M10446" s="124"/>
      <c r="N10446" s="124"/>
      <c r="O10446" s="124"/>
    </row>
    <row r="10447">
      <c r="K10447" s="124"/>
      <c r="L10447" s="124"/>
      <c r="M10447" s="124"/>
      <c r="N10447" s="124"/>
      <c r="O10447" s="124"/>
    </row>
    <row r="10448">
      <c r="K10448" s="124"/>
      <c r="L10448" s="124"/>
      <c r="M10448" s="124"/>
      <c r="N10448" s="124"/>
      <c r="O10448" s="124"/>
    </row>
    <row r="10449">
      <c r="K10449" s="124"/>
      <c r="L10449" s="124"/>
      <c r="M10449" s="124"/>
      <c r="N10449" s="124"/>
      <c r="O10449" s="124"/>
    </row>
    <row r="10450">
      <c r="K10450" s="124"/>
      <c r="L10450" s="124"/>
      <c r="M10450" s="124"/>
      <c r="N10450" s="124"/>
      <c r="O10450" s="124"/>
    </row>
    <row r="10451">
      <c r="K10451" s="124"/>
      <c r="L10451" s="124"/>
      <c r="M10451" s="124"/>
      <c r="N10451" s="124"/>
      <c r="O10451" s="124"/>
    </row>
    <row r="10452">
      <c r="K10452" s="124"/>
      <c r="L10452" s="124"/>
      <c r="M10452" s="124"/>
      <c r="N10452" s="124"/>
      <c r="O10452" s="124"/>
    </row>
    <row r="10453">
      <c r="K10453" s="124"/>
      <c r="L10453" s="124"/>
      <c r="M10453" s="124"/>
      <c r="N10453" s="124"/>
      <c r="O10453" s="124"/>
    </row>
    <row r="10454">
      <c r="K10454" s="124"/>
      <c r="L10454" s="124"/>
      <c r="M10454" s="124"/>
      <c r="N10454" s="124"/>
      <c r="O10454" s="124"/>
    </row>
    <row r="10455">
      <c r="K10455" s="124"/>
      <c r="L10455" s="124"/>
      <c r="M10455" s="124"/>
      <c r="N10455" s="124"/>
      <c r="O10455" s="124"/>
    </row>
    <row r="10456">
      <c r="K10456" s="124"/>
      <c r="L10456" s="124"/>
      <c r="M10456" s="124"/>
      <c r="N10456" s="124"/>
      <c r="O10456" s="124"/>
    </row>
    <row r="10457">
      <c r="K10457" s="124"/>
      <c r="L10457" s="124"/>
      <c r="M10457" s="124"/>
      <c r="N10457" s="124"/>
      <c r="O10457" s="124"/>
    </row>
    <row r="10458">
      <c r="K10458" s="124"/>
      <c r="L10458" s="124"/>
      <c r="M10458" s="124"/>
      <c r="N10458" s="124"/>
      <c r="O10458" s="124"/>
    </row>
    <row r="10459">
      <c r="K10459" s="124"/>
      <c r="L10459" s="124"/>
      <c r="M10459" s="124"/>
      <c r="N10459" s="124"/>
      <c r="O10459" s="124"/>
    </row>
    <row r="10460">
      <c r="K10460" s="124"/>
      <c r="L10460" s="124"/>
      <c r="M10460" s="124"/>
      <c r="N10460" s="124"/>
      <c r="O10460" s="124"/>
    </row>
    <row r="10461">
      <c r="K10461" s="124"/>
      <c r="L10461" s="124"/>
      <c r="M10461" s="124"/>
      <c r="N10461" s="124"/>
      <c r="O10461" s="124"/>
    </row>
    <row r="10462">
      <c r="K10462" s="124"/>
      <c r="L10462" s="124"/>
      <c r="M10462" s="124"/>
      <c r="N10462" s="124"/>
      <c r="O10462" s="124"/>
    </row>
    <row r="10463">
      <c r="K10463" s="124"/>
      <c r="L10463" s="124"/>
      <c r="M10463" s="124"/>
      <c r="N10463" s="124"/>
      <c r="O10463" s="124"/>
    </row>
    <row r="10464">
      <c r="K10464" s="124"/>
      <c r="L10464" s="124"/>
      <c r="M10464" s="124"/>
      <c r="N10464" s="124"/>
      <c r="O10464" s="124"/>
    </row>
    <row r="10465">
      <c r="K10465" s="124"/>
      <c r="L10465" s="124"/>
      <c r="M10465" s="124"/>
      <c r="N10465" s="124"/>
      <c r="O10465" s="124"/>
    </row>
    <row r="10466">
      <c r="K10466" s="124"/>
      <c r="L10466" s="124"/>
      <c r="M10466" s="124"/>
      <c r="N10466" s="124"/>
      <c r="O10466" s="124"/>
    </row>
    <row r="10467">
      <c r="K10467" s="124"/>
      <c r="L10467" s="124"/>
      <c r="M10467" s="124"/>
      <c r="N10467" s="124"/>
      <c r="O10467" s="124"/>
    </row>
    <row r="10468">
      <c r="K10468" s="124"/>
      <c r="L10468" s="124"/>
      <c r="M10468" s="124"/>
      <c r="N10468" s="124"/>
      <c r="O10468" s="124"/>
    </row>
    <row r="10469">
      <c r="K10469" s="124"/>
      <c r="L10469" s="124"/>
      <c r="M10469" s="124"/>
      <c r="N10469" s="124"/>
      <c r="O10469" s="124"/>
    </row>
    <row r="10470">
      <c r="K10470" s="124"/>
      <c r="L10470" s="124"/>
      <c r="M10470" s="124"/>
      <c r="N10470" s="124"/>
      <c r="O10470" s="124"/>
    </row>
    <row r="10471">
      <c r="K10471" s="124"/>
      <c r="L10471" s="124"/>
      <c r="M10471" s="124"/>
      <c r="N10471" s="124"/>
      <c r="O10471" s="124"/>
    </row>
    <row r="10472">
      <c r="K10472" s="124"/>
      <c r="L10472" s="124"/>
      <c r="M10472" s="124"/>
      <c r="N10472" s="124"/>
      <c r="O10472" s="124"/>
    </row>
    <row r="10473">
      <c r="K10473" s="124"/>
      <c r="L10473" s="124"/>
      <c r="M10473" s="124"/>
      <c r="N10473" s="124"/>
      <c r="O10473" s="124"/>
    </row>
    <row r="10474">
      <c r="K10474" s="124"/>
      <c r="L10474" s="124"/>
      <c r="M10474" s="124"/>
      <c r="N10474" s="124"/>
      <c r="O10474" s="124"/>
    </row>
    <row r="10475">
      <c r="K10475" s="124"/>
      <c r="L10475" s="124"/>
      <c r="M10475" s="124"/>
      <c r="N10475" s="124"/>
      <c r="O10475" s="124"/>
    </row>
    <row r="10476">
      <c r="K10476" s="124"/>
      <c r="L10476" s="124"/>
      <c r="M10476" s="124"/>
      <c r="N10476" s="124"/>
      <c r="O10476" s="124"/>
    </row>
    <row r="10477">
      <c r="K10477" s="124"/>
      <c r="L10477" s="124"/>
      <c r="M10477" s="124"/>
      <c r="N10477" s="124"/>
      <c r="O10477" s="124"/>
    </row>
    <row r="10478">
      <c r="K10478" s="124"/>
      <c r="L10478" s="124"/>
      <c r="M10478" s="124"/>
      <c r="N10478" s="124"/>
      <c r="O10478" s="124"/>
    </row>
    <row r="10479">
      <c r="K10479" s="124"/>
      <c r="L10479" s="124"/>
      <c r="M10479" s="124"/>
      <c r="N10479" s="124"/>
      <c r="O10479" s="124"/>
    </row>
    <row r="10480">
      <c r="K10480" s="124"/>
      <c r="L10480" s="124"/>
      <c r="M10480" s="124"/>
      <c r="N10480" s="124"/>
      <c r="O10480" s="124"/>
    </row>
    <row r="10481">
      <c r="K10481" s="124"/>
      <c r="L10481" s="124"/>
      <c r="M10481" s="124"/>
      <c r="N10481" s="124"/>
      <c r="O10481" s="124"/>
    </row>
    <row r="10482">
      <c r="K10482" s="124"/>
      <c r="L10482" s="124"/>
      <c r="M10482" s="124"/>
      <c r="N10482" s="124"/>
      <c r="O10482" s="124"/>
    </row>
    <row r="10483">
      <c r="K10483" s="124"/>
      <c r="L10483" s="124"/>
      <c r="M10483" s="124"/>
      <c r="N10483" s="124"/>
      <c r="O10483" s="124"/>
    </row>
    <row r="10484">
      <c r="K10484" s="124"/>
      <c r="L10484" s="124"/>
      <c r="M10484" s="124"/>
      <c r="N10484" s="124"/>
      <c r="O10484" s="124"/>
    </row>
    <row r="10485">
      <c r="K10485" s="124"/>
      <c r="L10485" s="124"/>
      <c r="M10485" s="124"/>
      <c r="N10485" s="124"/>
      <c r="O10485" s="124"/>
    </row>
    <row r="10486">
      <c r="K10486" s="124"/>
      <c r="L10486" s="124"/>
      <c r="M10486" s="124"/>
      <c r="N10486" s="124"/>
      <c r="O10486" s="124"/>
    </row>
    <row r="10487">
      <c r="K10487" s="124"/>
      <c r="L10487" s="124"/>
      <c r="M10487" s="124"/>
      <c r="N10487" s="124"/>
      <c r="O10487" s="124"/>
    </row>
    <row r="10488">
      <c r="K10488" s="124"/>
      <c r="L10488" s="124"/>
      <c r="M10488" s="124"/>
      <c r="N10488" s="124"/>
      <c r="O10488" s="124"/>
    </row>
    <row r="10489">
      <c r="K10489" s="124"/>
      <c r="L10489" s="124"/>
      <c r="M10489" s="124"/>
      <c r="N10489" s="124"/>
      <c r="O10489" s="124"/>
    </row>
    <row r="10490">
      <c r="K10490" s="124"/>
      <c r="L10490" s="124"/>
      <c r="M10490" s="124"/>
      <c r="N10490" s="124"/>
      <c r="O10490" s="124"/>
    </row>
    <row r="10491">
      <c r="K10491" s="124"/>
      <c r="L10491" s="124"/>
      <c r="M10491" s="124"/>
      <c r="N10491" s="124"/>
      <c r="O10491" s="124"/>
    </row>
    <row r="10492">
      <c r="K10492" s="124"/>
      <c r="L10492" s="124"/>
      <c r="M10492" s="124"/>
      <c r="N10492" s="124"/>
      <c r="O10492" s="124"/>
    </row>
    <row r="10493">
      <c r="K10493" s="124"/>
      <c r="L10493" s="124"/>
      <c r="M10493" s="124"/>
      <c r="N10493" s="124"/>
      <c r="O10493" s="124"/>
    </row>
    <row r="10494">
      <c r="K10494" s="124"/>
      <c r="L10494" s="124"/>
      <c r="M10494" s="124"/>
      <c r="N10494" s="124"/>
      <c r="O10494" s="124"/>
    </row>
    <row r="10495">
      <c r="K10495" s="124"/>
      <c r="L10495" s="124"/>
      <c r="M10495" s="124"/>
      <c r="N10495" s="124"/>
      <c r="O10495" s="124"/>
    </row>
    <row r="10496">
      <c r="K10496" s="124"/>
      <c r="L10496" s="124"/>
      <c r="M10496" s="124"/>
      <c r="N10496" s="124"/>
      <c r="O10496" s="124"/>
    </row>
    <row r="10497">
      <c r="K10497" s="124"/>
      <c r="L10497" s="124"/>
      <c r="M10497" s="124"/>
      <c r="N10497" s="124"/>
      <c r="O10497" s="124"/>
    </row>
    <row r="10498">
      <c r="K10498" s="124"/>
      <c r="L10498" s="124"/>
      <c r="M10498" s="124"/>
      <c r="N10498" s="124"/>
      <c r="O10498" s="124"/>
    </row>
    <row r="10499">
      <c r="K10499" s="124"/>
      <c r="L10499" s="124"/>
      <c r="M10499" s="124"/>
      <c r="N10499" s="124"/>
      <c r="O10499" s="124"/>
    </row>
    <row r="10500">
      <c r="K10500" s="124"/>
      <c r="L10500" s="124"/>
      <c r="M10500" s="124"/>
      <c r="N10500" s="124"/>
      <c r="O10500" s="124"/>
    </row>
    <row r="10501">
      <c r="K10501" s="124"/>
      <c r="L10501" s="124"/>
      <c r="M10501" s="124"/>
      <c r="N10501" s="124"/>
      <c r="O10501" s="124"/>
    </row>
    <row r="10502">
      <c r="K10502" s="124"/>
      <c r="L10502" s="124"/>
      <c r="M10502" s="124"/>
      <c r="N10502" s="124"/>
      <c r="O10502" s="124"/>
    </row>
    <row r="10503">
      <c r="K10503" s="124"/>
      <c r="L10503" s="124"/>
      <c r="M10503" s="124"/>
      <c r="N10503" s="124"/>
      <c r="O10503" s="124"/>
    </row>
    <row r="10504">
      <c r="K10504" s="124"/>
      <c r="L10504" s="124"/>
      <c r="M10504" s="124"/>
      <c r="N10504" s="124"/>
      <c r="O10504" s="124"/>
    </row>
    <row r="10505">
      <c r="K10505" s="124"/>
      <c r="L10505" s="124"/>
      <c r="M10505" s="124"/>
      <c r="N10505" s="124"/>
      <c r="O10505" s="124"/>
    </row>
    <row r="10506">
      <c r="K10506" s="124"/>
      <c r="L10506" s="124"/>
      <c r="M10506" s="124"/>
      <c r="N10506" s="124"/>
      <c r="O10506" s="124"/>
    </row>
    <row r="10507">
      <c r="K10507" s="124"/>
      <c r="L10507" s="124"/>
      <c r="M10507" s="124"/>
      <c r="N10507" s="124"/>
      <c r="O10507" s="124"/>
    </row>
    <row r="10508">
      <c r="K10508" s="124"/>
      <c r="L10508" s="124"/>
      <c r="M10508" s="124"/>
      <c r="N10508" s="124"/>
      <c r="O10508" s="124"/>
    </row>
    <row r="10509">
      <c r="K10509" s="124"/>
      <c r="L10509" s="124"/>
      <c r="M10509" s="124"/>
      <c r="N10509" s="124"/>
      <c r="O10509" s="124"/>
    </row>
    <row r="10510">
      <c r="K10510" s="124"/>
      <c r="L10510" s="124"/>
      <c r="M10510" s="124"/>
      <c r="N10510" s="124"/>
      <c r="O10510" s="124"/>
    </row>
    <row r="10511">
      <c r="K10511" s="124"/>
      <c r="L10511" s="124"/>
      <c r="M10511" s="124"/>
      <c r="N10511" s="124"/>
      <c r="O10511" s="124"/>
    </row>
    <row r="10512">
      <c r="K10512" s="124"/>
      <c r="L10512" s="124"/>
      <c r="M10512" s="124"/>
      <c r="N10512" s="124"/>
      <c r="O10512" s="124"/>
    </row>
    <row r="10513">
      <c r="K10513" s="124"/>
      <c r="L10513" s="124"/>
      <c r="M10513" s="124"/>
      <c r="N10513" s="124"/>
      <c r="O10513" s="124"/>
    </row>
    <row r="10514">
      <c r="K10514" s="124"/>
      <c r="L10514" s="124"/>
      <c r="M10514" s="124"/>
      <c r="N10514" s="124"/>
      <c r="O10514" s="124"/>
    </row>
    <row r="10515">
      <c r="K10515" s="124"/>
      <c r="L10515" s="124"/>
      <c r="M10515" s="124"/>
      <c r="N10515" s="124"/>
      <c r="O10515" s="124"/>
    </row>
    <row r="10516">
      <c r="K10516" s="124"/>
      <c r="L10516" s="124"/>
      <c r="M10516" s="124"/>
      <c r="N10516" s="124"/>
      <c r="O10516" s="124"/>
    </row>
    <row r="10517">
      <c r="K10517" s="124"/>
      <c r="L10517" s="124"/>
      <c r="M10517" s="124"/>
      <c r="N10517" s="124"/>
      <c r="O10517" s="124"/>
    </row>
    <row r="10518">
      <c r="K10518" s="124"/>
      <c r="L10518" s="124"/>
      <c r="M10518" s="124"/>
      <c r="N10518" s="124"/>
      <c r="O10518" s="124"/>
    </row>
    <row r="10519">
      <c r="K10519" s="124"/>
      <c r="L10519" s="124"/>
      <c r="M10519" s="124"/>
      <c r="N10519" s="124"/>
      <c r="O10519" s="124"/>
    </row>
    <row r="10520">
      <c r="K10520" s="124"/>
      <c r="L10520" s="124"/>
      <c r="M10520" s="124"/>
      <c r="N10520" s="124"/>
      <c r="O10520" s="124"/>
    </row>
    <row r="10521">
      <c r="K10521" s="124"/>
      <c r="L10521" s="124"/>
      <c r="M10521" s="124"/>
      <c r="N10521" s="124"/>
      <c r="O10521" s="124"/>
    </row>
    <row r="10522">
      <c r="K10522" s="124"/>
      <c r="L10522" s="124"/>
      <c r="M10522" s="124"/>
      <c r="N10522" s="124"/>
      <c r="O10522" s="124"/>
    </row>
    <row r="10523">
      <c r="K10523" s="124"/>
      <c r="L10523" s="124"/>
      <c r="M10523" s="124"/>
      <c r="N10523" s="124"/>
      <c r="O10523" s="124"/>
    </row>
    <row r="10524">
      <c r="K10524" s="124"/>
      <c r="L10524" s="124"/>
      <c r="M10524" s="124"/>
      <c r="N10524" s="124"/>
      <c r="O10524" s="124"/>
    </row>
    <row r="10525">
      <c r="K10525" s="124"/>
      <c r="L10525" s="124"/>
      <c r="M10525" s="124"/>
      <c r="N10525" s="124"/>
      <c r="O10525" s="124"/>
    </row>
    <row r="10526">
      <c r="K10526" s="124"/>
      <c r="L10526" s="124"/>
      <c r="M10526" s="124"/>
      <c r="N10526" s="124"/>
      <c r="O10526" s="124"/>
    </row>
    <row r="10527">
      <c r="K10527" s="124"/>
      <c r="L10527" s="124"/>
      <c r="M10527" s="124"/>
      <c r="N10527" s="124"/>
      <c r="O10527" s="124"/>
    </row>
    <row r="10528">
      <c r="K10528" s="124"/>
      <c r="L10528" s="124"/>
      <c r="M10528" s="124"/>
      <c r="N10528" s="124"/>
      <c r="O10528" s="124"/>
    </row>
    <row r="10529">
      <c r="K10529" s="124"/>
      <c r="L10529" s="124"/>
      <c r="M10529" s="124"/>
      <c r="N10529" s="124"/>
      <c r="O10529" s="124"/>
    </row>
    <row r="10530">
      <c r="K10530" s="124"/>
      <c r="L10530" s="124"/>
      <c r="M10530" s="124"/>
      <c r="N10530" s="124"/>
      <c r="O10530" s="124"/>
    </row>
    <row r="10531">
      <c r="K10531" s="124"/>
      <c r="L10531" s="124"/>
      <c r="M10531" s="124"/>
      <c r="N10531" s="124"/>
      <c r="O10531" s="124"/>
    </row>
    <row r="10532">
      <c r="K10532" s="124"/>
      <c r="L10532" s="124"/>
      <c r="M10532" s="124"/>
      <c r="N10532" s="124"/>
      <c r="O10532" s="124"/>
    </row>
    <row r="10533">
      <c r="K10533" s="124"/>
      <c r="L10533" s="124"/>
      <c r="M10533" s="124"/>
      <c r="N10533" s="124"/>
      <c r="O10533" s="124"/>
    </row>
    <row r="10534">
      <c r="K10534" s="124"/>
      <c r="L10534" s="124"/>
      <c r="M10534" s="124"/>
      <c r="N10534" s="124"/>
      <c r="O10534" s="124"/>
    </row>
    <row r="10535">
      <c r="K10535" s="124"/>
      <c r="L10535" s="124"/>
      <c r="M10535" s="124"/>
      <c r="N10535" s="124"/>
      <c r="O10535" s="124"/>
    </row>
    <row r="10536">
      <c r="K10536" s="124"/>
      <c r="L10536" s="124"/>
      <c r="M10536" s="124"/>
      <c r="N10536" s="124"/>
      <c r="O10536" s="124"/>
    </row>
    <row r="10537">
      <c r="K10537" s="124"/>
      <c r="L10537" s="124"/>
      <c r="M10537" s="124"/>
      <c r="N10537" s="124"/>
      <c r="O10537" s="124"/>
    </row>
    <row r="10538">
      <c r="K10538" s="124"/>
      <c r="L10538" s="124"/>
      <c r="M10538" s="124"/>
      <c r="N10538" s="124"/>
      <c r="O10538" s="124"/>
    </row>
    <row r="10539">
      <c r="K10539" s="124"/>
      <c r="L10539" s="124"/>
      <c r="M10539" s="124"/>
      <c r="N10539" s="124"/>
      <c r="O10539" s="124"/>
    </row>
    <row r="10540">
      <c r="K10540" s="124"/>
      <c r="L10540" s="124"/>
      <c r="M10540" s="124"/>
      <c r="N10540" s="124"/>
      <c r="O10540" s="124"/>
    </row>
    <row r="10541">
      <c r="K10541" s="124"/>
      <c r="L10541" s="124"/>
      <c r="M10541" s="124"/>
      <c r="N10541" s="124"/>
      <c r="O10541" s="124"/>
    </row>
    <row r="10542">
      <c r="K10542" s="124"/>
      <c r="L10542" s="124"/>
      <c r="M10542" s="124"/>
      <c r="N10542" s="124"/>
      <c r="O10542" s="124"/>
    </row>
    <row r="10543">
      <c r="K10543" s="124"/>
      <c r="L10543" s="124"/>
      <c r="M10543" s="124"/>
      <c r="N10543" s="124"/>
      <c r="O10543" s="124"/>
    </row>
    <row r="10544">
      <c r="K10544" s="124"/>
      <c r="L10544" s="124"/>
      <c r="M10544" s="124"/>
      <c r="N10544" s="124"/>
      <c r="O10544" s="124"/>
    </row>
    <row r="10545">
      <c r="K10545" s="124"/>
      <c r="L10545" s="124"/>
      <c r="M10545" s="124"/>
      <c r="N10545" s="124"/>
      <c r="O10545" s="124"/>
    </row>
    <row r="10546">
      <c r="K10546" s="124"/>
      <c r="L10546" s="124"/>
      <c r="M10546" s="124"/>
      <c r="N10546" s="124"/>
      <c r="O10546" s="124"/>
    </row>
    <row r="10547">
      <c r="K10547" s="124"/>
      <c r="L10547" s="124"/>
      <c r="M10547" s="124"/>
      <c r="N10547" s="124"/>
      <c r="O10547" s="124"/>
    </row>
    <row r="10548">
      <c r="K10548" s="124"/>
      <c r="L10548" s="124"/>
      <c r="M10548" s="124"/>
      <c r="N10548" s="124"/>
      <c r="O10548" s="124"/>
    </row>
    <row r="10549">
      <c r="K10549" s="124"/>
      <c r="L10549" s="124"/>
      <c r="M10549" s="124"/>
      <c r="N10549" s="124"/>
      <c r="O10549" s="124"/>
    </row>
    <row r="10550">
      <c r="K10550" s="124"/>
      <c r="L10550" s="124"/>
      <c r="M10550" s="124"/>
      <c r="N10550" s="124"/>
      <c r="O10550" s="124"/>
    </row>
    <row r="10551">
      <c r="K10551" s="124"/>
      <c r="L10551" s="124"/>
      <c r="M10551" s="124"/>
      <c r="N10551" s="124"/>
      <c r="O10551" s="124"/>
    </row>
    <row r="10552">
      <c r="K10552" s="124"/>
      <c r="L10552" s="124"/>
      <c r="M10552" s="124"/>
      <c r="N10552" s="124"/>
      <c r="O10552" s="124"/>
    </row>
    <row r="10553">
      <c r="K10553" s="124"/>
      <c r="L10553" s="124"/>
      <c r="M10553" s="124"/>
      <c r="N10553" s="124"/>
      <c r="O10553" s="124"/>
    </row>
    <row r="10554">
      <c r="K10554" s="124"/>
      <c r="L10554" s="124"/>
      <c r="M10554" s="124"/>
      <c r="N10554" s="124"/>
      <c r="O10554" s="124"/>
    </row>
    <row r="10555">
      <c r="K10555" s="124"/>
      <c r="L10555" s="124"/>
      <c r="M10555" s="124"/>
      <c r="N10555" s="124"/>
      <c r="O10555" s="124"/>
    </row>
    <row r="10556">
      <c r="K10556" s="124"/>
      <c r="L10556" s="124"/>
      <c r="M10556" s="124"/>
      <c r="N10556" s="124"/>
      <c r="O10556" s="124"/>
    </row>
    <row r="10557">
      <c r="K10557" s="124"/>
      <c r="L10557" s="124"/>
      <c r="M10557" s="124"/>
      <c r="N10557" s="124"/>
      <c r="O10557" s="124"/>
    </row>
    <row r="10558">
      <c r="K10558" s="124"/>
      <c r="L10558" s="124"/>
      <c r="M10558" s="124"/>
      <c r="N10558" s="124"/>
      <c r="O10558" s="124"/>
    </row>
    <row r="10559">
      <c r="K10559" s="124"/>
      <c r="L10559" s="124"/>
      <c r="M10559" s="124"/>
      <c r="N10559" s="124"/>
      <c r="O10559" s="124"/>
    </row>
    <row r="10560">
      <c r="K10560" s="124"/>
      <c r="L10560" s="124"/>
      <c r="M10560" s="124"/>
      <c r="N10560" s="124"/>
      <c r="O10560" s="124"/>
    </row>
    <row r="10561">
      <c r="K10561" s="124"/>
      <c r="L10561" s="124"/>
      <c r="M10561" s="124"/>
      <c r="N10561" s="124"/>
      <c r="O10561" s="124"/>
    </row>
    <row r="10562">
      <c r="K10562" s="124"/>
      <c r="L10562" s="124"/>
      <c r="M10562" s="124"/>
      <c r="N10562" s="124"/>
      <c r="O10562" s="124"/>
    </row>
    <row r="10563">
      <c r="K10563" s="124"/>
      <c r="L10563" s="124"/>
      <c r="M10563" s="124"/>
      <c r="N10563" s="124"/>
      <c r="O10563" s="124"/>
    </row>
    <row r="10564">
      <c r="K10564" s="124"/>
      <c r="L10564" s="124"/>
      <c r="M10564" s="124"/>
      <c r="N10564" s="124"/>
      <c r="O10564" s="124"/>
    </row>
    <row r="10565">
      <c r="K10565" s="124"/>
      <c r="L10565" s="124"/>
      <c r="M10565" s="124"/>
      <c r="N10565" s="124"/>
      <c r="O10565" s="124"/>
    </row>
    <row r="10566">
      <c r="K10566" s="124"/>
      <c r="L10566" s="124"/>
      <c r="M10566" s="124"/>
      <c r="N10566" s="124"/>
      <c r="O10566" s="124"/>
    </row>
    <row r="10567">
      <c r="K10567" s="124"/>
      <c r="L10567" s="124"/>
      <c r="M10567" s="124"/>
      <c r="N10567" s="124"/>
      <c r="O10567" s="124"/>
    </row>
    <row r="10568">
      <c r="K10568" s="124"/>
      <c r="L10568" s="124"/>
      <c r="M10568" s="124"/>
      <c r="N10568" s="124"/>
      <c r="O10568" s="124"/>
    </row>
    <row r="10569">
      <c r="K10569" s="124"/>
      <c r="L10569" s="124"/>
      <c r="M10569" s="124"/>
      <c r="N10569" s="124"/>
      <c r="O10569" s="124"/>
    </row>
    <row r="10570">
      <c r="K10570" s="124"/>
      <c r="L10570" s="124"/>
      <c r="M10570" s="124"/>
      <c r="N10570" s="124"/>
      <c r="O10570" s="124"/>
    </row>
    <row r="10571">
      <c r="K10571" s="124"/>
      <c r="L10571" s="124"/>
      <c r="M10571" s="124"/>
      <c r="N10571" s="124"/>
      <c r="O10571" s="124"/>
    </row>
    <row r="10572">
      <c r="K10572" s="124"/>
      <c r="L10572" s="124"/>
      <c r="M10572" s="124"/>
      <c r="N10572" s="124"/>
      <c r="O10572" s="124"/>
    </row>
    <row r="10573">
      <c r="K10573" s="124"/>
      <c r="L10573" s="124"/>
      <c r="M10573" s="124"/>
      <c r="N10573" s="124"/>
      <c r="O10573" s="124"/>
    </row>
    <row r="10574">
      <c r="K10574" s="124"/>
      <c r="L10574" s="124"/>
      <c r="M10574" s="124"/>
      <c r="N10574" s="124"/>
      <c r="O10574" s="124"/>
    </row>
    <row r="10575">
      <c r="K10575" s="124"/>
      <c r="L10575" s="124"/>
      <c r="M10575" s="124"/>
      <c r="N10575" s="124"/>
      <c r="O10575" s="124"/>
    </row>
    <row r="10576">
      <c r="K10576" s="124"/>
      <c r="L10576" s="124"/>
      <c r="M10576" s="124"/>
      <c r="N10576" s="124"/>
      <c r="O10576" s="124"/>
    </row>
    <row r="10577">
      <c r="K10577" s="124"/>
      <c r="L10577" s="124"/>
      <c r="M10577" s="124"/>
      <c r="N10577" s="124"/>
      <c r="O10577" s="124"/>
    </row>
    <row r="10578">
      <c r="K10578" s="124"/>
      <c r="L10578" s="124"/>
      <c r="M10578" s="124"/>
      <c r="N10578" s="124"/>
      <c r="O10578" s="124"/>
    </row>
    <row r="10579">
      <c r="K10579" s="124"/>
      <c r="L10579" s="124"/>
      <c r="M10579" s="124"/>
      <c r="N10579" s="124"/>
      <c r="O10579" s="124"/>
    </row>
    <row r="10580">
      <c r="K10580" s="124"/>
      <c r="L10580" s="124"/>
      <c r="M10580" s="124"/>
      <c r="N10580" s="124"/>
      <c r="O10580" s="124"/>
    </row>
    <row r="10581">
      <c r="K10581" s="124"/>
      <c r="L10581" s="124"/>
      <c r="M10581" s="124"/>
      <c r="N10581" s="124"/>
      <c r="O10581" s="124"/>
    </row>
    <row r="10582">
      <c r="K10582" s="124"/>
      <c r="L10582" s="124"/>
      <c r="M10582" s="124"/>
      <c r="N10582" s="124"/>
      <c r="O10582" s="124"/>
    </row>
    <row r="10583">
      <c r="K10583" s="124"/>
      <c r="L10583" s="124"/>
      <c r="M10583" s="124"/>
      <c r="N10583" s="124"/>
      <c r="O10583" s="124"/>
    </row>
    <row r="10584">
      <c r="K10584" s="124"/>
      <c r="L10584" s="124"/>
      <c r="M10584" s="124"/>
      <c r="N10584" s="124"/>
      <c r="O10584" s="124"/>
    </row>
    <row r="10585">
      <c r="K10585" s="124"/>
      <c r="L10585" s="124"/>
      <c r="M10585" s="124"/>
      <c r="N10585" s="124"/>
      <c r="O10585" s="124"/>
    </row>
    <row r="10586">
      <c r="K10586" s="124"/>
      <c r="L10586" s="124"/>
      <c r="M10586" s="124"/>
      <c r="N10586" s="124"/>
      <c r="O10586" s="124"/>
    </row>
    <row r="10587">
      <c r="K10587" s="124"/>
      <c r="L10587" s="124"/>
      <c r="M10587" s="124"/>
      <c r="N10587" s="124"/>
      <c r="O10587" s="124"/>
    </row>
    <row r="10588">
      <c r="K10588" s="124"/>
      <c r="L10588" s="124"/>
      <c r="M10588" s="124"/>
      <c r="N10588" s="124"/>
      <c r="O10588" s="124"/>
    </row>
    <row r="10589">
      <c r="K10589" s="124"/>
      <c r="L10589" s="124"/>
      <c r="M10589" s="124"/>
      <c r="N10589" s="124"/>
      <c r="O10589" s="124"/>
    </row>
    <row r="10590">
      <c r="K10590" s="124"/>
      <c r="L10590" s="124"/>
      <c r="M10590" s="124"/>
      <c r="N10590" s="124"/>
      <c r="O10590" s="124"/>
    </row>
    <row r="10591">
      <c r="K10591" s="124"/>
      <c r="L10591" s="124"/>
      <c r="M10591" s="124"/>
      <c r="N10591" s="124"/>
      <c r="O10591" s="124"/>
    </row>
    <row r="10592">
      <c r="K10592" s="124"/>
      <c r="L10592" s="124"/>
      <c r="M10592" s="124"/>
      <c r="N10592" s="124"/>
      <c r="O10592" s="124"/>
    </row>
    <row r="10593">
      <c r="K10593" s="124"/>
      <c r="L10593" s="124"/>
      <c r="M10593" s="124"/>
      <c r="N10593" s="124"/>
      <c r="O10593" s="124"/>
    </row>
    <row r="10594">
      <c r="K10594" s="124"/>
      <c r="L10594" s="124"/>
      <c r="M10594" s="124"/>
      <c r="N10594" s="124"/>
      <c r="O10594" s="124"/>
    </row>
    <row r="10595">
      <c r="K10595" s="124"/>
      <c r="L10595" s="124"/>
      <c r="M10595" s="124"/>
      <c r="N10595" s="124"/>
      <c r="O10595" s="124"/>
    </row>
    <row r="10596">
      <c r="K10596" s="124"/>
      <c r="L10596" s="124"/>
      <c r="M10596" s="124"/>
      <c r="N10596" s="124"/>
      <c r="O10596" s="124"/>
    </row>
    <row r="10597">
      <c r="K10597" s="124"/>
      <c r="L10597" s="124"/>
      <c r="M10597" s="124"/>
      <c r="N10597" s="124"/>
      <c r="O10597" s="124"/>
    </row>
    <row r="10598">
      <c r="K10598" s="124"/>
      <c r="L10598" s="124"/>
      <c r="M10598" s="124"/>
      <c r="N10598" s="124"/>
      <c r="O10598" s="124"/>
    </row>
    <row r="10599">
      <c r="K10599" s="124"/>
      <c r="L10599" s="124"/>
      <c r="M10599" s="124"/>
      <c r="N10599" s="124"/>
      <c r="O10599" s="124"/>
    </row>
    <row r="10600">
      <c r="K10600" s="124"/>
      <c r="L10600" s="124"/>
      <c r="M10600" s="124"/>
      <c r="N10600" s="124"/>
      <c r="O10600" s="124"/>
    </row>
    <row r="10601">
      <c r="K10601" s="124"/>
      <c r="L10601" s="124"/>
      <c r="M10601" s="124"/>
      <c r="N10601" s="124"/>
      <c r="O10601" s="124"/>
    </row>
    <row r="10602">
      <c r="K10602" s="124"/>
      <c r="L10602" s="124"/>
      <c r="M10602" s="124"/>
      <c r="N10602" s="124"/>
      <c r="O10602" s="124"/>
    </row>
    <row r="10603">
      <c r="K10603" s="124"/>
      <c r="L10603" s="124"/>
      <c r="M10603" s="124"/>
      <c r="N10603" s="124"/>
      <c r="O10603" s="124"/>
    </row>
    <row r="10604">
      <c r="K10604" s="124"/>
      <c r="L10604" s="124"/>
      <c r="M10604" s="124"/>
      <c r="N10604" s="124"/>
      <c r="O10604" s="124"/>
    </row>
    <row r="10605">
      <c r="K10605" s="124"/>
      <c r="L10605" s="124"/>
      <c r="M10605" s="124"/>
      <c r="N10605" s="124"/>
      <c r="O10605" s="124"/>
    </row>
    <row r="10606">
      <c r="K10606" s="124"/>
      <c r="L10606" s="124"/>
      <c r="M10606" s="124"/>
      <c r="N10606" s="124"/>
      <c r="O10606" s="124"/>
    </row>
    <row r="10607">
      <c r="K10607" s="124"/>
      <c r="L10607" s="124"/>
      <c r="M10607" s="124"/>
      <c r="N10607" s="124"/>
      <c r="O10607" s="124"/>
    </row>
    <row r="10608">
      <c r="K10608" s="124"/>
      <c r="L10608" s="124"/>
      <c r="M10608" s="124"/>
      <c r="N10608" s="124"/>
      <c r="O10608" s="124"/>
    </row>
    <row r="10609">
      <c r="K10609" s="124"/>
      <c r="L10609" s="124"/>
      <c r="M10609" s="124"/>
      <c r="N10609" s="124"/>
      <c r="O10609" s="124"/>
    </row>
    <row r="10610">
      <c r="K10610" s="124"/>
      <c r="L10610" s="124"/>
      <c r="M10610" s="124"/>
      <c r="N10610" s="124"/>
      <c r="O10610" s="124"/>
    </row>
    <row r="10611">
      <c r="K10611" s="124"/>
      <c r="L10611" s="124"/>
      <c r="M10611" s="124"/>
      <c r="N10611" s="124"/>
      <c r="O10611" s="124"/>
    </row>
    <row r="10612">
      <c r="K10612" s="124"/>
      <c r="L10612" s="124"/>
      <c r="M10612" s="124"/>
      <c r="N10612" s="124"/>
      <c r="O10612" s="124"/>
    </row>
    <row r="10613">
      <c r="K10613" s="124"/>
      <c r="L10613" s="124"/>
      <c r="M10613" s="124"/>
      <c r="N10613" s="124"/>
      <c r="O10613" s="124"/>
    </row>
    <row r="10614">
      <c r="K10614" s="124"/>
      <c r="L10614" s="124"/>
      <c r="M10614" s="124"/>
      <c r="N10614" s="124"/>
      <c r="O10614" s="124"/>
    </row>
    <row r="10615">
      <c r="K10615" s="124"/>
      <c r="L10615" s="124"/>
      <c r="M10615" s="124"/>
      <c r="N10615" s="124"/>
      <c r="O10615" s="124"/>
    </row>
    <row r="10616">
      <c r="K10616" s="124"/>
      <c r="L10616" s="124"/>
      <c r="M10616" s="124"/>
      <c r="N10616" s="124"/>
      <c r="O10616" s="124"/>
    </row>
    <row r="10617">
      <c r="K10617" s="124"/>
      <c r="L10617" s="124"/>
      <c r="M10617" s="124"/>
      <c r="N10617" s="124"/>
      <c r="O10617" s="124"/>
    </row>
    <row r="10618">
      <c r="K10618" s="124"/>
      <c r="L10618" s="124"/>
      <c r="M10618" s="124"/>
      <c r="N10618" s="124"/>
      <c r="O10618" s="124"/>
    </row>
    <row r="10619">
      <c r="K10619" s="124"/>
      <c r="L10619" s="124"/>
      <c r="M10619" s="124"/>
      <c r="N10619" s="124"/>
      <c r="O10619" s="124"/>
    </row>
    <row r="10620">
      <c r="K10620" s="124"/>
      <c r="L10620" s="124"/>
      <c r="M10620" s="124"/>
      <c r="N10620" s="124"/>
      <c r="O10620" s="124"/>
    </row>
    <row r="10621">
      <c r="K10621" s="124"/>
      <c r="L10621" s="124"/>
      <c r="M10621" s="124"/>
      <c r="N10621" s="124"/>
      <c r="O10621" s="124"/>
    </row>
    <row r="10622">
      <c r="K10622" s="124"/>
      <c r="L10622" s="124"/>
      <c r="M10622" s="124"/>
      <c r="N10622" s="124"/>
      <c r="O10622" s="124"/>
    </row>
    <row r="10623">
      <c r="K10623" s="124"/>
      <c r="L10623" s="124"/>
      <c r="M10623" s="124"/>
      <c r="N10623" s="124"/>
      <c r="O10623" s="124"/>
    </row>
    <row r="10624">
      <c r="K10624" s="124"/>
      <c r="L10624" s="124"/>
      <c r="M10624" s="124"/>
      <c r="N10624" s="124"/>
      <c r="O10624" s="124"/>
    </row>
    <row r="10625">
      <c r="K10625" s="124"/>
      <c r="L10625" s="124"/>
      <c r="M10625" s="124"/>
      <c r="N10625" s="124"/>
      <c r="O10625" s="124"/>
    </row>
    <row r="10626">
      <c r="K10626" s="124"/>
      <c r="L10626" s="124"/>
      <c r="M10626" s="124"/>
      <c r="N10626" s="124"/>
      <c r="O10626" s="124"/>
    </row>
    <row r="10627">
      <c r="K10627" s="124"/>
      <c r="L10627" s="124"/>
      <c r="M10627" s="124"/>
      <c r="N10627" s="124"/>
      <c r="O10627" s="124"/>
    </row>
    <row r="10628">
      <c r="K10628" s="124"/>
      <c r="L10628" s="124"/>
      <c r="M10628" s="124"/>
      <c r="N10628" s="124"/>
      <c r="O10628" s="124"/>
    </row>
    <row r="10629">
      <c r="K10629" s="124"/>
      <c r="L10629" s="124"/>
      <c r="M10629" s="124"/>
      <c r="N10629" s="124"/>
      <c r="O10629" s="124"/>
    </row>
    <row r="10630">
      <c r="K10630" s="124"/>
      <c r="L10630" s="124"/>
      <c r="M10630" s="124"/>
      <c r="N10630" s="124"/>
      <c r="O10630" s="124"/>
    </row>
    <row r="10631">
      <c r="K10631" s="124"/>
      <c r="L10631" s="124"/>
      <c r="M10631" s="124"/>
      <c r="N10631" s="124"/>
      <c r="O10631" s="124"/>
    </row>
    <row r="10632">
      <c r="K10632" s="124"/>
      <c r="L10632" s="124"/>
      <c r="M10632" s="124"/>
      <c r="N10632" s="124"/>
      <c r="O10632" s="124"/>
    </row>
    <row r="10633">
      <c r="K10633" s="124"/>
      <c r="L10633" s="124"/>
      <c r="M10633" s="124"/>
      <c r="N10633" s="124"/>
      <c r="O10633" s="124"/>
    </row>
    <row r="10634">
      <c r="K10634" s="124"/>
      <c r="L10634" s="124"/>
      <c r="M10634" s="124"/>
      <c r="N10634" s="124"/>
      <c r="O10634" s="124"/>
    </row>
    <row r="10635">
      <c r="K10635" s="124"/>
      <c r="L10635" s="124"/>
      <c r="M10635" s="124"/>
      <c r="N10635" s="124"/>
      <c r="O10635" s="124"/>
    </row>
    <row r="10636">
      <c r="K10636" s="124"/>
      <c r="L10636" s="124"/>
      <c r="M10636" s="124"/>
      <c r="N10636" s="124"/>
      <c r="O10636" s="124"/>
    </row>
    <row r="10637">
      <c r="K10637" s="124"/>
      <c r="L10637" s="124"/>
      <c r="M10637" s="124"/>
      <c r="N10637" s="124"/>
      <c r="O10637" s="124"/>
    </row>
    <row r="10638">
      <c r="K10638" s="124"/>
      <c r="L10638" s="124"/>
      <c r="M10638" s="124"/>
      <c r="N10638" s="124"/>
      <c r="O10638" s="124"/>
    </row>
    <row r="10639">
      <c r="K10639" s="124"/>
      <c r="L10639" s="124"/>
      <c r="M10639" s="124"/>
      <c r="N10639" s="124"/>
      <c r="O10639" s="124"/>
    </row>
    <row r="10640">
      <c r="K10640" s="124"/>
      <c r="L10640" s="124"/>
      <c r="M10640" s="124"/>
      <c r="N10640" s="124"/>
      <c r="O10640" s="124"/>
    </row>
    <row r="10641">
      <c r="K10641" s="124"/>
      <c r="L10641" s="124"/>
      <c r="M10641" s="124"/>
      <c r="N10641" s="124"/>
      <c r="O10641" s="124"/>
    </row>
    <row r="10642">
      <c r="K10642" s="124"/>
      <c r="L10642" s="124"/>
      <c r="M10642" s="124"/>
      <c r="N10642" s="124"/>
      <c r="O10642" s="124"/>
    </row>
    <row r="10643">
      <c r="K10643" s="124"/>
      <c r="L10643" s="124"/>
      <c r="M10643" s="124"/>
      <c r="N10643" s="124"/>
      <c r="O10643" s="124"/>
    </row>
    <row r="10644">
      <c r="K10644" s="124"/>
      <c r="L10644" s="124"/>
      <c r="M10644" s="124"/>
      <c r="N10644" s="124"/>
      <c r="O10644" s="124"/>
    </row>
    <row r="10645">
      <c r="K10645" s="124"/>
      <c r="L10645" s="124"/>
      <c r="M10645" s="124"/>
      <c r="N10645" s="124"/>
      <c r="O10645" s="124"/>
    </row>
    <row r="10646">
      <c r="K10646" s="124"/>
      <c r="L10646" s="124"/>
      <c r="M10646" s="124"/>
      <c r="N10646" s="124"/>
      <c r="O10646" s="124"/>
    </row>
    <row r="10647">
      <c r="K10647" s="124"/>
      <c r="L10647" s="124"/>
      <c r="M10647" s="124"/>
      <c r="N10647" s="124"/>
      <c r="O10647" s="124"/>
    </row>
    <row r="10648">
      <c r="K10648" s="124"/>
      <c r="L10648" s="124"/>
      <c r="M10648" s="124"/>
      <c r="N10648" s="124"/>
      <c r="O10648" s="124"/>
    </row>
    <row r="10649">
      <c r="K10649" s="124"/>
      <c r="L10649" s="124"/>
      <c r="M10649" s="124"/>
      <c r="N10649" s="124"/>
      <c r="O10649" s="124"/>
    </row>
    <row r="10650">
      <c r="K10650" s="124"/>
      <c r="L10650" s="124"/>
      <c r="M10650" s="124"/>
      <c r="N10650" s="124"/>
      <c r="O10650" s="124"/>
    </row>
    <row r="10651">
      <c r="K10651" s="124"/>
      <c r="L10651" s="124"/>
      <c r="M10651" s="124"/>
      <c r="N10651" s="124"/>
      <c r="O10651" s="124"/>
    </row>
    <row r="10652">
      <c r="K10652" s="124"/>
      <c r="L10652" s="124"/>
      <c r="M10652" s="124"/>
      <c r="N10652" s="124"/>
      <c r="O10652" s="124"/>
    </row>
    <row r="10653">
      <c r="K10653" s="124"/>
      <c r="L10653" s="124"/>
      <c r="M10653" s="124"/>
      <c r="N10653" s="124"/>
      <c r="O10653" s="124"/>
    </row>
    <row r="10654">
      <c r="K10654" s="124"/>
      <c r="L10654" s="124"/>
      <c r="M10654" s="124"/>
      <c r="N10654" s="124"/>
      <c r="O10654" s="124"/>
    </row>
    <row r="10655">
      <c r="K10655" s="124"/>
      <c r="L10655" s="124"/>
      <c r="M10655" s="124"/>
      <c r="N10655" s="124"/>
      <c r="O10655" s="124"/>
    </row>
    <row r="10656">
      <c r="K10656" s="124"/>
      <c r="L10656" s="124"/>
      <c r="M10656" s="124"/>
      <c r="N10656" s="124"/>
      <c r="O10656" s="124"/>
    </row>
    <row r="10657">
      <c r="K10657" s="124"/>
      <c r="L10657" s="124"/>
      <c r="M10657" s="124"/>
      <c r="N10657" s="124"/>
      <c r="O10657" s="124"/>
    </row>
    <row r="10658">
      <c r="K10658" s="124"/>
      <c r="L10658" s="124"/>
      <c r="M10658" s="124"/>
      <c r="N10658" s="124"/>
      <c r="O10658" s="124"/>
    </row>
    <row r="10659">
      <c r="K10659" s="124"/>
      <c r="L10659" s="124"/>
      <c r="M10659" s="124"/>
      <c r="N10659" s="124"/>
      <c r="O10659" s="124"/>
    </row>
    <row r="10660">
      <c r="K10660" s="124"/>
      <c r="L10660" s="124"/>
      <c r="M10660" s="124"/>
      <c r="N10660" s="124"/>
      <c r="O10660" s="124"/>
    </row>
    <row r="10661">
      <c r="K10661" s="124"/>
      <c r="L10661" s="124"/>
      <c r="M10661" s="124"/>
      <c r="N10661" s="124"/>
      <c r="O10661" s="124"/>
    </row>
    <row r="10662">
      <c r="K10662" s="124"/>
      <c r="L10662" s="124"/>
      <c r="M10662" s="124"/>
      <c r="N10662" s="124"/>
      <c r="O10662" s="124"/>
    </row>
    <row r="10663">
      <c r="K10663" s="124"/>
      <c r="L10663" s="124"/>
      <c r="M10663" s="124"/>
      <c r="N10663" s="124"/>
      <c r="O10663" s="124"/>
    </row>
    <row r="10664">
      <c r="K10664" s="124"/>
      <c r="L10664" s="124"/>
      <c r="M10664" s="124"/>
      <c r="N10664" s="124"/>
      <c r="O10664" s="124"/>
    </row>
    <row r="10665">
      <c r="K10665" s="124"/>
      <c r="L10665" s="124"/>
      <c r="M10665" s="124"/>
      <c r="N10665" s="124"/>
      <c r="O10665" s="124"/>
    </row>
    <row r="10666">
      <c r="K10666" s="124"/>
      <c r="L10666" s="124"/>
      <c r="M10666" s="124"/>
      <c r="N10666" s="124"/>
      <c r="O10666" s="124"/>
    </row>
    <row r="10667">
      <c r="K10667" s="124"/>
      <c r="L10667" s="124"/>
      <c r="M10667" s="124"/>
      <c r="N10667" s="124"/>
      <c r="O10667" s="124"/>
    </row>
    <row r="10668">
      <c r="K10668" s="124"/>
      <c r="L10668" s="124"/>
      <c r="M10668" s="124"/>
      <c r="N10668" s="124"/>
      <c r="O10668" s="124"/>
    </row>
    <row r="10669">
      <c r="K10669" s="124"/>
      <c r="L10669" s="124"/>
      <c r="M10669" s="124"/>
      <c r="N10669" s="124"/>
      <c r="O10669" s="124"/>
    </row>
    <row r="10670">
      <c r="K10670" s="124"/>
      <c r="L10670" s="124"/>
      <c r="M10670" s="124"/>
      <c r="N10670" s="124"/>
      <c r="O10670" s="124"/>
    </row>
    <row r="10671">
      <c r="K10671" s="124"/>
      <c r="L10671" s="124"/>
      <c r="M10671" s="124"/>
      <c r="N10671" s="124"/>
      <c r="O10671" s="124"/>
    </row>
    <row r="10672">
      <c r="K10672" s="124"/>
      <c r="L10672" s="124"/>
      <c r="M10672" s="124"/>
      <c r="N10672" s="124"/>
      <c r="O10672" s="124"/>
    </row>
    <row r="10673">
      <c r="K10673" s="124"/>
      <c r="L10673" s="124"/>
      <c r="M10673" s="124"/>
      <c r="N10673" s="124"/>
      <c r="O10673" s="124"/>
    </row>
    <row r="10674">
      <c r="K10674" s="124"/>
      <c r="L10674" s="124"/>
      <c r="M10674" s="124"/>
      <c r="N10674" s="124"/>
      <c r="O10674" s="124"/>
    </row>
    <row r="10675">
      <c r="K10675" s="124"/>
      <c r="L10675" s="124"/>
      <c r="M10675" s="124"/>
      <c r="N10675" s="124"/>
      <c r="O10675" s="124"/>
    </row>
    <row r="10676">
      <c r="K10676" s="124"/>
      <c r="L10676" s="124"/>
      <c r="M10676" s="124"/>
      <c r="N10676" s="124"/>
      <c r="O10676" s="124"/>
    </row>
    <row r="10677">
      <c r="K10677" s="124"/>
      <c r="L10677" s="124"/>
      <c r="M10677" s="124"/>
      <c r="N10677" s="124"/>
      <c r="O10677" s="124"/>
    </row>
    <row r="10678">
      <c r="K10678" s="124"/>
      <c r="L10678" s="124"/>
      <c r="M10678" s="124"/>
      <c r="N10678" s="124"/>
      <c r="O10678" s="124"/>
    </row>
    <row r="10679">
      <c r="K10679" s="124"/>
      <c r="L10679" s="124"/>
      <c r="M10679" s="124"/>
      <c r="N10679" s="124"/>
      <c r="O10679" s="124"/>
    </row>
    <row r="10680">
      <c r="K10680" s="124"/>
      <c r="L10680" s="124"/>
      <c r="M10680" s="124"/>
      <c r="N10680" s="124"/>
      <c r="O10680" s="124"/>
    </row>
    <row r="10681">
      <c r="K10681" s="124"/>
      <c r="L10681" s="124"/>
      <c r="M10681" s="124"/>
      <c r="N10681" s="124"/>
      <c r="O10681" s="124"/>
    </row>
    <row r="10682">
      <c r="K10682" s="124"/>
      <c r="L10682" s="124"/>
      <c r="M10682" s="124"/>
      <c r="N10682" s="124"/>
      <c r="O10682" s="124"/>
    </row>
    <row r="10683">
      <c r="K10683" s="124"/>
      <c r="L10683" s="124"/>
      <c r="M10683" s="124"/>
      <c r="N10683" s="124"/>
      <c r="O10683" s="124"/>
    </row>
    <row r="10684">
      <c r="K10684" s="124"/>
      <c r="L10684" s="124"/>
      <c r="M10684" s="124"/>
      <c r="N10684" s="124"/>
      <c r="O10684" s="124"/>
    </row>
    <row r="10685">
      <c r="K10685" s="124"/>
      <c r="L10685" s="124"/>
      <c r="M10685" s="124"/>
      <c r="N10685" s="124"/>
      <c r="O10685" s="124"/>
    </row>
    <row r="10686">
      <c r="K10686" s="124"/>
      <c r="L10686" s="124"/>
      <c r="M10686" s="124"/>
      <c r="N10686" s="124"/>
      <c r="O10686" s="124"/>
    </row>
    <row r="10687">
      <c r="K10687" s="124"/>
      <c r="L10687" s="124"/>
      <c r="M10687" s="124"/>
      <c r="N10687" s="124"/>
      <c r="O10687" s="124"/>
    </row>
    <row r="10688">
      <c r="K10688" s="124"/>
      <c r="L10688" s="124"/>
      <c r="M10688" s="124"/>
      <c r="N10688" s="124"/>
      <c r="O10688" s="124"/>
    </row>
    <row r="10689">
      <c r="K10689" s="124"/>
      <c r="L10689" s="124"/>
      <c r="M10689" s="124"/>
      <c r="N10689" s="124"/>
      <c r="O10689" s="124"/>
    </row>
    <row r="10690">
      <c r="K10690" s="124"/>
      <c r="L10690" s="124"/>
      <c r="M10690" s="124"/>
      <c r="N10690" s="124"/>
      <c r="O10690" s="124"/>
    </row>
    <row r="10691">
      <c r="K10691" s="124"/>
      <c r="L10691" s="124"/>
      <c r="M10691" s="124"/>
      <c r="N10691" s="124"/>
      <c r="O10691" s="124"/>
    </row>
    <row r="10692">
      <c r="K10692" s="124"/>
      <c r="L10692" s="124"/>
      <c r="M10692" s="124"/>
      <c r="N10692" s="124"/>
      <c r="O10692" s="124"/>
    </row>
    <row r="10693">
      <c r="K10693" s="124"/>
      <c r="L10693" s="124"/>
      <c r="M10693" s="124"/>
      <c r="N10693" s="124"/>
      <c r="O10693" s="124"/>
    </row>
    <row r="10694">
      <c r="K10694" s="124"/>
      <c r="L10694" s="124"/>
      <c r="M10694" s="124"/>
      <c r="N10694" s="124"/>
      <c r="O10694" s="124"/>
    </row>
    <row r="10695">
      <c r="K10695" s="124"/>
      <c r="L10695" s="124"/>
      <c r="M10695" s="124"/>
      <c r="N10695" s="124"/>
      <c r="O10695" s="124"/>
    </row>
    <row r="10696">
      <c r="K10696" s="124"/>
      <c r="L10696" s="124"/>
      <c r="M10696" s="124"/>
      <c r="N10696" s="124"/>
      <c r="O10696" s="124"/>
    </row>
    <row r="10697">
      <c r="K10697" s="124"/>
      <c r="L10697" s="124"/>
      <c r="M10697" s="124"/>
      <c r="N10697" s="124"/>
      <c r="O10697" s="124"/>
    </row>
    <row r="10698">
      <c r="K10698" s="124"/>
      <c r="L10698" s="124"/>
      <c r="M10698" s="124"/>
      <c r="N10698" s="124"/>
      <c r="O10698" s="124"/>
    </row>
    <row r="10699">
      <c r="K10699" s="124"/>
      <c r="L10699" s="124"/>
      <c r="M10699" s="124"/>
      <c r="N10699" s="124"/>
      <c r="O10699" s="124"/>
    </row>
    <row r="10700">
      <c r="K10700" s="124"/>
      <c r="L10700" s="124"/>
      <c r="M10700" s="124"/>
      <c r="N10700" s="124"/>
      <c r="O10700" s="124"/>
    </row>
    <row r="10701">
      <c r="K10701" s="124"/>
      <c r="L10701" s="124"/>
      <c r="M10701" s="124"/>
      <c r="N10701" s="124"/>
      <c r="O10701" s="124"/>
    </row>
    <row r="10702">
      <c r="K10702" s="124"/>
      <c r="L10702" s="124"/>
      <c r="M10702" s="124"/>
      <c r="N10702" s="124"/>
      <c r="O10702" s="124"/>
    </row>
    <row r="10703">
      <c r="K10703" s="124"/>
      <c r="L10703" s="124"/>
      <c r="M10703" s="124"/>
      <c r="N10703" s="124"/>
      <c r="O10703" s="124"/>
    </row>
    <row r="10704">
      <c r="K10704" s="124"/>
      <c r="L10704" s="124"/>
      <c r="M10704" s="124"/>
      <c r="N10704" s="124"/>
      <c r="O10704" s="124"/>
    </row>
    <row r="10705">
      <c r="K10705" s="124"/>
      <c r="L10705" s="124"/>
      <c r="M10705" s="124"/>
      <c r="N10705" s="124"/>
      <c r="O10705" s="124"/>
    </row>
    <row r="10706">
      <c r="K10706" s="124"/>
      <c r="L10706" s="124"/>
      <c r="M10706" s="124"/>
      <c r="N10706" s="124"/>
      <c r="O10706" s="124"/>
    </row>
    <row r="10707">
      <c r="K10707" s="124"/>
      <c r="L10707" s="124"/>
      <c r="M10707" s="124"/>
      <c r="N10707" s="124"/>
      <c r="O10707" s="124"/>
    </row>
    <row r="10708">
      <c r="K10708" s="124"/>
      <c r="L10708" s="124"/>
      <c r="M10708" s="124"/>
      <c r="N10708" s="124"/>
      <c r="O10708" s="124"/>
    </row>
    <row r="10709">
      <c r="K10709" s="124"/>
      <c r="L10709" s="124"/>
      <c r="M10709" s="124"/>
      <c r="N10709" s="124"/>
      <c r="O10709" s="124"/>
    </row>
    <row r="10710">
      <c r="K10710" s="124"/>
      <c r="L10710" s="124"/>
      <c r="M10710" s="124"/>
      <c r="N10710" s="124"/>
      <c r="O10710" s="124"/>
    </row>
    <row r="10711">
      <c r="K10711" s="124"/>
      <c r="L10711" s="124"/>
      <c r="M10711" s="124"/>
      <c r="N10711" s="124"/>
      <c r="O10711" s="124"/>
    </row>
    <row r="10712">
      <c r="K10712" s="124"/>
      <c r="L10712" s="124"/>
      <c r="M10712" s="124"/>
      <c r="N10712" s="124"/>
      <c r="O10712" s="124"/>
    </row>
    <row r="10713">
      <c r="K10713" s="124"/>
      <c r="L10713" s="124"/>
      <c r="M10713" s="124"/>
      <c r="N10713" s="124"/>
      <c r="O10713" s="124"/>
    </row>
    <row r="10714">
      <c r="K10714" s="124"/>
      <c r="L10714" s="124"/>
      <c r="M10714" s="124"/>
      <c r="N10714" s="124"/>
      <c r="O10714" s="124"/>
    </row>
    <row r="10715">
      <c r="K10715" s="124"/>
      <c r="L10715" s="124"/>
      <c r="M10715" s="124"/>
      <c r="N10715" s="124"/>
      <c r="O10715" s="124"/>
    </row>
    <row r="10716">
      <c r="K10716" s="124"/>
      <c r="L10716" s="124"/>
      <c r="M10716" s="124"/>
      <c r="N10716" s="124"/>
      <c r="O10716" s="124"/>
    </row>
    <row r="10717">
      <c r="K10717" s="124"/>
      <c r="L10717" s="124"/>
      <c r="M10717" s="124"/>
      <c r="N10717" s="124"/>
      <c r="O10717" s="124"/>
    </row>
    <row r="10718">
      <c r="K10718" s="124"/>
      <c r="L10718" s="124"/>
      <c r="M10718" s="124"/>
      <c r="N10718" s="124"/>
      <c r="O10718" s="124"/>
    </row>
    <row r="10719">
      <c r="K10719" s="124"/>
      <c r="L10719" s="124"/>
      <c r="M10719" s="124"/>
      <c r="N10719" s="124"/>
      <c r="O10719" s="124"/>
    </row>
    <row r="10720">
      <c r="K10720" s="124"/>
      <c r="L10720" s="124"/>
      <c r="M10720" s="124"/>
      <c r="N10720" s="124"/>
      <c r="O10720" s="124"/>
    </row>
    <row r="10721">
      <c r="K10721" s="124"/>
      <c r="L10721" s="124"/>
      <c r="M10721" s="124"/>
      <c r="N10721" s="124"/>
      <c r="O10721" s="124"/>
    </row>
    <row r="10722">
      <c r="K10722" s="124"/>
      <c r="L10722" s="124"/>
      <c r="M10722" s="124"/>
      <c r="N10722" s="124"/>
      <c r="O10722" s="124"/>
    </row>
    <row r="10723">
      <c r="K10723" s="124"/>
      <c r="L10723" s="124"/>
      <c r="M10723" s="124"/>
      <c r="N10723" s="124"/>
      <c r="O10723" s="124"/>
    </row>
    <row r="10724">
      <c r="K10724" s="124"/>
      <c r="L10724" s="124"/>
      <c r="M10724" s="124"/>
      <c r="N10724" s="124"/>
      <c r="O10724" s="124"/>
    </row>
    <row r="10725">
      <c r="K10725" s="124"/>
      <c r="L10725" s="124"/>
      <c r="M10725" s="124"/>
      <c r="N10725" s="124"/>
      <c r="O10725" s="124"/>
    </row>
    <row r="10726">
      <c r="K10726" s="124"/>
      <c r="L10726" s="124"/>
      <c r="M10726" s="124"/>
      <c r="N10726" s="124"/>
      <c r="O10726" s="124"/>
    </row>
    <row r="10727">
      <c r="K10727" s="124"/>
      <c r="L10727" s="124"/>
      <c r="M10727" s="124"/>
      <c r="N10727" s="124"/>
      <c r="O10727" s="124"/>
    </row>
    <row r="10728">
      <c r="K10728" s="124"/>
      <c r="L10728" s="124"/>
      <c r="M10728" s="124"/>
      <c r="N10728" s="124"/>
      <c r="O10728" s="124"/>
    </row>
    <row r="10729">
      <c r="K10729" s="124"/>
      <c r="L10729" s="124"/>
      <c r="M10729" s="124"/>
      <c r="N10729" s="124"/>
      <c r="O10729" s="124"/>
    </row>
    <row r="10730">
      <c r="K10730" s="124"/>
      <c r="L10730" s="124"/>
      <c r="M10730" s="124"/>
      <c r="N10730" s="124"/>
      <c r="O10730" s="124"/>
    </row>
    <row r="10731">
      <c r="K10731" s="124"/>
      <c r="L10731" s="124"/>
      <c r="M10731" s="124"/>
      <c r="N10731" s="124"/>
      <c r="O10731" s="124"/>
    </row>
    <row r="10732">
      <c r="K10732" s="124"/>
      <c r="L10732" s="124"/>
      <c r="M10732" s="124"/>
      <c r="N10732" s="124"/>
      <c r="O10732" s="124"/>
    </row>
    <row r="10733">
      <c r="K10733" s="124"/>
      <c r="L10733" s="124"/>
      <c r="M10733" s="124"/>
      <c r="N10733" s="124"/>
      <c r="O10733" s="124"/>
    </row>
    <row r="10734">
      <c r="K10734" s="124"/>
      <c r="L10734" s="124"/>
      <c r="M10734" s="124"/>
      <c r="N10734" s="124"/>
      <c r="O10734" s="124"/>
    </row>
    <row r="10735">
      <c r="K10735" s="124"/>
      <c r="L10735" s="124"/>
      <c r="M10735" s="124"/>
      <c r="N10735" s="124"/>
      <c r="O10735" s="124"/>
    </row>
    <row r="10736">
      <c r="K10736" s="124"/>
      <c r="L10736" s="124"/>
      <c r="M10736" s="124"/>
      <c r="N10736" s="124"/>
      <c r="O10736" s="124"/>
    </row>
    <row r="10737">
      <c r="K10737" s="124"/>
      <c r="L10737" s="124"/>
      <c r="M10737" s="124"/>
      <c r="N10737" s="124"/>
      <c r="O10737" s="124"/>
    </row>
    <row r="10738">
      <c r="K10738" s="124"/>
      <c r="L10738" s="124"/>
      <c r="M10738" s="124"/>
      <c r="N10738" s="124"/>
      <c r="O10738" s="124"/>
    </row>
    <row r="10739">
      <c r="K10739" s="124"/>
      <c r="L10739" s="124"/>
      <c r="M10739" s="124"/>
      <c r="N10739" s="124"/>
      <c r="O10739" s="124"/>
    </row>
    <row r="10740">
      <c r="K10740" s="124"/>
      <c r="L10740" s="124"/>
      <c r="M10740" s="124"/>
      <c r="N10740" s="124"/>
      <c r="O10740" s="124"/>
    </row>
    <row r="10741">
      <c r="K10741" s="124"/>
      <c r="L10741" s="124"/>
      <c r="M10741" s="124"/>
      <c r="N10741" s="124"/>
      <c r="O10741" s="124"/>
    </row>
    <row r="10742">
      <c r="K10742" s="124"/>
      <c r="L10742" s="124"/>
      <c r="M10742" s="124"/>
      <c r="N10742" s="124"/>
      <c r="O10742" s="124"/>
    </row>
    <row r="10743">
      <c r="K10743" s="124"/>
      <c r="L10743" s="124"/>
      <c r="M10743" s="124"/>
      <c r="N10743" s="124"/>
      <c r="O10743" s="124"/>
    </row>
    <row r="10744">
      <c r="K10744" s="124"/>
      <c r="L10744" s="124"/>
      <c r="M10744" s="124"/>
      <c r="N10744" s="124"/>
      <c r="O10744" s="124"/>
    </row>
    <row r="10745">
      <c r="K10745" s="124"/>
      <c r="L10745" s="124"/>
      <c r="M10745" s="124"/>
      <c r="N10745" s="124"/>
      <c r="O10745" s="124"/>
    </row>
    <row r="10746">
      <c r="K10746" s="124"/>
      <c r="L10746" s="124"/>
      <c r="M10746" s="124"/>
      <c r="N10746" s="124"/>
      <c r="O10746" s="124"/>
    </row>
    <row r="10747">
      <c r="K10747" s="124"/>
      <c r="L10747" s="124"/>
      <c r="M10747" s="124"/>
      <c r="N10747" s="124"/>
      <c r="O10747" s="124"/>
    </row>
    <row r="10748">
      <c r="K10748" s="124"/>
      <c r="L10748" s="124"/>
      <c r="M10748" s="124"/>
      <c r="N10748" s="124"/>
      <c r="O10748" s="124"/>
    </row>
    <row r="10749">
      <c r="K10749" s="124"/>
      <c r="L10749" s="124"/>
      <c r="M10749" s="124"/>
      <c r="N10749" s="124"/>
      <c r="O10749" s="124"/>
    </row>
    <row r="10750">
      <c r="K10750" s="124"/>
      <c r="L10750" s="124"/>
      <c r="M10750" s="124"/>
      <c r="N10750" s="124"/>
      <c r="O10750" s="124"/>
    </row>
    <row r="10751">
      <c r="K10751" s="124"/>
      <c r="L10751" s="124"/>
      <c r="M10751" s="124"/>
      <c r="N10751" s="124"/>
      <c r="O10751" s="124"/>
    </row>
    <row r="10752">
      <c r="K10752" s="124"/>
      <c r="L10752" s="124"/>
      <c r="M10752" s="124"/>
      <c r="N10752" s="124"/>
      <c r="O10752" s="124"/>
    </row>
    <row r="10753">
      <c r="K10753" s="124"/>
      <c r="L10753" s="124"/>
      <c r="M10753" s="124"/>
      <c r="N10753" s="124"/>
      <c r="O10753" s="124"/>
    </row>
    <row r="10754">
      <c r="K10754" s="124"/>
      <c r="L10754" s="124"/>
      <c r="M10754" s="124"/>
      <c r="N10754" s="124"/>
      <c r="O10754" s="124"/>
    </row>
    <row r="10755">
      <c r="K10755" s="124"/>
      <c r="L10755" s="124"/>
      <c r="M10755" s="124"/>
      <c r="N10755" s="124"/>
      <c r="O10755" s="124"/>
    </row>
    <row r="10756">
      <c r="K10756" s="124"/>
      <c r="L10756" s="124"/>
      <c r="M10756" s="124"/>
      <c r="N10756" s="124"/>
      <c r="O10756" s="124"/>
    </row>
    <row r="10757">
      <c r="K10757" s="124"/>
      <c r="L10757" s="124"/>
      <c r="M10757" s="124"/>
      <c r="N10757" s="124"/>
      <c r="O10757" s="124"/>
    </row>
    <row r="10758">
      <c r="K10758" s="124"/>
      <c r="L10758" s="124"/>
      <c r="M10758" s="124"/>
      <c r="N10758" s="124"/>
      <c r="O10758" s="124"/>
    </row>
    <row r="10759">
      <c r="K10759" s="124"/>
      <c r="L10759" s="124"/>
      <c r="M10759" s="124"/>
      <c r="N10759" s="124"/>
      <c r="O10759" s="124"/>
    </row>
    <row r="10760">
      <c r="K10760" s="124"/>
      <c r="L10760" s="124"/>
      <c r="M10760" s="124"/>
      <c r="N10760" s="124"/>
      <c r="O10760" s="124"/>
    </row>
    <row r="10761">
      <c r="K10761" s="124"/>
      <c r="L10761" s="124"/>
      <c r="M10761" s="124"/>
      <c r="N10761" s="124"/>
      <c r="O10761" s="124"/>
    </row>
    <row r="10762">
      <c r="K10762" s="124"/>
      <c r="L10762" s="124"/>
      <c r="M10762" s="124"/>
      <c r="N10762" s="124"/>
      <c r="O10762" s="124"/>
    </row>
    <row r="10763">
      <c r="K10763" s="124"/>
      <c r="L10763" s="124"/>
      <c r="M10763" s="124"/>
      <c r="N10763" s="124"/>
      <c r="O10763" s="124"/>
    </row>
    <row r="10764">
      <c r="K10764" s="124"/>
      <c r="L10764" s="124"/>
      <c r="M10764" s="124"/>
      <c r="N10764" s="124"/>
      <c r="O10764" s="124"/>
    </row>
    <row r="10765">
      <c r="K10765" s="124"/>
      <c r="L10765" s="124"/>
      <c r="M10765" s="124"/>
      <c r="N10765" s="124"/>
      <c r="O10765" s="124"/>
    </row>
    <row r="10766">
      <c r="K10766" s="124"/>
      <c r="L10766" s="124"/>
      <c r="M10766" s="124"/>
      <c r="N10766" s="124"/>
      <c r="O10766" s="124"/>
    </row>
    <row r="10767">
      <c r="K10767" s="124"/>
      <c r="L10767" s="124"/>
      <c r="M10767" s="124"/>
      <c r="N10767" s="124"/>
      <c r="O10767" s="124"/>
    </row>
    <row r="10768">
      <c r="K10768" s="124"/>
      <c r="L10768" s="124"/>
      <c r="M10768" s="124"/>
      <c r="N10768" s="124"/>
      <c r="O10768" s="124"/>
    </row>
    <row r="10769">
      <c r="K10769" s="124"/>
      <c r="L10769" s="124"/>
      <c r="M10769" s="124"/>
      <c r="N10769" s="124"/>
      <c r="O10769" s="124"/>
    </row>
    <row r="10770">
      <c r="K10770" s="124"/>
      <c r="L10770" s="124"/>
      <c r="M10770" s="124"/>
      <c r="N10770" s="124"/>
      <c r="O10770" s="124"/>
    </row>
    <row r="10771">
      <c r="K10771" s="124"/>
      <c r="L10771" s="124"/>
      <c r="M10771" s="124"/>
      <c r="N10771" s="124"/>
      <c r="O10771" s="124"/>
    </row>
    <row r="10772">
      <c r="K10772" s="124"/>
      <c r="L10772" s="124"/>
      <c r="M10772" s="124"/>
      <c r="N10772" s="124"/>
      <c r="O10772" s="124"/>
    </row>
    <row r="10773">
      <c r="K10773" s="124"/>
      <c r="L10773" s="124"/>
      <c r="M10773" s="124"/>
      <c r="N10773" s="124"/>
      <c r="O10773" s="124"/>
    </row>
    <row r="10774">
      <c r="K10774" s="124"/>
      <c r="L10774" s="124"/>
      <c r="M10774" s="124"/>
      <c r="N10774" s="124"/>
      <c r="O10774" s="124"/>
    </row>
    <row r="10775">
      <c r="K10775" s="124"/>
      <c r="L10775" s="124"/>
      <c r="M10775" s="124"/>
      <c r="N10775" s="124"/>
      <c r="O10775" s="124"/>
    </row>
    <row r="10776">
      <c r="K10776" s="124"/>
      <c r="L10776" s="124"/>
      <c r="M10776" s="124"/>
      <c r="N10776" s="124"/>
      <c r="O10776" s="124"/>
    </row>
    <row r="10777">
      <c r="K10777" s="124"/>
      <c r="L10777" s="124"/>
      <c r="M10777" s="124"/>
      <c r="N10777" s="124"/>
      <c r="O10777" s="124"/>
    </row>
    <row r="10778">
      <c r="K10778" s="124"/>
      <c r="L10778" s="124"/>
      <c r="M10778" s="124"/>
      <c r="N10778" s="124"/>
      <c r="O10778" s="124"/>
    </row>
    <row r="10779">
      <c r="K10779" s="124"/>
      <c r="L10779" s="124"/>
      <c r="M10779" s="124"/>
      <c r="N10779" s="124"/>
      <c r="O10779" s="124"/>
    </row>
    <row r="10780">
      <c r="K10780" s="124"/>
      <c r="L10780" s="124"/>
      <c r="M10780" s="124"/>
      <c r="N10780" s="124"/>
      <c r="O10780" s="124"/>
    </row>
    <row r="10781">
      <c r="K10781" s="124"/>
      <c r="L10781" s="124"/>
      <c r="M10781" s="124"/>
      <c r="N10781" s="124"/>
      <c r="O10781" s="124"/>
    </row>
    <row r="10782">
      <c r="K10782" s="124"/>
      <c r="L10782" s="124"/>
      <c r="M10782" s="124"/>
      <c r="N10782" s="124"/>
      <c r="O10782" s="124"/>
    </row>
    <row r="10783">
      <c r="K10783" s="124"/>
      <c r="L10783" s="124"/>
      <c r="M10783" s="124"/>
      <c r="N10783" s="124"/>
      <c r="O10783" s="124"/>
    </row>
    <row r="10784">
      <c r="K10784" s="124"/>
      <c r="L10784" s="124"/>
      <c r="M10784" s="124"/>
      <c r="N10784" s="124"/>
      <c r="O10784" s="124"/>
    </row>
    <row r="10785">
      <c r="K10785" s="124"/>
      <c r="L10785" s="124"/>
      <c r="M10785" s="124"/>
      <c r="N10785" s="124"/>
      <c r="O10785" s="124"/>
    </row>
    <row r="10786">
      <c r="K10786" s="124"/>
      <c r="L10786" s="124"/>
      <c r="M10786" s="124"/>
      <c r="N10786" s="124"/>
      <c r="O10786" s="124"/>
    </row>
    <row r="10787">
      <c r="K10787" s="124"/>
      <c r="L10787" s="124"/>
      <c r="M10787" s="124"/>
      <c r="N10787" s="124"/>
      <c r="O10787" s="124"/>
    </row>
    <row r="10788">
      <c r="K10788" s="124"/>
      <c r="L10788" s="124"/>
      <c r="M10788" s="124"/>
      <c r="N10788" s="124"/>
      <c r="O10788" s="124"/>
    </row>
    <row r="10789">
      <c r="K10789" s="124"/>
      <c r="L10789" s="124"/>
      <c r="M10789" s="124"/>
      <c r="N10789" s="124"/>
      <c r="O10789" s="124"/>
    </row>
    <row r="10790">
      <c r="K10790" s="124"/>
      <c r="L10790" s="124"/>
      <c r="M10790" s="124"/>
      <c r="N10790" s="124"/>
      <c r="O10790" s="124"/>
    </row>
    <row r="10791">
      <c r="K10791" s="124"/>
      <c r="L10791" s="124"/>
      <c r="M10791" s="124"/>
      <c r="N10791" s="124"/>
      <c r="O10791" s="124"/>
    </row>
    <row r="10792">
      <c r="K10792" s="124"/>
      <c r="L10792" s="124"/>
      <c r="M10792" s="124"/>
      <c r="N10792" s="124"/>
      <c r="O10792" s="124"/>
    </row>
    <row r="10793">
      <c r="K10793" s="124"/>
      <c r="L10793" s="124"/>
      <c r="M10793" s="124"/>
      <c r="N10793" s="124"/>
      <c r="O10793" s="124"/>
    </row>
    <row r="10794">
      <c r="K10794" s="124"/>
      <c r="L10794" s="124"/>
      <c r="M10794" s="124"/>
      <c r="N10794" s="124"/>
      <c r="O10794" s="124"/>
    </row>
    <row r="10795">
      <c r="K10795" s="124"/>
      <c r="L10795" s="124"/>
      <c r="M10795" s="124"/>
      <c r="N10795" s="124"/>
      <c r="O10795" s="124"/>
    </row>
    <row r="10796">
      <c r="K10796" s="124"/>
      <c r="L10796" s="124"/>
      <c r="M10796" s="124"/>
      <c r="N10796" s="124"/>
      <c r="O10796" s="124"/>
    </row>
    <row r="10797">
      <c r="K10797" s="124"/>
      <c r="L10797" s="124"/>
      <c r="M10797" s="124"/>
      <c r="N10797" s="124"/>
      <c r="O10797" s="124"/>
    </row>
    <row r="10798">
      <c r="K10798" s="124"/>
      <c r="L10798" s="124"/>
      <c r="M10798" s="124"/>
      <c r="N10798" s="124"/>
      <c r="O10798" s="124"/>
    </row>
    <row r="10799">
      <c r="K10799" s="124"/>
      <c r="L10799" s="124"/>
      <c r="M10799" s="124"/>
      <c r="N10799" s="124"/>
      <c r="O10799" s="124"/>
    </row>
    <row r="10800">
      <c r="K10800" s="124"/>
      <c r="L10800" s="124"/>
      <c r="M10800" s="124"/>
      <c r="N10800" s="124"/>
      <c r="O10800" s="124"/>
    </row>
    <row r="10801">
      <c r="K10801" s="124"/>
      <c r="L10801" s="124"/>
      <c r="M10801" s="124"/>
      <c r="N10801" s="124"/>
      <c r="O10801" s="124"/>
    </row>
    <row r="10802">
      <c r="K10802" s="124"/>
      <c r="L10802" s="124"/>
      <c r="M10802" s="124"/>
      <c r="N10802" s="124"/>
      <c r="O10802" s="124"/>
    </row>
    <row r="10803">
      <c r="K10803" s="124"/>
      <c r="L10803" s="124"/>
      <c r="M10803" s="124"/>
      <c r="N10803" s="124"/>
      <c r="O10803" s="124"/>
    </row>
    <row r="10804">
      <c r="K10804" s="124"/>
      <c r="L10804" s="124"/>
      <c r="M10804" s="124"/>
      <c r="N10804" s="124"/>
      <c r="O10804" s="124"/>
    </row>
    <row r="10805">
      <c r="K10805" s="124"/>
      <c r="L10805" s="124"/>
      <c r="M10805" s="124"/>
      <c r="N10805" s="124"/>
      <c r="O10805" s="124"/>
    </row>
    <row r="10806">
      <c r="K10806" s="124"/>
      <c r="L10806" s="124"/>
      <c r="M10806" s="124"/>
      <c r="N10806" s="124"/>
      <c r="O10806" s="124"/>
    </row>
    <row r="10807">
      <c r="K10807" s="124"/>
      <c r="L10807" s="124"/>
      <c r="M10807" s="124"/>
      <c r="N10807" s="124"/>
      <c r="O10807" s="124"/>
    </row>
    <row r="10808">
      <c r="K10808" s="124"/>
      <c r="L10808" s="124"/>
      <c r="M10808" s="124"/>
      <c r="N10808" s="124"/>
      <c r="O10808" s="124"/>
    </row>
    <row r="10809">
      <c r="K10809" s="124"/>
      <c r="L10809" s="124"/>
      <c r="M10809" s="124"/>
      <c r="N10809" s="124"/>
      <c r="O10809" s="124"/>
    </row>
    <row r="10810">
      <c r="K10810" s="124"/>
      <c r="L10810" s="124"/>
      <c r="M10810" s="124"/>
      <c r="N10810" s="124"/>
      <c r="O10810" s="124"/>
    </row>
    <row r="10811">
      <c r="K10811" s="124"/>
      <c r="L10811" s="124"/>
      <c r="M10811" s="124"/>
      <c r="N10811" s="124"/>
      <c r="O10811" s="124"/>
    </row>
    <row r="10812">
      <c r="K10812" s="124"/>
      <c r="L10812" s="124"/>
      <c r="M10812" s="124"/>
      <c r="N10812" s="124"/>
      <c r="O10812" s="124"/>
    </row>
    <row r="10813">
      <c r="K10813" s="124"/>
      <c r="L10813" s="124"/>
      <c r="M10813" s="124"/>
      <c r="N10813" s="124"/>
      <c r="O10813" s="124"/>
    </row>
    <row r="10814">
      <c r="K10814" s="124"/>
      <c r="L10814" s="124"/>
      <c r="M10814" s="124"/>
      <c r="N10814" s="124"/>
      <c r="O10814" s="124"/>
    </row>
    <row r="10815">
      <c r="K10815" s="124"/>
      <c r="L10815" s="124"/>
      <c r="M10815" s="124"/>
      <c r="N10815" s="124"/>
      <c r="O10815" s="124"/>
    </row>
    <row r="10816">
      <c r="K10816" s="124"/>
      <c r="L10816" s="124"/>
      <c r="M10816" s="124"/>
      <c r="N10816" s="124"/>
      <c r="O10816" s="124"/>
    </row>
    <row r="10817">
      <c r="K10817" s="124"/>
      <c r="L10817" s="124"/>
      <c r="M10817" s="124"/>
      <c r="N10817" s="124"/>
      <c r="O10817" s="124"/>
    </row>
    <row r="10818">
      <c r="K10818" s="124"/>
      <c r="L10818" s="124"/>
      <c r="M10818" s="124"/>
      <c r="N10818" s="124"/>
      <c r="O10818" s="124"/>
    </row>
    <row r="10819">
      <c r="K10819" s="124"/>
      <c r="L10819" s="124"/>
      <c r="M10819" s="124"/>
      <c r="N10819" s="124"/>
      <c r="O10819" s="124"/>
    </row>
    <row r="10820">
      <c r="K10820" s="124"/>
      <c r="L10820" s="124"/>
      <c r="M10820" s="124"/>
      <c r="N10820" s="124"/>
      <c r="O10820" s="124"/>
    </row>
    <row r="10821">
      <c r="K10821" s="124"/>
      <c r="L10821" s="124"/>
      <c r="M10821" s="124"/>
      <c r="N10821" s="124"/>
      <c r="O10821" s="124"/>
    </row>
    <row r="10822">
      <c r="K10822" s="124"/>
      <c r="L10822" s="124"/>
      <c r="M10822" s="124"/>
      <c r="N10822" s="124"/>
      <c r="O10822" s="124"/>
    </row>
    <row r="10823">
      <c r="K10823" s="124"/>
      <c r="L10823" s="124"/>
      <c r="M10823" s="124"/>
      <c r="N10823" s="124"/>
      <c r="O10823" s="124"/>
    </row>
    <row r="10824">
      <c r="K10824" s="124"/>
      <c r="L10824" s="124"/>
      <c r="M10824" s="124"/>
      <c r="N10824" s="124"/>
      <c r="O10824" s="124"/>
    </row>
    <row r="10825">
      <c r="K10825" s="124"/>
      <c r="L10825" s="124"/>
      <c r="M10825" s="124"/>
      <c r="N10825" s="124"/>
      <c r="O10825" s="124"/>
    </row>
    <row r="10826">
      <c r="K10826" s="124"/>
      <c r="L10826" s="124"/>
      <c r="M10826" s="124"/>
      <c r="N10826" s="124"/>
      <c r="O10826" s="124"/>
    </row>
    <row r="10827">
      <c r="K10827" s="124"/>
      <c r="L10827" s="124"/>
      <c r="M10827" s="124"/>
      <c r="N10827" s="124"/>
      <c r="O10827" s="124"/>
    </row>
    <row r="10828">
      <c r="K10828" s="124"/>
      <c r="L10828" s="124"/>
      <c r="M10828" s="124"/>
      <c r="N10828" s="124"/>
      <c r="O10828" s="124"/>
    </row>
    <row r="10829">
      <c r="K10829" s="124"/>
      <c r="L10829" s="124"/>
      <c r="M10829" s="124"/>
      <c r="N10829" s="124"/>
      <c r="O10829" s="124"/>
    </row>
    <row r="10830">
      <c r="K10830" s="124"/>
      <c r="L10830" s="124"/>
      <c r="M10830" s="124"/>
      <c r="N10830" s="124"/>
      <c r="O10830" s="124"/>
    </row>
    <row r="10831">
      <c r="K10831" s="124"/>
      <c r="L10831" s="124"/>
      <c r="M10831" s="124"/>
      <c r="N10831" s="124"/>
      <c r="O10831" s="124"/>
    </row>
    <row r="10832">
      <c r="K10832" s="124"/>
      <c r="L10832" s="124"/>
      <c r="M10832" s="124"/>
      <c r="N10832" s="124"/>
      <c r="O10832" s="124"/>
    </row>
    <row r="10833">
      <c r="K10833" s="124"/>
      <c r="L10833" s="124"/>
      <c r="M10833" s="124"/>
      <c r="N10833" s="124"/>
      <c r="O10833" s="124"/>
    </row>
    <row r="10834">
      <c r="K10834" s="124"/>
      <c r="L10834" s="124"/>
      <c r="M10834" s="124"/>
      <c r="N10834" s="124"/>
      <c r="O10834" s="124"/>
    </row>
    <row r="10835">
      <c r="K10835" s="124"/>
      <c r="L10835" s="124"/>
      <c r="M10835" s="124"/>
      <c r="N10835" s="124"/>
      <c r="O10835" s="124"/>
    </row>
    <row r="10836">
      <c r="K10836" s="124"/>
      <c r="L10836" s="124"/>
      <c r="M10836" s="124"/>
      <c r="N10836" s="124"/>
      <c r="O10836" s="124"/>
    </row>
    <row r="10837">
      <c r="K10837" s="124"/>
      <c r="L10837" s="124"/>
      <c r="M10837" s="124"/>
      <c r="N10837" s="124"/>
      <c r="O10837" s="124"/>
    </row>
    <row r="10838">
      <c r="K10838" s="124"/>
      <c r="L10838" s="124"/>
      <c r="M10838" s="124"/>
      <c r="N10838" s="124"/>
      <c r="O10838" s="124"/>
    </row>
    <row r="10839">
      <c r="K10839" s="124"/>
      <c r="L10839" s="124"/>
      <c r="M10839" s="124"/>
      <c r="N10839" s="124"/>
      <c r="O10839" s="124"/>
    </row>
    <row r="10840">
      <c r="K10840" s="124"/>
      <c r="L10840" s="124"/>
      <c r="M10840" s="124"/>
      <c r="N10840" s="124"/>
      <c r="O10840" s="124"/>
    </row>
    <row r="10841">
      <c r="K10841" s="124"/>
      <c r="L10841" s="124"/>
      <c r="M10841" s="124"/>
      <c r="N10841" s="124"/>
      <c r="O10841" s="124"/>
    </row>
    <row r="10842">
      <c r="K10842" s="124"/>
      <c r="L10842" s="124"/>
      <c r="M10842" s="124"/>
      <c r="N10842" s="124"/>
      <c r="O10842" s="124"/>
    </row>
    <row r="10843">
      <c r="K10843" s="124"/>
      <c r="L10843" s="124"/>
      <c r="M10843" s="124"/>
      <c r="N10843" s="124"/>
      <c r="O10843" s="124"/>
    </row>
    <row r="10844">
      <c r="K10844" s="124"/>
      <c r="L10844" s="124"/>
      <c r="M10844" s="124"/>
      <c r="N10844" s="124"/>
      <c r="O10844" s="124"/>
    </row>
    <row r="10845">
      <c r="K10845" s="124"/>
      <c r="L10845" s="124"/>
      <c r="M10845" s="124"/>
      <c r="N10845" s="124"/>
      <c r="O10845" s="124"/>
    </row>
    <row r="10846">
      <c r="K10846" s="124"/>
      <c r="L10846" s="124"/>
      <c r="M10846" s="124"/>
      <c r="N10846" s="124"/>
      <c r="O10846" s="124"/>
    </row>
    <row r="10847">
      <c r="K10847" s="124"/>
      <c r="L10847" s="124"/>
      <c r="M10847" s="124"/>
      <c r="N10847" s="124"/>
      <c r="O10847" s="124"/>
    </row>
    <row r="10848">
      <c r="K10848" s="124"/>
      <c r="L10848" s="124"/>
      <c r="M10848" s="124"/>
      <c r="N10848" s="124"/>
      <c r="O10848" s="124"/>
    </row>
    <row r="10849">
      <c r="K10849" s="124"/>
      <c r="L10849" s="124"/>
      <c r="M10849" s="124"/>
      <c r="N10849" s="124"/>
      <c r="O10849" s="124"/>
    </row>
    <row r="10850">
      <c r="K10850" s="124"/>
      <c r="L10850" s="124"/>
      <c r="M10850" s="124"/>
      <c r="N10850" s="124"/>
      <c r="O10850" s="124"/>
    </row>
    <row r="10851">
      <c r="K10851" s="124"/>
      <c r="L10851" s="124"/>
      <c r="M10851" s="124"/>
      <c r="N10851" s="124"/>
      <c r="O10851" s="124"/>
    </row>
    <row r="10852">
      <c r="K10852" s="124"/>
      <c r="L10852" s="124"/>
      <c r="M10852" s="124"/>
      <c r="N10852" s="124"/>
      <c r="O10852" s="124"/>
    </row>
    <row r="10853">
      <c r="K10853" s="124"/>
      <c r="L10853" s="124"/>
      <c r="M10853" s="124"/>
      <c r="N10853" s="124"/>
      <c r="O10853" s="124"/>
    </row>
    <row r="10854">
      <c r="K10854" s="124"/>
      <c r="L10854" s="124"/>
      <c r="M10854" s="124"/>
      <c r="N10854" s="124"/>
      <c r="O10854" s="124"/>
    </row>
    <row r="10855">
      <c r="K10855" s="124"/>
      <c r="L10855" s="124"/>
      <c r="M10855" s="124"/>
      <c r="N10855" s="124"/>
      <c r="O10855" s="124"/>
    </row>
    <row r="10856">
      <c r="K10856" s="124"/>
      <c r="L10856" s="124"/>
      <c r="M10856" s="124"/>
      <c r="N10856" s="124"/>
      <c r="O10856" s="124"/>
    </row>
    <row r="10857">
      <c r="K10857" s="124"/>
      <c r="L10857" s="124"/>
      <c r="M10857" s="124"/>
      <c r="N10857" s="124"/>
      <c r="O10857" s="124"/>
    </row>
    <row r="10858">
      <c r="K10858" s="124"/>
      <c r="L10858" s="124"/>
      <c r="M10858" s="124"/>
      <c r="N10858" s="124"/>
      <c r="O10858" s="124"/>
    </row>
    <row r="10859">
      <c r="K10859" s="124"/>
      <c r="L10859" s="124"/>
      <c r="M10859" s="124"/>
      <c r="N10859" s="124"/>
      <c r="O10859" s="124"/>
    </row>
    <row r="10860">
      <c r="K10860" s="124"/>
      <c r="L10860" s="124"/>
      <c r="M10860" s="124"/>
      <c r="N10860" s="124"/>
      <c r="O10860" s="124"/>
    </row>
    <row r="10861">
      <c r="K10861" s="124"/>
      <c r="L10861" s="124"/>
      <c r="M10861" s="124"/>
      <c r="N10861" s="124"/>
      <c r="O10861" s="124"/>
    </row>
    <row r="10862">
      <c r="K10862" s="124"/>
      <c r="L10862" s="124"/>
      <c r="M10862" s="124"/>
      <c r="N10862" s="124"/>
      <c r="O10862" s="124"/>
    </row>
    <row r="10863">
      <c r="K10863" s="124"/>
      <c r="L10863" s="124"/>
      <c r="M10863" s="124"/>
      <c r="N10863" s="124"/>
      <c r="O10863" s="124"/>
    </row>
    <row r="10864">
      <c r="K10864" s="124"/>
      <c r="L10864" s="124"/>
      <c r="M10864" s="124"/>
      <c r="N10864" s="124"/>
      <c r="O10864" s="124"/>
    </row>
    <row r="10865">
      <c r="K10865" s="124"/>
      <c r="L10865" s="124"/>
      <c r="M10865" s="124"/>
      <c r="N10865" s="124"/>
      <c r="O10865" s="124"/>
    </row>
    <row r="10866">
      <c r="K10866" s="124"/>
      <c r="L10866" s="124"/>
      <c r="M10866" s="124"/>
      <c r="N10866" s="124"/>
      <c r="O10866" s="124"/>
    </row>
    <row r="10867">
      <c r="K10867" s="124"/>
      <c r="L10867" s="124"/>
      <c r="M10867" s="124"/>
      <c r="N10867" s="124"/>
      <c r="O10867" s="124"/>
    </row>
    <row r="10868">
      <c r="K10868" s="124"/>
      <c r="L10868" s="124"/>
      <c r="M10868" s="124"/>
      <c r="N10868" s="124"/>
      <c r="O10868" s="124"/>
    </row>
    <row r="10869">
      <c r="K10869" s="124"/>
      <c r="L10869" s="124"/>
      <c r="M10869" s="124"/>
      <c r="N10869" s="124"/>
      <c r="O10869" s="124"/>
    </row>
    <row r="10870">
      <c r="K10870" s="124"/>
      <c r="L10870" s="124"/>
      <c r="M10870" s="124"/>
      <c r="N10870" s="124"/>
      <c r="O10870" s="124"/>
    </row>
    <row r="10871">
      <c r="K10871" s="124"/>
      <c r="L10871" s="124"/>
      <c r="M10871" s="124"/>
      <c r="N10871" s="124"/>
      <c r="O10871" s="124"/>
    </row>
    <row r="10872">
      <c r="K10872" s="124"/>
      <c r="L10872" s="124"/>
      <c r="M10872" s="124"/>
      <c r="N10872" s="124"/>
      <c r="O10872" s="124"/>
    </row>
    <row r="10873">
      <c r="K10873" s="124"/>
      <c r="L10873" s="124"/>
      <c r="M10873" s="124"/>
      <c r="N10873" s="124"/>
      <c r="O10873" s="124"/>
    </row>
    <row r="10874">
      <c r="K10874" s="124"/>
      <c r="L10874" s="124"/>
      <c r="M10874" s="124"/>
      <c r="N10874" s="124"/>
      <c r="O10874" s="124"/>
    </row>
    <row r="10875">
      <c r="K10875" s="124"/>
      <c r="L10875" s="124"/>
      <c r="M10875" s="124"/>
      <c r="N10875" s="124"/>
      <c r="O10875" s="124"/>
    </row>
    <row r="10876">
      <c r="K10876" s="124"/>
      <c r="L10876" s="124"/>
      <c r="M10876" s="124"/>
      <c r="N10876" s="124"/>
      <c r="O10876" s="124"/>
    </row>
    <row r="10877">
      <c r="K10877" s="124"/>
      <c r="L10877" s="124"/>
      <c r="M10877" s="124"/>
      <c r="N10877" s="124"/>
      <c r="O10877" s="124"/>
    </row>
    <row r="10878">
      <c r="K10878" s="124"/>
      <c r="L10878" s="124"/>
      <c r="M10878" s="124"/>
      <c r="N10878" s="124"/>
      <c r="O10878" s="124"/>
    </row>
    <row r="10879">
      <c r="K10879" s="124"/>
      <c r="L10879" s="124"/>
      <c r="M10879" s="124"/>
      <c r="N10879" s="124"/>
      <c r="O10879" s="124"/>
    </row>
    <row r="10880">
      <c r="K10880" s="124"/>
      <c r="L10880" s="124"/>
      <c r="M10880" s="124"/>
      <c r="N10880" s="124"/>
      <c r="O10880" s="124"/>
    </row>
    <row r="10881">
      <c r="K10881" s="124"/>
      <c r="L10881" s="124"/>
      <c r="M10881" s="124"/>
      <c r="N10881" s="124"/>
      <c r="O10881" s="124"/>
    </row>
    <row r="10882">
      <c r="K10882" s="124"/>
      <c r="L10882" s="124"/>
      <c r="M10882" s="124"/>
      <c r="N10882" s="124"/>
      <c r="O10882" s="124"/>
    </row>
    <row r="10883">
      <c r="K10883" s="124"/>
      <c r="L10883" s="124"/>
      <c r="M10883" s="124"/>
      <c r="N10883" s="124"/>
      <c r="O10883" s="124"/>
    </row>
    <row r="10884">
      <c r="K10884" s="124"/>
      <c r="L10884" s="124"/>
      <c r="M10884" s="124"/>
      <c r="N10884" s="124"/>
      <c r="O10884" s="124"/>
    </row>
    <row r="10885">
      <c r="K10885" s="124"/>
      <c r="L10885" s="124"/>
      <c r="M10885" s="124"/>
      <c r="N10885" s="124"/>
      <c r="O10885" s="124"/>
    </row>
    <row r="10886">
      <c r="K10886" s="124"/>
      <c r="L10886" s="124"/>
      <c r="M10886" s="124"/>
      <c r="N10886" s="124"/>
      <c r="O10886" s="124"/>
    </row>
    <row r="10887">
      <c r="K10887" s="124"/>
      <c r="L10887" s="124"/>
      <c r="M10887" s="124"/>
      <c r="N10887" s="124"/>
      <c r="O10887" s="124"/>
    </row>
    <row r="10888">
      <c r="K10888" s="124"/>
      <c r="L10888" s="124"/>
      <c r="M10888" s="124"/>
      <c r="N10888" s="124"/>
      <c r="O10888" s="124"/>
    </row>
    <row r="10889">
      <c r="K10889" s="124"/>
      <c r="L10889" s="124"/>
      <c r="M10889" s="124"/>
      <c r="N10889" s="124"/>
      <c r="O10889" s="124"/>
    </row>
    <row r="10890">
      <c r="K10890" s="124"/>
      <c r="L10890" s="124"/>
      <c r="M10890" s="124"/>
      <c r="N10890" s="124"/>
      <c r="O10890" s="124"/>
    </row>
    <row r="10891">
      <c r="K10891" s="124"/>
      <c r="L10891" s="124"/>
      <c r="M10891" s="124"/>
      <c r="N10891" s="124"/>
      <c r="O10891" s="124"/>
    </row>
    <row r="10892">
      <c r="K10892" s="124"/>
      <c r="L10892" s="124"/>
      <c r="M10892" s="124"/>
      <c r="N10892" s="124"/>
      <c r="O10892" s="124"/>
    </row>
    <row r="10893">
      <c r="K10893" s="124"/>
      <c r="L10893" s="124"/>
      <c r="M10893" s="124"/>
      <c r="N10893" s="124"/>
      <c r="O10893" s="124"/>
    </row>
    <row r="10894">
      <c r="K10894" s="124"/>
      <c r="L10894" s="124"/>
      <c r="M10894" s="124"/>
      <c r="N10894" s="124"/>
      <c r="O10894" s="124"/>
    </row>
    <row r="10895">
      <c r="K10895" s="124"/>
      <c r="L10895" s="124"/>
      <c r="M10895" s="124"/>
      <c r="N10895" s="124"/>
      <c r="O10895" s="124"/>
    </row>
    <row r="10896">
      <c r="K10896" s="124"/>
      <c r="L10896" s="124"/>
      <c r="M10896" s="124"/>
      <c r="N10896" s="124"/>
      <c r="O10896" s="124"/>
    </row>
    <row r="10897">
      <c r="K10897" s="124"/>
      <c r="L10897" s="124"/>
      <c r="M10897" s="124"/>
      <c r="N10897" s="124"/>
      <c r="O10897" s="124"/>
    </row>
    <row r="10898">
      <c r="K10898" s="124"/>
      <c r="L10898" s="124"/>
      <c r="M10898" s="124"/>
      <c r="N10898" s="124"/>
      <c r="O10898" s="124"/>
    </row>
    <row r="10899">
      <c r="K10899" s="124"/>
      <c r="L10899" s="124"/>
      <c r="M10899" s="124"/>
      <c r="N10899" s="124"/>
      <c r="O10899" s="124"/>
    </row>
    <row r="10900">
      <c r="K10900" s="124"/>
      <c r="L10900" s="124"/>
      <c r="M10900" s="124"/>
      <c r="N10900" s="124"/>
      <c r="O10900" s="124"/>
    </row>
    <row r="10901">
      <c r="K10901" s="124"/>
      <c r="L10901" s="124"/>
      <c r="M10901" s="124"/>
      <c r="N10901" s="124"/>
      <c r="O10901" s="124"/>
    </row>
    <row r="10902">
      <c r="K10902" s="124"/>
      <c r="L10902" s="124"/>
      <c r="M10902" s="124"/>
      <c r="N10902" s="124"/>
      <c r="O10902" s="124"/>
    </row>
    <row r="10903">
      <c r="K10903" s="124"/>
      <c r="L10903" s="124"/>
      <c r="M10903" s="124"/>
      <c r="N10903" s="124"/>
      <c r="O10903" s="124"/>
    </row>
    <row r="10904">
      <c r="K10904" s="124"/>
      <c r="L10904" s="124"/>
      <c r="M10904" s="124"/>
      <c r="N10904" s="124"/>
      <c r="O10904" s="124"/>
    </row>
    <row r="10905">
      <c r="K10905" s="124"/>
      <c r="L10905" s="124"/>
      <c r="M10905" s="124"/>
      <c r="N10905" s="124"/>
      <c r="O10905" s="124"/>
    </row>
    <row r="10906">
      <c r="K10906" s="124"/>
      <c r="L10906" s="124"/>
      <c r="M10906" s="124"/>
      <c r="N10906" s="124"/>
      <c r="O10906" s="124"/>
    </row>
    <row r="10907">
      <c r="K10907" s="124"/>
      <c r="L10907" s="124"/>
      <c r="M10907" s="124"/>
      <c r="N10907" s="124"/>
      <c r="O10907" s="124"/>
    </row>
    <row r="10908">
      <c r="K10908" s="124"/>
      <c r="L10908" s="124"/>
      <c r="M10908" s="124"/>
      <c r="N10908" s="124"/>
      <c r="O10908" s="124"/>
    </row>
    <row r="10909">
      <c r="K10909" s="124"/>
      <c r="L10909" s="124"/>
      <c r="M10909" s="124"/>
      <c r="N10909" s="124"/>
      <c r="O10909" s="124"/>
    </row>
    <row r="10910">
      <c r="K10910" s="124"/>
      <c r="L10910" s="124"/>
      <c r="M10910" s="124"/>
      <c r="N10910" s="124"/>
      <c r="O10910" s="124"/>
    </row>
    <row r="10911">
      <c r="K10911" s="124"/>
      <c r="L10911" s="124"/>
      <c r="M10911" s="124"/>
      <c r="N10911" s="124"/>
      <c r="O10911" s="124"/>
    </row>
    <row r="10912">
      <c r="K10912" s="124"/>
      <c r="L10912" s="124"/>
      <c r="M10912" s="124"/>
      <c r="N10912" s="124"/>
      <c r="O10912" s="124"/>
    </row>
    <row r="10913">
      <c r="K10913" s="124"/>
      <c r="L10913" s="124"/>
      <c r="M10913" s="124"/>
      <c r="N10913" s="124"/>
      <c r="O10913" s="124"/>
    </row>
    <row r="10914">
      <c r="K10914" s="124"/>
      <c r="L10914" s="124"/>
      <c r="M10914" s="124"/>
      <c r="N10914" s="124"/>
      <c r="O10914" s="124"/>
    </row>
    <row r="10915">
      <c r="K10915" s="124"/>
      <c r="L10915" s="124"/>
      <c r="M10915" s="124"/>
      <c r="N10915" s="124"/>
      <c r="O10915" s="124"/>
    </row>
    <row r="10916">
      <c r="K10916" s="124"/>
      <c r="L10916" s="124"/>
      <c r="M10916" s="124"/>
      <c r="N10916" s="124"/>
      <c r="O10916" s="124"/>
    </row>
    <row r="10917">
      <c r="K10917" s="124"/>
      <c r="L10917" s="124"/>
      <c r="M10917" s="124"/>
      <c r="N10917" s="124"/>
      <c r="O10917" s="124"/>
    </row>
    <row r="10918">
      <c r="K10918" s="124"/>
      <c r="L10918" s="124"/>
      <c r="M10918" s="124"/>
      <c r="N10918" s="124"/>
      <c r="O10918" s="124"/>
    </row>
    <row r="10919">
      <c r="K10919" s="124"/>
      <c r="L10919" s="124"/>
      <c r="M10919" s="124"/>
      <c r="N10919" s="124"/>
      <c r="O10919" s="124"/>
    </row>
    <row r="10920">
      <c r="K10920" s="124"/>
      <c r="L10920" s="124"/>
      <c r="M10920" s="124"/>
      <c r="N10920" s="124"/>
      <c r="O10920" s="124"/>
    </row>
    <row r="10921">
      <c r="K10921" s="124"/>
      <c r="L10921" s="124"/>
      <c r="M10921" s="124"/>
      <c r="N10921" s="124"/>
      <c r="O10921" s="124"/>
    </row>
    <row r="10922">
      <c r="K10922" s="124"/>
      <c r="L10922" s="124"/>
      <c r="M10922" s="124"/>
      <c r="N10922" s="124"/>
      <c r="O10922" s="124"/>
    </row>
    <row r="10923">
      <c r="K10923" s="124"/>
      <c r="L10923" s="124"/>
      <c r="M10923" s="124"/>
      <c r="N10923" s="124"/>
      <c r="O10923" s="124"/>
    </row>
    <row r="10924">
      <c r="K10924" s="124"/>
      <c r="L10924" s="124"/>
      <c r="M10924" s="124"/>
      <c r="N10924" s="124"/>
      <c r="O10924" s="124"/>
    </row>
    <row r="10925">
      <c r="K10925" s="124"/>
      <c r="L10925" s="124"/>
      <c r="M10925" s="124"/>
      <c r="N10925" s="124"/>
      <c r="O10925" s="124"/>
    </row>
    <row r="10926">
      <c r="K10926" s="124"/>
      <c r="L10926" s="124"/>
      <c r="M10926" s="124"/>
      <c r="N10926" s="124"/>
      <c r="O10926" s="124"/>
    </row>
    <row r="10927">
      <c r="K10927" s="124"/>
      <c r="L10927" s="124"/>
      <c r="M10927" s="124"/>
      <c r="N10927" s="124"/>
      <c r="O10927" s="124"/>
    </row>
    <row r="10928">
      <c r="K10928" s="124"/>
      <c r="L10928" s="124"/>
      <c r="M10928" s="124"/>
      <c r="N10928" s="124"/>
      <c r="O10928" s="124"/>
    </row>
    <row r="10929">
      <c r="K10929" s="124"/>
      <c r="L10929" s="124"/>
      <c r="M10929" s="124"/>
      <c r="N10929" s="124"/>
      <c r="O10929" s="124"/>
    </row>
    <row r="10930">
      <c r="K10930" s="124"/>
      <c r="L10930" s="124"/>
      <c r="M10930" s="124"/>
      <c r="N10930" s="124"/>
      <c r="O10930" s="124"/>
    </row>
    <row r="10931">
      <c r="K10931" s="124"/>
      <c r="L10931" s="124"/>
      <c r="M10931" s="124"/>
      <c r="N10931" s="124"/>
      <c r="O10931" s="124"/>
    </row>
    <row r="10932">
      <c r="K10932" s="124"/>
      <c r="L10932" s="124"/>
      <c r="M10932" s="124"/>
      <c r="N10932" s="124"/>
      <c r="O10932" s="124"/>
    </row>
    <row r="10933">
      <c r="K10933" s="124"/>
      <c r="L10933" s="124"/>
      <c r="M10933" s="124"/>
      <c r="N10933" s="124"/>
      <c r="O10933" s="124"/>
    </row>
    <row r="10934">
      <c r="K10934" s="124"/>
      <c r="L10934" s="124"/>
      <c r="M10934" s="124"/>
      <c r="N10934" s="124"/>
      <c r="O10934" s="124"/>
    </row>
    <row r="10935">
      <c r="K10935" s="124"/>
      <c r="L10935" s="124"/>
      <c r="M10935" s="124"/>
      <c r="N10935" s="124"/>
      <c r="O10935" s="124"/>
    </row>
    <row r="10936">
      <c r="K10936" s="124"/>
      <c r="L10936" s="124"/>
      <c r="M10936" s="124"/>
      <c r="N10936" s="124"/>
      <c r="O10936" s="124"/>
    </row>
    <row r="10937">
      <c r="K10937" s="124"/>
      <c r="L10937" s="124"/>
      <c r="M10937" s="124"/>
      <c r="N10937" s="124"/>
      <c r="O10937" s="124"/>
    </row>
    <row r="10938">
      <c r="K10938" s="124"/>
      <c r="L10938" s="124"/>
      <c r="M10938" s="124"/>
      <c r="N10938" s="124"/>
      <c r="O10938" s="124"/>
    </row>
    <row r="10939">
      <c r="K10939" s="124"/>
      <c r="L10939" s="124"/>
      <c r="M10939" s="124"/>
      <c r="N10939" s="124"/>
      <c r="O10939" s="124"/>
    </row>
    <row r="10940">
      <c r="K10940" s="124"/>
      <c r="L10940" s="124"/>
      <c r="M10940" s="124"/>
      <c r="N10940" s="124"/>
      <c r="O10940" s="124"/>
    </row>
    <row r="10941">
      <c r="K10941" s="124"/>
      <c r="L10941" s="124"/>
      <c r="M10941" s="124"/>
      <c r="N10941" s="124"/>
      <c r="O10941" s="124"/>
    </row>
    <row r="10942">
      <c r="K10942" s="124"/>
      <c r="L10942" s="124"/>
      <c r="M10942" s="124"/>
      <c r="N10942" s="124"/>
      <c r="O10942" s="124"/>
    </row>
    <row r="10943">
      <c r="K10943" s="124"/>
      <c r="L10943" s="124"/>
      <c r="M10943" s="124"/>
      <c r="N10943" s="124"/>
      <c r="O10943" s="124"/>
    </row>
    <row r="10944">
      <c r="K10944" s="124"/>
      <c r="L10944" s="124"/>
      <c r="M10944" s="124"/>
      <c r="N10944" s="124"/>
      <c r="O10944" s="124"/>
    </row>
    <row r="10945">
      <c r="K10945" s="124"/>
      <c r="L10945" s="124"/>
      <c r="M10945" s="124"/>
      <c r="N10945" s="124"/>
      <c r="O10945" s="124"/>
    </row>
    <row r="10946">
      <c r="K10946" s="124"/>
      <c r="L10946" s="124"/>
      <c r="M10946" s="124"/>
      <c r="N10946" s="124"/>
      <c r="O10946" s="124"/>
    </row>
    <row r="10947">
      <c r="K10947" s="124"/>
      <c r="L10947" s="124"/>
      <c r="M10947" s="124"/>
      <c r="N10947" s="124"/>
      <c r="O10947" s="124"/>
    </row>
    <row r="10948">
      <c r="K10948" s="124"/>
      <c r="L10948" s="124"/>
      <c r="M10948" s="124"/>
      <c r="N10948" s="124"/>
      <c r="O10948" s="124"/>
    </row>
    <row r="10949">
      <c r="K10949" s="124"/>
      <c r="L10949" s="124"/>
      <c r="M10949" s="124"/>
      <c r="N10949" s="124"/>
      <c r="O10949" s="124"/>
    </row>
    <row r="10950">
      <c r="K10950" s="124"/>
      <c r="L10950" s="124"/>
      <c r="M10950" s="124"/>
      <c r="N10950" s="124"/>
      <c r="O10950" s="124"/>
    </row>
    <row r="10951">
      <c r="K10951" s="124"/>
      <c r="L10951" s="124"/>
      <c r="M10951" s="124"/>
      <c r="N10951" s="124"/>
      <c r="O10951" s="124"/>
    </row>
    <row r="10952">
      <c r="K10952" s="124"/>
      <c r="L10952" s="124"/>
      <c r="M10952" s="124"/>
      <c r="N10952" s="124"/>
      <c r="O10952" s="124"/>
    </row>
    <row r="10953">
      <c r="K10953" s="124"/>
      <c r="L10953" s="124"/>
      <c r="M10953" s="124"/>
      <c r="N10953" s="124"/>
      <c r="O10953" s="124"/>
    </row>
    <row r="10954">
      <c r="K10954" s="124"/>
      <c r="L10954" s="124"/>
      <c r="M10954" s="124"/>
      <c r="N10954" s="124"/>
      <c r="O10954" s="124"/>
    </row>
    <row r="10955">
      <c r="K10955" s="124"/>
      <c r="L10955" s="124"/>
      <c r="M10955" s="124"/>
      <c r="N10955" s="124"/>
      <c r="O10955" s="124"/>
    </row>
    <row r="10956">
      <c r="K10956" s="124"/>
      <c r="L10956" s="124"/>
      <c r="M10956" s="124"/>
      <c r="N10956" s="124"/>
      <c r="O10956" s="124"/>
    </row>
    <row r="10957">
      <c r="K10957" s="124"/>
      <c r="L10957" s="124"/>
      <c r="M10957" s="124"/>
      <c r="N10957" s="124"/>
      <c r="O10957" s="124"/>
    </row>
    <row r="10958">
      <c r="K10958" s="124"/>
      <c r="L10958" s="124"/>
      <c r="M10958" s="124"/>
      <c r="N10958" s="124"/>
      <c r="O10958" s="124"/>
    </row>
    <row r="10959">
      <c r="K10959" s="124"/>
      <c r="L10959" s="124"/>
      <c r="M10959" s="124"/>
      <c r="N10959" s="124"/>
      <c r="O10959" s="124"/>
    </row>
    <row r="10960">
      <c r="K10960" s="124"/>
      <c r="L10960" s="124"/>
      <c r="M10960" s="124"/>
      <c r="N10960" s="124"/>
      <c r="O10960" s="124"/>
    </row>
    <row r="10961">
      <c r="K10961" s="124"/>
      <c r="L10961" s="124"/>
      <c r="M10961" s="124"/>
      <c r="N10961" s="124"/>
      <c r="O10961" s="124"/>
    </row>
    <row r="10962">
      <c r="K10962" s="124"/>
      <c r="L10962" s="124"/>
      <c r="M10962" s="124"/>
      <c r="N10962" s="124"/>
      <c r="O10962" s="124"/>
    </row>
    <row r="10963">
      <c r="K10963" s="124"/>
      <c r="L10963" s="124"/>
      <c r="M10963" s="124"/>
      <c r="N10963" s="124"/>
      <c r="O10963" s="124"/>
    </row>
    <row r="10964">
      <c r="K10964" s="124"/>
      <c r="L10964" s="124"/>
      <c r="M10964" s="124"/>
      <c r="N10964" s="124"/>
      <c r="O10964" s="124"/>
    </row>
    <row r="10965">
      <c r="K10965" s="124"/>
      <c r="L10965" s="124"/>
      <c r="M10965" s="124"/>
      <c r="N10965" s="124"/>
      <c r="O10965" s="124"/>
    </row>
    <row r="10966">
      <c r="K10966" s="124"/>
      <c r="L10966" s="124"/>
      <c r="M10966" s="124"/>
      <c r="N10966" s="124"/>
      <c r="O10966" s="124"/>
    </row>
    <row r="10967">
      <c r="K10967" s="124"/>
      <c r="L10967" s="124"/>
      <c r="M10967" s="124"/>
      <c r="N10967" s="124"/>
      <c r="O10967" s="124"/>
    </row>
    <row r="10968">
      <c r="K10968" s="124"/>
      <c r="L10968" s="124"/>
      <c r="M10968" s="124"/>
      <c r="N10968" s="124"/>
      <c r="O10968" s="124"/>
    </row>
    <row r="10969">
      <c r="K10969" s="124"/>
      <c r="L10969" s="124"/>
      <c r="M10969" s="124"/>
      <c r="N10969" s="124"/>
      <c r="O10969" s="124"/>
    </row>
    <row r="10970">
      <c r="K10970" s="124"/>
      <c r="L10970" s="124"/>
      <c r="M10970" s="124"/>
      <c r="N10970" s="124"/>
      <c r="O10970" s="124"/>
    </row>
    <row r="10971">
      <c r="K10971" s="124"/>
      <c r="L10971" s="124"/>
      <c r="M10971" s="124"/>
      <c r="N10971" s="124"/>
      <c r="O10971" s="124"/>
    </row>
    <row r="10972">
      <c r="K10972" s="124"/>
      <c r="L10972" s="124"/>
      <c r="M10972" s="124"/>
      <c r="N10972" s="124"/>
      <c r="O10972" s="124"/>
    </row>
    <row r="10973">
      <c r="K10973" s="124"/>
      <c r="L10973" s="124"/>
      <c r="M10973" s="124"/>
      <c r="N10973" s="124"/>
      <c r="O10973" s="124"/>
    </row>
    <row r="10974">
      <c r="K10974" s="124"/>
      <c r="L10974" s="124"/>
      <c r="M10974" s="124"/>
      <c r="N10974" s="124"/>
      <c r="O10974" s="124"/>
    </row>
    <row r="10975">
      <c r="K10975" s="124"/>
      <c r="L10975" s="124"/>
      <c r="M10975" s="124"/>
      <c r="N10975" s="124"/>
      <c r="O10975" s="124"/>
    </row>
    <row r="10976">
      <c r="K10976" s="124"/>
      <c r="L10976" s="124"/>
      <c r="M10976" s="124"/>
      <c r="N10976" s="124"/>
      <c r="O10976" s="124"/>
    </row>
    <row r="10977">
      <c r="K10977" s="124"/>
      <c r="L10977" s="124"/>
      <c r="M10977" s="124"/>
      <c r="N10977" s="124"/>
      <c r="O10977" s="124"/>
    </row>
    <row r="10978">
      <c r="K10978" s="124"/>
      <c r="L10978" s="124"/>
      <c r="M10978" s="124"/>
      <c r="N10978" s="124"/>
      <c r="O10978" s="124"/>
    </row>
    <row r="10979">
      <c r="K10979" s="124"/>
      <c r="L10979" s="124"/>
      <c r="M10979" s="124"/>
      <c r="N10979" s="124"/>
      <c r="O10979" s="124"/>
    </row>
    <row r="10980">
      <c r="K10980" s="124"/>
      <c r="L10980" s="124"/>
      <c r="M10980" s="124"/>
      <c r="N10980" s="124"/>
      <c r="O10980" s="124"/>
    </row>
    <row r="10981">
      <c r="K10981" s="124"/>
      <c r="L10981" s="124"/>
      <c r="M10981" s="124"/>
      <c r="N10981" s="124"/>
      <c r="O10981" s="124"/>
    </row>
    <row r="10982">
      <c r="K10982" s="124"/>
      <c r="L10982" s="124"/>
      <c r="M10982" s="124"/>
      <c r="N10982" s="124"/>
      <c r="O10982" s="124"/>
    </row>
    <row r="10983">
      <c r="K10983" s="124"/>
      <c r="L10983" s="124"/>
      <c r="M10983" s="124"/>
      <c r="N10983" s="124"/>
      <c r="O10983" s="124"/>
    </row>
    <row r="10984">
      <c r="K10984" s="124"/>
      <c r="L10984" s="124"/>
      <c r="M10984" s="124"/>
      <c r="N10984" s="124"/>
      <c r="O10984" s="124"/>
    </row>
    <row r="10985">
      <c r="K10985" s="124"/>
      <c r="L10985" s="124"/>
      <c r="M10985" s="124"/>
      <c r="N10985" s="124"/>
      <c r="O10985" s="124"/>
    </row>
    <row r="10986">
      <c r="K10986" s="124"/>
      <c r="L10986" s="124"/>
      <c r="M10986" s="124"/>
      <c r="N10986" s="124"/>
      <c r="O10986" s="124"/>
    </row>
    <row r="10987">
      <c r="K10987" s="124"/>
      <c r="L10987" s="124"/>
      <c r="M10987" s="124"/>
      <c r="N10987" s="124"/>
      <c r="O10987" s="124"/>
    </row>
    <row r="10988">
      <c r="K10988" s="124"/>
      <c r="L10988" s="124"/>
      <c r="M10988" s="124"/>
      <c r="N10988" s="124"/>
      <c r="O10988" s="124"/>
    </row>
    <row r="10989">
      <c r="K10989" s="124"/>
      <c r="L10989" s="124"/>
      <c r="M10989" s="124"/>
      <c r="N10989" s="124"/>
      <c r="O10989" s="124"/>
    </row>
    <row r="10990">
      <c r="K10990" s="124"/>
      <c r="L10990" s="124"/>
      <c r="M10990" s="124"/>
      <c r="N10990" s="124"/>
      <c r="O10990" s="124"/>
    </row>
    <row r="10991">
      <c r="K10991" s="124"/>
      <c r="L10991" s="124"/>
      <c r="M10991" s="124"/>
      <c r="N10991" s="124"/>
      <c r="O10991" s="124"/>
    </row>
    <row r="10992">
      <c r="K10992" s="124"/>
      <c r="L10992" s="124"/>
      <c r="M10992" s="124"/>
      <c r="N10992" s="124"/>
      <c r="O10992" s="124"/>
    </row>
    <row r="10993">
      <c r="K10993" s="124"/>
      <c r="L10993" s="124"/>
      <c r="M10993" s="124"/>
      <c r="N10993" s="124"/>
      <c r="O10993" s="124"/>
    </row>
    <row r="10994">
      <c r="K10994" s="124"/>
      <c r="L10994" s="124"/>
      <c r="M10994" s="124"/>
      <c r="N10994" s="124"/>
      <c r="O10994" s="124"/>
    </row>
    <row r="10995">
      <c r="K10995" s="124"/>
      <c r="L10995" s="124"/>
      <c r="M10995" s="124"/>
      <c r="N10995" s="124"/>
      <c r="O10995" s="124"/>
    </row>
    <row r="10996">
      <c r="K10996" s="124"/>
      <c r="L10996" s="124"/>
      <c r="M10996" s="124"/>
      <c r="N10996" s="124"/>
      <c r="O10996" s="124"/>
    </row>
    <row r="10997">
      <c r="K10997" s="124"/>
      <c r="L10997" s="124"/>
      <c r="M10997" s="124"/>
      <c r="N10997" s="124"/>
      <c r="O10997" s="124"/>
    </row>
    <row r="10998">
      <c r="K10998" s="124"/>
      <c r="L10998" s="124"/>
      <c r="M10998" s="124"/>
      <c r="N10998" s="124"/>
      <c r="O10998" s="124"/>
    </row>
    <row r="10999">
      <c r="K10999" s="124"/>
      <c r="L10999" s="124"/>
      <c r="M10999" s="124"/>
      <c r="N10999" s="124"/>
      <c r="O10999" s="124"/>
    </row>
    <row r="11000">
      <c r="K11000" s="124"/>
      <c r="L11000" s="124"/>
      <c r="M11000" s="124"/>
      <c r="N11000" s="124"/>
      <c r="O11000" s="124"/>
    </row>
    <row r="11001">
      <c r="K11001" s="124"/>
      <c r="L11001" s="124"/>
      <c r="M11001" s="124"/>
      <c r="N11001" s="124"/>
      <c r="O11001" s="124"/>
    </row>
    <row r="11002">
      <c r="K11002" s="124"/>
      <c r="L11002" s="124"/>
      <c r="M11002" s="124"/>
      <c r="N11002" s="124"/>
      <c r="O11002" s="124"/>
    </row>
    <row r="11003">
      <c r="K11003" s="124"/>
      <c r="L11003" s="124"/>
      <c r="M11003" s="124"/>
      <c r="N11003" s="124"/>
      <c r="O11003" s="124"/>
    </row>
    <row r="11004">
      <c r="K11004" s="124"/>
      <c r="L11004" s="124"/>
      <c r="M11004" s="124"/>
      <c r="N11004" s="124"/>
      <c r="O11004" s="124"/>
    </row>
    <row r="11005">
      <c r="K11005" s="124"/>
      <c r="L11005" s="124"/>
      <c r="M11005" s="124"/>
      <c r="N11005" s="124"/>
      <c r="O11005" s="124"/>
    </row>
    <row r="11006">
      <c r="K11006" s="124"/>
      <c r="L11006" s="124"/>
      <c r="M11006" s="124"/>
      <c r="N11006" s="124"/>
      <c r="O11006" s="124"/>
    </row>
    <row r="11007">
      <c r="K11007" s="124"/>
      <c r="L11007" s="124"/>
      <c r="M11007" s="124"/>
      <c r="N11007" s="124"/>
      <c r="O11007" s="124"/>
    </row>
    <row r="11008">
      <c r="K11008" s="124"/>
      <c r="L11008" s="124"/>
      <c r="M11008" s="124"/>
      <c r="N11008" s="124"/>
      <c r="O11008" s="124"/>
    </row>
    <row r="11009">
      <c r="K11009" s="124"/>
      <c r="L11009" s="124"/>
      <c r="M11009" s="124"/>
      <c r="N11009" s="124"/>
      <c r="O11009" s="124"/>
    </row>
    <row r="11010">
      <c r="K11010" s="124"/>
      <c r="L11010" s="124"/>
      <c r="M11010" s="124"/>
      <c r="N11010" s="124"/>
      <c r="O11010" s="124"/>
    </row>
    <row r="11011">
      <c r="K11011" s="124"/>
      <c r="L11011" s="124"/>
      <c r="M11011" s="124"/>
      <c r="N11011" s="124"/>
      <c r="O11011" s="124"/>
    </row>
    <row r="11012">
      <c r="K11012" s="124"/>
      <c r="L11012" s="124"/>
      <c r="M11012" s="124"/>
      <c r="N11012" s="124"/>
      <c r="O11012" s="124"/>
    </row>
    <row r="11013">
      <c r="K11013" s="124"/>
      <c r="L11013" s="124"/>
      <c r="M11013" s="124"/>
      <c r="N11013" s="124"/>
      <c r="O11013" s="124"/>
    </row>
    <row r="11014">
      <c r="K11014" s="124"/>
      <c r="L11014" s="124"/>
      <c r="M11014" s="124"/>
      <c r="N11014" s="124"/>
      <c r="O11014" s="124"/>
    </row>
    <row r="11015">
      <c r="K11015" s="124"/>
      <c r="L11015" s="124"/>
      <c r="M11015" s="124"/>
      <c r="N11015" s="124"/>
      <c r="O11015" s="124"/>
    </row>
    <row r="11016">
      <c r="K11016" s="124"/>
      <c r="L11016" s="124"/>
      <c r="M11016" s="124"/>
      <c r="N11016" s="124"/>
      <c r="O11016" s="124"/>
    </row>
    <row r="11017">
      <c r="K11017" s="124"/>
      <c r="L11017" s="124"/>
      <c r="M11017" s="124"/>
      <c r="N11017" s="124"/>
      <c r="O11017" s="124"/>
    </row>
    <row r="11018">
      <c r="K11018" s="124"/>
      <c r="L11018" s="124"/>
      <c r="M11018" s="124"/>
      <c r="N11018" s="124"/>
      <c r="O11018" s="124"/>
    </row>
    <row r="11019">
      <c r="K11019" s="124"/>
      <c r="L11019" s="124"/>
      <c r="M11019" s="124"/>
      <c r="N11019" s="124"/>
      <c r="O11019" s="124"/>
    </row>
    <row r="11020">
      <c r="K11020" s="124"/>
      <c r="L11020" s="124"/>
      <c r="M11020" s="124"/>
      <c r="N11020" s="124"/>
      <c r="O11020" s="124"/>
    </row>
    <row r="11021">
      <c r="K11021" s="124"/>
      <c r="L11021" s="124"/>
      <c r="M11021" s="124"/>
      <c r="N11021" s="124"/>
      <c r="O11021" s="124"/>
    </row>
    <row r="11022">
      <c r="K11022" s="124"/>
      <c r="L11022" s="124"/>
      <c r="M11022" s="124"/>
      <c r="N11022" s="124"/>
      <c r="O11022" s="124"/>
    </row>
    <row r="11023">
      <c r="K11023" s="124"/>
      <c r="L11023" s="124"/>
      <c r="M11023" s="124"/>
      <c r="N11023" s="124"/>
      <c r="O11023" s="124"/>
    </row>
    <row r="11024">
      <c r="K11024" s="124"/>
      <c r="L11024" s="124"/>
      <c r="M11024" s="124"/>
      <c r="N11024" s="124"/>
      <c r="O11024" s="124"/>
    </row>
    <row r="11025">
      <c r="K11025" s="124"/>
      <c r="L11025" s="124"/>
      <c r="M11025" s="124"/>
      <c r="N11025" s="124"/>
      <c r="O11025" s="124"/>
    </row>
    <row r="11026">
      <c r="K11026" s="124"/>
      <c r="L11026" s="124"/>
      <c r="M11026" s="124"/>
      <c r="N11026" s="124"/>
      <c r="O11026" s="124"/>
    </row>
    <row r="11027">
      <c r="K11027" s="124"/>
      <c r="L11027" s="124"/>
      <c r="M11027" s="124"/>
      <c r="N11027" s="124"/>
      <c r="O11027" s="124"/>
    </row>
    <row r="11028">
      <c r="K11028" s="124"/>
      <c r="L11028" s="124"/>
      <c r="M11028" s="124"/>
      <c r="N11028" s="124"/>
      <c r="O11028" s="124"/>
    </row>
    <row r="11029">
      <c r="K11029" s="124"/>
      <c r="L11029" s="124"/>
      <c r="M11029" s="124"/>
      <c r="N11029" s="124"/>
      <c r="O11029" s="124"/>
    </row>
    <row r="11030">
      <c r="K11030" s="124"/>
      <c r="L11030" s="124"/>
      <c r="M11030" s="124"/>
      <c r="N11030" s="124"/>
      <c r="O11030" s="124"/>
    </row>
    <row r="11031">
      <c r="K11031" s="124"/>
      <c r="L11031" s="124"/>
      <c r="M11031" s="124"/>
      <c r="N11031" s="124"/>
      <c r="O11031" s="124"/>
    </row>
    <row r="11032">
      <c r="K11032" s="124"/>
      <c r="L11032" s="124"/>
      <c r="M11032" s="124"/>
      <c r="N11032" s="124"/>
      <c r="O11032" s="124"/>
    </row>
    <row r="11033">
      <c r="K11033" s="124"/>
      <c r="L11033" s="124"/>
      <c r="M11033" s="124"/>
      <c r="N11033" s="124"/>
      <c r="O11033" s="124"/>
    </row>
    <row r="11034">
      <c r="K11034" s="124"/>
      <c r="L11034" s="124"/>
      <c r="M11034" s="124"/>
      <c r="N11034" s="124"/>
      <c r="O11034" s="124"/>
    </row>
    <row r="11035">
      <c r="K11035" s="124"/>
      <c r="L11035" s="124"/>
      <c r="M11035" s="124"/>
      <c r="N11035" s="124"/>
      <c r="O11035" s="124"/>
    </row>
    <row r="11036">
      <c r="K11036" s="124"/>
      <c r="L11036" s="124"/>
      <c r="M11036" s="124"/>
      <c r="N11036" s="124"/>
      <c r="O11036" s="124"/>
    </row>
    <row r="11037">
      <c r="K11037" s="124"/>
      <c r="L11037" s="124"/>
      <c r="M11037" s="124"/>
      <c r="N11037" s="124"/>
      <c r="O11037" s="124"/>
    </row>
    <row r="11038">
      <c r="K11038" s="124"/>
      <c r="L11038" s="124"/>
      <c r="M11038" s="124"/>
      <c r="N11038" s="124"/>
      <c r="O11038" s="124"/>
    </row>
    <row r="11039">
      <c r="K11039" s="124"/>
      <c r="L11039" s="124"/>
      <c r="M11039" s="124"/>
      <c r="N11039" s="124"/>
      <c r="O11039" s="124"/>
    </row>
    <row r="11040">
      <c r="K11040" s="124"/>
      <c r="L11040" s="124"/>
      <c r="M11040" s="124"/>
      <c r="N11040" s="124"/>
      <c r="O11040" s="124"/>
    </row>
    <row r="11041">
      <c r="K11041" s="124"/>
      <c r="L11041" s="124"/>
      <c r="M11041" s="124"/>
      <c r="N11041" s="124"/>
      <c r="O11041" s="124"/>
    </row>
    <row r="11042">
      <c r="K11042" s="124"/>
      <c r="L11042" s="124"/>
      <c r="M11042" s="124"/>
      <c r="N11042" s="124"/>
      <c r="O11042" s="124"/>
    </row>
    <row r="11043">
      <c r="K11043" s="124"/>
      <c r="L11043" s="124"/>
      <c r="M11043" s="124"/>
      <c r="N11043" s="124"/>
      <c r="O11043" s="124"/>
    </row>
    <row r="11044">
      <c r="K11044" s="124"/>
      <c r="L11044" s="124"/>
      <c r="M11044" s="124"/>
      <c r="N11044" s="124"/>
      <c r="O11044" s="124"/>
    </row>
    <row r="11045">
      <c r="K11045" s="124"/>
      <c r="L11045" s="124"/>
      <c r="M11045" s="124"/>
      <c r="N11045" s="124"/>
      <c r="O11045" s="124"/>
    </row>
    <row r="11046">
      <c r="K11046" s="124"/>
      <c r="L11046" s="124"/>
      <c r="M11046" s="124"/>
      <c r="N11046" s="124"/>
      <c r="O11046" s="124"/>
    </row>
    <row r="11047">
      <c r="K11047" s="124"/>
      <c r="L11047" s="124"/>
      <c r="M11047" s="124"/>
      <c r="N11047" s="124"/>
      <c r="O11047" s="124"/>
    </row>
    <row r="11048">
      <c r="K11048" s="124"/>
      <c r="L11048" s="124"/>
      <c r="M11048" s="124"/>
      <c r="N11048" s="124"/>
      <c r="O11048" s="124"/>
    </row>
    <row r="11049">
      <c r="K11049" s="124"/>
      <c r="L11049" s="124"/>
      <c r="M11049" s="124"/>
      <c r="N11049" s="124"/>
      <c r="O11049" s="124"/>
    </row>
    <row r="11050">
      <c r="K11050" s="124"/>
      <c r="L11050" s="124"/>
      <c r="M11050" s="124"/>
      <c r="N11050" s="124"/>
      <c r="O11050" s="124"/>
    </row>
    <row r="11051">
      <c r="K11051" s="124"/>
      <c r="L11051" s="124"/>
      <c r="M11051" s="124"/>
      <c r="N11051" s="124"/>
      <c r="O11051" s="124"/>
    </row>
    <row r="11052">
      <c r="K11052" s="124"/>
      <c r="L11052" s="124"/>
      <c r="M11052" s="124"/>
      <c r="N11052" s="124"/>
      <c r="O11052" s="124"/>
    </row>
    <row r="11053">
      <c r="K11053" s="124"/>
      <c r="L11053" s="124"/>
      <c r="M11053" s="124"/>
      <c r="N11053" s="124"/>
      <c r="O11053" s="124"/>
    </row>
    <row r="11054">
      <c r="K11054" s="124"/>
      <c r="L11054" s="124"/>
      <c r="M11054" s="124"/>
      <c r="N11054" s="124"/>
      <c r="O11054" s="124"/>
    </row>
    <row r="11055">
      <c r="K11055" s="124"/>
      <c r="L11055" s="124"/>
      <c r="M11055" s="124"/>
      <c r="N11055" s="124"/>
      <c r="O11055" s="124"/>
    </row>
    <row r="11056">
      <c r="K11056" s="124"/>
      <c r="L11056" s="124"/>
      <c r="M11056" s="124"/>
      <c r="N11056" s="124"/>
      <c r="O11056" s="124"/>
    </row>
    <row r="11057">
      <c r="K11057" s="124"/>
      <c r="L11057" s="124"/>
      <c r="M11057" s="124"/>
      <c r="N11057" s="124"/>
      <c r="O11057" s="124"/>
    </row>
    <row r="11058">
      <c r="K11058" s="124"/>
      <c r="L11058" s="124"/>
      <c r="M11058" s="124"/>
      <c r="N11058" s="124"/>
      <c r="O11058" s="124"/>
    </row>
    <row r="11059">
      <c r="K11059" s="124"/>
      <c r="L11059" s="124"/>
      <c r="M11059" s="124"/>
      <c r="N11059" s="124"/>
      <c r="O11059" s="124"/>
    </row>
    <row r="11060">
      <c r="K11060" s="124"/>
      <c r="L11060" s="124"/>
      <c r="M11060" s="124"/>
      <c r="N11060" s="124"/>
      <c r="O11060" s="124"/>
    </row>
    <row r="11061">
      <c r="K11061" s="124"/>
      <c r="L11061" s="124"/>
      <c r="M11061" s="124"/>
      <c r="N11061" s="124"/>
      <c r="O11061" s="124"/>
    </row>
    <row r="11062">
      <c r="K11062" s="124"/>
      <c r="L11062" s="124"/>
      <c r="M11062" s="124"/>
      <c r="N11062" s="124"/>
      <c r="O11062" s="124"/>
    </row>
    <row r="11063">
      <c r="K11063" s="124"/>
      <c r="L11063" s="124"/>
      <c r="M11063" s="124"/>
      <c r="N11063" s="124"/>
      <c r="O11063" s="124"/>
    </row>
    <row r="11064">
      <c r="K11064" s="124"/>
      <c r="L11064" s="124"/>
      <c r="M11064" s="124"/>
      <c r="N11064" s="124"/>
      <c r="O11064" s="124"/>
    </row>
    <row r="11065">
      <c r="K11065" s="124"/>
      <c r="L11065" s="124"/>
      <c r="M11065" s="124"/>
      <c r="N11065" s="124"/>
      <c r="O11065" s="124"/>
    </row>
    <row r="11066">
      <c r="K11066" s="124"/>
      <c r="L11066" s="124"/>
      <c r="M11066" s="124"/>
      <c r="N11066" s="124"/>
      <c r="O11066" s="124"/>
    </row>
    <row r="11067">
      <c r="K11067" s="124"/>
      <c r="L11067" s="124"/>
      <c r="M11067" s="124"/>
      <c r="N11067" s="124"/>
      <c r="O11067" s="124"/>
    </row>
    <row r="11068">
      <c r="K11068" s="124"/>
      <c r="L11068" s="124"/>
      <c r="M11068" s="124"/>
      <c r="N11068" s="124"/>
      <c r="O11068" s="124"/>
    </row>
    <row r="11069">
      <c r="K11069" s="124"/>
      <c r="L11069" s="124"/>
      <c r="M11069" s="124"/>
      <c r="N11069" s="124"/>
      <c r="O11069" s="124"/>
    </row>
    <row r="11070">
      <c r="K11070" s="124"/>
      <c r="L11070" s="124"/>
      <c r="M11070" s="124"/>
      <c r="N11070" s="124"/>
      <c r="O11070" s="124"/>
    </row>
    <row r="11071">
      <c r="K11071" s="124"/>
      <c r="L11071" s="124"/>
      <c r="M11071" s="124"/>
      <c r="N11071" s="124"/>
      <c r="O11071" s="124"/>
    </row>
    <row r="11072">
      <c r="K11072" s="124"/>
      <c r="L11072" s="124"/>
      <c r="M11072" s="124"/>
      <c r="N11072" s="124"/>
      <c r="O11072" s="124"/>
    </row>
    <row r="11073">
      <c r="K11073" s="124"/>
      <c r="L11073" s="124"/>
      <c r="M11073" s="124"/>
      <c r="N11073" s="124"/>
      <c r="O11073" s="124"/>
    </row>
    <row r="11074">
      <c r="K11074" s="124"/>
      <c r="L11074" s="124"/>
      <c r="M11074" s="124"/>
      <c r="N11074" s="124"/>
      <c r="O11074" s="124"/>
    </row>
    <row r="11075">
      <c r="K11075" s="124"/>
      <c r="L11075" s="124"/>
      <c r="M11075" s="124"/>
      <c r="N11075" s="124"/>
      <c r="O11075" s="124"/>
    </row>
    <row r="11076">
      <c r="K11076" s="124"/>
      <c r="L11076" s="124"/>
      <c r="M11076" s="124"/>
      <c r="N11076" s="124"/>
      <c r="O11076" s="124"/>
    </row>
    <row r="11077">
      <c r="K11077" s="124"/>
      <c r="L11077" s="124"/>
      <c r="M11077" s="124"/>
      <c r="N11077" s="124"/>
      <c r="O11077" s="124"/>
    </row>
    <row r="11078">
      <c r="K11078" s="124"/>
      <c r="L11078" s="124"/>
      <c r="M11078" s="124"/>
      <c r="N11078" s="124"/>
      <c r="O11078" s="124"/>
    </row>
    <row r="11079">
      <c r="K11079" s="124"/>
      <c r="L11079" s="124"/>
      <c r="M11079" s="124"/>
      <c r="N11079" s="124"/>
      <c r="O11079" s="124"/>
    </row>
    <row r="11080">
      <c r="K11080" s="124"/>
      <c r="L11080" s="124"/>
      <c r="M11080" s="124"/>
      <c r="N11080" s="124"/>
      <c r="O11080" s="124"/>
    </row>
    <row r="11081">
      <c r="K11081" s="124"/>
      <c r="L11081" s="124"/>
      <c r="M11081" s="124"/>
      <c r="N11081" s="124"/>
      <c r="O11081" s="124"/>
    </row>
    <row r="11082">
      <c r="K11082" s="124"/>
      <c r="L11082" s="124"/>
      <c r="M11082" s="124"/>
      <c r="N11082" s="124"/>
      <c r="O11082" s="124"/>
    </row>
    <row r="11083">
      <c r="K11083" s="124"/>
      <c r="L11083" s="124"/>
      <c r="M11083" s="124"/>
      <c r="N11083" s="124"/>
      <c r="O11083" s="124"/>
    </row>
    <row r="11084">
      <c r="K11084" s="124"/>
      <c r="L11084" s="124"/>
      <c r="M11084" s="124"/>
      <c r="N11084" s="124"/>
      <c r="O11084" s="124"/>
    </row>
    <row r="11085">
      <c r="K11085" s="124"/>
      <c r="L11085" s="124"/>
      <c r="M11085" s="124"/>
      <c r="N11085" s="124"/>
      <c r="O11085" s="124"/>
    </row>
    <row r="11086">
      <c r="K11086" s="124"/>
      <c r="L11086" s="124"/>
      <c r="M11086" s="124"/>
      <c r="N11086" s="124"/>
      <c r="O11086" s="124"/>
    </row>
    <row r="11087">
      <c r="K11087" s="124"/>
      <c r="L11087" s="124"/>
      <c r="M11087" s="124"/>
      <c r="N11087" s="124"/>
      <c r="O11087" s="124"/>
    </row>
    <row r="11088">
      <c r="K11088" s="124"/>
      <c r="L11088" s="124"/>
      <c r="M11088" s="124"/>
      <c r="N11088" s="124"/>
      <c r="O11088" s="124"/>
    </row>
    <row r="11089">
      <c r="K11089" s="124"/>
      <c r="L11089" s="124"/>
      <c r="M11089" s="124"/>
      <c r="N11089" s="124"/>
      <c r="O11089" s="124"/>
    </row>
    <row r="11090">
      <c r="K11090" s="124"/>
      <c r="L11090" s="124"/>
      <c r="M11090" s="124"/>
      <c r="N11090" s="124"/>
      <c r="O11090" s="124"/>
    </row>
    <row r="11091">
      <c r="K11091" s="124"/>
      <c r="L11091" s="124"/>
      <c r="M11091" s="124"/>
      <c r="N11091" s="124"/>
      <c r="O11091" s="124"/>
    </row>
    <row r="11092">
      <c r="K11092" s="124"/>
      <c r="L11092" s="124"/>
      <c r="M11092" s="124"/>
      <c r="N11092" s="124"/>
      <c r="O11092" s="124"/>
    </row>
    <row r="11093">
      <c r="K11093" s="124"/>
      <c r="L11093" s="124"/>
      <c r="M11093" s="124"/>
      <c r="N11093" s="124"/>
      <c r="O11093" s="124"/>
    </row>
    <row r="11094">
      <c r="K11094" s="124"/>
      <c r="L11094" s="124"/>
      <c r="M11094" s="124"/>
      <c r="N11094" s="124"/>
      <c r="O11094" s="124"/>
    </row>
    <row r="11095">
      <c r="K11095" s="124"/>
      <c r="L11095" s="124"/>
      <c r="M11095" s="124"/>
      <c r="N11095" s="124"/>
      <c r="O11095" s="124"/>
    </row>
    <row r="11096">
      <c r="K11096" s="124"/>
      <c r="L11096" s="124"/>
      <c r="M11096" s="124"/>
      <c r="N11096" s="124"/>
      <c r="O11096" s="124"/>
    </row>
    <row r="11097">
      <c r="K11097" s="124"/>
      <c r="L11097" s="124"/>
      <c r="M11097" s="124"/>
      <c r="N11097" s="124"/>
      <c r="O11097" s="124"/>
    </row>
    <row r="11098">
      <c r="K11098" s="124"/>
      <c r="L11098" s="124"/>
      <c r="M11098" s="124"/>
      <c r="N11098" s="124"/>
      <c r="O11098" s="124"/>
    </row>
    <row r="11099">
      <c r="K11099" s="124"/>
      <c r="L11099" s="124"/>
      <c r="M11099" s="124"/>
      <c r="N11099" s="124"/>
      <c r="O11099" s="124"/>
    </row>
    <row r="11100">
      <c r="K11100" s="124"/>
      <c r="L11100" s="124"/>
      <c r="M11100" s="124"/>
      <c r="N11100" s="124"/>
      <c r="O11100" s="124"/>
    </row>
    <row r="11101">
      <c r="K11101" s="124"/>
      <c r="L11101" s="124"/>
      <c r="M11101" s="124"/>
      <c r="N11101" s="124"/>
      <c r="O11101" s="124"/>
    </row>
    <row r="11102">
      <c r="K11102" s="124"/>
      <c r="L11102" s="124"/>
      <c r="M11102" s="124"/>
      <c r="N11102" s="124"/>
      <c r="O11102" s="124"/>
    </row>
    <row r="11103">
      <c r="K11103" s="124"/>
      <c r="L11103" s="124"/>
      <c r="M11103" s="124"/>
      <c r="N11103" s="124"/>
      <c r="O11103" s="124"/>
    </row>
    <row r="11104">
      <c r="K11104" s="124"/>
      <c r="L11104" s="124"/>
      <c r="M11104" s="124"/>
      <c r="N11104" s="124"/>
      <c r="O11104" s="124"/>
    </row>
    <row r="11105">
      <c r="K11105" s="124"/>
      <c r="L11105" s="124"/>
      <c r="M11105" s="124"/>
      <c r="N11105" s="124"/>
      <c r="O11105" s="124"/>
    </row>
    <row r="11106">
      <c r="K11106" s="124"/>
      <c r="L11106" s="124"/>
      <c r="M11106" s="124"/>
      <c r="N11106" s="124"/>
      <c r="O11106" s="124"/>
    </row>
    <row r="11107">
      <c r="K11107" s="124"/>
      <c r="L11107" s="124"/>
      <c r="M11107" s="124"/>
      <c r="N11107" s="124"/>
      <c r="O11107" s="124"/>
    </row>
    <row r="11108">
      <c r="K11108" s="124"/>
      <c r="L11108" s="124"/>
      <c r="M11108" s="124"/>
      <c r="N11108" s="124"/>
      <c r="O11108" s="124"/>
    </row>
    <row r="11109">
      <c r="K11109" s="124"/>
      <c r="L11109" s="124"/>
      <c r="M11109" s="124"/>
      <c r="N11109" s="124"/>
      <c r="O11109" s="124"/>
    </row>
    <row r="11110">
      <c r="K11110" s="124"/>
      <c r="L11110" s="124"/>
      <c r="M11110" s="124"/>
      <c r="N11110" s="124"/>
      <c r="O11110" s="124"/>
    </row>
    <row r="11111">
      <c r="K11111" s="124"/>
      <c r="L11111" s="124"/>
      <c r="M11111" s="124"/>
      <c r="N11111" s="124"/>
      <c r="O11111" s="124"/>
    </row>
    <row r="11112">
      <c r="K11112" s="124"/>
      <c r="L11112" s="124"/>
      <c r="M11112" s="124"/>
      <c r="N11112" s="124"/>
      <c r="O11112" s="124"/>
    </row>
    <row r="11113">
      <c r="K11113" s="124"/>
      <c r="L11113" s="124"/>
      <c r="M11113" s="124"/>
      <c r="N11113" s="124"/>
      <c r="O11113" s="124"/>
    </row>
    <row r="11114">
      <c r="K11114" s="124"/>
      <c r="L11114" s="124"/>
      <c r="M11114" s="124"/>
      <c r="N11114" s="124"/>
      <c r="O11114" s="124"/>
    </row>
    <row r="11115">
      <c r="K11115" s="124"/>
      <c r="L11115" s="124"/>
      <c r="M11115" s="124"/>
      <c r="N11115" s="124"/>
      <c r="O11115" s="124"/>
    </row>
    <row r="11116">
      <c r="K11116" s="124"/>
      <c r="L11116" s="124"/>
      <c r="M11116" s="124"/>
      <c r="N11116" s="124"/>
      <c r="O11116" s="124"/>
    </row>
    <row r="11117">
      <c r="K11117" s="124"/>
      <c r="L11117" s="124"/>
      <c r="M11117" s="124"/>
      <c r="N11117" s="124"/>
      <c r="O11117" s="124"/>
    </row>
    <row r="11118">
      <c r="K11118" s="124"/>
      <c r="L11118" s="124"/>
      <c r="M11118" s="124"/>
      <c r="N11118" s="124"/>
      <c r="O11118" s="124"/>
    </row>
    <row r="11119">
      <c r="K11119" s="124"/>
      <c r="L11119" s="124"/>
      <c r="M11119" s="124"/>
      <c r="N11119" s="124"/>
      <c r="O11119" s="124"/>
    </row>
    <row r="11120">
      <c r="K11120" s="124"/>
      <c r="L11120" s="124"/>
      <c r="M11120" s="124"/>
      <c r="N11120" s="124"/>
      <c r="O11120" s="124"/>
    </row>
    <row r="11121">
      <c r="K11121" s="124"/>
      <c r="L11121" s="124"/>
      <c r="M11121" s="124"/>
      <c r="N11121" s="124"/>
      <c r="O11121" s="124"/>
    </row>
    <row r="11122">
      <c r="K11122" s="124"/>
      <c r="L11122" s="124"/>
      <c r="M11122" s="124"/>
      <c r="N11122" s="124"/>
      <c r="O11122" s="124"/>
    </row>
    <row r="11123">
      <c r="K11123" s="124"/>
      <c r="L11123" s="124"/>
      <c r="M11123" s="124"/>
      <c r="N11123" s="124"/>
      <c r="O11123" s="124"/>
    </row>
    <row r="11124">
      <c r="K11124" s="124"/>
      <c r="L11124" s="124"/>
      <c r="M11124" s="124"/>
      <c r="N11124" s="124"/>
      <c r="O11124" s="124"/>
    </row>
    <row r="11125">
      <c r="K11125" s="124"/>
      <c r="L11125" s="124"/>
      <c r="M11125" s="124"/>
      <c r="N11125" s="124"/>
      <c r="O11125" s="124"/>
    </row>
    <row r="11126">
      <c r="K11126" s="124"/>
      <c r="L11126" s="124"/>
      <c r="M11126" s="124"/>
      <c r="N11126" s="124"/>
      <c r="O11126" s="124"/>
    </row>
    <row r="11127">
      <c r="K11127" s="124"/>
      <c r="L11127" s="124"/>
      <c r="M11127" s="124"/>
      <c r="N11127" s="124"/>
      <c r="O11127" s="124"/>
    </row>
    <row r="11128">
      <c r="K11128" s="124"/>
      <c r="L11128" s="124"/>
      <c r="M11128" s="124"/>
      <c r="N11128" s="124"/>
      <c r="O11128" s="124"/>
    </row>
    <row r="11129">
      <c r="K11129" s="124"/>
      <c r="L11129" s="124"/>
      <c r="M11129" s="124"/>
      <c r="N11129" s="124"/>
      <c r="O11129" s="124"/>
    </row>
    <row r="11130">
      <c r="K11130" s="124"/>
      <c r="L11130" s="124"/>
      <c r="M11130" s="124"/>
      <c r="N11130" s="124"/>
      <c r="O11130" s="124"/>
    </row>
    <row r="11131">
      <c r="K11131" s="124"/>
      <c r="L11131" s="124"/>
      <c r="M11131" s="124"/>
      <c r="N11131" s="124"/>
      <c r="O11131" s="124"/>
    </row>
    <row r="11132">
      <c r="K11132" s="124"/>
      <c r="L11132" s="124"/>
      <c r="M11132" s="124"/>
      <c r="N11132" s="124"/>
      <c r="O11132" s="124"/>
    </row>
    <row r="11133">
      <c r="K11133" s="124"/>
      <c r="L11133" s="124"/>
      <c r="M11133" s="124"/>
      <c r="N11133" s="124"/>
      <c r="O11133" s="124"/>
    </row>
    <row r="11134">
      <c r="K11134" s="124"/>
      <c r="L11134" s="124"/>
      <c r="M11134" s="124"/>
      <c r="N11134" s="124"/>
      <c r="O11134" s="124"/>
    </row>
    <row r="11135">
      <c r="K11135" s="124"/>
      <c r="L11135" s="124"/>
      <c r="M11135" s="124"/>
      <c r="N11135" s="124"/>
      <c r="O11135" s="124"/>
    </row>
    <row r="11136">
      <c r="K11136" s="124"/>
      <c r="L11136" s="124"/>
      <c r="M11136" s="124"/>
      <c r="N11136" s="124"/>
      <c r="O11136" s="124"/>
    </row>
    <row r="11137">
      <c r="K11137" s="124"/>
      <c r="L11137" s="124"/>
      <c r="M11137" s="124"/>
      <c r="N11137" s="124"/>
      <c r="O11137" s="124"/>
    </row>
    <row r="11138">
      <c r="K11138" s="124"/>
      <c r="L11138" s="124"/>
      <c r="M11138" s="124"/>
      <c r="N11138" s="124"/>
      <c r="O11138" s="124"/>
    </row>
    <row r="11139">
      <c r="K11139" s="124"/>
      <c r="L11139" s="124"/>
      <c r="M11139" s="124"/>
      <c r="N11139" s="124"/>
      <c r="O11139" s="124"/>
    </row>
    <row r="11140">
      <c r="K11140" s="124"/>
      <c r="L11140" s="124"/>
      <c r="M11140" s="124"/>
      <c r="N11140" s="124"/>
      <c r="O11140" s="124"/>
    </row>
    <row r="11141">
      <c r="K11141" s="124"/>
      <c r="L11141" s="124"/>
      <c r="M11141" s="124"/>
      <c r="N11141" s="124"/>
      <c r="O11141" s="124"/>
    </row>
    <row r="11142">
      <c r="K11142" s="124"/>
      <c r="L11142" s="124"/>
      <c r="M11142" s="124"/>
      <c r="N11142" s="124"/>
      <c r="O11142" s="124"/>
    </row>
    <row r="11143">
      <c r="K11143" s="124"/>
      <c r="L11143" s="124"/>
      <c r="M11143" s="124"/>
      <c r="N11143" s="124"/>
      <c r="O11143" s="124"/>
    </row>
    <row r="11144">
      <c r="K11144" s="124"/>
      <c r="L11144" s="124"/>
      <c r="M11144" s="124"/>
      <c r="N11144" s="124"/>
      <c r="O11144" s="124"/>
    </row>
    <row r="11145">
      <c r="K11145" s="124"/>
      <c r="L11145" s="124"/>
      <c r="M11145" s="124"/>
      <c r="N11145" s="124"/>
      <c r="O11145" s="124"/>
    </row>
    <row r="11146">
      <c r="K11146" s="124"/>
      <c r="L11146" s="124"/>
      <c r="M11146" s="124"/>
      <c r="N11146" s="124"/>
      <c r="O11146" s="124"/>
    </row>
    <row r="11147">
      <c r="K11147" s="124"/>
      <c r="L11147" s="124"/>
      <c r="M11147" s="124"/>
      <c r="N11147" s="124"/>
      <c r="O11147" s="124"/>
    </row>
    <row r="11148">
      <c r="K11148" s="124"/>
      <c r="L11148" s="124"/>
      <c r="M11148" s="124"/>
      <c r="N11148" s="124"/>
      <c r="O11148" s="124"/>
    </row>
    <row r="11149">
      <c r="K11149" s="124"/>
      <c r="L11149" s="124"/>
      <c r="M11149" s="124"/>
      <c r="N11149" s="124"/>
      <c r="O11149" s="124"/>
    </row>
    <row r="11150">
      <c r="K11150" s="124"/>
      <c r="L11150" s="124"/>
      <c r="M11150" s="124"/>
      <c r="N11150" s="124"/>
      <c r="O11150" s="124"/>
    </row>
    <row r="11151">
      <c r="K11151" s="124"/>
      <c r="L11151" s="124"/>
      <c r="M11151" s="124"/>
      <c r="N11151" s="124"/>
      <c r="O11151" s="124"/>
    </row>
    <row r="11152">
      <c r="K11152" s="124"/>
      <c r="L11152" s="124"/>
      <c r="M11152" s="124"/>
      <c r="N11152" s="124"/>
      <c r="O11152" s="124"/>
    </row>
    <row r="11153">
      <c r="K11153" s="124"/>
      <c r="L11153" s="124"/>
      <c r="M11153" s="124"/>
      <c r="N11153" s="124"/>
      <c r="O11153" s="124"/>
    </row>
    <row r="11154">
      <c r="K11154" s="124"/>
      <c r="L11154" s="124"/>
      <c r="M11154" s="124"/>
      <c r="N11154" s="124"/>
      <c r="O11154" s="124"/>
    </row>
    <row r="11155">
      <c r="K11155" s="124"/>
      <c r="L11155" s="124"/>
      <c r="M11155" s="124"/>
      <c r="N11155" s="124"/>
      <c r="O11155" s="124"/>
    </row>
    <row r="11156">
      <c r="K11156" s="124"/>
      <c r="L11156" s="124"/>
      <c r="M11156" s="124"/>
      <c r="N11156" s="124"/>
      <c r="O11156" s="124"/>
    </row>
    <row r="11157">
      <c r="K11157" s="124"/>
      <c r="L11157" s="124"/>
      <c r="M11157" s="124"/>
      <c r="N11157" s="124"/>
      <c r="O11157" s="124"/>
    </row>
    <row r="11158">
      <c r="K11158" s="124"/>
      <c r="L11158" s="124"/>
      <c r="M11158" s="124"/>
      <c r="N11158" s="124"/>
      <c r="O11158" s="124"/>
    </row>
    <row r="11159">
      <c r="K11159" s="124"/>
      <c r="L11159" s="124"/>
      <c r="M11159" s="124"/>
      <c r="N11159" s="124"/>
      <c r="O11159" s="124"/>
    </row>
    <row r="11160">
      <c r="K11160" s="124"/>
      <c r="L11160" s="124"/>
      <c r="M11160" s="124"/>
      <c r="N11160" s="124"/>
      <c r="O11160" s="124"/>
    </row>
    <row r="11161">
      <c r="K11161" s="124"/>
      <c r="L11161" s="124"/>
      <c r="M11161" s="124"/>
      <c r="N11161" s="124"/>
      <c r="O11161" s="124"/>
    </row>
    <row r="11162">
      <c r="K11162" s="124"/>
      <c r="L11162" s="124"/>
      <c r="M11162" s="124"/>
      <c r="N11162" s="124"/>
      <c r="O11162" s="124"/>
    </row>
    <row r="11163">
      <c r="K11163" s="124"/>
      <c r="L11163" s="124"/>
      <c r="M11163" s="124"/>
      <c r="N11163" s="124"/>
      <c r="O11163" s="124"/>
    </row>
    <row r="11164">
      <c r="K11164" s="124"/>
      <c r="L11164" s="124"/>
      <c r="M11164" s="124"/>
      <c r="N11164" s="124"/>
      <c r="O11164" s="124"/>
    </row>
    <row r="11165">
      <c r="K11165" s="124"/>
      <c r="L11165" s="124"/>
      <c r="M11165" s="124"/>
      <c r="N11165" s="124"/>
      <c r="O11165" s="124"/>
    </row>
    <row r="11166">
      <c r="K11166" s="124"/>
      <c r="L11166" s="124"/>
      <c r="M11166" s="124"/>
      <c r="N11166" s="124"/>
      <c r="O11166" s="124"/>
    </row>
    <row r="11167">
      <c r="K11167" s="124"/>
      <c r="L11167" s="124"/>
      <c r="M11167" s="124"/>
      <c r="N11167" s="124"/>
      <c r="O11167" s="124"/>
    </row>
    <row r="11168">
      <c r="K11168" s="124"/>
      <c r="L11168" s="124"/>
      <c r="M11168" s="124"/>
      <c r="N11168" s="124"/>
      <c r="O11168" s="124"/>
    </row>
    <row r="11169">
      <c r="K11169" s="124"/>
      <c r="L11169" s="124"/>
      <c r="M11169" s="124"/>
      <c r="N11169" s="124"/>
      <c r="O11169" s="124"/>
    </row>
    <row r="11170">
      <c r="K11170" s="124"/>
      <c r="L11170" s="124"/>
      <c r="M11170" s="124"/>
      <c r="N11170" s="124"/>
      <c r="O11170" s="124"/>
    </row>
    <row r="11171">
      <c r="K11171" s="124"/>
      <c r="L11171" s="124"/>
      <c r="M11171" s="124"/>
      <c r="N11171" s="124"/>
      <c r="O11171" s="124"/>
    </row>
    <row r="11172">
      <c r="K11172" s="124"/>
      <c r="L11172" s="124"/>
      <c r="M11172" s="124"/>
      <c r="N11172" s="124"/>
      <c r="O11172" s="124"/>
    </row>
    <row r="11173">
      <c r="K11173" s="124"/>
      <c r="L11173" s="124"/>
      <c r="M11173" s="124"/>
      <c r="N11173" s="124"/>
      <c r="O11173" s="124"/>
    </row>
    <row r="11174">
      <c r="K11174" s="124"/>
      <c r="L11174" s="124"/>
      <c r="M11174" s="124"/>
      <c r="N11174" s="124"/>
      <c r="O11174" s="124"/>
    </row>
    <row r="11175">
      <c r="K11175" s="124"/>
      <c r="L11175" s="124"/>
      <c r="M11175" s="124"/>
      <c r="N11175" s="124"/>
      <c r="O11175" s="124"/>
    </row>
    <row r="11176">
      <c r="K11176" s="124"/>
      <c r="L11176" s="124"/>
      <c r="M11176" s="124"/>
      <c r="N11176" s="124"/>
      <c r="O11176" s="124"/>
    </row>
    <row r="11177">
      <c r="K11177" s="124"/>
      <c r="L11177" s="124"/>
      <c r="M11177" s="124"/>
      <c r="N11177" s="124"/>
      <c r="O11177" s="124"/>
    </row>
    <row r="11178">
      <c r="K11178" s="124"/>
      <c r="L11178" s="124"/>
      <c r="M11178" s="124"/>
      <c r="N11178" s="124"/>
      <c r="O11178" s="124"/>
    </row>
    <row r="11179">
      <c r="K11179" s="124"/>
      <c r="L11179" s="124"/>
      <c r="M11179" s="124"/>
      <c r="N11179" s="124"/>
      <c r="O11179" s="124"/>
    </row>
    <row r="11180">
      <c r="K11180" s="124"/>
      <c r="L11180" s="124"/>
      <c r="M11180" s="124"/>
      <c r="N11180" s="124"/>
      <c r="O11180" s="124"/>
    </row>
    <row r="11181">
      <c r="K11181" s="124"/>
      <c r="L11181" s="124"/>
      <c r="M11181" s="124"/>
      <c r="N11181" s="124"/>
      <c r="O11181" s="124"/>
    </row>
    <row r="11182">
      <c r="K11182" s="124"/>
      <c r="L11182" s="124"/>
      <c r="M11182" s="124"/>
      <c r="N11182" s="124"/>
      <c r="O11182" s="124"/>
    </row>
    <row r="11183">
      <c r="K11183" s="124"/>
      <c r="L11183" s="124"/>
      <c r="M11183" s="124"/>
      <c r="N11183" s="124"/>
      <c r="O11183" s="124"/>
    </row>
    <row r="11184">
      <c r="K11184" s="124"/>
      <c r="L11184" s="124"/>
      <c r="M11184" s="124"/>
      <c r="N11184" s="124"/>
      <c r="O11184" s="124"/>
    </row>
    <row r="11185">
      <c r="K11185" s="124"/>
      <c r="L11185" s="124"/>
      <c r="M11185" s="124"/>
      <c r="N11185" s="124"/>
      <c r="O11185" s="124"/>
    </row>
    <row r="11186">
      <c r="K11186" s="124"/>
      <c r="L11186" s="124"/>
      <c r="M11186" s="124"/>
      <c r="N11186" s="124"/>
      <c r="O11186" s="124"/>
    </row>
    <row r="11187">
      <c r="K11187" s="124"/>
      <c r="L11187" s="124"/>
      <c r="M11187" s="124"/>
      <c r="N11187" s="124"/>
      <c r="O11187" s="124"/>
    </row>
    <row r="11188">
      <c r="K11188" s="124"/>
      <c r="L11188" s="124"/>
      <c r="M11188" s="124"/>
      <c r="N11188" s="124"/>
      <c r="O11188" s="124"/>
    </row>
    <row r="11189">
      <c r="K11189" s="124"/>
      <c r="L11189" s="124"/>
      <c r="M11189" s="124"/>
      <c r="N11189" s="124"/>
      <c r="O11189" s="124"/>
    </row>
    <row r="11190">
      <c r="K11190" s="124"/>
      <c r="L11190" s="124"/>
      <c r="M11190" s="124"/>
      <c r="N11190" s="124"/>
      <c r="O11190" s="124"/>
    </row>
    <row r="11191">
      <c r="K11191" s="124"/>
      <c r="L11191" s="124"/>
      <c r="M11191" s="124"/>
      <c r="N11191" s="124"/>
      <c r="O11191" s="124"/>
    </row>
    <row r="11192">
      <c r="K11192" s="124"/>
      <c r="L11192" s="124"/>
      <c r="M11192" s="124"/>
      <c r="N11192" s="124"/>
      <c r="O11192" s="124"/>
    </row>
    <row r="11193">
      <c r="K11193" s="124"/>
      <c r="L11193" s="124"/>
      <c r="M11193" s="124"/>
      <c r="N11193" s="124"/>
      <c r="O11193" s="124"/>
    </row>
    <row r="11194">
      <c r="K11194" s="124"/>
      <c r="L11194" s="124"/>
      <c r="M11194" s="124"/>
      <c r="N11194" s="124"/>
      <c r="O11194" s="124"/>
    </row>
    <row r="11195">
      <c r="K11195" s="124"/>
      <c r="L11195" s="124"/>
      <c r="M11195" s="124"/>
      <c r="N11195" s="124"/>
      <c r="O11195" s="124"/>
    </row>
    <row r="11196">
      <c r="K11196" s="124"/>
      <c r="L11196" s="124"/>
      <c r="M11196" s="124"/>
      <c r="N11196" s="124"/>
      <c r="O11196" s="124"/>
    </row>
    <row r="11197">
      <c r="K11197" s="124"/>
      <c r="L11197" s="124"/>
      <c r="M11197" s="124"/>
      <c r="N11197" s="124"/>
      <c r="O11197" s="124"/>
    </row>
    <row r="11198">
      <c r="K11198" s="124"/>
      <c r="L11198" s="124"/>
      <c r="M11198" s="124"/>
      <c r="N11198" s="124"/>
      <c r="O11198" s="124"/>
    </row>
    <row r="11199">
      <c r="K11199" s="124"/>
      <c r="L11199" s="124"/>
      <c r="M11199" s="124"/>
      <c r="N11199" s="124"/>
      <c r="O11199" s="124"/>
    </row>
    <row r="11200">
      <c r="K11200" s="124"/>
      <c r="L11200" s="124"/>
      <c r="M11200" s="124"/>
      <c r="N11200" s="124"/>
      <c r="O11200" s="124"/>
    </row>
    <row r="11201">
      <c r="K11201" s="124"/>
      <c r="L11201" s="124"/>
      <c r="M11201" s="124"/>
      <c r="N11201" s="124"/>
      <c r="O11201" s="124"/>
    </row>
    <row r="11202">
      <c r="K11202" s="124"/>
      <c r="L11202" s="124"/>
      <c r="M11202" s="124"/>
      <c r="N11202" s="124"/>
      <c r="O11202" s="124"/>
    </row>
    <row r="11203">
      <c r="K11203" s="124"/>
      <c r="L11203" s="124"/>
      <c r="M11203" s="124"/>
      <c r="N11203" s="124"/>
      <c r="O11203" s="124"/>
    </row>
    <row r="11204">
      <c r="K11204" s="124"/>
      <c r="L11204" s="124"/>
      <c r="M11204" s="124"/>
      <c r="N11204" s="124"/>
      <c r="O11204" s="124"/>
    </row>
    <row r="11205">
      <c r="K11205" s="124"/>
      <c r="L11205" s="124"/>
      <c r="M11205" s="124"/>
      <c r="N11205" s="124"/>
      <c r="O11205" s="124"/>
    </row>
    <row r="11206">
      <c r="K11206" s="124"/>
      <c r="L11206" s="124"/>
      <c r="M11206" s="124"/>
      <c r="N11206" s="124"/>
      <c r="O11206" s="124"/>
    </row>
    <row r="11207">
      <c r="K11207" s="124"/>
      <c r="L11207" s="124"/>
      <c r="M11207" s="124"/>
      <c r="N11207" s="124"/>
      <c r="O11207" s="124"/>
    </row>
    <row r="11208">
      <c r="K11208" s="124"/>
      <c r="L11208" s="124"/>
      <c r="M11208" s="124"/>
      <c r="N11208" s="124"/>
      <c r="O11208" s="124"/>
    </row>
    <row r="11209">
      <c r="K11209" s="124"/>
      <c r="L11209" s="124"/>
      <c r="M11209" s="124"/>
      <c r="N11209" s="124"/>
      <c r="O11209" s="124"/>
    </row>
    <row r="11210">
      <c r="K11210" s="124"/>
      <c r="L11210" s="124"/>
      <c r="M11210" s="124"/>
      <c r="N11210" s="124"/>
      <c r="O11210" s="124"/>
    </row>
    <row r="11211">
      <c r="K11211" s="124"/>
      <c r="L11211" s="124"/>
      <c r="M11211" s="124"/>
      <c r="N11211" s="124"/>
      <c r="O11211" s="124"/>
    </row>
    <row r="11212">
      <c r="K11212" s="124"/>
      <c r="L11212" s="124"/>
      <c r="M11212" s="124"/>
      <c r="N11212" s="124"/>
      <c r="O11212" s="124"/>
    </row>
    <row r="11213">
      <c r="K11213" s="124"/>
      <c r="L11213" s="124"/>
      <c r="M11213" s="124"/>
      <c r="N11213" s="124"/>
      <c r="O11213" s="124"/>
    </row>
    <row r="11214">
      <c r="K11214" s="124"/>
      <c r="L11214" s="124"/>
      <c r="M11214" s="124"/>
      <c r="N11214" s="124"/>
      <c r="O11214" s="124"/>
    </row>
    <row r="11215">
      <c r="K11215" s="124"/>
      <c r="L11215" s="124"/>
      <c r="M11215" s="124"/>
      <c r="N11215" s="124"/>
      <c r="O11215" s="124"/>
    </row>
    <row r="11216">
      <c r="K11216" s="124"/>
      <c r="L11216" s="124"/>
      <c r="M11216" s="124"/>
      <c r="N11216" s="124"/>
      <c r="O11216" s="124"/>
    </row>
    <row r="11217">
      <c r="K11217" s="124"/>
      <c r="L11217" s="124"/>
      <c r="M11217" s="124"/>
      <c r="N11217" s="124"/>
      <c r="O11217" s="124"/>
    </row>
    <row r="11218">
      <c r="K11218" s="124"/>
      <c r="L11218" s="124"/>
      <c r="M11218" s="124"/>
      <c r="N11218" s="124"/>
      <c r="O11218" s="124"/>
    </row>
    <row r="11219">
      <c r="K11219" s="124"/>
      <c r="L11219" s="124"/>
      <c r="M11219" s="124"/>
      <c r="N11219" s="124"/>
      <c r="O11219" s="124"/>
    </row>
    <row r="11220">
      <c r="K11220" s="124"/>
      <c r="L11220" s="124"/>
      <c r="M11220" s="124"/>
      <c r="N11220" s="124"/>
      <c r="O11220" s="124"/>
    </row>
    <row r="11221">
      <c r="K11221" s="124"/>
      <c r="L11221" s="124"/>
      <c r="M11221" s="124"/>
      <c r="N11221" s="124"/>
      <c r="O11221" s="124"/>
    </row>
    <row r="11222">
      <c r="K11222" s="124"/>
      <c r="L11222" s="124"/>
      <c r="M11222" s="124"/>
      <c r="N11222" s="124"/>
      <c r="O11222" s="124"/>
    </row>
    <row r="11223">
      <c r="K11223" s="124"/>
      <c r="L11223" s="124"/>
      <c r="M11223" s="124"/>
      <c r="N11223" s="124"/>
      <c r="O11223" s="124"/>
    </row>
    <row r="11224">
      <c r="K11224" s="124"/>
      <c r="L11224" s="124"/>
      <c r="M11224" s="124"/>
      <c r="N11224" s="124"/>
      <c r="O11224" s="124"/>
    </row>
    <row r="11225">
      <c r="K11225" s="124"/>
      <c r="L11225" s="124"/>
      <c r="M11225" s="124"/>
      <c r="N11225" s="124"/>
      <c r="O11225" s="124"/>
    </row>
    <row r="11226">
      <c r="K11226" s="124"/>
      <c r="L11226" s="124"/>
      <c r="M11226" s="124"/>
      <c r="N11226" s="124"/>
      <c r="O11226" s="124"/>
    </row>
    <row r="11227">
      <c r="K11227" s="124"/>
      <c r="L11227" s="124"/>
      <c r="M11227" s="124"/>
      <c r="N11227" s="124"/>
      <c r="O11227" s="124"/>
    </row>
    <row r="11228">
      <c r="K11228" s="124"/>
      <c r="L11228" s="124"/>
      <c r="M11228" s="124"/>
      <c r="N11228" s="124"/>
      <c r="O11228" s="124"/>
    </row>
    <row r="11229">
      <c r="K11229" s="124"/>
      <c r="L11229" s="124"/>
      <c r="M11229" s="124"/>
      <c r="N11229" s="124"/>
      <c r="O11229" s="124"/>
    </row>
    <row r="11230">
      <c r="K11230" s="124"/>
      <c r="L11230" s="124"/>
      <c r="M11230" s="124"/>
      <c r="N11230" s="124"/>
      <c r="O11230" s="124"/>
    </row>
    <row r="11231">
      <c r="K11231" s="124"/>
      <c r="L11231" s="124"/>
      <c r="M11231" s="124"/>
      <c r="N11231" s="124"/>
      <c r="O11231" s="124"/>
    </row>
    <row r="11232">
      <c r="K11232" s="124"/>
      <c r="L11232" s="124"/>
      <c r="M11232" s="124"/>
      <c r="N11232" s="124"/>
      <c r="O11232" s="124"/>
    </row>
    <row r="11233">
      <c r="K11233" s="124"/>
      <c r="L11233" s="124"/>
      <c r="M11233" s="124"/>
      <c r="N11233" s="124"/>
      <c r="O11233" s="124"/>
    </row>
    <row r="11234">
      <c r="K11234" s="124"/>
      <c r="L11234" s="124"/>
      <c r="M11234" s="124"/>
      <c r="N11234" s="124"/>
      <c r="O11234" s="124"/>
    </row>
    <row r="11235">
      <c r="K11235" s="124"/>
      <c r="L11235" s="124"/>
      <c r="M11235" s="124"/>
      <c r="N11235" s="124"/>
      <c r="O11235" s="124"/>
    </row>
    <row r="11236">
      <c r="K11236" s="124"/>
      <c r="L11236" s="124"/>
      <c r="M11236" s="124"/>
      <c r="N11236" s="124"/>
      <c r="O11236" s="124"/>
    </row>
    <row r="11237">
      <c r="K11237" s="124"/>
      <c r="L11237" s="124"/>
      <c r="M11237" s="124"/>
      <c r="N11237" s="124"/>
      <c r="O11237" s="124"/>
    </row>
    <row r="11238">
      <c r="K11238" s="124"/>
      <c r="L11238" s="124"/>
      <c r="M11238" s="124"/>
      <c r="N11238" s="124"/>
      <c r="O11238" s="124"/>
    </row>
    <row r="11239">
      <c r="K11239" s="124"/>
      <c r="L11239" s="124"/>
      <c r="M11239" s="124"/>
      <c r="N11239" s="124"/>
      <c r="O11239" s="124"/>
    </row>
    <row r="11240">
      <c r="K11240" s="124"/>
      <c r="L11240" s="124"/>
      <c r="M11240" s="124"/>
      <c r="N11240" s="124"/>
      <c r="O11240" s="124"/>
    </row>
    <row r="11241">
      <c r="K11241" s="124"/>
      <c r="L11241" s="124"/>
      <c r="M11241" s="124"/>
      <c r="N11241" s="124"/>
      <c r="O11241" s="124"/>
    </row>
    <row r="11242">
      <c r="K11242" s="124"/>
      <c r="L11242" s="124"/>
      <c r="M11242" s="124"/>
      <c r="N11242" s="124"/>
      <c r="O11242" s="124"/>
    </row>
    <row r="11243">
      <c r="K11243" s="124"/>
      <c r="L11243" s="124"/>
      <c r="M11243" s="124"/>
      <c r="N11243" s="124"/>
      <c r="O11243" s="124"/>
    </row>
    <row r="11244">
      <c r="K11244" s="124"/>
      <c r="L11244" s="124"/>
      <c r="M11244" s="124"/>
      <c r="N11244" s="124"/>
      <c r="O11244" s="124"/>
    </row>
    <row r="11245">
      <c r="K11245" s="124"/>
      <c r="L11245" s="124"/>
      <c r="M11245" s="124"/>
      <c r="N11245" s="124"/>
      <c r="O11245" s="124"/>
    </row>
    <row r="11246">
      <c r="K11246" s="124"/>
      <c r="L11246" s="124"/>
      <c r="M11246" s="124"/>
      <c r="N11246" s="124"/>
      <c r="O11246" s="124"/>
    </row>
    <row r="11247">
      <c r="K11247" s="124"/>
      <c r="L11247" s="124"/>
      <c r="M11247" s="124"/>
      <c r="N11247" s="124"/>
      <c r="O11247" s="124"/>
    </row>
    <row r="11248">
      <c r="K11248" s="124"/>
      <c r="L11248" s="124"/>
      <c r="M11248" s="124"/>
      <c r="N11248" s="124"/>
      <c r="O11248" s="124"/>
    </row>
    <row r="11249">
      <c r="K11249" s="124"/>
      <c r="L11249" s="124"/>
      <c r="M11249" s="124"/>
      <c r="N11249" s="124"/>
      <c r="O11249" s="124"/>
    </row>
    <row r="11250">
      <c r="K11250" s="124"/>
      <c r="L11250" s="124"/>
      <c r="M11250" s="124"/>
      <c r="N11250" s="124"/>
      <c r="O11250" s="124"/>
    </row>
    <row r="11251">
      <c r="K11251" s="124"/>
      <c r="L11251" s="124"/>
      <c r="M11251" s="124"/>
      <c r="N11251" s="124"/>
      <c r="O11251" s="124"/>
    </row>
    <row r="11252">
      <c r="K11252" s="124"/>
      <c r="L11252" s="124"/>
      <c r="M11252" s="124"/>
      <c r="N11252" s="124"/>
      <c r="O11252" s="124"/>
    </row>
    <row r="11253">
      <c r="K11253" s="124"/>
      <c r="L11253" s="124"/>
      <c r="M11253" s="124"/>
      <c r="N11253" s="124"/>
      <c r="O11253" s="124"/>
    </row>
    <row r="11254">
      <c r="K11254" s="124"/>
      <c r="L11254" s="124"/>
      <c r="M11254" s="124"/>
      <c r="N11254" s="124"/>
      <c r="O11254" s="124"/>
    </row>
    <row r="11255">
      <c r="K11255" s="124"/>
      <c r="L11255" s="124"/>
      <c r="M11255" s="124"/>
      <c r="N11255" s="124"/>
      <c r="O11255" s="124"/>
    </row>
    <row r="11256">
      <c r="K11256" s="124"/>
      <c r="L11256" s="124"/>
      <c r="M11256" s="124"/>
      <c r="N11256" s="124"/>
      <c r="O11256" s="124"/>
    </row>
    <row r="11257">
      <c r="K11257" s="124"/>
      <c r="L11257" s="124"/>
      <c r="M11257" s="124"/>
      <c r="N11257" s="124"/>
      <c r="O11257" s="124"/>
    </row>
    <row r="11258">
      <c r="K11258" s="124"/>
      <c r="L11258" s="124"/>
      <c r="M11258" s="124"/>
      <c r="N11258" s="124"/>
      <c r="O11258" s="124"/>
    </row>
    <row r="11259">
      <c r="K11259" s="124"/>
      <c r="L11259" s="124"/>
      <c r="M11259" s="124"/>
      <c r="N11259" s="124"/>
      <c r="O11259" s="124"/>
    </row>
    <row r="11260">
      <c r="K11260" s="124"/>
      <c r="L11260" s="124"/>
      <c r="M11260" s="124"/>
      <c r="N11260" s="124"/>
      <c r="O11260" s="124"/>
    </row>
    <row r="11261">
      <c r="K11261" s="124"/>
      <c r="L11261" s="124"/>
      <c r="M11261" s="124"/>
      <c r="N11261" s="124"/>
      <c r="O11261" s="124"/>
    </row>
    <row r="11262">
      <c r="K11262" s="124"/>
      <c r="L11262" s="124"/>
      <c r="M11262" s="124"/>
      <c r="N11262" s="124"/>
      <c r="O11262" s="124"/>
    </row>
    <row r="11263">
      <c r="K11263" s="124"/>
      <c r="L11263" s="124"/>
      <c r="M11263" s="124"/>
      <c r="N11263" s="124"/>
      <c r="O11263" s="124"/>
    </row>
    <row r="11264">
      <c r="K11264" s="124"/>
      <c r="L11264" s="124"/>
      <c r="M11264" s="124"/>
      <c r="N11264" s="124"/>
      <c r="O11264" s="124"/>
    </row>
    <row r="11265">
      <c r="K11265" s="124"/>
      <c r="L11265" s="124"/>
      <c r="M11265" s="124"/>
      <c r="N11265" s="124"/>
      <c r="O11265" s="124"/>
    </row>
    <row r="11266">
      <c r="K11266" s="124"/>
      <c r="L11266" s="124"/>
      <c r="M11266" s="124"/>
      <c r="N11266" s="124"/>
      <c r="O11266" s="124"/>
    </row>
    <row r="11267">
      <c r="K11267" s="124"/>
      <c r="L11267" s="124"/>
      <c r="M11267" s="124"/>
      <c r="N11267" s="124"/>
      <c r="O11267" s="124"/>
    </row>
    <row r="11268">
      <c r="K11268" s="124"/>
      <c r="L11268" s="124"/>
      <c r="M11268" s="124"/>
      <c r="N11268" s="124"/>
      <c r="O11268" s="124"/>
    </row>
    <row r="11269">
      <c r="K11269" s="124"/>
      <c r="L11269" s="124"/>
      <c r="M11269" s="124"/>
      <c r="N11269" s="124"/>
      <c r="O11269" s="124"/>
    </row>
    <row r="11270">
      <c r="K11270" s="124"/>
      <c r="L11270" s="124"/>
      <c r="M11270" s="124"/>
      <c r="N11270" s="124"/>
      <c r="O11270" s="124"/>
    </row>
    <row r="11271">
      <c r="K11271" s="124"/>
      <c r="L11271" s="124"/>
      <c r="M11271" s="124"/>
      <c r="N11271" s="124"/>
      <c r="O11271" s="124"/>
    </row>
    <row r="11272">
      <c r="K11272" s="124"/>
      <c r="L11272" s="124"/>
      <c r="M11272" s="124"/>
      <c r="N11272" s="124"/>
      <c r="O11272" s="124"/>
    </row>
    <row r="11273">
      <c r="K11273" s="124"/>
      <c r="L11273" s="124"/>
      <c r="M11273" s="124"/>
      <c r="N11273" s="124"/>
      <c r="O11273" s="124"/>
    </row>
    <row r="11274">
      <c r="K11274" s="124"/>
      <c r="L11274" s="124"/>
      <c r="M11274" s="124"/>
      <c r="N11274" s="124"/>
      <c r="O11274" s="124"/>
    </row>
    <row r="11275">
      <c r="K11275" s="124"/>
      <c r="L11275" s="124"/>
      <c r="M11275" s="124"/>
      <c r="N11275" s="124"/>
      <c r="O11275" s="124"/>
    </row>
    <row r="11276">
      <c r="K11276" s="124"/>
      <c r="L11276" s="124"/>
      <c r="M11276" s="124"/>
      <c r="N11276" s="124"/>
      <c r="O11276" s="124"/>
    </row>
    <row r="11277">
      <c r="K11277" s="124"/>
      <c r="L11277" s="124"/>
      <c r="M11277" s="124"/>
      <c r="N11277" s="124"/>
      <c r="O11277" s="124"/>
    </row>
    <row r="11278">
      <c r="K11278" s="124"/>
      <c r="L11278" s="124"/>
      <c r="M11278" s="124"/>
      <c r="N11278" s="124"/>
      <c r="O11278" s="124"/>
    </row>
    <row r="11279">
      <c r="K11279" s="124"/>
      <c r="L11279" s="124"/>
      <c r="M11279" s="124"/>
      <c r="N11279" s="124"/>
      <c r="O11279" s="124"/>
    </row>
    <row r="11280">
      <c r="K11280" s="124"/>
      <c r="L11280" s="124"/>
      <c r="M11280" s="124"/>
      <c r="N11280" s="124"/>
      <c r="O11280" s="124"/>
    </row>
    <row r="11281">
      <c r="K11281" s="124"/>
      <c r="L11281" s="124"/>
      <c r="M11281" s="124"/>
      <c r="N11281" s="124"/>
      <c r="O11281" s="124"/>
    </row>
    <row r="11282">
      <c r="K11282" s="124"/>
      <c r="L11282" s="124"/>
      <c r="M11282" s="124"/>
      <c r="N11282" s="124"/>
      <c r="O11282" s="124"/>
    </row>
    <row r="11283">
      <c r="K11283" s="124"/>
      <c r="L11283" s="124"/>
      <c r="M11283" s="124"/>
      <c r="N11283" s="124"/>
      <c r="O11283" s="124"/>
    </row>
    <row r="11284">
      <c r="K11284" s="124"/>
      <c r="L11284" s="124"/>
      <c r="M11284" s="124"/>
      <c r="N11284" s="124"/>
      <c r="O11284" s="124"/>
    </row>
    <row r="11285">
      <c r="K11285" s="124"/>
      <c r="L11285" s="124"/>
      <c r="M11285" s="124"/>
      <c r="N11285" s="124"/>
      <c r="O11285" s="124"/>
    </row>
    <row r="11286">
      <c r="K11286" s="124"/>
      <c r="L11286" s="124"/>
      <c r="M11286" s="124"/>
      <c r="N11286" s="124"/>
      <c r="O11286" s="124"/>
    </row>
    <row r="11287">
      <c r="K11287" s="124"/>
      <c r="L11287" s="124"/>
      <c r="M11287" s="124"/>
      <c r="N11287" s="124"/>
      <c r="O11287" s="124"/>
    </row>
    <row r="11288">
      <c r="K11288" s="124"/>
      <c r="L11288" s="124"/>
      <c r="M11288" s="124"/>
      <c r="N11288" s="124"/>
      <c r="O11288" s="124"/>
    </row>
    <row r="11289">
      <c r="K11289" s="124"/>
      <c r="L11289" s="124"/>
      <c r="M11289" s="124"/>
      <c r="N11289" s="124"/>
      <c r="O11289" s="124"/>
    </row>
    <row r="11290">
      <c r="K11290" s="124"/>
      <c r="L11290" s="124"/>
      <c r="M11290" s="124"/>
      <c r="N11290" s="124"/>
      <c r="O11290" s="124"/>
    </row>
    <row r="11291">
      <c r="K11291" s="124"/>
      <c r="L11291" s="124"/>
      <c r="M11291" s="124"/>
      <c r="N11291" s="124"/>
      <c r="O11291" s="124"/>
    </row>
    <row r="11292">
      <c r="K11292" s="124"/>
      <c r="L11292" s="124"/>
      <c r="M11292" s="124"/>
      <c r="N11292" s="124"/>
      <c r="O11292" s="124"/>
    </row>
    <row r="11293">
      <c r="K11293" s="124"/>
      <c r="L11293" s="124"/>
      <c r="M11293" s="124"/>
      <c r="N11293" s="124"/>
      <c r="O11293" s="124"/>
    </row>
    <row r="11294">
      <c r="K11294" s="124"/>
      <c r="L11294" s="124"/>
      <c r="M11294" s="124"/>
      <c r="N11294" s="124"/>
      <c r="O11294" s="124"/>
    </row>
    <row r="11295">
      <c r="K11295" s="124"/>
      <c r="L11295" s="124"/>
      <c r="M11295" s="124"/>
      <c r="N11295" s="124"/>
      <c r="O11295" s="124"/>
    </row>
    <row r="11296">
      <c r="K11296" s="124"/>
      <c r="L11296" s="124"/>
      <c r="M11296" s="124"/>
      <c r="N11296" s="124"/>
      <c r="O11296" s="124"/>
    </row>
    <row r="11297">
      <c r="K11297" s="124"/>
      <c r="L11297" s="124"/>
      <c r="M11297" s="124"/>
      <c r="N11297" s="124"/>
      <c r="O11297" s="124"/>
    </row>
    <row r="11298">
      <c r="K11298" s="124"/>
      <c r="L11298" s="124"/>
      <c r="M11298" s="124"/>
      <c r="N11298" s="124"/>
      <c r="O11298" s="124"/>
    </row>
    <row r="11299">
      <c r="K11299" s="124"/>
      <c r="L11299" s="124"/>
      <c r="M11299" s="124"/>
      <c r="N11299" s="124"/>
      <c r="O11299" s="124"/>
    </row>
    <row r="11300">
      <c r="K11300" s="124"/>
      <c r="L11300" s="124"/>
      <c r="M11300" s="124"/>
      <c r="N11300" s="124"/>
      <c r="O11300" s="124"/>
    </row>
    <row r="11301">
      <c r="K11301" s="124"/>
      <c r="L11301" s="124"/>
      <c r="M11301" s="124"/>
      <c r="N11301" s="124"/>
      <c r="O11301" s="124"/>
    </row>
    <row r="11302">
      <c r="K11302" s="124"/>
      <c r="L11302" s="124"/>
      <c r="M11302" s="124"/>
      <c r="N11302" s="124"/>
      <c r="O11302" s="124"/>
    </row>
    <row r="11303">
      <c r="K11303" s="124"/>
      <c r="L11303" s="124"/>
      <c r="M11303" s="124"/>
      <c r="N11303" s="124"/>
      <c r="O11303" s="124"/>
    </row>
    <row r="11304">
      <c r="K11304" s="124"/>
      <c r="L11304" s="124"/>
      <c r="M11304" s="124"/>
      <c r="N11304" s="124"/>
      <c r="O11304" s="124"/>
    </row>
    <row r="11305">
      <c r="K11305" s="124"/>
      <c r="L11305" s="124"/>
      <c r="M11305" s="124"/>
      <c r="N11305" s="124"/>
      <c r="O11305" s="124"/>
    </row>
    <row r="11306">
      <c r="K11306" s="124"/>
      <c r="L11306" s="124"/>
      <c r="M11306" s="124"/>
      <c r="N11306" s="124"/>
      <c r="O11306" s="124"/>
    </row>
    <row r="11307">
      <c r="K11307" s="124"/>
      <c r="L11307" s="124"/>
      <c r="M11307" s="124"/>
      <c r="N11307" s="124"/>
      <c r="O11307" s="124"/>
    </row>
    <row r="11308">
      <c r="K11308" s="124"/>
      <c r="L11308" s="124"/>
      <c r="M11308" s="124"/>
      <c r="N11308" s="124"/>
      <c r="O11308" s="124"/>
    </row>
    <row r="11309">
      <c r="K11309" s="124"/>
      <c r="L11309" s="124"/>
      <c r="M11309" s="124"/>
      <c r="N11309" s="124"/>
      <c r="O11309" s="124"/>
    </row>
    <row r="11310">
      <c r="K11310" s="124"/>
      <c r="L11310" s="124"/>
      <c r="M11310" s="124"/>
      <c r="N11310" s="124"/>
      <c r="O11310" s="124"/>
    </row>
    <row r="11311">
      <c r="K11311" s="124"/>
      <c r="L11311" s="124"/>
      <c r="M11311" s="124"/>
      <c r="N11311" s="124"/>
      <c r="O11311" s="124"/>
    </row>
    <row r="11312">
      <c r="K11312" s="124"/>
      <c r="L11312" s="124"/>
      <c r="M11312" s="124"/>
      <c r="N11312" s="124"/>
      <c r="O11312" s="124"/>
    </row>
    <row r="11313">
      <c r="K11313" s="124"/>
      <c r="L11313" s="124"/>
      <c r="M11313" s="124"/>
      <c r="N11313" s="124"/>
      <c r="O11313" s="124"/>
    </row>
    <row r="11314">
      <c r="K11314" s="124"/>
      <c r="L11314" s="124"/>
      <c r="M11314" s="124"/>
      <c r="N11314" s="124"/>
      <c r="O11314" s="124"/>
    </row>
    <row r="11315">
      <c r="K11315" s="124"/>
      <c r="L11315" s="124"/>
      <c r="M11315" s="124"/>
      <c r="N11315" s="124"/>
      <c r="O11315" s="124"/>
    </row>
    <row r="11316">
      <c r="K11316" s="124"/>
      <c r="L11316" s="124"/>
      <c r="M11316" s="124"/>
      <c r="N11316" s="124"/>
      <c r="O11316" s="124"/>
    </row>
    <row r="11317">
      <c r="K11317" s="124"/>
      <c r="L11317" s="124"/>
      <c r="M11317" s="124"/>
      <c r="N11317" s="124"/>
      <c r="O11317" s="124"/>
    </row>
    <row r="11318">
      <c r="K11318" s="124"/>
      <c r="L11318" s="124"/>
      <c r="M11318" s="124"/>
      <c r="N11318" s="124"/>
      <c r="O11318" s="124"/>
    </row>
    <row r="11319">
      <c r="K11319" s="124"/>
      <c r="L11319" s="124"/>
      <c r="M11319" s="124"/>
      <c r="N11319" s="124"/>
      <c r="O11319" s="124"/>
    </row>
    <row r="11320">
      <c r="K11320" s="124"/>
      <c r="L11320" s="124"/>
      <c r="M11320" s="124"/>
      <c r="N11320" s="124"/>
      <c r="O11320" s="124"/>
    </row>
    <row r="11321">
      <c r="K11321" s="124"/>
      <c r="L11321" s="124"/>
      <c r="M11321" s="124"/>
      <c r="N11321" s="124"/>
      <c r="O11321" s="124"/>
    </row>
    <row r="11322">
      <c r="K11322" s="124"/>
      <c r="L11322" s="124"/>
      <c r="M11322" s="124"/>
      <c r="N11322" s="124"/>
      <c r="O11322" s="124"/>
    </row>
    <row r="11323">
      <c r="K11323" s="124"/>
      <c r="L11323" s="124"/>
      <c r="M11323" s="124"/>
      <c r="N11323" s="124"/>
      <c r="O11323" s="124"/>
    </row>
    <row r="11324">
      <c r="K11324" s="124"/>
      <c r="L11324" s="124"/>
      <c r="M11324" s="124"/>
      <c r="N11324" s="124"/>
      <c r="O11324" s="124"/>
    </row>
    <row r="11325">
      <c r="K11325" s="124"/>
      <c r="L11325" s="124"/>
      <c r="M11325" s="124"/>
      <c r="N11325" s="124"/>
      <c r="O11325" s="124"/>
    </row>
    <row r="11326">
      <c r="K11326" s="124"/>
      <c r="L11326" s="124"/>
      <c r="M11326" s="124"/>
      <c r="N11326" s="124"/>
      <c r="O11326" s="124"/>
    </row>
    <row r="11327">
      <c r="K11327" s="124"/>
      <c r="L11327" s="124"/>
      <c r="M11327" s="124"/>
      <c r="N11327" s="124"/>
      <c r="O11327" s="124"/>
    </row>
    <row r="11328">
      <c r="K11328" s="124"/>
      <c r="L11328" s="124"/>
      <c r="M11328" s="124"/>
      <c r="N11328" s="124"/>
      <c r="O11328" s="124"/>
    </row>
    <row r="11329">
      <c r="K11329" s="124"/>
      <c r="L11329" s="124"/>
      <c r="M11329" s="124"/>
      <c r="N11329" s="124"/>
      <c r="O11329" s="124"/>
    </row>
    <row r="11330">
      <c r="K11330" s="124"/>
      <c r="L11330" s="124"/>
      <c r="M11330" s="124"/>
      <c r="N11330" s="124"/>
      <c r="O11330" s="124"/>
    </row>
    <row r="11331">
      <c r="K11331" s="124"/>
      <c r="L11331" s="124"/>
      <c r="M11331" s="124"/>
      <c r="N11331" s="124"/>
      <c r="O11331" s="124"/>
    </row>
    <row r="11332">
      <c r="K11332" s="124"/>
      <c r="L11332" s="124"/>
      <c r="M11332" s="124"/>
      <c r="N11332" s="124"/>
      <c r="O11332" s="124"/>
    </row>
    <row r="11333">
      <c r="K11333" s="124"/>
      <c r="L11333" s="124"/>
      <c r="M11333" s="124"/>
      <c r="N11333" s="124"/>
      <c r="O11333" s="124"/>
    </row>
    <row r="11334">
      <c r="K11334" s="124"/>
      <c r="L11334" s="124"/>
      <c r="M11334" s="124"/>
      <c r="N11334" s="124"/>
      <c r="O11334" s="124"/>
    </row>
    <row r="11335">
      <c r="K11335" s="124"/>
      <c r="L11335" s="124"/>
      <c r="M11335" s="124"/>
      <c r="N11335" s="124"/>
      <c r="O11335" s="124"/>
    </row>
    <row r="11336">
      <c r="K11336" s="124"/>
      <c r="L11336" s="124"/>
      <c r="M11336" s="124"/>
      <c r="N11336" s="124"/>
      <c r="O11336" s="124"/>
    </row>
    <row r="11337">
      <c r="K11337" s="124"/>
      <c r="L11337" s="124"/>
      <c r="M11337" s="124"/>
      <c r="N11337" s="124"/>
      <c r="O11337" s="124"/>
    </row>
    <row r="11338">
      <c r="K11338" s="124"/>
      <c r="L11338" s="124"/>
      <c r="M11338" s="124"/>
      <c r="N11338" s="124"/>
      <c r="O11338" s="124"/>
    </row>
    <row r="11339">
      <c r="K11339" s="124"/>
      <c r="L11339" s="124"/>
      <c r="M11339" s="124"/>
      <c r="N11339" s="124"/>
      <c r="O11339" s="124"/>
    </row>
    <row r="11340">
      <c r="K11340" s="124"/>
      <c r="L11340" s="124"/>
      <c r="M11340" s="124"/>
      <c r="N11340" s="124"/>
      <c r="O11340" s="124"/>
    </row>
    <row r="11341">
      <c r="K11341" s="124"/>
      <c r="L11341" s="124"/>
      <c r="M11341" s="124"/>
      <c r="N11341" s="124"/>
      <c r="O11341" s="124"/>
    </row>
    <row r="11342">
      <c r="K11342" s="124"/>
      <c r="L11342" s="124"/>
      <c r="M11342" s="124"/>
      <c r="N11342" s="124"/>
      <c r="O11342" s="124"/>
    </row>
    <row r="11343">
      <c r="K11343" s="124"/>
      <c r="L11343" s="124"/>
      <c r="M11343" s="124"/>
      <c r="N11343" s="124"/>
      <c r="O11343" s="124"/>
    </row>
    <row r="11344">
      <c r="K11344" s="124"/>
      <c r="L11344" s="124"/>
      <c r="M11344" s="124"/>
      <c r="N11344" s="124"/>
      <c r="O11344" s="124"/>
    </row>
    <row r="11345">
      <c r="K11345" s="124"/>
      <c r="L11345" s="124"/>
      <c r="M11345" s="124"/>
      <c r="N11345" s="124"/>
      <c r="O11345" s="124"/>
    </row>
    <row r="11346">
      <c r="K11346" s="124"/>
      <c r="L11346" s="124"/>
      <c r="M11346" s="124"/>
      <c r="N11346" s="124"/>
      <c r="O11346" s="124"/>
    </row>
    <row r="11347">
      <c r="K11347" s="124"/>
      <c r="L11347" s="124"/>
      <c r="M11347" s="124"/>
      <c r="N11347" s="124"/>
      <c r="O11347" s="124"/>
    </row>
    <row r="11348">
      <c r="K11348" s="124"/>
      <c r="L11348" s="124"/>
      <c r="M11348" s="124"/>
      <c r="N11348" s="124"/>
      <c r="O11348" s="124"/>
    </row>
    <row r="11349">
      <c r="K11349" s="124"/>
      <c r="L11349" s="124"/>
      <c r="M11349" s="124"/>
      <c r="N11349" s="124"/>
      <c r="O11349" s="124"/>
    </row>
    <row r="11350">
      <c r="K11350" s="124"/>
      <c r="L11350" s="124"/>
      <c r="M11350" s="124"/>
      <c r="N11350" s="124"/>
      <c r="O11350" s="124"/>
    </row>
    <row r="11351">
      <c r="K11351" s="124"/>
      <c r="L11351" s="124"/>
      <c r="M11351" s="124"/>
      <c r="N11351" s="124"/>
      <c r="O11351" s="124"/>
    </row>
    <row r="11352">
      <c r="K11352" s="124"/>
      <c r="L11352" s="124"/>
      <c r="M11352" s="124"/>
      <c r="N11352" s="124"/>
      <c r="O11352" s="124"/>
    </row>
    <row r="11353">
      <c r="K11353" s="124"/>
      <c r="L11353" s="124"/>
      <c r="M11353" s="124"/>
      <c r="N11353" s="124"/>
      <c r="O11353" s="124"/>
    </row>
    <row r="11354">
      <c r="K11354" s="124"/>
      <c r="L11354" s="124"/>
      <c r="M11354" s="124"/>
      <c r="N11354" s="124"/>
      <c r="O11354" s="124"/>
    </row>
    <row r="11355">
      <c r="K11355" s="124"/>
      <c r="L11355" s="124"/>
      <c r="M11355" s="124"/>
      <c r="N11355" s="124"/>
      <c r="O11355" s="124"/>
    </row>
    <row r="11356">
      <c r="K11356" s="124"/>
      <c r="L11356" s="124"/>
      <c r="M11356" s="124"/>
      <c r="N11356" s="124"/>
      <c r="O11356" s="124"/>
    </row>
    <row r="11357">
      <c r="K11357" s="124"/>
      <c r="L11357" s="124"/>
      <c r="M11357" s="124"/>
      <c r="N11357" s="124"/>
      <c r="O11357" s="124"/>
    </row>
    <row r="11358">
      <c r="K11358" s="124"/>
      <c r="L11358" s="124"/>
      <c r="M11358" s="124"/>
      <c r="N11358" s="124"/>
      <c r="O11358" s="124"/>
    </row>
    <row r="11359">
      <c r="K11359" s="124"/>
      <c r="L11359" s="124"/>
      <c r="M11359" s="124"/>
      <c r="N11359" s="124"/>
      <c r="O11359" s="124"/>
    </row>
    <row r="11360">
      <c r="K11360" s="124"/>
      <c r="L11360" s="124"/>
      <c r="M11360" s="124"/>
      <c r="N11360" s="124"/>
      <c r="O11360" s="124"/>
    </row>
    <row r="11361">
      <c r="K11361" s="124"/>
      <c r="L11361" s="124"/>
      <c r="M11361" s="124"/>
      <c r="N11361" s="124"/>
      <c r="O11361" s="124"/>
    </row>
    <row r="11362">
      <c r="K11362" s="124"/>
      <c r="L11362" s="124"/>
      <c r="M11362" s="124"/>
      <c r="N11362" s="124"/>
      <c r="O11362" s="124"/>
    </row>
    <row r="11363">
      <c r="K11363" s="124"/>
      <c r="L11363" s="124"/>
      <c r="M11363" s="124"/>
      <c r="N11363" s="124"/>
      <c r="O11363" s="124"/>
    </row>
    <row r="11364">
      <c r="K11364" s="124"/>
      <c r="L11364" s="124"/>
      <c r="M11364" s="124"/>
      <c r="N11364" s="124"/>
      <c r="O11364" s="124"/>
    </row>
    <row r="11365">
      <c r="K11365" s="124"/>
      <c r="L11365" s="124"/>
      <c r="M11365" s="124"/>
      <c r="N11365" s="124"/>
      <c r="O11365" s="124"/>
    </row>
    <row r="11366">
      <c r="K11366" s="124"/>
      <c r="L11366" s="124"/>
      <c r="M11366" s="124"/>
      <c r="N11366" s="124"/>
      <c r="O11366" s="124"/>
    </row>
    <row r="11367">
      <c r="K11367" s="124"/>
      <c r="L11367" s="124"/>
      <c r="M11367" s="124"/>
      <c r="N11367" s="124"/>
      <c r="O11367" s="124"/>
    </row>
    <row r="11368">
      <c r="K11368" s="124"/>
      <c r="L11368" s="124"/>
      <c r="M11368" s="124"/>
      <c r="N11368" s="124"/>
      <c r="O11368" s="124"/>
    </row>
    <row r="11369">
      <c r="K11369" s="124"/>
      <c r="L11369" s="124"/>
      <c r="M11369" s="124"/>
      <c r="N11369" s="124"/>
      <c r="O11369" s="124"/>
    </row>
    <row r="11370">
      <c r="K11370" s="124"/>
      <c r="L11370" s="124"/>
      <c r="M11370" s="124"/>
      <c r="N11370" s="124"/>
      <c r="O11370" s="124"/>
    </row>
    <row r="11371">
      <c r="K11371" s="124"/>
      <c r="L11371" s="124"/>
      <c r="M11371" s="124"/>
      <c r="N11371" s="124"/>
      <c r="O11371" s="124"/>
    </row>
    <row r="11372">
      <c r="K11372" s="124"/>
      <c r="L11372" s="124"/>
      <c r="M11372" s="124"/>
      <c r="N11372" s="124"/>
      <c r="O11372" s="124"/>
    </row>
    <row r="11373">
      <c r="K11373" s="124"/>
      <c r="L11373" s="124"/>
      <c r="M11373" s="124"/>
      <c r="N11373" s="124"/>
      <c r="O11373" s="124"/>
    </row>
    <row r="11374">
      <c r="K11374" s="124"/>
      <c r="L11374" s="124"/>
      <c r="M11374" s="124"/>
      <c r="N11374" s="124"/>
      <c r="O11374" s="124"/>
    </row>
    <row r="11375">
      <c r="K11375" s="124"/>
      <c r="L11375" s="124"/>
      <c r="M11375" s="124"/>
      <c r="N11375" s="124"/>
      <c r="O11375" s="124"/>
    </row>
    <row r="11376">
      <c r="K11376" s="124"/>
      <c r="L11376" s="124"/>
      <c r="M11376" s="124"/>
      <c r="N11376" s="124"/>
      <c r="O11376" s="124"/>
    </row>
    <row r="11377">
      <c r="K11377" s="124"/>
      <c r="L11377" s="124"/>
      <c r="M11377" s="124"/>
      <c r="N11377" s="124"/>
      <c r="O11377" s="124"/>
    </row>
    <row r="11378">
      <c r="K11378" s="124"/>
      <c r="L11378" s="124"/>
      <c r="M11378" s="124"/>
      <c r="N11378" s="124"/>
      <c r="O11378" s="124"/>
    </row>
    <row r="11379">
      <c r="K11379" s="124"/>
      <c r="L11379" s="124"/>
      <c r="M11379" s="124"/>
      <c r="N11379" s="124"/>
      <c r="O11379" s="124"/>
    </row>
    <row r="11380">
      <c r="K11380" s="124"/>
      <c r="L11380" s="124"/>
      <c r="M11380" s="124"/>
      <c r="N11380" s="124"/>
      <c r="O11380" s="124"/>
    </row>
    <row r="11381">
      <c r="K11381" s="124"/>
      <c r="L11381" s="124"/>
      <c r="M11381" s="124"/>
      <c r="N11381" s="124"/>
      <c r="O11381" s="124"/>
    </row>
    <row r="11382">
      <c r="K11382" s="124"/>
      <c r="L11382" s="124"/>
      <c r="M11382" s="124"/>
      <c r="N11382" s="124"/>
      <c r="O11382" s="124"/>
    </row>
    <row r="11383">
      <c r="K11383" s="124"/>
      <c r="L11383" s="124"/>
      <c r="M11383" s="124"/>
      <c r="N11383" s="124"/>
      <c r="O11383" s="124"/>
    </row>
    <row r="11384">
      <c r="K11384" s="124"/>
      <c r="L11384" s="124"/>
      <c r="M11384" s="124"/>
      <c r="N11384" s="124"/>
      <c r="O11384" s="124"/>
    </row>
    <row r="11385">
      <c r="K11385" s="124"/>
      <c r="L11385" s="124"/>
      <c r="M11385" s="124"/>
      <c r="N11385" s="124"/>
      <c r="O11385" s="124"/>
    </row>
    <row r="11386">
      <c r="K11386" s="124"/>
      <c r="L11386" s="124"/>
      <c r="M11386" s="124"/>
      <c r="N11386" s="124"/>
      <c r="O11386" s="124"/>
    </row>
    <row r="11387">
      <c r="K11387" s="124"/>
      <c r="L11387" s="124"/>
      <c r="M11387" s="124"/>
      <c r="N11387" s="124"/>
      <c r="O11387" s="124"/>
    </row>
    <row r="11388">
      <c r="K11388" s="124"/>
      <c r="L11388" s="124"/>
      <c r="M11388" s="124"/>
      <c r="N11388" s="124"/>
      <c r="O11388" s="124"/>
    </row>
    <row r="11389">
      <c r="K11389" s="124"/>
      <c r="L11389" s="124"/>
      <c r="M11389" s="124"/>
      <c r="N11389" s="124"/>
      <c r="O11389" s="124"/>
    </row>
    <row r="11390">
      <c r="K11390" s="124"/>
      <c r="L11390" s="124"/>
      <c r="M11390" s="124"/>
      <c r="N11390" s="124"/>
      <c r="O11390" s="124"/>
    </row>
    <row r="11391">
      <c r="K11391" s="124"/>
      <c r="L11391" s="124"/>
      <c r="M11391" s="124"/>
      <c r="N11391" s="124"/>
      <c r="O11391" s="124"/>
    </row>
    <row r="11392">
      <c r="K11392" s="124"/>
      <c r="L11392" s="124"/>
      <c r="M11392" s="124"/>
      <c r="N11392" s="124"/>
      <c r="O11392" s="124"/>
    </row>
    <row r="11393">
      <c r="K11393" s="124"/>
      <c r="L11393" s="124"/>
      <c r="M11393" s="124"/>
      <c r="N11393" s="124"/>
      <c r="O11393" s="124"/>
    </row>
    <row r="11394">
      <c r="K11394" s="124"/>
      <c r="L11394" s="124"/>
      <c r="M11394" s="124"/>
      <c r="N11394" s="124"/>
      <c r="O11394" s="124"/>
    </row>
    <row r="11395">
      <c r="K11395" s="124"/>
      <c r="L11395" s="124"/>
      <c r="M11395" s="124"/>
      <c r="N11395" s="124"/>
      <c r="O11395" s="124"/>
    </row>
    <row r="11396">
      <c r="K11396" s="124"/>
      <c r="L11396" s="124"/>
      <c r="M11396" s="124"/>
      <c r="N11396" s="124"/>
      <c r="O11396" s="124"/>
    </row>
    <row r="11397">
      <c r="K11397" s="124"/>
      <c r="L11397" s="124"/>
      <c r="M11397" s="124"/>
      <c r="N11397" s="124"/>
      <c r="O11397" s="124"/>
    </row>
    <row r="11398">
      <c r="K11398" s="124"/>
      <c r="L11398" s="124"/>
      <c r="M11398" s="124"/>
      <c r="N11398" s="124"/>
      <c r="O11398" s="124"/>
    </row>
    <row r="11399">
      <c r="K11399" s="124"/>
      <c r="L11399" s="124"/>
      <c r="M11399" s="124"/>
      <c r="N11399" s="124"/>
      <c r="O11399" s="124"/>
    </row>
    <row r="11400">
      <c r="K11400" s="124"/>
      <c r="L11400" s="124"/>
      <c r="M11400" s="124"/>
      <c r="N11400" s="124"/>
      <c r="O11400" s="124"/>
    </row>
    <row r="11401">
      <c r="K11401" s="124"/>
      <c r="L11401" s="124"/>
      <c r="M11401" s="124"/>
      <c r="N11401" s="124"/>
      <c r="O11401" s="124"/>
    </row>
    <row r="11402">
      <c r="K11402" s="124"/>
      <c r="L11402" s="124"/>
      <c r="M11402" s="124"/>
      <c r="N11402" s="124"/>
      <c r="O11402" s="124"/>
    </row>
    <row r="11403">
      <c r="K11403" s="124"/>
      <c r="L11403" s="124"/>
      <c r="M11403" s="124"/>
      <c r="N11403" s="124"/>
      <c r="O11403" s="124"/>
    </row>
    <row r="11404">
      <c r="K11404" s="124"/>
      <c r="L11404" s="124"/>
      <c r="M11404" s="124"/>
      <c r="N11404" s="124"/>
      <c r="O11404" s="124"/>
    </row>
    <row r="11405">
      <c r="K11405" s="124"/>
      <c r="L11405" s="124"/>
      <c r="M11405" s="124"/>
      <c r="N11405" s="124"/>
      <c r="O11405" s="124"/>
    </row>
    <row r="11406">
      <c r="K11406" s="124"/>
      <c r="L11406" s="124"/>
      <c r="M11406" s="124"/>
      <c r="N11406" s="124"/>
      <c r="O11406" s="124"/>
    </row>
    <row r="11407">
      <c r="K11407" s="124"/>
      <c r="L11407" s="124"/>
      <c r="M11407" s="124"/>
      <c r="N11407" s="124"/>
      <c r="O11407" s="124"/>
    </row>
    <row r="11408">
      <c r="K11408" s="124"/>
      <c r="L11408" s="124"/>
      <c r="M11408" s="124"/>
      <c r="N11408" s="124"/>
      <c r="O11408" s="124"/>
    </row>
    <row r="11409">
      <c r="K11409" s="124"/>
      <c r="L11409" s="124"/>
      <c r="M11409" s="124"/>
      <c r="N11409" s="124"/>
      <c r="O11409" s="124"/>
    </row>
    <row r="11410">
      <c r="K11410" s="124"/>
      <c r="L11410" s="124"/>
      <c r="M11410" s="124"/>
      <c r="N11410" s="124"/>
      <c r="O11410" s="124"/>
    </row>
    <row r="11411">
      <c r="K11411" s="124"/>
      <c r="L11411" s="124"/>
      <c r="M11411" s="124"/>
      <c r="N11411" s="124"/>
      <c r="O11411" s="124"/>
    </row>
    <row r="11412">
      <c r="K11412" s="124"/>
      <c r="L11412" s="124"/>
      <c r="M11412" s="124"/>
      <c r="N11412" s="124"/>
      <c r="O11412" s="124"/>
    </row>
    <row r="11413">
      <c r="K11413" s="124"/>
      <c r="L11413" s="124"/>
      <c r="M11413" s="124"/>
      <c r="N11413" s="124"/>
      <c r="O11413" s="124"/>
    </row>
    <row r="11414">
      <c r="K11414" s="124"/>
      <c r="L11414" s="124"/>
      <c r="M11414" s="124"/>
      <c r="N11414" s="124"/>
      <c r="O11414" s="124"/>
    </row>
    <row r="11415">
      <c r="K11415" s="124"/>
      <c r="L11415" s="124"/>
      <c r="M11415" s="124"/>
      <c r="N11415" s="124"/>
      <c r="O11415" s="124"/>
    </row>
    <row r="11416">
      <c r="K11416" s="124"/>
      <c r="L11416" s="124"/>
      <c r="M11416" s="124"/>
      <c r="N11416" s="124"/>
      <c r="O11416" s="124"/>
    </row>
    <row r="11417">
      <c r="K11417" s="124"/>
      <c r="L11417" s="124"/>
      <c r="M11417" s="124"/>
      <c r="N11417" s="124"/>
      <c r="O11417" s="124"/>
    </row>
    <row r="11418">
      <c r="K11418" s="124"/>
      <c r="L11418" s="124"/>
      <c r="M11418" s="124"/>
      <c r="N11418" s="124"/>
      <c r="O11418" s="124"/>
    </row>
    <row r="11419">
      <c r="K11419" s="124"/>
      <c r="L11419" s="124"/>
      <c r="M11419" s="124"/>
      <c r="N11419" s="124"/>
      <c r="O11419" s="124"/>
    </row>
    <row r="11420">
      <c r="K11420" s="124"/>
      <c r="L11420" s="124"/>
      <c r="M11420" s="124"/>
      <c r="N11420" s="124"/>
      <c r="O11420" s="124"/>
    </row>
    <row r="11421">
      <c r="K11421" s="124"/>
      <c r="L11421" s="124"/>
      <c r="M11421" s="124"/>
      <c r="N11421" s="124"/>
      <c r="O11421" s="124"/>
    </row>
    <row r="11422">
      <c r="K11422" s="124"/>
      <c r="L11422" s="124"/>
      <c r="M11422" s="124"/>
      <c r="N11422" s="124"/>
      <c r="O11422" s="124"/>
    </row>
    <row r="11423">
      <c r="K11423" s="124"/>
      <c r="L11423" s="124"/>
      <c r="M11423" s="124"/>
      <c r="N11423" s="124"/>
      <c r="O11423" s="124"/>
    </row>
    <row r="11424">
      <c r="K11424" s="124"/>
      <c r="L11424" s="124"/>
      <c r="M11424" s="124"/>
      <c r="N11424" s="124"/>
      <c r="O11424" s="124"/>
    </row>
    <row r="11425">
      <c r="K11425" s="124"/>
      <c r="L11425" s="124"/>
      <c r="M11425" s="124"/>
      <c r="N11425" s="124"/>
      <c r="O11425" s="124"/>
    </row>
    <row r="11426">
      <c r="K11426" s="124"/>
      <c r="L11426" s="124"/>
      <c r="M11426" s="124"/>
      <c r="N11426" s="124"/>
      <c r="O11426" s="124"/>
    </row>
    <row r="11427">
      <c r="K11427" s="124"/>
      <c r="L11427" s="124"/>
      <c r="M11427" s="124"/>
      <c r="N11427" s="124"/>
      <c r="O11427" s="124"/>
    </row>
    <row r="11428">
      <c r="K11428" s="124"/>
      <c r="L11428" s="124"/>
      <c r="M11428" s="124"/>
      <c r="N11428" s="124"/>
      <c r="O11428" s="124"/>
    </row>
    <row r="11429">
      <c r="K11429" s="124"/>
      <c r="L11429" s="124"/>
      <c r="M11429" s="124"/>
      <c r="N11429" s="124"/>
      <c r="O11429" s="124"/>
    </row>
    <row r="11430">
      <c r="K11430" s="124"/>
      <c r="L11430" s="124"/>
      <c r="M11430" s="124"/>
      <c r="N11430" s="124"/>
      <c r="O11430" s="124"/>
    </row>
    <row r="11431">
      <c r="K11431" s="124"/>
      <c r="L11431" s="124"/>
      <c r="M11431" s="124"/>
      <c r="N11431" s="124"/>
      <c r="O11431" s="124"/>
    </row>
    <row r="11432">
      <c r="K11432" s="124"/>
      <c r="L11432" s="124"/>
      <c r="M11432" s="124"/>
      <c r="N11432" s="124"/>
      <c r="O11432" s="124"/>
    </row>
    <row r="11433">
      <c r="K11433" s="124"/>
      <c r="L11433" s="124"/>
      <c r="M11433" s="124"/>
      <c r="N11433" s="124"/>
      <c r="O11433" s="124"/>
    </row>
    <row r="11434">
      <c r="K11434" s="124"/>
      <c r="L11434" s="124"/>
      <c r="M11434" s="124"/>
      <c r="N11434" s="124"/>
      <c r="O11434" s="124"/>
    </row>
    <row r="11435">
      <c r="K11435" s="124"/>
      <c r="L11435" s="124"/>
      <c r="M11435" s="124"/>
      <c r="N11435" s="124"/>
      <c r="O11435" s="124"/>
    </row>
    <row r="11436">
      <c r="K11436" s="124"/>
      <c r="L11436" s="124"/>
      <c r="M11436" s="124"/>
      <c r="N11436" s="124"/>
      <c r="O11436" s="124"/>
    </row>
    <row r="11437">
      <c r="K11437" s="124"/>
      <c r="L11437" s="124"/>
      <c r="M11437" s="124"/>
      <c r="N11437" s="124"/>
      <c r="O11437" s="124"/>
    </row>
    <row r="11438">
      <c r="K11438" s="124"/>
      <c r="L11438" s="124"/>
      <c r="M11438" s="124"/>
      <c r="N11438" s="124"/>
      <c r="O11438" s="124"/>
    </row>
    <row r="11439">
      <c r="K11439" s="124"/>
      <c r="L11439" s="124"/>
      <c r="M11439" s="124"/>
      <c r="N11439" s="124"/>
      <c r="O11439" s="124"/>
    </row>
    <row r="11440">
      <c r="K11440" s="124"/>
      <c r="L11440" s="124"/>
      <c r="M11440" s="124"/>
      <c r="N11440" s="124"/>
      <c r="O11440" s="124"/>
    </row>
    <row r="11441">
      <c r="K11441" s="124"/>
      <c r="L11441" s="124"/>
      <c r="M11441" s="124"/>
      <c r="N11441" s="124"/>
      <c r="O11441" s="124"/>
    </row>
    <row r="11442">
      <c r="K11442" s="124"/>
      <c r="L11442" s="124"/>
      <c r="M11442" s="124"/>
      <c r="N11442" s="124"/>
      <c r="O11442" s="124"/>
    </row>
    <row r="11443">
      <c r="K11443" s="124"/>
      <c r="L11443" s="124"/>
      <c r="M11443" s="124"/>
      <c r="N11443" s="124"/>
      <c r="O11443" s="124"/>
    </row>
    <row r="11444">
      <c r="K11444" s="124"/>
      <c r="L11444" s="124"/>
      <c r="M11444" s="124"/>
      <c r="N11444" s="124"/>
      <c r="O11444" s="124"/>
    </row>
    <row r="11445">
      <c r="K11445" s="124"/>
      <c r="L11445" s="124"/>
      <c r="M11445" s="124"/>
      <c r="N11445" s="124"/>
      <c r="O11445" s="124"/>
    </row>
    <row r="11446">
      <c r="K11446" s="124"/>
      <c r="L11446" s="124"/>
      <c r="M11446" s="124"/>
      <c r="N11446" s="124"/>
      <c r="O11446" s="124"/>
    </row>
    <row r="11447">
      <c r="K11447" s="124"/>
      <c r="L11447" s="124"/>
      <c r="M11447" s="124"/>
      <c r="N11447" s="124"/>
      <c r="O11447" s="124"/>
    </row>
    <row r="11448">
      <c r="K11448" s="124"/>
      <c r="L11448" s="124"/>
      <c r="M11448" s="124"/>
      <c r="N11448" s="124"/>
      <c r="O11448" s="124"/>
    </row>
    <row r="11449">
      <c r="K11449" s="124"/>
      <c r="L11449" s="124"/>
      <c r="M11449" s="124"/>
      <c r="N11449" s="124"/>
      <c r="O11449" s="124"/>
    </row>
    <row r="11450">
      <c r="K11450" s="124"/>
      <c r="L11450" s="124"/>
      <c r="M11450" s="124"/>
      <c r="N11450" s="124"/>
      <c r="O11450" s="124"/>
    </row>
    <row r="11451">
      <c r="K11451" s="124"/>
      <c r="L11451" s="124"/>
      <c r="M11451" s="124"/>
      <c r="N11451" s="124"/>
      <c r="O11451" s="124"/>
    </row>
    <row r="11452">
      <c r="K11452" s="124"/>
      <c r="L11452" s="124"/>
      <c r="M11452" s="124"/>
      <c r="N11452" s="124"/>
      <c r="O11452" s="124"/>
    </row>
    <row r="11453">
      <c r="K11453" s="124"/>
      <c r="L11453" s="124"/>
      <c r="M11453" s="124"/>
      <c r="N11453" s="124"/>
      <c r="O11453" s="124"/>
    </row>
    <row r="11454">
      <c r="K11454" s="124"/>
      <c r="L11454" s="124"/>
      <c r="M11454" s="124"/>
      <c r="N11454" s="124"/>
      <c r="O11454" s="124"/>
    </row>
    <row r="11455">
      <c r="K11455" s="124"/>
      <c r="L11455" s="124"/>
      <c r="M11455" s="124"/>
      <c r="N11455" s="124"/>
      <c r="O11455" s="124"/>
    </row>
    <row r="11456">
      <c r="K11456" s="124"/>
      <c r="L11456" s="124"/>
      <c r="M11456" s="124"/>
      <c r="N11456" s="124"/>
      <c r="O11456" s="124"/>
    </row>
    <row r="11457">
      <c r="K11457" s="124"/>
      <c r="L11457" s="124"/>
      <c r="M11457" s="124"/>
      <c r="N11457" s="124"/>
      <c r="O11457" s="124"/>
    </row>
    <row r="11458">
      <c r="K11458" s="124"/>
      <c r="L11458" s="124"/>
      <c r="M11458" s="124"/>
      <c r="N11458" s="124"/>
      <c r="O11458" s="124"/>
    </row>
    <row r="11459">
      <c r="K11459" s="124"/>
      <c r="L11459" s="124"/>
      <c r="M11459" s="124"/>
      <c r="N11459" s="124"/>
      <c r="O11459" s="124"/>
    </row>
    <row r="11460">
      <c r="K11460" s="124"/>
      <c r="L11460" s="124"/>
      <c r="M11460" s="124"/>
      <c r="N11460" s="124"/>
      <c r="O11460" s="124"/>
    </row>
    <row r="11461">
      <c r="K11461" s="124"/>
      <c r="L11461" s="124"/>
      <c r="M11461" s="124"/>
      <c r="N11461" s="124"/>
      <c r="O11461" s="124"/>
    </row>
    <row r="11462">
      <c r="K11462" s="124"/>
      <c r="L11462" s="124"/>
      <c r="M11462" s="124"/>
      <c r="N11462" s="124"/>
      <c r="O11462" s="124"/>
    </row>
    <row r="11463">
      <c r="K11463" s="124"/>
      <c r="L11463" s="124"/>
      <c r="M11463" s="124"/>
      <c r="N11463" s="124"/>
      <c r="O11463" s="124"/>
    </row>
    <row r="11464">
      <c r="K11464" s="124"/>
      <c r="L11464" s="124"/>
      <c r="M11464" s="124"/>
      <c r="N11464" s="124"/>
      <c r="O11464" s="124"/>
    </row>
    <row r="11465">
      <c r="K11465" s="124"/>
      <c r="L11465" s="124"/>
      <c r="M11465" s="124"/>
      <c r="N11465" s="124"/>
      <c r="O11465" s="124"/>
    </row>
    <row r="11466">
      <c r="K11466" s="124"/>
      <c r="L11466" s="124"/>
      <c r="M11466" s="124"/>
      <c r="N11466" s="124"/>
      <c r="O11466" s="124"/>
    </row>
    <row r="11467">
      <c r="K11467" s="124"/>
      <c r="L11467" s="124"/>
      <c r="M11467" s="124"/>
      <c r="N11467" s="124"/>
      <c r="O11467" s="124"/>
    </row>
    <row r="11468">
      <c r="K11468" s="124"/>
      <c r="L11468" s="124"/>
      <c r="M11468" s="124"/>
      <c r="N11468" s="124"/>
      <c r="O11468" s="124"/>
    </row>
    <row r="11469">
      <c r="K11469" s="124"/>
      <c r="L11469" s="124"/>
      <c r="M11469" s="124"/>
      <c r="N11469" s="124"/>
      <c r="O11469" s="124"/>
    </row>
    <row r="11470">
      <c r="K11470" s="124"/>
      <c r="L11470" s="124"/>
      <c r="M11470" s="124"/>
      <c r="N11470" s="124"/>
      <c r="O11470" s="124"/>
    </row>
    <row r="11471">
      <c r="K11471" s="124"/>
      <c r="L11471" s="124"/>
      <c r="M11471" s="124"/>
      <c r="N11471" s="124"/>
      <c r="O11471" s="124"/>
    </row>
    <row r="11472">
      <c r="K11472" s="124"/>
      <c r="L11472" s="124"/>
      <c r="M11472" s="124"/>
      <c r="N11472" s="124"/>
      <c r="O11472" s="124"/>
    </row>
    <row r="11473">
      <c r="K11473" s="124"/>
      <c r="L11473" s="124"/>
      <c r="M11473" s="124"/>
      <c r="N11473" s="124"/>
      <c r="O11473" s="124"/>
    </row>
    <row r="11474">
      <c r="K11474" s="124"/>
      <c r="L11474" s="124"/>
      <c r="M11474" s="124"/>
      <c r="N11474" s="124"/>
      <c r="O11474" s="124"/>
    </row>
    <row r="11475">
      <c r="K11475" s="124"/>
      <c r="L11475" s="124"/>
      <c r="M11475" s="124"/>
      <c r="N11475" s="124"/>
      <c r="O11475" s="124"/>
    </row>
    <row r="11476">
      <c r="K11476" s="124"/>
      <c r="L11476" s="124"/>
      <c r="M11476" s="124"/>
      <c r="N11476" s="124"/>
      <c r="O11476" s="124"/>
    </row>
    <row r="11477">
      <c r="K11477" s="124"/>
      <c r="L11477" s="124"/>
      <c r="M11477" s="124"/>
      <c r="N11477" s="124"/>
      <c r="O11477" s="124"/>
    </row>
    <row r="11478">
      <c r="K11478" s="124"/>
      <c r="L11478" s="124"/>
      <c r="M11478" s="124"/>
      <c r="N11478" s="124"/>
      <c r="O11478" s="124"/>
    </row>
    <row r="11479">
      <c r="K11479" s="124"/>
      <c r="L11479" s="124"/>
      <c r="M11479" s="124"/>
      <c r="N11479" s="124"/>
      <c r="O11479" s="124"/>
    </row>
    <row r="11480">
      <c r="K11480" s="124"/>
      <c r="L11480" s="124"/>
      <c r="M11480" s="124"/>
      <c r="N11480" s="124"/>
      <c r="O11480" s="124"/>
    </row>
    <row r="11481">
      <c r="K11481" s="124"/>
      <c r="L11481" s="124"/>
      <c r="M11481" s="124"/>
      <c r="N11481" s="124"/>
      <c r="O11481" s="124"/>
    </row>
    <row r="11482">
      <c r="K11482" s="124"/>
      <c r="L11482" s="124"/>
      <c r="M11482" s="124"/>
      <c r="N11482" s="124"/>
      <c r="O11482" s="124"/>
    </row>
    <row r="11483">
      <c r="K11483" s="124"/>
      <c r="L11483" s="124"/>
      <c r="M11483" s="124"/>
      <c r="N11483" s="124"/>
      <c r="O11483" s="124"/>
    </row>
    <row r="11484">
      <c r="K11484" s="124"/>
      <c r="L11484" s="124"/>
      <c r="M11484" s="124"/>
      <c r="N11484" s="124"/>
      <c r="O11484" s="124"/>
    </row>
    <row r="11485">
      <c r="K11485" s="124"/>
      <c r="L11485" s="124"/>
      <c r="M11485" s="124"/>
      <c r="N11485" s="124"/>
      <c r="O11485" s="124"/>
    </row>
    <row r="11486">
      <c r="K11486" s="124"/>
      <c r="L11486" s="124"/>
      <c r="M11486" s="124"/>
      <c r="N11486" s="124"/>
      <c r="O11486" s="124"/>
    </row>
    <row r="11487">
      <c r="K11487" s="124"/>
      <c r="L11487" s="124"/>
      <c r="M11487" s="124"/>
      <c r="N11487" s="124"/>
      <c r="O11487" s="124"/>
    </row>
    <row r="11488">
      <c r="K11488" s="124"/>
      <c r="L11488" s="124"/>
      <c r="M11488" s="124"/>
      <c r="N11488" s="124"/>
      <c r="O11488" s="124"/>
    </row>
    <row r="11489">
      <c r="K11489" s="124"/>
      <c r="L11489" s="124"/>
      <c r="M11489" s="124"/>
      <c r="N11489" s="124"/>
      <c r="O11489" s="124"/>
    </row>
    <row r="11490">
      <c r="K11490" s="124"/>
      <c r="L11490" s="124"/>
      <c r="M11490" s="124"/>
      <c r="N11490" s="124"/>
      <c r="O11490" s="124"/>
    </row>
    <row r="11491">
      <c r="K11491" s="124"/>
      <c r="L11491" s="124"/>
      <c r="M11491" s="124"/>
      <c r="N11491" s="124"/>
      <c r="O11491" s="124"/>
    </row>
    <row r="11492">
      <c r="K11492" s="124"/>
      <c r="L11492" s="124"/>
      <c r="M11492" s="124"/>
      <c r="N11492" s="124"/>
      <c r="O11492" s="124"/>
    </row>
    <row r="11493">
      <c r="K11493" s="124"/>
      <c r="L11493" s="124"/>
      <c r="M11493" s="124"/>
      <c r="N11493" s="124"/>
      <c r="O11493" s="124"/>
    </row>
    <row r="11494">
      <c r="K11494" s="124"/>
      <c r="L11494" s="124"/>
      <c r="M11494" s="124"/>
      <c r="N11494" s="124"/>
      <c r="O11494" s="124"/>
    </row>
    <row r="11495">
      <c r="K11495" s="124"/>
      <c r="L11495" s="124"/>
      <c r="M11495" s="124"/>
      <c r="N11495" s="124"/>
      <c r="O11495" s="124"/>
    </row>
    <row r="11496">
      <c r="K11496" s="124"/>
      <c r="L11496" s="124"/>
      <c r="M11496" s="124"/>
      <c r="N11496" s="124"/>
      <c r="O11496" s="124"/>
    </row>
    <row r="11497">
      <c r="K11497" s="124"/>
      <c r="L11497" s="124"/>
      <c r="M11497" s="124"/>
      <c r="N11497" s="124"/>
      <c r="O11497" s="124"/>
    </row>
    <row r="11498">
      <c r="K11498" s="124"/>
      <c r="L11498" s="124"/>
      <c r="M11498" s="124"/>
      <c r="N11498" s="124"/>
      <c r="O11498" s="124"/>
    </row>
    <row r="11499">
      <c r="K11499" s="124"/>
      <c r="L11499" s="124"/>
      <c r="M11499" s="124"/>
      <c r="N11499" s="124"/>
      <c r="O11499" s="124"/>
    </row>
    <row r="11500">
      <c r="K11500" s="124"/>
      <c r="L11500" s="124"/>
      <c r="M11500" s="124"/>
      <c r="N11500" s="124"/>
      <c r="O11500" s="124"/>
    </row>
    <row r="11501">
      <c r="K11501" s="124"/>
      <c r="L11501" s="124"/>
      <c r="M11501" s="124"/>
      <c r="N11501" s="124"/>
      <c r="O11501" s="124"/>
    </row>
    <row r="11502">
      <c r="K11502" s="124"/>
      <c r="L11502" s="124"/>
      <c r="M11502" s="124"/>
      <c r="N11502" s="124"/>
      <c r="O11502" s="124"/>
    </row>
    <row r="11503">
      <c r="K11503" s="124"/>
      <c r="L11503" s="124"/>
      <c r="M11503" s="124"/>
      <c r="N11503" s="124"/>
      <c r="O11503" s="124"/>
    </row>
    <row r="11504">
      <c r="K11504" s="124"/>
      <c r="L11504" s="124"/>
      <c r="M11504" s="124"/>
      <c r="N11504" s="124"/>
      <c r="O11504" s="124"/>
    </row>
    <row r="11505">
      <c r="K11505" s="124"/>
      <c r="L11505" s="124"/>
      <c r="M11505" s="124"/>
      <c r="N11505" s="124"/>
      <c r="O11505" s="124"/>
    </row>
    <row r="11506">
      <c r="K11506" s="124"/>
      <c r="L11506" s="124"/>
      <c r="M11506" s="124"/>
      <c r="N11506" s="124"/>
      <c r="O11506" s="124"/>
    </row>
    <row r="11507">
      <c r="K11507" s="124"/>
      <c r="L11507" s="124"/>
      <c r="M11507" s="124"/>
      <c r="N11507" s="124"/>
      <c r="O11507" s="124"/>
    </row>
    <row r="11508">
      <c r="K11508" s="124"/>
      <c r="L11508" s="124"/>
      <c r="M11508" s="124"/>
      <c r="N11508" s="124"/>
      <c r="O11508" s="124"/>
    </row>
    <row r="11509">
      <c r="K11509" s="124"/>
      <c r="L11509" s="124"/>
      <c r="M11509" s="124"/>
      <c r="N11509" s="124"/>
      <c r="O11509" s="124"/>
    </row>
    <row r="11510">
      <c r="K11510" s="124"/>
      <c r="L11510" s="124"/>
      <c r="M11510" s="124"/>
      <c r="N11510" s="124"/>
      <c r="O11510" s="124"/>
    </row>
    <row r="11511">
      <c r="K11511" s="124"/>
      <c r="L11511" s="124"/>
      <c r="M11511" s="124"/>
      <c r="N11511" s="124"/>
      <c r="O11511" s="124"/>
    </row>
    <row r="11512">
      <c r="K11512" s="124"/>
      <c r="L11512" s="124"/>
      <c r="M11512" s="124"/>
      <c r="N11512" s="124"/>
      <c r="O11512" s="124"/>
    </row>
    <row r="11513">
      <c r="K11513" s="124"/>
      <c r="L11513" s="124"/>
      <c r="M11513" s="124"/>
      <c r="N11513" s="124"/>
      <c r="O11513" s="124"/>
    </row>
    <row r="11514">
      <c r="K11514" s="124"/>
      <c r="L11514" s="124"/>
      <c r="M11514" s="124"/>
      <c r="N11514" s="124"/>
      <c r="O11514" s="124"/>
    </row>
    <row r="11515">
      <c r="K11515" s="124"/>
      <c r="L11515" s="124"/>
      <c r="M11515" s="124"/>
      <c r="N11515" s="124"/>
      <c r="O11515" s="124"/>
    </row>
    <row r="11516">
      <c r="K11516" s="124"/>
      <c r="L11516" s="124"/>
      <c r="M11516" s="124"/>
      <c r="N11516" s="124"/>
      <c r="O11516" s="124"/>
    </row>
    <row r="11517">
      <c r="K11517" s="124"/>
      <c r="L11517" s="124"/>
      <c r="M11517" s="124"/>
      <c r="N11517" s="124"/>
      <c r="O11517" s="124"/>
    </row>
    <row r="11518">
      <c r="K11518" s="124"/>
      <c r="L11518" s="124"/>
      <c r="M11518" s="124"/>
      <c r="N11518" s="124"/>
      <c r="O11518" s="124"/>
    </row>
    <row r="11519">
      <c r="K11519" s="124"/>
      <c r="L11519" s="124"/>
      <c r="M11519" s="124"/>
      <c r="N11519" s="124"/>
      <c r="O11519" s="124"/>
    </row>
    <row r="11520">
      <c r="K11520" s="124"/>
      <c r="L11520" s="124"/>
      <c r="M11520" s="124"/>
      <c r="N11520" s="124"/>
      <c r="O11520" s="124"/>
    </row>
    <row r="11521">
      <c r="K11521" s="124"/>
      <c r="L11521" s="124"/>
      <c r="M11521" s="124"/>
      <c r="N11521" s="124"/>
      <c r="O11521" s="124"/>
    </row>
    <row r="11522">
      <c r="K11522" s="124"/>
      <c r="L11522" s="124"/>
      <c r="M11522" s="124"/>
      <c r="N11522" s="124"/>
      <c r="O11522" s="124"/>
    </row>
    <row r="11523">
      <c r="K11523" s="124"/>
      <c r="L11523" s="124"/>
      <c r="M11523" s="124"/>
      <c r="N11523" s="124"/>
      <c r="O11523" s="124"/>
    </row>
    <row r="11524">
      <c r="K11524" s="124"/>
      <c r="L11524" s="124"/>
      <c r="M11524" s="124"/>
      <c r="N11524" s="124"/>
      <c r="O11524" s="124"/>
    </row>
    <row r="11525">
      <c r="K11525" s="124"/>
      <c r="L11525" s="124"/>
      <c r="M11525" s="124"/>
      <c r="N11525" s="124"/>
      <c r="O11525" s="124"/>
    </row>
    <row r="11526">
      <c r="K11526" s="124"/>
      <c r="L11526" s="124"/>
      <c r="M11526" s="124"/>
      <c r="N11526" s="124"/>
      <c r="O11526" s="124"/>
    </row>
    <row r="11527">
      <c r="K11527" s="124"/>
      <c r="L11527" s="124"/>
      <c r="M11527" s="124"/>
      <c r="N11527" s="124"/>
      <c r="O11527" s="124"/>
    </row>
    <row r="11528">
      <c r="K11528" s="124"/>
      <c r="L11528" s="124"/>
      <c r="M11528" s="124"/>
      <c r="N11528" s="124"/>
      <c r="O11528" s="124"/>
    </row>
    <row r="11529">
      <c r="K11529" s="124"/>
      <c r="L11529" s="124"/>
      <c r="M11529" s="124"/>
      <c r="N11529" s="124"/>
      <c r="O11529" s="124"/>
    </row>
    <row r="11530">
      <c r="K11530" s="124"/>
      <c r="L11530" s="124"/>
      <c r="M11530" s="124"/>
      <c r="N11530" s="124"/>
      <c r="O11530" s="124"/>
    </row>
    <row r="11531">
      <c r="K11531" s="124"/>
      <c r="L11531" s="124"/>
      <c r="M11531" s="124"/>
      <c r="N11531" s="124"/>
      <c r="O11531" s="124"/>
    </row>
    <row r="11532">
      <c r="K11532" s="124"/>
      <c r="L11532" s="124"/>
      <c r="M11532" s="124"/>
      <c r="N11532" s="124"/>
      <c r="O11532" s="124"/>
    </row>
    <row r="11533">
      <c r="K11533" s="124"/>
      <c r="L11533" s="124"/>
      <c r="M11533" s="124"/>
      <c r="N11533" s="124"/>
      <c r="O11533" s="124"/>
    </row>
    <row r="11534">
      <c r="K11534" s="124"/>
      <c r="L11534" s="124"/>
      <c r="M11534" s="124"/>
      <c r="N11534" s="124"/>
      <c r="O11534" s="124"/>
    </row>
    <row r="11535">
      <c r="K11535" s="124"/>
      <c r="L11535" s="124"/>
      <c r="M11535" s="124"/>
      <c r="N11535" s="124"/>
      <c r="O11535" s="124"/>
    </row>
    <row r="11536">
      <c r="K11536" s="124"/>
      <c r="L11536" s="124"/>
      <c r="M11536" s="124"/>
      <c r="N11536" s="124"/>
      <c r="O11536" s="124"/>
    </row>
    <row r="11537">
      <c r="K11537" s="124"/>
      <c r="L11537" s="124"/>
      <c r="M11537" s="124"/>
      <c r="N11537" s="124"/>
      <c r="O11537" s="124"/>
    </row>
    <row r="11538">
      <c r="K11538" s="124"/>
      <c r="L11538" s="124"/>
      <c r="M11538" s="124"/>
      <c r="N11538" s="124"/>
      <c r="O11538" s="124"/>
    </row>
    <row r="11539">
      <c r="K11539" s="124"/>
      <c r="L11539" s="124"/>
      <c r="M11539" s="124"/>
      <c r="N11539" s="124"/>
      <c r="O11539" s="124"/>
    </row>
    <row r="11540">
      <c r="K11540" s="124"/>
      <c r="L11540" s="124"/>
      <c r="M11540" s="124"/>
      <c r="N11540" s="124"/>
      <c r="O11540" s="124"/>
    </row>
    <row r="11541">
      <c r="K11541" s="124"/>
      <c r="L11541" s="124"/>
      <c r="M11541" s="124"/>
      <c r="N11541" s="124"/>
      <c r="O11541" s="124"/>
    </row>
    <row r="11542">
      <c r="K11542" s="124"/>
      <c r="L11542" s="124"/>
      <c r="M11542" s="124"/>
      <c r="N11542" s="124"/>
      <c r="O11542" s="124"/>
    </row>
    <row r="11543">
      <c r="K11543" s="124"/>
      <c r="L11543" s="124"/>
      <c r="M11543" s="124"/>
      <c r="N11543" s="124"/>
      <c r="O11543" s="124"/>
    </row>
    <row r="11544">
      <c r="K11544" s="124"/>
      <c r="L11544" s="124"/>
      <c r="M11544" s="124"/>
      <c r="N11544" s="124"/>
      <c r="O11544" s="124"/>
    </row>
    <row r="11545">
      <c r="K11545" s="124"/>
      <c r="L11545" s="124"/>
      <c r="M11545" s="124"/>
      <c r="N11545" s="124"/>
      <c r="O11545" s="124"/>
    </row>
    <row r="11546">
      <c r="K11546" s="124"/>
      <c r="L11546" s="124"/>
      <c r="M11546" s="124"/>
      <c r="N11546" s="124"/>
      <c r="O11546" s="124"/>
    </row>
    <row r="11547">
      <c r="K11547" s="124"/>
      <c r="L11547" s="124"/>
      <c r="M11547" s="124"/>
      <c r="N11547" s="124"/>
      <c r="O11547" s="124"/>
    </row>
    <row r="11548">
      <c r="K11548" s="124"/>
      <c r="L11548" s="124"/>
      <c r="M11548" s="124"/>
      <c r="N11548" s="124"/>
      <c r="O11548" s="124"/>
    </row>
    <row r="11549">
      <c r="K11549" s="124"/>
      <c r="L11549" s="124"/>
      <c r="M11549" s="124"/>
      <c r="N11549" s="124"/>
      <c r="O11549" s="124"/>
    </row>
    <row r="11550">
      <c r="K11550" s="124"/>
      <c r="L11550" s="124"/>
      <c r="M11550" s="124"/>
      <c r="N11550" s="124"/>
      <c r="O11550" s="124"/>
    </row>
    <row r="11551">
      <c r="K11551" s="124"/>
      <c r="L11551" s="124"/>
      <c r="M11551" s="124"/>
      <c r="N11551" s="124"/>
      <c r="O11551" s="124"/>
    </row>
    <row r="11552">
      <c r="K11552" s="124"/>
      <c r="L11552" s="124"/>
      <c r="M11552" s="124"/>
      <c r="N11552" s="124"/>
      <c r="O11552" s="124"/>
    </row>
    <row r="11553">
      <c r="K11553" s="124"/>
      <c r="L11553" s="124"/>
      <c r="M11553" s="124"/>
      <c r="N11553" s="124"/>
      <c r="O11553" s="124"/>
    </row>
    <row r="11554">
      <c r="K11554" s="124"/>
      <c r="L11554" s="124"/>
      <c r="M11554" s="124"/>
      <c r="N11554" s="124"/>
      <c r="O11554" s="124"/>
    </row>
    <row r="11555">
      <c r="K11555" s="124"/>
      <c r="L11555" s="124"/>
      <c r="M11555" s="124"/>
      <c r="N11555" s="124"/>
      <c r="O11555" s="124"/>
    </row>
    <row r="11556">
      <c r="K11556" s="124"/>
      <c r="L11556" s="124"/>
      <c r="M11556" s="124"/>
      <c r="N11556" s="124"/>
      <c r="O11556" s="124"/>
    </row>
    <row r="11557">
      <c r="K11557" s="124"/>
      <c r="L11557" s="124"/>
      <c r="M11557" s="124"/>
      <c r="N11557" s="124"/>
      <c r="O11557" s="124"/>
    </row>
    <row r="11558">
      <c r="K11558" s="124"/>
      <c r="L11558" s="124"/>
      <c r="M11558" s="124"/>
      <c r="N11558" s="124"/>
      <c r="O11558" s="124"/>
    </row>
    <row r="11559">
      <c r="K11559" s="124"/>
      <c r="L11559" s="124"/>
      <c r="M11559" s="124"/>
      <c r="N11559" s="124"/>
      <c r="O11559" s="124"/>
    </row>
    <row r="11560">
      <c r="K11560" s="124"/>
      <c r="L11560" s="124"/>
      <c r="M11560" s="124"/>
      <c r="N11560" s="124"/>
      <c r="O11560" s="124"/>
    </row>
    <row r="11561">
      <c r="K11561" s="124"/>
      <c r="L11561" s="124"/>
      <c r="M11561" s="124"/>
      <c r="N11561" s="124"/>
      <c r="O11561" s="124"/>
    </row>
    <row r="11562">
      <c r="K11562" s="124"/>
      <c r="L11562" s="124"/>
      <c r="M11562" s="124"/>
      <c r="N11562" s="124"/>
      <c r="O11562" s="124"/>
    </row>
    <row r="11563">
      <c r="K11563" s="124"/>
      <c r="L11563" s="124"/>
      <c r="M11563" s="124"/>
      <c r="N11563" s="124"/>
      <c r="O11563" s="124"/>
    </row>
    <row r="11564">
      <c r="K11564" s="124"/>
      <c r="L11564" s="124"/>
      <c r="M11564" s="124"/>
      <c r="N11564" s="124"/>
      <c r="O11564" s="124"/>
    </row>
    <row r="11565">
      <c r="K11565" s="124"/>
      <c r="L11565" s="124"/>
      <c r="M11565" s="124"/>
      <c r="N11565" s="124"/>
      <c r="O11565" s="124"/>
    </row>
    <row r="11566">
      <c r="K11566" s="124"/>
      <c r="L11566" s="124"/>
      <c r="M11566" s="124"/>
      <c r="N11566" s="124"/>
      <c r="O11566" s="124"/>
    </row>
    <row r="11567">
      <c r="K11567" s="124"/>
      <c r="L11567" s="124"/>
      <c r="M11567" s="124"/>
      <c r="N11567" s="124"/>
      <c r="O11567" s="124"/>
    </row>
    <row r="11568">
      <c r="K11568" s="124"/>
      <c r="L11568" s="124"/>
      <c r="M11568" s="124"/>
      <c r="N11568" s="124"/>
      <c r="O11568" s="124"/>
    </row>
    <row r="11569">
      <c r="K11569" s="124"/>
      <c r="L11569" s="124"/>
      <c r="M11569" s="124"/>
      <c r="N11569" s="124"/>
      <c r="O11569" s="124"/>
    </row>
    <row r="11570">
      <c r="K11570" s="124"/>
      <c r="L11570" s="124"/>
      <c r="M11570" s="124"/>
      <c r="N11570" s="124"/>
      <c r="O11570" s="124"/>
    </row>
    <row r="11571">
      <c r="K11571" s="124"/>
      <c r="L11571" s="124"/>
      <c r="M11571" s="124"/>
      <c r="N11571" s="124"/>
      <c r="O11571" s="124"/>
    </row>
    <row r="11572">
      <c r="K11572" s="124"/>
      <c r="L11572" s="124"/>
      <c r="M11572" s="124"/>
      <c r="N11572" s="124"/>
      <c r="O11572" s="124"/>
    </row>
    <row r="11573">
      <c r="K11573" s="124"/>
      <c r="L11573" s="124"/>
      <c r="M11573" s="124"/>
      <c r="N11573" s="124"/>
      <c r="O11573" s="124"/>
    </row>
    <row r="11574">
      <c r="K11574" s="124"/>
      <c r="L11574" s="124"/>
      <c r="M11574" s="124"/>
      <c r="N11574" s="124"/>
      <c r="O11574" s="124"/>
    </row>
    <row r="11575">
      <c r="K11575" s="124"/>
      <c r="L11575" s="124"/>
      <c r="M11575" s="124"/>
      <c r="N11575" s="124"/>
      <c r="O11575" s="124"/>
    </row>
    <row r="11576">
      <c r="K11576" s="124"/>
      <c r="L11576" s="124"/>
      <c r="M11576" s="124"/>
      <c r="N11576" s="124"/>
      <c r="O11576" s="124"/>
    </row>
    <row r="11577">
      <c r="K11577" s="124"/>
      <c r="L11577" s="124"/>
      <c r="M11577" s="124"/>
      <c r="N11577" s="124"/>
      <c r="O11577" s="124"/>
    </row>
    <row r="11578">
      <c r="K11578" s="124"/>
      <c r="L11578" s="124"/>
      <c r="M11578" s="124"/>
      <c r="N11578" s="124"/>
      <c r="O11578" s="124"/>
    </row>
    <row r="11579">
      <c r="K11579" s="124"/>
      <c r="L11579" s="124"/>
      <c r="M11579" s="124"/>
      <c r="N11579" s="124"/>
      <c r="O11579" s="124"/>
    </row>
    <row r="11580">
      <c r="K11580" s="124"/>
      <c r="L11580" s="124"/>
      <c r="M11580" s="124"/>
      <c r="N11580" s="124"/>
      <c r="O11580" s="124"/>
    </row>
    <row r="11581">
      <c r="K11581" s="124"/>
      <c r="L11581" s="124"/>
      <c r="M11581" s="124"/>
      <c r="N11581" s="124"/>
      <c r="O11581" s="124"/>
    </row>
    <row r="11582">
      <c r="K11582" s="124"/>
      <c r="L11582" s="124"/>
      <c r="M11582" s="124"/>
      <c r="N11582" s="124"/>
      <c r="O11582" s="124"/>
    </row>
    <row r="11583">
      <c r="K11583" s="124"/>
      <c r="L11583" s="124"/>
      <c r="M11583" s="124"/>
      <c r="N11583" s="124"/>
      <c r="O11583" s="124"/>
    </row>
    <row r="11584">
      <c r="K11584" s="124"/>
      <c r="L11584" s="124"/>
      <c r="M11584" s="124"/>
      <c r="N11584" s="124"/>
      <c r="O11584" s="124"/>
    </row>
    <row r="11585">
      <c r="K11585" s="124"/>
      <c r="L11585" s="124"/>
      <c r="M11585" s="124"/>
      <c r="N11585" s="124"/>
      <c r="O11585" s="124"/>
    </row>
    <row r="11586">
      <c r="K11586" s="124"/>
      <c r="L11586" s="124"/>
      <c r="M11586" s="124"/>
      <c r="N11586" s="124"/>
      <c r="O11586" s="124"/>
    </row>
    <row r="11587">
      <c r="K11587" s="124"/>
      <c r="L11587" s="124"/>
      <c r="M11587" s="124"/>
      <c r="N11587" s="124"/>
      <c r="O11587" s="124"/>
    </row>
    <row r="11588">
      <c r="K11588" s="124"/>
      <c r="L11588" s="124"/>
      <c r="M11588" s="124"/>
      <c r="N11588" s="124"/>
      <c r="O11588" s="124"/>
    </row>
    <row r="11589">
      <c r="K11589" s="124"/>
      <c r="L11589" s="124"/>
      <c r="M11589" s="124"/>
      <c r="N11589" s="124"/>
      <c r="O11589" s="124"/>
    </row>
    <row r="11590">
      <c r="K11590" s="124"/>
      <c r="L11590" s="124"/>
      <c r="M11590" s="124"/>
      <c r="N11590" s="124"/>
      <c r="O11590" s="124"/>
    </row>
    <row r="11591">
      <c r="K11591" s="124"/>
      <c r="L11591" s="124"/>
      <c r="M11591" s="124"/>
      <c r="N11591" s="124"/>
      <c r="O11591" s="124"/>
    </row>
    <row r="11592">
      <c r="K11592" s="124"/>
      <c r="L11592" s="124"/>
      <c r="M11592" s="124"/>
      <c r="N11592" s="124"/>
      <c r="O11592" s="124"/>
    </row>
    <row r="11593">
      <c r="K11593" s="124"/>
      <c r="L11593" s="124"/>
      <c r="M11593" s="124"/>
      <c r="N11593" s="124"/>
      <c r="O11593" s="124"/>
    </row>
    <row r="11594">
      <c r="K11594" s="124"/>
      <c r="L11594" s="124"/>
      <c r="M11594" s="124"/>
      <c r="N11594" s="124"/>
      <c r="O11594" s="124"/>
    </row>
    <row r="11595">
      <c r="K11595" s="124"/>
      <c r="L11595" s="124"/>
      <c r="M11595" s="124"/>
      <c r="N11595" s="124"/>
      <c r="O11595" s="124"/>
    </row>
    <row r="11596">
      <c r="K11596" s="124"/>
      <c r="L11596" s="124"/>
      <c r="M11596" s="124"/>
      <c r="N11596" s="124"/>
      <c r="O11596" s="124"/>
    </row>
    <row r="11597">
      <c r="K11597" s="124"/>
      <c r="L11597" s="124"/>
      <c r="M11597" s="124"/>
      <c r="N11597" s="124"/>
      <c r="O11597" s="124"/>
    </row>
    <row r="11598">
      <c r="K11598" s="124"/>
      <c r="L11598" s="124"/>
      <c r="M11598" s="124"/>
      <c r="N11598" s="124"/>
      <c r="O11598" s="124"/>
    </row>
    <row r="11599">
      <c r="K11599" s="124"/>
      <c r="L11599" s="124"/>
      <c r="M11599" s="124"/>
      <c r="N11599" s="124"/>
      <c r="O11599" s="124"/>
    </row>
    <row r="11600">
      <c r="K11600" s="124"/>
      <c r="L11600" s="124"/>
      <c r="M11600" s="124"/>
      <c r="N11600" s="124"/>
      <c r="O11600" s="124"/>
    </row>
    <row r="11601">
      <c r="K11601" s="124"/>
      <c r="L11601" s="124"/>
      <c r="M11601" s="124"/>
      <c r="N11601" s="124"/>
      <c r="O11601" s="124"/>
    </row>
    <row r="11602">
      <c r="K11602" s="124"/>
      <c r="L11602" s="124"/>
      <c r="M11602" s="124"/>
      <c r="N11602" s="124"/>
      <c r="O11602" s="124"/>
    </row>
    <row r="11603">
      <c r="K11603" s="124"/>
      <c r="L11603" s="124"/>
      <c r="M11603" s="124"/>
      <c r="N11603" s="124"/>
      <c r="O11603" s="124"/>
    </row>
    <row r="11604">
      <c r="K11604" s="124"/>
      <c r="L11604" s="124"/>
      <c r="M11604" s="124"/>
      <c r="N11604" s="124"/>
      <c r="O11604" s="124"/>
    </row>
    <row r="11605">
      <c r="K11605" s="124"/>
      <c r="L11605" s="124"/>
      <c r="M11605" s="124"/>
      <c r="N11605" s="124"/>
      <c r="O11605" s="124"/>
    </row>
    <row r="11606">
      <c r="K11606" s="124"/>
      <c r="L11606" s="124"/>
      <c r="M11606" s="124"/>
      <c r="N11606" s="124"/>
      <c r="O11606" s="124"/>
    </row>
    <row r="11607">
      <c r="K11607" s="124"/>
      <c r="L11607" s="124"/>
      <c r="M11607" s="124"/>
      <c r="N11607" s="124"/>
      <c r="O11607" s="124"/>
    </row>
    <row r="11608">
      <c r="K11608" s="124"/>
      <c r="L11608" s="124"/>
      <c r="M11608" s="124"/>
      <c r="N11608" s="124"/>
      <c r="O11608" s="124"/>
    </row>
    <row r="11609">
      <c r="K11609" s="124"/>
      <c r="L11609" s="124"/>
      <c r="M11609" s="124"/>
      <c r="N11609" s="124"/>
      <c r="O11609" s="124"/>
    </row>
    <row r="11610">
      <c r="K11610" s="124"/>
      <c r="L11610" s="124"/>
      <c r="M11610" s="124"/>
      <c r="N11610" s="124"/>
      <c r="O11610" s="124"/>
    </row>
    <row r="11611">
      <c r="K11611" s="124"/>
      <c r="L11611" s="124"/>
      <c r="M11611" s="124"/>
      <c r="N11611" s="124"/>
      <c r="O11611" s="124"/>
    </row>
    <row r="11612">
      <c r="K11612" s="124"/>
      <c r="L11612" s="124"/>
      <c r="M11612" s="124"/>
      <c r="N11612" s="124"/>
      <c r="O11612" s="124"/>
    </row>
    <row r="11613">
      <c r="K11613" s="124"/>
      <c r="L11613" s="124"/>
      <c r="M11613" s="124"/>
      <c r="N11613" s="124"/>
      <c r="O11613" s="124"/>
    </row>
    <row r="11614">
      <c r="K11614" s="124"/>
      <c r="L11614" s="124"/>
      <c r="M11614" s="124"/>
      <c r="N11614" s="124"/>
      <c r="O11614" s="124"/>
    </row>
    <row r="11615">
      <c r="K11615" s="124"/>
      <c r="L11615" s="124"/>
      <c r="M11615" s="124"/>
      <c r="N11615" s="124"/>
      <c r="O11615" s="124"/>
    </row>
    <row r="11616">
      <c r="K11616" s="124"/>
      <c r="L11616" s="124"/>
      <c r="M11616" s="124"/>
      <c r="N11616" s="124"/>
      <c r="O11616" s="124"/>
    </row>
    <row r="11617">
      <c r="K11617" s="124"/>
      <c r="L11617" s="124"/>
      <c r="M11617" s="124"/>
      <c r="N11617" s="124"/>
      <c r="O11617" s="124"/>
    </row>
    <row r="11618">
      <c r="K11618" s="124"/>
      <c r="L11618" s="124"/>
      <c r="M11618" s="124"/>
      <c r="N11618" s="124"/>
      <c r="O11618" s="124"/>
    </row>
    <row r="11619">
      <c r="K11619" s="124"/>
      <c r="L11619" s="124"/>
      <c r="M11619" s="124"/>
      <c r="N11619" s="124"/>
      <c r="O11619" s="124"/>
    </row>
    <row r="11620">
      <c r="K11620" s="124"/>
      <c r="L11620" s="124"/>
      <c r="M11620" s="124"/>
      <c r="N11620" s="124"/>
      <c r="O11620" s="124"/>
    </row>
    <row r="11621">
      <c r="K11621" s="124"/>
      <c r="L11621" s="124"/>
      <c r="M11621" s="124"/>
      <c r="N11621" s="124"/>
      <c r="O11621" s="124"/>
    </row>
    <row r="11622">
      <c r="K11622" s="124"/>
      <c r="L11622" s="124"/>
      <c r="M11622" s="124"/>
      <c r="N11622" s="124"/>
      <c r="O11622" s="124"/>
    </row>
    <row r="11623">
      <c r="K11623" s="124"/>
      <c r="L11623" s="124"/>
      <c r="M11623" s="124"/>
      <c r="N11623" s="124"/>
      <c r="O11623" s="124"/>
    </row>
    <row r="11624">
      <c r="K11624" s="124"/>
      <c r="L11624" s="124"/>
      <c r="M11624" s="124"/>
      <c r="N11624" s="124"/>
      <c r="O11624" s="124"/>
    </row>
    <row r="11625">
      <c r="K11625" s="124"/>
      <c r="L11625" s="124"/>
      <c r="M11625" s="124"/>
      <c r="N11625" s="124"/>
      <c r="O11625" s="124"/>
    </row>
    <row r="11626">
      <c r="K11626" s="124"/>
      <c r="L11626" s="124"/>
      <c r="M11626" s="124"/>
      <c r="N11626" s="124"/>
      <c r="O11626" s="124"/>
    </row>
    <row r="11627">
      <c r="K11627" s="124"/>
      <c r="L11627" s="124"/>
      <c r="M11627" s="124"/>
      <c r="N11627" s="124"/>
      <c r="O11627" s="124"/>
    </row>
    <row r="11628">
      <c r="K11628" s="124"/>
      <c r="L11628" s="124"/>
      <c r="M11628" s="124"/>
      <c r="N11628" s="124"/>
      <c r="O11628" s="124"/>
    </row>
    <row r="11629">
      <c r="K11629" s="124"/>
      <c r="L11629" s="124"/>
      <c r="M11629" s="124"/>
      <c r="N11629" s="124"/>
      <c r="O11629" s="124"/>
    </row>
    <row r="11630">
      <c r="K11630" s="124"/>
      <c r="L11630" s="124"/>
      <c r="M11630" s="124"/>
      <c r="N11630" s="124"/>
      <c r="O11630" s="124"/>
    </row>
    <row r="11631">
      <c r="K11631" s="124"/>
      <c r="L11631" s="124"/>
      <c r="M11631" s="124"/>
      <c r="N11631" s="124"/>
      <c r="O11631" s="124"/>
    </row>
    <row r="11632">
      <c r="K11632" s="124"/>
      <c r="L11632" s="124"/>
      <c r="M11632" s="124"/>
      <c r="N11632" s="124"/>
      <c r="O11632" s="124"/>
    </row>
    <row r="11633">
      <c r="K11633" s="124"/>
      <c r="L11633" s="124"/>
      <c r="M11633" s="124"/>
      <c r="N11633" s="124"/>
      <c r="O11633" s="124"/>
    </row>
    <row r="11634">
      <c r="K11634" s="124"/>
      <c r="L11634" s="124"/>
      <c r="M11634" s="124"/>
      <c r="N11634" s="124"/>
      <c r="O11634" s="124"/>
    </row>
    <row r="11635">
      <c r="K11635" s="124"/>
      <c r="L11635" s="124"/>
      <c r="M11635" s="124"/>
      <c r="N11635" s="124"/>
      <c r="O11635" s="124"/>
    </row>
    <row r="11636">
      <c r="K11636" s="124"/>
      <c r="L11636" s="124"/>
      <c r="M11636" s="124"/>
      <c r="N11636" s="124"/>
      <c r="O11636" s="124"/>
    </row>
    <row r="11637">
      <c r="K11637" s="124"/>
      <c r="L11637" s="124"/>
      <c r="M11637" s="124"/>
      <c r="N11637" s="124"/>
      <c r="O11637" s="124"/>
    </row>
    <row r="11638">
      <c r="K11638" s="124"/>
      <c r="L11638" s="124"/>
      <c r="M11638" s="124"/>
      <c r="N11638" s="124"/>
      <c r="O11638" s="124"/>
    </row>
    <row r="11639">
      <c r="K11639" s="124"/>
      <c r="L11639" s="124"/>
      <c r="M11639" s="124"/>
      <c r="N11639" s="124"/>
      <c r="O11639" s="124"/>
    </row>
    <row r="11640">
      <c r="K11640" s="124"/>
      <c r="L11640" s="124"/>
      <c r="M11640" s="124"/>
      <c r="N11640" s="124"/>
      <c r="O11640" s="124"/>
    </row>
    <row r="11641">
      <c r="K11641" s="124"/>
      <c r="L11641" s="124"/>
      <c r="M11641" s="124"/>
      <c r="N11641" s="124"/>
      <c r="O11641" s="124"/>
    </row>
    <row r="11642">
      <c r="K11642" s="124"/>
      <c r="L11642" s="124"/>
      <c r="M11642" s="124"/>
      <c r="N11642" s="124"/>
      <c r="O11642" s="124"/>
    </row>
    <row r="11643">
      <c r="K11643" s="124"/>
      <c r="L11643" s="124"/>
      <c r="M11643" s="124"/>
      <c r="N11643" s="124"/>
      <c r="O11643" s="124"/>
    </row>
    <row r="11644">
      <c r="K11644" s="124"/>
      <c r="L11644" s="124"/>
      <c r="M11644" s="124"/>
      <c r="N11644" s="124"/>
      <c r="O11644" s="124"/>
    </row>
    <row r="11645">
      <c r="K11645" s="124"/>
      <c r="L11645" s="124"/>
      <c r="M11645" s="124"/>
      <c r="N11645" s="124"/>
      <c r="O11645" s="124"/>
    </row>
    <row r="11646">
      <c r="K11646" s="124"/>
      <c r="L11646" s="124"/>
      <c r="M11646" s="124"/>
      <c r="N11646" s="124"/>
      <c r="O11646" s="124"/>
    </row>
    <row r="11647">
      <c r="K11647" s="124"/>
      <c r="L11647" s="124"/>
      <c r="M11647" s="124"/>
      <c r="N11647" s="124"/>
      <c r="O11647" s="124"/>
    </row>
    <row r="11648">
      <c r="K11648" s="124"/>
      <c r="L11648" s="124"/>
      <c r="M11648" s="124"/>
      <c r="N11648" s="124"/>
      <c r="O11648" s="124"/>
    </row>
    <row r="11649">
      <c r="K11649" s="124"/>
      <c r="L11649" s="124"/>
      <c r="M11649" s="124"/>
      <c r="N11649" s="124"/>
      <c r="O11649" s="124"/>
    </row>
    <row r="11650">
      <c r="K11650" s="124"/>
      <c r="L11650" s="124"/>
      <c r="M11650" s="124"/>
      <c r="N11650" s="124"/>
      <c r="O11650" s="124"/>
    </row>
    <row r="11651">
      <c r="K11651" s="124"/>
      <c r="L11651" s="124"/>
      <c r="M11651" s="124"/>
      <c r="N11651" s="124"/>
      <c r="O11651" s="124"/>
    </row>
    <row r="11652">
      <c r="K11652" s="124"/>
      <c r="L11652" s="124"/>
      <c r="M11652" s="124"/>
      <c r="N11652" s="124"/>
      <c r="O11652" s="124"/>
    </row>
    <row r="11653">
      <c r="K11653" s="124"/>
      <c r="L11653" s="124"/>
      <c r="M11653" s="124"/>
      <c r="N11653" s="124"/>
      <c r="O11653" s="124"/>
    </row>
    <row r="11654">
      <c r="K11654" s="124"/>
      <c r="L11654" s="124"/>
      <c r="M11654" s="124"/>
      <c r="N11654" s="124"/>
      <c r="O11654" s="124"/>
    </row>
    <row r="11655">
      <c r="K11655" s="124"/>
      <c r="L11655" s="124"/>
      <c r="M11655" s="124"/>
      <c r="N11655" s="124"/>
      <c r="O11655" s="124"/>
    </row>
    <row r="11656">
      <c r="K11656" s="124"/>
      <c r="L11656" s="124"/>
      <c r="M11656" s="124"/>
      <c r="N11656" s="124"/>
      <c r="O11656" s="124"/>
    </row>
    <row r="11657">
      <c r="K11657" s="124"/>
      <c r="L11657" s="124"/>
      <c r="M11657" s="124"/>
      <c r="N11657" s="124"/>
      <c r="O11657" s="124"/>
    </row>
    <row r="11658">
      <c r="K11658" s="124"/>
      <c r="L11658" s="124"/>
      <c r="M11658" s="124"/>
      <c r="N11658" s="124"/>
      <c r="O11658" s="124"/>
    </row>
    <row r="11659">
      <c r="K11659" s="124"/>
      <c r="L11659" s="124"/>
      <c r="M11659" s="124"/>
      <c r="N11659" s="124"/>
      <c r="O11659" s="124"/>
    </row>
    <row r="11660">
      <c r="K11660" s="124"/>
      <c r="L11660" s="124"/>
      <c r="M11660" s="124"/>
      <c r="N11660" s="124"/>
      <c r="O11660" s="124"/>
    </row>
    <row r="11661">
      <c r="K11661" s="124"/>
      <c r="L11661" s="124"/>
      <c r="M11661" s="124"/>
      <c r="N11661" s="124"/>
      <c r="O11661" s="124"/>
    </row>
    <row r="11662">
      <c r="K11662" s="124"/>
      <c r="L11662" s="124"/>
      <c r="M11662" s="124"/>
      <c r="N11662" s="124"/>
      <c r="O11662" s="124"/>
    </row>
    <row r="11663">
      <c r="K11663" s="124"/>
      <c r="L11663" s="124"/>
      <c r="M11663" s="124"/>
      <c r="N11663" s="124"/>
      <c r="O11663" s="124"/>
    </row>
    <row r="11664">
      <c r="K11664" s="124"/>
      <c r="L11664" s="124"/>
      <c r="M11664" s="124"/>
      <c r="N11664" s="124"/>
      <c r="O11664" s="124"/>
    </row>
    <row r="11665">
      <c r="K11665" s="124"/>
      <c r="L11665" s="124"/>
      <c r="M11665" s="124"/>
      <c r="N11665" s="124"/>
      <c r="O11665" s="124"/>
    </row>
    <row r="11666">
      <c r="K11666" s="124"/>
      <c r="L11666" s="124"/>
      <c r="M11666" s="124"/>
      <c r="N11666" s="124"/>
      <c r="O11666" s="124"/>
    </row>
    <row r="11667">
      <c r="K11667" s="124"/>
      <c r="L11667" s="124"/>
      <c r="M11667" s="124"/>
      <c r="N11667" s="124"/>
      <c r="O11667" s="124"/>
    </row>
    <row r="11668">
      <c r="K11668" s="124"/>
      <c r="L11668" s="124"/>
      <c r="M11668" s="124"/>
      <c r="N11668" s="124"/>
      <c r="O11668" s="124"/>
    </row>
    <row r="11669">
      <c r="K11669" s="124"/>
      <c r="L11669" s="124"/>
      <c r="M11669" s="124"/>
      <c r="N11669" s="124"/>
      <c r="O11669" s="124"/>
    </row>
    <row r="11670">
      <c r="K11670" s="124"/>
      <c r="L11670" s="124"/>
      <c r="M11670" s="124"/>
      <c r="N11670" s="124"/>
      <c r="O11670" s="124"/>
    </row>
    <row r="11671">
      <c r="K11671" s="124"/>
      <c r="L11671" s="124"/>
      <c r="M11671" s="124"/>
      <c r="N11671" s="124"/>
      <c r="O11671" s="124"/>
    </row>
    <row r="11672">
      <c r="K11672" s="124"/>
      <c r="L11672" s="124"/>
      <c r="M11672" s="124"/>
      <c r="N11672" s="124"/>
      <c r="O11672" s="124"/>
    </row>
    <row r="11673">
      <c r="K11673" s="124"/>
      <c r="L11673" s="124"/>
      <c r="M11673" s="124"/>
      <c r="N11673" s="124"/>
      <c r="O11673" s="124"/>
    </row>
    <row r="11674">
      <c r="K11674" s="124"/>
      <c r="L11674" s="124"/>
      <c r="M11674" s="124"/>
      <c r="N11674" s="124"/>
      <c r="O11674" s="124"/>
    </row>
    <row r="11675">
      <c r="K11675" s="124"/>
      <c r="L11675" s="124"/>
      <c r="M11675" s="124"/>
      <c r="N11675" s="124"/>
      <c r="O11675" s="124"/>
    </row>
    <row r="11676">
      <c r="K11676" s="124"/>
      <c r="L11676" s="124"/>
      <c r="M11676" s="124"/>
      <c r="N11676" s="124"/>
      <c r="O11676" s="124"/>
    </row>
    <row r="11677">
      <c r="K11677" s="124"/>
      <c r="L11677" s="124"/>
      <c r="M11677" s="124"/>
      <c r="N11677" s="124"/>
      <c r="O11677" s="124"/>
    </row>
    <row r="11678">
      <c r="K11678" s="124"/>
      <c r="L11678" s="124"/>
      <c r="M11678" s="124"/>
      <c r="N11678" s="124"/>
      <c r="O11678" s="124"/>
    </row>
    <row r="11679">
      <c r="K11679" s="124"/>
      <c r="L11679" s="124"/>
      <c r="M11679" s="124"/>
      <c r="N11679" s="124"/>
      <c r="O11679" s="124"/>
    </row>
    <row r="11680">
      <c r="K11680" s="124"/>
      <c r="L11680" s="124"/>
      <c r="M11680" s="124"/>
      <c r="N11680" s="124"/>
      <c r="O11680" s="124"/>
    </row>
    <row r="11681">
      <c r="K11681" s="124"/>
      <c r="L11681" s="124"/>
      <c r="M11681" s="124"/>
      <c r="N11681" s="124"/>
      <c r="O11681" s="124"/>
    </row>
    <row r="11682">
      <c r="K11682" s="124"/>
      <c r="L11682" s="124"/>
      <c r="M11682" s="124"/>
      <c r="N11682" s="124"/>
      <c r="O11682" s="124"/>
    </row>
    <row r="11683">
      <c r="K11683" s="124"/>
      <c r="L11683" s="124"/>
      <c r="M11683" s="124"/>
      <c r="N11683" s="124"/>
      <c r="O11683" s="124"/>
    </row>
    <row r="11684">
      <c r="K11684" s="124"/>
      <c r="L11684" s="124"/>
      <c r="M11684" s="124"/>
      <c r="N11684" s="124"/>
      <c r="O11684" s="124"/>
    </row>
    <row r="11685">
      <c r="K11685" s="124"/>
      <c r="L11685" s="124"/>
      <c r="M11685" s="124"/>
      <c r="N11685" s="124"/>
      <c r="O11685" s="124"/>
    </row>
    <row r="11686">
      <c r="K11686" s="124"/>
      <c r="L11686" s="124"/>
      <c r="M11686" s="124"/>
      <c r="N11686" s="124"/>
      <c r="O11686" s="124"/>
    </row>
    <row r="11687">
      <c r="K11687" s="124"/>
      <c r="L11687" s="124"/>
      <c r="M11687" s="124"/>
      <c r="N11687" s="124"/>
      <c r="O11687" s="124"/>
    </row>
    <row r="11688">
      <c r="K11688" s="124"/>
      <c r="L11688" s="124"/>
      <c r="M11688" s="124"/>
      <c r="N11688" s="124"/>
      <c r="O11688" s="124"/>
    </row>
    <row r="11689">
      <c r="K11689" s="124"/>
      <c r="L11689" s="124"/>
      <c r="M11689" s="124"/>
      <c r="N11689" s="124"/>
      <c r="O11689" s="124"/>
    </row>
    <row r="11690">
      <c r="K11690" s="124"/>
      <c r="L11690" s="124"/>
      <c r="M11690" s="124"/>
      <c r="N11690" s="124"/>
      <c r="O11690" s="124"/>
    </row>
    <row r="11691">
      <c r="K11691" s="124"/>
      <c r="L11691" s="124"/>
      <c r="M11691" s="124"/>
      <c r="N11691" s="124"/>
      <c r="O11691" s="124"/>
    </row>
    <row r="11692">
      <c r="K11692" s="124"/>
      <c r="L11692" s="124"/>
      <c r="M11692" s="124"/>
      <c r="N11692" s="124"/>
      <c r="O11692" s="124"/>
    </row>
    <row r="11693">
      <c r="K11693" s="124"/>
      <c r="L11693" s="124"/>
      <c r="M11693" s="124"/>
      <c r="N11693" s="124"/>
      <c r="O11693" s="124"/>
    </row>
    <row r="11694">
      <c r="K11694" s="124"/>
      <c r="L11694" s="124"/>
      <c r="M11694" s="124"/>
      <c r="N11694" s="124"/>
      <c r="O11694" s="124"/>
    </row>
    <row r="11695">
      <c r="K11695" s="124"/>
      <c r="L11695" s="124"/>
      <c r="M11695" s="124"/>
      <c r="N11695" s="124"/>
      <c r="O11695" s="124"/>
    </row>
    <row r="11696">
      <c r="K11696" s="124"/>
      <c r="L11696" s="124"/>
      <c r="M11696" s="124"/>
      <c r="N11696" s="124"/>
      <c r="O11696" s="124"/>
    </row>
    <row r="11697">
      <c r="K11697" s="124"/>
      <c r="L11697" s="124"/>
      <c r="M11697" s="124"/>
      <c r="N11697" s="124"/>
      <c r="O11697" s="124"/>
    </row>
    <row r="11698">
      <c r="K11698" s="124"/>
      <c r="L11698" s="124"/>
      <c r="M11698" s="124"/>
      <c r="N11698" s="124"/>
      <c r="O11698" s="124"/>
    </row>
    <row r="11699">
      <c r="K11699" s="124"/>
      <c r="L11699" s="124"/>
      <c r="M11699" s="124"/>
      <c r="N11699" s="124"/>
      <c r="O11699" s="124"/>
    </row>
    <row r="11700">
      <c r="K11700" s="124"/>
      <c r="L11700" s="124"/>
      <c r="M11700" s="124"/>
      <c r="N11700" s="124"/>
      <c r="O11700" s="124"/>
    </row>
    <row r="11701">
      <c r="K11701" s="124"/>
      <c r="L11701" s="124"/>
      <c r="M11701" s="124"/>
      <c r="N11701" s="124"/>
      <c r="O11701" s="124"/>
    </row>
    <row r="11702">
      <c r="K11702" s="124"/>
      <c r="L11702" s="124"/>
      <c r="M11702" s="124"/>
      <c r="N11702" s="124"/>
      <c r="O11702" s="124"/>
    </row>
    <row r="11703">
      <c r="K11703" s="124"/>
      <c r="L11703" s="124"/>
      <c r="M11703" s="124"/>
      <c r="N11703" s="124"/>
      <c r="O11703" s="124"/>
    </row>
    <row r="11704">
      <c r="K11704" s="124"/>
      <c r="L11704" s="124"/>
      <c r="M11704" s="124"/>
      <c r="N11704" s="124"/>
      <c r="O11704" s="124"/>
    </row>
    <row r="11705">
      <c r="K11705" s="124"/>
      <c r="L11705" s="124"/>
      <c r="M11705" s="124"/>
      <c r="N11705" s="124"/>
      <c r="O11705" s="124"/>
    </row>
    <row r="11706">
      <c r="K11706" s="124"/>
      <c r="L11706" s="124"/>
      <c r="M11706" s="124"/>
      <c r="N11706" s="124"/>
      <c r="O11706" s="124"/>
    </row>
    <row r="11707">
      <c r="K11707" s="124"/>
      <c r="L11707" s="124"/>
      <c r="M11707" s="124"/>
      <c r="N11707" s="124"/>
      <c r="O11707" s="124"/>
    </row>
    <row r="11708">
      <c r="K11708" s="124"/>
      <c r="L11708" s="124"/>
      <c r="M11708" s="124"/>
      <c r="N11708" s="124"/>
      <c r="O11708" s="124"/>
    </row>
    <row r="11709">
      <c r="K11709" s="124"/>
      <c r="L11709" s="124"/>
      <c r="M11709" s="124"/>
      <c r="N11709" s="124"/>
      <c r="O11709" s="124"/>
    </row>
    <row r="11710">
      <c r="K11710" s="124"/>
      <c r="L11710" s="124"/>
      <c r="M11710" s="124"/>
      <c r="N11710" s="124"/>
      <c r="O11710" s="124"/>
    </row>
    <row r="11711">
      <c r="K11711" s="124"/>
      <c r="L11711" s="124"/>
      <c r="M11711" s="124"/>
      <c r="N11711" s="124"/>
      <c r="O11711" s="124"/>
    </row>
    <row r="11712">
      <c r="K11712" s="124"/>
      <c r="L11712" s="124"/>
      <c r="M11712" s="124"/>
      <c r="N11712" s="124"/>
      <c r="O11712" s="124"/>
    </row>
    <row r="11713">
      <c r="K11713" s="124"/>
      <c r="L11713" s="124"/>
      <c r="M11713" s="124"/>
      <c r="N11713" s="124"/>
      <c r="O11713" s="124"/>
    </row>
    <row r="11714">
      <c r="K11714" s="124"/>
      <c r="L11714" s="124"/>
      <c r="M11714" s="124"/>
      <c r="N11714" s="124"/>
      <c r="O11714" s="124"/>
    </row>
    <row r="11715">
      <c r="K11715" s="124"/>
      <c r="L11715" s="124"/>
      <c r="M11715" s="124"/>
      <c r="N11715" s="124"/>
      <c r="O11715" s="124"/>
    </row>
    <row r="11716">
      <c r="K11716" s="124"/>
      <c r="L11716" s="124"/>
      <c r="M11716" s="124"/>
      <c r="N11716" s="124"/>
      <c r="O11716" s="124"/>
    </row>
    <row r="11717">
      <c r="K11717" s="124"/>
      <c r="L11717" s="124"/>
      <c r="M11717" s="124"/>
      <c r="N11717" s="124"/>
      <c r="O11717" s="124"/>
    </row>
    <row r="11718">
      <c r="K11718" s="124"/>
      <c r="L11718" s="124"/>
      <c r="M11718" s="124"/>
      <c r="N11718" s="124"/>
      <c r="O11718" s="124"/>
    </row>
    <row r="11719">
      <c r="K11719" s="124"/>
      <c r="L11719" s="124"/>
      <c r="M11719" s="124"/>
      <c r="N11719" s="124"/>
      <c r="O11719" s="124"/>
    </row>
    <row r="11720">
      <c r="K11720" s="124"/>
      <c r="L11720" s="124"/>
      <c r="M11720" s="124"/>
      <c r="N11720" s="124"/>
      <c r="O11720" s="124"/>
    </row>
    <row r="11721">
      <c r="K11721" s="124"/>
      <c r="L11721" s="124"/>
      <c r="M11721" s="124"/>
      <c r="N11721" s="124"/>
      <c r="O11721" s="124"/>
    </row>
    <row r="11722">
      <c r="K11722" s="124"/>
      <c r="L11722" s="124"/>
      <c r="M11722" s="124"/>
      <c r="N11722" s="124"/>
      <c r="O11722" s="124"/>
    </row>
    <row r="11723">
      <c r="K11723" s="124"/>
      <c r="L11723" s="124"/>
      <c r="M11723" s="124"/>
      <c r="N11723" s="124"/>
      <c r="O11723" s="124"/>
    </row>
    <row r="11724">
      <c r="K11724" s="124"/>
      <c r="L11724" s="124"/>
      <c r="M11724" s="124"/>
      <c r="N11724" s="124"/>
      <c r="O11724" s="124"/>
    </row>
    <row r="11725">
      <c r="K11725" s="124"/>
      <c r="L11725" s="124"/>
      <c r="M11725" s="124"/>
      <c r="N11725" s="124"/>
      <c r="O11725" s="124"/>
    </row>
    <row r="11726">
      <c r="K11726" s="124"/>
      <c r="L11726" s="124"/>
      <c r="M11726" s="124"/>
      <c r="N11726" s="124"/>
      <c r="O11726" s="124"/>
    </row>
    <row r="11727">
      <c r="K11727" s="124"/>
      <c r="L11727" s="124"/>
      <c r="M11727" s="124"/>
      <c r="N11727" s="124"/>
      <c r="O11727" s="124"/>
    </row>
    <row r="11728">
      <c r="K11728" s="124"/>
      <c r="L11728" s="124"/>
      <c r="M11728" s="124"/>
      <c r="N11728" s="124"/>
      <c r="O11728" s="124"/>
    </row>
    <row r="11729">
      <c r="K11729" s="124"/>
      <c r="L11729" s="124"/>
      <c r="M11729" s="124"/>
      <c r="N11729" s="124"/>
      <c r="O11729" s="124"/>
    </row>
    <row r="11730">
      <c r="K11730" s="124"/>
      <c r="L11730" s="124"/>
      <c r="M11730" s="124"/>
      <c r="N11730" s="124"/>
      <c r="O11730" s="124"/>
    </row>
    <row r="11731">
      <c r="K11731" s="124"/>
      <c r="L11731" s="124"/>
      <c r="M11731" s="124"/>
      <c r="N11731" s="124"/>
      <c r="O11731" s="124"/>
    </row>
    <row r="11732">
      <c r="K11732" s="124"/>
      <c r="L11732" s="124"/>
      <c r="M11732" s="124"/>
      <c r="N11732" s="124"/>
      <c r="O11732" s="124"/>
    </row>
    <row r="11733">
      <c r="K11733" s="124"/>
      <c r="L11733" s="124"/>
      <c r="M11733" s="124"/>
      <c r="N11733" s="124"/>
      <c r="O11733" s="124"/>
    </row>
    <row r="11734">
      <c r="K11734" s="124"/>
      <c r="L11734" s="124"/>
      <c r="M11734" s="124"/>
      <c r="N11734" s="124"/>
      <c r="O11734" s="124"/>
    </row>
    <row r="11735">
      <c r="K11735" s="124"/>
      <c r="L11735" s="124"/>
      <c r="M11735" s="124"/>
      <c r="N11735" s="124"/>
      <c r="O11735" s="124"/>
    </row>
    <row r="11736">
      <c r="K11736" s="124"/>
      <c r="L11736" s="124"/>
      <c r="M11736" s="124"/>
      <c r="N11736" s="124"/>
      <c r="O11736" s="124"/>
    </row>
    <row r="11737">
      <c r="K11737" s="124"/>
      <c r="L11737" s="124"/>
      <c r="M11737" s="124"/>
      <c r="N11737" s="124"/>
      <c r="O11737" s="124"/>
    </row>
    <row r="11738">
      <c r="K11738" s="124"/>
      <c r="L11738" s="124"/>
      <c r="M11738" s="124"/>
      <c r="N11738" s="124"/>
      <c r="O11738" s="124"/>
    </row>
    <row r="11739">
      <c r="K11739" s="124"/>
      <c r="L11739" s="124"/>
      <c r="M11739" s="124"/>
      <c r="N11739" s="124"/>
      <c r="O11739" s="124"/>
    </row>
    <row r="11740">
      <c r="K11740" s="124"/>
      <c r="L11740" s="124"/>
      <c r="M11740" s="124"/>
      <c r="N11740" s="124"/>
      <c r="O11740" s="124"/>
    </row>
    <row r="11741">
      <c r="K11741" s="124"/>
      <c r="L11741" s="124"/>
      <c r="M11741" s="124"/>
      <c r="N11741" s="124"/>
      <c r="O11741" s="124"/>
    </row>
    <row r="11742">
      <c r="K11742" s="124"/>
      <c r="L11742" s="124"/>
      <c r="M11742" s="124"/>
      <c r="N11742" s="124"/>
      <c r="O11742" s="124"/>
    </row>
    <row r="11743">
      <c r="K11743" s="124"/>
      <c r="L11743" s="124"/>
      <c r="M11743" s="124"/>
      <c r="N11743" s="124"/>
      <c r="O11743" s="124"/>
    </row>
    <row r="11744">
      <c r="K11744" s="124"/>
      <c r="L11744" s="124"/>
      <c r="M11744" s="124"/>
      <c r="N11744" s="124"/>
      <c r="O11744" s="124"/>
    </row>
    <row r="11745">
      <c r="K11745" s="124"/>
      <c r="L11745" s="124"/>
      <c r="M11745" s="124"/>
      <c r="N11745" s="124"/>
      <c r="O11745" s="124"/>
    </row>
    <row r="11746">
      <c r="K11746" s="124"/>
      <c r="L11746" s="124"/>
      <c r="M11746" s="124"/>
      <c r="N11746" s="124"/>
      <c r="O11746" s="124"/>
    </row>
    <row r="11747">
      <c r="K11747" s="124"/>
      <c r="L11747" s="124"/>
      <c r="M11747" s="124"/>
      <c r="N11747" s="124"/>
      <c r="O11747" s="124"/>
    </row>
    <row r="11748">
      <c r="K11748" s="124"/>
      <c r="L11748" s="124"/>
      <c r="M11748" s="124"/>
      <c r="N11748" s="124"/>
      <c r="O11748" s="124"/>
    </row>
    <row r="11749">
      <c r="K11749" s="124"/>
      <c r="L11749" s="124"/>
      <c r="M11749" s="124"/>
      <c r="N11749" s="124"/>
      <c r="O11749" s="124"/>
    </row>
    <row r="11750">
      <c r="K11750" s="124"/>
      <c r="L11750" s="124"/>
      <c r="M11750" s="124"/>
      <c r="N11750" s="124"/>
      <c r="O11750" s="124"/>
    </row>
    <row r="11751">
      <c r="K11751" s="124"/>
      <c r="L11751" s="124"/>
      <c r="M11751" s="124"/>
      <c r="N11751" s="124"/>
      <c r="O11751" s="124"/>
    </row>
    <row r="11752">
      <c r="K11752" s="124"/>
      <c r="L11752" s="124"/>
      <c r="M11752" s="124"/>
      <c r="N11752" s="124"/>
      <c r="O11752" s="124"/>
    </row>
    <row r="11753">
      <c r="K11753" s="124"/>
      <c r="L11753" s="124"/>
      <c r="M11753" s="124"/>
      <c r="N11753" s="124"/>
      <c r="O11753" s="124"/>
    </row>
    <row r="11754">
      <c r="K11754" s="124"/>
      <c r="L11754" s="124"/>
      <c r="M11754" s="124"/>
      <c r="N11754" s="124"/>
      <c r="O11754" s="124"/>
    </row>
    <row r="11755">
      <c r="K11755" s="124"/>
      <c r="L11755" s="124"/>
      <c r="M11755" s="124"/>
      <c r="N11755" s="124"/>
      <c r="O11755" s="124"/>
    </row>
    <row r="11756">
      <c r="K11756" s="124"/>
      <c r="L11756" s="124"/>
      <c r="M11756" s="124"/>
      <c r="N11756" s="124"/>
      <c r="O11756" s="124"/>
    </row>
    <row r="11757">
      <c r="K11757" s="124"/>
      <c r="L11757" s="124"/>
      <c r="M11757" s="124"/>
      <c r="N11757" s="124"/>
      <c r="O11757" s="124"/>
    </row>
    <row r="11758">
      <c r="K11758" s="124"/>
      <c r="L11758" s="124"/>
      <c r="M11758" s="124"/>
      <c r="N11758" s="124"/>
      <c r="O11758" s="124"/>
    </row>
    <row r="11759">
      <c r="K11759" s="124"/>
      <c r="L11759" s="124"/>
      <c r="M11759" s="124"/>
      <c r="N11759" s="124"/>
      <c r="O11759" s="124"/>
    </row>
    <row r="11760">
      <c r="K11760" s="124"/>
      <c r="L11760" s="124"/>
      <c r="M11760" s="124"/>
      <c r="N11760" s="124"/>
      <c r="O11760" s="124"/>
    </row>
    <row r="11761">
      <c r="K11761" s="124"/>
      <c r="L11761" s="124"/>
      <c r="M11761" s="124"/>
      <c r="N11761" s="124"/>
      <c r="O11761" s="124"/>
    </row>
    <row r="11762">
      <c r="K11762" s="124"/>
      <c r="L11762" s="124"/>
      <c r="M11762" s="124"/>
      <c r="N11762" s="124"/>
      <c r="O11762" s="124"/>
    </row>
    <row r="11763">
      <c r="K11763" s="124"/>
      <c r="L11763" s="124"/>
      <c r="M11763" s="124"/>
      <c r="N11763" s="124"/>
      <c r="O11763" s="124"/>
    </row>
    <row r="11764">
      <c r="K11764" s="124"/>
      <c r="L11764" s="124"/>
      <c r="M11764" s="124"/>
      <c r="N11764" s="124"/>
      <c r="O11764" s="124"/>
    </row>
    <row r="11765">
      <c r="K11765" s="124"/>
      <c r="L11765" s="124"/>
      <c r="M11765" s="124"/>
      <c r="N11765" s="124"/>
      <c r="O11765" s="124"/>
    </row>
    <row r="11766">
      <c r="K11766" s="124"/>
      <c r="L11766" s="124"/>
      <c r="M11766" s="124"/>
      <c r="N11766" s="124"/>
      <c r="O11766" s="124"/>
    </row>
    <row r="11767">
      <c r="K11767" s="124"/>
      <c r="L11767" s="124"/>
      <c r="M11767" s="124"/>
      <c r="N11767" s="124"/>
      <c r="O11767" s="124"/>
    </row>
    <row r="11768">
      <c r="K11768" s="124"/>
      <c r="L11768" s="124"/>
      <c r="M11768" s="124"/>
      <c r="N11768" s="124"/>
      <c r="O11768" s="124"/>
    </row>
    <row r="11769">
      <c r="K11769" s="124"/>
      <c r="L11769" s="124"/>
      <c r="M11769" s="124"/>
      <c r="N11769" s="124"/>
      <c r="O11769" s="124"/>
    </row>
    <row r="11770">
      <c r="K11770" s="124"/>
      <c r="L11770" s="124"/>
      <c r="M11770" s="124"/>
      <c r="N11770" s="124"/>
      <c r="O11770" s="124"/>
    </row>
    <row r="11771">
      <c r="K11771" s="124"/>
      <c r="L11771" s="124"/>
      <c r="M11771" s="124"/>
      <c r="N11771" s="124"/>
      <c r="O11771" s="124"/>
    </row>
    <row r="11772">
      <c r="K11772" s="124"/>
      <c r="L11772" s="124"/>
      <c r="M11772" s="124"/>
      <c r="N11772" s="124"/>
      <c r="O11772" s="124"/>
    </row>
    <row r="11773">
      <c r="K11773" s="124"/>
      <c r="L11773" s="124"/>
      <c r="M11773" s="124"/>
      <c r="N11773" s="124"/>
      <c r="O11773" s="124"/>
    </row>
    <row r="11774">
      <c r="K11774" s="124"/>
      <c r="L11774" s="124"/>
      <c r="M11774" s="124"/>
      <c r="N11774" s="124"/>
      <c r="O11774" s="124"/>
    </row>
    <row r="11775">
      <c r="K11775" s="124"/>
      <c r="L11775" s="124"/>
      <c r="M11775" s="124"/>
      <c r="N11775" s="124"/>
      <c r="O11775" s="124"/>
    </row>
    <row r="11776">
      <c r="K11776" s="124"/>
      <c r="L11776" s="124"/>
      <c r="M11776" s="124"/>
      <c r="N11776" s="124"/>
      <c r="O11776" s="124"/>
    </row>
    <row r="11777">
      <c r="K11777" s="124"/>
      <c r="L11777" s="124"/>
      <c r="M11777" s="124"/>
      <c r="N11777" s="124"/>
      <c r="O11777" s="124"/>
    </row>
    <row r="11778">
      <c r="K11778" s="124"/>
      <c r="L11778" s="124"/>
      <c r="M11778" s="124"/>
      <c r="N11778" s="124"/>
      <c r="O11778" s="124"/>
    </row>
    <row r="11779">
      <c r="K11779" s="124"/>
      <c r="L11779" s="124"/>
      <c r="M11779" s="124"/>
      <c r="N11779" s="124"/>
      <c r="O11779" s="124"/>
    </row>
    <row r="11780">
      <c r="K11780" s="124"/>
      <c r="L11780" s="124"/>
      <c r="M11780" s="124"/>
      <c r="N11780" s="124"/>
      <c r="O11780" s="124"/>
    </row>
    <row r="11781">
      <c r="K11781" s="124"/>
      <c r="L11781" s="124"/>
      <c r="M11781" s="124"/>
      <c r="N11781" s="124"/>
      <c r="O11781" s="124"/>
    </row>
    <row r="11782">
      <c r="K11782" s="124"/>
      <c r="L11782" s="124"/>
      <c r="M11782" s="124"/>
      <c r="N11782" s="124"/>
      <c r="O11782" s="124"/>
    </row>
    <row r="11783">
      <c r="K11783" s="124"/>
      <c r="L11783" s="124"/>
      <c r="M11783" s="124"/>
      <c r="N11783" s="124"/>
      <c r="O11783" s="124"/>
    </row>
    <row r="11784">
      <c r="K11784" s="124"/>
      <c r="L11784" s="124"/>
      <c r="M11784" s="124"/>
      <c r="N11784" s="124"/>
      <c r="O11784" s="124"/>
    </row>
    <row r="11785">
      <c r="K11785" s="124"/>
      <c r="L11785" s="124"/>
      <c r="M11785" s="124"/>
      <c r="N11785" s="124"/>
      <c r="O11785" s="124"/>
    </row>
    <row r="11786">
      <c r="K11786" s="124"/>
      <c r="L11786" s="124"/>
      <c r="M11786" s="124"/>
      <c r="N11786" s="124"/>
      <c r="O11786" s="124"/>
    </row>
    <row r="11787">
      <c r="K11787" s="124"/>
      <c r="L11787" s="124"/>
      <c r="M11787" s="124"/>
      <c r="N11787" s="124"/>
      <c r="O11787" s="124"/>
    </row>
    <row r="11788">
      <c r="K11788" s="124"/>
      <c r="L11788" s="124"/>
      <c r="M11788" s="124"/>
      <c r="N11788" s="124"/>
      <c r="O11788" s="124"/>
    </row>
    <row r="11789">
      <c r="K11789" s="124"/>
      <c r="L11789" s="124"/>
      <c r="M11789" s="124"/>
      <c r="N11789" s="124"/>
      <c r="O11789" s="124"/>
    </row>
    <row r="11790">
      <c r="K11790" s="124"/>
      <c r="L11790" s="124"/>
      <c r="M11790" s="124"/>
      <c r="N11790" s="124"/>
      <c r="O11790" s="124"/>
    </row>
    <row r="11791">
      <c r="K11791" s="124"/>
      <c r="L11791" s="124"/>
      <c r="M11791" s="124"/>
      <c r="N11791" s="124"/>
      <c r="O11791" s="124"/>
    </row>
    <row r="11792">
      <c r="K11792" s="124"/>
      <c r="L11792" s="124"/>
      <c r="M11792" s="124"/>
      <c r="N11792" s="124"/>
      <c r="O11792" s="124"/>
    </row>
    <row r="11793">
      <c r="K11793" s="124"/>
      <c r="L11793" s="124"/>
      <c r="M11793" s="124"/>
      <c r="N11793" s="124"/>
      <c r="O11793" s="124"/>
    </row>
    <row r="11794">
      <c r="K11794" s="124"/>
      <c r="L11794" s="124"/>
      <c r="M11794" s="124"/>
      <c r="N11794" s="124"/>
      <c r="O11794" s="124"/>
    </row>
    <row r="11795">
      <c r="K11795" s="124"/>
      <c r="L11795" s="124"/>
      <c r="M11795" s="124"/>
      <c r="N11795" s="124"/>
      <c r="O11795" s="124"/>
    </row>
    <row r="11796">
      <c r="K11796" s="124"/>
      <c r="L11796" s="124"/>
      <c r="M11796" s="124"/>
      <c r="N11796" s="124"/>
      <c r="O11796" s="124"/>
    </row>
    <row r="11797">
      <c r="K11797" s="124"/>
      <c r="L11797" s="124"/>
      <c r="M11797" s="124"/>
      <c r="N11797" s="124"/>
      <c r="O11797" s="124"/>
    </row>
    <row r="11798">
      <c r="K11798" s="124"/>
      <c r="L11798" s="124"/>
      <c r="M11798" s="124"/>
      <c r="N11798" s="124"/>
      <c r="O11798" s="124"/>
    </row>
    <row r="11799">
      <c r="K11799" s="124"/>
      <c r="L11799" s="124"/>
      <c r="M11799" s="124"/>
      <c r="N11799" s="124"/>
      <c r="O11799" s="124"/>
    </row>
    <row r="11800">
      <c r="K11800" s="124"/>
      <c r="L11800" s="124"/>
      <c r="M11800" s="124"/>
      <c r="N11800" s="124"/>
      <c r="O11800" s="124"/>
    </row>
    <row r="11801">
      <c r="K11801" s="124"/>
      <c r="L11801" s="124"/>
      <c r="M11801" s="124"/>
      <c r="N11801" s="124"/>
      <c r="O11801" s="124"/>
    </row>
    <row r="11802">
      <c r="K11802" s="124"/>
      <c r="L11802" s="124"/>
      <c r="M11802" s="124"/>
      <c r="N11802" s="124"/>
      <c r="O11802" s="124"/>
    </row>
    <row r="11803">
      <c r="K11803" s="124"/>
      <c r="L11803" s="124"/>
      <c r="M11803" s="124"/>
      <c r="N11803" s="124"/>
      <c r="O11803" s="124"/>
    </row>
    <row r="11804">
      <c r="K11804" s="124"/>
      <c r="L11804" s="124"/>
      <c r="M11804" s="124"/>
      <c r="N11804" s="124"/>
      <c r="O11804" s="124"/>
    </row>
    <row r="11805">
      <c r="K11805" s="124"/>
      <c r="L11805" s="124"/>
      <c r="M11805" s="124"/>
      <c r="N11805" s="124"/>
      <c r="O11805" s="124"/>
    </row>
    <row r="11806">
      <c r="K11806" s="124"/>
      <c r="L11806" s="124"/>
      <c r="M11806" s="124"/>
      <c r="N11806" s="124"/>
      <c r="O11806" s="124"/>
    </row>
    <row r="11807">
      <c r="K11807" s="124"/>
      <c r="L11807" s="124"/>
      <c r="M11807" s="124"/>
      <c r="N11807" s="124"/>
      <c r="O11807" s="124"/>
    </row>
    <row r="11808">
      <c r="K11808" s="124"/>
      <c r="L11808" s="124"/>
      <c r="M11808" s="124"/>
      <c r="N11808" s="124"/>
      <c r="O11808" s="124"/>
    </row>
    <row r="11809">
      <c r="K11809" s="124"/>
      <c r="L11809" s="124"/>
      <c r="M11809" s="124"/>
      <c r="N11809" s="124"/>
      <c r="O11809" s="124"/>
    </row>
    <row r="11810">
      <c r="K11810" s="124"/>
      <c r="L11810" s="124"/>
      <c r="M11810" s="124"/>
      <c r="N11810" s="124"/>
      <c r="O11810" s="124"/>
    </row>
    <row r="11811">
      <c r="K11811" s="124"/>
      <c r="L11811" s="124"/>
      <c r="M11811" s="124"/>
      <c r="N11811" s="124"/>
      <c r="O11811" s="124"/>
    </row>
    <row r="11812">
      <c r="K11812" s="124"/>
      <c r="L11812" s="124"/>
      <c r="M11812" s="124"/>
      <c r="N11812" s="124"/>
      <c r="O11812" s="124"/>
    </row>
    <row r="11813">
      <c r="K11813" s="124"/>
      <c r="L11813" s="124"/>
      <c r="M11813" s="124"/>
      <c r="N11813" s="124"/>
      <c r="O11813" s="124"/>
    </row>
    <row r="11814">
      <c r="K11814" s="124"/>
      <c r="L11814" s="124"/>
      <c r="M11814" s="124"/>
      <c r="N11814" s="124"/>
      <c r="O11814" s="124"/>
    </row>
    <row r="11815">
      <c r="K11815" s="124"/>
      <c r="L11815" s="124"/>
      <c r="M11815" s="124"/>
      <c r="N11815" s="124"/>
      <c r="O11815" s="124"/>
    </row>
    <row r="11816">
      <c r="K11816" s="124"/>
      <c r="L11816" s="124"/>
      <c r="M11816" s="124"/>
      <c r="N11816" s="124"/>
      <c r="O11816" s="124"/>
    </row>
    <row r="11817">
      <c r="K11817" s="124"/>
      <c r="L11817" s="124"/>
      <c r="M11817" s="124"/>
      <c r="N11817" s="124"/>
      <c r="O11817" s="124"/>
    </row>
    <row r="11818">
      <c r="K11818" s="124"/>
      <c r="L11818" s="124"/>
      <c r="M11818" s="124"/>
      <c r="N11818" s="124"/>
      <c r="O11818" s="124"/>
    </row>
    <row r="11819">
      <c r="K11819" s="124"/>
      <c r="L11819" s="124"/>
      <c r="M11819" s="124"/>
      <c r="N11819" s="124"/>
      <c r="O11819" s="124"/>
    </row>
    <row r="11820">
      <c r="K11820" s="124"/>
      <c r="L11820" s="124"/>
      <c r="M11820" s="124"/>
      <c r="N11820" s="124"/>
      <c r="O11820" s="124"/>
    </row>
    <row r="11821">
      <c r="K11821" s="124"/>
      <c r="L11821" s="124"/>
      <c r="M11821" s="124"/>
      <c r="N11821" s="124"/>
      <c r="O11821" s="124"/>
    </row>
    <row r="11822">
      <c r="K11822" s="124"/>
      <c r="L11822" s="124"/>
      <c r="M11822" s="124"/>
      <c r="N11822" s="124"/>
      <c r="O11822" s="124"/>
    </row>
    <row r="11823">
      <c r="K11823" s="124"/>
      <c r="L11823" s="124"/>
      <c r="M11823" s="124"/>
      <c r="N11823" s="124"/>
      <c r="O11823" s="124"/>
    </row>
    <row r="11824">
      <c r="K11824" s="124"/>
      <c r="L11824" s="124"/>
      <c r="M11824" s="124"/>
      <c r="N11824" s="124"/>
      <c r="O11824" s="124"/>
    </row>
    <row r="11825">
      <c r="K11825" s="124"/>
      <c r="L11825" s="124"/>
      <c r="M11825" s="124"/>
      <c r="N11825" s="124"/>
      <c r="O11825" s="124"/>
    </row>
    <row r="11826">
      <c r="K11826" s="124"/>
      <c r="L11826" s="124"/>
      <c r="M11826" s="124"/>
      <c r="N11826" s="124"/>
      <c r="O11826" s="124"/>
    </row>
    <row r="11827">
      <c r="K11827" s="124"/>
      <c r="L11827" s="124"/>
      <c r="M11827" s="124"/>
      <c r="N11827" s="124"/>
      <c r="O11827" s="124"/>
    </row>
    <row r="11828">
      <c r="K11828" s="124"/>
      <c r="L11828" s="124"/>
      <c r="M11828" s="124"/>
      <c r="N11828" s="124"/>
      <c r="O11828" s="124"/>
    </row>
    <row r="11829">
      <c r="K11829" s="124"/>
      <c r="L11829" s="124"/>
      <c r="M11829" s="124"/>
      <c r="N11829" s="124"/>
      <c r="O11829" s="124"/>
    </row>
    <row r="11830">
      <c r="K11830" s="124"/>
      <c r="L11830" s="124"/>
      <c r="M11830" s="124"/>
      <c r="N11830" s="124"/>
      <c r="O11830" s="124"/>
    </row>
    <row r="11831">
      <c r="K11831" s="124"/>
      <c r="L11831" s="124"/>
      <c r="M11831" s="124"/>
      <c r="N11831" s="124"/>
      <c r="O11831" s="124"/>
    </row>
    <row r="11832">
      <c r="K11832" s="124"/>
      <c r="L11832" s="124"/>
      <c r="M11832" s="124"/>
      <c r="N11832" s="124"/>
      <c r="O11832" s="124"/>
    </row>
    <row r="11833">
      <c r="K11833" s="124"/>
      <c r="L11833" s="124"/>
      <c r="M11833" s="124"/>
      <c r="N11833" s="124"/>
      <c r="O11833" s="124"/>
    </row>
    <row r="11834">
      <c r="K11834" s="124"/>
      <c r="L11834" s="124"/>
      <c r="M11834" s="124"/>
      <c r="N11834" s="124"/>
      <c r="O11834" s="124"/>
    </row>
    <row r="11835">
      <c r="K11835" s="124"/>
      <c r="L11835" s="124"/>
      <c r="M11835" s="124"/>
      <c r="N11835" s="124"/>
      <c r="O11835" s="124"/>
    </row>
    <row r="11836">
      <c r="K11836" s="124"/>
      <c r="L11836" s="124"/>
      <c r="M11836" s="124"/>
      <c r="N11836" s="124"/>
      <c r="O11836" s="124"/>
    </row>
    <row r="11837">
      <c r="K11837" s="124"/>
      <c r="L11837" s="124"/>
      <c r="M11837" s="124"/>
      <c r="N11837" s="124"/>
      <c r="O11837" s="124"/>
    </row>
    <row r="11838">
      <c r="K11838" s="124"/>
      <c r="L11838" s="124"/>
      <c r="M11838" s="124"/>
      <c r="N11838" s="124"/>
      <c r="O11838" s="124"/>
    </row>
    <row r="11839">
      <c r="K11839" s="124"/>
      <c r="L11839" s="124"/>
      <c r="M11839" s="124"/>
      <c r="N11839" s="124"/>
      <c r="O11839" s="124"/>
    </row>
    <row r="11840">
      <c r="K11840" s="124"/>
      <c r="L11840" s="124"/>
      <c r="M11840" s="124"/>
      <c r="N11840" s="124"/>
      <c r="O11840" s="124"/>
    </row>
    <row r="11841">
      <c r="K11841" s="124"/>
      <c r="L11841" s="124"/>
      <c r="M11841" s="124"/>
      <c r="N11841" s="124"/>
      <c r="O11841" s="124"/>
    </row>
    <row r="11842">
      <c r="K11842" s="124"/>
      <c r="L11842" s="124"/>
      <c r="M11842" s="124"/>
      <c r="N11842" s="124"/>
      <c r="O11842" s="124"/>
    </row>
    <row r="11843">
      <c r="K11843" s="124"/>
      <c r="L11843" s="124"/>
      <c r="M11843" s="124"/>
      <c r="N11843" s="124"/>
      <c r="O11843" s="124"/>
    </row>
    <row r="11844">
      <c r="K11844" s="124"/>
      <c r="L11844" s="124"/>
      <c r="M11844" s="124"/>
      <c r="N11844" s="124"/>
      <c r="O11844" s="124"/>
    </row>
    <row r="11845">
      <c r="K11845" s="124"/>
      <c r="L11845" s="124"/>
      <c r="M11845" s="124"/>
      <c r="N11845" s="124"/>
      <c r="O11845" s="124"/>
    </row>
    <row r="11846">
      <c r="K11846" s="124"/>
      <c r="L11846" s="124"/>
      <c r="M11846" s="124"/>
      <c r="N11846" s="124"/>
      <c r="O11846" s="124"/>
    </row>
    <row r="11847">
      <c r="K11847" s="124"/>
      <c r="L11847" s="124"/>
      <c r="M11847" s="124"/>
      <c r="N11847" s="124"/>
      <c r="O11847" s="124"/>
    </row>
    <row r="11848">
      <c r="K11848" s="124"/>
      <c r="L11848" s="124"/>
      <c r="M11848" s="124"/>
      <c r="N11848" s="124"/>
      <c r="O11848" s="124"/>
    </row>
    <row r="11849">
      <c r="K11849" s="124"/>
      <c r="L11849" s="124"/>
      <c r="M11849" s="124"/>
      <c r="N11849" s="124"/>
      <c r="O11849" s="124"/>
    </row>
    <row r="11850">
      <c r="K11850" s="124"/>
      <c r="L11850" s="124"/>
      <c r="M11850" s="124"/>
      <c r="N11850" s="124"/>
      <c r="O11850" s="124"/>
    </row>
    <row r="11851">
      <c r="K11851" s="124"/>
      <c r="L11851" s="124"/>
      <c r="M11851" s="124"/>
      <c r="N11851" s="124"/>
      <c r="O11851" s="124"/>
    </row>
    <row r="11852">
      <c r="K11852" s="124"/>
      <c r="L11852" s="124"/>
      <c r="M11852" s="124"/>
      <c r="N11852" s="124"/>
      <c r="O11852" s="124"/>
    </row>
    <row r="11853">
      <c r="K11853" s="124"/>
      <c r="L11853" s="124"/>
      <c r="M11853" s="124"/>
      <c r="N11853" s="124"/>
      <c r="O11853" s="124"/>
    </row>
    <row r="11854">
      <c r="K11854" s="124"/>
      <c r="L11854" s="124"/>
      <c r="M11854" s="124"/>
      <c r="N11854" s="124"/>
      <c r="O11854" s="124"/>
    </row>
    <row r="11855">
      <c r="K11855" s="124"/>
      <c r="L11855" s="124"/>
      <c r="M11855" s="124"/>
      <c r="N11855" s="124"/>
      <c r="O11855" s="124"/>
    </row>
    <row r="11856">
      <c r="K11856" s="124"/>
      <c r="L11856" s="124"/>
      <c r="M11856" s="124"/>
      <c r="N11856" s="124"/>
      <c r="O11856" s="124"/>
    </row>
    <row r="11857">
      <c r="K11857" s="124"/>
      <c r="L11857" s="124"/>
      <c r="M11857" s="124"/>
      <c r="N11857" s="124"/>
      <c r="O11857" s="124"/>
    </row>
    <row r="11858">
      <c r="K11858" s="124"/>
      <c r="L11858" s="124"/>
      <c r="M11858" s="124"/>
      <c r="N11858" s="124"/>
      <c r="O11858" s="124"/>
    </row>
    <row r="11859">
      <c r="K11859" s="124"/>
      <c r="L11859" s="124"/>
      <c r="M11859" s="124"/>
      <c r="N11859" s="124"/>
      <c r="O11859" s="124"/>
    </row>
    <row r="11860">
      <c r="K11860" s="124"/>
      <c r="L11860" s="124"/>
      <c r="M11860" s="124"/>
      <c r="N11860" s="124"/>
      <c r="O11860" s="124"/>
    </row>
    <row r="11861">
      <c r="K11861" s="124"/>
      <c r="L11861" s="124"/>
      <c r="M11861" s="124"/>
      <c r="N11861" s="124"/>
      <c r="O11861" s="124"/>
    </row>
    <row r="11862">
      <c r="K11862" s="124"/>
      <c r="L11862" s="124"/>
      <c r="M11862" s="124"/>
      <c r="N11862" s="124"/>
      <c r="O11862" s="124"/>
    </row>
    <row r="11863">
      <c r="K11863" s="124"/>
      <c r="L11863" s="124"/>
      <c r="M11863" s="124"/>
      <c r="N11863" s="124"/>
      <c r="O11863" s="124"/>
    </row>
    <row r="11864">
      <c r="K11864" s="124"/>
      <c r="L11864" s="124"/>
      <c r="M11864" s="124"/>
      <c r="N11864" s="124"/>
      <c r="O11864" s="124"/>
    </row>
    <row r="11865">
      <c r="K11865" s="124"/>
      <c r="L11865" s="124"/>
      <c r="M11865" s="124"/>
      <c r="N11865" s="124"/>
      <c r="O11865" s="124"/>
    </row>
    <row r="11866">
      <c r="K11866" s="124"/>
      <c r="L11866" s="124"/>
      <c r="M11866" s="124"/>
      <c r="N11866" s="124"/>
      <c r="O11866" s="124"/>
    </row>
    <row r="11867">
      <c r="K11867" s="124"/>
      <c r="L11867" s="124"/>
      <c r="M11867" s="124"/>
      <c r="N11867" s="124"/>
      <c r="O11867" s="124"/>
    </row>
    <row r="11868">
      <c r="K11868" s="124"/>
      <c r="L11868" s="124"/>
      <c r="M11868" s="124"/>
      <c r="N11868" s="124"/>
      <c r="O11868" s="124"/>
    </row>
    <row r="11869">
      <c r="K11869" s="124"/>
      <c r="L11869" s="124"/>
      <c r="M11869" s="124"/>
      <c r="N11869" s="124"/>
      <c r="O11869" s="124"/>
    </row>
    <row r="11870">
      <c r="K11870" s="124"/>
      <c r="L11870" s="124"/>
      <c r="M11870" s="124"/>
      <c r="N11870" s="124"/>
      <c r="O11870" s="124"/>
    </row>
    <row r="11871">
      <c r="K11871" s="124"/>
      <c r="L11871" s="124"/>
      <c r="M11871" s="124"/>
      <c r="N11871" s="124"/>
      <c r="O11871" s="124"/>
    </row>
    <row r="11872">
      <c r="K11872" s="124"/>
      <c r="L11872" s="124"/>
      <c r="M11872" s="124"/>
      <c r="N11872" s="124"/>
      <c r="O11872" s="124"/>
    </row>
    <row r="11873">
      <c r="K11873" s="124"/>
      <c r="L11873" s="124"/>
      <c r="M11873" s="124"/>
      <c r="N11873" s="124"/>
      <c r="O11873" s="124"/>
    </row>
    <row r="11874">
      <c r="K11874" s="124"/>
      <c r="L11874" s="124"/>
      <c r="M11874" s="124"/>
      <c r="N11874" s="124"/>
      <c r="O11874" s="124"/>
    </row>
    <row r="11875">
      <c r="K11875" s="124"/>
      <c r="L11875" s="124"/>
      <c r="M11875" s="124"/>
      <c r="N11875" s="124"/>
      <c r="O11875" s="124"/>
    </row>
    <row r="11876">
      <c r="K11876" s="124"/>
      <c r="L11876" s="124"/>
      <c r="M11876" s="124"/>
      <c r="N11876" s="124"/>
      <c r="O11876" s="124"/>
    </row>
    <row r="11877">
      <c r="K11877" s="124"/>
      <c r="L11877" s="124"/>
      <c r="M11877" s="124"/>
      <c r="N11877" s="124"/>
      <c r="O11877" s="124"/>
    </row>
    <row r="11878">
      <c r="K11878" s="124"/>
      <c r="L11878" s="124"/>
      <c r="M11878" s="124"/>
      <c r="N11878" s="124"/>
      <c r="O11878" s="124"/>
    </row>
    <row r="11879">
      <c r="K11879" s="124"/>
      <c r="L11879" s="124"/>
      <c r="M11879" s="124"/>
      <c r="N11879" s="124"/>
      <c r="O11879" s="124"/>
    </row>
    <row r="11880">
      <c r="K11880" s="124"/>
      <c r="L11880" s="124"/>
      <c r="M11880" s="124"/>
      <c r="N11880" s="124"/>
      <c r="O11880" s="124"/>
    </row>
    <row r="11881">
      <c r="K11881" s="124"/>
      <c r="L11881" s="124"/>
      <c r="M11881" s="124"/>
      <c r="N11881" s="124"/>
      <c r="O11881" s="124"/>
    </row>
    <row r="11882">
      <c r="K11882" s="124"/>
      <c r="L11882" s="124"/>
      <c r="M11882" s="124"/>
      <c r="N11882" s="124"/>
      <c r="O11882" s="124"/>
    </row>
    <row r="11883">
      <c r="K11883" s="124"/>
      <c r="L11883" s="124"/>
      <c r="M11883" s="124"/>
      <c r="N11883" s="124"/>
      <c r="O11883" s="124"/>
    </row>
    <row r="11884">
      <c r="K11884" s="124"/>
      <c r="L11884" s="124"/>
      <c r="M11884" s="124"/>
      <c r="N11884" s="124"/>
      <c r="O11884" s="124"/>
    </row>
    <row r="11885">
      <c r="K11885" s="124"/>
      <c r="L11885" s="124"/>
      <c r="M11885" s="124"/>
      <c r="N11885" s="124"/>
      <c r="O11885" s="124"/>
    </row>
    <row r="11886">
      <c r="K11886" s="124"/>
      <c r="L11886" s="124"/>
      <c r="M11886" s="124"/>
      <c r="N11886" s="124"/>
      <c r="O11886" s="124"/>
    </row>
    <row r="11887">
      <c r="K11887" s="124"/>
      <c r="L11887" s="124"/>
      <c r="M11887" s="124"/>
      <c r="N11887" s="124"/>
      <c r="O11887" s="124"/>
    </row>
    <row r="11888">
      <c r="K11888" s="124"/>
      <c r="L11888" s="124"/>
      <c r="M11888" s="124"/>
      <c r="N11888" s="124"/>
      <c r="O11888" s="124"/>
    </row>
    <row r="11889">
      <c r="K11889" s="124"/>
      <c r="L11889" s="124"/>
      <c r="M11889" s="124"/>
      <c r="N11889" s="124"/>
      <c r="O11889" s="124"/>
    </row>
    <row r="11890">
      <c r="K11890" s="124"/>
      <c r="L11890" s="124"/>
      <c r="M11890" s="124"/>
      <c r="N11890" s="124"/>
      <c r="O11890" s="124"/>
    </row>
    <row r="11891">
      <c r="K11891" s="124"/>
      <c r="L11891" s="124"/>
      <c r="M11891" s="124"/>
      <c r="N11891" s="124"/>
      <c r="O11891" s="124"/>
    </row>
    <row r="11892">
      <c r="K11892" s="124"/>
      <c r="L11892" s="124"/>
      <c r="M11892" s="124"/>
      <c r="N11892" s="124"/>
      <c r="O11892" s="124"/>
    </row>
    <row r="11893">
      <c r="K11893" s="124"/>
      <c r="L11893" s="124"/>
      <c r="M11893" s="124"/>
      <c r="N11893" s="124"/>
      <c r="O11893" s="124"/>
    </row>
    <row r="11894">
      <c r="K11894" s="124"/>
      <c r="L11894" s="124"/>
      <c r="M11894" s="124"/>
      <c r="N11894" s="124"/>
      <c r="O11894" s="124"/>
    </row>
    <row r="11895">
      <c r="K11895" s="124"/>
      <c r="L11895" s="124"/>
      <c r="M11895" s="124"/>
      <c r="N11895" s="124"/>
      <c r="O11895" s="124"/>
    </row>
    <row r="11896">
      <c r="K11896" s="124"/>
      <c r="L11896" s="124"/>
      <c r="M11896" s="124"/>
      <c r="N11896" s="124"/>
      <c r="O11896" s="124"/>
    </row>
    <row r="11897">
      <c r="K11897" s="124"/>
      <c r="L11897" s="124"/>
      <c r="M11897" s="124"/>
      <c r="N11897" s="124"/>
      <c r="O11897" s="124"/>
    </row>
    <row r="11898">
      <c r="K11898" s="124"/>
      <c r="L11898" s="124"/>
      <c r="M11898" s="124"/>
      <c r="N11898" s="124"/>
      <c r="O11898" s="124"/>
    </row>
    <row r="11899">
      <c r="K11899" s="124"/>
      <c r="L11899" s="124"/>
      <c r="M11899" s="124"/>
      <c r="N11899" s="124"/>
      <c r="O11899" s="124"/>
    </row>
    <row r="11900">
      <c r="K11900" s="124"/>
      <c r="L11900" s="124"/>
      <c r="M11900" s="124"/>
      <c r="N11900" s="124"/>
      <c r="O11900" s="124"/>
    </row>
    <row r="11901">
      <c r="K11901" s="124"/>
      <c r="L11901" s="124"/>
      <c r="M11901" s="124"/>
      <c r="N11901" s="124"/>
      <c r="O11901" s="124"/>
    </row>
    <row r="11902">
      <c r="K11902" s="124"/>
      <c r="L11902" s="124"/>
      <c r="M11902" s="124"/>
      <c r="N11902" s="124"/>
      <c r="O11902" s="124"/>
    </row>
    <row r="11903">
      <c r="K11903" s="124"/>
      <c r="L11903" s="124"/>
      <c r="M11903" s="124"/>
      <c r="N11903" s="124"/>
      <c r="O11903" s="124"/>
    </row>
    <row r="11904">
      <c r="K11904" s="124"/>
      <c r="L11904" s="124"/>
      <c r="M11904" s="124"/>
      <c r="N11904" s="124"/>
      <c r="O11904" s="124"/>
    </row>
    <row r="11905">
      <c r="K11905" s="124"/>
      <c r="L11905" s="124"/>
      <c r="M11905" s="124"/>
      <c r="N11905" s="124"/>
      <c r="O11905" s="124"/>
    </row>
    <row r="11906">
      <c r="K11906" s="124"/>
      <c r="L11906" s="124"/>
      <c r="M11906" s="124"/>
      <c r="N11906" s="124"/>
      <c r="O11906" s="124"/>
    </row>
    <row r="11907">
      <c r="K11907" s="124"/>
      <c r="L11907" s="124"/>
      <c r="M11907" s="124"/>
      <c r="N11907" s="124"/>
      <c r="O11907" s="124"/>
    </row>
    <row r="11908">
      <c r="K11908" s="124"/>
      <c r="L11908" s="124"/>
      <c r="M11908" s="124"/>
      <c r="N11908" s="124"/>
      <c r="O11908" s="124"/>
    </row>
    <row r="11909">
      <c r="K11909" s="124"/>
      <c r="L11909" s="124"/>
      <c r="M11909" s="124"/>
      <c r="N11909" s="124"/>
      <c r="O11909" s="124"/>
    </row>
    <row r="11910">
      <c r="K11910" s="124"/>
      <c r="L11910" s="124"/>
      <c r="M11910" s="124"/>
      <c r="N11910" s="124"/>
      <c r="O11910" s="124"/>
    </row>
    <row r="11911">
      <c r="K11911" s="124"/>
      <c r="L11911" s="124"/>
      <c r="M11911" s="124"/>
      <c r="N11911" s="124"/>
      <c r="O11911" s="124"/>
    </row>
    <row r="11912">
      <c r="K11912" s="124"/>
      <c r="L11912" s="124"/>
      <c r="M11912" s="124"/>
      <c r="N11912" s="124"/>
      <c r="O11912" s="124"/>
    </row>
    <row r="11913">
      <c r="K11913" s="124"/>
      <c r="L11913" s="124"/>
      <c r="M11913" s="124"/>
      <c r="N11913" s="124"/>
      <c r="O11913" s="124"/>
    </row>
    <row r="11914">
      <c r="K11914" s="124"/>
      <c r="L11914" s="124"/>
      <c r="M11914" s="124"/>
      <c r="N11914" s="124"/>
      <c r="O11914" s="124"/>
    </row>
    <row r="11915">
      <c r="K11915" s="124"/>
      <c r="L11915" s="124"/>
      <c r="M11915" s="124"/>
      <c r="N11915" s="124"/>
      <c r="O11915" s="124"/>
    </row>
    <row r="11916">
      <c r="K11916" s="124"/>
      <c r="L11916" s="124"/>
      <c r="M11916" s="124"/>
      <c r="N11916" s="124"/>
      <c r="O11916" s="124"/>
    </row>
    <row r="11917">
      <c r="K11917" s="124"/>
      <c r="L11917" s="124"/>
      <c r="M11917" s="124"/>
      <c r="N11917" s="124"/>
      <c r="O11917" s="124"/>
    </row>
    <row r="11918">
      <c r="K11918" s="124"/>
      <c r="L11918" s="124"/>
      <c r="M11918" s="124"/>
      <c r="N11918" s="124"/>
      <c r="O11918" s="124"/>
    </row>
    <row r="11919">
      <c r="K11919" s="124"/>
      <c r="L11919" s="124"/>
      <c r="M11919" s="124"/>
      <c r="N11919" s="124"/>
      <c r="O11919" s="124"/>
    </row>
    <row r="11920">
      <c r="K11920" s="124"/>
      <c r="L11920" s="124"/>
      <c r="M11920" s="124"/>
      <c r="N11920" s="124"/>
      <c r="O11920" s="124"/>
    </row>
    <row r="11921">
      <c r="K11921" s="124"/>
      <c r="L11921" s="124"/>
      <c r="M11921" s="124"/>
      <c r="N11921" s="124"/>
      <c r="O11921" s="124"/>
    </row>
    <row r="11922">
      <c r="K11922" s="124"/>
      <c r="L11922" s="124"/>
      <c r="M11922" s="124"/>
      <c r="N11922" s="124"/>
      <c r="O11922" s="124"/>
    </row>
    <row r="11923">
      <c r="K11923" s="124"/>
      <c r="L11923" s="124"/>
      <c r="M11923" s="124"/>
      <c r="N11923" s="124"/>
      <c r="O11923" s="124"/>
    </row>
    <row r="11924">
      <c r="K11924" s="124"/>
      <c r="L11924" s="124"/>
      <c r="M11924" s="124"/>
      <c r="N11924" s="124"/>
      <c r="O11924" s="124"/>
    </row>
    <row r="11925">
      <c r="K11925" s="124"/>
      <c r="L11925" s="124"/>
      <c r="M11925" s="124"/>
      <c r="N11925" s="124"/>
      <c r="O11925" s="124"/>
    </row>
    <row r="11926">
      <c r="K11926" s="124"/>
      <c r="L11926" s="124"/>
      <c r="M11926" s="124"/>
      <c r="N11926" s="124"/>
      <c r="O11926" s="124"/>
    </row>
    <row r="11927">
      <c r="K11927" s="124"/>
      <c r="L11927" s="124"/>
      <c r="M11927" s="124"/>
      <c r="N11927" s="124"/>
      <c r="O11927" s="124"/>
    </row>
    <row r="11928">
      <c r="K11928" s="124"/>
      <c r="L11928" s="124"/>
      <c r="M11928" s="124"/>
      <c r="N11928" s="124"/>
      <c r="O11928" s="124"/>
    </row>
    <row r="11929">
      <c r="K11929" s="124"/>
      <c r="L11929" s="124"/>
      <c r="M11929" s="124"/>
      <c r="N11929" s="124"/>
      <c r="O11929" s="124"/>
    </row>
    <row r="11930">
      <c r="K11930" s="124"/>
      <c r="L11930" s="124"/>
      <c r="M11930" s="124"/>
      <c r="N11930" s="124"/>
      <c r="O11930" s="124"/>
    </row>
    <row r="11931">
      <c r="K11931" s="124"/>
      <c r="L11931" s="124"/>
      <c r="M11931" s="124"/>
      <c r="N11931" s="124"/>
      <c r="O11931" s="124"/>
    </row>
    <row r="11932">
      <c r="K11932" s="124"/>
      <c r="L11932" s="124"/>
      <c r="M11932" s="124"/>
      <c r="N11932" s="124"/>
      <c r="O11932" s="124"/>
    </row>
    <row r="11933">
      <c r="K11933" s="124"/>
      <c r="L11933" s="124"/>
      <c r="M11933" s="124"/>
      <c r="N11933" s="124"/>
      <c r="O11933" s="124"/>
    </row>
    <row r="11934">
      <c r="K11934" s="124"/>
      <c r="L11934" s="124"/>
      <c r="M11934" s="124"/>
      <c r="N11934" s="124"/>
      <c r="O11934" s="124"/>
    </row>
    <row r="11935">
      <c r="K11935" s="124"/>
      <c r="L11935" s="124"/>
      <c r="M11935" s="124"/>
      <c r="N11935" s="124"/>
      <c r="O11935" s="124"/>
    </row>
    <row r="11936">
      <c r="K11936" s="124"/>
      <c r="L11936" s="124"/>
      <c r="M11936" s="124"/>
      <c r="N11936" s="124"/>
      <c r="O11936" s="124"/>
    </row>
    <row r="11937">
      <c r="K11937" s="124"/>
      <c r="L11937" s="124"/>
      <c r="M11937" s="124"/>
      <c r="N11937" s="124"/>
      <c r="O11937" s="124"/>
    </row>
    <row r="11938">
      <c r="K11938" s="124"/>
      <c r="L11938" s="124"/>
      <c r="M11938" s="124"/>
      <c r="N11938" s="124"/>
      <c r="O11938" s="124"/>
    </row>
    <row r="11939">
      <c r="K11939" s="124"/>
      <c r="L11939" s="124"/>
      <c r="M11939" s="124"/>
      <c r="N11939" s="124"/>
      <c r="O11939" s="124"/>
    </row>
    <row r="11940">
      <c r="K11940" s="124"/>
      <c r="L11940" s="124"/>
      <c r="M11940" s="124"/>
      <c r="N11940" s="124"/>
      <c r="O11940" s="124"/>
    </row>
    <row r="11941">
      <c r="K11941" s="124"/>
      <c r="L11941" s="124"/>
      <c r="M11941" s="124"/>
      <c r="N11941" s="124"/>
      <c r="O11941" s="124"/>
    </row>
    <row r="11942">
      <c r="K11942" s="124"/>
      <c r="L11942" s="124"/>
      <c r="M11942" s="124"/>
      <c r="N11942" s="124"/>
      <c r="O11942" s="124"/>
    </row>
    <row r="11943">
      <c r="K11943" s="124"/>
      <c r="L11943" s="124"/>
      <c r="M11943" s="124"/>
      <c r="N11943" s="124"/>
      <c r="O11943" s="124"/>
    </row>
    <row r="11944">
      <c r="K11944" s="124"/>
      <c r="L11944" s="124"/>
      <c r="M11944" s="124"/>
      <c r="N11944" s="124"/>
      <c r="O11944" s="124"/>
    </row>
    <row r="11945">
      <c r="K11945" s="124"/>
      <c r="L11945" s="124"/>
      <c r="M11945" s="124"/>
      <c r="N11945" s="124"/>
      <c r="O11945" s="124"/>
    </row>
    <row r="11946">
      <c r="K11946" s="124"/>
      <c r="L11946" s="124"/>
      <c r="M11946" s="124"/>
      <c r="N11946" s="124"/>
      <c r="O11946" s="124"/>
    </row>
    <row r="11947">
      <c r="K11947" s="124"/>
      <c r="L11947" s="124"/>
      <c r="M11947" s="124"/>
      <c r="N11947" s="124"/>
      <c r="O11947" s="124"/>
    </row>
    <row r="11948">
      <c r="K11948" s="124"/>
      <c r="L11948" s="124"/>
      <c r="M11948" s="124"/>
      <c r="N11948" s="124"/>
      <c r="O11948" s="124"/>
    </row>
    <row r="11949">
      <c r="K11949" s="124"/>
      <c r="L11949" s="124"/>
      <c r="M11949" s="124"/>
      <c r="N11949" s="124"/>
      <c r="O11949" s="124"/>
    </row>
    <row r="11950">
      <c r="K11950" s="124"/>
      <c r="L11950" s="124"/>
      <c r="M11950" s="124"/>
      <c r="N11950" s="124"/>
      <c r="O11950" s="124"/>
    </row>
    <row r="11951">
      <c r="K11951" s="124"/>
      <c r="L11951" s="124"/>
      <c r="M11951" s="124"/>
      <c r="N11951" s="124"/>
      <c r="O11951" s="124"/>
    </row>
    <row r="11952">
      <c r="K11952" s="124"/>
      <c r="L11952" s="124"/>
      <c r="M11952" s="124"/>
      <c r="N11952" s="124"/>
      <c r="O11952" s="124"/>
    </row>
    <row r="11953">
      <c r="K11953" s="124"/>
      <c r="L11953" s="124"/>
      <c r="M11953" s="124"/>
      <c r="N11953" s="124"/>
      <c r="O11953" s="124"/>
    </row>
    <row r="11954">
      <c r="K11954" s="124"/>
      <c r="L11954" s="124"/>
      <c r="M11954" s="124"/>
      <c r="N11954" s="124"/>
      <c r="O11954" s="124"/>
    </row>
    <row r="11955">
      <c r="K11955" s="124"/>
      <c r="L11955" s="124"/>
      <c r="M11955" s="124"/>
      <c r="N11955" s="124"/>
      <c r="O11955" s="124"/>
    </row>
    <row r="11956">
      <c r="K11956" s="124"/>
      <c r="L11956" s="124"/>
      <c r="M11956" s="124"/>
      <c r="N11956" s="124"/>
      <c r="O11956" s="124"/>
    </row>
    <row r="11957">
      <c r="K11957" s="124"/>
      <c r="L11957" s="124"/>
      <c r="M11957" s="124"/>
      <c r="N11957" s="124"/>
      <c r="O11957" s="124"/>
    </row>
    <row r="11958">
      <c r="K11958" s="124"/>
      <c r="L11958" s="124"/>
      <c r="M11958" s="124"/>
      <c r="N11958" s="124"/>
      <c r="O11958" s="124"/>
    </row>
    <row r="11959">
      <c r="K11959" s="124"/>
      <c r="L11959" s="124"/>
      <c r="M11959" s="124"/>
      <c r="N11959" s="124"/>
      <c r="O11959" s="124"/>
    </row>
    <row r="11960">
      <c r="K11960" s="124"/>
      <c r="L11960" s="124"/>
      <c r="M11960" s="124"/>
      <c r="N11960" s="124"/>
      <c r="O11960" s="124"/>
    </row>
    <row r="11961">
      <c r="K11961" s="124"/>
      <c r="L11961" s="124"/>
      <c r="M11961" s="124"/>
      <c r="N11961" s="124"/>
      <c r="O11961" s="124"/>
    </row>
    <row r="11962">
      <c r="K11962" s="124"/>
      <c r="L11962" s="124"/>
      <c r="M11962" s="124"/>
      <c r="N11962" s="124"/>
      <c r="O11962" s="124"/>
    </row>
    <row r="11963">
      <c r="K11963" s="124"/>
      <c r="L11963" s="124"/>
      <c r="M11963" s="124"/>
      <c r="N11963" s="124"/>
      <c r="O11963" s="124"/>
    </row>
    <row r="11964">
      <c r="K11964" s="124"/>
      <c r="L11964" s="124"/>
      <c r="M11964" s="124"/>
      <c r="N11964" s="124"/>
      <c r="O11964" s="124"/>
    </row>
    <row r="11965">
      <c r="K11965" s="124"/>
      <c r="L11965" s="124"/>
      <c r="M11965" s="124"/>
      <c r="N11965" s="124"/>
      <c r="O11965" s="124"/>
    </row>
    <row r="11966">
      <c r="K11966" s="124"/>
      <c r="L11966" s="124"/>
      <c r="M11966" s="124"/>
      <c r="N11966" s="124"/>
      <c r="O11966" s="124"/>
    </row>
    <row r="11967">
      <c r="K11967" s="124"/>
      <c r="L11967" s="124"/>
      <c r="M11967" s="124"/>
      <c r="N11967" s="124"/>
      <c r="O11967" s="124"/>
    </row>
    <row r="11968">
      <c r="K11968" s="124"/>
      <c r="L11968" s="124"/>
      <c r="M11968" s="124"/>
      <c r="N11968" s="124"/>
      <c r="O11968" s="124"/>
    </row>
    <row r="11969">
      <c r="K11969" s="124"/>
      <c r="L11969" s="124"/>
      <c r="M11969" s="124"/>
      <c r="N11969" s="124"/>
      <c r="O11969" s="124"/>
    </row>
    <row r="11970">
      <c r="K11970" s="124"/>
      <c r="L11970" s="124"/>
      <c r="M11970" s="124"/>
      <c r="N11970" s="124"/>
      <c r="O11970" s="124"/>
    </row>
    <row r="11971">
      <c r="K11971" s="124"/>
      <c r="L11971" s="124"/>
      <c r="M11971" s="124"/>
      <c r="N11971" s="124"/>
      <c r="O11971" s="124"/>
    </row>
    <row r="11972">
      <c r="K11972" s="124"/>
      <c r="L11972" s="124"/>
      <c r="M11972" s="124"/>
      <c r="N11972" s="124"/>
      <c r="O11972" s="124"/>
    </row>
    <row r="11973">
      <c r="K11973" s="124"/>
      <c r="L11973" s="124"/>
      <c r="M11973" s="124"/>
      <c r="N11973" s="124"/>
      <c r="O11973" s="124"/>
    </row>
    <row r="11974">
      <c r="K11974" s="124"/>
      <c r="L11974" s="124"/>
      <c r="M11974" s="124"/>
      <c r="N11974" s="124"/>
      <c r="O11974" s="124"/>
    </row>
    <row r="11975">
      <c r="K11975" s="124"/>
      <c r="L11975" s="124"/>
      <c r="M11975" s="124"/>
      <c r="N11975" s="124"/>
      <c r="O11975" s="124"/>
    </row>
    <row r="11976">
      <c r="K11976" s="124"/>
      <c r="L11976" s="124"/>
      <c r="M11976" s="124"/>
      <c r="N11976" s="124"/>
      <c r="O11976" s="124"/>
    </row>
    <row r="11977">
      <c r="K11977" s="124"/>
      <c r="L11977" s="124"/>
      <c r="M11977" s="124"/>
      <c r="N11977" s="124"/>
      <c r="O11977" s="124"/>
    </row>
    <row r="11978">
      <c r="K11978" s="124"/>
      <c r="L11978" s="124"/>
      <c r="M11978" s="124"/>
      <c r="N11978" s="124"/>
      <c r="O11978" s="124"/>
    </row>
    <row r="11979">
      <c r="K11979" s="124"/>
      <c r="L11979" s="124"/>
      <c r="M11979" s="124"/>
      <c r="N11979" s="124"/>
      <c r="O11979" s="124"/>
    </row>
    <row r="11980">
      <c r="K11980" s="124"/>
      <c r="L11980" s="124"/>
      <c r="M11980" s="124"/>
      <c r="N11980" s="124"/>
      <c r="O11980" s="124"/>
    </row>
    <row r="11981">
      <c r="K11981" s="124"/>
      <c r="L11981" s="124"/>
      <c r="M11981" s="124"/>
      <c r="N11981" s="124"/>
      <c r="O11981" s="124"/>
    </row>
    <row r="11982">
      <c r="K11982" s="124"/>
      <c r="L11982" s="124"/>
      <c r="M11982" s="124"/>
      <c r="N11982" s="124"/>
      <c r="O11982" s="124"/>
    </row>
    <row r="11983">
      <c r="K11983" s="124"/>
      <c r="L11983" s="124"/>
      <c r="M11983" s="124"/>
      <c r="N11983" s="124"/>
      <c r="O11983" s="124"/>
    </row>
    <row r="11984">
      <c r="K11984" s="124"/>
      <c r="L11984" s="124"/>
      <c r="M11984" s="124"/>
      <c r="N11984" s="124"/>
      <c r="O11984" s="124"/>
    </row>
    <row r="11985">
      <c r="K11985" s="124"/>
      <c r="L11985" s="124"/>
      <c r="M11985" s="124"/>
      <c r="N11985" s="124"/>
      <c r="O11985" s="124"/>
    </row>
    <row r="11986">
      <c r="K11986" s="124"/>
      <c r="L11986" s="124"/>
      <c r="M11986" s="124"/>
      <c r="N11986" s="124"/>
      <c r="O11986" s="124"/>
    </row>
    <row r="11987">
      <c r="K11987" s="124"/>
      <c r="L11987" s="124"/>
      <c r="M11987" s="124"/>
      <c r="N11987" s="124"/>
      <c r="O11987" s="124"/>
    </row>
    <row r="11988">
      <c r="K11988" s="124"/>
      <c r="L11988" s="124"/>
      <c r="M11988" s="124"/>
      <c r="N11988" s="124"/>
      <c r="O11988" s="124"/>
    </row>
    <row r="11989">
      <c r="K11989" s="124"/>
      <c r="L11989" s="124"/>
      <c r="M11989" s="124"/>
      <c r="N11989" s="124"/>
      <c r="O11989" s="124"/>
    </row>
    <row r="11990">
      <c r="K11990" s="124"/>
      <c r="L11990" s="124"/>
      <c r="M11990" s="124"/>
      <c r="N11990" s="124"/>
      <c r="O11990" s="124"/>
    </row>
    <row r="11991">
      <c r="K11991" s="124"/>
      <c r="L11991" s="124"/>
      <c r="M11991" s="124"/>
      <c r="N11991" s="124"/>
      <c r="O11991" s="124"/>
    </row>
    <row r="11992">
      <c r="K11992" s="124"/>
      <c r="L11992" s="124"/>
      <c r="M11992" s="124"/>
      <c r="N11992" s="124"/>
      <c r="O11992" s="124"/>
    </row>
    <row r="11993">
      <c r="K11993" s="124"/>
      <c r="L11993" s="124"/>
      <c r="M11993" s="124"/>
      <c r="N11993" s="124"/>
      <c r="O11993" s="124"/>
    </row>
    <row r="11994">
      <c r="K11994" s="124"/>
      <c r="L11994" s="124"/>
      <c r="M11994" s="124"/>
      <c r="N11994" s="124"/>
      <c r="O11994" s="124"/>
    </row>
    <row r="11995">
      <c r="K11995" s="124"/>
      <c r="L11995" s="124"/>
      <c r="M11995" s="124"/>
      <c r="N11995" s="124"/>
      <c r="O11995" s="124"/>
    </row>
    <row r="11996">
      <c r="K11996" s="124"/>
      <c r="L11996" s="124"/>
      <c r="M11996" s="124"/>
      <c r="N11996" s="124"/>
      <c r="O11996" s="124"/>
    </row>
    <row r="11997">
      <c r="K11997" s="124"/>
      <c r="L11997" s="124"/>
      <c r="M11997" s="124"/>
      <c r="N11997" s="124"/>
      <c r="O11997" s="124"/>
    </row>
    <row r="11998">
      <c r="K11998" s="124"/>
      <c r="L11998" s="124"/>
      <c r="M11998" s="124"/>
      <c r="N11998" s="124"/>
      <c r="O11998" s="124"/>
    </row>
    <row r="11999">
      <c r="K11999" s="124"/>
      <c r="L11999" s="124"/>
      <c r="M11999" s="124"/>
      <c r="N11999" s="124"/>
      <c r="O11999" s="124"/>
    </row>
    <row r="12000">
      <c r="K12000" s="124"/>
      <c r="L12000" s="124"/>
      <c r="M12000" s="124"/>
      <c r="N12000" s="124"/>
      <c r="O12000" s="124"/>
    </row>
    <row r="12001">
      <c r="K12001" s="124"/>
      <c r="L12001" s="124"/>
      <c r="M12001" s="124"/>
      <c r="N12001" s="124"/>
      <c r="O12001" s="124"/>
    </row>
    <row r="12002">
      <c r="K12002" s="124"/>
      <c r="L12002" s="124"/>
      <c r="M12002" s="124"/>
      <c r="N12002" s="124"/>
      <c r="O12002" s="124"/>
    </row>
    <row r="12003">
      <c r="K12003" s="124"/>
      <c r="L12003" s="124"/>
      <c r="M12003" s="124"/>
      <c r="N12003" s="124"/>
      <c r="O12003" s="124"/>
    </row>
    <row r="12004">
      <c r="K12004" s="124"/>
      <c r="L12004" s="124"/>
      <c r="M12004" s="124"/>
      <c r="N12004" s="124"/>
      <c r="O12004" s="124"/>
    </row>
    <row r="12005">
      <c r="K12005" s="124"/>
      <c r="L12005" s="124"/>
      <c r="M12005" s="124"/>
      <c r="N12005" s="124"/>
      <c r="O12005" s="124"/>
    </row>
    <row r="12006">
      <c r="K12006" s="124"/>
      <c r="L12006" s="124"/>
      <c r="M12006" s="124"/>
      <c r="N12006" s="124"/>
      <c r="O12006" s="124"/>
    </row>
    <row r="12007">
      <c r="K12007" s="124"/>
      <c r="L12007" s="124"/>
      <c r="M12007" s="124"/>
      <c r="N12007" s="124"/>
      <c r="O12007" s="124"/>
    </row>
    <row r="12008">
      <c r="K12008" s="124"/>
      <c r="L12008" s="124"/>
      <c r="M12008" s="124"/>
      <c r="N12008" s="124"/>
      <c r="O12008" s="124"/>
    </row>
    <row r="12009">
      <c r="K12009" s="124"/>
      <c r="L12009" s="124"/>
      <c r="M12009" s="124"/>
      <c r="N12009" s="124"/>
      <c r="O12009" s="124"/>
    </row>
    <row r="12010">
      <c r="K12010" s="124"/>
      <c r="L12010" s="124"/>
      <c r="M12010" s="124"/>
      <c r="N12010" s="124"/>
      <c r="O12010" s="124"/>
    </row>
    <row r="12011">
      <c r="K12011" s="124"/>
      <c r="L12011" s="124"/>
      <c r="M12011" s="124"/>
      <c r="N12011" s="124"/>
      <c r="O12011" s="124"/>
    </row>
    <row r="12012">
      <c r="K12012" s="124"/>
      <c r="L12012" s="124"/>
      <c r="M12012" s="124"/>
      <c r="N12012" s="124"/>
      <c r="O12012" s="124"/>
    </row>
    <row r="12013">
      <c r="K12013" s="124"/>
      <c r="L12013" s="124"/>
      <c r="M12013" s="124"/>
      <c r="N12013" s="124"/>
      <c r="O12013" s="124"/>
    </row>
    <row r="12014">
      <c r="K12014" s="124"/>
      <c r="L12014" s="124"/>
      <c r="M12014" s="124"/>
      <c r="N12014" s="124"/>
      <c r="O12014" s="124"/>
    </row>
    <row r="12015">
      <c r="K12015" s="124"/>
      <c r="L12015" s="124"/>
      <c r="M12015" s="124"/>
      <c r="N12015" s="124"/>
      <c r="O12015" s="124"/>
    </row>
    <row r="12016">
      <c r="K12016" s="124"/>
      <c r="L12016" s="124"/>
      <c r="M12016" s="124"/>
      <c r="N12016" s="124"/>
      <c r="O12016" s="124"/>
    </row>
    <row r="12017">
      <c r="K12017" s="124"/>
      <c r="L12017" s="124"/>
      <c r="M12017" s="124"/>
      <c r="N12017" s="124"/>
      <c r="O12017" s="124"/>
    </row>
    <row r="12018">
      <c r="K12018" s="124"/>
      <c r="L12018" s="124"/>
      <c r="M12018" s="124"/>
      <c r="N12018" s="124"/>
      <c r="O12018" s="124"/>
    </row>
    <row r="12019">
      <c r="K12019" s="124"/>
      <c r="L12019" s="124"/>
      <c r="M12019" s="124"/>
      <c r="N12019" s="124"/>
      <c r="O12019" s="124"/>
    </row>
    <row r="12020">
      <c r="K12020" s="124"/>
      <c r="L12020" s="124"/>
      <c r="M12020" s="124"/>
      <c r="N12020" s="124"/>
      <c r="O12020" s="124"/>
    </row>
    <row r="12021">
      <c r="K12021" s="124"/>
      <c r="L12021" s="124"/>
      <c r="M12021" s="124"/>
      <c r="N12021" s="124"/>
      <c r="O12021" s="124"/>
    </row>
    <row r="12022">
      <c r="K12022" s="124"/>
      <c r="L12022" s="124"/>
      <c r="M12022" s="124"/>
      <c r="N12022" s="124"/>
      <c r="O12022" s="124"/>
    </row>
    <row r="12023">
      <c r="K12023" s="124"/>
      <c r="L12023" s="124"/>
      <c r="M12023" s="124"/>
      <c r="N12023" s="124"/>
      <c r="O12023" s="124"/>
    </row>
    <row r="12024">
      <c r="K12024" s="124"/>
      <c r="L12024" s="124"/>
      <c r="M12024" s="124"/>
      <c r="N12024" s="124"/>
      <c r="O12024" s="124"/>
    </row>
    <row r="12025">
      <c r="K12025" s="124"/>
      <c r="L12025" s="124"/>
      <c r="M12025" s="124"/>
      <c r="N12025" s="124"/>
      <c r="O12025" s="124"/>
    </row>
    <row r="12026">
      <c r="K12026" s="124"/>
      <c r="L12026" s="124"/>
      <c r="M12026" s="124"/>
      <c r="N12026" s="124"/>
      <c r="O12026" s="124"/>
    </row>
    <row r="12027">
      <c r="K12027" s="124"/>
      <c r="L12027" s="124"/>
      <c r="M12027" s="124"/>
      <c r="N12027" s="124"/>
      <c r="O12027" s="124"/>
    </row>
    <row r="12028">
      <c r="K12028" s="124"/>
      <c r="L12028" s="124"/>
      <c r="M12028" s="124"/>
      <c r="N12028" s="124"/>
      <c r="O12028" s="124"/>
    </row>
    <row r="12029">
      <c r="K12029" s="124"/>
      <c r="L12029" s="124"/>
      <c r="M12029" s="124"/>
      <c r="N12029" s="124"/>
      <c r="O12029" s="124"/>
    </row>
    <row r="12030">
      <c r="K12030" s="124"/>
      <c r="L12030" s="124"/>
      <c r="M12030" s="124"/>
      <c r="N12030" s="124"/>
      <c r="O12030" s="124"/>
    </row>
    <row r="12031">
      <c r="K12031" s="124"/>
      <c r="L12031" s="124"/>
      <c r="M12031" s="124"/>
      <c r="N12031" s="124"/>
      <c r="O12031" s="124"/>
    </row>
    <row r="12032">
      <c r="K12032" s="124"/>
      <c r="L12032" s="124"/>
      <c r="M12032" s="124"/>
      <c r="N12032" s="124"/>
      <c r="O12032" s="124"/>
    </row>
    <row r="12033">
      <c r="K12033" s="124"/>
      <c r="L12033" s="124"/>
      <c r="M12033" s="124"/>
      <c r="N12033" s="124"/>
      <c r="O12033" s="124"/>
    </row>
    <row r="12034">
      <c r="K12034" s="124"/>
      <c r="L12034" s="124"/>
      <c r="M12034" s="124"/>
      <c r="N12034" s="124"/>
      <c r="O12034" s="124"/>
    </row>
    <row r="12035">
      <c r="K12035" s="124"/>
      <c r="L12035" s="124"/>
      <c r="M12035" s="124"/>
      <c r="N12035" s="124"/>
      <c r="O12035" s="124"/>
    </row>
    <row r="12036">
      <c r="K12036" s="124"/>
      <c r="L12036" s="124"/>
      <c r="M12036" s="124"/>
      <c r="N12036" s="124"/>
      <c r="O12036" s="124"/>
    </row>
    <row r="12037">
      <c r="K12037" s="124"/>
      <c r="L12037" s="124"/>
      <c r="M12037" s="124"/>
      <c r="N12037" s="124"/>
      <c r="O12037" s="124"/>
    </row>
    <row r="12038">
      <c r="K12038" s="124"/>
      <c r="L12038" s="124"/>
      <c r="M12038" s="124"/>
      <c r="N12038" s="124"/>
      <c r="O12038" s="124"/>
    </row>
    <row r="12039">
      <c r="K12039" s="124"/>
      <c r="L12039" s="124"/>
      <c r="M12039" s="124"/>
      <c r="N12039" s="124"/>
      <c r="O12039" s="124"/>
    </row>
    <row r="12040">
      <c r="K12040" s="124"/>
      <c r="L12040" s="124"/>
      <c r="M12040" s="124"/>
      <c r="N12040" s="124"/>
      <c r="O12040" s="124"/>
    </row>
    <row r="12041">
      <c r="K12041" s="124"/>
      <c r="L12041" s="124"/>
      <c r="M12041" s="124"/>
      <c r="N12041" s="124"/>
      <c r="O12041" s="124"/>
    </row>
    <row r="12042">
      <c r="K12042" s="124"/>
      <c r="L12042" s="124"/>
      <c r="M12042" s="124"/>
      <c r="N12042" s="124"/>
      <c r="O12042" s="124"/>
    </row>
    <row r="12043">
      <c r="K12043" s="124"/>
      <c r="L12043" s="124"/>
      <c r="M12043" s="124"/>
      <c r="N12043" s="124"/>
      <c r="O12043" s="124"/>
    </row>
    <row r="12044">
      <c r="K12044" s="124"/>
      <c r="L12044" s="124"/>
      <c r="M12044" s="124"/>
      <c r="N12044" s="124"/>
      <c r="O12044" s="124"/>
    </row>
    <row r="12045">
      <c r="K12045" s="124"/>
      <c r="L12045" s="124"/>
      <c r="M12045" s="124"/>
      <c r="N12045" s="124"/>
      <c r="O12045" s="124"/>
    </row>
    <row r="12046">
      <c r="K12046" s="124"/>
      <c r="L12046" s="124"/>
      <c r="M12046" s="124"/>
      <c r="N12046" s="124"/>
      <c r="O12046" s="124"/>
    </row>
    <row r="12047">
      <c r="K12047" s="124"/>
      <c r="L12047" s="124"/>
      <c r="M12047" s="124"/>
      <c r="N12047" s="124"/>
      <c r="O12047" s="124"/>
    </row>
    <row r="12048">
      <c r="K12048" s="124"/>
      <c r="L12048" s="124"/>
      <c r="M12048" s="124"/>
      <c r="N12048" s="124"/>
      <c r="O12048" s="124"/>
    </row>
    <row r="12049">
      <c r="K12049" s="124"/>
      <c r="L12049" s="124"/>
      <c r="M12049" s="124"/>
      <c r="N12049" s="124"/>
      <c r="O12049" s="124"/>
    </row>
    <row r="12050">
      <c r="K12050" s="124"/>
      <c r="L12050" s="124"/>
      <c r="M12050" s="124"/>
      <c r="N12050" s="124"/>
      <c r="O12050" s="124"/>
    </row>
    <row r="12051">
      <c r="K12051" s="124"/>
      <c r="L12051" s="124"/>
      <c r="M12051" s="124"/>
      <c r="N12051" s="124"/>
      <c r="O12051" s="124"/>
    </row>
    <row r="12052">
      <c r="K12052" s="124"/>
      <c r="L12052" s="124"/>
      <c r="M12052" s="124"/>
      <c r="N12052" s="124"/>
      <c r="O12052" s="124"/>
    </row>
    <row r="12053">
      <c r="K12053" s="124"/>
      <c r="L12053" s="124"/>
      <c r="M12053" s="124"/>
      <c r="N12053" s="124"/>
      <c r="O12053" s="124"/>
    </row>
    <row r="12054">
      <c r="K12054" s="124"/>
      <c r="L12054" s="124"/>
      <c r="M12054" s="124"/>
      <c r="N12054" s="124"/>
      <c r="O12054" s="124"/>
    </row>
    <row r="12055">
      <c r="K12055" s="124"/>
      <c r="L12055" s="124"/>
      <c r="M12055" s="124"/>
      <c r="N12055" s="124"/>
      <c r="O12055" s="124"/>
    </row>
    <row r="12056">
      <c r="K12056" s="124"/>
      <c r="L12056" s="124"/>
      <c r="M12056" s="124"/>
      <c r="N12056" s="124"/>
      <c r="O12056" s="124"/>
    </row>
    <row r="12057">
      <c r="K12057" s="124"/>
      <c r="L12057" s="124"/>
      <c r="M12057" s="124"/>
      <c r="N12057" s="124"/>
      <c r="O12057" s="124"/>
    </row>
    <row r="12058">
      <c r="K12058" s="124"/>
      <c r="L12058" s="124"/>
      <c r="M12058" s="124"/>
      <c r="N12058" s="124"/>
      <c r="O12058" s="124"/>
    </row>
    <row r="12059">
      <c r="K12059" s="124"/>
      <c r="L12059" s="124"/>
      <c r="M12059" s="124"/>
      <c r="N12059" s="124"/>
      <c r="O12059" s="124"/>
    </row>
    <row r="12060">
      <c r="K12060" s="124"/>
      <c r="L12060" s="124"/>
      <c r="M12060" s="124"/>
      <c r="N12060" s="124"/>
      <c r="O12060" s="124"/>
    </row>
    <row r="12061">
      <c r="K12061" s="124"/>
      <c r="L12061" s="124"/>
      <c r="M12061" s="124"/>
      <c r="N12061" s="124"/>
      <c r="O12061" s="124"/>
    </row>
    <row r="12062">
      <c r="K12062" s="124"/>
      <c r="L12062" s="124"/>
      <c r="M12062" s="124"/>
      <c r="N12062" s="124"/>
      <c r="O12062" s="124"/>
    </row>
    <row r="12063">
      <c r="K12063" s="124"/>
      <c r="L12063" s="124"/>
      <c r="M12063" s="124"/>
      <c r="N12063" s="124"/>
      <c r="O12063" s="124"/>
    </row>
    <row r="12064">
      <c r="K12064" s="124"/>
      <c r="L12064" s="124"/>
      <c r="M12064" s="124"/>
      <c r="N12064" s="124"/>
      <c r="O12064" s="124"/>
    </row>
    <row r="12065">
      <c r="K12065" s="124"/>
      <c r="L12065" s="124"/>
      <c r="M12065" s="124"/>
      <c r="N12065" s="124"/>
      <c r="O12065" s="124"/>
    </row>
    <row r="12066">
      <c r="K12066" s="124"/>
      <c r="L12066" s="124"/>
      <c r="M12066" s="124"/>
      <c r="N12066" s="124"/>
      <c r="O12066" s="124"/>
    </row>
    <row r="12067">
      <c r="K12067" s="124"/>
      <c r="L12067" s="124"/>
      <c r="M12067" s="124"/>
      <c r="N12067" s="124"/>
      <c r="O12067" s="124"/>
    </row>
    <row r="12068">
      <c r="K12068" s="124"/>
      <c r="L12068" s="124"/>
      <c r="M12068" s="124"/>
      <c r="N12068" s="124"/>
      <c r="O12068" s="124"/>
    </row>
    <row r="12069">
      <c r="K12069" s="124"/>
      <c r="L12069" s="124"/>
      <c r="M12069" s="124"/>
      <c r="N12069" s="124"/>
      <c r="O12069" s="124"/>
    </row>
    <row r="12070">
      <c r="K12070" s="124"/>
      <c r="L12070" s="124"/>
      <c r="M12070" s="124"/>
      <c r="N12070" s="124"/>
      <c r="O12070" s="124"/>
    </row>
    <row r="12071">
      <c r="K12071" s="124"/>
      <c r="L12071" s="124"/>
      <c r="M12071" s="124"/>
      <c r="N12071" s="124"/>
      <c r="O12071" s="124"/>
    </row>
    <row r="12072">
      <c r="K12072" s="124"/>
      <c r="L12072" s="124"/>
      <c r="M12072" s="124"/>
      <c r="N12072" s="124"/>
      <c r="O12072" s="124"/>
    </row>
    <row r="12073">
      <c r="K12073" s="124"/>
      <c r="L12073" s="124"/>
      <c r="M12073" s="124"/>
      <c r="N12073" s="124"/>
      <c r="O12073" s="124"/>
    </row>
    <row r="12074">
      <c r="K12074" s="124"/>
      <c r="L12074" s="124"/>
      <c r="M12074" s="124"/>
      <c r="N12074" s="124"/>
      <c r="O12074" s="124"/>
    </row>
    <row r="12075">
      <c r="K12075" s="124"/>
      <c r="L12075" s="124"/>
      <c r="M12075" s="124"/>
      <c r="N12075" s="124"/>
      <c r="O12075" s="124"/>
    </row>
    <row r="12076">
      <c r="K12076" s="124"/>
      <c r="L12076" s="124"/>
      <c r="M12076" s="124"/>
      <c r="N12076" s="124"/>
      <c r="O12076" s="124"/>
    </row>
    <row r="12077">
      <c r="K12077" s="124"/>
      <c r="L12077" s="124"/>
      <c r="M12077" s="124"/>
      <c r="N12077" s="124"/>
      <c r="O12077" s="124"/>
    </row>
    <row r="12078">
      <c r="K12078" s="124"/>
      <c r="L12078" s="124"/>
      <c r="M12078" s="124"/>
      <c r="N12078" s="124"/>
      <c r="O12078" s="124"/>
    </row>
    <row r="12079">
      <c r="K12079" s="124"/>
      <c r="L12079" s="124"/>
      <c r="M12079" s="124"/>
      <c r="N12079" s="124"/>
      <c r="O12079" s="124"/>
    </row>
    <row r="12080">
      <c r="K12080" s="124"/>
      <c r="L12080" s="124"/>
      <c r="M12080" s="124"/>
      <c r="N12080" s="124"/>
      <c r="O12080" s="124"/>
    </row>
    <row r="12081">
      <c r="K12081" s="124"/>
      <c r="L12081" s="124"/>
      <c r="M12081" s="124"/>
      <c r="N12081" s="124"/>
      <c r="O12081" s="124"/>
    </row>
    <row r="12082">
      <c r="K12082" s="124"/>
      <c r="L12082" s="124"/>
      <c r="M12082" s="124"/>
      <c r="N12082" s="124"/>
      <c r="O12082" s="124"/>
    </row>
    <row r="12083">
      <c r="K12083" s="124"/>
      <c r="L12083" s="124"/>
      <c r="M12083" s="124"/>
      <c r="N12083" s="124"/>
      <c r="O12083" s="124"/>
    </row>
    <row r="12084">
      <c r="K12084" s="124"/>
      <c r="L12084" s="124"/>
      <c r="M12084" s="124"/>
      <c r="N12084" s="124"/>
      <c r="O12084" s="124"/>
    </row>
    <row r="12085">
      <c r="K12085" s="124"/>
      <c r="L12085" s="124"/>
      <c r="M12085" s="124"/>
      <c r="N12085" s="124"/>
      <c r="O12085" s="124"/>
    </row>
    <row r="12086">
      <c r="K12086" s="124"/>
      <c r="L12086" s="124"/>
      <c r="M12086" s="124"/>
      <c r="N12086" s="124"/>
      <c r="O12086" s="124"/>
    </row>
    <row r="12087">
      <c r="K12087" s="124"/>
      <c r="L12087" s="124"/>
      <c r="M12087" s="124"/>
      <c r="N12087" s="124"/>
      <c r="O12087" s="124"/>
    </row>
    <row r="12088">
      <c r="K12088" s="124"/>
      <c r="L12088" s="124"/>
      <c r="M12088" s="124"/>
      <c r="N12088" s="124"/>
      <c r="O12088" s="124"/>
    </row>
    <row r="12089">
      <c r="K12089" s="124"/>
      <c r="L12089" s="124"/>
      <c r="M12089" s="124"/>
      <c r="N12089" s="124"/>
      <c r="O12089" s="124"/>
    </row>
    <row r="12090">
      <c r="K12090" s="124"/>
      <c r="L12090" s="124"/>
      <c r="M12090" s="124"/>
      <c r="N12090" s="124"/>
      <c r="O12090" s="124"/>
    </row>
    <row r="12091">
      <c r="K12091" s="124"/>
      <c r="L12091" s="124"/>
      <c r="M12091" s="124"/>
      <c r="N12091" s="124"/>
      <c r="O12091" s="124"/>
    </row>
    <row r="12092">
      <c r="K12092" s="124"/>
      <c r="L12092" s="124"/>
      <c r="M12092" s="124"/>
      <c r="N12092" s="124"/>
      <c r="O12092" s="124"/>
    </row>
    <row r="12093">
      <c r="K12093" s="124"/>
      <c r="L12093" s="124"/>
      <c r="M12093" s="124"/>
      <c r="N12093" s="124"/>
      <c r="O12093" s="124"/>
    </row>
    <row r="12094">
      <c r="K12094" s="124"/>
      <c r="L12094" s="124"/>
      <c r="M12094" s="124"/>
      <c r="N12094" s="124"/>
      <c r="O12094" s="124"/>
    </row>
    <row r="12095">
      <c r="K12095" s="124"/>
      <c r="L12095" s="124"/>
      <c r="M12095" s="124"/>
      <c r="N12095" s="124"/>
      <c r="O12095" s="124"/>
    </row>
    <row r="12096">
      <c r="K12096" s="124"/>
      <c r="L12096" s="124"/>
      <c r="M12096" s="124"/>
      <c r="N12096" s="124"/>
      <c r="O12096" s="124"/>
    </row>
    <row r="12097">
      <c r="K12097" s="124"/>
      <c r="L12097" s="124"/>
      <c r="M12097" s="124"/>
      <c r="N12097" s="124"/>
      <c r="O12097" s="124"/>
    </row>
    <row r="12098">
      <c r="K12098" s="124"/>
      <c r="L12098" s="124"/>
      <c r="M12098" s="124"/>
      <c r="N12098" s="124"/>
      <c r="O12098" s="124"/>
    </row>
    <row r="12099">
      <c r="K12099" s="124"/>
      <c r="L12099" s="124"/>
      <c r="M12099" s="124"/>
      <c r="N12099" s="124"/>
      <c r="O12099" s="124"/>
    </row>
    <row r="12100">
      <c r="K12100" s="124"/>
      <c r="L12100" s="124"/>
      <c r="M12100" s="124"/>
      <c r="N12100" s="124"/>
      <c r="O12100" s="124"/>
    </row>
    <row r="12101">
      <c r="K12101" s="124"/>
      <c r="L12101" s="124"/>
      <c r="M12101" s="124"/>
      <c r="N12101" s="124"/>
      <c r="O12101" s="124"/>
    </row>
    <row r="12102">
      <c r="K12102" s="124"/>
      <c r="L12102" s="124"/>
      <c r="M12102" s="124"/>
      <c r="N12102" s="124"/>
      <c r="O12102" s="124"/>
    </row>
    <row r="12103">
      <c r="K12103" s="124"/>
      <c r="L12103" s="124"/>
      <c r="M12103" s="124"/>
      <c r="N12103" s="124"/>
      <c r="O12103" s="124"/>
    </row>
    <row r="12104">
      <c r="K12104" s="124"/>
      <c r="L12104" s="124"/>
      <c r="M12104" s="124"/>
      <c r="N12104" s="124"/>
      <c r="O12104" s="124"/>
    </row>
    <row r="12105">
      <c r="K12105" s="124"/>
      <c r="L12105" s="124"/>
      <c r="M12105" s="124"/>
      <c r="N12105" s="124"/>
      <c r="O12105" s="124"/>
    </row>
    <row r="12106">
      <c r="K12106" s="124"/>
      <c r="L12106" s="124"/>
      <c r="M12106" s="124"/>
      <c r="N12106" s="124"/>
      <c r="O12106" s="124"/>
    </row>
    <row r="12107">
      <c r="K12107" s="124"/>
      <c r="L12107" s="124"/>
      <c r="M12107" s="124"/>
      <c r="N12107" s="124"/>
      <c r="O12107" s="124"/>
    </row>
    <row r="12108">
      <c r="K12108" s="124"/>
      <c r="L12108" s="124"/>
      <c r="M12108" s="124"/>
      <c r="N12108" s="124"/>
      <c r="O12108" s="124"/>
    </row>
    <row r="12109">
      <c r="K12109" s="124"/>
      <c r="L12109" s="124"/>
      <c r="M12109" s="124"/>
      <c r="N12109" s="124"/>
      <c r="O12109" s="124"/>
    </row>
    <row r="12110">
      <c r="K12110" s="124"/>
      <c r="L12110" s="124"/>
      <c r="M12110" s="124"/>
      <c r="N12110" s="124"/>
      <c r="O12110" s="124"/>
    </row>
    <row r="12111">
      <c r="K12111" s="124"/>
      <c r="L12111" s="124"/>
      <c r="M12111" s="124"/>
      <c r="N12111" s="124"/>
      <c r="O12111" s="124"/>
    </row>
    <row r="12112">
      <c r="K12112" s="124"/>
      <c r="L12112" s="124"/>
      <c r="M12112" s="124"/>
      <c r="N12112" s="124"/>
      <c r="O12112" s="124"/>
    </row>
    <row r="12113">
      <c r="K12113" s="124"/>
      <c r="L12113" s="124"/>
      <c r="M12113" s="124"/>
      <c r="N12113" s="124"/>
      <c r="O12113" s="124"/>
    </row>
    <row r="12114">
      <c r="K12114" s="124"/>
      <c r="L12114" s="124"/>
      <c r="M12114" s="124"/>
      <c r="N12114" s="124"/>
      <c r="O12114" s="124"/>
    </row>
    <row r="12115">
      <c r="K12115" s="124"/>
      <c r="L12115" s="124"/>
      <c r="M12115" s="124"/>
      <c r="N12115" s="124"/>
      <c r="O12115" s="124"/>
    </row>
    <row r="12116">
      <c r="K12116" s="124"/>
      <c r="L12116" s="124"/>
      <c r="M12116" s="124"/>
      <c r="N12116" s="124"/>
      <c r="O12116" s="124"/>
    </row>
    <row r="12117">
      <c r="K12117" s="124"/>
      <c r="L12117" s="124"/>
      <c r="M12117" s="124"/>
      <c r="N12117" s="124"/>
      <c r="O12117" s="124"/>
    </row>
    <row r="12118">
      <c r="K12118" s="124"/>
      <c r="L12118" s="124"/>
      <c r="M12118" s="124"/>
      <c r="N12118" s="124"/>
      <c r="O12118" s="124"/>
    </row>
    <row r="12119">
      <c r="K12119" s="124"/>
      <c r="L12119" s="124"/>
      <c r="M12119" s="124"/>
      <c r="N12119" s="124"/>
      <c r="O12119" s="124"/>
    </row>
    <row r="12120">
      <c r="K12120" s="124"/>
      <c r="L12120" s="124"/>
      <c r="M12120" s="124"/>
      <c r="N12120" s="124"/>
      <c r="O12120" s="124"/>
    </row>
    <row r="12121">
      <c r="K12121" s="124"/>
      <c r="L12121" s="124"/>
      <c r="M12121" s="124"/>
      <c r="N12121" s="124"/>
      <c r="O12121" s="124"/>
    </row>
    <row r="12122">
      <c r="K12122" s="124"/>
      <c r="L12122" s="124"/>
      <c r="M12122" s="124"/>
      <c r="N12122" s="124"/>
      <c r="O12122" s="124"/>
    </row>
    <row r="12123">
      <c r="K12123" s="124"/>
      <c r="L12123" s="124"/>
      <c r="M12123" s="124"/>
      <c r="N12123" s="124"/>
      <c r="O12123" s="124"/>
    </row>
    <row r="12124">
      <c r="K12124" s="124"/>
      <c r="L12124" s="124"/>
      <c r="M12124" s="124"/>
      <c r="N12124" s="124"/>
      <c r="O12124" s="124"/>
    </row>
    <row r="12125">
      <c r="K12125" s="124"/>
      <c r="L12125" s="124"/>
      <c r="M12125" s="124"/>
      <c r="N12125" s="124"/>
      <c r="O12125" s="124"/>
    </row>
    <row r="12126">
      <c r="K12126" s="124"/>
      <c r="L12126" s="124"/>
      <c r="M12126" s="124"/>
      <c r="N12126" s="124"/>
      <c r="O12126" s="124"/>
    </row>
    <row r="12127">
      <c r="K12127" s="124"/>
      <c r="L12127" s="124"/>
      <c r="M12127" s="124"/>
      <c r="N12127" s="124"/>
      <c r="O12127" s="124"/>
    </row>
    <row r="12128">
      <c r="K12128" s="124"/>
      <c r="L12128" s="124"/>
      <c r="M12128" s="124"/>
      <c r="N12128" s="124"/>
      <c r="O12128" s="124"/>
    </row>
    <row r="12129">
      <c r="K12129" s="124"/>
      <c r="L12129" s="124"/>
      <c r="M12129" s="124"/>
      <c r="N12129" s="124"/>
      <c r="O12129" s="124"/>
    </row>
    <row r="12130">
      <c r="K12130" s="124"/>
      <c r="L12130" s="124"/>
      <c r="M12130" s="124"/>
      <c r="N12130" s="124"/>
      <c r="O12130" s="124"/>
    </row>
    <row r="12131">
      <c r="K12131" s="124"/>
      <c r="L12131" s="124"/>
      <c r="M12131" s="124"/>
      <c r="N12131" s="124"/>
      <c r="O12131" s="124"/>
    </row>
    <row r="12132">
      <c r="K12132" s="124"/>
      <c r="L12132" s="124"/>
      <c r="M12132" s="124"/>
      <c r="N12132" s="124"/>
      <c r="O12132" s="124"/>
    </row>
    <row r="12133">
      <c r="K12133" s="124"/>
      <c r="L12133" s="124"/>
      <c r="M12133" s="124"/>
      <c r="N12133" s="124"/>
      <c r="O12133" s="124"/>
    </row>
    <row r="12134">
      <c r="K12134" s="124"/>
      <c r="L12134" s="124"/>
      <c r="M12134" s="124"/>
      <c r="N12134" s="124"/>
      <c r="O12134" s="124"/>
    </row>
    <row r="12135">
      <c r="K12135" s="124"/>
      <c r="L12135" s="124"/>
      <c r="M12135" s="124"/>
      <c r="N12135" s="124"/>
      <c r="O12135" s="124"/>
    </row>
    <row r="12136">
      <c r="K12136" s="124"/>
      <c r="L12136" s="124"/>
      <c r="M12136" s="124"/>
      <c r="N12136" s="124"/>
      <c r="O12136" s="124"/>
    </row>
    <row r="12137">
      <c r="K12137" s="124"/>
      <c r="L12137" s="124"/>
      <c r="M12137" s="124"/>
      <c r="N12137" s="124"/>
      <c r="O12137" s="124"/>
    </row>
    <row r="12138">
      <c r="K12138" s="124"/>
      <c r="L12138" s="124"/>
      <c r="M12138" s="124"/>
      <c r="N12138" s="124"/>
      <c r="O12138" s="124"/>
    </row>
    <row r="12139">
      <c r="K12139" s="124"/>
      <c r="L12139" s="124"/>
      <c r="M12139" s="124"/>
      <c r="N12139" s="124"/>
      <c r="O12139" s="124"/>
    </row>
    <row r="12140">
      <c r="K12140" s="124"/>
      <c r="L12140" s="124"/>
      <c r="M12140" s="124"/>
      <c r="N12140" s="124"/>
      <c r="O12140" s="124"/>
    </row>
    <row r="12141">
      <c r="K12141" s="124"/>
      <c r="L12141" s="124"/>
      <c r="M12141" s="124"/>
      <c r="N12141" s="124"/>
      <c r="O12141" s="124"/>
    </row>
    <row r="12142">
      <c r="K12142" s="124"/>
      <c r="L12142" s="124"/>
      <c r="M12142" s="124"/>
      <c r="N12142" s="124"/>
      <c r="O12142" s="124"/>
    </row>
    <row r="12143">
      <c r="K12143" s="124"/>
      <c r="L12143" s="124"/>
      <c r="M12143" s="124"/>
      <c r="N12143" s="124"/>
      <c r="O12143" s="124"/>
    </row>
    <row r="12144">
      <c r="K12144" s="124"/>
      <c r="L12144" s="124"/>
      <c r="M12144" s="124"/>
      <c r="N12144" s="124"/>
      <c r="O12144" s="124"/>
    </row>
    <row r="12145">
      <c r="K12145" s="124"/>
      <c r="L12145" s="124"/>
      <c r="M12145" s="124"/>
      <c r="N12145" s="124"/>
      <c r="O12145" s="124"/>
    </row>
    <row r="12146">
      <c r="K12146" s="124"/>
      <c r="L12146" s="124"/>
      <c r="M12146" s="124"/>
      <c r="N12146" s="124"/>
      <c r="O12146" s="124"/>
    </row>
    <row r="12147">
      <c r="K12147" s="124"/>
      <c r="L12147" s="124"/>
      <c r="M12147" s="124"/>
      <c r="N12147" s="124"/>
      <c r="O12147" s="124"/>
    </row>
    <row r="12148">
      <c r="K12148" s="124"/>
      <c r="L12148" s="124"/>
      <c r="M12148" s="124"/>
      <c r="N12148" s="124"/>
      <c r="O12148" s="124"/>
    </row>
    <row r="12149">
      <c r="K12149" s="124"/>
      <c r="L12149" s="124"/>
      <c r="M12149" s="124"/>
      <c r="N12149" s="124"/>
      <c r="O12149" s="124"/>
    </row>
    <row r="12150">
      <c r="K12150" s="124"/>
      <c r="L12150" s="124"/>
      <c r="M12150" s="124"/>
      <c r="N12150" s="124"/>
      <c r="O12150" s="124"/>
    </row>
    <row r="12151">
      <c r="K12151" s="124"/>
      <c r="L12151" s="124"/>
      <c r="M12151" s="124"/>
      <c r="N12151" s="124"/>
      <c r="O12151" s="124"/>
    </row>
    <row r="12152">
      <c r="K12152" s="124"/>
      <c r="L12152" s="124"/>
      <c r="M12152" s="124"/>
      <c r="N12152" s="124"/>
      <c r="O12152" s="124"/>
    </row>
    <row r="12153">
      <c r="K12153" s="124"/>
      <c r="L12153" s="124"/>
      <c r="M12153" s="124"/>
      <c r="N12153" s="124"/>
      <c r="O12153" s="124"/>
    </row>
    <row r="12154">
      <c r="K12154" s="124"/>
      <c r="L12154" s="124"/>
      <c r="M12154" s="124"/>
      <c r="N12154" s="124"/>
      <c r="O12154" s="124"/>
    </row>
    <row r="12155">
      <c r="K12155" s="124"/>
      <c r="L12155" s="124"/>
      <c r="M12155" s="124"/>
      <c r="N12155" s="124"/>
      <c r="O12155" s="124"/>
    </row>
    <row r="12156">
      <c r="K12156" s="124"/>
      <c r="L12156" s="124"/>
      <c r="M12156" s="124"/>
      <c r="N12156" s="124"/>
      <c r="O12156" s="124"/>
    </row>
    <row r="12157">
      <c r="K12157" s="124"/>
      <c r="L12157" s="124"/>
      <c r="M12157" s="124"/>
      <c r="N12157" s="124"/>
      <c r="O12157" s="124"/>
    </row>
    <row r="12158">
      <c r="K12158" s="124"/>
      <c r="L12158" s="124"/>
      <c r="M12158" s="124"/>
      <c r="N12158" s="124"/>
      <c r="O12158" s="124"/>
    </row>
    <row r="12159">
      <c r="K12159" s="124"/>
      <c r="L12159" s="124"/>
      <c r="M12159" s="124"/>
      <c r="N12159" s="124"/>
      <c r="O12159" s="124"/>
    </row>
    <row r="12160">
      <c r="K12160" s="124"/>
      <c r="L12160" s="124"/>
      <c r="M12160" s="124"/>
      <c r="N12160" s="124"/>
      <c r="O12160" s="124"/>
    </row>
    <row r="12161">
      <c r="K12161" s="124"/>
      <c r="L12161" s="124"/>
      <c r="M12161" s="124"/>
      <c r="N12161" s="124"/>
      <c r="O12161" s="124"/>
    </row>
    <row r="12162">
      <c r="K12162" s="124"/>
      <c r="L12162" s="124"/>
      <c r="M12162" s="124"/>
      <c r="N12162" s="124"/>
      <c r="O12162" s="124"/>
    </row>
    <row r="12163">
      <c r="K12163" s="124"/>
      <c r="L12163" s="124"/>
      <c r="M12163" s="124"/>
      <c r="N12163" s="124"/>
      <c r="O12163" s="124"/>
    </row>
    <row r="12164">
      <c r="K12164" s="124"/>
      <c r="L12164" s="124"/>
      <c r="M12164" s="124"/>
      <c r="N12164" s="124"/>
      <c r="O12164" s="124"/>
    </row>
    <row r="12165">
      <c r="K12165" s="124"/>
      <c r="L12165" s="124"/>
      <c r="M12165" s="124"/>
      <c r="N12165" s="124"/>
      <c r="O12165" s="124"/>
    </row>
    <row r="12166">
      <c r="K12166" s="124"/>
      <c r="L12166" s="124"/>
      <c r="M12166" s="124"/>
      <c r="N12166" s="124"/>
      <c r="O12166" s="124"/>
    </row>
    <row r="12167">
      <c r="K12167" s="124"/>
      <c r="L12167" s="124"/>
      <c r="M12167" s="124"/>
      <c r="N12167" s="124"/>
      <c r="O12167" s="124"/>
    </row>
    <row r="12168">
      <c r="K12168" s="124"/>
      <c r="L12168" s="124"/>
      <c r="M12168" s="124"/>
      <c r="N12168" s="124"/>
      <c r="O12168" s="124"/>
    </row>
    <row r="12169">
      <c r="K12169" s="124"/>
      <c r="L12169" s="124"/>
      <c r="M12169" s="124"/>
      <c r="N12169" s="124"/>
      <c r="O12169" s="124"/>
    </row>
    <row r="12170">
      <c r="K12170" s="124"/>
      <c r="L12170" s="124"/>
      <c r="M12170" s="124"/>
      <c r="N12170" s="124"/>
      <c r="O12170" s="124"/>
    </row>
    <row r="12171">
      <c r="K12171" s="124"/>
      <c r="L12171" s="124"/>
      <c r="M12171" s="124"/>
      <c r="N12171" s="124"/>
      <c r="O12171" s="124"/>
    </row>
    <row r="12172">
      <c r="K12172" s="124"/>
      <c r="L12172" s="124"/>
      <c r="M12172" s="124"/>
      <c r="N12172" s="124"/>
      <c r="O12172" s="124"/>
    </row>
    <row r="12173">
      <c r="K12173" s="124"/>
      <c r="L12173" s="124"/>
      <c r="M12173" s="124"/>
      <c r="N12173" s="124"/>
      <c r="O12173" s="124"/>
    </row>
    <row r="12174">
      <c r="K12174" s="124"/>
      <c r="L12174" s="124"/>
      <c r="M12174" s="124"/>
      <c r="N12174" s="124"/>
      <c r="O12174" s="124"/>
    </row>
    <row r="12175">
      <c r="K12175" s="124"/>
      <c r="L12175" s="124"/>
      <c r="M12175" s="124"/>
      <c r="N12175" s="124"/>
      <c r="O12175" s="124"/>
    </row>
    <row r="12176">
      <c r="K12176" s="124"/>
      <c r="L12176" s="124"/>
      <c r="M12176" s="124"/>
      <c r="N12176" s="124"/>
      <c r="O12176" s="124"/>
    </row>
    <row r="12177">
      <c r="K12177" s="124"/>
      <c r="L12177" s="124"/>
      <c r="M12177" s="124"/>
      <c r="N12177" s="124"/>
      <c r="O12177" s="124"/>
    </row>
    <row r="12178">
      <c r="K12178" s="124"/>
      <c r="L12178" s="124"/>
      <c r="M12178" s="124"/>
      <c r="N12178" s="124"/>
      <c r="O12178" s="124"/>
    </row>
    <row r="12179">
      <c r="K12179" s="124"/>
      <c r="L12179" s="124"/>
      <c r="M12179" s="124"/>
      <c r="N12179" s="124"/>
      <c r="O12179" s="124"/>
    </row>
    <row r="12180">
      <c r="K12180" s="124"/>
      <c r="L12180" s="124"/>
      <c r="M12180" s="124"/>
      <c r="N12180" s="124"/>
      <c r="O12180" s="124"/>
    </row>
    <row r="12181">
      <c r="K12181" s="124"/>
      <c r="L12181" s="124"/>
      <c r="M12181" s="124"/>
      <c r="N12181" s="124"/>
      <c r="O12181" s="124"/>
    </row>
    <row r="12182">
      <c r="K12182" s="124"/>
      <c r="L12182" s="124"/>
      <c r="M12182" s="124"/>
      <c r="N12182" s="124"/>
      <c r="O12182" s="124"/>
    </row>
    <row r="12183">
      <c r="K12183" s="124"/>
      <c r="L12183" s="124"/>
      <c r="M12183" s="124"/>
      <c r="N12183" s="124"/>
      <c r="O12183" s="124"/>
    </row>
    <row r="12184">
      <c r="K12184" s="124"/>
      <c r="L12184" s="124"/>
      <c r="M12184" s="124"/>
      <c r="N12184" s="124"/>
      <c r="O12184" s="124"/>
    </row>
    <row r="12185">
      <c r="K12185" s="124"/>
      <c r="L12185" s="124"/>
      <c r="M12185" s="124"/>
      <c r="N12185" s="124"/>
      <c r="O12185" s="124"/>
    </row>
    <row r="12186">
      <c r="K12186" s="124"/>
      <c r="L12186" s="124"/>
      <c r="M12186" s="124"/>
      <c r="N12186" s="124"/>
      <c r="O12186" s="124"/>
    </row>
    <row r="12187">
      <c r="K12187" s="124"/>
      <c r="L12187" s="124"/>
      <c r="M12187" s="124"/>
      <c r="N12187" s="124"/>
      <c r="O12187" s="124"/>
    </row>
    <row r="12188">
      <c r="K12188" s="124"/>
      <c r="L12188" s="124"/>
      <c r="M12188" s="124"/>
      <c r="N12188" s="124"/>
      <c r="O12188" s="124"/>
    </row>
    <row r="12189">
      <c r="K12189" s="124"/>
      <c r="L12189" s="124"/>
      <c r="M12189" s="124"/>
      <c r="N12189" s="124"/>
      <c r="O12189" s="124"/>
    </row>
    <row r="12190">
      <c r="K12190" s="124"/>
      <c r="L12190" s="124"/>
      <c r="M12190" s="124"/>
      <c r="N12190" s="124"/>
      <c r="O12190" s="124"/>
    </row>
    <row r="12191">
      <c r="K12191" s="124"/>
      <c r="L12191" s="124"/>
      <c r="M12191" s="124"/>
      <c r="N12191" s="124"/>
      <c r="O12191" s="124"/>
    </row>
    <row r="12192">
      <c r="K12192" s="124"/>
      <c r="L12192" s="124"/>
      <c r="M12192" s="124"/>
      <c r="N12192" s="124"/>
      <c r="O12192" s="124"/>
    </row>
    <row r="12193">
      <c r="K12193" s="124"/>
      <c r="L12193" s="124"/>
      <c r="M12193" s="124"/>
      <c r="N12193" s="124"/>
      <c r="O12193" s="124"/>
    </row>
    <row r="12194">
      <c r="K12194" s="124"/>
      <c r="L12194" s="124"/>
      <c r="M12194" s="124"/>
      <c r="N12194" s="124"/>
      <c r="O12194" s="124"/>
    </row>
    <row r="12195">
      <c r="K12195" s="124"/>
      <c r="L12195" s="124"/>
      <c r="M12195" s="124"/>
      <c r="N12195" s="124"/>
      <c r="O12195" s="124"/>
    </row>
    <row r="12196">
      <c r="K12196" s="124"/>
      <c r="L12196" s="124"/>
      <c r="M12196" s="124"/>
      <c r="N12196" s="124"/>
      <c r="O12196" s="124"/>
    </row>
    <row r="12197">
      <c r="K12197" s="124"/>
      <c r="L12197" s="124"/>
      <c r="M12197" s="124"/>
      <c r="N12197" s="124"/>
      <c r="O12197" s="124"/>
    </row>
    <row r="12198">
      <c r="K12198" s="124"/>
      <c r="L12198" s="124"/>
      <c r="M12198" s="124"/>
      <c r="N12198" s="124"/>
      <c r="O12198" s="124"/>
    </row>
    <row r="12199">
      <c r="K12199" s="124"/>
      <c r="L12199" s="124"/>
      <c r="M12199" s="124"/>
      <c r="N12199" s="124"/>
      <c r="O12199" s="124"/>
    </row>
    <row r="12200">
      <c r="K12200" s="124"/>
      <c r="L12200" s="124"/>
      <c r="M12200" s="124"/>
      <c r="N12200" s="124"/>
      <c r="O12200" s="124"/>
    </row>
    <row r="12201">
      <c r="K12201" s="124"/>
      <c r="L12201" s="124"/>
      <c r="M12201" s="124"/>
      <c r="N12201" s="124"/>
      <c r="O12201" s="124"/>
    </row>
    <row r="12202">
      <c r="K12202" s="124"/>
      <c r="L12202" s="124"/>
      <c r="M12202" s="124"/>
      <c r="N12202" s="124"/>
      <c r="O12202" s="124"/>
    </row>
    <row r="12203">
      <c r="K12203" s="124"/>
      <c r="L12203" s="124"/>
      <c r="M12203" s="124"/>
      <c r="N12203" s="124"/>
      <c r="O12203" s="124"/>
    </row>
    <row r="12204">
      <c r="K12204" s="124"/>
      <c r="L12204" s="124"/>
      <c r="M12204" s="124"/>
      <c r="N12204" s="124"/>
      <c r="O12204" s="124"/>
    </row>
    <row r="12205">
      <c r="K12205" s="124"/>
      <c r="L12205" s="124"/>
      <c r="M12205" s="124"/>
      <c r="N12205" s="124"/>
      <c r="O12205" s="124"/>
    </row>
    <row r="12206">
      <c r="K12206" s="124"/>
      <c r="L12206" s="124"/>
      <c r="M12206" s="124"/>
      <c r="N12206" s="124"/>
      <c r="O12206" s="124"/>
    </row>
    <row r="12207">
      <c r="K12207" s="124"/>
      <c r="L12207" s="124"/>
      <c r="M12207" s="124"/>
      <c r="N12207" s="124"/>
      <c r="O12207" s="124"/>
    </row>
    <row r="12208">
      <c r="K12208" s="124"/>
      <c r="L12208" s="124"/>
      <c r="M12208" s="124"/>
      <c r="N12208" s="124"/>
      <c r="O12208" s="124"/>
    </row>
    <row r="12209">
      <c r="K12209" s="124"/>
      <c r="L12209" s="124"/>
      <c r="M12209" s="124"/>
      <c r="N12209" s="124"/>
      <c r="O12209" s="124"/>
    </row>
    <row r="12210">
      <c r="K12210" s="124"/>
      <c r="L12210" s="124"/>
      <c r="M12210" s="124"/>
      <c r="N12210" s="124"/>
      <c r="O12210" s="124"/>
    </row>
    <row r="12211">
      <c r="K12211" s="124"/>
      <c r="L12211" s="124"/>
      <c r="M12211" s="124"/>
      <c r="N12211" s="124"/>
      <c r="O12211" s="124"/>
    </row>
    <row r="12212">
      <c r="K12212" s="124"/>
      <c r="L12212" s="124"/>
      <c r="M12212" s="124"/>
      <c r="N12212" s="124"/>
      <c r="O12212" s="124"/>
    </row>
    <row r="12213">
      <c r="K12213" s="124"/>
      <c r="L12213" s="124"/>
      <c r="M12213" s="124"/>
      <c r="N12213" s="124"/>
      <c r="O12213" s="124"/>
    </row>
    <row r="12214">
      <c r="K12214" s="124"/>
      <c r="L12214" s="124"/>
      <c r="M12214" s="124"/>
      <c r="N12214" s="124"/>
      <c r="O12214" s="124"/>
    </row>
    <row r="12215">
      <c r="K12215" s="124"/>
      <c r="L12215" s="124"/>
      <c r="M12215" s="124"/>
      <c r="N12215" s="124"/>
      <c r="O12215" s="124"/>
    </row>
    <row r="12216">
      <c r="K12216" s="124"/>
      <c r="L12216" s="124"/>
      <c r="M12216" s="124"/>
      <c r="N12216" s="124"/>
      <c r="O12216" s="124"/>
    </row>
    <row r="12217">
      <c r="K12217" s="124"/>
      <c r="L12217" s="124"/>
      <c r="M12217" s="124"/>
      <c r="N12217" s="124"/>
      <c r="O12217" s="124"/>
    </row>
    <row r="12218">
      <c r="K12218" s="124"/>
      <c r="L12218" s="124"/>
      <c r="M12218" s="124"/>
      <c r="N12218" s="124"/>
      <c r="O12218" s="124"/>
    </row>
    <row r="12219">
      <c r="K12219" s="124"/>
      <c r="L12219" s="124"/>
      <c r="M12219" s="124"/>
      <c r="N12219" s="124"/>
      <c r="O12219" s="124"/>
    </row>
    <row r="12220">
      <c r="K12220" s="124"/>
      <c r="L12220" s="124"/>
      <c r="M12220" s="124"/>
      <c r="N12220" s="124"/>
      <c r="O12220" s="124"/>
    </row>
    <row r="12221">
      <c r="K12221" s="124"/>
      <c r="L12221" s="124"/>
      <c r="M12221" s="124"/>
      <c r="N12221" s="124"/>
      <c r="O12221" s="124"/>
    </row>
    <row r="12222">
      <c r="K12222" s="124"/>
      <c r="L12222" s="124"/>
      <c r="M12222" s="124"/>
      <c r="N12222" s="124"/>
      <c r="O12222" s="124"/>
    </row>
    <row r="12223">
      <c r="K12223" s="124"/>
      <c r="L12223" s="124"/>
      <c r="M12223" s="124"/>
      <c r="N12223" s="124"/>
      <c r="O12223" s="124"/>
    </row>
    <row r="12224">
      <c r="K12224" s="124"/>
      <c r="L12224" s="124"/>
      <c r="M12224" s="124"/>
      <c r="N12224" s="124"/>
      <c r="O12224" s="124"/>
    </row>
    <row r="12225">
      <c r="K12225" s="124"/>
      <c r="L12225" s="124"/>
      <c r="M12225" s="124"/>
      <c r="N12225" s="124"/>
      <c r="O12225" s="124"/>
    </row>
    <row r="12226">
      <c r="K12226" s="124"/>
      <c r="L12226" s="124"/>
      <c r="M12226" s="124"/>
      <c r="N12226" s="124"/>
      <c r="O12226" s="124"/>
    </row>
    <row r="12227">
      <c r="K12227" s="124"/>
      <c r="L12227" s="124"/>
      <c r="M12227" s="124"/>
      <c r="N12227" s="124"/>
      <c r="O12227" s="124"/>
    </row>
    <row r="12228">
      <c r="K12228" s="124"/>
      <c r="L12228" s="124"/>
      <c r="M12228" s="124"/>
      <c r="N12228" s="124"/>
      <c r="O12228" s="124"/>
    </row>
    <row r="12229">
      <c r="K12229" s="124"/>
      <c r="L12229" s="124"/>
      <c r="M12229" s="124"/>
      <c r="N12229" s="124"/>
      <c r="O12229" s="124"/>
    </row>
    <row r="12230">
      <c r="K12230" s="124"/>
      <c r="L12230" s="124"/>
      <c r="M12230" s="124"/>
      <c r="N12230" s="124"/>
      <c r="O12230" s="124"/>
    </row>
    <row r="12231">
      <c r="K12231" s="124"/>
      <c r="L12231" s="124"/>
      <c r="M12231" s="124"/>
      <c r="N12231" s="124"/>
      <c r="O12231" s="124"/>
    </row>
    <row r="12232">
      <c r="K12232" s="124"/>
      <c r="L12232" s="124"/>
      <c r="M12232" s="124"/>
      <c r="N12232" s="124"/>
      <c r="O12232" s="124"/>
    </row>
    <row r="12233">
      <c r="K12233" s="124"/>
      <c r="L12233" s="124"/>
      <c r="M12233" s="124"/>
      <c r="N12233" s="124"/>
      <c r="O12233" s="124"/>
    </row>
    <row r="12234">
      <c r="K12234" s="124"/>
      <c r="L12234" s="124"/>
      <c r="M12234" s="124"/>
      <c r="N12234" s="124"/>
      <c r="O12234" s="124"/>
    </row>
    <row r="12235">
      <c r="K12235" s="124"/>
      <c r="L12235" s="124"/>
      <c r="M12235" s="124"/>
      <c r="N12235" s="124"/>
      <c r="O12235" s="124"/>
    </row>
    <row r="12236">
      <c r="K12236" s="124"/>
      <c r="L12236" s="124"/>
      <c r="M12236" s="124"/>
      <c r="N12236" s="124"/>
      <c r="O12236" s="124"/>
    </row>
    <row r="12237">
      <c r="K12237" s="124"/>
      <c r="L12237" s="124"/>
      <c r="M12237" s="124"/>
      <c r="N12237" s="124"/>
      <c r="O12237" s="124"/>
    </row>
    <row r="12238">
      <c r="K12238" s="124"/>
      <c r="L12238" s="124"/>
      <c r="M12238" s="124"/>
      <c r="N12238" s="124"/>
      <c r="O12238" s="124"/>
    </row>
    <row r="12239">
      <c r="K12239" s="124"/>
      <c r="L12239" s="124"/>
      <c r="M12239" s="124"/>
      <c r="N12239" s="124"/>
      <c r="O12239" s="124"/>
    </row>
    <row r="12240">
      <c r="K12240" s="124"/>
      <c r="L12240" s="124"/>
      <c r="M12240" s="124"/>
      <c r="N12240" s="124"/>
      <c r="O12240" s="124"/>
    </row>
    <row r="12241">
      <c r="K12241" s="124"/>
      <c r="L12241" s="124"/>
      <c r="M12241" s="124"/>
      <c r="N12241" s="124"/>
      <c r="O12241" s="124"/>
    </row>
    <row r="12242">
      <c r="K12242" s="124"/>
      <c r="L12242" s="124"/>
      <c r="M12242" s="124"/>
      <c r="N12242" s="124"/>
      <c r="O12242" s="124"/>
    </row>
    <row r="12243">
      <c r="K12243" s="124"/>
      <c r="L12243" s="124"/>
      <c r="M12243" s="124"/>
      <c r="N12243" s="124"/>
      <c r="O12243" s="124"/>
    </row>
    <row r="12244">
      <c r="K12244" s="124"/>
      <c r="L12244" s="124"/>
      <c r="M12244" s="124"/>
      <c r="N12244" s="124"/>
      <c r="O12244" s="124"/>
    </row>
    <row r="12245">
      <c r="K12245" s="124"/>
      <c r="L12245" s="124"/>
      <c r="M12245" s="124"/>
      <c r="N12245" s="124"/>
      <c r="O12245" s="124"/>
    </row>
    <row r="12246">
      <c r="K12246" s="124"/>
      <c r="L12246" s="124"/>
      <c r="M12246" s="124"/>
      <c r="N12246" s="124"/>
      <c r="O12246" s="124"/>
    </row>
    <row r="12247">
      <c r="K12247" s="124"/>
      <c r="L12247" s="124"/>
      <c r="M12247" s="124"/>
      <c r="N12247" s="124"/>
      <c r="O12247" s="124"/>
    </row>
    <row r="12248">
      <c r="K12248" s="124"/>
      <c r="L12248" s="124"/>
      <c r="M12248" s="124"/>
      <c r="N12248" s="124"/>
      <c r="O12248" s="124"/>
    </row>
    <row r="12249">
      <c r="K12249" s="124"/>
      <c r="L12249" s="124"/>
      <c r="M12249" s="124"/>
      <c r="N12249" s="124"/>
      <c r="O12249" s="124"/>
    </row>
    <row r="12250">
      <c r="K12250" s="124"/>
      <c r="L12250" s="124"/>
      <c r="M12250" s="124"/>
      <c r="N12250" s="124"/>
      <c r="O12250" s="124"/>
    </row>
    <row r="12251">
      <c r="K12251" s="124"/>
      <c r="L12251" s="124"/>
      <c r="M12251" s="124"/>
      <c r="N12251" s="124"/>
      <c r="O12251" s="124"/>
    </row>
    <row r="12252">
      <c r="K12252" s="124"/>
      <c r="L12252" s="124"/>
      <c r="M12252" s="124"/>
      <c r="N12252" s="124"/>
      <c r="O12252" s="124"/>
    </row>
    <row r="12253">
      <c r="K12253" s="124"/>
      <c r="L12253" s="124"/>
      <c r="M12253" s="124"/>
      <c r="N12253" s="124"/>
      <c r="O12253" s="124"/>
    </row>
    <row r="12254">
      <c r="K12254" s="124"/>
      <c r="L12254" s="124"/>
      <c r="M12254" s="124"/>
      <c r="N12254" s="124"/>
      <c r="O12254" s="124"/>
    </row>
    <row r="12255">
      <c r="K12255" s="124"/>
      <c r="L12255" s="124"/>
      <c r="M12255" s="124"/>
      <c r="N12255" s="124"/>
      <c r="O12255" s="124"/>
    </row>
    <row r="12256">
      <c r="K12256" s="124"/>
      <c r="L12256" s="124"/>
      <c r="M12256" s="124"/>
      <c r="N12256" s="124"/>
      <c r="O12256" s="124"/>
    </row>
    <row r="12257">
      <c r="K12257" s="124"/>
      <c r="L12257" s="124"/>
      <c r="M12257" s="124"/>
      <c r="N12257" s="124"/>
      <c r="O12257" s="124"/>
    </row>
    <row r="12258">
      <c r="K12258" s="124"/>
      <c r="L12258" s="124"/>
      <c r="M12258" s="124"/>
      <c r="N12258" s="124"/>
      <c r="O12258" s="124"/>
    </row>
    <row r="12259">
      <c r="K12259" s="124"/>
      <c r="L12259" s="124"/>
      <c r="M12259" s="124"/>
      <c r="N12259" s="124"/>
      <c r="O12259" s="124"/>
    </row>
    <row r="12260">
      <c r="K12260" s="124"/>
      <c r="L12260" s="124"/>
      <c r="M12260" s="124"/>
      <c r="N12260" s="124"/>
      <c r="O12260" s="124"/>
    </row>
    <row r="12261">
      <c r="K12261" s="124"/>
      <c r="L12261" s="124"/>
      <c r="M12261" s="124"/>
      <c r="N12261" s="124"/>
      <c r="O12261" s="124"/>
    </row>
    <row r="12262">
      <c r="K12262" s="124"/>
      <c r="L12262" s="124"/>
      <c r="M12262" s="124"/>
      <c r="N12262" s="124"/>
      <c r="O12262" s="124"/>
    </row>
    <row r="12263">
      <c r="K12263" s="124"/>
      <c r="L12263" s="124"/>
      <c r="M12263" s="124"/>
      <c r="N12263" s="124"/>
      <c r="O12263" s="124"/>
    </row>
    <row r="12264">
      <c r="K12264" s="124"/>
      <c r="L12264" s="124"/>
      <c r="M12264" s="124"/>
      <c r="N12264" s="124"/>
      <c r="O12264" s="124"/>
    </row>
    <row r="12265">
      <c r="K12265" s="124"/>
      <c r="L12265" s="124"/>
      <c r="M12265" s="124"/>
      <c r="N12265" s="124"/>
      <c r="O12265" s="124"/>
    </row>
    <row r="12266">
      <c r="K12266" s="124"/>
      <c r="L12266" s="124"/>
      <c r="M12266" s="124"/>
      <c r="N12266" s="124"/>
      <c r="O12266" s="124"/>
    </row>
    <row r="12267">
      <c r="K12267" s="124"/>
      <c r="L12267" s="124"/>
      <c r="M12267" s="124"/>
      <c r="N12267" s="124"/>
      <c r="O12267" s="124"/>
    </row>
    <row r="12268">
      <c r="K12268" s="124"/>
      <c r="L12268" s="124"/>
      <c r="M12268" s="124"/>
      <c r="N12268" s="124"/>
      <c r="O12268" s="124"/>
    </row>
    <row r="12269">
      <c r="K12269" s="124"/>
      <c r="L12269" s="124"/>
      <c r="M12269" s="124"/>
      <c r="N12269" s="124"/>
      <c r="O12269" s="124"/>
    </row>
    <row r="12270">
      <c r="K12270" s="124"/>
      <c r="L12270" s="124"/>
      <c r="M12270" s="124"/>
      <c r="N12270" s="124"/>
      <c r="O12270" s="124"/>
    </row>
    <row r="12271">
      <c r="K12271" s="124"/>
      <c r="L12271" s="124"/>
      <c r="M12271" s="124"/>
      <c r="N12271" s="124"/>
      <c r="O12271" s="124"/>
    </row>
    <row r="12272">
      <c r="K12272" s="124"/>
      <c r="L12272" s="124"/>
      <c r="M12272" s="124"/>
      <c r="N12272" s="124"/>
      <c r="O12272" s="124"/>
    </row>
    <row r="12273">
      <c r="K12273" s="124"/>
      <c r="L12273" s="124"/>
      <c r="M12273" s="124"/>
      <c r="N12273" s="124"/>
      <c r="O12273" s="124"/>
    </row>
    <row r="12274">
      <c r="K12274" s="124"/>
      <c r="L12274" s="124"/>
      <c r="M12274" s="124"/>
      <c r="N12274" s="124"/>
      <c r="O12274" s="124"/>
    </row>
    <row r="12275">
      <c r="K12275" s="124"/>
      <c r="L12275" s="124"/>
      <c r="M12275" s="124"/>
      <c r="N12275" s="124"/>
      <c r="O12275" s="124"/>
    </row>
    <row r="12276">
      <c r="K12276" s="124"/>
      <c r="L12276" s="124"/>
      <c r="M12276" s="124"/>
      <c r="N12276" s="124"/>
      <c r="O12276" s="124"/>
    </row>
    <row r="12277">
      <c r="K12277" s="124"/>
      <c r="L12277" s="124"/>
      <c r="M12277" s="124"/>
      <c r="N12277" s="124"/>
      <c r="O12277" s="124"/>
    </row>
    <row r="12278">
      <c r="K12278" s="124"/>
      <c r="L12278" s="124"/>
      <c r="M12278" s="124"/>
      <c r="N12278" s="124"/>
      <c r="O12278" s="124"/>
    </row>
    <row r="12279">
      <c r="K12279" s="124"/>
      <c r="L12279" s="124"/>
      <c r="M12279" s="124"/>
      <c r="N12279" s="124"/>
      <c r="O12279" s="124"/>
    </row>
    <row r="12280">
      <c r="K12280" s="124"/>
      <c r="L12280" s="124"/>
      <c r="M12280" s="124"/>
      <c r="N12280" s="124"/>
      <c r="O12280" s="124"/>
    </row>
    <row r="12281">
      <c r="K12281" s="124"/>
      <c r="L12281" s="124"/>
      <c r="M12281" s="124"/>
      <c r="N12281" s="124"/>
      <c r="O12281" s="124"/>
    </row>
    <row r="12282">
      <c r="K12282" s="124"/>
      <c r="L12282" s="124"/>
      <c r="M12282" s="124"/>
      <c r="N12282" s="124"/>
      <c r="O12282" s="124"/>
    </row>
    <row r="12283">
      <c r="K12283" s="124"/>
      <c r="L12283" s="124"/>
      <c r="M12283" s="124"/>
      <c r="N12283" s="124"/>
      <c r="O12283" s="124"/>
    </row>
    <row r="12284">
      <c r="K12284" s="124"/>
      <c r="L12284" s="124"/>
      <c r="M12284" s="124"/>
      <c r="N12284" s="124"/>
      <c r="O12284" s="124"/>
    </row>
    <row r="12285">
      <c r="K12285" s="124"/>
      <c r="L12285" s="124"/>
      <c r="M12285" s="124"/>
      <c r="N12285" s="124"/>
      <c r="O12285" s="124"/>
    </row>
    <row r="12286">
      <c r="K12286" s="124"/>
      <c r="L12286" s="124"/>
      <c r="M12286" s="124"/>
      <c r="N12286" s="124"/>
      <c r="O12286" s="124"/>
    </row>
    <row r="12287">
      <c r="K12287" s="124"/>
      <c r="L12287" s="124"/>
      <c r="M12287" s="124"/>
      <c r="N12287" s="124"/>
      <c r="O12287" s="124"/>
    </row>
    <row r="12288">
      <c r="K12288" s="124"/>
      <c r="L12288" s="124"/>
      <c r="M12288" s="124"/>
      <c r="N12288" s="124"/>
      <c r="O12288" s="124"/>
    </row>
    <row r="12289">
      <c r="K12289" s="124"/>
      <c r="L12289" s="124"/>
      <c r="M12289" s="124"/>
      <c r="N12289" s="124"/>
      <c r="O12289" s="124"/>
    </row>
    <row r="12290">
      <c r="K12290" s="124"/>
      <c r="L12290" s="124"/>
      <c r="M12290" s="124"/>
      <c r="N12290" s="124"/>
      <c r="O12290" s="124"/>
    </row>
    <row r="12291">
      <c r="K12291" s="124"/>
      <c r="L12291" s="124"/>
      <c r="M12291" s="124"/>
      <c r="N12291" s="124"/>
      <c r="O12291" s="124"/>
    </row>
    <row r="12292">
      <c r="K12292" s="124"/>
      <c r="L12292" s="124"/>
      <c r="M12292" s="124"/>
      <c r="N12292" s="124"/>
      <c r="O12292" s="124"/>
    </row>
    <row r="12293">
      <c r="K12293" s="124"/>
      <c r="L12293" s="124"/>
      <c r="M12293" s="124"/>
      <c r="N12293" s="124"/>
      <c r="O12293" s="124"/>
    </row>
    <row r="12294">
      <c r="K12294" s="124"/>
      <c r="L12294" s="124"/>
      <c r="M12294" s="124"/>
      <c r="N12294" s="124"/>
      <c r="O12294" s="124"/>
    </row>
    <row r="12295">
      <c r="K12295" s="124"/>
      <c r="L12295" s="124"/>
      <c r="M12295" s="124"/>
      <c r="N12295" s="124"/>
      <c r="O12295" s="124"/>
    </row>
    <row r="12296">
      <c r="K12296" s="124"/>
      <c r="L12296" s="124"/>
      <c r="M12296" s="124"/>
      <c r="N12296" s="124"/>
      <c r="O12296" s="124"/>
    </row>
    <row r="12297">
      <c r="K12297" s="124"/>
      <c r="L12297" s="124"/>
      <c r="M12297" s="124"/>
      <c r="N12297" s="124"/>
      <c r="O12297" s="124"/>
    </row>
    <row r="12298">
      <c r="K12298" s="124"/>
      <c r="L12298" s="124"/>
      <c r="M12298" s="124"/>
      <c r="N12298" s="124"/>
      <c r="O12298" s="124"/>
    </row>
    <row r="12299">
      <c r="K12299" s="124"/>
      <c r="L12299" s="124"/>
      <c r="M12299" s="124"/>
      <c r="N12299" s="124"/>
      <c r="O12299" s="124"/>
    </row>
    <row r="12300">
      <c r="K12300" s="124"/>
      <c r="L12300" s="124"/>
      <c r="M12300" s="124"/>
      <c r="N12300" s="124"/>
      <c r="O12300" s="124"/>
    </row>
    <row r="12301">
      <c r="K12301" s="124"/>
      <c r="L12301" s="124"/>
      <c r="M12301" s="124"/>
      <c r="N12301" s="124"/>
      <c r="O12301" s="124"/>
    </row>
    <row r="12302">
      <c r="K12302" s="124"/>
      <c r="L12302" s="124"/>
      <c r="M12302" s="124"/>
      <c r="N12302" s="124"/>
      <c r="O12302" s="124"/>
    </row>
    <row r="12303">
      <c r="K12303" s="124"/>
      <c r="L12303" s="124"/>
      <c r="M12303" s="124"/>
      <c r="N12303" s="124"/>
      <c r="O12303" s="124"/>
    </row>
    <row r="12304">
      <c r="K12304" s="124"/>
      <c r="L12304" s="124"/>
      <c r="M12304" s="124"/>
      <c r="N12304" s="124"/>
      <c r="O12304" s="124"/>
    </row>
    <row r="12305">
      <c r="K12305" s="124"/>
      <c r="L12305" s="124"/>
      <c r="M12305" s="124"/>
      <c r="N12305" s="124"/>
      <c r="O12305" s="124"/>
    </row>
    <row r="12306">
      <c r="K12306" s="124"/>
      <c r="L12306" s="124"/>
      <c r="M12306" s="124"/>
      <c r="N12306" s="124"/>
      <c r="O12306" s="124"/>
    </row>
    <row r="12307">
      <c r="K12307" s="124"/>
      <c r="L12307" s="124"/>
      <c r="M12307" s="124"/>
      <c r="N12307" s="124"/>
      <c r="O12307" s="124"/>
    </row>
    <row r="12308">
      <c r="K12308" s="124"/>
      <c r="L12308" s="124"/>
      <c r="M12308" s="124"/>
      <c r="N12308" s="124"/>
      <c r="O12308" s="124"/>
    </row>
    <row r="12309">
      <c r="K12309" s="124"/>
      <c r="L12309" s="124"/>
      <c r="M12309" s="124"/>
      <c r="N12309" s="124"/>
      <c r="O12309" s="124"/>
    </row>
    <row r="12310">
      <c r="K12310" s="124"/>
      <c r="L12310" s="124"/>
      <c r="M12310" s="124"/>
      <c r="N12310" s="124"/>
      <c r="O12310" s="124"/>
    </row>
    <row r="12311">
      <c r="K12311" s="124"/>
      <c r="L12311" s="124"/>
      <c r="M12311" s="124"/>
      <c r="N12311" s="124"/>
      <c r="O12311" s="124"/>
    </row>
    <row r="12312">
      <c r="K12312" s="124"/>
      <c r="L12312" s="124"/>
      <c r="M12312" s="124"/>
      <c r="N12312" s="124"/>
      <c r="O12312" s="124"/>
    </row>
    <row r="12313">
      <c r="K12313" s="124"/>
      <c r="L12313" s="124"/>
      <c r="M12313" s="124"/>
      <c r="N12313" s="124"/>
      <c r="O12313" s="124"/>
    </row>
    <row r="12314">
      <c r="K12314" s="124"/>
      <c r="L12314" s="124"/>
      <c r="M12314" s="124"/>
      <c r="N12314" s="124"/>
      <c r="O12314" s="124"/>
    </row>
    <row r="12315">
      <c r="K12315" s="124"/>
      <c r="L12315" s="124"/>
      <c r="M12315" s="124"/>
      <c r="N12315" s="124"/>
      <c r="O12315" s="124"/>
    </row>
    <row r="12316">
      <c r="K12316" s="124"/>
      <c r="L12316" s="124"/>
      <c r="M12316" s="124"/>
      <c r="N12316" s="124"/>
      <c r="O12316" s="124"/>
    </row>
    <row r="12317">
      <c r="K12317" s="124"/>
      <c r="L12317" s="124"/>
      <c r="M12317" s="124"/>
      <c r="N12317" s="124"/>
      <c r="O12317" s="124"/>
    </row>
    <row r="12318">
      <c r="K12318" s="124"/>
      <c r="L12318" s="124"/>
      <c r="M12318" s="124"/>
      <c r="N12318" s="124"/>
      <c r="O12318" s="124"/>
    </row>
    <row r="12319">
      <c r="K12319" s="124"/>
      <c r="L12319" s="124"/>
      <c r="M12319" s="124"/>
      <c r="N12319" s="124"/>
      <c r="O12319" s="124"/>
    </row>
    <row r="12320">
      <c r="K12320" s="124"/>
      <c r="L12320" s="124"/>
      <c r="M12320" s="124"/>
      <c r="N12320" s="124"/>
      <c r="O12320" s="124"/>
    </row>
    <row r="12321">
      <c r="K12321" s="124"/>
      <c r="L12321" s="124"/>
      <c r="M12321" s="124"/>
      <c r="N12321" s="124"/>
      <c r="O12321" s="124"/>
    </row>
    <row r="12322">
      <c r="K12322" s="124"/>
      <c r="L12322" s="124"/>
      <c r="M12322" s="124"/>
      <c r="N12322" s="124"/>
      <c r="O12322" s="124"/>
    </row>
    <row r="12323">
      <c r="K12323" s="124"/>
      <c r="L12323" s="124"/>
      <c r="M12323" s="124"/>
      <c r="N12323" s="124"/>
      <c r="O12323" s="124"/>
    </row>
    <row r="12324">
      <c r="K12324" s="124"/>
      <c r="L12324" s="124"/>
      <c r="M12324" s="124"/>
      <c r="N12324" s="124"/>
      <c r="O12324" s="124"/>
    </row>
    <row r="12325">
      <c r="K12325" s="124"/>
      <c r="L12325" s="124"/>
      <c r="M12325" s="124"/>
      <c r="N12325" s="124"/>
      <c r="O12325" s="124"/>
    </row>
    <row r="12326">
      <c r="K12326" s="124"/>
      <c r="L12326" s="124"/>
      <c r="M12326" s="124"/>
      <c r="N12326" s="124"/>
      <c r="O12326" s="124"/>
    </row>
    <row r="12327">
      <c r="K12327" s="124"/>
      <c r="L12327" s="124"/>
      <c r="M12327" s="124"/>
      <c r="N12327" s="124"/>
      <c r="O12327" s="124"/>
    </row>
    <row r="12328">
      <c r="K12328" s="124"/>
      <c r="L12328" s="124"/>
      <c r="M12328" s="124"/>
      <c r="N12328" s="124"/>
      <c r="O12328" s="124"/>
    </row>
    <row r="12329">
      <c r="K12329" s="124"/>
      <c r="L12329" s="124"/>
      <c r="M12329" s="124"/>
      <c r="N12329" s="124"/>
      <c r="O12329" s="124"/>
    </row>
    <row r="12330">
      <c r="K12330" s="124"/>
      <c r="L12330" s="124"/>
      <c r="M12330" s="124"/>
      <c r="N12330" s="124"/>
      <c r="O12330" s="124"/>
    </row>
    <row r="12331">
      <c r="K12331" s="124"/>
      <c r="L12331" s="124"/>
      <c r="M12331" s="124"/>
      <c r="N12331" s="124"/>
      <c r="O12331" s="124"/>
    </row>
    <row r="12332">
      <c r="K12332" s="124"/>
      <c r="L12332" s="124"/>
      <c r="M12332" s="124"/>
      <c r="N12332" s="124"/>
      <c r="O12332" s="124"/>
    </row>
    <row r="12333">
      <c r="K12333" s="124"/>
      <c r="L12333" s="124"/>
      <c r="M12333" s="124"/>
      <c r="N12333" s="124"/>
      <c r="O12333" s="124"/>
    </row>
    <row r="12334">
      <c r="K12334" s="124"/>
      <c r="L12334" s="124"/>
      <c r="M12334" s="124"/>
      <c r="N12334" s="124"/>
      <c r="O12334" s="124"/>
    </row>
    <row r="12335">
      <c r="K12335" s="124"/>
      <c r="L12335" s="124"/>
      <c r="M12335" s="124"/>
      <c r="N12335" s="124"/>
      <c r="O12335" s="124"/>
    </row>
    <row r="12336">
      <c r="K12336" s="124"/>
      <c r="L12336" s="124"/>
      <c r="M12336" s="124"/>
      <c r="N12336" s="124"/>
      <c r="O12336" s="124"/>
    </row>
    <row r="12337">
      <c r="K12337" s="124"/>
      <c r="L12337" s="124"/>
      <c r="M12337" s="124"/>
      <c r="N12337" s="124"/>
      <c r="O12337" s="124"/>
    </row>
    <row r="12338">
      <c r="K12338" s="124"/>
      <c r="L12338" s="124"/>
      <c r="M12338" s="124"/>
      <c r="N12338" s="124"/>
      <c r="O12338" s="124"/>
    </row>
    <row r="12339">
      <c r="K12339" s="124"/>
      <c r="L12339" s="124"/>
      <c r="M12339" s="124"/>
      <c r="N12339" s="124"/>
      <c r="O12339" s="124"/>
    </row>
    <row r="12340">
      <c r="K12340" s="124"/>
      <c r="L12340" s="124"/>
      <c r="M12340" s="124"/>
      <c r="N12340" s="124"/>
      <c r="O12340" s="124"/>
    </row>
    <row r="12341">
      <c r="K12341" s="124"/>
      <c r="L12341" s="124"/>
      <c r="M12341" s="124"/>
      <c r="N12341" s="124"/>
      <c r="O12341" s="124"/>
    </row>
    <row r="12342">
      <c r="K12342" s="124"/>
      <c r="L12342" s="124"/>
      <c r="M12342" s="124"/>
      <c r="N12342" s="124"/>
      <c r="O12342" s="124"/>
    </row>
    <row r="12343">
      <c r="K12343" s="124"/>
      <c r="L12343" s="124"/>
      <c r="M12343" s="124"/>
      <c r="N12343" s="124"/>
      <c r="O12343" s="124"/>
    </row>
    <row r="12344">
      <c r="K12344" s="124"/>
      <c r="L12344" s="124"/>
      <c r="M12344" s="124"/>
      <c r="N12344" s="124"/>
      <c r="O12344" s="124"/>
    </row>
    <row r="12345">
      <c r="K12345" s="124"/>
      <c r="L12345" s="124"/>
      <c r="M12345" s="124"/>
      <c r="N12345" s="124"/>
      <c r="O12345" s="124"/>
    </row>
    <row r="12346">
      <c r="K12346" s="124"/>
      <c r="L12346" s="124"/>
      <c r="M12346" s="124"/>
      <c r="N12346" s="124"/>
      <c r="O12346" s="124"/>
    </row>
    <row r="12347">
      <c r="K12347" s="124"/>
      <c r="L12347" s="124"/>
      <c r="M12347" s="124"/>
      <c r="N12347" s="124"/>
      <c r="O12347" s="124"/>
    </row>
    <row r="12348">
      <c r="K12348" s="124"/>
      <c r="L12348" s="124"/>
      <c r="M12348" s="124"/>
      <c r="N12348" s="124"/>
      <c r="O12348" s="124"/>
    </row>
    <row r="12349">
      <c r="K12349" s="124"/>
      <c r="L12349" s="124"/>
      <c r="M12349" s="124"/>
      <c r="N12349" s="124"/>
      <c r="O12349" s="124"/>
    </row>
    <row r="12350">
      <c r="K12350" s="124"/>
      <c r="L12350" s="124"/>
      <c r="M12350" s="124"/>
      <c r="N12350" s="124"/>
      <c r="O12350" s="124"/>
    </row>
    <row r="12351">
      <c r="K12351" s="124"/>
      <c r="L12351" s="124"/>
      <c r="M12351" s="124"/>
      <c r="N12351" s="124"/>
      <c r="O12351" s="124"/>
    </row>
    <row r="12352">
      <c r="K12352" s="124"/>
      <c r="L12352" s="124"/>
      <c r="M12352" s="124"/>
      <c r="N12352" s="124"/>
      <c r="O12352" s="124"/>
    </row>
    <row r="12353">
      <c r="K12353" s="124"/>
      <c r="L12353" s="124"/>
      <c r="M12353" s="124"/>
      <c r="N12353" s="124"/>
      <c r="O12353" s="124"/>
    </row>
    <row r="12354">
      <c r="K12354" s="124"/>
      <c r="L12354" s="124"/>
      <c r="M12354" s="124"/>
      <c r="N12354" s="124"/>
      <c r="O12354" s="124"/>
    </row>
    <row r="12355">
      <c r="K12355" s="124"/>
      <c r="L12355" s="124"/>
      <c r="M12355" s="124"/>
      <c r="N12355" s="124"/>
      <c r="O12355" s="124"/>
    </row>
    <row r="12356">
      <c r="K12356" s="124"/>
      <c r="L12356" s="124"/>
      <c r="M12356" s="124"/>
      <c r="N12356" s="124"/>
      <c r="O12356" s="124"/>
    </row>
    <row r="12357">
      <c r="K12357" s="124"/>
      <c r="L12357" s="124"/>
      <c r="M12357" s="124"/>
      <c r="N12357" s="124"/>
      <c r="O12357" s="124"/>
    </row>
    <row r="12358">
      <c r="K12358" s="124"/>
      <c r="L12358" s="124"/>
      <c r="M12358" s="124"/>
      <c r="N12358" s="124"/>
      <c r="O12358" s="124"/>
    </row>
    <row r="12359">
      <c r="K12359" s="124"/>
      <c r="L12359" s="124"/>
      <c r="M12359" s="124"/>
      <c r="N12359" s="124"/>
      <c r="O12359" s="124"/>
    </row>
    <row r="12360">
      <c r="K12360" s="124"/>
      <c r="L12360" s="124"/>
      <c r="M12360" s="124"/>
      <c r="N12360" s="124"/>
      <c r="O12360" s="124"/>
    </row>
    <row r="12361">
      <c r="K12361" s="124"/>
      <c r="L12361" s="124"/>
      <c r="M12361" s="124"/>
      <c r="N12361" s="124"/>
      <c r="O12361" s="124"/>
    </row>
    <row r="12362">
      <c r="K12362" s="124"/>
      <c r="L12362" s="124"/>
      <c r="M12362" s="124"/>
      <c r="N12362" s="124"/>
      <c r="O12362" s="124"/>
    </row>
    <row r="12363">
      <c r="K12363" s="124"/>
      <c r="L12363" s="124"/>
      <c r="M12363" s="124"/>
      <c r="N12363" s="124"/>
      <c r="O12363" s="124"/>
    </row>
    <row r="12364">
      <c r="K12364" s="124"/>
      <c r="L12364" s="124"/>
      <c r="M12364" s="124"/>
      <c r="N12364" s="124"/>
      <c r="O12364" s="124"/>
    </row>
    <row r="12365">
      <c r="K12365" s="124"/>
      <c r="L12365" s="124"/>
      <c r="M12365" s="124"/>
      <c r="N12365" s="124"/>
      <c r="O12365" s="124"/>
    </row>
    <row r="12366">
      <c r="K12366" s="124"/>
      <c r="L12366" s="124"/>
      <c r="M12366" s="124"/>
      <c r="N12366" s="124"/>
      <c r="O12366" s="124"/>
    </row>
    <row r="12367">
      <c r="K12367" s="124"/>
      <c r="L12367" s="124"/>
      <c r="M12367" s="124"/>
      <c r="N12367" s="124"/>
      <c r="O12367" s="124"/>
    </row>
    <row r="12368">
      <c r="K12368" s="124"/>
      <c r="L12368" s="124"/>
      <c r="M12368" s="124"/>
      <c r="N12368" s="124"/>
      <c r="O12368" s="124"/>
    </row>
    <row r="12369">
      <c r="K12369" s="124"/>
      <c r="L12369" s="124"/>
      <c r="M12369" s="124"/>
      <c r="N12369" s="124"/>
      <c r="O12369" s="124"/>
    </row>
    <row r="12370">
      <c r="K12370" s="124"/>
      <c r="L12370" s="124"/>
      <c r="M12370" s="124"/>
      <c r="N12370" s="124"/>
      <c r="O12370" s="124"/>
    </row>
    <row r="12371">
      <c r="K12371" s="124"/>
      <c r="L12371" s="124"/>
      <c r="M12371" s="124"/>
      <c r="N12371" s="124"/>
      <c r="O12371" s="124"/>
    </row>
    <row r="12372">
      <c r="K12372" s="124"/>
      <c r="L12372" s="124"/>
      <c r="M12372" s="124"/>
      <c r="N12372" s="124"/>
      <c r="O12372" s="124"/>
    </row>
    <row r="12373">
      <c r="K12373" s="124"/>
      <c r="L12373" s="124"/>
      <c r="M12373" s="124"/>
      <c r="N12373" s="124"/>
      <c r="O12373" s="124"/>
    </row>
    <row r="12374">
      <c r="K12374" s="124"/>
      <c r="L12374" s="124"/>
      <c r="M12374" s="124"/>
      <c r="N12374" s="124"/>
      <c r="O12374" s="124"/>
    </row>
    <row r="12375">
      <c r="K12375" s="124"/>
      <c r="L12375" s="124"/>
      <c r="M12375" s="124"/>
      <c r="N12375" s="124"/>
      <c r="O12375" s="124"/>
    </row>
    <row r="12376">
      <c r="K12376" s="124"/>
      <c r="L12376" s="124"/>
      <c r="M12376" s="124"/>
      <c r="N12376" s="124"/>
      <c r="O12376" s="124"/>
    </row>
    <row r="12377">
      <c r="K12377" s="124"/>
      <c r="L12377" s="124"/>
      <c r="M12377" s="124"/>
      <c r="N12377" s="124"/>
      <c r="O12377" s="124"/>
    </row>
    <row r="12378">
      <c r="K12378" s="124"/>
      <c r="L12378" s="124"/>
      <c r="M12378" s="124"/>
      <c r="N12378" s="124"/>
      <c r="O12378" s="124"/>
    </row>
    <row r="12379">
      <c r="K12379" s="124"/>
      <c r="L12379" s="124"/>
      <c r="M12379" s="124"/>
      <c r="N12379" s="124"/>
      <c r="O12379" s="124"/>
    </row>
    <row r="12380">
      <c r="K12380" s="124"/>
      <c r="L12380" s="124"/>
      <c r="M12380" s="124"/>
      <c r="N12380" s="124"/>
      <c r="O12380" s="124"/>
    </row>
    <row r="12381">
      <c r="K12381" s="124"/>
      <c r="L12381" s="124"/>
      <c r="M12381" s="124"/>
      <c r="N12381" s="124"/>
      <c r="O12381" s="124"/>
    </row>
    <row r="12382">
      <c r="K12382" s="124"/>
      <c r="L12382" s="124"/>
      <c r="M12382" s="124"/>
      <c r="N12382" s="124"/>
      <c r="O12382" s="124"/>
    </row>
    <row r="12383">
      <c r="K12383" s="124"/>
      <c r="L12383" s="124"/>
      <c r="M12383" s="124"/>
      <c r="N12383" s="124"/>
      <c r="O12383" s="124"/>
    </row>
    <row r="12384">
      <c r="K12384" s="124"/>
      <c r="L12384" s="124"/>
      <c r="M12384" s="124"/>
      <c r="N12384" s="124"/>
      <c r="O12384" s="124"/>
    </row>
    <row r="12385">
      <c r="K12385" s="124"/>
      <c r="L12385" s="124"/>
      <c r="M12385" s="124"/>
      <c r="N12385" s="124"/>
      <c r="O12385" s="124"/>
    </row>
    <row r="12386">
      <c r="K12386" s="124"/>
      <c r="L12386" s="124"/>
      <c r="M12386" s="124"/>
      <c r="N12386" s="124"/>
      <c r="O12386" s="124"/>
    </row>
    <row r="12387">
      <c r="K12387" s="124"/>
      <c r="L12387" s="124"/>
      <c r="M12387" s="124"/>
      <c r="N12387" s="124"/>
      <c r="O12387" s="124"/>
    </row>
    <row r="12388">
      <c r="K12388" s="124"/>
      <c r="L12388" s="124"/>
      <c r="M12388" s="124"/>
      <c r="N12388" s="124"/>
      <c r="O12388" s="124"/>
    </row>
    <row r="12389">
      <c r="K12389" s="124"/>
      <c r="L12389" s="124"/>
      <c r="M12389" s="124"/>
      <c r="N12389" s="124"/>
      <c r="O12389" s="124"/>
    </row>
    <row r="12390">
      <c r="K12390" s="124"/>
      <c r="L12390" s="124"/>
      <c r="M12390" s="124"/>
      <c r="N12390" s="124"/>
      <c r="O12390" s="124"/>
    </row>
    <row r="12391">
      <c r="K12391" s="124"/>
      <c r="L12391" s="124"/>
      <c r="M12391" s="124"/>
      <c r="N12391" s="124"/>
      <c r="O12391" s="124"/>
    </row>
    <row r="12392">
      <c r="K12392" s="124"/>
      <c r="L12392" s="124"/>
      <c r="M12392" s="124"/>
      <c r="N12392" s="124"/>
      <c r="O12392" s="124"/>
    </row>
    <row r="12393">
      <c r="K12393" s="124"/>
      <c r="L12393" s="124"/>
      <c r="M12393" s="124"/>
      <c r="N12393" s="124"/>
      <c r="O12393" s="124"/>
    </row>
    <row r="12394">
      <c r="K12394" s="124"/>
      <c r="L12394" s="124"/>
      <c r="M12394" s="124"/>
      <c r="N12394" s="124"/>
      <c r="O12394" s="124"/>
    </row>
    <row r="12395">
      <c r="K12395" s="124"/>
      <c r="L12395" s="124"/>
      <c r="M12395" s="124"/>
      <c r="N12395" s="124"/>
      <c r="O12395" s="124"/>
    </row>
    <row r="12396">
      <c r="K12396" s="124"/>
      <c r="L12396" s="124"/>
      <c r="M12396" s="124"/>
      <c r="N12396" s="124"/>
      <c r="O12396" s="124"/>
    </row>
    <row r="12397">
      <c r="K12397" s="124"/>
      <c r="L12397" s="124"/>
      <c r="M12397" s="124"/>
      <c r="N12397" s="124"/>
      <c r="O12397" s="124"/>
    </row>
    <row r="12398">
      <c r="K12398" s="124"/>
      <c r="L12398" s="124"/>
      <c r="M12398" s="124"/>
      <c r="N12398" s="124"/>
      <c r="O12398" s="124"/>
    </row>
    <row r="12399">
      <c r="K12399" s="124"/>
      <c r="L12399" s="124"/>
      <c r="M12399" s="124"/>
      <c r="N12399" s="124"/>
      <c r="O12399" s="124"/>
    </row>
    <row r="12400">
      <c r="K12400" s="124"/>
      <c r="L12400" s="124"/>
      <c r="M12400" s="124"/>
      <c r="N12400" s="124"/>
      <c r="O12400" s="124"/>
    </row>
    <row r="12401">
      <c r="K12401" s="124"/>
      <c r="L12401" s="124"/>
      <c r="M12401" s="124"/>
      <c r="N12401" s="124"/>
      <c r="O12401" s="124"/>
    </row>
    <row r="12402">
      <c r="K12402" s="124"/>
      <c r="L12402" s="124"/>
      <c r="M12402" s="124"/>
      <c r="N12402" s="124"/>
      <c r="O12402" s="124"/>
    </row>
    <row r="12403">
      <c r="K12403" s="124"/>
      <c r="L12403" s="124"/>
      <c r="M12403" s="124"/>
      <c r="N12403" s="124"/>
      <c r="O12403" s="124"/>
    </row>
    <row r="12404">
      <c r="K12404" s="124"/>
      <c r="L12404" s="124"/>
      <c r="M12404" s="124"/>
      <c r="N12404" s="124"/>
      <c r="O12404" s="124"/>
    </row>
    <row r="12405">
      <c r="K12405" s="124"/>
      <c r="L12405" s="124"/>
      <c r="M12405" s="124"/>
      <c r="N12405" s="124"/>
      <c r="O12405" s="124"/>
    </row>
    <row r="12406">
      <c r="K12406" s="124"/>
      <c r="L12406" s="124"/>
      <c r="M12406" s="124"/>
      <c r="N12406" s="124"/>
      <c r="O12406" s="124"/>
    </row>
    <row r="12407">
      <c r="K12407" s="124"/>
      <c r="L12407" s="124"/>
      <c r="M12407" s="124"/>
      <c r="N12407" s="124"/>
      <c r="O12407" s="124"/>
    </row>
    <row r="12408">
      <c r="K12408" s="124"/>
      <c r="L12408" s="124"/>
      <c r="M12408" s="124"/>
      <c r="N12408" s="124"/>
      <c r="O12408" s="124"/>
    </row>
    <row r="12409">
      <c r="K12409" s="124"/>
      <c r="L12409" s="124"/>
      <c r="M12409" s="124"/>
      <c r="N12409" s="124"/>
      <c r="O12409" s="124"/>
    </row>
    <row r="12410">
      <c r="K12410" s="124"/>
      <c r="L12410" s="124"/>
      <c r="M12410" s="124"/>
      <c r="N12410" s="124"/>
      <c r="O12410" s="124"/>
    </row>
    <row r="12411">
      <c r="K12411" s="124"/>
      <c r="L12411" s="124"/>
      <c r="M12411" s="124"/>
      <c r="N12411" s="124"/>
      <c r="O12411" s="124"/>
    </row>
    <row r="12412">
      <c r="K12412" s="124"/>
      <c r="L12412" s="124"/>
      <c r="M12412" s="124"/>
      <c r="N12412" s="124"/>
      <c r="O12412" s="124"/>
    </row>
    <row r="12413">
      <c r="K12413" s="124"/>
      <c r="L12413" s="124"/>
      <c r="M12413" s="124"/>
      <c r="N12413" s="124"/>
      <c r="O12413" s="124"/>
    </row>
    <row r="12414">
      <c r="K12414" s="124"/>
      <c r="L12414" s="124"/>
      <c r="M12414" s="124"/>
      <c r="N12414" s="124"/>
      <c r="O12414" s="124"/>
    </row>
    <row r="12415">
      <c r="K12415" s="124"/>
      <c r="L12415" s="124"/>
      <c r="M12415" s="124"/>
      <c r="N12415" s="124"/>
      <c r="O12415" s="124"/>
    </row>
    <row r="12416">
      <c r="K12416" s="124"/>
      <c r="L12416" s="124"/>
      <c r="M12416" s="124"/>
      <c r="N12416" s="124"/>
      <c r="O12416" s="124"/>
    </row>
    <row r="12417">
      <c r="K12417" s="124"/>
      <c r="L12417" s="124"/>
      <c r="M12417" s="124"/>
      <c r="N12417" s="124"/>
      <c r="O12417" s="124"/>
    </row>
    <row r="12418">
      <c r="K12418" s="124"/>
      <c r="L12418" s="124"/>
      <c r="M12418" s="124"/>
      <c r="N12418" s="124"/>
      <c r="O12418" s="124"/>
    </row>
    <row r="12419">
      <c r="K12419" s="124"/>
      <c r="L12419" s="124"/>
      <c r="M12419" s="124"/>
      <c r="N12419" s="124"/>
      <c r="O12419" s="124"/>
    </row>
    <row r="12420">
      <c r="K12420" s="124"/>
      <c r="L12420" s="124"/>
      <c r="M12420" s="124"/>
      <c r="N12420" s="124"/>
      <c r="O12420" s="124"/>
    </row>
    <row r="12421">
      <c r="K12421" s="124"/>
      <c r="L12421" s="124"/>
      <c r="M12421" s="124"/>
      <c r="N12421" s="124"/>
      <c r="O12421" s="124"/>
    </row>
    <row r="12422">
      <c r="K12422" s="124"/>
      <c r="L12422" s="124"/>
      <c r="M12422" s="124"/>
      <c r="N12422" s="124"/>
      <c r="O12422" s="124"/>
    </row>
    <row r="12423">
      <c r="K12423" s="124"/>
      <c r="L12423" s="124"/>
      <c r="M12423" s="124"/>
      <c r="N12423" s="124"/>
      <c r="O12423" s="124"/>
    </row>
    <row r="12424">
      <c r="K12424" s="124"/>
      <c r="L12424" s="124"/>
      <c r="M12424" s="124"/>
      <c r="N12424" s="124"/>
      <c r="O12424" s="124"/>
    </row>
    <row r="12425">
      <c r="K12425" s="124"/>
      <c r="L12425" s="124"/>
      <c r="M12425" s="124"/>
      <c r="N12425" s="124"/>
      <c r="O12425" s="124"/>
    </row>
    <row r="12426">
      <c r="K12426" s="124"/>
      <c r="L12426" s="124"/>
      <c r="M12426" s="124"/>
      <c r="N12426" s="124"/>
      <c r="O12426" s="124"/>
    </row>
    <row r="12427">
      <c r="K12427" s="124"/>
      <c r="L12427" s="124"/>
      <c r="M12427" s="124"/>
      <c r="N12427" s="124"/>
      <c r="O12427" s="124"/>
    </row>
    <row r="12428">
      <c r="K12428" s="124"/>
      <c r="L12428" s="124"/>
      <c r="M12428" s="124"/>
      <c r="N12428" s="124"/>
      <c r="O12428" s="124"/>
    </row>
    <row r="12429">
      <c r="K12429" s="124"/>
      <c r="L12429" s="124"/>
      <c r="M12429" s="124"/>
      <c r="N12429" s="124"/>
      <c r="O12429" s="124"/>
    </row>
    <row r="12430">
      <c r="K12430" s="124"/>
      <c r="L12430" s="124"/>
      <c r="M12430" s="124"/>
      <c r="N12430" s="124"/>
      <c r="O12430" s="124"/>
    </row>
    <row r="12431">
      <c r="K12431" s="124"/>
      <c r="L12431" s="124"/>
      <c r="M12431" s="124"/>
      <c r="N12431" s="124"/>
      <c r="O12431" s="124"/>
    </row>
    <row r="12432">
      <c r="K12432" s="124"/>
      <c r="L12432" s="124"/>
      <c r="M12432" s="124"/>
      <c r="N12432" s="124"/>
      <c r="O12432" s="124"/>
    </row>
    <row r="12433">
      <c r="K12433" s="124"/>
      <c r="L12433" s="124"/>
      <c r="M12433" s="124"/>
      <c r="N12433" s="124"/>
      <c r="O12433" s="124"/>
    </row>
    <row r="12434">
      <c r="K12434" s="124"/>
      <c r="L12434" s="124"/>
      <c r="M12434" s="124"/>
      <c r="N12434" s="124"/>
      <c r="O12434" s="124"/>
    </row>
    <row r="12435">
      <c r="K12435" s="124"/>
      <c r="L12435" s="124"/>
      <c r="M12435" s="124"/>
      <c r="N12435" s="124"/>
      <c r="O12435" s="124"/>
    </row>
    <row r="12436">
      <c r="K12436" s="124"/>
      <c r="L12436" s="124"/>
      <c r="M12436" s="124"/>
      <c r="N12436" s="124"/>
      <c r="O12436" s="124"/>
    </row>
    <row r="12437">
      <c r="K12437" s="124"/>
      <c r="L12437" s="124"/>
      <c r="M12437" s="124"/>
      <c r="N12437" s="124"/>
      <c r="O12437" s="124"/>
    </row>
    <row r="12438">
      <c r="K12438" s="124"/>
      <c r="L12438" s="124"/>
      <c r="M12438" s="124"/>
      <c r="N12438" s="124"/>
      <c r="O12438" s="124"/>
    </row>
    <row r="12439">
      <c r="K12439" s="124"/>
      <c r="L12439" s="124"/>
      <c r="M12439" s="124"/>
      <c r="N12439" s="124"/>
      <c r="O12439" s="124"/>
    </row>
    <row r="12440">
      <c r="K12440" s="124"/>
      <c r="L12440" s="124"/>
      <c r="M12440" s="124"/>
      <c r="N12440" s="124"/>
      <c r="O12440" s="124"/>
    </row>
    <row r="12441">
      <c r="K12441" s="124"/>
      <c r="L12441" s="124"/>
      <c r="M12441" s="124"/>
      <c r="N12441" s="124"/>
      <c r="O12441" s="124"/>
    </row>
    <row r="12442">
      <c r="K12442" s="124"/>
      <c r="L12442" s="124"/>
      <c r="M12442" s="124"/>
      <c r="N12442" s="124"/>
      <c r="O12442" s="124"/>
    </row>
    <row r="12443">
      <c r="K12443" s="124"/>
      <c r="L12443" s="124"/>
      <c r="M12443" s="124"/>
      <c r="N12443" s="124"/>
      <c r="O12443" s="124"/>
    </row>
    <row r="12444">
      <c r="K12444" s="124"/>
      <c r="L12444" s="124"/>
      <c r="M12444" s="124"/>
      <c r="N12444" s="124"/>
      <c r="O12444" s="124"/>
    </row>
    <row r="12445">
      <c r="K12445" s="124"/>
      <c r="L12445" s="124"/>
      <c r="M12445" s="124"/>
      <c r="N12445" s="124"/>
      <c r="O12445" s="124"/>
    </row>
    <row r="12446">
      <c r="K12446" s="124"/>
      <c r="L12446" s="124"/>
      <c r="M12446" s="124"/>
      <c r="N12446" s="124"/>
      <c r="O12446" s="124"/>
    </row>
    <row r="12447">
      <c r="K12447" s="124"/>
      <c r="L12447" s="124"/>
      <c r="M12447" s="124"/>
      <c r="N12447" s="124"/>
      <c r="O12447" s="124"/>
    </row>
    <row r="12448">
      <c r="K12448" s="124"/>
      <c r="L12448" s="124"/>
      <c r="M12448" s="124"/>
      <c r="N12448" s="124"/>
      <c r="O12448" s="124"/>
    </row>
    <row r="12449">
      <c r="K12449" s="124"/>
      <c r="L12449" s="124"/>
      <c r="M12449" s="124"/>
      <c r="N12449" s="124"/>
      <c r="O12449" s="124"/>
    </row>
    <row r="12450">
      <c r="K12450" s="124"/>
      <c r="L12450" s="124"/>
      <c r="M12450" s="124"/>
      <c r="N12450" s="124"/>
      <c r="O12450" s="124"/>
    </row>
    <row r="12451">
      <c r="K12451" s="124"/>
      <c r="L12451" s="124"/>
      <c r="M12451" s="124"/>
      <c r="N12451" s="124"/>
      <c r="O12451" s="124"/>
    </row>
    <row r="12452">
      <c r="K12452" s="124"/>
      <c r="L12452" s="124"/>
      <c r="M12452" s="124"/>
      <c r="N12452" s="124"/>
      <c r="O12452" s="124"/>
    </row>
    <row r="12453">
      <c r="K12453" s="124"/>
      <c r="L12453" s="124"/>
      <c r="M12453" s="124"/>
      <c r="N12453" s="124"/>
      <c r="O12453" s="124"/>
    </row>
    <row r="12454">
      <c r="K12454" s="124"/>
      <c r="L12454" s="124"/>
      <c r="M12454" s="124"/>
      <c r="N12454" s="124"/>
      <c r="O12454" s="124"/>
    </row>
    <row r="12455">
      <c r="K12455" s="124"/>
      <c r="L12455" s="124"/>
      <c r="M12455" s="124"/>
      <c r="N12455" s="124"/>
      <c r="O12455" s="124"/>
    </row>
    <row r="12456">
      <c r="K12456" s="124"/>
      <c r="L12456" s="124"/>
      <c r="M12456" s="124"/>
      <c r="N12456" s="124"/>
      <c r="O12456" s="124"/>
    </row>
    <row r="12457">
      <c r="K12457" s="124"/>
      <c r="L12457" s="124"/>
      <c r="M12457" s="124"/>
      <c r="N12457" s="124"/>
      <c r="O12457" s="124"/>
    </row>
    <row r="12458">
      <c r="K12458" s="124"/>
      <c r="L12458" s="124"/>
      <c r="M12458" s="124"/>
      <c r="N12458" s="124"/>
      <c r="O12458" s="124"/>
    </row>
    <row r="12459">
      <c r="K12459" s="124"/>
      <c r="L12459" s="124"/>
      <c r="M12459" s="124"/>
      <c r="N12459" s="124"/>
      <c r="O12459" s="124"/>
    </row>
    <row r="12460">
      <c r="K12460" s="124"/>
      <c r="L12460" s="124"/>
      <c r="M12460" s="124"/>
      <c r="N12460" s="124"/>
      <c r="O12460" s="124"/>
    </row>
    <row r="12461">
      <c r="K12461" s="124"/>
      <c r="L12461" s="124"/>
      <c r="M12461" s="124"/>
      <c r="N12461" s="124"/>
      <c r="O12461" s="124"/>
    </row>
    <row r="12462">
      <c r="K12462" s="124"/>
      <c r="L12462" s="124"/>
      <c r="M12462" s="124"/>
      <c r="N12462" s="124"/>
      <c r="O12462" s="124"/>
    </row>
    <row r="12463">
      <c r="K12463" s="124"/>
      <c r="L12463" s="124"/>
      <c r="M12463" s="124"/>
      <c r="N12463" s="124"/>
      <c r="O12463" s="124"/>
    </row>
    <row r="12464">
      <c r="K12464" s="124"/>
      <c r="L12464" s="124"/>
      <c r="M12464" s="124"/>
      <c r="N12464" s="124"/>
      <c r="O12464" s="124"/>
    </row>
    <row r="12465">
      <c r="K12465" s="124"/>
      <c r="L12465" s="124"/>
      <c r="M12465" s="124"/>
      <c r="N12465" s="124"/>
      <c r="O12465" s="124"/>
    </row>
    <row r="12466">
      <c r="K12466" s="124"/>
      <c r="L12466" s="124"/>
      <c r="M12466" s="124"/>
      <c r="N12466" s="124"/>
      <c r="O12466" s="124"/>
    </row>
    <row r="12467">
      <c r="K12467" s="124"/>
      <c r="L12467" s="124"/>
      <c r="M12467" s="124"/>
      <c r="N12467" s="124"/>
      <c r="O12467" s="124"/>
    </row>
    <row r="12468">
      <c r="K12468" s="124"/>
      <c r="L12468" s="124"/>
      <c r="M12468" s="124"/>
      <c r="N12468" s="124"/>
      <c r="O12468" s="124"/>
    </row>
    <row r="12469">
      <c r="K12469" s="124"/>
      <c r="L12469" s="124"/>
      <c r="M12469" s="124"/>
      <c r="N12469" s="124"/>
      <c r="O12469" s="124"/>
    </row>
    <row r="12470">
      <c r="K12470" s="124"/>
      <c r="L12470" s="124"/>
      <c r="M12470" s="124"/>
      <c r="N12470" s="124"/>
      <c r="O12470" s="124"/>
    </row>
    <row r="12471">
      <c r="K12471" s="124"/>
      <c r="L12471" s="124"/>
      <c r="M12471" s="124"/>
      <c r="N12471" s="124"/>
      <c r="O12471" s="124"/>
    </row>
    <row r="12472">
      <c r="K12472" s="124"/>
      <c r="L12472" s="124"/>
      <c r="M12472" s="124"/>
      <c r="N12472" s="124"/>
      <c r="O12472" s="124"/>
    </row>
    <row r="12473">
      <c r="K12473" s="124"/>
      <c r="L12473" s="124"/>
      <c r="M12473" s="124"/>
      <c r="N12473" s="124"/>
      <c r="O12473" s="124"/>
    </row>
    <row r="12474">
      <c r="K12474" s="124"/>
      <c r="L12474" s="124"/>
      <c r="M12474" s="124"/>
      <c r="N12474" s="124"/>
      <c r="O12474" s="124"/>
    </row>
    <row r="12475">
      <c r="K12475" s="124"/>
      <c r="L12475" s="124"/>
      <c r="M12475" s="124"/>
      <c r="N12475" s="124"/>
      <c r="O12475" s="124"/>
    </row>
    <row r="12476">
      <c r="K12476" s="124"/>
      <c r="L12476" s="124"/>
      <c r="M12476" s="124"/>
      <c r="N12476" s="124"/>
      <c r="O12476" s="124"/>
    </row>
    <row r="12477">
      <c r="K12477" s="124"/>
      <c r="L12477" s="124"/>
      <c r="M12477" s="124"/>
      <c r="N12477" s="124"/>
      <c r="O12477" s="124"/>
    </row>
    <row r="12478">
      <c r="K12478" s="124"/>
      <c r="L12478" s="124"/>
      <c r="M12478" s="124"/>
      <c r="N12478" s="124"/>
      <c r="O12478" s="124"/>
    </row>
    <row r="12479">
      <c r="K12479" s="124"/>
      <c r="L12479" s="124"/>
      <c r="M12479" s="124"/>
      <c r="N12479" s="124"/>
      <c r="O12479" s="124"/>
    </row>
    <row r="12480">
      <c r="K12480" s="124"/>
      <c r="L12480" s="124"/>
      <c r="M12480" s="124"/>
      <c r="N12480" s="124"/>
      <c r="O12480" s="124"/>
    </row>
    <row r="12481">
      <c r="K12481" s="124"/>
      <c r="L12481" s="124"/>
      <c r="M12481" s="124"/>
      <c r="N12481" s="124"/>
      <c r="O12481" s="124"/>
    </row>
    <row r="12482">
      <c r="K12482" s="124"/>
      <c r="L12482" s="124"/>
      <c r="M12482" s="124"/>
      <c r="N12482" s="124"/>
      <c r="O12482" s="124"/>
    </row>
    <row r="12483">
      <c r="K12483" s="124"/>
      <c r="L12483" s="124"/>
      <c r="M12483" s="124"/>
      <c r="N12483" s="124"/>
      <c r="O12483" s="124"/>
    </row>
    <row r="12484">
      <c r="K12484" s="124"/>
      <c r="L12484" s="124"/>
      <c r="M12484" s="124"/>
      <c r="N12484" s="124"/>
      <c r="O12484" s="124"/>
    </row>
    <row r="12485">
      <c r="K12485" s="124"/>
      <c r="L12485" s="124"/>
      <c r="M12485" s="124"/>
      <c r="N12485" s="124"/>
      <c r="O12485" s="124"/>
    </row>
    <row r="12486">
      <c r="K12486" s="124"/>
      <c r="L12486" s="124"/>
      <c r="M12486" s="124"/>
      <c r="N12486" s="124"/>
      <c r="O12486" s="124"/>
    </row>
    <row r="12487">
      <c r="K12487" s="124"/>
      <c r="L12487" s="124"/>
      <c r="M12487" s="124"/>
      <c r="N12487" s="124"/>
      <c r="O12487" s="124"/>
    </row>
    <row r="12488">
      <c r="K12488" s="124"/>
      <c r="L12488" s="124"/>
      <c r="M12488" s="124"/>
      <c r="N12488" s="124"/>
      <c r="O12488" s="124"/>
    </row>
    <row r="12489">
      <c r="K12489" s="124"/>
      <c r="L12489" s="124"/>
      <c r="M12489" s="124"/>
      <c r="N12489" s="124"/>
      <c r="O12489" s="124"/>
    </row>
    <row r="12490">
      <c r="K12490" s="124"/>
      <c r="L12490" s="124"/>
      <c r="M12490" s="124"/>
      <c r="N12490" s="124"/>
      <c r="O12490" s="124"/>
    </row>
    <row r="12491">
      <c r="K12491" s="124"/>
      <c r="L12491" s="124"/>
      <c r="M12491" s="124"/>
      <c r="N12491" s="124"/>
      <c r="O12491" s="124"/>
    </row>
    <row r="12492">
      <c r="K12492" s="124"/>
      <c r="L12492" s="124"/>
      <c r="M12492" s="124"/>
      <c r="N12492" s="124"/>
      <c r="O12492" s="124"/>
    </row>
    <row r="12493">
      <c r="K12493" s="124"/>
      <c r="L12493" s="124"/>
      <c r="M12493" s="124"/>
      <c r="N12493" s="124"/>
      <c r="O12493" s="124"/>
    </row>
    <row r="12494">
      <c r="K12494" s="124"/>
      <c r="L12494" s="124"/>
      <c r="M12494" s="124"/>
      <c r="N12494" s="124"/>
      <c r="O12494" s="124"/>
    </row>
    <row r="12495">
      <c r="K12495" s="124"/>
      <c r="L12495" s="124"/>
      <c r="M12495" s="124"/>
      <c r="N12495" s="124"/>
      <c r="O12495" s="124"/>
    </row>
    <row r="12496">
      <c r="K12496" s="124"/>
      <c r="L12496" s="124"/>
      <c r="M12496" s="124"/>
      <c r="N12496" s="124"/>
      <c r="O12496" s="124"/>
    </row>
    <row r="12497">
      <c r="K12497" s="124"/>
      <c r="L12497" s="124"/>
      <c r="M12497" s="124"/>
      <c r="N12497" s="124"/>
      <c r="O12497" s="124"/>
    </row>
    <row r="12498">
      <c r="K12498" s="124"/>
      <c r="L12498" s="124"/>
      <c r="M12498" s="124"/>
      <c r="N12498" s="124"/>
      <c r="O12498" s="124"/>
    </row>
    <row r="12499">
      <c r="K12499" s="124"/>
      <c r="L12499" s="124"/>
      <c r="M12499" s="124"/>
      <c r="N12499" s="124"/>
      <c r="O12499" s="124"/>
    </row>
    <row r="12500">
      <c r="K12500" s="124"/>
      <c r="L12500" s="124"/>
      <c r="M12500" s="124"/>
      <c r="N12500" s="124"/>
      <c r="O12500" s="124"/>
    </row>
    <row r="12501">
      <c r="K12501" s="124"/>
      <c r="L12501" s="124"/>
      <c r="M12501" s="124"/>
      <c r="N12501" s="124"/>
      <c r="O12501" s="124"/>
    </row>
    <row r="12502">
      <c r="K12502" s="124"/>
      <c r="L12502" s="124"/>
      <c r="M12502" s="124"/>
      <c r="N12502" s="124"/>
      <c r="O12502" s="124"/>
    </row>
    <row r="12503">
      <c r="K12503" s="124"/>
      <c r="L12503" s="124"/>
      <c r="M12503" s="124"/>
      <c r="N12503" s="124"/>
      <c r="O12503" s="124"/>
    </row>
    <row r="12504">
      <c r="K12504" s="124"/>
      <c r="L12504" s="124"/>
      <c r="M12504" s="124"/>
      <c r="N12504" s="124"/>
      <c r="O12504" s="124"/>
    </row>
    <row r="12505">
      <c r="K12505" s="124"/>
      <c r="L12505" s="124"/>
      <c r="M12505" s="124"/>
      <c r="N12505" s="124"/>
      <c r="O12505" s="124"/>
    </row>
    <row r="12506">
      <c r="K12506" s="124"/>
      <c r="L12506" s="124"/>
      <c r="M12506" s="124"/>
      <c r="N12506" s="124"/>
      <c r="O12506" s="124"/>
    </row>
    <row r="12507">
      <c r="K12507" s="124"/>
      <c r="L12507" s="124"/>
      <c r="M12507" s="124"/>
      <c r="N12507" s="124"/>
      <c r="O12507" s="124"/>
    </row>
    <row r="12508">
      <c r="K12508" s="124"/>
      <c r="L12508" s="124"/>
      <c r="M12508" s="124"/>
      <c r="N12508" s="124"/>
      <c r="O12508" s="124"/>
    </row>
    <row r="12509">
      <c r="K12509" s="124"/>
      <c r="L12509" s="124"/>
      <c r="M12509" s="124"/>
      <c r="N12509" s="124"/>
      <c r="O12509" s="124"/>
    </row>
    <row r="12510">
      <c r="K12510" s="124"/>
      <c r="L12510" s="124"/>
      <c r="M12510" s="124"/>
      <c r="N12510" s="124"/>
      <c r="O12510" s="124"/>
    </row>
    <row r="12511">
      <c r="K12511" s="124"/>
      <c r="L12511" s="124"/>
      <c r="M12511" s="124"/>
      <c r="N12511" s="124"/>
      <c r="O12511" s="124"/>
    </row>
    <row r="12512">
      <c r="K12512" s="124"/>
      <c r="L12512" s="124"/>
      <c r="M12512" s="124"/>
      <c r="N12512" s="124"/>
      <c r="O12512" s="124"/>
    </row>
    <row r="12513">
      <c r="K12513" s="124"/>
      <c r="L12513" s="124"/>
      <c r="M12513" s="124"/>
      <c r="N12513" s="124"/>
      <c r="O12513" s="124"/>
    </row>
    <row r="12514">
      <c r="K12514" s="124"/>
      <c r="L12514" s="124"/>
      <c r="M12514" s="124"/>
      <c r="N12514" s="124"/>
      <c r="O12514" s="124"/>
    </row>
    <row r="12515">
      <c r="K12515" s="124"/>
      <c r="L12515" s="124"/>
      <c r="M12515" s="124"/>
      <c r="N12515" s="124"/>
      <c r="O12515" s="124"/>
    </row>
    <row r="12516">
      <c r="K12516" s="124"/>
      <c r="L12516" s="124"/>
      <c r="M12516" s="124"/>
      <c r="N12516" s="124"/>
      <c r="O12516" s="124"/>
    </row>
    <row r="12517">
      <c r="K12517" s="124"/>
      <c r="L12517" s="124"/>
      <c r="M12517" s="124"/>
      <c r="N12517" s="124"/>
      <c r="O12517" s="124"/>
    </row>
    <row r="12518">
      <c r="K12518" s="124"/>
      <c r="L12518" s="124"/>
      <c r="M12518" s="124"/>
      <c r="N12518" s="124"/>
      <c r="O12518" s="124"/>
    </row>
    <row r="12519">
      <c r="K12519" s="124"/>
      <c r="L12519" s="124"/>
      <c r="M12519" s="124"/>
      <c r="N12519" s="124"/>
      <c r="O12519" s="124"/>
    </row>
    <row r="12520">
      <c r="K12520" s="124"/>
      <c r="L12520" s="124"/>
      <c r="M12520" s="124"/>
      <c r="N12520" s="124"/>
      <c r="O12520" s="124"/>
    </row>
    <row r="12521">
      <c r="K12521" s="124"/>
      <c r="L12521" s="124"/>
      <c r="M12521" s="124"/>
      <c r="N12521" s="124"/>
      <c r="O12521" s="124"/>
    </row>
    <row r="12522">
      <c r="K12522" s="124"/>
      <c r="L12522" s="124"/>
      <c r="M12522" s="124"/>
      <c r="N12522" s="124"/>
      <c r="O12522" s="124"/>
    </row>
    <row r="12523">
      <c r="K12523" s="124"/>
      <c r="L12523" s="124"/>
      <c r="M12523" s="124"/>
      <c r="N12523" s="124"/>
      <c r="O12523" s="124"/>
    </row>
    <row r="12524">
      <c r="K12524" s="124"/>
      <c r="L12524" s="124"/>
      <c r="M12524" s="124"/>
      <c r="N12524" s="124"/>
      <c r="O12524" s="124"/>
    </row>
    <row r="12525">
      <c r="K12525" s="124"/>
      <c r="L12525" s="124"/>
      <c r="M12525" s="124"/>
      <c r="N12525" s="124"/>
      <c r="O12525" s="124"/>
    </row>
    <row r="12526">
      <c r="K12526" s="124"/>
      <c r="L12526" s="124"/>
      <c r="M12526" s="124"/>
      <c r="N12526" s="124"/>
      <c r="O12526" s="124"/>
    </row>
    <row r="12527">
      <c r="K12527" s="124"/>
      <c r="L12527" s="124"/>
      <c r="M12527" s="124"/>
      <c r="N12527" s="124"/>
      <c r="O12527" s="124"/>
    </row>
    <row r="12528">
      <c r="K12528" s="124"/>
      <c r="L12528" s="124"/>
      <c r="M12528" s="124"/>
      <c r="N12528" s="124"/>
      <c r="O12528" s="124"/>
    </row>
    <row r="12529">
      <c r="K12529" s="124"/>
      <c r="L12529" s="124"/>
      <c r="M12529" s="124"/>
      <c r="N12529" s="124"/>
      <c r="O12529" s="124"/>
    </row>
    <row r="12530">
      <c r="K12530" s="124"/>
      <c r="L12530" s="124"/>
      <c r="M12530" s="124"/>
      <c r="N12530" s="124"/>
      <c r="O12530" s="124"/>
    </row>
    <row r="12531">
      <c r="K12531" s="124"/>
      <c r="L12531" s="124"/>
      <c r="M12531" s="124"/>
      <c r="N12531" s="124"/>
      <c r="O12531" s="124"/>
    </row>
    <row r="12532">
      <c r="K12532" s="124"/>
      <c r="L12532" s="124"/>
      <c r="M12532" s="124"/>
      <c r="N12532" s="124"/>
      <c r="O12532" s="124"/>
    </row>
    <row r="12533">
      <c r="K12533" s="124"/>
      <c r="L12533" s="124"/>
      <c r="M12533" s="124"/>
      <c r="N12533" s="124"/>
      <c r="O12533" s="124"/>
    </row>
    <row r="12534">
      <c r="K12534" s="124"/>
      <c r="L12534" s="124"/>
      <c r="M12534" s="124"/>
      <c r="N12534" s="124"/>
      <c r="O12534" s="124"/>
    </row>
    <row r="12535">
      <c r="K12535" s="124"/>
      <c r="L12535" s="124"/>
      <c r="M12535" s="124"/>
      <c r="N12535" s="124"/>
      <c r="O12535" s="124"/>
    </row>
    <row r="12536">
      <c r="K12536" s="124"/>
      <c r="L12536" s="124"/>
      <c r="M12536" s="124"/>
      <c r="N12536" s="124"/>
      <c r="O12536" s="124"/>
    </row>
    <row r="12537">
      <c r="K12537" s="124"/>
      <c r="L12537" s="124"/>
      <c r="M12537" s="124"/>
      <c r="N12537" s="124"/>
      <c r="O12537" s="124"/>
    </row>
    <row r="12538">
      <c r="K12538" s="124"/>
      <c r="L12538" s="124"/>
      <c r="M12538" s="124"/>
      <c r="N12538" s="124"/>
      <c r="O12538" s="124"/>
    </row>
    <row r="12539">
      <c r="K12539" s="124"/>
      <c r="L12539" s="124"/>
      <c r="M12539" s="124"/>
      <c r="N12539" s="124"/>
      <c r="O12539" s="124"/>
    </row>
    <row r="12540">
      <c r="K12540" s="124"/>
      <c r="L12540" s="124"/>
      <c r="M12540" s="124"/>
      <c r="N12540" s="124"/>
      <c r="O12540" s="124"/>
    </row>
    <row r="12541">
      <c r="K12541" s="124"/>
      <c r="L12541" s="124"/>
      <c r="M12541" s="124"/>
      <c r="N12541" s="124"/>
      <c r="O12541" s="124"/>
    </row>
    <row r="12542">
      <c r="K12542" s="124"/>
      <c r="L12542" s="124"/>
      <c r="M12542" s="124"/>
      <c r="N12542" s="124"/>
      <c r="O12542" s="124"/>
    </row>
    <row r="12543">
      <c r="K12543" s="124"/>
      <c r="L12543" s="124"/>
      <c r="M12543" s="124"/>
      <c r="N12543" s="124"/>
      <c r="O12543" s="124"/>
    </row>
    <row r="12544">
      <c r="K12544" s="124"/>
      <c r="L12544" s="124"/>
      <c r="M12544" s="124"/>
      <c r="N12544" s="124"/>
      <c r="O12544" s="124"/>
    </row>
    <row r="12545">
      <c r="K12545" s="124"/>
      <c r="L12545" s="124"/>
      <c r="M12545" s="124"/>
      <c r="N12545" s="124"/>
      <c r="O12545" s="124"/>
    </row>
    <row r="12546">
      <c r="K12546" s="124"/>
      <c r="L12546" s="124"/>
      <c r="M12546" s="124"/>
      <c r="N12546" s="124"/>
      <c r="O12546" s="124"/>
    </row>
    <row r="12547">
      <c r="K12547" s="124"/>
      <c r="L12547" s="124"/>
      <c r="M12547" s="124"/>
      <c r="N12547" s="124"/>
      <c r="O12547" s="124"/>
    </row>
    <row r="12548">
      <c r="K12548" s="124"/>
      <c r="L12548" s="124"/>
      <c r="M12548" s="124"/>
      <c r="N12548" s="124"/>
      <c r="O12548" s="124"/>
    </row>
    <row r="12549">
      <c r="K12549" s="124"/>
      <c r="L12549" s="124"/>
      <c r="M12549" s="124"/>
      <c r="N12549" s="124"/>
      <c r="O12549" s="124"/>
    </row>
    <row r="12550">
      <c r="K12550" s="124"/>
      <c r="L12550" s="124"/>
      <c r="M12550" s="124"/>
      <c r="N12550" s="124"/>
      <c r="O12550" s="124"/>
    </row>
    <row r="12551">
      <c r="K12551" s="124"/>
      <c r="L12551" s="124"/>
      <c r="M12551" s="124"/>
      <c r="N12551" s="124"/>
      <c r="O12551" s="124"/>
    </row>
    <row r="12552">
      <c r="K12552" s="124"/>
      <c r="L12552" s="124"/>
      <c r="M12552" s="124"/>
      <c r="N12552" s="124"/>
      <c r="O12552" s="124"/>
    </row>
    <row r="12553">
      <c r="K12553" s="124"/>
      <c r="L12553" s="124"/>
      <c r="M12553" s="124"/>
      <c r="N12553" s="124"/>
      <c r="O12553" s="124"/>
    </row>
    <row r="12554">
      <c r="K12554" s="124"/>
      <c r="L12554" s="124"/>
      <c r="M12554" s="124"/>
      <c r="N12554" s="124"/>
      <c r="O12554" s="124"/>
    </row>
    <row r="12555">
      <c r="K12555" s="124"/>
      <c r="L12555" s="124"/>
      <c r="M12555" s="124"/>
      <c r="N12555" s="124"/>
      <c r="O12555" s="124"/>
    </row>
    <row r="12556">
      <c r="K12556" s="124"/>
      <c r="L12556" s="124"/>
      <c r="M12556" s="124"/>
      <c r="N12556" s="124"/>
      <c r="O12556" s="124"/>
    </row>
    <row r="12557">
      <c r="K12557" s="124"/>
      <c r="L12557" s="124"/>
      <c r="M12557" s="124"/>
      <c r="N12557" s="124"/>
      <c r="O12557" s="124"/>
    </row>
    <row r="12558">
      <c r="K12558" s="124"/>
      <c r="L12558" s="124"/>
      <c r="M12558" s="124"/>
      <c r="N12558" s="124"/>
      <c r="O12558" s="124"/>
    </row>
    <row r="12559">
      <c r="K12559" s="124"/>
      <c r="L12559" s="124"/>
      <c r="M12559" s="124"/>
      <c r="N12559" s="124"/>
      <c r="O12559" s="124"/>
    </row>
    <row r="12560">
      <c r="K12560" s="124"/>
      <c r="L12560" s="124"/>
      <c r="M12560" s="124"/>
      <c r="N12560" s="124"/>
      <c r="O12560" s="124"/>
    </row>
    <row r="12561">
      <c r="K12561" s="124"/>
      <c r="L12561" s="124"/>
      <c r="M12561" s="124"/>
      <c r="N12561" s="124"/>
      <c r="O12561" s="124"/>
    </row>
    <row r="12562">
      <c r="K12562" s="124"/>
      <c r="L12562" s="124"/>
      <c r="M12562" s="124"/>
      <c r="N12562" s="124"/>
      <c r="O12562" s="124"/>
    </row>
    <row r="12563">
      <c r="K12563" s="124"/>
      <c r="L12563" s="124"/>
      <c r="M12563" s="124"/>
      <c r="N12563" s="124"/>
      <c r="O12563" s="124"/>
    </row>
    <row r="12564">
      <c r="K12564" s="124"/>
      <c r="L12564" s="124"/>
      <c r="M12564" s="124"/>
      <c r="N12564" s="124"/>
      <c r="O12564" s="124"/>
    </row>
    <row r="12565">
      <c r="K12565" s="124"/>
      <c r="L12565" s="124"/>
      <c r="M12565" s="124"/>
      <c r="N12565" s="124"/>
      <c r="O12565" s="124"/>
    </row>
    <row r="12566">
      <c r="K12566" s="124"/>
      <c r="L12566" s="124"/>
      <c r="M12566" s="124"/>
      <c r="N12566" s="124"/>
      <c r="O12566" s="124"/>
    </row>
    <row r="12567">
      <c r="K12567" s="124"/>
      <c r="L12567" s="124"/>
      <c r="M12567" s="124"/>
      <c r="N12567" s="124"/>
      <c r="O12567" s="124"/>
    </row>
    <row r="12568">
      <c r="K12568" s="124"/>
      <c r="L12568" s="124"/>
      <c r="M12568" s="124"/>
      <c r="N12568" s="124"/>
      <c r="O12568" s="124"/>
    </row>
    <row r="12569">
      <c r="K12569" s="124"/>
      <c r="L12569" s="124"/>
      <c r="M12569" s="124"/>
      <c r="N12569" s="124"/>
      <c r="O12569" s="124"/>
    </row>
    <row r="12570">
      <c r="K12570" s="124"/>
      <c r="L12570" s="124"/>
      <c r="M12570" s="124"/>
      <c r="N12570" s="124"/>
      <c r="O12570" s="124"/>
    </row>
    <row r="12571">
      <c r="K12571" s="124"/>
      <c r="L12571" s="124"/>
      <c r="M12571" s="124"/>
      <c r="N12571" s="124"/>
      <c r="O12571" s="124"/>
    </row>
    <row r="12572">
      <c r="K12572" s="124"/>
      <c r="L12572" s="124"/>
      <c r="M12572" s="124"/>
      <c r="N12572" s="124"/>
      <c r="O12572" s="124"/>
    </row>
    <row r="12573">
      <c r="K12573" s="124"/>
      <c r="L12573" s="124"/>
      <c r="M12573" s="124"/>
      <c r="N12573" s="124"/>
      <c r="O12573" s="124"/>
    </row>
    <row r="12574">
      <c r="K12574" s="124"/>
      <c r="L12574" s="124"/>
      <c r="M12574" s="124"/>
      <c r="N12574" s="124"/>
      <c r="O12574" s="124"/>
    </row>
    <row r="12575">
      <c r="K12575" s="124"/>
      <c r="L12575" s="124"/>
      <c r="M12575" s="124"/>
      <c r="N12575" s="124"/>
      <c r="O12575" s="124"/>
    </row>
    <row r="12576">
      <c r="K12576" s="124"/>
      <c r="L12576" s="124"/>
      <c r="M12576" s="124"/>
      <c r="N12576" s="124"/>
      <c r="O12576" s="124"/>
    </row>
    <row r="12577">
      <c r="K12577" s="124"/>
      <c r="L12577" s="124"/>
      <c r="M12577" s="124"/>
      <c r="N12577" s="124"/>
      <c r="O12577" s="124"/>
    </row>
    <row r="12578">
      <c r="K12578" s="124"/>
      <c r="L12578" s="124"/>
      <c r="M12578" s="124"/>
      <c r="N12578" s="124"/>
      <c r="O12578" s="124"/>
    </row>
    <row r="12579">
      <c r="K12579" s="124"/>
      <c r="L12579" s="124"/>
      <c r="M12579" s="124"/>
      <c r="N12579" s="124"/>
      <c r="O12579" s="124"/>
    </row>
    <row r="12580">
      <c r="K12580" s="124"/>
      <c r="L12580" s="124"/>
      <c r="M12580" s="124"/>
      <c r="N12580" s="124"/>
      <c r="O12580" s="124"/>
    </row>
    <row r="12581">
      <c r="K12581" s="124"/>
      <c r="L12581" s="124"/>
      <c r="M12581" s="124"/>
      <c r="N12581" s="124"/>
      <c r="O12581" s="124"/>
    </row>
    <row r="12582">
      <c r="K12582" s="124"/>
      <c r="L12582" s="124"/>
      <c r="M12582" s="124"/>
      <c r="N12582" s="124"/>
      <c r="O12582" s="124"/>
    </row>
    <row r="12583">
      <c r="K12583" s="124"/>
      <c r="L12583" s="124"/>
      <c r="M12583" s="124"/>
      <c r="N12583" s="124"/>
      <c r="O12583" s="124"/>
    </row>
    <row r="12584">
      <c r="K12584" s="124"/>
      <c r="L12584" s="124"/>
      <c r="M12584" s="124"/>
      <c r="N12584" s="124"/>
      <c r="O12584" s="124"/>
    </row>
    <row r="12585">
      <c r="K12585" s="124"/>
      <c r="L12585" s="124"/>
      <c r="M12585" s="124"/>
      <c r="N12585" s="124"/>
      <c r="O12585" s="124"/>
    </row>
    <row r="12586">
      <c r="K12586" s="124"/>
      <c r="L12586" s="124"/>
      <c r="M12586" s="124"/>
      <c r="N12586" s="124"/>
      <c r="O12586" s="124"/>
    </row>
    <row r="12587">
      <c r="K12587" s="124"/>
      <c r="L12587" s="124"/>
      <c r="M12587" s="124"/>
      <c r="N12587" s="124"/>
      <c r="O12587" s="124"/>
    </row>
    <row r="12588">
      <c r="K12588" s="124"/>
      <c r="L12588" s="124"/>
      <c r="M12588" s="124"/>
      <c r="N12588" s="124"/>
      <c r="O12588" s="124"/>
    </row>
    <row r="12589">
      <c r="K12589" s="124"/>
      <c r="L12589" s="124"/>
      <c r="M12589" s="124"/>
      <c r="N12589" s="124"/>
      <c r="O12589" s="124"/>
    </row>
    <row r="12590">
      <c r="K12590" s="124"/>
      <c r="L12590" s="124"/>
      <c r="M12590" s="124"/>
      <c r="N12590" s="124"/>
      <c r="O12590" s="124"/>
    </row>
    <row r="12591">
      <c r="K12591" s="124"/>
      <c r="L12591" s="124"/>
      <c r="M12591" s="124"/>
      <c r="N12591" s="124"/>
      <c r="O12591" s="124"/>
    </row>
    <row r="12592">
      <c r="K12592" s="124"/>
      <c r="L12592" s="124"/>
      <c r="M12592" s="124"/>
      <c r="N12592" s="124"/>
      <c r="O12592" s="124"/>
    </row>
    <row r="12593">
      <c r="K12593" s="124"/>
      <c r="L12593" s="124"/>
      <c r="M12593" s="124"/>
      <c r="N12593" s="124"/>
      <c r="O12593" s="124"/>
    </row>
    <row r="12594">
      <c r="K12594" s="124"/>
      <c r="L12594" s="124"/>
      <c r="M12594" s="124"/>
      <c r="N12594" s="124"/>
      <c r="O12594" s="124"/>
    </row>
    <row r="12595">
      <c r="K12595" s="124"/>
      <c r="L12595" s="124"/>
      <c r="M12595" s="124"/>
      <c r="N12595" s="124"/>
      <c r="O12595" s="124"/>
    </row>
    <row r="12596">
      <c r="K12596" s="124"/>
      <c r="L12596" s="124"/>
      <c r="M12596" s="124"/>
      <c r="N12596" s="124"/>
      <c r="O12596" s="124"/>
    </row>
    <row r="12597">
      <c r="K12597" s="124"/>
      <c r="L12597" s="124"/>
      <c r="M12597" s="124"/>
      <c r="N12597" s="124"/>
      <c r="O12597" s="124"/>
    </row>
    <row r="12598">
      <c r="K12598" s="124"/>
      <c r="L12598" s="124"/>
      <c r="M12598" s="124"/>
      <c r="N12598" s="124"/>
      <c r="O12598" s="124"/>
    </row>
    <row r="12599">
      <c r="K12599" s="124"/>
      <c r="L12599" s="124"/>
      <c r="M12599" s="124"/>
      <c r="N12599" s="124"/>
      <c r="O12599" s="124"/>
    </row>
    <row r="12600">
      <c r="K12600" s="124"/>
      <c r="L12600" s="124"/>
      <c r="M12600" s="124"/>
      <c r="N12600" s="124"/>
      <c r="O12600" s="124"/>
    </row>
    <row r="12601">
      <c r="K12601" s="124"/>
      <c r="L12601" s="124"/>
      <c r="M12601" s="124"/>
      <c r="N12601" s="124"/>
      <c r="O12601" s="124"/>
    </row>
    <row r="12602">
      <c r="K12602" s="124"/>
      <c r="L12602" s="124"/>
      <c r="M12602" s="124"/>
      <c r="N12602" s="124"/>
      <c r="O12602" s="124"/>
    </row>
    <row r="12603">
      <c r="K12603" s="124"/>
      <c r="L12603" s="124"/>
      <c r="M12603" s="124"/>
      <c r="N12603" s="124"/>
      <c r="O12603" s="124"/>
    </row>
    <row r="12604">
      <c r="K12604" s="124"/>
      <c r="L12604" s="124"/>
      <c r="M12604" s="124"/>
      <c r="N12604" s="124"/>
      <c r="O12604" s="124"/>
    </row>
    <row r="12605">
      <c r="K12605" s="124"/>
      <c r="L12605" s="124"/>
      <c r="M12605" s="124"/>
      <c r="N12605" s="124"/>
      <c r="O12605" s="124"/>
    </row>
    <row r="12606">
      <c r="K12606" s="124"/>
      <c r="L12606" s="124"/>
      <c r="M12606" s="124"/>
      <c r="N12606" s="124"/>
      <c r="O12606" s="124"/>
    </row>
    <row r="12607">
      <c r="K12607" s="124"/>
      <c r="L12607" s="124"/>
      <c r="M12607" s="124"/>
      <c r="N12607" s="124"/>
      <c r="O12607" s="124"/>
    </row>
    <row r="12608">
      <c r="K12608" s="124"/>
      <c r="L12608" s="124"/>
      <c r="M12608" s="124"/>
      <c r="N12608" s="124"/>
      <c r="O12608" s="124"/>
    </row>
    <row r="12609">
      <c r="K12609" s="124"/>
      <c r="L12609" s="124"/>
      <c r="M12609" s="124"/>
      <c r="N12609" s="124"/>
      <c r="O12609" s="124"/>
    </row>
    <row r="12610">
      <c r="K12610" s="124"/>
      <c r="L12610" s="124"/>
      <c r="M12610" s="124"/>
      <c r="N12610" s="124"/>
      <c r="O12610" s="124"/>
    </row>
    <row r="12611">
      <c r="K12611" s="124"/>
      <c r="L12611" s="124"/>
      <c r="M12611" s="124"/>
      <c r="N12611" s="124"/>
      <c r="O12611" s="124"/>
    </row>
    <row r="12612">
      <c r="K12612" s="124"/>
      <c r="L12612" s="124"/>
      <c r="M12612" s="124"/>
      <c r="N12612" s="124"/>
      <c r="O12612" s="124"/>
    </row>
    <row r="12613">
      <c r="K12613" s="124"/>
      <c r="L12613" s="124"/>
      <c r="M12613" s="124"/>
      <c r="N12613" s="124"/>
      <c r="O12613" s="124"/>
    </row>
    <row r="12614">
      <c r="K12614" s="124"/>
      <c r="L12614" s="124"/>
      <c r="M12614" s="124"/>
      <c r="N12614" s="124"/>
      <c r="O12614" s="124"/>
    </row>
    <row r="12615">
      <c r="K12615" s="124"/>
      <c r="L12615" s="124"/>
      <c r="M12615" s="124"/>
      <c r="N12615" s="124"/>
      <c r="O12615" s="124"/>
    </row>
    <row r="12616">
      <c r="K12616" s="124"/>
      <c r="L12616" s="124"/>
      <c r="M12616" s="124"/>
      <c r="N12616" s="124"/>
      <c r="O12616" s="124"/>
    </row>
    <row r="12617">
      <c r="K12617" s="124"/>
      <c r="L12617" s="124"/>
      <c r="M12617" s="124"/>
      <c r="N12617" s="124"/>
      <c r="O12617" s="124"/>
    </row>
    <row r="12618">
      <c r="K12618" s="124"/>
      <c r="L12618" s="124"/>
      <c r="M12618" s="124"/>
      <c r="N12618" s="124"/>
      <c r="O12618" s="124"/>
    </row>
    <row r="12619">
      <c r="K12619" s="124"/>
      <c r="L12619" s="124"/>
      <c r="M12619" s="124"/>
      <c r="N12619" s="124"/>
      <c r="O12619" s="124"/>
    </row>
    <row r="12620">
      <c r="K12620" s="124"/>
      <c r="L12620" s="124"/>
      <c r="M12620" s="124"/>
      <c r="N12620" s="124"/>
      <c r="O12620" s="124"/>
    </row>
    <row r="12621">
      <c r="K12621" s="124"/>
      <c r="L12621" s="124"/>
      <c r="M12621" s="124"/>
      <c r="N12621" s="124"/>
      <c r="O12621" s="124"/>
    </row>
    <row r="12622">
      <c r="K12622" s="124"/>
      <c r="L12622" s="124"/>
      <c r="M12622" s="124"/>
      <c r="N12622" s="124"/>
      <c r="O12622" s="124"/>
    </row>
    <row r="12623">
      <c r="K12623" s="124"/>
      <c r="L12623" s="124"/>
      <c r="M12623" s="124"/>
      <c r="N12623" s="124"/>
      <c r="O12623" s="124"/>
    </row>
    <row r="12624">
      <c r="K12624" s="124"/>
      <c r="L12624" s="124"/>
      <c r="M12624" s="124"/>
      <c r="N12624" s="124"/>
      <c r="O12624" s="124"/>
    </row>
    <row r="12625">
      <c r="K12625" s="124"/>
      <c r="L12625" s="124"/>
      <c r="M12625" s="124"/>
      <c r="N12625" s="124"/>
      <c r="O12625" s="124"/>
    </row>
    <row r="12626">
      <c r="K12626" s="124"/>
      <c r="L12626" s="124"/>
      <c r="M12626" s="124"/>
      <c r="N12626" s="124"/>
      <c r="O12626" s="124"/>
    </row>
    <row r="12627">
      <c r="K12627" s="124"/>
      <c r="L12627" s="124"/>
      <c r="M12627" s="124"/>
      <c r="N12627" s="124"/>
      <c r="O12627" s="124"/>
    </row>
    <row r="12628">
      <c r="K12628" s="124"/>
      <c r="L12628" s="124"/>
      <c r="M12628" s="124"/>
      <c r="N12628" s="124"/>
      <c r="O12628" s="124"/>
    </row>
    <row r="12629">
      <c r="K12629" s="124"/>
      <c r="L12629" s="124"/>
      <c r="M12629" s="124"/>
      <c r="N12629" s="124"/>
      <c r="O12629" s="124"/>
    </row>
    <row r="12630">
      <c r="K12630" s="124"/>
      <c r="L12630" s="124"/>
      <c r="M12630" s="124"/>
      <c r="N12630" s="124"/>
      <c r="O12630" s="124"/>
    </row>
    <row r="12631">
      <c r="K12631" s="124"/>
      <c r="L12631" s="124"/>
      <c r="M12631" s="124"/>
      <c r="N12631" s="124"/>
      <c r="O12631" s="124"/>
    </row>
    <row r="12632">
      <c r="K12632" s="124"/>
      <c r="L12632" s="124"/>
      <c r="M12632" s="124"/>
      <c r="N12632" s="124"/>
      <c r="O12632" s="124"/>
    </row>
    <row r="12633">
      <c r="K12633" s="124"/>
      <c r="L12633" s="124"/>
      <c r="M12633" s="124"/>
      <c r="N12633" s="124"/>
      <c r="O12633" s="124"/>
    </row>
    <row r="12634">
      <c r="K12634" s="124"/>
      <c r="L12634" s="124"/>
      <c r="M12634" s="124"/>
      <c r="N12634" s="124"/>
      <c r="O12634" s="124"/>
    </row>
    <row r="12635">
      <c r="K12635" s="124"/>
      <c r="L12635" s="124"/>
      <c r="M12635" s="124"/>
      <c r="N12635" s="124"/>
      <c r="O12635" s="124"/>
    </row>
    <row r="12636">
      <c r="K12636" s="124"/>
      <c r="L12636" s="124"/>
      <c r="M12636" s="124"/>
      <c r="N12636" s="124"/>
      <c r="O12636" s="124"/>
    </row>
    <row r="12637">
      <c r="K12637" s="124"/>
      <c r="L12637" s="124"/>
      <c r="M12637" s="124"/>
      <c r="N12637" s="124"/>
      <c r="O12637" s="124"/>
    </row>
    <row r="12638">
      <c r="K12638" s="124"/>
      <c r="L12638" s="124"/>
      <c r="M12638" s="124"/>
      <c r="N12638" s="124"/>
      <c r="O12638" s="124"/>
    </row>
    <row r="12639">
      <c r="K12639" s="124"/>
      <c r="L12639" s="124"/>
      <c r="M12639" s="124"/>
      <c r="N12639" s="124"/>
      <c r="O12639" s="124"/>
    </row>
    <row r="12640">
      <c r="K12640" s="124"/>
      <c r="L12640" s="124"/>
      <c r="M12640" s="124"/>
      <c r="N12640" s="124"/>
      <c r="O12640" s="124"/>
    </row>
    <row r="12641">
      <c r="K12641" s="124"/>
      <c r="L12641" s="124"/>
      <c r="M12641" s="124"/>
      <c r="N12641" s="124"/>
      <c r="O12641" s="124"/>
    </row>
    <row r="12642">
      <c r="K12642" s="124"/>
      <c r="L12642" s="124"/>
      <c r="M12642" s="124"/>
      <c r="N12642" s="124"/>
      <c r="O12642" s="124"/>
    </row>
    <row r="12643">
      <c r="K12643" s="124"/>
      <c r="L12643" s="124"/>
      <c r="M12643" s="124"/>
      <c r="N12643" s="124"/>
      <c r="O12643" s="124"/>
    </row>
    <row r="12644">
      <c r="K12644" s="124"/>
      <c r="L12644" s="124"/>
      <c r="M12644" s="124"/>
      <c r="N12644" s="124"/>
      <c r="O12644" s="124"/>
    </row>
    <row r="12645">
      <c r="K12645" s="124"/>
      <c r="L12645" s="124"/>
      <c r="M12645" s="124"/>
      <c r="N12645" s="124"/>
      <c r="O12645" s="124"/>
    </row>
    <row r="12646">
      <c r="K12646" s="124"/>
      <c r="L12646" s="124"/>
      <c r="M12646" s="124"/>
      <c r="N12646" s="124"/>
      <c r="O12646" s="124"/>
    </row>
    <row r="12647">
      <c r="K12647" s="124"/>
      <c r="L12647" s="124"/>
      <c r="M12647" s="124"/>
      <c r="N12647" s="124"/>
      <c r="O12647" s="124"/>
    </row>
    <row r="12648">
      <c r="K12648" s="124"/>
      <c r="L12648" s="124"/>
      <c r="M12648" s="124"/>
      <c r="N12648" s="124"/>
      <c r="O12648" s="124"/>
    </row>
    <row r="12649">
      <c r="K12649" s="124"/>
      <c r="L12649" s="124"/>
      <c r="M12649" s="124"/>
      <c r="N12649" s="124"/>
      <c r="O12649" s="124"/>
    </row>
    <row r="12650">
      <c r="K12650" s="124"/>
      <c r="L12650" s="124"/>
      <c r="M12650" s="124"/>
      <c r="N12650" s="124"/>
      <c r="O12650" s="124"/>
    </row>
    <row r="12651">
      <c r="K12651" s="124"/>
      <c r="L12651" s="124"/>
      <c r="M12651" s="124"/>
      <c r="N12651" s="124"/>
      <c r="O12651" s="124"/>
    </row>
    <row r="12652">
      <c r="K12652" s="124"/>
      <c r="L12652" s="124"/>
      <c r="M12652" s="124"/>
      <c r="N12652" s="124"/>
      <c r="O12652" s="124"/>
    </row>
    <row r="12653">
      <c r="K12653" s="124"/>
      <c r="L12653" s="124"/>
      <c r="M12653" s="124"/>
      <c r="N12653" s="124"/>
      <c r="O12653" s="124"/>
    </row>
    <row r="12654">
      <c r="K12654" s="124"/>
      <c r="L12654" s="124"/>
      <c r="M12654" s="124"/>
      <c r="N12654" s="124"/>
      <c r="O12654" s="124"/>
    </row>
    <row r="12655">
      <c r="K12655" s="124"/>
      <c r="L12655" s="124"/>
      <c r="M12655" s="124"/>
      <c r="N12655" s="124"/>
      <c r="O12655" s="124"/>
    </row>
    <row r="12656">
      <c r="K12656" s="124"/>
      <c r="L12656" s="124"/>
      <c r="M12656" s="124"/>
      <c r="N12656" s="124"/>
      <c r="O12656" s="124"/>
    </row>
    <row r="12657">
      <c r="K12657" s="124"/>
      <c r="L12657" s="124"/>
      <c r="M12657" s="124"/>
      <c r="N12657" s="124"/>
      <c r="O12657" s="124"/>
    </row>
    <row r="12658">
      <c r="K12658" s="124"/>
      <c r="L12658" s="124"/>
      <c r="M12658" s="124"/>
      <c r="N12658" s="124"/>
      <c r="O12658" s="124"/>
    </row>
    <row r="12659">
      <c r="K12659" s="124"/>
      <c r="L12659" s="124"/>
      <c r="M12659" s="124"/>
      <c r="N12659" s="124"/>
      <c r="O12659" s="124"/>
    </row>
    <row r="12660">
      <c r="K12660" s="124"/>
      <c r="L12660" s="124"/>
      <c r="M12660" s="124"/>
      <c r="N12660" s="124"/>
      <c r="O12660" s="124"/>
    </row>
    <row r="12661">
      <c r="K12661" s="124"/>
      <c r="L12661" s="124"/>
      <c r="M12661" s="124"/>
      <c r="N12661" s="124"/>
      <c r="O12661" s="124"/>
    </row>
    <row r="12662">
      <c r="K12662" s="124"/>
      <c r="L12662" s="124"/>
      <c r="M12662" s="124"/>
      <c r="N12662" s="124"/>
      <c r="O12662" s="124"/>
    </row>
    <row r="12663">
      <c r="K12663" s="124"/>
      <c r="L12663" s="124"/>
      <c r="M12663" s="124"/>
      <c r="N12663" s="124"/>
      <c r="O12663" s="124"/>
    </row>
    <row r="12664">
      <c r="K12664" s="124"/>
      <c r="L12664" s="124"/>
      <c r="M12664" s="124"/>
      <c r="N12664" s="124"/>
      <c r="O12664" s="124"/>
    </row>
    <row r="12665">
      <c r="K12665" s="124"/>
      <c r="L12665" s="124"/>
      <c r="M12665" s="124"/>
      <c r="N12665" s="124"/>
      <c r="O12665" s="124"/>
    </row>
    <row r="12666">
      <c r="K12666" s="124"/>
      <c r="L12666" s="124"/>
      <c r="M12666" s="124"/>
      <c r="N12666" s="124"/>
      <c r="O12666" s="124"/>
    </row>
    <row r="12667">
      <c r="K12667" s="124"/>
      <c r="L12667" s="124"/>
      <c r="M12667" s="124"/>
      <c r="N12667" s="124"/>
      <c r="O12667" s="124"/>
    </row>
    <row r="12668">
      <c r="K12668" s="124"/>
      <c r="L12668" s="124"/>
      <c r="M12668" s="124"/>
      <c r="N12668" s="124"/>
      <c r="O12668" s="124"/>
    </row>
    <row r="12669">
      <c r="K12669" s="124"/>
      <c r="L12669" s="124"/>
      <c r="M12669" s="124"/>
      <c r="N12669" s="124"/>
      <c r="O12669" s="124"/>
    </row>
    <row r="12670">
      <c r="K12670" s="124"/>
      <c r="L12670" s="124"/>
      <c r="M12670" s="124"/>
      <c r="N12670" s="124"/>
      <c r="O12670" s="124"/>
    </row>
    <row r="12671">
      <c r="K12671" s="124"/>
      <c r="L12671" s="124"/>
      <c r="M12671" s="124"/>
      <c r="N12671" s="124"/>
      <c r="O12671" s="124"/>
    </row>
    <row r="12672">
      <c r="K12672" s="124"/>
      <c r="L12672" s="124"/>
      <c r="M12672" s="124"/>
      <c r="N12672" s="124"/>
      <c r="O12672" s="124"/>
    </row>
    <row r="12673">
      <c r="K12673" s="124"/>
      <c r="L12673" s="124"/>
      <c r="M12673" s="124"/>
      <c r="N12673" s="124"/>
      <c r="O12673" s="124"/>
    </row>
    <row r="12674">
      <c r="K12674" s="124"/>
      <c r="L12674" s="124"/>
      <c r="M12674" s="124"/>
      <c r="N12674" s="124"/>
      <c r="O12674" s="124"/>
    </row>
    <row r="12675">
      <c r="K12675" s="124"/>
      <c r="L12675" s="124"/>
      <c r="M12675" s="124"/>
      <c r="N12675" s="124"/>
      <c r="O12675" s="124"/>
    </row>
    <row r="12676">
      <c r="K12676" s="124"/>
      <c r="L12676" s="124"/>
      <c r="M12676" s="124"/>
      <c r="N12676" s="124"/>
      <c r="O12676" s="124"/>
    </row>
    <row r="12677">
      <c r="K12677" s="124"/>
      <c r="L12677" s="124"/>
      <c r="M12677" s="124"/>
      <c r="N12677" s="124"/>
      <c r="O12677" s="124"/>
    </row>
    <row r="12678">
      <c r="K12678" s="124"/>
      <c r="L12678" s="124"/>
      <c r="M12678" s="124"/>
      <c r="N12678" s="124"/>
      <c r="O12678" s="124"/>
    </row>
    <row r="12679">
      <c r="K12679" s="124"/>
      <c r="L12679" s="124"/>
      <c r="M12679" s="124"/>
      <c r="N12679" s="124"/>
      <c r="O12679" s="124"/>
    </row>
    <row r="12680">
      <c r="K12680" s="124"/>
      <c r="L12680" s="124"/>
      <c r="M12680" s="124"/>
      <c r="N12680" s="124"/>
      <c r="O12680" s="124"/>
    </row>
    <row r="12681">
      <c r="K12681" s="124"/>
      <c r="L12681" s="124"/>
      <c r="M12681" s="124"/>
      <c r="N12681" s="124"/>
      <c r="O12681" s="124"/>
    </row>
    <row r="12682">
      <c r="K12682" s="124"/>
      <c r="L12682" s="124"/>
      <c r="M12682" s="124"/>
      <c r="N12682" s="124"/>
      <c r="O12682" s="124"/>
    </row>
    <row r="12683">
      <c r="K12683" s="124"/>
      <c r="L12683" s="124"/>
      <c r="M12683" s="124"/>
      <c r="N12683" s="124"/>
      <c r="O12683" s="124"/>
    </row>
    <row r="12684">
      <c r="K12684" s="124"/>
      <c r="L12684" s="124"/>
      <c r="M12684" s="124"/>
      <c r="N12684" s="124"/>
      <c r="O12684" s="124"/>
    </row>
    <row r="12685">
      <c r="K12685" s="124"/>
      <c r="L12685" s="124"/>
      <c r="M12685" s="124"/>
      <c r="N12685" s="124"/>
      <c r="O12685" s="124"/>
    </row>
    <row r="12686">
      <c r="K12686" s="124"/>
      <c r="L12686" s="124"/>
      <c r="M12686" s="124"/>
      <c r="N12686" s="124"/>
      <c r="O12686" s="124"/>
    </row>
    <row r="12687">
      <c r="K12687" s="124"/>
      <c r="L12687" s="124"/>
      <c r="M12687" s="124"/>
      <c r="N12687" s="124"/>
      <c r="O12687" s="124"/>
    </row>
    <row r="12688">
      <c r="K12688" s="124"/>
      <c r="L12688" s="124"/>
      <c r="M12688" s="124"/>
      <c r="N12688" s="124"/>
      <c r="O12688" s="124"/>
    </row>
    <row r="12689">
      <c r="K12689" s="124"/>
      <c r="L12689" s="124"/>
      <c r="M12689" s="124"/>
      <c r="N12689" s="124"/>
      <c r="O12689" s="124"/>
    </row>
    <row r="12690">
      <c r="K12690" s="124"/>
      <c r="L12690" s="124"/>
      <c r="M12690" s="124"/>
      <c r="N12690" s="124"/>
      <c r="O12690" s="124"/>
    </row>
    <row r="12691">
      <c r="K12691" s="124"/>
      <c r="L12691" s="124"/>
      <c r="M12691" s="124"/>
      <c r="N12691" s="124"/>
      <c r="O12691" s="124"/>
    </row>
    <row r="12692">
      <c r="K12692" s="124"/>
      <c r="L12692" s="124"/>
      <c r="M12692" s="124"/>
      <c r="N12692" s="124"/>
      <c r="O12692" s="124"/>
    </row>
    <row r="12693">
      <c r="K12693" s="124"/>
      <c r="L12693" s="124"/>
      <c r="M12693" s="124"/>
      <c r="N12693" s="124"/>
      <c r="O12693" s="124"/>
    </row>
    <row r="12694">
      <c r="K12694" s="124"/>
      <c r="L12694" s="124"/>
      <c r="M12694" s="124"/>
      <c r="N12694" s="124"/>
      <c r="O12694" s="124"/>
    </row>
    <row r="12695">
      <c r="K12695" s="124"/>
      <c r="L12695" s="124"/>
      <c r="M12695" s="124"/>
      <c r="N12695" s="124"/>
      <c r="O12695" s="124"/>
    </row>
    <row r="12696">
      <c r="K12696" s="124"/>
      <c r="L12696" s="124"/>
      <c r="M12696" s="124"/>
      <c r="N12696" s="124"/>
      <c r="O12696" s="124"/>
    </row>
    <row r="12697">
      <c r="K12697" s="124"/>
      <c r="L12697" s="124"/>
      <c r="M12697" s="124"/>
      <c r="N12697" s="124"/>
      <c r="O12697" s="124"/>
    </row>
    <row r="12698">
      <c r="K12698" s="124"/>
      <c r="L12698" s="124"/>
      <c r="M12698" s="124"/>
      <c r="N12698" s="124"/>
      <c r="O12698" s="124"/>
    </row>
    <row r="12699">
      <c r="K12699" s="124"/>
      <c r="L12699" s="124"/>
      <c r="M12699" s="124"/>
      <c r="N12699" s="124"/>
      <c r="O12699" s="124"/>
    </row>
    <row r="12700">
      <c r="K12700" s="124"/>
      <c r="L12700" s="124"/>
      <c r="M12700" s="124"/>
      <c r="N12700" s="124"/>
      <c r="O12700" s="124"/>
    </row>
    <row r="12701">
      <c r="K12701" s="124"/>
      <c r="L12701" s="124"/>
      <c r="M12701" s="124"/>
      <c r="N12701" s="124"/>
      <c r="O12701" s="124"/>
    </row>
    <row r="12702">
      <c r="K12702" s="124"/>
      <c r="L12702" s="124"/>
      <c r="M12702" s="124"/>
      <c r="N12702" s="124"/>
      <c r="O12702" s="124"/>
    </row>
    <row r="12703">
      <c r="K12703" s="124"/>
      <c r="L12703" s="124"/>
      <c r="M12703" s="124"/>
      <c r="N12703" s="124"/>
      <c r="O12703" s="124"/>
    </row>
    <row r="12704">
      <c r="K12704" s="124"/>
      <c r="L12704" s="124"/>
      <c r="M12704" s="124"/>
      <c r="N12704" s="124"/>
      <c r="O12704" s="124"/>
    </row>
    <row r="12705">
      <c r="K12705" s="124"/>
      <c r="L12705" s="124"/>
      <c r="M12705" s="124"/>
      <c r="N12705" s="124"/>
      <c r="O12705" s="124"/>
    </row>
    <row r="12706">
      <c r="K12706" s="124"/>
      <c r="L12706" s="124"/>
      <c r="M12706" s="124"/>
      <c r="N12706" s="124"/>
      <c r="O12706" s="124"/>
    </row>
    <row r="12707">
      <c r="K12707" s="124"/>
      <c r="L12707" s="124"/>
      <c r="M12707" s="124"/>
      <c r="N12707" s="124"/>
      <c r="O12707" s="124"/>
    </row>
    <row r="12708">
      <c r="K12708" s="124"/>
      <c r="L12708" s="124"/>
      <c r="M12708" s="124"/>
      <c r="N12708" s="124"/>
      <c r="O12708" s="124"/>
    </row>
    <row r="12709">
      <c r="K12709" s="124"/>
      <c r="L12709" s="124"/>
      <c r="M12709" s="124"/>
      <c r="N12709" s="124"/>
      <c r="O12709" s="124"/>
    </row>
    <row r="12710">
      <c r="K12710" s="124"/>
      <c r="L12710" s="124"/>
      <c r="M12710" s="124"/>
      <c r="N12710" s="124"/>
      <c r="O12710" s="124"/>
    </row>
    <row r="12711">
      <c r="K12711" s="124"/>
      <c r="L12711" s="124"/>
      <c r="M12711" s="124"/>
      <c r="N12711" s="124"/>
      <c r="O12711" s="124"/>
    </row>
    <row r="12712">
      <c r="K12712" s="124"/>
      <c r="L12712" s="124"/>
      <c r="M12712" s="124"/>
      <c r="N12712" s="124"/>
      <c r="O12712" s="124"/>
    </row>
    <row r="12713">
      <c r="K12713" s="124"/>
      <c r="L12713" s="124"/>
      <c r="M12713" s="124"/>
      <c r="N12713" s="124"/>
      <c r="O12713" s="124"/>
    </row>
    <row r="12714">
      <c r="K12714" s="124"/>
      <c r="L12714" s="124"/>
      <c r="M12714" s="124"/>
      <c r="N12714" s="124"/>
      <c r="O12714" s="124"/>
    </row>
    <row r="12715">
      <c r="K12715" s="124"/>
      <c r="L12715" s="124"/>
      <c r="M12715" s="124"/>
      <c r="N12715" s="124"/>
      <c r="O12715" s="124"/>
    </row>
    <row r="12716">
      <c r="K12716" s="124"/>
      <c r="L12716" s="124"/>
      <c r="M12716" s="124"/>
      <c r="N12716" s="124"/>
      <c r="O12716" s="124"/>
    </row>
    <row r="12717">
      <c r="K12717" s="124"/>
      <c r="L12717" s="124"/>
      <c r="M12717" s="124"/>
      <c r="N12717" s="124"/>
      <c r="O12717" s="124"/>
    </row>
    <row r="12718">
      <c r="K12718" s="124"/>
      <c r="L12718" s="124"/>
      <c r="M12718" s="124"/>
      <c r="N12718" s="124"/>
      <c r="O12718" s="124"/>
    </row>
    <row r="12719">
      <c r="K12719" s="124"/>
      <c r="L12719" s="124"/>
      <c r="M12719" s="124"/>
      <c r="N12719" s="124"/>
      <c r="O12719" s="124"/>
    </row>
    <row r="12720">
      <c r="K12720" s="124"/>
      <c r="L12720" s="124"/>
      <c r="M12720" s="124"/>
      <c r="N12720" s="124"/>
      <c r="O12720" s="124"/>
    </row>
    <row r="12721">
      <c r="K12721" s="124"/>
      <c r="L12721" s="124"/>
      <c r="M12721" s="124"/>
      <c r="N12721" s="124"/>
      <c r="O12721" s="124"/>
    </row>
    <row r="12722">
      <c r="K12722" s="124"/>
      <c r="L12722" s="124"/>
      <c r="M12722" s="124"/>
      <c r="N12722" s="124"/>
      <c r="O12722" s="124"/>
    </row>
    <row r="12723">
      <c r="K12723" s="124"/>
      <c r="L12723" s="124"/>
      <c r="M12723" s="124"/>
      <c r="N12723" s="124"/>
      <c r="O12723" s="124"/>
    </row>
    <row r="12724">
      <c r="K12724" s="124"/>
      <c r="L12724" s="124"/>
      <c r="M12724" s="124"/>
      <c r="N12724" s="124"/>
      <c r="O12724" s="124"/>
    </row>
    <row r="12725">
      <c r="K12725" s="124"/>
      <c r="L12725" s="124"/>
      <c r="M12725" s="124"/>
      <c r="N12725" s="124"/>
      <c r="O12725" s="124"/>
    </row>
    <row r="12726">
      <c r="K12726" s="124"/>
      <c r="L12726" s="124"/>
      <c r="M12726" s="124"/>
      <c r="N12726" s="124"/>
      <c r="O12726" s="124"/>
    </row>
    <row r="12727">
      <c r="K12727" s="124"/>
      <c r="L12727" s="124"/>
      <c r="M12727" s="124"/>
      <c r="N12727" s="124"/>
      <c r="O12727" s="124"/>
    </row>
    <row r="12728">
      <c r="K12728" s="124"/>
      <c r="L12728" s="124"/>
      <c r="M12728" s="124"/>
      <c r="N12728" s="124"/>
      <c r="O12728" s="124"/>
    </row>
    <row r="12729">
      <c r="K12729" s="124"/>
      <c r="L12729" s="124"/>
      <c r="M12729" s="124"/>
      <c r="N12729" s="124"/>
      <c r="O12729" s="124"/>
    </row>
    <row r="12730">
      <c r="K12730" s="124"/>
      <c r="L12730" s="124"/>
      <c r="M12730" s="124"/>
      <c r="N12730" s="124"/>
      <c r="O12730" s="124"/>
    </row>
    <row r="12731">
      <c r="K12731" s="124"/>
      <c r="L12731" s="124"/>
      <c r="M12731" s="124"/>
      <c r="N12731" s="124"/>
      <c r="O12731" s="124"/>
    </row>
    <row r="12732">
      <c r="K12732" s="124"/>
      <c r="L12732" s="124"/>
      <c r="M12732" s="124"/>
      <c r="N12732" s="124"/>
      <c r="O12732" s="124"/>
    </row>
    <row r="12733">
      <c r="K12733" s="124"/>
      <c r="L12733" s="124"/>
      <c r="M12733" s="124"/>
      <c r="N12733" s="124"/>
      <c r="O12733" s="124"/>
    </row>
    <row r="12734">
      <c r="K12734" s="124"/>
      <c r="L12734" s="124"/>
      <c r="M12734" s="124"/>
      <c r="N12734" s="124"/>
      <c r="O12734" s="124"/>
    </row>
    <row r="12735">
      <c r="K12735" s="124"/>
      <c r="L12735" s="124"/>
      <c r="M12735" s="124"/>
      <c r="N12735" s="124"/>
      <c r="O12735" s="124"/>
    </row>
    <row r="12736">
      <c r="K12736" s="124"/>
      <c r="L12736" s="124"/>
      <c r="M12736" s="124"/>
      <c r="N12736" s="124"/>
      <c r="O12736" s="124"/>
    </row>
    <row r="12737">
      <c r="K12737" s="124"/>
      <c r="L12737" s="124"/>
      <c r="M12737" s="124"/>
      <c r="N12737" s="124"/>
      <c r="O12737" s="124"/>
    </row>
    <row r="12738">
      <c r="K12738" s="124"/>
      <c r="L12738" s="124"/>
      <c r="M12738" s="124"/>
      <c r="N12738" s="124"/>
      <c r="O12738" s="124"/>
    </row>
    <row r="12739">
      <c r="K12739" s="124"/>
      <c r="L12739" s="124"/>
      <c r="M12739" s="124"/>
      <c r="N12739" s="124"/>
      <c r="O12739" s="124"/>
    </row>
    <row r="12740">
      <c r="K12740" s="124"/>
      <c r="L12740" s="124"/>
      <c r="M12740" s="124"/>
      <c r="N12740" s="124"/>
      <c r="O12740" s="124"/>
    </row>
    <row r="12741">
      <c r="K12741" s="124"/>
      <c r="L12741" s="124"/>
      <c r="M12741" s="124"/>
      <c r="N12741" s="124"/>
      <c r="O12741" s="124"/>
    </row>
    <row r="12742">
      <c r="K12742" s="124"/>
      <c r="L12742" s="124"/>
      <c r="M12742" s="124"/>
      <c r="N12742" s="124"/>
      <c r="O12742" s="124"/>
    </row>
    <row r="12743">
      <c r="K12743" s="124"/>
      <c r="L12743" s="124"/>
      <c r="M12743" s="124"/>
      <c r="N12743" s="124"/>
      <c r="O12743" s="124"/>
    </row>
    <row r="12744">
      <c r="K12744" s="124"/>
      <c r="L12744" s="124"/>
      <c r="M12744" s="124"/>
      <c r="N12744" s="124"/>
      <c r="O12744" s="124"/>
    </row>
    <row r="12745">
      <c r="K12745" s="124"/>
      <c r="L12745" s="124"/>
      <c r="M12745" s="124"/>
      <c r="N12745" s="124"/>
      <c r="O12745" s="124"/>
    </row>
    <row r="12746">
      <c r="K12746" s="124"/>
      <c r="L12746" s="124"/>
      <c r="M12746" s="124"/>
      <c r="N12746" s="124"/>
      <c r="O12746" s="124"/>
    </row>
    <row r="12747">
      <c r="K12747" s="124"/>
      <c r="L12747" s="124"/>
      <c r="M12747" s="124"/>
      <c r="N12747" s="124"/>
      <c r="O12747" s="124"/>
    </row>
    <row r="12748">
      <c r="K12748" s="124"/>
      <c r="L12748" s="124"/>
      <c r="M12748" s="124"/>
      <c r="N12748" s="124"/>
      <c r="O12748" s="124"/>
    </row>
    <row r="12749">
      <c r="K12749" s="124"/>
      <c r="L12749" s="124"/>
      <c r="M12749" s="124"/>
      <c r="N12749" s="124"/>
      <c r="O12749" s="124"/>
    </row>
    <row r="12750">
      <c r="K12750" s="124"/>
      <c r="L12750" s="124"/>
      <c r="M12750" s="124"/>
      <c r="N12750" s="124"/>
      <c r="O12750" s="124"/>
    </row>
    <row r="12751">
      <c r="K12751" s="124"/>
      <c r="L12751" s="124"/>
      <c r="M12751" s="124"/>
      <c r="N12751" s="124"/>
      <c r="O12751" s="124"/>
    </row>
    <row r="12752">
      <c r="K12752" s="124"/>
      <c r="L12752" s="124"/>
      <c r="M12752" s="124"/>
      <c r="N12752" s="124"/>
      <c r="O12752" s="124"/>
    </row>
    <row r="12753">
      <c r="K12753" s="124"/>
      <c r="L12753" s="124"/>
      <c r="M12753" s="124"/>
      <c r="N12753" s="124"/>
      <c r="O12753" s="124"/>
    </row>
    <row r="12754">
      <c r="K12754" s="124"/>
      <c r="L12754" s="124"/>
      <c r="M12754" s="124"/>
      <c r="N12754" s="124"/>
      <c r="O12754" s="124"/>
    </row>
    <row r="12755">
      <c r="K12755" s="124"/>
      <c r="L12755" s="124"/>
      <c r="M12755" s="124"/>
      <c r="N12755" s="124"/>
      <c r="O12755" s="124"/>
    </row>
    <row r="12756">
      <c r="K12756" s="124"/>
      <c r="L12756" s="124"/>
      <c r="M12756" s="124"/>
      <c r="N12756" s="124"/>
      <c r="O12756" s="124"/>
    </row>
    <row r="12757">
      <c r="K12757" s="124"/>
      <c r="L12757" s="124"/>
      <c r="M12757" s="124"/>
      <c r="N12757" s="124"/>
      <c r="O12757" s="124"/>
    </row>
    <row r="12758">
      <c r="K12758" s="124"/>
      <c r="L12758" s="124"/>
      <c r="M12758" s="124"/>
      <c r="N12758" s="124"/>
      <c r="O12758" s="124"/>
    </row>
    <row r="12759">
      <c r="K12759" s="124"/>
      <c r="L12759" s="124"/>
      <c r="M12759" s="124"/>
      <c r="N12759" s="124"/>
      <c r="O12759" s="124"/>
    </row>
    <row r="12760">
      <c r="K12760" s="124"/>
      <c r="L12760" s="124"/>
      <c r="M12760" s="124"/>
      <c r="N12760" s="124"/>
      <c r="O12760" s="124"/>
    </row>
    <row r="12761">
      <c r="K12761" s="124"/>
      <c r="L12761" s="124"/>
      <c r="M12761" s="124"/>
      <c r="N12761" s="124"/>
      <c r="O12761" s="124"/>
    </row>
    <row r="12762">
      <c r="K12762" s="124"/>
      <c r="L12762" s="124"/>
      <c r="M12762" s="124"/>
      <c r="N12762" s="124"/>
      <c r="O12762" s="124"/>
    </row>
    <row r="12763">
      <c r="K12763" s="124"/>
      <c r="L12763" s="124"/>
      <c r="M12763" s="124"/>
      <c r="N12763" s="124"/>
      <c r="O12763" s="124"/>
    </row>
    <row r="12764">
      <c r="K12764" s="124"/>
      <c r="L12764" s="124"/>
      <c r="M12764" s="124"/>
      <c r="N12764" s="124"/>
      <c r="O12764" s="124"/>
    </row>
    <row r="12765">
      <c r="K12765" s="124"/>
      <c r="L12765" s="124"/>
      <c r="M12765" s="124"/>
      <c r="N12765" s="124"/>
      <c r="O12765" s="124"/>
    </row>
    <row r="12766">
      <c r="K12766" s="124"/>
      <c r="L12766" s="124"/>
      <c r="M12766" s="124"/>
      <c r="N12766" s="124"/>
      <c r="O12766" s="124"/>
    </row>
    <row r="12767">
      <c r="K12767" s="124"/>
      <c r="L12767" s="124"/>
      <c r="M12767" s="124"/>
      <c r="N12767" s="124"/>
      <c r="O12767" s="124"/>
    </row>
    <row r="12768">
      <c r="K12768" s="124"/>
      <c r="L12768" s="124"/>
      <c r="M12768" s="124"/>
      <c r="N12768" s="124"/>
      <c r="O12768" s="124"/>
    </row>
    <row r="12769">
      <c r="K12769" s="124"/>
      <c r="L12769" s="124"/>
      <c r="M12769" s="124"/>
      <c r="N12769" s="124"/>
      <c r="O12769" s="124"/>
    </row>
    <row r="12770">
      <c r="K12770" s="124"/>
      <c r="L12770" s="124"/>
      <c r="M12770" s="124"/>
      <c r="N12770" s="124"/>
      <c r="O12770" s="124"/>
    </row>
    <row r="12771">
      <c r="K12771" s="124"/>
      <c r="L12771" s="124"/>
      <c r="M12771" s="124"/>
      <c r="N12771" s="124"/>
      <c r="O12771" s="124"/>
    </row>
    <row r="12772">
      <c r="K12772" s="124"/>
      <c r="L12772" s="124"/>
      <c r="M12772" s="124"/>
      <c r="N12772" s="124"/>
      <c r="O12772" s="124"/>
    </row>
    <row r="12773">
      <c r="K12773" s="124"/>
      <c r="L12773" s="124"/>
      <c r="M12773" s="124"/>
      <c r="N12773" s="124"/>
      <c r="O12773" s="124"/>
    </row>
    <row r="12774">
      <c r="K12774" s="124"/>
      <c r="L12774" s="124"/>
      <c r="M12774" s="124"/>
      <c r="N12774" s="124"/>
      <c r="O12774" s="124"/>
    </row>
    <row r="12775">
      <c r="K12775" s="124"/>
      <c r="L12775" s="124"/>
      <c r="M12775" s="124"/>
      <c r="N12775" s="124"/>
      <c r="O12775" s="124"/>
    </row>
    <row r="12776">
      <c r="K12776" s="124"/>
      <c r="L12776" s="124"/>
      <c r="M12776" s="124"/>
      <c r="N12776" s="124"/>
      <c r="O12776" s="124"/>
    </row>
    <row r="12777">
      <c r="K12777" s="124"/>
      <c r="L12777" s="124"/>
      <c r="M12777" s="124"/>
      <c r="N12777" s="124"/>
      <c r="O12777" s="124"/>
    </row>
    <row r="12778">
      <c r="K12778" s="124"/>
      <c r="L12778" s="124"/>
      <c r="M12778" s="124"/>
      <c r="N12778" s="124"/>
      <c r="O12778" s="124"/>
    </row>
    <row r="12779">
      <c r="K12779" s="124"/>
      <c r="L12779" s="124"/>
      <c r="M12779" s="124"/>
      <c r="N12779" s="124"/>
      <c r="O12779" s="124"/>
    </row>
    <row r="12780">
      <c r="K12780" s="124"/>
      <c r="L12780" s="124"/>
      <c r="M12780" s="124"/>
      <c r="N12780" s="124"/>
      <c r="O12780" s="124"/>
    </row>
    <row r="12781">
      <c r="K12781" s="124"/>
      <c r="L12781" s="124"/>
      <c r="M12781" s="124"/>
      <c r="N12781" s="124"/>
      <c r="O12781" s="124"/>
    </row>
    <row r="12782">
      <c r="K12782" s="124"/>
      <c r="L12782" s="124"/>
      <c r="M12782" s="124"/>
      <c r="N12782" s="124"/>
      <c r="O12782" s="124"/>
    </row>
    <row r="12783">
      <c r="K12783" s="124"/>
      <c r="L12783" s="124"/>
      <c r="M12783" s="124"/>
      <c r="N12783" s="124"/>
      <c r="O12783" s="124"/>
    </row>
    <row r="12784">
      <c r="K12784" s="124"/>
      <c r="L12784" s="124"/>
      <c r="M12784" s="124"/>
      <c r="N12784" s="124"/>
      <c r="O12784" s="124"/>
    </row>
    <row r="12785">
      <c r="K12785" s="124"/>
      <c r="L12785" s="124"/>
      <c r="M12785" s="124"/>
      <c r="N12785" s="124"/>
      <c r="O12785" s="124"/>
    </row>
    <row r="12786">
      <c r="K12786" s="124"/>
      <c r="L12786" s="124"/>
      <c r="M12786" s="124"/>
      <c r="N12786" s="124"/>
      <c r="O12786" s="124"/>
    </row>
    <row r="12787">
      <c r="K12787" s="124"/>
      <c r="L12787" s="124"/>
      <c r="M12787" s="124"/>
      <c r="N12787" s="124"/>
      <c r="O12787" s="124"/>
    </row>
    <row r="12788">
      <c r="K12788" s="124"/>
      <c r="L12788" s="124"/>
      <c r="M12788" s="124"/>
      <c r="N12788" s="124"/>
      <c r="O12788" s="124"/>
    </row>
    <row r="12789">
      <c r="K12789" s="124"/>
      <c r="L12789" s="124"/>
      <c r="M12789" s="124"/>
      <c r="N12789" s="124"/>
      <c r="O12789" s="124"/>
    </row>
    <row r="12790">
      <c r="K12790" s="124"/>
      <c r="L12790" s="124"/>
      <c r="M12790" s="124"/>
      <c r="N12790" s="124"/>
      <c r="O12790" s="124"/>
    </row>
    <row r="12791">
      <c r="K12791" s="124"/>
      <c r="L12791" s="124"/>
      <c r="M12791" s="124"/>
      <c r="N12791" s="124"/>
      <c r="O12791" s="124"/>
    </row>
    <row r="12792">
      <c r="K12792" s="124"/>
      <c r="L12792" s="124"/>
      <c r="M12792" s="124"/>
      <c r="N12792" s="124"/>
      <c r="O12792" s="124"/>
    </row>
    <row r="12793">
      <c r="K12793" s="124"/>
      <c r="L12793" s="124"/>
      <c r="M12793" s="124"/>
      <c r="N12793" s="124"/>
      <c r="O12793" s="124"/>
    </row>
    <row r="12794">
      <c r="K12794" s="124"/>
      <c r="L12794" s="124"/>
      <c r="M12794" s="124"/>
      <c r="N12794" s="124"/>
      <c r="O12794" s="124"/>
    </row>
    <row r="12795">
      <c r="K12795" s="124"/>
      <c r="L12795" s="124"/>
      <c r="M12795" s="124"/>
      <c r="N12795" s="124"/>
      <c r="O12795" s="124"/>
    </row>
    <row r="12796">
      <c r="K12796" s="124"/>
      <c r="L12796" s="124"/>
      <c r="M12796" s="124"/>
      <c r="N12796" s="124"/>
      <c r="O12796" s="124"/>
    </row>
    <row r="12797">
      <c r="K12797" s="124"/>
      <c r="L12797" s="124"/>
      <c r="M12797" s="124"/>
      <c r="N12797" s="124"/>
      <c r="O12797" s="124"/>
    </row>
    <row r="12798">
      <c r="K12798" s="124"/>
      <c r="L12798" s="124"/>
      <c r="M12798" s="124"/>
      <c r="N12798" s="124"/>
      <c r="O12798" s="124"/>
    </row>
    <row r="12799">
      <c r="K12799" s="124"/>
      <c r="L12799" s="124"/>
      <c r="M12799" s="124"/>
      <c r="N12799" s="124"/>
      <c r="O12799" s="124"/>
    </row>
    <row r="12800">
      <c r="K12800" s="124"/>
      <c r="L12800" s="124"/>
      <c r="M12800" s="124"/>
      <c r="N12800" s="124"/>
      <c r="O12800" s="124"/>
    </row>
    <row r="12801">
      <c r="K12801" s="124"/>
      <c r="L12801" s="124"/>
      <c r="M12801" s="124"/>
      <c r="N12801" s="124"/>
      <c r="O12801" s="124"/>
    </row>
    <row r="12802">
      <c r="K12802" s="124"/>
      <c r="L12802" s="124"/>
      <c r="M12802" s="124"/>
      <c r="N12802" s="124"/>
      <c r="O12802" s="124"/>
    </row>
    <row r="12803">
      <c r="K12803" s="124"/>
      <c r="L12803" s="124"/>
      <c r="M12803" s="124"/>
      <c r="N12803" s="124"/>
      <c r="O12803" s="124"/>
    </row>
    <row r="12804">
      <c r="K12804" s="124"/>
      <c r="L12804" s="124"/>
      <c r="M12804" s="124"/>
      <c r="N12804" s="124"/>
      <c r="O12804" s="124"/>
    </row>
    <row r="12805">
      <c r="K12805" s="124"/>
      <c r="L12805" s="124"/>
      <c r="M12805" s="124"/>
      <c r="N12805" s="124"/>
      <c r="O12805" s="124"/>
    </row>
    <row r="12806">
      <c r="K12806" s="124"/>
      <c r="L12806" s="124"/>
      <c r="M12806" s="124"/>
      <c r="N12806" s="124"/>
      <c r="O12806" s="124"/>
    </row>
    <row r="12807">
      <c r="K12807" s="124"/>
      <c r="L12807" s="124"/>
      <c r="M12807" s="124"/>
      <c r="N12807" s="124"/>
      <c r="O12807" s="124"/>
    </row>
    <row r="12808">
      <c r="K12808" s="124"/>
      <c r="L12808" s="124"/>
      <c r="M12808" s="124"/>
      <c r="N12808" s="124"/>
      <c r="O12808" s="124"/>
    </row>
    <row r="12809">
      <c r="K12809" s="124"/>
      <c r="L12809" s="124"/>
      <c r="M12809" s="124"/>
      <c r="N12809" s="124"/>
      <c r="O12809" s="124"/>
    </row>
    <row r="12810">
      <c r="K12810" s="124"/>
      <c r="L12810" s="124"/>
      <c r="M12810" s="124"/>
      <c r="N12810" s="124"/>
      <c r="O12810" s="124"/>
    </row>
    <row r="12811">
      <c r="K12811" s="124"/>
      <c r="L12811" s="124"/>
      <c r="M12811" s="124"/>
      <c r="N12811" s="124"/>
      <c r="O12811" s="124"/>
    </row>
    <row r="12812">
      <c r="K12812" s="124"/>
      <c r="L12812" s="124"/>
      <c r="M12812" s="124"/>
      <c r="N12812" s="124"/>
      <c r="O12812" s="124"/>
    </row>
    <row r="12813">
      <c r="K12813" s="124"/>
      <c r="L12813" s="124"/>
      <c r="M12813" s="124"/>
      <c r="N12813" s="124"/>
      <c r="O12813" s="124"/>
    </row>
    <row r="12814">
      <c r="K12814" s="124"/>
      <c r="L12814" s="124"/>
      <c r="M12814" s="124"/>
      <c r="N12814" s="124"/>
      <c r="O12814" s="124"/>
    </row>
    <row r="12815">
      <c r="K12815" s="124"/>
      <c r="L12815" s="124"/>
      <c r="M12815" s="124"/>
      <c r="N12815" s="124"/>
      <c r="O12815" s="124"/>
    </row>
    <row r="12816">
      <c r="K12816" s="124"/>
      <c r="L12816" s="124"/>
      <c r="M12816" s="124"/>
      <c r="N12816" s="124"/>
      <c r="O12816" s="124"/>
    </row>
    <row r="12817">
      <c r="K12817" s="124"/>
      <c r="L12817" s="124"/>
      <c r="M12817" s="124"/>
      <c r="N12817" s="124"/>
      <c r="O12817" s="124"/>
    </row>
    <row r="12818">
      <c r="K12818" s="124"/>
      <c r="L12818" s="124"/>
      <c r="M12818" s="124"/>
      <c r="N12818" s="124"/>
      <c r="O12818" s="124"/>
    </row>
    <row r="12819">
      <c r="K12819" s="124"/>
      <c r="L12819" s="124"/>
      <c r="M12819" s="124"/>
      <c r="N12819" s="124"/>
      <c r="O12819" s="124"/>
    </row>
    <row r="12820">
      <c r="K12820" s="124"/>
      <c r="L12820" s="124"/>
      <c r="M12820" s="124"/>
      <c r="N12820" s="124"/>
      <c r="O12820" s="124"/>
    </row>
    <row r="12821">
      <c r="K12821" s="124"/>
      <c r="L12821" s="124"/>
      <c r="M12821" s="124"/>
      <c r="N12821" s="124"/>
      <c r="O12821" s="124"/>
    </row>
    <row r="12822">
      <c r="K12822" s="124"/>
      <c r="L12822" s="124"/>
      <c r="M12822" s="124"/>
      <c r="N12822" s="124"/>
      <c r="O12822" s="124"/>
    </row>
    <row r="12823">
      <c r="K12823" s="124"/>
      <c r="L12823" s="124"/>
      <c r="M12823" s="124"/>
      <c r="N12823" s="124"/>
      <c r="O12823" s="124"/>
    </row>
    <row r="12824">
      <c r="K12824" s="124"/>
      <c r="L12824" s="124"/>
      <c r="M12824" s="124"/>
      <c r="N12824" s="124"/>
      <c r="O12824" s="124"/>
    </row>
    <row r="12825">
      <c r="K12825" s="124"/>
      <c r="L12825" s="124"/>
      <c r="M12825" s="124"/>
      <c r="N12825" s="124"/>
      <c r="O12825" s="124"/>
    </row>
    <row r="12826">
      <c r="K12826" s="124"/>
      <c r="L12826" s="124"/>
      <c r="M12826" s="124"/>
      <c r="N12826" s="124"/>
      <c r="O12826" s="124"/>
    </row>
    <row r="12827">
      <c r="K12827" s="124"/>
      <c r="L12827" s="124"/>
      <c r="M12827" s="124"/>
      <c r="N12827" s="124"/>
      <c r="O12827" s="124"/>
    </row>
    <row r="12828">
      <c r="K12828" s="124"/>
      <c r="L12828" s="124"/>
      <c r="M12828" s="124"/>
      <c r="N12828" s="124"/>
      <c r="O12828" s="124"/>
    </row>
    <row r="12829">
      <c r="K12829" s="124"/>
      <c r="L12829" s="124"/>
      <c r="M12829" s="124"/>
      <c r="N12829" s="124"/>
      <c r="O12829" s="124"/>
    </row>
    <row r="12830">
      <c r="K12830" s="124"/>
      <c r="L12830" s="124"/>
      <c r="M12830" s="124"/>
      <c r="N12830" s="124"/>
      <c r="O12830" s="124"/>
    </row>
    <row r="12831">
      <c r="K12831" s="124"/>
      <c r="L12831" s="124"/>
      <c r="M12831" s="124"/>
      <c r="N12831" s="124"/>
      <c r="O12831" s="124"/>
    </row>
    <row r="12832">
      <c r="K12832" s="124"/>
      <c r="L12832" s="124"/>
      <c r="M12832" s="124"/>
      <c r="N12832" s="124"/>
      <c r="O12832" s="124"/>
    </row>
    <row r="12833">
      <c r="K12833" s="124"/>
      <c r="L12833" s="124"/>
      <c r="M12833" s="124"/>
      <c r="N12833" s="124"/>
      <c r="O12833" s="124"/>
    </row>
    <row r="12834">
      <c r="K12834" s="124"/>
      <c r="L12834" s="124"/>
      <c r="M12834" s="124"/>
      <c r="N12834" s="124"/>
      <c r="O12834" s="124"/>
    </row>
    <row r="12835">
      <c r="K12835" s="124"/>
      <c r="L12835" s="124"/>
      <c r="M12835" s="124"/>
      <c r="N12835" s="124"/>
      <c r="O12835" s="124"/>
    </row>
    <row r="12836">
      <c r="K12836" s="124"/>
      <c r="L12836" s="124"/>
      <c r="M12836" s="124"/>
      <c r="N12836" s="124"/>
      <c r="O12836" s="124"/>
    </row>
    <row r="12837">
      <c r="K12837" s="124"/>
      <c r="L12837" s="124"/>
      <c r="M12837" s="124"/>
      <c r="N12837" s="124"/>
      <c r="O12837" s="124"/>
    </row>
    <row r="12838">
      <c r="K12838" s="124"/>
      <c r="L12838" s="124"/>
      <c r="M12838" s="124"/>
      <c r="N12838" s="124"/>
      <c r="O12838" s="124"/>
    </row>
    <row r="12839">
      <c r="K12839" s="124"/>
      <c r="L12839" s="124"/>
      <c r="M12839" s="124"/>
      <c r="N12839" s="124"/>
      <c r="O12839" s="124"/>
    </row>
    <row r="12840">
      <c r="K12840" s="124"/>
      <c r="L12840" s="124"/>
      <c r="M12840" s="124"/>
      <c r="N12840" s="124"/>
      <c r="O12840" s="124"/>
    </row>
    <row r="12841">
      <c r="K12841" s="124"/>
      <c r="L12841" s="124"/>
      <c r="M12841" s="124"/>
      <c r="N12841" s="124"/>
      <c r="O12841" s="124"/>
    </row>
    <row r="12842">
      <c r="K12842" s="124"/>
      <c r="L12842" s="124"/>
      <c r="M12842" s="124"/>
      <c r="N12842" s="124"/>
      <c r="O12842" s="124"/>
    </row>
    <row r="12843">
      <c r="K12843" s="124"/>
      <c r="L12843" s="124"/>
      <c r="M12843" s="124"/>
      <c r="N12843" s="124"/>
      <c r="O12843" s="124"/>
    </row>
    <row r="12844">
      <c r="K12844" s="124"/>
      <c r="L12844" s="124"/>
      <c r="M12844" s="124"/>
      <c r="N12844" s="124"/>
      <c r="O12844" s="124"/>
    </row>
    <row r="12845">
      <c r="K12845" s="124"/>
      <c r="L12845" s="124"/>
      <c r="M12845" s="124"/>
      <c r="N12845" s="124"/>
      <c r="O12845" s="124"/>
    </row>
    <row r="12846">
      <c r="K12846" s="124"/>
      <c r="L12846" s="124"/>
      <c r="M12846" s="124"/>
      <c r="N12846" s="124"/>
      <c r="O12846" s="124"/>
    </row>
    <row r="12847">
      <c r="K12847" s="124"/>
      <c r="L12847" s="124"/>
      <c r="M12847" s="124"/>
      <c r="N12847" s="124"/>
      <c r="O12847" s="124"/>
    </row>
    <row r="12848">
      <c r="K12848" s="124"/>
      <c r="L12848" s="124"/>
      <c r="M12848" s="124"/>
      <c r="N12848" s="124"/>
      <c r="O12848" s="124"/>
    </row>
    <row r="12849">
      <c r="K12849" s="124"/>
      <c r="L12849" s="124"/>
      <c r="M12849" s="124"/>
      <c r="N12849" s="124"/>
      <c r="O12849" s="124"/>
    </row>
    <row r="12850">
      <c r="K12850" s="124"/>
      <c r="L12850" s="124"/>
      <c r="M12850" s="124"/>
      <c r="N12850" s="124"/>
      <c r="O12850" s="124"/>
    </row>
    <row r="12851">
      <c r="K12851" s="124"/>
      <c r="L12851" s="124"/>
      <c r="M12851" s="124"/>
      <c r="N12851" s="124"/>
      <c r="O12851" s="124"/>
    </row>
    <row r="12852">
      <c r="K12852" s="124"/>
      <c r="L12852" s="124"/>
      <c r="M12852" s="124"/>
      <c r="N12852" s="124"/>
      <c r="O12852" s="124"/>
    </row>
    <row r="12853">
      <c r="K12853" s="124"/>
      <c r="L12853" s="124"/>
      <c r="M12853" s="124"/>
      <c r="N12853" s="124"/>
      <c r="O12853" s="124"/>
    </row>
    <row r="12854">
      <c r="K12854" s="124"/>
      <c r="L12854" s="124"/>
      <c r="M12854" s="124"/>
      <c r="N12854" s="124"/>
      <c r="O12854" s="124"/>
    </row>
    <row r="12855">
      <c r="K12855" s="124"/>
      <c r="L12855" s="124"/>
      <c r="M12855" s="124"/>
      <c r="N12855" s="124"/>
      <c r="O12855" s="124"/>
    </row>
    <row r="12856">
      <c r="K12856" s="124"/>
      <c r="L12856" s="124"/>
      <c r="M12856" s="124"/>
      <c r="N12856" s="124"/>
      <c r="O12856" s="124"/>
    </row>
    <row r="12857">
      <c r="K12857" s="124"/>
      <c r="L12857" s="124"/>
      <c r="M12857" s="124"/>
      <c r="N12857" s="124"/>
      <c r="O12857" s="124"/>
    </row>
    <row r="12858">
      <c r="K12858" s="124"/>
      <c r="L12858" s="124"/>
      <c r="M12858" s="124"/>
      <c r="N12858" s="124"/>
      <c r="O12858" s="124"/>
    </row>
    <row r="12859">
      <c r="K12859" s="124"/>
      <c r="L12859" s="124"/>
      <c r="M12859" s="124"/>
      <c r="N12859" s="124"/>
      <c r="O12859" s="124"/>
    </row>
    <row r="12860">
      <c r="K12860" s="124"/>
      <c r="L12860" s="124"/>
      <c r="M12860" s="124"/>
      <c r="N12860" s="124"/>
      <c r="O12860" s="124"/>
    </row>
    <row r="12861">
      <c r="K12861" s="124"/>
      <c r="L12861" s="124"/>
      <c r="M12861" s="124"/>
      <c r="N12861" s="124"/>
      <c r="O12861" s="124"/>
    </row>
    <row r="12862">
      <c r="K12862" s="124"/>
      <c r="L12862" s="124"/>
      <c r="M12862" s="124"/>
      <c r="N12862" s="124"/>
      <c r="O12862" s="124"/>
    </row>
    <row r="12863">
      <c r="K12863" s="124"/>
      <c r="L12863" s="124"/>
      <c r="M12863" s="124"/>
      <c r="N12863" s="124"/>
      <c r="O12863" s="124"/>
    </row>
    <row r="12864">
      <c r="K12864" s="124"/>
      <c r="L12864" s="124"/>
      <c r="M12864" s="124"/>
      <c r="N12864" s="124"/>
      <c r="O12864" s="124"/>
    </row>
    <row r="12865">
      <c r="K12865" s="124"/>
      <c r="L12865" s="124"/>
      <c r="M12865" s="124"/>
      <c r="N12865" s="124"/>
      <c r="O12865" s="124"/>
    </row>
    <row r="12866">
      <c r="K12866" s="124"/>
      <c r="L12866" s="124"/>
      <c r="M12866" s="124"/>
      <c r="N12866" s="124"/>
      <c r="O12866" s="124"/>
    </row>
    <row r="12867">
      <c r="K12867" s="124"/>
      <c r="L12867" s="124"/>
      <c r="M12867" s="124"/>
      <c r="N12867" s="124"/>
      <c r="O12867" s="124"/>
    </row>
    <row r="12868">
      <c r="K12868" s="124"/>
      <c r="L12868" s="124"/>
      <c r="M12868" s="124"/>
      <c r="N12868" s="124"/>
      <c r="O12868" s="124"/>
    </row>
    <row r="12869">
      <c r="K12869" s="124"/>
      <c r="L12869" s="124"/>
      <c r="M12869" s="124"/>
      <c r="N12869" s="124"/>
      <c r="O12869" s="124"/>
    </row>
    <row r="12870">
      <c r="K12870" s="124"/>
      <c r="L12870" s="124"/>
      <c r="M12870" s="124"/>
      <c r="N12870" s="124"/>
      <c r="O12870" s="124"/>
    </row>
    <row r="12871">
      <c r="K12871" s="124"/>
      <c r="L12871" s="124"/>
      <c r="M12871" s="124"/>
      <c r="N12871" s="124"/>
      <c r="O12871" s="124"/>
    </row>
    <row r="12872">
      <c r="K12872" s="124"/>
      <c r="L12872" s="124"/>
      <c r="M12872" s="124"/>
      <c r="N12872" s="124"/>
      <c r="O12872" s="124"/>
    </row>
    <row r="12873">
      <c r="K12873" s="124"/>
      <c r="L12873" s="124"/>
      <c r="M12873" s="124"/>
      <c r="N12873" s="124"/>
      <c r="O12873" s="124"/>
    </row>
    <row r="12874">
      <c r="K12874" s="124"/>
      <c r="L12874" s="124"/>
      <c r="M12874" s="124"/>
      <c r="N12874" s="124"/>
      <c r="O12874" s="124"/>
    </row>
    <row r="12875">
      <c r="K12875" s="124"/>
      <c r="L12875" s="124"/>
      <c r="M12875" s="124"/>
      <c r="N12875" s="124"/>
      <c r="O12875" s="124"/>
    </row>
    <row r="12876">
      <c r="K12876" s="124"/>
      <c r="L12876" s="124"/>
      <c r="M12876" s="124"/>
      <c r="N12876" s="124"/>
      <c r="O12876" s="124"/>
    </row>
    <row r="12877">
      <c r="K12877" s="124"/>
      <c r="L12877" s="124"/>
      <c r="M12877" s="124"/>
      <c r="N12877" s="124"/>
      <c r="O12877" s="124"/>
    </row>
    <row r="12878">
      <c r="K12878" s="124"/>
      <c r="L12878" s="124"/>
      <c r="M12878" s="124"/>
      <c r="N12878" s="124"/>
      <c r="O12878" s="124"/>
    </row>
    <row r="12879">
      <c r="K12879" s="124"/>
      <c r="L12879" s="124"/>
      <c r="M12879" s="124"/>
      <c r="N12879" s="124"/>
      <c r="O12879" s="124"/>
    </row>
    <row r="12880">
      <c r="K12880" s="124"/>
      <c r="L12880" s="124"/>
      <c r="M12880" s="124"/>
      <c r="N12880" s="124"/>
      <c r="O12880" s="124"/>
    </row>
    <row r="12881">
      <c r="K12881" s="124"/>
      <c r="L12881" s="124"/>
      <c r="M12881" s="124"/>
      <c r="N12881" s="124"/>
      <c r="O12881" s="124"/>
    </row>
    <row r="12882">
      <c r="K12882" s="124"/>
      <c r="L12882" s="124"/>
      <c r="M12882" s="124"/>
      <c r="N12882" s="124"/>
      <c r="O12882" s="124"/>
    </row>
    <row r="12883">
      <c r="K12883" s="124"/>
      <c r="L12883" s="124"/>
      <c r="M12883" s="124"/>
      <c r="N12883" s="124"/>
      <c r="O12883" s="124"/>
    </row>
    <row r="12884">
      <c r="K12884" s="124"/>
      <c r="L12884" s="124"/>
      <c r="M12884" s="124"/>
      <c r="N12884" s="124"/>
      <c r="O12884" s="124"/>
    </row>
    <row r="12885">
      <c r="K12885" s="124"/>
      <c r="L12885" s="124"/>
      <c r="M12885" s="124"/>
      <c r="N12885" s="124"/>
      <c r="O12885" s="124"/>
    </row>
    <row r="12886">
      <c r="K12886" s="124"/>
      <c r="L12886" s="124"/>
      <c r="M12886" s="124"/>
      <c r="N12886" s="124"/>
      <c r="O12886" s="124"/>
    </row>
    <row r="12887">
      <c r="K12887" s="124"/>
      <c r="L12887" s="124"/>
      <c r="M12887" s="124"/>
      <c r="N12887" s="124"/>
      <c r="O12887" s="124"/>
    </row>
    <row r="12888">
      <c r="K12888" s="124"/>
      <c r="L12888" s="124"/>
      <c r="M12888" s="124"/>
      <c r="N12888" s="124"/>
      <c r="O12888" s="124"/>
    </row>
    <row r="12889">
      <c r="K12889" s="124"/>
      <c r="L12889" s="124"/>
      <c r="M12889" s="124"/>
      <c r="N12889" s="124"/>
      <c r="O12889" s="124"/>
    </row>
    <row r="12890">
      <c r="K12890" s="124"/>
      <c r="L12890" s="124"/>
      <c r="M12890" s="124"/>
      <c r="N12890" s="124"/>
      <c r="O12890" s="124"/>
    </row>
    <row r="12891">
      <c r="K12891" s="124"/>
      <c r="L12891" s="124"/>
      <c r="M12891" s="124"/>
      <c r="N12891" s="124"/>
      <c r="O12891" s="124"/>
    </row>
    <row r="12892">
      <c r="K12892" s="124"/>
      <c r="L12892" s="124"/>
      <c r="M12892" s="124"/>
      <c r="N12892" s="124"/>
      <c r="O12892" s="124"/>
    </row>
    <row r="12893">
      <c r="K12893" s="124"/>
      <c r="L12893" s="124"/>
      <c r="M12893" s="124"/>
      <c r="N12893" s="124"/>
      <c r="O12893" s="124"/>
    </row>
    <row r="12894">
      <c r="K12894" s="124"/>
      <c r="L12894" s="124"/>
      <c r="M12894" s="124"/>
      <c r="N12894" s="124"/>
      <c r="O12894" s="124"/>
    </row>
    <row r="12895">
      <c r="K12895" s="124"/>
      <c r="L12895" s="124"/>
      <c r="M12895" s="124"/>
      <c r="N12895" s="124"/>
      <c r="O12895" s="124"/>
    </row>
    <row r="12896">
      <c r="K12896" s="124"/>
      <c r="L12896" s="124"/>
      <c r="M12896" s="124"/>
      <c r="N12896" s="124"/>
      <c r="O12896" s="124"/>
    </row>
    <row r="12897">
      <c r="K12897" s="124"/>
      <c r="L12897" s="124"/>
      <c r="M12897" s="124"/>
      <c r="N12897" s="124"/>
      <c r="O12897" s="124"/>
    </row>
    <row r="12898">
      <c r="K12898" s="124"/>
      <c r="L12898" s="124"/>
      <c r="M12898" s="124"/>
      <c r="N12898" s="124"/>
      <c r="O12898" s="124"/>
    </row>
    <row r="12899">
      <c r="K12899" s="124"/>
      <c r="L12899" s="124"/>
      <c r="M12899" s="124"/>
      <c r="N12899" s="124"/>
      <c r="O12899" s="124"/>
    </row>
    <row r="12900">
      <c r="K12900" s="124"/>
      <c r="L12900" s="124"/>
      <c r="M12900" s="124"/>
      <c r="N12900" s="124"/>
      <c r="O12900" s="124"/>
    </row>
    <row r="12901">
      <c r="K12901" s="124"/>
      <c r="L12901" s="124"/>
      <c r="M12901" s="124"/>
      <c r="N12901" s="124"/>
      <c r="O12901" s="124"/>
    </row>
    <row r="12902">
      <c r="K12902" s="124"/>
      <c r="L12902" s="124"/>
      <c r="M12902" s="124"/>
      <c r="N12902" s="124"/>
      <c r="O12902" s="124"/>
    </row>
    <row r="12903">
      <c r="K12903" s="124"/>
      <c r="L12903" s="124"/>
      <c r="M12903" s="124"/>
      <c r="N12903" s="124"/>
      <c r="O12903" s="124"/>
    </row>
    <row r="12904">
      <c r="K12904" s="124"/>
      <c r="L12904" s="124"/>
      <c r="M12904" s="124"/>
      <c r="N12904" s="124"/>
      <c r="O12904" s="124"/>
    </row>
    <row r="12905">
      <c r="K12905" s="124"/>
      <c r="L12905" s="124"/>
      <c r="M12905" s="124"/>
      <c r="N12905" s="124"/>
      <c r="O12905" s="124"/>
    </row>
    <row r="12906">
      <c r="K12906" s="124"/>
      <c r="L12906" s="124"/>
      <c r="M12906" s="124"/>
      <c r="N12906" s="124"/>
      <c r="O12906" s="124"/>
    </row>
    <row r="12907">
      <c r="K12907" s="124"/>
      <c r="L12907" s="124"/>
      <c r="M12907" s="124"/>
      <c r="N12907" s="124"/>
      <c r="O12907" s="124"/>
    </row>
    <row r="12908">
      <c r="K12908" s="124"/>
      <c r="L12908" s="124"/>
      <c r="M12908" s="124"/>
      <c r="N12908" s="124"/>
      <c r="O12908" s="124"/>
    </row>
    <row r="12909">
      <c r="K12909" s="124"/>
      <c r="L12909" s="124"/>
      <c r="M12909" s="124"/>
      <c r="N12909" s="124"/>
      <c r="O12909" s="124"/>
    </row>
    <row r="12910">
      <c r="K12910" s="124"/>
      <c r="L12910" s="124"/>
      <c r="M12910" s="124"/>
      <c r="N12910" s="124"/>
      <c r="O12910" s="124"/>
    </row>
    <row r="12911">
      <c r="K12911" s="124"/>
      <c r="L12911" s="124"/>
      <c r="M12911" s="124"/>
      <c r="N12911" s="124"/>
      <c r="O12911" s="124"/>
    </row>
    <row r="12912">
      <c r="K12912" s="124"/>
      <c r="L12912" s="124"/>
      <c r="M12912" s="124"/>
      <c r="N12912" s="124"/>
      <c r="O12912" s="124"/>
    </row>
    <row r="12913">
      <c r="K12913" s="124"/>
      <c r="L12913" s="124"/>
      <c r="M12913" s="124"/>
      <c r="N12913" s="124"/>
      <c r="O12913" s="124"/>
    </row>
    <row r="12914">
      <c r="K12914" s="124"/>
      <c r="L12914" s="124"/>
      <c r="M12914" s="124"/>
      <c r="N12914" s="124"/>
      <c r="O12914" s="124"/>
    </row>
    <row r="12915">
      <c r="K12915" s="124"/>
      <c r="L12915" s="124"/>
      <c r="M12915" s="124"/>
      <c r="N12915" s="124"/>
      <c r="O12915" s="124"/>
    </row>
    <row r="12916">
      <c r="K12916" s="124"/>
      <c r="L12916" s="124"/>
      <c r="M12916" s="124"/>
      <c r="N12916" s="124"/>
      <c r="O12916" s="124"/>
    </row>
    <row r="12917">
      <c r="K12917" s="124"/>
      <c r="L12917" s="124"/>
      <c r="M12917" s="124"/>
      <c r="N12917" s="124"/>
      <c r="O12917" s="124"/>
    </row>
    <row r="12918">
      <c r="K12918" s="124"/>
      <c r="L12918" s="124"/>
      <c r="M12918" s="124"/>
      <c r="N12918" s="124"/>
      <c r="O12918" s="124"/>
    </row>
    <row r="12919">
      <c r="K12919" s="124"/>
      <c r="L12919" s="124"/>
      <c r="M12919" s="124"/>
      <c r="N12919" s="124"/>
      <c r="O12919" s="124"/>
    </row>
    <row r="12920">
      <c r="K12920" s="124"/>
      <c r="L12920" s="124"/>
      <c r="M12920" s="124"/>
      <c r="N12920" s="124"/>
      <c r="O12920" s="124"/>
    </row>
    <row r="12921">
      <c r="K12921" s="124"/>
      <c r="L12921" s="124"/>
      <c r="M12921" s="124"/>
      <c r="N12921" s="124"/>
      <c r="O12921" s="124"/>
    </row>
    <row r="12922">
      <c r="K12922" s="124"/>
      <c r="L12922" s="124"/>
      <c r="M12922" s="124"/>
      <c r="N12922" s="124"/>
      <c r="O12922" s="124"/>
    </row>
    <row r="12923">
      <c r="K12923" s="124"/>
      <c r="L12923" s="124"/>
      <c r="M12923" s="124"/>
      <c r="N12923" s="124"/>
      <c r="O12923" s="124"/>
    </row>
    <row r="12924">
      <c r="K12924" s="124"/>
      <c r="L12924" s="124"/>
      <c r="M12924" s="124"/>
      <c r="N12924" s="124"/>
      <c r="O12924" s="124"/>
    </row>
    <row r="12925">
      <c r="K12925" s="124"/>
      <c r="L12925" s="124"/>
      <c r="M12925" s="124"/>
      <c r="N12925" s="124"/>
      <c r="O12925" s="124"/>
    </row>
    <row r="12926">
      <c r="K12926" s="124"/>
      <c r="L12926" s="124"/>
      <c r="M12926" s="124"/>
      <c r="N12926" s="124"/>
      <c r="O12926" s="124"/>
    </row>
    <row r="12927">
      <c r="K12927" s="124"/>
      <c r="L12927" s="124"/>
      <c r="M12927" s="124"/>
      <c r="N12927" s="124"/>
      <c r="O12927" s="124"/>
    </row>
    <row r="12928">
      <c r="K12928" s="124"/>
      <c r="L12928" s="124"/>
      <c r="M12928" s="124"/>
      <c r="N12928" s="124"/>
      <c r="O12928" s="124"/>
    </row>
    <row r="12929">
      <c r="K12929" s="124"/>
      <c r="L12929" s="124"/>
      <c r="M12929" s="124"/>
      <c r="N12929" s="124"/>
      <c r="O12929" s="124"/>
    </row>
    <row r="12930">
      <c r="K12930" s="124"/>
      <c r="L12930" s="124"/>
      <c r="M12930" s="124"/>
      <c r="N12930" s="124"/>
      <c r="O12930" s="124"/>
    </row>
    <row r="12931">
      <c r="K12931" s="124"/>
      <c r="L12931" s="124"/>
      <c r="M12931" s="124"/>
      <c r="N12931" s="124"/>
      <c r="O12931" s="124"/>
    </row>
    <row r="12932">
      <c r="K12932" s="124"/>
      <c r="L12932" s="124"/>
      <c r="M12932" s="124"/>
      <c r="N12932" s="124"/>
      <c r="O12932" s="124"/>
    </row>
    <row r="12933">
      <c r="K12933" s="124"/>
      <c r="L12933" s="124"/>
      <c r="M12933" s="124"/>
      <c r="N12933" s="124"/>
      <c r="O12933" s="124"/>
    </row>
    <row r="12934">
      <c r="K12934" s="124"/>
      <c r="L12934" s="124"/>
      <c r="M12934" s="124"/>
      <c r="N12934" s="124"/>
      <c r="O12934" s="124"/>
    </row>
    <row r="12935">
      <c r="K12935" s="124"/>
      <c r="L12935" s="124"/>
      <c r="M12935" s="124"/>
      <c r="N12935" s="124"/>
      <c r="O12935" s="124"/>
    </row>
    <row r="12936">
      <c r="K12936" s="124"/>
      <c r="L12936" s="124"/>
      <c r="M12936" s="124"/>
      <c r="N12936" s="124"/>
      <c r="O12936" s="124"/>
    </row>
    <row r="12937">
      <c r="K12937" s="124"/>
      <c r="L12937" s="124"/>
      <c r="M12937" s="124"/>
      <c r="N12937" s="124"/>
      <c r="O12937" s="124"/>
    </row>
    <row r="12938">
      <c r="K12938" s="124"/>
      <c r="L12938" s="124"/>
      <c r="M12938" s="124"/>
      <c r="N12938" s="124"/>
      <c r="O12938" s="124"/>
    </row>
    <row r="12939">
      <c r="K12939" s="124"/>
      <c r="L12939" s="124"/>
      <c r="M12939" s="124"/>
      <c r="N12939" s="124"/>
      <c r="O12939" s="124"/>
    </row>
    <row r="12940">
      <c r="K12940" s="124"/>
      <c r="L12940" s="124"/>
      <c r="M12940" s="124"/>
      <c r="N12940" s="124"/>
      <c r="O12940" s="124"/>
    </row>
    <row r="12941">
      <c r="K12941" s="124"/>
      <c r="L12941" s="124"/>
      <c r="M12941" s="124"/>
      <c r="N12941" s="124"/>
      <c r="O12941" s="124"/>
    </row>
    <row r="12942">
      <c r="K12942" s="124"/>
      <c r="L12942" s="124"/>
      <c r="M12942" s="124"/>
      <c r="N12942" s="124"/>
      <c r="O12942" s="124"/>
    </row>
    <row r="12943">
      <c r="K12943" s="124"/>
      <c r="L12943" s="124"/>
      <c r="M12943" s="124"/>
      <c r="N12943" s="124"/>
      <c r="O12943" s="124"/>
    </row>
    <row r="12944">
      <c r="K12944" s="124"/>
      <c r="L12944" s="124"/>
      <c r="M12944" s="124"/>
      <c r="N12944" s="124"/>
      <c r="O12944" s="124"/>
    </row>
    <row r="12945">
      <c r="K12945" s="124"/>
      <c r="L12945" s="124"/>
      <c r="M12945" s="124"/>
      <c r="N12945" s="124"/>
      <c r="O12945" s="124"/>
    </row>
    <row r="12946">
      <c r="K12946" s="124"/>
      <c r="L12946" s="124"/>
      <c r="M12946" s="124"/>
      <c r="N12946" s="124"/>
      <c r="O12946" s="124"/>
    </row>
    <row r="12947">
      <c r="K12947" s="124"/>
      <c r="L12947" s="124"/>
      <c r="M12947" s="124"/>
      <c r="N12947" s="124"/>
      <c r="O12947" s="124"/>
    </row>
    <row r="12948">
      <c r="K12948" s="124"/>
      <c r="L12948" s="124"/>
      <c r="M12948" s="124"/>
      <c r="N12948" s="124"/>
      <c r="O12948" s="124"/>
    </row>
    <row r="12949">
      <c r="K12949" s="124"/>
      <c r="L12949" s="124"/>
      <c r="M12949" s="124"/>
      <c r="N12949" s="124"/>
      <c r="O12949" s="124"/>
    </row>
    <row r="12950">
      <c r="K12950" s="124"/>
      <c r="L12950" s="124"/>
      <c r="M12950" s="124"/>
      <c r="N12950" s="124"/>
      <c r="O12950" s="124"/>
    </row>
    <row r="12951">
      <c r="K12951" s="124"/>
      <c r="L12951" s="124"/>
      <c r="M12951" s="124"/>
      <c r="N12951" s="124"/>
      <c r="O12951" s="124"/>
    </row>
    <row r="12952">
      <c r="K12952" s="124"/>
      <c r="L12952" s="124"/>
      <c r="M12952" s="124"/>
      <c r="N12952" s="124"/>
      <c r="O12952" s="124"/>
    </row>
    <row r="12953">
      <c r="K12953" s="124"/>
      <c r="L12953" s="124"/>
      <c r="M12953" s="124"/>
      <c r="N12953" s="124"/>
      <c r="O12953" s="124"/>
    </row>
    <row r="12954">
      <c r="K12954" s="124"/>
      <c r="L12954" s="124"/>
      <c r="M12954" s="124"/>
      <c r="N12954" s="124"/>
      <c r="O12954" s="124"/>
    </row>
    <row r="12955">
      <c r="K12955" s="124"/>
      <c r="L12955" s="124"/>
      <c r="M12955" s="124"/>
      <c r="N12955" s="124"/>
      <c r="O12955" s="124"/>
    </row>
    <row r="12956">
      <c r="K12956" s="124"/>
      <c r="L12956" s="124"/>
      <c r="M12956" s="124"/>
      <c r="N12956" s="124"/>
      <c r="O12956" s="124"/>
    </row>
    <row r="12957">
      <c r="K12957" s="124"/>
      <c r="L12957" s="124"/>
      <c r="M12957" s="124"/>
      <c r="N12957" s="124"/>
      <c r="O12957" s="124"/>
    </row>
    <row r="12958">
      <c r="K12958" s="124"/>
      <c r="L12958" s="124"/>
      <c r="M12958" s="124"/>
      <c r="N12958" s="124"/>
      <c r="O12958" s="124"/>
    </row>
    <row r="12959">
      <c r="K12959" s="124"/>
      <c r="L12959" s="124"/>
      <c r="M12959" s="124"/>
      <c r="N12959" s="124"/>
      <c r="O12959" s="124"/>
    </row>
    <row r="12960">
      <c r="K12960" s="124"/>
      <c r="L12960" s="124"/>
      <c r="M12960" s="124"/>
      <c r="N12960" s="124"/>
      <c r="O12960" s="124"/>
    </row>
    <row r="12961">
      <c r="K12961" s="124"/>
      <c r="L12961" s="124"/>
      <c r="M12961" s="124"/>
      <c r="N12961" s="124"/>
      <c r="O12961" s="124"/>
    </row>
    <row r="12962">
      <c r="K12962" s="124"/>
      <c r="L12962" s="124"/>
      <c r="M12962" s="124"/>
      <c r="N12962" s="124"/>
      <c r="O12962" s="124"/>
    </row>
    <row r="12963">
      <c r="K12963" s="124"/>
      <c r="L12963" s="124"/>
      <c r="M12963" s="124"/>
      <c r="N12963" s="124"/>
      <c r="O12963" s="124"/>
    </row>
    <row r="12964">
      <c r="K12964" s="124"/>
      <c r="L12964" s="124"/>
      <c r="M12964" s="124"/>
      <c r="N12964" s="124"/>
      <c r="O12964" s="124"/>
    </row>
    <row r="12965">
      <c r="K12965" s="124"/>
      <c r="L12965" s="124"/>
      <c r="M12965" s="124"/>
      <c r="N12965" s="124"/>
      <c r="O12965" s="124"/>
    </row>
    <row r="12966">
      <c r="K12966" s="124"/>
      <c r="L12966" s="124"/>
      <c r="M12966" s="124"/>
      <c r="N12966" s="124"/>
      <c r="O12966" s="124"/>
    </row>
    <row r="12967">
      <c r="K12967" s="124"/>
      <c r="L12967" s="124"/>
      <c r="M12967" s="124"/>
      <c r="N12967" s="124"/>
      <c r="O12967" s="124"/>
    </row>
    <row r="12968">
      <c r="K12968" s="124"/>
      <c r="L12968" s="124"/>
      <c r="M12968" s="124"/>
      <c r="N12968" s="124"/>
      <c r="O12968" s="124"/>
    </row>
    <row r="12969">
      <c r="K12969" s="124"/>
      <c r="L12969" s="124"/>
      <c r="M12969" s="124"/>
      <c r="N12969" s="124"/>
      <c r="O12969" s="124"/>
    </row>
    <row r="12970">
      <c r="K12970" s="124"/>
      <c r="L12970" s="124"/>
      <c r="M12970" s="124"/>
      <c r="N12970" s="124"/>
      <c r="O12970" s="124"/>
    </row>
    <row r="12971">
      <c r="K12971" s="124"/>
      <c r="L12971" s="124"/>
      <c r="M12971" s="124"/>
      <c r="N12971" s="124"/>
      <c r="O12971" s="124"/>
    </row>
    <row r="12972">
      <c r="K12972" s="124"/>
      <c r="L12972" s="124"/>
      <c r="M12972" s="124"/>
      <c r="N12972" s="124"/>
      <c r="O12972" s="124"/>
    </row>
    <row r="12973">
      <c r="K12973" s="124"/>
      <c r="L12973" s="124"/>
      <c r="M12973" s="124"/>
      <c r="N12973" s="124"/>
      <c r="O12973" s="124"/>
    </row>
    <row r="12974">
      <c r="K12974" s="124"/>
      <c r="L12974" s="124"/>
      <c r="M12974" s="124"/>
      <c r="N12974" s="124"/>
      <c r="O12974" s="124"/>
    </row>
    <row r="12975">
      <c r="K12975" s="124"/>
      <c r="L12975" s="124"/>
      <c r="M12975" s="124"/>
      <c r="N12975" s="124"/>
      <c r="O12975" s="124"/>
    </row>
    <row r="12976">
      <c r="K12976" s="124"/>
      <c r="L12976" s="124"/>
      <c r="M12976" s="124"/>
      <c r="N12976" s="124"/>
      <c r="O12976" s="124"/>
    </row>
    <row r="12977">
      <c r="K12977" s="124"/>
      <c r="L12977" s="124"/>
      <c r="M12977" s="124"/>
      <c r="N12977" s="124"/>
      <c r="O12977" s="124"/>
    </row>
    <row r="12978">
      <c r="K12978" s="124"/>
      <c r="L12978" s="124"/>
      <c r="M12978" s="124"/>
      <c r="N12978" s="124"/>
      <c r="O12978" s="124"/>
    </row>
    <row r="12979">
      <c r="K12979" s="124"/>
      <c r="L12979" s="124"/>
      <c r="M12979" s="124"/>
      <c r="N12979" s="124"/>
      <c r="O12979" s="124"/>
    </row>
    <row r="12980">
      <c r="K12980" s="124"/>
      <c r="L12980" s="124"/>
      <c r="M12980" s="124"/>
      <c r="N12980" s="124"/>
      <c r="O12980" s="124"/>
    </row>
    <row r="12981">
      <c r="K12981" s="124"/>
      <c r="L12981" s="124"/>
      <c r="M12981" s="124"/>
      <c r="N12981" s="124"/>
      <c r="O12981" s="124"/>
    </row>
    <row r="12982">
      <c r="K12982" s="124"/>
      <c r="L12982" s="124"/>
      <c r="M12982" s="124"/>
      <c r="N12982" s="124"/>
      <c r="O12982" s="124"/>
    </row>
    <row r="12983">
      <c r="K12983" s="124"/>
      <c r="L12983" s="124"/>
      <c r="M12983" s="124"/>
      <c r="N12983" s="124"/>
      <c r="O12983" s="124"/>
    </row>
    <row r="12984">
      <c r="K12984" s="124"/>
      <c r="L12984" s="124"/>
      <c r="M12984" s="124"/>
      <c r="N12984" s="124"/>
      <c r="O12984" s="124"/>
    </row>
    <row r="12985">
      <c r="K12985" s="124"/>
      <c r="L12985" s="124"/>
      <c r="M12985" s="124"/>
      <c r="N12985" s="124"/>
      <c r="O12985" s="124"/>
    </row>
    <row r="12986">
      <c r="K12986" s="124"/>
      <c r="L12986" s="124"/>
      <c r="M12986" s="124"/>
      <c r="N12986" s="124"/>
      <c r="O12986" s="124"/>
    </row>
    <row r="12987">
      <c r="K12987" s="124"/>
      <c r="L12987" s="124"/>
      <c r="M12987" s="124"/>
      <c r="N12987" s="124"/>
      <c r="O12987" s="124"/>
    </row>
    <row r="12988">
      <c r="K12988" s="124"/>
      <c r="L12988" s="124"/>
      <c r="M12988" s="124"/>
      <c r="N12988" s="124"/>
      <c r="O12988" s="124"/>
    </row>
    <row r="12989">
      <c r="K12989" s="124"/>
      <c r="L12989" s="124"/>
      <c r="M12989" s="124"/>
      <c r="N12989" s="124"/>
      <c r="O12989" s="124"/>
    </row>
    <row r="12990">
      <c r="K12990" s="124"/>
      <c r="L12990" s="124"/>
      <c r="M12990" s="124"/>
      <c r="N12990" s="124"/>
      <c r="O12990" s="124"/>
    </row>
    <row r="12991">
      <c r="K12991" s="124"/>
      <c r="L12991" s="124"/>
      <c r="M12991" s="124"/>
      <c r="N12991" s="124"/>
      <c r="O12991" s="124"/>
    </row>
    <row r="12992">
      <c r="K12992" s="124"/>
      <c r="L12992" s="124"/>
      <c r="M12992" s="124"/>
      <c r="N12992" s="124"/>
      <c r="O12992" s="124"/>
    </row>
    <row r="12993">
      <c r="K12993" s="124"/>
      <c r="L12993" s="124"/>
      <c r="M12993" s="124"/>
      <c r="N12993" s="124"/>
      <c r="O12993" s="124"/>
    </row>
    <row r="12994">
      <c r="K12994" s="124"/>
      <c r="L12994" s="124"/>
      <c r="M12994" s="124"/>
      <c r="N12994" s="124"/>
      <c r="O12994" s="124"/>
    </row>
    <row r="12995">
      <c r="K12995" s="124"/>
      <c r="L12995" s="124"/>
      <c r="M12995" s="124"/>
      <c r="N12995" s="124"/>
      <c r="O12995" s="124"/>
    </row>
    <row r="12996">
      <c r="K12996" s="124"/>
      <c r="L12996" s="124"/>
      <c r="M12996" s="124"/>
      <c r="N12996" s="124"/>
      <c r="O12996" s="124"/>
    </row>
    <row r="12997">
      <c r="K12997" s="124"/>
      <c r="L12997" s="124"/>
      <c r="M12997" s="124"/>
      <c r="N12997" s="124"/>
      <c r="O12997" s="124"/>
    </row>
    <row r="12998">
      <c r="K12998" s="124"/>
      <c r="L12998" s="124"/>
      <c r="M12998" s="124"/>
      <c r="N12998" s="124"/>
      <c r="O12998" s="124"/>
    </row>
    <row r="12999">
      <c r="K12999" s="124"/>
      <c r="L12999" s="124"/>
      <c r="M12999" s="124"/>
      <c r="N12999" s="124"/>
      <c r="O12999" s="124"/>
    </row>
    <row r="13000">
      <c r="K13000" s="124"/>
      <c r="L13000" s="124"/>
      <c r="M13000" s="124"/>
      <c r="N13000" s="124"/>
      <c r="O13000" s="124"/>
    </row>
    <row r="13001">
      <c r="K13001" s="124"/>
      <c r="L13001" s="124"/>
      <c r="M13001" s="124"/>
      <c r="N13001" s="124"/>
      <c r="O13001" s="124"/>
    </row>
    <row r="13002">
      <c r="K13002" s="124"/>
      <c r="L13002" s="124"/>
      <c r="M13002" s="124"/>
      <c r="N13002" s="124"/>
      <c r="O13002" s="124"/>
    </row>
    <row r="13003">
      <c r="K13003" s="124"/>
      <c r="L13003" s="124"/>
      <c r="M13003" s="124"/>
      <c r="N13003" s="124"/>
      <c r="O13003" s="124"/>
    </row>
    <row r="13004">
      <c r="K13004" s="124"/>
      <c r="L13004" s="124"/>
      <c r="M13004" s="124"/>
      <c r="N13004" s="124"/>
      <c r="O13004" s="124"/>
    </row>
    <row r="13005">
      <c r="K13005" s="124"/>
      <c r="L13005" s="124"/>
      <c r="M13005" s="124"/>
      <c r="N13005" s="124"/>
      <c r="O13005" s="124"/>
    </row>
    <row r="13006">
      <c r="K13006" s="124"/>
      <c r="L13006" s="124"/>
      <c r="M13006" s="124"/>
      <c r="N13006" s="124"/>
      <c r="O13006" s="124"/>
    </row>
    <row r="13007">
      <c r="K13007" s="124"/>
      <c r="L13007" s="124"/>
      <c r="M13007" s="124"/>
      <c r="N13007" s="124"/>
      <c r="O13007" s="124"/>
    </row>
    <row r="13008">
      <c r="K13008" s="124"/>
      <c r="L13008" s="124"/>
      <c r="M13008" s="124"/>
      <c r="N13008" s="124"/>
      <c r="O13008" s="124"/>
    </row>
    <row r="13009">
      <c r="K13009" s="124"/>
      <c r="L13009" s="124"/>
      <c r="M13009" s="124"/>
      <c r="N13009" s="124"/>
      <c r="O13009" s="124"/>
    </row>
    <row r="13010">
      <c r="K13010" s="124"/>
      <c r="L13010" s="124"/>
      <c r="M13010" s="124"/>
      <c r="N13010" s="124"/>
      <c r="O13010" s="124"/>
    </row>
    <row r="13011">
      <c r="K13011" s="124"/>
      <c r="L13011" s="124"/>
      <c r="M13011" s="124"/>
      <c r="N13011" s="124"/>
      <c r="O13011" s="124"/>
    </row>
    <row r="13012">
      <c r="K13012" s="124"/>
      <c r="L13012" s="124"/>
      <c r="M13012" s="124"/>
      <c r="N13012" s="124"/>
      <c r="O13012" s="124"/>
    </row>
    <row r="13013">
      <c r="K13013" s="124"/>
      <c r="L13013" s="124"/>
      <c r="M13013" s="124"/>
      <c r="N13013" s="124"/>
      <c r="O13013" s="124"/>
    </row>
    <row r="13014">
      <c r="K13014" s="124"/>
      <c r="L13014" s="124"/>
      <c r="M13014" s="124"/>
      <c r="N13014" s="124"/>
      <c r="O13014" s="124"/>
    </row>
    <row r="13015">
      <c r="K13015" s="124"/>
      <c r="L13015" s="124"/>
      <c r="M13015" s="124"/>
      <c r="N13015" s="124"/>
      <c r="O13015" s="124"/>
    </row>
    <row r="13016">
      <c r="K13016" s="124"/>
      <c r="L13016" s="124"/>
      <c r="M13016" s="124"/>
      <c r="N13016" s="124"/>
      <c r="O13016" s="124"/>
    </row>
    <row r="13017">
      <c r="K13017" s="124"/>
      <c r="L13017" s="124"/>
      <c r="M13017" s="124"/>
      <c r="N13017" s="124"/>
      <c r="O13017" s="124"/>
    </row>
    <row r="13018">
      <c r="K13018" s="124"/>
      <c r="L13018" s="124"/>
      <c r="M13018" s="124"/>
      <c r="N13018" s="124"/>
      <c r="O13018" s="124"/>
    </row>
    <row r="13019">
      <c r="K13019" s="124"/>
      <c r="L13019" s="124"/>
      <c r="M13019" s="124"/>
      <c r="N13019" s="124"/>
      <c r="O13019" s="124"/>
    </row>
    <row r="13020">
      <c r="K13020" s="124"/>
      <c r="L13020" s="124"/>
      <c r="M13020" s="124"/>
      <c r="N13020" s="124"/>
      <c r="O13020" s="124"/>
    </row>
    <row r="13021">
      <c r="K13021" s="124"/>
      <c r="L13021" s="124"/>
      <c r="M13021" s="124"/>
      <c r="N13021" s="124"/>
      <c r="O13021" s="124"/>
    </row>
    <row r="13022">
      <c r="K13022" s="124"/>
      <c r="L13022" s="124"/>
      <c r="M13022" s="124"/>
      <c r="N13022" s="124"/>
      <c r="O13022" s="124"/>
    </row>
    <row r="13023">
      <c r="K13023" s="124"/>
      <c r="L13023" s="124"/>
      <c r="M13023" s="124"/>
      <c r="N13023" s="124"/>
      <c r="O13023" s="124"/>
    </row>
    <row r="13024">
      <c r="K13024" s="124"/>
      <c r="L13024" s="124"/>
      <c r="M13024" s="124"/>
      <c r="N13024" s="124"/>
      <c r="O13024" s="124"/>
    </row>
    <row r="13025">
      <c r="K13025" s="124"/>
      <c r="L13025" s="124"/>
      <c r="M13025" s="124"/>
      <c r="N13025" s="124"/>
      <c r="O13025" s="124"/>
    </row>
    <row r="13026">
      <c r="K13026" s="124"/>
      <c r="L13026" s="124"/>
      <c r="M13026" s="124"/>
      <c r="N13026" s="124"/>
      <c r="O13026" s="124"/>
    </row>
    <row r="13027">
      <c r="K13027" s="124"/>
      <c r="L13027" s="124"/>
      <c r="M13027" s="124"/>
      <c r="N13027" s="124"/>
      <c r="O13027" s="124"/>
    </row>
    <row r="13028">
      <c r="K13028" s="124"/>
      <c r="L13028" s="124"/>
      <c r="M13028" s="124"/>
      <c r="N13028" s="124"/>
      <c r="O13028" s="124"/>
    </row>
    <row r="13029">
      <c r="K13029" s="124"/>
      <c r="L13029" s="124"/>
      <c r="M13029" s="124"/>
      <c r="N13029" s="124"/>
      <c r="O13029" s="124"/>
    </row>
    <row r="13030">
      <c r="K13030" s="124"/>
      <c r="L13030" s="124"/>
      <c r="M13030" s="124"/>
      <c r="N13030" s="124"/>
      <c r="O13030" s="124"/>
    </row>
    <row r="13031">
      <c r="K13031" s="124"/>
      <c r="L13031" s="124"/>
      <c r="M13031" s="124"/>
      <c r="N13031" s="124"/>
      <c r="O13031" s="124"/>
    </row>
    <row r="13032">
      <c r="K13032" s="124"/>
      <c r="L13032" s="124"/>
      <c r="M13032" s="124"/>
      <c r="N13032" s="124"/>
      <c r="O13032" s="124"/>
    </row>
    <row r="13033">
      <c r="K13033" s="124"/>
      <c r="L13033" s="124"/>
      <c r="M13033" s="124"/>
      <c r="N13033" s="124"/>
      <c r="O13033" s="124"/>
    </row>
    <row r="13034">
      <c r="K13034" s="124"/>
      <c r="L13034" s="124"/>
      <c r="M13034" s="124"/>
      <c r="N13034" s="124"/>
      <c r="O13034" s="124"/>
    </row>
    <row r="13035">
      <c r="K13035" s="124"/>
      <c r="L13035" s="124"/>
      <c r="M13035" s="124"/>
      <c r="N13035" s="124"/>
      <c r="O13035" s="124"/>
    </row>
    <row r="13036">
      <c r="K13036" s="124"/>
      <c r="L13036" s="124"/>
      <c r="M13036" s="124"/>
      <c r="N13036" s="124"/>
      <c r="O13036" s="124"/>
    </row>
    <row r="13037">
      <c r="K13037" s="124"/>
      <c r="L13037" s="124"/>
      <c r="M13037" s="124"/>
      <c r="N13037" s="124"/>
      <c r="O13037" s="124"/>
    </row>
    <row r="13038">
      <c r="K13038" s="124"/>
      <c r="L13038" s="124"/>
      <c r="M13038" s="124"/>
      <c r="N13038" s="124"/>
      <c r="O13038" s="124"/>
    </row>
    <row r="13039">
      <c r="K13039" s="124"/>
      <c r="L13039" s="124"/>
      <c r="M13039" s="124"/>
      <c r="N13039" s="124"/>
      <c r="O13039" s="124"/>
    </row>
    <row r="13040">
      <c r="K13040" s="124"/>
      <c r="L13040" s="124"/>
      <c r="M13040" s="124"/>
      <c r="N13040" s="124"/>
      <c r="O13040" s="124"/>
    </row>
    <row r="13041">
      <c r="K13041" s="124"/>
      <c r="L13041" s="124"/>
      <c r="M13041" s="124"/>
      <c r="N13041" s="124"/>
      <c r="O13041" s="124"/>
    </row>
    <row r="13042">
      <c r="K13042" s="124"/>
      <c r="L13042" s="124"/>
      <c r="M13042" s="124"/>
      <c r="N13042" s="124"/>
      <c r="O13042" s="124"/>
    </row>
    <row r="13043">
      <c r="K13043" s="124"/>
      <c r="L13043" s="124"/>
      <c r="M13043" s="124"/>
      <c r="N13043" s="124"/>
      <c r="O13043" s="124"/>
    </row>
    <row r="13044">
      <c r="K13044" s="124"/>
      <c r="L13044" s="124"/>
      <c r="M13044" s="124"/>
      <c r="N13044" s="124"/>
      <c r="O13044" s="124"/>
    </row>
    <row r="13045">
      <c r="K13045" s="124"/>
      <c r="L13045" s="124"/>
      <c r="M13045" s="124"/>
      <c r="N13045" s="124"/>
      <c r="O13045" s="124"/>
    </row>
    <row r="13046">
      <c r="K13046" s="124"/>
      <c r="L13046" s="124"/>
      <c r="M13046" s="124"/>
      <c r="N13046" s="124"/>
      <c r="O13046" s="124"/>
    </row>
    <row r="13047">
      <c r="K13047" s="124"/>
      <c r="L13047" s="124"/>
      <c r="M13047" s="124"/>
      <c r="N13047" s="124"/>
      <c r="O13047" s="124"/>
    </row>
    <row r="13048">
      <c r="K13048" s="124"/>
      <c r="L13048" s="124"/>
      <c r="M13048" s="124"/>
      <c r="N13048" s="124"/>
      <c r="O13048" s="124"/>
    </row>
    <row r="13049">
      <c r="K13049" s="124"/>
      <c r="L13049" s="124"/>
      <c r="M13049" s="124"/>
      <c r="N13049" s="124"/>
      <c r="O13049" s="124"/>
    </row>
    <row r="13050">
      <c r="K13050" s="124"/>
      <c r="L13050" s="124"/>
      <c r="M13050" s="124"/>
      <c r="N13050" s="124"/>
      <c r="O13050" s="124"/>
    </row>
    <row r="13051">
      <c r="K13051" s="124"/>
      <c r="L13051" s="124"/>
      <c r="M13051" s="124"/>
      <c r="N13051" s="124"/>
      <c r="O13051" s="124"/>
    </row>
    <row r="13052">
      <c r="K13052" s="124"/>
      <c r="L13052" s="124"/>
      <c r="M13052" s="124"/>
      <c r="N13052" s="124"/>
      <c r="O13052" s="124"/>
    </row>
    <row r="13053">
      <c r="K13053" s="124"/>
      <c r="L13053" s="124"/>
      <c r="M13053" s="124"/>
      <c r="N13053" s="124"/>
      <c r="O13053" s="124"/>
    </row>
    <row r="13054">
      <c r="K13054" s="124"/>
      <c r="L13054" s="124"/>
      <c r="M13054" s="124"/>
      <c r="N13054" s="124"/>
      <c r="O13054" s="124"/>
    </row>
    <row r="13055">
      <c r="K13055" s="124"/>
      <c r="L13055" s="124"/>
      <c r="M13055" s="124"/>
      <c r="N13055" s="124"/>
      <c r="O13055" s="124"/>
    </row>
    <row r="13056">
      <c r="K13056" s="124"/>
      <c r="L13056" s="124"/>
      <c r="M13056" s="124"/>
      <c r="N13056" s="124"/>
      <c r="O13056" s="124"/>
    </row>
    <row r="13057">
      <c r="K13057" s="124"/>
      <c r="L13057" s="124"/>
      <c r="M13057" s="124"/>
      <c r="N13057" s="124"/>
      <c r="O13057" s="124"/>
    </row>
    <row r="13058">
      <c r="K13058" s="124"/>
      <c r="L13058" s="124"/>
      <c r="M13058" s="124"/>
      <c r="N13058" s="124"/>
      <c r="O13058" s="124"/>
    </row>
    <row r="13059">
      <c r="K13059" s="124"/>
      <c r="L13059" s="124"/>
      <c r="M13059" s="124"/>
      <c r="N13059" s="124"/>
      <c r="O13059" s="124"/>
    </row>
    <row r="13060">
      <c r="K13060" s="124"/>
      <c r="L13060" s="124"/>
      <c r="M13060" s="124"/>
      <c r="N13060" s="124"/>
      <c r="O13060" s="124"/>
    </row>
    <row r="13061">
      <c r="K13061" s="124"/>
      <c r="L13061" s="124"/>
      <c r="M13061" s="124"/>
      <c r="N13061" s="124"/>
      <c r="O13061" s="124"/>
    </row>
    <row r="13062">
      <c r="K13062" s="124"/>
      <c r="L13062" s="124"/>
      <c r="M13062" s="124"/>
      <c r="N13062" s="124"/>
      <c r="O13062" s="124"/>
    </row>
    <row r="13063">
      <c r="K13063" s="124"/>
      <c r="L13063" s="124"/>
      <c r="M13063" s="124"/>
      <c r="N13063" s="124"/>
      <c r="O13063" s="124"/>
    </row>
    <row r="13064">
      <c r="K13064" s="124"/>
      <c r="L13064" s="124"/>
      <c r="M13064" s="124"/>
      <c r="N13064" s="124"/>
      <c r="O13064" s="124"/>
    </row>
    <row r="13065">
      <c r="K13065" s="124"/>
      <c r="L13065" s="124"/>
      <c r="M13065" s="124"/>
      <c r="N13065" s="124"/>
      <c r="O13065" s="124"/>
    </row>
    <row r="13066">
      <c r="K13066" s="124"/>
      <c r="L13066" s="124"/>
      <c r="M13066" s="124"/>
      <c r="N13066" s="124"/>
      <c r="O13066" s="124"/>
    </row>
    <row r="13067">
      <c r="K13067" s="124"/>
      <c r="L13067" s="124"/>
      <c r="M13067" s="124"/>
      <c r="N13067" s="124"/>
      <c r="O13067" s="124"/>
    </row>
    <row r="13068">
      <c r="K13068" s="124"/>
      <c r="L13068" s="124"/>
      <c r="M13068" s="124"/>
      <c r="N13068" s="124"/>
      <c r="O13068" s="124"/>
    </row>
    <row r="13069">
      <c r="K13069" s="124"/>
      <c r="L13069" s="124"/>
      <c r="M13069" s="124"/>
      <c r="N13069" s="124"/>
      <c r="O13069" s="124"/>
    </row>
    <row r="13070">
      <c r="K13070" s="124"/>
      <c r="L13070" s="124"/>
      <c r="M13070" s="124"/>
      <c r="N13070" s="124"/>
      <c r="O13070" s="124"/>
    </row>
    <row r="13071">
      <c r="K13071" s="124"/>
      <c r="L13071" s="124"/>
      <c r="M13071" s="124"/>
      <c r="N13071" s="124"/>
      <c r="O13071" s="124"/>
    </row>
    <row r="13072">
      <c r="K13072" s="124"/>
      <c r="L13072" s="124"/>
      <c r="M13072" s="124"/>
      <c r="N13072" s="124"/>
      <c r="O13072" s="124"/>
    </row>
    <row r="13073">
      <c r="K13073" s="124"/>
      <c r="L13073" s="124"/>
      <c r="M13073" s="124"/>
      <c r="N13073" s="124"/>
      <c r="O13073" s="124"/>
    </row>
    <row r="13074">
      <c r="K13074" s="124"/>
      <c r="L13074" s="124"/>
      <c r="M13074" s="124"/>
      <c r="N13074" s="124"/>
      <c r="O13074" s="124"/>
    </row>
    <row r="13075">
      <c r="K13075" s="124"/>
      <c r="L13075" s="124"/>
      <c r="M13075" s="124"/>
      <c r="N13075" s="124"/>
      <c r="O13075" s="124"/>
    </row>
    <row r="13076">
      <c r="K13076" s="124"/>
      <c r="L13076" s="124"/>
      <c r="M13076" s="124"/>
      <c r="N13076" s="124"/>
      <c r="O13076" s="124"/>
    </row>
    <row r="13077">
      <c r="K13077" s="124"/>
      <c r="L13077" s="124"/>
      <c r="M13077" s="124"/>
      <c r="N13077" s="124"/>
      <c r="O13077" s="124"/>
    </row>
    <row r="13078">
      <c r="K13078" s="124"/>
      <c r="L13078" s="124"/>
      <c r="M13078" s="124"/>
      <c r="N13078" s="124"/>
      <c r="O13078" s="124"/>
    </row>
    <row r="13079">
      <c r="K13079" s="124"/>
      <c r="L13079" s="124"/>
      <c r="M13079" s="124"/>
      <c r="N13079" s="124"/>
      <c r="O13079" s="124"/>
    </row>
    <row r="13080">
      <c r="K13080" s="124"/>
      <c r="L13080" s="124"/>
      <c r="M13080" s="124"/>
      <c r="N13080" s="124"/>
      <c r="O13080" s="124"/>
    </row>
    <row r="13081">
      <c r="K13081" s="124"/>
      <c r="L13081" s="124"/>
      <c r="M13081" s="124"/>
      <c r="N13081" s="124"/>
      <c r="O13081" s="124"/>
    </row>
    <row r="13082">
      <c r="K13082" s="124"/>
      <c r="L13082" s="124"/>
      <c r="M13082" s="124"/>
      <c r="N13082" s="124"/>
      <c r="O13082" s="124"/>
    </row>
    <row r="13083">
      <c r="K13083" s="124"/>
      <c r="L13083" s="124"/>
      <c r="M13083" s="124"/>
      <c r="N13083" s="124"/>
      <c r="O13083" s="124"/>
    </row>
    <row r="13084">
      <c r="K13084" s="124"/>
      <c r="L13084" s="124"/>
      <c r="M13084" s="124"/>
      <c r="N13084" s="124"/>
      <c r="O13084" s="124"/>
    </row>
    <row r="13085">
      <c r="K13085" s="124"/>
      <c r="L13085" s="124"/>
      <c r="M13085" s="124"/>
      <c r="N13085" s="124"/>
      <c r="O13085" s="124"/>
    </row>
    <row r="13086">
      <c r="K13086" s="124"/>
      <c r="L13086" s="124"/>
      <c r="M13086" s="124"/>
      <c r="N13086" s="124"/>
      <c r="O13086" s="124"/>
    </row>
    <row r="13087">
      <c r="K13087" s="124"/>
      <c r="L13087" s="124"/>
      <c r="M13087" s="124"/>
      <c r="N13087" s="124"/>
      <c r="O13087" s="124"/>
    </row>
    <row r="13088">
      <c r="K13088" s="124"/>
      <c r="L13088" s="124"/>
      <c r="M13088" s="124"/>
      <c r="N13088" s="124"/>
      <c r="O13088" s="124"/>
    </row>
    <row r="13089">
      <c r="K13089" s="124"/>
      <c r="L13089" s="124"/>
      <c r="M13089" s="124"/>
      <c r="N13089" s="124"/>
      <c r="O13089" s="124"/>
    </row>
    <row r="13090">
      <c r="K13090" s="124"/>
      <c r="L13090" s="124"/>
      <c r="M13090" s="124"/>
      <c r="N13090" s="124"/>
      <c r="O13090" s="124"/>
    </row>
    <row r="13091">
      <c r="K13091" s="124"/>
      <c r="L13091" s="124"/>
      <c r="M13091" s="124"/>
      <c r="N13091" s="124"/>
      <c r="O13091" s="124"/>
    </row>
    <row r="13092">
      <c r="K13092" s="124"/>
      <c r="L13092" s="124"/>
      <c r="M13092" s="124"/>
      <c r="N13092" s="124"/>
      <c r="O13092" s="124"/>
    </row>
    <row r="13093">
      <c r="K13093" s="124"/>
      <c r="L13093" s="124"/>
      <c r="M13093" s="124"/>
      <c r="N13093" s="124"/>
      <c r="O13093" s="124"/>
    </row>
    <row r="13094">
      <c r="K13094" s="124"/>
      <c r="L13094" s="124"/>
      <c r="M13094" s="124"/>
      <c r="N13094" s="124"/>
      <c r="O13094" s="124"/>
    </row>
    <row r="13095">
      <c r="K13095" s="124"/>
      <c r="L13095" s="124"/>
      <c r="M13095" s="124"/>
      <c r="N13095" s="124"/>
      <c r="O13095" s="124"/>
    </row>
    <row r="13096">
      <c r="K13096" s="124"/>
      <c r="L13096" s="124"/>
      <c r="M13096" s="124"/>
      <c r="N13096" s="124"/>
      <c r="O13096" s="124"/>
    </row>
    <row r="13097">
      <c r="K13097" s="124"/>
      <c r="L13097" s="124"/>
      <c r="M13097" s="124"/>
      <c r="N13097" s="124"/>
      <c r="O13097" s="124"/>
    </row>
    <row r="13098">
      <c r="K13098" s="124"/>
      <c r="L13098" s="124"/>
      <c r="M13098" s="124"/>
      <c r="N13098" s="124"/>
      <c r="O13098" s="124"/>
    </row>
    <row r="13099">
      <c r="K13099" s="124"/>
      <c r="L13099" s="124"/>
      <c r="M13099" s="124"/>
      <c r="N13099" s="124"/>
      <c r="O13099" s="124"/>
    </row>
    <row r="13100">
      <c r="K13100" s="124"/>
      <c r="L13100" s="124"/>
      <c r="M13100" s="124"/>
      <c r="N13100" s="124"/>
      <c r="O13100" s="124"/>
    </row>
    <row r="13101">
      <c r="K13101" s="124"/>
      <c r="L13101" s="124"/>
      <c r="M13101" s="124"/>
      <c r="N13101" s="124"/>
      <c r="O13101" s="124"/>
    </row>
    <row r="13102">
      <c r="K13102" s="124"/>
      <c r="L13102" s="124"/>
      <c r="M13102" s="124"/>
      <c r="N13102" s="124"/>
      <c r="O13102" s="124"/>
    </row>
    <row r="13103">
      <c r="K13103" s="124"/>
      <c r="L13103" s="124"/>
      <c r="M13103" s="124"/>
      <c r="N13103" s="124"/>
      <c r="O13103" s="124"/>
    </row>
    <row r="13104">
      <c r="K13104" s="124"/>
      <c r="L13104" s="124"/>
      <c r="M13104" s="124"/>
      <c r="N13104" s="124"/>
      <c r="O13104" s="124"/>
    </row>
    <row r="13105">
      <c r="K13105" s="124"/>
      <c r="L13105" s="124"/>
      <c r="M13105" s="124"/>
      <c r="N13105" s="124"/>
      <c r="O13105" s="124"/>
    </row>
    <row r="13106">
      <c r="K13106" s="124"/>
      <c r="L13106" s="124"/>
      <c r="M13106" s="124"/>
      <c r="N13106" s="124"/>
      <c r="O13106" s="124"/>
    </row>
    <row r="13107">
      <c r="K13107" s="124"/>
      <c r="L13107" s="124"/>
      <c r="M13107" s="124"/>
      <c r="N13107" s="124"/>
      <c r="O13107" s="124"/>
    </row>
    <row r="13108">
      <c r="K13108" s="124"/>
      <c r="L13108" s="124"/>
      <c r="M13108" s="124"/>
      <c r="N13108" s="124"/>
      <c r="O13108" s="124"/>
    </row>
    <row r="13109">
      <c r="K13109" s="124"/>
      <c r="L13109" s="124"/>
      <c r="M13109" s="124"/>
      <c r="N13109" s="124"/>
      <c r="O13109" s="124"/>
    </row>
    <row r="13110">
      <c r="K13110" s="124"/>
      <c r="L13110" s="124"/>
      <c r="M13110" s="124"/>
      <c r="N13110" s="124"/>
      <c r="O13110" s="124"/>
    </row>
    <row r="13111">
      <c r="K13111" s="124"/>
      <c r="L13111" s="124"/>
      <c r="M13111" s="124"/>
      <c r="N13111" s="124"/>
      <c r="O13111" s="124"/>
    </row>
    <row r="13112">
      <c r="K13112" s="124"/>
      <c r="L13112" s="124"/>
      <c r="M13112" s="124"/>
      <c r="N13112" s="124"/>
      <c r="O13112" s="124"/>
    </row>
    <row r="13113">
      <c r="K13113" s="124"/>
      <c r="L13113" s="124"/>
      <c r="M13113" s="124"/>
      <c r="N13113" s="124"/>
      <c r="O13113" s="124"/>
    </row>
    <row r="13114">
      <c r="K13114" s="124"/>
      <c r="L13114" s="124"/>
      <c r="M13114" s="124"/>
      <c r="N13114" s="124"/>
      <c r="O13114" s="124"/>
    </row>
    <row r="13115">
      <c r="K13115" s="124"/>
      <c r="L13115" s="124"/>
      <c r="M13115" s="124"/>
      <c r="N13115" s="124"/>
      <c r="O13115" s="124"/>
    </row>
    <row r="13116">
      <c r="K13116" s="124"/>
      <c r="L13116" s="124"/>
      <c r="M13116" s="124"/>
      <c r="N13116" s="124"/>
      <c r="O13116" s="124"/>
    </row>
    <row r="13117">
      <c r="K13117" s="124"/>
      <c r="L13117" s="124"/>
      <c r="M13117" s="124"/>
      <c r="N13117" s="124"/>
      <c r="O13117" s="124"/>
    </row>
    <row r="13118">
      <c r="K13118" s="124"/>
      <c r="L13118" s="124"/>
      <c r="M13118" s="124"/>
      <c r="N13118" s="124"/>
      <c r="O13118" s="124"/>
    </row>
    <row r="13119">
      <c r="K13119" s="124"/>
      <c r="L13119" s="124"/>
      <c r="M13119" s="124"/>
      <c r="N13119" s="124"/>
      <c r="O13119" s="124"/>
    </row>
    <row r="13120">
      <c r="K13120" s="124"/>
      <c r="L13120" s="124"/>
      <c r="M13120" s="124"/>
      <c r="N13120" s="124"/>
      <c r="O13120" s="124"/>
    </row>
    <row r="13121">
      <c r="K13121" s="124"/>
      <c r="L13121" s="124"/>
      <c r="M13121" s="124"/>
      <c r="N13121" s="124"/>
      <c r="O13121" s="124"/>
    </row>
    <row r="13122">
      <c r="K13122" s="124"/>
      <c r="L13122" s="124"/>
      <c r="M13122" s="124"/>
      <c r="N13122" s="124"/>
      <c r="O13122" s="124"/>
    </row>
    <row r="13123">
      <c r="K13123" s="124"/>
      <c r="L13123" s="124"/>
      <c r="M13123" s="124"/>
      <c r="N13123" s="124"/>
      <c r="O13123" s="124"/>
    </row>
    <row r="13124">
      <c r="K13124" s="124"/>
      <c r="L13124" s="124"/>
      <c r="M13124" s="124"/>
      <c r="N13124" s="124"/>
      <c r="O13124" s="124"/>
    </row>
    <row r="13125">
      <c r="K13125" s="124"/>
      <c r="L13125" s="124"/>
      <c r="M13125" s="124"/>
      <c r="N13125" s="124"/>
      <c r="O13125" s="124"/>
    </row>
    <row r="13126">
      <c r="K13126" s="124"/>
      <c r="L13126" s="124"/>
      <c r="M13126" s="124"/>
      <c r="N13126" s="124"/>
      <c r="O13126" s="124"/>
    </row>
    <row r="13127">
      <c r="K13127" s="124"/>
      <c r="L13127" s="124"/>
      <c r="M13127" s="124"/>
      <c r="N13127" s="124"/>
      <c r="O13127" s="124"/>
    </row>
    <row r="13128">
      <c r="K13128" s="124"/>
      <c r="L13128" s="124"/>
      <c r="M13128" s="124"/>
      <c r="N13128" s="124"/>
      <c r="O13128" s="124"/>
    </row>
    <row r="13129">
      <c r="K13129" s="124"/>
      <c r="L13129" s="124"/>
      <c r="M13129" s="124"/>
      <c r="N13129" s="124"/>
      <c r="O13129" s="124"/>
    </row>
    <row r="13130">
      <c r="K13130" s="124"/>
      <c r="L13130" s="124"/>
      <c r="M13130" s="124"/>
      <c r="N13130" s="124"/>
      <c r="O13130" s="124"/>
    </row>
    <row r="13131">
      <c r="K13131" s="124"/>
      <c r="L13131" s="124"/>
      <c r="M13131" s="124"/>
      <c r="N13131" s="124"/>
      <c r="O13131" s="124"/>
    </row>
    <row r="13132">
      <c r="K13132" s="124"/>
      <c r="L13132" s="124"/>
      <c r="M13132" s="124"/>
      <c r="N13132" s="124"/>
      <c r="O13132" s="124"/>
    </row>
    <row r="13133">
      <c r="K13133" s="124"/>
      <c r="L13133" s="124"/>
      <c r="M13133" s="124"/>
      <c r="N13133" s="124"/>
      <c r="O13133" s="124"/>
    </row>
    <row r="13134">
      <c r="K13134" s="124"/>
      <c r="L13134" s="124"/>
      <c r="M13134" s="124"/>
      <c r="N13134" s="124"/>
      <c r="O13134" s="124"/>
    </row>
    <row r="13135">
      <c r="K13135" s="124"/>
      <c r="L13135" s="124"/>
      <c r="M13135" s="124"/>
      <c r="N13135" s="124"/>
      <c r="O13135" s="124"/>
    </row>
    <row r="13136">
      <c r="K13136" s="124"/>
      <c r="L13136" s="124"/>
      <c r="M13136" s="124"/>
      <c r="N13136" s="124"/>
      <c r="O13136" s="124"/>
    </row>
    <row r="13137">
      <c r="K13137" s="124"/>
      <c r="L13137" s="124"/>
      <c r="M13137" s="124"/>
      <c r="N13137" s="124"/>
      <c r="O13137" s="124"/>
    </row>
    <row r="13138">
      <c r="K13138" s="124"/>
      <c r="L13138" s="124"/>
      <c r="M13138" s="124"/>
      <c r="N13138" s="124"/>
      <c r="O13138" s="124"/>
    </row>
    <row r="13139">
      <c r="K13139" s="124"/>
      <c r="L13139" s="124"/>
      <c r="M13139" s="124"/>
      <c r="N13139" s="124"/>
      <c r="O13139" s="124"/>
    </row>
    <row r="13140">
      <c r="K13140" s="124"/>
      <c r="L13140" s="124"/>
      <c r="M13140" s="124"/>
      <c r="N13140" s="124"/>
      <c r="O13140" s="124"/>
    </row>
    <row r="13141">
      <c r="K13141" s="124"/>
      <c r="L13141" s="124"/>
      <c r="M13141" s="124"/>
      <c r="N13141" s="124"/>
      <c r="O13141" s="124"/>
    </row>
    <row r="13142">
      <c r="K13142" s="124"/>
      <c r="L13142" s="124"/>
      <c r="M13142" s="124"/>
      <c r="N13142" s="124"/>
      <c r="O13142" s="124"/>
    </row>
    <row r="13143">
      <c r="K13143" s="124"/>
      <c r="L13143" s="124"/>
      <c r="M13143" s="124"/>
      <c r="N13143" s="124"/>
      <c r="O13143" s="124"/>
    </row>
    <row r="13144">
      <c r="K13144" s="124"/>
      <c r="L13144" s="124"/>
      <c r="M13144" s="124"/>
      <c r="N13144" s="124"/>
      <c r="O13144" s="124"/>
    </row>
    <row r="13145">
      <c r="K13145" s="124"/>
      <c r="L13145" s="124"/>
      <c r="M13145" s="124"/>
      <c r="N13145" s="124"/>
      <c r="O13145" s="124"/>
    </row>
    <row r="13146">
      <c r="K13146" s="124"/>
      <c r="L13146" s="124"/>
      <c r="M13146" s="124"/>
      <c r="N13146" s="124"/>
      <c r="O13146" s="124"/>
    </row>
    <row r="13147">
      <c r="K13147" s="124"/>
      <c r="L13147" s="124"/>
      <c r="M13147" s="124"/>
      <c r="N13147" s="124"/>
      <c r="O13147" s="124"/>
    </row>
    <row r="13148">
      <c r="K13148" s="124"/>
      <c r="L13148" s="124"/>
      <c r="M13148" s="124"/>
      <c r="N13148" s="124"/>
      <c r="O13148" s="124"/>
    </row>
    <row r="13149">
      <c r="K13149" s="124"/>
      <c r="L13149" s="124"/>
      <c r="M13149" s="124"/>
      <c r="N13149" s="124"/>
      <c r="O13149" s="124"/>
    </row>
    <row r="13150">
      <c r="K13150" s="124"/>
      <c r="L13150" s="124"/>
      <c r="M13150" s="124"/>
      <c r="N13150" s="124"/>
      <c r="O13150" s="124"/>
    </row>
    <row r="13151">
      <c r="K13151" s="124"/>
      <c r="L13151" s="124"/>
      <c r="M13151" s="124"/>
      <c r="N13151" s="124"/>
      <c r="O13151" s="124"/>
    </row>
    <row r="13152">
      <c r="K13152" s="124"/>
      <c r="L13152" s="124"/>
      <c r="M13152" s="124"/>
      <c r="N13152" s="124"/>
      <c r="O13152" s="124"/>
    </row>
    <row r="13153">
      <c r="K13153" s="124"/>
      <c r="L13153" s="124"/>
      <c r="M13153" s="124"/>
      <c r="N13153" s="124"/>
      <c r="O13153" s="124"/>
    </row>
    <row r="13154">
      <c r="K13154" s="124"/>
      <c r="L13154" s="124"/>
      <c r="M13154" s="124"/>
      <c r="N13154" s="124"/>
      <c r="O13154" s="124"/>
    </row>
    <row r="13155">
      <c r="K13155" s="124"/>
      <c r="L13155" s="124"/>
      <c r="M13155" s="124"/>
      <c r="N13155" s="124"/>
      <c r="O13155" s="124"/>
    </row>
    <row r="13156">
      <c r="K13156" s="124"/>
      <c r="L13156" s="124"/>
      <c r="M13156" s="124"/>
      <c r="N13156" s="124"/>
      <c r="O13156" s="124"/>
    </row>
    <row r="13157">
      <c r="K13157" s="124"/>
      <c r="L13157" s="124"/>
      <c r="M13157" s="124"/>
      <c r="N13157" s="124"/>
      <c r="O13157" s="124"/>
    </row>
    <row r="13158">
      <c r="K13158" s="124"/>
      <c r="L13158" s="124"/>
      <c r="M13158" s="124"/>
      <c r="N13158" s="124"/>
      <c r="O13158" s="124"/>
    </row>
    <row r="13159">
      <c r="K13159" s="124"/>
      <c r="L13159" s="124"/>
      <c r="M13159" s="124"/>
      <c r="N13159" s="124"/>
      <c r="O13159" s="124"/>
    </row>
    <row r="13160">
      <c r="K13160" s="124"/>
      <c r="L13160" s="124"/>
      <c r="M13160" s="124"/>
      <c r="N13160" s="124"/>
      <c r="O13160" s="124"/>
    </row>
    <row r="13161">
      <c r="K13161" s="124"/>
      <c r="L13161" s="124"/>
      <c r="M13161" s="124"/>
      <c r="N13161" s="124"/>
      <c r="O13161" s="124"/>
    </row>
    <row r="13162">
      <c r="K13162" s="124"/>
      <c r="L13162" s="124"/>
      <c r="M13162" s="124"/>
      <c r="N13162" s="124"/>
      <c r="O13162" s="124"/>
    </row>
    <row r="13163">
      <c r="K13163" s="124"/>
      <c r="L13163" s="124"/>
      <c r="M13163" s="124"/>
      <c r="N13163" s="124"/>
      <c r="O13163" s="124"/>
    </row>
    <row r="13164">
      <c r="K13164" s="124"/>
      <c r="L13164" s="124"/>
      <c r="M13164" s="124"/>
      <c r="N13164" s="124"/>
      <c r="O13164" s="124"/>
    </row>
    <row r="13165">
      <c r="K13165" s="124"/>
      <c r="L13165" s="124"/>
      <c r="M13165" s="124"/>
      <c r="N13165" s="124"/>
      <c r="O13165" s="124"/>
    </row>
    <row r="13166">
      <c r="K13166" s="124"/>
      <c r="L13166" s="124"/>
      <c r="M13166" s="124"/>
      <c r="N13166" s="124"/>
      <c r="O13166" s="124"/>
    </row>
    <row r="13167">
      <c r="K13167" s="124"/>
      <c r="L13167" s="124"/>
      <c r="M13167" s="124"/>
      <c r="N13167" s="124"/>
      <c r="O13167" s="124"/>
    </row>
    <row r="13168">
      <c r="K13168" s="124"/>
      <c r="L13168" s="124"/>
      <c r="M13168" s="124"/>
      <c r="N13168" s="124"/>
      <c r="O13168" s="124"/>
    </row>
    <row r="13169">
      <c r="K13169" s="124"/>
      <c r="L13169" s="124"/>
      <c r="M13169" s="124"/>
      <c r="N13169" s="124"/>
      <c r="O13169" s="124"/>
    </row>
    <row r="13170">
      <c r="K13170" s="124"/>
      <c r="L13170" s="124"/>
      <c r="M13170" s="124"/>
      <c r="N13170" s="124"/>
      <c r="O13170" s="124"/>
    </row>
    <row r="13171">
      <c r="K13171" s="124"/>
      <c r="L13171" s="124"/>
      <c r="M13171" s="124"/>
      <c r="N13171" s="124"/>
      <c r="O13171" s="124"/>
    </row>
    <row r="13172">
      <c r="K13172" s="124"/>
      <c r="L13172" s="124"/>
      <c r="M13172" s="124"/>
      <c r="N13172" s="124"/>
      <c r="O13172" s="124"/>
    </row>
    <row r="13173">
      <c r="K13173" s="124"/>
      <c r="L13173" s="124"/>
      <c r="M13173" s="124"/>
      <c r="N13173" s="124"/>
      <c r="O13173" s="124"/>
    </row>
    <row r="13174">
      <c r="K13174" s="124"/>
      <c r="L13174" s="124"/>
      <c r="M13174" s="124"/>
      <c r="N13174" s="124"/>
      <c r="O13174" s="124"/>
    </row>
    <row r="13175">
      <c r="K13175" s="124"/>
      <c r="L13175" s="124"/>
      <c r="M13175" s="124"/>
      <c r="N13175" s="124"/>
      <c r="O13175" s="124"/>
    </row>
    <row r="13176">
      <c r="K13176" s="124"/>
      <c r="L13176" s="124"/>
      <c r="M13176" s="124"/>
      <c r="N13176" s="124"/>
      <c r="O13176" s="124"/>
    </row>
    <row r="13177">
      <c r="K13177" s="124"/>
      <c r="L13177" s="124"/>
      <c r="M13177" s="124"/>
      <c r="N13177" s="124"/>
      <c r="O13177" s="124"/>
    </row>
    <row r="13178">
      <c r="K13178" s="124"/>
      <c r="L13178" s="124"/>
      <c r="M13178" s="124"/>
      <c r="N13178" s="124"/>
      <c r="O13178" s="124"/>
    </row>
    <row r="13179">
      <c r="K13179" s="124"/>
      <c r="L13179" s="124"/>
      <c r="M13179" s="124"/>
      <c r="N13179" s="124"/>
      <c r="O13179" s="124"/>
    </row>
    <row r="13180">
      <c r="K13180" s="124"/>
      <c r="L13180" s="124"/>
      <c r="M13180" s="124"/>
      <c r="N13180" s="124"/>
      <c r="O13180" s="124"/>
    </row>
    <row r="13181">
      <c r="K13181" s="124"/>
      <c r="L13181" s="124"/>
      <c r="M13181" s="124"/>
      <c r="N13181" s="124"/>
      <c r="O13181" s="124"/>
    </row>
    <row r="13182">
      <c r="K13182" s="124"/>
      <c r="L13182" s="124"/>
      <c r="M13182" s="124"/>
      <c r="N13182" s="124"/>
      <c r="O13182" s="124"/>
    </row>
    <row r="13183">
      <c r="K13183" s="124"/>
      <c r="L13183" s="124"/>
      <c r="M13183" s="124"/>
      <c r="N13183" s="124"/>
      <c r="O13183" s="124"/>
    </row>
    <row r="13184">
      <c r="K13184" s="124"/>
      <c r="L13184" s="124"/>
      <c r="M13184" s="124"/>
      <c r="N13184" s="124"/>
      <c r="O13184" s="124"/>
    </row>
    <row r="13185">
      <c r="K13185" s="124"/>
      <c r="L13185" s="124"/>
      <c r="M13185" s="124"/>
      <c r="N13185" s="124"/>
      <c r="O13185" s="124"/>
    </row>
    <row r="13186">
      <c r="K13186" s="124"/>
      <c r="L13186" s="124"/>
      <c r="M13186" s="124"/>
      <c r="N13186" s="124"/>
      <c r="O13186" s="124"/>
    </row>
    <row r="13187">
      <c r="K13187" s="124"/>
      <c r="L13187" s="124"/>
      <c r="M13187" s="124"/>
      <c r="N13187" s="124"/>
      <c r="O13187" s="124"/>
    </row>
    <row r="13188">
      <c r="K13188" s="124"/>
      <c r="L13188" s="124"/>
      <c r="M13188" s="124"/>
      <c r="N13188" s="124"/>
      <c r="O13188" s="124"/>
    </row>
    <row r="13189">
      <c r="K13189" s="124"/>
      <c r="L13189" s="124"/>
      <c r="M13189" s="124"/>
      <c r="N13189" s="124"/>
      <c r="O13189" s="124"/>
    </row>
    <row r="13190">
      <c r="K13190" s="124"/>
      <c r="L13190" s="124"/>
      <c r="M13190" s="124"/>
      <c r="N13190" s="124"/>
      <c r="O13190" s="124"/>
    </row>
    <row r="13191">
      <c r="K13191" s="124"/>
      <c r="L13191" s="124"/>
      <c r="M13191" s="124"/>
      <c r="N13191" s="124"/>
      <c r="O13191" s="124"/>
    </row>
    <row r="13192">
      <c r="K13192" s="124"/>
      <c r="L13192" s="124"/>
      <c r="M13192" s="124"/>
      <c r="N13192" s="124"/>
      <c r="O13192" s="124"/>
    </row>
    <row r="13193">
      <c r="K13193" s="124"/>
      <c r="L13193" s="124"/>
      <c r="M13193" s="124"/>
      <c r="N13193" s="124"/>
      <c r="O13193" s="124"/>
    </row>
    <row r="13194">
      <c r="K13194" s="124"/>
      <c r="L13194" s="124"/>
      <c r="M13194" s="124"/>
      <c r="N13194" s="124"/>
      <c r="O13194" s="124"/>
    </row>
    <row r="13195">
      <c r="K13195" s="124"/>
      <c r="L13195" s="124"/>
      <c r="M13195" s="124"/>
      <c r="N13195" s="124"/>
      <c r="O13195" s="124"/>
    </row>
    <row r="13196">
      <c r="K13196" s="124"/>
      <c r="L13196" s="124"/>
      <c r="M13196" s="124"/>
      <c r="N13196" s="124"/>
      <c r="O13196" s="124"/>
    </row>
    <row r="13197">
      <c r="K13197" s="124"/>
      <c r="L13197" s="124"/>
      <c r="M13197" s="124"/>
      <c r="N13197" s="124"/>
      <c r="O13197" s="124"/>
    </row>
    <row r="13198">
      <c r="K13198" s="124"/>
      <c r="L13198" s="124"/>
      <c r="M13198" s="124"/>
      <c r="N13198" s="124"/>
      <c r="O13198" s="124"/>
    </row>
    <row r="13199">
      <c r="K13199" s="124"/>
      <c r="L13199" s="124"/>
      <c r="M13199" s="124"/>
      <c r="N13199" s="124"/>
      <c r="O13199" s="124"/>
    </row>
    <row r="13200">
      <c r="K13200" s="124"/>
      <c r="L13200" s="124"/>
      <c r="M13200" s="124"/>
      <c r="N13200" s="124"/>
      <c r="O13200" s="124"/>
    </row>
    <row r="13201">
      <c r="K13201" s="124"/>
      <c r="L13201" s="124"/>
      <c r="M13201" s="124"/>
      <c r="N13201" s="124"/>
      <c r="O13201" s="124"/>
    </row>
    <row r="13202">
      <c r="K13202" s="124"/>
      <c r="L13202" s="124"/>
      <c r="M13202" s="124"/>
      <c r="N13202" s="124"/>
      <c r="O13202" s="124"/>
    </row>
    <row r="13203">
      <c r="K13203" s="124"/>
      <c r="L13203" s="124"/>
      <c r="M13203" s="124"/>
      <c r="N13203" s="124"/>
      <c r="O13203" s="124"/>
    </row>
    <row r="13204">
      <c r="K13204" s="124"/>
      <c r="L13204" s="124"/>
      <c r="M13204" s="124"/>
      <c r="N13204" s="124"/>
      <c r="O13204" s="124"/>
    </row>
    <row r="13205">
      <c r="K13205" s="124"/>
      <c r="L13205" s="124"/>
      <c r="M13205" s="124"/>
      <c r="N13205" s="124"/>
      <c r="O13205" s="124"/>
    </row>
    <row r="13206">
      <c r="K13206" s="124"/>
      <c r="L13206" s="124"/>
      <c r="M13206" s="124"/>
      <c r="N13206" s="124"/>
      <c r="O13206" s="124"/>
    </row>
    <row r="13207">
      <c r="K13207" s="124"/>
      <c r="L13207" s="124"/>
      <c r="M13207" s="124"/>
      <c r="N13207" s="124"/>
      <c r="O13207" s="124"/>
    </row>
    <row r="13208">
      <c r="K13208" s="124"/>
      <c r="L13208" s="124"/>
      <c r="M13208" s="124"/>
      <c r="N13208" s="124"/>
      <c r="O13208" s="124"/>
    </row>
    <row r="13209">
      <c r="K13209" s="124"/>
      <c r="L13209" s="124"/>
      <c r="M13209" s="124"/>
      <c r="N13209" s="124"/>
      <c r="O13209" s="124"/>
    </row>
    <row r="13210">
      <c r="K13210" s="124"/>
      <c r="L13210" s="124"/>
      <c r="M13210" s="124"/>
      <c r="N13210" s="124"/>
      <c r="O13210" s="124"/>
    </row>
    <row r="13211">
      <c r="K13211" s="124"/>
      <c r="L13211" s="124"/>
      <c r="M13211" s="124"/>
      <c r="N13211" s="124"/>
      <c r="O13211" s="124"/>
    </row>
    <row r="13212">
      <c r="K13212" s="124"/>
      <c r="L13212" s="124"/>
      <c r="M13212" s="124"/>
      <c r="N13212" s="124"/>
      <c r="O13212" s="124"/>
    </row>
    <row r="13213">
      <c r="K13213" s="124"/>
      <c r="L13213" s="124"/>
      <c r="M13213" s="124"/>
      <c r="N13213" s="124"/>
      <c r="O13213" s="124"/>
    </row>
    <row r="13214">
      <c r="K13214" s="124"/>
      <c r="L13214" s="124"/>
      <c r="M13214" s="124"/>
      <c r="N13214" s="124"/>
      <c r="O13214" s="124"/>
    </row>
    <row r="13215">
      <c r="K13215" s="124"/>
      <c r="L13215" s="124"/>
      <c r="M13215" s="124"/>
      <c r="N13215" s="124"/>
      <c r="O13215" s="124"/>
    </row>
    <row r="13216">
      <c r="K13216" s="124"/>
      <c r="L13216" s="124"/>
      <c r="M13216" s="124"/>
      <c r="N13216" s="124"/>
      <c r="O13216" s="124"/>
    </row>
    <row r="13217">
      <c r="K13217" s="124"/>
      <c r="L13217" s="124"/>
      <c r="M13217" s="124"/>
      <c r="N13217" s="124"/>
      <c r="O13217" s="124"/>
    </row>
    <row r="13218">
      <c r="K13218" s="124"/>
      <c r="L13218" s="124"/>
      <c r="M13218" s="124"/>
      <c r="N13218" s="124"/>
      <c r="O13218" s="124"/>
    </row>
    <row r="13219">
      <c r="K13219" s="124"/>
      <c r="L13219" s="124"/>
      <c r="M13219" s="124"/>
      <c r="N13219" s="124"/>
      <c r="O13219" s="124"/>
    </row>
    <row r="13220">
      <c r="K13220" s="124"/>
      <c r="L13220" s="124"/>
      <c r="M13220" s="124"/>
      <c r="N13220" s="124"/>
      <c r="O13220" s="124"/>
    </row>
    <row r="13221">
      <c r="K13221" s="124"/>
      <c r="L13221" s="124"/>
      <c r="M13221" s="124"/>
      <c r="N13221" s="124"/>
      <c r="O13221" s="124"/>
    </row>
    <row r="13222">
      <c r="K13222" s="124"/>
      <c r="L13222" s="124"/>
      <c r="M13222" s="124"/>
      <c r="N13222" s="124"/>
      <c r="O13222" s="124"/>
    </row>
    <row r="13223">
      <c r="K13223" s="124"/>
      <c r="L13223" s="124"/>
      <c r="M13223" s="124"/>
      <c r="N13223" s="124"/>
      <c r="O13223" s="124"/>
    </row>
    <row r="13224">
      <c r="K13224" s="124"/>
      <c r="L13224" s="124"/>
      <c r="M13224" s="124"/>
      <c r="N13224" s="124"/>
      <c r="O13224" s="124"/>
    </row>
    <row r="13225">
      <c r="K13225" s="124"/>
      <c r="L13225" s="124"/>
      <c r="M13225" s="124"/>
      <c r="N13225" s="124"/>
      <c r="O13225" s="124"/>
    </row>
    <row r="13226">
      <c r="K13226" s="124"/>
      <c r="L13226" s="124"/>
      <c r="M13226" s="124"/>
      <c r="N13226" s="124"/>
      <c r="O13226" s="124"/>
    </row>
    <row r="13227">
      <c r="K13227" s="124"/>
      <c r="L13227" s="124"/>
      <c r="M13227" s="124"/>
      <c r="N13227" s="124"/>
      <c r="O13227" s="124"/>
    </row>
    <row r="13228">
      <c r="K13228" s="124"/>
      <c r="L13228" s="124"/>
      <c r="M13228" s="124"/>
      <c r="N13228" s="124"/>
      <c r="O13228" s="124"/>
    </row>
    <row r="13229">
      <c r="K13229" s="124"/>
      <c r="L13229" s="124"/>
      <c r="M13229" s="124"/>
      <c r="N13229" s="124"/>
      <c r="O13229" s="124"/>
    </row>
    <row r="13230">
      <c r="K13230" s="124"/>
      <c r="L13230" s="124"/>
      <c r="M13230" s="124"/>
      <c r="N13230" s="124"/>
      <c r="O13230" s="124"/>
    </row>
    <row r="13231">
      <c r="K13231" s="124"/>
      <c r="L13231" s="124"/>
      <c r="M13231" s="124"/>
      <c r="N13231" s="124"/>
      <c r="O13231" s="124"/>
    </row>
    <row r="13232">
      <c r="K13232" s="124"/>
      <c r="L13232" s="124"/>
      <c r="M13232" s="124"/>
      <c r="N13232" s="124"/>
      <c r="O13232" s="124"/>
    </row>
    <row r="13233">
      <c r="K13233" s="124"/>
      <c r="L13233" s="124"/>
      <c r="M13233" s="124"/>
      <c r="N13233" s="124"/>
      <c r="O13233" s="124"/>
    </row>
    <row r="13234">
      <c r="K13234" s="124"/>
      <c r="L13234" s="124"/>
      <c r="M13234" s="124"/>
      <c r="N13234" s="124"/>
      <c r="O13234" s="124"/>
    </row>
    <row r="13235">
      <c r="K13235" s="124"/>
      <c r="L13235" s="124"/>
      <c r="M13235" s="124"/>
      <c r="N13235" s="124"/>
      <c r="O13235" s="124"/>
    </row>
    <row r="13236">
      <c r="K13236" s="124"/>
      <c r="L13236" s="124"/>
      <c r="M13236" s="124"/>
      <c r="N13236" s="124"/>
      <c r="O13236" s="124"/>
    </row>
    <row r="13237">
      <c r="K13237" s="124"/>
      <c r="L13237" s="124"/>
      <c r="M13237" s="124"/>
      <c r="N13237" s="124"/>
      <c r="O13237" s="124"/>
    </row>
    <row r="13238">
      <c r="K13238" s="124"/>
      <c r="L13238" s="124"/>
      <c r="M13238" s="124"/>
      <c r="N13238" s="124"/>
      <c r="O13238" s="124"/>
    </row>
    <row r="13239">
      <c r="K13239" s="124"/>
      <c r="L13239" s="124"/>
      <c r="M13239" s="124"/>
      <c r="N13239" s="124"/>
      <c r="O13239" s="124"/>
    </row>
    <row r="13240">
      <c r="K13240" s="124"/>
      <c r="L13240" s="124"/>
      <c r="M13240" s="124"/>
      <c r="N13240" s="124"/>
      <c r="O13240" s="124"/>
    </row>
    <row r="13241">
      <c r="K13241" s="124"/>
      <c r="L13241" s="124"/>
      <c r="M13241" s="124"/>
      <c r="N13241" s="124"/>
      <c r="O13241" s="124"/>
    </row>
    <row r="13242">
      <c r="K13242" s="124"/>
      <c r="L13242" s="124"/>
      <c r="M13242" s="124"/>
      <c r="N13242" s="124"/>
      <c r="O13242" s="124"/>
    </row>
    <row r="13243">
      <c r="K13243" s="124"/>
      <c r="L13243" s="124"/>
      <c r="M13243" s="124"/>
      <c r="N13243" s="124"/>
      <c r="O13243" s="124"/>
    </row>
    <row r="13244">
      <c r="K13244" s="124"/>
      <c r="L13244" s="124"/>
      <c r="M13244" s="124"/>
      <c r="N13244" s="124"/>
      <c r="O13244" s="124"/>
    </row>
    <row r="13245">
      <c r="K13245" s="124"/>
      <c r="L13245" s="124"/>
      <c r="M13245" s="124"/>
      <c r="N13245" s="124"/>
      <c r="O13245" s="124"/>
    </row>
    <row r="13246">
      <c r="K13246" s="124"/>
      <c r="L13246" s="124"/>
      <c r="M13246" s="124"/>
      <c r="N13246" s="124"/>
      <c r="O13246" s="124"/>
    </row>
    <row r="13247">
      <c r="K13247" s="124"/>
      <c r="L13247" s="124"/>
      <c r="M13247" s="124"/>
      <c r="N13247" s="124"/>
      <c r="O13247" s="124"/>
    </row>
    <row r="13248">
      <c r="K13248" s="124"/>
      <c r="L13248" s="124"/>
      <c r="M13248" s="124"/>
      <c r="N13248" s="124"/>
      <c r="O13248" s="124"/>
    </row>
    <row r="13249">
      <c r="K13249" s="124"/>
      <c r="L13249" s="124"/>
      <c r="M13249" s="124"/>
      <c r="N13249" s="124"/>
      <c r="O13249" s="124"/>
    </row>
    <row r="13250">
      <c r="K13250" s="124"/>
      <c r="L13250" s="124"/>
      <c r="M13250" s="124"/>
      <c r="N13250" s="124"/>
      <c r="O13250" s="124"/>
    </row>
    <row r="13251">
      <c r="K13251" s="124"/>
      <c r="L13251" s="124"/>
      <c r="M13251" s="124"/>
      <c r="N13251" s="124"/>
      <c r="O13251" s="124"/>
    </row>
    <row r="13252">
      <c r="K13252" s="124"/>
      <c r="L13252" s="124"/>
      <c r="M13252" s="124"/>
      <c r="N13252" s="124"/>
      <c r="O13252" s="124"/>
    </row>
    <row r="13253">
      <c r="K13253" s="124"/>
      <c r="L13253" s="124"/>
      <c r="M13253" s="124"/>
      <c r="N13253" s="124"/>
      <c r="O13253" s="124"/>
    </row>
    <row r="13254">
      <c r="K13254" s="124"/>
      <c r="L13254" s="124"/>
      <c r="M13254" s="124"/>
      <c r="N13254" s="124"/>
      <c r="O13254" s="124"/>
    </row>
    <row r="13255">
      <c r="K13255" s="124"/>
      <c r="L13255" s="124"/>
      <c r="M13255" s="124"/>
      <c r="N13255" s="124"/>
      <c r="O13255" s="124"/>
    </row>
    <row r="13256">
      <c r="K13256" s="124"/>
      <c r="L13256" s="124"/>
      <c r="M13256" s="124"/>
      <c r="N13256" s="124"/>
      <c r="O13256" s="124"/>
    </row>
    <row r="13257">
      <c r="K13257" s="124"/>
      <c r="L13257" s="124"/>
      <c r="M13257" s="124"/>
      <c r="N13257" s="124"/>
      <c r="O13257" s="124"/>
    </row>
    <row r="13258">
      <c r="K13258" s="124"/>
      <c r="L13258" s="124"/>
      <c r="M13258" s="124"/>
      <c r="N13258" s="124"/>
      <c r="O13258" s="124"/>
    </row>
    <row r="13259">
      <c r="K13259" s="124"/>
      <c r="L13259" s="124"/>
      <c r="M13259" s="124"/>
      <c r="N13259" s="124"/>
      <c r="O13259" s="124"/>
    </row>
    <row r="13260">
      <c r="K13260" s="124"/>
      <c r="L13260" s="124"/>
      <c r="M13260" s="124"/>
      <c r="N13260" s="124"/>
      <c r="O13260" s="124"/>
    </row>
    <row r="13261">
      <c r="K13261" s="124"/>
      <c r="L13261" s="124"/>
      <c r="M13261" s="124"/>
      <c r="N13261" s="124"/>
      <c r="O13261" s="124"/>
    </row>
    <row r="13262">
      <c r="K13262" s="124"/>
      <c r="L13262" s="124"/>
      <c r="M13262" s="124"/>
      <c r="N13262" s="124"/>
      <c r="O13262" s="124"/>
    </row>
    <row r="13263">
      <c r="K13263" s="124"/>
      <c r="L13263" s="124"/>
      <c r="M13263" s="124"/>
      <c r="N13263" s="124"/>
      <c r="O13263" s="124"/>
    </row>
    <row r="13264">
      <c r="K13264" s="124"/>
      <c r="L13264" s="124"/>
      <c r="M13264" s="124"/>
      <c r="N13264" s="124"/>
      <c r="O13264" s="124"/>
    </row>
    <row r="13265">
      <c r="K13265" s="124"/>
      <c r="L13265" s="124"/>
      <c r="M13265" s="124"/>
      <c r="N13265" s="124"/>
      <c r="O13265" s="124"/>
    </row>
    <row r="13266">
      <c r="K13266" s="124"/>
      <c r="L13266" s="124"/>
      <c r="M13266" s="124"/>
      <c r="N13266" s="124"/>
      <c r="O13266" s="124"/>
    </row>
    <row r="13267">
      <c r="K13267" s="124"/>
      <c r="L13267" s="124"/>
      <c r="M13267" s="124"/>
      <c r="N13267" s="124"/>
      <c r="O13267" s="124"/>
    </row>
    <row r="13268">
      <c r="K13268" s="124"/>
      <c r="L13268" s="124"/>
      <c r="M13268" s="124"/>
      <c r="N13268" s="124"/>
      <c r="O13268" s="124"/>
    </row>
    <row r="13269">
      <c r="K13269" s="124"/>
      <c r="L13269" s="124"/>
      <c r="M13269" s="124"/>
      <c r="N13269" s="124"/>
      <c r="O13269" s="124"/>
    </row>
    <row r="13270">
      <c r="K13270" s="124"/>
      <c r="L13270" s="124"/>
      <c r="M13270" s="124"/>
      <c r="N13270" s="124"/>
      <c r="O13270" s="124"/>
    </row>
    <row r="13271">
      <c r="K13271" s="124"/>
      <c r="L13271" s="124"/>
      <c r="M13271" s="124"/>
      <c r="N13271" s="124"/>
      <c r="O13271" s="124"/>
    </row>
    <row r="13272">
      <c r="K13272" s="124"/>
      <c r="L13272" s="124"/>
      <c r="M13272" s="124"/>
      <c r="N13272" s="124"/>
      <c r="O13272" s="124"/>
    </row>
    <row r="13273">
      <c r="K13273" s="124"/>
      <c r="L13273" s="124"/>
      <c r="M13273" s="124"/>
      <c r="N13273" s="124"/>
      <c r="O13273" s="124"/>
    </row>
    <row r="13274">
      <c r="K13274" s="124"/>
      <c r="L13274" s="124"/>
      <c r="M13274" s="124"/>
      <c r="N13274" s="124"/>
      <c r="O13274" s="124"/>
    </row>
    <row r="13275">
      <c r="K13275" s="124"/>
      <c r="L13275" s="124"/>
      <c r="M13275" s="124"/>
      <c r="N13275" s="124"/>
      <c r="O13275" s="124"/>
    </row>
    <row r="13276">
      <c r="K13276" s="124"/>
      <c r="L13276" s="124"/>
      <c r="M13276" s="124"/>
      <c r="N13276" s="124"/>
      <c r="O13276" s="124"/>
    </row>
    <row r="13277">
      <c r="K13277" s="124"/>
      <c r="L13277" s="124"/>
      <c r="M13277" s="124"/>
      <c r="N13277" s="124"/>
      <c r="O13277" s="124"/>
    </row>
    <row r="13278">
      <c r="K13278" s="124"/>
      <c r="L13278" s="124"/>
      <c r="M13278" s="124"/>
      <c r="N13278" s="124"/>
      <c r="O13278" s="124"/>
    </row>
    <row r="13279">
      <c r="K13279" s="124"/>
      <c r="L13279" s="124"/>
      <c r="M13279" s="124"/>
      <c r="N13279" s="124"/>
      <c r="O13279" s="124"/>
    </row>
    <row r="13280">
      <c r="K13280" s="124"/>
      <c r="L13280" s="124"/>
      <c r="M13280" s="124"/>
      <c r="N13280" s="124"/>
      <c r="O13280" s="124"/>
    </row>
    <row r="13281">
      <c r="K13281" s="124"/>
      <c r="L13281" s="124"/>
      <c r="M13281" s="124"/>
      <c r="N13281" s="124"/>
      <c r="O13281" s="124"/>
    </row>
    <row r="13282">
      <c r="K13282" s="124"/>
      <c r="L13282" s="124"/>
      <c r="M13282" s="124"/>
      <c r="N13282" s="124"/>
      <c r="O13282" s="124"/>
    </row>
    <row r="13283">
      <c r="K13283" s="124"/>
      <c r="L13283" s="124"/>
      <c r="M13283" s="124"/>
      <c r="N13283" s="124"/>
      <c r="O13283" s="124"/>
    </row>
    <row r="13284">
      <c r="K13284" s="124"/>
      <c r="L13284" s="124"/>
      <c r="M13284" s="124"/>
      <c r="N13284" s="124"/>
      <c r="O13284" s="124"/>
    </row>
    <row r="13285">
      <c r="K13285" s="124"/>
      <c r="L13285" s="124"/>
      <c r="M13285" s="124"/>
      <c r="N13285" s="124"/>
      <c r="O13285" s="124"/>
    </row>
    <row r="13286">
      <c r="K13286" s="124"/>
      <c r="L13286" s="124"/>
      <c r="M13286" s="124"/>
      <c r="N13286" s="124"/>
      <c r="O13286" s="124"/>
    </row>
    <row r="13287">
      <c r="K13287" s="124"/>
      <c r="L13287" s="124"/>
      <c r="M13287" s="124"/>
      <c r="N13287" s="124"/>
      <c r="O13287" s="124"/>
    </row>
    <row r="13288">
      <c r="K13288" s="124"/>
      <c r="L13288" s="124"/>
      <c r="M13288" s="124"/>
      <c r="N13288" s="124"/>
      <c r="O13288" s="124"/>
    </row>
    <row r="13289">
      <c r="K13289" s="124"/>
      <c r="L13289" s="124"/>
      <c r="M13289" s="124"/>
      <c r="N13289" s="124"/>
      <c r="O13289" s="124"/>
    </row>
    <row r="13290">
      <c r="K13290" s="124"/>
      <c r="L13290" s="124"/>
      <c r="M13290" s="124"/>
      <c r="N13290" s="124"/>
      <c r="O13290" s="124"/>
    </row>
    <row r="13291">
      <c r="K13291" s="124"/>
      <c r="L13291" s="124"/>
      <c r="M13291" s="124"/>
      <c r="N13291" s="124"/>
      <c r="O13291" s="124"/>
    </row>
    <row r="13292">
      <c r="K13292" s="124"/>
      <c r="L13292" s="124"/>
      <c r="M13292" s="124"/>
      <c r="N13292" s="124"/>
      <c r="O13292" s="124"/>
    </row>
    <row r="13293">
      <c r="K13293" s="124"/>
      <c r="L13293" s="124"/>
      <c r="M13293" s="124"/>
      <c r="N13293" s="124"/>
      <c r="O13293" s="124"/>
    </row>
    <row r="13294">
      <c r="K13294" s="124"/>
      <c r="L13294" s="124"/>
      <c r="M13294" s="124"/>
      <c r="N13294" s="124"/>
      <c r="O13294" s="124"/>
    </row>
    <row r="13295">
      <c r="K13295" s="124"/>
      <c r="L13295" s="124"/>
      <c r="M13295" s="124"/>
      <c r="N13295" s="124"/>
      <c r="O13295" s="124"/>
    </row>
    <row r="13296">
      <c r="K13296" s="124"/>
      <c r="L13296" s="124"/>
      <c r="M13296" s="124"/>
      <c r="N13296" s="124"/>
      <c r="O13296" s="124"/>
    </row>
    <row r="13297">
      <c r="K13297" s="124"/>
      <c r="L13297" s="124"/>
      <c r="M13297" s="124"/>
      <c r="N13297" s="124"/>
      <c r="O13297" s="124"/>
    </row>
    <row r="13298">
      <c r="K13298" s="124"/>
      <c r="L13298" s="124"/>
      <c r="M13298" s="124"/>
      <c r="N13298" s="124"/>
      <c r="O13298" s="124"/>
    </row>
    <row r="13299">
      <c r="K13299" s="124"/>
      <c r="L13299" s="124"/>
      <c r="M13299" s="124"/>
      <c r="N13299" s="124"/>
      <c r="O13299" s="124"/>
    </row>
    <row r="13300">
      <c r="K13300" s="124"/>
      <c r="L13300" s="124"/>
      <c r="M13300" s="124"/>
      <c r="N13300" s="124"/>
      <c r="O13300" s="124"/>
    </row>
    <row r="13301">
      <c r="K13301" s="124"/>
      <c r="L13301" s="124"/>
      <c r="M13301" s="124"/>
      <c r="N13301" s="124"/>
      <c r="O13301" s="124"/>
    </row>
    <row r="13302">
      <c r="K13302" s="124"/>
      <c r="L13302" s="124"/>
      <c r="M13302" s="124"/>
      <c r="N13302" s="124"/>
      <c r="O13302" s="124"/>
    </row>
    <row r="13303">
      <c r="K13303" s="124"/>
      <c r="L13303" s="124"/>
      <c r="M13303" s="124"/>
      <c r="N13303" s="124"/>
      <c r="O13303" s="124"/>
    </row>
    <row r="13304">
      <c r="K13304" s="124"/>
      <c r="L13304" s="124"/>
      <c r="M13304" s="124"/>
      <c r="N13304" s="124"/>
      <c r="O13304" s="124"/>
    </row>
    <row r="13305">
      <c r="K13305" s="124"/>
      <c r="L13305" s="124"/>
      <c r="M13305" s="124"/>
      <c r="N13305" s="124"/>
      <c r="O13305" s="124"/>
    </row>
    <row r="13306">
      <c r="K13306" s="124"/>
      <c r="L13306" s="124"/>
      <c r="M13306" s="124"/>
      <c r="N13306" s="124"/>
      <c r="O13306" s="124"/>
    </row>
    <row r="13307">
      <c r="K13307" s="124"/>
      <c r="L13307" s="124"/>
      <c r="M13307" s="124"/>
      <c r="N13307" s="124"/>
      <c r="O13307" s="124"/>
    </row>
    <row r="13308">
      <c r="K13308" s="124"/>
      <c r="L13308" s="124"/>
      <c r="M13308" s="124"/>
      <c r="N13308" s="124"/>
      <c r="O13308" s="124"/>
    </row>
    <row r="13309">
      <c r="K13309" s="124"/>
      <c r="L13309" s="124"/>
      <c r="M13309" s="124"/>
      <c r="N13309" s="124"/>
      <c r="O13309" s="124"/>
    </row>
    <row r="13310">
      <c r="K13310" s="124"/>
      <c r="L13310" s="124"/>
      <c r="M13310" s="124"/>
      <c r="N13310" s="124"/>
      <c r="O13310" s="124"/>
    </row>
    <row r="13311">
      <c r="K13311" s="124"/>
      <c r="L13311" s="124"/>
      <c r="M13311" s="124"/>
      <c r="N13311" s="124"/>
      <c r="O13311" s="124"/>
    </row>
    <row r="13312">
      <c r="K13312" s="124"/>
      <c r="L13312" s="124"/>
      <c r="M13312" s="124"/>
      <c r="N13312" s="124"/>
      <c r="O13312" s="124"/>
    </row>
    <row r="13313">
      <c r="K13313" s="124"/>
      <c r="L13313" s="124"/>
      <c r="M13313" s="124"/>
      <c r="N13313" s="124"/>
      <c r="O13313" s="124"/>
    </row>
    <row r="13314">
      <c r="K13314" s="124"/>
      <c r="L13314" s="124"/>
      <c r="M13314" s="124"/>
      <c r="N13314" s="124"/>
      <c r="O13314" s="124"/>
    </row>
    <row r="13315">
      <c r="K13315" s="124"/>
      <c r="L13315" s="124"/>
      <c r="M13315" s="124"/>
      <c r="N13315" s="124"/>
      <c r="O13315" s="124"/>
    </row>
    <row r="13316">
      <c r="K13316" s="124"/>
      <c r="L13316" s="124"/>
      <c r="M13316" s="124"/>
      <c r="N13316" s="124"/>
      <c r="O13316" s="124"/>
    </row>
    <row r="13317">
      <c r="K13317" s="124"/>
      <c r="L13317" s="124"/>
      <c r="M13317" s="124"/>
      <c r="N13317" s="124"/>
      <c r="O13317" s="124"/>
    </row>
    <row r="13318">
      <c r="K13318" s="124"/>
      <c r="L13318" s="124"/>
      <c r="M13318" s="124"/>
      <c r="N13318" s="124"/>
      <c r="O13318" s="124"/>
    </row>
    <row r="13319">
      <c r="K13319" s="124"/>
      <c r="L13319" s="124"/>
      <c r="M13319" s="124"/>
      <c r="N13319" s="124"/>
      <c r="O13319" s="124"/>
    </row>
    <row r="13320">
      <c r="K13320" s="124"/>
      <c r="L13320" s="124"/>
      <c r="M13320" s="124"/>
      <c r="N13320" s="124"/>
      <c r="O13320" s="124"/>
    </row>
    <row r="13321">
      <c r="K13321" s="124"/>
      <c r="L13321" s="124"/>
      <c r="M13321" s="124"/>
      <c r="N13321" s="124"/>
      <c r="O13321" s="124"/>
    </row>
    <row r="13322">
      <c r="K13322" s="124"/>
      <c r="L13322" s="124"/>
      <c r="M13322" s="124"/>
      <c r="N13322" s="124"/>
      <c r="O13322" s="124"/>
    </row>
    <row r="13323">
      <c r="K13323" s="124"/>
      <c r="L13323" s="124"/>
      <c r="M13323" s="124"/>
      <c r="N13323" s="124"/>
      <c r="O13323" s="124"/>
    </row>
    <row r="13324">
      <c r="K13324" s="124"/>
      <c r="L13324" s="124"/>
      <c r="M13324" s="124"/>
      <c r="N13324" s="124"/>
      <c r="O13324" s="124"/>
    </row>
    <row r="13325">
      <c r="K13325" s="124"/>
      <c r="L13325" s="124"/>
      <c r="M13325" s="124"/>
      <c r="N13325" s="124"/>
      <c r="O13325" s="124"/>
    </row>
    <row r="13326">
      <c r="K13326" s="124"/>
      <c r="L13326" s="124"/>
      <c r="M13326" s="124"/>
      <c r="N13326" s="124"/>
      <c r="O13326" s="124"/>
    </row>
    <row r="13327">
      <c r="K13327" s="124"/>
      <c r="L13327" s="124"/>
      <c r="M13327" s="124"/>
      <c r="N13327" s="124"/>
      <c r="O13327" s="124"/>
    </row>
    <row r="13328">
      <c r="K13328" s="124"/>
      <c r="L13328" s="124"/>
      <c r="M13328" s="124"/>
      <c r="N13328" s="124"/>
      <c r="O13328" s="124"/>
    </row>
    <row r="13329">
      <c r="K13329" s="124"/>
      <c r="L13329" s="124"/>
      <c r="M13329" s="124"/>
      <c r="N13329" s="124"/>
      <c r="O13329" s="124"/>
    </row>
    <row r="13330">
      <c r="K13330" s="124"/>
      <c r="L13330" s="124"/>
      <c r="M13330" s="124"/>
      <c r="N13330" s="124"/>
      <c r="O13330" s="124"/>
    </row>
    <row r="13331">
      <c r="K13331" s="124"/>
      <c r="L13331" s="124"/>
      <c r="M13331" s="124"/>
      <c r="N13331" s="124"/>
      <c r="O13331" s="124"/>
    </row>
    <row r="13332">
      <c r="K13332" s="124"/>
      <c r="L13332" s="124"/>
      <c r="M13332" s="124"/>
      <c r="N13332" s="124"/>
      <c r="O13332" s="124"/>
    </row>
    <row r="13333">
      <c r="K13333" s="124"/>
      <c r="L13333" s="124"/>
      <c r="M13333" s="124"/>
      <c r="N13333" s="124"/>
      <c r="O13333" s="124"/>
    </row>
    <row r="13334">
      <c r="K13334" s="124"/>
      <c r="L13334" s="124"/>
      <c r="M13334" s="124"/>
      <c r="N13334" s="124"/>
      <c r="O13334" s="124"/>
    </row>
    <row r="13335">
      <c r="K13335" s="124"/>
      <c r="L13335" s="124"/>
      <c r="M13335" s="124"/>
      <c r="N13335" s="124"/>
      <c r="O13335" s="124"/>
    </row>
    <row r="13336">
      <c r="K13336" s="124"/>
      <c r="L13336" s="124"/>
      <c r="M13336" s="124"/>
      <c r="N13336" s="124"/>
      <c r="O13336" s="124"/>
    </row>
    <row r="13337">
      <c r="K13337" s="124"/>
      <c r="L13337" s="124"/>
      <c r="M13337" s="124"/>
      <c r="N13337" s="124"/>
      <c r="O13337" s="124"/>
    </row>
    <row r="13338">
      <c r="K13338" s="124"/>
      <c r="L13338" s="124"/>
      <c r="M13338" s="124"/>
      <c r="N13338" s="124"/>
      <c r="O13338" s="124"/>
    </row>
    <row r="13339">
      <c r="K13339" s="124"/>
      <c r="L13339" s="124"/>
      <c r="M13339" s="124"/>
      <c r="N13339" s="124"/>
      <c r="O13339" s="124"/>
    </row>
    <row r="13340">
      <c r="K13340" s="124"/>
      <c r="L13340" s="124"/>
      <c r="M13340" s="124"/>
      <c r="N13340" s="124"/>
      <c r="O13340" s="124"/>
    </row>
    <row r="13341">
      <c r="K13341" s="124"/>
      <c r="L13341" s="124"/>
      <c r="M13341" s="124"/>
      <c r="N13341" s="124"/>
      <c r="O13341" s="124"/>
    </row>
    <row r="13342">
      <c r="K13342" s="124"/>
      <c r="L13342" s="124"/>
      <c r="M13342" s="124"/>
      <c r="N13342" s="124"/>
      <c r="O13342" s="124"/>
    </row>
    <row r="13343">
      <c r="K13343" s="124"/>
      <c r="L13343" s="124"/>
      <c r="M13343" s="124"/>
      <c r="N13343" s="124"/>
      <c r="O13343" s="124"/>
    </row>
    <row r="13344">
      <c r="K13344" s="124"/>
      <c r="L13344" s="124"/>
      <c r="M13344" s="124"/>
      <c r="N13344" s="124"/>
      <c r="O13344" s="124"/>
    </row>
    <row r="13345">
      <c r="K13345" s="124"/>
      <c r="L13345" s="124"/>
      <c r="M13345" s="124"/>
      <c r="N13345" s="124"/>
      <c r="O13345" s="124"/>
    </row>
    <row r="13346">
      <c r="K13346" s="124"/>
      <c r="L13346" s="124"/>
      <c r="M13346" s="124"/>
      <c r="N13346" s="124"/>
      <c r="O13346" s="124"/>
    </row>
    <row r="13347">
      <c r="K13347" s="124"/>
      <c r="L13347" s="124"/>
      <c r="M13347" s="124"/>
      <c r="N13347" s="124"/>
      <c r="O13347" s="124"/>
    </row>
    <row r="13348">
      <c r="K13348" s="124"/>
      <c r="L13348" s="124"/>
      <c r="M13348" s="124"/>
      <c r="N13348" s="124"/>
      <c r="O13348" s="124"/>
    </row>
    <row r="13349">
      <c r="K13349" s="124"/>
      <c r="L13349" s="124"/>
      <c r="M13349" s="124"/>
      <c r="N13349" s="124"/>
      <c r="O13349" s="124"/>
    </row>
    <row r="13350">
      <c r="K13350" s="124"/>
      <c r="L13350" s="124"/>
      <c r="M13350" s="124"/>
      <c r="N13350" s="124"/>
      <c r="O13350" s="124"/>
    </row>
    <row r="13351">
      <c r="K13351" s="124"/>
      <c r="L13351" s="124"/>
      <c r="M13351" s="124"/>
      <c r="N13351" s="124"/>
      <c r="O13351" s="124"/>
    </row>
    <row r="13352">
      <c r="K13352" s="124"/>
      <c r="L13352" s="124"/>
      <c r="M13352" s="124"/>
      <c r="N13352" s="124"/>
      <c r="O13352" s="124"/>
    </row>
    <row r="13353">
      <c r="K13353" s="124"/>
      <c r="L13353" s="124"/>
      <c r="M13353" s="124"/>
      <c r="N13353" s="124"/>
      <c r="O13353" s="124"/>
    </row>
    <row r="13354">
      <c r="K13354" s="124"/>
      <c r="L13354" s="124"/>
      <c r="M13354" s="124"/>
      <c r="N13354" s="124"/>
      <c r="O13354" s="124"/>
    </row>
    <row r="13355">
      <c r="K13355" s="124"/>
      <c r="L13355" s="124"/>
      <c r="M13355" s="124"/>
      <c r="N13355" s="124"/>
      <c r="O13355" s="124"/>
    </row>
    <row r="13356">
      <c r="K13356" s="124"/>
      <c r="L13356" s="124"/>
      <c r="M13356" s="124"/>
      <c r="N13356" s="124"/>
      <c r="O13356" s="124"/>
    </row>
    <row r="13357">
      <c r="K13357" s="124"/>
      <c r="L13357" s="124"/>
      <c r="M13357" s="124"/>
      <c r="N13357" s="124"/>
      <c r="O13357" s="124"/>
    </row>
    <row r="13358">
      <c r="K13358" s="124"/>
      <c r="L13358" s="124"/>
      <c r="M13358" s="124"/>
      <c r="N13358" s="124"/>
      <c r="O13358" s="124"/>
    </row>
    <row r="13359">
      <c r="K13359" s="124"/>
      <c r="L13359" s="124"/>
      <c r="M13359" s="124"/>
      <c r="N13359" s="124"/>
      <c r="O13359" s="124"/>
    </row>
    <row r="13360">
      <c r="K13360" s="124"/>
      <c r="L13360" s="124"/>
      <c r="M13360" s="124"/>
      <c r="N13360" s="124"/>
      <c r="O13360" s="124"/>
    </row>
    <row r="13361">
      <c r="K13361" s="124"/>
      <c r="L13361" s="124"/>
      <c r="M13361" s="124"/>
      <c r="N13361" s="124"/>
      <c r="O13361" s="124"/>
    </row>
    <row r="13362">
      <c r="K13362" s="124"/>
      <c r="L13362" s="124"/>
      <c r="M13362" s="124"/>
      <c r="N13362" s="124"/>
      <c r="O13362" s="124"/>
    </row>
    <row r="13363">
      <c r="K13363" s="124"/>
      <c r="L13363" s="124"/>
      <c r="M13363" s="124"/>
      <c r="N13363" s="124"/>
      <c r="O13363" s="124"/>
    </row>
    <row r="13364">
      <c r="K13364" s="124"/>
      <c r="L13364" s="124"/>
      <c r="M13364" s="124"/>
      <c r="N13364" s="124"/>
      <c r="O13364" s="124"/>
    </row>
    <row r="13365">
      <c r="K13365" s="124"/>
      <c r="L13365" s="124"/>
      <c r="M13365" s="124"/>
      <c r="N13365" s="124"/>
      <c r="O13365" s="124"/>
    </row>
    <row r="13366">
      <c r="K13366" s="124"/>
      <c r="L13366" s="124"/>
      <c r="M13366" s="124"/>
      <c r="N13366" s="124"/>
      <c r="O13366" s="124"/>
    </row>
    <row r="13367">
      <c r="K13367" s="124"/>
      <c r="L13367" s="124"/>
      <c r="M13367" s="124"/>
      <c r="N13367" s="124"/>
      <c r="O13367" s="124"/>
    </row>
    <row r="13368">
      <c r="K13368" s="124"/>
      <c r="L13368" s="124"/>
      <c r="M13368" s="124"/>
      <c r="N13368" s="124"/>
      <c r="O13368" s="124"/>
    </row>
    <row r="13369">
      <c r="K13369" s="124"/>
      <c r="L13369" s="124"/>
      <c r="M13369" s="124"/>
      <c r="N13369" s="124"/>
      <c r="O13369" s="124"/>
    </row>
    <row r="13370">
      <c r="K13370" s="124"/>
      <c r="L13370" s="124"/>
      <c r="M13370" s="124"/>
      <c r="N13370" s="124"/>
      <c r="O13370" s="124"/>
    </row>
    <row r="13371">
      <c r="K13371" s="124"/>
      <c r="L13371" s="124"/>
      <c r="M13371" s="124"/>
      <c r="N13371" s="124"/>
      <c r="O13371" s="124"/>
    </row>
    <row r="13372">
      <c r="K13372" s="124"/>
      <c r="L13372" s="124"/>
      <c r="M13372" s="124"/>
      <c r="N13372" s="124"/>
      <c r="O13372" s="124"/>
    </row>
    <row r="13373">
      <c r="K13373" s="124"/>
      <c r="L13373" s="124"/>
      <c r="M13373" s="124"/>
      <c r="N13373" s="124"/>
      <c r="O13373" s="124"/>
    </row>
    <row r="13374">
      <c r="K13374" s="124"/>
      <c r="L13374" s="124"/>
      <c r="M13374" s="124"/>
      <c r="N13374" s="124"/>
      <c r="O13374" s="124"/>
    </row>
    <row r="13375">
      <c r="K13375" s="124"/>
      <c r="L13375" s="124"/>
      <c r="M13375" s="124"/>
      <c r="N13375" s="124"/>
      <c r="O13375" s="124"/>
    </row>
    <row r="13376">
      <c r="K13376" s="124"/>
      <c r="L13376" s="124"/>
      <c r="M13376" s="124"/>
      <c r="N13376" s="124"/>
      <c r="O13376" s="124"/>
    </row>
    <row r="13377">
      <c r="K13377" s="124"/>
      <c r="L13377" s="124"/>
      <c r="M13377" s="124"/>
      <c r="N13377" s="124"/>
      <c r="O13377" s="124"/>
    </row>
    <row r="13378">
      <c r="K13378" s="124"/>
      <c r="L13378" s="124"/>
      <c r="M13378" s="124"/>
      <c r="N13378" s="124"/>
      <c r="O13378" s="124"/>
    </row>
    <row r="13379">
      <c r="K13379" s="124"/>
      <c r="L13379" s="124"/>
      <c r="M13379" s="124"/>
      <c r="N13379" s="124"/>
      <c r="O13379" s="124"/>
    </row>
    <row r="13380">
      <c r="K13380" s="124"/>
      <c r="L13380" s="124"/>
      <c r="M13380" s="124"/>
      <c r="N13380" s="124"/>
      <c r="O13380" s="124"/>
    </row>
    <row r="13381">
      <c r="K13381" s="124"/>
      <c r="L13381" s="124"/>
      <c r="M13381" s="124"/>
      <c r="N13381" s="124"/>
      <c r="O13381" s="124"/>
    </row>
    <row r="13382">
      <c r="K13382" s="124"/>
      <c r="L13382" s="124"/>
      <c r="M13382" s="124"/>
      <c r="N13382" s="124"/>
      <c r="O13382" s="124"/>
    </row>
    <row r="13383">
      <c r="K13383" s="124"/>
      <c r="L13383" s="124"/>
      <c r="M13383" s="124"/>
      <c r="N13383" s="124"/>
      <c r="O13383" s="124"/>
    </row>
    <row r="13384">
      <c r="K13384" s="124"/>
      <c r="L13384" s="124"/>
      <c r="M13384" s="124"/>
      <c r="N13384" s="124"/>
      <c r="O13384" s="124"/>
    </row>
    <row r="13385">
      <c r="K13385" s="124"/>
      <c r="L13385" s="124"/>
      <c r="M13385" s="124"/>
      <c r="N13385" s="124"/>
      <c r="O13385" s="124"/>
    </row>
    <row r="13386">
      <c r="K13386" s="124"/>
      <c r="L13386" s="124"/>
      <c r="M13386" s="124"/>
      <c r="N13386" s="124"/>
      <c r="O13386" s="124"/>
    </row>
    <row r="13387">
      <c r="K13387" s="124"/>
      <c r="L13387" s="124"/>
      <c r="M13387" s="124"/>
      <c r="N13387" s="124"/>
      <c r="O13387" s="124"/>
    </row>
    <row r="13388">
      <c r="K13388" s="124"/>
      <c r="L13388" s="124"/>
      <c r="M13388" s="124"/>
      <c r="N13388" s="124"/>
      <c r="O13388" s="124"/>
    </row>
    <row r="13389">
      <c r="K13389" s="124"/>
      <c r="L13389" s="124"/>
      <c r="M13389" s="124"/>
      <c r="N13389" s="124"/>
      <c r="O13389" s="124"/>
    </row>
    <row r="13390">
      <c r="K13390" s="124"/>
      <c r="L13390" s="124"/>
      <c r="M13390" s="124"/>
      <c r="N13390" s="124"/>
      <c r="O13390" s="124"/>
    </row>
    <row r="13391">
      <c r="K13391" s="124"/>
      <c r="L13391" s="124"/>
      <c r="M13391" s="124"/>
      <c r="N13391" s="124"/>
      <c r="O13391" s="124"/>
    </row>
    <row r="13392">
      <c r="K13392" s="124"/>
      <c r="L13392" s="124"/>
      <c r="M13392" s="124"/>
      <c r="N13392" s="124"/>
      <c r="O13392" s="124"/>
    </row>
    <row r="13393">
      <c r="K13393" s="124"/>
      <c r="L13393" s="124"/>
      <c r="M13393" s="124"/>
      <c r="N13393" s="124"/>
      <c r="O13393" s="124"/>
    </row>
    <row r="13394">
      <c r="K13394" s="124"/>
      <c r="L13394" s="124"/>
      <c r="M13394" s="124"/>
      <c r="N13394" s="124"/>
      <c r="O13394" s="124"/>
    </row>
    <row r="13395">
      <c r="K13395" s="124"/>
      <c r="L13395" s="124"/>
      <c r="M13395" s="124"/>
      <c r="N13395" s="124"/>
      <c r="O13395" s="124"/>
    </row>
    <row r="13396">
      <c r="K13396" s="124"/>
      <c r="L13396" s="124"/>
      <c r="M13396" s="124"/>
      <c r="N13396" s="124"/>
      <c r="O13396" s="124"/>
    </row>
    <row r="13397">
      <c r="K13397" s="124"/>
      <c r="L13397" s="124"/>
      <c r="M13397" s="124"/>
      <c r="N13397" s="124"/>
      <c r="O13397" s="124"/>
    </row>
    <row r="13398">
      <c r="K13398" s="124"/>
      <c r="L13398" s="124"/>
      <c r="M13398" s="124"/>
      <c r="N13398" s="124"/>
      <c r="O13398" s="124"/>
    </row>
    <row r="13399">
      <c r="K13399" s="124"/>
      <c r="L13399" s="124"/>
      <c r="M13399" s="124"/>
      <c r="N13399" s="124"/>
      <c r="O13399" s="124"/>
    </row>
    <row r="13400">
      <c r="K13400" s="124"/>
      <c r="L13400" s="124"/>
      <c r="M13400" s="124"/>
      <c r="N13400" s="124"/>
      <c r="O13400" s="124"/>
    </row>
    <row r="13401">
      <c r="K13401" s="124"/>
      <c r="L13401" s="124"/>
      <c r="M13401" s="124"/>
      <c r="N13401" s="124"/>
      <c r="O13401" s="124"/>
    </row>
    <row r="13402">
      <c r="K13402" s="124"/>
      <c r="L13402" s="124"/>
      <c r="M13402" s="124"/>
      <c r="N13402" s="124"/>
      <c r="O13402" s="124"/>
    </row>
    <row r="13403">
      <c r="K13403" s="124"/>
      <c r="L13403" s="124"/>
      <c r="M13403" s="124"/>
      <c r="N13403" s="124"/>
      <c r="O13403" s="124"/>
    </row>
    <row r="13404">
      <c r="K13404" s="124"/>
      <c r="L13404" s="124"/>
      <c r="M13404" s="124"/>
      <c r="N13404" s="124"/>
      <c r="O13404" s="124"/>
    </row>
    <row r="13405">
      <c r="K13405" s="124"/>
      <c r="L13405" s="124"/>
      <c r="M13405" s="124"/>
      <c r="N13405" s="124"/>
      <c r="O13405" s="124"/>
    </row>
    <row r="13406">
      <c r="K13406" s="124"/>
      <c r="L13406" s="124"/>
      <c r="M13406" s="124"/>
      <c r="N13406" s="124"/>
      <c r="O13406" s="124"/>
    </row>
    <row r="13407">
      <c r="K13407" s="124"/>
      <c r="L13407" s="124"/>
      <c r="M13407" s="124"/>
      <c r="N13407" s="124"/>
      <c r="O13407" s="124"/>
    </row>
    <row r="13408">
      <c r="K13408" s="124"/>
      <c r="L13408" s="124"/>
      <c r="M13408" s="124"/>
      <c r="N13408" s="124"/>
      <c r="O13408" s="124"/>
    </row>
    <row r="13409">
      <c r="K13409" s="124"/>
      <c r="L13409" s="124"/>
      <c r="M13409" s="124"/>
      <c r="N13409" s="124"/>
      <c r="O13409" s="124"/>
    </row>
    <row r="13410">
      <c r="K13410" s="124"/>
      <c r="L13410" s="124"/>
      <c r="M13410" s="124"/>
      <c r="N13410" s="124"/>
      <c r="O13410" s="124"/>
    </row>
    <row r="13411">
      <c r="K13411" s="124"/>
      <c r="L13411" s="124"/>
      <c r="M13411" s="124"/>
      <c r="N13411" s="124"/>
      <c r="O13411" s="124"/>
    </row>
    <row r="13412">
      <c r="K13412" s="124"/>
      <c r="L13412" s="124"/>
      <c r="M13412" s="124"/>
      <c r="N13412" s="124"/>
      <c r="O13412" s="124"/>
    </row>
    <row r="13413">
      <c r="K13413" s="124"/>
      <c r="L13413" s="124"/>
      <c r="M13413" s="124"/>
      <c r="N13413" s="124"/>
      <c r="O13413" s="124"/>
    </row>
    <row r="13414">
      <c r="K13414" s="124"/>
      <c r="L13414" s="124"/>
      <c r="M13414" s="124"/>
      <c r="N13414" s="124"/>
      <c r="O13414" s="124"/>
    </row>
    <row r="13415">
      <c r="K13415" s="124"/>
      <c r="L13415" s="124"/>
      <c r="M13415" s="124"/>
      <c r="N13415" s="124"/>
      <c r="O13415" s="124"/>
    </row>
    <row r="13416">
      <c r="K13416" s="124"/>
      <c r="L13416" s="124"/>
      <c r="M13416" s="124"/>
      <c r="N13416" s="124"/>
      <c r="O13416" s="124"/>
    </row>
    <row r="13417">
      <c r="K13417" s="124"/>
      <c r="L13417" s="124"/>
      <c r="M13417" s="124"/>
      <c r="N13417" s="124"/>
      <c r="O13417" s="124"/>
    </row>
    <row r="13418">
      <c r="K13418" s="124"/>
      <c r="L13418" s="124"/>
      <c r="M13418" s="124"/>
      <c r="N13418" s="124"/>
      <c r="O13418" s="124"/>
    </row>
    <row r="13419">
      <c r="K13419" s="124"/>
      <c r="L13419" s="124"/>
      <c r="M13419" s="124"/>
      <c r="N13419" s="124"/>
      <c r="O13419" s="124"/>
    </row>
    <row r="13420">
      <c r="K13420" s="124"/>
      <c r="L13420" s="124"/>
      <c r="M13420" s="124"/>
      <c r="N13420" s="124"/>
      <c r="O13420" s="124"/>
    </row>
    <row r="13421">
      <c r="K13421" s="124"/>
      <c r="L13421" s="124"/>
      <c r="M13421" s="124"/>
      <c r="N13421" s="124"/>
      <c r="O13421" s="124"/>
    </row>
    <row r="13422">
      <c r="K13422" s="124"/>
      <c r="L13422" s="124"/>
      <c r="M13422" s="124"/>
      <c r="N13422" s="124"/>
      <c r="O13422" s="124"/>
    </row>
    <row r="13423">
      <c r="K13423" s="124"/>
      <c r="L13423" s="124"/>
      <c r="M13423" s="124"/>
      <c r="N13423" s="124"/>
      <c r="O13423" s="124"/>
    </row>
    <row r="13424">
      <c r="K13424" s="124"/>
      <c r="L13424" s="124"/>
      <c r="M13424" s="124"/>
      <c r="N13424" s="124"/>
      <c r="O13424" s="124"/>
    </row>
    <row r="13425">
      <c r="K13425" s="124"/>
      <c r="L13425" s="124"/>
      <c r="M13425" s="124"/>
      <c r="N13425" s="124"/>
      <c r="O13425" s="124"/>
    </row>
    <row r="13426">
      <c r="K13426" s="124"/>
      <c r="L13426" s="124"/>
      <c r="M13426" s="124"/>
      <c r="N13426" s="124"/>
      <c r="O13426" s="124"/>
    </row>
    <row r="13427">
      <c r="K13427" s="124"/>
      <c r="L13427" s="124"/>
      <c r="M13427" s="124"/>
      <c r="N13427" s="124"/>
      <c r="O13427" s="124"/>
    </row>
    <row r="13428">
      <c r="K13428" s="124"/>
      <c r="L13428" s="124"/>
      <c r="M13428" s="124"/>
      <c r="N13428" s="124"/>
      <c r="O13428" s="124"/>
    </row>
    <row r="13429">
      <c r="K13429" s="124"/>
      <c r="L13429" s="124"/>
      <c r="M13429" s="124"/>
      <c r="N13429" s="124"/>
      <c r="O13429" s="124"/>
    </row>
    <row r="13430">
      <c r="K13430" s="124"/>
      <c r="L13430" s="124"/>
      <c r="M13430" s="124"/>
      <c r="N13430" s="124"/>
      <c r="O13430" s="124"/>
    </row>
    <row r="13431">
      <c r="K13431" s="124"/>
      <c r="L13431" s="124"/>
      <c r="M13431" s="124"/>
      <c r="N13431" s="124"/>
      <c r="O13431" s="124"/>
    </row>
    <row r="13432">
      <c r="K13432" s="124"/>
      <c r="L13432" s="124"/>
      <c r="M13432" s="124"/>
      <c r="N13432" s="124"/>
      <c r="O13432" s="124"/>
    </row>
    <row r="13433">
      <c r="K13433" s="124"/>
      <c r="L13433" s="124"/>
      <c r="M13433" s="124"/>
      <c r="N13433" s="124"/>
      <c r="O13433" s="124"/>
    </row>
    <row r="13434">
      <c r="K13434" s="124"/>
      <c r="L13434" s="124"/>
      <c r="M13434" s="124"/>
      <c r="N13434" s="124"/>
      <c r="O13434" s="124"/>
    </row>
    <row r="13435">
      <c r="K13435" s="124"/>
      <c r="L13435" s="124"/>
      <c r="M13435" s="124"/>
      <c r="N13435" s="124"/>
      <c r="O13435" s="124"/>
    </row>
    <row r="13436">
      <c r="K13436" s="124"/>
      <c r="L13436" s="124"/>
      <c r="M13436" s="124"/>
      <c r="N13436" s="124"/>
      <c r="O13436" s="124"/>
    </row>
    <row r="13437">
      <c r="K13437" s="124"/>
      <c r="L13437" s="124"/>
      <c r="M13437" s="124"/>
      <c r="N13437" s="124"/>
      <c r="O13437" s="124"/>
    </row>
    <row r="13438">
      <c r="K13438" s="124"/>
      <c r="L13438" s="124"/>
      <c r="M13438" s="124"/>
      <c r="N13438" s="124"/>
      <c r="O13438" s="124"/>
    </row>
    <row r="13439">
      <c r="K13439" s="124"/>
      <c r="L13439" s="124"/>
      <c r="M13439" s="124"/>
      <c r="N13439" s="124"/>
      <c r="O13439" s="124"/>
    </row>
    <row r="13440">
      <c r="K13440" s="124"/>
      <c r="L13440" s="124"/>
      <c r="M13440" s="124"/>
      <c r="N13440" s="124"/>
      <c r="O13440" s="124"/>
    </row>
    <row r="13441">
      <c r="K13441" s="124"/>
      <c r="L13441" s="124"/>
      <c r="M13441" s="124"/>
      <c r="N13441" s="124"/>
      <c r="O13441" s="124"/>
    </row>
    <row r="13442">
      <c r="K13442" s="124"/>
      <c r="L13442" s="124"/>
      <c r="M13442" s="124"/>
      <c r="N13442" s="124"/>
      <c r="O13442" s="124"/>
    </row>
    <row r="13443">
      <c r="K13443" s="124"/>
      <c r="L13443" s="124"/>
      <c r="M13443" s="124"/>
      <c r="N13443" s="124"/>
      <c r="O13443" s="124"/>
    </row>
    <row r="13444">
      <c r="K13444" s="124"/>
      <c r="L13444" s="124"/>
      <c r="M13444" s="124"/>
      <c r="N13444" s="124"/>
      <c r="O13444" s="124"/>
    </row>
    <row r="13445">
      <c r="K13445" s="124"/>
      <c r="L13445" s="124"/>
      <c r="M13445" s="124"/>
      <c r="N13445" s="124"/>
      <c r="O13445" s="124"/>
    </row>
    <row r="13446">
      <c r="K13446" s="124"/>
      <c r="L13446" s="124"/>
      <c r="M13446" s="124"/>
      <c r="N13446" s="124"/>
      <c r="O13446" s="124"/>
    </row>
    <row r="13447">
      <c r="K13447" s="124"/>
      <c r="L13447" s="124"/>
      <c r="M13447" s="124"/>
      <c r="N13447" s="124"/>
      <c r="O13447" s="124"/>
    </row>
    <row r="13448">
      <c r="K13448" s="124"/>
      <c r="L13448" s="124"/>
      <c r="M13448" s="124"/>
      <c r="N13448" s="124"/>
      <c r="O13448" s="124"/>
    </row>
    <row r="13449">
      <c r="K13449" s="124"/>
      <c r="L13449" s="124"/>
      <c r="M13449" s="124"/>
      <c r="N13449" s="124"/>
      <c r="O13449" s="124"/>
    </row>
    <row r="13450">
      <c r="K13450" s="124"/>
      <c r="L13450" s="124"/>
      <c r="M13450" s="124"/>
      <c r="N13450" s="124"/>
      <c r="O13450" s="124"/>
    </row>
    <row r="13451">
      <c r="K13451" s="124"/>
      <c r="L13451" s="124"/>
      <c r="M13451" s="124"/>
      <c r="N13451" s="124"/>
      <c r="O13451" s="124"/>
    </row>
    <row r="13452">
      <c r="K13452" s="124"/>
      <c r="L13452" s="124"/>
      <c r="M13452" s="124"/>
      <c r="N13452" s="124"/>
      <c r="O13452" s="124"/>
    </row>
    <row r="13453">
      <c r="K13453" s="124"/>
      <c r="L13453" s="124"/>
      <c r="M13453" s="124"/>
      <c r="N13453" s="124"/>
      <c r="O13453" s="124"/>
    </row>
    <row r="13454">
      <c r="K13454" s="124"/>
      <c r="L13454" s="124"/>
      <c r="M13454" s="124"/>
      <c r="N13454" s="124"/>
      <c r="O13454" s="124"/>
    </row>
    <row r="13455">
      <c r="K13455" s="124"/>
      <c r="L13455" s="124"/>
      <c r="M13455" s="124"/>
      <c r="N13455" s="124"/>
      <c r="O13455" s="124"/>
    </row>
    <row r="13456">
      <c r="K13456" s="124"/>
      <c r="L13456" s="124"/>
      <c r="M13456" s="124"/>
      <c r="N13456" s="124"/>
      <c r="O13456" s="124"/>
    </row>
    <row r="13457">
      <c r="K13457" s="124"/>
      <c r="L13457" s="124"/>
      <c r="M13457" s="124"/>
      <c r="N13457" s="124"/>
      <c r="O13457" s="124"/>
    </row>
    <row r="13458">
      <c r="K13458" s="124"/>
      <c r="L13458" s="124"/>
      <c r="M13458" s="124"/>
      <c r="N13458" s="124"/>
      <c r="O13458" s="124"/>
    </row>
    <row r="13459">
      <c r="K13459" s="124"/>
      <c r="L13459" s="124"/>
      <c r="M13459" s="124"/>
      <c r="N13459" s="124"/>
      <c r="O13459" s="124"/>
    </row>
    <row r="13460">
      <c r="K13460" s="124"/>
      <c r="L13460" s="124"/>
      <c r="M13460" s="124"/>
      <c r="N13460" s="124"/>
      <c r="O13460" s="124"/>
    </row>
    <row r="13461">
      <c r="K13461" s="124"/>
      <c r="L13461" s="124"/>
      <c r="M13461" s="124"/>
      <c r="N13461" s="124"/>
      <c r="O13461" s="124"/>
    </row>
    <row r="13462">
      <c r="K13462" s="124"/>
      <c r="L13462" s="124"/>
      <c r="M13462" s="124"/>
      <c r="N13462" s="124"/>
      <c r="O13462" s="124"/>
    </row>
    <row r="13463">
      <c r="K13463" s="124"/>
      <c r="L13463" s="124"/>
      <c r="M13463" s="124"/>
      <c r="N13463" s="124"/>
      <c r="O13463" s="124"/>
    </row>
    <row r="13464">
      <c r="K13464" s="124"/>
      <c r="L13464" s="124"/>
      <c r="M13464" s="124"/>
      <c r="N13464" s="124"/>
      <c r="O13464" s="124"/>
    </row>
    <row r="13465">
      <c r="K13465" s="124"/>
      <c r="L13465" s="124"/>
      <c r="M13465" s="124"/>
      <c r="N13465" s="124"/>
      <c r="O13465" s="124"/>
    </row>
    <row r="13466">
      <c r="K13466" s="124"/>
      <c r="L13466" s="124"/>
      <c r="M13466" s="124"/>
      <c r="N13466" s="124"/>
      <c r="O13466" s="124"/>
    </row>
    <row r="13467">
      <c r="K13467" s="124"/>
      <c r="L13467" s="124"/>
      <c r="M13467" s="124"/>
      <c r="N13467" s="124"/>
      <c r="O13467" s="124"/>
    </row>
    <row r="13468">
      <c r="K13468" s="124"/>
      <c r="L13468" s="124"/>
      <c r="M13468" s="124"/>
      <c r="N13468" s="124"/>
      <c r="O13468" s="124"/>
    </row>
    <row r="13469">
      <c r="K13469" s="124"/>
      <c r="L13469" s="124"/>
      <c r="M13469" s="124"/>
      <c r="N13469" s="124"/>
      <c r="O13469" s="124"/>
    </row>
    <row r="13470">
      <c r="K13470" s="124"/>
      <c r="L13470" s="124"/>
      <c r="M13470" s="124"/>
      <c r="N13470" s="124"/>
      <c r="O13470" s="124"/>
    </row>
    <row r="13471">
      <c r="K13471" s="124"/>
      <c r="L13471" s="124"/>
      <c r="M13471" s="124"/>
      <c r="N13471" s="124"/>
      <c r="O13471" s="124"/>
    </row>
    <row r="13472">
      <c r="K13472" s="124"/>
      <c r="L13472" s="124"/>
      <c r="M13472" s="124"/>
      <c r="N13472" s="124"/>
      <c r="O13472" s="124"/>
    </row>
    <row r="13473">
      <c r="K13473" s="124"/>
      <c r="L13473" s="124"/>
      <c r="M13473" s="124"/>
      <c r="N13473" s="124"/>
      <c r="O13473" s="124"/>
    </row>
    <row r="13474">
      <c r="K13474" s="124"/>
      <c r="L13474" s="124"/>
      <c r="M13474" s="124"/>
      <c r="N13474" s="124"/>
      <c r="O13474" s="124"/>
    </row>
    <row r="13475">
      <c r="K13475" s="124"/>
      <c r="L13475" s="124"/>
      <c r="M13475" s="124"/>
      <c r="N13475" s="124"/>
      <c r="O13475" s="124"/>
    </row>
    <row r="13476">
      <c r="K13476" s="124"/>
      <c r="L13476" s="124"/>
      <c r="M13476" s="124"/>
      <c r="N13476" s="124"/>
      <c r="O13476" s="124"/>
    </row>
    <row r="13477">
      <c r="K13477" s="124"/>
      <c r="L13477" s="124"/>
      <c r="M13477" s="124"/>
      <c r="N13477" s="124"/>
      <c r="O13477" s="124"/>
    </row>
    <row r="13478">
      <c r="K13478" s="124"/>
      <c r="L13478" s="124"/>
      <c r="M13478" s="124"/>
      <c r="N13478" s="124"/>
      <c r="O13478" s="124"/>
    </row>
    <row r="13479">
      <c r="K13479" s="124"/>
      <c r="L13479" s="124"/>
      <c r="M13479" s="124"/>
      <c r="N13479" s="124"/>
      <c r="O13479" s="124"/>
    </row>
    <row r="13480">
      <c r="K13480" s="124"/>
      <c r="L13480" s="124"/>
      <c r="M13480" s="124"/>
      <c r="N13480" s="124"/>
      <c r="O13480" s="124"/>
    </row>
    <row r="13481">
      <c r="K13481" s="124"/>
      <c r="L13481" s="124"/>
      <c r="M13481" s="124"/>
      <c r="N13481" s="124"/>
      <c r="O13481" s="124"/>
    </row>
    <row r="13482">
      <c r="K13482" s="124"/>
      <c r="L13482" s="124"/>
      <c r="M13482" s="124"/>
      <c r="N13482" s="124"/>
      <c r="O13482" s="124"/>
    </row>
    <row r="13483">
      <c r="K13483" s="124"/>
      <c r="L13483" s="124"/>
      <c r="M13483" s="124"/>
      <c r="N13483" s="124"/>
      <c r="O13483" s="124"/>
    </row>
    <row r="13484">
      <c r="K13484" s="124"/>
      <c r="L13484" s="124"/>
      <c r="M13484" s="124"/>
      <c r="N13484" s="124"/>
      <c r="O13484" s="124"/>
    </row>
    <row r="13485">
      <c r="K13485" s="124"/>
      <c r="L13485" s="124"/>
      <c r="M13485" s="124"/>
      <c r="N13485" s="124"/>
      <c r="O13485" s="124"/>
    </row>
    <row r="13486">
      <c r="K13486" s="124"/>
      <c r="L13486" s="124"/>
      <c r="M13486" s="124"/>
      <c r="N13486" s="124"/>
      <c r="O13486" s="124"/>
    </row>
    <row r="13487">
      <c r="K13487" s="124"/>
      <c r="L13487" s="124"/>
      <c r="M13487" s="124"/>
      <c r="N13487" s="124"/>
      <c r="O13487" s="124"/>
    </row>
    <row r="13488">
      <c r="K13488" s="124"/>
      <c r="L13488" s="124"/>
      <c r="M13488" s="124"/>
      <c r="N13488" s="124"/>
      <c r="O13488" s="124"/>
    </row>
    <row r="13489">
      <c r="K13489" s="124"/>
      <c r="L13489" s="124"/>
      <c r="M13489" s="124"/>
      <c r="N13489" s="124"/>
      <c r="O13489" s="124"/>
    </row>
    <row r="13490">
      <c r="K13490" s="124"/>
      <c r="L13490" s="124"/>
      <c r="M13490" s="124"/>
      <c r="N13490" s="124"/>
      <c r="O13490" s="124"/>
    </row>
    <row r="13491">
      <c r="K13491" s="124"/>
      <c r="L13491" s="124"/>
      <c r="M13491" s="124"/>
      <c r="N13491" s="124"/>
      <c r="O13491" s="124"/>
    </row>
    <row r="13492">
      <c r="K13492" s="124"/>
      <c r="L13492" s="124"/>
      <c r="M13492" s="124"/>
      <c r="N13492" s="124"/>
      <c r="O13492" s="124"/>
    </row>
    <row r="13493">
      <c r="K13493" s="124"/>
      <c r="L13493" s="124"/>
      <c r="M13493" s="124"/>
      <c r="N13493" s="124"/>
      <c r="O13493" s="124"/>
    </row>
    <row r="13494">
      <c r="K13494" s="124"/>
      <c r="L13494" s="124"/>
      <c r="M13494" s="124"/>
      <c r="N13494" s="124"/>
      <c r="O13494" s="124"/>
    </row>
    <row r="13495">
      <c r="K13495" s="124"/>
      <c r="L13495" s="124"/>
      <c r="M13495" s="124"/>
      <c r="N13495" s="124"/>
      <c r="O13495" s="124"/>
    </row>
    <row r="13496">
      <c r="K13496" s="124"/>
      <c r="L13496" s="124"/>
      <c r="M13496" s="124"/>
      <c r="N13496" s="124"/>
      <c r="O13496" s="124"/>
    </row>
    <row r="13497">
      <c r="K13497" s="124"/>
      <c r="L13497" s="124"/>
      <c r="M13497" s="124"/>
      <c r="N13497" s="124"/>
      <c r="O13497" s="124"/>
    </row>
    <row r="13498">
      <c r="K13498" s="124"/>
      <c r="L13498" s="124"/>
      <c r="M13498" s="124"/>
      <c r="N13498" s="124"/>
      <c r="O13498" s="124"/>
    </row>
    <row r="13499">
      <c r="K13499" s="124"/>
      <c r="L13499" s="124"/>
      <c r="M13499" s="124"/>
      <c r="N13499" s="124"/>
      <c r="O13499" s="124"/>
    </row>
    <row r="13500">
      <c r="K13500" s="124"/>
      <c r="L13500" s="124"/>
      <c r="M13500" s="124"/>
      <c r="N13500" s="124"/>
      <c r="O13500" s="124"/>
    </row>
    <row r="13501">
      <c r="K13501" s="124"/>
      <c r="L13501" s="124"/>
      <c r="M13501" s="124"/>
      <c r="N13501" s="124"/>
      <c r="O13501" s="124"/>
    </row>
    <row r="13502">
      <c r="K13502" s="124"/>
      <c r="L13502" s="124"/>
      <c r="M13502" s="124"/>
      <c r="N13502" s="124"/>
      <c r="O13502" s="124"/>
    </row>
    <row r="13503">
      <c r="K13503" s="124"/>
      <c r="L13503" s="124"/>
      <c r="M13503" s="124"/>
      <c r="N13503" s="124"/>
      <c r="O13503" s="124"/>
    </row>
    <row r="13504">
      <c r="K13504" s="124"/>
      <c r="L13504" s="124"/>
      <c r="M13504" s="124"/>
      <c r="N13504" s="124"/>
      <c r="O13504" s="124"/>
    </row>
    <row r="13505">
      <c r="K13505" s="124"/>
      <c r="L13505" s="124"/>
      <c r="M13505" s="124"/>
      <c r="N13505" s="124"/>
      <c r="O13505" s="124"/>
    </row>
    <row r="13506">
      <c r="K13506" s="124"/>
      <c r="L13506" s="124"/>
      <c r="M13506" s="124"/>
      <c r="N13506" s="124"/>
      <c r="O13506" s="124"/>
    </row>
    <row r="13507">
      <c r="K13507" s="124"/>
      <c r="L13507" s="124"/>
      <c r="M13507" s="124"/>
      <c r="N13507" s="124"/>
      <c r="O13507" s="124"/>
    </row>
    <row r="13508">
      <c r="K13508" s="124"/>
      <c r="L13508" s="124"/>
      <c r="M13508" s="124"/>
      <c r="N13508" s="124"/>
      <c r="O13508" s="124"/>
    </row>
    <row r="13509">
      <c r="K13509" s="124"/>
      <c r="L13509" s="124"/>
      <c r="M13509" s="124"/>
      <c r="N13509" s="124"/>
      <c r="O13509" s="124"/>
    </row>
    <row r="13510">
      <c r="K13510" s="124"/>
      <c r="L13510" s="124"/>
      <c r="M13510" s="124"/>
      <c r="N13510" s="124"/>
      <c r="O13510" s="124"/>
    </row>
    <row r="13511">
      <c r="K13511" s="124"/>
      <c r="L13511" s="124"/>
      <c r="M13511" s="124"/>
      <c r="N13511" s="124"/>
      <c r="O13511" s="124"/>
    </row>
    <row r="13512">
      <c r="K13512" s="124"/>
      <c r="L13512" s="124"/>
      <c r="M13512" s="124"/>
      <c r="N13512" s="124"/>
      <c r="O13512" s="124"/>
    </row>
    <row r="13513">
      <c r="K13513" s="124"/>
      <c r="L13513" s="124"/>
      <c r="M13513" s="124"/>
      <c r="N13513" s="124"/>
      <c r="O13513" s="124"/>
    </row>
    <row r="13514">
      <c r="K13514" s="124"/>
      <c r="L13514" s="124"/>
      <c r="M13514" s="124"/>
      <c r="N13514" s="124"/>
      <c r="O13514" s="124"/>
    </row>
    <row r="13515">
      <c r="K13515" s="124"/>
      <c r="L13515" s="124"/>
      <c r="M13515" s="124"/>
      <c r="N13515" s="124"/>
      <c r="O13515" s="124"/>
    </row>
    <row r="13516">
      <c r="K13516" s="124"/>
      <c r="L13516" s="124"/>
      <c r="M13516" s="124"/>
      <c r="N13516" s="124"/>
      <c r="O13516" s="124"/>
    </row>
    <row r="13517">
      <c r="K13517" s="124"/>
      <c r="L13517" s="124"/>
      <c r="M13517" s="124"/>
      <c r="N13517" s="124"/>
      <c r="O13517" s="124"/>
    </row>
    <row r="13518">
      <c r="K13518" s="124"/>
      <c r="L13518" s="124"/>
      <c r="M13518" s="124"/>
      <c r="N13518" s="124"/>
      <c r="O13518" s="124"/>
    </row>
    <row r="13519">
      <c r="K13519" s="124"/>
      <c r="L13519" s="124"/>
      <c r="M13519" s="124"/>
      <c r="N13519" s="124"/>
      <c r="O13519" s="124"/>
    </row>
    <row r="13520">
      <c r="K13520" s="124"/>
      <c r="L13520" s="124"/>
      <c r="M13520" s="124"/>
      <c r="N13520" s="124"/>
      <c r="O13520" s="124"/>
    </row>
    <row r="13521">
      <c r="K13521" s="124"/>
      <c r="L13521" s="124"/>
      <c r="M13521" s="124"/>
      <c r="N13521" s="124"/>
      <c r="O13521" s="124"/>
    </row>
    <row r="13522">
      <c r="K13522" s="124"/>
      <c r="L13522" s="124"/>
      <c r="M13522" s="124"/>
      <c r="N13522" s="124"/>
      <c r="O13522" s="124"/>
    </row>
    <row r="13523">
      <c r="K13523" s="124"/>
      <c r="L13523" s="124"/>
      <c r="M13523" s="124"/>
      <c r="N13523" s="124"/>
      <c r="O13523" s="124"/>
    </row>
    <row r="13524">
      <c r="K13524" s="124"/>
      <c r="L13524" s="124"/>
      <c r="M13524" s="124"/>
      <c r="N13524" s="124"/>
      <c r="O13524" s="124"/>
    </row>
    <row r="13525">
      <c r="K13525" s="124"/>
      <c r="L13525" s="124"/>
      <c r="M13525" s="124"/>
      <c r="N13525" s="124"/>
      <c r="O13525" s="124"/>
    </row>
    <row r="13526">
      <c r="K13526" s="124"/>
      <c r="L13526" s="124"/>
      <c r="M13526" s="124"/>
      <c r="N13526" s="124"/>
      <c r="O13526" s="124"/>
    </row>
    <row r="13527">
      <c r="K13527" s="124"/>
      <c r="L13527" s="124"/>
      <c r="M13527" s="124"/>
      <c r="N13527" s="124"/>
      <c r="O13527" s="124"/>
    </row>
    <row r="13528">
      <c r="K13528" s="124"/>
      <c r="L13528" s="124"/>
      <c r="M13528" s="124"/>
      <c r="N13528" s="124"/>
      <c r="O13528" s="124"/>
    </row>
    <row r="13529">
      <c r="K13529" s="124"/>
      <c r="L13529" s="124"/>
      <c r="M13529" s="124"/>
      <c r="N13529" s="124"/>
      <c r="O13529" s="124"/>
    </row>
    <row r="13530">
      <c r="K13530" s="124"/>
      <c r="L13530" s="124"/>
      <c r="M13530" s="124"/>
      <c r="N13530" s="124"/>
      <c r="O13530" s="124"/>
    </row>
    <row r="13531">
      <c r="K13531" s="124"/>
      <c r="L13531" s="124"/>
      <c r="M13531" s="124"/>
      <c r="N13531" s="124"/>
      <c r="O13531" s="124"/>
    </row>
    <row r="13532">
      <c r="K13532" s="124"/>
      <c r="L13532" s="124"/>
      <c r="M13532" s="124"/>
      <c r="N13532" s="124"/>
      <c r="O13532" s="124"/>
    </row>
    <row r="13533">
      <c r="K13533" s="124"/>
      <c r="L13533" s="124"/>
      <c r="M13533" s="124"/>
      <c r="N13533" s="124"/>
      <c r="O13533" s="124"/>
    </row>
    <row r="13534">
      <c r="K13534" s="124"/>
      <c r="L13534" s="124"/>
      <c r="M13534" s="124"/>
      <c r="N13534" s="124"/>
      <c r="O13534" s="124"/>
    </row>
    <row r="13535">
      <c r="K13535" s="124"/>
      <c r="L13535" s="124"/>
      <c r="M13535" s="124"/>
      <c r="N13535" s="124"/>
      <c r="O13535" s="124"/>
    </row>
    <row r="13536">
      <c r="K13536" s="124"/>
      <c r="L13536" s="124"/>
      <c r="M13536" s="124"/>
      <c r="N13536" s="124"/>
      <c r="O13536" s="124"/>
    </row>
    <row r="13537">
      <c r="K13537" s="124"/>
      <c r="L13537" s="124"/>
      <c r="M13537" s="124"/>
      <c r="N13537" s="124"/>
      <c r="O13537" s="124"/>
    </row>
    <row r="13538">
      <c r="K13538" s="124"/>
      <c r="L13538" s="124"/>
      <c r="M13538" s="124"/>
      <c r="N13538" s="124"/>
      <c r="O13538" s="124"/>
    </row>
    <row r="13539">
      <c r="K13539" s="124"/>
      <c r="L13539" s="124"/>
      <c r="M13539" s="124"/>
      <c r="N13539" s="124"/>
      <c r="O13539" s="124"/>
    </row>
    <row r="13540">
      <c r="K13540" s="124"/>
      <c r="L13540" s="124"/>
      <c r="M13540" s="124"/>
      <c r="N13540" s="124"/>
      <c r="O13540" s="124"/>
    </row>
    <row r="13541">
      <c r="K13541" s="124"/>
      <c r="L13541" s="124"/>
      <c r="M13541" s="124"/>
      <c r="N13541" s="124"/>
      <c r="O13541" s="124"/>
    </row>
    <row r="13542">
      <c r="K13542" s="124"/>
      <c r="L13542" s="124"/>
      <c r="M13542" s="124"/>
      <c r="N13542" s="124"/>
      <c r="O13542" s="124"/>
    </row>
    <row r="13543">
      <c r="K13543" s="124"/>
      <c r="L13543" s="124"/>
      <c r="M13543" s="124"/>
      <c r="N13543" s="124"/>
      <c r="O13543" s="124"/>
    </row>
    <row r="13544">
      <c r="K13544" s="124"/>
      <c r="L13544" s="124"/>
      <c r="M13544" s="124"/>
      <c r="N13544" s="124"/>
      <c r="O13544" s="124"/>
    </row>
    <row r="13545">
      <c r="K13545" s="124"/>
      <c r="L13545" s="124"/>
      <c r="M13545" s="124"/>
      <c r="N13545" s="124"/>
      <c r="O13545" s="124"/>
    </row>
    <row r="13546">
      <c r="K13546" s="124"/>
      <c r="L13546" s="124"/>
      <c r="M13546" s="124"/>
      <c r="N13546" s="124"/>
      <c r="O13546" s="124"/>
    </row>
    <row r="13547">
      <c r="K13547" s="124"/>
      <c r="L13547" s="124"/>
      <c r="M13547" s="124"/>
      <c r="N13547" s="124"/>
      <c r="O13547" s="124"/>
    </row>
    <row r="13548">
      <c r="K13548" s="124"/>
      <c r="L13548" s="124"/>
      <c r="M13548" s="124"/>
      <c r="N13548" s="124"/>
      <c r="O13548" s="124"/>
    </row>
    <row r="13549">
      <c r="K13549" s="124"/>
      <c r="L13549" s="124"/>
      <c r="M13549" s="124"/>
      <c r="N13549" s="124"/>
      <c r="O13549" s="124"/>
    </row>
    <row r="13550">
      <c r="K13550" s="124"/>
      <c r="L13550" s="124"/>
      <c r="M13550" s="124"/>
      <c r="N13550" s="124"/>
      <c r="O13550" s="124"/>
    </row>
    <row r="13551">
      <c r="K13551" s="124"/>
      <c r="L13551" s="124"/>
      <c r="M13551" s="124"/>
      <c r="N13551" s="124"/>
      <c r="O13551" s="124"/>
    </row>
    <row r="13552">
      <c r="K13552" s="124"/>
      <c r="L13552" s="124"/>
      <c r="M13552" s="124"/>
      <c r="N13552" s="124"/>
      <c r="O13552" s="124"/>
    </row>
    <row r="13553">
      <c r="K13553" s="124"/>
      <c r="L13553" s="124"/>
      <c r="M13553" s="124"/>
      <c r="N13553" s="124"/>
      <c r="O13553" s="124"/>
    </row>
    <row r="13554">
      <c r="K13554" s="124"/>
      <c r="L13554" s="124"/>
      <c r="M13554" s="124"/>
      <c r="N13554" s="124"/>
      <c r="O13554" s="124"/>
    </row>
    <row r="13555">
      <c r="K13555" s="124"/>
      <c r="L13555" s="124"/>
      <c r="M13555" s="124"/>
      <c r="N13555" s="124"/>
      <c r="O13555" s="124"/>
    </row>
    <row r="13556">
      <c r="K13556" s="124"/>
      <c r="L13556" s="124"/>
      <c r="M13556" s="124"/>
      <c r="N13556" s="124"/>
      <c r="O13556" s="124"/>
    </row>
    <row r="13557">
      <c r="K13557" s="124"/>
      <c r="L13557" s="124"/>
      <c r="M13557" s="124"/>
      <c r="N13557" s="124"/>
      <c r="O13557" s="124"/>
    </row>
    <row r="13558">
      <c r="K13558" s="124"/>
      <c r="L13558" s="124"/>
      <c r="M13558" s="124"/>
      <c r="N13558" s="124"/>
      <c r="O13558" s="124"/>
    </row>
    <row r="13559">
      <c r="K13559" s="124"/>
      <c r="L13559" s="124"/>
      <c r="M13559" s="124"/>
      <c r="N13559" s="124"/>
      <c r="O13559" s="124"/>
    </row>
    <row r="13560">
      <c r="K13560" s="124"/>
      <c r="L13560" s="124"/>
      <c r="M13560" s="124"/>
      <c r="N13560" s="124"/>
      <c r="O13560" s="124"/>
    </row>
    <row r="13561">
      <c r="K13561" s="124"/>
      <c r="L13561" s="124"/>
      <c r="M13561" s="124"/>
      <c r="N13561" s="124"/>
      <c r="O13561" s="124"/>
    </row>
    <row r="13562">
      <c r="K13562" s="124"/>
      <c r="L13562" s="124"/>
      <c r="M13562" s="124"/>
      <c r="N13562" s="124"/>
      <c r="O13562" s="124"/>
    </row>
    <row r="13563">
      <c r="K13563" s="124"/>
      <c r="L13563" s="124"/>
      <c r="M13563" s="124"/>
      <c r="N13563" s="124"/>
      <c r="O13563" s="124"/>
    </row>
    <row r="13564">
      <c r="K13564" s="124"/>
      <c r="L13564" s="124"/>
      <c r="M13564" s="124"/>
      <c r="N13564" s="124"/>
      <c r="O13564" s="124"/>
    </row>
    <row r="13565">
      <c r="K13565" s="124"/>
      <c r="L13565" s="124"/>
      <c r="M13565" s="124"/>
      <c r="N13565" s="124"/>
      <c r="O13565" s="124"/>
    </row>
    <row r="13566">
      <c r="K13566" s="124"/>
      <c r="L13566" s="124"/>
      <c r="M13566" s="124"/>
      <c r="N13566" s="124"/>
      <c r="O13566" s="124"/>
    </row>
    <row r="13567">
      <c r="K13567" s="124"/>
      <c r="L13567" s="124"/>
      <c r="M13567" s="124"/>
      <c r="N13567" s="124"/>
      <c r="O13567" s="124"/>
    </row>
    <row r="13568">
      <c r="K13568" s="124"/>
      <c r="L13568" s="124"/>
      <c r="M13568" s="124"/>
      <c r="N13568" s="124"/>
      <c r="O13568" s="124"/>
    </row>
    <row r="13569">
      <c r="K13569" s="124"/>
      <c r="L13569" s="124"/>
      <c r="M13569" s="124"/>
      <c r="N13569" s="124"/>
      <c r="O13569" s="124"/>
    </row>
    <row r="13570">
      <c r="K13570" s="124"/>
      <c r="L13570" s="124"/>
      <c r="M13570" s="124"/>
      <c r="N13570" s="124"/>
      <c r="O13570" s="124"/>
    </row>
    <row r="13571">
      <c r="K13571" s="124"/>
      <c r="L13571" s="124"/>
      <c r="M13571" s="124"/>
      <c r="N13571" s="124"/>
      <c r="O13571" s="124"/>
    </row>
    <row r="13572">
      <c r="K13572" s="124"/>
      <c r="L13572" s="124"/>
      <c r="M13572" s="124"/>
      <c r="N13572" s="124"/>
      <c r="O13572" s="124"/>
    </row>
    <row r="13573">
      <c r="K13573" s="124"/>
      <c r="L13573" s="124"/>
      <c r="M13573" s="124"/>
      <c r="N13573" s="124"/>
      <c r="O13573" s="124"/>
    </row>
    <row r="13574">
      <c r="K13574" s="124"/>
      <c r="L13574" s="124"/>
      <c r="M13574" s="124"/>
      <c r="N13574" s="124"/>
      <c r="O13574" s="124"/>
    </row>
    <row r="13575">
      <c r="K13575" s="124"/>
      <c r="L13575" s="124"/>
      <c r="M13575" s="124"/>
      <c r="N13575" s="124"/>
      <c r="O13575" s="124"/>
    </row>
    <row r="13576">
      <c r="K13576" s="124"/>
      <c r="L13576" s="124"/>
      <c r="M13576" s="124"/>
      <c r="N13576" s="124"/>
      <c r="O13576" s="124"/>
    </row>
    <row r="13577">
      <c r="K13577" s="124"/>
      <c r="L13577" s="124"/>
      <c r="M13577" s="124"/>
      <c r="N13577" s="124"/>
      <c r="O13577" s="124"/>
    </row>
    <row r="13578">
      <c r="K13578" s="124"/>
      <c r="L13578" s="124"/>
      <c r="M13578" s="124"/>
      <c r="N13578" s="124"/>
      <c r="O13578" s="124"/>
    </row>
    <row r="13579">
      <c r="K13579" s="124"/>
      <c r="L13579" s="124"/>
      <c r="M13579" s="124"/>
      <c r="N13579" s="124"/>
      <c r="O13579" s="124"/>
    </row>
    <row r="13580">
      <c r="K13580" s="124"/>
      <c r="L13580" s="124"/>
      <c r="M13580" s="124"/>
      <c r="N13580" s="124"/>
      <c r="O13580" s="124"/>
    </row>
    <row r="13581">
      <c r="K13581" s="124"/>
      <c r="L13581" s="124"/>
      <c r="M13581" s="124"/>
      <c r="N13581" s="124"/>
      <c r="O13581" s="124"/>
    </row>
    <row r="13582">
      <c r="K13582" s="124"/>
      <c r="L13582" s="124"/>
      <c r="M13582" s="124"/>
      <c r="N13582" s="124"/>
      <c r="O13582" s="124"/>
    </row>
    <row r="13583">
      <c r="K13583" s="124"/>
      <c r="L13583" s="124"/>
      <c r="M13583" s="124"/>
      <c r="N13583" s="124"/>
      <c r="O13583" s="124"/>
    </row>
    <row r="13584">
      <c r="K13584" s="124"/>
      <c r="L13584" s="124"/>
      <c r="M13584" s="124"/>
      <c r="N13584" s="124"/>
      <c r="O13584" s="124"/>
    </row>
    <row r="13585">
      <c r="K13585" s="124"/>
      <c r="L13585" s="124"/>
      <c r="M13585" s="124"/>
      <c r="N13585" s="124"/>
      <c r="O13585" s="124"/>
    </row>
    <row r="13586">
      <c r="K13586" s="124"/>
      <c r="L13586" s="124"/>
      <c r="M13586" s="124"/>
      <c r="N13586" s="124"/>
      <c r="O13586" s="124"/>
    </row>
    <row r="13587">
      <c r="K13587" s="124"/>
      <c r="L13587" s="124"/>
      <c r="M13587" s="124"/>
      <c r="N13587" s="124"/>
      <c r="O13587" s="124"/>
    </row>
    <row r="13588">
      <c r="K13588" s="124"/>
      <c r="L13588" s="124"/>
      <c r="M13588" s="124"/>
      <c r="N13588" s="124"/>
      <c r="O13588" s="124"/>
    </row>
    <row r="13589">
      <c r="K13589" s="124"/>
      <c r="L13589" s="124"/>
      <c r="M13589" s="124"/>
      <c r="N13589" s="124"/>
      <c r="O13589" s="124"/>
    </row>
    <row r="13590">
      <c r="K13590" s="124"/>
      <c r="L13590" s="124"/>
      <c r="M13590" s="124"/>
      <c r="N13590" s="124"/>
      <c r="O13590" s="124"/>
    </row>
    <row r="13591">
      <c r="K13591" s="124"/>
      <c r="L13591" s="124"/>
      <c r="M13591" s="124"/>
      <c r="N13591" s="124"/>
      <c r="O13591" s="124"/>
    </row>
    <row r="13592">
      <c r="K13592" s="124"/>
      <c r="L13592" s="124"/>
      <c r="M13592" s="124"/>
      <c r="N13592" s="124"/>
      <c r="O13592" s="124"/>
    </row>
    <row r="13593">
      <c r="K13593" s="124"/>
      <c r="L13593" s="124"/>
      <c r="M13593" s="124"/>
      <c r="N13593" s="124"/>
      <c r="O13593" s="124"/>
    </row>
    <row r="13594">
      <c r="K13594" s="124"/>
      <c r="L13594" s="124"/>
      <c r="M13594" s="124"/>
      <c r="N13594" s="124"/>
      <c r="O13594" s="124"/>
    </row>
    <row r="13595">
      <c r="K13595" s="124"/>
      <c r="L13595" s="124"/>
      <c r="M13595" s="124"/>
      <c r="N13595" s="124"/>
      <c r="O13595" s="124"/>
    </row>
    <row r="13596">
      <c r="K13596" s="124"/>
      <c r="L13596" s="124"/>
      <c r="M13596" s="124"/>
      <c r="N13596" s="124"/>
      <c r="O13596" s="124"/>
    </row>
    <row r="13597">
      <c r="K13597" s="124"/>
      <c r="L13597" s="124"/>
      <c r="M13597" s="124"/>
      <c r="N13597" s="124"/>
      <c r="O13597" s="124"/>
    </row>
    <row r="13598">
      <c r="K13598" s="124"/>
      <c r="L13598" s="124"/>
      <c r="M13598" s="124"/>
      <c r="N13598" s="124"/>
      <c r="O13598" s="124"/>
    </row>
    <row r="13599">
      <c r="K13599" s="124"/>
      <c r="L13599" s="124"/>
      <c r="M13599" s="124"/>
      <c r="N13599" s="124"/>
      <c r="O13599" s="124"/>
    </row>
    <row r="13600">
      <c r="K13600" s="124"/>
      <c r="L13600" s="124"/>
      <c r="M13600" s="124"/>
      <c r="N13600" s="124"/>
      <c r="O13600" s="124"/>
    </row>
    <row r="13601">
      <c r="K13601" s="124"/>
      <c r="L13601" s="124"/>
      <c r="M13601" s="124"/>
      <c r="N13601" s="124"/>
      <c r="O13601" s="124"/>
    </row>
    <row r="13602">
      <c r="K13602" s="124"/>
      <c r="L13602" s="124"/>
      <c r="M13602" s="124"/>
      <c r="N13602" s="124"/>
      <c r="O13602" s="124"/>
    </row>
    <row r="13603">
      <c r="K13603" s="124"/>
      <c r="L13603" s="124"/>
      <c r="M13603" s="124"/>
      <c r="N13603" s="124"/>
      <c r="O13603" s="124"/>
    </row>
    <row r="13604">
      <c r="K13604" s="124"/>
      <c r="L13604" s="124"/>
      <c r="M13604" s="124"/>
      <c r="N13604" s="124"/>
      <c r="O13604" s="124"/>
    </row>
    <row r="13605">
      <c r="K13605" s="124"/>
      <c r="L13605" s="124"/>
      <c r="M13605" s="124"/>
      <c r="N13605" s="124"/>
      <c r="O13605" s="124"/>
    </row>
    <row r="13606">
      <c r="K13606" s="124"/>
      <c r="L13606" s="124"/>
      <c r="M13606" s="124"/>
      <c r="N13606" s="124"/>
      <c r="O13606" s="124"/>
    </row>
    <row r="13607">
      <c r="K13607" s="124"/>
      <c r="L13607" s="124"/>
      <c r="M13607" s="124"/>
      <c r="N13607" s="124"/>
      <c r="O13607" s="124"/>
    </row>
    <row r="13608">
      <c r="K13608" s="124"/>
      <c r="L13608" s="124"/>
      <c r="M13608" s="124"/>
      <c r="N13608" s="124"/>
      <c r="O13608" s="124"/>
    </row>
    <row r="13609">
      <c r="K13609" s="124"/>
      <c r="L13609" s="124"/>
      <c r="M13609" s="124"/>
      <c r="N13609" s="124"/>
      <c r="O13609" s="124"/>
    </row>
    <row r="13610">
      <c r="K13610" s="124"/>
      <c r="L13610" s="124"/>
      <c r="M13610" s="124"/>
      <c r="N13610" s="124"/>
      <c r="O13610" s="124"/>
    </row>
    <row r="13611">
      <c r="K13611" s="124"/>
      <c r="L13611" s="124"/>
      <c r="M13611" s="124"/>
      <c r="N13611" s="124"/>
      <c r="O13611" s="124"/>
    </row>
    <row r="13612">
      <c r="K13612" s="124"/>
      <c r="L13612" s="124"/>
      <c r="M13612" s="124"/>
      <c r="N13612" s="124"/>
      <c r="O13612" s="124"/>
    </row>
    <row r="13613">
      <c r="K13613" s="124"/>
      <c r="L13613" s="124"/>
      <c r="M13613" s="124"/>
      <c r="N13613" s="124"/>
      <c r="O13613" s="124"/>
    </row>
    <row r="13614">
      <c r="K13614" s="124"/>
      <c r="L13614" s="124"/>
      <c r="M13614" s="124"/>
      <c r="N13614" s="124"/>
      <c r="O13614" s="124"/>
    </row>
    <row r="13615">
      <c r="K13615" s="124"/>
      <c r="L13615" s="124"/>
      <c r="M13615" s="124"/>
      <c r="N13615" s="124"/>
      <c r="O13615" s="124"/>
    </row>
    <row r="13616">
      <c r="K13616" s="124"/>
      <c r="L13616" s="124"/>
      <c r="M13616" s="124"/>
      <c r="N13616" s="124"/>
      <c r="O13616" s="124"/>
    </row>
    <row r="13617">
      <c r="K13617" s="124"/>
      <c r="L13617" s="124"/>
      <c r="M13617" s="124"/>
      <c r="N13617" s="124"/>
      <c r="O13617" s="124"/>
    </row>
    <row r="13618">
      <c r="K13618" s="124"/>
      <c r="L13618" s="124"/>
      <c r="M13618" s="124"/>
      <c r="N13618" s="124"/>
      <c r="O13618" s="124"/>
    </row>
    <row r="13619">
      <c r="K13619" s="124"/>
      <c r="L13619" s="124"/>
      <c r="M13619" s="124"/>
      <c r="N13619" s="124"/>
      <c r="O13619" s="124"/>
    </row>
    <row r="13620">
      <c r="K13620" s="124"/>
      <c r="L13620" s="124"/>
      <c r="M13620" s="124"/>
      <c r="N13620" s="124"/>
      <c r="O13620" s="124"/>
    </row>
    <row r="13621">
      <c r="K13621" s="124"/>
      <c r="L13621" s="124"/>
      <c r="M13621" s="124"/>
      <c r="N13621" s="124"/>
      <c r="O13621" s="124"/>
    </row>
    <row r="13622">
      <c r="K13622" s="124"/>
      <c r="L13622" s="124"/>
      <c r="M13622" s="124"/>
      <c r="N13622" s="124"/>
      <c r="O13622" s="124"/>
    </row>
    <row r="13623">
      <c r="K13623" s="124"/>
      <c r="L13623" s="124"/>
      <c r="M13623" s="124"/>
      <c r="N13623" s="124"/>
      <c r="O13623" s="124"/>
    </row>
    <row r="13624">
      <c r="K13624" s="124"/>
      <c r="L13624" s="124"/>
      <c r="M13624" s="124"/>
      <c r="N13624" s="124"/>
      <c r="O13624" s="124"/>
    </row>
    <row r="13625">
      <c r="K13625" s="124"/>
      <c r="L13625" s="124"/>
      <c r="M13625" s="124"/>
      <c r="N13625" s="124"/>
      <c r="O13625" s="124"/>
    </row>
    <row r="13626">
      <c r="K13626" s="124"/>
      <c r="L13626" s="124"/>
      <c r="M13626" s="124"/>
      <c r="N13626" s="124"/>
      <c r="O13626" s="124"/>
    </row>
    <row r="13627">
      <c r="K13627" s="124"/>
      <c r="L13627" s="124"/>
      <c r="M13627" s="124"/>
      <c r="N13627" s="124"/>
      <c r="O13627" s="124"/>
    </row>
    <row r="13628">
      <c r="K13628" s="124"/>
      <c r="L13628" s="124"/>
      <c r="M13628" s="124"/>
      <c r="N13628" s="124"/>
      <c r="O13628" s="124"/>
    </row>
    <row r="13629">
      <c r="K13629" s="124"/>
      <c r="L13629" s="124"/>
      <c r="M13629" s="124"/>
      <c r="N13629" s="124"/>
      <c r="O13629" s="124"/>
    </row>
    <row r="13630">
      <c r="K13630" s="124"/>
      <c r="L13630" s="124"/>
      <c r="M13630" s="124"/>
      <c r="N13630" s="124"/>
      <c r="O13630" s="124"/>
    </row>
    <row r="13631">
      <c r="K13631" s="124"/>
      <c r="L13631" s="124"/>
      <c r="M13631" s="124"/>
      <c r="N13631" s="124"/>
      <c r="O13631" s="124"/>
    </row>
    <row r="13632">
      <c r="K13632" s="124"/>
      <c r="L13632" s="124"/>
      <c r="M13632" s="124"/>
      <c r="N13632" s="124"/>
      <c r="O13632" s="124"/>
    </row>
    <row r="13633">
      <c r="K13633" s="124"/>
      <c r="L13633" s="124"/>
      <c r="M13633" s="124"/>
      <c r="N13633" s="124"/>
      <c r="O13633" s="124"/>
    </row>
    <row r="13634">
      <c r="K13634" s="124"/>
      <c r="L13634" s="124"/>
      <c r="M13634" s="124"/>
      <c r="N13634" s="124"/>
      <c r="O13634" s="124"/>
    </row>
    <row r="13635">
      <c r="K13635" s="124"/>
      <c r="L13635" s="124"/>
      <c r="M13635" s="124"/>
      <c r="N13635" s="124"/>
      <c r="O13635" s="124"/>
    </row>
    <row r="13636">
      <c r="K13636" s="124"/>
      <c r="L13636" s="124"/>
      <c r="M13636" s="124"/>
      <c r="N13636" s="124"/>
      <c r="O13636" s="124"/>
    </row>
    <row r="13637">
      <c r="K13637" s="124"/>
      <c r="L13637" s="124"/>
      <c r="M13637" s="124"/>
      <c r="N13637" s="124"/>
      <c r="O13637" s="124"/>
    </row>
    <row r="13638">
      <c r="K13638" s="124"/>
      <c r="L13638" s="124"/>
      <c r="M13638" s="124"/>
      <c r="N13638" s="124"/>
      <c r="O13638" s="124"/>
    </row>
    <row r="13639">
      <c r="K13639" s="124"/>
      <c r="L13639" s="124"/>
      <c r="M13639" s="124"/>
      <c r="N13639" s="124"/>
      <c r="O13639" s="124"/>
    </row>
    <row r="13640">
      <c r="K13640" s="124"/>
      <c r="L13640" s="124"/>
      <c r="M13640" s="124"/>
      <c r="N13640" s="124"/>
      <c r="O13640" s="124"/>
    </row>
    <row r="13641">
      <c r="K13641" s="124"/>
      <c r="L13641" s="124"/>
      <c r="M13641" s="124"/>
      <c r="N13641" s="124"/>
      <c r="O13641" s="124"/>
    </row>
    <row r="13642">
      <c r="K13642" s="124"/>
      <c r="L13642" s="124"/>
      <c r="M13642" s="124"/>
      <c r="N13642" s="124"/>
      <c r="O13642" s="124"/>
    </row>
    <row r="13643">
      <c r="K13643" s="124"/>
      <c r="L13643" s="124"/>
      <c r="M13643" s="124"/>
      <c r="N13643" s="124"/>
      <c r="O13643" s="124"/>
    </row>
    <row r="13644">
      <c r="K13644" s="124"/>
      <c r="L13644" s="124"/>
      <c r="M13644" s="124"/>
      <c r="N13644" s="124"/>
      <c r="O13644" s="124"/>
    </row>
    <row r="13645">
      <c r="K13645" s="124"/>
      <c r="L13645" s="124"/>
      <c r="M13645" s="124"/>
      <c r="N13645" s="124"/>
      <c r="O13645" s="124"/>
    </row>
    <row r="13646">
      <c r="K13646" s="124"/>
      <c r="L13646" s="124"/>
      <c r="M13646" s="124"/>
      <c r="N13646" s="124"/>
      <c r="O13646" s="124"/>
    </row>
    <row r="13647">
      <c r="K13647" s="124"/>
      <c r="L13647" s="124"/>
      <c r="M13647" s="124"/>
      <c r="N13647" s="124"/>
      <c r="O13647" s="124"/>
    </row>
    <row r="13648">
      <c r="K13648" s="124"/>
      <c r="L13648" s="124"/>
      <c r="M13648" s="124"/>
      <c r="N13648" s="124"/>
      <c r="O13648" s="124"/>
    </row>
    <row r="13649">
      <c r="K13649" s="124"/>
      <c r="L13649" s="124"/>
      <c r="M13649" s="124"/>
      <c r="N13649" s="124"/>
      <c r="O13649" s="124"/>
    </row>
    <row r="13650">
      <c r="K13650" s="124"/>
      <c r="L13650" s="124"/>
      <c r="M13650" s="124"/>
      <c r="N13650" s="124"/>
      <c r="O13650" s="124"/>
    </row>
    <row r="13651">
      <c r="K13651" s="124"/>
      <c r="L13651" s="124"/>
      <c r="M13651" s="124"/>
      <c r="N13651" s="124"/>
      <c r="O13651" s="124"/>
    </row>
    <row r="13652">
      <c r="K13652" s="124"/>
      <c r="L13652" s="124"/>
      <c r="M13652" s="124"/>
      <c r="N13652" s="124"/>
      <c r="O13652" s="124"/>
    </row>
    <row r="13653">
      <c r="K13653" s="124"/>
      <c r="L13653" s="124"/>
      <c r="M13653" s="124"/>
      <c r="N13653" s="124"/>
      <c r="O13653" s="124"/>
    </row>
    <row r="13654">
      <c r="K13654" s="124"/>
      <c r="L13654" s="124"/>
      <c r="M13654" s="124"/>
      <c r="N13654" s="124"/>
      <c r="O13654" s="124"/>
    </row>
    <row r="13655">
      <c r="K13655" s="124"/>
      <c r="L13655" s="124"/>
      <c r="M13655" s="124"/>
      <c r="N13655" s="124"/>
      <c r="O13655" s="124"/>
    </row>
    <row r="13656">
      <c r="K13656" s="124"/>
      <c r="L13656" s="124"/>
      <c r="M13656" s="124"/>
      <c r="N13656" s="124"/>
      <c r="O13656" s="124"/>
    </row>
    <row r="13657">
      <c r="K13657" s="124"/>
      <c r="L13657" s="124"/>
      <c r="M13657" s="124"/>
      <c r="N13657" s="124"/>
      <c r="O13657" s="124"/>
    </row>
    <row r="13658">
      <c r="K13658" s="124"/>
      <c r="L13658" s="124"/>
      <c r="M13658" s="124"/>
      <c r="N13658" s="124"/>
      <c r="O13658" s="124"/>
    </row>
    <row r="13659">
      <c r="K13659" s="124"/>
      <c r="L13659" s="124"/>
      <c r="M13659" s="124"/>
      <c r="N13659" s="124"/>
      <c r="O13659" s="124"/>
    </row>
    <row r="13660">
      <c r="K13660" s="124"/>
      <c r="L13660" s="124"/>
      <c r="M13660" s="124"/>
      <c r="N13660" s="124"/>
      <c r="O13660" s="124"/>
    </row>
    <row r="13661">
      <c r="K13661" s="124"/>
      <c r="L13661" s="124"/>
      <c r="M13661" s="124"/>
      <c r="N13661" s="124"/>
      <c r="O13661" s="124"/>
    </row>
    <row r="13662">
      <c r="K13662" s="124"/>
      <c r="L13662" s="124"/>
      <c r="M13662" s="124"/>
      <c r="N13662" s="124"/>
      <c r="O13662" s="124"/>
    </row>
    <row r="13663">
      <c r="K13663" s="124"/>
      <c r="L13663" s="124"/>
      <c r="M13663" s="124"/>
      <c r="N13663" s="124"/>
      <c r="O13663" s="124"/>
    </row>
    <row r="13664">
      <c r="K13664" s="124"/>
      <c r="L13664" s="124"/>
      <c r="M13664" s="124"/>
      <c r="N13664" s="124"/>
      <c r="O13664" s="124"/>
    </row>
    <row r="13665">
      <c r="K13665" s="124"/>
      <c r="L13665" s="124"/>
      <c r="M13665" s="124"/>
      <c r="N13665" s="124"/>
      <c r="O13665" s="124"/>
    </row>
    <row r="13666">
      <c r="K13666" s="124"/>
      <c r="L13666" s="124"/>
      <c r="M13666" s="124"/>
      <c r="N13666" s="124"/>
      <c r="O13666" s="124"/>
    </row>
    <row r="13667">
      <c r="K13667" s="124"/>
      <c r="L13667" s="124"/>
      <c r="M13667" s="124"/>
      <c r="N13667" s="124"/>
      <c r="O13667" s="124"/>
    </row>
    <row r="13668">
      <c r="K13668" s="124"/>
      <c r="L13668" s="124"/>
      <c r="M13668" s="124"/>
      <c r="N13668" s="124"/>
      <c r="O13668" s="124"/>
    </row>
    <row r="13669">
      <c r="K13669" s="124"/>
      <c r="L13669" s="124"/>
      <c r="M13669" s="124"/>
      <c r="N13669" s="124"/>
      <c r="O13669" s="124"/>
    </row>
    <row r="13670">
      <c r="K13670" s="124"/>
      <c r="L13670" s="124"/>
      <c r="M13670" s="124"/>
      <c r="N13670" s="124"/>
      <c r="O13670" s="124"/>
    </row>
    <row r="13671">
      <c r="K13671" s="124"/>
      <c r="L13671" s="124"/>
      <c r="M13671" s="124"/>
      <c r="N13671" s="124"/>
      <c r="O13671" s="124"/>
    </row>
    <row r="13672">
      <c r="K13672" s="124"/>
      <c r="L13672" s="124"/>
      <c r="M13672" s="124"/>
      <c r="N13672" s="124"/>
      <c r="O13672" s="124"/>
    </row>
    <row r="13673">
      <c r="K13673" s="124"/>
      <c r="L13673" s="124"/>
      <c r="M13673" s="124"/>
      <c r="N13673" s="124"/>
      <c r="O13673" s="124"/>
    </row>
    <row r="13674">
      <c r="K13674" s="124"/>
      <c r="L13674" s="124"/>
      <c r="M13674" s="124"/>
      <c r="N13674" s="124"/>
      <c r="O13674" s="124"/>
    </row>
    <row r="13675">
      <c r="K13675" s="124"/>
      <c r="L13675" s="124"/>
      <c r="M13675" s="124"/>
      <c r="N13675" s="124"/>
      <c r="O13675" s="124"/>
    </row>
    <row r="13676">
      <c r="K13676" s="124"/>
      <c r="L13676" s="124"/>
      <c r="M13676" s="124"/>
      <c r="N13676" s="124"/>
      <c r="O13676" s="124"/>
    </row>
    <row r="13677">
      <c r="K13677" s="124"/>
      <c r="L13677" s="124"/>
      <c r="M13677" s="124"/>
      <c r="N13677" s="124"/>
      <c r="O13677" s="124"/>
    </row>
    <row r="13678">
      <c r="K13678" s="124"/>
      <c r="L13678" s="124"/>
      <c r="M13678" s="124"/>
      <c r="N13678" s="124"/>
      <c r="O13678" s="124"/>
    </row>
    <row r="13679">
      <c r="K13679" s="124"/>
      <c r="L13679" s="124"/>
      <c r="M13679" s="124"/>
      <c r="N13679" s="124"/>
      <c r="O13679" s="124"/>
    </row>
    <row r="13680">
      <c r="K13680" s="124"/>
      <c r="L13680" s="124"/>
      <c r="M13680" s="124"/>
      <c r="N13680" s="124"/>
      <c r="O13680" s="124"/>
    </row>
    <row r="13681">
      <c r="K13681" s="124"/>
      <c r="L13681" s="124"/>
      <c r="M13681" s="124"/>
      <c r="N13681" s="124"/>
      <c r="O13681" s="124"/>
    </row>
    <row r="13682">
      <c r="K13682" s="124"/>
      <c r="L13682" s="124"/>
      <c r="M13682" s="124"/>
      <c r="N13682" s="124"/>
      <c r="O13682" s="124"/>
    </row>
    <row r="13683">
      <c r="K13683" s="124"/>
      <c r="L13683" s="124"/>
      <c r="M13683" s="124"/>
      <c r="N13683" s="124"/>
      <c r="O13683" s="124"/>
    </row>
    <row r="13684">
      <c r="K13684" s="124"/>
      <c r="L13684" s="124"/>
      <c r="M13684" s="124"/>
      <c r="N13684" s="124"/>
      <c r="O13684" s="124"/>
    </row>
    <row r="13685">
      <c r="K13685" s="124"/>
      <c r="L13685" s="124"/>
      <c r="M13685" s="124"/>
      <c r="N13685" s="124"/>
      <c r="O13685" s="124"/>
    </row>
    <row r="13686">
      <c r="K13686" s="124"/>
      <c r="L13686" s="124"/>
      <c r="M13686" s="124"/>
      <c r="N13686" s="124"/>
      <c r="O13686" s="124"/>
    </row>
    <row r="13687">
      <c r="K13687" s="124"/>
      <c r="L13687" s="124"/>
      <c r="M13687" s="124"/>
      <c r="N13687" s="124"/>
      <c r="O13687" s="124"/>
    </row>
    <row r="13688">
      <c r="K13688" s="124"/>
      <c r="L13688" s="124"/>
      <c r="M13688" s="124"/>
      <c r="N13688" s="124"/>
      <c r="O13688" s="124"/>
    </row>
    <row r="13689">
      <c r="K13689" s="124"/>
      <c r="L13689" s="124"/>
      <c r="M13689" s="124"/>
      <c r="N13689" s="124"/>
      <c r="O13689" s="124"/>
    </row>
    <row r="13690">
      <c r="K13690" s="124"/>
      <c r="L13690" s="124"/>
      <c r="M13690" s="124"/>
      <c r="N13690" s="124"/>
      <c r="O13690" s="124"/>
    </row>
    <row r="13691">
      <c r="K13691" s="124"/>
      <c r="L13691" s="124"/>
      <c r="M13691" s="124"/>
      <c r="N13691" s="124"/>
      <c r="O13691" s="124"/>
    </row>
    <row r="13692">
      <c r="K13692" s="124"/>
      <c r="L13692" s="124"/>
      <c r="M13692" s="124"/>
      <c r="N13692" s="124"/>
      <c r="O13692" s="124"/>
    </row>
    <row r="13693">
      <c r="K13693" s="124"/>
      <c r="L13693" s="124"/>
      <c r="M13693" s="124"/>
      <c r="N13693" s="124"/>
      <c r="O13693" s="124"/>
    </row>
    <row r="13694">
      <c r="K13694" s="124"/>
      <c r="L13694" s="124"/>
      <c r="M13694" s="124"/>
      <c r="N13694" s="124"/>
      <c r="O13694" s="124"/>
    </row>
    <row r="13695">
      <c r="K13695" s="124"/>
      <c r="L13695" s="124"/>
      <c r="M13695" s="124"/>
      <c r="N13695" s="124"/>
      <c r="O13695" s="124"/>
    </row>
    <row r="13696">
      <c r="K13696" s="124"/>
      <c r="L13696" s="124"/>
      <c r="M13696" s="124"/>
      <c r="N13696" s="124"/>
      <c r="O13696" s="124"/>
    </row>
    <row r="13697">
      <c r="K13697" s="124"/>
      <c r="L13697" s="124"/>
      <c r="M13697" s="124"/>
      <c r="N13697" s="124"/>
      <c r="O13697" s="124"/>
    </row>
    <row r="13698">
      <c r="K13698" s="124"/>
      <c r="L13698" s="124"/>
      <c r="M13698" s="124"/>
      <c r="N13698" s="124"/>
      <c r="O13698" s="124"/>
    </row>
    <row r="13699">
      <c r="K13699" s="124"/>
      <c r="L13699" s="124"/>
      <c r="M13699" s="124"/>
      <c r="N13699" s="124"/>
      <c r="O13699" s="124"/>
    </row>
    <row r="13700">
      <c r="K13700" s="124"/>
      <c r="L13700" s="124"/>
      <c r="M13700" s="124"/>
      <c r="N13700" s="124"/>
      <c r="O13700" s="124"/>
    </row>
    <row r="13701">
      <c r="K13701" s="124"/>
      <c r="L13701" s="124"/>
      <c r="M13701" s="124"/>
      <c r="N13701" s="124"/>
      <c r="O13701" s="124"/>
    </row>
    <row r="13702">
      <c r="K13702" s="124"/>
      <c r="L13702" s="124"/>
      <c r="M13702" s="124"/>
      <c r="N13702" s="124"/>
      <c r="O13702" s="124"/>
    </row>
    <row r="13703">
      <c r="K13703" s="124"/>
      <c r="L13703" s="124"/>
      <c r="M13703" s="124"/>
      <c r="N13703" s="124"/>
      <c r="O13703" s="124"/>
    </row>
    <row r="13704">
      <c r="K13704" s="124"/>
      <c r="L13704" s="124"/>
      <c r="M13704" s="124"/>
      <c r="N13704" s="124"/>
      <c r="O13704" s="124"/>
    </row>
    <row r="13705">
      <c r="K13705" s="124"/>
      <c r="L13705" s="124"/>
      <c r="M13705" s="124"/>
      <c r="N13705" s="124"/>
      <c r="O13705" s="124"/>
    </row>
    <row r="13706">
      <c r="K13706" s="124"/>
      <c r="L13706" s="124"/>
      <c r="M13706" s="124"/>
      <c r="N13706" s="124"/>
      <c r="O13706" s="124"/>
    </row>
    <row r="13707">
      <c r="K13707" s="124"/>
      <c r="L13707" s="124"/>
      <c r="M13707" s="124"/>
      <c r="N13707" s="124"/>
      <c r="O13707" s="124"/>
    </row>
    <row r="13708">
      <c r="K13708" s="124"/>
      <c r="L13708" s="124"/>
      <c r="M13708" s="124"/>
      <c r="N13708" s="124"/>
      <c r="O13708" s="124"/>
    </row>
    <row r="13709">
      <c r="K13709" s="124"/>
      <c r="L13709" s="124"/>
      <c r="M13709" s="124"/>
      <c r="N13709" s="124"/>
      <c r="O13709" s="124"/>
    </row>
    <row r="13710">
      <c r="K13710" s="124"/>
      <c r="L13710" s="124"/>
      <c r="M13710" s="124"/>
      <c r="N13710" s="124"/>
      <c r="O13710" s="124"/>
    </row>
    <row r="13711">
      <c r="K13711" s="124"/>
      <c r="L13711" s="124"/>
      <c r="M13711" s="124"/>
      <c r="N13711" s="124"/>
      <c r="O13711" s="124"/>
    </row>
    <row r="13712">
      <c r="K13712" s="124"/>
      <c r="L13712" s="124"/>
      <c r="M13712" s="124"/>
      <c r="N13712" s="124"/>
      <c r="O13712" s="124"/>
    </row>
    <row r="13713">
      <c r="K13713" s="124"/>
      <c r="L13713" s="124"/>
      <c r="M13713" s="124"/>
      <c r="N13713" s="124"/>
      <c r="O13713" s="124"/>
    </row>
    <row r="13714">
      <c r="K13714" s="124"/>
      <c r="L13714" s="124"/>
      <c r="M13714" s="124"/>
      <c r="N13714" s="124"/>
      <c r="O13714" s="124"/>
    </row>
    <row r="13715">
      <c r="K13715" s="124"/>
      <c r="L13715" s="124"/>
      <c r="M13715" s="124"/>
      <c r="N13715" s="124"/>
      <c r="O13715" s="124"/>
    </row>
    <row r="13716">
      <c r="K13716" s="124"/>
      <c r="L13716" s="124"/>
      <c r="M13716" s="124"/>
      <c r="N13716" s="124"/>
      <c r="O13716" s="124"/>
    </row>
    <row r="13717">
      <c r="K13717" s="124"/>
      <c r="L13717" s="124"/>
      <c r="M13717" s="124"/>
      <c r="N13717" s="124"/>
      <c r="O13717" s="124"/>
    </row>
    <row r="13718">
      <c r="K13718" s="124"/>
      <c r="L13718" s="124"/>
      <c r="M13718" s="124"/>
      <c r="N13718" s="124"/>
      <c r="O13718" s="124"/>
    </row>
    <row r="13719">
      <c r="K13719" s="124"/>
      <c r="L13719" s="124"/>
      <c r="M13719" s="124"/>
      <c r="N13719" s="124"/>
      <c r="O13719" s="124"/>
    </row>
    <row r="13720">
      <c r="K13720" s="124"/>
      <c r="L13720" s="124"/>
      <c r="M13720" s="124"/>
      <c r="N13720" s="124"/>
      <c r="O13720" s="124"/>
    </row>
    <row r="13721">
      <c r="K13721" s="124"/>
      <c r="L13721" s="124"/>
      <c r="M13721" s="124"/>
      <c r="N13721" s="124"/>
      <c r="O13721" s="124"/>
    </row>
    <row r="13722">
      <c r="K13722" s="124"/>
      <c r="L13722" s="124"/>
      <c r="M13722" s="124"/>
      <c r="N13722" s="124"/>
      <c r="O13722" s="124"/>
    </row>
    <row r="13723">
      <c r="K13723" s="124"/>
      <c r="L13723" s="124"/>
      <c r="M13723" s="124"/>
      <c r="N13723" s="124"/>
      <c r="O13723" s="124"/>
    </row>
    <row r="13724">
      <c r="K13724" s="124"/>
      <c r="L13724" s="124"/>
      <c r="M13724" s="124"/>
      <c r="N13724" s="124"/>
      <c r="O13724" s="124"/>
    </row>
    <row r="13725">
      <c r="K13725" s="124"/>
      <c r="L13725" s="124"/>
      <c r="M13725" s="124"/>
      <c r="N13725" s="124"/>
      <c r="O13725" s="124"/>
    </row>
    <row r="13726">
      <c r="K13726" s="124"/>
      <c r="L13726" s="124"/>
      <c r="M13726" s="124"/>
      <c r="N13726" s="124"/>
      <c r="O13726" s="124"/>
    </row>
    <row r="13727">
      <c r="K13727" s="124"/>
      <c r="L13727" s="124"/>
      <c r="M13727" s="124"/>
      <c r="N13727" s="124"/>
      <c r="O13727" s="124"/>
    </row>
    <row r="13728">
      <c r="K13728" s="124"/>
      <c r="L13728" s="124"/>
      <c r="M13728" s="124"/>
      <c r="N13728" s="124"/>
      <c r="O13728" s="124"/>
    </row>
    <row r="13729">
      <c r="K13729" s="124"/>
      <c r="L13729" s="124"/>
      <c r="M13729" s="124"/>
      <c r="N13729" s="124"/>
      <c r="O13729" s="124"/>
    </row>
    <row r="13730">
      <c r="K13730" s="124"/>
      <c r="L13730" s="124"/>
      <c r="M13730" s="124"/>
      <c r="N13730" s="124"/>
      <c r="O13730" s="124"/>
    </row>
    <row r="13731">
      <c r="K13731" s="124"/>
      <c r="L13731" s="124"/>
      <c r="M13731" s="124"/>
      <c r="N13731" s="124"/>
      <c r="O13731" s="124"/>
    </row>
    <row r="13732">
      <c r="K13732" s="124"/>
      <c r="L13732" s="124"/>
      <c r="M13732" s="124"/>
      <c r="N13732" s="124"/>
      <c r="O13732" s="124"/>
    </row>
    <row r="13733">
      <c r="K13733" s="124"/>
      <c r="L13733" s="124"/>
      <c r="M13733" s="124"/>
      <c r="N13733" s="124"/>
      <c r="O13733" s="124"/>
    </row>
    <row r="13734">
      <c r="K13734" s="124"/>
      <c r="L13734" s="124"/>
      <c r="M13734" s="124"/>
      <c r="N13734" s="124"/>
      <c r="O13734" s="124"/>
    </row>
    <row r="13735">
      <c r="K13735" s="124"/>
      <c r="L13735" s="124"/>
      <c r="M13735" s="124"/>
      <c r="N13735" s="124"/>
      <c r="O13735" s="124"/>
    </row>
    <row r="13736">
      <c r="K13736" s="124"/>
      <c r="L13736" s="124"/>
      <c r="M13736" s="124"/>
      <c r="N13736" s="124"/>
      <c r="O13736" s="124"/>
    </row>
    <row r="13737">
      <c r="K13737" s="124"/>
      <c r="L13737" s="124"/>
      <c r="M13737" s="124"/>
      <c r="N13737" s="124"/>
      <c r="O13737" s="124"/>
    </row>
    <row r="13738">
      <c r="K13738" s="124"/>
      <c r="L13738" s="124"/>
      <c r="M13738" s="124"/>
      <c r="N13738" s="124"/>
      <c r="O13738" s="124"/>
    </row>
    <row r="13739">
      <c r="K13739" s="124"/>
      <c r="L13739" s="124"/>
      <c r="M13739" s="124"/>
      <c r="N13739" s="124"/>
      <c r="O13739" s="124"/>
    </row>
    <row r="13740">
      <c r="K13740" s="124"/>
      <c r="L13740" s="124"/>
      <c r="M13740" s="124"/>
      <c r="N13740" s="124"/>
      <c r="O13740" s="124"/>
    </row>
    <row r="13741">
      <c r="K13741" s="124"/>
      <c r="L13741" s="124"/>
      <c r="M13741" s="124"/>
      <c r="N13741" s="124"/>
      <c r="O13741" s="124"/>
    </row>
    <row r="13742">
      <c r="K13742" s="124"/>
      <c r="L13742" s="124"/>
      <c r="M13742" s="124"/>
      <c r="N13742" s="124"/>
      <c r="O13742" s="124"/>
    </row>
    <row r="13743">
      <c r="K13743" s="124"/>
      <c r="L13743" s="124"/>
      <c r="M13743" s="124"/>
      <c r="N13743" s="124"/>
      <c r="O13743" s="124"/>
    </row>
    <row r="13744">
      <c r="K13744" s="124"/>
      <c r="L13744" s="124"/>
      <c r="M13744" s="124"/>
      <c r="N13744" s="124"/>
      <c r="O13744" s="124"/>
    </row>
    <row r="13745">
      <c r="K13745" s="124"/>
      <c r="L13745" s="124"/>
      <c r="M13745" s="124"/>
      <c r="N13745" s="124"/>
      <c r="O13745" s="124"/>
    </row>
    <row r="13746">
      <c r="K13746" s="124"/>
      <c r="L13746" s="124"/>
      <c r="M13746" s="124"/>
      <c r="N13746" s="124"/>
      <c r="O13746" s="124"/>
    </row>
    <row r="13747">
      <c r="K13747" s="124"/>
      <c r="L13747" s="124"/>
      <c r="M13747" s="124"/>
      <c r="N13747" s="124"/>
      <c r="O13747" s="124"/>
    </row>
    <row r="13748">
      <c r="K13748" s="124"/>
      <c r="L13748" s="124"/>
      <c r="M13748" s="124"/>
      <c r="N13748" s="124"/>
      <c r="O13748" s="124"/>
    </row>
    <row r="13749">
      <c r="K13749" s="124"/>
      <c r="L13749" s="124"/>
      <c r="M13749" s="124"/>
      <c r="N13749" s="124"/>
      <c r="O13749" s="124"/>
    </row>
    <row r="13750">
      <c r="K13750" s="124"/>
      <c r="L13750" s="124"/>
      <c r="M13750" s="124"/>
      <c r="N13750" s="124"/>
      <c r="O13750" s="124"/>
    </row>
    <row r="13751">
      <c r="K13751" s="124"/>
      <c r="L13751" s="124"/>
      <c r="M13751" s="124"/>
      <c r="N13751" s="124"/>
      <c r="O13751" s="124"/>
    </row>
    <row r="13752">
      <c r="K13752" s="124"/>
      <c r="L13752" s="124"/>
      <c r="M13752" s="124"/>
      <c r="N13752" s="124"/>
      <c r="O13752" s="124"/>
    </row>
    <row r="13753">
      <c r="K13753" s="124"/>
      <c r="L13753" s="124"/>
      <c r="M13753" s="124"/>
      <c r="N13753" s="124"/>
      <c r="O13753" s="124"/>
    </row>
    <row r="13754">
      <c r="K13754" s="124"/>
      <c r="L13754" s="124"/>
      <c r="M13754" s="124"/>
      <c r="N13754" s="124"/>
      <c r="O13754" s="124"/>
    </row>
    <row r="13755">
      <c r="K13755" s="124"/>
      <c r="L13755" s="124"/>
      <c r="M13755" s="124"/>
      <c r="N13755" s="124"/>
      <c r="O13755" s="124"/>
    </row>
    <row r="13756">
      <c r="K13756" s="124"/>
      <c r="L13756" s="124"/>
      <c r="M13756" s="124"/>
      <c r="N13756" s="124"/>
      <c r="O13756" s="124"/>
    </row>
    <row r="13757">
      <c r="K13757" s="124"/>
      <c r="L13757" s="124"/>
      <c r="M13757" s="124"/>
      <c r="N13757" s="124"/>
      <c r="O13757" s="124"/>
    </row>
    <row r="13758">
      <c r="K13758" s="124"/>
      <c r="L13758" s="124"/>
      <c r="M13758" s="124"/>
      <c r="N13758" s="124"/>
      <c r="O13758" s="124"/>
    </row>
    <row r="13759">
      <c r="K13759" s="124"/>
      <c r="L13759" s="124"/>
      <c r="M13759" s="124"/>
      <c r="N13759" s="124"/>
      <c r="O13759" s="124"/>
    </row>
    <row r="13760">
      <c r="K13760" s="124"/>
      <c r="L13760" s="124"/>
      <c r="M13760" s="124"/>
      <c r="N13760" s="124"/>
      <c r="O13760" s="124"/>
    </row>
    <row r="13761">
      <c r="K13761" s="124"/>
      <c r="L13761" s="124"/>
      <c r="M13761" s="124"/>
      <c r="N13761" s="124"/>
      <c r="O13761" s="124"/>
    </row>
    <row r="13762">
      <c r="K13762" s="124"/>
      <c r="L13762" s="124"/>
      <c r="M13762" s="124"/>
      <c r="N13762" s="124"/>
      <c r="O13762" s="124"/>
    </row>
    <row r="13763">
      <c r="K13763" s="124"/>
      <c r="L13763" s="124"/>
      <c r="M13763" s="124"/>
      <c r="N13763" s="124"/>
      <c r="O13763" s="124"/>
    </row>
    <row r="13764">
      <c r="K13764" s="124"/>
      <c r="L13764" s="124"/>
      <c r="M13764" s="124"/>
      <c r="N13764" s="124"/>
      <c r="O13764" s="124"/>
    </row>
    <row r="13765">
      <c r="K13765" s="124"/>
      <c r="L13765" s="124"/>
      <c r="M13765" s="124"/>
      <c r="N13765" s="124"/>
      <c r="O13765" s="124"/>
    </row>
    <row r="13766">
      <c r="K13766" s="124"/>
      <c r="L13766" s="124"/>
      <c r="M13766" s="124"/>
      <c r="N13766" s="124"/>
      <c r="O13766" s="124"/>
    </row>
    <row r="13767">
      <c r="K13767" s="124"/>
      <c r="L13767" s="124"/>
      <c r="M13767" s="124"/>
      <c r="N13767" s="124"/>
      <c r="O13767" s="124"/>
    </row>
    <row r="13768">
      <c r="K13768" s="124"/>
      <c r="L13768" s="124"/>
      <c r="M13768" s="124"/>
      <c r="N13768" s="124"/>
      <c r="O13768" s="124"/>
    </row>
    <row r="13769">
      <c r="K13769" s="124"/>
      <c r="L13769" s="124"/>
      <c r="M13769" s="124"/>
      <c r="N13769" s="124"/>
      <c r="O13769" s="124"/>
    </row>
    <row r="13770">
      <c r="K13770" s="124"/>
      <c r="L13770" s="124"/>
      <c r="M13770" s="124"/>
      <c r="N13770" s="124"/>
      <c r="O13770" s="124"/>
    </row>
    <row r="13771">
      <c r="K13771" s="124"/>
      <c r="L13771" s="124"/>
      <c r="M13771" s="124"/>
      <c r="N13771" s="124"/>
      <c r="O13771" s="124"/>
    </row>
    <row r="13772">
      <c r="K13772" s="124"/>
      <c r="L13772" s="124"/>
      <c r="M13772" s="124"/>
      <c r="N13772" s="124"/>
      <c r="O13772" s="124"/>
    </row>
    <row r="13773">
      <c r="K13773" s="124"/>
      <c r="L13773" s="124"/>
      <c r="M13773" s="124"/>
      <c r="N13773" s="124"/>
      <c r="O13773" s="124"/>
    </row>
    <row r="13774">
      <c r="K13774" s="124"/>
      <c r="L13774" s="124"/>
      <c r="M13774" s="124"/>
      <c r="N13774" s="124"/>
      <c r="O13774" s="124"/>
    </row>
    <row r="13775">
      <c r="K13775" s="124"/>
      <c r="L13775" s="124"/>
      <c r="M13775" s="124"/>
      <c r="N13775" s="124"/>
      <c r="O13775" s="124"/>
    </row>
    <row r="13776">
      <c r="K13776" s="124"/>
      <c r="L13776" s="124"/>
      <c r="M13776" s="124"/>
      <c r="N13776" s="124"/>
      <c r="O13776" s="124"/>
    </row>
    <row r="13777">
      <c r="K13777" s="124"/>
      <c r="L13777" s="124"/>
      <c r="M13777" s="124"/>
      <c r="N13777" s="124"/>
      <c r="O13777" s="124"/>
    </row>
    <row r="13778">
      <c r="K13778" s="124"/>
      <c r="L13778" s="124"/>
      <c r="M13778" s="124"/>
      <c r="N13778" s="124"/>
      <c r="O13778" s="124"/>
    </row>
    <row r="13779">
      <c r="K13779" s="124"/>
      <c r="L13779" s="124"/>
      <c r="M13779" s="124"/>
      <c r="N13779" s="124"/>
      <c r="O13779" s="124"/>
    </row>
    <row r="13780">
      <c r="K13780" s="124"/>
      <c r="L13780" s="124"/>
      <c r="M13780" s="124"/>
      <c r="N13780" s="124"/>
      <c r="O13780" s="124"/>
    </row>
    <row r="13781">
      <c r="K13781" s="124"/>
      <c r="L13781" s="124"/>
      <c r="M13781" s="124"/>
      <c r="N13781" s="124"/>
      <c r="O13781" s="124"/>
    </row>
    <row r="13782">
      <c r="K13782" s="124"/>
      <c r="L13782" s="124"/>
      <c r="M13782" s="124"/>
      <c r="N13782" s="124"/>
      <c r="O13782" s="124"/>
    </row>
    <row r="13783">
      <c r="K13783" s="124"/>
      <c r="L13783" s="124"/>
      <c r="M13783" s="124"/>
      <c r="N13783" s="124"/>
      <c r="O13783" s="124"/>
    </row>
    <row r="13784">
      <c r="K13784" s="124"/>
      <c r="L13784" s="124"/>
      <c r="M13784" s="124"/>
      <c r="N13784" s="124"/>
      <c r="O13784" s="124"/>
    </row>
    <row r="13785">
      <c r="K13785" s="124"/>
      <c r="L13785" s="124"/>
      <c r="M13785" s="124"/>
      <c r="N13785" s="124"/>
      <c r="O13785" s="124"/>
    </row>
    <row r="13786">
      <c r="K13786" s="124"/>
      <c r="L13786" s="124"/>
      <c r="M13786" s="124"/>
      <c r="N13786" s="124"/>
      <c r="O13786" s="124"/>
    </row>
    <row r="13787">
      <c r="K13787" s="124"/>
      <c r="L13787" s="124"/>
      <c r="M13787" s="124"/>
      <c r="N13787" s="124"/>
      <c r="O13787" s="124"/>
    </row>
    <row r="13788">
      <c r="K13788" s="124"/>
      <c r="L13788" s="124"/>
      <c r="M13788" s="124"/>
      <c r="N13788" s="124"/>
      <c r="O13788" s="124"/>
    </row>
    <row r="13789">
      <c r="K13789" s="124"/>
      <c r="L13789" s="124"/>
      <c r="M13789" s="124"/>
      <c r="N13789" s="124"/>
      <c r="O13789" s="124"/>
    </row>
    <row r="13790">
      <c r="K13790" s="124"/>
      <c r="L13790" s="124"/>
      <c r="M13790" s="124"/>
      <c r="N13790" s="124"/>
      <c r="O13790" s="124"/>
    </row>
    <row r="13791">
      <c r="K13791" s="124"/>
      <c r="L13791" s="124"/>
      <c r="M13791" s="124"/>
      <c r="N13791" s="124"/>
      <c r="O13791" s="124"/>
    </row>
    <row r="13792">
      <c r="K13792" s="124"/>
      <c r="L13792" s="124"/>
      <c r="M13792" s="124"/>
      <c r="N13792" s="124"/>
      <c r="O13792" s="124"/>
    </row>
    <row r="13793">
      <c r="K13793" s="124"/>
      <c r="L13793" s="124"/>
      <c r="M13793" s="124"/>
      <c r="N13793" s="124"/>
      <c r="O13793" s="124"/>
    </row>
    <row r="13794">
      <c r="K13794" s="124"/>
      <c r="L13794" s="124"/>
      <c r="M13794" s="124"/>
      <c r="N13794" s="124"/>
      <c r="O13794" s="124"/>
    </row>
    <row r="13795">
      <c r="K13795" s="124"/>
      <c r="L13795" s="124"/>
      <c r="M13795" s="124"/>
      <c r="N13795" s="124"/>
      <c r="O13795" s="124"/>
    </row>
    <row r="13796">
      <c r="K13796" s="124"/>
      <c r="L13796" s="124"/>
      <c r="M13796" s="124"/>
      <c r="N13796" s="124"/>
      <c r="O13796" s="124"/>
    </row>
    <row r="13797">
      <c r="K13797" s="124"/>
      <c r="L13797" s="124"/>
      <c r="M13797" s="124"/>
      <c r="N13797" s="124"/>
      <c r="O13797" s="124"/>
    </row>
    <row r="13798">
      <c r="K13798" s="124"/>
      <c r="L13798" s="124"/>
      <c r="M13798" s="124"/>
      <c r="N13798" s="124"/>
      <c r="O13798" s="124"/>
    </row>
    <row r="13799">
      <c r="K13799" s="124"/>
      <c r="L13799" s="124"/>
      <c r="M13799" s="124"/>
      <c r="N13799" s="124"/>
      <c r="O13799" s="124"/>
    </row>
    <row r="13800">
      <c r="K13800" s="124"/>
      <c r="L13800" s="124"/>
      <c r="M13800" s="124"/>
      <c r="N13800" s="124"/>
      <c r="O13800" s="124"/>
    </row>
    <row r="13801">
      <c r="K13801" s="124"/>
      <c r="L13801" s="124"/>
      <c r="M13801" s="124"/>
      <c r="N13801" s="124"/>
      <c r="O13801" s="124"/>
    </row>
    <row r="13802">
      <c r="K13802" s="124"/>
      <c r="L13802" s="124"/>
      <c r="M13802" s="124"/>
      <c r="N13802" s="124"/>
      <c r="O13802" s="124"/>
    </row>
    <row r="13803">
      <c r="K13803" s="124"/>
      <c r="L13803" s="124"/>
      <c r="M13803" s="124"/>
      <c r="N13803" s="124"/>
      <c r="O13803" s="124"/>
    </row>
    <row r="13804">
      <c r="K13804" s="124"/>
      <c r="L13804" s="124"/>
      <c r="M13804" s="124"/>
      <c r="N13804" s="124"/>
      <c r="O13804" s="124"/>
    </row>
    <row r="13805">
      <c r="K13805" s="124"/>
      <c r="L13805" s="124"/>
      <c r="M13805" s="124"/>
      <c r="N13805" s="124"/>
      <c r="O13805" s="124"/>
    </row>
    <row r="13806">
      <c r="K13806" s="124"/>
      <c r="L13806" s="124"/>
      <c r="M13806" s="124"/>
      <c r="N13806" s="124"/>
      <c r="O13806" s="124"/>
    </row>
    <row r="13807">
      <c r="K13807" s="124"/>
      <c r="L13807" s="124"/>
      <c r="M13807" s="124"/>
      <c r="N13807" s="124"/>
      <c r="O13807" s="124"/>
    </row>
    <row r="13808">
      <c r="K13808" s="124"/>
      <c r="L13808" s="124"/>
      <c r="M13808" s="124"/>
      <c r="N13808" s="124"/>
      <c r="O13808" s="124"/>
    </row>
    <row r="13809">
      <c r="K13809" s="124"/>
      <c r="L13809" s="124"/>
      <c r="M13809" s="124"/>
      <c r="N13809" s="124"/>
      <c r="O13809" s="124"/>
    </row>
    <row r="13810">
      <c r="K13810" s="124"/>
      <c r="L13810" s="124"/>
      <c r="M13810" s="124"/>
      <c r="N13810" s="124"/>
      <c r="O13810" s="124"/>
    </row>
    <row r="13811">
      <c r="K13811" s="124"/>
      <c r="L13811" s="124"/>
      <c r="M13811" s="124"/>
      <c r="N13811" s="124"/>
      <c r="O13811" s="124"/>
    </row>
    <row r="13812">
      <c r="K13812" s="124"/>
      <c r="L13812" s="124"/>
      <c r="M13812" s="124"/>
      <c r="N13812" s="124"/>
      <c r="O13812" s="124"/>
    </row>
    <row r="13813">
      <c r="K13813" s="124"/>
      <c r="L13813" s="124"/>
      <c r="M13813" s="124"/>
      <c r="N13813" s="124"/>
      <c r="O13813" s="124"/>
    </row>
    <row r="13814">
      <c r="K13814" s="124"/>
      <c r="L13814" s="124"/>
      <c r="M13814" s="124"/>
      <c r="N13814" s="124"/>
      <c r="O13814" s="124"/>
    </row>
    <row r="13815">
      <c r="K13815" s="124"/>
      <c r="L13815" s="124"/>
      <c r="M13815" s="124"/>
      <c r="N13815" s="124"/>
      <c r="O13815" s="124"/>
    </row>
    <row r="13816">
      <c r="K13816" s="124"/>
      <c r="L13816" s="124"/>
      <c r="M13816" s="124"/>
      <c r="N13816" s="124"/>
      <c r="O13816" s="124"/>
    </row>
    <row r="13817">
      <c r="K13817" s="124"/>
      <c r="L13817" s="124"/>
      <c r="M13817" s="124"/>
      <c r="N13817" s="124"/>
      <c r="O13817" s="124"/>
    </row>
    <row r="13818">
      <c r="K13818" s="124"/>
      <c r="L13818" s="124"/>
      <c r="M13818" s="124"/>
      <c r="N13818" s="124"/>
      <c r="O13818" s="124"/>
    </row>
    <row r="13819">
      <c r="K13819" s="124"/>
      <c r="L13819" s="124"/>
      <c r="M13819" s="124"/>
      <c r="N13819" s="124"/>
      <c r="O13819" s="124"/>
    </row>
    <row r="13820">
      <c r="K13820" s="124"/>
      <c r="L13820" s="124"/>
      <c r="M13820" s="124"/>
      <c r="N13820" s="124"/>
      <c r="O13820" s="124"/>
    </row>
    <row r="13821">
      <c r="K13821" s="124"/>
      <c r="L13821" s="124"/>
      <c r="M13821" s="124"/>
      <c r="N13821" s="124"/>
      <c r="O13821" s="124"/>
    </row>
    <row r="13822">
      <c r="K13822" s="124"/>
      <c r="L13822" s="124"/>
      <c r="M13822" s="124"/>
      <c r="N13822" s="124"/>
      <c r="O13822" s="124"/>
    </row>
    <row r="13823">
      <c r="K13823" s="124"/>
      <c r="L13823" s="124"/>
      <c r="M13823" s="124"/>
      <c r="N13823" s="124"/>
      <c r="O13823" s="124"/>
    </row>
    <row r="13824">
      <c r="K13824" s="124"/>
      <c r="L13824" s="124"/>
      <c r="M13824" s="124"/>
      <c r="N13824" s="124"/>
      <c r="O13824" s="124"/>
    </row>
    <row r="13825">
      <c r="K13825" s="124"/>
      <c r="L13825" s="124"/>
      <c r="M13825" s="124"/>
      <c r="N13825" s="124"/>
      <c r="O13825" s="124"/>
    </row>
    <row r="13826">
      <c r="K13826" s="124"/>
      <c r="L13826" s="124"/>
      <c r="M13826" s="124"/>
      <c r="N13826" s="124"/>
      <c r="O13826" s="124"/>
    </row>
    <row r="13827">
      <c r="K13827" s="124"/>
      <c r="L13827" s="124"/>
      <c r="M13827" s="124"/>
      <c r="N13827" s="124"/>
      <c r="O13827" s="124"/>
    </row>
    <row r="13828">
      <c r="K13828" s="124"/>
      <c r="L13828" s="124"/>
      <c r="M13828" s="124"/>
      <c r="N13828" s="124"/>
      <c r="O13828" s="124"/>
    </row>
    <row r="13829">
      <c r="K13829" s="124"/>
      <c r="L13829" s="124"/>
      <c r="M13829" s="124"/>
      <c r="N13829" s="124"/>
      <c r="O13829" s="124"/>
    </row>
    <row r="13830">
      <c r="K13830" s="124"/>
      <c r="L13830" s="124"/>
      <c r="M13830" s="124"/>
      <c r="N13830" s="124"/>
      <c r="O13830" s="124"/>
    </row>
    <row r="13831">
      <c r="K13831" s="124"/>
      <c r="L13831" s="124"/>
      <c r="M13831" s="124"/>
      <c r="N13831" s="124"/>
      <c r="O13831" s="124"/>
    </row>
    <row r="13832">
      <c r="K13832" s="124"/>
      <c r="L13832" s="124"/>
      <c r="M13832" s="124"/>
      <c r="N13832" s="124"/>
      <c r="O13832" s="124"/>
    </row>
    <row r="13833">
      <c r="K13833" s="124"/>
      <c r="L13833" s="124"/>
      <c r="M13833" s="124"/>
      <c r="N13833" s="124"/>
      <c r="O13833" s="124"/>
    </row>
    <row r="13834">
      <c r="K13834" s="124"/>
      <c r="L13834" s="124"/>
      <c r="M13834" s="124"/>
      <c r="N13834" s="124"/>
      <c r="O13834" s="124"/>
    </row>
    <row r="13835">
      <c r="K13835" s="124"/>
      <c r="L13835" s="124"/>
      <c r="M13835" s="124"/>
      <c r="N13835" s="124"/>
      <c r="O13835" s="124"/>
    </row>
    <row r="13836">
      <c r="K13836" s="124"/>
      <c r="L13836" s="124"/>
      <c r="M13836" s="124"/>
      <c r="N13836" s="124"/>
      <c r="O13836" s="124"/>
    </row>
    <row r="13837">
      <c r="K13837" s="124"/>
      <c r="L13837" s="124"/>
      <c r="M13837" s="124"/>
      <c r="N13837" s="124"/>
      <c r="O13837" s="124"/>
    </row>
    <row r="13838">
      <c r="K13838" s="124"/>
      <c r="L13838" s="124"/>
      <c r="M13838" s="124"/>
      <c r="N13838" s="124"/>
      <c r="O13838" s="124"/>
    </row>
    <row r="13839">
      <c r="K13839" s="124"/>
      <c r="L13839" s="124"/>
      <c r="M13839" s="124"/>
      <c r="N13839" s="124"/>
      <c r="O13839" s="124"/>
    </row>
    <row r="13840">
      <c r="K13840" s="124"/>
      <c r="L13840" s="124"/>
      <c r="M13840" s="124"/>
      <c r="N13840" s="124"/>
      <c r="O13840" s="124"/>
    </row>
    <row r="13841">
      <c r="K13841" s="124"/>
      <c r="L13841" s="124"/>
      <c r="M13841" s="124"/>
      <c r="N13841" s="124"/>
      <c r="O13841" s="124"/>
    </row>
    <row r="13842">
      <c r="K13842" s="124"/>
      <c r="L13842" s="124"/>
      <c r="M13842" s="124"/>
      <c r="N13842" s="124"/>
      <c r="O13842" s="124"/>
    </row>
    <row r="13843">
      <c r="K13843" s="124"/>
      <c r="L13843" s="124"/>
      <c r="M13843" s="124"/>
      <c r="N13843" s="124"/>
      <c r="O13843" s="124"/>
    </row>
    <row r="13844">
      <c r="K13844" s="124"/>
      <c r="L13844" s="124"/>
      <c r="M13844" s="124"/>
      <c r="N13844" s="124"/>
      <c r="O13844" s="124"/>
    </row>
    <row r="13845">
      <c r="K13845" s="124"/>
      <c r="L13845" s="124"/>
      <c r="M13845" s="124"/>
      <c r="N13845" s="124"/>
      <c r="O13845" s="124"/>
    </row>
    <row r="13846">
      <c r="K13846" s="124"/>
      <c r="L13846" s="124"/>
      <c r="M13846" s="124"/>
      <c r="N13846" s="124"/>
      <c r="O13846" s="124"/>
    </row>
    <row r="13847">
      <c r="K13847" s="124"/>
      <c r="L13847" s="124"/>
      <c r="M13847" s="124"/>
      <c r="N13847" s="124"/>
      <c r="O13847" s="124"/>
    </row>
    <row r="13848">
      <c r="K13848" s="124"/>
      <c r="L13848" s="124"/>
      <c r="M13848" s="124"/>
      <c r="N13848" s="124"/>
      <c r="O13848" s="124"/>
    </row>
    <row r="13849">
      <c r="K13849" s="124"/>
      <c r="L13849" s="124"/>
      <c r="M13849" s="124"/>
      <c r="N13849" s="124"/>
      <c r="O13849" s="124"/>
    </row>
    <row r="13850">
      <c r="K13850" s="124"/>
      <c r="L13850" s="124"/>
      <c r="M13850" s="124"/>
      <c r="N13850" s="124"/>
      <c r="O13850" s="124"/>
    </row>
    <row r="13851">
      <c r="K13851" s="124"/>
      <c r="L13851" s="124"/>
      <c r="M13851" s="124"/>
      <c r="N13851" s="124"/>
      <c r="O13851" s="124"/>
    </row>
    <row r="13852">
      <c r="K13852" s="124"/>
      <c r="L13852" s="124"/>
      <c r="M13852" s="124"/>
      <c r="N13852" s="124"/>
      <c r="O13852" s="124"/>
    </row>
    <row r="13853">
      <c r="K13853" s="124"/>
      <c r="L13853" s="124"/>
      <c r="M13853" s="124"/>
      <c r="N13853" s="124"/>
      <c r="O13853" s="124"/>
    </row>
    <row r="13854">
      <c r="K13854" s="124"/>
      <c r="L13854" s="124"/>
      <c r="M13854" s="124"/>
      <c r="N13854" s="124"/>
      <c r="O13854" s="124"/>
    </row>
    <row r="13855">
      <c r="K13855" s="124"/>
      <c r="L13855" s="124"/>
      <c r="M13855" s="124"/>
      <c r="N13855" s="124"/>
      <c r="O13855" s="124"/>
    </row>
    <row r="13856">
      <c r="K13856" s="124"/>
      <c r="L13856" s="124"/>
      <c r="M13856" s="124"/>
      <c r="N13856" s="124"/>
      <c r="O13856" s="124"/>
    </row>
    <row r="13857">
      <c r="K13857" s="124"/>
      <c r="L13857" s="124"/>
      <c r="M13857" s="124"/>
      <c r="N13857" s="124"/>
      <c r="O13857" s="124"/>
    </row>
    <row r="13858">
      <c r="K13858" s="124"/>
      <c r="L13858" s="124"/>
      <c r="M13858" s="124"/>
      <c r="N13858" s="124"/>
      <c r="O13858" s="124"/>
    </row>
    <row r="13859">
      <c r="K13859" s="124"/>
      <c r="L13859" s="124"/>
      <c r="M13859" s="124"/>
      <c r="N13859" s="124"/>
      <c r="O13859" s="124"/>
    </row>
    <row r="13860">
      <c r="K13860" s="124"/>
      <c r="L13860" s="124"/>
      <c r="M13860" s="124"/>
      <c r="N13860" s="124"/>
      <c r="O13860" s="124"/>
    </row>
    <row r="13861">
      <c r="K13861" s="124"/>
      <c r="L13861" s="124"/>
      <c r="M13861" s="124"/>
      <c r="N13861" s="124"/>
      <c r="O13861" s="124"/>
    </row>
    <row r="13862">
      <c r="K13862" s="124"/>
      <c r="L13862" s="124"/>
      <c r="M13862" s="124"/>
      <c r="N13862" s="124"/>
      <c r="O13862" s="124"/>
    </row>
    <row r="13863">
      <c r="K13863" s="124"/>
      <c r="L13863" s="124"/>
      <c r="M13863" s="124"/>
      <c r="N13863" s="124"/>
      <c r="O13863" s="124"/>
    </row>
    <row r="13864">
      <c r="K13864" s="124"/>
      <c r="L13864" s="124"/>
      <c r="M13864" s="124"/>
      <c r="N13864" s="124"/>
      <c r="O13864" s="124"/>
    </row>
    <row r="13865">
      <c r="K13865" s="124"/>
      <c r="L13865" s="124"/>
      <c r="M13865" s="124"/>
      <c r="N13865" s="124"/>
      <c r="O13865" s="124"/>
    </row>
    <row r="13866">
      <c r="K13866" s="124"/>
      <c r="L13866" s="124"/>
      <c r="M13866" s="124"/>
      <c r="N13866" s="124"/>
      <c r="O13866" s="124"/>
    </row>
    <row r="13867">
      <c r="K13867" s="124"/>
      <c r="L13867" s="124"/>
      <c r="M13867" s="124"/>
      <c r="N13867" s="124"/>
      <c r="O13867" s="124"/>
    </row>
    <row r="13868">
      <c r="K13868" s="124"/>
      <c r="L13868" s="124"/>
      <c r="M13868" s="124"/>
      <c r="N13868" s="124"/>
      <c r="O13868" s="124"/>
    </row>
    <row r="13869">
      <c r="K13869" s="124"/>
      <c r="L13869" s="124"/>
      <c r="M13869" s="124"/>
      <c r="N13869" s="124"/>
      <c r="O13869" s="124"/>
    </row>
    <row r="13870">
      <c r="K13870" s="124"/>
      <c r="L13870" s="124"/>
      <c r="M13870" s="124"/>
      <c r="N13870" s="124"/>
      <c r="O13870" s="124"/>
    </row>
    <row r="13871">
      <c r="K13871" s="124"/>
      <c r="L13871" s="124"/>
      <c r="M13871" s="124"/>
      <c r="N13871" s="124"/>
      <c r="O13871" s="124"/>
    </row>
    <row r="13872">
      <c r="K13872" s="124"/>
      <c r="L13872" s="124"/>
      <c r="M13872" s="124"/>
      <c r="N13872" s="124"/>
      <c r="O13872" s="124"/>
    </row>
    <row r="13873">
      <c r="K13873" s="124"/>
      <c r="L13873" s="124"/>
      <c r="M13873" s="124"/>
      <c r="N13873" s="124"/>
      <c r="O13873" s="124"/>
    </row>
    <row r="13874">
      <c r="K13874" s="124"/>
      <c r="L13874" s="124"/>
      <c r="M13874" s="124"/>
      <c r="N13874" s="124"/>
      <c r="O13874" s="124"/>
    </row>
    <row r="13875">
      <c r="K13875" s="124"/>
      <c r="L13875" s="124"/>
      <c r="M13875" s="124"/>
      <c r="N13875" s="124"/>
      <c r="O13875" s="124"/>
    </row>
    <row r="13876">
      <c r="K13876" s="124"/>
      <c r="L13876" s="124"/>
      <c r="M13876" s="124"/>
      <c r="N13876" s="124"/>
      <c r="O13876" s="124"/>
    </row>
    <row r="13877">
      <c r="K13877" s="124"/>
      <c r="L13877" s="124"/>
      <c r="M13877" s="124"/>
      <c r="N13877" s="124"/>
      <c r="O13877" s="124"/>
    </row>
    <row r="13878">
      <c r="K13878" s="124"/>
      <c r="L13878" s="124"/>
      <c r="M13878" s="124"/>
      <c r="N13878" s="124"/>
      <c r="O13878" s="124"/>
    </row>
    <row r="13879">
      <c r="K13879" s="124"/>
      <c r="L13879" s="124"/>
      <c r="M13879" s="124"/>
      <c r="N13879" s="124"/>
      <c r="O13879" s="124"/>
    </row>
    <row r="13880">
      <c r="K13880" s="124"/>
      <c r="L13880" s="124"/>
      <c r="M13880" s="124"/>
      <c r="N13880" s="124"/>
      <c r="O13880" s="124"/>
    </row>
    <row r="13881">
      <c r="K13881" s="124"/>
      <c r="L13881" s="124"/>
      <c r="M13881" s="124"/>
      <c r="N13881" s="124"/>
      <c r="O13881" s="124"/>
    </row>
    <row r="13882">
      <c r="K13882" s="124"/>
      <c r="L13882" s="124"/>
      <c r="M13882" s="124"/>
      <c r="N13882" s="124"/>
      <c r="O13882" s="124"/>
    </row>
    <row r="13883">
      <c r="K13883" s="124"/>
      <c r="L13883" s="124"/>
      <c r="M13883" s="124"/>
      <c r="N13883" s="124"/>
      <c r="O13883" s="124"/>
    </row>
    <row r="13884">
      <c r="K13884" s="124"/>
      <c r="L13884" s="124"/>
      <c r="M13884" s="124"/>
      <c r="N13884" s="124"/>
      <c r="O13884" s="124"/>
    </row>
    <row r="13885">
      <c r="K13885" s="124"/>
      <c r="L13885" s="124"/>
      <c r="M13885" s="124"/>
      <c r="N13885" s="124"/>
      <c r="O13885" s="124"/>
    </row>
    <row r="13886">
      <c r="K13886" s="124"/>
      <c r="L13886" s="124"/>
      <c r="M13886" s="124"/>
      <c r="N13886" s="124"/>
      <c r="O13886" s="124"/>
    </row>
    <row r="13887">
      <c r="K13887" s="124"/>
      <c r="L13887" s="124"/>
      <c r="M13887" s="124"/>
      <c r="N13887" s="124"/>
      <c r="O13887" s="124"/>
    </row>
    <row r="13888">
      <c r="K13888" s="124"/>
      <c r="L13888" s="124"/>
      <c r="M13888" s="124"/>
      <c r="N13888" s="124"/>
      <c r="O13888" s="124"/>
    </row>
    <row r="13889">
      <c r="K13889" s="124"/>
      <c r="L13889" s="124"/>
      <c r="M13889" s="124"/>
      <c r="N13889" s="124"/>
      <c r="O13889" s="124"/>
    </row>
    <row r="13890">
      <c r="K13890" s="124"/>
      <c r="L13890" s="124"/>
      <c r="M13890" s="124"/>
      <c r="N13890" s="124"/>
      <c r="O13890" s="124"/>
    </row>
    <row r="13891">
      <c r="K13891" s="124"/>
      <c r="L13891" s="124"/>
      <c r="M13891" s="124"/>
      <c r="N13891" s="124"/>
      <c r="O13891" s="124"/>
    </row>
    <row r="13892">
      <c r="K13892" s="124"/>
      <c r="L13892" s="124"/>
      <c r="M13892" s="124"/>
      <c r="N13892" s="124"/>
      <c r="O13892" s="124"/>
    </row>
    <row r="13893">
      <c r="K13893" s="124"/>
      <c r="L13893" s="124"/>
      <c r="M13893" s="124"/>
      <c r="N13893" s="124"/>
      <c r="O13893" s="124"/>
    </row>
    <row r="13894">
      <c r="K13894" s="124"/>
      <c r="L13894" s="124"/>
      <c r="M13894" s="124"/>
      <c r="N13894" s="124"/>
      <c r="O13894" s="124"/>
    </row>
    <row r="13895">
      <c r="K13895" s="124"/>
      <c r="L13895" s="124"/>
      <c r="M13895" s="124"/>
      <c r="N13895" s="124"/>
      <c r="O13895" s="124"/>
    </row>
    <row r="13896">
      <c r="K13896" s="124"/>
      <c r="L13896" s="124"/>
      <c r="M13896" s="124"/>
      <c r="N13896" s="124"/>
      <c r="O13896" s="124"/>
    </row>
    <row r="13897">
      <c r="K13897" s="124"/>
      <c r="L13897" s="124"/>
      <c r="M13897" s="124"/>
      <c r="N13897" s="124"/>
      <c r="O13897" s="124"/>
    </row>
    <row r="13898">
      <c r="K13898" s="124"/>
      <c r="L13898" s="124"/>
      <c r="M13898" s="124"/>
      <c r="N13898" s="124"/>
      <c r="O13898" s="124"/>
    </row>
    <row r="13899">
      <c r="K13899" s="124"/>
      <c r="L13899" s="124"/>
      <c r="M13899" s="124"/>
      <c r="N13899" s="124"/>
      <c r="O13899" s="124"/>
    </row>
    <row r="13900">
      <c r="K13900" s="124"/>
      <c r="L13900" s="124"/>
      <c r="M13900" s="124"/>
      <c r="N13900" s="124"/>
      <c r="O13900" s="124"/>
    </row>
    <row r="13901">
      <c r="K13901" s="124"/>
      <c r="L13901" s="124"/>
      <c r="M13901" s="124"/>
      <c r="N13901" s="124"/>
      <c r="O13901" s="124"/>
    </row>
    <row r="13902">
      <c r="K13902" s="124"/>
      <c r="L13902" s="124"/>
      <c r="M13902" s="124"/>
      <c r="N13902" s="124"/>
      <c r="O13902" s="124"/>
    </row>
    <row r="13903">
      <c r="K13903" s="124"/>
      <c r="L13903" s="124"/>
      <c r="M13903" s="124"/>
      <c r="N13903" s="124"/>
      <c r="O13903" s="124"/>
    </row>
    <row r="13904">
      <c r="K13904" s="124"/>
      <c r="L13904" s="124"/>
      <c r="M13904" s="124"/>
      <c r="N13904" s="124"/>
      <c r="O13904" s="124"/>
    </row>
    <row r="13905">
      <c r="K13905" s="124"/>
      <c r="L13905" s="124"/>
      <c r="M13905" s="124"/>
      <c r="N13905" s="124"/>
      <c r="O13905" s="124"/>
    </row>
    <row r="13906">
      <c r="K13906" s="124"/>
      <c r="L13906" s="124"/>
      <c r="M13906" s="124"/>
      <c r="N13906" s="124"/>
      <c r="O13906" s="124"/>
    </row>
    <row r="13907">
      <c r="K13907" s="124"/>
      <c r="L13907" s="124"/>
      <c r="M13907" s="124"/>
      <c r="N13907" s="124"/>
      <c r="O13907" s="124"/>
    </row>
    <row r="13908">
      <c r="K13908" s="124"/>
      <c r="L13908" s="124"/>
      <c r="M13908" s="124"/>
      <c r="N13908" s="124"/>
      <c r="O13908" s="124"/>
    </row>
    <row r="13909">
      <c r="K13909" s="124"/>
      <c r="L13909" s="124"/>
      <c r="M13909" s="124"/>
      <c r="N13909" s="124"/>
      <c r="O13909" s="124"/>
    </row>
    <row r="13910">
      <c r="K13910" s="124"/>
      <c r="L13910" s="124"/>
      <c r="M13910" s="124"/>
      <c r="N13910" s="124"/>
      <c r="O13910" s="124"/>
    </row>
    <row r="13911">
      <c r="K13911" s="124"/>
      <c r="L13911" s="124"/>
      <c r="M13911" s="124"/>
      <c r="N13911" s="124"/>
      <c r="O13911" s="124"/>
    </row>
    <row r="13912">
      <c r="K13912" s="124"/>
      <c r="L13912" s="124"/>
      <c r="M13912" s="124"/>
      <c r="N13912" s="124"/>
      <c r="O13912" s="124"/>
    </row>
    <row r="13913">
      <c r="K13913" s="124"/>
      <c r="L13913" s="124"/>
      <c r="M13913" s="124"/>
      <c r="N13913" s="124"/>
      <c r="O13913" s="124"/>
    </row>
    <row r="13914">
      <c r="K13914" s="124"/>
      <c r="L13914" s="124"/>
      <c r="M13914" s="124"/>
      <c r="N13914" s="124"/>
      <c r="O13914" s="124"/>
    </row>
    <row r="13915">
      <c r="K13915" s="124"/>
      <c r="L13915" s="124"/>
      <c r="M13915" s="124"/>
      <c r="N13915" s="124"/>
      <c r="O13915" s="124"/>
    </row>
    <row r="13916">
      <c r="K13916" s="124"/>
      <c r="L13916" s="124"/>
      <c r="M13916" s="124"/>
      <c r="N13916" s="124"/>
      <c r="O13916" s="124"/>
    </row>
    <row r="13917">
      <c r="K13917" s="124"/>
      <c r="L13917" s="124"/>
      <c r="M13917" s="124"/>
      <c r="N13917" s="124"/>
      <c r="O13917" s="124"/>
    </row>
    <row r="13918">
      <c r="K13918" s="124"/>
      <c r="L13918" s="124"/>
      <c r="M13918" s="124"/>
      <c r="N13918" s="124"/>
      <c r="O13918" s="124"/>
    </row>
    <row r="13919">
      <c r="K13919" s="124"/>
      <c r="L13919" s="124"/>
      <c r="M13919" s="124"/>
      <c r="N13919" s="124"/>
      <c r="O13919" s="124"/>
    </row>
    <row r="13920">
      <c r="K13920" s="124"/>
      <c r="L13920" s="124"/>
      <c r="M13920" s="124"/>
      <c r="N13920" s="124"/>
      <c r="O13920" s="124"/>
    </row>
    <row r="13921">
      <c r="K13921" s="124"/>
      <c r="L13921" s="124"/>
      <c r="M13921" s="124"/>
      <c r="N13921" s="124"/>
      <c r="O13921" s="124"/>
    </row>
    <row r="13922">
      <c r="K13922" s="124"/>
      <c r="L13922" s="124"/>
      <c r="M13922" s="124"/>
      <c r="N13922" s="124"/>
      <c r="O13922" s="124"/>
    </row>
    <row r="13923">
      <c r="K13923" s="124"/>
      <c r="L13923" s="124"/>
      <c r="M13923" s="124"/>
      <c r="N13923" s="124"/>
      <c r="O13923" s="124"/>
    </row>
    <row r="13924">
      <c r="K13924" s="124"/>
      <c r="L13924" s="124"/>
      <c r="M13924" s="124"/>
      <c r="N13924" s="124"/>
      <c r="O13924" s="124"/>
    </row>
    <row r="13925">
      <c r="K13925" s="124"/>
      <c r="L13925" s="124"/>
      <c r="M13925" s="124"/>
      <c r="N13925" s="124"/>
      <c r="O13925" s="124"/>
    </row>
    <row r="13926">
      <c r="K13926" s="124"/>
      <c r="L13926" s="124"/>
      <c r="M13926" s="124"/>
      <c r="N13926" s="124"/>
      <c r="O13926" s="124"/>
    </row>
    <row r="13927">
      <c r="K13927" s="124"/>
      <c r="L13927" s="124"/>
      <c r="M13927" s="124"/>
      <c r="N13927" s="124"/>
      <c r="O13927" s="124"/>
    </row>
    <row r="13928">
      <c r="K13928" s="124"/>
      <c r="L13928" s="124"/>
      <c r="M13928" s="124"/>
      <c r="N13928" s="124"/>
      <c r="O13928" s="124"/>
    </row>
    <row r="13929">
      <c r="K13929" s="124"/>
      <c r="L13929" s="124"/>
      <c r="M13929" s="124"/>
      <c r="N13929" s="124"/>
      <c r="O13929" s="124"/>
    </row>
    <row r="13930">
      <c r="K13930" s="124"/>
      <c r="L13930" s="124"/>
      <c r="M13930" s="124"/>
      <c r="N13930" s="124"/>
      <c r="O13930" s="124"/>
    </row>
    <row r="13931">
      <c r="K13931" s="124"/>
      <c r="L13931" s="124"/>
      <c r="M13931" s="124"/>
      <c r="N13931" s="124"/>
      <c r="O13931" s="124"/>
    </row>
    <row r="13932">
      <c r="K13932" s="124"/>
      <c r="L13932" s="124"/>
      <c r="M13932" s="124"/>
      <c r="N13932" s="124"/>
      <c r="O13932" s="124"/>
    </row>
    <row r="13933">
      <c r="K13933" s="124"/>
      <c r="L13933" s="124"/>
      <c r="M13933" s="124"/>
      <c r="N13933" s="124"/>
      <c r="O13933" s="124"/>
    </row>
    <row r="13934">
      <c r="K13934" s="124"/>
      <c r="L13934" s="124"/>
      <c r="M13934" s="124"/>
      <c r="N13934" s="124"/>
      <c r="O13934" s="124"/>
    </row>
    <row r="13935">
      <c r="K13935" s="124"/>
      <c r="L13935" s="124"/>
      <c r="M13935" s="124"/>
      <c r="N13935" s="124"/>
      <c r="O13935" s="124"/>
    </row>
    <row r="13936">
      <c r="K13936" s="124"/>
      <c r="L13936" s="124"/>
      <c r="M13936" s="124"/>
      <c r="N13936" s="124"/>
      <c r="O13936" s="124"/>
    </row>
    <row r="13937">
      <c r="K13937" s="124"/>
      <c r="L13937" s="124"/>
      <c r="M13937" s="124"/>
      <c r="N13937" s="124"/>
      <c r="O13937" s="124"/>
    </row>
    <row r="13938">
      <c r="K13938" s="124"/>
      <c r="L13938" s="124"/>
      <c r="M13938" s="124"/>
      <c r="N13938" s="124"/>
      <c r="O13938" s="124"/>
    </row>
    <row r="13939">
      <c r="K13939" s="124"/>
      <c r="L13939" s="124"/>
      <c r="M13939" s="124"/>
      <c r="N13939" s="124"/>
      <c r="O13939" s="124"/>
    </row>
    <row r="13940">
      <c r="K13940" s="124"/>
      <c r="L13940" s="124"/>
      <c r="M13940" s="124"/>
      <c r="N13940" s="124"/>
      <c r="O13940" s="124"/>
    </row>
    <row r="13941">
      <c r="K13941" s="124"/>
      <c r="L13941" s="124"/>
      <c r="M13941" s="124"/>
      <c r="N13941" s="124"/>
      <c r="O13941" s="124"/>
    </row>
    <row r="13942">
      <c r="K13942" s="124"/>
      <c r="L13942" s="124"/>
      <c r="M13942" s="124"/>
      <c r="N13942" s="124"/>
      <c r="O13942" s="124"/>
    </row>
    <row r="13943">
      <c r="K13943" s="124"/>
      <c r="L13943" s="124"/>
      <c r="M13943" s="124"/>
      <c r="N13943" s="124"/>
      <c r="O13943" s="124"/>
    </row>
    <row r="13944">
      <c r="K13944" s="124"/>
      <c r="L13944" s="124"/>
      <c r="M13944" s="124"/>
      <c r="N13944" s="124"/>
      <c r="O13944" s="124"/>
    </row>
    <row r="13945">
      <c r="K13945" s="124"/>
      <c r="L13945" s="124"/>
      <c r="M13945" s="124"/>
      <c r="N13945" s="124"/>
      <c r="O13945" s="124"/>
    </row>
    <row r="13946">
      <c r="K13946" s="124"/>
      <c r="L13946" s="124"/>
      <c r="M13946" s="124"/>
      <c r="N13946" s="124"/>
      <c r="O13946" s="124"/>
    </row>
    <row r="13947">
      <c r="K13947" s="124"/>
      <c r="L13947" s="124"/>
      <c r="M13947" s="124"/>
      <c r="N13947" s="124"/>
      <c r="O13947" s="124"/>
    </row>
    <row r="13948">
      <c r="K13948" s="124"/>
      <c r="L13948" s="124"/>
      <c r="M13948" s="124"/>
      <c r="N13948" s="124"/>
      <c r="O13948" s="124"/>
    </row>
    <row r="13949">
      <c r="K13949" s="124"/>
      <c r="L13949" s="124"/>
      <c r="M13949" s="124"/>
      <c r="N13949" s="124"/>
      <c r="O13949" s="124"/>
    </row>
    <row r="13950">
      <c r="K13950" s="124"/>
      <c r="L13950" s="124"/>
      <c r="M13950" s="124"/>
      <c r="N13950" s="124"/>
      <c r="O13950" s="124"/>
    </row>
    <row r="13951">
      <c r="K13951" s="124"/>
      <c r="L13951" s="124"/>
      <c r="M13951" s="124"/>
      <c r="N13951" s="124"/>
      <c r="O13951" s="124"/>
    </row>
    <row r="13952">
      <c r="K13952" s="124"/>
      <c r="L13952" s="124"/>
      <c r="M13952" s="124"/>
      <c r="N13952" s="124"/>
      <c r="O13952" s="124"/>
    </row>
    <row r="13953">
      <c r="K13953" s="124"/>
      <c r="L13953" s="124"/>
      <c r="M13953" s="124"/>
      <c r="N13953" s="124"/>
      <c r="O13953" s="124"/>
    </row>
    <row r="13954">
      <c r="K13954" s="124"/>
      <c r="L13954" s="124"/>
      <c r="M13954" s="124"/>
      <c r="N13954" s="124"/>
      <c r="O13954" s="124"/>
    </row>
    <row r="13955">
      <c r="K13955" s="124"/>
      <c r="L13955" s="124"/>
      <c r="M13955" s="124"/>
      <c r="N13955" s="124"/>
      <c r="O13955" s="124"/>
    </row>
    <row r="13956">
      <c r="K13956" s="124"/>
      <c r="L13956" s="124"/>
      <c r="M13956" s="124"/>
      <c r="N13956" s="124"/>
      <c r="O13956" s="124"/>
    </row>
    <row r="13957">
      <c r="K13957" s="124"/>
      <c r="L13957" s="124"/>
      <c r="M13957" s="124"/>
      <c r="N13957" s="124"/>
      <c r="O13957" s="124"/>
    </row>
    <row r="13958">
      <c r="K13958" s="124"/>
      <c r="L13958" s="124"/>
      <c r="M13958" s="124"/>
      <c r="N13958" s="124"/>
      <c r="O13958" s="124"/>
    </row>
    <row r="13959">
      <c r="K13959" s="124"/>
      <c r="L13959" s="124"/>
      <c r="M13959" s="124"/>
      <c r="N13959" s="124"/>
      <c r="O13959" s="124"/>
    </row>
    <row r="13960">
      <c r="K13960" s="124"/>
      <c r="L13960" s="124"/>
      <c r="M13960" s="124"/>
      <c r="N13960" s="124"/>
      <c r="O13960" s="124"/>
    </row>
    <row r="13961">
      <c r="K13961" s="124"/>
      <c r="L13961" s="124"/>
      <c r="M13961" s="124"/>
      <c r="N13961" s="124"/>
      <c r="O13961" s="124"/>
    </row>
    <row r="13962">
      <c r="K13962" s="124"/>
      <c r="L13962" s="124"/>
      <c r="M13962" s="124"/>
      <c r="N13962" s="124"/>
      <c r="O13962" s="124"/>
    </row>
    <row r="13963">
      <c r="K13963" s="124"/>
      <c r="L13963" s="124"/>
      <c r="M13963" s="124"/>
      <c r="N13963" s="124"/>
      <c r="O13963" s="124"/>
    </row>
    <row r="13964">
      <c r="K13964" s="124"/>
      <c r="L13964" s="124"/>
      <c r="M13964" s="124"/>
      <c r="N13964" s="124"/>
      <c r="O13964" s="124"/>
    </row>
    <row r="13965">
      <c r="K13965" s="124"/>
      <c r="L13965" s="124"/>
      <c r="M13965" s="124"/>
      <c r="N13965" s="124"/>
      <c r="O13965" s="124"/>
    </row>
    <row r="13966">
      <c r="K13966" s="124"/>
      <c r="L13966" s="124"/>
      <c r="M13966" s="124"/>
      <c r="N13966" s="124"/>
      <c r="O13966" s="124"/>
    </row>
    <row r="13967">
      <c r="K13967" s="124"/>
      <c r="L13967" s="124"/>
      <c r="M13967" s="124"/>
      <c r="N13967" s="124"/>
      <c r="O13967" s="124"/>
    </row>
    <row r="13968">
      <c r="K13968" s="124"/>
      <c r="L13968" s="124"/>
      <c r="M13968" s="124"/>
      <c r="N13968" s="124"/>
      <c r="O13968" s="124"/>
    </row>
    <row r="13969">
      <c r="K13969" s="124"/>
      <c r="L13969" s="124"/>
      <c r="M13969" s="124"/>
      <c r="N13969" s="124"/>
      <c r="O13969" s="124"/>
    </row>
    <row r="13970">
      <c r="K13970" s="124"/>
      <c r="L13970" s="124"/>
      <c r="M13970" s="124"/>
      <c r="N13970" s="124"/>
      <c r="O13970" s="124"/>
    </row>
    <row r="13971">
      <c r="K13971" s="124"/>
      <c r="L13971" s="124"/>
      <c r="M13971" s="124"/>
      <c r="N13971" s="124"/>
      <c r="O13971" s="124"/>
    </row>
    <row r="13972">
      <c r="K13972" s="124"/>
      <c r="L13972" s="124"/>
      <c r="M13972" s="124"/>
      <c r="N13972" s="124"/>
      <c r="O13972" s="124"/>
    </row>
    <row r="13973">
      <c r="K13973" s="124"/>
      <c r="L13973" s="124"/>
      <c r="M13973" s="124"/>
      <c r="N13973" s="124"/>
      <c r="O13973" s="124"/>
    </row>
    <row r="13974">
      <c r="K13974" s="124"/>
      <c r="L13974" s="124"/>
      <c r="M13974" s="124"/>
      <c r="N13974" s="124"/>
      <c r="O13974" s="124"/>
    </row>
    <row r="13975">
      <c r="K13975" s="124"/>
      <c r="L13975" s="124"/>
      <c r="M13975" s="124"/>
      <c r="N13975" s="124"/>
      <c r="O13975" s="124"/>
    </row>
    <row r="13976">
      <c r="K13976" s="124"/>
      <c r="L13976" s="124"/>
      <c r="M13976" s="124"/>
      <c r="N13976" s="124"/>
      <c r="O13976" s="124"/>
    </row>
    <row r="13977">
      <c r="K13977" s="124"/>
      <c r="L13977" s="124"/>
      <c r="M13977" s="124"/>
      <c r="N13977" s="124"/>
      <c r="O13977" s="124"/>
    </row>
    <row r="13978">
      <c r="K13978" s="124"/>
      <c r="L13978" s="124"/>
      <c r="M13978" s="124"/>
      <c r="N13978" s="124"/>
      <c r="O13978" s="124"/>
    </row>
    <row r="13979">
      <c r="K13979" s="124"/>
      <c r="L13979" s="124"/>
      <c r="M13979" s="124"/>
      <c r="N13979" s="124"/>
      <c r="O13979" s="124"/>
    </row>
    <row r="13980">
      <c r="K13980" s="124"/>
      <c r="L13980" s="124"/>
      <c r="M13980" s="124"/>
      <c r="N13980" s="124"/>
      <c r="O13980" s="124"/>
    </row>
    <row r="13981">
      <c r="K13981" s="124"/>
      <c r="L13981" s="124"/>
      <c r="M13981" s="124"/>
      <c r="N13981" s="124"/>
      <c r="O13981" s="124"/>
    </row>
    <row r="13982">
      <c r="K13982" s="124"/>
      <c r="L13982" s="124"/>
      <c r="M13982" s="124"/>
      <c r="N13982" s="124"/>
      <c r="O13982" s="124"/>
    </row>
    <row r="13983">
      <c r="K13983" s="124"/>
      <c r="L13983" s="124"/>
      <c r="M13983" s="124"/>
      <c r="N13983" s="124"/>
      <c r="O13983" s="124"/>
    </row>
    <row r="13984">
      <c r="K13984" s="124"/>
      <c r="L13984" s="124"/>
      <c r="M13984" s="124"/>
      <c r="N13984" s="124"/>
      <c r="O13984" s="124"/>
    </row>
    <row r="13985">
      <c r="K13985" s="124"/>
      <c r="L13985" s="124"/>
      <c r="M13985" s="124"/>
      <c r="N13985" s="124"/>
      <c r="O13985" s="124"/>
    </row>
    <row r="13986">
      <c r="K13986" s="124"/>
      <c r="L13986" s="124"/>
      <c r="M13986" s="124"/>
      <c r="N13986" s="124"/>
      <c r="O13986" s="124"/>
    </row>
    <row r="13987">
      <c r="K13987" s="124"/>
      <c r="L13987" s="124"/>
      <c r="M13987" s="124"/>
      <c r="N13987" s="124"/>
      <c r="O13987" s="124"/>
    </row>
    <row r="13988">
      <c r="K13988" s="124"/>
      <c r="L13988" s="124"/>
      <c r="M13988" s="124"/>
      <c r="N13988" s="124"/>
      <c r="O13988" s="124"/>
    </row>
    <row r="13989">
      <c r="K13989" s="124"/>
      <c r="L13989" s="124"/>
      <c r="M13989" s="124"/>
      <c r="N13989" s="124"/>
      <c r="O13989" s="124"/>
    </row>
    <row r="13990">
      <c r="K13990" s="124"/>
      <c r="L13990" s="124"/>
      <c r="M13990" s="124"/>
      <c r="N13990" s="124"/>
      <c r="O13990" s="124"/>
    </row>
    <row r="13991">
      <c r="K13991" s="124"/>
      <c r="L13991" s="124"/>
      <c r="M13991" s="124"/>
      <c r="N13991" s="124"/>
      <c r="O13991" s="124"/>
    </row>
    <row r="13992">
      <c r="K13992" s="124"/>
      <c r="L13992" s="124"/>
      <c r="M13992" s="124"/>
      <c r="N13992" s="124"/>
      <c r="O13992" s="124"/>
    </row>
    <row r="13993">
      <c r="K13993" s="124"/>
      <c r="L13993" s="124"/>
      <c r="M13993" s="124"/>
      <c r="N13993" s="124"/>
      <c r="O13993" s="124"/>
    </row>
    <row r="13994">
      <c r="K13994" s="124"/>
      <c r="L13994" s="124"/>
      <c r="M13994" s="124"/>
      <c r="N13994" s="124"/>
      <c r="O13994" s="124"/>
    </row>
    <row r="13995">
      <c r="K13995" s="124"/>
      <c r="L13995" s="124"/>
      <c r="M13995" s="124"/>
      <c r="N13995" s="124"/>
      <c r="O13995" s="124"/>
    </row>
    <row r="13996">
      <c r="K13996" s="124"/>
      <c r="L13996" s="124"/>
      <c r="M13996" s="124"/>
      <c r="N13996" s="124"/>
      <c r="O13996" s="124"/>
    </row>
    <row r="13997">
      <c r="K13997" s="124"/>
      <c r="L13997" s="124"/>
      <c r="M13997" s="124"/>
      <c r="N13997" s="124"/>
      <c r="O13997" s="124"/>
    </row>
    <row r="13998">
      <c r="K13998" s="124"/>
      <c r="L13998" s="124"/>
      <c r="M13998" s="124"/>
      <c r="N13998" s="124"/>
      <c r="O13998" s="124"/>
    </row>
    <row r="13999">
      <c r="K13999" s="124"/>
      <c r="L13999" s="124"/>
      <c r="M13999" s="124"/>
      <c r="N13999" s="124"/>
      <c r="O13999" s="124"/>
    </row>
    <row r="14000">
      <c r="K14000" s="124"/>
      <c r="L14000" s="124"/>
      <c r="M14000" s="124"/>
      <c r="N14000" s="124"/>
      <c r="O14000" s="124"/>
    </row>
    <row r="14001">
      <c r="K14001" s="124"/>
      <c r="L14001" s="124"/>
      <c r="M14001" s="124"/>
      <c r="N14001" s="124"/>
      <c r="O14001" s="124"/>
    </row>
    <row r="14002">
      <c r="K14002" s="124"/>
      <c r="L14002" s="124"/>
      <c r="M14002" s="124"/>
      <c r="N14002" s="124"/>
      <c r="O14002" s="124"/>
    </row>
    <row r="14003">
      <c r="K14003" s="124"/>
      <c r="L14003" s="124"/>
      <c r="M14003" s="124"/>
      <c r="N14003" s="124"/>
      <c r="O14003" s="124"/>
    </row>
    <row r="14004">
      <c r="K14004" s="124"/>
      <c r="L14004" s="124"/>
      <c r="M14004" s="124"/>
      <c r="N14004" s="124"/>
      <c r="O14004" s="124"/>
    </row>
    <row r="14005">
      <c r="K14005" s="124"/>
      <c r="L14005" s="124"/>
      <c r="M14005" s="124"/>
      <c r="N14005" s="124"/>
      <c r="O14005" s="124"/>
    </row>
    <row r="14006">
      <c r="K14006" s="124"/>
      <c r="L14006" s="124"/>
      <c r="M14006" s="124"/>
      <c r="N14006" s="124"/>
      <c r="O14006" s="124"/>
    </row>
    <row r="14007">
      <c r="K14007" s="124"/>
      <c r="L14007" s="124"/>
      <c r="M14007" s="124"/>
      <c r="N14007" s="124"/>
      <c r="O14007" s="124"/>
    </row>
    <row r="14008">
      <c r="K14008" s="124"/>
      <c r="L14008" s="124"/>
      <c r="M14008" s="124"/>
      <c r="N14008" s="124"/>
      <c r="O14008" s="124"/>
    </row>
    <row r="14009">
      <c r="K14009" s="124"/>
      <c r="L14009" s="124"/>
      <c r="M14009" s="124"/>
      <c r="N14009" s="124"/>
      <c r="O14009" s="124"/>
    </row>
    <row r="14010">
      <c r="K14010" s="124"/>
      <c r="L14010" s="124"/>
      <c r="M14010" s="124"/>
      <c r="N14010" s="124"/>
      <c r="O14010" s="124"/>
    </row>
    <row r="14011">
      <c r="K14011" s="124"/>
      <c r="L14011" s="124"/>
      <c r="M14011" s="124"/>
      <c r="N14011" s="124"/>
      <c r="O14011" s="124"/>
    </row>
    <row r="14012">
      <c r="K14012" s="124"/>
      <c r="L14012" s="124"/>
      <c r="M14012" s="124"/>
      <c r="N14012" s="124"/>
      <c r="O14012" s="124"/>
    </row>
    <row r="14013">
      <c r="K14013" s="124"/>
      <c r="L14013" s="124"/>
      <c r="M14013" s="124"/>
      <c r="N14013" s="124"/>
      <c r="O14013" s="124"/>
    </row>
    <row r="14014">
      <c r="K14014" s="124"/>
      <c r="L14014" s="124"/>
      <c r="M14014" s="124"/>
      <c r="N14014" s="124"/>
      <c r="O14014" s="124"/>
    </row>
    <row r="14015">
      <c r="K14015" s="124"/>
      <c r="L14015" s="124"/>
      <c r="M14015" s="124"/>
      <c r="N14015" s="124"/>
      <c r="O14015" s="124"/>
    </row>
    <row r="14016">
      <c r="K14016" s="124"/>
      <c r="L14016" s="124"/>
      <c r="M14016" s="124"/>
      <c r="N14016" s="124"/>
      <c r="O14016" s="124"/>
    </row>
    <row r="14017">
      <c r="K14017" s="124"/>
      <c r="L14017" s="124"/>
      <c r="M14017" s="124"/>
      <c r="N14017" s="124"/>
      <c r="O14017" s="124"/>
    </row>
    <row r="14018">
      <c r="K14018" s="124"/>
      <c r="L14018" s="124"/>
      <c r="M14018" s="124"/>
      <c r="N14018" s="124"/>
      <c r="O14018" s="124"/>
    </row>
    <row r="14019">
      <c r="K14019" s="124"/>
      <c r="L14019" s="124"/>
      <c r="M14019" s="124"/>
      <c r="N14019" s="124"/>
      <c r="O14019" s="124"/>
    </row>
    <row r="14020">
      <c r="K14020" s="124"/>
      <c r="L14020" s="124"/>
      <c r="M14020" s="124"/>
      <c r="N14020" s="124"/>
      <c r="O14020" s="124"/>
    </row>
    <row r="14021">
      <c r="K14021" s="124"/>
      <c r="L14021" s="124"/>
      <c r="M14021" s="124"/>
      <c r="N14021" s="124"/>
      <c r="O14021" s="124"/>
    </row>
    <row r="14022">
      <c r="K14022" s="124"/>
      <c r="L14022" s="124"/>
      <c r="M14022" s="124"/>
      <c r="N14022" s="124"/>
      <c r="O14022" s="124"/>
    </row>
    <row r="14023">
      <c r="K14023" s="124"/>
      <c r="L14023" s="124"/>
      <c r="M14023" s="124"/>
      <c r="N14023" s="124"/>
      <c r="O14023" s="124"/>
    </row>
    <row r="14024">
      <c r="K14024" s="124"/>
      <c r="L14024" s="124"/>
      <c r="M14024" s="124"/>
      <c r="N14024" s="124"/>
      <c r="O14024" s="124"/>
    </row>
    <row r="14025">
      <c r="K14025" s="124"/>
      <c r="L14025" s="124"/>
      <c r="M14025" s="124"/>
      <c r="N14025" s="124"/>
      <c r="O14025" s="124"/>
    </row>
    <row r="14026">
      <c r="K14026" s="124"/>
      <c r="L14026" s="124"/>
      <c r="M14026" s="124"/>
      <c r="N14026" s="124"/>
      <c r="O14026" s="124"/>
    </row>
    <row r="14027">
      <c r="K14027" s="124"/>
      <c r="L14027" s="124"/>
      <c r="M14027" s="124"/>
      <c r="N14027" s="124"/>
      <c r="O14027" s="124"/>
    </row>
    <row r="14028">
      <c r="K14028" s="124"/>
      <c r="L14028" s="124"/>
      <c r="M14028" s="124"/>
      <c r="N14028" s="124"/>
      <c r="O14028" s="124"/>
    </row>
    <row r="14029">
      <c r="K14029" s="124"/>
      <c r="L14029" s="124"/>
      <c r="M14029" s="124"/>
      <c r="N14029" s="124"/>
      <c r="O14029" s="124"/>
    </row>
    <row r="14030">
      <c r="K14030" s="124"/>
      <c r="L14030" s="124"/>
      <c r="M14030" s="124"/>
      <c r="N14030" s="124"/>
      <c r="O14030" s="124"/>
    </row>
    <row r="14031">
      <c r="K14031" s="124"/>
      <c r="L14031" s="124"/>
      <c r="M14031" s="124"/>
      <c r="N14031" s="124"/>
      <c r="O14031" s="124"/>
    </row>
    <row r="14032">
      <c r="K14032" s="124"/>
      <c r="L14032" s="124"/>
      <c r="M14032" s="124"/>
      <c r="N14032" s="124"/>
      <c r="O14032" s="124"/>
    </row>
    <row r="14033">
      <c r="K14033" s="124"/>
      <c r="L14033" s="124"/>
      <c r="M14033" s="124"/>
      <c r="N14033" s="124"/>
      <c r="O14033" s="124"/>
    </row>
    <row r="14034">
      <c r="K14034" s="124"/>
      <c r="L14034" s="124"/>
      <c r="M14034" s="124"/>
      <c r="N14034" s="124"/>
      <c r="O14034" s="124"/>
    </row>
    <row r="14035">
      <c r="K14035" s="124"/>
      <c r="L14035" s="124"/>
      <c r="M14035" s="124"/>
      <c r="N14035" s="124"/>
      <c r="O14035" s="124"/>
    </row>
    <row r="14036">
      <c r="K14036" s="124"/>
      <c r="L14036" s="124"/>
      <c r="M14036" s="124"/>
      <c r="N14036" s="124"/>
      <c r="O14036" s="124"/>
    </row>
    <row r="14037">
      <c r="K14037" s="124"/>
      <c r="L14037" s="124"/>
      <c r="M14037" s="124"/>
      <c r="N14037" s="124"/>
      <c r="O14037" s="124"/>
    </row>
    <row r="14038">
      <c r="K14038" s="124"/>
      <c r="L14038" s="124"/>
      <c r="M14038" s="124"/>
      <c r="N14038" s="124"/>
      <c r="O14038" s="124"/>
    </row>
    <row r="14039">
      <c r="K14039" s="124"/>
      <c r="L14039" s="124"/>
      <c r="M14039" s="124"/>
      <c r="N14039" s="124"/>
      <c r="O14039" s="124"/>
    </row>
    <row r="14040">
      <c r="K14040" s="124"/>
      <c r="L14040" s="124"/>
      <c r="M14040" s="124"/>
      <c r="N14040" s="124"/>
      <c r="O14040" s="124"/>
    </row>
    <row r="14041">
      <c r="K14041" s="124"/>
      <c r="L14041" s="124"/>
      <c r="M14041" s="124"/>
      <c r="N14041" s="124"/>
      <c r="O14041" s="124"/>
    </row>
    <row r="14042">
      <c r="K14042" s="124"/>
      <c r="L14042" s="124"/>
      <c r="M14042" s="124"/>
      <c r="N14042" s="124"/>
      <c r="O14042" s="124"/>
    </row>
    <row r="14043">
      <c r="K14043" s="124"/>
      <c r="L14043" s="124"/>
      <c r="M14043" s="124"/>
      <c r="N14043" s="124"/>
      <c r="O14043" s="124"/>
    </row>
    <row r="14044">
      <c r="K14044" s="124"/>
      <c r="L14044" s="124"/>
      <c r="M14044" s="124"/>
      <c r="N14044" s="124"/>
      <c r="O14044" s="124"/>
    </row>
    <row r="14045">
      <c r="K14045" s="124"/>
      <c r="L14045" s="124"/>
      <c r="M14045" s="124"/>
      <c r="N14045" s="124"/>
      <c r="O14045" s="124"/>
    </row>
    <row r="14046">
      <c r="K14046" s="124"/>
      <c r="L14046" s="124"/>
      <c r="M14046" s="124"/>
      <c r="N14046" s="124"/>
      <c r="O14046" s="124"/>
    </row>
    <row r="14047">
      <c r="K14047" s="124"/>
      <c r="L14047" s="124"/>
      <c r="M14047" s="124"/>
      <c r="N14047" s="124"/>
      <c r="O14047" s="124"/>
    </row>
    <row r="14048">
      <c r="K14048" s="124"/>
      <c r="L14048" s="124"/>
      <c r="M14048" s="124"/>
      <c r="N14048" s="124"/>
      <c r="O14048" s="124"/>
    </row>
    <row r="14049">
      <c r="K14049" s="124"/>
      <c r="L14049" s="124"/>
      <c r="M14049" s="124"/>
      <c r="N14049" s="124"/>
      <c r="O14049" s="124"/>
    </row>
    <row r="14050">
      <c r="K14050" s="124"/>
      <c r="L14050" s="124"/>
      <c r="M14050" s="124"/>
      <c r="N14050" s="124"/>
      <c r="O14050" s="124"/>
    </row>
    <row r="14051">
      <c r="K14051" s="124"/>
      <c r="L14051" s="124"/>
      <c r="M14051" s="124"/>
      <c r="N14051" s="124"/>
      <c r="O14051" s="124"/>
    </row>
    <row r="14052">
      <c r="K14052" s="124"/>
      <c r="L14052" s="124"/>
      <c r="M14052" s="124"/>
      <c r="N14052" s="124"/>
      <c r="O14052" s="124"/>
    </row>
    <row r="14053">
      <c r="K14053" s="124"/>
      <c r="L14053" s="124"/>
      <c r="M14053" s="124"/>
      <c r="N14053" s="124"/>
      <c r="O14053" s="124"/>
    </row>
    <row r="14054">
      <c r="K14054" s="124"/>
      <c r="L14054" s="124"/>
      <c r="M14054" s="124"/>
      <c r="N14054" s="124"/>
      <c r="O14054" s="124"/>
    </row>
    <row r="14055">
      <c r="K14055" s="124"/>
      <c r="L14055" s="124"/>
      <c r="M14055" s="124"/>
      <c r="N14055" s="124"/>
      <c r="O14055" s="124"/>
    </row>
    <row r="14056">
      <c r="K14056" s="124"/>
      <c r="L14056" s="124"/>
      <c r="M14056" s="124"/>
      <c r="N14056" s="124"/>
      <c r="O14056" s="124"/>
    </row>
    <row r="14057">
      <c r="K14057" s="124"/>
      <c r="L14057" s="124"/>
      <c r="M14057" s="124"/>
      <c r="N14057" s="124"/>
      <c r="O14057" s="124"/>
    </row>
    <row r="14058">
      <c r="K14058" s="124"/>
      <c r="L14058" s="124"/>
      <c r="M14058" s="124"/>
      <c r="N14058" s="124"/>
      <c r="O14058" s="124"/>
    </row>
    <row r="14059">
      <c r="K14059" s="124"/>
      <c r="L14059" s="124"/>
      <c r="M14059" s="124"/>
      <c r="N14059" s="124"/>
      <c r="O14059" s="124"/>
    </row>
    <row r="14060">
      <c r="K14060" s="124"/>
      <c r="L14060" s="124"/>
      <c r="M14060" s="124"/>
      <c r="N14060" s="124"/>
      <c r="O14060" s="124"/>
    </row>
    <row r="14061">
      <c r="K14061" s="124"/>
      <c r="L14061" s="124"/>
      <c r="M14061" s="124"/>
      <c r="N14061" s="124"/>
      <c r="O14061" s="124"/>
    </row>
    <row r="14062">
      <c r="K14062" s="124"/>
      <c r="L14062" s="124"/>
      <c r="M14062" s="124"/>
      <c r="N14062" s="124"/>
      <c r="O14062" s="124"/>
    </row>
    <row r="14063">
      <c r="K14063" s="124"/>
      <c r="L14063" s="124"/>
      <c r="M14063" s="124"/>
      <c r="N14063" s="124"/>
      <c r="O14063" s="124"/>
    </row>
    <row r="14064">
      <c r="K14064" s="124"/>
      <c r="L14064" s="124"/>
      <c r="M14064" s="124"/>
      <c r="N14064" s="124"/>
      <c r="O14064" s="124"/>
    </row>
    <row r="14065">
      <c r="K14065" s="124"/>
      <c r="L14065" s="124"/>
      <c r="M14065" s="124"/>
      <c r="N14065" s="124"/>
      <c r="O14065" s="124"/>
    </row>
    <row r="14066">
      <c r="K14066" s="124"/>
      <c r="L14066" s="124"/>
      <c r="M14066" s="124"/>
      <c r="N14066" s="124"/>
      <c r="O14066" s="124"/>
    </row>
    <row r="14067">
      <c r="K14067" s="124"/>
      <c r="L14067" s="124"/>
      <c r="M14067" s="124"/>
      <c r="N14067" s="124"/>
      <c r="O14067" s="124"/>
    </row>
    <row r="14068">
      <c r="K14068" s="124"/>
      <c r="L14068" s="124"/>
      <c r="M14068" s="124"/>
      <c r="N14068" s="124"/>
      <c r="O14068" s="124"/>
    </row>
    <row r="14069">
      <c r="K14069" s="124"/>
      <c r="L14069" s="124"/>
      <c r="M14069" s="124"/>
      <c r="N14069" s="124"/>
      <c r="O14069" s="124"/>
    </row>
    <row r="14070">
      <c r="K14070" s="124"/>
      <c r="L14070" s="124"/>
      <c r="M14070" s="124"/>
      <c r="N14070" s="124"/>
      <c r="O14070" s="124"/>
    </row>
    <row r="14071">
      <c r="K14071" s="124"/>
      <c r="L14071" s="124"/>
      <c r="M14071" s="124"/>
      <c r="N14071" s="124"/>
      <c r="O14071" s="124"/>
    </row>
    <row r="14072">
      <c r="K14072" s="124"/>
      <c r="L14072" s="124"/>
      <c r="M14072" s="124"/>
      <c r="N14072" s="124"/>
      <c r="O14072" s="124"/>
    </row>
    <row r="14073">
      <c r="K14073" s="124"/>
      <c r="L14073" s="124"/>
      <c r="M14073" s="124"/>
      <c r="N14073" s="124"/>
      <c r="O14073" s="124"/>
    </row>
    <row r="14074">
      <c r="K14074" s="124"/>
      <c r="L14074" s="124"/>
      <c r="M14074" s="124"/>
      <c r="N14074" s="124"/>
      <c r="O14074" s="124"/>
    </row>
    <row r="14075">
      <c r="K14075" s="124"/>
      <c r="L14075" s="124"/>
      <c r="M14075" s="124"/>
      <c r="N14075" s="124"/>
      <c r="O14075" s="124"/>
    </row>
    <row r="14076">
      <c r="K14076" s="124"/>
      <c r="L14076" s="124"/>
      <c r="M14076" s="124"/>
      <c r="N14076" s="124"/>
      <c r="O14076" s="124"/>
    </row>
    <row r="14077">
      <c r="K14077" s="124"/>
      <c r="L14077" s="124"/>
      <c r="M14077" s="124"/>
      <c r="N14077" s="124"/>
      <c r="O14077" s="124"/>
    </row>
    <row r="14078">
      <c r="K14078" s="124"/>
      <c r="L14078" s="124"/>
      <c r="M14078" s="124"/>
      <c r="N14078" s="124"/>
      <c r="O14078" s="124"/>
    </row>
    <row r="14079">
      <c r="K14079" s="124"/>
      <c r="L14079" s="124"/>
      <c r="M14079" s="124"/>
      <c r="N14079" s="124"/>
      <c r="O14079" s="124"/>
    </row>
    <row r="14080">
      <c r="K14080" s="124"/>
      <c r="L14080" s="124"/>
      <c r="M14080" s="124"/>
      <c r="N14080" s="124"/>
      <c r="O14080" s="124"/>
    </row>
    <row r="14081">
      <c r="K14081" s="124"/>
      <c r="L14081" s="124"/>
      <c r="M14081" s="124"/>
      <c r="N14081" s="124"/>
      <c r="O14081" s="124"/>
    </row>
    <row r="14082">
      <c r="K14082" s="124"/>
      <c r="L14082" s="124"/>
      <c r="M14082" s="124"/>
      <c r="N14082" s="124"/>
      <c r="O14082" s="124"/>
    </row>
    <row r="14083">
      <c r="K14083" s="124"/>
      <c r="L14083" s="124"/>
      <c r="M14083" s="124"/>
      <c r="N14083" s="124"/>
      <c r="O14083" s="124"/>
    </row>
    <row r="14084">
      <c r="K14084" s="124"/>
      <c r="L14084" s="124"/>
      <c r="M14084" s="124"/>
      <c r="N14084" s="124"/>
      <c r="O14084" s="124"/>
    </row>
    <row r="14085">
      <c r="K14085" s="124"/>
      <c r="L14085" s="124"/>
      <c r="M14085" s="124"/>
      <c r="N14085" s="124"/>
      <c r="O14085" s="124"/>
    </row>
    <row r="14086">
      <c r="K14086" s="124"/>
      <c r="L14086" s="124"/>
      <c r="M14086" s="124"/>
      <c r="N14086" s="124"/>
      <c r="O14086" s="124"/>
    </row>
    <row r="14087">
      <c r="K14087" s="124"/>
      <c r="L14087" s="124"/>
      <c r="M14087" s="124"/>
      <c r="N14087" s="124"/>
      <c r="O14087" s="124"/>
    </row>
    <row r="14088">
      <c r="K14088" s="124"/>
      <c r="L14088" s="124"/>
      <c r="M14088" s="124"/>
      <c r="N14088" s="124"/>
      <c r="O14088" s="124"/>
    </row>
    <row r="14089">
      <c r="K14089" s="124"/>
      <c r="L14089" s="124"/>
      <c r="M14089" s="124"/>
      <c r="N14089" s="124"/>
      <c r="O14089" s="124"/>
    </row>
    <row r="14090">
      <c r="K14090" s="124"/>
      <c r="L14090" s="124"/>
      <c r="M14090" s="124"/>
      <c r="N14090" s="124"/>
      <c r="O14090" s="124"/>
    </row>
    <row r="14091">
      <c r="K14091" s="124"/>
      <c r="L14091" s="124"/>
      <c r="M14091" s="124"/>
      <c r="N14091" s="124"/>
      <c r="O14091" s="124"/>
    </row>
    <row r="14092">
      <c r="K14092" s="124"/>
      <c r="L14092" s="124"/>
      <c r="M14092" s="124"/>
      <c r="N14092" s="124"/>
      <c r="O14092" s="124"/>
    </row>
    <row r="14093">
      <c r="K14093" s="124"/>
      <c r="L14093" s="124"/>
      <c r="M14093" s="124"/>
      <c r="N14093" s="124"/>
      <c r="O14093" s="124"/>
    </row>
    <row r="14094">
      <c r="K14094" s="124"/>
      <c r="L14094" s="124"/>
      <c r="M14094" s="124"/>
      <c r="N14094" s="124"/>
      <c r="O14094" s="124"/>
    </row>
    <row r="14095">
      <c r="K14095" s="124"/>
      <c r="L14095" s="124"/>
      <c r="M14095" s="124"/>
      <c r="N14095" s="124"/>
      <c r="O14095" s="124"/>
    </row>
    <row r="14096">
      <c r="K14096" s="124"/>
      <c r="L14096" s="124"/>
      <c r="M14096" s="124"/>
      <c r="N14096" s="124"/>
      <c r="O14096" s="124"/>
    </row>
    <row r="14097">
      <c r="K14097" s="124"/>
      <c r="L14097" s="124"/>
      <c r="M14097" s="124"/>
      <c r="N14097" s="124"/>
      <c r="O14097" s="124"/>
    </row>
    <row r="14098">
      <c r="K14098" s="124"/>
      <c r="L14098" s="124"/>
      <c r="M14098" s="124"/>
      <c r="N14098" s="124"/>
      <c r="O14098" s="124"/>
    </row>
    <row r="14099">
      <c r="K14099" s="124"/>
      <c r="L14099" s="124"/>
      <c r="M14099" s="124"/>
      <c r="N14099" s="124"/>
      <c r="O14099" s="124"/>
    </row>
    <row r="14100">
      <c r="K14100" s="124"/>
      <c r="L14100" s="124"/>
      <c r="M14100" s="124"/>
      <c r="N14100" s="124"/>
      <c r="O14100" s="124"/>
    </row>
    <row r="14101">
      <c r="K14101" s="124"/>
      <c r="L14101" s="124"/>
      <c r="M14101" s="124"/>
      <c r="N14101" s="124"/>
      <c r="O14101" s="124"/>
    </row>
    <row r="14102">
      <c r="K14102" s="124"/>
      <c r="L14102" s="124"/>
      <c r="M14102" s="124"/>
      <c r="N14102" s="124"/>
      <c r="O14102" s="124"/>
    </row>
    <row r="14103">
      <c r="K14103" s="124"/>
      <c r="L14103" s="124"/>
      <c r="M14103" s="124"/>
      <c r="N14103" s="124"/>
      <c r="O14103" s="124"/>
    </row>
    <row r="14104">
      <c r="K14104" s="124"/>
      <c r="L14104" s="124"/>
      <c r="M14104" s="124"/>
      <c r="N14104" s="124"/>
      <c r="O14104" s="124"/>
    </row>
    <row r="14105">
      <c r="K14105" s="124"/>
      <c r="L14105" s="124"/>
      <c r="M14105" s="124"/>
      <c r="N14105" s="124"/>
      <c r="O14105" s="124"/>
    </row>
    <row r="14106">
      <c r="K14106" s="124"/>
      <c r="L14106" s="124"/>
      <c r="M14106" s="124"/>
      <c r="N14106" s="124"/>
      <c r="O14106" s="124"/>
    </row>
    <row r="14107">
      <c r="K14107" s="124"/>
      <c r="L14107" s="124"/>
      <c r="M14107" s="124"/>
      <c r="N14107" s="124"/>
      <c r="O14107" s="124"/>
    </row>
    <row r="14108">
      <c r="K14108" s="124"/>
      <c r="L14108" s="124"/>
      <c r="M14108" s="124"/>
      <c r="N14108" s="124"/>
      <c r="O14108" s="124"/>
    </row>
    <row r="14109">
      <c r="K14109" s="124"/>
      <c r="L14109" s="124"/>
      <c r="M14109" s="124"/>
      <c r="N14109" s="124"/>
      <c r="O14109" s="124"/>
    </row>
    <row r="14110">
      <c r="K14110" s="124"/>
      <c r="L14110" s="124"/>
      <c r="M14110" s="124"/>
      <c r="N14110" s="124"/>
      <c r="O14110" s="124"/>
    </row>
    <row r="14111">
      <c r="K14111" s="124"/>
      <c r="L14111" s="124"/>
      <c r="M14111" s="124"/>
      <c r="N14111" s="124"/>
      <c r="O14111" s="124"/>
    </row>
    <row r="14112">
      <c r="K14112" s="124"/>
      <c r="L14112" s="124"/>
      <c r="M14112" s="124"/>
      <c r="N14112" s="124"/>
      <c r="O14112" s="124"/>
    </row>
    <row r="14113">
      <c r="K14113" s="124"/>
      <c r="L14113" s="124"/>
      <c r="M14113" s="124"/>
      <c r="N14113" s="124"/>
      <c r="O14113" s="124"/>
    </row>
    <row r="14114">
      <c r="K14114" s="124"/>
      <c r="L14114" s="124"/>
      <c r="M14114" s="124"/>
      <c r="N14114" s="124"/>
      <c r="O14114" s="124"/>
    </row>
    <row r="14115">
      <c r="K14115" s="124"/>
      <c r="L14115" s="124"/>
      <c r="M14115" s="124"/>
      <c r="N14115" s="124"/>
      <c r="O14115" s="124"/>
    </row>
    <row r="14116">
      <c r="K14116" s="124"/>
      <c r="L14116" s="124"/>
      <c r="M14116" s="124"/>
      <c r="N14116" s="124"/>
      <c r="O14116" s="124"/>
    </row>
    <row r="14117">
      <c r="K14117" s="124"/>
      <c r="L14117" s="124"/>
      <c r="M14117" s="124"/>
      <c r="N14117" s="124"/>
      <c r="O14117" s="124"/>
    </row>
    <row r="14118">
      <c r="K14118" s="124"/>
      <c r="L14118" s="124"/>
      <c r="M14118" s="124"/>
      <c r="N14118" s="124"/>
      <c r="O14118" s="124"/>
    </row>
    <row r="14119">
      <c r="K14119" s="124"/>
      <c r="L14119" s="124"/>
      <c r="M14119" s="124"/>
      <c r="N14119" s="124"/>
      <c r="O14119" s="124"/>
    </row>
    <row r="14120">
      <c r="K14120" s="124"/>
      <c r="L14120" s="124"/>
      <c r="M14120" s="124"/>
      <c r="N14120" s="124"/>
      <c r="O14120" s="124"/>
    </row>
    <row r="14121">
      <c r="K14121" s="124"/>
      <c r="L14121" s="124"/>
      <c r="M14121" s="124"/>
      <c r="N14121" s="124"/>
      <c r="O14121" s="124"/>
    </row>
    <row r="14122">
      <c r="K14122" s="124"/>
      <c r="L14122" s="124"/>
      <c r="M14122" s="124"/>
      <c r="N14122" s="124"/>
      <c r="O14122" s="124"/>
    </row>
    <row r="14123">
      <c r="K14123" s="124"/>
      <c r="L14123" s="124"/>
      <c r="M14123" s="124"/>
      <c r="N14123" s="124"/>
      <c r="O14123" s="124"/>
    </row>
    <row r="14124">
      <c r="K14124" s="124"/>
      <c r="L14124" s="124"/>
      <c r="M14124" s="124"/>
      <c r="N14124" s="124"/>
      <c r="O14124" s="124"/>
    </row>
    <row r="14125">
      <c r="K14125" s="124"/>
      <c r="L14125" s="124"/>
      <c r="M14125" s="124"/>
      <c r="N14125" s="124"/>
      <c r="O14125" s="124"/>
    </row>
    <row r="14126">
      <c r="K14126" s="124"/>
      <c r="L14126" s="124"/>
      <c r="M14126" s="124"/>
      <c r="N14126" s="124"/>
      <c r="O14126" s="124"/>
    </row>
    <row r="14127">
      <c r="K14127" s="124"/>
      <c r="L14127" s="124"/>
      <c r="M14127" s="124"/>
      <c r="N14127" s="124"/>
      <c r="O14127" s="124"/>
    </row>
    <row r="14128">
      <c r="K14128" s="124"/>
      <c r="L14128" s="124"/>
      <c r="M14128" s="124"/>
      <c r="N14128" s="124"/>
      <c r="O14128" s="124"/>
    </row>
    <row r="14129">
      <c r="K14129" s="124"/>
      <c r="L14129" s="124"/>
      <c r="M14129" s="124"/>
      <c r="N14129" s="124"/>
      <c r="O14129" s="124"/>
    </row>
    <row r="14130">
      <c r="K14130" s="124"/>
      <c r="L14130" s="124"/>
      <c r="M14130" s="124"/>
      <c r="N14130" s="124"/>
      <c r="O14130" s="124"/>
    </row>
    <row r="14131">
      <c r="K14131" s="124"/>
      <c r="L14131" s="124"/>
      <c r="M14131" s="124"/>
      <c r="N14131" s="124"/>
      <c r="O14131" s="124"/>
    </row>
    <row r="14132">
      <c r="K14132" s="124"/>
      <c r="L14132" s="124"/>
      <c r="M14132" s="124"/>
      <c r="N14132" s="124"/>
      <c r="O14132" s="124"/>
    </row>
    <row r="14133">
      <c r="K14133" s="124"/>
      <c r="L14133" s="124"/>
      <c r="M14133" s="124"/>
      <c r="N14133" s="124"/>
      <c r="O14133" s="124"/>
    </row>
    <row r="14134">
      <c r="K14134" s="124"/>
      <c r="L14134" s="124"/>
      <c r="M14134" s="124"/>
      <c r="N14134" s="124"/>
      <c r="O14134" s="124"/>
    </row>
    <row r="14135">
      <c r="K14135" s="124"/>
      <c r="L14135" s="124"/>
      <c r="M14135" s="124"/>
      <c r="N14135" s="124"/>
      <c r="O14135" s="124"/>
    </row>
    <row r="14136">
      <c r="K14136" s="124"/>
      <c r="L14136" s="124"/>
      <c r="M14136" s="124"/>
      <c r="N14136" s="124"/>
      <c r="O14136" s="124"/>
    </row>
    <row r="14137">
      <c r="K14137" s="124"/>
      <c r="L14137" s="124"/>
      <c r="M14137" s="124"/>
      <c r="N14137" s="124"/>
      <c r="O14137" s="124"/>
    </row>
    <row r="14138">
      <c r="K14138" s="124"/>
      <c r="L14138" s="124"/>
      <c r="M14138" s="124"/>
      <c r="N14138" s="124"/>
      <c r="O14138" s="124"/>
    </row>
    <row r="14139">
      <c r="K14139" s="124"/>
      <c r="L14139" s="124"/>
      <c r="M14139" s="124"/>
      <c r="N14139" s="124"/>
      <c r="O14139" s="124"/>
    </row>
    <row r="14140">
      <c r="K14140" s="124"/>
      <c r="L14140" s="124"/>
      <c r="M14140" s="124"/>
      <c r="N14140" s="124"/>
      <c r="O14140" s="124"/>
    </row>
    <row r="14141">
      <c r="K14141" s="124"/>
      <c r="L14141" s="124"/>
      <c r="M14141" s="124"/>
      <c r="N14141" s="124"/>
      <c r="O14141" s="124"/>
    </row>
    <row r="14142">
      <c r="K14142" s="124"/>
      <c r="L14142" s="124"/>
      <c r="M14142" s="124"/>
      <c r="N14142" s="124"/>
      <c r="O14142" s="124"/>
    </row>
    <row r="14143">
      <c r="K14143" s="124"/>
      <c r="L14143" s="124"/>
      <c r="M14143" s="124"/>
      <c r="N14143" s="124"/>
      <c r="O14143" s="124"/>
    </row>
    <row r="14144">
      <c r="K14144" s="124"/>
      <c r="L14144" s="124"/>
      <c r="M14144" s="124"/>
      <c r="N14144" s="124"/>
      <c r="O14144" s="124"/>
    </row>
    <row r="14145">
      <c r="K14145" s="124"/>
      <c r="L14145" s="124"/>
      <c r="M14145" s="124"/>
      <c r="N14145" s="124"/>
      <c r="O14145" s="124"/>
    </row>
    <row r="14146">
      <c r="K14146" s="124"/>
      <c r="L14146" s="124"/>
      <c r="M14146" s="124"/>
      <c r="N14146" s="124"/>
      <c r="O14146" s="124"/>
    </row>
    <row r="14147">
      <c r="K14147" s="124"/>
      <c r="L14147" s="124"/>
      <c r="M14147" s="124"/>
      <c r="N14147" s="124"/>
      <c r="O14147" s="124"/>
    </row>
    <row r="14148">
      <c r="K14148" s="124"/>
      <c r="L14148" s="124"/>
      <c r="M14148" s="124"/>
      <c r="N14148" s="124"/>
      <c r="O14148" s="124"/>
    </row>
    <row r="14149">
      <c r="K14149" s="124"/>
      <c r="L14149" s="124"/>
      <c r="M14149" s="124"/>
      <c r="N14149" s="124"/>
      <c r="O14149" s="124"/>
    </row>
    <row r="14150">
      <c r="K14150" s="124"/>
      <c r="L14150" s="124"/>
      <c r="M14150" s="124"/>
      <c r="N14150" s="124"/>
      <c r="O14150" s="124"/>
    </row>
    <row r="14151">
      <c r="K14151" s="124"/>
      <c r="L14151" s="124"/>
      <c r="M14151" s="124"/>
      <c r="N14151" s="124"/>
      <c r="O14151" s="124"/>
    </row>
    <row r="14152">
      <c r="K14152" s="124"/>
      <c r="L14152" s="124"/>
      <c r="M14152" s="124"/>
      <c r="N14152" s="124"/>
      <c r="O14152" s="124"/>
    </row>
    <row r="14153">
      <c r="K14153" s="124"/>
      <c r="L14153" s="124"/>
      <c r="M14153" s="124"/>
      <c r="N14153" s="124"/>
      <c r="O14153" s="124"/>
    </row>
    <row r="14154">
      <c r="K14154" s="124"/>
      <c r="L14154" s="124"/>
      <c r="M14154" s="124"/>
      <c r="N14154" s="124"/>
      <c r="O14154" s="124"/>
    </row>
    <row r="14155">
      <c r="K14155" s="124"/>
      <c r="L14155" s="124"/>
      <c r="M14155" s="124"/>
      <c r="N14155" s="124"/>
      <c r="O14155" s="124"/>
    </row>
    <row r="14156">
      <c r="K14156" s="124"/>
      <c r="L14156" s="124"/>
      <c r="M14156" s="124"/>
      <c r="N14156" s="124"/>
      <c r="O14156" s="124"/>
    </row>
    <row r="14157">
      <c r="K14157" s="124"/>
      <c r="L14157" s="124"/>
      <c r="M14157" s="124"/>
      <c r="N14157" s="124"/>
      <c r="O14157" s="124"/>
    </row>
    <row r="14158">
      <c r="K14158" s="124"/>
      <c r="L14158" s="124"/>
      <c r="M14158" s="124"/>
      <c r="N14158" s="124"/>
      <c r="O14158" s="124"/>
    </row>
    <row r="14159">
      <c r="K14159" s="124"/>
      <c r="L14159" s="124"/>
      <c r="M14159" s="124"/>
      <c r="N14159" s="124"/>
      <c r="O14159" s="124"/>
    </row>
    <row r="14160">
      <c r="K14160" s="124"/>
      <c r="L14160" s="124"/>
      <c r="M14160" s="124"/>
      <c r="N14160" s="124"/>
      <c r="O14160" s="124"/>
    </row>
    <row r="14161">
      <c r="K14161" s="124"/>
      <c r="L14161" s="124"/>
      <c r="M14161" s="124"/>
      <c r="N14161" s="124"/>
      <c r="O14161" s="124"/>
    </row>
    <row r="14162">
      <c r="K14162" s="124"/>
      <c r="L14162" s="124"/>
      <c r="M14162" s="124"/>
      <c r="N14162" s="124"/>
      <c r="O14162" s="124"/>
    </row>
    <row r="14163">
      <c r="K14163" s="124"/>
      <c r="L14163" s="124"/>
      <c r="M14163" s="124"/>
      <c r="N14163" s="124"/>
      <c r="O14163" s="124"/>
    </row>
    <row r="14164">
      <c r="K14164" s="124"/>
      <c r="L14164" s="124"/>
      <c r="M14164" s="124"/>
      <c r="N14164" s="124"/>
      <c r="O14164" s="124"/>
    </row>
    <row r="14165">
      <c r="K14165" s="124"/>
      <c r="L14165" s="124"/>
      <c r="M14165" s="124"/>
      <c r="N14165" s="124"/>
      <c r="O14165" s="124"/>
    </row>
    <row r="14166">
      <c r="K14166" s="124"/>
      <c r="L14166" s="124"/>
      <c r="M14166" s="124"/>
      <c r="N14166" s="124"/>
      <c r="O14166" s="124"/>
    </row>
    <row r="14167">
      <c r="K14167" s="124"/>
      <c r="L14167" s="124"/>
      <c r="M14167" s="124"/>
      <c r="N14167" s="124"/>
      <c r="O14167" s="124"/>
    </row>
    <row r="14168">
      <c r="K14168" s="124"/>
      <c r="L14168" s="124"/>
      <c r="M14168" s="124"/>
      <c r="N14168" s="124"/>
      <c r="O14168" s="124"/>
    </row>
    <row r="14169">
      <c r="K14169" s="124"/>
      <c r="L14169" s="124"/>
      <c r="M14169" s="124"/>
      <c r="N14169" s="124"/>
      <c r="O14169" s="124"/>
    </row>
    <row r="14170">
      <c r="K14170" s="124"/>
      <c r="L14170" s="124"/>
      <c r="M14170" s="124"/>
      <c r="N14170" s="124"/>
      <c r="O14170" s="124"/>
    </row>
    <row r="14171">
      <c r="K14171" s="124"/>
      <c r="L14171" s="124"/>
      <c r="M14171" s="124"/>
      <c r="N14171" s="124"/>
      <c r="O14171" s="124"/>
    </row>
    <row r="14172">
      <c r="K14172" s="124"/>
      <c r="L14172" s="124"/>
      <c r="M14172" s="124"/>
      <c r="N14172" s="124"/>
      <c r="O14172" s="124"/>
    </row>
    <row r="14173">
      <c r="K14173" s="124"/>
      <c r="L14173" s="124"/>
      <c r="M14173" s="124"/>
      <c r="N14173" s="124"/>
      <c r="O14173" s="124"/>
    </row>
    <row r="14174">
      <c r="K14174" s="124"/>
      <c r="L14174" s="124"/>
      <c r="M14174" s="124"/>
      <c r="N14174" s="124"/>
      <c r="O14174" s="124"/>
    </row>
    <row r="14175">
      <c r="K14175" s="124"/>
      <c r="L14175" s="124"/>
      <c r="M14175" s="124"/>
      <c r="N14175" s="124"/>
      <c r="O14175" s="124"/>
    </row>
    <row r="14176">
      <c r="K14176" s="124"/>
      <c r="L14176" s="124"/>
      <c r="M14176" s="124"/>
      <c r="N14176" s="124"/>
      <c r="O14176" s="124"/>
    </row>
    <row r="14177">
      <c r="K14177" s="124"/>
      <c r="L14177" s="124"/>
      <c r="M14177" s="124"/>
      <c r="N14177" s="124"/>
      <c r="O14177" s="124"/>
    </row>
    <row r="14178">
      <c r="K14178" s="124"/>
      <c r="L14178" s="124"/>
      <c r="M14178" s="124"/>
      <c r="N14178" s="124"/>
      <c r="O14178" s="124"/>
    </row>
    <row r="14179">
      <c r="K14179" s="124"/>
      <c r="L14179" s="124"/>
      <c r="M14179" s="124"/>
      <c r="N14179" s="124"/>
      <c r="O14179" s="124"/>
    </row>
    <row r="14180">
      <c r="K14180" s="124"/>
      <c r="L14180" s="124"/>
      <c r="M14180" s="124"/>
      <c r="N14180" s="124"/>
      <c r="O14180" s="124"/>
    </row>
    <row r="14181">
      <c r="K14181" s="124"/>
      <c r="L14181" s="124"/>
      <c r="M14181" s="124"/>
      <c r="N14181" s="124"/>
      <c r="O14181" s="124"/>
    </row>
    <row r="14182">
      <c r="K14182" s="124"/>
      <c r="L14182" s="124"/>
      <c r="M14182" s="124"/>
      <c r="N14182" s="124"/>
      <c r="O14182" s="124"/>
    </row>
    <row r="14183">
      <c r="K14183" s="124"/>
      <c r="L14183" s="124"/>
      <c r="M14183" s="124"/>
      <c r="N14183" s="124"/>
      <c r="O14183" s="124"/>
    </row>
    <row r="14184">
      <c r="K14184" s="124"/>
      <c r="L14184" s="124"/>
      <c r="M14184" s="124"/>
      <c r="N14184" s="124"/>
      <c r="O14184" s="124"/>
    </row>
    <row r="14185">
      <c r="K14185" s="124"/>
      <c r="L14185" s="124"/>
      <c r="M14185" s="124"/>
      <c r="N14185" s="124"/>
      <c r="O14185" s="124"/>
    </row>
    <row r="14186">
      <c r="K14186" s="124"/>
      <c r="L14186" s="124"/>
      <c r="M14186" s="124"/>
      <c r="N14186" s="124"/>
      <c r="O14186" s="124"/>
    </row>
    <row r="14187">
      <c r="K14187" s="124"/>
      <c r="L14187" s="124"/>
      <c r="M14187" s="124"/>
      <c r="N14187" s="124"/>
      <c r="O14187" s="124"/>
    </row>
    <row r="14188">
      <c r="K14188" s="124"/>
      <c r="L14188" s="124"/>
      <c r="M14188" s="124"/>
      <c r="N14188" s="124"/>
      <c r="O14188" s="124"/>
    </row>
    <row r="14189">
      <c r="K14189" s="124"/>
      <c r="L14189" s="124"/>
      <c r="M14189" s="124"/>
      <c r="N14189" s="124"/>
      <c r="O14189" s="124"/>
    </row>
    <row r="14190">
      <c r="K14190" s="124"/>
      <c r="L14190" s="124"/>
      <c r="M14190" s="124"/>
      <c r="N14190" s="124"/>
      <c r="O14190" s="124"/>
    </row>
    <row r="14191">
      <c r="K14191" s="124"/>
      <c r="L14191" s="124"/>
      <c r="M14191" s="124"/>
      <c r="N14191" s="124"/>
      <c r="O14191" s="124"/>
    </row>
    <row r="14192">
      <c r="K14192" s="124"/>
      <c r="L14192" s="124"/>
      <c r="M14192" s="124"/>
      <c r="N14192" s="124"/>
      <c r="O14192" s="124"/>
    </row>
    <row r="14193">
      <c r="K14193" s="124"/>
      <c r="L14193" s="124"/>
      <c r="M14193" s="124"/>
      <c r="N14193" s="124"/>
      <c r="O14193" s="124"/>
    </row>
    <row r="14194">
      <c r="K14194" s="124"/>
      <c r="L14194" s="124"/>
      <c r="M14194" s="124"/>
      <c r="N14194" s="124"/>
      <c r="O14194" s="124"/>
    </row>
    <row r="14195">
      <c r="K14195" s="124"/>
      <c r="L14195" s="124"/>
      <c r="M14195" s="124"/>
      <c r="N14195" s="124"/>
      <c r="O14195" s="124"/>
    </row>
    <row r="14196">
      <c r="K14196" s="124"/>
      <c r="L14196" s="124"/>
      <c r="M14196" s="124"/>
      <c r="N14196" s="124"/>
      <c r="O14196" s="124"/>
    </row>
    <row r="14197">
      <c r="K14197" s="124"/>
      <c r="L14197" s="124"/>
      <c r="M14197" s="124"/>
      <c r="N14197" s="124"/>
      <c r="O14197" s="124"/>
    </row>
    <row r="14198">
      <c r="K14198" s="124"/>
      <c r="L14198" s="124"/>
      <c r="M14198" s="124"/>
      <c r="N14198" s="124"/>
      <c r="O14198" s="124"/>
    </row>
    <row r="14199">
      <c r="K14199" s="124"/>
      <c r="L14199" s="124"/>
      <c r="M14199" s="124"/>
      <c r="N14199" s="124"/>
      <c r="O14199" s="124"/>
    </row>
    <row r="14200">
      <c r="K14200" s="124"/>
      <c r="L14200" s="124"/>
      <c r="M14200" s="124"/>
      <c r="N14200" s="124"/>
      <c r="O14200" s="124"/>
    </row>
    <row r="14201">
      <c r="K14201" s="124"/>
      <c r="L14201" s="124"/>
      <c r="M14201" s="124"/>
      <c r="N14201" s="124"/>
      <c r="O14201" s="124"/>
    </row>
    <row r="14202">
      <c r="K14202" s="124"/>
      <c r="L14202" s="124"/>
      <c r="M14202" s="124"/>
      <c r="N14202" s="124"/>
      <c r="O14202" s="124"/>
    </row>
    <row r="14203">
      <c r="K14203" s="124"/>
      <c r="L14203" s="124"/>
      <c r="M14203" s="124"/>
      <c r="N14203" s="124"/>
      <c r="O14203" s="124"/>
    </row>
    <row r="14204">
      <c r="K14204" s="124"/>
      <c r="L14204" s="124"/>
      <c r="M14204" s="124"/>
      <c r="N14204" s="124"/>
      <c r="O14204" s="124"/>
    </row>
    <row r="14205">
      <c r="K14205" s="124"/>
      <c r="L14205" s="124"/>
      <c r="M14205" s="124"/>
      <c r="N14205" s="124"/>
      <c r="O14205" s="124"/>
    </row>
    <row r="14206">
      <c r="K14206" s="124"/>
      <c r="L14206" s="124"/>
      <c r="M14206" s="124"/>
      <c r="N14206" s="124"/>
      <c r="O14206" s="124"/>
    </row>
    <row r="14207">
      <c r="K14207" s="124"/>
      <c r="L14207" s="124"/>
      <c r="M14207" s="124"/>
      <c r="N14207" s="124"/>
      <c r="O14207" s="124"/>
    </row>
    <row r="14208">
      <c r="K14208" s="124"/>
      <c r="L14208" s="124"/>
      <c r="M14208" s="124"/>
      <c r="N14208" s="124"/>
      <c r="O14208" s="124"/>
    </row>
    <row r="14209">
      <c r="K14209" s="124"/>
      <c r="L14209" s="124"/>
      <c r="M14209" s="124"/>
      <c r="N14209" s="124"/>
      <c r="O14209" s="124"/>
    </row>
    <row r="14210">
      <c r="K14210" s="124"/>
      <c r="L14210" s="124"/>
      <c r="M14210" s="124"/>
      <c r="N14210" s="124"/>
      <c r="O14210" s="124"/>
    </row>
    <row r="14211">
      <c r="K14211" s="124"/>
      <c r="L14211" s="124"/>
      <c r="M14211" s="124"/>
      <c r="N14211" s="124"/>
      <c r="O14211" s="124"/>
    </row>
    <row r="14212">
      <c r="K14212" s="124"/>
      <c r="L14212" s="124"/>
      <c r="M14212" s="124"/>
      <c r="N14212" s="124"/>
      <c r="O14212" s="124"/>
    </row>
    <row r="14213">
      <c r="K14213" s="124"/>
      <c r="L14213" s="124"/>
      <c r="M14213" s="124"/>
      <c r="N14213" s="124"/>
      <c r="O14213" s="124"/>
    </row>
    <row r="14214">
      <c r="K14214" s="124"/>
      <c r="L14214" s="124"/>
      <c r="M14214" s="124"/>
      <c r="N14214" s="124"/>
      <c r="O14214" s="124"/>
    </row>
    <row r="14215">
      <c r="K14215" s="124"/>
      <c r="L14215" s="124"/>
      <c r="M14215" s="124"/>
      <c r="N14215" s="124"/>
      <c r="O14215" s="124"/>
    </row>
    <row r="14216">
      <c r="K14216" s="124"/>
      <c r="L14216" s="124"/>
      <c r="M14216" s="124"/>
      <c r="N14216" s="124"/>
      <c r="O14216" s="124"/>
    </row>
    <row r="14217">
      <c r="K14217" s="124"/>
      <c r="L14217" s="124"/>
      <c r="M14217" s="124"/>
      <c r="N14217" s="124"/>
      <c r="O14217" s="124"/>
    </row>
    <row r="14218">
      <c r="K14218" s="124"/>
      <c r="L14218" s="124"/>
      <c r="M14218" s="124"/>
      <c r="N14218" s="124"/>
      <c r="O14218" s="124"/>
    </row>
    <row r="14219">
      <c r="K14219" s="124"/>
      <c r="L14219" s="124"/>
      <c r="M14219" s="124"/>
      <c r="N14219" s="124"/>
      <c r="O14219" s="124"/>
    </row>
    <row r="14220">
      <c r="K14220" s="124"/>
      <c r="L14220" s="124"/>
      <c r="M14220" s="124"/>
      <c r="N14220" s="124"/>
      <c r="O14220" s="124"/>
    </row>
    <row r="14221">
      <c r="K14221" s="124"/>
      <c r="L14221" s="124"/>
      <c r="M14221" s="124"/>
      <c r="N14221" s="124"/>
      <c r="O14221" s="124"/>
    </row>
    <row r="14222">
      <c r="K14222" s="124"/>
      <c r="L14222" s="124"/>
      <c r="M14222" s="124"/>
      <c r="N14222" s="124"/>
      <c r="O14222" s="124"/>
    </row>
    <row r="14223">
      <c r="K14223" s="124"/>
      <c r="L14223" s="124"/>
      <c r="M14223" s="124"/>
      <c r="N14223" s="124"/>
      <c r="O14223" s="124"/>
    </row>
    <row r="14224">
      <c r="K14224" s="124"/>
      <c r="L14224" s="124"/>
      <c r="M14224" s="124"/>
      <c r="N14224" s="124"/>
      <c r="O14224" s="124"/>
    </row>
    <row r="14225">
      <c r="K14225" s="124"/>
      <c r="L14225" s="124"/>
      <c r="M14225" s="124"/>
      <c r="N14225" s="124"/>
      <c r="O14225" s="124"/>
    </row>
    <row r="14226">
      <c r="K14226" s="124"/>
      <c r="L14226" s="124"/>
      <c r="M14226" s="124"/>
      <c r="N14226" s="124"/>
      <c r="O14226" s="124"/>
    </row>
    <row r="14227">
      <c r="K14227" s="124"/>
      <c r="L14227" s="124"/>
      <c r="M14227" s="124"/>
      <c r="N14227" s="124"/>
      <c r="O14227" s="124"/>
    </row>
    <row r="14228">
      <c r="K14228" s="124"/>
      <c r="L14228" s="124"/>
      <c r="M14228" s="124"/>
      <c r="N14228" s="124"/>
      <c r="O14228" s="124"/>
    </row>
    <row r="14229">
      <c r="K14229" s="124"/>
      <c r="L14229" s="124"/>
      <c r="M14229" s="124"/>
      <c r="N14229" s="124"/>
      <c r="O14229" s="124"/>
    </row>
    <row r="14230">
      <c r="K14230" s="124"/>
      <c r="L14230" s="124"/>
      <c r="M14230" s="124"/>
      <c r="N14230" s="124"/>
      <c r="O14230" s="124"/>
    </row>
    <row r="14231">
      <c r="K14231" s="124"/>
      <c r="L14231" s="124"/>
      <c r="M14231" s="124"/>
      <c r="N14231" s="124"/>
      <c r="O14231" s="124"/>
    </row>
    <row r="14232">
      <c r="K14232" s="124"/>
      <c r="L14232" s="124"/>
      <c r="M14232" s="124"/>
      <c r="N14232" s="124"/>
      <c r="O14232" s="124"/>
    </row>
    <row r="14233">
      <c r="K14233" s="124"/>
      <c r="L14233" s="124"/>
      <c r="M14233" s="124"/>
      <c r="N14233" s="124"/>
      <c r="O14233" s="124"/>
    </row>
    <row r="14234">
      <c r="K14234" s="124"/>
      <c r="L14234" s="124"/>
      <c r="M14234" s="124"/>
      <c r="N14234" s="124"/>
      <c r="O14234" s="124"/>
    </row>
    <row r="14235">
      <c r="K14235" s="124"/>
      <c r="L14235" s="124"/>
      <c r="M14235" s="124"/>
      <c r="N14235" s="124"/>
      <c r="O14235" s="124"/>
    </row>
    <row r="14236">
      <c r="K14236" s="124"/>
      <c r="L14236" s="124"/>
      <c r="M14236" s="124"/>
      <c r="N14236" s="124"/>
      <c r="O14236" s="124"/>
    </row>
    <row r="14237">
      <c r="K14237" s="124"/>
      <c r="L14237" s="124"/>
      <c r="M14237" s="124"/>
      <c r="N14237" s="124"/>
      <c r="O14237" s="124"/>
    </row>
    <row r="14238">
      <c r="K14238" s="124"/>
      <c r="L14238" s="124"/>
      <c r="M14238" s="124"/>
      <c r="N14238" s="124"/>
      <c r="O14238" s="124"/>
    </row>
    <row r="14239">
      <c r="K14239" s="124"/>
      <c r="L14239" s="124"/>
      <c r="M14239" s="124"/>
      <c r="N14239" s="124"/>
      <c r="O14239" s="124"/>
    </row>
    <row r="14240">
      <c r="K14240" s="124"/>
      <c r="L14240" s="124"/>
      <c r="M14240" s="124"/>
      <c r="N14240" s="124"/>
      <c r="O14240" s="124"/>
    </row>
    <row r="14241">
      <c r="K14241" s="124"/>
      <c r="L14241" s="124"/>
      <c r="M14241" s="124"/>
      <c r="N14241" s="124"/>
      <c r="O14241" s="124"/>
    </row>
    <row r="14242">
      <c r="K14242" s="124"/>
      <c r="L14242" s="124"/>
      <c r="M14242" s="124"/>
      <c r="N14242" s="124"/>
      <c r="O14242" s="124"/>
    </row>
    <row r="14243">
      <c r="K14243" s="124"/>
      <c r="L14243" s="124"/>
      <c r="M14243" s="124"/>
      <c r="N14243" s="124"/>
      <c r="O14243" s="124"/>
    </row>
    <row r="14244">
      <c r="K14244" s="124"/>
      <c r="L14244" s="124"/>
      <c r="M14244" s="124"/>
      <c r="N14244" s="124"/>
      <c r="O14244" s="124"/>
    </row>
    <row r="14245">
      <c r="K14245" s="124"/>
      <c r="L14245" s="124"/>
      <c r="M14245" s="124"/>
      <c r="N14245" s="124"/>
      <c r="O14245" s="124"/>
    </row>
    <row r="14246">
      <c r="K14246" s="124"/>
      <c r="L14246" s="124"/>
      <c r="M14246" s="124"/>
      <c r="N14246" s="124"/>
      <c r="O14246" s="124"/>
    </row>
    <row r="14247">
      <c r="K14247" s="124"/>
      <c r="L14247" s="124"/>
      <c r="M14247" s="124"/>
      <c r="N14247" s="124"/>
      <c r="O14247" s="124"/>
    </row>
    <row r="14248">
      <c r="K14248" s="124"/>
      <c r="L14248" s="124"/>
      <c r="M14248" s="124"/>
      <c r="N14248" s="124"/>
      <c r="O14248" s="124"/>
    </row>
    <row r="14249">
      <c r="K14249" s="124"/>
      <c r="L14249" s="124"/>
      <c r="M14249" s="124"/>
      <c r="N14249" s="124"/>
      <c r="O14249" s="124"/>
    </row>
    <row r="14250">
      <c r="K14250" s="124"/>
      <c r="L14250" s="124"/>
      <c r="M14250" s="124"/>
      <c r="N14250" s="124"/>
      <c r="O14250" s="124"/>
    </row>
    <row r="14251">
      <c r="K14251" s="124"/>
      <c r="L14251" s="124"/>
      <c r="M14251" s="124"/>
      <c r="N14251" s="124"/>
      <c r="O14251" s="124"/>
    </row>
    <row r="14252">
      <c r="K14252" s="124"/>
      <c r="L14252" s="124"/>
      <c r="M14252" s="124"/>
      <c r="N14252" s="124"/>
      <c r="O14252" s="124"/>
    </row>
    <row r="14253">
      <c r="K14253" s="124"/>
      <c r="L14253" s="124"/>
      <c r="M14253" s="124"/>
      <c r="N14253" s="124"/>
      <c r="O14253" s="124"/>
    </row>
    <row r="14254">
      <c r="K14254" s="124"/>
      <c r="L14254" s="124"/>
      <c r="M14254" s="124"/>
      <c r="N14254" s="124"/>
      <c r="O14254" s="124"/>
    </row>
    <row r="14255">
      <c r="K14255" s="124"/>
      <c r="L14255" s="124"/>
      <c r="M14255" s="124"/>
      <c r="N14255" s="124"/>
      <c r="O14255" s="124"/>
    </row>
    <row r="14256">
      <c r="K14256" s="124"/>
      <c r="L14256" s="124"/>
      <c r="M14256" s="124"/>
      <c r="N14256" s="124"/>
      <c r="O14256" s="124"/>
    </row>
    <row r="14257">
      <c r="K14257" s="124"/>
      <c r="L14257" s="124"/>
      <c r="M14257" s="124"/>
      <c r="N14257" s="124"/>
      <c r="O14257" s="124"/>
    </row>
    <row r="14258">
      <c r="K14258" s="124"/>
      <c r="L14258" s="124"/>
      <c r="M14258" s="124"/>
      <c r="N14258" s="124"/>
      <c r="O14258" s="124"/>
    </row>
    <row r="14259">
      <c r="K14259" s="124"/>
      <c r="L14259" s="124"/>
      <c r="M14259" s="124"/>
      <c r="N14259" s="124"/>
      <c r="O14259" s="124"/>
    </row>
    <row r="14260">
      <c r="K14260" s="124"/>
      <c r="L14260" s="124"/>
      <c r="M14260" s="124"/>
      <c r="N14260" s="124"/>
      <c r="O14260" s="124"/>
    </row>
    <row r="14261">
      <c r="K14261" s="124"/>
      <c r="L14261" s="124"/>
      <c r="M14261" s="124"/>
      <c r="N14261" s="124"/>
      <c r="O14261" s="124"/>
    </row>
    <row r="14262">
      <c r="K14262" s="124"/>
      <c r="L14262" s="124"/>
      <c r="M14262" s="124"/>
      <c r="N14262" s="124"/>
      <c r="O14262" s="124"/>
    </row>
    <row r="14263">
      <c r="K14263" s="124"/>
      <c r="L14263" s="124"/>
      <c r="M14263" s="124"/>
      <c r="N14263" s="124"/>
      <c r="O14263" s="124"/>
    </row>
    <row r="14264">
      <c r="K14264" s="124"/>
      <c r="L14264" s="124"/>
      <c r="M14264" s="124"/>
      <c r="N14264" s="124"/>
      <c r="O14264" s="124"/>
    </row>
    <row r="14265">
      <c r="K14265" s="124"/>
      <c r="L14265" s="124"/>
      <c r="M14265" s="124"/>
      <c r="N14265" s="124"/>
      <c r="O14265" s="124"/>
    </row>
    <row r="14266">
      <c r="K14266" s="124"/>
      <c r="L14266" s="124"/>
      <c r="M14266" s="124"/>
      <c r="N14266" s="124"/>
      <c r="O14266" s="124"/>
    </row>
    <row r="14267">
      <c r="K14267" s="124"/>
      <c r="L14267" s="124"/>
      <c r="M14267" s="124"/>
      <c r="N14267" s="124"/>
      <c r="O14267" s="124"/>
    </row>
    <row r="14268">
      <c r="K14268" s="124"/>
      <c r="L14268" s="124"/>
      <c r="M14268" s="124"/>
      <c r="N14268" s="124"/>
      <c r="O14268" s="124"/>
    </row>
    <row r="14269">
      <c r="K14269" s="124"/>
      <c r="L14269" s="124"/>
      <c r="M14269" s="124"/>
      <c r="N14269" s="124"/>
      <c r="O14269" s="124"/>
    </row>
    <row r="14270">
      <c r="K14270" s="124"/>
      <c r="L14270" s="124"/>
      <c r="M14270" s="124"/>
      <c r="N14270" s="124"/>
      <c r="O14270" s="124"/>
    </row>
    <row r="14271">
      <c r="K14271" s="124"/>
      <c r="L14271" s="124"/>
      <c r="M14271" s="124"/>
      <c r="N14271" s="124"/>
      <c r="O14271" s="124"/>
    </row>
    <row r="14272">
      <c r="K14272" s="124"/>
      <c r="L14272" s="124"/>
      <c r="M14272" s="124"/>
      <c r="N14272" s="124"/>
      <c r="O14272" s="124"/>
    </row>
    <row r="14273">
      <c r="K14273" s="124"/>
      <c r="L14273" s="124"/>
      <c r="M14273" s="124"/>
      <c r="N14273" s="124"/>
      <c r="O14273" s="124"/>
    </row>
    <row r="14274">
      <c r="K14274" s="124"/>
      <c r="L14274" s="124"/>
      <c r="M14274" s="124"/>
      <c r="N14274" s="124"/>
      <c r="O14274" s="124"/>
    </row>
    <row r="14275">
      <c r="K14275" s="124"/>
      <c r="L14275" s="124"/>
      <c r="M14275" s="124"/>
      <c r="N14275" s="124"/>
      <c r="O14275" s="124"/>
    </row>
    <row r="14276">
      <c r="K14276" s="124"/>
      <c r="L14276" s="124"/>
      <c r="M14276" s="124"/>
      <c r="N14276" s="124"/>
      <c r="O14276" s="124"/>
    </row>
    <row r="14277">
      <c r="K14277" s="124"/>
      <c r="L14277" s="124"/>
      <c r="M14277" s="124"/>
      <c r="N14277" s="124"/>
      <c r="O14277" s="124"/>
    </row>
    <row r="14278">
      <c r="K14278" s="124"/>
      <c r="L14278" s="124"/>
      <c r="M14278" s="124"/>
      <c r="N14278" s="124"/>
      <c r="O14278" s="124"/>
    </row>
    <row r="14279">
      <c r="K14279" s="124"/>
      <c r="L14279" s="124"/>
      <c r="M14279" s="124"/>
      <c r="N14279" s="124"/>
      <c r="O14279" s="124"/>
    </row>
    <row r="14280">
      <c r="K14280" s="124"/>
      <c r="L14280" s="124"/>
      <c r="M14280" s="124"/>
      <c r="N14280" s="124"/>
      <c r="O14280" s="124"/>
    </row>
    <row r="14281">
      <c r="K14281" s="124"/>
      <c r="L14281" s="124"/>
      <c r="M14281" s="124"/>
      <c r="N14281" s="124"/>
      <c r="O14281" s="124"/>
    </row>
    <row r="14282">
      <c r="K14282" s="124"/>
      <c r="L14282" s="124"/>
      <c r="M14282" s="124"/>
      <c r="N14282" s="124"/>
      <c r="O14282" s="124"/>
    </row>
    <row r="14283">
      <c r="K14283" s="124"/>
      <c r="L14283" s="124"/>
      <c r="M14283" s="124"/>
      <c r="N14283" s="124"/>
      <c r="O14283" s="124"/>
    </row>
    <row r="14284">
      <c r="K14284" s="124"/>
      <c r="L14284" s="124"/>
      <c r="M14284" s="124"/>
      <c r="N14284" s="124"/>
      <c r="O14284" s="124"/>
    </row>
    <row r="14285">
      <c r="K14285" s="124"/>
      <c r="L14285" s="124"/>
      <c r="M14285" s="124"/>
      <c r="N14285" s="124"/>
      <c r="O14285" s="124"/>
    </row>
    <row r="14286">
      <c r="K14286" s="124"/>
      <c r="L14286" s="124"/>
      <c r="M14286" s="124"/>
      <c r="N14286" s="124"/>
      <c r="O14286" s="124"/>
    </row>
    <row r="14287">
      <c r="K14287" s="124"/>
      <c r="L14287" s="124"/>
      <c r="M14287" s="124"/>
      <c r="N14287" s="124"/>
      <c r="O14287" s="124"/>
    </row>
    <row r="14288">
      <c r="K14288" s="124"/>
      <c r="L14288" s="124"/>
      <c r="M14288" s="124"/>
      <c r="N14288" s="124"/>
      <c r="O14288" s="124"/>
    </row>
    <row r="14289">
      <c r="K14289" s="124"/>
      <c r="L14289" s="124"/>
      <c r="M14289" s="124"/>
      <c r="N14289" s="124"/>
      <c r="O14289" s="124"/>
    </row>
    <row r="14290">
      <c r="K14290" s="124"/>
      <c r="L14290" s="124"/>
      <c r="M14290" s="124"/>
      <c r="N14290" s="124"/>
      <c r="O14290" s="124"/>
    </row>
    <row r="14291">
      <c r="K14291" s="124"/>
      <c r="L14291" s="124"/>
      <c r="M14291" s="124"/>
      <c r="N14291" s="124"/>
      <c r="O14291" s="124"/>
    </row>
    <row r="14292">
      <c r="K14292" s="124"/>
      <c r="L14292" s="124"/>
      <c r="M14292" s="124"/>
      <c r="N14292" s="124"/>
      <c r="O14292" s="124"/>
    </row>
    <row r="14293">
      <c r="K14293" s="124"/>
      <c r="L14293" s="124"/>
      <c r="M14293" s="124"/>
      <c r="N14293" s="124"/>
      <c r="O14293" s="124"/>
    </row>
    <row r="14294">
      <c r="K14294" s="124"/>
      <c r="L14294" s="124"/>
      <c r="M14294" s="124"/>
      <c r="N14294" s="124"/>
      <c r="O14294" s="124"/>
    </row>
    <row r="14295">
      <c r="K14295" s="124"/>
      <c r="L14295" s="124"/>
      <c r="M14295" s="124"/>
      <c r="N14295" s="124"/>
      <c r="O14295" s="124"/>
    </row>
    <row r="14296">
      <c r="K14296" s="124"/>
      <c r="L14296" s="124"/>
      <c r="M14296" s="124"/>
      <c r="N14296" s="124"/>
      <c r="O14296" s="124"/>
    </row>
    <row r="14297">
      <c r="K14297" s="124"/>
      <c r="L14297" s="124"/>
      <c r="M14297" s="124"/>
      <c r="N14297" s="124"/>
      <c r="O14297" s="124"/>
    </row>
    <row r="14298">
      <c r="K14298" s="124"/>
      <c r="L14298" s="124"/>
      <c r="M14298" s="124"/>
      <c r="N14298" s="124"/>
      <c r="O14298" s="124"/>
    </row>
    <row r="14299">
      <c r="K14299" s="124"/>
      <c r="L14299" s="124"/>
      <c r="M14299" s="124"/>
      <c r="N14299" s="124"/>
      <c r="O14299" s="124"/>
    </row>
    <row r="14300">
      <c r="K14300" s="124"/>
      <c r="L14300" s="124"/>
      <c r="M14300" s="124"/>
      <c r="N14300" s="124"/>
      <c r="O14300" s="124"/>
    </row>
    <row r="14301">
      <c r="K14301" s="124"/>
      <c r="L14301" s="124"/>
      <c r="M14301" s="124"/>
      <c r="N14301" s="124"/>
      <c r="O14301" s="124"/>
    </row>
    <row r="14302">
      <c r="K14302" s="124"/>
      <c r="L14302" s="124"/>
      <c r="M14302" s="124"/>
      <c r="N14302" s="124"/>
      <c r="O14302" s="124"/>
    </row>
    <row r="14303">
      <c r="K14303" s="124"/>
      <c r="L14303" s="124"/>
      <c r="M14303" s="124"/>
      <c r="N14303" s="124"/>
      <c r="O14303" s="124"/>
    </row>
    <row r="14304">
      <c r="K14304" s="124"/>
      <c r="L14304" s="124"/>
      <c r="M14304" s="124"/>
      <c r="N14304" s="124"/>
      <c r="O14304" s="124"/>
    </row>
    <row r="14305">
      <c r="K14305" s="124"/>
      <c r="L14305" s="124"/>
      <c r="M14305" s="124"/>
      <c r="N14305" s="124"/>
      <c r="O14305" s="124"/>
    </row>
    <row r="14306">
      <c r="K14306" s="124"/>
      <c r="L14306" s="124"/>
      <c r="M14306" s="124"/>
      <c r="N14306" s="124"/>
      <c r="O14306" s="124"/>
    </row>
    <row r="14307">
      <c r="K14307" s="124"/>
      <c r="L14307" s="124"/>
      <c r="M14307" s="124"/>
      <c r="N14307" s="124"/>
      <c r="O14307" s="124"/>
    </row>
    <row r="14308">
      <c r="K14308" s="124"/>
      <c r="L14308" s="124"/>
      <c r="M14308" s="124"/>
      <c r="N14308" s="124"/>
      <c r="O14308" s="124"/>
    </row>
    <row r="14309">
      <c r="K14309" s="124"/>
      <c r="L14309" s="124"/>
      <c r="M14309" s="124"/>
      <c r="N14309" s="124"/>
      <c r="O14309" s="124"/>
    </row>
    <row r="14310">
      <c r="K14310" s="124"/>
      <c r="L14310" s="124"/>
      <c r="M14310" s="124"/>
      <c r="N14310" s="124"/>
      <c r="O14310" s="124"/>
    </row>
    <row r="14311">
      <c r="K14311" s="124"/>
      <c r="L14311" s="124"/>
      <c r="M14311" s="124"/>
      <c r="N14311" s="124"/>
      <c r="O14311" s="124"/>
    </row>
    <row r="14312">
      <c r="K14312" s="124"/>
      <c r="L14312" s="124"/>
      <c r="M14312" s="124"/>
      <c r="N14312" s="124"/>
      <c r="O14312" s="124"/>
    </row>
    <row r="14313">
      <c r="K14313" s="124"/>
      <c r="L14313" s="124"/>
      <c r="M14313" s="124"/>
      <c r="N14313" s="124"/>
      <c r="O14313" s="124"/>
    </row>
    <row r="14314">
      <c r="K14314" s="124"/>
      <c r="L14314" s="124"/>
      <c r="M14314" s="124"/>
      <c r="N14314" s="124"/>
      <c r="O14314" s="124"/>
    </row>
    <row r="14315">
      <c r="K14315" s="124"/>
      <c r="L14315" s="124"/>
      <c r="M14315" s="124"/>
      <c r="N14315" s="124"/>
      <c r="O14315" s="124"/>
    </row>
    <row r="14316">
      <c r="K14316" s="124"/>
      <c r="L14316" s="124"/>
      <c r="M14316" s="124"/>
      <c r="N14316" s="124"/>
      <c r="O14316" s="124"/>
    </row>
    <row r="14317">
      <c r="K14317" s="124"/>
      <c r="L14317" s="124"/>
      <c r="M14317" s="124"/>
      <c r="N14317" s="124"/>
      <c r="O14317" s="124"/>
    </row>
    <row r="14318">
      <c r="K14318" s="124"/>
      <c r="L14318" s="124"/>
      <c r="M14318" s="124"/>
      <c r="N14318" s="124"/>
      <c r="O14318" s="124"/>
    </row>
    <row r="14319">
      <c r="K14319" s="124"/>
      <c r="L14319" s="124"/>
      <c r="M14319" s="124"/>
      <c r="N14319" s="124"/>
      <c r="O14319" s="124"/>
    </row>
    <row r="14320">
      <c r="K14320" s="124"/>
      <c r="L14320" s="124"/>
      <c r="M14320" s="124"/>
      <c r="N14320" s="124"/>
      <c r="O14320" s="124"/>
    </row>
    <row r="14321">
      <c r="K14321" s="124"/>
      <c r="L14321" s="124"/>
      <c r="M14321" s="124"/>
      <c r="N14321" s="124"/>
      <c r="O14321" s="124"/>
    </row>
    <row r="14322">
      <c r="K14322" s="124"/>
      <c r="L14322" s="124"/>
      <c r="M14322" s="124"/>
      <c r="N14322" s="124"/>
      <c r="O14322" s="124"/>
    </row>
    <row r="14323">
      <c r="K14323" s="124"/>
      <c r="L14323" s="124"/>
      <c r="M14323" s="124"/>
      <c r="N14323" s="124"/>
      <c r="O14323" s="124"/>
    </row>
    <row r="14324">
      <c r="K14324" s="124"/>
      <c r="L14324" s="124"/>
      <c r="M14324" s="124"/>
      <c r="N14324" s="124"/>
      <c r="O14324" s="124"/>
    </row>
    <row r="14325">
      <c r="K14325" s="124"/>
      <c r="L14325" s="124"/>
      <c r="M14325" s="124"/>
      <c r="N14325" s="124"/>
      <c r="O14325" s="124"/>
    </row>
    <row r="14326">
      <c r="K14326" s="124"/>
      <c r="L14326" s="124"/>
      <c r="M14326" s="124"/>
      <c r="N14326" s="124"/>
      <c r="O14326" s="124"/>
    </row>
    <row r="14327">
      <c r="K14327" s="124"/>
      <c r="L14327" s="124"/>
      <c r="M14327" s="124"/>
      <c r="N14327" s="124"/>
      <c r="O14327" s="124"/>
    </row>
    <row r="14328">
      <c r="K14328" s="124"/>
      <c r="L14328" s="124"/>
      <c r="M14328" s="124"/>
      <c r="N14328" s="124"/>
      <c r="O14328" s="124"/>
    </row>
    <row r="14329">
      <c r="K14329" s="124"/>
      <c r="L14329" s="124"/>
      <c r="M14329" s="124"/>
      <c r="N14329" s="124"/>
      <c r="O14329" s="124"/>
    </row>
    <row r="14330">
      <c r="K14330" s="124"/>
      <c r="L14330" s="124"/>
      <c r="M14330" s="124"/>
      <c r="N14330" s="124"/>
      <c r="O14330" s="124"/>
    </row>
    <row r="14331">
      <c r="K14331" s="124"/>
      <c r="L14331" s="124"/>
      <c r="M14331" s="124"/>
      <c r="N14331" s="124"/>
      <c r="O14331" s="124"/>
    </row>
    <row r="14332">
      <c r="K14332" s="124"/>
      <c r="L14332" s="124"/>
      <c r="M14332" s="124"/>
      <c r="N14332" s="124"/>
      <c r="O14332" s="124"/>
    </row>
    <row r="14333">
      <c r="K14333" s="124"/>
      <c r="L14333" s="124"/>
      <c r="M14333" s="124"/>
      <c r="N14333" s="124"/>
      <c r="O14333" s="124"/>
    </row>
    <row r="14334">
      <c r="K14334" s="124"/>
      <c r="L14334" s="124"/>
      <c r="M14334" s="124"/>
      <c r="N14334" s="124"/>
      <c r="O14334" s="124"/>
    </row>
    <row r="14335">
      <c r="K14335" s="124"/>
      <c r="L14335" s="124"/>
      <c r="M14335" s="124"/>
      <c r="N14335" s="124"/>
      <c r="O14335" s="124"/>
    </row>
    <row r="14336">
      <c r="K14336" s="124"/>
      <c r="L14336" s="124"/>
      <c r="M14336" s="124"/>
      <c r="N14336" s="124"/>
      <c r="O14336" s="124"/>
    </row>
    <row r="14337">
      <c r="K14337" s="124"/>
      <c r="L14337" s="124"/>
      <c r="M14337" s="124"/>
      <c r="N14337" s="124"/>
      <c r="O14337" s="124"/>
    </row>
    <row r="14338">
      <c r="K14338" s="124"/>
      <c r="L14338" s="124"/>
      <c r="M14338" s="124"/>
      <c r="N14338" s="124"/>
      <c r="O14338" s="124"/>
    </row>
    <row r="14339">
      <c r="K14339" s="124"/>
      <c r="L14339" s="124"/>
      <c r="M14339" s="124"/>
      <c r="N14339" s="124"/>
      <c r="O14339" s="124"/>
    </row>
    <row r="14340">
      <c r="K14340" s="124"/>
      <c r="L14340" s="124"/>
      <c r="M14340" s="124"/>
      <c r="N14340" s="124"/>
      <c r="O14340" s="124"/>
    </row>
    <row r="14341">
      <c r="K14341" s="124"/>
      <c r="L14341" s="124"/>
      <c r="M14341" s="124"/>
      <c r="N14341" s="124"/>
      <c r="O14341" s="124"/>
    </row>
    <row r="14342">
      <c r="K14342" s="124"/>
      <c r="L14342" s="124"/>
      <c r="M14342" s="124"/>
      <c r="N14342" s="124"/>
      <c r="O14342" s="124"/>
    </row>
    <row r="14343">
      <c r="K14343" s="124"/>
      <c r="L14343" s="124"/>
      <c r="M14343" s="124"/>
      <c r="N14343" s="124"/>
      <c r="O14343" s="124"/>
    </row>
    <row r="14344">
      <c r="K14344" s="124"/>
      <c r="L14344" s="124"/>
      <c r="M14344" s="124"/>
      <c r="N14344" s="124"/>
      <c r="O14344" s="124"/>
    </row>
    <row r="14345">
      <c r="K14345" s="124"/>
      <c r="L14345" s="124"/>
      <c r="M14345" s="124"/>
      <c r="N14345" s="124"/>
      <c r="O14345" s="124"/>
    </row>
    <row r="14346">
      <c r="K14346" s="124"/>
      <c r="L14346" s="124"/>
      <c r="M14346" s="124"/>
      <c r="N14346" s="124"/>
      <c r="O14346" s="124"/>
    </row>
    <row r="14347">
      <c r="K14347" s="124"/>
      <c r="L14347" s="124"/>
      <c r="M14347" s="124"/>
      <c r="N14347" s="124"/>
      <c r="O14347" s="124"/>
    </row>
    <row r="14348">
      <c r="K14348" s="124"/>
      <c r="L14348" s="124"/>
      <c r="M14348" s="124"/>
      <c r="N14348" s="124"/>
      <c r="O14348" s="124"/>
    </row>
    <row r="14349">
      <c r="K14349" s="124"/>
      <c r="L14349" s="124"/>
      <c r="M14349" s="124"/>
      <c r="N14349" s="124"/>
      <c r="O14349" s="124"/>
    </row>
    <row r="14350">
      <c r="K14350" s="124"/>
      <c r="L14350" s="124"/>
      <c r="M14350" s="124"/>
      <c r="N14350" s="124"/>
      <c r="O14350" s="124"/>
    </row>
    <row r="14351">
      <c r="K14351" s="124"/>
      <c r="L14351" s="124"/>
      <c r="M14351" s="124"/>
      <c r="N14351" s="124"/>
      <c r="O14351" s="124"/>
    </row>
    <row r="14352">
      <c r="K14352" s="124"/>
      <c r="L14352" s="124"/>
      <c r="M14352" s="124"/>
      <c r="N14352" s="124"/>
      <c r="O14352" s="124"/>
    </row>
    <row r="14353">
      <c r="K14353" s="124"/>
      <c r="L14353" s="124"/>
      <c r="M14353" s="124"/>
      <c r="N14353" s="124"/>
      <c r="O14353" s="124"/>
    </row>
    <row r="14354">
      <c r="K14354" s="124"/>
      <c r="L14354" s="124"/>
      <c r="M14354" s="124"/>
      <c r="N14354" s="124"/>
      <c r="O14354" s="124"/>
    </row>
    <row r="14355">
      <c r="K14355" s="124"/>
      <c r="L14355" s="124"/>
      <c r="M14355" s="124"/>
      <c r="N14355" s="124"/>
      <c r="O14355" s="124"/>
    </row>
    <row r="14356">
      <c r="K14356" s="124"/>
      <c r="L14356" s="124"/>
      <c r="M14356" s="124"/>
      <c r="N14356" s="124"/>
      <c r="O14356" s="124"/>
    </row>
    <row r="14357">
      <c r="K14357" s="124"/>
      <c r="L14357" s="124"/>
      <c r="M14357" s="124"/>
      <c r="N14357" s="124"/>
      <c r="O14357" s="124"/>
    </row>
    <row r="14358">
      <c r="K14358" s="124"/>
      <c r="L14358" s="124"/>
      <c r="M14358" s="124"/>
      <c r="N14358" s="124"/>
      <c r="O14358" s="124"/>
    </row>
    <row r="14359">
      <c r="K14359" s="124"/>
      <c r="L14359" s="124"/>
      <c r="M14359" s="124"/>
      <c r="N14359" s="124"/>
      <c r="O14359" s="124"/>
    </row>
    <row r="14360">
      <c r="K14360" s="124"/>
      <c r="L14360" s="124"/>
      <c r="M14360" s="124"/>
      <c r="N14360" s="124"/>
      <c r="O14360" s="124"/>
    </row>
    <row r="14361">
      <c r="K14361" s="124"/>
      <c r="L14361" s="124"/>
      <c r="M14361" s="124"/>
      <c r="N14361" s="124"/>
      <c r="O14361" s="124"/>
    </row>
    <row r="14362">
      <c r="K14362" s="124"/>
      <c r="L14362" s="124"/>
      <c r="M14362" s="124"/>
      <c r="N14362" s="124"/>
      <c r="O14362" s="124"/>
    </row>
    <row r="14363">
      <c r="K14363" s="124"/>
      <c r="L14363" s="124"/>
      <c r="M14363" s="124"/>
      <c r="N14363" s="124"/>
      <c r="O14363" s="124"/>
    </row>
    <row r="14364">
      <c r="K14364" s="124"/>
      <c r="L14364" s="124"/>
      <c r="M14364" s="124"/>
      <c r="N14364" s="124"/>
      <c r="O14364" s="124"/>
    </row>
    <row r="14365">
      <c r="K14365" s="124"/>
      <c r="L14365" s="124"/>
      <c r="M14365" s="124"/>
      <c r="N14365" s="124"/>
      <c r="O14365" s="124"/>
    </row>
    <row r="14366">
      <c r="K14366" s="124"/>
      <c r="L14366" s="124"/>
      <c r="M14366" s="124"/>
      <c r="N14366" s="124"/>
      <c r="O14366" s="124"/>
    </row>
    <row r="14367">
      <c r="K14367" s="124"/>
      <c r="L14367" s="124"/>
      <c r="M14367" s="124"/>
      <c r="N14367" s="124"/>
      <c r="O14367" s="124"/>
    </row>
    <row r="14368">
      <c r="K14368" s="124"/>
      <c r="L14368" s="124"/>
      <c r="M14368" s="124"/>
      <c r="N14368" s="124"/>
      <c r="O14368" s="124"/>
    </row>
    <row r="14369">
      <c r="K14369" s="124"/>
      <c r="L14369" s="124"/>
      <c r="M14369" s="124"/>
      <c r="N14369" s="124"/>
      <c r="O14369" s="124"/>
    </row>
    <row r="14370">
      <c r="K14370" s="124"/>
      <c r="L14370" s="124"/>
      <c r="M14370" s="124"/>
      <c r="N14370" s="124"/>
      <c r="O14370" s="124"/>
    </row>
    <row r="14371">
      <c r="K14371" s="124"/>
      <c r="L14371" s="124"/>
      <c r="M14371" s="124"/>
      <c r="N14371" s="124"/>
      <c r="O14371" s="124"/>
    </row>
    <row r="14372">
      <c r="K14372" s="124"/>
      <c r="L14372" s="124"/>
      <c r="M14372" s="124"/>
      <c r="N14372" s="124"/>
      <c r="O14372" s="124"/>
    </row>
    <row r="14373">
      <c r="K14373" s="124"/>
      <c r="L14373" s="124"/>
      <c r="M14373" s="124"/>
      <c r="N14373" s="124"/>
      <c r="O14373" s="124"/>
    </row>
    <row r="14374">
      <c r="K14374" s="124"/>
      <c r="L14374" s="124"/>
      <c r="M14374" s="124"/>
      <c r="N14374" s="124"/>
      <c r="O14374" s="124"/>
    </row>
    <row r="14375">
      <c r="K14375" s="124"/>
      <c r="L14375" s="124"/>
      <c r="M14375" s="124"/>
      <c r="N14375" s="124"/>
      <c r="O14375" s="124"/>
    </row>
    <row r="14376">
      <c r="K14376" s="124"/>
      <c r="L14376" s="124"/>
      <c r="M14376" s="124"/>
      <c r="N14376" s="124"/>
      <c r="O14376" s="124"/>
    </row>
    <row r="14377">
      <c r="K14377" s="124"/>
      <c r="L14377" s="124"/>
      <c r="M14377" s="124"/>
      <c r="N14377" s="124"/>
      <c r="O14377" s="124"/>
    </row>
    <row r="14378">
      <c r="K14378" s="124"/>
      <c r="L14378" s="124"/>
      <c r="M14378" s="124"/>
      <c r="N14378" s="124"/>
      <c r="O14378" s="124"/>
    </row>
    <row r="14379">
      <c r="K14379" s="124"/>
      <c r="L14379" s="124"/>
      <c r="M14379" s="124"/>
      <c r="N14379" s="124"/>
      <c r="O14379" s="124"/>
    </row>
    <row r="14380">
      <c r="K14380" s="124"/>
      <c r="L14380" s="124"/>
      <c r="M14380" s="124"/>
      <c r="N14380" s="124"/>
      <c r="O14380" s="124"/>
    </row>
    <row r="14381">
      <c r="K14381" s="124"/>
      <c r="L14381" s="124"/>
      <c r="M14381" s="124"/>
      <c r="N14381" s="124"/>
      <c r="O14381" s="124"/>
    </row>
    <row r="14382">
      <c r="K14382" s="124"/>
      <c r="L14382" s="124"/>
      <c r="M14382" s="124"/>
      <c r="N14382" s="124"/>
      <c r="O14382" s="124"/>
    </row>
    <row r="14383">
      <c r="K14383" s="124"/>
      <c r="L14383" s="124"/>
      <c r="M14383" s="124"/>
      <c r="N14383" s="124"/>
      <c r="O14383" s="124"/>
    </row>
    <row r="14384">
      <c r="K14384" s="124"/>
      <c r="L14384" s="124"/>
      <c r="M14384" s="124"/>
      <c r="N14384" s="124"/>
      <c r="O14384" s="124"/>
    </row>
    <row r="14385">
      <c r="K14385" s="124"/>
      <c r="L14385" s="124"/>
      <c r="M14385" s="124"/>
      <c r="N14385" s="124"/>
      <c r="O14385" s="124"/>
    </row>
    <row r="14386">
      <c r="K14386" s="124"/>
      <c r="L14386" s="124"/>
      <c r="M14386" s="124"/>
      <c r="N14386" s="124"/>
      <c r="O14386" s="124"/>
    </row>
    <row r="14387">
      <c r="K14387" s="124"/>
      <c r="L14387" s="124"/>
      <c r="M14387" s="124"/>
      <c r="N14387" s="124"/>
      <c r="O14387" s="124"/>
    </row>
    <row r="14388">
      <c r="K14388" s="124"/>
      <c r="L14388" s="124"/>
      <c r="M14388" s="124"/>
      <c r="N14388" s="124"/>
      <c r="O14388" s="124"/>
    </row>
    <row r="14389">
      <c r="K14389" s="124"/>
      <c r="L14389" s="124"/>
      <c r="M14389" s="124"/>
      <c r="N14389" s="124"/>
      <c r="O14389" s="124"/>
    </row>
    <row r="14390">
      <c r="K14390" s="124"/>
      <c r="L14390" s="124"/>
      <c r="M14390" s="124"/>
      <c r="N14390" s="124"/>
      <c r="O14390" s="124"/>
    </row>
    <row r="14391">
      <c r="K14391" s="124"/>
      <c r="L14391" s="124"/>
      <c r="M14391" s="124"/>
      <c r="N14391" s="124"/>
      <c r="O14391" s="124"/>
    </row>
    <row r="14392">
      <c r="K14392" s="124"/>
      <c r="L14392" s="124"/>
      <c r="M14392" s="124"/>
      <c r="N14392" s="124"/>
      <c r="O14392" s="124"/>
    </row>
    <row r="14393">
      <c r="K14393" s="124"/>
      <c r="L14393" s="124"/>
      <c r="M14393" s="124"/>
      <c r="N14393" s="124"/>
      <c r="O14393" s="124"/>
    </row>
    <row r="14394">
      <c r="K14394" s="124"/>
      <c r="L14394" s="124"/>
      <c r="M14394" s="124"/>
      <c r="N14394" s="124"/>
      <c r="O14394" s="124"/>
    </row>
    <row r="14395">
      <c r="K14395" s="124"/>
      <c r="L14395" s="124"/>
      <c r="M14395" s="124"/>
      <c r="N14395" s="124"/>
      <c r="O14395" s="124"/>
    </row>
    <row r="14396">
      <c r="K14396" s="124"/>
      <c r="L14396" s="124"/>
      <c r="M14396" s="124"/>
      <c r="N14396" s="124"/>
      <c r="O14396" s="124"/>
    </row>
    <row r="14397">
      <c r="K14397" s="124"/>
      <c r="L14397" s="124"/>
      <c r="M14397" s="124"/>
      <c r="N14397" s="124"/>
      <c r="O14397" s="124"/>
    </row>
    <row r="14398">
      <c r="K14398" s="124"/>
      <c r="L14398" s="124"/>
      <c r="M14398" s="124"/>
      <c r="N14398" s="124"/>
      <c r="O14398" s="124"/>
    </row>
    <row r="14399">
      <c r="K14399" s="124"/>
      <c r="L14399" s="124"/>
      <c r="M14399" s="124"/>
      <c r="N14399" s="124"/>
      <c r="O14399" s="124"/>
    </row>
    <row r="14400">
      <c r="K14400" s="124"/>
      <c r="L14400" s="124"/>
      <c r="M14400" s="124"/>
      <c r="N14400" s="124"/>
      <c r="O14400" s="124"/>
    </row>
    <row r="14401">
      <c r="K14401" s="124"/>
      <c r="L14401" s="124"/>
      <c r="M14401" s="124"/>
      <c r="N14401" s="124"/>
      <c r="O14401" s="124"/>
    </row>
    <row r="14402">
      <c r="K14402" s="124"/>
      <c r="L14402" s="124"/>
      <c r="M14402" s="124"/>
      <c r="N14402" s="124"/>
      <c r="O14402" s="124"/>
    </row>
    <row r="14403">
      <c r="K14403" s="124"/>
      <c r="L14403" s="124"/>
      <c r="M14403" s="124"/>
      <c r="N14403" s="124"/>
      <c r="O14403" s="124"/>
    </row>
    <row r="14404">
      <c r="K14404" s="124"/>
      <c r="L14404" s="124"/>
      <c r="M14404" s="124"/>
      <c r="N14404" s="124"/>
      <c r="O14404" s="124"/>
    </row>
    <row r="14405">
      <c r="K14405" s="124"/>
      <c r="L14405" s="124"/>
      <c r="M14405" s="124"/>
      <c r="N14405" s="124"/>
      <c r="O14405" s="124"/>
    </row>
    <row r="14406">
      <c r="K14406" s="124"/>
      <c r="L14406" s="124"/>
      <c r="M14406" s="124"/>
      <c r="N14406" s="124"/>
      <c r="O14406" s="124"/>
    </row>
    <row r="14407">
      <c r="K14407" s="124"/>
      <c r="L14407" s="124"/>
      <c r="M14407" s="124"/>
      <c r="N14407" s="124"/>
      <c r="O14407" s="124"/>
    </row>
    <row r="14408">
      <c r="K14408" s="124"/>
      <c r="L14408" s="124"/>
      <c r="M14408" s="124"/>
      <c r="N14408" s="124"/>
      <c r="O14408" s="124"/>
    </row>
    <row r="14409">
      <c r="K14409" s="124"/>
      <c r="L14409" s="124"/>
      <c r="M14409" s="124"/>
      <c r="N14409" s="124"/>
      <c r="O14409" s="124"/>
    </row>
    <row r="14410">
      <c r="K14410" s="124"/>
      <c r="L14410" s="124"/>
      <c r="M14410" s="124"/>
      <c r="N14410" s="124"/>
      <c r="O14410" s="124"/>
    </row>
    <row r="14411">
      <c r="K14411" s="124"/>
      <c r="L14411" s="124"/>
      <c r="M14411" s="124"/>
      <c r="N14411" s="124"/>
      <c r="O14411" s="124"/>
    </row>
    <row r="14412">
      <c r="K14412" s="124"/>
      <c r="L14412" s="124"/>
      <c r="M14412" s="124"/>
      <c r="N14412" s="124"/>
      <c r="O14412" s="124"/>
    </row>
    <row r="14413">
      <c r="K14413" s="124"/>
      <c r="L14413" s="124"/>
      <c r="M14413" s="124"/>
      <c r="N14413" s="124"/>
      <c r="O14413" s="124"/>
    </row>
    <row r="14414">
      <c r="K14414" s="124"/>
      <c r="L14414" s="124"/>
      <c r="M14414" s="124"/>
      <c r="N14414" s="124"/>
      <c r="O14414" s="124"/>
    </row>
    <row r="14415">
      <c r="K14415" s="124"/>
      <c r="L14415" s="124"/>
      <c r="M14415" s="124"/>
      <c r="N14415" s="124"/>
      <c r="O14415" s="124"/>
    </row>
    <row r="14416">
      <c r="K14416" s="124"/>
      <c r="L14416" s="124"/>
      <c r="M14416" s="124"/>
      <c r="N14416" s="124"/>
      <c r="O14416" s="124"/>
    </row>
    <row r="14417">
      <c r="K14417" s="124"/>
      <c r="L14417" s="124"/>
      <c r="M14417" s="124"/>
      <c r="N14417" s="124"/>
      <c r="O14417" s="124"/>
    </row>
    <row r="14418">
      <c r="K14418" s="124"/>
      <c r="L14418" s="124"/>
      <c r="M14418" s="124"/>
      <c r="N14418" s="124"/>
      <c r="O14418" s="124"/>
    </row>
    <row r="14419">
      <c r="K14419" s="124"/>
      <c r="L14419" s="124"/>
      <c r="M14419" s="124"/>
      <c r="N14419" s="124"/>
      <c r="O14419" s="124"/>
    </row>
    <row r="14420">
      <c r="K14420" s="124"/>
      <c r="L14420" s="124"/>
      <c r="M14420" s="124"/>
      <c r="N14420" s="124"/>
      <c r="O14420" s="124"/>
    </row>
    <row r="14421">
      <c r="K14421" s="124"/>
      <c r="L14421" s="124"/>
      <c r="M14421" s="124"/>
      <c r="N14421" s="124"/>
      <c r="O14421" s="124"/>
    </row>
    <row r="14422">
      <c r="K14422" s="124"/>
      <c r="L14422" s="124"/>
      <c r="M14422" s="124"/>
      <c r="N14422" s="124"/>
      <c r="O14422" s="124"/>
    </row>
    <row r="14423">
      <c r="K14423" s="124"/>
      <c r="L14423" s="124"/>
      <c r="M14423" s="124"/>
      <c r="N14423" s="124"/>
      <c r="O14423" s="124"/>
    </row>
    <row r="14424">
      <c r="K14424" s="124"/>
      <c r="L14424" s="124"/>
      <c r="M14424" s="124"/>
      <c r="N14424" s="124"/>
      <c r="O14424" s="124"/>
    </row>
    <row r="14425">
      <c r="K14425" s="124"/>
      <c r="L14425" s="124"/>
      <c r="M14425" s="124"/>
      <c r="N14425" s="124"/>
      <c r="O14425" s="124"/>
    </row>
    <row r="14426">
      <c r="K14426" s="124"/>
      <c r="L14426" s="124"/>
      <c r="M14426" s="124"/>
      <c r="N14426" s="124"/>
      <c r="O14426" s="124"/>
    </row>
    <row r="14427">
      <c r="K14427" s="124"/>
      <c r="L14427" s="124"/>
      <c r="M14427" s="124"/>
      <c r="N14427" s="124"/>
      <c r="O14427" s="124"/>
    </row>
    <row r="14428">
      <c r="K14428" s="124"/>
      <c r="L14428" s="124"/>
      <c r="M14428" s="124"/>
      <c r="N14428" s="124"/>
      <c r="O14428" s="124"/>
    </row>
    <row r="14429">
      <c r="K14429" s="124"/>
      <c r="L14429" s="124"/>
      <c r="M14429" s="124"/>
      <c r="N14429" s="124"/>
      <c r="O14429" s="124"/>
    </row>
    <row r="14430">
      <c r="K14430" s="124"/>
      <c r="L14430" s="124"/>
      <c r="M14430" s="124"/>
      <c r="N14430" s="124"/>
      <c r="O14430" s="124"/>
    </row>
    <row r="14431">
      <c r="K14431" s="124"/>
      <c r="L14431" s="124"/>
      <c r="M14431" s="124"/>
      <c r="N14431" s="124"/>
      <c r="O14431" s="124"/>
    </row>
    <row r="14432">
      <c r="K14432" s="124"/>
      <c r="L14432" s="124"/>
      <c r="M14432" s="124"/>
      <c r="N14432" s="124"/>
      <c r="O14432" s="124"/>
    </row>
    <row r="14433">
      <c r="K14433" s="124"/>
      <c r="L14433" s="124"/>
      <c r="M14433" s="124"/>
      <c r="N14433" s="124"/>
      <c r="O14433" s="124"/>
    </row>
    <row r="14434">
      <c r="K14434" s="124"/>
      <c r="L14434" s="124"/>
      <c r="M14434" s="124"/>
      <c r="N14434" s="124"/>
      <c r="O14434" s="124"/>
    </row>
    <row r="14435">
      <c r="K14435" s="124"/>
      <c r="L14435" s="124"/>
      <c r="M14435" s="124"/>
      <c r="N14435" s="124"/>
      <c r="O14435" s="124"/>
    </row>
    <row r="14436">
      <c r="K14436" s="124"/>
      <c r="L14436" s="124"/>
      <c r="M14436" s="124"/>
      <c r="N14436" s="124"/>
      <c r="O14436" s="124"/>
    </row>
    <row r="14437">
      <c r="K14437" s="124"/>
      <c r="L14437" s="124"/>
      <c r="M14437" s="124"/>
      <c r="N14437" s="124"/>
      <c r="O14437" s="124"/>
    </row>
    <row r="14438">
      <c r="K14438" s="124"/>
      <c r="L14438" s="124"/>
      <c r="M14438" s="124"/>
      <c r="N14438" s="124"/>
      <c r="O14438" s="124"/>
    </row>
    <row r="14439">
      <c r="K14439" s="124"/>
      <c r="L14439" s="124"/>
      <c r="M14439" s="124"/>
      <c r="N14439" s="124"/>
      <c r="O14439" s="124"/>
    </row>
    <row r="14440">
      <c r="K14440" s="124"/>
      <c r="L14440" s="124"/>
      <c r="M14440" s="124"/>
      <c r="N14440" s="124"/>
      <c r="O14440" s="124"/>
    </row>
    <row r="14441">
      <c r="K14441" s="124"/>
      <c r="L14441" s="124"/>
      <c r="M14441" s="124"/>
      <c r="N14441" s="124"/>
      <c r="O14441" s="124"/>
    </row>
    <row r="14442">
      <c r="K14442" s="124"/>
      <c r="L14442" s="124"/>
      <c r="M14442" s="124"/>
      <c r="N14442" s="124"/>
      <c r="O14442" s="124"/>
    </row>
    <row r="14443">
      <c r="K14443" s="124"/>
      <c r="L14443" s="124"/>
      <c r="M14443" s="124"/>
      <c r="N14443" s="124"/>
      <c r="O14443" s="124"/>
    </row>
    <row r="14444">
      <c r="K14444" s="124"/>
      <c r="L14444" s="124"/>
      <c r="M14444" s="124"/>
      <c r="N14444" s="124"/>
      <c r="O14444" s="124"/>
    </row>
    <row r="14445">
      <c r="K14445" s="124"/>
      <c r="L14445" s="124"/>
      <c r="M14445" s="124"/>
      <c r="N14445" s="124"/>
      <c r="O14445" s="124"/>
    </row>
    <row r="14446">
      <c r="K14446" s="124"/>
      <c r="L14446" s="124"/>
      <c r="M14446" s="124"/>
      <c r="N14446" s="124"/>
      <c r="O14446" s="124"/>
    </row>
    <row r="14447">
      <c r="K14447" s="124"/>
      <c r="L14447" s="124"/>
      <c r="M14447" s="124"/>
      <c r="N14447" s="124"/>
      <c r="O14447" s="124"/>
    </row>
    <row r="14448">
      <c r="K14448" s="124"/>
      <c r="L14448" s="124"/>
      <c r="M14448" s="124"/>
      <c r="N14448" s="124"/>
      <c r="O14448" s="124"/>
    </row>
    <row r="14449">
      <c r="K14449" s="124"/>
      <c r="L14449" s="124"/>
      <c r="M14449" s="124"/>
      <c r="N14449" s="124"/>
      <c r="O14449" s="124"/>
    </row>
    <row r="14450">
      <c r="K14450" s="124"/>
      <c r="L14450" s="124"/>
      <c r="M14450" s="124"/>
      <c r="N14450" s="124"/>
      <c r="O14450" s="124"/>
    </row>
    <row r="14451">
      <c r="K14451" s="124"/>
      <c r="L14451" s="124"/>
      <c r="M14451" s="124"/>
      <c r="N14451" s="124"/>
      <c r="O14451" s="124"/>
    </row>
    <row r="14452">
      <c r="K14452" s="124"/>
      <c r="L14452" s="124"/>
      <c r="M14452" s="124"/>
      <c r="N14452" s="124"/>
      <c r="O14452" s="124"/>
    </row>
    <row r="14453">
      <c r="K14453" s="124"/>
      <c r="L14453" s="124"/>
      <c r="M14453" s="124"/>
      <c r="N14453" s="124"/>
      <c r="O14453" s="124"/>
    </row>
    <row r="14454">
      <c r="K14454" s="124"/>
      <c r="L14454" s="124"/>
      <c r="M14454" s="124"/>
      <c r="N14454" s="124"/>
      <c r="O14454" s="124"/>
    </row>
    <row r="14455">
      <c r="K14455" s="124"/>
      <c r="L14455" s="124"/>
      <c r="M14455" s="124"/>
      <c r="N14455" s="124"/>
      <c r="O14455" s="124"/>
    </row>
    <row r="14456">
      <c r="K14456" s="124"/>
      <c r="L14456" s="124"/>
      <c r="M14456" s="124"/>
      <c r="N14456" s="124"/>
      <c r="O14456" s="124"/>
    </row>
    <row r="14457">
      <c r="K14457" s="124"/>
      <c r="L14457" s="124"/>
      <c r="M14457" s="124"/>
      <c r="N14457" s="124"/>
      <c r="O14457" s="124"/>
    </row>
    <row r="14458">
      <c r="K14458" s="124"/>
      <c r="L14458" s="124"/>
      <c r="M14458" s="124"/>
      <c r="N14458" s="124"/>
      <c r="O14458" s="124"/>
    </row>
    <row r="14459">
      <c r="K14459" s="124"/>
      <c r="L14459" s="124"/>
      <c r="M14459" s="124"/>
      <c r="N14459" s="124"/>
      <c r="O14459" s="124"/>
    </row>
    <row r="14460">
      <c r="K14460" s="124"/>
      <c r="L14460" s="124"/>
      <c r="M14460" s="124"/>
      <c r="N14460" s="124"/>
      <c r="O14460" s="124"/>
    </row>
    <row r="14461">
      <c r="K14461" s="124"/>
      <c r="L14461" s="124"/>
      <c r="M14461" s="124"/>
      <c r="N14461" s="124"/>
      <c r="O14461" s="124"/>
    </row>
    <row r="14462">
      <c r="K14462" s="124"/>
      <c r="L14462" s="124"/>
      <c r="M14462" s="124"/>
      <c r="N14462" s="124"/>
      <c r="O14462" s="124"/>
    </row>
    <row r="14463">
      <c r="K14463" s="124"/>
      <c r="L14463" s="124"/>
      <c r="M14463" s="124"/>
      <c r="N14463" s="124"/>
      <c r="O14463" s="124"/>
    </row>
    <row r="14464">
      <c r="K14464" s="124"/>
      <c r="L14464" s="124"/>
      <c r="M14464" s="124"/>
      <c r="N14464" s="124"/>
      <c r="O14464" s="124"/>
    </row>
    <row r="14465">
      <c r="K14465" s="124"/>
      <c r="L14465" s="124"/>
      <c r="M14465" s="124"/>
      <c r="N14465" s="124"/>
      <c r="O14465" s="124"/>
    </row>
    <row r="14466">
      <c r="K14466" s="124"/>
      <c r="L14466" s="124"/>
      <c r="M14466" s="124"/>
      <c r="N14466" s="124"/>
      <c r="O14466" s="124"/>
    </row>
    <row r="14467">
      <c r="K14467" s="124"/>
      <c r="L14467" s="124"/>
      <c r="M14467" s="124"/>
      <c r="N14467" s="124"/>
      <c r="O14467" s="124"/>
    </row>
    <row r="14468">
      <c r="K14468" s="124"/>
      <c r="L14468" s="124"/>
      <c r="M14468" s="124"/>
      <c r="N14468" s="124"/>
      <c r="O14468" s="124"/>
    </row>
    <row r="14469">
      <c r="K14469" s="124"/>
      <c r="L14469" s="124"/>
      <c r="M14469" s="124"/>
      <c r="N14469" s="124"/>
      <c r="O14469" s="124"/>
    </row>
    <row r="14470">
      <c r="K14470" s="124"/>
      <c r="L14470" s="124"/>
      <c r="M14470" s="124"/>
      <c r="N14470" s="124"/>
      <c r="O14470" s="124"/>
    </row>
    <row r="14471">
      <c r="K14471" s="124"/>
      <c r="L14471" s="124"/>
      <c r="M14471" s="124"/>
      <c r="N14471" s="124"/>
      <c r="O14471" s="124"/>
    </row>
    <row r="14472">
      <c r="K14472" s="124"/>
      <c r="L14472" s="124"/>
      <c r="M14472" s="124"/>
      <c r="N14472" s="124"/>
      <c r="O14472" s="124"/>
    </row>
    <row r="14473">
      <c r="K14473" s="124"/>
      <c r="L14473" s="124"/>
      <c r="M14473" s="124"/>
      <c r="N14473" s="124"/>
      <c r="O14473" s="124"/>
    </row>
    <row r="14474">
      <c r="K14474" s="124"/>
      <c r="L14474" s="124"/>
      <c r="M14474" s="124"/>
      <c r="N14474" s="124"/>
      <c r="O14474" s="124"/>
    </row>
    <row r="14475">
      <c r="K14475" s="124"/>
      <c r="L14475" s="124"/>
      <c r="M14475" s="124"/>
      <c r="N14475" s="124"/>
      <c r="O14475" s="124"/>
    </row>
    <row r="14476">
      <c r="K14476" s="124"/>
      <c r="L14476" s="124"/>
      <c r="M14476" s="124"/>
      <c r="N14476" s="124"/>
      <c r="O14476" s="124"/>
    </row>
    <row r="14477">
      <c r="K14477" s="124"/>
      <c r="L14477" s="124"/>
      <c r="M14477" s="124"/>
      <c r="N14477" s="124"/>
      <c r="O14477" s="124"/>
    </row>
    <row r="14478">
      <c r="K14478" s="124"/>
      <c r="L14478" s="124"/>
      <c r="M14478" s="124"/>
      <c r="N14478" s="124"/>
      <c r="O14478" s="124"/>
    </row>
    <row r="14479">
      <c r="K14479" s="124"/>
      <c r="L14479" s="124"/>
      <c r="M14479" s="124"/>
      <c r="N14479" s="124"/>
      <c r="O14479" s="124"/>
    </row>
    <row r="14480">
      <c r="K14480" s="124"/>
      <c r="L14480" s="124"/>
      <c r="M14480" s="124"/>
      <c r="N14480" s="124"/>
      <c r="O14480" s="124"/>
    </row>
    <row r="14481">
      <c r="K14481" s="124"/>
      <c r="L14481" s="124"/>
      <c r="M14481" s="124"/>
      <c r="N14481" s="124"/>
      <c r="O14481" s="124"/>
    </row>
    <row r="14482">
      <c r="K14482" s="124"/>
      <c r="L14482" s="124"/>
      <c r="M14482" s="124"/>
      <c r="N14482" s="124"/>
      <c r="O14482" s="124"/>
    </row>
    <row r="14483">
      <c r="K14483" s="124"/>
      <c r="L14483" s="124"/>
      <c r="M14483" s="124"/>
      <c r="N14483" s="124"/>
      <c r="O14483" s="124"/>
    </row>
    <row r="14484">
      <c r="K14484" s="124"/>
      <c r="L14484" s="124"/>
      <c r="M14484" s="124"/>
      <c r="N14484" s="124"/>
      <c r="O14484" s="124"/>
    </row>
    <row r="14485">
      <c r="K14485" s="124"/>
      <c r="L14485" s="124"/>
      <c r="M14485" s="124"/>
      <c r="N14485" s="124"/>
      <c r="O14485" s="124"/>
    </row>
    <row r="14486">
      <c r="K14486" s="124"/>
      <c r="L14486" s="124"/>
      <c r="M14486" s="124"/>
      <c r="N14486" s="124"/>
      <c r="O14486" s="124"/>
    </row>
    <row r="14487">
      <c r="K14487" s="124"/>
      <c r="L14487" s="124"/>
      <c r="M14487" s="124"/>
      <c r="N14487" s="124"/>
      <c r="O14487" s="124"/>
    </row>
    <row r="14488">
      <c r="K14488" s="124"/>
      <c r="L14488" s="124"/>
      <c r="M14488" s="124"/>
      <c r="N14488" s="124"/>
      <c r="O14488" s="124"/>
    </row>
    <row r="14489">
      <c r="K14489" s="124"/>
      <c r="L14489" s="124"/>
      <c r="M14489" s="124"/>
      <c r="N14489" s="124"/>
      <c r="O14489" s="124"/>
    </row>
    <row r="14490">
      <c r="K14490" s="124"/>
      <c r="L14490" s="124"/>
      <c r="M14490" s="124"/>
      <c r="N14490" s="124"/>
      <c r="O14490" s="124"/>
    </row>
    <row r="14491">
      <c r="K14491" s="124"/>
      <c r="L14491" s="124"/>
      <c r="M14491" s="124"/>
      <c r="N14491" s="124"/>
      <c r="O14491" s="124"/>
    </row>
    <row r="14492">
      <c r="K14492" s="124"/>
      <c r="L14492" s="124"/>
      <c r="M14492" s="124"/>
      <c r="N14492" s="124"/>
      <c r="O14492" s="124"/>
    </row>
    <row r="14493">
      <c r="K14493" s="124"/>
      <c r="L14493" s="124"/>
      <c r="M14493" s="124"/>
      <c r="N14493" s="124"/>
      <c r="O14493" s="124"/>
    </row>
    <row r="14494">
      <c r="K14494" s="124"/>
      <c r="L14494" s="124"/>
      <c r="M14494" s="124"/>
      <c r="N14494" s="124"/>
      <c r="O14494" s="124"/>
    </row>
    <row r="14495">
      <c r="K14495" s="124"/>
      <c r="L14495" s="124"/>
      <c r="M14495" s="124"/>
      <c r="N14495" s="124"/>
      <c r="O14495" s="124"/>
    </row>
    <row r="14496">
      <c r="K14496" s="124"/>
      <c r="L14496" s="124"/>
      <c r="M14496" s="124"/>
      <c r="N14496" s="124"/>
      <c r="O14496" s="124"/>
    </row>
    <row r="14497">
      <c r="K14497" s="124"/>
      <c r="L14497" s="124"/>
      <c r="M14497" s="124"/>
      <c r="N14497" s="124"/>
      <c r="O14497" s="124"/>
    </row>
    <row r="14498">
      <c r="K14498" s="124"/>
      <c r="L14498" s="124"/>
      <c r="M14498" s="124"/>
      <c r="N14498" s="124"/>
      <c r="O14498" s="124"/>
    </row>
    <row r="14499">
      <c r="K14499" s="124"/>
      <c r="L14499" s="124"/>
      <c r="M14499" s="124"/>
      <c r="N14499" s="124"/>
      <c r="O14499" s="124"/>
    </row>
    <row r="14500">
      <c r="K14500" s="124"/>
      <c r="L14500" s="124"/>
      <c r="M14500" s="124"/>
      <c r="N14500" s="124"/>
      <c r="O14500" s="124"/>
    </row>
    <row r="14501">
      <c r="K14501" s="124"/>
      <c r="L14501" s="124"/>
      <c r="M14501" s="124"/>
      <c r="N14501" s="124"/>
      <c r="O14501" s="124"/>
    </row>
    <row r="14502">
      <c r="K14502" s="124"/>
      <c r="L14502" s="124"/>
      <c r="M14502" s="124"/>
      <c r="N14502" s="124"/>
      <c r="O14502" s="124"/>
    </row>
    <row r="14503">
      <c r="K14503" s="124"/>
      <c r="L14503" s="124"/>
      <c r="M14503" s="124"/>
      <c r="N14503" s="124"/>
      <c r="O14503" s="124"/>
    </row>
    <row r="14504">
      <c r="K14504" s="124"/>
      <c r="L14504" s="124"/>
      <c r="M14504" s="124"/>
      <c r="N14504" s="124"/>
      <c r="O14504" s="124"/>
    </row>
    <row r="14505">
      <c r="K14505" s="124"/>
      <c r="L14505" s="124"/>
      <c r="M14505" s="124"/>
      <c r="N14505" s="124"/>
      <c r="O14505" s="124"/>
    </row>
    <row r="14506">
      <c r="K14506" s="124"/>
      <c r="L14506" s="124"/>
      <c r="M14506" s="124"/>
      <c r="N14506" s="124"/>
      <c r="O14506" s="124"/>
    </row>
    <row r="14507">
      <c r="K14507" s="124"/>
      <c r="L14507" s="124"/>
      <c r="M14507" s="124"/>
      <c r="N14507" s="124"/>
      <c r="O14507" s="124"/>
    </row>
    <row r="14508">
      <c r="K14508" s="124"/>
      <c r="L14508" s="124"/>
      <c r="M14508" s="124"/>
      <c r="N14508" s="124"/>
      <c r="O14508" s="124"/>
    </row>
    <row r="14509">
      <c r="K14509" s="124"/>
      <c r="L14509" s="124"/>
      <c r="M14509" s="124"/>
      <c r="N14509" s="124"/>
      <c r="O14509" s="124"/>
    </row>
    <row r="14510">
      <c r="K14510" s="124"/>
      <c r="L14510" s="124"/>
      <c r="M14510" s="124"/>
      <c r="N14510" s="124"/>
      <c r="O14510" s="124"/>
    </row>
    <row r="14511">
      <c r="K14511" s="124"/>
      <c r="L14511" s="124"/>
      <c r="M14511" s="124"/>
      <c r="N14511" s="124"/>
      <c r="O14511" s="124"/>
    </row>
    <row r="14512">
      <c r="K14512" s="124"/>
      <c r="L14512" s="124"/>
      <c r="M14512" s="124"/>
      <c r="N14512" s="124"/>
      <c r="O14512" s="124"/>
    </row>
    <row r="14513">
      <c r="K14513" s="124"/>
      <c r="L14513" s="124"/>
      <c r="M14513" s="124"/>
      <c r="N14513" s="124"/>
      <c r="O14513" s="124"/>
    </row>
    <row r="14514">
      <c r="K14514" s="124"/>
      <c r="L14514" s="124"/>
      <c r="M14514" s="124"/>
      <c r="N14514" s="124"/>
      <c r="O14514" s="124"/>
    </row>
    <row r="14515">
      <c r="K14515" s="124"/>
      <c r="L14515" s="124"/>
      <c r="M14515" s="124"/>
      <c r="N14515" s="124"/>
      <c r="O14515" s="124"/>
    </row>
    <row r="14516">
      <c r="K14516" s="124"/>
      <c r="L14516" s="124"/>
      <c r="M14516" s="124"/>
      <c r="N14516" s="124"/>
      <c r="O14516" s="124"/>
    </row>
    <row r="14517">
      <c r="K14517" s="124"/>
      <c r="L14517" s="124"/>
      <c r="M14517" s="124"/>
      <c r="N14517" s="124"/>
      <c r="O14517" s="124"/>
    </row>
    <row r="14518">
      <c r="K14518" s="124"/>
      <c r="L14518" s="124"/>
      <c r="M14518" s="124"/>
      <c r="N14518" s="124"/>
      <c r="O14518" s="124"/>
    </row>
    <row r="14519">
      <c r="K14519" s="124"/>
      <c r="L14519" s="124"/>
      <c r="M14519" s="124"/>
      <c r="N14519" s="124"/>
      <c r="O14519" s="124"/>
    </row>
    <row r="14520">
      <c r="K14520" s="124"/>
      <c r="L14520" s="124"/>
      <c r="M14520" s="124"/>
      <c r="N14520" s="124"/>
      <c r="O14520" s="124"/>
    </row>
    <row r="14521">
      <c r="K14521" s="124"/>
      <c r="L14521" s="124"/>
      <c r="M14521" s="124"/>
      <c r="N14521" s="124"/>
      <c r="O14521" s="124"/>
    </row>
    <row r="14522">
      <c r="K14522" s="124"/>
      <c r="L14522" s="124"/>
      <c r="M14522" s="124"/>
      <c r="N14522" s="124"/>
      <c r="O14522" s="124"/>
    </row>
    <row r="14523">
      <c r="K14523" s="124"/>
      <c r="L14523" s="124"/>
      <c r="M14523" s="124"/>
      <c r="N14523" s="124"/>
      <c r="O14523" s="124"/>
    </row>
    <row r="14524">
      <c r="K14524" s="124"/>
      <c r="L14524" s="124"/>
      <c r="M14524" s="124"/>
      <c r="N14524" s="124"/>
      <c r="O14524" s="124"/>
    </row>
    <row r="14525">
      <c r="K14525" s="124"/>
      <c r="L14525" s="124"/>
      <c r="M14525" s="124"/>
      <c r="N14525" s="124"/>
      <c r="O14525" s="124"/>
    </row>
    <row r="14526">
      <c r="K14526" s="124"/>
      <c r="L14526" s="124"/>
      <c r="M14526" s="124"/>
      <c r="N14526" s="124"/>
      <c r="O14526" s="124"/>
    </row>
    <row r="14527">
      <c r="K14527" s="124"/>
      <c r="L14527" s="124"/>
      <c r="M14527" s="124"/>
      <c r="N14527" s="124"/>
      <c r="O14527" s="124"/>
    </row>
    <row r="14528">
      <c r="K14528" s="124"/>
      <c r="L14528" s="124"/>
      <c r="M14528" s="124"/>
      <c r="N14528" s="124"/>
      <c r="O14528" s="124"/>
    </row>
    <row r="14529">
      <c r="K14529" s="124"/>
      <c r="L14529" s="124"/>
      <c r="M14529" s="124"/>
      <c r="N14529" s="124"/>
      <c r="O14529" s="124"/>
    </row>
    <row r="14530">
      <c r="K14530" s="124"/>
      <c r="L14530" s="124"/>
      <c r="M14530" s="124"/>
      <c r="N14530" s="124"/>
      <c r="O14530" s="124"/>
    </row>
    <row r="14531">
      <c r="K14531" s="124"/>
      <c r="L14531" s="124"/>
      <c r="M14531" s="124"/>
      <c r="N14531" s="124"/>
      <c r="O14531" s="124"/>
    </row>
    <row r="14532">
      <c r="K14532" s="124"/>
      <c r="L14532" s="124"/>
      <c r="M14532" s="124"/>
      <c r="N14532" s="124"/>
      <c r="O14532" s="124"/>
    </row>
    <row r="14533">
      <c r="K14533" s="124"/>
      <c r="L14533" s="124"/>
      <c r="M14533" s="124"/>
      <c r="N14533" s="124"/>
      <c r="O14533" s="124"/>
    </row>
    <row r="14534">
      <c r="K14534" s="124"/>
      <c r="L14534" s="124"/>
      <c r="M14534" s="124"/>
      <c r="N14534" s="124"/>
      <c r="O14534" s="124"/>
    </row>
    <row r="14535">
      <c r="K14535" s="124"/>
      <c r="L14535" s="124"/>
      <c r="M14535" s="124"/>
      <c r="N14535" s="124"/>
      <c r="O14535" s="124"/>
    </row>
    <row r="14536">
      <c r="K14536" s="124"/>
      <c r="L14536" s="124"/>
      <c r="M14536" s="124"/>
      <c r="N14536" s="124"/>
      <c r="O14536" s="124"/>
    </row>
    <row r="14537">
      <c r="K14537" s="124"/>
      <c r="L14537" s="124"/>
      <c r="M14537" s="124"/>
      <c r="N14537" s="124"/>
      <c r="O14537" s="124"/>
    </row>
    <row r="14538">
      <c r="K14538" s="124"/>
      <c r="L14538" s="124"/>
      <c r="M14538" s="124"/>
      <c r="N14538" s="124"/>
      <c r="O14538" s="124"/>
    </row>
    <row r="14539">
      <c r="K14539" s="124"/>
      <c r="L14539" s="124"/>
      <c r="M14539" s="124"/>
      <c r="N14539" s="124"/>
      <c r="O14539" s="124"/>
    </row>
    <row r="14540">
      <c r="K14540" s="124"/>
      <c r="L14540" s="124"/>
      <c r="M14540" s="124"/>
      <c r="N14540" s="124"/>
      <c r="O14540" s="124"/>
    </row>
    <row r="14541">
      <c r="K14541" s="124"/>
      <c r="L14541" s="124"/>
      <c r="M14541" s="124"/>
      <c r="N14541" s="124"/>
      <c r="O14541" s="124"/>
    </row>
    <row r="14542">
      <c r="K14542" s="124"/>
      <c r="L14542" s="124"/>
      <c r="M14542" s="124"/>
      <c r="N14542" s="124"/>
      <c r="O14542" s="124"/>
    </row>
    <row r="14543">
      <c r="K14543" s="124"/>
      <c r="L14543" s="124"/>
      <c r="M14543" s="124"/>
      <c r="N14543" s="124"/>
      <c r="O14543" s="124"/>
    </row>
    <row r="14544">
      <c r="K14544" s="124"/>
      <c r="L14544" s="124"/>
      <c r="M14544" s="124"/>
      <c r="N14544" s="124"/>
      <c r="O14544" s="124"/>
    </row>
    <row r="14545">
      <c r="K14545" s="124"/>
      <c r="L14545" s="124"/>
      <c r="M14545" s="124"/>
      <c r="N14545" s="124"/>
      <c r="O14545" s="124"/>
    </row>
    <row r="14546">
      <c r="K14546" s="124"/>
      <c r="L14546" s="124"/>
      <c r="M14546" s="124"/>
      <c r="N14546" s="124"/>
      <c r="O14546" s="124"/>
    </row>
    <row r="14547">
      <c r="K14547" s="124"/>
      <c r="L14547" s="124"/>
      <c r="M14547" s="124"/>
      <c r="N14547" s="124"/>
      <c r="O14547" s="124"/>
    </row>
    <row r="14548">
      <c r="K14548" s="124"/>
      <c r="L14548" s="124"/>
      <c r="M14548" s="124"/>
      <c r="N14548" s="124"/>
      <c r="O14548" s="124"/>
    </row>
    <row r="14549">
      <c r="K14549" s="124"/>
      <c r="L14549" s="124"/>
      <c r="M14549" s="124"/>
      <c r="N14549" s="124"/>
      <c r="O14549" s="124"/>
    </row>
    <row r="14550">
      <c r="K14550" s="124"/>
      <c r="L14550" s="124"/>
      <c r="M14550" s="124"/>
      <c r="N14550" s="124"/>
      <c r="O14550" s="124"/>
    </row>
    <row r="14551">
      <c r="K14551" s="124"/>
      <c r="L14551" s="124"/>
      <c r="M14551" s="124"/>
      <c r="N14551" s="124"/>
      <c r="O14551" s="124"/>
    </row>
    <row r="14552">
      <c r="K14552" s="124"/>
      <c r="L14552" s="124"/>
      <c r="M14552" s="124"/>
      <c r="N14552" s="124"/>
      <c r="O14552" s="124"/>
    </row>
    <row r="14553">
      <c r="K14553" s="124"/>
      <c r="L14553" s="124"/>
      <c r="M14553" s="124"/>
      <c r="N14553" s="124"/>
      <c r="O14553" s="124"/>
    </row>
    <row r="14554">
      <c r="K14554" s="124"/>
      <c r="L14554" s="124"/>
      <c r="M14554" s="124"/>
      <c r="N14554" s="124"/>
      <c r="O14554" s="124"/>
    </row>
    <row r="14555">
      <c r="K14555" s="124"/>
      <c r="L14555" s="124"/>
      <c r="M14555" s="124"/>
      <c r="N14555" s="124"/>
      <c r="O14555" s="124"/>
    </row>
    <row r="14556">
      <c r="K14556" s="124"/>
      <c r="L14556" s="124"/>
      <c r="M14556" s="124"/>
      <c r="N14556" s="124"/>
      <c r="O14556" s="124"/>
    </row>
    <row r="14557">
      <c r="K14557" s="124"/>
      <c r="L14557" s="124"/>
      <c r="M14557" s="124"/>
      <c r="N14557" s="124"/>
      <c r="O14557" s="124"/>
    </row>
    <row r="14558">
      <c r="K14558" s="124"/>
      <c r="L14558" s="124"/>
      <c r="M14558" s="124"/>
      <c r="N14558" s="124"/>
      <c r="O14558" s="124"/>
    </row>
    <row r="14559">
      <c r="K14559" s="124"/>
      <c r="L14559" s="124"/>
      <c r="M14559" s="124"/>
      <c r="N14559" s="124"/>
      <c r="O14559" s="124"/>
    </row>
    <row r="14560">
      <c r="K14560" s="124"/>
      <c r="L14560" s="124"/>
      <c r="M14560" s="124"/>
      <c r="N14560" s="124"/>
      <c r="O14560" s="124"/>
    </row>
    <row r="14561">
      <c r="K14561" s="124"/>
      <c r="L14561" s="124"/>
      <c r="M14561" s="124"/>
      <c r="N14561" s="124"/>
      <c r="O14561" s="124"/>
    </row>
    <row r="14562">
      <c r="K14562" s="124"/>
      <c r="L14562" s="124"/>
      <c r="M14562" s="124"/>
      <c r="N14562" s="124"/>
      <c r="O14562" s="124"/>
    </row>
    <row r="14563">
      <c r="K14563" s="124"/>
      <c r="L14563" s="124"/>
      <c r="M14563" s="124"/>
      <c r="N14563" s="124"/>
      <c r="O14563" s="124"/>
    </row>
    <row r="14564">
      <c r="K14564" s="124"/>
      <c r="L14564" s="124"/>
      <c r="M14564" s="124"/>
      <c r="N14564" s="124"/>
      <c r="O14564" s="124"/>
    </row>
    <row r="14565">
      <c r="K14565" s="124"/>
      <c r="L14565" s="124"/>
      <c r="M14565" s="124"/>
      <c r="N14565" s="124"/>
      <c r="O14565" s="124"/>
    </row>
    <row r="14566">
      <c r="K14566" s="124"/>
      <c r="L14566" s="124"/>
      <c r="M14566" s="124"/>
      <c r="N14566" s="124"/>
      <c r="O14566" s="124"/>
    </row>
    <row r="14567">
      <c r="K14567" s="124"/>
      <c r="L14567" s="124"/>
      <c r="M14567" s="124"/>
      <c r="N14567" s="124"/>
      <c r="O14567" s="124"/>
    </row>
    <row r="14568">
      <c r="K14568" s="124"/>
      <c r="L14568" s="124"/>
      <c r="M14568" s="124"/>
      <c r="N14568" s="124"/>
      <c r="O14568" s="124"/>
    </row>
    <row r="14569">
      <c r="K14569" s="124"/>
      <c r="L14569" s="124"/>
      <c r="M14569" s="124"/>
      <c r="N14569" s="124"/>
      <c r="O14569" s="124"/>
    </row>
    <row r="14570">
      <c r="K14570" s="124"/>
      <c r="L14570" s="124"/>
      <c r="M14570" s="124"/>
      <c r="N14570" s="124"/>
      <c r="O14570" s="124"/>
    </row>
    <row r="14571">
      <c r="K14571" s="124"/>
      <c r="L14571" s="124"/>
      <c r="M14571" s="124"/>
      <c r="N14571" s="124"/>
      <c r="O14571" s="124"/>
    </row>
    <row r="14572">
      <c r="K14572" s="124"/>
      <c r="L14572" s="124"/>
      <c r="M14572" s="124"/>
      <c r="N14572" s="124"/>
      <c r="O14572" s="124"/>
    </row>
    <row r="14573">
      <c r="K14573" s="124"/>
      <c r="L14573" s="124"/>
      <c r="M14573" s="124"/>
      <c r="N14573" s="124"/>
      <c r="O14573" s="124"/>
    </row>
    <row r="14574">
      <c r="K14574" s="124"/>
      <c r="L14574" s="124"/>
      <c r="M14574" s="124"/>
      <c r="N14574" s="124"/>
      <c r="O14574" s="124"/>
    </row>
    <row r="14575">
      <c r="K14575" s="124"/>
      <c r="L14575" s="124"/>
      <c r="M14575" s="124"/>
      <c r="N14575" s="124"/>
      <c r="O14575" s="124"/>
    </row>
    <row r="14576">
      <c r="K14576" s="124"/>
      <c r="L14576" s="124"/>
      <c r="M14576" s="124"/>
      <c r="N14576" s="124"/>
      <c r="O14576" s="124"/>
    </row>
    <row r="14577">
      <c r="K14577" s="124"/>
      <c r="L14577" s="124"/>
      <c r="M14577" s="124"/>
      <c r="N14577" s="124"/>
      <c r="O14577" s="124"/>
    </row>
    <row r="14578">
      <c r="K14578" s="124"/>
      <c r="L14578" s="124"/>
      <c r="M14578" s="124"/>
      <c r="N14578" s="124"/>
      <c r="O14578" s="124"/>
    </row>
    <row r="14579">
      <c r="K14579" s="124"/>
      <c r="L14579" s="124"/>
      <c r="M14579" s="124"/>
      <c r="N14579" s="124"/>
      <c r="O14579" s="124"/>
    </row>
    <row r="14580">
      <c r="K14580" s="124"/>
      <c r="L14580" s="124"/>
      <c r="M14580" s="124"/>
      <c r="N14580" s="124"/>
      <c r="O14580" s="124"/>
    </row>
    <row r="14581">
      <c r="K14581" s="124"/>
      <c r="L14581" s="124"/>
      <c r="M14581" s="124"/>
      <c r="N14581" s="124"/>
      <c r="O14581" s="124"/>
    </row>
    <row r="14582">
      <c r="K14582" s="124"/>
      <c r="L14582" s="124"/>
      <c r="M14582" s="124"/>
      <c r="N14582" s="124"/>
      <c r="O14582" s="124"/>
    </row>
    <row r="14583">
      <c r="K14583" s="124"/>
      <c r="L14583" s="124"/>
      <c r="M14583" s="124"/>
      <c r="N14583" s="124"/>
      <c r="O14583" s="124"/>
    </row>
    <row r="14584">
      <c r="K14584" s="124"/>
      <c r="L14584" s="124"/>
      <c r="M14584" s="124"/>
      <c r="N14584" s="124"/>
      <c r="O14584" s="124"/>
    </row>
    <row r="14585">
      <c r="K14585" s="124"/>
      <c r="L14585" s="124"/>
      <c r="M14585" s="124"/>
      <c r="N14585" s="124"/>
      <c r="O14585" s="124"/>
    </row>
    <row r="14586">
      <c r="K14586" s="124"/>
      <c r="L14586" s="124"/>
      <c r="M14586" s="124"/>
      <c r="N14586" s="124"/>
      <c r="O14586" s="124"/>
    </row>
    <row r="14587">
      <c r="K14587" s="124"/>
      <c r="L14587" s="124"/>
      <c r="M14587" s="124"/>
      <c r="N14587" s="124"/>
      <c r="O14587" s="124"/>
    </row>
    <row r="14588">
      <c r="K14588" s="124"/>
      <c r="L14588" s="124"/>
      <c r="M14588" s="124"/>
      <c r="N14588" s="124"/>
      <c r="O14588" s="124"/>
    </row>
    <row r="14589">
      <c r="K14589" s="124"/>
      <c r="L14589" s="124"/>
      <c r="M14589" s="124"/>
      <c r="N14589" s="124"/>
      <c r="O14589" s="124"/>
    </row>
    <row r="14590">
      <c r="K14590" s="124"/>
      <c r="L14590" s="124"/>
      <c r="M14590" s="124"/>
      <c r="N14590" s="124"/>
      <c r="O14590" s="124"/>
    </row>
    <row r="14591">
      <c r="K14591" s="124"/>
      <c r="L14591" s="124"/>
      <c r="M14591" s="124"/>
      <c r="N14591" s="124"/>
      <c r="O14591" s="124"/>
    </row>
    <row r="14592">
      <c r="K14592" s="124"/>
      <c r="L14592" s="124"/>
      <c r="M14592" s="124"/>
      <c r="N14592" s="124"/>
      <c r="O14592" s="124"/>
    </row>
    <row r="14593">
      <c r="K14593" s="124"/>
      <c r="L14593" s="124"/>
      <c r="M14593" s="124"/>
      <c r="N14593" s="124"/>
      <c r="O14593" s="124"/>
    </row>
    <row r="14594">
      <c r="K14594" s="124"/>
      <c r="L14594" s="124"/>
      <c r="M14594" s="124"/>
      <c r="N14594" s="124"/>
      <c r="O14594" s="124"/>
    </row>
    <row r="14595">
      <c r="K14595" s="124"/>
      <c r="L14595" s="124"/>
      <c r="M14595" s="124"/>
      <c r="N14595" s="124"/>
      <c r="O14595" s="124"/>
    </row>
    <row r="14596">
      <c r="K14596" s="124"/>
      <c r="L14596" s="124"/>
      <c r="M14596" s="124"/>
      <c r="N14596" s="124"/>
      <c r="O14596" s="124"/>
    </row>
    <row r="14597">
      <c r="K14597" s="124"/>
      <c r="L14597" s="124"/>
      <c r="M14597" s="124"/>
      <c r="N14597" s="124"/>
      <c r="O14597" s="124"/>
    </row>
    <row r="14598">
      <c r="K14598" s="124"/>
      <c r="L14598" s="124"/>
      <c r="M14598" s="124"/>
      <c r="N14598" s="124"/>
      <c r="O14598" s="124"/>
    </row>
    <row r="14599">
      <c r="K14599" s="124"/>
      <c r="L14599" s="124"/>
      <c r="M14599" s="124"/>
      <c r="N14599" s="124"/>
      <c r="O14599" s="124"/>
    </row>
    <row r="14600">
      <c r="K14600" s="124"/>
      <c r="L14600" s="124"/>
      <c r="M14600" s="124"/>
      <c r="N14600" s="124"/>
      <c r="O14600" s="124"/>
    </row>
    <row r="14601">
      <c r="K14601" s="124"/>
      <c r="L14601" s="124"/>
      <c r="M14601" s="124"/>
      <c r="N14601" s="124"/>
      <c r="O14601" s="124"/>
    </row>
    <row r="14602">
      <c r="K14602" s="124"/>
      <c r="L14602" s="124"/>
      <c r="M14602" s="124"/>
      <c r="N14602" s="124"/>
      <c r="O14602" s="124"/>
    </row>
    <row r="14603">
      <c r="K14603" s="124"/>
      <c r="L14603" s="124"/>
      <c r="M14603" s="124"/>
      <c r="N14603" s="124"/>
      <c r="O14603" s="124"/>
    </row>
    <row r="14604">
      <c r="K14604" s="124"/>
      <c r="L14604" s="124"/>
      <c r="M14604" s="124"/>
      <c r="N14604" s="124"/>
      <c r="O14604" s="124"/>
    </row>
    <row r="14605">
      <c r="K14605" s="124"/>
      <c r="L14605" s="124"/>
      <c r="M14605" s="124"/>
      <c r="N14605" s="124"/>
      <c r="O14605" s="124"/>
    </row>
    <row r="14606">
      <c r="K14606" s="124"/>
      <c r="L14606" s="124"/>
      <c r="M14606" s="124"/>
      <c r="N14606" s="124"/>
      <c r="O14606" s="124"/>
    </row>
    <row r="14607">
      <c r="K14607" s="124"/>
      <c r="L14607" s="124"/>
      <c r="M14607" s="124"/>
      <c r="N14607" s="124"/>
      <c r="O14607" s="124"/>
    </row>
    <row r="14608">
      <c r="K14608" s="124"/>
      <c r="L14608" s="124"/>
      <c r="M14608" s="124"/>
      <c r="N14608" s="124"/>
      <c r="O14608" s="124"/>
    </row>
    <row r="14609">
      <c r="K14609" s="124"/>
      <c r="L14609" s="124"/>
      <c r="M14609" s="124"/>
      <c r="N14609" s="124"/>
      <c r="O14609" s="124"/>
    </row>
    <row r="14610">
      <c r="K14610" s="124"/>
      <c r="L14610" s="124"/>
      <c r="M14610" s="124"/>
      <c r="N14610" s="124"/>
      <c r="O14610" s="124"/>
    </row>
    <row r="14611">
      <c r="K14611" s="124"/>
      <c r="L14611" s="124"/>
      <c r="M14611" s="124"/>
      <c r="N14611" s="124"/>
      <c r="O14611" s="124"/>
    </row>
    <row r="14612">
      <c r="K14612" s="124"/>
      <c r="L14612" s="124"/>
      <c r="M14612" s="124"/>
      <c r="N14612" s="124"/>
      <c r="O14612" s="124"/>
    </row>
    <row r="14613">
      <c r="K14613" s="124"/>
      <c r="L14613" s="124"/>
      <c r="M14613" s="124"/>
      <c r="N14613" s="124"/>
      <c r="O14613" s="124"/>
    </row>
    <row r="14614">
      <c r="K14614" s="124"/>
      <c r="L14614" s="124"/>
      <c r="M14614" s="124"/>
      <c r="N14614" s="124"/>
      <c r="O14614" s="124"/>
    </row>
    <row r="14615">
      <c r="K14615" s="124"/>
      <c r="L14615" s="124"/>
      <c r="M14615" s="124"/>
      <c r="N14615" s="124"/>
      <c r="O14615" s="124"/>
    </row>
    <row r="14616">
      <c r="K14616" s="124"/>
      <c r="L14616" s="124"/>
      <c r="M14616" s="124"/>
      <c r="N14616" s="124"/>
      <c r="O14616" s="124"/>
    </row>
    <row r="14617">
      <c r="K14617" s="124"/>
      <c r="L14617" s="124"/>
      <c r="M14617" s="124"/>
      <c r="N14617" s="124"/>
      <c r="O14617" s="124"/>
    </row>
    <row r="14618">
      <c r="K14618" s="124"/>
      <c r="L14618" s="124"/>
      <c r="M14618" s="124"/>
      <c r="N14618" s="124"/>
      <c r="O14618" s="124"/>
    </row>
    <row r="14619">
      <c r="K14619" s="124"/>
      <c r="L14619" s="124"/>
      <c r="M14619" s="124"/>
      <c r="N14619" s="124"/>
      <c r="O14619" s="124"/>
    </row>
    <row r="14620">
      <c r="K14620" s="124"/>
      <c r="L14620" s="124"/>
      <c r="M14620" s="124"/>
      <c r="N14620" s="124"/>
      <c r="O14620" s="124"/>
    </row>
    <row r="14621">
      <c r="K14621" s="124"/>
      <c r="L14621" s="124"/>
      <c r="M14621" s="124"/>
      <c r="N14621" s="124"/>
      <c r="O14621" s="124"/>
    </row>
    <row r="14622">
      <c r="K14622" s="124"/>
      <c r="L14622" s="124"/>
      <c r="M14622" s="124"/>
      <c r="N14622" s="124"/>
      <c r="O14622" s="124"/>
    </row>
    <row r="14623">
      <c r="K14623" s="124"/>
      <c r="L14623" s="124"/>
      <c r="M14623" s="124"/>
      <c r="N14623" s="124"/>
      <c r="O14623" s="124"/>
    </row>
    <row r="14624">
      <c r="K14624" s="124"/>
      <c r="L14624" s="124"/>
      <c r="M14624" s="124"/>
      <c r="N14624" s="124"/>
      <c r="O14624" s="124"/>
    </row>
    <row r="14625">
      <c r="K14625" s="124"/>
      <c r="L14625" s="124"/>
      <c r="M14625" s="124"/>
      <c r="N14625" s="124"/>
      <c r="O14625" s="124"/>
    </row>
    <row r="14626">
      <c r="K14626" s="124"/>
      <c r="L14626" s="124"/>
      <c r="M14626" s="124"/>
      <c r="N14626" s="124"/>
      <c r="O14626" s="124"/>
    </row>
    <row r="14627">
      <c r="K14627" s="124"/>
      <c r="L14627" s="124"/>
      <c r="M14627" s="124"/>
      <c r="N14627" s="124"/>
      <c r="O14627" s="124"/>
    </row>
    <row r="14628">
      <c r="K14628" s="124"/>
      <c r="L14628" s="124"/>
      <c r="M14628" s="124"/>
      <c r="N14628" s="124"/>
      <c r="O14628" s="124"/>
    </row>
    <row r="14629">
      <c r="K14629" s="124"/>
      <c r="L14629" s="124"/>
      <c r="M14629" s="124"/>
      <c r="N14629" s="124"/>
      <c r="O14629" s="124"/>
    </row>
    <row r="14630">
      <c r="K14630" s="124"/>
      <c r="L14630" s="124"/>
      <c r="M14630" s="124"/>
      <c r="N14630" s="124"/>
      <c r="O14630" s="124"/>
    </row>
    <row r="14631">
      <c r="K14631" s="124"/>
      <c r="L14631" s="124"/>
      <c r="M14631" s="124"/>
      <c r="N14631" s="124"/>
      <c r="O14631" s="124"/>
    </row>
    <row r="14632">
      <c r="K14632" s="124"/>
      <c r="L14632" s="124"/>
      <c r="M14632" s="124"/>
      <c r="N14632" s="124"/>
      <c r="O14632" s="124"/>
    </row>
    <row r="14633">
      <c r="K14633" s="124"/>
      <c r="L14633" s="124"/>
      <c r="M14633" s="124"/>
      <c r="N14633" s="124"/>
      <c r="O14633" s="124"/>
    </row>
    <row r="14634">
      <c r="K14634" s="124"/>
      <c r="L14634" s="124"/>
      <c r="M14634" s="124"/>
      <c r="N14634" s="124"/>
      <c r="O14634" s="124"/>
    </row>
    <row r="14635">
      <c r="K14635" s="124"/>
      <c r="L14635" s="124"/>
      <c r="M14635" s="124"/>
      <c r="N14635" s="124"/>
      <c r="O14635" s="124"/>
    </row>
    <row r="14636">
      <c r="K14636" s="124"/>
      <c r="L14636" s="124"/>
      <c r="M14636" s="124"/>
      <c r="N14636" s="124"/>
      <c r="O14636" s="124"/>
    </row>
    <row r="14637">
      <c r="K14637" s="124"/>
      <c r="L14637" s="124"/>
      <c r="M14637" s="124"/>
      <c r="N14637" s="124"/>
      <c r="O14637" s="124"/>
    </row>
    <row r="14638">
      <c r="K14638" s="124"/>
      <c r="L14638" s="124"/>
      <c r="M14638" s="124"/>
      <c r="N14638" s="124"/>
      <c r="O14638" s="124"/>
    </row>
    <row r="14639">
      <c r="K14639" s="124"/>
      <c r="L14639" s="124"/>
      <c r="M14639" s="124"/>
      <c r="N14639" s="124"/>
      <c r="O14639" s="124"/>
    </row>
    <row r="14640">
      <c r="K14640" s="124"/>
      <c r="L14640" s="124"/>
      <c r="M14640" s="124"/>
      <c r="N14640" s="124"/>
      <c r="O14640" s="124"/>
    </row>
    <row r="14641">
      <c r="K14641" s="124"/>
      <c r="L14641" s="124"/>
      <c r="M14641" s="124"/>
      <c r="N14641" s="124"/>
      <c r="O14641" s="124"/>
    </row>
    <row r="14642">
      <c r="K14642" s="124"/>
      <c r="L14642" s="124"/>
      <c r="M14642" s="124"/>
      <c r="N14642" s="124"/>
      <c r="O14642" s="124"/>
    </row>
    <row r="14643">
      <c r="K14643" s="124"/>
      <c r="L14643" s="124"/>
      <c r="M14643" s="124"/>
      <c r="N14643" s="124"/>
      <c r="O14643" s="124"/>
    </row>
    <row r="14644">
      <c r="K14644" s="124"/>
      <c r="L14644" s="124"/>
      <c r="M14644" s="124"/>
      <c r="N14644" s="124"/>
      <c r="O14644" s="124"/>
    </row>
    <row r="14645">
      <c r="K14645" s="124"/>
      <c r="L14645" s="124"/>
      <c r="M14645" s="124"/>
      <c r="N14645" s="124"/>
      <c r="O14645" s="124"/>
    </row>
    <row r="14646">
      <c r="K14646" s="124"/>
      <c r="L14646" s="124"/>
      <c r="M14646" s="124"/>
      <c r="N14646" s="124"/>
      <c r="O14646" s="124"/>
    </row>
    <row r="14647">
      <c r="K14647" s="124"/>
      <c r="L14647" s="124"/>
      <c r="M14647" s="124"/>
      <c r="N14647" s="124"/>
      <c r="O14647" s="124"/>
    </row>
    <row r="14648">
      <c r="K14648" s="124"/>
      <c r="L14648" s="124"/>
      <c r="M14648" s="124"/>
      <c r="N14648" s="124"/>
      <c r="O14648" s="124"/>
    </row>
    <row r="14649">
      <c r="K14649" s="124"/>
      <c r="L14649" s="124"/>
      <c r="M14649" s="124"/>
      <c r="N14649" s="124"/>
      <c r="O14649" s="124"/>
    </row>
    <row r="14650">
      <c r="K14650" s="124"/>
      <c r="L14650" s="124"/>
      <c r="M14650" s="124"/>
      <c r="N14650" s="124"/>
      <c r="O14650" s="124"/>
    </row>
    <row r="14651">
      <c r="K14651" s="124"/>
      <c r="L14651" s="124"/>
      <c r="M14651" s="124"/>
      <c r="N14651" s="124"/>
      <c r="O14651" s="124"/>
    </row>
    <row r="14652">
      <c r="K14652" s="124"/>
      <c r="L14652" s="124"/>
      <c r="M14652" s="124"/>
      <c r="N14652" s="124"/>
      <c r="O14652" s="124"/>
    </row>
    <row r="14653">
      <c r="K14653" s="124"/>
      <c r="L14653" s="124"/>
      <c r="M14653" s="124"/>
      <c r="N14653" s="124"/>
      <c r="O14653" s="124"/>
    </row>
    <row r="14654">
      <c r="K14654" s="124"/>
      <c r="L14654" s="124"/>
      <c r="M14654" s="124"/>
      <c r="N14654" s="124"/>
      <c r="O14654" s="124"/>
    </row>
    <row r="14655">
      <c r="K14655" s="124"/>
      <c r="L14655" s="124"/>
      <c r="M14655" s="124"/>
      <c r="N14655" s="124"/>
      <c r="O14655" s="124"/>
    </row>
    <row r="14656">
      <c r="K14656" s="124"/>
      <c r="L14656" s="124"/>
      <c r="M14656" s="124"/>
      <c r="N14656" s="124"/>
      <c r="O14656" s="124"/>
    </row>
    <row r="14657">
      <c r="K14657" s="124"/>
      <c r="L14657" s="124"/>
      <c r="M14657" s="124"/>
      <c r="N14657" s="124"/>
      <c r="O14657" s="124"/>
    </row>
    <row r="14658">
      <c r="K14658" s="124"/>
      <c r="L14658" s="124"/>
      <c r="M14658" s="124"/>
      <c r="N14658" s="124"/>
      <c r="O14658" s="124"/>
    </row>
    <row r="14659">
      <c r="K14659" s="124"/>
      <c r="L14659" s="124"/>
      <c r="M14659" s="124"/>
      <c r="N14659" s="124"/>
      <c r="O14659" s="124"/>
    </row>
    <row r="14660">
      <c r="K14660" s="124"/>
      <c r="L14660" s="124"/>
      <c r="M14660" s="124"/>
      <c r="N14660" s="124"/>
      <c r="O14660" s="124"/>
    </row>
    <row r="14661">
      <c r="K14661" s="124"/>
      <c r="L14661" s="124"/>
      <c r="M14661" s="124"/>
      <c r="N14661" s="124"/>
      <c r="O14661" s="124"/>
    </row>
    <row r="14662">
      <c r="K14662" s="124"/>
      <c r="L14662" s="124"/>
      <c r="M14662" s="124"/>
      <c r="N14662" s="124"/>
      <c r="O14662" s="124"/>
    </row>
    <row r="14663">
      <c r="K14663" s="124"/>
      <c r="L14663" s="124"/>
      <c r="M14663" s="124"/>
      <c r="N14663" s="124"/>
      <c r="O14663" s="124"/>
    </row>
    <row r="14664">
      <c r="K14664" s="124"/>
      <c r="L14664" s="124"/>
      <c r="M14664" s="124"/>
      <c r="N14664" s="124"/>
      <c r="O14664" s="124"/>
    </row>
    <row r="14665">
      <c r="K14665" s="124"/>
      <c r="L14665" s="124"/>
      <c r="M14665" s="124"/>
      <c r="N14665" s="124"/>
      <c r="O14665" s="124"/>
    </row>
    <row r="14666">
      <c r="K14666" s="124"/>
      <c r="L14666" s="124"/>
      <c r="M14666" s="124"/>
      <c r="N14666" s="124"/>
      <c r="O14666" s="124"/>
    </row>
    <row r="14667">
      <c r="K14667" s="124"/>
      <c r="L14667" s="124"/>
      <c r="M14667" s="124"/>
      <c r="N14667" s="124"/>
      <c r="O14667" s="124"/>
    </row>
    <row r="14668">
      <c r="K14668" s="124"/>
      <c r="L14668" s="124"/>
      <c r="M14668" s="124"/>
      <c r="N14668" s="124"/>
      <c r="O14668" s="124"/>
    </row>
    <row r="14669">
      <c r="K14669" s="124"/>
      <c r="L14669" s="124"/>
      <c r="M14669" s="124"/>
      <c r="N14669" s="124"/>
      <c r="O14669" s="124"/>
    </row>
    <row r="14670">
      <c r="K14670" s="124"/>
      <c r="L14670" s="124"/>
      <c r="M14670" s="124"/>
      <c r="N14670" s="124"/>
      <c r="O14670" s="124"/>
    </row>
    <row r="14671">
      <c r="K14671" s="124"/>
      <c r="L14671" s="124"/>
      <c r="M14671" s="124"/>
      <c r="N14671" s="124"/>
      <c r="O14671" s="124"/>
    </row>
    <row r="14672">
      <c r="K14672" s="124"/>
      <c r="L14672" s="124"/>
      <c r="M14672" s="124"/>
      <c r="N14672" s="124"/>
      <c r="O14672" s="124"/>
    </row>
    <row r="14673">
      <c r="K14673" s="124"/>
      <c r="L14673" s="124"/>
      <c r="M14673" s="124"/>
      <c r="N14673" s="124"/>
      <c r="O14673" s="124"/>
    </row>
    <row r="14674">
      <c r="K14674" s="124"/>
      <c r="L14674" s="124"/>
      <c r="M14674" s="124"/>
      <c r="N14674" s="124"/>
      <c r="O14674" s="124"/>
    </row>
    <row r="14675">
      <c r="K14675" s="124"/>
      <c r="L14675" s="124"/>
      <c r="M14675" s="124"/>
      <c r="N14675" s="124"/>
      <c r="O14675" s="124"/>
    </row>
    <row r="14676">
      <c r="K14676" s="124"/>
      <c r="L14676" s="124"/>
      <c r="M14676" s="124"/>
      <c r="N14676" s="124"/>
      <c r="O14676" s="124"/>
    </row>
    <row r="14677">
      <c r="K14677" s="124"/>
      <c r="L14677" s="124"/>
      <c r="M14677" s="124"/>
      <c r="N14677" s="124"/>
      <c r="O14677" s="124"/>
    </row>
    <row r="14678">
      <c r="K14678" s="124"/>
      <c r="L14678" s="124"/>
      <c r="M14678" s="124"/>
      <c r="N14678" s="124"/>
      <c r="O14678" s="124"/>
    </row>
    <row r="14679">
      <c r="K14679" s="124"/>
      <c r="L14679" s="124"/>
      <c r="M14679" s="124"/>
      <c r="N14679" s="124"/>
      <c r="O14679" s="124"/>
    </row>
    <row r="14680">
      <c r="K14680" s="124"/>
      <c r="L14680" s="124"/>
      <c r="M14680" s="124"/>
      <c r="N14680" s="124"/>
      <c r="O14680" s="124"/>
    </row>
    <row r="14681">
      <c r="K14681" s="124"/>
      <c r="L14681" s="124"/>
      <c r="M14681" s="124"/>
      <c r="N14681" s="124"/>
      <c r="O14681" s="124"/>
    </row>
    <row r="14682">
      <c r="K14682" s="124"/>
      <c r="L14682" s="124"/>
      <c r="M14682" s="124"/>
      <c r="N14682" s="124"/>
      <c r="O14682" s="124"/>
    </row>
    <row r="14683">
      <c r="K14683" s="124"/>
      <c r="L14683" s="124"/>
      <c r="M14683" s="124"/>
      <c r="N14683" s="124"/>
      <c r="O14683" s="124"/>
    </row>
    <row r="14684">
      <c r="K14684" s="124"/>
      <c r="L14684" s="124"/>
      <c r="M14684" s="124"/>
      <c r="N14684" s="124"/>
      <c r="O14684" s="124"/>
    </row>
    <row r="14685">
      <c r="K14685" s="124"/>
      <c r="L14685" s="124"/>
      <c r="M14685" s="124"/>
      <c r="N14685" s="124"/>
      <c r="O14685" s="124"/>
    </row>
    <row r="14686">
      <c r="K14686" s="124"/>
      <c r="L14686" s="124"/>
      <c r="M14686" s="124"/>
      <c r="N14686" s="124"/>
      <c r="O14686" s="124"/>
    </row>
    <row r="14687">
      <c r="K14687" s="124"/>
      <c r="L14687" s="124"/>
      <c r="M14687" s="124"/>
      <c r="N14687" s="124"/>
      <c r="O14687" s="124"/>
    </row>
    <row r="14688">
      <c r="K14688" s="124"/>
      <c r="L14688" s="124"/>
      <c r="M14688" s="124"/>
      <c r="N14688" s="124"/>
      <c r="O14688" s="124"/>
    </row>
    <row r="14689">
      <c r="K14689" s="124"/>
      <c r="L14689" s="124"/>
      <c r="M14689" s="124"/>
      <c r="N14689" s="124"/>
      <c r="O14689" s="124"/>
    </row>
    <row r="14690">
      <c r="K14690" s="124"/>
      <c r="L14690" s="124"/>
      <c r="M14690" s="124"/>
      <c r="N14690" s="124"/>
      <c r="O14690" s="124"/>
    </row>
    <row r="14691">
      <c r="K14691" s="124"/>
      <c r="L14691" s="124"/>
      <c r="M14691" s="124"/>
      <c r="N14691" s="124"/>
      <c r="O14691" s="124"/>
    </row>
    <row r="14692">
      <c r="K14692" s="124"/>
      <c r="L14692" s="124"/>
      <c r="M14692" s="124"/>
      <c r="N14692" s="124"/>
      <c r="O14692" s="124"/>
    </row>
    <row r="14693">
      <c r="K14693" s="124"/>
      <c r="L14693" s="124"/>
      <c r="M14693" s="124"/>
      <c r="N14693" s="124"/>
      <c r="O14693" s="124"/>
    </row>
    <row r="14694">
      <c r="K14694" s="124"/>
      <c r="L14694" s="124"/>
      <c r="M14694" s="124"/>
      <c r="N14694" s="124"/>
      <c r="O14694" s="124"/>
    </row>
    <row r="14695">
      <c r="K14695" s="124"/>
      <c r="L14695" s="124"/>
      <c r="M14695" s="124"/>
      <c r="N14695" s="124"/>
      <c r="O14695" s="124"/>
    </row>
    <row r="14696">
      <c r="K14696" s="124"/>
      <c r="L14696" s="124"/>
      <c r="M14696" s="124"/>
      <c r="N14696" s="124"/>
      <c r="O14696" s="124"/>
    </row>
    <row r="14697">
      <c r="K14697" s="124"/>
      <c r="L14697" s="124"/>
      <c r="M14697" s="124"/>
      <c r="N14697" s="124"/>
      <c r="O14697" s="124"/>
    </row>
    <row r="14698">
      <c r="K14698" s="124"/>
      <c r="L14698" s="124"/>
      <c r="M14698" s="124"/>
      <c r="N14698" s="124"/>
      <c r="O14698" s="124"/>
    </row>
    <row r="14699">
      <c r="K14699" s="124"/>
      <c r="L14699" s="124"/>
      <c r="M14699" s="124"/>
      <c r="N14699" s="124"/>
      <c r="O14699" s="124"/>
    </row>
    <row r="14700">
      <c r="K14700" s="124"/>
      <c r="L14700" s="124"/>
      <c r="M14700" s="124"/>
      <c r="N14700" s="124"/>
      <c r="O14700" s="124"/>
    </row>
    <row r="14701">
      <c r="K14701" s="124"/>
      <c r="L14701" s="124"/>
      <c r="M14701" s="124"/>
      <c r="N14701" s="124"/>
      <c r="O14701" s="124"/>
    </row>
    <row r="14702">
      <c r="K14702" s="124"/>
      <c r="L14702" s="124"/>
      <c r="M14702" s="124"/>
      <c r="N14702" s="124"/>
      <c r="O14702" s="124"/>
    </row>
    <row r="14703">
      <c r="K14703" s="124"/>
      <c r="L14703" s="124"/>
      <c r="M14703" s="124"/>
      <c r="N14703" s="124"/>
      <c r="O14703" s="124"/>
    </row>
    <row r="14704">
      <c r="K14704" s="124"/>
      <c r="L14704" s="124"/>
      <c r="M14704" s="124"/>
      <c r="N14704" s="124"/>
      <c r="O14704" s="124"/>
    </row>
    <row r="14705">
      <c r="K14705" s="124"/>
      <c r="L14705" s="124"/>
      <c r="M14705" s="124"/>
      <c r="N14705" s="124"/>
      <c r="O14705" s="124"/>
    </row>
    <row r="14706">
      <c r="K14706" s="124"/>
      <c r="L14706" s="124"/>
      <c r="M14706" s="124"/>
      <c r="N14706" s="124"/>
      <c r="O14706" s="124"/>
    </row>
    <row r="14707">
      <c r="K14707" s="124"/>
      <c r="L14707" s="124"/>
      <c r="M14707" s="124"/>
      <c r="N14707" s="124"/>
      <c r="O14707" s="124"/>
    </row>
    <row r="14708">
      <c r="K14708" s="124"/>
      <c r="L14708" s="124"/>
      <c r="M14708" s="124"/>
      <c r="N14708" s="124"/>
      <c r="O14708" s="124"/>
    </row>
    <row r="14709">
      <c r="K14709" s="124"/>
      <c r="L14709" s="124"/>
      <c r="M14709" s="124"/>
      <c r="N14709" s="124"/>
      <c r="O14709" s="124"/>
    </row>
    <row r="14710">
      <c r="K14710" s="124"/>
      <c r="L14710" s="124"/>
      <c r="M14710" s="124"/>
      <c r="N14710" s="124"/>
      <c r="O14710" s="124"/>
    </row>
    <row r="14711">
      <c r="K14711" s="124"/>
      <c r="L14711" s="124"/>
      <c r="M14711" s="124"/>
      <c r="N14711" s="124"/>
      <c r="O14711" s="124"/>
    </row>
    <row r="14712">
      <c r="K14712" s="124"/>
      <c r="L14712" s="124"/>
      <c r="M14712" s="124"/>
      <c r="N14712" s="124"/>
      <c r="O14712" s="124"/>
    </row>
    <row r="14713">
      <c r="K14713" s="124"/>
      <c r="L14713" s="124"/>
      <c r="M14713" s="124"/>
      <c r="N14713" s="124"/>
      <c r="O14713" s="124"/>
    </row>
    <row r="14714">
      <c r="K14714" s="124"/>
      <c r="L14714" s="124"/>
      <c r="M14714" s="124"/>
      <c r="N14714" s="124"/>
      <c r="O14714" s="124"/>
    </row>
    <row r="14715">
      <c r="K14715" s="124"/>
      <c r="L14715" s="124"/>
      <c r="M14715" s="124"/>
      <c r="N14715" s="124"/>
      <c r="O14715" s="124"/>
    </row>
    <row r="14716">
      <c r="K14716" s="124"/>
      <c r="L14716" s="124"/>
      <c r="M14716" s="124"/>
      <c r="N14716" s="124"/>
      <c r="O14716" s="124"/>
    </row>
    <row r="14717">
      <c r="K14717" s="124"/>
      <c r="L14717" s="124"/>
      <c r="M14717" s="124"/>
      <c r="N14717" s="124"/>
      <c r="O14717" s="124"/>
    </row>
    <row r="14718">
      <c r="K14718" s="124"/>
      <c r="L14718" s="124"/>
      <c r="M14718" s="124"/>
      <c r="N14718" s="124"/>
      <c r="O14718" s="124"/>
    </row>
    <row r="14719">
      <c r="K14719" s="124"/>
      <c r="L14719" s="124"/>
      <c r="M14719" s="124"/>
      <c r="N14719" s="124"/>
      <c r="O14719" s="124"/>
    </row>
    <row r="14720">
      <c r="K14720" s="124"/>
      <c r="L14720" s="124"/>
      <c r="M14720" s="124"/>
      <c r="N14720" s="124"/>
      <c r="O14720" s="124"/>
    </row>
    <row r="14721">
      <c r="K14721" s="124"/>
      <c r="L14721" s="124"/>
      <c r="M14721" s="124"/>
      <c r="N14721" s="124"/>
      <c r="O14721" s="124"/>
    </row>
    <row r="14722">
      <c r="K14722" s="124"/>
      <c r="L14722" s="124"/>
      <c r="M14722" s="124"/>
      <c r="N14722" s="124"/>
      <c r="O14722" s="124"/>
    </row>
    <row r="14723">
      <c r="K14723" s="124"/>
      <c r="L14723" s="124"/>
      <c r="M14723" s="124"/>
      <c r="N14723" s="124"/>
      <c r="O14723" s="124"/>
    </row>
    <row r="14724">
      <c r="K14724" s="124"/>
      <c r="L14724" s="124"/>
      <c r="M14724" s="124"/>
      <c r="N14724" s="124"/>
      <c r="O14724" s="124"/>
    </row>
    <row r="14725">
      <c r="K14725" s="124"/>
      <c r="L14725" s="124"/>
      <c r="M14725" s="124"/>
      <c r="N14725" s="124"/>
      <c r="O14725" s="124"/>
    </row>
    <row r="14726">
      <c r="K14726" s="124"/>
      <c r="L14726" s="124"/>
      <c r="M14726" s="124"/>
      <c r="N14726" s="124"/>
      <c r="O14726" s="124"/>
    </row>
    <row r="14727">
      <c r="K14727" s="124"/>
      <c r="L14727" s="124"/>
      <c r="M14727" s="124"/>
      <c r="N14727" s="124"/>
      <c r="O14727" s="124"/>
    </row>
    <row r="14728">
      <c r="K14728" s="124"/>
      <c r="L14728" s="124"/>
      <c r="M14728" s="124"/>
      <c r="N14728" s="124"/>
      <c r="O14728" s="124"/>
    </row>
    <row r="14729">
      <c r="K14729" s="124"/>
      <c r="L14729" s="124"/>
      <c r="M14729" s="124"/>
      <c r="N14729" s="124"/>
      <c r="O14729" s="124"/>
    </row>
    <row r="14730">
      <c r="K14730" s="124"/>
      <c r="L14730" s="124"/>
      <c r="M14730" s="124"/>
      <c r="N14730" s="124"/>
      <c r="O14730" s="124"/>
    </row>
    <row r="14731">
      <c r="K14731" s="124"/>
      <c r="L14731" s="124"/>
      <c r="M14731" s="124"/>
      <c r="N14731" s="124"/>
      <c r="O14731" s="124"/>
    </row>
    <row r="14732">
      <c r="K14732" s="124"/>
      <c r="L14732" s="124"/>
      <c r="M14732" s="124"/>
      <c r="N14732" s="124"/>
      <c r="O14732" s="124"/>
    </row>
    <row r="14733">
      <c r="K14733" s="124"/>
      <c r="L14733" s="124"/>
      <c r="M14733" s="124"/>
      <c r="N14733" s="124"/>
      <c r="O14733" s="124"/>
    </row>
    <row r="14734">
      <c r="K14734" s="124"/>
      <c r="L14734" s="124"/>
      <c r="M14734" s="124"/>
      <c r="N14734" s="124"/>
      <c r="O14734" s="124"/>
    </row>
    <row r="14735">
      <c r="K14735" s="124"/>
      <c r="L14735" s="124"/>
      <c r="M14735" s="124"/>
      <c r="N14735" s="124"/>
      <c r="O14735" s="124"/>
    </row>
    <row r="14736">
      <c r="K14736" s="124"/>
      <c r="L14736" s="124"/>
      <c r="M14736" s="124"/>
      <c r="N14736" s="124"/>
      <c r="O14736" s="124"/>
    </row>
    <row r="14737">
      <c r="K14737" s="124"/>
      <c r="L14737" s="124"/>
      <c r="M14737" s="124"/>
      <c r="N14737" s="124"/>
      <c r="O14737" s="124"/>
    </row>
    <row r="14738">
      <c r="K14738" s="124"/>
      <c r="L14738" s="124"/>
      <c r="M14738" s="124"/>
      <c r="N14738" s="124"/>
      <c r="O14738" s="124"/>
    </row>
    <row r="14739">
      <c r="K14739" s="124"/>
      <c r="L14739" s="124"/>
      <c r="M14739" s="124"/>
      <c r="N14739" s="124"/>
      <c r="O14739" s="124"/>
    </row>
    <row r="14740">
      <c r="K14740" s="124"/>
      <c r="L14740" s="124"/>
      <c r="M14740" s="124"/>
      <c r="N14740" s="124"/>
      <c r="O14740" s="124"/>
    </row>
    <row r="14741">
      <c r="K14741" s="124"/>
      <c r="L14741" s="124"/>
      <c r="M14741" s="124"/>
      <c r="N14741" s="124"/>
      <c r="O14741" s="124"/>
    </row>
    <row r="14742">
      <c r="K14742" s="124"/>
      <c r="L14742" s="124"/>
      <c r="M14742" s="124"/>
      <c r="N14742" s="124"/>
      <c r="O14742" s="124"/>
    </row>
    <row r="14743">
      <c r="K14743" s="124"/>
      <c r="L14743" s="124"/>
      <c r="M14743" s="124"/>
      <c r="N14743" s="124"/>
      <c r="O14743" s="124"/>
    </row>
    <row r="14744">
      <c r="K14744" s="124"/>
      <c r="L14744" s="124"/>
      <c r="M14744" s="124"/>
      <c r="N14744" s="124"/>
      <c r="O14744" s="124"/>
    </row>
    <row r="14745">
      <c r="K14745" s="124"/>
      <c r="L14745" s="124"/>
      <c r="M14745" s="124"/>
      <c r="N14745" s="124"/>
      <c r="O14745" s="124"/>
    </row>
    <row r="14746">
      <c r="K14746" s="124"/>
      <c r="L14746" s="124"/>
      <c r="M14746" s="124"/>
      <c r="N14746" s="124"/>
      <c r="O14746" s="124"/>
    </row>
    <row r="14747">
      <c r="K14747" s="124"/>
      <c r="L14747" s="124"/>
      <c r="M14747" s="124"/>
      <c r="N14747" s="124"/>
      <c r="O14747" s="124"/>
    </row>
    <row r="14748">
      <c r="K14748" s="124"/>
      <c r="L14748" s="124"/>
      <c r="M14748" s="124"/>
      <c r="N14748" s="124"/>
      <c r="O14748" s="124"/>
    </row>
    <row r="14749">
      <c r="K14749" s="124"/>
      <c r="L14749" s="124"/>
      <c r="M14749" s="124"/>
      <c r="N14749" s="124"/>
      <c r="O14749" s="124"/>
    </row>
    <row r="14750">
      <c r="K14750" s="124"/>
      <c r="L14750" s="124"/>
      <c r="M14750" s="124"/>
      <c r="N14750" s="124"/>
      <c r="O14750" s="124"/>
    </row>
    <row r="14751">
      <c r="K14751" s="124"/>
      <c r="L14751" s="124"/>
      <c r="M14751" s="124"/>
      <c r="N14751" s="124"/>
      <c r="O14751" s="124"/>
    </row>
    <row r="14752">
      <c r="K14752" s="124"/>
      <c r="L14752" s="124"/>
      <c r="M14752" s="124"/>
      <c r="N14752" s="124"/>
      <c r="O14752" s="124"/>
    </row>
    <row r="14753">
      <c r="K14753" s="124"/>
      <c r="L14753" s="124"/>
      <c r="M14753" s="124"/>
      <c r="N14753" s="124"/>
      <c r="O14753" s="124"/>
    </row>
    <row r="14754">
      <c r="K14754" s="124"/>
      <c r="L14754" s="124"/>
      <c r="M14754" s="124"/>
      <c r="N14754" s="124"/>
      <c r="O14754" s="124"/>
    </row>
    <row r="14755">
      <c r="K14755" s="124"/>
      <c r="L14755" s="124"/>
      <c r="M14755" s="124"/>
      <c r="N14755" s="124"/>
      <c r="O14755" s="124"/>
    </row>
    <row r="14756">
      <c r="K14756" s="124"/>
      <c r="L14756" s="124"/>
      <c r="M14756" s="124"/>
      <c r="N14756" s="124"/>
      <c r="O14756" s="124"/>
    </row>
    <row r="14757">
      <c r="K14757" s="124"/>
      <c r="L14757" s="124"/>
      <c r="M14757" s="124"/>
      <c r="N14757" s="124"/>
      <c r="O14757" s="124"/>
    </row>
    <row r="14758">
      <c r="K14758" s="124"/>
      <c r="L14758" s="124"/>
      <c r="M14758" s="124"/>
      <c r="N14758" s="124"/>
      <c r="O14758" s="124"/>
    </row>
    <row r="14759">
      <c r="K14759" s="124"/>
      <c r="L14759" s="124"/>
      <c r="M14759" s="124"/>
      <c r="N14759" s="124"/>
      <c r="O14759" s="124"/>
    </row>
    <row r="14760">
      <c r="K14760" s="124"/>
      <c r="L14760" s="124"/>
      <c r="M14760" s="124"/>
      <c r="N14760" s="124"/>
      <c r="O14760" s="124"/>
    </row>
    <row r="14761">
      <c r="K14761" s="124"/>
      <c r="L14761" s="124"/>
      <c r="M14761" s="124"/>
      <c r="N14761" s="124"/>
      <c r="O14761" s="124"/>
    </row>
    <row r="14762">
      <c r="K14762" s="124"/>
      <c r="L14762" s="124"/>
      <c r="M14762" s="124"/>
      <c r="N14762" s="124"/>
      <c r="O14762" s="124"/>
    </row>
    <row r="14763">
      <c r="K14763" s="124"/>
      <c r="L14763" s="124"/>
      <c r="M14763" s="124"/>
      <c r="N14763" s="124"/>
      <c r="O14763" s="124"/>
    </row>
    <row r="14764">
      <c r="K14764" s="124"/>
      <c r="L14764" s="124"/>
      <c r="M14764" s="124"/>
      <c r="N14764" s="124"/>
      <c r="O14764" s="124"/>
    </row>
    <row r="14765">
      <c r="K14765" s="124"/>
      <c r="L14765" s="124"/>
      <c r="M14765" s="124"/>
      <c r="N14765" s="124"/>
      <c r="O14765" s="124"/>
    </row>
    <row r="14766">
      <c r="K14766" s="124"/>
      <c r="L14766" s="124"/>
      <c r="M14766" s="124"/>
      <c r="N14766" s="124"/>
      <c r="O14766" s="124"/>
    </row>
    <row r="14767">
      <c r="K14767" s="124"/>
      <c r="L14767" s="124"/>
      <c r="M14767" s="124"/>
      <c r="N14767" s="124"/>
      <c r="O14767" s="124"/>
    </row>
    <row r="14768">
      <c r="K14768" s="124"/>
      <c r="L14768" s="124"/>
      <c r="M14768" s="124"/>
      <c r="N14768" s="124"/>
      <c r="O14768" s="124"/>
    </row>
    <row r="14769">
      <c r="K14769" s="124"/>
      <c r="L14769" s="124"/>
      <c r="M14769" s="124"/>
      <c r="N14769" s="124"/>
      <c r="O14769" s="124"/>
    </row>
    <row r="14770">
      <c r="K14770" s="124"/>
      <c r="L14770" s="124"/>
      <c r="M14770" s="124"/>
      <c r="N14770" s="124"/>
      <c r="O14770" s="124"/>
    </row>
    <row r="14771">
      <c r="K14771" s="124"/>
      <c r="L14771" s="124"/>
      <c r="M14771" s="124"/>
      <c r="N14771" s="124"/>
      <c r="O14771" s="124"/>
    </row>
    <row r="14772">
      <c r="K14772" s="124"/>
      <c r="L14772" s="124"/>
      <c r="M14772" s="124"/>
      <c r="N14772" s="124"/>
      <c r="O14772" s="124"/>
    </row>
    <row r="14773">
      <c r="K14773" s="124"/>
      <c r="L14773" s="124"/>
      <c r="M14773" s="124"/>
      <c r="N14773" s="124"/>
      <c r="O14773" s="124"/>
    </row>
    <row r="14774">
      <c r="K14774" s="124"/>
      <c r="L14774" s="124"/>
      <c r="M14774" s="124"/>
      <c r="N14774" s="124"/>
      <c r="O14774" s="124"/>
    </row>
    <row r="14775">
      <c r="K14775" s="124"/>
      <c r="L14775" s="124"/>
      <c r="M14775" s="124"/>
      <c r="N14775" s="124"/>
      <c r="O14775" s="124"/>
    </row>
    <row r="14776">
      <c r="K14776" s="124"/>
      <c r="L14776" s="124"/>
      <c r="M14776" s="124"/>
      <c r="N14776" s="124"/>
      <c r="O14776" s="124"/>
    </row>
    <row r="14777">
      <c r="K14777" s="124"/>
      <c r="L14777" s="124"/>
      <c r="M14777" s="124"/>
      <c r="N14777" s="124"/>
      <c r="O14777" s="124"/>
    </row>
    <row r="14778">
      <c r="K14778" s="124"/>
      <c r="L14778" s="124"/>
      <c r="M14778" s="124"/>
      <c r="N14778" s="124"/>
      <c r="O14778" s="124"/>
    </row>
    <row r="14779">
      <c r="K14779" s="124"/>
      <c r="L14779" s="124"/>
      <c r="M14779" s="124"/>
      <c r="N14779" s="124"/>
      <c r="O14779" s="124"/>
    </row>
    <row r="14780">
      <c r="K14780" s="124"/>
      <c r="L14780" s="124"/>
      <c r="M14780" s="124"/>
      <c r="N14780" s="124"/>
      <c r="O14780" s="124"/>
    </row>
    <row r="14781">
      <c r="K14781" s="124"/>
      <c r="L14781" s="124"/>
      <c r="M14781" s="124"/>
      <c r="N14781" s="124"/>
      <c r="O14781" s="124"/>
    </row>
    <row r="14782">
      <c r="K14782" s="124"/>
      <c r="L14782" s="124"/>
      <c r="M14782" s="124"/>
      <c r="N14782" s="124"/>
      <c r="O14782" s="124"/>
    </row>
    <row r="14783">
      <c r="K14783" s="124"/>
      <c r="L14783" s="124"/>
      <c r="M14783" s="124"/>
      <c r="N14783" s="124"/>
      <c r="O14783" s="124"/>
    </row>
    <row r="14784">
      <c r="K14784" s="124"/>
      <c r="L14784" s="124"/>
      <c r="M14784" s="124"/>
      <c r="N14784" s="124"/>
      <c r="O14784" s="124"/>
    </row>
    <row r="14785">
      <c r="K14785" s="124"/>
      <c r="L14785" s="124"/>
      <c r="M14785" s="124"/>
      <c r="N14785" s="124"/>
      <c r="O14785" s="124"/>
    </row>
    <row r="14786">
      <c r="K14786" s="124"/>
      <c r="L14786" s="124"/>
      <c r="M14786" s="124"/>
      <c r="N14786" s="124"/>
      <c r="O14786" s="124"/>
    </row>
    <row r="14787">
      <c r="K14787" s="124"/>
      <c r="L14787" s="124"/>
      <c r="M14787" s="124"/>
      <c r="N14787" s="124"/>
      <c r="O14787" s="124"/>
    </row>
    <row r="14788">
      <c r="K14788" s="124"/>
      <c r="L14788" s="124"/>
      <c r="M14788" s="124"/>
      <c r="N14788" s="124"/>
      <c r="O14788" s="124"/>
    </row>
    <row r="14789">
      <c r="K14789" s="124"/>
      <c r="L14789" s="124"/>
      <c r="M14789" s="124"/>
      <c r="N14789" s="124"/>
      <c r="O14789" s="124"/>
    </row>
    <row r="14790">
      <c r="K14790" s="124"/>
      <c r="L14790" s="124"/>
      <c r="M14790" s="124"/>
      <c r="N14790" s="124"/>
      <c r="O14790" s="124"/>
    </row>
    <row r="14791">
      <c r="K14791" s="124"/>
      <c r="L14791" s="124"/>
      <c r="M14791" s="124"/>
      <c r="N14791" s="124"/>
      <c r="O14791" s="124"/>
    </row>
    <row r="14792">
      <c r="K14792" s="124"/>
      <c r="L14792" s="124"/>
      <c r="M14792" s="124"/>
      <c r="N14792" s="124"/>
      <c r="O14792" s="124"/>
    </row>
    <row r="14793">
      <c r="K14793" s="124"/>
      <c r="L14793" s="124"/>
      <c r="M14793" s="124"/>
      <c r="N14793" s="124"/>
      <c r="O14793" s="124"/>
    </row>
    <row r="14794">
      <c r="K14794" s="124"/>
      <c r="L14794" s="124"/>
      <c r="M14794" s="124"/>
      <c r="N14794" s="124"/>
      <c r="O14794" s="124"/>
    </row>
    <row r="14795">
      <c r="K14795" s="124"/>
      <c r="L14795" s="124"/>
      <c r="M14795" s="124"/>
      <c r="N14795" s="124"/>
      <c r="O14795" s="124"/>
    </row>
    <row r="14796">
      <c r="K14796" s="124"/>
      <c r="L14796" s="124"/>
      <c r="M14796" s="124"/>
      <c r="N14796" s="124"/>
      <c r="O14796" s="124"/>
    </row>
    <row r="14797">
      <c r="K14797" s="124"/>
      <c r="L14797" s="124"/>
      <c r="M14797" s="124"/>
      <c r="N14797" s="124"/>
      <c r="O14797" s="124"/>
    </row>
    <row r="14798">
      <c r="K14798" s="124"/>
      <c r="L14798" s="124"/>
      <c r="M14798" s="124"/>
      <c r="N14798" s="124"/>
      <c r="O14798" s="124"/>
    </row>
    <row r="14799">
      <c r="K14799" s="124"/>
      <c r="L14799" s="124"/>
      <c r="M14799" s="124"/>
      <c r="N14799" s="124"/>
      <c r="O14799" s="124"/>
    </row>
    <row r="14800">
      <c r="K14800" s="124"/>
      <c r="L14800" s="124"/>
      <c r="M14800" s="124"/>
      <c r="N14800" s="124"/>
      <c r="O14800" s="124"/>
    </row>
    <row r="14801">
      <c r="K14801" s="124"/>
      <c r="L14801" s="124"/>
      <c r="M14801" s="124"/>
      <c r="N14801" s="124"/>
      <c r="O14801" s="124"/>
    </row>
    <row r="14802">
      <c r="K14802" s="124"/>
      <c r="L14802" s="124"/>
      <c r="M14802" s="124"/>
      <c r="N14802" s="124"/>
      <c r="O14802" s="124"/>
    </row>
    <row r="14803">
      <c r="K14803" s="124"/>
      <c r="L14803" s="124"/>
      <c r="M14803" s="124"/>
      <c r="N14803" s="124"/>
      <c r="O14803" s="124"/>
    </row>
    <row r="14804">
      <c r="K14804" s="124"/>
      <c r="L14804" s="124"/>
      <c r="M14804" s="124"/>
      <c r="N14804" s="124"/>
      <c r="O14804" s="124"/>
    </row>
    <row r="14805">
      <c r="K14805" s="124"/>
      <c r="L14805" s="124"/>
      <c r="M14805" s="124"/>
      <c r="N14805" s="124"/>
      <c r="O14805" s="124"/>
    </row>
    <row r="14806">
      <c r="K14806" s="124"/>
      <c r="L14806" s="124"/>
      <c r="M14806" s="124"/>
      <c r="N14806" s="124"/>
      <c r="O14806" s="124"/>
    </row>
    <row r="14807">
      <c r="K14807" s="124"/>
      <c r="L14807" s="124"/>
      <c r="M14807" s="124"/>
      <c r="N14807" s="124"/>
      <c r="O14807" s="124"/>
    </row>
    <row r="14808">
      <c r="K14808" s="124"/>
      <c r="L14808" s="124"/>
      <c r="M14808" s="124"/>
      <c r="N14808" s="124"/>
      <c r="O14808" s="124"/>
    </row>
    <row r="14809">
      <c r="K14809" s="124"/>
      <c r="L14809" s="124"/>
      <c r="M14809" s="124"/>
      <c r="N14809" s="124"/>
      <c r="O14809" s="124"/>
    </row>
    <row r="14810">
      <c r="K14810" s="124"/>
      <c r="L14810" s="124"/>
      <c r="M14810" s="124"/>
      <c r="N14810" s="124"/>
      <c r="O14810" s="124"/>
    </row>
    <row r="14811">
      <c r="K14811" s="124"/>
      <c r="L14811" s="124"/>
      <c r="M14811" s="124"/>
      <c r="N14811" s="124"/>
      <c r="O14811" s="124"/>
    </row>
    <row r="14812">
      <c r="K14812" s="124"/>
      <c r="L14812" s="124"/>
      <c r="M14812" s="124"/>
      <c r="N14812" s="124"/>
      <c r="O14812" s="124"/>
    </row>
    <row r="14813">
      <c r="K14813" s="124"/>
      <c r="L14813" s="124"/>
      <c r="M14813" s="124"/>
      <c r="N14813" s="124"/>
      <c r="O14813" s="124"/>
    </row>
    <row r="14814">
      <c r="K14814" s="124"/>
      <c r="L14814" s="124"/>
      <c r="M14814" s="124"/>
      <c r="N14814" s="124"/>
      <c r="O14814" s="124"/>
    </row>
    <row r="14815">
      <c r="K14815" s="124"/>
      <c r="L14815" s="124"/>
      <c r="M14815" s="124"/>
      <c r="N14815" s="124"/>
      <c r="O14815" s="124"/>
    </row>
    <row r="14816">
      <c r="K14816" s="124"/>
      <c r="L14816" s="124"/>
      <c r="M14816" s="124"/>
      <c r="N14816" s="124"/>
      <c r="O14816" s="124"/>
    </row>
    <row r="14817">
      <c r="K14817" s="124"/>
      <c r="L14817" s="124"/>
      <c r="M14817" s="124"/>
      <c r="N14817" s="124"/>
      <c r="O14817" s="124"/>
    </row>
    <row r="14818">
      <c r="K14818" s="124"/>
      <c r="L14818" s="124"/>
      <c r="M14818" s="124"/>
      <c r="N14818" s="124"/>
      <c r="O14818" s="124"/>
    </row>
    <row r="14819">
      <c r="K14819" s="124"/>
      <c r="L14819" s="124"/>
      <c r="M14819" s="124"/>
      <c r="N14819" s="124"/>
      <c r="O14819" s="124"/>
    </row>
    <row r="14820">
      <c r="K14820" s="124"/>
      <c r="L14820" s="124"/>
      <c r="M14820" s="124"/>
      <c r="N14820" s="124"/>
      <c r="O14820" s="124"/>
    </row>
    <row r="14821">
      <c r="K14821" s="124"/>
      <c r="L14821" s="124"/>
      <c r="M14821" s="124"/>
      <c r="N14821" s="124"/>
      <c r="O14821" s="124"/>
    </row>
    <row r="14822">
      <c r="K14822" s="124"/>
      <c r="L14822" s="124"/>
      <c r="M14822" s="124"/>
      <c r="N14822" s="124"/>
      <c r="O14822" s="124"/>
    </row>
    <row r="14823">
      <c r="K14823" s="124"/>
      <c r="L14823" s="124"/>
      <c r="M14823" s="124"/>
      <c r="N14823" s="124"/>
      <c r="O14823" s="124"/>
    </row>
    <row r="14824">
      <c r="K14824" s="124"/>
      <c r="L14824" s="124"/>
      <c r="M14824" s="124"/>
      <c r="N14824" s="124"/>
      <c r="O14824" s="124"/>
    </row>
    <row r="14825">
      <c r="K14825" s="124"/>
      <c r="L14825" s="124"/>
      <c r="M14825" s="124"/>
      <c r="N14825" s="124"/>
      <c r="O14825" s="124"/>
    </row>
    <row r="14826">
      <c r="K14826" s="124"/>
      <c r="L14826" s="124"/>
      <c r="M14826" s="124"/>
      <c r="N14826" s="124"/>
      <c r="O14826" s="124"/>
    </row>
    <row r="14827">
      <c r="K14827" s="124"/>
      <c r="L14827" s="124"/>
      <c r="M14827" s="124"/>
      <c r="N14827" s="124"/>
      <c r="O14827" s="124"/>
    </row>
    <row r="14828">
      <c r="K14828" s="124"/>
      <c r="L14828" s="124"/>
      <c r="M14828" s="124"/>
      <c r="N14828" s="124"/>
      <c r="O14828" s="124"/>
    </row>
    <row r="14829">
      <c r="K14829" s="124"/>
      <c r="L14829" s="124"/>
      <c r="M14829" s="124"/>
      <c r="N14829" s="124"/>
      <c r="O14829" s="124"/>
    </row>
    <row r="14830">
      <c r="K14830" s="124"/>
      <c r="L14830" s="124"/>
      <c r="M14830" s="124"/>
      <c r="N14830" s="124"/>
      <c r="O14830" s="124"/>
    </row>
    <row r="14831">
      <c r="K14831" s="124"/>
      <c r="L14831" s="124"/>
      <c r="M14831" s="124"/>
      <c r="N14831" s="124"/>
      <c r="O14831" s="124"/>
    </row>
    <row r="14832">
      <c r="K14832" s="124"/>
      <c r="L14832" s="124"/>
      <c r="M14832" s="124"/>
      <c r="N14832" s="124"/>
      <c r="O14832" s="124"/>
    </row>
    <row r="14833">
      <c r="K14833" s="124"/>
      <c r="L14833" s="124"/>
      <c r="M14833" s="124"/>
      <c r="N14833" s="124"/>
      <c r="O14833" s="124"/>
    </row>
    <row r="14834">
      <c r="K14834" s="124"/>
      <c r="L14834" s="124"/>
      <c r="M14834" s="124"/>
      <c r="N14834" s="124"/>
      <c r="O14834" s="124"/>
    </row>
    <row r="14835">
      <c r="K14835" s="124"/>
      <c r="L14835" s="124"/>
      <c r="M14835" s="124"/>
      <c r="N14835" s="124"/>
      <c r="O14835" s="124"/>
    </row>
    <row r="14836">
      <c r="K14836" s="124"/>
      <c r="L14836" s="124"/>
      <c r="M14836" s="124"/>
      <c r="N14836" s="124"/>
      <c r="O14836" s="124"/>
    </row>
    <row r="14837">
      <c r="K14837" s="124"/>
      <c r="L14837" s="124"/>
      <c r="M14837" s="124"/>
      <c r="N14837" s="124"/>
      <c r="O14837" s="124"/>
    </row>
    <row r="14838">
      <c r="K14838" s="124"/>
      <c r="L14838" s="124"/>
      <c r="M14838" s="124"/>
      <c r="N14838" s="124"/>
      <c r="O14838" s="124"/>
    </row>
    <row r="14839">
      <c r="K14839" s="124"/>
      <c r="L14839" s="124"/>
      <c r="M14839" s="124"/>
      <c r="N14839" s="124"/>
      <c r="O14839" s="124"/>
    </row>
    <row r="14840">
      <c r="K14840" s="124"/>
      <c r="L14840" s="124"/>
      <c r="M14840" s="124"/>
      <c r="N14840" s="124"/>
      <c r="O14840" s="124"/>
    </row>
    <row r="14841">
      <c r="K14841" s="124"/>
      <c r="L14841" s="124"/>
      <c r="M14841" s="124"/>
      <c r="N14841" s="124"/>
      <c r="O14841" s="124"/>
    </row>
    <row r="14842">
      <c r="K14842" s="124"/>
      <c r="L14842" s="124"/>
      <c r="M14842" s="124"/>
      <c r="N14842" s="124"/>
      <c r="O14842" s="124"/>
    </row>
    <row r="14843">
      <c r="K14843" s="124"/>
      <c r="L14843" s="124"/>
      <c r="M14843" s="124"/>
      <c r="N14843" s="124"/>
      <c r="O14843" s="124"/>
    </row>
    <row r="14844">
      <c r="K14844" s="124"/>
      <c r="L14844" s="124"/>
      <c r="M14844" s="124"/>
      <c r="N14844" s="124"/>
      <c r="O14844" s="124"/>
    </row>
    <row r="14845">
      <c r="K14845" s="124"/>
      <c r="L14845" s="124"/>
      <c r="M14845" s="124"/>
      <c r="N14845" s="124"/>
      <c r="O14845" s="124"/>
    </row>
    <row r="14846">
      <c r="K14846" s="124"/>
      <c r="L14846" s="124"/>
      <c r="M14846" s="124"/>
      <c r="N14846" s="124"/>
      <c r="O14846" s="124"/>
    </row>
    <row r="14847">
      <c r="K14847" s="124"/>
      <c r="L14847" s="124"/>
      <c r="M14847" s="124"/>
      <c r="N14847" s="124"/>
      <c r="O14847" s="124"/>
    </row>
    <row r="14848">
      <c r="K14848" s="124"/>
      <c r="L14848" s="124"/>
      <c r="M14848" s="124"/>
      <c r="N14848" s="124"/>
      <c r="O14848" s="124"/>
    </row>
    <row r="14849">
      <c r="K14849" s="124"/>
      <c r="L14849" s="124"/>
      <c r="M14849" s="124"/>
      <c r="N14849" s="124"/>
      <c r="O14849" s="124"/>
    </row>
    <row r="14850">
      <c r="K14850" s="124"/>
      <c r="L14850" s="124"/>
      <c r="M14850" s="124"/>
      <c r="N14850" s="124"/>
      <c r="O14850" s="124"/>
    </row>
    <row r="14851">
      <c r="K14851" s="124"/>
      <c r="L14851" s="124"/>
      <c r="M14851" s="124"/>
      <c r="N14851" s="124"/>
      <c r="O14851" s="124"/>
    </row>
    <row r="14852">
      <c r="K14852" s="124"/>
      <c r="L14852" s="124"/>
      <c r="M14852" s="124"/>
      <c r="N14852" s="124"/>
      <c r="O14852" s="124"/>
    </row>
    <row r="14853">
      <c r="K14853" s="124"/>
      <c r="L14853" s="124"/>
      <c r="M14853" s="124"/>
      <c r="N14853" s="124"/>
      <c r="O14853" s="124"/>
    </row>
    <row r="14854">
      <c r="K14854" s="124"/>
      <c r="L14854" s="124"/>
      <c r="M14854" s="124"/>
      <c r="N14854" s="124"/>
      <c r="O14854" s="124"/>
    </row>
    <row r="14855">
      <c r="K14855" s="124"/>
      <c r="L14855" s="124"/>
      <c r="M14855" s="124"/>
      <c r="N14855" s="124"/>
      <c r="O14855" s="124"/>
    </row>
    <row r="14856">
      <c r="K14856" s="124"/>
      <c r="L14856" s="124"/>
      <c r="M14856" s="124"/>
      <c r="N14856" s="124"/>
      <c r="O14856" s="124"/>
    </row>
    <row r="14857">
      <c r="K14857" s="124"/>
      <c r="L14857" s="124"/>
      <c r="M14857" s="124"/>
      <c r="N14857" s="124"/>
      <c r="O14857" s="124"/>
    </row>
    <row r="14858">
      <c r="K14858" s="124"/>
      <c r="L14858" s="124"/>
      <c r="M14858" s="124"/>
      <c r="N14858" s="124"/>
      <c r="O14858" s="124"/>
    </row>
    <row r="14859">
      <c r="K14859" s="124"/>
      <c r="L14859" s="124"/>
      <c r="M14859" s="124"/>
      <c r="N14859" s="124"/>
      <c r="O14859" s="124"/>
    </row>
    <row r="14860">
      <c r="K14860" s="124"/>
      <c r="L14860" s="124"/>
      <c r="M14860" s="124"/>
      <c r="N14860" s="124"/>
      <c r="O14860" s="124"/>
    </row>
    <row r="14861">
      <c r="K14861" s="124"/>
      <c r="L14861" s="124"/>
      <c r="M14861" s="124"/>
      <c r="N14861" s="124"/>
      <c r="O14861" s="124"/>
    </row>
    <row r="14862">
      <c r="K14862" s="124"/>
      <c r="L14862" s="124"/>
      <c r="M14862" s="124"/>
      <c r="N14862" s="124"/>
      <c r="O14862" s="124"/>
    </row>
    <row r="14863">
      <c r="K14863" s="124"/>
      <c r="L14863" s="124"/>
      <c r="M14863" s="124"/>
      <c r="N14863" s="124"/>
      <c r="O14863" s="124"/>
    </row>
    <row r="14864">
      <c r="K14864" s="124"/>
      <c r="L14864" s="124"/>
      <c r="M14864" s="124"/>
      <c r="N14864" s="124"/>
      <c r="O14864" s="124"/>
    </row>
    <row r="14865">
      <c r="K14865" s="124"/>
      <c r="L14865" s="124"/>
      <c r="M14865" s="124"/>
      <c r="N14865" s="124"/>
      <c r="O14865" s="124"/>
    </row>
    <row r="14866">
      <c r="K14866" s="124"/>
      <c r="L14866" s="124"/>
      <c r="M14866" s="124"/>
      <c r="N14866" s="124"/>
      <c r="O14866" s="124"/>
    </row>
    <row r="14867">
      <c r="K14867" s="124"/>
      <c r="L14867" s="124"/>
      <c r="M14867" s="124"/>
      <c r="N14867" s="124"/>
      <c r="O14867" s="124"/>
    </row>
    <row r="14868">
      <c r="K14868" s="124"/>
      <c r="L14868" s="124"/>
      <c r="M14868" s="124"/>
      <c r="N14868" s="124"/>
      <c r="O14868" s="124"/>
    </row>
    <row r="14869">
      <c r="K14869" s="124"/>
      <c r="L14869" s="124"/>
      <c r="M14869" s="124"/>
      <c r="N14869" s="124"/>
      <c r="O14869" s="124"/>
    </row>
    <row r="14870">
      <c r="K14870" s="124"/>
      <c r="L14870" s="124"/>
      <c r="M14870" s="124"/>
      <c r="N14870" s="124"/>
      <c r="O14870" s="124"/>
    </row>
    <row r="14871">
      <c r="K14871" s="124"/>
      <c r="L14871" s="124"/>
      <c r="M14871" s="124"/>
      <c r="N14871" s="124"/>
      <c r="O14871" s="124"/>
    </row>
    <row r="14872">
      <c r="K14872" s="124"/>
      <c r="L14872" s="124"/>
      <c r="M14872" s="124"/>
      <c r="N14872" s="124"/>
      <c r="O14872" s="124"/>
    </row>
    <row r="14873">
      <c r="K14873" s="124"/>
      <c r="L14873" s="124"/>
      <c r="M14873" s="124"/>
      <c r="N14873" s="124"/>
      <c r="O14873" s="124"/>
    </row>
    <row r="14874">
      <c r="K14874" s="124"/>
      <c r="L14874" s="124"/>
      <c r="M14874" s="124"/>
      <c r="N14874" s="124"/>
      <c r="O14874" s="124"/>
    </row>
    <row r="14875">
      <c r="K14875" s="124"/>
      <c r="L14875" s="124"/>
      <c r="M14875" s="124"/>
      <c r="N14875" s="124"/>
      <c r="O14875" s="124"/>
    </row>
    <row r="14876">
      <c r="K14876" s="124"/>
      <c r="L14876" s="124"/>
      <c r="M14876" s="124"/>
      <c r="N14876" s="124"/>
      <c r="O14876" s="124"/>
    </row>
    <row r="14877">
      <c r="K14877" s="124"/>
      <c r="L14877" s="124"/>
      <c r="M14877" s="124"/>
      <c r="N14877" s="124"/>
      <c r="O14877" s="124"/>
    </row>
    <row r="14878">
      <c r="K14878" s="124"/>
      <c r="L14878" s="124"/>
      <c r="M14878" s="124"/>
      <c r="N14878" s="124"/>
      <c r="O14878" s="124"/>
    </row>
    <row r="14879">
      <c r="K14879" s="124"/>
      <c r="L14879" s="124"/>
      <c r="M14879" s="124"/>
      <c r="N14879" s="124"/>
      <c r="O14879" s="124"/>
    </row>
    <row r="14880">
      <c r="K14880" s="124"/>
      <c r="L14880" s="124"/>
      <c r="M14880" s="124"/>
      <c r="N14880" s="124"/>
      <c r="O14880" s="124"/>
    </row>
    <row r="14881">
      <c r="K14881" s="124"/>
      <c r="L14881" s="124"/>
      <c r="M14881" s="124"/>
      <c r="N14881" s="124"/>
      <c r="O14881" s="124"/>
    </row>
    <row r="14882">
      <c r="K14882" s="124"/>
      <c r="L14882" s="124"/>
      <c r="M14882" s="124"/>
      <c r="N14882" s="124"/>
      <c r="O14882" s="124"/>
    </row>
    <row r="14883">
      <c r="K14883" s="124"/>
      <c r="L14883" s="124"/>
      <c r="M14883" s="124"/>
      <c r="N14883" s="124"/>
      <c r="O14883" s="124"/>
    </row>
    <row r="14884">
      <c r="K14884" s="124"/>
      <c r="L14884" s="124"/>
      <c r="M14884" s="124"/>
      <c r="N14884" s="124"/>
      <c r="O14884" s="124"/>
    </row>
    <row r="14885">
      <c r="K14885" s="124"/>
      <c r="L14885" s="124"/>
      <c r="M14885" s="124"/>
      <c r="N14885" s="124"/>
      <c r="O14885" s="124"/>
    </row>
    <row r="14886">
      <c r="K14886" s="124"/>
      <c r="L14886" s="124"/>
      <c r="M14886" s="124"/>
      <c r="N14886" s="124"/>
      <c r="O14886" s="124"/>
    </row>
    <row r="14887">
      <c r="K14887" s="124"/>
      <c r="L14887" s="124"/>
      <c r="M14887" s="124"/>
      <c r="N14887" s="124"/>
      <c r="O14887" s="124"/>
    </row>
    <row r="14888">
      <c r="K14888" s="124"/>
      <c r="L14888" s="124"/>
      <c r="M14888" s="124"/>
      <c r="N14888" s="124"/>
      <c r="O14888" s="124"/>
    </row>
    <row r="14889">
      <c r="K14889" s="124"/>
      <c r="L14889" s="124"/>
      <c r="M14889" s="124"/>
      <c r="N14889" s="124"/>
      <c r="O14889" s="124"/>
    </row>
    <row r="14890">
      <c r="K14890" s="124"/>
      <c r="L14890" s="124"/>
      <c r="M14890" s="124"/>
      <c r="N14890" s="124"/>
      <c r="O14890" s="124"/>
    </row>
    <row r="14891">
      <c r="K14891" s="124"/>
      <c r="L14891" s="124"/>
      <c r="M14891" s="124"/>
      <c r="N14891" s="124"/>
      <c r="O14891" s="124"/>
    </row>
    <row r="14892">
      <c r="K14892" s="124"/>
      <c r="L14892" s="124"/>
      <c r="M14892" s="124"/>
      <c r="N14892" s="124"/>
      <c r="O14892" s="124"/>
    </row>
    <row r="14893">
      <c r="K14893" s="124"/>
      <c r="L14893" s="124"/>
      <c r="M14893" s="124"/>
      <c r="N14893" s="124"/>
      <c r="O14893" s="124"/>
    </row>
    <row r="14894">
      <c r="K14894" s="124"/>
      <c r="L14894" s="124"/>
      <c r="M14894" s="124"/>
      <c r="N14894" s="124"/>
      <c r="O14894" s="124"/>
    </row>
    <row r="14895">
      <c r="K14895" s="124"/>
      <c r="L14895" s="124"/>
      <c r="M14895" s="124"/>
      <c r="N14895" s="124"/>
      <c r="O14895" s="124"/>
    </row>
    <row r="14896">
      <c r="K14896" s="124"/>
      <c r="L14896" s="124"/>
      <c r="M14896" s="124"/>
      <c r="N14896" s="124"/>
      <c r="O14896" s="124"/>
    </row>
    <row r="14897">
      <c r="K14897" s="124"/>
      <c r="L14897" s="124"/>
      <c r="M14897" s="124"/>
      <c r="N14897" s="124"/>
      <c r="O14897" s="124"/>
    </row>
    <row r="14898">
      <c r="K14898" s="124"/>
      <c r="L14898" s="124"/>
      <c r="M14898" s="124"/>
      <c r="N14898" s="124"/>
      <c r="O14898" s="124"/>
    </row>
    <row r="14899">
      <c r="K14899" s="124"/>
      <c r="L14899" s="124"/>
      <c r="M14899" s="124"/>
      <c r="N14899" s="124"/>
      <c r="O14899" s="124"/>
    </row>
    <row r="14900">
      <c r="K14900" s="124"/>
      <c r="L14900" s="124"/>
      <c r="M14900" s="124"/>
      <c r="N14900" s="124"/>
      <c r="O14900" s="124"/>
    </row>
    <row r="14901">
      <c r="K14901" s="124"/>
      <c r="L14901" s="124"/>
      <c r="M14901" s="124"/>
      <c r="N14901" s="124"/>
      <c r="O14901" s="124"/>
    </row>
    <row r="14902">
      <c r="K14902" s="124"/>
      <c r="L14902" s="124"/>
      <c r="M14902" s="124"/>
      <c r="N14902" s="124"/>
      <c r="O14902" s="124"/>
    </row>
    <row r="14903">
      <c r="K14903" s="124"/>
      <c r="L14903" s="124"/>
      <c r="M14903" s="124"/>
      <c r="N14903" s="124"/>
      <c r="O14903" s="124"/>
    </row>
    <row r="14904">
      <c r="K14904" s="124"/>
      <c r="L14904" s="124"/>
      <c r="M14904" s="124"/>
      <c r="N14904" s="124"/>
      <c r="O14904" s="124"/>
    </row>
    <row r="14905">
      <c r="K14905" s="124"/>
      <c r="L14905" s="124"/>
      <c r="M14905" s="124"/>
      <c r="N14905" s="124"/>
      <c r="O14905" s="124"/>
    </row>
    <row r="14906">
      <c r="K14906" s="124"/>
      <c r="L14906" s="124"/>
      <c r="M14906" s="124"/>
      <c r="N14906" s="124"/>
      <c r="O14906" s="124"/>
    </row>
    <row r="14907">
      <c r="K14907" s="124"/>
      <c r="L14907" s="124"/>
      <c r="M14907" s="124"/>
      <c r="N14907" s="124"/>
      <c r="O14907" s="124"/>
    </row>
    <row r="14908">
      <c r="K14908" s="124"/>
      <c r="L14908" s="124"/>
      <c r="M14908" s="124"/>
      <c r="N14908" s="124"/>
      <c r="O14908" s="124"/>
    </row>
    <row r="14909">
      <c r="K14909" s="124"/>
      <c r="L14909" s="124"/>
      <c r="M14909" s="124"/>
      <c r="N14909" s="124"/>
      <c r="O14909" s="124"/>
    </row>
    <row r="14910">
      <c r="K14910" s="124"/>
      <c r="L14910" s="124"/>
      <c r="M14910" s="124"/>
      <c r="N14910" s="124"/>
      <c r="O14910" s="124"/>
    </row>
    <row r="14911">
      <c r="K14911" s="124"/>
      <c r="L14911" s="124"/>
      <c r="M14911" s="124"/>
      <c r="N14911" s="124"/>
      <c r="O14911" s="124"/>
    </row>
    <row r="14912">
      <c r="K14912" s="124"/>
      <c r="L14912" s="124"/>
      <c r="M14912" s="124"/>
      <c r="N14912" s="124"/>
      <c r="O14912" s="124"/>
    </row>
    <row r="14913">
      <c r="K14913" s="124"/>
      <c r="L14913" s="124"/>
      <c r="M14913" s="124"/>
      <c r="N14913" s="124"/>
      <c r="O14913" s="124"/>
    </row>
    <row r="14914">
      <c r="K14914" s="124"/>
      <c r="L14914" s="124"/>
      <c r="M14914" s="124"/>
      <c r="N14914" s="124"/>
      <c r="O14914" s="124"/>
    </row>
    <row r="14915">
      <c r="K14915" s="124"/>
      <c r="L14915" s="124"/>
      <c r="M14915" s="124"/>
      <c r="N14915" s="124"/>
      <c r="O14915" s="124"/>
    </row>
    <row r="14916">
      <c r="K14916" s="124"/>
      <c r="L14916" s="124"/>
      <c r="M14916" s="124"/>
      <c r="N14916" s="124"/>
      <c r="O14916" s="124"/>
    </row>
    <row r="14917">
      <c r="K14917" s="124"/>
      <c r="L14917" s="124"/>
      <c r="M14917" s="124"/>
      <c r="N14917" s="124"/>
      <c r="O14917" s="124"/>
    </row>
    <row r="14918">
      <c r="K14918" s="124"/>
      <c r="L14918" s="124"/>
      <c r="M14918" s="124"/>
      <c r="N14918" s="124"/>
      <c r="O14918" s="124"/>
    </row>
    <row r="14919">
      <c r="K14919" s="124"/>
      <c r="L14919" s="124"/>
      <c r="M14919" s="124"/>
      <c r="N14919" s="124"/>
      <c r="O14919" s="124"/>
    </row>
    <row r="14920">
      <c r="K14920" s="124"/>
      <c r="L14920" s="124"/>
      <c r="M14920" s="124"/>
      <c r="N14920" s="124"/>
      <c r="O14920" s="124"/>
    </row>
    <row r="14921">
      <c r="K14921" s="124"/>
      <c r="L14921" s="124"/>
      <c r="M14921" s="124"/>
      <c r="N14921" s="124"/>
      <c r="O14921" s="124"/>
    </row>
    <row r="14922">
      <c r="K14922" s="124"/>
      <c r="L14922" s="124"/>
      <c r="M14922" s="124"/>
      <c r="N14922" s="124"/>
      <c r="O14922" s="124"/>
    </row>
    <row r="14923">
      <c r="K14923" s="124"/>
      <c r="L14923" s="124"/>
      <c r="M14923" s="124"/>
      <c r="N14923" s="124"/>
      <c r="O14923" s="124"/>
    </row>
    <row r="14924">
      <c r="K14924" s="124"/>
      <c r="L14924" s="124"/>
      <c r="M14924" s="124"/>
      <c r="N14924" s="124"/>
      <c r="O14924" s="124"/>
    </row>
    <row r="14925">
      <c r="K14925" s="124"/>
      <c r="L14925" s="124"/>
      <c r="M14925" s="124"/>
      <c r="N14925" s="124"/>
      <c r="O14925" s="124"/>
    </row>
    <row r="14926">
      <c r="K14926" s="124"/>
      <c r="L14926" s="124"/>
      <c r="M14926" s="124"/>
      <c r="N14926" s="124"/>
      <c r="O14926" s="124"/>
    </row>
    <row r="14927">
      <c r="K14927" s="124"/>
      <c r="L14927" s="124"/>
      <c r="M14927" s="124"/>
      <c r="N14927" s="124"/>
      <c r="O14927" s="124"/>
    </row>
    <row r="14928">
      <c r="K14928" s="124"/>
      <c r="L14928" s="124"/>
      <c r="M14928" s="124"/>
      <c r="N14928" s="124"/>
      <c r="O14928" s="124"/>
    </row>
    <row r="14929">
      <c r="K14929" s="124"/>
      <c r="L14929" s="124"/>
      <c r="M14929" s="124"/>
      <c r="N14929" s="124"/>
      <c r="O14929" s="124"/>
    </row>
    <row r="14930">
      <c r="K14930" s="124"/>
      <c r="L14930" s="124"/>
      <c r="M14930" s="124"/>
      <c r="N14930" s="124"/>
      <c r="O14930" s="124"/>
    </row>
    <row r="14931">
      <c r="K14931" s="124"/>
      <c r="L14931" s="124"/>
      <c r="M14931" s="124"/>
      <c r="N14931" s="124"/>
      <c r="O14931" s="124"/>
    </row>
    <row r="14932">
      <c r="K14932" s="124"/>
      <c r="L14932" s="124"/>
      <c r="M14932" s="124"/>
      <c r="N14932" s="124"/>
      <c r="O14932" s="124"/>
    </row>
    <row r="14933">
      <c r="K14933" s="124"/>
      <c r="L14933" s="124"/>
      <c r="M14933" s="124"/>
      <c r="N14933" s="124"/>
      <c r="O14933" s="124"/>
    </row>
    <row r="14934">
      <c r="K14934" s="124"/>
      <c r="L14934" s="124"/>
      <c r="M14934" s="124"/>
      <c r="N14934" s="124"/>
      <c r="O14934" s="124"/>
    </row>
    <row r="14935">
      <c r="K14935" s="124"/>
      <c r="L14935" s="124"/>
      <c r="M14935" s="124"/>
      <c r="N14935" s="124"/>
      <c r="O14935" s="124"/>
    </row>
    <row r="14936">
      <c r="K14936" s="124"/>
      <c r="L14936" s="124"/>
      <c r="M14936" s="124"/>
      <c r="N14936" s="124"/>
      <c r="O14936" s="124"/>
    </row>
    <row r="14937">
      <c r="K14937" s="124"/>
      <c r="L14937" s="124"/>
      <c r="M14937" s="124"/>
      <c r="N14937" s="124"/>
      <c r="O14937" s="124"/>
    </row>
    <row r="14938">
      <c r="K14938" s="124"/>
      <c r="L14938" s="124"/>
      <c r="M14938" s="124"/>
      <c r="N14938" s="124"/>
      <c r="O14938" s="124"/>
    </row>
    <row r="14939">
      <c r="K14939" s="124"/>
      <c r="L14939" s="124"/>
      <c r="M14939" s="124"/>
      <c r="N14939" s="124"/>
      <c r="O14939" s="124"/>
    </row>
    <row r="14940">
      <c r="K14940" s="124"/>
      <c r="L14940" s="124"/>
      <c r="M14940" s="124"/>
      <c r="N14940" s="124"/>
      <c r="O14940" s="124"/>
    </row>
    <row r="14941">
      <c r="K14941" s="124"/>
      <c r="L14941" s="124"/>
      <c r="M14941" s="124"/>
      <c r="N14941" s="124"/>
      <c r="O14941" s="124"/>
    </row>
    <row r="14942">
      <c r="K14942" s="124"/>
      <c r="L14942" s="124"/>
      <c r="M14942" s="124"/>
      <c r="N14942" s="124"/>
      <c r="O14942" s="124"/>
    </row>
    <row r="14943">
      <c r="K14943" s="124"/>
      <c r="L14943" s="124"/>
      <c r="M14943" s="124"/>
      <c r="N14943" s="124"/>
      <c r="O14943" s="124"/>
    </row>
    <row r="14944">
      <c r="K14944" s="124"/>
      <c r="L14944" s="124"/>
      <c r="M14944" s="124"/>
      <c r="N14944" s="124"/>
      <c r="O14944" s="124"/>
    </row>
    <row r="14945">
      <c r="K14945" s="124"/>
      <c r="L14945" s="124"/>
      <c r="M14945" s="124"/>
      <c r="N14945" s="124"/>
      <c r="O14945" s="124"/>
    </row>
    <row r="14946">
      <c r="K14946" s="124"/>
      <c r="L14946" s="124"/>
      <c r="M14946" s="124"/>
      <c r="N14946" s="124"/>
      <c r="O14946" s="124"/>
    </row>
    <row r="14947">
      <c r="K14947" s="124"/>
      <c r="L14947" s="124"/>
      <c r="M14947" s="124"/>
      <c r="N14947" s="124"/>
      <c r="O14947" s="124"/>
    </row>
    <row r="14948">
      <c r="K14948" s="124"/>
      <c r="L14948" s="124"/>
      <c r="M14948" s="124"/>
      <c r="N14948" s="124"/>
      <c r="O14948" s="124"/>
    </row>
    <row r="14949">
      <c r="K14949" s="124"/>
      <c r="L14949" s="124"/>
      <c r="M14949" s="124"/>
      <c r="N14949" s="124"/>
      <c r="O14949" s="124"/>
    </row>
    <row r="14950">
      <c r="K14950" s="124"/>
      <c r="L14950" s="124"/>
      <c r="M14950" s="124"/>
      <c r="N14950" s="124"/>
      <c r="O14950" s="124"/>
    </row>
    <row r="14951">
      <c r="K14951" s="124"/>
      <c r="L14951" s="124"/>
      <c r="M14951" s="124"/>
      <c r="N14951" s="124"/>
      <c r="O14951" s="124"/>
    </row>
    <row r="14952">
      <c r="K14952" s="124"/>
      <c r="L14952" s="124"/>
      <c r="M14952" s="124"/>
      <c r="N14952" s="124"/>
      <c r="O14952" s="124"/>
    </row>
    <row r="14953">
      <c r="K14953" s="124"/>
      <c r="L14953" s="124"/>
      <c r="M14953" s="124"/>
      <c r="N14953" s="124"/>
      <c r="O14953" s="124"/>
    </row>
    <row r="14954">
      <c r="K14954" s="124"/>
      <c r="L14954" s="124"/>
      <c r="M14954" s="124"/>
      <c r="N14954" s="124"/>
      <c r="O14954" s="124"/>
    </row>
    <row r="14955">
      <c r="K14955" s="124"/>
      <c r="L14955" s="124"/>
      <c r="M14955" s="124"/>
      <c r="N14955" s="124"/>
      <c r="O14955" s="124"/>
    </row>
    <row r="14956">
      <c r="K14956" s="124"/>
      <c r="L14956" s="124"/>
      <c r="M14956" s="124"/>
      <c r="N14956" s="124"/>
      <c r="O14956" s="124"/>
    </row>
    <row r="14957">
      <c r="K14957" s="124"/>
      <c r="L14957" s="124"/>
      <c r="M14957" s="124"/>
      <c r="N14957" s="124"/>
      <c r="O14957" s="124"/>
    </row>
    <row r="14958">
      <c r="K14958" s="124"/>
      <c r="L14958" s="124"/>
      <c r="M14958" s="124"/>
      <c r="N14958" s="124"/>
      <c r="O14958" s="124"/>
    </row>
    <row r="14959">
      <c r="K14959" s="124"/>
      <c r="L14959" s="124"/>
      <c r="M14959" s="124"/>
      <c r="N14959" s="124"/>
      <c r="O14959" s="124"/>
    </row>
    <row r="14960">
      <c r="K14960" s="124"/>
      <c r="L14960" s="124"/>
      <c r="M14960" s="124"/>
      <c r="N14960" s="124"/>
      <c r="O14960" s="124"/>
    </row>
    <row r="14961">
      <c r="K14961" s="124"/>
      <c r="L14961" s="124"/>
      <c r="M14961" s="124"/>
      <c r="N14961" s="124"/>
      <c r="O14961" s="124"/>
    </row>
    <row r="14962">
      <c r="K14962" s="124"/>
      <c r="L14962" s="124"/>
      <c r="M14962" s="124"/>
      <c r="N14962" s="124"/>
      <c r="O14962" s="124"/>
    </row>
    <row r="14963">
      <c r="K14963" s="124"/>
      <c r="L14963" s="124"/>
      <c r="M14963" s="124"/>
      <c r="N14963" s="124"/>
      <c r="O14963" s="124"/>
    </row>
    <row r="14964">
      <c r="K14964" s="124"/>
      <c r="L14964" s="124"/>
      <c r="M14964" s="124"/>
      <c r="N14964" s="124"/>
      <c r="O14964" s="124"/>
    </row>
    <row r="14965">
      <c r="K14965" s="124"/>
      <c r="L14965" s="124"/>
      <c r="M14965" s="124"/>
      <c r="N14965" s="124"/>
      <c r="O14965" s="124"/>
    </row>
    <row r="14966">
      <c r="K14966" s="124"/>
      <c r="L14966" s="124"/>
      <c r="M14966" s="124"/>
      <c r="N14966" s="124"/>
      <c r="O14966" s="124"/>
    </row>
    <row r="14967">
      <c r="K14967" s="124"/>
      <c r="L14967" s="124"/>
      <c r="M14967" s="124"/>
      <c r="N14967" s="124"/>
      <c r="O14967" s="124"/>
    </row>
    <row r="14968">
      <c r="K14968" s="124"/>
      <c r="L14968" s="124"/>
      <c r="M14968" s="124"/>
      <c r="N14968" s="124"/>
      <c r="O14968" s="124"/>
    </row>
    <row r="14969">
      <c r="K14969" s="124"/>
      <c r="L14969" s="124"/>
      <c r="M14969" s="124"/>
      <c r="N14969" s="124"/>
      <c r="O14969" s="124"/>
    </row>
    <row r="14970">
      <c r="K14970" s="124"/>
      <c r="L14970" s="124"/>
      <c r="M14970" s="124"/>
      <c r="N14970" s="124"/>
      <c r="O14970" s="124"/>
    </row>
    <row r="14971">
      <c r="K14971" s="124"/>
      <c r="L14971" s="124"/>
      <c r="M14971" s="124"/>
      <c r="N14971" s="124"/>
      <c r="O14971" s="124"/>
    </row>
    <row r="14972">
      <c r="K14972" s="124"/>
      <c r="L14972" s="124"/>
      <c r="M14972" s="124"/>
      <c r="N14972" s="124"/>
      <c r="O14972" s="124"/>
    </row>
    <row r="14973">
      <c r="K14973" s="124"/>
      <c r="L14973" s="124"/>
      <c r="M14973" s="124"/>
      <c r="N14973" s="124"/>
      <c r="O14973" s="124"/>
    </row>
    <row r="14974">
      <c r="K14974" s="124"/>
      <c r="L14974" s="124"/>
      <c r="M14974" s="124"/>
      <c r="N14974" s="124"/>
      <c r="O14974" s="124"/>
    </row>
    <row r="14975">
      <c r="K14975" s="124"/>
      <c r="L14975" s="124"/>
      <c r="M14975" s="124"/>
      <c r="N14975" s="124"/>
      <c r="O14975" s="124"/>
    </row>
    <row r="14976">
      <c r="K14976" s="124"/>
      <c r="L14976" s="124"/>
      <c r="M14976" s="124"/>
      <c r="N14976" s="124"/>
      <c r="O14976" s="124"/>
    </row>
    <row r="14977">
      <c r="K14977" s="124"/>
      <c r="L14977" s="124"/>
      <c r="M14977" s="124"/>
      <c r="N14977" s="124"/>
      <c r="O14977" s="124"/>
    </row>
    <row r="14978">
      <c r="K14978" s="124"/>
      <c r="L14978" s="124"/>
      <c r="M14978" s="124"/>
      <c r="N14978" s="124"/>
      <c r="O14978" s="124"/>
    </row>
    <row r="14979">
      <c r="K14979" s="124"/>
      <c r="L14979" s="124"/>
      <c r="M14979" s="124"/>
      <c r="N14979" s="124"/>
      <c r="O14979" s="124"/>
    </row>
    <row r="14980">
      <c r="K14980" s="124"/>
      <c r="L14980" s="124"/>
      <c r="M14980" s="124"/>
      <c r="N14980" s="124"/>
      <c r="O14980" s="124"/>
    </row>
    <row r="14981">
      <c r="K14981" s="124"/>
      <c r="L14981" s="124"/>
      <c r="M14981" s="124"/>
      <c r="N14981" s="124"/>
      <c r="O14981" s="124"/>
    </row>
    <row r="14982">
      <c r="K14982" s="124"/>
      <c r="L14982" s="124"/>
      <c r="M14982" s="124"/>
      <c r="N14982" s="124"/>
      <c r="O14982" s="124"/>
    </row>
    <row r="14983">
      <c r="K14983" s="124"/>
      <c r="L14983" s="124"/>
      <c r="M14983" s="124"/>
      <c r="N14983" s="124"/>
      <c r="O14983" s="124"/>
    </row>
    <row r="14984">
      <c r="K14984" s="124"/>
      <c r="L14984" s="124"/>
      <c r="M14984" s="124"/>
      <c r="N14984" s="124"/>
      <c r="O14984" s="124"/>
    </row>
    <row r="14985">
      <c r="K14985" s="124"/>
      <c r="L14985" s="124"/>
      <c r="M14985" s="124"/>
      <c r="N14985" s="124"/>
      <c r="O14985" s="124"/>
    </row>
    <row r="14986">
      <c r="K14986" s="124"/>
      <c r="L14986" s="124"/>
      <c r="M14986" s="124"/>
      <c r="N14986" s="124"/>
      <c r="O14986" s="124"/>
    </row>
    <row r="14987">
      <c r="K14987" s="124"/>
      <c r="L14987" s="124"/>
      <c r="M14987" s="124"/>
      <c r="N14987" s="124"/>
      <c r="O14987" s="124"/>
    </row>
    <row r="14988">
      <c r="K14988" s="124"/>
      <c r="L14988" s="124"/>
      <c r="M14988" s="124"/>
      <c r="N14988" s="124"/>
      <c r="O14988" s="124"/>
    </row>
    <row r="14989">
      <c r="K14989" s="124"/>
      <c r="L14989" s="124"/>
      <c r="M14989" s="124"/>
      <c r="N14989" s="124"/>
      <c r="O14989" s="124"/>
    </row>
    <row r="14990">
      <c r="K14990" s="124"/>
      <c r="L14990" s="124"/>
      <c r="M14990" s="124"/>
      <c r="N14990" s="124"/>
      <c r="O14990" s="124"/>
    </row>
    <row r="14991">
      <c r="K14991" s="124"/>
      <c r="L14991" s="124"/>
      <c r="M14991" s="124"/>
      <c r="N14991" s="124"/>
      <c r="O14991" s="124"/>
    </row>
    <row r="14992">
      <c r="K14992" s="124"/>
      <c r="L14992" s="124"/>
      <c r="M14992" s="124"/>
      <c r="N14992" s="124"/>
      <c r="O14992" s="124"/>
    </row>
    <row r="14993">
      <c r="K14993" s="124"/>
      <c r="L14993" s="124"/>
      <c r="M14993" s="124"/>
      <c r="N14993" s="124"/>
      <c r="O14993" s="124"/>
    </row>
    <row r="14994">
      <c r="K14994" s="124"/>
      <c r="L14994" s="124"/>
      <c r="M14994" s="124"/>
      <c r="N14994" s="124"/>
      <c r="O14994" s="124"/>
    </row>
    <row r="14995">
      <c r="K14995" s="124"/>
      <c r="L14995" s="124"/>
      <c r="M14995" s="124"/>
      <c r="N14995" s="124"/>
      <c r="O14995" s="124"/>
    </row>
    <row r="14996">
      <c r="K14996" s="124"/>
      <c r="L14996" s="124"/>
      <c r="M14996" s="124"/>
      <c r="N14996" s="124"/>
      <c r="O14996" s="124"/>
    </row>
    <row r="14997">
      <c r="K14997" s="124"/>
      <c r="L14997" s="124"/>
      <c r="M14997" s="124"/>
      <c r="N14997" s="124"/>
      <c r="O14997" s="124"/>
    </row>
    <row r="14998">
      <c r="K14998" s="124"/>
      <c r="L14998" s="124"/>
      <c r="M14998" s="124"/>
      <c r="N14998" s="124"/>
      <c r="O14998" s="124"/>
    </row>
    <row r="14999">
      <c r="K14999" s="124"/>
      <c r="L14999" s="124"/>
      <c r="M14999" s="124"/>
      <c r="N14999" s="124"/>
      <c r="O14999" s="124"/>
    </row>
    <row r="15000">
      <c r="K15000" s="124"/>
      <c r="L15000" s="124"/>
      <c r="M15000" s="124"/>
      <c r="N15000" s="124"/>
      <c r="O15000" s="124"/>
    </row>
    <row r="15001">
      <c r="K15001" s="124"/>
      <c r="L15001" s="124"/>
      <c r="M15001" s="124"/>
      <c r="N15001" s="124"/>
      <c r="O15001" s="124"/>
    </row>
    <row r="15002">
      <c r="K15002" s="124"/>
      <c r="L15002" s="124"/>
      <c r="M15002" s="124"/>
      <c r="N15002" s="124"/>
      <c r="O15002" s="124"/>
    </row>
    <row r="15003">
      <c r="K15003" s="124"/>
      <c r="L15003" s="124"/>
      <c r="M15003" s="124"/>
      <c r="N15003" s="124"/>
      <c r="O15003" s="124"/>
    </row>
    <row r="15004">
      <c r="K15004" s="124"/>
      <c r="L15004" s="124"/>
      <c r="M15004" s="124"/>
      <c r="N15004" s="124"/>
      <c r="O15004" s="124"/>
    </row>
    <row r="15005">
      <c r="K15005" s="124"/>
      <c r="L15005" s="124"/>
      <c r="M15005" s="124"/>
      <c r="N15005" s="124"/>
      <c r="O15005" s="124"/>
    </row>
    <row r="15006">
      <c r="K15006" s="124"/>
      <c r="L15006" s="124"/>
      <c r="M15006" s="124"/>
      <c r="N15006" s="124"/>
      <c r="O15006" s="124"/>
    </row>
    <row r="15007">
      <c r="K15007" s="124"/>
      <c r="L15007" s="124"/>
      <c r="M15007" s="124"/>
      <c r="N15007" s="124"/>
      <c r="O15007" s="124"/>
    </row>
    <row r="15008">
      <c r="K15008" s="124"/>
      <c r="L15008" s="124"/>
      <c r="M15008" s="124"/>
      <c r="N15008" s="124"/>
      <c r="O15008" s="124"/>
    </row>
    <row r="15009">
      <c r="K15009" s="124"/>
      <c r="L15009" s="124"/>
      <c r="M15009" s="124"/>
      <c r="N15009" s="124"/>
      <c r="O15009" s="124"/>
    </row>
    <row r="15010">
      <c r="K15010" s="124"/>
      <c r="L15010" s="124"/>
      <c r="M15010" s="124"/>
      <c r="N15010" s="124"/>
      <c r="O15010" s="124"/>
    </row>
    <row r="15011">
      <c r="K15011" s="124"/>
      <c r="L15011" s="124"/>
      <c r="M15011" s="124"/>
      <c r="N15011" s="124"/>
      <c r="O15011" s="124"/>
    </row>
    <row r="15012">
      <c r="K15012" s="124"/>
      <c r="L15012" s="124"/>
      <c r="M15012" s="124"/>
      <c r="N15012" s="124"/>
      <c r="O15012" s="124"/>
    </row>
    <row r="15013">
      <c r="K15013" s="124"/>
      <c r="L15013" s="124"/>
      <c r="M15013" s="124"/>
      <c r="N15013" s="124"/>
      <c r="O15013" s="124"/>
    </row>
    <row r="15014">
      <c r="K15014" s="124"/>
      <c r="L15014" s="124"/>
      <c r="M15014" s="124"/>
      <c r="N15014" s="124"/>
      <c r="O15014" s="124"/>
    </row>
    <row r="15015">
      <c r="K15015" s="124"/>
      <c r="L15015" s="124"/>
      <c r="M15015" s="124"/>
      <c r="N15015" s="124"/>
      <c r="O15015" s="124"/>
    </row>
    <row r="15016">
      <c r="K15016" s="124"/>
      <c r="L15016" s="124"/>
      <c r="M15016" s="124"/>
      <c r="N15016" s="124"/>
      <c r="O15016" s="124"/>
    </row>
    <row r="15017">
      <c r="K15017" s="124"/>
      <c r="L15017" s="124"/>
      <c r="M15017" s="124"/>
      <c r="N15017" s="124"/>
      <c r="O15017" s="124"/>
    </row>
    <row r="15018">
      <c r="K15018" s="124"/>
      <c r="L15018" s="124"/>
      <c r="M15018" s="124"/>
      <c r="N15018" s="124"/>
      <c r="O15018" s="124"/>
    </row>
    <row r="15019">
      <c r="K15019" s="124"/>
      <c r="L15019" s="124"/>
      <c r="M15019" s="124"/>
      <c r="N15019" s="124"/>
      <c r="O15019" s="124"/>
    </row>
    <row r="15020">
      <c r="K15020" s="124"/>
      <c r="L15020" s="124"/>
      <c r="M15020" s="124"/>
      <c r="N15020" s="124"/>
      <c r="O15020" s="124"/>
    </row>
    <row r="15021">
      <c r="K15021" s="124"/>
      <c r="L15021" s="124"/>
      <c r="M15021" s="124"/>
      <c r="N15021" s="124"/>
      <c r="O15021" s="124"/>
    </row>
    <row r="15022">
      <c r="K15022" s="124"/>
      <c r="L15022" s="124"/>
      <c r="M15022" s="124"/>
      <c r="N15022" s="124"/>
      <c r="O15022" s="124"/>
    </row>
    <row r="15023">
      <c r="K15023" s="124"/>
      <c r="L15023" s="124"/>
      <c r="M15023" s="124"/>
      <c r="N15023" s="124"/>
      <c r="O15023" s="124"/>
    </row>
    <row r="15024">
      <c r="K15024" s="124"/>
      <c r="L15024" s="124"/>
      <c r="M15024" s="124"/>
      <c r="N15024" s="124"/>
      <c r="O15024" s="124"/>
    </row>
    <row r="15025">
      <c r="K15025" s="124"/>
      <c r="L15025" s="124"/>
      <c r="M15025" s="124"/>
      <c r="N15025" s="124"/>
      <c r="O15025" s="124"/>
    </row>
    <row r="15026">
      <c r="K15026" s="124"/>
      <c r="L15026" s="124"/>
      <c r="M15026" s="124"/>
      <c r="N15026" s="124"/>
      <c r="O15026" s="124"/>
    </row>
    <row r="15027">
      <c r="K15027" s="124"/>
      <c r="L15027" s="124"/>
      <c r="M15027" s="124"/>
      <c r="N15027" s="124"/>
      <c r="O15027" s="124"/>
    </row>
    <row r="15028">
      <c r="K15028" s="124"/>
      <c r="L15028" s="124"/>
      <c r="M15028" s="124"/>
      <c r="N15028" s="124"/>
      <c r="O15028" s="124"/>
    </row>
    <row r="15029">
      <c r="K15029" s="124"/>
      <c r="L15029" s="124"/>
      <c r="M15029" s="124"/>
      <c r="N15029" s="124"/>
      <c r="O15029" s="124"/>
    </row>
    <row r="15030">
      <c r="K15030" s="124"/>
      <c r="L15030" s="124"/>
      <c r="M15030" s="124"/>
      <c r="N15030" s="124"/>
      <c r="O15030" s="124"/>
    </row>
    <row r="15031">
      <c r="K15031" s="124"/>
      <c r="L15031" s="124"/>
      <c r="M15031" s="124"/>
      <c r="N15031" s="124"/>
      <c r="O15031" s="124"/>
    </row>
    <row r="15032">
      <c r="K15032" s="124"/>
      <c r="L15032" s="124"/>
      <c r="M15032" s="124"/>
      <c r="N15032" s="124"/>
      <c r="O15032" s="124"/>
    </row>
    <row r="15033">
      <c r="K15033" s="124"/>
      <c r="L15033" s="124"/>
      <c r="M15033" s="124"/>
      <c r="N15033" s="124"/>
      <c r="O15033" s="124"/>
    </row>
    <row r="15034">
      <c r="K15034" s="124"/>
      <c r="L15034" s="124"/>
      <c r="M15034" s="124"/>
      <c r="N15034" s="124"/>
      <c r="O15034" s="124"/>
    </row>
    <row r="15035">
      <c r="K15035" s="124"/>
      <c r="L15035" s="124"/>
      <c r="M15035" s="124"/>
      <c r="N15035" s="124"/>
      <c r="O15035" s="124"/>
    </row>
    <row r="15036">
      <c r="K15036" s="124"/>
      <c r="L15036" s="124"/>
      <c r="M15036" s="124"/>
      <c r="N15036" s="124"/>
      <c r="O15036" s="124"/>
    </row>
    <row r="15037">
      <c r="K15037" s="124"/>
      <c r="L15037" s="124"/>
      <c r="M15037" s="124"/>
      <c r="N15037" s="124"/>
      <c r="O15037" s="124"/>
    </row>
    <row r="15038">
      <c r="K15038" s="124"/>
      <c r="L15038" s="124"/>
      <c r="M15038" s="124"/>
      <c r="N15038" s="124"/>
      <c r="O15038" s="124"/>
    </row>
    <row r="15039">
      <c r="K15039" s="124"/>
      <c r="L15039" s="124"/>
      <c r="M15039" s="124"/>
      <c r="N15039" s="124"/>
      <c r="O15039" s="124"/>
    </row>
    <row r="15040">
      <c r="K15040" s="124"/>
      <c r="L15040" s="124"/>
      <c r="M15040" s="124"/>
      <c r="N15040" s="124"/>
      <c r="O15040" s="124"/>
    </row>
    <row r="15041">
      <c r="K15041" s="124"/>
      <c r="L15041" s="124"/>
      <c r="M15041" s="124"/>
      <c r="N15041" s="124"/>
      <c r="O15041" s="124"/>
    </row>
    <row r="15042">
      <c r="K15042" s="124"/>
      <c r="L15042" s="124"/>
      <c r="M15042" s="124"/>
      <c r="N15042" s="124"/>
      <c r="O15042" s="124"/>
    </row>
    <row r="15043">
      <c r="K15043" s="124"/>
      <c r="L15043" s="124"/>
      <c r="M15043" s="124"/>
      <c r="N15043" s="124"/>
      <c r="O15043" s="124"/>
    </row>
    <row r="15044">
      <c r="K15044" s="124"/>
      <c r="L15044" s="124"/>
      <c r="M15044" s="124"/>
      <c r="N15044" s="124"/>
      <c r="O15044" s="124"/>
    </row>
    <row r="15045">
      <c r="K15045" s="124"/>
      <c r="L15045" s="124"/>
      <c r="M15045" s="124"/>
      <c r="N15045" s="124"/>
      <c r="O15045" s="124"/>
    </row>
    <row r="15046">
      <c r="K15046" s="124"/>
      <c r="L15046" s="124"/>
      <c r="M15046" s="124"/>
      <c r="N15046" s="124"/>
      <c r="O15046" s="124"/>
    </row>
    <row r="15047">
      <c r="K15047" s="124"/>
      <c r="L15047" s="124"/>
      <c r="M15047" s="124"/>
      <c r="N15047" s="124"/>
      <c r="O15047" s="124"/>
    </row>
    <row r="15048">
      <c r="K15048" s="124"/>
      <c r="L15048" s="124"/>
      <c r="M15048" s="124"/>
      <c r="N15048" s="124"/>
      <c r="O15048" s="124"/>
    </row>
    <row r="15049">
      <c r="K15049" s="124"/>
      <c r="L15049" s="124"/>
      <c r="M15049" s="124"/>
      <c r="N15049" s="124"/>
      <c r="O15049" s="124"/>
    </row>
    <row r="15050">
      <c r="K15050" s="124"/>
      <c r="L15050" s="124"/>
      <c r="M15050" s="124"/>
      <c r="N15050" s="124"/>
      <c r="O15050" s="124"/>
    </row>
    <row r="15051">
      <c r="K15051" s="124"/>
      <c r="L15051" s="124"/>
      <c r="M15051" s="124"/>
      <c r="N15051" s="124"/>
      <c r="O15051" s="124"/>
    </row>
    <row r="15052">
      <c r="K15052" s="124"/>
      <c r="L15052" s="124"/>
      <c r="M15052" s="124"/>
      <c r="N15052" s="124"/>
      <c r="O15052" s="124"/>
    </row>
    <row r="15053">
      <c r="K15053" s="124"/>
      <c r="L15053" s="124"/>
      <c r="M15053" s="124"/>
      <c r="N15053" s="124"/>
      <c r="O15053" s="124"/>
    </row>
    <row r="15054">
      <c r="K15054" s="124"/>
      <c r="L15054" s="124"/>
      <c r="M15054" s="124"/>
      <c r="N15054" s="124"/>
      <c r="O15054" s="124"/>
    </row>
    <row r="15055">
      <c r="K15055" s="124"/>
      <c r="L15055" s="124"/>
      <c r="M15055" s="124"/>
      <c r="N15055" s="124"/>
      <c r="O15055" s="124"/>
    </row>
    <row r="15056">
      <c r="K15056" s="124"/>
      <c r="L15056" s="124"/>
      <c r="M15056" s="124"/>
      <c r="N15056" s="124"/>
      <c r="O15056" s="124"/>
    </row>
    <row r="15057">
      <c r="K15057" s="124"/>
      <c r="L15057" s="124"/>
      <c r="M15057" s="124"/>
      <c r="N15057" s="124"/>
      <c r="O15057" s="124"/>
    </row>
    <row r="15058">
      <c r="K15058" s="124"/>
      <c r="L15058" s="124"/>
      <c r="M15058" s="124"/>
      <c r="N15058" s="124"/>
      <c r="O15058" s="124"/>
    </row>
    <row r="15059">
      <c r="K15059" s="124"/>
      <c r="L15059" s="124"/>
      <c r="M15059" s="124"/>
      <c r="N15059" s="124"/>
      <c r="O15059" s="124"/>
    </row>
    <row r="15060">
      <c r="K15060" s="124"/>
      <c r="L15060" s="124"/>
      <c r="M15060" s="124"/>
      <c r="N15060" s="124"/>
      <c r="O15060" s="124"/>
    </row>
    <row r="15061">
      <c r="K15061" s="124"/>
      <c r="L15061" s="124"/>
      <c r="M15061" s="124"/>
      <c r="N15061" s="124"/>
      <c r="O15061" s="124"/>
    </row>
    <row r="15062">
      <c r="K15062" s="124"/>
      <c r="L15062" s="124"/>
      <c r="M15062" s="124"/>
      <c r="N15062" s="124"/>
      <c r="O15062" s="124"/>
    </row>
    <row r="15063">
      <c r="K15063" s="124"/>
      <c r="L15063" s="124"/>
      <c r="M15063" s="124"/>
      <c r="N15063" s="124"/>
      <c r="O15063" s="124"/>
    </row>
    <row r="15064">
      <c r="K15064" s="124"/>
      <c r="L15064" s="124"/>
      <c r="M15064" s="124"/>
      <c r="N15064" s="124"/>
      <c r="O15064" s="124"/>
    </row>
    <row r="15065">
      <c r="K15065" s="124"/>
      <c r="L15065" s="124"/>
      <c r="M15065" s="124"/>
      <c r="N15065" s="124"/>
      <c r="O15065" s="124"/>
    </row>
    <row r="15066">
      <c r="K15066" s="124"/>
      <c r="L15066" s="124"/>
      <c r="M15066" s="124"/>
      <c r="N15066" s="124"/>
      <c r="O15066" s="124"/>
    </row>
    <row r="15067">
      <c r="K15067" s="124"/>
      <c r="L15067" s="124"/>
      <c r="M15067" s="124"/>
      <c r="N15067" s="124"/>
      <c r="O15067" s="124"/>
    </row>
    <row r="15068">
      <c r="K15068" s="124"/>
      <c r="L15068" s="124"/>
      <c r="M15068" s="124"/>
      <c r="N15068" s="124"/>
      <c r="O15068" s="124"/>
    </row>
    <row r="15069">
      <c r="K15069" s="124"/>
      <c r="L15069" s="124"/>
      <c r="M15069" s="124"/>
      <c r="N15069" s="124"/>
      <c r="O15069" s="124"/>
    </row>
    <row r="15070">
      <c r="K15070" s="124"/>
      <c r="L15070" s="124"/>
      <c r="M15070" s="124"/>
      <c r="N15070" s="124"/>
      <c r="O15070" s="124"/>
    </row>
    <row r="15071">
      <c r="K15071" s="124"/>
      <c r="L15071" s="124"/>
      <c r="M15071" s="124"/>
      <c r="N15071" s="124"/>
      <c r="O15071" s="124"/>
    </row>
    <row r="15072">
      <c r="K15072" s="124"/>
      <c r="L15072" s="124"/>
      <c r="M15072" s="124"/>
      <c r="N15072" s="124"/>
      <c r="O15072" s="124"/>
    </row>
    <row r="15073">
      <c r="K15073" s="124"/>
      <c r="L15073" s="124"/>
      <c r="M15073" s="124"/>
      <c r="N15073" s="124"/>
      <c r="O15073" s="124"/>
    </row>
    <row r="15074">
      <c r="K15074" s="124"/>
      <c r="L15074" s="124"/>
      <c r="M15074" s="124"/>
      <c r="N15074" s="124"/>
      <c r="O15074" s="124"/>
    </row>
    <row r="15075">
      <c r="K15075" s="124"/>
      <c r="L15075" s="124"/>
      <c r="M15075" s="124"/>
      <c r="N15075" s="124"/>
      <c r="O15075" s="124"/>
    </row>
    <row r="15076">
      <c r="K15076" s="124"/>
      <c r="L15076" s="124"/>
      <c r="M15076" s="124"/>
      <c r="N15076" s="124"/>
      <c r="O15076" s="124"/>
    </row>
    <row r="15077">
      <c r="K15077" s="124"/>
      <c r="L15077" s="124"/>
      <c r="M15077" s="124"/>
      <c r="N15077" s="124"/>
      <c r="O15077" s="124"/>
    </row>
    <row r="15078">
      <c r="K15078" s="124"/>
      <c r="L15078" s="124"/>
      <c r="M15078" s="124"/>
      <c r="N15078" s="124"/>
      <c r="O15078" s="124"/>
    </row>
    <row r="15079">
      <c r="K15079" s="124"/>
      <c r="L15079" s="124"/>
      <c r="M15079" s="124"/>
      <c r="N15079" s="124"/>
      <c r="O15079" s="124"/>
    </row>
    <row r="15080">
      <c r="K15080" s="124"/>
      <c r="L15080" s="124"/>
      <c r="M15080" s="124"/>
      <c r="N15080" s="124"/>
      <c r="O15080" s="124"/>
    </row>
    <row r="15081">
      <c r="K15081" s="124"/>
      <c r="L15081" s="124"/>
      <c r="M15081" s="124"/>
      <c r="N15081" s="124"/>
      <c r="O15081" s="124"/>
    </row>
    <row r="15082">
      <c r="K15082" s="124"/>
      <c r="L15082" s="124"/>
      <c r="M15082" s="124"/>
      <c r="N15082" s="124"/>
      <c r="O15082" s="124"/>
    </row>
    <row r="15083">
      <c r="K15083" s="124"/>
      <c r="L15083" s="124"/>
      <c r="M15083" s="124"/>
      <c r="N15083" s="124"/>
      <c r="O15083" s="124"/>
    </row>
    <row r="15084">
      <c r="K15084" s="124"/>
      <c r="L15084" s="124"/>
      <c r="M15084" s="124"/>
      <c r="N15084" s="124"/>
      <c r="O15084" s="124"/>
    </row>
    <row r="15085">
      <c r="K15085" s="124"/>
      <c r="L15085" s="124"/>
      <c r="M15085" s="124"/>
      <c r="N15085" s="124"/>
      <c r="O15085" s="124"/>
    </row>
    <row r="15086">
      <c r="K15086" s="124"/>
      <c r="L15086" s="124"/>
      <c r="M15086" s="124"/>
      <c r="N15086" s="124"/>
      <c r="O15086" s="124"/>
    </row>
    <row r="15087">
      <c r="K15087" s="124"/>
      <c r="L15087" s="124"/>
      <c r="M15087" s="124"/>
      <c r="N15087" s="124"/>
      <c r="O15087" s="124"/>
    </row>
    <row r="15088">
      <c r="K15088" s="124"/>
      <c r="L15088" s="124"/>
      <c r="M15088" s="124"/>
      <c r="N15088" s="124"/>
      <c r="O15088" s="124"/>
    </row>
    <row r="15089">
      <c r="K15089" s="124"/>
      <c r="L15089" s="124"/>
      <c r="M15089" s="124"/>
      <c r="N15089" s="124"/>
      <c r="O15089" s="124"/>
    </row>
    <row r="15090">
      <c r="K15090" s="124"/>
      <c r="L15090" s="124"/>
      <c r="M15090" s="124"/>
      <c r="N15090" s="124"/>
      <c r="O15090" s="124"/>
    </row>
    <row r="15091">
      <c r="K15091" s="124"/>
      <c r="L15091" s="124"/>
      <c r="M15091" s="124"/>
      <c r="N15091" s="124"/>
      <c r="O15091" s="124"/>
    </row>
    <row r="15092">
      <c r="K15092" s="124"/>
      <c r="L15092" s="124"/>
      <c r="M15092" s="124"/>
      <c r="N15092" s="124"/>
      <c r="O15092" s="124"/>
    </row>
    <row r="15093">
      <c r="K15093" s="124"/>
      <c r="L15093" s="124"/>
      <c r="M15093" s="124"/>
      <c r="N15093" s="124"/>
      <c r="O15093" s="124"/>
    </row>
    <row r="15094">
      <c r="K15094" s="124"/>
      <c r="L15094" s="124"/>
      <c r="M15094" s="124"/>
      <c r="N15094" s="124"/>
      <c r="O15094" s="124"/>
    </row>
    <row r="15095">
      <c r="K15095" s="124"/>
      <c r="L15095" s="124"/>
      <c r="M15095" s="124"/>
      <c r="N15095" s="124"/>
      <c r="O15095" s="124"/>
    </row>
    <row r="15096">
      <c r="K15096" s="124"/>
      <c r="L15096" s="124"/>
      <c r="M15096" s="124"/>
      <c r="N15096" s="124"/>
      <c r="O15096" s="124"/>
    </row>
    <row r="15097">
      <c r="K15097" s="124"/>
      <c r="L15097" s="124"/>
      <c r="M15097" s="124"/>
      <c r="N15097" s="124"/>
      <c r="O15097" s="124"/>
    </row>
    <row r="15098">
      <c r="K15098" s="124"/>
      <c r="L15098" s="124"/>
      <c r="M15098" s="124"/>
      <c r="N15098" s="124"/>
      <c r="O15098" s="124"/>
    </row>
    <row r="15099">
      <c r="K15099" s="124"/>
      <c r="L15099" s="124"/>
      <c r="M15099" s="124"/>
      <c r="N15099" s="124"/>
      <c r="O15099" s="124"/>
    </row>
    <row r="15100">
      <c r="K15100" s="124"/>
      <c r="L15100" s="124"/>
      <c r="M15100" s="124"/>
      <c r="N15100" s="124"/>
      <c r="O15100" s="124"/>
    </row>
    <row r="15101">
      <c r="K15101" s="124"/>
      <c r="L15101" s="124"/>
      <c r="M15101" s="124"/>
      <c r="N15101" s="124"/>
      <c r="O15101" s="124"/>
    </row>
    <row r="15102">
      <c r="K15102" s="124"/>
      <c r="L15102" s="124"/>
      <c r="M15102" s="124"/>
      <c r="N15102" s="124"/>
      <c r="O15102" s="124"/>
    </row>
    <row r="15103">
      <c r="K15103" s="124"/>
      <c r="L15103" s="124"/>
      <c r="M15103" s="124"/>
      <c r="N15103" s="124"/>
      <c r="O15103" s="124"/>
    </row>
    <row r="15104">
      <c r="K15104" s="124"/>
      <c r="L15104" s="124"/>
      <c r="M15104" s="124"/>
      <c r="N15104" s="124"/>
      <c r="O15104" s="124"/>
    </row>
    <row r="15105">
      <c r="K15105" s="124"/>
      <c r="L15105" s="124"/>
      <c r="M15105" s="124"/>
      <c r="N15105" s="124"/>
      <c r="O15105" s="124"/>
    </row>
    <row r="15106">
      <c r="K15106" s="124"/>
      <c r="L15106" s="124"/>
      <c r="M15106" s="124"/>
      <c r="N15106" s="124"/>
      <c r="O15106" s="124"/>
    </row>
    <row r="15107">
      <c r="K15107" s="124"/>
      <c r="L15107" s="124"/>
      <c r="M15107" s="124"/>
      <c r="N15107" s="124"/>
      <c r="O15107" s="124"/>
    </row>
    <row r="15108">
      <c r="K15108" s="124"/>
      <c r="L15108" s="124"/>
      <c r="M15108" s="124"/>
      <c r="N15108" s="124"/>
      <c r="O15108" s="124"/>
    </row>
    <row r="15109">
      <c r="K15109" s="124"/>
      <c r="L15109" s="124"/>
      <c r="M15109" s="124"/>
      <c r="N15109" s="124"/>
      <c r="O15109" s="124"/>
    </row>
    <row r="15110">
      <c r="K15110" s="124"/>
      <c r="L15110" s="124"/>
      <c r="M15110" s="124"/>
      <c r="N15110" s="124"/>
      <c r="O15110" s="124"/>
    </row>
    <row r="15111">
      <c r="K15111" s="124"/>
      <c r="L15111" s="124"/>
      <c r="M15111" s="124"/>
      <c r="N15111" s="124"/>
      <c r="O15111" s="124"/>
    </row>
    <row r="15112">
      <c r="K15112" s="124"/>
      <c r="L15112" s="124"/>
      <c r="M15112" s="124"/>
      <c r="N15112" s="124"/>
      <c r="O15112" s="124"/>
    </row>
    <row r="15113">
      <c r="K15113" s="124"/>
      <c r="L15113" s="124"/>
      <c r="M15113" s="124"/>
      <c r="N15113" s="124"/>
      <c r="O15113" s="124"/>
    </row>
    <row r="15114">
      <c r="K15114" s="124"/>
      <c r="L15114" s="124"/>
      <c r="M15114" s="124"/>
      <c r="N15114" s="124"/>
      <c r="O15114" s="124"/>
    </row>
    <row r="15115">
      <c r="K15115" s="124"/>
      <c r="L15115" s="124"/>
      <c r="M15115" s="124"/>
      <c r="N15115" s="124"/>
      <c r="O15115" s="124"/>
    </row>
    <row r="15116">
      <c r="K15116" s="124"/>
      <c r="L15116" s="124"/>
      <c r="M15116" s="124"/>
      <c r="N15116" s="124"/>
      <c r="O15116" s="124"/>
    </row>
    <row r="15117">
      <c r="K15117" s="124"/>
      <c r="L15117" s="124"/>
      <c r="M15117" s="124"/>
      <c r="N15117" s="124"/>
      <c r="O15117" s="124"/>
    </row>
    <row r="15118">
      <c r="K15118" s="124"/>
      <c r="L15118" s="124"/>
      <c r="M15118" s="124"/>
      <c r="N15118" s="124"/>
      <c r="O15118" s="124"/>
    </row>
    <row r="15119">
      <c r="K15119" s="124"/>
      <c r="L15119" s="124"/>
      <c r="M15119" s="124"/>
      <c r="N15119" s="124"/>
      <c r="O15119" s="124"/>
    </row>
    <row r="15120">
      <c r="K15120" s="124"/>
      <c r="L15120" s="124"/>
      <c r="M15120" s="124"/>
      <c r="N15120" s="124"/>
      <c r="O15120" s="124"/>
    </row>
    <row r="15121">
      <c r="K15121" s="124"/>
      <c r="L15121" s="124"/>
      <c r="M15121" s="124"/>
      <c r="N15121" s="124"/>
      <c r="O15121" s="124"/>
    </row>
    <row r="15122">
      <c r="K15122" s="124"/>
      <c r="L15122" s="124"/>
      <c r="M15122" s="124"/>
      <c r="N15122" s="124"/>
      <c r="O15122" s="124"/>
    </row>
    <row r="15123">
      <c r="K15123" s="124"/>
      <c r="L15123" s="124"/>
      <c r="M15123" s="124"/>
      <c r="N15123" s="124"/>
      <c r="O15123" s="124"/>
    </row>
    <row r="15124">
      <c r="K15124" s="124"/>
      <c r="L15124" s="124"/>
      <c r="M15124" s="124"/>
      <c r="N15124" s="124"/>
      <c r="O15124" s="124"/>
    </row>
    <row r="15125">
      <c r="K15125" s="124"/>
      <c r="L15125" s="124"/>
      <c r="M15125" s="124"/>
      <c r="N15125" s="124"/>
      <c r="O15125" s="124"/>
    </row>
    <row r="15126">
      <c r="K15126" s="124"/>
      <c r="L15126" s="124"/>
      <c r="M15126" s="124"/>
      <c r="N15126" s="124"/>
      <c r="O15126" s="124"/>
    </row>
    <row r="15127">
      <c r="K15127" s="124"/>
      <c r="L15127" s="124"/>
      <c r="M15127" s="124"/>
      <c r="N15127" s="124"/>
      <c r="O15127" s="124"/>
    </row>
    <row r="15128">
      <c r="K15128" s="124"/>
      <c r="L15128" s="124"/>
      <c r="M15128" s="124"/>
      <c r="N15128" s="124"/>
      <c r="O15128" s="124"/>
    </row>
    <row r="15129">
      <c r="K15129" s="124"/>
      <c r="L15129" s="124"/>
      <c r="M15129" s="124"/>
      <c r="N15129" s="124"/>
      <c r="O15129" s="124"/>
    </row>
    <row r="15130">
      <c r="K15130" s="124"/>
      <c r="L15130" s="124"/>
      <c r="M15130" s="124"/>
      <c r="N15130" s="124"/>
      <c r="O15130" s="124"/>
    </row>
    <row r="15131">
      <c r="K15131" s="124"/>
      <c r="L15131" s="124"/>
      <c r="M15131" s="124"/>
      <c r="N15131" s="124"/>
      <c r="O15131" s="124"/>
    </row>
    <row r="15132">
      <c r="K15132" s="124"/>
      <c r="L15132" s="124"/>
      <c r="M15132" s="124"/>
      <c r="N15132" s="124"/>
      <c r="O15132" s="124"/>
    </row>
    <row r="15133">
      <c r="K15133" s="124"/>
      <c r="L15133" s="124"/>
      <c r="M15133" s="124"/>
      <c r="N15133" s="124"/>
      <c r="O15133" s="124"/>
    </row>
    <row r="15134">
      <c r="K15134" s="124"/>
      <c r="L15134" s="124"/>
      <c r="M15134" s="124"/>
      <c r="N15134" s="124"/>
      <c r="O15134" s="124"/>
    </row>
    <row r="15135">
      <c r="K15135" s="124"/>
      <c r="L15135" s="124"/>
      <c r="M15135" s="124"/>
      <c r="N15135" s="124"/>
      <c r="O15135" s="124"/>
    </row>
    <row r="15136">
      <c r="K15136" s="124"/>
      <c r="L15136" s="124"/>
      <c r="M15136" s="124"/>
      <c r="N15136" s="124"/>
      <c r="O15136" s="124"/>
    </row>
    <row r="15137">
      <c r="K15137" s="124"/>
      <c r="L15137" s="124"/>
      <c r="M15137" s="124"/>
      <c r="N15137" s="124"/>
      <c r="O15137" s="124"/>
    </row>
    <row r="15138">
      <c r="K15138" s="124"/>
      <c r="L15138" s="124"/>
      <c r="M15138" s="124"/>
      <c r="N15138" s="124"/>
      <c r="O15138" s="124"/>
    </row>
    <row r="15139">
      <c r="K15139" s="124"/>
      <c r="L15139" s="124"/>
      <c r="M15139" s="124"/>
      <c r="N15139" s="124"/>
      <c r="O15139" s="124"/>
    </row>
    <row r="15140">
      <c r="K15140" s="124"/>
      <c r="L15140" s="124"/>
      <c r="M15140" s="124"/>
      <c r="N15140" s="124"/>
      <c r="O15140" s="124"/>
    </row>
    <row r="15141">
      <c r="K15141" s="124"/>
      <c r="L15141" s="124"/>
      <c r="M15141" s="124"/>
      <c r="N15141" s="124"/>
      <c r="O15141" s="124"/>
    </row>
    <row r="15142">
      <c r="K15142" s="124"/>
      <c r="L15142" s="124"/>
      <c r="M15142" s="124"/>
      <c r="N15142" s="124"/>
      <c r="O15142" s="124"/>
    </row>
    <row r="15143">
      <c r="K15143" s="124"/>
      <c r="L15143" s="124"/>
      <c r="M15143" s="124"/>
      <c r="N15143" s="124"/>
      <c r="O15143" s="124"/>
    </row>
    <row r="15144">
      <c r="K15144" s="124"/>
      <c r="L15144" s="124"/>
      <c r="M15144" s="124"/>
      <c r="N15144" s="124"/>
      <c r="O15144" s="124"/>
    </row>
    <row r="15145">
      <c r="K15145" s="124"/>
      <c r="L15145" s="124"/>
      <c r="M15145" s="124"/>
      <c r="N15145" s="124"/>
      <c r="O15145" s="124"/>
    </row>
    <row r="15146">
      <c r="K15146" s="124"/>
      <c r="L15146" s="124"/>
      <c r="M15146" s="124"/>
      <c r="N15146" s="124"/>
      <c r="O15146" s="124"/>
    </row>
    <row r="15147">
      <c r="K15147" s="124"/>
      <c r="L15147" s="124"/>
      <c r="M15147" s="124"/>
      <c r="N15147" s="124"/>
      <c r="O15147" s="124"/>
    </row>
    <row r="15148">
      <c r="K15148" s="124"/>
      <c r="L15148" s="124"/>
      <c r="M15148" s="124"/>
      <c r="N15148" s="124"/>
      <c r="O15148" s="124"/>
    </row>
    <row r="15149">
      <c r="K15149" s="124"/>
      <c r="L15149" s="124"/>
      <c r="M15149" s="124"/>
      <c r="N15149" s="124"/>
      <c r="O15149" s="124"/>
    </row>
    <row r="15150">
      <c r="K15150" s="124"/>
      <c r="L15150" s="124"/>
      <c r="M15150" s="124"/>
      <c r="N15150" s="124"/>
      <c r="O15150" s="124"/>
    </row>
    <row r="15151">
      <c r="K15151" s="124"/>
      <c r="L15151" s="124"/>
      <c r="M15151" s="124"/>
      <c r="N15151" s="124"/>
      <c r="O15151" s="124"/>
    </row>
    <row r="15152">
      <c r="K15152" s="124"/>
      <c r="L15152" s="124"/>
      <c r="M15152" s="124"/>
      <c r="N15152" s="124"/>
      <c r="O15152" s="124"/>
    </row>
    <row r="15153">
      <c r="K15153" s="124"/>
      <c r="L15153" s="124"/>
      <c r="M15153" s="124"/>
      <c r="N15153" s="124"/>
      <c r="O15153" s="124"/>
    </row>
    <row r="15154">
      <c r="K15154" s="124"/>
      <c r="L15154" s="124"/>
      <c r="M15154" s="124"/>
      <c r="N15154" s="124"/>
      <c r="O15154" s="124"/>
    </row>
    <row r="15155">
      <c r="K15155" s="124"/>
      <c r="L15155" s="124"/>
      <c r="M15155" s="124"/>
      <c r="N15155" s="124"/>
      <c r="O15155" s="124"/>
    </row>
    <row r="15156">
      <c r="K15156" s="124"/>
      <c r="L15156" s="124"/>
      <c r="M15156" s="124"/>
      <c r="N15156" s="124"/>
      <c r="O15156" s="124"/>
    </row>
    <row r="15157">
      <c r="K15157" s="124"/>
      <c r="L15157" s="124"/>
      <c r="M15157" s="124"/>
      <c r="N15157" s="124"/>
      <c r="O15157" s="124"/>
    </row>
    <row r="15158">
      <c r="K15158" s="124"/>
      <c r="L15158" s="124"/>
      <c r="M15158" s="124"/>
      <c r="N15158" s="124"/>
      <c r="O15158" s="124"/>
    </row>
    <row r="15159">
      <c r="K15159" s="124"/>
      <c r="L15159" s="124"/>
      <c r="M15159" s="124"/>
      <c r="N15159" s="124"/>
      <c r="O15159" s="124"/>
    </row>
    <row r="15160">
      <c r="K15160" s="124"/>
      <c r="L15160" s="124"/>
      <c r="M15160" s="124"/>
      <c r="N15160" s="124"/>
      <c r="O15160" s="124"/>
    </row>
    <row r="15161">
      <c r="K15161" s="124"/>
      <c r="L15161" s="124"/>
      <c r="M15161" s="124"/>
      <c r="N15161" s="124"/>
      <c r="O15161" s="124"/>
    </row>
    <row r="15162">
      <c r="K15162" s="124"/>
      <c r="L15162" s="124"/>
      <c r="M15162" s="124"/>
      <c r="N15162" s="124"/>
      <c r="O15162" s="124"/>
    </row>
    <row r="15163">
      <c r="K15163" s="124"/>
      <c r="L15163" s="124"/>
      <c r="M15163" s="124"/>
      <c r="N15163" s="124"/>
      <c r="O15163" s="124"/>
    </row>
    <row r="15164">
      <c r="K15164" s="124"/>
      <c r="L15164" s="124"/>
      <c r="M15164" s="124"/>
      <c r="N15164" s="124"/>
      <c r="O15164" s="124"/>
    </row>
    <row r="15165">
      <c r="K15165" s="124"/>
      <c r="L15165" s="124"/>
      <c r="M15165" s="124"/>
      <c r="N15165" s="124"/>
      <c r="O15165" s="124"/>
    </row>
    <row r="15166">
      <c r="K15166" s="124"/>
      <c r="L15166" s="124"/>
      <c r="M15166" s="124"/>
      <c r="N15166" s="124"/>
      <c r="O15166" s="124"/>
    </row>
    <row r="15167">
      <c r="K15167" s="124"/>
      <c r="L15167" s="124"/>
      <c r="M15167" s="124"/>
      <c r="N15167" s="124"/>
      <c r="O15167" s="124"/>
    </row>
    <row r="15168">
      <c r="K15168" s="124"/>
      <c r="L15168" s="124"/>
      <c r="M15168" s="124"/>
      <c r="N15168" s="124"/>
      <c r="O15168" s="124"/>
    </row>
    <row r="15169">
      <c r="K15169" s="124"/>
      <c r="L15169" s="124"/>
      <c r="M15169" s="124"/>
      <c r="N15169" s="124"/>
      <c r="O15169" s="124"/>
    </row>
    <row r="15170">
      <c r="K15170" s="124"/>
      <c r="L15170" s="124"/>
      <c r="M15170" s="124"/>
      <c r="N15170" s="124"/>
      <c r="O15170" s="124"/>
    </row>
    <row r="15171">
      <c r="K15171" s="124"/>
      <c r="L15171" s="124"/>
      <c r="M15171" s="124"/>
      <c r="N15171" s="124"/>
      <c r="O15171" s="124"/>
    </row>
    <row r="15172">
      <c r="K15172" s="124"/>
      <c r="L15172" s="124"/>
      <c r="M15172" s="124"/>
      <c r="N15172" s="124"/>
      <c r="O15172" s="124"/>
    </row>
    <row r="15173">
      <c r="K15173" s="124"/>
      <c r="L15173" s="124"/>
      <c r="M15173" s="124"/>
      <c r="N15173" s="124"/>
      <c r="O15173" s="124"/>
    </row>
    <row r="15174">
      <c r="K15174" s="124"/>
      <c r="L15174" s="124"/>
      <c r="M15174" s="124"/>
      <c r="N15174" s="124"/>
      <c r="O15174" s="124"/>
    </row>
    <row r="15175">
      <c r="K15175" s="124"/>
      <c r="L15175" s="124"/>
      <c r="M15175" s="124"/>
      <c r="N15175" s="124"/>
      <c r="O15175" s="124"/>
    </row>
    <row r="15176">
      <c r="K15176" s="124"/>
      <c r="L15176" s="124"/>
      <c r="M15176" s="124"/>
      <c r="N15176" s="124"/>
      <c r="O15176" s="124"/>
    </row>
    <row r="15177">
      <c r="K15177" s="124"/>
      <c r="L15177" s="124"/>
      <c r="M15177" s="124"/>
      <c r="N15177" s="124"/>
      <c r="O15177" s="124"/>
    </row>
    <row r="15178">
      <c r="K15178" s="124"/>
      <c r="L15178" s="124"/>
      <c r="M15178" s="124"/>
      <c r="N15178" s="124"/>
      <c r="O15178" s="124"/>
    </row>
    <row r="15179">
      <c r="K15179" s="124"/>
      <c r="L15179" s="124"/>
      <c r="M15179" s="124"/>
      <c r="N15179" s="124"/>
      <c r="O15179" s="124"/>
    </row>
    <row r="15180">
      <c r="K15180" s="124"/>
      <c r="L15180" s="124"/>
      <c r="M15180" s="124"/>
      <c r="N15180" s="124"/>
      <c r="O15180" s="124"/>
    </row>
    <row r="15181">
      <c r="K15181" s="124"/>
      <c r="L15181" s="124"/>
      <c r="M15181" s="124"/>
      <c r="N15181" s="124"/>
      <c r="O15181" s="124"/>
    </row>
    <row r="15182">
      <c r="K15182" s="124"/>
      <c r="L15182" s="124"/>
      <c r="M15182" s="124"/>
      <c r="N15182" s="124"/>
      <c r="O15182" s="124"/>
    </row>
    <row r="15183">
      <c r="K15183" s="124"/>
      <c r="L15183" s="124"/>
      <c r="M15183" s="124"/>
      <c r="N15183" s="124"/>
      <c r="O15183" s="124"/>
    </row>
    <row r="15184">
      <c r="K15184" s="124"/>
      <c r="L15184" s="124"/>
      <c r="M15184" s="124"/>
      <c r="N15184" s="124"/>
      <c r="O15184" s="124"/>
    </row>
    <row r="15185">
      <c r="K15185" s="124"/>
      <c r="L15185" s="124"/>
      <c r="M15185" s="124"/>
      <c r="N15185" s="124"/>
      <c r="O15185" s="124"/>
    </row>
    <row r="15186">
      <c r="K15186" s="124"/>
      <c r="L15186" s="124"/>
      <c r="M15186" s="124"/>
      <c r="N15186" s="124"/>
      <c r="O15186" s="124"/>
    </row>
    <row r="15187">
      <c r="K15187" s="124"/>
      <c r="L15187" s="124"/>
      <c r="M15187" s="124"/>
      <c r="N15187" s="124"/>
      <c r="O15187" s="124"/>
    </row>
    <row r="15188">
      <c r="K15188" s="124"/>
      <c r="L15188" s="124"/>
      <c r="M15188" s="124"/>
      <c r="N15188" s="124"/>
      <c r="O15188" s="124"/>
    </row>
    <row r="15189">
      <c r="K15189" s="124"/>
      <c r="L15189" s="124"/>
      <c r="M15189" s="124"/>
      <c r="N15189" s="124"/>
      <c r="O15189" s="124"/>
    </row>
    <row r="15190">
      <c r="K15190" s="124"/>
      <c r="L15190" s="124"/>
      <c r="M15190" s="124"/>
      <c r="N15190" s="124"/>
      <c r="O15190" s="124"/>
    </row>
    <row r="15191">
      <c r="K15191" s="124"/>
      <c r="L15191" s="124"/>
      <c r="M15191" s="124"/>
      <c r="N15191" s="124"/>
      <c r="O15191" s="124"/>
    </row>
    <row r="15192">
      <c r="K15192" s="124"/>
      <c r="L15192" s="124"/>
      <c r="M15192" s="124"/>
      <c r="N15192" s="124"/>
      <c r="O15192" s="124"/>
    </row>
    <row r="15193">
      <c r="K15193" s="124"/>
      <c r="L15193" s="124"/>
      <c r="M15193" s="124"/>
      <c r="N15193" s="124"/>
      <c r="O15193" s="124"/>
    </row>
    <row r="15194">
      <c r="K15194" s="124"/>
      <c r="L15194" s="124"/>
      <c r="M15194" s="124"/>
      <c r="N15194" s="124"/>
      <c r="O15194" s="124"/>
    </row>
    <row r="15195">
      <c r="K15195" s="124"/>
      <c r="L15195" s="124"/>
      <c r="M15195" s="124"/>
      <c r="N15195" s="124"/>
      <c r="O15195" s="124"/>
    </row>
    <row r="15196">
      <c r="K15196" s="124"/>
      <c r="L15196" s="124"/>
      <c r="M15196" s="124"/>
      <c r="N15196" s="124"/>
      <c r="O15196" s="124"/>
    </row>
    <row r="15197">
      <c r="K15197" s="124"/>
      <c r="L15197" s="124"/>
      <c r="M15197" s="124"/>
      <c r="N15197" s="124"/>
      <c r="O15197" s="124"/>
    </row>
    <row r="15198">
      <c r="K15198" s="124"/>
      <c r="L15198" s="124"/>
      <c r="M15198" s="124"/>
      <c r="N15198" s="124"/>
      <c r="O15198" s="124"/>
    </row>
    <row r="15199">
      <c r="K15199" s="124"/>
      <c r="L15199" s="124"/>
      <c r="M15199" s="124"/>
      <c r="N15199" s="124"/>
      <c r="O15199" s="124"/>
    </row>
    <row r="15200">
      <c r="K15200" s="124"/>
      <c r="L15200" s="124"/>
      <c r="M15200" s="124"/>
      <c r="N15200" s="124"/>
      <c r="O15200" s="124"/>
    </row>
    <row r="15201">
      <c r="K15201" s="124"/>
      <c r="L15201" s="124"/>
      <c r="M15201" s="124"/>
      <c r="N15201" s="124"/>
      <c r="O15201" s="124"/>
    </row>
    <row r="15202">
      <c r="K15202" s="124"/>
      <c r="L15202" s="124"/>
      <c r="M15202" s="124"/>
      <c r="N15202" s="124"/>
      <c r="O15202" s="124"/>
    </row>
    <row r="15203">
      <c r="K15203" s="124"/>
      <c r="L15203" s="124"/>
      <c r="M15203" s="124"/>
      <c r="N15203" s="124"/>
      <c r="O15203" s="124"/>
    </row>
    <row r="15204">
      <c r="K15204" s="124"/>
      <c r="L15204" s="124"/>
      <c r="M15204" s="124"/>
      <c r="N15204" s="124"/>
      <c r="O15204" s="124"/>
    </row>
    <row r="15205">
      <c r="K15205" s="124"/>
      <c r="L15205" s="124"/>
      <c r="M15205" s="124"/>
      <c r="N15205" s="124"/>
      <c r="O15205" s="124"/>
    </row>
    <row r="15206">
      <c r="K15206" s="124"/>
      <c r="L15206" s="124"/>
      <c r="M15206" s="124"/>
      <c r="N15206" s="124"/>
      <c r="O15206" s="124"/>
    </row>
    <row r="15207">
      <c r="K15207" s="124"/>
      <c r="L15207" s="124"/>
      <c r="M15207" s="124"/>
      <c r="N15207" s="124"/>
      <c r="O15207" s="124"/>
    </row>
    <row r="15208">
      <c r="K15208" s="124"/>
      <c r="L15208" s="124"/>
      <c r="M15208" s="124"/>
      <c r="N15208" s="124"/>
      <c r="O15208" s="124"/>
    </row>
    <row r="15209">
      <c r="K15209" s="124"/>
      <c r="L15209" s="124"/>
      <c r="M15209" s="124"/>
      <c r="N15209" s="124"/>
      <c r="O15209" s="124"/>
    </row>
    <row r="15210">
      <c r="K15210" s="124"/>
      <c r="L15210" s="124"/>
      <c r="M15210" s="124"/>
      <c r="N15210" s="124"/>
      <c r="O15210" s="124"/>
    </row>
    <row r="15211">
      <c r="K15211" s="124"/>
      <c r="L15211" s="124"/>
      <c r="M15211" s="124"/>
      <c r="N15211" s="124"/>
      <c r="O15211" s="124"/>
    </row>
    <row r="15212">
      <c r="K15212" s="124"/>
      <c r="L15212" s="124"/>
      <c r="M15212" s="124"/>
      <c r="N15212" s="124"/>
      <c r="O15212" s="124"/>
    </row>
    <row r="15213">
      <c r="K15213" s="124"/>
      <c r="L15213" s="124"/>
      <c r="M15213" s="124"/>
      <c r="N15213" s="124"/>
      <c r="O15213" s="124"/>
    </row>
    <row r="15214">
      <c r="K15214" s="124"/>
      <c r="L15214" s="124"/>
      <c r="M15214" s="124"/>
      <c r="N15214" s="124"/>
      <c r="O15214" s="124"/>
    </row>
    <row r="15215">
      <c r="K15215" s="124"/>
      <c r="L15215" s="124"/>
      <c r="M15215" s="124"/>
      <c r="N15215" s="124"/>
      <c r="O15215" s="124"/>
    </row>
    <row r="15216">
      <c r="K15216" s="124"/>
      <c r="L15216" s="124"/>
      <c r="M15216" s="124"/>
      <c r="N15216" s="124"/>
      <c r="O15216" s="124"/>
    </row>
    <row r="15217">
      <c r="K15217" s="124"/>
      <c r="L15217" s="124"/>
      <c r="M15217" s="124"/>
      <c r="N15217" s="124"/>
      <c r="O15217" s="124"/>
    </row>
    <row r="15218">
      <c r="K15218" s="124"/>
      <c r="L15218" s="124"/>
      <c r="M15218" s="124"/>
      <c r="N15218" s="124"/>
      <c r="O15218" s="124"/>
    </row>
    <row r="15219">
      <c r="K15219" s="124"/>
      <c r="L15219" s="124"/>
      <c r="M15219" s="124"/>
      <c r="N15219" s="124"/>
      <c r="O15219" s="124"/>
    </row>
    <row r="15220">
      <c r="K15220" s="124"/>
      <c r="L15220" s="124"/>
      <c r="M15220" s="124"/>
      <c r="N15220" s="124"/>
      <c r="O15220" s="124"/>
    </row>
    <row r="15221">
      <c r="K15221" s="124"/>
      <c r="L15221" s="124"/>
      <c r="M15221" s="124"/>
      <c r="N15221" s="124"/>
      <c r="O15221" s="124"/>
    </row>
    <row r="15222">
      <c r="K15222" s="124"/>
      <c r="L15222" s="124"/>
      <c r="M15222" s="124"/>
      <c r="N15222" s="124"/>
      <c r="O15222" s="124"/>
    </row>
    <row r="15223">
      <c r="K15223" s="124"/>
      <c r="L15223" s="124"/>
      <c r="M15223" s="124"/>
      <c r="N15223" s="124"/>
      <c r="O15223" s="124"/>
    </row>
    <row r="15224">
      <c r="K15224" s="124"/>
      <c r="L15224" s="124"/>
      <c r="M15224" s="124"/>
      <c r="N15224" s="124"/>
      <c r="O15224" s="124"/>
    </row>
    <row r="15225">
      <c r="K15225" s="124"/>
      <c r="L15225" s="124"/>
      <c r="M15225" s="124"/>
      <c r="N15225" s="124"/>
      <c r="O15225" s="124"/>
    </row>
    <row r="15226">
      <c r="K15226" s="124"/>
      <c r="L15226" s="124"/>
      <c r="M15226" s="124"/>
      <c r="N15226" s="124"/>
      <c r="O15226" s="124"/>
    </row>
    <row r="15227">
      <c r="K15227" s="124"/>
      <c r="L15227" s="124"/>
      <c r="M15227" s="124"/>
      <c r="N15227" s="124"/>
      <c r="O15227" s="124"/>
    </row>
    <row r="15228">
      <c r="K15228" s="124"/>
      <c r="L15228" s="124"/>
      <c r="M15228" s="124"/>
      <c r="N15228" s="124"/>
      <c r="O15228" s="124"/>
    </row>
    <row r="15229">
      <c r="K15229" s="124"/>
      <c r="L15229" s="124"/>
      <c r="M15229" s="124"/>
      <c r="N15229" s="124"/>
      <c r="O15229" s="124"/>
    </row>
    <row r="15230">
      <c r="K15230" s="124"/>
      <c r="L15230" s="124"/>
      <c r="M15230" s="124"/>
      <c r="N15230" s="124"/>
      <c r="O15230" s="124"/>
    </row>
    <row r="15231">
      <c r="K15231" s="124"/>
      <c r="L15231" s="124"/>
      <c r="M15231" s="124"/>
      <c r="N15231" s="124"/>
      <c r="O15231" s="124"/>
    </row>
    <row r="15232">
      <c r="K15232" s="124"/>
      <c r="L15232" s="124"/>
      <c r="M15232" s="124"/>
      <c r="N15232" s="124"/>
      <c r="O15232" s="124"/>
    </row>
    <row r="15233">
      <c r="K15233" s="124"/>
      <c r="L15233" s="124"/>
      <c r="M15233" s="124"/>
      <c r="N15233" s="124"/>
      <c r="O15233" s="124"/>
    </row>
    <row r="15234">
      <c r="K15234" s="124"/>
      <c r="L15234" s="124"/>
      <c r="M15234" s="124"/>
      <c r="N15234" s="124"/>
      <c r="O15234" s="124"/>
    </row>
    <row r="15235">
      <c r="K15235" s="124"/>
      <c r="L15235" s="124"/>
      <c r="M15235" s="124"/>
      <c r="N15235" s="124"/>
      <c r="O15235" s="124"/>
    </row>
    <row r="15236">
      <c r="K15236" s="124"/>
      <c r="L15236" s="124"/>
      <c r="M15236" s="124"/>
      <c r="N15236" s="124"/>
      <c r="O15236" s="124"/>
    </row>
    <row r="15237">
      <c r="K15237" s="124"/>
      <c r="L15237" s="124"/>
      <c r="M15237" s="124"/>
      <c r="N15237" s="124"/>
      <c r="O15237" s="124"/>
    </row>
    <row r="15238">
      <c r="K15238" s="124"/>
      <c r="L15238" s="124"/>
      <c r="M15238" s="124"/>
      <c r="N15238" s="124"/>
      <c r="O15238" s="124"/>
    </row>
    <row r="15239">
      <c r="K15239" s="124"/>
      <c r="L15239" s="124"/>
      <c r="M15239" s="124"/>
      <c r="N15239" s="124"/>
      <c r="O15239" s="124"/>
    </row>
    <row r="15240">
      <c r="K15240" s="124"/>
      <c r="L15240" s="124"/>
      <c r="M15240" s="124"/>
      <c r="N15240" s="124"/>
      <c r="O15240" s="124"/>
    </row>
    <row r="15241">
      <c r="K15241" s="124"/>
      <c r="L15241" s="124"/>
      <c r="M15241" s="124"/>
      <c r="N15241" s="124"/>
      <c r="O15241" s="124"/>
    </row>
    <row r="15242">
      <c r="K15242" s="124"/>
      <c r="L15242" s="124"/>
      <c r="M15242" s="124"/>
      <c r="N15242" s="124"/>
      <c r="O15242" s="124"/>
    </row>
    <row r="15243">
      <c r="K15243" s="124"/>
      <c r="L15243" s="124"/>
      <c r="M15243" s="124"/>
      <c r="N15243" s="124"/>
      <c r="O15243" s="124"/>
    </row>
    <row r="15244">
      <c r="K15244" s="124"/>
      <c r="L15244" s="124"/>
      <c r="M15244" s="124"/>
      <c r="N15244" s="124"/>
      <c r="O15244" s="124"/>
    </row>
    <row r="15245">
      <c r="K15245" s="124"/>
      <c r="L15245" s="124"/>
      <c r="M15245" s="124"/>
      <c r="N15245" s="124"/>
      <c r="O15245" s="124"/>
    </row>
    <row r="15246">
      <c r="K15246" s="124"/>
      <c r="L15246" s="124"/>
      <c r="M15246" s="124"/>
      <c r="N15246" s="124"/>
      <c r="O15246" s="124"/>
    </row>
    <row r="15247">
      <c r="K15247" s="124"/>
      <c r="L15247" s="124"/>
      <c r="M15247" s="124"/>
      <c r="N15247" s="124"/>
      <c r="O15247" s="124"/>
    </row>
    <row r="15248">
      <c r="K15248" s="124"/>
      <c r="L15248" s="124"/>
      <c r="M15248" s="124"/>
      <c r="N15248" s="124"/>
      <c r="O15248" s="124"/>
    </row>
    <row r="15249">
      <c r="K15249" s="124"/>
      <c r="L15249" s="124"/>
      <c r="M15249" s="124"/>
      <c r="N15249" s="124"/>
      <c r="O15249" s="124"/>
    </row>
    <row r="15250">
      <c r="K15250" s="124"/>
      <c r="L15250" s="124"/>
      <c r="M15250" s="124"/>
      <c r="N15250" s="124"/>
      <c r="O15250" s="124"/>
    </row>
    <row r="15251">
      <c r="K15251" s="124"/>
      <c r="L15251" s="124"/>
      <c r="M15251" s="124"/>
      <c r="N15251" s="124"/>
      <c r="O15251" s="124"/>
    </row>
    <row r="15252">
      <c r="K15252" s="124"/>
      <c r="L15252" s="124"/>
      <c r="M15252" s="124"/>
      <c r="N15252" s="124"/>
      <c r="O15252" s="124"/>
    </row>
    <row r="15253">
      <c r="K15253" s="124"/>
      <c r="L15253" s="124"/>
      <c r="M15253" s="124"/>
      <c r="N15253" s="124"/>
      <c r="O15253" s="124"/>
    </row>
    <row r="15254">
      <c r="K15254" s="124"/>
      <c r="L15254" s="124"/>
      <c r="M15254" s="124"/>
      <c r="N15254" s="124"/>
      <c r="O15254" s="124"/>
    </row>
    <row r="15255">
      <c r="K15255" s="124"/>
      <c r="L15255" s="124"/>
      <c r="M15255" s="124"/>
      <c r="N15255" s="124"/>
      <c r="O15255" s="124"/>
    </row>
    <row r="15256">
      <c r="K15256" s="124"/>
      <c r="L15256" s="124"/>
      <c r="M15256" s="124"/>
      <c r="N15256" s="124"/>
      <c r="O15256" s="124"/>
    </row>
    <row r="15257">
      <c r="K15257" s="124"/>
      <c r="L15257" s="124"/>
      <c r="M15257" s="124"/>
      <c r="N15257" s="124"/>
      <c r="O15257" s="124"/>
    </row>
    <row r="15258">
      <c r="K15258" s="124"/>
      <c r="L15258" s="124"/>
      <c r="M15258" s="124"/>
      <c r="N15258" s="124"/>
      <c r="O15258" s="124"/>
    </row>
    <row r="15259">
      <c r="K15259" s="124"/>
      <c r="L15259" s="124"/>
      <c r="M15259" s="124"/>
      <c r="N15259" s="124"/>
      <c r="O15259" s="124"/>
    </row>
    <row r="15260">
      <c r="K15260" s="124"/>
      <c r="L15260" s="124"/>
      <c r="M15260" s="124"/>
      <c r="N15260" s="124"/>
      <c r="O15260" s="124"/>
    </row>
    <row r="15261">
      <c r="K15261" s="124"/>
      <c r="L15261" s="124"/>
      <c r="M15261" s="124"/>
      <c r="N15261" s="124"/>
      <c r="O15261" s="124"/>
    </row>
    <row r="15262">
      <c r="K15262" s="124"/>
      <c r="L15262" s="124"/>
      <c r="M15262" s="124"/>
      <c r="N15262" s="124"/>
      <c r="O15262" s="124"/>
    </row>
    <row r="15263">
      <c r="K15263" s="124"/>
      <c r="L15263" s="124"/>
      <c r="M15263" s="124"/>
      <c r="N15263" s="124"/>
      <c r="O15263" s="124"/>
    </row>
    <row r="15264">
      <c r="K15264" s="124"/>
      <c r="L15264" s="124"/>
      <c r="M15264" s="124"/>
      <c r="N15264" s="124"/>
      <c r="O15264" s="124"/>
    </row>
    <row r="15265">
      <c r="K15265" s="124"/>
      <c r="L15265" s="124"/>
      <c r="M15265" s="124"/>
      <c r="N15265" s="124"/>
      <c r="O15265" s="124"/>
    </row>
    <row r="15266">
      <c r="K15266" s="124"/>
      <c r="L15266" s="124"/>
      <c r="M15266" s="124"/>
      <c r="N15266" s="124"/>
      <c r="O15266" s="124"/>
    </row>
    <row r="15267">
      <c r="K15267" s="124"/>
      <c r="L15267" s="124"/>
      <c r="M15267" s="124"/>
      <c r="N15267" s="124"/>
      <c r="O15267" s="124"/>
    </row>
    <row r="15268">
      <c r="K15268" s="124"/>
      <c r="L15268" s="124"/>
      <c r="M15268" s="124"/>
      <c r="N15268" s="124"/>
      <c r="O15268" s="124"/>
    </row>
    <row r="15269">
      <c r="K15269" s="124"/>
      <c r="L15269" s="124"/>
      <c r="M15269" s="124"/>
      <c r="N15269" s="124"/>
      <c r="O15269" s="124"/>
    </row>
    <row r="15270">
      <c r="K15270" s="124"/>
      <c r="L15270" s="124"/>
      <c r="M15270" s="124"/>
      <c r="N15270" s="124"/>
      <c r="O15270" s="124"/>
    </row>
    <row r="15271">
      <c r="K15271" s="124"/>
      <c r="L15271" s="124"/>
      <c r="M15271" s="124"/>
      <c r="N15271" s="124"/>
      <c r="O15271" s="124"/>
    </row>
    <row r="15272">
      <c r="K15272" s="124"/>
      <c r="L15272" s="124"/>
      <c r="M15272" s="124"/>
      <c r="N15272" s="124"/>
      <c r="O15272" s="124"/>
    </row>
    <row r="15273">
      <c r="K15273" s="124"/>
      <c r="L15273" s="124"/>
      <c r="M15273" s="124"/>
      <c r="N15273" s="124"/>
      <c r="O15273" s="124"/>
    </row>
    <row r="15274">
      <c r="K15274" s="124"/>
      <c r="L15274" s="124"/>
      <c r="M15274" s="124"/>
      <c r="N15274" s="124"/>
      <c r="O15274" s="124"/>
    </row>
    <row r="15275">
      <c r="K15275" s="124"/>
      <c r="L15275" s="124"/>
      <c r="M15275" s="124"/>
      <c r="N15275" s="124"/>
      <c r="O15275" s="124"/>
    </row>
    <row r="15276">
      <c r="K15276" s="124"/>
      <c r="L15276" s="124"/>
      <c r="M15276" s="124"/>
      <c r="N15276" s="124"/>
      <c r="O15276" s="124"/>
    </row>
    <row r="15277">
      <c r="K15277" s="124"/>
      <c r="L15277" s="124"/>
      <c r="M15277" s="124"/>
      <c r="N15277" s="124"/>
      <c r="O15277" s="124"/>
    </row>
    <row r="15278">
      <c r="K15278" s="124"/>
      <c r="L15278" s="124"/>
      <c r="M15278" s="124"/>
      <c r="N15278" s="124"/>
      <c r="O15278" s="124"/>
    </row>
    <row r="15279">
      <c r="K15279" s="124"/>
      <c r="L15279" s="124"/>
      <c r="M15279" s="124"/>
      <c r="N15279" s="124"/>
      <c r="O15279" s="124"/>
    </row>
    <row r="15280">
      <c r="K15280" s="124"/>
      <c r="L15280" s="124"/>
      <c r="M15280" s="124"/>
      <c r="N15280" s="124"/>
      <c r="O15280" s="124"/>
    </row>
    <row r="15281">
      <c r="K15281" s="124"/>
      <c r="L15281" s="124"/>
      <c r="M15281" s="124"/>
      <c r="N15281" s="124"/>
      <c r="O15281" s="124"/>
    </row>
    <row r="15282">
      <c r="K15282" s="124"/>
      <c r="L15282" s="124"/>
      <c r="M15282" s="124"/>
      <c r="N15282" s="124"/>
      <c r="O15282" s="124"/>
    </row>
    <row r="15283">
      <c r="K15283" s="124"/>
      <c r="L15283" s="124"/>
      <c r="M15283" s="124"/>
      <c r="N15283" s="124"/>
      <c r="O15283" s="124"/>
    </row>
    <row r="15284">
      <c r="K15284" s="124"/>
      <c r="L15284" s="124"/>
      <c r="M15284" s="124"/>
      <c r="N15284" s="124"/>
      <c r="O15284" s="124"/>
    </row>
    <row r="15285">
      <c r="K15285" s="124"/>
      <c r="L15285" s="124"/>
      <c r="M15285" s="124"/>
      <c r="N15285" s="124"/>
      <c r="O15285" s="124"/>
    </row>
    <row r="15286">
      <c r="K15286" s="124"/>
      <c r="L15286" s="124"/>
      <c r="M15286" s="124"/>
      <c r="N15286" s="124"/>
      <c r="O15286" s="124"/>
    </row>
    <row r="15287">
      <c r="K15287" s="124"/>
      <c r="L15287" s="124"/>
      <c r="M15287" s="124"/>
      <c r="N15287" s="124"/>
      <c r="O15287" s="124"/>
    </row>
    <row r="15288">
      <c r="K15288" s="124"/>
      <c r="L15288" s="124"/>
      <c r="M15288" s="124"/>
      <c r="N15288" s="124"/>
      <c r="O15288" s="124"/>
    </row>
    <row r="15289">
      <c r="K15289" s="124"/>
      <c r="L15289" s="124"/>
      <c r="M15289" s="124"/>
      <c r="N15289" s="124"/>
      <c r="O15289" s="124"/>
    </row>
    <row r="15290">
      <c r="K15290" s="124"/>
      <c r="L15290" s="124"/>
      <c r="M15290" s="124"/>
      <c r="N15290" s="124"/>
      <c r="O15290" s="124"/>
    </row>
    <row r="15291">
      <c r="K15291" s="124"/>
      <c r="L15291" s="124"/>
      <c r="M15291" s="124"/>
      <c r="N15291" s="124"/>
      <c r="O15291" s="124"/>
    </row>
    <row r="15292">
      <c r="K15292" s="124"/>
      <c r="L15292" s="124"/>
      <c r="M15292" s="124"/>
      <c r="N15292" s="124"/>
      <c r="O15292" s="124"/>
    </row>
    <row r="15293">
      <c r="K15293" s="124"/>
      <c r="L15293" s="124"/>
      <c r="M15293" s="124"/>
      <c r="N15293" s="124"/>
      <c r="O15293" s="124"/>
    </row>
    <row r="15294">
      <c r="K15294" s="124"/>
      <c r="L15294" s="124"/>
      <c r="M15294" s="124"/>
      <c r="N15294" s="124"/>
      <c r="O15294" s="124"/>
    </row>
    <row r="15295">
      <c r="K15295" s="124"/>
      <c r="L15295" s="124"/>
      <c r="M15295" s="124"/>
      <c r="N15295" s="124"/>
      <c r="O15295" s="124"/>
    </row>
    <row r="15296">
      <c r="K15296" s="124"/>
      <c r="L15296" s="124"/>
      <c r="M15296" s="124"/>
      <c r="N15296" s="124"/>
      <c r="O15296" s="124"/>
    </row>
    <row r="15297">
      <c r="K15297" s="124"/>
      <c r="L15297" s="124"/>
      <c r="M15297" s="124"/>
      <c r="N15297" s="124"/>
      <c r="O15297" s="124"/>
    </row>
    <row r="15298">
      <c r="K15298" s="124"/>
      <c r="L15298" s="124"/>
      <c r="M15298" s="124"/>
      <c r="N15298" s="124"/>
      <c r="O15298" s="124"/>
    </row>
    <row r="15299">
      <c r="K15299" s="124"/>
      <c r="L15299" s="124"/>
      <c r="M15299" s="124"/>
      <c r="N15299" s="124"/>
      <c r="O15299" s="124"/>
    </row>
    <row r="15300">
      <c r="K15300" s="124"/>
      <c r="L15300" s="124"/>
      <c r="M15300" s="124"/>
      <c r="N15300" s="124"/>
      <c r="O15300" s="124"/>
    </row>
    <row r="15301">
      <c r="K15301" s="124"/>
      <c r="L15301" s="124"/>
      <c r="M15301" s="124"/>
      <c r="N15301" s="124"/>
      <c r="O15301" s="124"/>
    </row>
    <row r="15302">
      <c r="K15302" s="124"/>
      <c r="L15302" s="124"/>
      <c r="M15302" s="124"/>
      <c r="N15302" s="124"/>
      <c r="O15302" s="124"/>
    </row>
    <row r="15303">
      <c r="K15303" s="124"/>
      <c r="L15303" s="124"/>
      <c r="M15303" s="124"/>
      <c r="N15303" s="124"/>
      <c r="O15303" s="124"/>
    </row>
    <row r="15304">
      <c r="K15304" s="124"/>
      <c r="L15304" s="124"/>
      <c r="M15304" s="124"/>
      <c r="N15304" s="124"/>
      <c r="O15304" s="124"/>
    </row>
    <row r="15305">
      <c r="K15305" s="124"/>
      <c r="L15305" s="124"/>
      <c r="M15305" s="124"/>
      <c r="N15305" s="124"/>
      <c r="O15305" s="124"/>
    </row>
    <row r="15306">
      <c r="K15306" s="124"/>
      <c r="L15306" s="124"/>
      <c r="M15306" s="124"/>
      <c r="N15306" s="124"/>
      <c r="O15306" s="124"/>
    </row>
    <row r="15307">
      <c r="K15307" s="124"/>
      <c r="L15307" s="124"/>
      <c r="M15307" s="124"/>
      <c r="N15307" s="124"/>
      <c r="O15307" s="124"/>
    </row>
    <row r="15308">
      <c r="K15308" s="124"/>
      <c r="L15308" s="124"/>
      <c r="M15308" s="124"/>
      <c r="N15308" s="124"/>
      <c r="O15308" s="124"/>
    </row>
    <row r="15309">
      <c r="K15309" s="124"/>
      <c r="L15309" s="124"/>
      <c r="M15309" s="124"/>
      <c r="N15309" s="124"/>
      <c r="O15309" s="124"/>
    </row>
    <row r="15310">
      <c r="K15310" s="124"/>
      <c r="L15310" s="124"/>
      <c r="M15310" s="124"/>
      <c r="N15310" s="124"/>
      <c r="O15310" s="124"/>
    </row>
    <row r="15311">
      <c r="K15311" s="124"/>
      <c r="L15311" s="124"/>
      <c r="M15311" s="124"/>
      <c r="N15311" s="124"/>
      <c r="O15311" s="124"/>
    </row>
    <row r="15312">
      <c r="K15312" s="124"/>
      <c r="L15312" s="124"/>
      <c r="M15312" s="124"/>
      <c r="N15312" s="124"/>
      <c r="O15312" s="124"/>
    </row>
    <row r="15313">
      <c r="K15313" s="124"/>
      <c r="L15313" s="124"/>
      <c r="M15313" s="124"/>
      <c r="N15313" s="124"/>
      <c r="O15313" s="124"/>
    </row>
    <row r="15314">
      <c r="K15314" s="124"/>
      <c r="L15314" s="124"/>
      <c r="M15314" s="124"/>
      <c r="N15314" s="124"/>
      <c r="O15314" s="124"/>
    </row>
    <row r="15315">
      <c r="K15315" s="124"/>
      <c r="L15315" s="124"/>
      <c r="M15315" s="124"/>
      <c r="N15315" s="124"/>
      <c r="O15315" s="124"/>
    </row>
    <row r="15316">
      <c r="K15316" s="124"/>
      <c r="L15316" s="124"/>
      <c r="M15316" s="124"/>
      <c r="N15316" s="124"/>
      <c r="O15316" s="124"/>
    </row>
    <row r="15317">
      <c r="K15317" s="124"/>
      <c r="L15317" s="124"/>
      <c r="M15317" s="124"/>
      <c r="N15317" s="124"/>
      <c r="O15317" s="124"/>
    </row>
    <row r="15318">
      <c r="K15318" s="124"/>
      <c r="L15318" s="124"/>
      <c r="M15318" s="124"/>
      <c r="N15318" s="124"/>
      <c r="O15318" s="124"/>
    </row>
    <row r="15319">
      <c r="K15319" s="124"/>
      <c r="L15319" s="124"/>
      <c r="M15319" s="124"/>
      <c r="N15319" s="124"/>
      <c r="O15319" s="124"/>
    </row>
    <row r="15320">
      <c r="K15320" s="124"/>
      <c r="L15320" s="124"/>
      <c r="M15320" s="124"/>
      <c r="N15320" s="124"/>
      <c r="O15320" s="124"/>
    </row>
    <row r="15321">
      <c r="K15321" s="124"/>
      <c r="L15321" s="124"/>
      <c r="M15321" s="124"/>
      <c r="N15321" s="124"/>
      <c r="O15321" s="124"/>
    </row>
    <row r="15322">
      <c r="K15322" s="124"/>
      <c r="L15322" s="124"/>
      <c r="M15322" s="124"/>
      <c r="N15322" s="124"/>
      <c r="O15322" s="124"/>
    </row>
    <row r="15323">
      <c r="K15323" s="124"/>
      <c r="L15323" s="124"/>
      <c r="M15323" s="124"/>
      <c r="N15323" s="124"/>
      <c r="O15323" s="124"/>
    </row>
    <row r="15324">
      <c r="K15324" s="124"/>
      <c r="L15324" s="124"/>
      <c r="M15324" s="124"/>
      <c r="N15324" s="124"/>
      <c r="O15324" s="124"/>
    </row>
    <row r="15325">
      <c r="K15325" s="124"/>
      <c r="L15325" s="124"/>
      <c r="M15325" s="124"/>
      <c r="N15325" s="124"/>
      <c r="O15325" s="124"/>
    </row>
    <row r="15326">
      <c r="K15326" s="124"/>
      <c r="L15326" s="124"/>
      <c r="M15326" s="124"/>
      <c r="N15326" s="124"/>
      <c r="O15326" s="124"/>
    </row>
    <row r="15327">
      <c r="K15327" s="124"/>
      <c r="L15327" s="124"/>
      <c r="M15327" s="124"/>
      <c r="N15327" s="124"/>
      <c r="O15327" s="124"/>
    </row>
    <row r="15328">
      <c r="K15328" s="124"/>
      <c r="L15328" s="124"/>
      <c r="M15328" s="124"/>
      <c r="N15328" s="124"/>
      <c r="O15328" s="124"/>
    </row>
    <row r="15329">
      <c r="K15329" s="124"/>
      <c r="L15329" s="124"/>
      <c r="M15329" s="124"/>
      <c r="N15329" s="124"/>
      <c r="O15329" s="124"/>
    </row>
    <row r="15330">
      <c r="K15330" s="124"/>
      <c r="L15330" s="124"/>
      <c r="M15330" s="124"/>
      <c r="N15330" s="124"/>
      <c r="O15330" s="124"/>
    </row>
    <row r="15331">
      <c r="K15331" s="124"/>
      <c r="L15331" s="124"/>
      <c r="M15331" s="124"/>
      <c r="N15331" s="124"/>
      <c r="O15331" s="124"/>
    </row>
    <row r="15332">
      <c r="K15332" s="124"/>
      <c r="L15332" s="124"/>
      <c r="M15332" s="124"/>
      <c r="N15332" s="124"/>
      <c r="O15332" s="124"/>
    </row>
    <row r="15333">
      <c r="K15333" s="124"/>
      <c r="L15333" s="124"/>
      <c r="M15333" s="124"/>
      <c r="N15333" s="124"/>
      <c r="O15333" s="124"/>
    </row>
    <row r="15334">
      <c r="K15334" s="124"/>
      <c r="L15334" s="124"/>
      <c r="M15334" s="124"/>
      <c r="N15334" s="124"/>
      <c r="O15334" s="124"/>
    </row>
    <row r="15335">
      <c r="K15335" s="124"/>
      <c r="L15335" s="124"/>
      <c r="M15335" s="124"/>
      <c r="N15335" s="124"/>
      <c r="O15335" s="124"/>
    </row>
    <row r="15336">
      <c r="K15336" s="124"/>
      <c r="L15336" s="124"/>
      <c r="M15336" s="124"/>
      <c r="N15336" s="124"/>
      <c r="O15336" s="124"/>
    </row>
    <row r="15337">
      <c r="K15337" s="124"/>
      <c r="L15337" s="124"/>
      <c r="M15337" s="124"/>
      <c r="N15337" s="124"/>
      <c r="O15337" s="124"/>
    </row>
    <row r="15338">
      <c r="K15338" s="124"/>
      <c r="L15338" s="124"/>
      <c r="M15338" s="124"/>
      <c r="N15338" s="124"/>
      <c r="O15338" s="124"/>
    </row>
    <row r="15339">
      <c r="K15339" s="124"/>
      <c r="L15339" s="124"/>
      <c r="M15339" s="124"/>
      <c r="N15339" s="124"/>
      <c r="O15339" s="124"/>
    </row>
    <row r="15340">
      <c r="K15340" s="124"/>
      <c r="L15340" s="124"/>
      <c r="M15340" s="124"/>
      <c r="N15340" s="124"/>
      <c r="O15340" s="124"/>
    </row>
    <row r="15341">
      <c r="K15341" s="124"/>
      <c r="L15341" s="124"/>
      <c r="M15341" s="124"/>
      <c r="N15341" s="124"/>
      <c r="O15341" s="124"/>
    </row>
    <row r="15342">
      <c r="K15342" s="124"/>
      <c r="L15342" s="124"/>
      <c r="M15342" s="124"/>
      <c r="N15342" s="124"/>
      <c r="O15342" s="124"/>
    </row>
    <row r="15343">
      <c r="K15343" s="124"/>
      <c r="L15343" s="124"/>
      <c r="M15343" s="124"/>
      <c r="N15343" s="124"/>
      <c r="O15343" s="124"/>
    </row>
    <row r="15344">
      <c r="K15344" s="124"/>
      <c r="L15344" s="124"/>
      <c r="M15344" s="124"/>
      <c r="N15344" s="124"/>
      <c r="O15344" s="124"/>
    </row>
    <row r="15345">
      <c r="K15345" s="124"/>
      <c r="L15345" s="124"/>
      <c r="M15345" s="124"/>
      <c r="N15345" s="124"/>
      <c r="O15345" s="124"/>
    </row>
    <row r="15346">
      <c r="K15346" s="124"/>
      <c r="L15346" s="124"/>
      <c r="M15346" s="124"/>
      <c r="N15346" s="124"/>
      <c r="O15346" s="124"/>
    </row>
    <row r="15347">
      <c r="K15347" s="124"/>
      <c r="L15347" s="124"/>
      <c r="M15347" s="124"/>
      <c r="N15347" s="124"/>
      <c r="O15347" s="124"/>
    </row>
    <row r="15348">
      <c r="K15348" s="124"/>
      <c r="L15348" s="124"/>
      <c r="M15348" s="124"/>
      <c r="N15348" s="124"/>
      <c r="O15348" s="124"/>
    </row>
    <row r="15349">
      <c r="K15349" s="124"/>
      <c r="L15349" s="124"/>
      <c r="M15349" s="124"/>
      <c r="N15349" s="124"/>
      <c r="O15349" s="124"/>
    </row>
    <row r="15350">
      <c r="K15350" s="124"/>
      <c r="L15350" s="124"/>
      <c r="M15350" s="124"/>
      <c r="N15350" s="124"/>
      <c r="O15350" s="124"/>
    </row>
    <row r="15351">
      <c r="K15351" s="124"/>
      <c r="L15351" s="124"/>
      <c r="M15351" s="124"/>
      <c r="N15351" s="124"/>
      <c r="O15351" s="124"/>
    </row>
    <row r="15352">
      <c r="K15352" s="124"/>
      <c r="L15352" s="124"/>
      <c r="M15352" s="124"/>
      <c r="N15352" s="124"/>
      <c r="O15352" s="124"/>
    </row>
    <row r="15353">
      <c r="K15353" s="124"/>
      <c r="L15353" s="124"/>
      <c r="M15353" s="124"/>
      <c r="N15353" s="124"/>
      <c r="O15353" s="124"/>
    </row>
    <row r="15354">
      <c r="K15354" s="124"/>
      <c r="L15354" s="124"/>
      <c r="M15354" s="124"/>
      <c r="N15354" s="124"/>
      <c r="O15354" s="124"/>
    </row>
    <row r="15355">
      <c r="K15355" s="124"/>
      <c r="L15355" s="124"/>
      <c r="M15355" s="124"/>
      <c r="N15355" s="124"/>
      <c r="O15355" s="124"/>
    </row>
    <row r="15356">
      <c r="K15356" s="124"/>
      <c r="L15356" s="124"/>
      <c r="M15356" s="124"/>
      <c r="N15356" s="124"/>
      <c r="O15356" s="124"/>
    </row>
    <row r="15357">
      <c r="K15357" s="124"/>
      <c r="L15357" s="124"/>
      <c r="M15357" s="124"/>
      <c r="N15357" s="124"/>
      <c r="O15357" s="124"/>
    </row>
    <row r="15358">
      <c r="K15358" s="124"/>
      <c r="L15358" s="124"/>
      <c r="M15358" s="124"/>
      <c r="N15358" s="124"/>
      <c r="O15358" s="124"/>
    </row>
    <row r="15359">
      <c r="K15359" s="124"/>
      <c r="L15359" s="124"/>
      <c r="M15359" s="124"/>
      <c r="N15359" s="124"/>
      <c r="O15359" s="124"/>
    </row>
    <row r="15360">
      <c r="K15360" s="124"/>
      <c r="L15360" s="124"/>
      <c r="M15360" s="124"/>
      <c r="N15360" s="124"/>
      <c r="O15360" s="124"/>
    </row>
    <row r="15361">
      <c r="K15361" s="124"/>
      <c r="L15361" s="124"/>
      <c r="M15361" s="124"/>
      <c r="N15361" s="124"/>
      <c r="O15361" s="124"/>
    </row>
    <row r="15362">
      <c r="K15362" s="124"/>
      <c r="L15362" s="124"/>
      <c r="M15362" s="124"/>
      <c r="N15362" s="124"/>
      <c r="O15362" s="124"/>
    </row>
    <row r="15363">
      <c r="K15363" s="124"/>
      <c r="L15363" s="124"/>
      <c r="M15363" s="124"/>
      <c r="N15363" s="124"/>
      <c r="O15363" s="124"/>
    </row>
    <row r="15364">
      <c r="K15364" s="124"/>
      <c r="L15364" s="124"/>
      <c r="M15364" s="124"/>
      <c r="N15364" s="124"/>
      <c r="O15364" s="124"/>
    </row>
    <row r="15365">
      <c r="K15365" s="124"/>
      <c r="L15365" s="124"/>
      <c r="M15365" s="124"/>
      <c r="N15365" s="124"/>
      <c r="O15365" s="124"/>
    </row>
    <row r="15366">
      <c r="K15366" s="124"/>
      <c r="L15366" s="124"/>
      <c r="M15366" s="124"/>
      <c r="N15366" s="124"/>
      <c r="O15366" s="124"/>
    </row>
    <row r="15367">
      <c r="K15367" s="124"/>
      <c r="L15367" s="124"/>
      <c r="M15367" s="124"/>
      <c r="N15367" s="124"/>
      <c r="O15367" s="124"/>
    </row>
    <row r="15368">
      <c r="K15368" s="124"/>
      <c r="L15368" s="124"/>
      <c r="M15368" s="124"/>
      <c r="N15368" s="124"/>
      <c r="O15368" s="124"/>
    </row>
    <row r="15369">
      <c r="K15369" s="124"/>
      <c r="L15369" s="124"/>
      <c r="M15369" s="124"/>
      <c r="N15369" s="124"/>
      <c r="O15369" s="124"/>
    </row>
    <row r="15370">
      <c r="K15370" s="124"/>
      <c r="L15370" s="124"/>
      <c r="M15370" s="124"/>
      <c r="N15370" s="124"/>
      <c r="O15370" s="124"/>
    </row>
    <row r="15371">
      <c r="K15371" s="124"/>
      <c r="L15371" s="124"/>
      <c r="M15371" s="124"/>
      <c r="N15371" s="124"/>
      <c r="O15371" s="124"/>
    </row>
    <row r="15372">
      <c r="K15372" s="124"/>
      <c r="L15372" s="124"/>
      <c r="M15372" s="124"/>
      <c r="N15372" s="124"/>
      <c r="O15372" s="124"/>
    </row>
    <row r="15373">
      <c r="K15373" s="124"/>
      <c r="L15373" s="124"/>
      <c r="M15373" s="124"/>
      <c r="N15373" s="124"/>
      <c r="O15373" s="124"/>
    </row>
    <row r="15374">
      <c r="K15374" s="124"/>
      <c r="L15374" s="124"/>
      <c r="M15374" s="124"/>
      <c r="N15374" s="124"/>
      <c r="O15374" s="124"/>
    </row>
    <row r="15375">
      <c r="K15375" s="124"/>
      <c r="L15375" s="124"/>
      <c r="M15375" s="124"/>
      <c r="N15375" s="124"/>
      <c r="O15375" s="124"/>
    </row>
    <row r="15376">
      <c r="K15376" s="124"/>
      <c r="L15376" s="124"/>
      <c r="M15376" s="124"/>
      <c r="N15376" s="124"/>
      <c r="O15376" s="124"/>
    </row>
    <row r="15377">
      <c r="K15377" s="124"/>
      <c r="L15377" s="124"/>
      <c r="M15377" s="124"/>
      <c r="N15377" s="124"/>
      <c r="O15377" s="124"/>
    </row>
    <row r="15378">
      <c r="K15378" s="124"/>
      <c r="L15378" s="124"/>
      <c r="M15378" s="124"/>
      <c r="N15378" s="124"/>
      <c r="O15378" s="124"/>
    </row>
    <row r="15379">
      <c r="K15379" s="124"/>
      <c r="L15379" s="124"/>
      <c r="M15379" s="124"/>
      <c r="N15379" s="124"/>
      <c r="O15379" s="124"/>
    </row>
    <row r="15380">
      <c r="K15380" s="124"/>
      <c r="L15380" s="124"/>
      <c r="M15380" s="124"/>
      <c r="N15380" s="124"/>
      <c r="O15380" s="124"/>
    </row>
    <row r="15381">
      <c r="K15381" s="124"/>
      <c r="L15381" s="124"/>
      <c r="M15381" s="124"/>
      <c r="N15381" s="124"/>
      <c r="O15381" s="124"/>
    </row>
    <row r="15382">
      <c r="K15382" s="124"/>
      <c r="L15382" s="124"/>
      <c r="M15382" s="124"/>
      <c r="N15382" s="124"/>
      <c r="O15382" s="124"/>
    </row>
    <row r="15383">
      <c r="K15383" s="124"/>
      <c r="L15383" s="124"/>
      <c r="M15383" s="124"/>
      <c r="N15383" s="124"/>
      <c r="O15383" s="124"/>
    </row>
    <row r="15384">
      <c r="K15384" s="124"/>
      <c r="L15384" s="124"/>
      <c r="M15384" s="124"/>
      <c r="N15384" s="124"/>
      <c r="O15384" s="124"/>
    </row>
    <row r="15385">
      <c r="K15385" s="124"/>
      <c r="L15385" s="124"/>
      <c r="M15385" s="124"/>
      <c r="N15385" s="124"/>
      <c r="O15385" s="124"/>
    </row>
    <row r="15386">
      <c r="K15386" s="124"/>
      <c r="L15386" s="124"/>
      <c r="M15386" s="124"/>
      <c r="N15386" s="124"/>
      <c r="O15386" s="124"/>
    </row>
    <row r="15387">
      <c r="K15387" s="124"/>
      <c r="L15387" s="124"/>
      <c r="M15387" s="124"/>
      <c r="N15387" s="124"/>
      <c r="O15387" s="124"/>
    </row>
    <row r="15388">
      <c r="K15388" s="124"/>
      <c r="L15388" s="124"/>
      <c r="M15388" s="124"/>
      <c r="N15388" s="124"/>
      <c r="O15388" s="124"/>
    </row>
    <row r="15389">
      <c r="K15389" s="124"/>
      <c r="L15389" s="124"/>
      <c r="M15389" s="124"/>
      <c r="N15389" s="124"/>
      <c r="O15389" s="124"/>
    </row>
    <row r="15390">
      <c r="K15390" s="124"/>
      <c r="L15390" s="124"/>
      <c r="M15390" s="124"/>
      <c r="N15390" s="124"/>
      <c r="O15390" s="124"/>
    </row>
    <row r="15391">
      <c r="K15391" s="124"/>
      <c r="L15391" s="124"/>
      <c r="M15391" s="124"/>
      <c r="N15391" s="124"/>
      <c r="O15391" s="124"/>
    </row>
    <row r="15392">
      <c r="K15392" s="124"/>
      <c r="L15392" s="124"/>
      <c r="M15392" s="124"/>
      <c r="N15392" s="124"/>
      <c r="O15392" s="124"/>
    </row>
    <row r="15393">
      <c r="K15393" s="124"/>
      <c r="L15393" s="124"/>
      <c r="M15393" s="124"/>
      <c r="N15393" s="124"/>
      <c r="O15393" s="124"/>
    </row>
    <row r="15394">
      <c r="K15394" s="124"/>
      <c r="L15394" s="124"/>
      <c r="M15394" s="124"/>
      <c r="N15394" s="124"/>
      <c r="O15394" s="124"/>
    </row>
    <row r="15395">
      <c r="K15395" s="124"/>
      <c r="L15395" s="124"/>
      <c r="M15395" s="124"/>
      <c r="N15395" s="124"/>
      <c r="O15395" s="124"/>
    </row>
    <row r="15396">
      <c r="K15396" s="124"/>
      <c r="L15396" s="124"/>
      <c r="M15396" s="124"/>
      <c r="N15396" s="124"/>
      <c r="O15396" s="124"/>
    </row>
    <row r="15397">
      <c r="K15397" s="124"/>
      <c r="L15397" s="124"/>
      <c r="M15397" s="124"/>
      <c r="N15397" s="124"/>
      <c r="O15397" s="124"/>
    </row>
    <row r="15398">
      <c r="K15398" s="124"/>
      <c r="L15398" s="124"/>
      <c r="M15398" s="124"/>
      <c r="N15398" s="124"/>
      <c r="O15398" s="124"/>
    </row>
    <row r="15399">
      <c r="K15399" s="124"/>
      <c r="L15399" s="124"/>
      <c r="M15399" s="124"/>
      <c r="N15399" s="124"/>
      <c r="O15399" s="124"/>
    </row>
    <row r="15400">
      <c r="K15400" s="124"/>
      <c r="L15400" s="124"/>
      <c r="M15400" s="124"/>
      <c r="N15400" s="124"/>
      <c r="O15400" s="124"/>
    </row>
    <row r="15401">
      <c r="K15401" s="124"/>
      <c r="L15401" s="124"/>
      <c r="M15401" s="124"/>
      <c r="N15401" s="124"/>
      <c r="O15401" s="124"/>
    </row>
    <row r="15402">
      <c r="K15402" s="124"/>
      <c r="L15402" s="124"/>
      <c r="M15402" s="124"/>
      <c r="N15402" s="124"/>
      <c r="O15402" s="124"/>
    </row>
    <row r="15403">
      <c r="K15403" s="124"/>
      <c r="L15403" s="124"/>
      <c r="M15403" s="124"/>
      <c r="N15403" s="124"/>
      <c r="O15403" s="124"/>
    </row>
    <row r="15404">
      <c r="K15404" s="124"/>
      <c r="L15404" s="124"/>
      <c r="M15404" s="124"/>
      <c r="N15404" s="124"/>
      <c r="O15404" s="124"/>
    </row>
    <row r="15405">
      <c r="K15405" s="124"/>
      <c r="L15405" s="124"/>
      <c r="M15405" s="124"/>
      <c r="N15405" s="124"/>
      <c r="O15405" s="124"/>
    </row>
    <row r="15406">
      <c r="K15406" s="124"/>
      <c r="L15406" s="124"/>
      <c r="M15406" s="124"/>
      <c r="N15406" s="124"/>
      <c r="O15406" s="124"/>
    </row>
    <row r="15407">
      <c r="K15407" s="124"/>
      <c r="L15407" s="124"/>
      <c r="M15407" s="124"/>
      <c r="N15407" s="124"/>
      <c r="O15407" s="124"/>
    </row>
    <row r="15408">
      <c r="K15408" s="124"/>
      <c r="L15408" s="124"/>
      <c r="M15408" s="124"/>
      <c r="N15408" s="124"/>
      <c r="O15408" s="124"/>
    </row>
    <row r="15409">
      <c r="K15409" s="124"/>
      <c r="L15409" s="124"/>
      <c r="M15409" s="124"/>
      <c r="N15409" s="124"/>
      <c r="O15409" s="124"/>
    </row>
    <row r="15410">
      <c r="K15410" s="124"/>
      <c r="L15410" s="124"/>
      <c r="M15410" s="124"/>
      <c r="N15410" s="124"/>
      <c r="O15410" s="124"/>
    </row>
    <row r="15411">
      <c r="K15411" s="124"/>
      <c r="L15411" s="124"/>
      <c r="M15411" s="124"/>
      <c r="N15411" s="124"/>
      <c r="O15411" s="124"/>
    </row>
    <row r="15412">
      <c r="K15412" s="124"/>
      <c r="L15412" s="124"/>
      <c r="M15412" s="124"/>
      <c r="N15412" s="124"/>
      <c r="O15412" s="124"/>
    </row>
    <row r="15413">
      <c r="K15413" s="124"/>
      <c r="L15413" s="124"/>
      <c r="M15413" s="124"/>
      <c r="N15413" s="124"/>
      <c r="O15413" s="124"/>
    </row>
    <row r="15414">
      <c r="K15414" s="124"/>
      <c r="L15414" s="124"/>
      <c r="M15414" s="124"/>
      <c r="N15414" s="124"/>
      <c r="O15414" s="124"/>
    </row>
    <row r="15415">
      <c r="K15415" s="124"/>
      <c r="L15415" s="124"/>
      <c r="M15415" s="124"/>
      <c r="N15415" s="124"/>
      <c r="O15415" s="124"/>
    </row>
    <row r="15416">
      <c r="K15416" s="124"/>
      <c r="L15416" s="124"/>
      <c r="M15416" s="124"/>
      <c r="N15416" s="124"/>
      <c r="O15416" s="124"/>
    </row>
    <row r="15417">
      <c r="K15417" s="124"/>
      <c r="L15417" s="124"/>
      <c r="M15417" s="124"/>
      <c r="N15417" s="124"/>
      <c r="O15417" s="124"/>
    </row>
    <row r="15418">
      <c r="K15418" s="124"/>
      <c r="L15418" s="124"/>
      <c r="M15418" s="124"/>
      <c r="N15418" s="124"/>
      <c r="O15418" s="124"/>
    </row>
    <row r="15419">
      <c r="K15419" s="124"/>
      <c r="L15419" s="124"/>
      <c r="M15419" s="124"/>
      <c r="N15419" s="124"/>
      <c r="O15419" s="124"/>
    </row>
    <row r="15420">
      <c r="K15420" s="124"/>
      <c r="L15420" s="124"/>
      <c r="M15420" s="124"/>
      <c r="N15420" s="124"/>
      <c r="O15420" s="124"/>
    </row>
    <row r="15421">
      <c r="K15421" s="124"/>
      <c r="L15421" s="124"/>
      <c r="M15421" s="124"/>
      <c r="N15421" s="124"/>
      <c r="O15421" s="124"/>
    </row>
    <row r="15422">
      <c r="K15422" s="124"/>
      <c r="L15422" s="124"/>
      <c r="M15422" s="124"/>
      <c r="N15422" s="124"/>
      <c r="O15422" s="124"/>
    </row>
    <row r="15423">
      <c r="K15423" s="124"/>
      <c r="L15423" s="124"/>
      <c r="M15423" s="124"/>
      <c r="N15423" s="124"/>
      <c r="O15423" s="124"/>
    </row>
    <row r="15424">
      <c r="K15424" s="124"/>
      <c r="L15424" s="124"/>
      <c r="M15424" s="124"/>
      <c r="N15424" s="124"/>
      <c r="O15424" s="124"/>
    </row>
    <row r="15425">
      <c r="K15425" s="124"/>
      <c r="L15425" s="124"/>
      <c r="M15425" s="124"/>
      <c r="N15425" s="124"/>
      <c r="O15425" s="124"/>
    </row>
    <row r="15426">
      <c r="K15426" s="124"/>
      <c r="L15426" s="124"/>
      <c r="M15426" s="124"/>
      <c r="N15426" s="124"/>
      <c r="O15426" s="124"/>
    </row>
    <row r="15427">
      <c r="K15427" s="124"/>
      <c r="L15427" s="124"/>
      <c r="M15427" s="124"/>
      <c r="N15427" s="124"/>
      <c r="O15427" s="124"/>
    </row>
    <row r="15428">
      <c r="K15428" s="124"/>
      <c r="L15428" s="124"/>
      <c r="M15428" s="124"/>
      <c r="N15428" s="124"/>
      <c r="O15428" s="124"/>
    </row>
    <row r="15429">
      <c r="K15429" s="124"/>
      <c r="L15429" s="124"/>
      <c r="M15429" s="124"/>
      <c r="N15429" s="124"/>
      <c r="O15429" s="124"/>
    </row>
    <row r="15430">
      <c r="K15430" s="124"/>
      <c r="L15430" s="124"/>
      <c r="M15430" s="124"/>
      <c r="N15430" s="124"/>
      <c r="O15430" s="124"/>
    </row>
    <row r="15431">
      <c r="K15431" s="124"/>
      <c r="L15431" s="124"/>
      <c r="M15431" s="124"/>
      <c r="N15431" s="124"/>
      <c r="O15431" s="124"/>
    </row>
    <row r="15432">
      <c r="K15432" s="124"/>
      <c r="L15432" s="124"/>
      <c r="M15432" s="124"/>
      <c r="N15432" s="124"/>
      <c r="O15432" s="124"/>
    </row>
    <row r="15433">
      <c r="K15433" s="124"/>
      <c r="L15433" s="124"/>
      <c r="M15433" s="124"/>
      <c r="N15433" s="124"/>
      <c r="O15433" s="124"/>
    </row>
    <row r="15434">
      <c r="K15434" s="124"/>
      <c r="L15434" s="124"/>
      <c r="M15434" s="124"/>
      <c r="N15434" s="124"/>
      <c r="O15434" s="124"/>
    </row>
    <row r="15435">
      <c r="K15435" s="124"/>
      <c r="L15435" s="124"/>
      <c r="M15435" s="124"/>
      <c r="N15435" s="124"/>
      <c r="O15435" s="124"/>
    </row>
    <row r="15436">
      <c r="K15436" s="124"/>
      <c r="L15436" s="124"/>
      <c r="M15436" s="124"/>
      <c r="N15436" s="124"/>
      <c r="O15436" s="124"/>
    </row>
    <row r="15437">
      <c r="K15437" s="124"/>
      <c r="L15437" s="124"/>
      <c r="M15437" s="124"/>
      <c r="N15437" s="124"/>
      <c r="O15437" s="124"/>
    </row>
    <row r="15438">
      <c r="K15438" s="124"/>
      <c r="L15438" s="124"/>
      <c r="M15438" s="124"/>
      <c r="N15438" s="124"/>
      <c r="O15438" s="124"/>
    </row>
    <row r="15439">
      <c r="K15439" s="124"/>
      <c r="L15439" s="124"/>
      <c r="M15439" s="124"/>
      <c r="N15439" s="124"/>
      <c r="O15439" s="124"/>
    </row>
    <row r="15440">
      <c r="K15440" s="124"/>
      <c r="L15440" s="124"/>
      <c r="M15440" s="124"/>
      <c r="N15440" s="124"/>
      <c r="O15440" s="124"/>
    </row>
    <row r="15441">
      <c r="K15441" s="124"/>
      <c r="L15441" s="124"/>
      <c r="M15441" s="124"/>
      <c r="N15441" s="124"/>
      <c r="O15441" s="124"/>
    </row>
    <row r="15442">
      <c r="K15442" s="124"/>
      <c r="L15442" s="124"/>
      <c r="M15442" s="124"/>
      <c r="N15442" s="124"/>
      <c r="O15442" s="124"/>
    </row>
    <row r="15443">
      <c r="K15443" s="124"/>
      <c r="L15443" s="124"/>
      <c r="M15443" s="124"/>
      <c r="N15443" s="124"/>
      <c r="O15443" s="124"/>
    </row>
    <row r="15444">
      <c r="K15444" s="124"/>
      <c r="L15444" s="124"/>
      <c r="M15444" s="124"/>
      <c r="N15444" s="124"/>
      <c r="O15444" s="124"/>
    </row>
    <row r="15445">
      <c r="K15445" s="124"/>
      <c r="L15445" s="124"/>
      <c r="M15445" s="124"/>
      <c r="N15445" s="124"/>
      <c r="O15445" s="124"/>
    </row>
    <row r="15446">
      <c r="K15446" s="124"/>
      <c r="L15446" s="124"/>
      <c r="M15446" s="124"/>
      <c r="N15446" s="124"/>
      <c r="O15446" s="124"/>
    </row>
    <row r="15447">
      <c r="K15447" s="124"/>
      <c r="L15447" s="124"/>
      <c r="M15447" s="124"/>
      <c r="N15447" s="124"/>
      <c r="O15447" s="124"/>
    </row>
    <row r="15448">
      <c r="K15448" s="124"/>
      <c r="L15448" s="124"/>
      <c r="M15448" s="124"/>
      <c r="N15448" s="124"/>
      <c r="O15448" s="124"/>
    </row>
    <row r="15449">
      <c r="K15449" s="124"/>
      <c r="L15449" s="124"/>
      <c r="M15449" s="124"/>
      <c r="N15449" s="124"/>
      <c r="O15449" s="124"/>
    </row>
    <row r="15450">
      <c r="K15450" s="124"/>
      <c r="L15450" s="124"/>
      <c r="M15450" s="124"/>
      <c r="N15450" s="124"/>
      <c r="O15450" s="124"/>
    </row>
    <row r="15451">
      <c r="K15451" s="124"/>
      <c r="L15451" s="124"/>
      <c r="M15451" s="124"/>
      <c r="N15451" s="124"/>
      <c r="O15451" s="124"/>
    </row>
    <row r="15452">
      <c r="K15452" s="124"/>
      <c r="L15452" s="124"/>
      <c r="M15452" s="124"/>
      <c r="N15452" s="124"/>
      <c r="O15452" s="124"/>
    </row>
    <row r="15453">
      <c r="K15453" s="124"/>
      <c r="L15453" s="124"/>
      <c r="M15453" s="124"/>
      <c r="N15453" s="124"/>
      <c r="O15453" s="124"/>
    </row>
    <row r="15454">
      <c r="K15454" s="124"/>
      <c r="L15454" s="124"/>
      <c r="M15454" s="124"/>
      <c r="N15454" s="124"/>
      <c r="O15454" s="124"/>
    </row>
    <row r="15455">
      <c r="K15455" s="124"/>
      <c r="L15455" s="124"/>
      <c r="M15455" s="124"/>
      <c r="N15455" s="124"/>
      <c r="O15455" s="124"/>
    </row>
    <row r="15456">
      <c r="K15456" s="124"/>
      <c r="L15456" s="124"/>
      <c r="M15456" s="124"/>
      <c r="N15456" s="124"/>
      <c r="O15456" s="124"/>
    </row>
    <row r="15457">
      <c r="K15457" s="124"/>
      <c r="L15457" s="124"/>
      <c r="M15457" s="124"/>
      <c r="N15457" s="124"/>
      <c r="O15457" s="124"/>
    </row>
    <row r="15458">
      <c r="K15458" s="124"/>
      <c r="L15458" s="124"/>
      <c r="M15458" s="124"/>
      <c r="N15458" s="124"/>
      <c r="O15458" s="124"/>
    </row>
    <row r="15459">
      <c r="K15459" s="124"/>
      <c r="L15459" s="124"/>
      <c r="M15459" s="124"/>
      <c r="N15459" s="124"/>
      <c r="O15459" s="124"/>
    </row>
    <row r="15460">
      <c r="K15460" s="124"/>
      <c r="L15460" s="124"/>
      <c r="M15460" s="124"/>
      <c r="N15460" s="124"/>
      <c r="O15460" s="124"/>
    </row>
    <row r="15461">
      <c r="K15461" s="124"/>
      <c r="L15461" s="124"/>
      <c r="M15461" s="124"/>
      <c r="N15461" s="124"/>
      <c r="O15461" s="124"/>
    </row>
    <row r="15462">
      <c r="K15462" s="124"/>
      <c r="L15462" s="124"/>
      <c r="M15462" s="124"/>
      <c r="N15462" s="124"/>
      <c r="O15462" s="124"/>
    </row>
    <row r="15463">
      <c r="K15463" s="124"/>
      <c r="L15463" s="124"/>
      <c r="M15463" s="124"/>
      <c r="N15463" s="124"/>
      <c r="O15463" s="124"/>
    </row>
    <row r="15464">
      <c r="K15464" s="124"/>
      <c r="L15464" s="124"/>
      <c r="M15464" s="124"/>
      <c r="N15464" s="124"/>
      <c r="O15464" s="124"/>
    </row>
    <row r="15465">
      <c r="K15465" s="124"/>
      <c r="L15465" s="124"/>
      <c r="M15465" s="124"/>
      <c r="N15465" s="124"/>
      <c r="O15465" s="124"/>
    </row>
    <row r="15466">
      <c r="K15466" s="124"/>
      <c r="L15466" s="124"/>
      <c r="M15466" s="124"/>
      <c r="N15466" s="124"/>
      <c r="O15466" s="124"/>
    </row>
    <row r="15467">
      <c r="K15467" s="124"/>
      <c r="L15467" s="124"/>
      <c r="M15467" s="124"/>
      <c r="N15467" s="124"/>
      <c r="O15467" s="124"/>
    </row>
    <row r="15468">
      <c r="K15468" s="124"/>
      <c r="L15468" s="124"/>
      <c r="M15468" s="124"/>
      <c r="N15468" s="124"/>
      <c r="O15468" s="124"/>
    </row>
    <row r="15469">
      <c r="K15469" s="124"/>
      <c r="L15469" s="124"/>
      <c r="M15469" s="124"/>
      <c r="N15469" s="124"/>
      <c r="O15469" s="124"/>
    </row>
    <row r="15470">
      <c r="K15470" s="124"/>
      <c r="L15470" s="124"/>
      <c r="M15470" s="124"/>
      <c r="N15470" s="124"/>
      <c r="O15470" s="124"/>
    </row>
    <row r="15471">
      <c r="K15471" s="124"/>
      <c r="L15471" s="124"/>
      <c r="M15471" s="124"/>
      <c r="N15471" s="124"/>
      <c r="O15471" s="124"/>
    </row>
    <row r="15472">
      <c r="K15472" s="124"/>
      <c r="L15472" s="124"/>
      <c r="M15472" s="124"/>
      <c r="N15472" s="124"/>
      <c r="O15472" s="124"/>
    </row>
    <row r="15473">
      <c r="K15473" s="124"/>
      <c r="L15473" s="124"/>
      <c r="M15473" s="124"/>
      <c r="N15473" s="124"/>
      <c r="O15473" s="124"/>
    </row>
    <row r="15474">
      <c r="K15474" s="124"/>
      <c r="L15474" s="124"/>
      <c r="M15474" s="124"/>
      <c r="N15474" s="124"/>
      <c r="O15474" s="124"/>
    </row>
    <row r="15475">
      <c r="K15475" s="124"/>
      <c r="L15475" s="124"/>
      <c r="M15475" s="124"/>
      <c r="N15475" s="124"/>
      <c r="O15475" s="124"/>
    </row>
    <row r="15476">
      <c r="K15476" s="124"/>
      <c r="L15476" s="124"/>
      <c r="M15476" s="124"/>
      <c r="N15476" s="124"/>
      <c r="O15476" s="124"/>
    </row>
    <row r="15477">
      <c r="K15477" s="124"/>
      <c r="L15477" s="124"/>
      <c r="M15477" s="124"/>
      <c r="N15477" s="124"/>
      <c r="O15477" s="124"/>
    </row>
    <row r="15478">
      <c r="K15478" s="124"/>
      <c r="L15478" s="124"/>
      <c r="M15478" s="124"/>
      <c r="N15478" s="124"/>
      <c r="O15478" s="124"/>
    </row>
    <row r="15479">
      <c r="K15479" s="124"/>
      <c r="L15479" s="124"/>
      <c r="M15479" s="124"/>
      <c r="N15479" s="124"/>
      <c r="O15479" s="124"/>
    </row>
    <row r="15480">
      <c r="K15480" s="124"/>
      <c r="L15480" s="124"/>
      <c r="M15480" s="124"/>
      <c r="N15480" s="124"/>
      <c r="O15480" s="124"/>
    </row>
    <row r="15481">
      <c r="K15481" s="124"/>
      <c r="L15481" s="124"/>
      <c r="M15481" s="124"/>
      <c r="N15481" s="124"/>
      <c r="O15481" s="124"/>
    </row>
    <row r="15482">
      <c r="K15482" s="124"/>
      <c r="L15482" s="124"/>
      <c r="M15482" s="124"/>
      <c r="N15482" s="124"/>
      <c r="O15482" s="124"/>
    </row>
    <row r="15483">
      <c r="K15483" s="124"/>
      <c r="L15483" s="124"/>
      <c r="M15483" s="124"/>
      <c r="N15483" s="124"/>
      <c r="O15483" s="124"/>
    </row>
    <row r="15484">
      <c r="K15484" s="124"/>
      <c r="L15484" s="124"/>
      <c r="M15484" s="124"/>
      <c r="N15484" s="124"/>
      <c r="O15484" s="124"/>
    </row>
    <row r="15485">
      <c r="K15485" s="124"/>
      <c r="L15485" s="124"/>
      <c r="M15485" s="124"/>
      <c r="N15485" s="124"/>
      <c r="O15485" s="124"/>
    </row>
    <row r="15486">
      <c r="K15486" s="124"/>
      <c r="L15486" s="124"/>
      <c r="M15486" s="124"/>
      <c r="N15486" s="124"/>
      <c r="O15486" s="124"/>
    </row>
    <row r="15487">
      <c r="K15487" s="124"/>
      <c r="L15487" s="124"/>
      <c r="M15487" s="124"/>
      <c r="N15487" s="124"/>
      <c r="O15487" s="124"/>
    </row>
    <row r="15488">
      <c r="K15488" s="124"/>
      <c r="L15488" s="124"/>
      <c r="M15488" s="124"/>
      <c r="N15488" s="124"/>
      <c r="O15488" s="124"/>
    </row>
    <row r="15489">
      <c r="K15489" s="124"/>
      <c r="L15489" s="124"/>
      <c r="M15489" s="124"/>
      <c r="N15489" s="124"/>
      <c r="O15489" s="124"/>
    </row>
    <row r="15490">
      <c r="K15490" s="124"/>
      <c r="L15490" s="124"/>
      <c r="M15490" s="124"/>
      <c r="N15490" s="124"/>
      <c r="O15490" s="124"/>
    </row>
    <row r="15491">
      <c r="K15491" s="124"/>
      <c r="L15491" s="124"/>
      <c r="M15491" s="124"/>
      <c r="N15491" s="124"/>
      <c r="O15491" s="124"/>
    </row>
    <row r="15492">
      <c r="K15492" s="124"/>
      <c r="L15492" s="124"/>
      <c r="M15492" s="124"/>
      <c r="N15492" s="124"/>
      <c r="O15492" s="124"/>
    </row>
    <row r="15493">
      <c r="K15493" s="124"/>
      <c r="L15493" s="124"/>
      <c r="M15493" s="124"/>
      <c r="N15493" s="124"/>
      <c r="O15493" s="124"/>
    </row>
    <row r="15494">
      <c r="K15494" s="124"/>
      <c r="L15494" s="124"/>
      <c r="M15494" s="124"/>
      <c r="N15494" s="124"/>
      <c r="O15494" s="124"/>
    </row>
    <row r="15495">
      <c r="K15495" s="124"/>
      <c r="L15495" s="124"/>
      <c r="M15495" s="124"/>
      <c r="N15495" s="124"/>
      <c r="O15495" s="124"/>
    </row>
    <row r="15496">
      <c r="K15496" s="124"/>
      <c r="L15496" s="124"/>
      <c r="M15496" s="124"/>
      <c r="N15496" s="124"/>
      <c r="O15496" s="124"/>
    </row>
    <row r="15497">
      <c r="K15497" s="124"/>
      <c r="L15497" s="124"/>
      <c r="M15497" s="124"/>
      <c r="N15497" s="124"/>
      <c r="O15497" s="124"/>
    </row>
    <row r="15498">
      <c r="K15498" s="124"/>
      <c r="L15498" s="124"/>
      <c r="M15498" s="124"/>
      <c r="N15498" s="124"/>
      <c r="O15498" s="124"/>
    </row>
    <row r="15499">
      <c r="K15499" s="124"/>
      <c r="L15499" s="124"/>
      <c r="M15499" s="124"/>
      <c r="N15499" s="124"/>
      <c r="O15499" s="124"/>
    </row>
    <row r="15500">
      <c r="K15500" s="124"/>
      <c r="L15500" s="124"/>
      <c r="M15500" s="124"/>
      <c r="N15500" s="124"/>
      <c r="O15500" s="124"/>
    </row>
    <row r="15501">
      <c r="K15501" s="124"/>
      <c r="L15501" s="124"/>
      <c r="M15501" s="124"/>
      <c r="N15501" s="124"/>
      <c r="O15501" s="124"/>
    </row>
    <row r="15502">
      <c r="K15502" s="124"/>
      <c r="L15502" s="124"/>
      <c r="M15502" s="124"/>
      <c r="N15502" s="124"/>
      <c r="O15502" s="124"/>
    </row>
    <row r="15503">
      <c r="K15503" s="124"/>
      <c r="L15503" s="124"/>
      <c r="M15503" s="124"/>
      <c r="N15503" s="124"/>
      <c r="O15503" s="124"/>
    </row>
    <row r="15504">
      <c r="K15504" s="124"/>
      <c r="L15504" s="124"/>
      <c r="M15504" s="124"/>
      <c r="N15504" s="124"/>
      <c r="O15504" s="124"/>
    </row>
    <row r="15505">
      <c r="K15505" s="124"/>
      <c r="L15505" s="124"/>
      <c r="M15505" s="124"/>
      <c r="N15505" s="124"/>
      <c r="O15505" s="124"/>
    </row>
    <row r="15506">
      <c r="K15506" s="124"/>
      <c r="L15506" s="124"/>
      <c r="M15506" s="124"/>
      <c r="N15506" s="124"/>
      <c r="O15506" s="124"/>
    </row>
    <row r="15507">
      <c r="K15507" s="124"/>
      <c r="L15507" s="124"/>
      <c r="M15507" s="124"/>
      <c r="N15507" s="124"/>
      <c r="O15507" s="124"/>
    </row>
    <row r="15508">
      <c r="K15508" s="124"/>
      <c r="L15508" s="124"/>
      <c r="M15508" s="124"/>
      <c r="N15508" s="124"/>
      <c r="O15508" s="124"/>
    </row>
    <row r="15509">
      <c r="K15509" s="124"/>
      <c r="L15509" s="124"/>
      <c r="M15509" s="124"/>
      <c r="N15509" s="124"/>
      <c r="O15509" s="124"/>
    </row>
    <row r="15510">
      <c r="K15510" s="124"/>
      <c r="L15510" s="124"/>
      <c r="M15510" s="124"/>
      <c r="N15510" s="124"/>
      <c r="O15510" s="124"/>
    </row>
    <row r="15511">
      <c r="K15511" s="124"/>
      <c r="L15511" s="124"/>
      <c r="M15511" s="124"/>
      <c r="N15511" s="124"/>
      <c r="O15511" s="124"/>
    </row>
    <row r="15512">
      <c r="K15512" s="124"/>
      <c r="L15512" s="124"/>
      <c r="M15512" s="124"/>
      <c r="N15512" s="124"/>
      <c r="O15512" s="124"/>
    </row>
    <row r="15513">
      <c r="K15513" s="124"/>
      <c r="L15513" s="124"/>
      <c r="M15513" s="124"/>
      <c r="N15513" s="124"/>
      <c r="O15513" s="124"/>
    </row>
    <row r="15514">
      <c r="K15514" s="124"/>
      <c r="L15514" s="124"/>
      <c r="M15514" s="124"/>
      <c r="N15514" s="124"/>
      <c r="O15514" s="124"/>
    </row>
    <row r="15515">
      <c r="K15515" s="124"/>
      <c r="L15515" s="124"/>
      <c r="M15515" s="124"/>
      <c r="N15515" s="124"/>
      <c r="O15515" s="124"/>
    </row>
    <row r="15516">
      <c r="K15516" s="124"/>
      <c r="L15516" s="124"/>
      <c r="M15516" s="124"/>
      <c r="N15516" s="124"/>
      <c r="O15516" s="124"/>
    </row>
    <row r="15517">
      <c r="K15517" s="124"/>
      <c r="L15517" s="124"/>
      <c r="M15517" s="124"/>
      <c r="N15517" s="124"/>
      <c r="O15517" s="124"/>
    </row>
    <row r="15518">
      <c r="K15518" s="124"/>
      <c r="L15518" s="124"/>
      <c r="M15518" s="124"/>
      <c r="N15518" s="124"/>
      <c r="O15518" s="124"/>
    </row>
    <row r="15519">
      <c r="K15519" s="124"/>
      <c r="L15519" s="124"/>
      <c r="M15519" s="124"/>
      <c r="N15519" s="124"/>
      <c r="O15519" s="124"/>
    </row>
    <row r="15520">
      <c r="K15520" s="124"/>
      <c r="L15520" s="124"/>
      <c r="M15520" s="124"/>
      <c r="N15520" s="124"/>
      <c r="O15520" s="124"/>
    </row>
    <row r="15521">
      <c r="K15521" s="124"/>
      <c r="L15521" s="124"/>
      <c r="M15521" s="124"/>
      <c r="N15521" s="124"/>
      <c r="O15521" s="124"/>
    </row>
    <row r="15522">
      <c r="K15522" s="124"/>
      <c r="L15522" s="124"/>
      <c r="M15522" s="124"/>
      <c r="N15522" s="124"/>
      <c r="O15522" s="124"/>
    </row>
    <row r="15523">
      <c r="K15523" s="124"/>
      <c r="L15523" s="124"/>
      <c r="M15523" s="124"/>
      <c r="N15523" s="124"/>
      <c r="O15523" s="124"/>
    </row>
    <row r="15524">
      <c r="K15524" s="124"/>
      <c r="L15524" s="124"/>
      <c r="M15524" s="124"/>
      <c r="N15524" s="124"/>
      <c r="O15524" s="124"/>
    </row>
    <row r="15525">
      <c r="K15525" s="124"/>
      <c r="L15525" s="124"/>
      <c r="M15525" s="124"/>
      <c r="N15525" s="124"/>
      <c r="O15525" s="124"/>
    </row>
    <row r="15526">
      <c r="K15526" s="124"/>
      <c r="L15526" s="124"/>
      <c r="M15526" s="124"/>
      <c r="N15526" s="124"/>
      <c r="O15526" s="124"/>
    </row>
    <row r="15527">
      <c r="K15527" s="124"/>
      <c r="L15527" s="124"/>
      <c r="M15527" s="124"/>
      <c r="N15527" s="124"/>
      <c r="O15527" s="124"/>
    </row>
    <row r="15528">
      <c r="K15528" s="124"/>
      <c r="L15528" s="124"/>
      <c r="M15528" s="124"/>
      <c r="N15528" s="124"/>
      <c r="O15528" s="124"/>
    </row>
    <row r="15529">
      <c r="K15529" s="124"/>
      <c r="L15529" s="124"/>
      <c r="M15529" s="124"/>
      <c r="N15529" s="124"/>
      <c r="O15529" s="124"/>
    </row>
    <row r="15530">
      <c r="K15530" s="124"/>
      <c r="L15530" s="124"/>
      <c r="M15530" s="124"/>
      <c r="N15530" s="124"/>
      <c r="O15530" s="124"/>
    </row>
    <row r="15531">
      <c r="K15531" s="124"/>
      <c r="L15531" s="124"/>
      <c r="M15531" s="124"/>
      <c r="N15531" s="124"/>
      <c r="O15531" s="124"/>
    </row>
    <row r="15532">
      <c r="K15532" s="124"/>
      <c r="L15532" s="124"/>
      <c r="M15532" s="124"/>
      <c r="N15532" s="124"/>
      <c r="O15532" s="124"/>
    </row>
    <row r="15533">
      <c r="K15533" s="124"/>
      <c r="L15533" s="124"/>
      <c r="M15533" s="124"/>
      <c r="N15533" s="124"/>
      <c r="O15533" s="124"/>
    </row>
    <row r="15534">
      <c r="K15534" s="124"/>
      <c r="L15534" s="124"/>
      <c r="M15534" s="124"/>
      <c r="N15534" s="124"/>
      <c r="O15534" s="124"/>
    </row>
    <row r="15535">
      <c r="K15535" s="124"/>
      <c r="L15535" s="124"/>
      <c r="M15535" s="124"/>
      <c r="N15535" s="124"/>
      <c r="O15535" s="124"/>
    </row>
    <row r="15536">
      <c r="K15536" s="124"/>
      <c r="L15536" s="124"/>
      <c r="M15536" s="124"/>
      <c r="N15536" s="124"/>
      <c r="O15536" s="124"/>
    </row>
    <row r="15537">
      <c r="K15537" s="124"/>
      <c r="L15537" s="124"/>
      <c r="M15537" s="124"/>
      <c r="N15537" s="124"/>
      <c r="O15537" s="124"/>
    </row>
    <row r="15538">
      <c r="K15538" s="124"/>
      <c r="L15538" s="124"/>
      <c r="M15538" s="124"/>
      <c r="N15538" s="124"/>
      <c r="O15538" s="124"/>
    </row>
    <row r="15539">
      <c r="K15539" s="124"/>
      <c r="L15539" s="124"/>
      <c r="M15539" s="124"/>
      <c r="N15539" s="124"/>
      <c r="O15539" s="124"/>
    </row>
    <row r="15540">
      <c r="K15540" s="124"/>
      <c r="L15540" s="124"/>
      <c r="M15540" s="124"/>
      <c r="N15540" s="124"/>
      <c r="O15540" s="124"/>
    </row>
    <row r="15541">
      <c r="K15541" s="124"/>
      <c r="L15541" s="124"/>
      <c r="M15541" s="124"/>
      <c r="N15541" s="124"/>
      <c r="O15541" s="124"/>
    </row>
    <row r="15542">
      <c r="K15542" s="124"/>
      <c r="L15542" s="124"/>
      <c r="M15542" s="124"/>
      <c r="N15542" s="124"/>
      <c r="O15542" s="124"/>
    </row>
    <row r="15543">
      <c r="K15543" s="124"/>
      <c r="L15543" s="124"/>
      <c r="M15543" s="124"/>
      <c r="N15543" s="124"/>
      <c r="O15543" s="124"/>
    </row>
    <row r="15544">
      <c r="K15544" s="124"/>
      <c r="L15544" s="124"/>
      <c r="M15544" s="124"/>
      <c r="N15544" s="124"/>
      <c r="O15544" s="124"/>
    </row>
    <row r="15545">
      <c r="K15545" s="124"/>
      <c r="L15545" s="124"/>
      <c r="M15545" s="124"/>
      <c r="N15545" s="124"/>
      <c r="O15545" s="124"/>
    </row>
    <row r="15546">
      <c r="K15546" s="124"/>
      <c r="L15546" s="124"/>
      <c r="M15546" s="124"/>
      <c r="N15546" s="124"/>
      <c r="O15546" s="124"/>
    </row>
    <row r="15547">
      <c r="K15547" s="124"/>
      <c r="L15547" s="124"/>
      <c r="M15547" s="124"/>
      <c r="N15547" s="124"/>
      <c r="O15547" s="124"/>
    </row>
    <row r="15548">
      <c r="K15548" s="124"/>
      <c r="L15548" s="124"/>
      <c r="M15548" s="124"/>
      <c r="N15548" s="124"/>
      <c r="O15548" s="124"/>
    </row>
    <row r="15549">
      <c r="K15549" s="124"/>
      <c r="L15549" s="124"/>
      <c r="M15549" s="124"/>
      <c r="N15549" s="124"/>
      <c r="O15549" s="124"/>
    </row>
    <row r="15550">
      <c r="K15550" s="124"/>
      <c r="L15550" s="124"/>
      <c r="M15550" s="124"/>
      <c r="N15550" s="124"/>
      <c r="O15550" s="124"/>
    </row>
    <row r="15551">
      <c r="K15551" s="124"/>
      <c r="L15551" s="124"/>
      <c r="M15551" s="124"/>
      <c r="N15551" s="124"/>
      <c r="O15551" s="124"/>
    </row>
    <row r="15552">
      <c r="K15552" s="124"/>
      <c r="L15552" s="124"/>
      <c r="M15552" s="124"/>
      <c r="N15552" s="124"/>
      <c r="O15552" s="124"/>
    </row>
    <row r="15553">
      <c r="K15553" s="124"/>
      <c r="L15553" s="124"/>
      <c r="M15553" s="124"/>
      <c r="N15553" s="124"/>
      <c r="O15553" s="124"/>
    </row>
    <row r="15554">
      <c r="K15554" s="124"/>
      <c r="L15554" s="124"/>
      <c r="M15554" s="124"/>
      <c r="N15554" s="124"/>
      <c r="O15554" s="124"/>
    </row>
    <row r="15555">
      <c r="K15555" s="124"/>
      <c r="L15555" s="124"/>
      <c r="M15555" s="124"/>
      <c r="N15555" s="124"/>
      <c r="O15555" s="124"/>
    </row>
    <row r="15556">
      <c r="K15556" s="124"/>
      <c r="L15556" s="124"/>
      <c r="M15556" s="124"/>
      <c r="N15556" s="124"/>
      <c r="O15556" s="124"/>
    </row>
    <row r="15557">
      <c r="K15557" s="124"/>
      <c r="L15557" s="124"/>
      <c r="M15557" s="124"/>
      <c r="N15557" s="124"/>
      <c r="O15557" s="124"/>
    </row>
    <row r="15558">
      <c r="K15558" s="124"/>
      <c r="L15558" s="124"/>
      <c r="M15558" s="124"/>
      <c r="N15558" s="124"/>
      <c r="O15558" s="124"/>
    </row>
    <row r="15559">
      <c r="K15559" s="124"/>
      <c r="L15559" s="124"/>
      <c r="M15559" s="124"/>
      <c r="N15559" s="124"/>
      <c r="O15559" s="124"/>
    </row>
    <row r="15560">
      <c r="K15560" s="124"/>
      <c r="L15560" s="124"/>
      <c r="M15560" s="124"/>
      <c r="N15560" s="124"/>
      <c r="O15560" s="124"/>
    </row>
    <row r="15561">
      <c r="K15561" s="124"/>
      <c r="L15561" s="124"/>
      <c r="M15561" s="124"/>
      <c r="N15561" s="124"/>
      <c r="O15561" s="124"/>
    </row>
    <row r="15562">
      <c r="K15562" s="124"/>
      <c r="L15562" s="124"/>
      <c r="M15562" s="124"/>
      <c r="N15562" s="124"/>
      <c r="O15562" s="124"/>
    </row>
    <row r="15563">
      <c r="K15563" s="124"/>
      <c r="L15563" s="124"/>
      <c r="M15563" s="124"/>
      <c r="N15563" s="124"/>
      <c r="O15563" s="124"/>
    </row>
    <row r="15564">
      <c r="K15564" s="124"/>
      <c r="L15564" s="124"/>
      <c r="M15564" s="124"/>
      <c r="N15564" s="124"/>
      <c r="O15564" s="124"/>
    </row>
    <row r="15565">
      <c r="K15565" s="124"/>
      <c r="L15565" s="124"/>
      <c r="M15565" s="124"/>
      <c r="N15565" s="124"/>
      <c r="O15565" s="124"/>
    </row>
    <row r="15566">
      <c r="K15566" s="124"/>
      <c r="L15566" s="124"/>
      <c r="M15566" s="124"/>
      <c r="N15566" s="124"/>
      <c r="O15566" s="124"/>
    </row>
    <row r="15567">
      <c r="K15567" s="124"/>
      <c r="L15567" s="124"/>
      <c r="M15567" s="124"/>
      <c r="N15567" s="124"/>
      <c r="O15567" s="124"/>
    </row>
    <row r="15568">
      <c r="K15568" s="124"/>
      <c r="L15568" s="124"/>
      <c r="M15568" s="124"/>
      <c r="N15568" s="124"/>
      <c r="O15568" s="124"/>
    </row>
    <row r="15569">
      <c r="K15569" s="124"/>
      <c r="L15569" s="124"/>
      <c r="M15569" s="124"/>
      <c r="N15569" s="124"/>
      <c r="O15569" s="124"/>
    </row>
    <row r="15570">
      <c r="K15570" s="124"/>
      <c r="L15570" s="124"/>
      <c r="M15570" s="124"/>
      <c r="N15570" s="124"/>
      <c r="O15570" s="124"/>
    </row>
    <row r="15571">
      <c r="K15571" s="124"/>
      <c r="L15571" s="124"/>
      <c r="M15571" s="124"/>
      <c r="N15571" s="124"/>
      <c r="O15571" s="124"/>
    </row>
    <row r="15572">
      <c r="K15572" s="124"/>
      <c r="L15572" s="124"/>
      <c r="M15572" s="124"/>
      <c r="N15572" s="124"/>
      <c r="O15572" s="124"/>
    </row>
    <row r="15573">
      <c r="K15573" s="124"/>
      <c r="L15573" s="124"/>
      <c r="M15573" s="124"/>
      <c r="N15573" s="124"/>
      <c r="O15573" s="124"/>
    </row>
    <row r="15574">
      <c r="K15574" s="124"/>
      <c r="L15574" s="124"/>
      <c r="M15574" s="124"/>
      <c r="N15574" s="124"/>
      <c r="O15574" s="124"/>
    </row>
    <row r="15575">
      <c r="K15575" s="124"/>
      <c r="L15575" s="124"/>
      <c r="M15575" s="124"/>
      <c r="N15575" s="124"/>
      <c r="O15575" s="124"/>
    </row>
    <row r="15576">
      <c r="K15576" s="124"/>
      <c r="L15576" s="124"/>
      <c r="M15576" s="124"/>
      <c r="N15576" s="124"/>
      <c r="O15576" s="124"/>
    </row>
    <row r="15577">
      <c r="K15577" s="124"/>
      <c r="L15577" s="124"/>
      <c r="M15577" s="124"/>
      <c r="N15577" s="124"/>
      <c r="O15577" s="124"/>
    </row>
    <row r="15578">
      <c r="K15578" s="124"/>
      <c r="L15578" s="124"/>
      <c r="M15578" s="124"/>
      <c r="N15578" s="124"/>
      <c r="O15578" s="124"/>
    </row>
    <row r="15579">
      <c r="K15579" s="124"/>
      <c r="L15579" s="124"/>
      <c r="M15579" s="124"/>
      <c r="N15579" s="124"/>
      <c r="O15579" s="124"/>
    </row>
    <row r="15580">
      <c r="K15580" s="124"/>
      <c r="L15580" s="124"/>
      <c r="M15580" s="124"/>
      <c r="N15580" s="124"/>
      <c r="O15580" s="124"/>
    </row>
    <row r="15581">
      <c r="K15581" s="124"/>
      <c r="L15581" s="124"/>
      <c r="M15581" s="124"/>
      <c r="N15581" s="124"/>
      <c r="O15581" s="124"/>
    </row>
    <row r="15582">
      <c r="K15582" s="124"/>
      <c r="L15582" s="124"/>
      <c r="M15582" s="124"/>
      <c r="N15582" s="124"/>
      <c r="O15582" s="124"/>
    </row>
    <row r="15583">
      <c r="K15583" s="124"/>
      <c r="L15583" s="124"/>
      <c r="M15583" s="124"/>
      <c r="N15583" s="124"/>
      <c r="O15583" s="124"/>
    </row>
    <row r="15584">
      <c r="K15584" s="124"/>
      <c r="L15584" s="124"/>
      <c r="M15584" s="124"/>
      <c r="N15584" s="124"/>
      <c r="O15584" s="124"/>
    </row>
    <row r="15585">
      <c r="K15585" s="124"/>
      <c r="L15585" s="124"/>
      <c r="M15585" s="124"/>
      <c r="N15585" s="124"/>
      <c r="O15585" s="124"/>
    </row>
    <row r="15586">
      <c r="K15586" s="124"/>
      <c r="L15586" s="124"/>
      <c r="M15586" s="124"/>
      <c r="N15586" s="124"/>
      <c r="O15586" s="124"/>
    </row>
    <row r="15587">
      <c r="K15587" s="124"/>
      <c r="L15587" s="124"/>
      <c r="M15587" s="124"/>
      <c r="N15587" s="124"/>
      <c r="O15587" s="124"/>
    </row>
    <row r="15588">
      <c r="K15588" s="124"/>
      <c r="L15588" s="124"/>
      <c r="M15588" s="124"/>
      <c r="N15588" s="124"/>
      <c r="O15588" s="124"/>
    </row>
    <row r="15589">
      <c r="K15589" s="124"/>
      <c r="L15589" s="124"/>
      <c r="M15589" s="124"/>
      <c r="N15589" s="124"/>
      <c r="O15589" s="124"/>
    </row>
    <row r="15590">
      <c r="K15590" s="124"/>
      <c r="L15590" s="124"/>
      <c r="M15590" s="124"/>
      <c r="N15590" s="124"/>
      <c r="O15590" s="124"/>
    </row>
    <row r="15591">
      <c r="K15591" s="124"/>
      <c r="L15591" s="124"/>
      <c r="M15591" s="124"/>
      <c r="N15591" s="124"/>
      <c r="O15591" s="124"/>
    </row>
    <row r="15592">
      <c r="K15592" s="124"/>
      <c r="L15592" s="124"/>
      <c r="M15592" s="124"/>
      <c r="N15592" s="124"/>
      <c r="O15592" s="124"/>
    </row>
    <row r="15593">
      <c r="K15593" s="124"/>
      <c r="L15593" s="124"/>
      <c r="M15593" s="124"/>
      <c r="N15593" s="124"/>
      <c r="O15593" s="124"/>
    </row>
    <row r="15594">
      <c r="K15594" s="124"/>
      <c r="L15594" s="124"/>
      <c r="M15594" s="124"/>
      <c r="N15594" s="124"/>
      <c r="O15594" s="124"/>
    </row>
    <row r="15595">
      <c r="K15595" s="124"/>
      <c r="L15595" s="124"/>
      <c r="M15595" s="124"/>
      <c r="N15595" s="124"/>
      <c r="O15595" s="124"/>
    </row>
    <row r="15596">
      <c r="K15596" s="124"/>
      <c r="L15596" s="124"/>
      <c r="M15596" s="124"/>
      <c r="N15596" s="124"/>
      <c r="O15596" s="124"/>
    </row>
    <row r="15597">
      <c r="K15597" s="124"/>
      <c r="L15597" s="124"/>
      <c r="M15597" s="124"/>
      <c r="N15597" s="124"/>
      <c r="O15597" s="124"/>
    </row>
    <row r="15598">
      <c r="K15598" s="124"/>
      <c r="L15598" s="124"/>
      <c r="M15598" s="124"/>
      <c r="N15598" s="124"/>
      <c r="O15598" s="124"/>
    </row>
    <row r="15599">
      <c r="K15599" s="124"/>
      <c r="L15599" s="124"/>
      <c r="M15599" s="124"/>
      <c r="N15599" s="124"/>
      <c r="O15599" s="124"/>
    </row>
    <row r="15600">
      <c r="K15600" s="124"/>
      <c r="L15600" s="124"/>
      <c r="M15600" s="124"/>
      <c r="N15600" s="124"/>
      <c r="O15600" s="124"/>
    </row>
    <row r="15601">
      <c r="K15601" s="124"/>
      <c r="L15601" s="124"/>
      <c r="M15601" s="124"/>
      <c r="N15601" s="124"/>
      <c r="O15601" s="124"/>
    </row>
    <row r="15602">
      <c r="K15602" s="124"/>
      <c r="L15602" s="124"/>
      <c r="M15602" s="124"/>
      <c r="N15602" s="124"/>
      <c r="O15602" s="124"/>
    </row>
    <row r="15603">
      <c r="K15603" s="124"/>
      <c r="L15603" s="124"/>
      <c r="M15603" s="124"/>
      <c r="N15603" s="124"/>
      <c r="O15603" s="124"/>
    </row>
    <row r="15604">
      <c r="K15604" s="124"/>
      <c r="L15604" s="124"/>
      <c r="M15604" s="124"/>
      <c r="N15604" s="124"/>
      <c r="O15604" s="124"/>
    </row>
    <row r="15605">
      <c r="K15605" s="124"/>
      <c r="L15605" s="124"/>
      <c r="M15605" s="124"/>
      <c r="N15605" s="124"/>
      <c r="O15605" s="124"/>
    </row>
    <row r="15606">
      <c r="K15606" s="124"/>
      <c r="L15606" s="124"/>
      <c r="M15606" s="124"/>
      <c r="N15606" s="124"/>
      <c r="O15606" s="124"/>
    </row>
    <row r="15607">
      <c r="K15607" s="124"/>
      <c r="L15607" s="124"/>
      <c r="M15607" s="124"/>
      <c r="N15607" s="124"/>
      <c r="O15607" s="124"/>
    </row>
    <row r="15608">
      <c r="K15608" s="124"/>
      <c r="L15608" s="124"/>
      <c r="M15608" s="124"/>
      <c r="N15608" s="124"/>
      <c r="O15608" s="124"/>
    </row>
    <row r="15609">
      <c r="K15609" s="124"/>
      <c r="L15609" s="124"/>
      <c r="M15609" s="124"/>
      <c r="N15609" s="124"/>
      <c r="O15609" s="124"/>
    </row>
    <row r="15610">
      <c r="K15610" s="124"/>
      <c r="L15610" s="124"/>
      <c r="M15610" s="124"/>
      <c r="N15610" s="124"/>
      <c r="O15610" s="124"/>
    </row>
    <row r="15611">
      <c r="K15611" s="124"/>
      <c r="L15611" s="124"/>
      <c r="M15611" s="124"/>
      <c r="N15611" s="124"/>
      <c r="O15611" s="124"/>
    </row>
    <row r="15612">
      <c r="K15612" s="124"/>
      <c r="L15612" s="124"/>
      <c r="M15612" s="124"/>
      <c r="N15612" s="124"/>
      <c r="O15612" s="124"/>
    </row>
    <row r="15613">
      <c r="K15613" s="124"/>
      <c r="L15613" s="124"/>
      <c r="M15613" s="124"/>
      <c r="N15613" s="124"/>
      <c r="O15613" s="124"/>
    </row>
    <row r="15614">
      <c r="K15614" s="124"/>
      <c r="L15614" s="124"/>
      <c r="M15614" s="124"/>
      <c r="N15614" s="124"/>
      <c r="O15614" s="124"/>
    </row>
    <row r="15615">
      <c r="K15615" s="124"/>
      <c r="L15615" s="124"/>
      <c r="M15615" s="124"/>
      <c r="N15615" s="124"/>
      <c r="O15615" s="124"/>
    </row>
    <row r="15616">
      <c r="K15616" s="124"/>
      <c r="L15616" s="124"/>
      <c r="M15616" s="124"/>
      <c r="N15616" s="124"/>
      <c r="O15616" s="124"/>
    </row>
    <row r="15617">
      <c r="K15617" s="124"/>
      <c r="L15617" s="124"/>
      <c r="M15617" s="124"/>
      <c r="N15617" s="124"/>
      <c r="O15617" s="124"/>
    </row>
    <row r="15618">
      <c r="K15618" s="124"/>
      <c r="L15618" s="124"/>
      <c r="M15618" s="124"/>
      <c r="N15618" s="124"/>
      <c r="O15618" s="124"/>
    </row>
    <row r="15619">
      <c r="K15619" s="124"/>
      <c r="L15619" s="124"/>
      <c r="M15619" s="124"/>
      <c r="N15619" s="124"/>
      <c r="O15619" s="124"/>
    </row>
    <row r="15620">
      <c r="K15620" s="124"/>
      <c r="L15620" s="124"/>
      <c r="M15620" s="124"/>
      <c r="N15620" s="124"/>
      <c r="O15620" s="124"/>
    </row>
    <row r="15621">
      <c r="K15621" s="124"/>
      <c r="L15621" s="124"/>
      <c r="M15621" s="124"/>
      <c r="N15621" s="124"/>
      <c r="O15621" s="124"/>
    </row>
    <row r="15622">
      <c r="K15622" s="124"/>
      <c r="L15622" s="124"/>
      <c r="M15622" s="124"/>
      <c r="N15622" s="124"/>
      <c r="O15622" s="124"/>
    </row>
    <row r="15623">
      <c r="K15623" s="124"/>
      <c r="L15623" s="124"/>
      <c r="M15623" s="124"/>
      <c r="N15623" s="124"/>
      <c r="O15623" s="124"/>
    </row>
    <row r="15624">
      <c r="K15624" s="124"/>
      <c r="L15624" s="124"/>
      <c r="M15624" s="124"/>
      <c r="N15624" s="124"/>
      <c r="O15624" s="124"/>
    </row>
    <row r="15625">
      <c r="K15625" s="124"/>
      <c r="L15625" s="124"/>
      <c r="M15625" s="124"/>
      <c r="N15625" s="124"/>
      <c r="O15625" s="124"/>
    </row>
    <row r="15626">
      <c r="K15626" s="124"/>
      <c r="L15626" s="124"/>
      <c r="M15626" s="124"/>
      <c r="N15626" s="124"/>
      <c r="O15626" s="124"/>
    </row>
    <row r="15627">
      <c r="K15627" s="124"/>
      <c r="L15627" s="124"/>
      <c r="M15627" s="124"/>
      <c r="N15627" s="124"/>
      <c r="O15627" s="124"/>
    </row>
    <row r="15628">
      <c r="K15628" s="124"/>
      <c r="L15628" s="124"/>
      <c r="M15628" s="124"/>
      <c r="N15628" s="124"/>
      <c r="O15628" s="124"/>
    </row>
    <row r="15629">
      <c r="K15629" s="124"/>
      <c r="L15629" s="124"/>
      <c r="M15629" s="124"/>
      <c r="N15629" s="124"/>
      <c r="O15629" s="124"/>
    </row>
    <row r="15630">
      <c r="K15630" s="124"/>
      <c r="L15630" s="124"/>
      <c r="M15630" s="124"/>
      <c r="N15630" s="124"/>
      <c r="O15630" s="124"/>
    </row>
    <row r="15631">
      <c r="K15631" s="124"/>
      <c r="L15631" s="124"/>
      <c r="M15631" s="124"/>
      <c r="N15631" s="124"/>
      <c r="O15631" s="124"/>
    </row>
    <row r="15632">
      <c r="K15632" s="124"/>
      <c r="L15632" s="124"/>
      <c r="M15632" s="124"/>
      <c r="N15632" s="124"/>
      <c r="O15632" s="124"/>
    </row>
    <row r="15633">
      <c r="K15633" s="124"/>
      <c r="L15633" s="124"/>
      <c r="M15633" s="124"/>
      <c r="N15633" s="124"/>
      <c r="O15633" s="124"/>
    </row>
    <row r="15634">
      <c r="K15634" s="124"/>
      <c r="L15634" s="124"/>
      <c r="M15634" s="124"/>
      <c r="N15634" s="124"/>
      <c r="O15634" s="124"/>
    </row>
    <row r="15635">
      <c r="K15635" s="124"/>
      <c r="L15635" s="124"/>
      <c r="M15635" s="124"/>
      <c r="N15635" s="124"/>
      <c r="O15635" s="124"/>
    </row>
    <row r="15636">
      <c r="K15636" s="124"/>
      <c r="L15636" s="124"/>
      <c r="M15636" s="124"/>
      <c r="N15636" s="124"/>
      <c r="O15636" s="124"/>
    </row>
    <row r="15637">
      <c r="K15637" s="124"/>
      <c r="L15637" s="124"/>
      <c r="M15637" s="124"/>
      <c r="N15637" s="124"/>
      <c r="O15637" s="124"/>
    </row>
    <row r="15638">
      <c r="K15638" s="124"/>
      <c r="L15638" s="124"/>
      <c r="M15638" s="124"/>
      <c r="N15638" s="124"/>
      <c r="O15638" s="124"/>
    </row>
    <row r="15639">
      <c r="K15639" s="124"/>
      <c r="L15639" s="124"/>
      <c r="M15639" s="124"/>
      <c r="N15639" s="124"/>
      <c r="O15639" s="124"/>
    </row>
    <row r="15640">
      <c r="K15640" s="124"/>
      <c r="L15640" s="124"/>
      <c r="M15640" s="124"/>
      <c r="N15640" s="124"/>
      <c r="O15640" s="124"/>
    </row>
    <row r="15641">
      <c r="K15641" s="124"/>
      <c r="L15641" s="124"/>
      <c r="M15641" s="124"/>
      <c r="N15641" s="124"/>
      <c r="O15641" s="124"/>
    </row>
    <row r="15642">
      <c r="K15642" s="124"/>
      <c r="L15642" s="124"/>
      <c r="M15642" s="124"/>
      <c r="N15642" s="124"/>
      <c r="O15642" s="124"/>
    </row>
    <row r="15643">
      <c r="K15643" s="124"/>
      <c r="L15643" s="124"/>
      <c r="M15643" s="124"/>
      <c r="N15643" s="124"/>
      <c r="O15643" s="124"/>
    </row>
    <row r="15644">
      <c r="K15644" s="124"/>
      <c r="L15644" s="124"/>
      <c r="M15644" s="124"/>
      <c r="N15644" s="124"/>
      <c r="O15644" s="124"/>
    </row>
    <row r="15645">
      <c r="K15645" s="124"/>
      <c r="L15645" s="124"/>
      <c r="M15645" s="124"/>
      <c r="N15645" s="124"/>
      <c r="O15645" s="124"/>
    </row>
    <row r="15646">
      <c r="K15646" s="124"/>
      <c r="L15646" s="124"/>
      <c r="M15646" s="124"/>
      <c r="N15646" s="124"/>
      <c r="O15646" s="124"/>
    </row>
    <row r="15647">
      <c r="K15647" s="124"/>
      <c r="L15647" s="124"/>
      <c r="M15647" s="124"/>
      <c r="N15647" s="124"/>
      <c r="O15647" s="124"/>
    </row>
    <row r="15648">
      <c r="K15648" s="124"/>
      <c r="L15648" s="124"/>
      <c r="M15648" s="124"/>
      <c r="N15648" s="124"/>
      <c r="O15648" s="124"/>
    </row>
    <row r="15649">
      <c r="K15649" s="124"/>
      <c r="L15649" s="124"/>
      <c r="M15649" s="124"/>
      <c r="N15649" s="124"/>
      <c r="O15649" s="124"/>
    </row>
    <row r="15650">
      <c r="K15650" s="124"/>
      <c r="L15650" s="124"/>
      <c r="M15650" s="124"/>
      <c r="N15650" s="124"/>
      <c r="O15650" s="124"/>
    </row>
    <row r="15651">
      <c r="K15651" s="124"/>
      <c r="L15651" s="124"/>
      <c r="M15651" s="124"/>
      <c r="N15651" s="124"/>
      <c r="O15651" s="124"/>
    </row>
    <row r="15652">
      <c r="K15652" s="124"/>
      <c r="L15652" s="124"/>
      <c r="M15652" s="124"/>
      <c r="N15652" s="124"/>
      <c r="O15652" s="124"/>
    </row>
    <row r="15653">
      <c r="K15653" s="124"/>
      <c r="L15653" s="124"/>
      <c r="M15653" s="124"/>
      <c r="N15653" s="124"/>
      <c r="O15653" s="124"/>
    </row>
    <row r="15654">
      <c r="K15654" s="124"/>
      <c r="L15654" s="124"/>
      <c r="M15654" s="124"/>
      <c r="N15654" s="124"/>
      <c r="O15654" s="124"/>
    </row>
    <row r="15655">
      <c r="K15655" s="124"/>
      <c r="L15655" s="124"/>
      <c r="M15655" s="124"/>
      <c r="N15655" s="124"/>
      <c r="O15655" s="124"/>
    </row>
    <row r="15656">
      <c r="K15656" s="124"/>
      <c r="L15656" s="124"/>
      <c r="M15656" s="124"/>
      <c r="N15656" s="124"/>
      <c r="O15656" s="124"/>
    </row>
    <row r="15657">
      <c r="K15657" s="124"/>
      <c r="L15657" s="124"/>
      <c r="M15657" s="124"/>
      <c r="N15657" s="124"/>
      <c r="O15657" s="124"/>
    </row>
    <row r="15658">
      <c r="K15658" s="124"/>
      <c r="L15658" s="124"/>
      <c r="M15658" s="124"/>
      <c r="N15658" s="124"/>
      <c r="O15658" s="124"/>
    </row>
    <row r="15659">
      <c r="K15659" s="124"/>
      <c r="L15659" s="124"/>
      <c r="M15659" s="124"/>
      <c r="N15659" s="124"/>
      <c r="O15659" s="124"/>
    </row>
    <row r="15660">
      <c r="K15660" s="124"/>
      <c r="L15660" s="124"/>
      <c r="M15660" s="124"/>
      <c r="N15660" s="124"/>
      <c r="O15660" s="124"/>
    </row>
    <row r="15661">
      <c r="K15661" s="124"/>
      <c r="L15661" s="124"/>
      <c r="M15661" s="124"/>
      <c r="N15661" s="124"/>
      <c r="O15661" s="124"/>
    </row>
    <row r="15662">
      <c r="K15662" s="124"/>
      <c r="L15662" s="124"/>
      <c r="M15662" s="124"/>
      <c r="N15662" s="124"/>
      <c r="O15662" s="124"/>
    </row>
    <row r="15663">
      <c r="K15663" s="124"/>
      <c r="L15663" s="124"/>
      <c r="M15663" s="124"/>
      <c r="N15663" s="124"/>
      <c r="O15663" s="124"/>
    </row>
    <row r="15664">
      <c r="K15664" s="124"/>
      <c r="L15664" s="124"/>
      <c r="M15664" s="124"/>
      <c r="N15664" s="124"/>
      <c r="O15664" s="124"/>
    </row>
    <row r="15665">
      <c r="K15665" s="124"/>
      <c r="L15665" s="124"/>
      <c r="M15665" s="124"/>
      <c r="N15665" s="124"/>
      <c r="O15665" s="124"/>
    </row>
    <row r="15666">
      <c r="K15666" s="124"/>
      <c r="L15666" s="124"/>
      <c r="M15666" s="124"/>
      <c r="N15666" s="124"/>
      <c r="O15666" s="124"/>
    </row>
    <row r="15667">
      <c r="K15667" s="124"/>
      <c r="L15667" s="124"/>
      <c r="M15667" s="124"/>
      <c r="N15667" s="124"/>
      <c r="O15667" s="124"/>
    </row>
    <row r="15668">
      <c r="K15668" s="124"/>
      <c r="L15668" s="124"/>
      <c r="M15668" s="124"/>
      <c r="N15668" s="124"/>
      <c r="O15668" s="124"/>
    </row>
    <row r="15669">
      <c r="K15669" s="124"/>
      <c r="L15669" s="124"/>
      <c r="M15669" s="124"/>
      <c r="N15669" s="124"/>
      <c r="O15669" s="124"/>
    </row>
    <row r="15670">
      <c r="K15670" s="124"/>
      <c r="L15670" s="124"/>
      <c r="M15670" s="124"/>
      <c r="N15670" s="124"/>
      <c r="O15670" s="124"/>
    </row>
    <row r="15671">
      <c r="K15671" s="124"/>
      <c r="L15671" s="124"/>
      <c r="M15671" s="124"/>
      <c r="N15671" s="124"/>
      <c r="O15671" s="124"/>
    </row>
    <row r="15672">
      <c r="K15672" s="124"/>
      <c r="L15672" s="124"/>
      <c r="M15672" s="124"/>
      <c r="N15672" s="124"/>
      <c r="O15672" s="124"/>
    </row>
    <row r="15673">
      <c r="K15673" s="124"/>
      <c r="L15673" s="124"/>
      <c r="M15673" s="124"/>
      <c r="N15673" s="124"/>
      <c r="O15673" s="124"/>
    </row>
    <row r="15674">
      <c r="K15674" s="124"/>
      <c r="L15674" s="124"/>
      <c r="M15674" s="124"/>
      <c r="N15674" s="124"/>
      <c r="O15674" s="124"/>
    </row>
    <row r="15675">
      <c r="K15675" s="124"/>
      <c r="L15675" s="124"/>
      <c r="M15675" s="124"/>
      <c r="N15675" s="124"/>
      <c r="O15675" s="124"/>
    </row>
    <row r="15676">
      <c r="K15676" s="124"/>
      <c r="L15676" s="124"/>
      <c r="M15676" s="124"/>
      <c r="N15676" s="124"/>
      <c r="O15676" s="124"/>
    </row>
    <row r="15677">
      <c r="K15677" s="124"/>
      <c r="L15677" s="124"/>
      <c r="M15677" s="124"/>
      <c r="N15677" s="124"/>
      <c r="O15677" s="124"/>
    </row>
    <row r="15678">
      <c r="K15678" s="124"/>
      <c r="L15678" s="124"/>
      <c r="M15678" s="124"/>
      <c r="N15678" s="124"/>
      <c r="O15678" s="124"/>
    </row>
    <row r="15679">
      <c r="K15679" s="124"/>
      <c r="L15679" s="124"/>
      <c r="M15679" s="124"/>
      <c r="N15679" s="124"/>
      <c r="O15679" s="124"/>
    </row>
    <row r="15680">
      <c r="K15680" s="124"/>
      <c r="L15680" s="124"/>
      <c r="M15680" s="124"/>
      <c r="N15680" s="124"/>
      <c r="O15680" s="124"/>
    </row>
    <row r="15681">
      <c r="K15681" s="124"/>
      <c r="L15681" s="124"/>
      <c r="M15681" s="124"/>
      <c r="N15681" s="124"/>
      <c r="O15681" s="124"/>
    </row>
    <row r="15682">
      <c r="K15682" s="124"/>
      <c r="L15682" s="124"/>
      <c r="M15682" s="124"/>
      <c r="N15682" s="124"/>
      <c r="O15682" s="124"/>
    </row>
    <row r="15683">
      <c r="K15683" s="124"/>
      <c r="L15683" s="124"/>
      <c r="M15683" s="124"/>
      <c r="N15683" s="124"/>
      <c r="O15683" s="124"/>
    </row>
    <row r="15684">
      <c r="K15684" s="124"/>
      <c r="L15684" s="124"/>
      <c r="M15684" s="124"/>
      <c r="N15684" s="124"/>
      <c r="O15684" s="124"/>
    </row>
    <row r="15685">
      <c r="K15685" s="124"/>
      <c r="L15685" s="124"/>
      <c r="M15685" s="124"/>
      <c r="N15685" s="124"/>
      <c r="O15685" s="124"/>
    </row>
    <row r="15686">
      <c r="K15686" s="124"/>
      <c r="L15686" s="124"/>
      <c r="M15686" s="124"/>
      <c r="N15686" s="124"/>
      <c r="O15686" s="124"/>
    </row>
    <row r="15687">
      <c r="K15687" s="124"/>
      <c r="L15687" s="124"/>
      <c r="M15687" s="124"/>
      <c r="N15687" s="124"/>
      <c r="O15687" s="124"/>
    </row>
    <row r="15688">
      <c r="K15688" s="124"/>
      <c r="L15688" s="124"/>
      <c r="M15688" s="124"/>
      <c r="N15688" s="124"/>
      <c r="O15688" s="124"/>
    </row>
    <row r="15689">
      <c r="K15689" s="124"/>
      <c r="L15689" s="124"/>
      <c r="M15689" s="124"/>
      <c r="N15689" s="124"/>
      <c r="O15689" s="124"/>
    </row>
    <row r="15690">
      <c r="K15690" s="124"/>
      <c r="L15690" s="124"/>
      <c r="M15690" s="124"/>
      <c r="N15690" s="124"/>
      <c r="O15690" s="124"/>
    </row>
    <row r="15691">
      <c r="K15691" s="124"/>
      <c r="L15691" s="124"/>
      <c r="M15691" s="124"/>
      <c r="N15691" s="124"/>
      <c r="O15691" s="124"/>
    </row>
    <row r="15692">
      <c r="K15692" s="124"/>
      <c r="L15692" s="124"/>
      <c r="M15692" s="124"/>
      <c r="N15692" s="124"/>
      <c r="O15692" s="124"/>
    </row>
    <row r="15693">
      <c r="K15693" s="124"/>
      <c r="L15693" s="124"/>
      <c r="M15693" s="124"/>
      <c r="N15693" s="124"/>
      <c r="O15693" s="124"/>
    </row>
    <row r="15694">
      <c r="K15694" s="124"/>
      <c r="L15694" s="124"/>
      <c r="M15694" s="124"/>
      <c r="N15694" s="124"/>
      <c r="O15694" s="124"/>
    </row>
    <row r="15695">
      <c r="K15695" s="124"/>
      <c r="L15695" s="124"/>
      <c r="M15695" s="124"/>
      <c r="N15695" s="124"/>
      <c r="O15695" s="124"/>
    </row>
    <row r="15696">
      <c r="K15696" s="124"/>
      <c r="L15696" s="124"/>
      <c r="M15696" s="124"/>
      <c r="N15696" s="124"/>
      <c r="O15696" s="124"/>
    </row>
    <row r="15697">
      <c r="K15697" s="124"/>
      <c r="L15697" s="124"/>
      <c r="M15697" s="124"/>
      <c r="N15697" s="124"/>
      <c r="O15697" s="124"/>
    </row>
    <row r="15698">
      <c r="K15698" s="124"/>
      <c r="L15698" s="124"/>
      <c r="M15698" s="124"/>
      <c r="N15698" s="124"/>
      <c r="O15698" s="124"/>
    </row>
    <row r="15699">
      <c r="K15699" s="124"/>
      <c r="L15699" s="124"/>
      <c r="M15699" s="124"/>
      <c r="N15699" s="124"/>
      <c r="O15699" s="124"/>
    </row>
    <row r="15700">
      <c r="K15700" s="124"/>
      <c r="L15700" s="124"/>
      <c r="M15700" s="124"/>
      <c r="N15700" s="124"/>
      <c r="O15700" s="124"/>
    </row>
    <row r="15701">
      <c r="K15701" s="124"/>
      <c r="L15701" s="124"/>
      <c r="M15701" s="124"/>
      <c r="N15701" s="124"/>
      <c r="O15701" s="124"/>
    </row>
    <row r="15702">
      <c r="K15702" s="124"/>
      <c r="L15702" s="124"/>
      <c r="M15702" s="124"/>
      <c r="N15702" s="124"/>
      <c r="O15702" s="124"/>
    </row>
    <row r="15703">
      <c r="K15703" s="124"/>
      <c r="L15703" s="124"/>
      <c r="M15703" s="124"/>
      <c r="N15703" s="124"/>
      <c r="O15703" s="124"/>
    </row>
    <row r="15704">
      <c r="K15704" s="124"/>
      <c r="L15704" s="124"/>
      <c r="M15704" s="124"/>
      <c r="N15704" s="124"/>
      <c r="O15704" s="124"/>
    </row>
    <row r="15705">
      <c r="K15705" s="124"/>
      <c r="L15705" s="124"/>
      <c r="M15705" s="124"/>
      <c r="N15705" s="124"/>
      <c r="O15705" s="124"/>
    </row>
    <row r="15706">
      <c r="K15706" s="124"/>
      <c r="L15706" s="124"/>
      <c r="M15706" s="124"/>
      <c r="N15706" s="124"/>
      <c r="O15706" s="124"/>
    </row>
    <row r="15707">
      <c r="K15707" s="124"/>
      <c r="L15707" s="124"/>
      <c r="M15707" s="124"/>
      <c r="N15707" s="124"/>
      <c r="O15707" s="124"/>
    </row>
    <row r="15708">
      <c r="K15708" s="124"/>
      <c r="L15708" s="124"/>
      <c r="M15708" s="124"/>
      <c r="N15708" s="124"/>
      <c r="O15708" s="124"/>
    </row>
    <row r="15709">
      <c r="K15709" s="124"/>
      <c r="L15709" s="124"/>
      <c r="M15709" s="124"/>
      <c r="N15709" s="124"/>
      <c r="O15709" s="124"/>
    </row>
    <row r="15710">
      <c r="K15710" s="124"/>
      <c r="L15710" s="124"/>
      <c r="M15710" s="124"/>
      <c r="N15710" s="124"/>
      <c r="O15710" s="124"/>
    </row>
    <row r="15711">
      <c r="K15711" s="124"/>
      <c r="L15711" s="124"/>
      <c r="M15711" s="124"/>
      <c r="N15711" s="124"/>
      <c r="O15711" s="124"/>
    </row>
    <row r="15712">
      <c r="K15712" s="124"/>
      <c r="L15712" s="124"/>
      <c r="M15712" s="124"/>
      <c r="N15712" s="124"/>
      <c r="O15712" s="124"/>
    </row>
    <row r="15713">
      <c r="K15713" s="124"/>
      <c r="L15713" s="124"/>
      <c r="M15713" s="124"/>
      <c r="N15713" s="124"/>
      <c r="O15713" s="124"/>
    </row>
    <row r="15714">
      <c r="K15714" s="124"/>
      <c r="L15714" s="124"/>
      <c r="M15714" s="124"/>
      <c r="N15714" s="124"/>
      <c r="O15714" s="124"/>
    </row>
    <row r="15715">
      <c r="K15715" s="124"/>
      <c r="L15715" s="124"/>
      <c r="M15715" s="124"/>
      <c r="N15715" s="124"/>
      <c r="O15715" s="124"/>
    </row>
    <row r="15716">
      <c r="K15716" s="124"/>
      <c r="L15716" s="124"/>
      <c r="M15716" s="124"/>
      <c r="N15716" s="124"/>
      <c r="O15716" s="124"/>
    </row>
    <row r="15717">
      <c r="K15717" s="124"/>
      <c r="L15717" s="124"/>
      <c r="M15717" s="124"/>
      <c r="N15717" s="124"/>
      <c r="O15717" s="124"/>
    </row>
    <row r="15718">
      <c r="K15718" s="124"/>
      <c r="L15718" s="124"/>
      <c r="M15718" s="124"/>
      <c r="N15718" s="124"/>
      <c r="O15718" s="124"/>
    </row>
    <row r="15719">
      <c r="K15719" s="124"/>
      <c r="L15719" s="124"/>
      <c r="M15719" s="124"/>
      <c r="N15719" s="124"/>
      <c r="O15719" s="124"/>
    </row>
    <row r="15720">
      <c r="K15720" s="124"/>
      <c r="L15720" s="124"/>
      <c r="M15720" s="124"/>
      <c r="N15720" s="124"/>
      <c r="O15720" s="124"/>
    </row>
    <row r="15721">
      <c r="K15721" s="124"/>
      <c r="L15721" s="124"/>
      <c r="M15721" s="124"/>
      <c r="N15721" s="124"/>
      <c r="O15721" s="124"/>
    </row>
    <row r="15722">
      <c r="K15722" s="124"/>
      <c r="L15722" s="124"/>
      <c r="M15722" s="124"/>
      <c r="N15722" s="124"/>
      <c r="O15722" s="124"/>
    </row>
    <row r="15723">
      <c r="K15723" s="124"/>
      <c r="L15723" s="124"/>
      <c r="M15723" s="124"/>
      <c r="N15723" s="124"/>
      <c r="O15723" s="124"/>
    </row>
    <row r="15724">
      <c r="K15724" s="124"/>
      <c r="L15724" s="124"/>
      <c r="M15724" s="124"/>
      <c r="N15724" s="124"/>
      <c r="O15724" s="124"/>
    </row>
    <row r="15725">
      <c r="K15725" s="124"/>
      <c r="L15725" s="124"/>
      <c r="M15725" s="124"/>
      <c r="N15725" s="124"/>
      <c r="O15725" s="124"/>
    </row>
    <row r="15726">
      <c r="K15726" s="124"/>
      <c r="L15726" s="124"/>
      <c r="M15726" s="124"/>
      <c r="N15726" s="124"/>
      <c r="O15726" s="124"/>
    </row>
    <row r="15727">
      <c r="K15727" s="124"/>
      <c r="L15727" s="124"/>
      <c r="M15727" s="124"/>
      <c r="N15727" s="124"/>
      <c r="O15727" s="124"/>
    </row>
    <row r="15728">
      <c r="K15728" s="124"/>
      <c r="L15728" s="124"/>
      <c r="M15728" s="124"/>
      <c r="N15728" s="124"/>
      <c r="O15728" s="124"/>
    </row>
    <row r="15729">
      <c r="K15729" s="124"/>
      <c r="L15729" s="124"/>
      <c r="M15729" s="124"/>
      <c r="N15729" s="124"/>
      <c r="O15729" s="124"/>
    </row>
    <row r="15730">
      <c r="K15730" s="124"/>
      <c r="L15730" s="124"/>
      <c r="M15730" s="124"/>
      <c r="N15730" s="124"/>
      <c r="O15730" s="124"/>
    </row>
    <row r="15731">
      <c r="K15731" s="124"/>
      <c r="L15731" s="124"/>
      <c r="M15731" s="124"/>
      <c r="N15731" s="124"/>
      <c r="O15731" s="124"/>
    </row>
    <row r="15732">
      <c r="K15732" s="124"/>
      <c r="L15732" s="124"/>
      <c r="M15732" s="124"/>
      <c r="N15732" s="124"/>
      <c r="O15732" s="124"/>
    </row>
    <row r="15733">
      <c r="K15733" s="124"/>
      <c r="L15733" s="124"/>
      <c r="M15733" s="124"/>
      <c r="N15733" s="124"/>
      <c r="O15733" s="124"/>
    </row>
    <row r="15734">
      <c r="K15734" s="124"/>
      <c r="L15734" s="124"/>
      <c r="M15734" s="124"/>
      <c r="N15734" s="124"/>
      <c r="O15734" s="124"/>
    </row>
    <row r="15735">
      <c r="K15735" s="124"/>
      <c r="L15735" s="124"/>
      <c r="M15735" s="124"/>
      <c r="N15735" s="124"/>
      <c r="O15735" s="124"/>
    </row>
    <row r="15736">
      <c r="K15736" s="124"/>
      <c r="L15736" s="124"/>
      <c r="M15736" s="124"/>
      <c r="N15736" s="124"/>
      <c r="O15736" s="124"/>
    </row>
    <row r="15737">
      <c r="K15737" s="124"/>
      <c r="L15737" s="124"/>
      <c r="M15737" s="124"/>
      <c r="N15737" s="124"/>
      <c r="O15737" s="124"/>
    </row>
    <row r="15738">
      <c r="K15738" s="124"/>
      <c r="L15738" s="124"/>
      <c r="M15738" s="124"/>
      <c r="N15738" s="124"/>
      <c r="O15738" s="124"/>
    </row>
    <row r="15739">
      <c r="K15739" s="124"/>
      <c r="L15739" s="124"/>
      <c r="M15739" s="124"/>
      <c r="N15739" s="124"/>
      <c r="O15739" s="124"/>
    </row>
    <row r="15740">
      <c r="K15740" s="124"/>
      <c r="L15740" s="124"/>
      <c r="M15740" s="124"/>
      <c r="N15740" s="124"/>
      <c r="O15740" s="124"/>
    </row>
    <row r="15741">
      <c r="K15741" s="124"/>
      <c r="L15741" s="124"/>
      <c r="M15741" s="124"/>
      <c r="N15741" s="124"/>
      <c r="O15741" s="124"/>
    </row>
    <row r="15742">
      <c r="K15742" s="124"/>
      <c r="L15742" s="124"/>
      <c r="M15742" s="124"/>
      <c r="N15742" s="124"/>
      <c r="O15742" s="124"/>
    </row>
    <row r="15743">
      <c r="K15743" s="124"/>
      <c r="L15743" s="124"/>
      <c r="M15743" s="124"/>
      <c r="N15743" s="124"/>
      <c r="O15743" s="124"/>
    </row>
    <row r="15744">
      <c r="K15744" s="124"/>
      <c r="L15744" s="124"/>
      <c r="M15744" s="124"/>
      <c r="N15744" s="124"/>
      <c r="O15744" s="124"/>
    </row>
    <row r="15745">
      <c r="K15745" s="124"/>
      <c r="L15745" s="124"/>
      <c r="M15745" s="124"/>
      <c r="N15745" s="124"/>
      <c r="O15745" s="124"/>
    </row>
    <row r="15746">
      <c r="K15746" s="124"/>
      <c r="L15746" s="124"/>
      <c r="M15746" s="124"/>
      <c r="N15746" s="124"/>
      <c r="O15746" s="124"/>
    </row>
    <row r="15747">
      <c r="K15747" s="124"/>
      <c r="L15747" s="124"/>
      <c r="M15747" s="124"/>
      <c r="N15747" s="124"/>
      <c r="O15747" s="124"/>
    </row>
    <row r="15748">
      <c r="K15748" s="124"/>
      <c r="L15748" s="124"/>
      <c r="M15748" s="124"/>
      <c r="N15748" s="124"/>
      <c r="O15748" s="124"/>
    </row>
    <row r="15749">
      <c r="K15749" s="124"/>
      <c r="L15749" s="124"/>
      <c r="M15749" s="124"/>
      <c r="N15749" s="124"/>
      <c r="O15749" s="124"/>
    </row>
    <row r="15750">
      <c r="K15750" s="124"/>
      <c r="L15750" s="124"/>
      <c r="M15750" s="124"/>
      <c r="N15750" s="124"/>
      <c r="O15750" s="124"/>
    </row>
    <row r="15751">
      <c r="K15751" s="124"/>
      <c r="L15751" s="124"/>
      <c r="M15751" s="124"/>
      <c r="N15751" s="124"/>
      <c r="O15751" s="124"/>
    </row>
    <row r="15752">
      <c r="K15752" s="124"/>
      <c r="L15752" s="124"/>
      <c r="M15752" s="124"/>
      <c r="N15752" s="124"/>
      <c r="O15752" s="124"/>
    </row>
    <row r="15753">
      <c r="K15753" s="124"/>
      <c r="L15753" s="124"/>
      <c r="M15753" s="124"/>
      <c r="N15753" s="124"/>
      <c r="O15753" s="124"/>
    </row>
    <row r="15754">
      <c r="K15754" s="124"/>
      <c r="L15754" s="124"/>
      <c r="M15754" s="124"/>
      <c r="N15754" s="124"/>
      <c r="O15754" s="124"/>
    </row>
    <row r="15755">
      <c r="K15755" s="124"/>
      <c r="L15755" s="124"/>
      <c r="M15755" s="124"/>
      <c r="N15755" s="124"/>
      <c r="O15755" s="124"/>
    </row>
    <row r="15756">
      <c r="K15756" s="124"/>
      <c r="L15756" s="124"/>
      <c r="M15756" s="124"/>
      <c r="N15756" s="124"/>
      <c r="O15756" s="124"/>
    </row>
    <row r="15757">
      <c r="K15757" s="124"/>
      <c r="L15757" s="124"/>
      <c r="M15757" s="124"/>
      <c r="N15757" s="124"/>
      <c r="O15757" s="124"/>
    </row>
    <row r="15758">
      <c r="K15758" s="124"/>
      <c r="L15758" s="124"/>
      <c r="M15758" s="124"/>
      <c r="N15758" s="124"/>
      <c r="O15758" s="124"/>
    </row>
    <row r="15759">
      <c r="K15759" s="124"/>
      <c r="L15759" s="124"/>
      <c r="M15759" s="124"/>
      <c r="N15759" s="124"/>
      <c r="O15759" s="124"/>
    </row>
    <row r="15760">
      <c r="K15760" s="124"/>
      <c r="L15760" s="124"/>
      <c r="M15760" s="124"/>
      <c r="N15760" s="124"/>
      <c r="O15760" s="124"/>
    </row>
    <row r="15761">
      <c r="K15761" s="124"/>
      <c r="L15761" s="124"/>
      <c r="M15761" s="124"/>
      <c r="N15761" s="124"/>
      <c r="O15761" s="124"/>
    </row>
    <row r="15762">
      <c r="K15762" s="124"/>
      <c r="L15762" s="124"/>
      <c r="M15762" s="124"/>
      <c r="N15762" s="124"/>
      <c r="O15762" s="124"/>
    </row>
    <row r="15763">
      <c r="K15763" s="124"/>
      <c r="L15763" s="124"/>
      <c r="M15763" s="124"/>
      <c r="N15763" s="124"/>
      <c r="O15763" s="124"/>
    </row>
    <row r="15764">
      <c r="K15764" s="124"/>
      <c r="L15764" s="124"/>
      <c r="M15764" s="124"/>
      <c r="N15764" s="124"/>
      <c r="O15764" s="124"/>
    </row>
    <row r="15765">
      <c r="K15765" s="124"/>
      <c r="L15765" s="124"/>
      <c r="M15765" s="124"/>
      <c r="N15765" s="124"/>
      <c r="O15765" s="124"/>
    </row>
    <row r="15766">
      <c r="K15766" s="124"/>
      <c r="L15766" s="124"/>
      <c r="M15766" s="124"/>
      <c r="N15766" s="124"/>
      <c r="O15766" s="124"/>
    </row>
    <row r="15767">
      <c r="K15767" s="124"/>
      <c r="L15767" s="124"/>
      <c r="M15767" s="124"/>
      <c r="N15767" s="124"/>
      <c r="O15767" s="124"/>
    </row>
    <row r="15768">
      <c r="K15768" s="124"/>
      <c r="L15768" s="124"/>
      <c r="M15768" s="124"/>
      <c r="N15768" s="124"/>
      <c r="O15768" s="124"/>
    </row>
    <row r="15769">
      <c r="K15769" s="124"/>
      <c r="L15769" s="124"/>
      <c r="M15769" s="124"/>
      <c r="N15769" s="124"/>
      <c r="O15769" s="124"/>
    </row>
    <row r="15770">
      <c r="K15770" s="124"/>
      <c r="L15770" s="124"/>
      <c r="M15770" s="124"/>
      <c r="N15770" s="124"/>
      <c r="O15770" s="124"/>
    </row>
    <row r="15771">
      <c r="K15771" s="124"/>
      <c r="L15771" s="124"/>
      <c r="M15771" s="124"/>
      <c r="N15771" s="124"/>
      <c r="O15771" s="124"/>
    </row>
    <row r="15772">
      <c r="K15772" s="124"/>
      <c r="L15772" s="124"/>
      <c r="M15772" s="124"/>
      <c r="N15772" s="124"/>
      <c r="O15772" s="124"/>
    </row>
    <row r="15773">
      <c r="K15773" s="124"/>
      <c r="L15773" s="124"/>
      <c r="M15773" s="124"/>
      <c r="N15773" s="124"/>
      <c r="O15773" s="124"/>
    </row>
    <row r="15774">
      <c r="K15774" s="124"/>
      <c r="L15774" s="124"/>
      <c r="M15774" s="124"/>
      <c r="N15774" s="124"/>
      <c r="O15774" s="124"/>
    </row>
    <row r="15775">
      <c r="K15775" s="124"/>
      <c r="L15775" s="124"/>
      <c r="M15775" s="124"/>
      <c r="N15775" s="124"/>
      <c r="O15775" s="124"/>
    </row>
    <row r="15776">
      <c r="K15776" s="124"/>
      <c r="L15776" s="124"/>
      <c r="M15776" s="124"/>
      <c r="N15776" s="124"/>
      <c r="O15776" s="124"/>
    </row>
    <row r="15777">
      <c r="K15777" s="124"/>
      <c r="L15777" s="124"/>
      <c r="M15777" s="124"/>
      <c r="N15777" s="124"/>
      <c r="O15777" s="124"/>
    </row>
    <row r="15778">
      <c r="K15778" s="124"/>
      <c r="L15778" s="124"/>
      <c r="M15778" s="124"/>
      <c r="N15778" s="124"/>
      <c r="O15778" s="124"/>
    </row>
    <row r="15779">
      <c r="K15779" s="124"/>
      <c r="L15779" s="124"/>
      <c r="M15779" s="124"/>
      <c r="N15779" s="124"/>
      <c r="O15779" s="124"/>
    </row>
    <row r="15780">
      <c r="K15780" s="124"/>
      <c r="L15780" s="124"/>
      <c r="M15780" s="124"/>
      <c r="N15780" s="124"/>
      <c r="O15780" s="124"/>
    </row>
    <row r="15781">
      <c r="K15781" s="124"/>
      <c r="L15781" s="124"/>
      <c r="M15781" s="124"/>
      <c r="N15781" s="124"/>
      <c r="O15781" s="124"/>
    </row>
    <row r="15782">
      <c r="K15782" s="124"/>
      <c r="L15782" s="124"/>
      <c r="M15782" s="124"/>
      <c r="N15782" s="124"/>
      <c r="O15782" s="124"/>
    </row>
    <row r="15783">
      <c r="K15783" s="124"/>
      <c r="L15783" s="124"/>
      <c r="M15783" s="124"/>
      <c r="N15783" s="124"/>
      <c r="O15783" s="124"/>
    </row>
    <row r="15784">
      <c r="K15784" s="124"/>
      <c r="L15784" s="124"/>
      <c r="M15784" s="124"/>
      <c r="N15784" s="124"/>
      <c r="O15784" s="124"/>
    </row>
    <row r="15785">
      <c r="K15785" s="124"/>
      <c r="L15785" s="124"/>
      <c r="M15785" s="124"/>
      <c r="N15785" s="124"/>
      <c r="O15785" s="124"/>
    </row>
    <row r="15786">
      <c r="K15786" s="124"/>
      <c r="L15786" s="124"/>
      <c r="M15786" s="124"/>
      <c r="N15786" s="124"/>
      <c r="O15786" s="124"/>
    </row>
    <row r="15787">
      <c r="K15787" s="124"/>
      <c r="L15787" s="124"/>
      <c r="M15787" s="124"/>
      <c r="N15787" s="124"/>
      <c r="O15787" s="124"/>
    </row>
    <row r="15788">
      <c r="K15788" s="124"/>
      <c r="L15788" s="124"/>
      <c r="M15788" s="124"/>
      <c r="N15788" s="124"/>
      <c r="O15788" s="124"/>
    </row>
    <row r="15789">
      <c r="K15789" s="124"/>
      <c r="L15789" s="124"/>
      <c r="M15789" s="124"/>
      <c r="N15789" s="124"/>
      <c r="O15789" s="124"/>
    </row>
    <row r="15790">
      <c r="K15790" s="124"/>
      <c r="L15790" s="124"/>
      <c r="M15790" s="124"/>
      <c r="N15790" s="124"/>
      <c r="O15790" s="124"/>
    </row>
    <row r="15791">
      <c r="K15791" s="124"/>
      <c r="L15791" s="124"/>
      <c r="M15791" s="124"/>
      <c r="N15791" s="124"/>
      <c r="O15791" s="124"/>
    </row>
    <row r="15792">
      <c r="K15792" s="124"/>
      <c r="L15792" s="124"/>
      <c r="M15792" s="124"/>
      <c r="N15792" s="124"/>
      <c r="O15792" s="124"/>
    </row>
    <row r="15793">
      <c r="K15793" s="124"/>
      <c r="L15793" s="124"/>
      <c r="M15793" s="124"/>
      <c r="N15793" s="124"/>
      <c r="O15793" s="124"/>
    </row>
    <row r="15794">
      <c r="K15794" s="124"/>
      <c r="L15794" s="124"/>
      <c r="M15794" s="124"/>
      <c r="N15794" s="124"/>
      <c r="O15794" s="124"/>
    </row>
    <row r="15795">
      <c r="K15795" s="124"/>
      <c r="L15795" s="124"/>
      <c r="M15795" s="124"/>
      <c r="N15795" s="124"/>
      <c r="O15795" s="124"/>
    </row>
    <row r="15796">
      <c r="K15796" s="124"/>
      <c r="L15796" s="124"/>
      <c r="M15796" s="124"/>
      <c r="N15796" s="124"/>
      <c r="O15796" s="124"/>
    </row>
    <row r="15797">
      <c r="K15797" s="124"/>
      <c r="L15797" s="124"/>
      <c r="M15797" s="124"/>
      <c r="N15797" s="124"/>
      <c r="O15797" s="124"/>
    </row>
    <row r="15798">
      <c r="K15798" s="124"/>
      <c r="L15798" s="124"/>
      <c r="M15798" s="124"/>
      <c r="N15798" s="124"/>
      <c r="O15798" s="124"/>
    </row>
    <row r="15799">
      <c r="K15799" s="124"/>
      <c r="L15799" s="124"/>
      <c r="M15799" s="124"/>
      <c r="N15799" s="124"/>
      <c r="O15799" s="124"/>
    </row>
    <row r="15800">
      <c r="K15800" s="124"/>
      <c r="L15800" s="124"/>
      <c r="M15800" s="124"/>
      <c r="N15800" s="124"/>
      <c r="O15800" s="124"/>
    </row>
    <row r="15801">
      <c r="K15801" s="124"/>
      <c r="L15801" s="124"/>
      <c r="M15801" s="124"/>
      <c r="N15801" s="124"/>
      <c r="O15801" s="124"/>
    </row>
    <row r="15802">
      <c r="K15802" s="124"/>
      <c r="L15802" s="124"/>
      <c r="M15802" s="124"/>
      <c r="N15802" s="124"/>
      <c r="O15802" s="124"/>
    </row>
    <row r="15803">
      <c r="K15803" s="124"/>
      <c r="L15803" s="124"/>
      <c r="M15803" s="124"/>
      <c r="N15803" s="124"/>
      <c r="O15803" s="124"/>
    </row>
    <row r="15804">
      <c r="K15804" s="124"/>
      <c r="L15804" s="124"/>
      <c r="M15804" s="124"/>
      <c r="N15804" s="124"/>
      <c r="O15804" s="124"/>
    </row>
    <row r="15805">
      <c r="K15805" s="124"/>
      <c r="L15805" s="124"/>
      <c r="M15805" s="124"/>
      <c r="N15805" s="124"/>
      <c r="O15805" s="124"/>
    </row>
    <row r="15806">
      <c r="K15806" s="124"/>
      <c r="L15806" s="124"/>
      <c r="M15806" s="124"/>
      <c r="N15806" s="124"/>
      <c r="O15806" s="124"/>
    </row>
    <row r="15807">
      <c r="K15807" s="124"/>
      <c r="L15807" s="124"/>
      <c r="M15807" s="124"/>
      <c r="N15807" s="124"/>
      <c r="O15807" s="124"/>
    </row>
    <row r="15808">
      <c r="K15808" s="124"/>
      <c r="L15808" s="124"/>
      <c r="M15808" s="124"/>
      <c r="N15808" s="124"/>
      <c r="O15808" s="124"/>
    </row>
    <row r="15809">
      <c r="K15809" s="124"/>
      <c r="L15809" s="124"/>
      <c r="M15809" s="124"/>
      <c r="N15809" s="124"/>
      <c r="O15809" s="124"/>
    </row>
    <row r="15810">
      <c r="K15810" s="124"/>
      <c r="L15810" s="124"/>
      <c r="M15810" s="124"/>
      <c r="N15810" s="124"/>
      <c r="O15810" s="124"/>
    </row>
    <row r="15811">
      <c r="K15811" s="124"/>
      <c r="L15811" s="124"/>
      <c r="M15811" s="124"/>
      <c r="N15811" s="124"/>
      <c r="O15811" s="124"/>
    </row>
    <row r="15812">
      <c r="K15812" s="124"/>
      <c r="L15812" s="124"/>
      <c r="M15812" s="124"/>
      <c r="N15812" s="124"/>
      <c r="O15812" s="124"/>
    </row>
    <row r="15813">
      <c r="K15813" s="124"/>
      <c r="L15813" s="124"/>
      <c r="M15813" s="124"/>
      <c r="N15813" s="124"/>
      <c r="O15813" s="124"/>
    </row>
    <row r="15814">
      <c r="K15814" s="124"/>
      <c r="L15814" s="124"/>
      <c r="M15814" s="124"/>
      <c r="N15814" s="124"/>
      <c r="O15814" s="124"/>
    </row>
    <row r="15815">
      <c r="K15815" s="124"/>
      <c r="L15815" s="124"/>
      <c r="M15815" s="124"/>
      <c r="N15815" s="124"/>
      <c r="O15815" s="124"/>
    </row>
    <row r="15816">
      <c r="K15816" s="124"/>
      <c r="L15816" s="124"/>
      <c r="M15816" s="124"/>
      <c r="N15816" s="124"/>
      <c r="O15816" s="124"/>
    </row>
    <row r="15817">
      <c r="K15817" s="124"/>
      <c r="L15817" s="124"/>
      <c r="M15817" s="124"/>
      <c r="N15817" s="124"/>
      <c r="O15817" s="124"/>
    </row>
    <row r="15818">
      <c r="K15818" s="124"/>
      <c r="L15818" s="124"/>
      <c r="M15818" s="124"/>
      <c r="N15818" s="124"/>
      <c r="O15818" s="124"/>
    </row>
    <row r="15819">
      <c r="K15819" s="124"/>
      <c r="L15819" s="124"/>
      <c r="M15819" s="124"/>
      <c r="N15819" s="124"/>
      <c r="O15819" s="124"/>
    </row>
    <row r="15820">
      <c r="K15820" s="124"/>
      <c r="L15820" s="124"/>
      <c r="M15820" s="124"/>
      <c r="N15820" s="124"/>
      <c r="O15820" s="124"/>
    </row>
    <row r="15821">
      <c r="K15821" s="124"/>
      <c r="L15821" s="124"/>
      <c r="M15821" s="124"/>
      <c r="N15821" s="124"/>
      <c r="O15821" s="124"/>
    </row>
    <row r="15822">
      <c r="K15822" s="124"/>
      <c r="L15822" s="124"/>
      <c r="M15822" s="124"/>
      <c r="N15822" s="124"/>
      <c r="O15822" s="124"/>
    </row>
    <row r="15823">
      <c r="K15823" s="124"/>
      <c r="L15823" s="124"/>
      <c r="M15823" s="124"/>
      <c r="N15823" s="124"/>
      <c r="O15823" s="124"/>
    </row>
    <row r="15824">
      <c r="K15824" s="124"/>
      <c r="L15824" s="124"/>
      <c r="M15824" s="124"/>
      <c r="N15824" s="124"/>
      <c r="O15824" s="124"/>
    </row>
    <row r="15825">
      <c r="K15825" s="124"/>
      <c r="L15825" s="124"/>
      <c r="M15825" s="124"/>
      <c r="N15825" s="124"/>
      <c r="O15825" s="124"/>
    </row>
    <row r="15826">
      <c r="K15826" s="124"/>
      <c r="L15826" s="124"/>
      <c r="M15826" s="124"/>
      <c r="N15826" s="124"/>
      <c r="O15826" s="124"/>
    </row>
    <row r="15827">
      <c r="K15827" s="124"/>
      <c r="L15827" s="124"/>
      <c r="M15827" s="124"/>
      <c r="N15827" s="124"/>
      <c r="O15827" s="124"/>
    </row>
    <row r="15828">
      <c r="K15828" s="124"/>
      <c r="L15828" s="124"/>
      <c r="M15828" s="124"/>
      <c r="N15828" s="124"/>
      <c r="O15828" s="124"/>
    </row>
    <row r="15829">
      <c r="K15829" s="124"/>
      <c r="L15829" s="124"/>
      <c r="M15829" s="124"/>
      <c r="N15829" s="124"/>
      <c r="O15829" s="124"/>
    </row>
    <row r="15830">
      <c r="K15830" s="124"/>
      <c r="L15830" s="124"/>
      <c r="M15830" s="124"/>
      <c r="N15830" s="124"/>
      <c r="O15830" s="124"/>
    </row>
    <row r="15831">
      <c r="K15831" s="124"/>
      <c r="L15831" s="124"/>
      <c r="M15831" s="124"/>
      <c r="N15831" s="124"/>
      <c r="O15831" s="124"/>
    </row>
    <row r="15832">
      <c r="K15832" s="124"/>
      <c r="L15832" s="124"/>
      <c r="M15832" s="124"/>
      <c r="N15832" s="124"/>
      <c r="O15832" s="124"/>
    </row>
    <row r="15833">
      <c r="K15833" s="124"/>
      <c r="L15833" s="124"/>
      <c r="M15833" s="124"/>
      <c r="N15833" s="124"/>
      <c r="O15833" s="124"/>
    </row>
    <row r="15834">
      <c r="K15834" s="124"/>
      <c r="L15834" s="124"/>
      <c r="M15834" s="124"/>
      <c r="N15834" s="124"/>
      <c r="O15834" s="124"/>
    </row>
    <row r="15835">
      <c r="K15835" s="124"/>
      <c r="L15835" s="124"/>
      <c r="M15835" s="124"/>
      <c r="N15835" s="124"/>
      <c r="O15835" s="124"/>
    </row>
    <row r="15836">
      <c r="K15836" s="124"/>
      <c r="L15836" s="124"/>
      <c r="M15836" s="124"/>
      <c r="N15836" s="124"/>
      <c r="O15836" s="124"/>
    </row>
    <row r="15837">
      <c r="K15837" s="124"/>
      <c r="L15837" s="124"/>
      <c r="M15837" s="124"/>
      <c r="N15837" s="124"/>
      <c r="O15837" s="124"/>
    </row>
    <row r="15838">
      <c r="K15838" s="124"/>
      <c r="L15838" s="124"/>
      <c r="M15838" s="124"/>
      <c r="N15838" s="124"/>
      <c r="O15838" s="124"/>
    </row>
    <row r="15839">
      <c r="K15839" s="124"/>
      <c r="L15839" s="124"/>
      <c r="M15839" s="124"/>
      <c r="N15839" s="124"/>
      <c r="O15839" s="124"/>
    </row>
    <row r="15840">
      <c r="K15840" s="124"/>
      <c r="L15840" s="124"/>
      <c r="M15840" s="124"/>
      <c r="N15840" s="124"/>
      <c r="O15840" s="124"/>
    </row>
    <row r="15841">
      <c r="K15841" s="124"/>
      <c r="L15841" s="124"/>
      <c r="M15841" s="124"/>
      <c r="N15841" s="124"/>
      <c r="O15841" s="124"/>
    </row>
    <row r="15842">
      <c r="K15842" s="124"/>
      <c r="L15842" s="124"/>
      <c r="M15842" s="124"/>
      <c r="N15842" s="124"/>
      <c r="O15842" s="124"/>
    </row>
    <row r="15843">
      <c r="K15843" s="124"/>
      <c r="L15843" s="124"/>
      <c r="M15843" s="124"/>
      <c r="N15843" s="124"/>
      <c r="O15843" s="124"/>
    </row>
    <row r="15844">
      <c r="K15844" s="124"/>
      <c r="L15844" s="124"/>
      <c r="M15844" s="124"/>
      <c r="N15844" s="124"/>
      <c r="O15844" s="124"/>
    </row>
    <row r="15845">
      <c r="K15845" s="124"/>
      <c r="L15845" s="124"/>
      <c r="M15845" s="124"/>
      <c r="N15845" s="124"/>
      <c r="O15845" s="124"/>
    </row>
    <row r="15846">
      <c r="K15846" s="124"/>
      <c r="L15846" s="124"/>
      <c r="M15846" s="124"/>
      <c r="N15846" s="124"/>
      <c r="O15846" s="124"/>
    </row>
    <row r="15847">
      <c r="K15847" s="124"/>
      <c r="L15847" s="124"/>
      <c r="M15847" s="124"/>
      <c r="N15847" s="124"/>
      <c r="O15847" s="124"/>
    </row>
    <row r="15848">
      <c r="K15848" s="124"/>
      <c r="L15848" s="124"/>
      <c r="M15848" s="124"/>
      <c r="N15848" s="124"/>
      <c r="O15848" s="124"/>
    </row>
    <row r="15849">
      <c r="K15849" s="124"/>
      <c r="L15849" s="124"/>
      <c r="M15849" s="124"/>
      <c r="N15849" s="124"/>
      <c r="O15849" s="124"/>
    </row>
    <row r="15850">
      <c r="K15850" s="124"/>
      <c r="L15850" s="124"/>
      <c r="M15850" s="124"/>
      <c r="N15850" s="124"/>
      <c r="O15850" s="124"/>
    </row>
    <row r="15851">
      <c r="K15851" s="124"/>
      <c r="L15851" s="124"/>
      <c r="M15851" s="124"/>
      <c r="N15851" s="124"/>
      <c r="O15851" s="124"/>
    </row>
    <row r="15852">
      <c r="K15852" s="124"/>
      <c r="L15852" s="124"/>
      <c r="M15852" s="124"/>
      <c r="N15852" s="124"/>
      <c r="O15852" s="124"/>
    </row>
    <row r="15853">
      <c r="K15853" s="124"/>
      <c r="L15853" s="124"/>
      <c r="M15853" s="124"/>
      <c r="N15853" s="124"/>
      <c r="O15853" s="124"/>
    </row>
    <row r="15854">
      <c r="K15854" s="124"/>
      <c r="L15854" s="124"/>
      <c r="M15854" s="124"/>
      <c r="N15854" s="124"/>
      <c r="O15854" s="124"/>
    </row>
    <row r="15855">
      <c r="K15855" s="124"/>
      <c r="L15855" s="124"/>
      <c r="M15855" s="124"/>
      <c r="N15855" s="124"/>
      <c r="O15855" s="124"/>
    </row>
    <row r="15856">
      <c r="K15856" s="124"/>
      <c r="L15856" s="124"/>
      <c r="M15856" s="124"/>
      <c r="N15856" s="124"/>
      <c r="O15856" s="124"/>
    </row>
    <row r="15857">
      <c r="K15857" s="124"/>
      <c r="L15857" s="124"/>
      <c r="M15857" s="124"/>
      <c r="N15857" s="124"/>
      <c r="O15857" s="124"/>
    </row>
    <row r="15858">
      <c r="K15858" s="124"/>
      <c r="L15858" s="124"/>
      <c r="M15858" s="124"/>
      <c r="N15858" s="124"/>
      <c r="O15858" s="124"/>
    </row>
    <row r="15859">
      <c r="K15859" s="124"/>
      <c r="L15859" s="124"/>
      <c r="M15859" s="124"/>
      <c r="N15859" s="124"/>
      <c r="O15859" s="124"/>
    </row>
    <row r="15860">
      <c r="K15860" s="124"/>
      <c r="L15860" s="124"/>
      <c r="M15860" s="124"/>
      <c r="N15860" s="124"/>
      <c r="O15860" s="124"/>
    </row>
    <row r="15861">
      <c r="K15861" s="124"/>
      <c r="L15861" s="124"/>
      <c r="M15861" s="124"/>
      <c r="N15861" s="124"/>
      <c r="O15861" s="124"/>
    </row>
    <row r="15862">
      <c r="K15862" s="124"/>
      <c r="L15862" s="124"/>
      <c r="M15862" s="124"/>
      <c r="N15862" s="124"/>
      <c r="O15862" s="124"/>
    </row>
    <row r="15863">
      <c r="K15863" s="124"/>
      <c r="L15863" s="124"/>
      <c r="M15863" s="124"/>
      <c r="N15863" s="124"/>
      <c r="O15863" s="124"/>
    </row>
    <row r="15864">
      <c r="K15864" s="124"/>
      <c r="L15864" s="124"/>
      <c r="M15864" s="124"/>
      <c r="N15864" s="124"/>
      <c r="O15864" s="124"/>
    </row>
    <row r="15865">
      <c r="K15865" s="124"/>
      <c r="L15865" s="124"/>
      <c r="M15865" s="124"/>
      <c r="N15865" s="124"/>
      <c r="O15865" s="124"/>
    </row>
    <row r="15866">
      <c r="K15866" s="124"/>
      <c r="L15866" s="124"/>
      <c r="M15866" s="124"/>
      <c r="N15866" s="124"/>
      <c r="O15866" s="124"/>
    </row>
    <row r="15867">
      <c r="K15867" s="124"/>
      <c r="L15867" s="124"/>
      <c r="M15867" s="124"/>
      <c r="N15867" s="124"/>
      <c r="O15867" s="124"/>
    </row>
    <row r="15868">
      <c r="K15868" s="124"/>
      <c r="L15868" s="124"/>
      <c r="M15868" s="124"/>
      <c r="N15868" s="124"/>
      <c r="O15868" s="124"/>
    </row>
    <row r="15869">
      <c r="K15869" s="124"/>
      <c r="L15869" s="124"/>
      <c r="M15869" s="124"/>
      <c r="N15869" s="124"/>
      <c r="O15869" s="124"/>
    </row>
    <row r="15870">
      <c r="K15870" s="124"/>
      <c r="L15870" s="124"/>
      <c r="M15870" s="124"/>
      <c r="N15870" s="124"/>
      <c r="O15870" s="124"/>
    </row>
    <row r="15871">
      <c r="K15871" s="124"/>
      <c r="L15871" s="124"/>
      <c r="M15871" s="124"/>
      <c r="N15871" s="124"/>
      <c r="O15871" s="124"/>
    </row>
    <row r="15872">
      <c r="K15872" s="124"/>
      <c r="L15872" s="124"/>
      <c r="M15872" s="124"/>
      <c r="N15872" s="124"/>
      <c r="O15872" s="124"/>
    </row>
    <row r="15873">
      <c r="K15873" s="124"/>
      <c r="L15873" s="124"/>
      <c r="M15873" s="124"/>
      <c r="N15873" s="124"/>
      <c r="O15873" s="124"/>
    </row>
    <row r="15874">
      <c r="K15874" s="124"/>
      <c r="L15874" s="124"/>
      <c r="M15874" s="124"/>
      <c r="N15874" s="124"/>
      <c r="O15874" s="124"/>
    </row>
    <row r="15875">
      <c r="K15875" s="124"/>
      <c r="L15875" s="124"/>
      <c r="M15875" s="124"/>
      <c r="N15875" s="124"/>
      <c r="O15875" s="124"/>
    </row>
    <row r="15876">
      <c r="K15876" s="124"/>
      <c r="L15876" s="124"/>
      <c r="M15876" s="124"/>
      <c r="N15876" s="124"/>
      <c r="O15876" s="124"/>
    </row>
    <row r="15877">
      <c r="K15877" s="124"/>
      <c r="L15877" s="124"/>
      <c r="M15877" s="124"/>
      <c r="N15877" s="124"/>
      <c r="O15877" s="124"/>
    </row>
    <row r="15878">
      <c r="K15878" s="124"/>
      <c r="L15878" s="124"/>
      <c r="M15878" s="124"/>
      <c r="N15878" s="124"/>
      <c r="O15878" s="124"/>
    </row>
    <row r="15879">
      <c r="K15879" s="124"/>
      <c r="L15879" s="124"/>
      <c r="M15879" s="124"/>
      <c r="N15879" s="124"/>
      <c r="O15879" s="124"/>
    </row>
    <row r="15880">
      <c r="K15880" s="124"/>
      <c r="L15880" s="124"/>
      <c r="M15880" s="124"/>
      <c r="N15880" s="124"/>
      <c r="O15880" s="124"/>
    </row>
    <row r="15881">
      <c r="K15881" s="124"/>
      <c r="L15881" s="124"/>
      <c r="M15881" s="124"/>
      <c r="N15881" s="124"/>
      <c r="O15881" s="124"/>
    </row>
    <row r="15882">
      <c r="K15882" s="124"/>
      <c r="L15882" s="124"/>
      <c r="M15882" s="124"/>
      <c r="N15882" s="124"/>
      <c r="O15882" s="124"/>
    </row>
    <row r="15883">
      <c r="K15883" s="124"/>
      <c r="L15883" s="124"/>
      <c r="M15883" s="124"/>
      <c r="N15883" s="124"/>
      <c r="O15883" s="124"/>
    </row>
    <row r="15884">
      <c r="K15884" s="124"/>
      <c r="L15884" s="124"/>
      <c r="M15884" s="124"/>
      <c r="N15884" s="124"/>
      <c r="O15884" s="124"/>
    </row>
    <row r="15885">
      <c r="K15885" s="124"/>
      <c r="L15885" s="124"/>
      <c r="M15885" s="124"/>
      <c r="N15885" s="124"/>
      <c r="O15885" s="124"/>
    </row>
    <row r="15886">
      <c r="K15886" s="124"/>
      <c r="L15886" s="124"/>
      <c r="M15886" s="124"/>
      <c r="N15886" s="124"/>
      <c r="O15886" s="124"/>
    </row>
    <row r="15887">
      <c r="K15887" s="124"/>
      <c r="L15887" s="124"/>
      <c r="M15887" s="124"/>
      <c r="N15887" s="124"/>
      <c r="O15887" s="124"/>
    </row>
    <row r="15888">
      <c r="K15888" s="124"/>
      <c r="L15888" s="124"/>
      <c r="M15888" s="124"/>
      <c r="N15888" s="124"/>
      <c r="O15888" s="124"/>
    </row>
    <row r="15889">
      <c r="K15889" s="124"/>
      <c r="L15889" s="124"/>
      <c r="M15889" s="124"/>
      <c r="N15889" s="124"/>
      <c r="O15889" s="124"/>
    </row>
    <row r="15890">
      <c r="K15890" s="124"/>
      <c r="L15890" s="124"/>
      <c r="M15890" s="124"/>
      <c r="N15890" s="124"/>
      <c r="O15890" s="124"/>
    </row>
    <row r="15891">
      <c r="K15891" s="124"/>
      <c r="L15891" s="124"/>
      <c r="M15891" s="124"/>
      <c r="N15891" s="124"/>
      <c r="O15891" s="124"/>
    </row>
    <row r="15892">
      <c r="K15892" s="124"/>
      <c r="L15892" s="124"/>
      <c r="M15892" s="124"/>
      <c r="N15892" s="124"/>
      <c r="O15892" s="124"/>
    </row>
    <row r="15893">
      <c r="K15893" s="124"/>
      <c r="L15893" s="124"/>
      <c r="M15893" s="124"/>
      <c r="N15893" s="124"/>
      <c r="O15893" s="124"/>
    </row>
    <row r="15894">
      <c r="K15894" s="124"/>
      <c r="L15894" s="124"/>
      <c r="M15894" s="124"/>
      <c r="N15894" s="124"/>
      <c r="O15894" s="124"/>
    </row>
    <row r="15895">
      <c r="K15895" s="124"/>
      <c r="L15895" s="124"/>
      <c r="M15895" s="124"/>
      <c r="N15895" s="124"/>
      <c r="O15895" s="124"/>
    </row>
    <row r="15896">
      <c r="K15896" s="124"/>
      <c r="L15896" s="124"/>
      <c r="M15896" s="124"/>
      <c r="N15896" s="124"/>
      <c r="O15896" s="124"/>
    </row>
    <row r="15897">
      <c r="K15897" s="124"/>
      <c r="L15897" s="124"/>
      <c r="M15897" s="124"/>
      <c r="N15897" s="124"/>
      <c r="O15897" s="124"/>
    </row>
    <row r="15898">
      <c r="K15898" s="124"/>
      <c r="L15898" s="124"/>
      <c r="M15898" s="124"/>
      <c r="N15898" s="124"/>
      <c r="O15898" s="124"/>
    </row>
    <row r="15899">
      <c r="K15899" s="124"/>
      <c r="L15899" s="124"/>
      <c r="M15899" s="124"/>
      <c r="N15899" s="124"/>
      <c r="O15899" s="124"/>
    </row>
    <row r="15900">
      <c r="K15900" s="124"/>
      <c r="L15900" s="124"/>
      <c r="M15900" s="124"/>
      <c r="N15900" s="124"/>
      <c r="O15900" s="124"/>
    </row>
    <row r="15901">
      <c r="K15901" s="124"/>
      <c r="L15901" s="124"/>
      <c r="M15901" s="124"/>
      <c r="N15901" s="124"/>
      <c r="O15901" s="124"/>
    </row>
    <row r="15902">
      <c r="K15902" s="124"/>
      <c r="L15902" s="124"/>
      <c r="M15902" s="124"/>
      <c r="N15902" s="124"/>
      <c r="O15902" s="124"/>
    </row>
    <row r="15903">
      <c r="K15903" s="124"/>
      <c r="L15903" s="124"/>
      <c r="M15903" s="124"/>
      <c r="N15903" s="124"/>
      <c r="O15903" s="124"/>
    </row>
    <row r="15904">
      <c r="K15904" s="124"/>
      <c r="L15904" s="124"/>
      <c r="M15904" s="124"/>
      <c r="N15904" s="124"/>
      <c r="O15904" s="124"/>
    </row>
    <row r="15905">
      <c r="K15905" s="124"/>
      <c r="L15905" s="124"/>
      <c r="M15905" s="124"/>
      <c r="N15905" s="124"/>
      <c r="O15905" s="124"/>
    </row>
    <row r="15906">
      <c r="K15906" s="124"/>
      <c r="L15906" s="124"/>
      <c r="M15906" s="124"/>
      <c r="N15906" s="124"/>
      <c r="O15906" s="124"/>
    </row>
    <row r="15907">
      <c r="K15907" s="124"/>
      <c r="L15907" s="124"/>
      <c r="M15907" s="124"/>
      <c r="N15907" s="124"/>
      <c r="O15907" s="124"/>
    </row>
    <row r="15908">
      <c r="K15908" s="124"/>
      <c r="L15908" s="124"/>
      <c r="M15908" s="124"/>
      <c r="N15908" s="124"/>
      <c r="O15908" s="124"/>
    </row>
    <row r="15909">
      <c r="K15909" s="124"/>
      <c r="L15909" s="124"/>
      <c r="M15909" s="124"/>
      <c r="N15909" s="124"/>
      <c r="O15909" s="124"/>
    </row>
    <row r="15910">
      <c r="K15910" s="124"/>
      <c r="L15910" s="124"/>
      <c r="M15910" s="124"/>
      <c r="N15910" s="124"/>
      <c r="O15910" s="124"/>
    </row>
    <row r="15911">
      <c r="K15911" s="124"/>
      <c r="L15911" s="124"/>
      <c r="M15911" s="124"/>
      <c r="N15911" s="124"/>
      <c r="O15911" s="124"/>
    </row>
    <row r="15912">
      <c r="K15912" s="124"/>
      <c r="L15912" s="124"/>
      <c r="M15912" s="124"/>
      <c r="N15912" s="124"/>
      <c r="O15912" s="124"/>
    </row>
    <row r="15913">
      <c r="K15913" s="124"/>
      <c r="L15913" s="124"/>
      <c r="M15913" s="124"/>
      <c r="N15913" s="124"/>
      <c r="O15913" s="124"/>
    </row>
    <row r="15914">
      <c r="K15914" s="124"/>
      <c r="L15914" s="124"/>
      <c r="M15914" s="124"/>
      <c r="N15914" s="124"/>
      <c r="O15914" s="124"/>
    </row>
    <row r="15915">
      <c r="K15915" s="124"/>
      <c r="L15915" s="124"/>
      <c r="M15915" s="124"/>
      <c r="N15915" s="124"/>
      <c r="O15915" s="124"/>
    </row>
    <row r="15916">
      <c r="K15916" s="124"/>
      <c r="L15916" s="124"/>
      <c r="M15916" s="124"/>
      <c r="N15916" s="124"/>
      <c r="O15916" s="124"/>
    </row>
    <row r="15917">
      <c r="K15917" s="124"/>
      <c r="L15917" s="124"/>
      <c r="M15917" s="124"/>
      <c r="N15917" s="124"/>
      <c r="O15917" s="124"/>
    </row>
    <row r="15918">
      <c r="K15918" s="124"/>
      <c r="L15918" s="124"/>
      <c r="M15918" s="124"/>
      <c r="N15918" s="124"/>
      <c r="O15918" s="124"/>
    </row>
    <row r="15919">
      <c r="K15919" s="124"/>
      <c r="L15919" s="124"/>
      <c r="M15919" s="124"/>
      <c r="N15919" s="124"/>
      <c r="O15919" s="124"/>
    </row>
    <row r="15920">
      <c r="K15920" s="124"/>
      <c r="L15920" s="124"/>
      <c r="M15920" s="124"/>
      <c r="N15920" s="124"/>
      <c r="O15920" s="124"/>
    </row>
    <row r="15921">
      <c r="K15921" s="124"/>
      <c r="L15921" s="124"/>
      <c r="M15921" s="124"/>
      <c r="N15921" s="124"/>
      <c r="O15921" s="124"/>
    </row>
    <row r="15922">
      <c r="K15922" s="124"/>
      <c r="L15922" s="124"/>
      <c r="M15922" s="124"/>
      <c r="N15922" s="124"/>
      <c r="O15922" s="124"/>
    </row>
    <row r="15923">
      <c r="K15923" s="124"/>
      <c r="L15923" s="124"/>
      <c r="M15923" s="124"/>
      <c r="N15923" s="124"/>
      <c r="O15923" s="124"/>
    </row>
    <row r="15924">
      <c r="K15924" s="124"/>
      <c r="L15924" s="124"/>
      <c r="M15924" s="124"/>
      <c r="N15924" s="124"/>
      <c r="O15924" s="124"/>
    </row>
    <row r="15925">
      <c r="K15925" s="124"/>
      <c r="L15925" s="124"/>
      <c r="M15925" s="124"/>
      <c r="N15925" s="124"/>
      <c r="O15925" s="124"/>
    </row>
    <row r="15926">
      <c r="K15926" s="124"/>
      <c r="L15926" s="124"/>
      <c r="M15926" s="124"/>
      <c r="N15926" s="124"/>
      <c r="O15926" s="124"/>
    </row>
    <row r="15927">
      <c r="K15927" s="124"/>
      <c r="L15927" s="124"/>
      <c r="M15927" s="124"/>
      <c r="N15927" s="124"/>
      <c r="O15927" s="124"/>
    </row>
    <row r="15928">
      <c r="K15928" s="124"/>
      <c r="L15928" s="124"/>
      <c r="M15928" s="124"/>
      <c r="N15928" s="124"/>
      <c r="O15928" s="124"/>
    </row>
    <row r="15929">
      <c r="K15929" s="124"/>
      <c r="L15929" s="124"/>
      <c r="M15929" s="124"/>
      <c r="N15929" s="124"/>
      <c r="O15929" s="124"/>
    </row>
    <row r="15930">
      <c r="K15930" s="124"/>
      <c r="L15930" s="124"/>
      <c r="M15930" s="124"/>
      <c r="N15930" s="124"/>
      <c r="O15930" s="124"/>
    </row>
    <row r="15931">
      <c r="K15931" s="124"/>
      <c r="L15931" s="124"/>
      <c r="M15931" s="124"/>
      <c r="N15931" s="124"/>
      <c r="O15931" s="124"/>
    </row>
    <row r="15932">
      <c r="K15932" s="124"/>
      <c r="L15932" s="124"/>
      <c r="M15932" s="124"/>
      <c r="N15932" s="124"/>
      <c r="O15932" s="124"/>
    </row>
    <row r="15933">
      <c r="K15933" s="124"/>
      <c r="L15933" s="124"/>
      <c r="M15933" s="124"/>
      <c r="N15933" s="124"/>
      <c r="O15933" s="124"/>
    </row>
    <row r="15934">
      <c r="K15934" s="124"/>
      <c r="L15934" s="124"/>
      <c r="M15934" s="124"/>
      <c r="N15934" s="124"/>
      <c r="O15934" s="124"/>
    </row>
    <row r="15935">
      <c r="K15935" s="124"/>
      <c r="L15935" s="124"/>
      <c r="M15935" s="124"/>
      <c r="N15935" s="124"/>
      <c r="O15935" s="124"/>
    </row>
    <row r="15936">
      <c r="K15936" s="124"/>
      <c r="L15936" s="124"/>
      <c r="M15936" s="124"/>
      <c r="N15936" s="124"/>
      <c r="O15936" s="124"/>
    </row>
    <row r="15937">
      <c r="K15937" s="124"/>
      <c r="L15937" s="124"/>
      <c r="M15937" s="124"/>
      <c r="N15937" s="124"/>
      <c r="O15937" s="124"/>
    </row>
    <row r="15938">
      <c r="K15938" s="124"/>
      <c r="L15938" s="124"/>
      <c r="M15938" s="124"/>
      <c r="N15938" s="124"/>
      <c r="O15938" s="124"/>
    </row>
    <row r="15939">
      <c r="K15939" s="124"/>
      <c r="L15939" s="124"/>
      <c r="M15939" s="124"/>
      <c r="N15939" s="124"/>
      <c r="O15939" s="124"/>
    </row>
    <row r="15940">
      <c r="K15940" s="124"/>
      <c r="L15940" s="124"/>
      <c r="M15940" s="124"/>
      <c r="N15940" s="124"/>
      <c r="O15940" s="124"/>
    </row>
    <row r="15941">
      <c r="K15941" s="124"/>
      <c r="L15941" s="124"/>
      <c r="M15941" s="124"/>
      <c r="N15941" s="124"/>
      <c r="O15941" s="124"/>
    </row>
    <row r="15942">
      <c r="K15942" s="124"/>
      <c r="L15942" s="124"/>
      <c r="M15942" s="124"/>
      <c r="N15942" s="124"/>
      <c r="O15942" s="124"/>
    </row>
    <row r="15943">
      <c r="K15943" s="124"/>
      <c r="L15943" s="124"/>
      <c r="M15943" s="124"/>
      <c r="N15943" s="124"/>
      <c r="O15943" s="124"/>
    </row>
    <row r="15944">
      <c r="K15944" s="124"/>
      <c r="L15944" s="124"/>
      <c r="M15944" s="124"/>
      <c r="N15944" s="124"/>
      <c r="O15944" s="124"/>
    </row>
    <row r="15945">
      <c r="K15945" s="124"/>
      <c r="L15945" s="124"/>
      <c r="M15945" s="124"/>
      <c r="N15945" s="124"/>
      <c r="O15945" s="124"/>
    </row>
    <row r="15946">
      <c r="K15946" s="124"/>
      <c r="L15946" s="124"/>
      <c r="M15946" s="124"/>
      <c r="N15946" s="124"/>
      <c r="O15946" s="124"/>
    </row>
    <row r="15947">
      <c r="K15947" s="124"/>
      <c r="L15947" s="124"/>
      <c r="M15947" s="124"/>
      <c r="N15947" s="124"/>
      <c r="O15947" s="124"/>
    </row>
    <row r="15948">
      <c r="K15948" s="124"/>
      <c r="L15948" s="124"/>
      <c r="M15948" s="124"/>
      <c r="N15948" s="124"/>
      <c r="O15948" s="124"/>
    </row>
    <row r="15949">
      <c r="K15949" s="124"/>
      <c r="L15949" s="124"/>
      <c r="M15949" s="124"/>
      <c r="N15949" s="124"/>
      <c r="O15949" s="124"/>
    </row>
    <row r="15950">
      <c r="K15950" s="124"/>
      <c r="L15950" s="124"/>
      <c r="M15950" s="124"/>
      <c r="N15950" s="124"/>
      <c r="O15950" s="124"/>
    </row>
    <row r="15951">
      <c r="K15951" s="124"/>
      <c r="L15951" s="124"/>
      <c r="M15951" s="124"/>
      <c r="N15951" s="124"/>
      <c r="O15951" s="124"/>
    </row>
    <row r="15952">
      <c r="K15952" s="124"/>
      <c r="L15952" s="124"/>
      <c r="M15952" s="124"/>
      <c r="N15952" s="124"/>
      <c r="O15952" s="124"/>
    </row>
    <row r="15953">
      <c r="K15953" s="124"/>
      <c r="L15953" s="124"/>
      <c r="M15953" s="124"/>
      <c r="N15953" s="124"/>
      <c r="O15953" s="124"/>
    </row>
    <row r="15954">
      <c r="K15954" s="124"/>
      <c r="L15954" s="124"/>
      <c r="M15954" s="124"/>
      <c r="N15954" s="124"/>
      <c r="O15954" s="124"/>
    </row>
    <row r="15955">
      <c r="K15955" s="124"/>
      <c r="L15955" s="124"/>
      <c r="M15955" s="124"/>
      <c r="N15955" s="124"/>
      <c r="O15955" s="124"/>
    </row>
    <row r="15956">
      <c r="K15956" s="124"/>
      <c r="L15956" s="124"/>
      <c r="M15956" s="124"/>
      <c r="N15956" s="124"/>
      <c r="O15956" s="124"/>
    </row>
    <row r="15957">
      <c r="K15957" s="124"/>
      <c r="L15957" s="124"/>
      <c r="M15957" s="124"/>
      <c r="N15957" s="124"/>
      <c r="O15957" s="124"/>
    </row>
    <row r="15958">
      <c r="K15958" s="124"/>
      <c r="L15958" s="124"/>
      <c r="M15958" s="124"/>
      <c r="N15958" s="124"/>
      <c r="O15958" s="124"/>
    </row>
    <row r="15959">
      <c r="K15959" s="124"/>
      <c r="L15959" s="124"/>
      <c r="M15959" s="124"/>
      <c r="N15959" s="124"/>
      <c r="O15959" s="124"/>
    </row>
    <row r="15960">
      <c r="K15960" s="124"/>
      <c r="L15960" s="124"/>
      <c r="M15960" s="124"/>
      <c r="N15960" s="124"/>
      <c r="O15960" s="124"/>
    </row>
    <row r="15961">
      <c r="K15961" s="124"/>
      <c r="L15961" s="124"/>
      <c r="M15961" s="124"/>
      <c r="N15961" s="124"/>
      <c r="O15961" s="124"/>
    </row>
    <row r="15962">
      <c r="K15962" s="124"/>
      <c r="L15962" s="124"/>
      <c r="M15962" s="124"/>
      <c r="N15962" s="124"/>
      <c r="O15962" s="124"/>
    </row>
    <row r="15963">
      <c r="K15963" s="124"/>
      <c r="L15963" s="124"/>
      <c r="M15963" s="124"/>
      <c r="N15963" s="124"/>
      <c r="O15963" s="124"/>
    </row>
    <row r="15964">
      <c r="K15964" s="124"/>
      <c r="L15964" s="124"/>
      <c r="M15964" s="124"/>
      <c r="N15964" s="124"/>
      <c r="O15964" s="124"/>
    </row>
    <row r="15965">
      <c r="K15965" s="124"/>
      <c r="L15965" s="124"/>
      <c r="M15965" s="124"/>
      <c r="N15965" s="124"/>
      <c r="O15965" s="124"/>
    </row>
    <row r="15966">
      <c r="K15966" s="124"/>
      <c r="L15966" s="124"/>
      <c r="M15966" s="124"/>
      <c r="N15966" s="124"/>
      <c r="O15966" s="124"/>
    </row>
    <row r="15967">
      <c r="K15967" s="124"/>
      <c r="L15967" s="124"/>
      <c r="M15967" s="124"/>
      <c r="N15967" s="124"/>
      <c r="O15967" s="124"/>
    </row>
    <row r="15968">
      <c r="K15968" s="124"/>
      <c r="L15968" s="124"/>
      <c r="M15968" s="124"/>
      <c r="N15968" s="124"/>
      <c r="O15968" s="124"/>
    </row>
    <row r="15969">
      <c r="K15969" s="124"/>
      <c r="L15969" s="124"/>
      <c r="M15969" s="124"/>
      <c r="N15969" s="124"/>
      <c r="O15969" s="124"/>
    </row>
    <row r="15970">
      <c r="K15970" s="124"/>
      <c r="L15970" s="124"/>
      <c r="M15970" s="124"/>
      <c r="N15970" s="124"/>
      <c r="O15970" s="124"/>
    </row>
    <row r="15971">
      <c r="K15971" s="124"/>
      <c r="L15971" s="124"/>
      <c r="M15971" s="124"/>
      <c r="N15971" s="124"/>
      <c r="O15971" s="124"/>
    </row>
    <row r="15972">
      <c r="K15972" s="124"/>
      <c r="L15972" s="124"/>
      <c r="M15972" s="124"/>
      <c r="N15972" s="124"/>
      <c r="O15972" s="124"/>
    </row>
    <row r="15973">
      <c r="K15973" s="124"/>
      <c r="L15973" s="124"/>
      <c r="M15973" s="124"/>
      <c r="N15973" s="124"/>
      <c r="O15973" s="124"/>
    </row>
    <row r="15974">
      <c r="K15974" s="124"/>
      <c r="L15974" s="124"/>
      <c r="M15974" s="124"/>
      <c r="N15974" s="124"/>
      <c r="O15974" s="124"/>
    </row>
    <row r="15975">
      <c r="K15975" s="124"/>
      <c r="L15975" s="124"/>
      <c r="M15975" s="124"/>
      <c r="N15975" s="124"/>
      <c r="O15975" s="124"/>
    </row>
    <row r="15976">
      <c r="K15976" s="124"/>
      <c r="L15976" s="124"/>
      <c r="M15976" s="124"/>
      <c r="N15976" s="124"/>
      <c r="O15976" s="124"/>
    </row>
    <row r="15977">
      <c r="K15977" s="124"/>
      <c r="L15977" s="124"/>
      <c r="M15977" s="124"/>
      <c r="N15977" s="124"/>
      <c r="O15977" s="124"/>
    </row>
    <row r="15978">
      <c r="K15978" s="124"/>
      <c r="L15978" s="124"/>
      <c r="M15978" s="124"/>
      <c r="N15978" s="124"/>
      <c r="O15978" s="124"/>
    </row>
    <row r="15979">
      <c r="K15979" s="124"/>
      <c r="L15979" s="124"/>
      <c r="M15979" s="124"/>
      <c r="N15979" s="124"/>
      <c r="O15979" s="124"/>
    </row>
    <row r="15980">
      <c r="K15980" s="124"/>
      <c r="L15980" s="124"/>
      <c r="M15980" s="124"/>
      <c r="N15980" s="124"/>
      <c r="O15980" s="124"/>
    </row>
    <row r="15981">
      <c r="K15981" s="124"/>
      <c r="L15981" s="124"/>
      <c r="M15981" s="124"/>
      <c r="N15981" s="124"/>
      <c r="O15981" s="124"/>
    </row>
    <row r="15982">
      <c r="K15982" s="124"/>
      <c r="L15982" s="124"/>
      <c r="M15982" s="124"/>
      <c r="N15982" s="124"/>
      <c r="O15982" s="124"/>
    </row>
    <row r="15983">
      <c r="K15983" s="124"/>
      <c r="L15983" s="124"/>
      <c r="M15983" s="124"/>
      <c r="N15983" s="124"/>
      <c r="O15983" s="124"/>
    </row>
    <row r="15984">
      <c r="K15984" s="124"/>
      <c r="L15984" s="124"/>
      <c r="M15984" s="124"/>
      <c r="N15984" s="124"/>
      <c r="O15984" s="124"/>
    </row>
    <row r="15985">
      <c r="K15985" s="124"/>
      <c r="L15985" s="124"/>
      <c r="M15985" s="124"/>
      <c r="N15985" s="124"/>
      <c r="O15985" s="124"/>
    </row>
    <row r="15986">
      <c r="K15986" s="124"/>
      <c r="L15986" s="124"/>
      <c r="M15986" s="124"/>
      <c r="N15986" s="124"/>
      <c r="O15986" s="124"/>
    </row>
    <row r="15987">
      <c r="K15987" s="124"/>
      <c r="L15987" s="124"/>
      <c r="M15987" s="124"/>
      <c r="N15987" s="124"/>
      <c r="O15987" s="124"/>
    </row>
    <row r="15988">
      <c r="K15988" s="124"/>
      <c r="L15988" s="124"/>
      <c r="M15988" s="124"/>
      <c r="N15988" s="124"/>
      <c r="O15988" s="124"/>
    </row>
    <row r="15989">
      <c r="K15989" s="124"/>
      <c r="L15989" s="124"/>
      <c r="M15989" s="124"/>
      <c r="N15989" s="124"/>
      <c r="O15989" s="124"/>
    </row>
    <row r="15990">
      <c r="K15990" s="124"/>
      <c r="L15990" s="124"/>
      <c r="M15990" s="124"/>
      <c r="N15990" s="124"/>
      <c r="O15990" s="124"/>
    </row>
    <row r="15991">
      <c r="K15991" s="124"/>
      <c r="L15991" s="124"/>
      <c r="M15991" s="124"/>
      <c r="N15991" s="124"/>
      <c r="O15991" s="124"/>
    </row>
    <row r="15992">
      <c r="K15992" s="124"/>
      <c r="L15992" s="124"/>
      <c r="M15992" s="124"/>
      <c r="N15992" s="124"/>
      <c r="O15992" s="124"/>
    </row>
    <row r="15993">
      <c r="K15993" s="124"/>
      <c r="L15993" s="124"/>
      <c r="M15993" s="124"/>
      <c r="N15993" s="124"/>
      <c r="O15993" s="124"/>
    </row>
    <row r="15994">
      <c r="K15994" s="124"/>
      <c r="L15994" s="124"/>
      <c r="M15994" s="124"/>
      <c r="N15994" s="124"/>
      <c r="O15994" s="124"/>
    </row>
    <row r="15995">
      <c r="K15995" s="124"/>
      <c r="L15995" s="124"/>
      <c r="M15995" s="124"/>
      <c r="N15995" s="124"/>
      <c r="O15995" s="124"/>
    </row>
    <row r="15996">
      <c r="K15996" s="124"/>
      <c r="L15996" s="124"/>
      <c r="M15996" s="124"/>
      <c r="N15996" s="124"/>
      <c r="O15996" s="124"/>
    </row>
    <row r="15997">
      <c r="K15997" s="124"/>
      <c r="L15997" s="124"/>
      <c r="M15997" s="124"/>
      <c r="N15997" s="124"/>
      <c r="O15997" s="124"/>
    </row>
    <row r="15998">
      <c r="K15998" s="124"/>
      <c r="L15998" s="124"/>
      <c r="M15998" s="124"/>
      <c r="N15998" s="124"/>
      <c r="O15998" s="124"/>
    </row>
    <row r="15999">
      <c r="K15999" s="124"/>
      <c r="L15999" s="124"/>
      <c r="M15999" s="124"/>
      <c r="N15999" s="124"/>
      <c r="O15999" s="124"/>
    </row>
    <row r="16000">
      <c r="K16000" s="124"/>
      <c r="L16000" s="124"/>
      <c r="M16000" s="124"/>
      <c r="N16000" s="124"/>
      <c r="O16000" s="124"/>
    </row>
    <row r="16001">
      <c r="K16001" s="124"/>
      <c r="L16001" s="124"/>
      <c r="M16001" s="124"/>
      <c r="N16001" s="124"/>
      <c r="O16001" s="124"/>
    </row>
    <row r="16002">
      <c r="K16002" s="124"/>
      <c r="L16002" s="124"/>
      <c r="M16002" s="124"/>
      <c r="N16002" s="124"/>
      <c r="O16002" s="124"/>
    </row>
    <row r="16003">
      <c r="K16003" s="124"/>
      <c r="L16003" s="124"/>
      <c r="M16003" s="124"/>
      <c r="N16003" s="124"/>
      <c r="O16003" s="124"/>
    </row>
    <row r="16004">
      <c r="K16004" s="124"/>
      <c r="L16004" s="124"/>
      <c r="M16004" s="124"/>
      <c r="N16004" s="124"/>
      <c r="O16004" s="124"/>
    </row>
    <row r="16005">
      <c r="K16005" s="124"/>
      <c r="L16005" s="124"/>
      <c r="M16005" s="124"/>
      <c r="N16005" s="124"/>
      <c r="O16005" s="124"/>
    </row>
    <row r="16006">
      <c r="K16006" s="124"/>
      <c r="L16006" s="124"/>
      <c r="M16006" s="124"/>
      <c r="N16006" s="124"/>
      <c r="O16006" s="124"/>
    </row>
    <row r="16007">
      <c r="K16007" s="124"/>
      <c r="L16007" s="124"/>
      <c r="M16007" s="124"/>
      <c r="N16007" s="124"/>
      <c r="O16007" s="124"/>
    </row>
    <row r="16008">
      <c r="K16008" s="124"/>
      <c r="L16008" s="124"/>
      <c r="M16008" s="124"/>
      <c r="N16008" s="124"/>
      <c r="O16008" s="124"/>
    </row>
    <row r="16009">
      <c r="K16009" s="124"/>
      <c r="L16009" s="124"/>
      <c r="M16009" s="124"/>
      <c r="N16009" s="124"/>
      <c r="O16009" s="124"/>
    </row>
    <row r="16010">
      <c r="K16010" s="124"/>
      <c r="L16010" s="124"/>
      <c r="M16010" s="124"/>
      <c r="N16010" s="124"/>
      <c r="O16010" s="124"/>
    </row>
    <row r="16011">
      <c r="K16011" s="124"/>
      <c r="L16011" s="124"/>
      <c r="M16011" s="124"/>
      <c r="N16011" s="124"/>
      <c r="O16011" s="124"/>
    </row>
    <row r="16012">
      <c r="K16012" s="124"/>
      <c r="L16012" s="124"/>
      <c r="M16012" s="124"/>
      <c r="N16012" s="124"/>
      <c r="O16012" s="124"/>
    </row>
    <row r="16013">
      <c r="K16013" s="124"/>
      <c r="L16013" s="124"/>
      <c r="M16013" s="124"/>
      <c r="N16013" s="124"/>
      <c r="O16013" s="124"/>
    </row>
    <row r="16014">
      <c r="K16014" s="124"/>
      <c r="L16014" s="124"/>
      <c r="M16014" s="124"/>
      <c r="N16014" s="124"/>
      <c r="O16014" s="124"/>
    </row>
    <row r="16015">
      <c r="K16015" s="124"/>
      <c r="L16015" s="124"/>
      <c r="M16015" s="124"/>
      <c r="N16015" s="124"/>
      <c r="O16015" s="124"/>
    </row>
    <row r="16016">
      <c r="K16016" s="124"/>
      <c r="L16016" s="124"/>
      <c r="M16016" s="124"/>
      <c r="N16016" s="124"/>
      <c r="O16016" s="124"/>
    </row>
    <row r="16017">
      <c r="K16017" s="124"/>
      <c r="L16017" s="124"/>
      <c r="M16017" s="124"/>
      <c r="N16017" s="124"/>
      <c r="O16017" s="124"/>
    </row>
    <row r="16018">
      <c r="K16018" s="124"/>
      <c r="L16018" s="124"/>
      <c r="M16018" s="124"/>
      <c r="N16018" s="124"/>
      <c r="O16018" s="124"/>
    </row>
    <row r="16019">
      <c r="K16019" s="124"/>
      <c r="L16019" s="124"/>
      <c r="M16019" s="124"/>
      <c r="N16019" s="124"/>
      <c r="O16019" s="124"/>
    </row>
    <row r="16020">
      <c r="K16020" s="124"/>
      <c r="L16020" s="124"/>
      <c r="M16020" s="124"/>
      <c r="N16020" s="124"/>
      <c r="O16020" s="124"/>
    </row>
    <row r="16021">
      <c r="K16021" s="124"/>
      <c r="L16021" s="124"/>
      <c r="M16021" s="124"/>
      <c r="N16021" s="124"/>
      <c r="O16021" s="124"/>
    </row>
    <row r="16022">
      <c r="K16022" s="124"/>
      <c r="L16022" s="124"/>
      <c r="M16022" s="124"/>
      <c r="N16022" s="124"/>
      <c r="O16022" s="124"/>
    </row>
    <row r="16023">
      <c r="K16023" s="124"/>
      <c r="L16023" s="124"/>
      <c r="M16023" s="124"/>
      <c r="N16023" s="124"/>
      <c r="O16023" s="124"/>
    </row>
    <row r="16024">
      <c r="K16024" s="124"/>
      <c r="L16024" s="124"/>
      <c r="M16024" s="124"/>
      <c r="N16024" s="124"/>
      <c r="O16024" s="124"/>
    </row>
    <row r="16025">
      <c r="K16025" s="124"/>
      <c r="L16025" s="124"/>
      <c r="M16025" s="124"/>
      <c r="N16025" s="124"/>
      <c r="O16025" s="124"/>
    </row>
    <row r="16026">
      <c r="K16026" s="124"/>
      <c r="L16026" s="124"/>
      <c r="M16026" s="124"/>
      <c r="N16026" s="124"/>
      <c r="O16026" s="124"/>
    </row>
    <row r="16027">
      <c r="K16027" s="124"/>
      <c r="L16027" s="124"/>
      <c r="M16027" s="124"/>
      <c r="N16027" s="124"/>
      <c r="O16027" s="124"/>
    </row>
    <row r="16028">
      <c r="K16028" s="124"/>
      <c r="L16028" s="124"/>
      <c r="M16028" s="124"/>
      <c r="N16028" s="124"/>
      <c r="O16028" s="124"/>
    </row>
    <row r="16029">
      <c r="K16029" s="124"/>
      <c r="L16029" s="124"/>
      <c r="M16029" s="124"/>
      <c r="N16029" s="124"/>
      <c r="O16029" s="124"/>
    </row>
    <row r="16030">
      <c r="K16030" s="124"/>
      <c r="L16030" s="124"/>
      <c r="M16030" s="124"/>
      <c r="N16030" s="124"/>
      <c r="O16030" s="124"/>
    </row>
    <row r="16031">
      <c r="K16031" s="124"/>
      <c r="L16031" s="124"/>
      <c r="M16031" s="124"/>
      <c r="N16031" s="124"/>
      <c r="O16031" s="124"/>
    </row>
    <row r="16032">
      <c r="K16032" s="124"/>
      <c r="L16032" s="124"/>
      <c r="M16032" s="124"/>
      <c r="N16032" s="124"/>
      <c r="O16032" s="124"/>
    </row>
    <row r="16033">
      <c r="K16033" s="124"/>
      <c r="L16033" s="124"/>
      <c r="M16033" s="124"/>
      <c r="N16033" s="124"/>
      <c r="O16033" s="124"/>
    </row>
    <row r="16034">
      <c r="K16034" s="124"/>
      <c r="L16034" s="124"/>
      <c r="M16034" s="124"/>
      <c r="N16034" s="124"/>
      <c r="O16034" s="124"/>
    </row>
    <row r="16035">
      <c r="K16035" s="124"/>
      <c r="L16035" s="124"/>
      <c r="M16035" s="124"/>
      <c r="N16035" s="124"/>
      <c r="O16035" s="124"/>
    </row>
    <row r="16036">
      <c r="K16036" s="124"/>
      <c r="L16036" s="124"/>
      <c r="M16036" s="124"/>
      <c r="N16036" s="124"/>
      <c r="O16036" s="124"/>
    </row>
    <row r="16037">
      <c r="K16037" s="124"/>
      <c r="L16037" s="124"/>
      <c r="M16037" s="124"/>
      <c r="N16037" s="124"/>
      <c r="O16037" s="124"/>
    </row>
    <row r="16038">
      <c r="K16038" s="124"/>
      <c r="L16038" s="124"/>
      <c r="M16038" s="124"/>
      <c r="N16038" s="124"/>
      <c r="O16038" s="124"/>
    </row>
    <row r="16039">
      <c r="K16039" s="124"/>
      <c r="L16039" s="124"/>
      <c r="M16039" s="124"/>
      <c r="N16039" s="124"/>
      <c r="O16039" s="124"/>
    </row>
    <row r="16040">
      <c r="K16040" s="124"/>
      <c r="L16040" s="124"/>
      <c r="M16040" s="124"/>
      <c r="N16040" s="124"/>
      <c r="O16040" s="124"/>
    </row>
    <row r="16041">
      <c r="K16041" s="124"/>
      <c r="L16041" s="124"/>
      <c r="M16041" s="124"/>
      <c r="N16041" s="124"/>
      <c r="O16041" s="124"/>
    </row>
    <row r="16042">
      <c r="K16042" s="124"/>
      <c r="L16042" s="124"/>
      <c r="M16042" s="124"/>
      <c r="N16042" s="124"/>
      <c r="O16042" s="124"/>
    </row>
    <row r="16043">
      <c r="K16043" s="124"/>
      <c r="L16043" s="124"/>
      <c r="M16043" s="124"/>
      <c r="N16043" s="124"/>
      <c r="O16043" s="124"/>
    </row>
    <row r="16044">
      <c r="K16044" s="124"/>
      <c r="L16044" s="124"/>
      <c r="M16044" s="124"/>
      <c r="N16044" s="124"/>
      <c r="O16044" s="124"/>
    </row>
    <row r="16045">
      <c r="K16045" s="124"/>
      <c r="L16045" s="124"/>
      <c r="M16045" s="124"/>
      <c r="N16045" s="124"/>
      <c r="O16045" s="124"/>
    </row>
    <row r="16046">
      <c r="K16046" s="124"/>
      <c r="L16046" s="124"/>
      <c r="M16046" s="124"/>
      <c r="N16046" s="124"/>
      <c r="O16046" s="124"/>
    </row>
    <row r="16047">
      <c r="K16047" s="124"/>
      <c r="L16047" s="124"/>
      <c r="M16047" s="124"/>
      <c r="N16047" s="124"/>
      <c r="O16047" s="124"/>
    </row>
    <row r="16048">
      <c r="K16048" s="124"/>
      <c r="L16048" s="124"/>
      <c r="M16048" s="124"/>
      <c r="N16048" s="124"/>
      <c r="O16048" s="124"/>
    </row>
    <row r="16049">
      <c r="K16049" s="124"/>
      <c r="L16049" s="124"/>
      <c r="M16049" s="124"/>
      <c r="N16049" s="124"/>
      <c r="O16049" s="124"/>
    </row>
    <row r="16050">
      <c r="K16050" s="124"/>
      <c r="L16050" s="124"/>
      <c r="M16050" s="124"/>
      <c r="N16050" s="124"/>
      <c r="O16050" s="124"/>
    </row>
    <row r="16051">
      <c r="K16051" s="124"/>
      <c r="L16051" s="124"/>
      <c r="M16051" s="124"/>
      <c r="N16051" s="124"/>
      <c r="O16051" s="124"/>
    </row>
    <row r="16052">
      <c r="K16052" s="124"/>
      <c r="L16052" s="124"/>
      <c r="M16052" s="124"/>
      <c r="N16052" s="124"/>
      <c r="O16052" s="124"/>
    </row>
    <row r="16053">
      <c r="K16053" s="124"/>
      <c r="L16053" s="124"/>
      <c r="M16053" s="124"/>
      <c r="N16053" s="124"/>
      <c r="O16053" s="124"/>
    </row>
    <row r="16054">
      <c r="K16054" s="124"/>
      <c r="L16054" s="124"/>
      <c r="M16054" s="124"/>
      <c r="N16054" s="124"/>
      <c r="O16054" s="124"/>
    </row>
    <row r="16055">
      <c r="K16055" s="124"/>
      <c r="L16055" s="124"/>
      <c r="M16055" s="124"/>
      <c r="N16055" s="124"/>
      <c r="O16055" s="124"/>
    </row>
    <row r="16056">
      <c r="K16056" s="124"/>
      <c r="L16056" s="124"/>
      <c r="M16056" s="124"/>
      <c r="N16056" s="124"/>
      <c r="O16056" s="124"/>
    </row>
    <row r="16057">
      <c r="K16057" s="124"/>
      <c r="L16057" s="124"/>
      <c r="M16057" s="124"/>
      <c r="N16057" s="124"/>
      <c r="O16057" s="124"/>
    </row>
    <row r="16058">
      <c r="K16058" s="124"/>
      <c r="L16058" s="124"/>
      <c r="M16058" s="124"/>
      <c r="N16058" s="124"/>
      <c r="O16058" s="124"/>
    </row>
    <row r="16059">
      <c r="K16059" s="124"/>
      <c r="L16059" s="124"/>
      <c r="M16059" s="124"/>
      <c r="N16059" s="124"/>
      <c r="O16059" s="124"/>
    </row>
    <row r="16060">
      <c r="K16060" s="124"/>
      <c r="L16060" s="124"/>
      <c r="M16060" s="124"/>
      <c r="N16060" s="124"/>
      <c r="O16060" s="124"/>
    </row>
    <row r="16061">
      <c r="K16061" s="124"/>
      <c r="L16061" s="124"/>
      <c r="M16061" s="124"/>
      <c r="N16061" s="124"/>
      <c r="O16061" s="124"/>
    </row>
    <row r="16062">
      <c r="K16062" s="124"/>
      <c r="L16062" s="124"/>
      <c r="M16062" s="124"/>
      <c r="N16062" s="124"/>
      <c r="O16062" s="124"/>
    </row>
    <row r="16063">
      <c r="K16063" s="124"/>
      <c r="L16063" s="124"/>
      <c r="M16063" s="124"/>
      <c r="N16063" s="124"/>
      <c r="O16063" s="124"/>
    </row>
    <row r="16064">
      <c r="K16064" s="124"/>
      <c r="L16064" s="124"/>
      <c r="M16064" s="124"/>
      <c r="N16064" s="124"/>
      <c r="O16064" s="124"/>
    </row>
    <row r="16065">
      <c r="K16065" s="124"/>
      <c r="L16065" s="124"/>
      <c r="M16065" s="124"/>
      <c r="N16065" s="124"/>
      <c r="O16065" s="124"/>
    </row>
    <row r="16066">
      <c r="K16066" s="124"/>
      <c r="L16066" s="124"/>
      <c r="M16066" s="124"/>
      <c r="N16066" s="124"/>
      <c r="O16066" s="124"/>
    </row>
    <row r="16067">
      <c r="K16067" s="124"/>
      <c r="L16067" s="124"/>
      <c r="M16067" s="124"/>
      <c r="N16067" s="124"/>
      <c r="O16067" s="124"/>
    </row>
    <row r="16068">
      <c r="K16068" s="124"/>
      <c r="L16068" s="124"/>
      <c r="M16068" s="124"/>
      <c r="N16068" s="124"/>
      <c r="O16068" s="124"/>
    </row>
    <row r="16069">
      <c r="K16069" s="124"/>
      <c r="L16069" s="124"/>
      <c r="M16069" s="124"/>
      <c r="N16069" s="124"/>
      <c r="O16069" s="124"/>
    </row>
    <row r="16070">
      <c r="K16070" s="124"/>
      <c r="L16070" s="124"/>
      <c r="M16070" s="124"/>
      <c r="N16070" s="124"/>
      <c r="O16070" s="124"/>
    </row>
    <row r="16071">
      <c r="K16071" s="124"/>
      <c r="L16071" s="124"/>
      <c r="M16071" s="124"/>
      <c r="N16071" s="124"/>
      <c r="O16071" s="124"/>
    </row>
    <row r="16072">
      <c r="K16072" s="124"/>
      <c r="L16072" s="124"/>
      <c r="M16072" s="124"/>
      <c r="N16072" s="124"/>
      <c r="O16072" s="124"/>
    </row>
    <row r="16073">
      <c r="K16073" s="124"/>
      <c r="L16073" s="124"/>
      <c r="M16073" s="124"/>
      <c r="N16073" s="124"/>
      <c r="O16073" s="124"/>
    </row>
    <row r="16074">
      <c r="K16074" s="124"/>
      <c r="L16074" s="124"/>
      <c r="M16074" s="124"/>
      <c r="N16074" s="124"/>
      <c r="O16074" s="124"/>
    </row>
    <row r="16075">
      <c r="K16075" s="124"/>
      <c r="L16075" s="124"/>
      <c r="M16075" s="124"/>
      <c r="N16075" s="124"/>
      <c r="O16075" s="124"/>
    </row>
    <row r="16076">
      <c r="K16076" s="124"/>
      <c r="L16076" s="124"/>
      <c r="M16076" s="124"/>
      <c r="N16076" s="124"/>
      <c r="O16076" s="124"/>
    </row>
    <row r="16077">
      <c r="K16077" s="124"/>
      <c r="L16077" s="124"/>
      <c r="M16077" s="124"/>
      <c r="N16077" s="124"/>
      <c r="O16077" s="124"/>
    </row>
    <row r="16078">
      <c r="K16078" s="124"/>
      <c r="L16078" s="124"/>
      <c r="M16078" s="124"/>
      <c r="N16078" s="124"/>
      <c r="O16078" s="124"/>
    </row>
    <row r="16079">
      <c r="K16079" s="124"/>
      <c r="L16079" s="124"/>
      <c r="M16079" s="124"/>
      <c r="N16079" s="124"/>
      <c r="O16079" s="124"/>
    </row>
    <row r="16080">
      <c r="K16080" s="124"/>
      <c r="L16080" s="124"/>
      <c r="M16080" s="124"/>
      <c r="N16080" s="124"/>
      <c r="O16080" s="124"/>
    </row>
    <row r="16081">
      <c r="K16081" s="124"/>
      <c r="L16081" s="124"/>
      <c r="M16081" s="124"/>
      <c r="N16081" s="124"/>
      <c r="O16081" s="124"/>
    </row>
    <row r="16082">
      <c r="K16082" s="124"/>
      <c r="L16082" s="124"/>
      <c r="M16082" s="124"/>
      <c r="N16082" s="124"/>
      <c r="O16082" s="124"/>
    </row>
    <row r="16083">
      <c r="K16083" s="124"/>
      <c r="L16083" s="124"/>
      <c r="M16083" s="124"/>
      <c r="N16083" s="124"/>
      <c r="O16083" s="124"/>
    </row>
    <row r="16084">
      <c r="K16084" s="124"/>
      <c r="L16084" s="124"/>
      <c r="M16084" s="124"/>
      <c r="N16084" s="124"/>
      <c r="O16084" s="124"/>
    </row>
    <row r="16085">
      <c r="K16085" s="124"/>
      <c r="L16085" s="124"/>
      <c r="M16085" s="124"/>
      <c r="N16085" s="124"/>
      <c r="O16085" s="124"/>
    </row>
    <row r="16086">
      <c r="K16086" s="124"/>
      <c r="L16086" s="124"/>
      <c r="M16086" s="124"/>
      <c r="N16086" s="124"/>
      <c r="O16086" s="124"/>
    </row>
    <row r="16087">
      <c r="K16087" s="124"/>
      <c r="L16087" s="124"/>
      <c r="M16087" s="124"/>
      <c r="N16087" s="124"/>
      <c r="O16087" s="124"/>
    </row>
    <row r="16088">
      <c r="K16088" s="124"/>
      <c r="L16088" s="124"/>
      <c r="M16088" s="124"/>
      <c r="N16088" s="124"/>
      <c r="O16088" s="124"/>
    </row>
    <row r="16089">
      <c r="K16089" s="124"/>
      <c r="L16089" s="124"/>
      <c r="M16089" s="124"/>
      <c r="N16089" s="124"/>
      <c r="O16089" s="124"/>
    </row>
    <row r="16090">
      <c r="K16090" s="124"/>
      <c r="L16090" s="124"/>
      <c r="M16090" s="124"/>
      <c r="N16090" s="124"/>
      <c r="O16090" s="124"/>
    </row>
    <row r="16091">
      <c r="K16091" s="124"/>
      <c r="L16091" s="124"/>
      <c r="M16091" s="124"/>
      <c r="N16091" s="124"/>
      <c r="O16091" s="124"/>
    </row>
    <row r="16092">
      <c r="K16092" s="124"/>
      <c r="L16092" s="124"/>
      <c r="M16092" s="124"/>
      <c r="N16092" s="124"/>
      <c r="O16092" s="124"/>
    </row>
    <row r="16093">
      <c r="K16093" s="124"/>
      <c r="L16093" s="124"/>
      <c r="M16093" s="124"/>
      <c r="N16093" s="124"/>
      <c r="O16093" s="124"/>
    </row>
    <row r="16094">
      <c r="K16094" s="124"/>
      <c r="L16094" s="124"/>
      <c r="M16094" s="124"/>
      <c r="N16094" s="124"/>
      <c r="O16094" s="124"/>
    </row>
    <row r="16095">
      <c r="K16095" s="124"/>
      <c r="L16095" s="124"/>
      <c r="M16095" s="124"/>
      <c r="N16095" s="124"/>
      <c r="O16095" s="124"/>
    </row>
    <row r="16096">
      <c r="K16096" s="124"/>
      <c r="L16096" s="124"/>
      <c r="M16096" s="124"/>
      <c r="N16096" s="124"/>
      <c r="O16096" s="124"/>
    </row>
    <row r="16097">
      <c r="K16097" s="124"/>
      <c r="L16097" s="124"/>
      <c r="M16097" s="124"/>
      <c r="N16097" s="124"/>
      <c r="O16097" s="124"/>
    </row>
    <row r="16098">
      <c r="K16098" s="124"/>
      <c r="L16098" s="124"/>
      <c r="M16098" s="124"/>
      <c r="N16098" s="124"/>
      <c r="O16098" s="124"/>
    </row>
    <row r="16099">
      <c r="K16099" s="124"/>
      <c r="L16099" s="124"/>
      <c r="M16099" s="124"/>
      <c r="N16099" s="124"/>
      <c r="O16099" s="124"/>
    </row>
    <row r="16100">
      <c r="K16100" s="124"/>
      <c r="L16100" s="124"/>
      <c r="M16100" s="124"/>
      <c r="N16100" s="124"/>
      <c r="O16100" s="124"/>
    </row>
    <row r="16101">
      <c r="K16101" s="124"/>
      <c r="L16101" s="124"/>
      <c r="M16101" s="124"/>
      <c r="N16101" s="124"/>
      <c r="O16101" s="124"/>
    </row>
    <row r="16102">
      <c r="K16102" s="124"/>
      <c r="L16102" s="124"/>
      <c r="M16102" s="124"/>
      <c r="N16102" s="124"/>
      <c r="O16102" s="124"/>
    </row>
    <row r="16103">
      <c r="K16103" s="124"/>
      <c r="L16103" s="124"/>
      <c r="M16103" s="124"/>
      <c r="N16103" s="124"/>
      <c r="O16103" s="124"/>
    </row>
    <row r="16104">
      <c r="K16104" s="124"/>
      <c r="L16104" s="124"/>
      <c r="M16104" s="124"/>
      <c r="N16104" s="124"/>
      <c r="O16104" s="124"/>
    </row>
    <row r="16105">
      <c r="K16105" s="124"/>
      <c r="L16105" s="124"/>
      <c r="M16105" s="124"/>
      <c r="N16105" s="124"/>
      <c r="O16105" s="124"/>
    </row>
    <row r="16106">
      <c r="K16106" s="124"/>
      <c r="L16106" s="124"/>
      <c r="M16106" s="124"/>
      <c r="N16106" s="124"/>
      <c r="O16106" s="124"/>
    </row>
    <row r="16107">
      <c r="K16107" s="124"/>
      <c r="L16107" s="124"/>
      <c r="M16107" s="124"/>
      <c r="N16107" s="124"/>
      <c r="O16107" s="124"/>
    </row>
    <row r="16108">
      <c r="K16108" s="124"/>
      <c r="L16108" s="124"/>
      <c r="M16108" s="124"/>
      <c r="N16108" s="124"/>
      <c r="O16108" s="124"/>
    </row>
    <row r="16109">
      <c r="K16109" s="124"/>
      <c r="L16109" s="124"/>
      <c r="M16109" s="124"/>
      <c r="N16109" s="124"/>
      <c r="O16109" s="124"/>
    </row>
    <row r="16110">
      <c r="K16110" s="124"/>
      <c r="L16110" s="124"/>
      <c r="M16110" s="124"/>
      <c r="N16110" s="124"/>
      <c r="O16110" s="124"/>
    </row>
    <row r="16111">
      <c r="K16111" s="124"/>
      <c r="L16111" s="124"/>
      <c r="M16111" s="124"/>
      <c r="N16111" s="124"/>
      <c r="O16111" s="124"/>
    </row>
    <row r="16112">
      <c r="K16112" s="124"/>
      <c r="L16112" s="124"/>
      <c r="M16112" s="124"/>
      <c r="N16112" s="124"/>
      <c r="O16112" s="124"/>
    </row>
    <row r="16113">
      <c r="K16113" s="124"/>
      <c r="L16113" s="124"/>
      <c r="M16113" s="124"/>
      <c r="N16113" s="124"/>
      <c r="O16113" s="124"/>
    </row>
    <row r="16114">
      <c r="K16114" s="124"/>
      <c r="L16114" s="124"/>
      <c r="M16114" s="124"/>
      <c r="N16114" s="124"/>
      <c r="O16114" s="124"/>
    </row>
    <row r="16115">
      <c r="K16115" s="124"/>
      <c r="L16115" s="124"/>
      <c r="M16115" s="124"/>
      <c r="N16115" s="124"/>
      <c r="O16115" s="124"/>
    </row>
    <row r="16116">
      <c r="K16116" s="124"/>
      <c r="L16116" s="124"/>
      <c r="M16116" s="124"/>
      <c r="N16116" s="124"/>
      <c r="O16116" s="124"/>
    </row>
    <row r="16117">
      <c r="K16117" s="124"/>
      <c r="L16117" s="124"/>
      <c r="M16117" s="124"/>
      <c r="N16117" s="124"/>
      <c r="O16117" s="124"/>
    </row>
    <row r="16118">
      <c r="K16118" s="124"/>
      <c r="L16118" s="124"/>
      <c r="M16118" s="124"/>
      <c r="N16118" s="124"/>
      <c r="O16118" s="124"/>
    </row>
    <row r="16119">
      <c r="K16119" s="124"/>
      <c r="L16119" s="124"/>
      <c r="M16119" s="124"/>
      <c r="N16119" s="124"/>
      <c r="O16119" s="124"/>
    </row>
    <row r="16120">
      <c r="K16120" s="124"/>
      <c r="L16120" s="124"/>
      <c r="M16120" s="124"/>
      <c r="N16120" s="124"/>
      <c r="O16120" s="124"/>
    </row>
    <row r="16121">
      <c r="K16121" s="124"/>
      <c r="L16121" s="124"/>
      <c r="M16121" s="124"/>
      <c r="N16121" s="124"/>
      <c r="O16121" s="124"/>
    </row>
    <row r="16122">
      <c r="K16122" s="124"/>
      <c r="L16122" s="124"/>
      <c r="M16122" s="124"/>
      <c r="N16122" s="124"/>
      <c r="O16122" s="124"/>
    </row>
    <row r="16123">
      <c r="K16123" s="124"/>
      <c r="L16123" s="124"/>
      <c r="M16123" s="124"/>
      <c r="N16123" s="124"/>
      <c r="O16123" s="124"/>
    </row>
    <row r="16124">
      <c r="K16124" s="124"/>
      <c r="L16124" s="124"/>
      <c r="M16124" s="124"/>
      <c r="N16124" s="124"/>
      <c r="O16124" s="124"/>
    </row>
    <row r="16125">
      <c r="K16125" s="124"/>
      <c r="L16125" s="124"/>
      <c r="M16125" s="124"/>
      <c r="N16125" s="124"/>
      <c r="O16125" s="124"/>
    </row>
    <row r="16126">
      <c r="K16126" s="124"/>
      <c r="L16126" s="124"/>
      <c r="M16126" s="124"/>
      <c r="N16126" s="124"/>
      <c r="O16126" s="124"/>
    </row>
    <row r="16127">
      <c r="K16127" s="124"/>
      <c r="L16127" s="124"/>
      <c r="M16127" s="124"/>
      <c r="N16127" s="124"/>
      <c r="O16127" s="124"/>
    </row>
    <row r="16128">
      <c r="K16128" s="124"/>
      <c r="L16128" s="124"/>
      <c r="M16128" s="124"/>
      <c r="N16128" s="124"/>
      <c r="O16128" s="124"/>
    </row>
    <row r="16129">
      <c r="K16129" s="124"/>
      <c r="L16129" s="124"/>
      <c r="M16129" s="124"/>
      <c r="N16129" s="124"/>
      <c r="O16129" s="124"/>
    </row>
    <row r="16130">
      <c r="K16130" s="124"/>
      <c r="L16130" s="124"/>
      <c r="M16130" s="124"/>
      <c r="N16130" s="124"/>
      <c r="O16130" s="124"/>
    </row>
    <row r="16131">
      <c r="K16131" s="124"/>
      <c r="L16131" s="124"/>
      <c r="M16131" s="124"/>
      <c r="N16131" s="124"/>
      <c r="O16131" s="124"/>
    </row>
    <row r="16132">
      <c r="K16132" s="124"/>
      <c r="L16132" s="124"/>
      <c r="M16132" s="124"/>
      <c r="N16132" s="124"/>
      <c r="O16132" s="124"/>
    </row>
    <row r="16133">
      <c r="K16133" s="124"/>
      <c r="L16133" s="124"/>
      <c r="M16133" s="124"/>
      <c r="N16133" s="124"/>
      <c r="O16133" s="124"/>
    </row>
    <row r="16134">
      <c r="K16134" s="124"/>
      <c r="L16134" s="124"/>
      <c r="M16134" s="124"/>
      <c r="N16134" s="124"/>
      <c r="O16134" s="124"/>
    </row>
    <row r="16135">
      <c r="K16135" s="124"/>
      <c r="L16135" s="124"/>
      <c r="M16135" s="124"/>
      <c r="N16135" s="124"/>
      <c r="O16135" s="124"/>
    </row>
    <row r="16136">
      <c r="K16136" s="124"/>
      <c r="L16136" s="124"/>
      <c r="M16136" s="124"/>
      <c r="N16136" s="124"/>
      <c r="O16136" s="124"/>
    </row>
    <row r="16137">
      <c r="K16137" s="124"/>
      <c r="L16137" s="124"/>
      <c r="M16137" s="124"/>
      <c r="N16137" s="124"/>
      <c r="O16137" s="124"/>
    </row>
    <row r="16138">
      <c r="K16138" s="124"/>
      <c r="L16138" s="124"/>
      <c r="M16138" s="124"/>
      <c r="N16138" s="124"/>
      <c r="O16138" s="124"/>
    </row>
    <row r="16139">
      <c r="K16139" s="124"/>
      <c r="L16139" s="124"/>
      <c r="M16139" s="124"/>
      <c r="N16139" s="124"/>
      <c r="O16139" s="124"/>
    </row>
    <row r="16140">
      <c r="K16140" s="124"/>
      <c r="L16140" s="124"/>
      <c r="M16140" s="124"/>
      <c r="N16140" s="124"/>
      <c r="O16140" s="124"/>
    </row>
    <row r="16141">
      <c r="K16141" s="124"/>
      <c r="L16141" s="124"/>
      <c r="M16141" s="124"/>
      <c r="N16141" s="124"/>
      <c r="O16141" s="124"/>
    </row>
    <row r="16142">
      <c r="K16142" s="124"/>
      <c r="L16142" s="124"/>
      <c r="M16142" s="124"/>
      <c r="N16142" s="124"/>
      <c r="O16142" s="124"/>
    </row>
    <row r="16143">
      <c r="K16143" s="124"/>
      <c r="L16143" s="124"/>
      <c r="M16143" s="124"/>
      <c r="N16143" s="124"/>
      <c r="O16143" s="124"/>
    </row>
    <row r="16144">
      <c r="K16144" s="124"/>
      <c r="L16144" s="124"/>
      <c r="M16144" s="124"/>
      <c r="N16144" s="124"/>
      <c r="O16144" s="124"/>
    </row>
    <row r="16145">
      <c r="K16145" s="124"/>
      <c r="L16145" s="124"/>
      <c r="M16145" s="124"/>
      <c r="N16145" s="124"/>
      <c r="O16145" s="124"/>
    </row>
    <row r="16146">
      <c r="K16146" s="124"/>
      <c r="L16146" s="124"/>
      <c r="M16146" s="124"/>
      <c r="N16146" s="124"/>
      <c r="O16146" s="124"/>
    </row>
    <row r="16147">
      <c r="K16147" s="124"/>
      <c r="L16147" s="124"/>
      <c r="M16147" s="124"/>
      <c r="N16147" s="124"/>
      <c r="O16147" s="124"/>
    </row>
    <row r="16148">
      <c r="K16148" s="124"/>
      <c r="L16148" s="124"/>
      <c r="M16148" s="124"/>
      <c r="N16148" s="124"/>
      <c r="O16148" s="124"/>
    </row>
    <row r="16149">
      <c r="K16149" s="124"/>
      <c r="L16149" s="124"/>
      <c r="M16149" s="124"/>
      <c r="N16149" s="124"/>
      <c r="O16149" s="124"/>
    </row>
    <row r="16150">
      <c r="K16150" s="124"/>
      <c r="L16150" s="124"/>
      <c r="M16150" s="124"/>
      <c r="N16150" s="124"/>
      <c r="O16150" s="124"/>
    </row>
    <row r="16151">
      <c r="K16151" s="124"/>
      <c r="L16151" s="124"/>
      <c r="M16151" s="124"/>
      <c r="N16151" s="124"/>
      <c r="O16151" s="124"/>
    </row>
    <row r="16152">
      <c r="K16152" s="124"/>
      <c r="L16152" s="124"/>
      <c r="M16152" s="124"/>
      <c r="N16152" s="124"/>
      <c r="O16152" s="124"/>
    </row>
    <row r="16153">
      <c r="K16153" s="124"/>
      <c r="L16153" s="124"/>
      <c r="M16153" s="124"/>
      <c r="N16153" s="124"/>
      <c r="O16153" s="124"/>
    </row>
    <row r="16154">
      <c r="K16154" s="124"/>
      <c r="L16154" s="124"/>
      <c r="M16154" s="124"/>
      <c r="N16154" s="124"/>
      <c r="O16154" s="124"/>
    </row>
    <row r="16155">
      <c r="K16155" s="124"/>
      <c r="L16155" s="124"/>
      <c r="M16155" s="124"/>
      <c r="N16155" s="124"/>
      <c r="O16155" s="124"/>
    </row>
    <row r="16156">
      <c r="K16156" s="124"/>
      <c r="L16156" s="124"/>
      <c r="M16156" s="124"/>
      <c r="N16156" s="124"/>
      <c r="O16156" s="124"/>
    </row>
    <row r="16157">
      <c r="K16157" s="124"/>
      <c r="L16157" s="124"/>
      <c r="M16157" s="124"/>
      <c r="N16157" s="124"/>
      <c r="O16157" s="124"/>
    </row>
    <row r="16158">
      <c r="K16158" s="124"/>
      <c r="L16158" s="124"/>
      <c r="M16158" s="124"/>
      <c r="N16158" s="124"/>
      <c r="O16158" s="124"/>
    </row>
    <row r="16159">
      <c r="K16159" s="124"/>
      <c r="L16159" s="124"/>
      <c r="M16159" s="124"/>
      <c r="N16159" s="124"/>
      <c r="O16159" s="124"/>
    </row>
    <row r="16160">
      <c r="K16160" s="124"/>
      <c r="L16160" s="124"/>
      <c r="M16160" s="124"/>
      <c r="N16160" s="124"/>
      <c r="O16160" s="124"/>
    </row>
    <row r="16161">
      <c r="K16161" s="124"/>
      <c r="L16161" s="124"/>
      <c r="M16161" s="124"/>
      <c r="N16161" s="124"/>
      <c r="O16161" s="124"/>
    </row>
    <row r="16162">
      <c r="K16162" s="124"/>
      <c r="L16162" s="124"/>
      <c r="M16162" s="124"/>
      <c r="N16162" s="124"/>
      <c r="O16162" s="124"/>
    </row>
    <row r="16163">
      <c r="K16163" s="124"/>
      <c r="L16163" s="124"/>
      <c r="M16163" s="124"/>
      <c r="N16163" s="124"/>
      <c r="O16163" s="124"/>
    </row>
    <row r="16164">
      <c r="K16164" s="124"/>
      <c r="L16164" s="124"/>
      <c r="M16164" s="124"/>
      <c r="N16164" s="124"/>
      <c r="O16164" s="124"/>
    </row>
    <row r="16165">
      <c r="K16165" s="124"/>
      <c r="L16165" s="124"/>
      <c r="M16165" s="124"/>
      <c r="N16165" s="124"/>
      <c r="O16165" s="124"/>
    </row>
    <row r="16166">
      <c r="K16166" s="124"/>
      <c r="L16166" s="124"/>
      <c r="M16166" s="124"/>
      <c r="N16166" s="124"/>
      <c r="O16166" s="124"/>
    </row>
    <row r="16167">
      <c r="K16167" s="124"/>
      <c r="L16167" s="124"/>
      <c r="M16167" s="124"/>
      <c r="N16167" s="124"/>
      <c r="O16167" s="124"/>
    </row>
    <row r="16168">
      <c r="K16168" s="124"/>
      <c r="L16168" s="124"/>
      <c r="M16168" s="124"/>
      <c r="N16168" s="124"/>
      <c r="O16168" s="124"/>
    </row>
    <row r="16169">
      <c r="K16169" s="124"/>
      <c r="L16169" s="124"/>
      <c r="M16169" s="124"/>
      <c r="N16169" s="124"/>
      <c r="O16169" s="124"/>
    </row>
    <row r="16170">
      <c r="K16170" s="124"/>
      <c r="L16170" s="124"/>
      <c r="M16170" s="124"/>
      <c r="N16170" s="124"/>
      <c r="O16170" s="124"/>
    </row>
    <row r="16171">
      <c r="K16171" s="124"/>
      <c r="L16171" s="124"/>
      <c r="M16171" s="124"/>
      <c r="N16171" s="124"/>
      <c r="O16171" s="124"/>
    </row>
    <row r="16172">
      <c r="K16172" s="124"/>
      <c r="L16172" s="124"/>
      <c r="M16172" s="124"/>
      <c r="N16172" s="124"/>
      <c r="O16172" s="124"/>
    </row>
    <row r="16173">
      <c r="K16173" s="124"/>
      <c r="L16173" s="124"/>
      <c r="M16173" s="124"/>
      <c r="N16173" s="124"/>
      <c r="O16173" s="124"/>
    </row>
    <row r="16174">
      <c r="K16174" s="124"/>
      <c r="L16174" s="124"/>
      <c r="M16174" s="124"/>
      <c r="N16174" s="124"/>
      <c r="O16174" s="124"/>
    </row>
    <row r="16175">
      <c r="K16175" s="124"/>
      <c r="L16175" s="124"/>
      <c r="M16175" s="124"/>
      <c r="N16175" s="124"/>
      <c r="O16175" s="124"/>
    </row>
    <row r="16176">
      <c r="K16176" s="124"/>
      <c r="L16176" s="124"/>
      <c r="M16176" s="124"/>
      <c r="N16176" s="124"/>
      <c r="O16176" s="124"/>
    </row>
    <row r="16177">
      <c r="K16177" s="124"/>
      <c r="L16177" s="124"/>
      <c r="M16177" s="124"/>
      <c r="N16177" s="124"/>
      <c r="O16177" s="124"/>
    </row>
    <row r="16178">
      <c r="K16178" s="124"/>
      <c r="L16178" s="124"/>
      <c r="M16178" s="124"/>
      <c r="N16178" s="124"/>
      <c r="O16178" s="124"/>
    </row>
    <row r="16179">
      <c r="K16179" s="124"/>
      <c r="L16179" s="124"/>
      <c r="M16179" s="124"/>
      <c r="N16179" s="124"/>
      <c r="O16179" s="124"/>
    </row>
    <row r="16180">
      <c r="K16180" s="124"/>
      <c r="L16180" s="124"/>
      <c r="M16180" s="124"/>
      <c r="N16180" s="124"/>
      <c r="O16180" s="124"/>
    </row>
    <row r="16181">
      <c r="K16181" s="124"/>
      <c r="L16181" s="124"/>
      <c r="M16181" s="124"/>
      <c r="N16181" s="124"/>
      <c r="O16181" s="124"/>
    </row>
    <row r="16182">
      <c r="K16182" s="124"/>
      <c r="L16182" s="124"/>
      <c r="M16182" s="124"/>
      <c r="N16182" s="124"/>
      <c r="O16182" s="124"/>
    </row>
    <row r="16183">
      <c r="K16183" s="124"/>
      <c r="L16183" s="124"/>
      <c r="M16183" s="124"/>
      <c r="N16183" s="124"/>
      <c r="O16183" s="124"/>
    </row>
    <row r="16184">
      <c r="K16184" s="124"/>
      <c r="L16184" s="124"/>
      <c r="M16184" s="124"/>
      <c r="N16184" s="124"/>
      <c r="O16184" s="124"/>
    </row>
    <row r="16185">
      <c r="K16185" s="124"/>
      <c r="L16185" s="124"/>
      <c r="M16185" s="124"/>
      <c r="N16185" s="124"/>
      <c r="O16185" s="124"/>
    </row>
    <row r="16186">
      <c r="K16186" s="124"/>
      <c r="L16186" s="124"/>
      <c r="M16186" s="124"/>
      <c r="N16186" s="124"/>
      <c r="O16186" s="124"/>
    </row>
    <row r="16187">
      <c r="K16187" s="124"/>
      <c r="L16187" s="124"/>
      <c r="M16187" s="124"/>
      <c r="N16187" s="124"/>
      <c r="O16187" s="124"/>
    </row>
    <row r="16188">
      <c r="K16188" s="124"/>
      <c r="L16188" s="124"/>
      <c r="M16188" s="124"/>
      <c r="N16188" s="124"/>
      <c r="O16188" s="124"/>
    </row>
    <row r="16189">
      <c r="K16189" s="124"/>
      <c r="L16189" s="124"/>
      <c r="M16189" s="124"/>
      <c r="N16189" s="124"/>
      <c r="O16189" s="124"/>
    </row>
    <row r="16190">
      <c r="K16190" s="124"/>
      <c r="L16190" s="124"/>
      <c r="M16190" s="124"/>
      <c r="N16190" s="124"/>
      <c r="O16190" s="124"/>
    </row>
    <row r="16191">
      <c r="K16191" s="124"/>
      <c r="L16191" s="124"/>
      <c r="M16191" s="124"/>
      <c r="N16191" s="124"/>
      <c r="O16191" s="124"/>
    </row>
    <row r="16192">
      <c r="K16192" s="124"/>
      <c r="L16192" s="124"/>
      <c r="M16192" s="124"/>
      <c r="N16192" s="124"/>
      <c r="O16192" s="124"/>
    </row>
    <row r="16193">
      <c r="K16193" s="124"/>
      <c r="L16193" s="124"/>
      <c r="M16193" s="124"/>
      <c r="N16193" s="124"/>
      <c r="O16193" s="124"/>
    </row>
    <row r="16194">
      <c r="K16194" s="124"/>
      <c r="L16194" s="124"/>
      <c r="M16194" s="124"/>
      <c r="N16194" s="124"/>
      <c r="O16194" s="124"/>
    </row>
    <row r="16195">
      <c r="K16195" s="124"/>
      <c r="L16195" s="124"/>
      <c r="M16195" s="124"/>
      <c r="N16195" s="124"/>
      <c r="O16195" s="124"/>
    </row>
    <row r="16196">
      <c r="K16196" s="124"/>
      <c r="L16196" s="124"/>
      <c r="M16196" s="124"/>
      <c r="N16196" s="124"/>
      <c r="O16196" s="124"/>
    </row>
    <row r="16197">
      <c r="K16197" s="124"/>
      <c r="L16197" s="124"/>
      <c r="M16197" s="124"/>
      <c r="N16197" s="124"/>
      <c r="O16197" s="124"/>
    </row>
    <row r="16198">
      <c r="K16198" s="124"/>
      <c r="L16198" s="124"/>
      <c r="M16198" s="124"/>
      <c r="N16198" s="124"/>
      <c r="O16198" s="124"/>
    </row>
    <row r="16199">
      <c r="K16199" s="124"/>
      <c r="L16199" s="124"/>
      <c r="M16199" s="124"/>
      <c r="N16199" s="124"/>
      <c r="O16199" s="124"/>
    </row>
    <row r="16200">
      <c r="K16200" s="124"/>
      <c r="L16200" s="124"/>
      <c r="M16200" s="124"/>
      <c r="N16200" s="124"/>
      <c r="O16200" s="124"/>
    </row>
    <row r="16201">
      <c r="K16201" s="124"/>
      <c r="L16201" s="124"/>
      <c r="M16201" s="124"/>
      <c r="N16201" s="124"/>
      <c r="O16201" s="124"/>
    </row>
    <row r="16202">
      <c r="K16202" s="124"/>
      <c r="L16202" s="124"/>
      <c r="M16202" s="124"/>
      <c r="N16202" s="124"/>
      <c r="O16202" s="124"/>
    </row>
    <row r="16203">
      <c r="K16203" s="124"/>
      <c r="L16203" s="124"/>
      <c r="M16203" s="124"/>
      <c r="N16203" s="124"/>
      <c r="O16203" s="124"/>
    </row>
    <row r="16204">
      <c r="K16204" s="124"/>
      <c r="L16204" s="124"/>
      <c r="M16204" s="124"/>
      <c r="N16204" s="124"/>
      <c r="O16204" s="124"/>
    </row>
    <row r="16205">
      <c r="K16205" s="124"/>
      <c r="L16205" s="124"/>
      <c r="M16205" s="124"/>
      <c r="N16205" s="124"/>
      <c r="O16205" s="124"/>
    </row>
    <row r="16206">
      <c r="K16206" s="124"/>
      <c r="L16206" s="124"/>
      <c r="M16206" s="124"/>
      <c r="N16206" s="124"/>
      <c r="O16206" s="124"/>
    </row>
    <row r="16207">
      <c r="K16207" s="124"/>
      <c r="L16207" s="124"/>
      <c r="M16207" s="124"/>
      <c r="N16207" s="124"/>
      <c r="O16207" s="124"/>
    </row>
    <row r="16208">
      <c r="K16208" s="124"/>
      <c r="L16208" s="124"/>
      <c r="M16208" s="124"/>
      <c r="N16208" s="124"/>
      <c r="O16208" s="124"/>
    </row>
    <row r="16209">
      <c r="K16209" s="124"/>
      <c r="L16209" s="124"/>
      <c r="M16209" s="124"/>
      <c r="N16209" s="124"/>
      <c r="O16209" s="124"/>
    </row>
    <row r="16210">
      <c r="K16210" s="124"/>
      <c r="L16210" s="124"/>
      <c r="M16210" s="124"/>
      <c r="N16210" s="124"/>
      <c r="O16210" s="124"/>
    </row>
    <row r="16211">
      <c r="K16211" s="124"/>
      <c r="L16211" s="124"/>
      <c r="M16211" s="124"/>
      <c r="N16211" s="124"/>
      <c r="O16211" s="124"/>
    </row>
    <row r="16212">
      <c r="K16212" s="124"/>
      <c r="L16212" s="124"/>
      <c r="M16212" s="124"/>
      <c r="N16212" s="124"/>
      <c r="O16212" s="124"/>
    </row>
    <row r="16213">
      <c r="K16213" s="124"/>
      <c r="L16213" s="124"/>
      <c r="M16213" s="124"/>
      <c r="N16213" s="124"/>
      <c r="O16213" s="124"/>
    </row>
    <row r="16214">
      <c r="K16214" s="124"/>
      <c r="L16214" s="124"/>
      <c r="M16214" s="124"/>
      <c r="N16214" s="124"/>
      <c r="O16214" s="124"/>
    </row>
    <row r="16215">
      <c r="K16215" s="124"/>
      <c r="L16215" s="124"/>
      <c r="M16215" s="124"/>
      <c r="N16215" s="124"/>
      <c r="O16215" s="124"/>
    </row>
    <row r="16216">
      <c r="K16216" s="124"/>
      <c r="L16216" s="124"/>
      <c r="M16216" s="124"/>
      <c r="N16216" s="124"/>
      <c r="O16216" s="124"/>
    </row>
    <row r="16217">
      <c r="K16217" s="124"/>
      <c r="L16217" s="124"/>
      <c r="M16217" s="124"/>
      <c r="N16217" s="124"/>
      <c r="O16217" s="124"/>
    </row>
    <row r="16218">
      <c r="K16218" s="124"/>
      <c r="L16218" s="124"/>
      <c r="M16218" s="124"/>
      <c r="N16218" s="124"/>
      <c r="O16218" s="124"/>
    </row>
    <row r="16219">
      <c r="K16219" s="124"/>
      <c r="L16219" s="124"/>
      <c r="M16219" s="124"/>
      <c r="N16219" s="124"/>
      <c r="O16219" s="124"/>
    </row>
    <row r="16220">
      <c r="K16220" s="124"/>
      <c r="L16220" s="124"/>
      <c r="M16220" s="124"/>
      <c r="N16220" s="124"/>
      <c r="O16220" s="124"/>
    </row>
    <row r="16221">
      <c r="K16221" s="124"/>
      <c r="L16221" s="124"/>
      <c r="M16221" s="124"/>
      <c r="N16221" s="124"/>
      <c r="O16221" s="124"/>
    </row>
    <row r="16222">
      <c r="K16222" s="124"/>
      <c r="L16222" s="124"/>
      <c r="M16222" s="124"/>
      <c r="N16222" s="124"/>
      <c r="O16222" s="124"/>
    </row>
    <row r="16223">
      <c r="K16223" s="124"/>
      <c r="L16223" s="124"/>
      <c r="M16223" s="124"/>
      <c r="N16223" s="124"/>
      <c r="O16223" s="124"/>
    </row>
    <row r="16224">
      <c r="K16224" s="124"/>
      <c r="L16224" s="124"/>
      <c r="M16224" s="124"/>
      <c r="N16224" s="124"/>
      <c r="O16224" s="124"/>
    </row>
    <row r="16225">
      <c r="K16225" s="124"/>
      <c r="L16225" s="124"/>
      <c r="M16225" s="124"/>
      <c r="N16225" s="124"/>
      <c r="O16225" s="124"/>
    </row>
    <row r="16226">
      <c r="K16226" s="124"/>
      <c r="L16226" s="124"/>
      <c r="M16226" s="124"/>
      <c r="N16226" s="124"/>
      <c r="O16226" s="124"/>
    </row>
    <row r="16227">
      <c r="K16227" s="124"/>
      <c r="L16227" s="124"/>
      <c r="M16227" s="124"/>
      <c r="N16227" s="124"/>
      <c r="O16227" s="124"/>
    </row>
    <row r="16228">
      <c r="K16228" s="124"/>
      <c r="L16228" s="124"/>
      <c r="M16228" s="124"/>
      <c r="N16228" s="124"/>
      <c r="O16228" s="124"/>
    </row>
    <row r="16229">
      <c r="K16229" s="124"/>
      <c r="L16229" s="124"/>
      <c r="M16229" s="124"/>
      <c r="N16229" s="124"/>
      <c r="O16229" s="124"/>
    </row>
    <row r="16230">
      <c r="K16230" s="124"/>
      <c r="L16230" s="124"/>
      <c r="M16230" s="124"/>
      <c r="N16230" s="124"/>
      <c r="O16230" s="124"/>
    </row>
    <row r="16231">
      <c r="K16231" s="124"/>
      <c r="L16231" s="124"/>
      <c r="M16231" s="124"/>
      <c r="N16231" s="124"/>
      <c r="O16231" s="124"/>
    </row>
    <row r="16232">
      <c r="K16232" s="124"/>
      <c r="L16232" s="124"/>
      <c r="M16232" s="124"/>
      <c r="N16232" s="124"/>
      <c r="O16232" s="124"/>
    </row>
    <row r="16233">
      <c r="K16233" s="124"/>
      <c r="L16233" s="124"/>
      <c r="M16233" s="124"/>
      <c r="N16233" s="124"/>
      <c r="O16233" s="124"/>
    </row>
    <row r="16234">
      <c r="K16234" s="124"/>
      <c r="L16234" s="124"/>
      <c r="M16234" s="124"/>
      <c r="N16234" s="124"/>
      <c r="O16234" s="124"/>
    </row>
    <row r="16235">
      <c r="K16235" s="124"/>
      <c r="L16235" s="124"/>
      <c r="M16235" s="124"/>
      <c r="N16235" s="124"/>
      <c r="O16235" s="124"/>
    </row>
    <row r="16236">
      <c r="K16236" s="124"/>
      <c r="L16236" s="124"/>
      <c r="M16236" s="124"/>
      <c r="N16236" s="124"/>
      <c r="O16236" s="124"/>
    </row>
    <row r="16237">
      <c r="K16237" s="124"/>
      <c r="L16237" s="124"/>
      <c r="M16237" s="124"/>
      <c r="N16237" s="124"/>
      <c r="O16237" s="124"/>
    </row>
    <row r="16238">
      <c r="K16238" s="124"/>
      <c r="L16238" s="124"/>
      <c r="M16238" s="124"/>
      <c r="N16238" s="124"/>
      <c r="O16238" s="124"/>
    </row>
    <row r="16239">
      <c r="K16239" s="124"/>
      <c r="L16239" s="124"/>
      <c r="M16239" s="124"/>
      <c r="N16239" s="124"/>
      <c r="O16239" s="124"/>
    </row>
    <row r="16240">
      <c r="K16240" s="124"/>
      <c r="L16240" s="124"/>
      <c r="M16240" s="124"/>
      <c r="N16240" s="124"/>
      <c r="O16240" s="124"/>
    </row>
    <row r="16241">
      <c r="K16241" s="124"/>
      <c r="L16241" s="124"/>
      <c r="M16241" s="124"/>
      <c r="N16241" s="124"/>
      <c r="O16241" s="124"/>
    </row>
    <row r="16242">
      <c r="K16242" s="124"/>
      <c r="L16242" s="124"/>
      <c r="M16242" s="124"/>
      <c r="N16242" s="124"/>
      <c r="O16242" s="124"/>
    </row>
    <row r="16243">
      <c r="K16243" s="124"/>
      <c r="L16243" s="124"/>
      <c r="M16243" s="124"/>
      <c r="N16243" s="124"/>
      <c r="O16243" s="124"/>
    </row>
    <row r="16244">
      <c r="K16244" s="124"/>
      <c r="L16244" s="124"/>
      <c r="M16244" s="124"/>
      <c r="N16244" s="124"/>
      <c r="O16244" s="124"/>
    </row>
    <row r="16245">
      <c r="K16245" s="124"/>
      <c r="L16245" s="124"/>
      <c r="M16245" s="124"/>
      <c r="N16245" s="124"/>
      <c r="O16245" s="124"/>
    </row>
    <row r="16246">
      <c r="K16246" s="124"/>
      <c r="L16246" s="124"/>
      <c r="M16246" s="124"/>
      <c r="N16246" s="124"/>
      <c r="O16246" s="124"/>
    </row>
    <row r="16247">
      <c r="K16247" s="124"/>
      <c r="L16247" s="124"/>
      <c r="M16247" s="124"/>
      <c r="N16247" s="124"/>
      <c r="O16247" s="124"/>
    </row>
    <row r="16248">
      <c r="K16248" s="124"/>
      <c r="L16248" s="124"/>
      <c r="M16248" s="124"/>
      <c r="N16248" s="124"/>
      <c r="O16248" s="124"/>
    </row>
    <row r="16249">
      <c r="K16249" s="124"/>
      <c r="L16249" s="124"/>
      <c r="M16249" s="124"/>
      <c r="N16249" s="124"/>
      <c r="O16249" s="124"/>
    </row>
    <row r="16250">
      <c r="K16250" s="124"/>
      <c r="L16250" s="124"/>
      <c r="M16250" s="124"/>
      <c r="N16250" s="124"/>
      <c r="O16250" s="124"/>
    </row>
    <row r="16251">
      <c r="K16251" s="124"/>
      <c r="L16251" s="124"/>
      <c r="M16251" s="124"/>
      <c r="N16251" s="124"/>
      <c r="O16251" s="124"/>
    </row>
    <row r="16252">
      <c r="K16252" s="124"/>
      <c r="L16252" s="124"/>
      <c r="M16252" s="124"/>
      <c r="N16252" s="124"/>
      <c r="O16252" s="124"/>
    </row>
    <row r="16253">
      <c r="K16253" s="124"/>
      <c r="L16253" s="124"/>
      <c r="M16253" s="124"/>
      <c r="N16253" s="124"/>
      <c r="O16253" s="124"/>
    </row>
    <row r="16254">
      <c r="K16254" s="124"/>
      <c r="L16254" s="124"/>
      <c r="M16254" s="124"/>
      <c r="N16254" s="124"/>
      <c r="O16254" s="124"/>
    </row>
    <row r="16255">
      <c r="K16255" s="124"/>
      <c r="L16255" s="124"/>
      <c r="M16255" s="124"/>
      <c r="N16255" s="124"/>
      <c r="O16255" s="124"/>
    </row>
    <row r="16256">
      <c r="K16256" s="124"/>
      <c r="L16256" s="124"/>
      <c r="M16256" s="124"/>
      <c r="N16256" s="124"/>
      <c r="O16256" s="124"/>
    </row>
    <row r="16257">
      <c r="K16257" s="124"/>
      <c r="L16257" s="124"/>
      <c r="M16257" s="124"/>
      <c r="N16257" s="124"/>
      <c r="O16257" s="124"/>
    </row>
    <row r="16258">
      <c r="K16258" s="124"/>
      <c r="L16258" s="124"/>
      <c r="M16258" s="124"/>
      <c r="N16258" s="124"/>
      <c r="O16258" s="124"/>
    </row>
    <row r="16259">
      <c r="K16259" s="124"/>
      <c r="L16259" s="124"/>
      <c r="M16259" s="124"/>
      <c r="N16259" s="124"/>
      <c r="O16259" s="124"/>
    </row>
    <row r="16260">
      <c r="K16260" s="124"/>
      <c r="L16260" s="124"/>
      <c r="M16260" s="124"/>
      <c r="N16260" s="124"/>
      <c r="O16260" s="124"/>
    </row>
    <row r="16261">
      <c r="K16261" s="124"/>
      <c r="L16261" s="124"/>
      <c r="M16261" s="124"/>
      <c r="N16261" s="124"/>
      <c r="O16261" s="124"/>
    </row>
    <row r="16262">
      <c r="K16262" s="124"/>
      <c r="L16262" s="124"/>
      <c r="M16262" s="124"/>
      <c r="N16262" s="124"/>
      <c r="O16262" s="124"/>
    </row>
    <row r="16263">
      <c r="K16263" s="124"/>
      <c r="L16263" s="124"/>
      <c r="M16263" s="124"/>
      <c r="N16263" s="124"/>
      <c r="O16263" s="124"/>
    </row>
    <row r="16264">
      <c r="K16264" s="124"/>
      <c r="L16264" s="124"/>
      <c r="M16264" s="124"/>
      <c r="N16264" s="124"/>
      <c r="O16264" s="124"/>
    </row>
    <row r="16265">
      <c r="K16265" s="124"/>
      <c r="L16265" s="124"/>
      <c r="M16265" s="124"/>
      <c r="N16265" s="124"/>
      <c r="O16265" s="124"/>
    </row>
    <row r="16266">
      <c r="K16266" s="124"/>
      <c r="L16266" s="124"/>
      <c r="M16266" s="124"/>
      <c r="N16266" s="124"/>
      <c r="O16266" s="124"/>
    </row>
    <row r="16267">
      <c r="K16267" s="124"/>
      <c r="L16267" s="124"/>
      <c r="M16267" s="124"/>
      <c r="N16267" s="124"/>
      <c r="O16267" s="124"/>
    </row>
    <row r="16268">
      <c r="K16268" s="124"/>
      <c r="L16268" s="124"/>
      <c r="M16268" s="124"/>
      <c r="N16268" s="124"/>
      <c r="O16268" s="124"/>
    </row>
    <row r="16269">
      <c r="K16269" s="124"/>
      <c r="L16269" s="124"/>
      <c r="M16269" s="124"/>
      <c r="N16269" s="124"/>
      <c r="O16269" s="124"/>
    </row>
    <row r="16270">
      <c r="K16270" s="124"/>
      <c r="L16270" s="124"/>
      <c r="M16270" s="124"/>
      <c r="N16270" s="124"/>
      <c r="O16270" s="124"/>
    </row>
    <row r="16271">
      <c r="K16271" s="124"/>
      <c r="L16271" s="124"/>
      <c r="M16271" s="124"/>
      <c r="N16271" s="124"/>
      <c r="O16271" s="124"/>
    </row>
    <row r="16272">
      <c r="K16272" s="124"/>
      <c r="L16272" s="124"/>
      <c r="M16272" s="124"/>
      <c r="N16272" s="124"/>
      <c r="O16272" s="124"/>
    </row>
    <row r="16273">
      <c r="K16273" s="124"/>
      <c r="L16273" s="124"/>
      <c r="M16273" s="124"/>
      <c r="N16273" s="124"/>
      <c r="O16273" s="124"/>
    </row>
    <row r="16274">
      <c r="K16274" s="124"/>
      <c r="L16274" s="124"/>
      <c r="M16274" s="124"/>
      <c r="N16274" s="124"/>
      <c r="O16274" s="124"/>
    </row>
    <row r="16275">
      <c r="K16275" s="124"/>
      <c r="L16275" s="124"/>
      <c r="M16275" s="124"/>
      <c r="N16275" s="124"/>
      <c r="O16275" s="124"/>
    </row>
    <row r="16276">
      <c r="K16276" s="124"/>
      <c r="L16276" s="124"/>
      <c r="M16276" s="124"/>
      <c r="N16276" s="124"/>
      <c r="O16276" s="124"/>
    </row>
    <row r="16277">
      <c r="K16277" s="124"/>
      <c r="L16277" s="124"/>
      <c r="M16277" s="124"/>
      <c r="N16277" s="124"/>
      <c r="O16277" s="124"/>
    </row>
    <row r="16278">
      <c r="K16278" s="124"/>
      <c r="L16278" s="124"/>
      <c r="M16278" s="124"/>
      <c r="N16278" s="124"/>
      <c r="O16278" s="124"/>
    </row>
    <row r="16279">
      <c r="K16279" s="124"/>
      <c r="L16279" s="124"/>
      <c r="M16279" s="124"/>
      <c r="N16279" s="124"/>
      <c r="O16279" s="124"/>
    </row>
    <row r="16280">
      <c r="K16280" s="124"/>
      <c r="L16280" s="124"/>
      <c r="M16280" s="124"/>
      <c r="N16280" s="124"/>
      <c r="O16280" s="124"/>
    </row>
    <row r="16281">
      <c r="K16281" s="124"/>
      <c r="L16281" s="124"/>
      <c r="M16281" s="124"/>
      <c r="N16281" s="124"/>
      <c r="O16281" s="124"/>
    </row>
    <row r="16282">
      <c r="K16282" s="124"/>
      <c r="L16282" s="124"/>
      <c r="M16282" s="124"/>
      <c r="N16282" s="124"/>
      <c r="O16282" s="124"/>
    </row>
    <row r="16283">
      <c r="K16283" s="124"/>
      <c r="L16283" s="124"/>
      <c r="M16283" s="124"/>
      <c r="N16283" s="124"/>
      <c r="O16283" s="124"/>
    </row>
    <row r="16284">
      <c r="K16284" s="124"/>
      <c r="L16284" s="124"/>
      <c r="M16284" s="124"/>
      <c r="N16284" s="124"/>
      <c r="O16284" s="124"/>
    </row>
    <row r="16285">
      <c r="K16285" s="124"/>
      <c r="L16285" s="124"/>
      <c r="M16285" s="124"/>
      <c r="N16285" s="124"/>
      <c r="O16285" s="124"/>
    </row>
    <row r="16286">
      <c r="K16286" s="124"/>
      <c r="L16286" s="124"/>
      <c r="M16286" s="124"/>
      <c r="N16286" s="124"/>
      <c r="O16286" s="124"/>
    </row>
    <row r="16287">
      <c r="K16287" s="124"/>
      <c r="L16287" s="124"/>
      <c r="M16287" s="124"/>
      <c r="N16287" s="124"/>
      <c r="O16287" s="124"/>
    </row>
    <row r="16288">
      <c r="K16288" s="124"/>
      <c r="L16288" s="124"/>
      <c r="M16288" s="124"/>
      <c r="N16288" s="124"/>
      <c r="O16288" s="124"/>
    </row>
    <row r="16289">
      <c r="K16289" s="124"/>
      <c r="L16289" s="124"/>
      <c r="M16289" s="124"/>
      <c r="N16289" s="124"/>
      <c r="O16289" s="124"/>
    </row>
    <row r="16290">
      <c r="K16290" s="124"/>
      <c r="L16290" s="124"/>
      <c r="M16290" s="124"/>
      <c r="N16290" s="124"/>
      <c r="O16290" s="124"/>
    </row>
    <row r="16291">
      <c r="K16291" s="124"/>
      <c r="L16291" s="124"/>
      <c r="M16291" s="124"/>
      <c r="N16291" s="124"/>
      <c r="O16291" s="124"/>
    </row>
    <row r="16292">
      <c r="K16292" s="124"/>
      <c r="L16292" s="124"/>
      <c r="M16292" s="124"/>
      <c r="N16292" s="124"/>
      <c r="O16292" s="124"/>
    </row>
    <row r="16293">
      <c r="K16293" s="124"/>
      <c r="L16293" s="124"/>
      <c r="M16293" s="124"/>
      <c r="N16293" s="124"/>
      <c r="O16293" s="124"/>
    </row>
    <row r="16294">
      <c r="K16294" s="124"/>
      <c r="L16294" s="124"/>
      <c r="M16294" s="124"/>
      <c r="N16294" s="124"/>
      <c r="O16294" s="124"/>
    </row>
    <row r="16295">
      <c r="K16295" s="124"/>
      <c r="L16295" s="124"/>
      <c r="M16295" s="124"/>
      <c r="N16295" s="124"/>
      <c r="O16295" s="124"/>
    </row>
    <row r="16296">
      <c r="K16296" s="124"/>
      <c r="L16296" s="124"/>
      <c r="M16296" s="124"/>
      <c r="N16296" s="124"/>
      <c r="O16296" s="124"/>
    </row>
    <row r="16297">
      <c r="K16297" s="124"/>
      <c r="L16297" s="124"/>
      <c r="M16297" s="124"/>
      <c r="N16297" s="124"/>
      <c r="O16297" s="124"/>
    </row>
    <row r="16298">
      <c r="K16298" s="124"/>
      <c r="L16298" s="124"/>
      <c r="M16298" s="124"/>
      <c r="N16298" s="124"/>
      <c r="O16298" s="124"/>
    </row>
    <row r="16299">
      <c r="K16299" s="124"/>
      <c r="L16299" s="124"/>
      <c r="M16299" s="124"/>
      <c r="N16299" s="124"/>
      <c r="O16299" s="124"/>
    </row>
    <row r="16300">
      <c r="K16300" s="124"/>
      <c r="L16300" s="124"/>
      <c r="M16300" s="124"/>
      <c r="N16300" s="124"/>
      <c r="O16300" s="124"/>
    </row>
    <row r="16301">
      <c r="K16301" s="124"/>
      <c r="L16301" s="124"/>
      <c r="M16301" s="124"/>
      <c r="N16301" s="124"/>
      <c r="O16301" s="124"/>
    </row>
    <row r="16302">
      <c r="K16302" s="124"/>
      <c r="L16302" s="124"/>
      <c r="M16302" s="124"/>
      <c r="N16302" s="124"/>
      <c r="O16302" s="124"/>
    </row>
    <row r="16303">
      <c r="K16303" s="124"/>
      <c r="L16303" s="124"/>
      <c r="M16303" s="124"/>
      <c r="N16303" s="124"/>
      <c r="O16303" s="124"/>
    </row>
    <row r="16304">
      <c r="K16304" s="124"/>
      <c r="L16304" s="124"/>
      <c r="M16304" s="124"/>
      <c r="N16304" s="124"/>
      <c r="O16304" s="124"/>
    </row>
    <row r="16305">
      <c r="K16305" s="124"/>
      <c r="L16305" s="124"/>
      <c r="M16305" s="124"/>
      <c r="N16305" s="124"/>
      <c r="O16305" s="124"/>
    </row>
    <row r="16306">
      <c r="K16306" s="124"/>
      <c r="L16306" s="124"/>
      <c r="M16306" s="124"/>
      <c r="N16306" s="124"/>
      <c r="O16306" s="124"/>
    </row>
    <row r="16307">
      <c r="K16307" s="124"/>
      <c r="L16307" s="124"/>
      <c r="M16307" s="124"/>
      <c r="N16307" s="124"/>
      <c r="O16307" s="124"/>
    </row>
    <row r="16308">
      <c r="K16308" s="124"/>
      <c r="L16308" s="124"/>
      <c r="M16308" s="124"/>
      <c r="N16308" s="124"/>
      <c r="O16308" s="124"/>
    </row>
    <row r="16309">
      <c r="K16309" s="124"/>
      <c r="L16309" s="124"/>
      <c r="M16309" s="124"/>
      <c r="N16309" s="124"/>
      <c r="O16309" s="124"/>
    </row>
    <row r="16310">
      <c r="K16310" s="124"/>
      <c r="L16310" s="124"/>
      <c r="M16310" s="124"/>
      <c r="N16310" s="124"/>
      <c r="O16310" s="124"/>
    </row>
    <row r="16311">
      <c r="K16311" s="124"/>
      <c r="L16311" s="124"/>
      <c r="M16311" s="124"/>
      <c r="N16311" s="124"/>
      <c r="O16311" s="124"/>
    </row>
    <row r="16312">
      <c r="K16312" s="124"/>
      <c r="L16312" s="124"/>
      <c r="M16312" s="124"/>
      <c r="N16312" s="124"/>
      <c r="O16312" s="124"/>
    </row>
    <row r="16313">
      <c r="K16313" s="124"/>
      <c r="L16313" s="124"/>
      <c r="M16313" s="124"/>
      <c r="N16313" s="124"/>
      <c r="O16313" s="124"/>
    </row>
    <row r="16314">
      <c r="K16314" s="124"/>
      <c r="L16314" s="124"/>
      <c r="M16314" s="124"/>
      <c r="N16314" s="124"/>
      <c r="O16314" s="124"/>
    </row>
    <row r="16315">
      <c r="K16315" s="124"/>
      <c r="L16315" s="124"/>
      <c r="M16315" s="124"/>
      <c r="N16315" s="124"/>
      <c r="O16315" s="124"/>
    </row>
    <row r="16316">
      <c r="K16316" s="124"/>
      <c r="L16316" s="124"/>
      <c r="M16316" s="124"/>
      <c r="N16316" s="124"/>
      <c r="O16316" s="124"/>
    </row>
    <row r="16317">
      <c r="K16317" s="124"/>
      <c r="L16317" s="124"/>
      <c r="M16317" s="124"/>
      <c r="N16317" s="124"/>
      <c r="O16317" s="124"/>
    </row>
    <row r="16318">
      <c r="K16318" s="124"/>
      <c r="L16318" s="124"/>
      <c r="M16318" s="124"/>
      <c r="N16318" s="124"/>
      <c r="O16318" s="124"/>
    </row>
    <row r="16319">
      <c r="K16319" s="124"/>
      <c r="L16319" s="124"/>
      <c r="M16319" s="124"/>
      <c r="N16319" s="124"/>
      <c r="O16319" s="124"/>
    </row>
    <row r="16320">
      <c r="K16320" s="124"/>
      <c r="L16320" s="124"/>
      <c r="M16320" s="124"/>
      <c r="N16320" s="124"/>
      <c r="O16320" s="124"/>
    </row>
    <row r="16321">
      <c r="K16321" s="124"/>
      <c r="L16321" s="124"/>
      <c r="M16321" s="124"/>
      <c r="N16321" s="124"/>
      <c r="O16321" s="124"/>
    </row>
    <row r="16322">
      <c r="K16322" s="124"/>
      <c r="L16322" s="124"/>
      <c r="M16322" s="124"/>
      <c r="N16322" s="124"/>
      <c r="O16322" s="124"/>
    </row>
    <row r="16323">
      <c r="K16323" s="124"/>
      <c r="L16323" s="124"/>
      <c r="M16323" s="124"/>
      <c r="N16323" s="124"/>
      <c r="O16323" s="124"/>
    </row>
    <row r="16324">
      <c r="K16324" s="124"/>
      <c r="L16324" s="124"/>
      <c r="M16324" s="124"/>
      <c r="N16324" s="124"/>
      <c r="O16324" s="124"/>
    </row>
    <row r="16325">
      <c r="K16325" s="124"/>
      <c r="L16325" s="124"/>
      <c r="M16325" s="124"/>
      <c r="N16325" s="124"/>
      <c r="O16325" s="124"/>
    </row>
    <row r="16326">
      <c r="K16326" s="124"/>
      <c r="L16326" s="124"/>
      <c r="M16326" s="124"/>
      <c r="N16326" s="124"/>
      <c r="O16326" s="124"/>
    </row>
    <row r="16327">
      <c r="K16327" s="124"/>
      <c r="L16327" s="124"/>
      <c r="M16327" s="124"/>
      <c r="N16327" s="124"/>
      <c r="O16327" s="124"/>
    </row>
    <row r="16328">
      <c r="K16328" s="124"/>
      <c r="L16328" s="124"/>
      <c r="M16328" s="124"/>
      <c r="N16328" s="124"/>
      <c r="O16328" s="124"/>
    </row>
    <row r="16329">
      <c r="K16329" s="124"/>
      <c r="L16329" s="124"/>
      <c r="M16329" s="124"/>
      <c r="N16329" s="124"/>
      <c r="O16329" s="124"/>
    </row>
    <row r="16330">
      <c r="K16330" s="124"/>
      <c r="L16330" s="124"/>
      <c r="M16330" s="124"/>
      <c r="N16330" s="124"/>
      <c r="O16330" s="124"/>
    </row>
    <row r="16331">
      <c r="K16331" s="124"/>
      <c r="L16331" s="124"/>
      <c r="M16331" s="124"/>
      <c r="N16331" s="124"/>
      <c r="O16331" s="124"/>
    </row>
    <row r="16332">
      <c r="K16332" s="124"/>
      <c r="L16332" s="124"/>
      <c r="M16332" s="124"/>
      <c r="N16332" s="124"/>
      <c r="O16332" s="124"/>
    </row>
    <row r="16333">
      <c r="K16333" s="124"/>
      <c r="L16333" s="124"/>
      <c r="M16333" s="124"/>
      <c r="N16333" s="124"/>
      <c r="O16333" s="124"/>
    </row>
    <row r="16334">
      <c r="K16334" s="124"/>
      <c r="L16334" s="124"/>
      <c r="M16334" s="124"/>
      <c r="N16334" s="124"/>
      <c r="O16334" s="124"/>
    </row>
    <row r="16335">
      <c r="K16335" s="124"/>
      <c r="L16335" s="124"/>
      <c r="M16335" s="124"/>
      <c r="N16335" s="124"/>
      <c r="O16335" s="124"/>
    </row>
    <row r="16336">
      <c r="K16336" s="124"/>
      <c r="L16336" s="124"/>
      <c r="M16336" s="124"/>
      <c r="N16336" s="124"/>
      <c r="O16336" s="124"/>
    </row>
    <row r="16337">
      <c r="K16337" s="124"/>
      <c r="L16337" s="124"/>
      <c r="M16337" s="124"/>
      <c r="N16337" s="124"/>
      <c r="O16337" s="124"/>
    </row>
    <row r="16338">
      <c r="K16338" s="124"/>
      <c r="L16338" s="124"/>
      <c r="M16338" s="124"/>
      <c r="N16338" s="124"/>
      <c r="O16338" s="124"/>
    </row>
    <row r="16339">
      <c r="K16339" s="124"/>
      <c r="L16339" s="124"/>
      <c r="M16339" s="124"/>
      <c r="N16339" s="124"/>
      <c r="O16339" s="124"/>
    </row>
    <row r="16340">
      <c r="K16340" s="124"/>
      <c r="L16340" s="124"/>
      <c r="M16340" s="124"/>
      <c r="N16340" s="124"/>
      <c r="O16340" s="124"/>
    </row>
    <row r="16341">
      <c r="K16341" s="124"/>
      <c r="L16341" s="124"/>
      <c r="M16341" s="124"/>
      <c r="N16341" s="124"/>
      <c r="O16341" s="124"/>
    </row>
    <row r="16342">
      <c r="K16342" s="124"/>
      <c r="L16342" s="124"/>
      <c r="M16342" s="124"/>
      <c r="N16342" s="124"/>
      <c r="O16342" s="124"/>
    </row>
    <row r="16343">
      <c r="K16343" s="124"/>
      <c r="L16343" s="124"/>
      <c r="M16343" s="124"/>
      <c r="N16343" s="124"/>
      <c r="O16343" s="124"/>
    </row>
    <row r="16344">
      <c r="K16344" s="124"/>
      <c r="L16344" s="124"/>
      <c r="M16344" s="124"/>
      <c r="N16344" s="124"/>
      <c r="O16344" s="124"/>
    </row>
    <row r="16345">
      <c r="K16345" s="124"/>
      <c r="L16345" s="124"/>
      <c r="M16345" s="124"/>
      <c r="N16345" s="124"/>
      <c r="O16345" s="124"/>
    </row>
    <row r="16346">
      <c r="K16346" s="124"/>
      <c r="L16346" s="124"/>
      <c r="M16346" s="124"/>
      <c r="N16346" s="124"/>
      <c r="O16346" s="124"/>
    </row>
    <row r="16347">
      <c r="K16347" s="124"/>
      <c r="L16347" s="124"/>
      <c r="M16347" s="124"/>
      <c r="N16347" s="124"/>
      <c r="O16347" s="124"/>
    </row>
    <row r="16348">
      <c r="K16348" s="124"/>
      <c r="L16348" s="124"/>
      <c r="M16348" s="124"/>
      <c r="N16348" s="124"/>
      <c r="O16348" s="124"/>
    </row>
    <row r="16349">
      <c r="K16349" s="124"/>
      <c r="L16349" s="124"/>
      <c r="M16349" s="124"/>
      <c r="N16349" s="124"/>
      <c r="O16349" s="124"/>
    </row>
    <row r="16350">
      <c r="K16350" s="124"/>
      <c r="L16350" s="124"/>
      <c r="M16350" s="124"/>
      <c r="N16350" s="124"/>
      <c r="O16350" s="124"/>
    </row>
    <row r="16351">
      <c r="K16351" s="124"/>
      <c r="L16351" s="124"/>
      <c r="M16351" s="124"/>
      <c r="N16351" s="124"/>
      <c r="O16351" s="124"/>
    </row>
    <row r="16352">
      <c r="K16352" s="124"/>
      <c r="L16352" s="124"/>
      <c r="M16352" s="124"/>
      <c r="N16352" s="124"/>
      <c r="O16352" s="124"/>
    </row>
    <row r="16353">
      <c r="K16353" s="124"/>
      <c r="L16353" s="124"/>
      <c r="M16353" s="124"/>
      <c r="N16353" s="124"/>
      <c r="O16353" s="124"/>
    </row>
    <row r="16354">
      <c r="K16354" s="124"/>
      <c r="L16354" s="124"/>
      <c r="M16354" s="124"/>
      <c r="N16354" s="124"/>
      <c r="O16354" s="124"/>
    </row>
    <row r="16355">
      <c r="K16355" s="124"/>
      <c r="L16355" s="124"/>
      <c r="M16355" s="124"/>
      <c r="N16355" s="124"/>
      <c r="O16355" s="124"/>
    </row>
    <row r="16356">
      <c r="K16356" s="124"/>
      <c r="L16356" s="124"/>
      <c r="M16356" s="124"/>
      <c r="N16356" s="124"/>
      <c r="O16356" s="124"/>
    </row>
    <row r="16357">
      <c r="K16357" s="124"/>
      <c r="L16357" s="124"/>
      <c r="M16357" s="124"/>
      <c r="N16357" s="124"/>
      <c r="O16357" s="124"/>
    </row>
    <row r="16358">
      <c r="K16358" s="124"/>
      <c r="L16358" s="124"/>
      <c r="M16358" s="124"/>
      <c r="N16358" s="124"/>
      <c r="O16358" s="124"/>
    </row>
    <row r="16359">
      <c r="K16359" s="124"/>
      <c r="L16359" s="124"/>
      <c r="M16359" s="124"/>
      <c r="N16359" s="124"/>
      <c r="O16359" s="124"/>
    </row>
    <row r="16360">
      <c r="K16360" s="124"/>
      <c r="L16360" s="124"/>
      <c r="M16360" s="124"/>
      <c r="N16360" s="124"/>
      <c r="O16360" s="124"/>
    </row>
    <row r="16361">
      <c r="K16361" s="124"/>
      <c r="L16361" s="124"/>
      <c r="M16361" s="124"/>
      <c r="N16361" s="124"/>
      <c r="O16361" s="124"/>
    </row>
    <row r="16362">
      <c r="K16362" s="124"/>
      <c r="L16362" s="124"/>
      <c r="M16362" s="124"/>
      <c r="N16362" s="124"/>
      <c r="O16362" s="124"/>
    </row>
    <row r="16363">
      <c r="K16363" s="124"/>
      <c r="L16363" s="124"/>
      <c r="M16363" s="124"/>
      <c r="N16363" s="124"/>
      <c r="O16363" s="124"/>
    </row>
    <row r="16364">
      <c r="K16364" s="124"/>
      <c r="L16364" s="124"/>
      <c r="M16364" s="124"/>
      <c r="N16364" s="124"/>
      <c r="O16364" s="124"/>
    </row>
    <row r="16365">
      <c r="K16365" s="124"/>
      <c r="L16365" s="124"/>
      <c r="M16365" s="124"/>
      <c r="N16365" s="124"/>
      <c r="O16365" s="124"/>
    </row>
    <row r="16366">
      <c r="K16366" s="124"/>
      <c r="L16366" s="124"/>
      <c r="M16366" s="124"/>
      <c r="N16366" s="124"/>
      <c r="O16366" s="124"/>
    </row>
    <row r="16367">
      <c r="K16367" s="124"/>
      <c r="L16367" s="124"/>
      <c r="M16367" s="124"/>
      <c r="N16367" s="124"/>
      <c r="O16367" s="124"/>
    </row>
    <row r="16368">
      <c r="K16368" s="124"/>
      <c r="L16368" s="124"/>
      <c r="M16368" s="124"/>
      <c r="N16368" s="124"/>
      <c r="O16368" s="124"/>
    </row>
    <row r="16369">
      <c r="K16369" s="124"/>
      <c r="L16369" s="124"/>
      <c r="M16369" s="124"/>
      <c r="N16369" s="124"/>
      <c r="O16369" s="124"/>
    </row>
    <row r="16370">
      <c r="K16370" s="124"/>
      <c r="L16370" s="124"/>
      <c r="M16370" s="124"/>
      <c r="N16370" s="124"/>
      <c r="O16370" s="124"/>
    </row>
    <row r="16371">
      <c r="K16371" s="124"/>
      <c r="L16371" s="124"/>
      <c r="M16371" s="124"/>
      <c r="N16371" s="124"/>
      <c r="O16371" s="124"/>
    </row>
    <row r="16372">
      <c r="K16372" s="124"/>
      <c r="L16372" s="124"/>
      <c r="M16372" s="124"/>
      <c r="N16372" s="124"/>
      <c r="O16372" s="124"/>
    </row>
    <row r="16373">
      <c r="K16373" s="124"/>
      <c r="L16373" s="124"/>
      <c r="M16373" s="124"/>
      <c r="N16373" s="124"/>
      <c r="O16373" s="124"/>
    </row>
    <row r="16374">
      <c r="K16374" s="124"/>
      <c r="L16374" s="124"/>
      <c r="M16374" s="124"/>
      <c r="N16374" s="124"/>
      <c r="O16374" s="124"/>
    </row>
    <row r="16375">
      <c r="K16375" s="124"/>
      <c r="L16375" s="124"/>
      <c r="M16375" s="124"/>
      <c r="N16375" s="124"/>
      <c r="O16375" s="124"/>
    </row>
    <row r="16376">
      <c r="K16376" s="124"/>
      <c r="L16376" s="124"/>
      <c r="M16376" s="124"/>
      <c r="N16376" s="124"/>
      <c r="O16376" s="124"/>
    </row>
    <row r="16377">
      <c r="K16377" s="124"/>
      <c r="L16377" s="124"/>
      <c r="M16377" s="124"/>
      <c r="N16377" s="124"/>
      <c r="O16377" s="124"/>
    </row>
    <row r="16378">
      <c r="K16378" s="124"/>
      <c r="L16378" s="124"/>
      <c r="M16378" s="124"/>
      <c r="N16378" s="124"/>
      <c r="O16378" s="124"/>
    </row>
    <row r="16379">
      <c r="K16379" s="124"/>
      <c r="L16379" s="124"/>
      <c r="M16379" s="124"/>
      <c r="N16379" s="124"/>
      <c r="O16379" s="124"/>
    </row>
    <row r="16380">
      <c r="K16380" s="124"/>
      <c r="L16380" s="124"/>
      <c r="M16380" s="124"/>
      <c r="N16380" s="124"/>
      <c r="O16380" s="124"/>
    </row>
    <row r="16381">
      <c r="K16381" s="124"/>
      <c r="L16381" s="124"/>
      <c r="M16381" s="124"/>
      <c r="N16381" s="124"/>
      <c r="O16381" s="124"/>
    </row>
    <row r="16382">
      <c r="K16382" s="124"/>
      <c r="L16382" s="124"/>
      <c r="M16382" s="124"/>
      <c r="N16382" s="124"/>
      <c r="O16382" s="124"/>
    </row>
    <row r="16383">
      <c r="K16383" s="124"/>
      <c r="L16383" s="124"/>
      <c r="M16383" s="124"/>
      <c r="N16383" s="124"/>
      <c r="O16383" s="124"/>
    </row>
    <row r="16384">
      <c r="K16384" s="124"/>
      <c r="L16384" s="124"/>
      <c r="M16384" s="124"/>
      <c r="N16384" s="124"/>
      <c r="O16384" s="124"/>
    </row>
    <row r="16385">
      <c r="K16385" s="124"/>
      <c r="L16385" s="124"/>
      <c r="M16385" s="124"/>
      <c r="N16385" s="124"/>
      <c r="O16385" s="124"/>
    </row>
    <row r="16386">
      <c r="K16386" s="124"/>
      <c r="L16386" s="124"/>
      <c r="M16386" s="124"/>
      <c r="N16386" s="124"/>
      <c r="O16386" s="124"/>
    </row>
    <row r="16387">
      <c r="K16387" s="124"/>
      <c r="L16387" s="124"/>
      <c r="M16387" s="124"/>
      <c r="N16387" s="124"/>
      <c r="O16387" s="124"/>
    </row>
    <row r="16388">
      <c r="K16388" s="124"/>
      <c r="L16388" s="124"/>
      <c r="M16388" s="124"/>
      <c r="N16388" s="124"/>
      <c r="O16388" s="124"/>
    </row>
    <row r="16389">
      <c r="K16389" s="124"/>
      <c r="L16389" s="124"/>
      <c r="M16389" s="124"/>
      <c r="N16389" s="124"/>
      <c r="O16389" s="124"/>
    </row>
    <row r="16390">
      <c r="K16390" s="124"/>
      <c r="L16390" s="124"/>
      <c r="M16390" s="124"/>
      <c r="N16390" s="124"/>
      <c r="O16390" s="124"/>
    </row>
    <row r="16391">
      <c r="K16391" s="124"/>
      <c r="L16391" s="124"/>
      <c r="M16391" s="124"/>
      <c r="N16391" s="124"/>
      <c r="O16391" s="124"/>
    </row>
    <row r="16392">
      <c r="K16392" s="124"/>
      <c r="L16392" s="124"/>
      <c r="M16392" s="124"/>
      <c r="N16392" s="124"/>
      <c r="O16392" s="124"/>
    </row>
    <row r="16393">
      <c r="K16393" s="124"/>
      <c r="L16393" s="124"/>
      <c r="M16393" s="124"/>
      <c r="N16393" s="124"/>
      <c r="O16393" s="124"/>
    </row>
    <row r="16394">
      <c r="K16394" s="124"/>
      <c r="L16394" s="124"/>
      <c r="M16394" s="124"/>
      <c r="N16394" s="124"/>
      <c r="O16394" s="124"/>
    </row>
    <row r="16395">
      <c r="K16395" s="124"/>
      <c r="L16395" s="124"/>
      <c r="M16395" s="124"/>
      <c r="N16395" s="124"/>
      <c r="O16395" s="124"/>
    </row>
    <row r="16396">
      <c r="K16396" s="124"/>
      <c r="L16396" s="124"/>
      <c r="M16396" s="124"/>
      <c r="N16396" s="124"/>
      <c r="O16396" s="124"/>
    </row>
    <row r="16397">
      <c r="K16397" s="124"/>
      <c r="L16397" s="124"/>
      <c r="M16397" s="124"/>
      <c r="N16397" s="124"/>
      <c r="O16397" s="124"/>
    </row>
    <row r="16398">
      <c r="K16398" s="124"/>
      <c r="L16398" s="124"/>
      <c r="M16398" s="124"/>
      <c r="N16398" s="124"/>
      <c r="O16398" s="124"/>
    </row>
    <row r="16399">
      <c r="K16399" s="124"/>
      <c r="L16399" s="124"/>
      <c r="M16399" s="124"/>
      <c r="N16399" s="124"/>
      <c r="O16399" s="124"/>
    </row>
    <row r="16400">
      <c r="K16400" s="124"/>
      <c r="L16400" s="124"/>
      <c r="M16400" s="124"/>
      <c r="N16400" s="124"/>
      <c r="O16400" s="124"/>
    </row>
    <row r="16401">
      <c r="K16401" s="124"/>
      <c r="L16401" s="124"/>
      <c r="M16401" s="124"/>
      <c r="N16401" s="124"/>
      <c r="O16401" s="124"/>
    </row>
    <row r="16402">
      <c r="K16402" s="124"/>
      <c r="L16402" s="124"/>
      <c r="M16402" s="124"/>
      <c r="N16402" s="124"/>
      <c r="O16402" s="124"/>
    </row>
    <row r="16403">
      <c r="K16403" s="124"/>
      <c r="L16403" s="124"/>
      <c r="M16403" s="124"/>
      <c r="N16403" s="124"/>
      <c r="O16403" s="124"/>
    </row>
    <row r="16404">
      <c r="K16404" s="124"/>
      <c r="L16404" s="124"/>
      <c r="M16404" s="124"/>
      <c r="N16404" s="124"/>
      <c r="O16404" s="124"/>
    </row>
    <row r="16405">
      <c r="K16405" s="124"/>
      <c r="L16405" s="124"/>
      <c r="M16405" s="124"/>
      <c r="N16405" s="124"/>
      <c r="O16405" s="124"/>
    </row>
    <row r="16406">
      <c r="K16406" s="124"/>
      <c r="L16406" s="124"/>
      <c r="M16406" s="124"/>
      <c r="N16406" s="124"/>
      <c r="O16406" s="124"/>
    </row>
    <row r="16407">
      <c r="K16407" s="124"/>
      <c r="L16407" s="124"/>
      <c r="M16407" s="124"/>
      <c r="N16407" s="124"/>
      <c r="O16407" s="124"/>
    </row>
    <row r="16408">
      <c r="K16408" s="124"/>
      <c r="L16408" s="124"/>
      <c r="M16408" s="124"/>
      <c r="N16408" s="124"/>
      <c r="O16408" s="124"/>
    </row>
    <row r="16409">
      <c r="K16409" s="124"/>
      <c r="L16409" s="124"/>
      <c r="M16409" s="124"/>
      <c r="N16409" s="124"/>
      <c r="O16409" s="124"/>
    </row>
    <row r="16410">
      <c r="K16410" s="124"/>
      <c r="L16410" s="124"/>
      <c r="M16410" s="124"/>
      <c r="N16410" s="124"/>
      <c r="O16410" s="124"/>
    </row>
    <row r="16411">
      <c r="K16411" s="124"/>
      <c r="L16411" s="124"/>
      <c r="M16411" s="124"/>
      <c r="N16411" s="124"/>
      <c r="O16411" s="124"/>
    </row>
    <row r="16412">
      <c r="K16412" s="124"/>
      <c r="L16412" s="124"/>
      <c r="M16412" s="124"/>
      <c r="N16412" s="124"/>
      <c r="O16412" s="124"/>
    </row>
    <row r="16413">
      <c r="K16413" s="124"/>
      <c r="L16413" s="124"/>
      <c r="M16413" s="124"/>
      <c r="N16413" s="124"/>
      <c r="O16413" s="124"/>
    </row>
    <row r="16414">
      <c r="K16414" s="124"/>
      <c r="L16414" s="124"/>
      <c r="M16414" s="124"/>
      <c r="N16414" s="124"/>
      <c r="O16414" s="124"/>
    </row>
    <row r="16415">
      <c r="K16415" s="124"/>
      <c r="L16415" s="124"/>
      <c r="M16415" s="124"/>
      <c r="N16415" s="124"/>
      <c r="O16415" s="124"/>
    </row>
    <row r="16416">
      <c r="K16416" s="124"/>
      <c r="L16416" s="124"/>
      <c r="M16416" s="124"/>
      <c r="N16416" s="124"/>
      <c r="O16416" s="124"/>
    </row>
    <row r="16417">
      <c r="K16417" s="124"/>
      <c r="L16417" s="124"/>
      <c r="M16417" s="124"/>
      <c r="N16417" s="124"/>
      <c r="O16417" s="124"/>
    </row>
    <row r="16418">
      <c r="K16418" s="124"/>
      <c r="L16418" s="124"/>
      <c r="M16418" s="124"/>
      <c r="N16418" s="124"/>
      <c r="O16418" s="124"/>
    </row>
    <row r="16419">
      <c r="K16419" s="124"/>
      <c r="L16419" s="124"/>
      <c r="M16419" s="124"/>
      <c r="N16419" s="124"/>
      <c r="O16419" s="124"/>
    </row>
    <row r="16420">
      <c r="K16420" s="124"/>
      <c r="L16420" s="124"/>
      <c r="M16420" s="124"/>
      <c r="N16420" s="124"/>
      <c r="O16420" s="124"/>
    </row>
    <row r="16421">
      <c r="K16421" s="124"/>
      <c r="L16421" s="124"/>
      <c r="M16421" s="124"/>
      <c r="N16421" s="124"/>
      <c r="O16421" s="124"/>
    </row>
    <row r="16422">
      <c r="K16422" s="124"/>
      <c r="L16422" s="124"/>
      <c r="M16422" s="124"/>
      <c r="N16422" s="124"/>
      <c r="O16422" s="124"/>
    </row>
    <row r="16423">
      <c r="K16423" s="124"/>
      <c r="L16423" s="124"/>
      <c r="M16423" s="124"/>
      <c r="N16423" s="124"/>
      <c r="O16423" s="124"/>
    </row>
    <row r="16424">
      <c r="K16424" s="124"/>
      <c r="L16424" s="124"/>
      <c r="M16424" s="124"/>
      <c r="N16424" s="124"/>
      <c r="O16424" s="124"/>
    </row>
    <row r="16425">
      <c r="K16425" s="124"/>
      <c r="L16425" s="124"/>
      <c r="M16425" s="124"/>
      <c r="N16425" s="124"/>
      <c r="O16425" s="124"/>
    </row>
    <row r="16426">
      <c r="K16426" s="124"/>
      <c r="L16426" s="124"/>
      <c r="M16426" s="124"/>
      <c r="N16426" s="124"/>
      <c r="O16426" s="124"/>
    </row>
    <row r="16427">
      <c r="K16427" s="124"/>
      <c r="L16427" s="124"/>
      <c r="M16427" s="124"/>
      <c r="N16427" s="124"/>
      <c r="O16427" s="124"/>
    </row>
    <row r="16428">
      <c r="K16428" s="124"/>
      <c r="L16428" s="124"/>
      <c r="M16428" s="124"/>
      <c r="N16428" s="124"/>
      <c r="O16428" s="124"/>
    </row>
    <row r="16429">
      <c r="K16429" s="124"/>
      <c r="L16429" s="124"/>
      <c r="M16429" s="124"/>
      <c r="N16429" s="124"/>
      <c r="O16429" s="124"/>
    </row>
    <row r="16430">
      <c r="K16430" s="124"/>
      <c r="L16430" s="124"/>
      <c r="M16430" s="124"/>
      <c r="N16430" s="124"/>
      <c r="O16430" s="124"/>
    </row>
    <row r="16431">
      <c r="K16431" s="124"/>
      <c r="L16431" s="124"/>
      <c r="M16431" s="124"/>
      <c r="N16431" s="124"/>
      <c r="O16431" s="124"/>
    </row>
    <row r="16432">
      <c r="K16432" s="124"/>
      <c r="L16432" s="124"/>
      <c r="M16432" s="124"/>
      <c r="N16432" s="124"/>
      <c r="O16432" s="124"/>
    </row>
    <row r="16433">
      <c r="K16433" s="124"/>
      <c r="L16433" s="124"/>
      <c r="M16433" s="124"/>
      <c r="N16433" s="124"/>
      <c r="O16433" s="124"/>
    </row>
    <row r="16434">
      <c r="K16434" s="124"/>
      <c r="L16434" s="124"/>
      <c r="M16434" s="124"/>
      <c r="N16434" s="124"/>
      <c r="O16434" s="124"/>
    </row>
    <row r="16435">
      <c r="K16435" s="124"/>
      <c r="L16435" s="124"/>
      <c r="M16435" s="124"/>
      <c r="N16435" s="124"/>
      <c r="O16435" s="124"/>
    </row>
    <row r="16436">
      <c r="K16436" s="124"/>
      <c r="L16436" s="124"/>
      <c r="M16436" s="124"/>
      <c r="N16436" s="124"/>
      <c r="O16436" s="124"/>
    </row>
    <row r="16437">
      <c r="K16437" s="124"/>
      <c r="L16437" s="124"/>
      <c r="M16437" s="124"/>
      <c r="N16437" s="124"/>
      <c r="O16437" s="124"/>
    </row>
    <row r="16438">
      <c r="K16438" s="124"/>
      <c r="L16438" s="124"/>
      <c r="M16438" s="124"/>
      <c r="N16438" s="124"/>
      <c r="O16438" s="124"/>
    </row>
    <row r="16439">
      <c r="K16439" s="124"/>
      <c r="L16439" s="124"/>
      <c r="M16439" s="124"/>
      <c r="N16439" s="124"/>
      <c r="O16439" s="124"/>
    </row>
    <row r="16440">
      <c r="K16440" s="124"/>
      <c r="L16440" s="124"/>
      <c r="M16440" s="124"/>
      <c r="N16440" s="124"/>
      <c r="O16440" s="124"/>
    </row>
    <row r="16441">
      <c r="K16441" s="124"/>
      <c r="L16441" s="124"/>
      <c r="M16441" s="124"/>
      <c r="N16441" s="124"/>
      <c r="O16441" s="124"/>
    </row>
    <row r="16442">
      <c r="K16442" s="124"/>
      <c r="L16442" s="124"/>
      <c r="M16442" s="124"/>
      <c r="N16442" s="124"/>
      <c r="O16442" s="124"/>
    </row>
    <row r="16443">
      <c r="K16443" s="124"/>
      <c r="L16443" s="124"/>
      <c r="M16443" s="124"/>
      <c r="N16443" s="124"/>
      <c r="O16443" s="124"/>
    </row>
    <row r="16444">
      <c r="K16444" s="124"/>
      <c r="L16444" s="124"/>
      <c r="M16444" s="124"/>
      <c r="N16444" s="124"/>
      <c r="O16444" s="124"/>
    </row>
    <row r="16445">
      <c r="K16445" s="124"/>
      <c r="L16445" s="124"/>
      <c r="M16445" s="124"/>
      <c r="N16445" s="124"/>
      <c r="O16445" s="124"/>
    </row>
    <row r="16446">
      <c r="K16446" s="124"/>
      <c r="L16446" s="124"/>
      <c r="M16446" s="124"/>
      <c r="N16446" s="124"/>
      <c r="O16446" s="124"/>
    </row>
    <row r="16447">
      <c r="K16447" s="124"/>
      <c r="L16447" s="124"/>
      <c r="M16447" s="124"/>
      <c r="N16447" s="124"/>
      <c r="O16447" s="124"/>
    </row>
    <row r="16448">
      <c r="K16448" s="124"/>
      <c r="L16448" s="124"/>
      <c r="M16448" s="124"/>
      <c r="N16448" s="124"/>
      <c r="O16448" s="124"/>
    </row>
    <row r="16449">
      <c r="K16449" s="124"/>
      <c r="L16449" s="124"/>
      <c r="M16449" s="124"/>
      <c r="N16449" s="124"/>
      <c r="O16449" s="124"/>
    </row>
    <row r="16450">
      <c r="K16450" s="124"/>
      <c r="L16450" s="124"/>
      <c r="M16450" s="124"/>
      <c r="N16450" s="124"/>
      <c r="O16450" s="124"/>
    </row>
    <row r="16451">
      <c r="K16451" s="124"/>
      <c r="L16451" s="124"/>
      <c r="M16451" s="124"/>
      <c r="N16451" s="124"/>
      <c r="O16451" s="124"/>
    </row>
    <row r="16452">
      <c r="K16452" s="124"/>
      <c r="L16452" s="124"/>
      <c r="M16452" s="124"/>
      <c r="N16452" s="124"/>
      <c r="O16452" s="124"/>
    </row>
    <row r="16453">
      <c r="K16453" s="124"/>
      <c r="L16453" s="124"/>
      <c r="M16453" s="124"/>
      <c r="N16453" s="124"/>
      <c r="O16453" s="124"/>
    </row>
    <row r="16454">
      <c r="K16454" s="124"/>
      <c r="L16454" s="124"/>
      <c r="M16454" s="124"/>
      <c r="N16454" s="124"/>
      <c r="O16454" s="124"/>
    </row>
    <row r="16455">
      <c r="K16455" s="124"/>
      <c r="L16455" s="124"/>
      <c r="M16455" s="124"/>
      <c r="N16455" s="124"/>
      <c r="O16455" s="124"/>
    </row>
    <row r="16456">
      <c r="K16456" s="124"/>
      <c r="L16456" s="124"/>
      <c r="M16456" s="124"/>
      <c r="N16456" s="124"/>
      <c r="O16456" s="124"/>
    </row>
    <row r="16457">
      <c r="K16457" s="124"/>
      <c r="L16457" s="124"/>
      <c r="M16457" s="124"/>
      <c r="N16457" s="124"/>
      <c r="O16457" s="124"/>
    </row>
    <row r="16458">
      <c r="K16458" s="124"/>
      <c r="L16458" s="124"/>
      <c r="M16458" s="124"/>
      <c r="N16458" s="124"/>
      <c r="O16458" s="124"/>
    </row>
    <row r="16459">
      <c r="K16459" s="124"/>
      <c r="L16459" s="124"/>
      <c r="M16459" s="124"/>
      <c r="N16459" s="124"/>
      <c r="O16459" s="124"/>
    </row>
    <row r="16460">
      <c r="K16460" s="124"/>
      <c r="L16460" s="124"/>
      <c r="M16460" s="124"/>
      <c r="N16460" s="124"/>
      <c r="O16460" s="124"/>
    </row>
    <row r="16461">
      <c r="K16461" s="124"/>
      <c r="L16461" s="124"/>
      <c r="M16461" s="124"/>
      <c r="N16461" s="124"/>
      <c r="O16461" s="124"/>
    </row>
    <row r="16462">
      <c r="K16462" s="124"/>
      <c r="L16462" s="124"/>
      <c r="M16462" s="124"/>
      <c r="N16462" s="124"/>
      <c r="O16462" s="124"/>
    </row>
    <row r="16463">
      <c r="K16463" s="124"/>
      <c r="L16463" s="124"/>
      <c r="M16463" s="124"/>
      <c r="N16463" s="124"/>
      <c r="O16463" s="124"/>
    </row>
    <row r="16464">
      <c r="K16464" s="124"/>
      <c r="L16464" s="124"/>
      <c r="M16464" s="124"/>
      <c r="N16464" s="124"/>
      <c r="O16464" s="124"/>
    </row>
    <row r="16465">
      <c r="K16465" s="124"/>
      <c r="L16465" s="124"/>
      <c r="M16465" s="124"/>
      <c r="N16465" s="124"/>
      <c r="O16465" s="124"/>
    </row>
    <row r="16466">
      <c r="K16466" s="124"/>
      <c r="L16466" s="124"/>
      <c r="M16466" s="124"/>
      <c r="N16466" s="124"/>
      <c r="O16466" s="124"/>
    </row>
    <row r="16467">
      <c r="K16467" s="124"/>
      <c r="L16467" s="124"/>
      <c r="M16467" s="124"/>
      <c r="N16467" s="124"/>
      <c r="O16467" s="124"/>
    </row>
    <row r="16468">
      <c r="K16468" s="124"/>
      <c r="L16468" s="124"/>
      <c r="M16468" s="124"/>
      <c r="N16468" s="124"/>
      <c r="O16468" s="124"/>
    </row>
    <row r="16469">
      <c r="K16469" s="124"/>
      <c r="L16469" s="124"/>
      <c r="M16469" s="124"/>
      <c r="N16469" s="124"/>
      <c r="O16469" s="124"/>
    </row>
    <row r="16470">
      <c r="K16470" s="124"/>
      <c r="L16470" s="124"/>
      <c r="M16470" s="124"/>
      <c r="N16470" s="124"/>
      <c r="O16470" s="124"/>
    </row>
    <row r="16471">
      <c r="K16471" s="124"/>
      <c r="L16471" s="124"/>
      <c r="M16471" s="124"/>
      <c r="N16471" s="124"/>
      <c r="O16471" s="124"/>
    </row>
    <row r="16472">
      <c r="K16472" s="124"/>
      <c r="L16472" s="124"/>
      <c r="M16472" s="124"/>
      <c r="N16472" s="124"/>
      <c r="O16472" s="124"/>
    </row>
    <row r="16473">
      <c r="K16473" s="124"/>
      <c r="L16473" s="124"/>
      <c r="M16473" s="124"/>
      <c r="N16473" s="124"/>
      <c r="O16473" s="124"/>
    </row>
    <row r="16474">
      <c r="K16474" s="124"/>
      <c r="L16474" s="124"/>
      <c r="M16474" s="124"/>
      <c r="N16474" s="124"/>
      <c r="O16474" s="124"/>
    </row>
    <row r="16475">
      <c r="K16475" s="124"/>
      <c r="L16475" s="124"/>
      <c r="M16475" s="124"/>
      <c r="N16475" s="124"/>
      <c r="O16475" s="124"/>
    </row>
    <row r="16476">
      <c r="K16476" s="124"/>
      <c r="L16476" s="124"/>
      <c r="M16476" s="124"/>
      <c r="N16476" s="124"/>
      <c r="O16476" s="124"/>
    </row>
    <row r="16477">
      <c r="K16477" s="124"/>
      <c r="L16477" s="124"/>
      <c r="M16477" s="124"/>
      <c r="N16477" s="124"/>
      <c r="O16477" s="124"/>
    </row>
    <row r="16478">
      <c r="K16478" s="124"/>
      <c r="L16478" s="124"/>
      <c r="M16478" s="124"/>
      <c r="N16478" s="124"/>
      <c r="O16478" s="124"/>
    </row>
    <row r="16479">
      <c r="K16479" s="124"/>
      <c r="L16479" s="124"/>
      <c r="M16479" s="124"/>
      <c r="N16479" s="124"/>
      <c r="O16479" s="124"/>
    </row>
    <row r="16480">
      <c r="K16480" s="124"/>
      <c r="L16480" s="124"/>
      <c r="M16480" s="124"/>
      <c r="N16480" s="124"/>
      <c r="O16480" s="124"/>
    </row>
    <row r="16481">
      <c r="K16481" s="124"/>
      <c r="L16481" s="124"/>
      <c r="M16481" s="124"/>
      <c r="N16481" s="124"/>
      <c r="O16481" s="124"/>
    </row>
    <row r="16482">
      <c r="K16482" s="124"/>
      <c r="L16482" s="124"/>
      <c r="M16482" s="124"/>
      <c r="N16482" s="124"/>
      <c r="O16482" s="124"/>
    </row>
    <row r="16483">
      <c r="K16483" s="124"/>
      <c r="L16483" s="124"/>
      <c r="M16483" s="124"/>
      <c r="N16483" s="124"/>
      <c r="O16483" s="124"/>
    </row>
    <row r="16484">
      <c r="K16484" s="124"/>
      <c r="L16484" s="124"/>
      <c r="M16484" s="124"/>
      <c r="N16484" s="124"/>
      <c r="O16484" s="124"/>
    </row>
    <row r="16485">
      <c r="K16485" s="124"/>
      <c r="L16485" s="124"/>
      <c r="M16485" s="124"/>
      <c r="N16485" s="124"/>
      <c r="O16485" s="124"/>
    </row>
    <row r="16486">
      <c r="K16486" s="124"/>
      <c r="L16486" s="124"/>
      <c r="M16486" s="124"/>
      <c r="N16486" s="124"/>
      <c r="O16486" s="124"/>
    </row>
    <row r="16487">
      <c r="K16487" s="124"/>
      <c r="L16487" s="124"/>
      <c r="M16487" s="124"/>
      <c r="N16487" s="124"/>
      <c r="O16487" s="124"/>
    </row>
    <row r="16488">
      <c r="K16488" s="124"/>
      <c r="L16488" s="124"/>
      <c r="M16488" s="124"/>
      <c r="N16488" s="124"/>
      <c r="O16488" s="124"/>
    </row>
    <row r="16489">
      <c r="K16489" s="124"/>
      <c r="L16489" s="124"/>
      <c r="M16489" s="124"/>
      <c r="N16489" s="124"/>
      <c r="O16489" s="124"/>
    </row>
    <row r="16490">
      <c r="K16490" s="124"/>
      <c r="L16490" s="124"/>
      <c r="M16490" s="124"/>
      <c r="N16490" s="124"/>
      <c r="O16490" s="124"/>
    </row>
    <row r="16491">
      <c r="K16491" s="124"/>
      <c r="L16491" s="124"/>
      <c r="M16491" s="124"/>
      <c r="N16491" s="124"/>
      <c r="O16491" s="124"/>
    </row>
    <row r="16492">
      <c r="K16492" s="124"/>
      <c r="L16492" s="124"/>
      <c r="M16492" s="124"/>
      <c r="N16492" s="124"/>
      <c r="O16492" s="124"/>
    </row>
    <row r="16493">
      <c r="K16493" s="124"/>
      <c r="L16493" s="124"/>
      <c r="M16493" s="124"/>
      <c r="N16493" s="124"/>
      <c r="O16493" s="124"/>
    </row>
    <row r="16494">
      <c r="K16494" s="124"/>
      <c r="L16494" s="124"/>
      <c r="M16494" s="124"/>
      <c r="N16494" s="124"/>
      <c r="O16494" s="124"/>
    </row>
    <row r="16495">
      <c r="K16495" s="124"/>
      <c r="L16495" s="124"/>
      <c r="M16495" s="124"/>
      <c r="N16495" s="124"/>
      <c r="O16495" s="124"/>
    </row>
    <row r="16496">
      <c r="K16496" s="124"/>
      <c r="L16496" s="124"/>
      <c r="M16496" s="124"/>
      <c r="N16496" s="124"/>
      <c r="O16496" s="124"/>
    </row>
    <row r="16497">
      <c r="K16497" s="124"/>
      <c r="L16497" s="124"/>
      <c r="M16497" s="124"/>
      <c r="N16497" s="124"/>
      <c r="O16497" s="124"/>
    </row>
    <row r="16498">
      <c r="K16498" s="124"/>
      <c r="L16498" s="124"/>
      <c r="M16498" s="124"/>
      <c r="N16498" s="124"/>
      <c r="O16498" s="124"/>
    </row>
    <row r="16499">
      <c r="K16499" s="124"/>
      <c r="L16499" s="124"/>
      <c r="M16499" s="124"/>
      <c r="N16499" s="124"/>
      <c r="O16499" s="124"/>
    </row>
    <row r="16500">
      <c r="K16500" s="124"/>
      <c r="L16500" s="124"/>
      <c r="M16500" s="124"/>
      <c r="N16500" s="124"/>
      <c r="O16500" s="124"/>
    </row>
    <row r="16501">
      <c r="K16501" s="124"/>
      <c r="L16501" s="124"/>
      <c r="M16501" s="124"/>
      <c r="N16501" s="124"/>
      <c r="O16501" s="124"/>
    </row>
    <row r="16502">
      <c r="K16502" s="124"/>
      <c r="L16502" s="124"/>
      <c r="M16502" s="124"/>
      <c r="N16502" s="124"/>
      <c r="O16502" s="124"/>
    </row>
    <row r="16503">
      <c r="K16503" s="124"/>
      <c r="L16503" s="124"/>
      <c r="M16503" s="124"/>
      <c r="N16503" s="124"/>
      <c r="O16503" s="124"/>
    </row>
    <row r="16504">
      <c r="K16504" s="124"/>
      <c r="L16504" s="124"/>
      <c r="M16504" s="124"/>
      <c r="N16504" s="124"/>
      <c r="O16504" s="124"/>
    </row>
    <row r="16505">
      <c r="K16505" s="124"/>
      <c r="L16505" s="124"/>
      <c r="M16505" s="124"/>
      <c r="N16505" s="124"/>
      <c r="O16505" s="124"/>
    </row>
    <row r="16506">
      <c r="K16506" s="124"/>
      <c r="L16506" s="124"/>
      <c r="M16506" s="124"/>
      <c r="N16506" s="124"/>
      <c r="O16506" s="124"/>
    </row>
    <row r="16507">
      <c r="K16507" s="124"/>
      <c r="L16507" s="124"/>
      <c r="M16507" s="124"/>
      <c r="N16507" s="124"/>
      <c r="O16507" s="124"/>
    </row>
    <row r="16508">
      <c r="K16508" s="124"/>
      <c r="L16508" s="124"/>
      <c r="M16508" s="124"/>
      <c r="N16508" s="124"/>
      <c r="O16508" s="124"/>
    </row>
    <row r="16509">
      <c r="K16509" s="124"/>
      <c r="L16509" s="124"/>
      <c r="M16509" s="124"/>
      <c r="N16509" s="124"/>
      <c r="O16509" s="124"/>
    </row>
    <row r="16510">
      <c r="K16510" s="124"/>
      <c r="L16510" s="124"/>
      <c r="M16510" s="124"/>
      <c r="N16510" s="124"/>
      <c r="O16510" s="124"/>
    </row>
    <row r="16511">
      <c r="K16511" s="124"/>
      <c r="L16511" s="124"/>
      <c r="M16511" s="124"/>
      <c r="N16511" s="124"/>
      <c r="O16511" s="124"/>
    </row>
    <row r="16512">
      <c r="K16512" s="124"/>
      <c r="L16512" s="124"/>
      <c r="M16512" s="124"/>
      <c r="N16512" s="124"/>
      <c r="O16512" s="124"/>
    </row>
    <row r="16513">
      <c r="K16513" s="124"/>
      <c r="L16513" s="124"/>
      <c r="M16513" s="124"/>
      <c r="N16513" s="124"/>
      <c r="O16513" s="124"/>
    </row>
    <row r="16514">
      <c r="K16514" s="124"/>
      <c r="L16514" s="124"/>
      <c r="M16514" s="124"/>
      <c r="N16514" s="124"/>
      <c r="O16514" s="124"/>
    </row>
    <row r="16515">
      <c r="K16515" s="124"/>
      <c r="L16515" s="124"/>
      <c r="M16515" s="124"/>
      <c r="N16515" s="124"/>
      <c r="O16515" s="124"/>
    </row>
    <row r="16516">
      <c r="K16516" s="124"/>
      <c r="L16516" s="124"/>
      <c r="M16516" s="124"/>
      <c r="N16516" s="124"/>
      <c r="O16516" s="124"/>
    </row>
    <row r="16517">
      <c r="K16517" s="124"/>
      <c r="L16517" s="124"/>
      <c r="M16517" s="124"/>
      <c r="N16517" s="124"/>
      <c r="O16517" s="124"/>
    </row>
    <row r="16518">
      <c r="K16518" s="124"/>
      <c r="L16518" s="124"/>
      <c r="M16518" s="124"/>
      <c r="N16518" s="124"/>
      <c r="O16518" s="124"/>
    </row>
    <row r="16519">
      <c r="K16519" s="124"/>
      <c r="L16519" s="124"/>
      <c r="M16519" s="124"/>
      <c r="N16519" s="124"/>
      <c r="O16519" s="124"/>
    </row>
    <row r="16520">
      <c r="K16520" s="124"/>
      <c r="L16520" s="124"/>
      <c r="M16520" s="124"/>
      <c r="N16520" s="124"/>
      <c r="O16520" s="124"/>
    </row>
    <row r="16521">
      <c r="K16521" s="124"/>
      <c r="L16521" s="124"/>
      <c r="M16521" s="124"/>
      <c r="N16521" s="124"/>
      <c r="O16521" s="124"/>
    </row>
    <row r="16522">
      <c r="K16522" s="124"/>
      <c r="L16522" s="124"/>
      <c r="M16522" s="124"/>
      <c r="N16522" s="124"/>
      <c r="O16522" s="124"/>
    </row>
    <row r="16523">
      <c r="K16523" s="124"/>
      <c r="L16523" s="124"/>
      <c r="M16523" s="124"/>
      <c r="N16523" s="124"/>
      <c r="O16523" s="124"/>
    </row>
    <row r="16524">
      <c r="K16524" s="124"/>
      <c r="L16524" s="124"/>
      <c r="M16524" s="124"/>
      <c r="N16524" s="124"/>
      <c r="O16524" s="124"/>
    </row>
    <row r="16525">
      <c r="K16525" s="124"/>
      <c r="L16525" s="124"/>
      <c r="M16525" s="124"/>
      <c r="N16525" s="124"/>
      <c r="O16525" s="124"/>
    </row>
    <row r="16526">
      <c r="K16526" s="124"/>
      <c r="L16526" s="124"/>
      <c r="M16526" s="124"/>
      <c r="N16526" s="124"/>
      <c r="O16526" s="124"/>
    </row>
    <row r="16527">
      <c r="K16527" s="124"/>
      <c r="L16527" s="124"/>
      <c r="M16527" s="124"/>
      <c r="N16527" s="124"/>
      <c r="O16527" s="124"/>
    </row>
    <row r="16528">
      <c r="K16528" s="124"/>
      <c r="L16528" s="124"/>
      <c r="M16528" s="124"/>
      <c r="N16528" s="124"/>
      <c r="O16528" s="124"/>
    </row>
    <row r="16529">
      <c r="K16529" s="124"/>
      <c r="L16529" s="124"/>
      <c r="M16529" s="124"/>
      <c r="N16529" s="124"/>
      <c r="O16529" s="124"/>
    </row>
    <row r="16530">
      <c r="K16530" s="124"/>
      <c r="L16530" s="124"/>
      <c r="M16530" s="124"/>
      <c r="N16530" s="124"/>
      <c r="O16530" s="124"/>
    </row>
    <row r="16531">
      <c r="K16531" s="124"/>
      <c r="L16531" s="124"/>
      <c r="M16531" s="124"/>
      <c r="N16531" s="124"/>
      <c r="O16531" s="124"/>
    </row>
    <row r="16532">
      <c r="K16532" s="124"/>
      <c r="L16532" s="124"/>
      <c r="M16532" s="124"/>
      <c r="N16532" s="124"/>
      <c r="O16532" s="124"/>
    </row>
    <row r="16533">
      <c r="K16533" s="124"/>
      <c r="L16533" s="124"/>
      <c r="M16533" s="124"/>
      <c r="N16533" s="124"/>
      <c r="O16533" s="124"/>
    </row>
    <row r="16534">
      <c r="K16534" s="124"/>
      <c r="L16534" s="124"/>
      <c r="M16534" s="124"/>
      <c r="N16534" s="124"/>
      <c r="O16534" s="124"/>
    </row>
    <row r="16535">
      <c r="K16535" s="124"/>
      <c r="L16535" s="124"/>
      <c r="M16535" s="124"/>
      <c r="N16535" s="124"/>
      <c r="O16535" s="124"/>
    </row>
    <row r="16536">
      <c r="K16536" s="124"/>
      <c r="L16536" s="124"/>
      <c r="M16536" s="124"/>
      <c r="N16536" s="124"/>
      <c r="O16536" s="124"/>
    </row>
    <row r="16537">
      <c r="K16537" s="124"/>
      <c r="L16537" s="124"/>
      <c r="M16537" s="124"/>
      <c r="N16537" s="124"/>
      <c r="O16537" s="124"/>
    </row>
    <row r="16538">
      <c r="K16538" s="124"/>
      <c r="L16538" s="124"/>
      <c r="M16538" s="124"/>
      <c r="N16538" s="124"/>
      <c r="O16538" s="124"/>
    </row>
    <row r="16539">
      <c r="K16539" s="124"/>
      <c r="L16539" s="124"/>
      <c r="M16539" s="124"/>
      <c r="N16539" s="124"/>
      <c r="O16539" s="124"/>
    </row>
    <row r="16540">
      <c r="K16540" s="124"/>
      <c r="L16540" s="124"/>
      <c r="M16540" s="124"/>
      <c r="N16540" s="124"/>
      <c r="O16540" s="124"/>
    </row>
    <row r="16541">
      <c r="K16541" s="124"/>
      <c r="L16541" s="124"/>
      <c r="M16541" s="124"/>
      <c r="N16541" s="124"/>
      <c r="O16541" s="124"/>
    </row>
    <row r="16542">
      <c r="K16542" s="124"/>
      <c r="L16542" s="124"/>
      <c r="M16542" s="124"/>
      <c r="N16542" s="124"/>
      <c r="O16542" s="124"/>
    </row>
    <row r="16543">
      <c r="K16543" s="124"/>
      <c r="L16543" s="124"/>
      <c r="M16543" s="124"/>
      <c r="N16543" s="124"/>
      <c r="O16543" s="124"/>
    </row>
    <row r="16544">
      <c r="K16544" s="124"/>
      <c r="L16544" s="124"/>
      <c r="M16544" s="124"/>
      <c r="N16544" s="124"/>
      <c r="O16544" s="124"/>
    </row>
    <row r="16545">
      <c r="K16545" s="124"/>
      <c r="L16545" s="124"/>
      <c r="M16545" s="124"/>
      <c r="N16545" s="124"/>
      <c r="O16545" s="124"/>
    </row>
    <row r="16546">
      <c r="K16546" s="124"/>
      <c r="L16546" s="124"/>
      <c r="M16546" s="124"/>
      <c r="N16546" s="124"/>
      <c r="O16546" s="124"/>
    </row>
    <row r="16547">
      <c r="K16547" s="124"/>
      <c r="L16547" s="124"/>
      <c r="M16547" s="124"/>
      <c r="N16547" s="124"/>
      <c r="O16547" s="124"/>
    </row>
    <row r="16548">
      <c r="K16548" s="124"/>
      <c r="L16548" s="124"/>
      <c r="M16548" s="124"/>
      <c r="N16548" s="124"/>
      <c r="O16548" s="124"/>
    </row>
    <row r="16549">
      <c r="K16549" s="124"/>
      <c r="L16549" s="124"/>
      <c r="M16549" s="124"/>
      <c r="N16549" s="124"/>
      <c r="O16549" s="124"/>
    </row>
    <row r="16550">
      <c r="K16550" s="124"/>
      <c r="L16550" s="124"/>
      <c r="M16550" s="124"/>
      <c r="N16550" s="124"/>
      <c r="O16550" s="124"/>
    </row>
    <row r="16551">
      <c r="K16551" s="124"/>
      <c r="L16551" s="124"/>
      <c r="M16551" s="124"/>
      <c r="N16551" s="124"/>
      <c r="O16551" s="124"/>
    </row>
    <row r="16552">
      <c r="K16552" s="124"/>
      <c r="L16552" s="124"/>
      <c r="M16552" s="124"/>
      <c r="N16552" s="124"/>
      <c r="O16552" s="124"/>
    </row>
    <row r="16553">
      <c r="K16553" s="124"/>
      <c r="L16553" s="124"/>
      <c r="M16553" s="124"/>
      <c r="N16553" s="124"/>
      <c r="O16553" s="124"/>
    </row>
    <row r="16554">
      <c r="K16554" s="124"/>
      <c r="L16554" s="124"/>
      <c r="M16554" s="124"/>
      <c r="N16554" s="124"/>
      <c r="O16554" s="124"/>
    </row>
    <row r="16555">
      <c r="K16555" s="124"/>
      <c r="L16555" s="124"/>
      <c r="M16555" s="124"/>
      <c r="N16555" s="124"/>
      <c r="O16555" s="124"/>
    </row>
    <row r="16556">
      <c r="K16556" s="124"/>
      <c r="L16556" s="124"/>
      <c r="M16556" s="124"/>
      <c r="N16556" s="124"/>
      <c r="O16556" s="124"/>
    </row>
    <row r="16557">
      <c r="K16557" s="124"/>
      <c r="L16557" s="124"/>
      <c r="M16557" s="124"/>
      <c r="N16557" s="124"/>
      <c r="O16557" s="124"/>
    </row>
    <row r="16558">
      <c r="K16558" s="124"/>
      <c r="L16558" s="124"/>
      <c r="M16558" s="124"/>
      <c r="N16558" s="124"/>
      <c r="O16558" s="124"/>
    </row>
    <row r="16559">
      <c r="K16559" s="124"/>
      <c r="L16559" s="124"/>
      <c r="M16559" s="124"/>
      <c r="N16559" s="124"/>
      <c r="O16559" s="124"/>
    </row>
    <row r="16560">
      <c r="K16560" s="124"/>
      <c r="L16560" s="124"/>
      <c r="M16560" s="124"/>
      <c r="N16560" s="124"/>
      <c r="O16560" s="124"/>
    </row>
    <row r="16561">
      <c r="K16561" s="124"/>
      <c r="L16561" s="124"/>
      <c r="M16561" s="124"/>
      <c r="N16561" s="124"/>
      <c r="O16561" s="124"/>
    </row>
    <row r="16562">
      <c r="K16562" s="124"/>
      <c r="L16562" s="124"/>
      <c r="M16562" s="124"/>
      <c r="N16562" s="124"/>
      <c r="O16562" s="124"/>
    </row>
    <row r="16563">
      <c r="K16563" s="124"/>
      <c r="L16563" s="124"/>
      <c r="M16563" s="124"/>
      <c r="N16563" s="124"/>
      <c r="O16563" s="124"/>
    </row>
    <row r="16564">
      <c r="K16564" s="124"/>
      <c r="L16564" s="124"/>
      <c r="M16564" s="124"/>
      <c r="N16564" s="124"/>
      <c r="O16564" s="124"/>
    </row>
    <row r="16565">
      <c r="K16565" s="124"/>
      <c r="L16565" s="124"/>
      <c r="M16565" s="124"/>
      <c r="N16565" s="124"/>
      <c r="O16565" s="124"/>
    </row>
    <row r="16566">
      <c r="K16566" s="124"/>
      <c r="L16566" s="124"/>
      <c r="M16566" s="124"/>
      <c r="N16566" s="124"/>
      <c r="O16566" s="124"/>
    </row>
    <row r="16567">
      <c r="K16567" s="124"/>
      <c r="L16567" s="124"/>
      <c r="M16567" s="124"/>
      <c r="N16567" s="124"/>
      <c r="O16567" s="124"/>
    </row>
    <row r="16568">
      <c r="K16568" s="124"/>
      <c r="L16568" s="124"/>
      <c r="M16568" s="124"/>
      <c r="N16568" s="124"/>
      <c r="O16568" s="124"/>
    </row>
    <row r="16569">
      <c r="K16569" s="124"/>
      <c r="L16569" s="124"/>
      <c r="M16569" s="124"/>
      <c r="N16569" s="124"/>
      <c r="O16569" s="124"/>
    </row>
    <row r="16570">
      <c r="K16570" s="124"/>
      <c r="L16570" s="124"/>
      <c r="M16570" s="124"/>
      <c r="N16570" s="124"/>
      <c r="O16570" s="124"/>
    </row>
    <row r="16571">
      <c r="K16571" s="124"/>
      <c r="L16571" s="124"/>
      <c r="M16571" s="124"/>
      <c r="N16571" s="124"/>
      <c r="O16571" s="124"/>
    </row>
    <row r="16572">
      <c r="K16572" s="124"/>
      <c r="L16572" s="124"/>
      <c r="M16572" s="124"/>
      <c r="N16572" s="124"/>
      <c r="O16572" s="124"/>
    </row>
    <row r="16573">
      <c r="K16573" s="124"/>
      <c r="L16573" s="124"/>
      <c r="M16573" s="124"/>
      <c r="N16573" s="124"/>
      <c r="O16573" s="124"/>
    </row>
    <row r="16574">
      <c r="K16574" s="124"/>
      <c r="L16574" s="124"/>
      <c r="M16574" s="124"/>
      <c r="N16574" s="124"/>
      <c r="O16574" s="124"/>
    </row>
    <row r="16575">
      <c r="K16575" s="124"/>
      <c r="L16575" s="124"/>
      <c r="M16575" s="124"/>
      <c r="N16575" s="124"/>
      <c r="O16575" s="124"/>
    </row>
    <row r="16576">
      <c r="K16576" s="124"/>
      <c r="L16576" s="124"/>
      <c r="M16576" s="124"/>
      <c r="N16576" s="124"/>
      <c r="O16576" s="124"/>
    </row>
    <row r="16577">
      <c r="K16577" s="124"/>
      <c r="L16577" s="124"/>
      <c r="M16577" s="124"/>
      <c r="N16577" s="124"/>
      <c r="O16577" s="124"/>
    </row>
    <row r="16578">
      <c r="K16578" s="124"/>
      <c r="L16578" s="124"/>
      <c r="M16578" s="124"/>
      <c r="N16578" s="124"/>
      <c r="O16578" s="124"/>
    </row>
    <row r="16579">
      <c r="K16579" s="124"/>
      <c r="L16579" s="124"/>
      <c r="M16579" s="124"/>
      <c r="N16579" s="124"/>
      <c r="O16579" s="124"/>
    </row>
    <row r="16580">
      <c r="K16580" s="124"/>
      <c r="L16580" s="124"/>
      <c r="M16580" s="124"/>
      <c r="N16580" s="124"/>
      <c r="O16580" s="124"/>
    </row>
    <row r="16581">
      <c r="K16581" s="124"/>
      <c r="L16581" s="124"/>
      <c r="M16581" s="124"/>
      <c r="N16581" s="124"/>
      <c r="O16581" s="124"/>
    </row>
    <row r="16582">
      <c r="K16582" s="124"/>
      <c r="L16582" s="124"/>
      <c r="M16582" s="124"/>
      <c r="N16582" s="124"/>
      <c r="O16582" s="124"/>
    </row>
    <row r="16583">
      <c r="K16583" s="124"/>
      <c r="L16583" s="124"/>
      <c r="M16583" s="124"/>
      <c r="N16583" s="124"/>
      <c r="O16583" s="124"/>
    </row>
    <row r="16584">
      <c r="K16584" s="124"/>
      <c r="L16584" s="124"/>
      <c r="M16584" s="124"/>
      <c r="N16584" s="124"/>
      <c r="O16584" s="124"/>
    </row>
    <row r="16585">
      <c r="K16585" s="124"/>
      <c r="L16585" s="124"/>
      <c r="M16585" s="124"/>
      <c r="N16585" s="124"/>
      <c r="O16585" s="124"/>
    </row>
    <row r="16586">
      <c r="K16586" s="124"/>
      <c r="L16586" s="124"/>
      <c r="M16586" s="124"/>
      <c r="N16586" s="124"/>
      <c r="O16586" s="124"/>
    </row>
    <row r="16587">
      <c r="K16587" s="124"/>
      <c r="L16587" s="124"/>
      <c r="M16587" s="124"/>
      <c r="N16587" s="124"/>
      <c r="O16587" s="124"/>
    </row>
    <row r="16588">
      <c r="K16588" s="124"/>
      <c r="L16588" s="124"/>
      <c r="M16588" s="124"/>
      <c r="N16588" s="124"/>
      <c r="O16588" s="124"/>
    </row>
    <row r="16589">
      <c r="K16589" s="124"/>
      <c r="L16589" s="124"/>
      <c r="M16589" s="124"/>
      <c r="N16589" s="124"/>
      <c r="O16589" s="124"/>
    </row>
    <row r="16590">
      <c r="K16590" s="124"/>
      <c r="L16590" s="124"/>
      <c r="M16590" s="124"/>
      <c r="N16590" s="124"/>
      <c r="O16590" s="124"/>
    </row>
    <row r="16591">
      <c r="K16591" s="124"/>
      <c r="L16591" s="124"/>
      <c r="M16591" s="124"/>
      <c r="N16591" s="124"/>
      <c r="O16591" s="124"/>
    </row>
    <row r="16592">
      <c r="K16592" s="124"/>
      <c r="L16592" s="124"/>
      <c r="M16592" s="124"/>
      <c r="N16592" s="124"/>
      <c r="O16592" s="124"/>
    </row>
    <row r="16593">
      <c r="K16593" s="124"/>
      <c r="L16593" s="124"/>
      <c r="M16593" s="124"/>
      <c r="N16593" s="124"/>
      <c r="O16593" s="124"/>
    </row>
    <row r="16594">
      <c r="K16594" s="124"/>
      <c r="L16594" s="124"/>
      <c r="M16594" s="124"/>
      <c r="N16594" s="124"/>
      <c r="O16594" s="124"/>
    </row>
    <row r="16595">
      <c r="K16595" s="124"/>
      <c r="L16595" s="124"/>
      <c r="M16595" s="124"/>
      <c r="N16595" s="124"/>
      <c r="O16595" s="124"/>
    </row>
    <row r="16596">
      <c r="K16596" s="124"/>
      <c r="L16596" s="124"/>
      <c r="M16596" s="124"/>
      <c r="N16596" s="124"/>
      <c r="O16596" s="124"/>
    </row>
    <row r="16597">
      <c r="K16597" s="124"/>
      <c r="L16597" s="124"/>
      <c r="M16597" s="124"/>
      <c r="N16597" s="124"/>
      <c r="O16597" s="124"/>
    </row>
    <row r="16598">
      <c r="K16598" s="124"/>
      <c r="L16598" s="124"/>
      <c r="M16598" s="124"/>
      <c r="N16598" s="124"/>
      <c r="O16598" s="124"/>
    </row>
    <row r="16599">
      <c r="K16599" s="124"/>
      <c r="L16599" s="124"/>
      <c r="M16599" s="124"/>
      <c r="N16599" s="124"/>
      <c r="O16599" s="124"/>
    </row>
    <row r="16600">
      <c r="K16600" s="124"/>
      <c r="L16600" s="124"/>
      <c r="M16600" s="124"/>
      <c r="N16600" s="124"/>
      <c r="O16600" s="124"/>
    </row>
    <row r="16601">
      <c r="K16601" s="124"/>
      <c r="L16601" s="124"/>
      <c r="M16601" s="124"/>
      <c r="N16601" s="124"/>
      <c r="O16601" s="124"/>
    </row>
    <row r="16602">
      <c r="K16602" s="124"/>
      <c r="L16602" s="124"/>
      <c r="M16602" s="124"/>
      <c r="N16602" s="124"/>
      <c r="O16602" s="124"/>
    </row>
    <row r="16603">
      <c r="K16603" s="124"/>
      <c r="L16603" s="124"/>
      <c r="M16603" s="124"/>
      <c r="N16603" s="124"/>
      <c r="O16603" s="124"/>
    </row>
    <row r="16604">
      <c r="K16604" s="124"/>
      <c r="L16604" s="124"/>
      <c r="M16604" s="124"/>
      <c r="N16604" s="124"/>
      <c r="O16604" s="124"/>
    </row>
    <row r="16605">
      <c r="K16605" s="124"/>
      <c r="L16605" s="124"/>
      <c r="M16605" s="124"/>
      <c r="N16605" s="124"/>
      <c r="O16605" s="124"/>
    </row>
    <row r="16606">
      <c r="K16606" s="124"/>
      <c r="L16606" s="124"/>
      <c r="M16606" s="124"/>
      <c r="N16606" s="124"/>
      <c r="O16606" s="124"/>
    </row>
    <row r="16607">
      <c r="K16607" s="124"/>
      <c r="L16607" s="124"/>
      <c r="M16607" s="124"/>
      <c r="N16607" s="124"/>
      <c r="O16607" s="124"/>
    </row>
    <row r="16608">
      <c r="K16608" s="124"/>
      <c r="L16608" s="124"/>
      <c r="M16608" s="124"/>
      <c r="N16608" s="124"/>
      <c r="O16608" s="124"/>
    </row>
    <row r="16609">
      <c r="K16609" s="124"/>
      <c r="L16609" s="124"/>
      <c r="M16609" s="124"/>
      <c r="N16609" s="124"/>
      <c r="O16609" s="124"/>
    </row>
    <row r="16610">
      <c r="K16610" s="124"/>
      <c r="L16610" s="124"/>
      <c r="M16610" s="124"/>
      <c r="N16610" s="124"/>
      <c r="O16610" s="124"/>
    </row>
    <row r="16611">
      <c r="K16611" s="124"/>
      <c r="L16611" s="124"/>
      <c r="M16611" s="124"/>
      <c r="N16611" s="124"/>
      <c r="O16611" s="124"/>
    </row>
    <row r="16612">
      <c r="K16612" s="124"/>
      <c r="L16612" s="124"/>
      <c r="M16612" s="124"/>
      <c r="N16612" s="124"/>
      <c r="O16612" s="124"/>
    </row>
    <row r="16613">
      <c r="K16613" s="124"/>
      <c r="L16613" s="124"/>
      <c r="M16613" s="124"/>
      <c r="N16613" s="124"/>
      <c r="O16613" s="124"/>
    </row>
    <row r="16614">
      <c r="K16614" s="124"/>
      <c r="L16614" s="124"/>
      <c r="M16614" s="124"/>
      <c r="N16614" s="124"/>
      <c r="O16614" s="124"/>
    </row>
    <row r="16615">
      <c r="K16615" s="124"/>
      <c r="L16615" s="124"/>
      <c r="M16615" s="124"/>
      <c r="N16615" s="124"/>
      <c r="O16615" s="124"/>
    </row>
    <row r="16616">
      <c r="K16616" s="124"/>
      <c r="L16616" s="124"/>
      <c r="M16616" s="124"/>
      <c r="N16616" s="124"/>
      <c r="O16616" s="124"/>
    </row>
    <row r="16617">
      <c r="K16617" s="124"/>
      <c r="L16617" s="124"/>
      <c r="M16617" s="124"/>
      <c r="N16617" s="124"/>
      <c r="O16617" s="124"/>
    </row>
    <row r="16618">
      <c r="K16618" s="124"/>
      <c r="L16618" s="124"/>
      <c r="M16618" s="124"/>
      <c r="N16618" s="124"/>
      <c r="O16618" s="124"/>
    </row>
    <row r="16619">
      <c r="K16619" s="124"/>
      <c r="L16619" s="124"/>
      <c r="M16619" s="124"/>
      <c r="N16619" s="124"/>
      <c r="O16619" s="124"/>
    </row>
    <row r="16620">
      <c r="K16620" s="124"/>
      <c r="L16620" s="124"/>
      <c r="M16620" s="124"/>
      <c r="N16620" s="124"/>
      <c r="O16620" s="124"/>
    </row>
    <row r="16621">
      <c r="K16621" s="124"/>
      <c r="L16621" s="124"/>
      <c r="M16621" s="124"/>
      <c r="N16621" s="124"/>
      <c r="O16621" s="124"/>
    </row>
    <row r="16622">
      <c r="K16622" s="124"/>
      <c r="L16622" s="124"/>
      <c r="M16622" s="124"/>
      <c r="N16622" s="124"/>
      <c r="O16622" s="124"/>
    </row>
    <row r="16623">
      <c r="K16623" s="124"/>
      <c r="L16623" s="124"/>
      <c r="M16623" s="124"/>
      <c r="N16623" s="124"/>
      <c r="O16623" s="124"/>
    </row>
    <row r="16624">
      <c r="K16624" s="124"/>
      <c r="L16624" s="124"/>
      <c r="M16624" s="124"/>
      <c r="N16624" s="124"/>
      <c r="O16624" s="124"/>
    </row>
    <row r="16625">
      <c r="K16625" s="124"/>
      <c r="L16625" s="124"/>
      <c r="M16625" s="124"/>
      <c r="N16625" s="124"/>
      <c r="O16625" s="124"/>
    </row>
    <row r="16626">
      <c r="K16626" s="124"/>
      <c r="L16626" s="124"/>
      <c r="M16626" s="124"/>
      <c r="N16626" s="124"/>
      <c r="O16626" s="124"/>
    </row>
    <row r="16627">
      <c r="K16627" s="124"/>
      <c r="L16627" s="124"/>
      <c r="M16627" s="124"/>
      <c r="N16627" s="124"/>
      <c r="O16627" s="124"/>
    </row>
    <row r="16628">
      <c r="K16628" s="124"/>
      <c r="L16628" s="124"/>
      <c r="M16628" s="124"/>
      <c r="N16628" s="124"/>
      <c r="O16628" s="124"/>
    </row>
    <row r="16629">
      <c r="K16629" s="124"/>
      <c r="L16629" s="124"/>
      <c r="M16629" s="124"/>
      <c r="N16629" s="124"/>
      <c r="O16629" s="124"/>
    </row>
    <row r="16630">
      <c r="K16630" s="124"/>
      <c r="L16630" s="124"/>
      <c r="M16630" s="124"/>
      <c r="N16630" s="124"/>
      <c r="O16630" s="124"/>
    </row>
    <row r="16631">
      <c r="K16631" s="124"/>
      <c r="L16631" s="124"/>
      <c r="M16631" s="124"/>
      <c r="N16631" s="124"/>
      <c r="O16631" s="124"/>
    </row>
    <row r="16632">
      <c r="K16632" s="124"/>
      <c r="L16632" s="124"/>
      <c r="M16632" s="124"/>
      <c r="N16632" s="124"/>
      <c r="O16632" s="124"/>
    </row>
    <row r="16633">
      <c r="K16633" s="124"/>
      <c r="L16633" s="124"/>
      <c r="M16633" s="124"/>
      <c r="N16633" s="124"/>
      <c r="O16633" s="124"/>
    </row>
    <row r="16634">
      <c r="K16634" s="124"/>
      <c r="L16634" s="124"/>
      <c r="M16634" s="124"/>
      <c r="N16634" s="124"/>
      <c r="O16634" s="124"/>
    </row>
    <row r="16635">
      <c r="K16635" s="124"/>
      <c r="L16635" s="124"/>
      <c r="M16635" s="124"/>
      <c r="N16635" s="124"/>
      <c r="O16635" s="124"/>
    </row>
    <row r="16636">
      <c r="K16636" s="124"/>
      <c r="L16636" s="124"/>
      <c r="M16636" s="124"/>
      <c r="N16636" s="124"/>
      <c r="O16636" s="124"/>
    </row>
    <row r="16637">
      <c r="K16637" s="124"/>
      <c r="L16637" s="124"/>
      <c r="M16637" s="124"/>
      <c r="N16637" s="124"/>
      <c r="O16637" s="124"/>
    </row>
    <row r="16638">
      <c r="K16638" s="124"/>
      <c r="L16638" s="124"/>
      <c r="M16638" s="124"/>
      <c r="N16638" s="124"/>
      <c r="O16638" s="124"/>
    </row>
    <row r="16639">
      <c r="K16639" s="124"/>
      <c r="L16639" s="124"/>
      <c r="M16639" s="124"/>
      <c r="N16639" s="124"/>
      <c r="O16639" s="124"/>
    </row>
    <row r="16640">
      <c r="K16640" s="124"/>
      <c r="L16640" s="124"/>
      <c r="M16640" s="124"/>
      <c r="N16640" s="124"/>
      <c r="O16640" s="124"/>
    </row>
    <row r="16641">
      <c r="K16641" s="124"/>
      <c r="L16641" s="124"/>
      <c r="M16641" s="124"/>
      <c r="N16641" s="124"/>
      <c r="O16641" s="124"/>
    </row>
    <row r="16642">
      <c r="K16642" s="124"/>
      <c r="L16642" s="124"/>
      <c r="M16642" s="124"/>
      <c r="N16642" s="124"/>
      <c r="O16642" s="124"/>
    </row>
    <row r="16643">
      <c r="K16643" s="124"/>
      <c r="L16643" s="124"/>
      <c r="M16643" s="124"/>
      <c r="N16643" s="124"/>
      <c r="O16643" s="124"/>
    </row>
    <row r="16644">
      <c r="K16644" s="124"/>
      <c r="L16644" s="124"/>
      <c r="M16644" s="124"/>
      <c r="N16644" s="124"/>
      <c r="O16644" s="124"/>
    </row>
    <row r="16645">
      <c r="K16645" s="124"/>
      <c r="L16645" s="124"/>
      <c r="M16645" s="124"/>
      <c r="N16645" s="124"/>
      <c r="O16645" s="124"/>
    </row>
    <row r="16646">
      <c r="K16646" s="124"/>
      <c r="L16646" s="124"/>
      <c r="M16646" s="124"/>
      <c r="N16646" s="124"/>
      <c r="O16646" s="124"/>
    </row>
    <row r="16647">
      <c r="K16647" s="124"/>
      <c r="L16647" s="124"/>
      <c r="M16647" s="124"/>
      <c r="N16647" s="124"/>
      <c r="O16647" s="124"/>
    </row>
    <row r="16648">
      <c r="K16648" s="124"/>
      <c r="L16648" s="124"/>
      <c r="M16648" s="124"/>
      <c r="N16648" s="124"/>
      <c r="O16648" s="124"/>
    </row>
    <row r="16649">
      <c r="K16649" s="124"/>
      <c r="L16649" s="124"/>
      <c r="M16649" s="124"/>
      <c r="N16649" s="124"/>
      <c r="O16649" s="124"/>
    </row>
    <row r="16650">
      <c r="K16650" s="124"/>
      <c r="L16650" s="124"/>
      <c r="M16650" s="124"/>
      <c r="N16650" s="124"/>
      <c r="O16650" s="124"/>
    </row>
    <row r="16651">
      <c r="K16651" s="124"/>
      <c r="L16651" s="124"/>
      <c r="M16651" s="124"/>
      <c r="N16651" s="124"/>
      <c r="O16651" s="124"/>
    </row>
    <row r="16652">
      <c r="K16652" s="124"/>
      <c r="L16652" s="124"/>
      <c r="M16652" s="124"/>
      <c r="N16652" s="124"/>
      <c r="O16652" s="124"/>
    </row>
    <row r="16653">
      <c r="K16653" s="124"/>
      <c r="L16653" s="124"/>
      <c r="M16653" s="124"/>
      <c r="N16653" s="124"/>
      <c r="O16653" s="124"/>
    </row>
    <row r="16654">
      <c r="K16654" s="124"/>
      <c r="L16654" s="124"/>
      <c r="M16654" s="124"/>
      <c r="N16654" s="124"/>
      <c r="O16654" s="124"/>
    </row>
    <row r="16655">
      <c r="K16655" s="124"/>
      <c r="L16655" s="124"/>
      <c r="M16655" s="124"/>
      <c r="N16655" s="124"/>
      <c r="O16655" s="124"/>
    </row>
    <row r="16656">
      <c r="K16656" s="124"/>
      <c r="L16656" s="124"/>
      <c r="M16656" s="124"/>
      <c r="N16656" s="124"/>
      <c r="O16656" s="124"/>
    </row>
    <row r="16657">
      <c r="K16657" s="124"/>
      <c r="L16657" s="124"/>
      <c r="M16657" s="124"/>
      <c r="N16657" s="124"/>
      <c r="O16657" s="124"/>
    </row>
    <row r="16658">
      <c r="K16658" s="124"/>
      <c r="L16658" s="124"/>
      <c r="M16658" s="124"/>
      <c r="N16658" s="124"/>
      <c r="O16658" s="124"/>
    </row>
    <row r="16659">
      <c r="K16659" s="124"/>
      <c r="L16659" s="124"/>
      <c r="M16659" s="124"/>
      <c r="N16659" s="124"/>
      <c r="O16659" s="124"/>
    </row>
    <row r="16660">
      <c r="K16660" s="124"/>
      <c r="L16660" s="124"/>
      <c r="M16660" s="124"/>
      <c r="N16660" s="124"/>
      <c r="O16660" s="124"/>
    </row>
    <row r="16661">
      <c r="K16661" s="124"/>
      <c r="L16661" s="124"/>
      <c r="M16661" s="124"/>
      <c r="N16661" s="124"/>
      <c r="O16661" s="124"/>
    </row>
    <row r="16662">
      <c r="K16662" s="124"/>
      <c r="L16662" s="124"/>
      <c r="M16662" s="124"/>
      <c r="N16662" s="124"/>
      <c r="O16662" s="124"/>
    </row>
    <row r="16663">
      <c r="K16663" s="124"/>
      <c r="L16663" s="124"/>
      <c r="M16663" s="124"/>
      <c r="N16663" s="124"/>
      <c r="O16663" s="124"/>
    </row>
    <row r="16664">
      <c r="K16664" s="124"/>
      <c r="L16664" s="124"/>
      <c r="M16664" s="124"/>
      <c r="N16664" s="124"/>
      <c r="O16664" s="124"/>
    </row>
    <row r="16665">
      <c r="K16665" s="124"/>
      <c r="L16665" s="124"/>
      <c r="M16665" s="124"/>
      <c r="N16665" s="124"/>
      <c r="O16665" s="124"/>
    </row>
    <row r="16666">
      <c r="K16666" s="124"/>
      <c r="L16666" s="124"/>
      <c r="M16666" s="124"/>
      <c r="N16666" s="124"/>
      <c r="O16666" s="124"/>
    </row>
    <row r="16667">
      <c r="K16667" s="124"/>
      <c r="L16667" s="124"/>
      <c r="M16667" s="124"/>
      <c r="N16667" s="124"/>
      <c r="O16667" s="124"/>
    </row>
    <row r="16668">
      <c r="K16668" s="124"/>
      <c r="L16668" s="124"/>
      <c r="M16668" s="124"/>
      <c r="N16668" s="124"/>
      <c r="O16668" s="124"/>
    </row>
    <row r="16669">
      <c r="K16669" s="124"/>
      <c r="L16669" s="124"/>
      <c r="M16669" s="124"/>
      <c r="N16669" s="124"/>
      <c r="O16669" s="124"/>
    </row>
    <row r="16670">
      <c r="K16670" s="124"/>
      <c r="L16670" s="124"/>
      <c r="M16670" s="124"/>
      <c r="N16670" s="124"/>
      <c r="O16670" s="124"/>
    </row>
    <row r="16671">
      <c r="K16671" s="124"/>
      <c r="L16671" s="124"/>
      <c r="M16671" s="124"/>
      <c r="N16671" s="124"/>
      <c r="O16671" s="124"/>
    </row>
    <row r="16672">
      <c r="K16672" s="124"/>
      <c r="L16672" s="124"/>
      <c r="M16672" s="124"/>
      <c r="N16672" s="124"/>
      <c r="O16672" s="124"/>
    </row>
    <row r="16673">
      <c r="K16673" s="124"/>
      <c r="L16673" s="124"/>
      <c r="M16673" s="124"/>
      <c r="N16673" s="124"/>
      <c r="O16673" s="124"/>
    </row>
    <row r="16674">
      <c r="K16674" s="124"/>
      <c r="L16674" s="124"/>
      <c r="M16674" s="124"/>
      <c r="N16674" s="124"/>
      <c r="O16674" s="124"/>
    </row>
    <row r="16675">
      <c r="K16675" s="124"/>
      <c r="L16675" s="124"/>
      <c r="M16675" s="124"/>
      <c r="N16675" s="124"/>
      <c r="O16675" s="124"/>
    </row>
    <row r="16676">
      <c r="K16676" s="124"/>
      <c r="L16676" s="124"/>
      <c r="M16676" s="124"/>
      <c r="N16676" s="124"/>
      <c r="O16676" s="124"/>
    </row>
    <row r="16677">
      <c r="K16677" s="124"/>
      <c r="L16677" s="124"/>
      <c r="M16677" s="124"/>
      <c r="N16677" s="124"/>
      <c r="O16677" s="124"/>
    </row>
    <row r="16678">
      <c r="K16678" s="124"/>
      <c r="L16678" s="124"/>
      <c r="M16678" s="124"/>
      <c r="N16678" s="124"/>
      <c r="O16678" s="124"/>
    </row>
    <row r="16679">
      <c r="K16679" s="124"/>
      <c r="L16679" s="124"/>
      <c r="M16679" s="124"/>
      <c r="N16679" s="124"/>
      <c r="O16679" s="124"/>
    </row>
    <row r="16680">
      <c r="K16680" s="124"/>
      <c r="L16680" s="124"/>
      <c r="M16680" s="124"/>
      <c r="N16680" s="124"/>
      <c r="O16680" s="124"/>
    </row>
    <row r="16681">
      <c r="K16681" s="124"/>
      <c r="L16681" s="124"/>
      <c r="M16681" s="124"/>
      <c r="N16681" s="124"/>
      <c r="O16681" s="124"/>
    </row>
    <row r="16682">
      <c r="K16682" s="124"/>
      <c r="L16682" s="124"/>
      <c r="M16682" s="124"/>
      <c r="N16682" s="124"/>
      <c r="O16682" s="124"/>
    </row>
    <row r="16683">
      <c r="K16683" s="124"/>
      <c r="L16683" s="124"/>
      <c r="M16683" s="124"/>
      <c r="N16683" s="124"/>
      <c r="O16683" s="124"/>
    </row>
    <row r="16684">
      <c r="K16684" s="124"/>
      <c r="L16684" s="124"/>
      <c r="M16684" s="124"/>
      <c r="N16684" s="124"/>
      <c r="O16684" s="124"/>
    </row>
    <row r="16685">
      <c r="K16685" s="124"/>
      <c r="L16685" s="124"/>
      <c r="M16685" s="124"/>
      <c r="N16685" s="124"/>
      <c r="O16685" s="124"/>
    </row>
    <row r="16686">
      <c r="K16686" s="124"/>
      <c r="L16686" s="124"/>
      <c r="M16686" s="124"/>
      <c r="N16686" s="124"/>
      <c r="O16686" s="124"/>
    </row>
    <row r="16687">
      <c r="K16687" s="124"/>
      <c r="L16687" s="124"/>
      <c r="M16687" s="124"/>
      <c r="N16687" s="124"/>
      <c r="O16687" s="124"/>
    </row>
    <row r="16688">
      <c r="K16688" s="124"/>
      <c r="L16688" s="124"/>
      <c r="M16688" s="124"/>
      <c r="N16688" s="124"/>
      <c r="O16688" s="124"/>
    </row>
    <row r="16689">
      <c r="K16689" s="124"/>
      <c r="L16689" s="124"/>
      <c r="M16689" s="124"/>
      <c r="N16689" s="124"/>
      <c r="O16689" s="124"/>
    </row>
    <row r="16690">
      <c r="K16690" s="124"/>
      <c r="L16690" s="124"/>
      <c r="M16690" s="124"/>
      <c r="N16690" s="124"/>
      <c r="O16690" s="124"/>
    </row>
    <row r="16691">
      <c r="K16691" s="124"/>
      <c r="L16691" s="124"/>
      <c r="M16691" s="124"/>
      <c r="N16691" s="124"/>
      <c r="O16691" s="124"/>
    </row>
    <row r="16692">
      <c r="K16692" s="124"/>
      <c r="L16692" s="124"/>
      <c r="M16692" s="124"/>
      <c r="N16692" s="124"/>
      <c r="O16692" s="124"/>
    </row>
    <row r="16693">
      <c r="K16693" s="124"/>
      <c r="L16693" s="124"/>
      <c r="M16693" s="124"/>
      <c r="N16693" s="124"/>
      <c r="O16693" s="124"/>
    </row>
    <row r="16694">
      <c r="K16694" s="124"/>
      <c r="L16694" s="124"/>
      <c r="M16694" s="124"/>
      <c r="N16694" s="124"/>
      <c r="O16694" s="124"/>
    </row>
    <row r="16695">
      <c r="K16695" s="124"/>
      <c r="L16695" s="124"/>
      <c r="M16695" s="124"/>
      <c r="N16695" s="124"/>
      <c r="O16695" s="124"/>
    </row>
    <row r="16696">
      <c r="K16696" s="124"/>
      <c r="L16696" s="124"/>
      <c r="M16696" s="124"/>
      <c r="N16696" s="124"/>
      <c r="O16696" s="124"/>
    </row>
    <row r="16697">
      <c r="K16697" s="124"/>
      <c r="L16697" s="124"/>
      <c r="M16697" s="124"/>
      <c r="N16697" s="124"/>
      <c r="O16697" s="124"/>
    </row>
    <row r="16698">
      <c r="K16698" s="124"/>
      <c r="L16698" s="124"/>
      <c r="M16698" s="124"/>
      <c r="N16698" s="124"/>
      <c r="O16698" s="124"/>
    </row>
    <row r="16699">
      <c r="K16699" s="124"/>
      <c r="L16699" s="124"/>
      <c r="M16699" s="124"/>
      <c r="N16699" s="124"/>
      <c r="O16699" s="124"/>
    </row>
    <row r="16700">
      <c r="K16700" s="124"/>
      <c r="L16700" s="124"/>
      <c r="M16700" s="124"/>
      <c r="N16700" s="124"/>
      <c r="O16700" s="124"/>
    </row>
    <row r="16701">
      <c r="K16701" s="124"/>
      <c r="L16701" s="124"/>
      <c r="M16701" s="124"/>
      <c r="N16701" s="124"/>
      <c r="O16701" s="124"/>
    </row>
    <row r="16702">
      <c r="K16702" s="124"/>
      <c r="L16702" s="124"/>
      <c r="M16702" s="124"/>
      <c r="N16702" s="124"/>
      <c r="O16702" s="124"/>
    </row>
    <row r="16703">
      <c r="K16703" s="124"/>
      <c r="L16703" s="124"/>
      <c r="M16703" s="124"/>
      <c r="N16703" s="124"/>
      <c r="O16703" s="124"/>
    </row>
    <row r="16704">
      <c r="K16704" s="124"/>
      <c r="L16704" s="124"/>
      <c r="M16704" s="124"/>
      <c r="N16704" s="124"/>
      <c r="O16704" s="124"/>
    </row>
    <row r="16705">
      <c r="K16705" s="124"/>
      <c r="L16705" s="124"/>
      <c r="M16705" s="124"/>
      <c r="N16705" s="124"/>
      <c r="O16705" s="124"/>
    </row>
    <row r="16706">
      <c r="K16706" s="124"/>
      <c r="L16706" s="124"/>
      <c r="M16706" s="124"/>
      <c r="N16706" s="124"/>
      <c r="O16706" s="124"/>
    </row>
    <row r="16707">
      <c r="K16707" s="124"/>
      <c r="L16707" s="124"/>
      <c r="M16707" s="124"/>
      <c r="N16707" s="124"/>
      <c r="O16707" s="124"/>
    </row>
    <row r="16708">
      <c r="K16708" s="124"/>
      <c r="L16708" s="124"/>
      <c r="M16708" s="124"/>
      <c r="N16708" s="124"/>
      <c r="O16708" s="124"/>
    </row>
    <row r="16709">
      <c r="K16709" s="124"/>
      <c r="L16709" s="124"/>
      <c r="M16709" s="124"/>
      <c r="N16709" s="124"/>
      <c r="O16709" s="124"/>
    </row>
    <row r="16710">
      <c r="K16710" s="124"/>
      <c r="L16710" s="124"/>
      <c r="M16710" s="124"/>
      <c r="N16710" s="124"/>
      <c r="O16710" s="124"/>
    </row>
    <row r="16711">
      <c r="K16711" s="124"/>
      <c r="L16711" s="124"/>
      <c r="M16711" s="124"/>
      <c r="N16711" s="124"/>
      <c r="O16711" s="124"/>
    </row>
    <row r="16712">
      <c r="K16712" s="124"/>
      <c r="L16712" s="124"/>
      <c r="M16712" s="124"/>
      <c r="N16712" s="124"/>
      <c r="O16712" s="124"/>
    </row>
    <row r="16713">
      <c r="K16713" s="124"/>
      <c r="L16713" s="124"/>
      <c r="M16713" s="124"/>
      <c r="N16713" s="124"/>
      <c r="O16713" s="124"/>
    </row>
    <row r="16714">
      <c r="K16714" s="124"/>
      <c r="L16714" s="124"/>
      <c r="M16714" s="124"/>
      <c r="N16714" s="124"/>
      <c r="O16714" s="124"/>
    </row>
    <row r="16715">
      <c r="K16715" s="124"/>
      <c r="L16715" s="124"/>
      <c r="M16715" s="124"/>
      <c r="N16715" s="124"/>
      <c r="O16715" s="124"/>
    </row>
    <row r="16716">
      <c r="K16716" s="124"/>
      <c r="L16716" s="124"/>
      <c r="M16716" s="124"/>
      <c r="N16716" s="124"/>
      <c r="O16716" s="124"/>
    </row>
    <row r="16717">
      <c r="K16717" s="124"/>
      <c r="L16717" s="124"/>
      <c r="M16717" s="124"/>
      <c r="N16717" s="124"/>
      <c r="O16717" s="124"/>
    </row>
    <row r="16718">
      <c r="K16718" s="124"/>
      <c r="L16718" s="124"/>
      <c r="M16718" s="124"/>
      <c r="N16718" s="124"/>
      <c r="O16718" s="124"/>
    </row>
    <row r="16719">
      <c r="K16719" s="124"/>
      <c r="L16719" s="124"/>
      <c r="M16719" s="124"/>
      <c r="N16719" s="124"/>
      <c r="O16719" s="124"/>
    </row>
    <row r="16720">
      <c r="K16720" s="124"/>
      <c r="L16720" s="124"/>
      <c r="M16720" s="124"/>
      <c r="N16720" s="124"/>
      <c r="O16720" s="124"/>
    </row>
    <row r="16721">
      <c r="K16721" s="124"/>
      <c r="L16721" s="124"/>
      <c r="M16721" s="124"/>
      <c r="N16721" s="124"/>
      <c r="O16721" s="124"/>
    </row>
    <row r="16722">
      <c r="K16722" s="124"/>
      <c r="L16722" s="124"/>
      <c r="M16722" s="124"/>
      <c r="N16722" s="124"/>
      <c r="O16722" s="124"/>
    </row>
    <row r="16723">
      <c r="K16723" s="124"/>
      <c r="L16723" s="124"/>
      <c r="M16723" s="124"/>
      <c r="N16723" s="124"/>
      <c r="O16723" s="124"/>
    </row>
    <row r="16724">
      <c r="K16724" s="124"/>
      <c r="L16724" s="124"/>
      <c r="M16724" s="124"/>
      <c r="N16724" s="124"/>
      <c r="O16724" s="124"/>
    </row>
    <row r="16725">
      <c r="K16725" s="124"/>
      <c r="L16725" s="124"/>
      <c r="M16725" s="124"/>
      <c r="N16725" s="124"/>
      <c r="O16725" s="124"/>
    </row>
    <row r="16726">
      <c r="K16726" s="124"/>
      <c r="L16726" s="124"/>
      <c r="M16726" s="124"/>
      <c r="N16726" s="124"/>
      <c r="O16726" s="124"/>
    </row>
    <row r="16727">
      <c r="K16727" s="124"/>
      <c r="L16727" s="124"/>
      <c r="M16727" s="124"/>
      <c r="N16727" s="124"/>
      <c r="O16727" s="124"/>
    </row>
    <row r="16728">
      <c r="K16728" s="124"/>
      <c r="L16728" s="124"/>
      <c r="M16728" s="124"/>
      <c r="N16728" s="124"/>
      <c r="O16728" s="124"/>
    </row>
    <row r="16729">
      <c r="K16729" s="124"/>
      <c r="L16729" s="124"/>
      <c r="M16729" s="124"/>
      <c r="N16729" s="124"/>
      <c r="O16729" s="124"/>
    </row>
    <row r="16730">
      <c r="K16730" s="124"/>
      <c r="L16730" s="124"/>
      <c r="M16730" s="124"/>
      <c r="N16730" s="124"/>
      <c r="O16730" s="124"/>
    </row>
    <row r="16731">
      <c r="K16731" s="124"/>
      <c r="L16731" s="124"/>
      <c r="M16731" s="124"/>
      <c r="N16731" s="124"/>
      <c r="O16731" s="124"/>
    </row>
    <row r="16732">
      <c r="K16732" s="124"/>
      <c r="L16732" s="124"/>
      <c r="M16732" s="124"/>
      <c r="N16732" s="124"/>
      <c r="O16732" s="124"/>
    </row>
    <row r="16733">
      <c r="K16733" s="124"/>
      <c r="L16733" s="124"/>
      <c r="M16733" s="124"/>
      <c r="N16733" s="124"/>
      <c r="O16733" s="124"/>
    </row>
    <row r="16734">
      <c r="K16734" s="124"/>
      <c r="L16734" s="124"/>
      <c r="M16734" s="124"/>
      <c r="N16734" s="124"/>
      <c r="O16734" s="124"/>
    </row>
    <row r="16735">
      <c r="K16735" s="124"/>
      <c r="L16735" s="124"/>
      <c r="M16735" s="124"/>
      <c r="N16735" s="124"/>
      <c r="O16735" s="124"/>
    </row>
    <row r="16736">
      <c r="K16736" s="124"/>
      <c r="L16736" s="124"/>
      <c r="M16736" s="124"/>
      <c r="N16736" s="124"/>
      <c r="O16736" s="124"/>
    </row>
    <row r="16737">
      <c r="K16737" s="124"/>
      <c r="L16737" s="124"/>
      <c r="M16737" s="124"/>
      <c r="N16737" s="124"/>
      <c r="O16737" s="124"/>
    </row>
    <row r="16738">
      <c r="K16738" s="124"/>
      <c r="L16738" s="124"/>
      <c r="M16738" s="124"/>
      <c r="N16738" s="124"/>
      <c r="O16738" s="124"/>
    </row>
    <row r="16739">
      <c r="K16739" s="124"/>
      <c r="L16739" s="124"/>
      <c r="M16739" s="124"/>
      <c r="N16739" s="124"/>
      <c r="O16739" s="124"/>
    </row>
    <row r="16740">
      <c r="K16740" s="124"/>
      <c r="L16740" s="124"/>
      <c r="M16740" s="124"/>
      <c r="N16740" s="124"/>
      <c r="O16740" s="124"/>
    </row>
    <row r="16741">
      <c r="K16741" s="124"/>
      <c r="L16741" s="124"/>
      <c r="M16741" s="124"/>
      <c r="N16741" s="124"/>
      <c r="O16741" s="124"/>
    </row>
    <row r="16742">
      <c r="K16742" s="124"/>
      <c r="L16742" s="124"/>
      <c r="M16742" s="124"/>
      <c r="N16742" s="124"/>
      <c r="O16742" s="124"/>
    </row>
    <row r="16743">
      <c r="K16743" s="124"/>
      <c r="L16743" s="124"/>
      <c r="M16743" s="124"/>
      <c r="N16743" s="124"/>
      <c r="O16743" s="124"/>
    </row>
    <row r="16744">
      <c r="K16744" s="124"/>
      <c r="L16744" s="124"/>
      <c r="M16744" s="124"/>
      <c r="N16744" s="124"/>
      <c r="O16744" s="124"/>
    </row>
    <row r="16745">
      <c r="K16745" s="124"/>
      <c r="L16745" s="124"/>
      <c r="M16745" s="124"/>
      <c r="N16745" s="124"/>
      <c r="O16745" s="124"/>
    </row>
    <row r="16746">
      <c r="K16746" s="124"/>
      <c r="L16746" s="124"/>
      <c r="M16746" s="124"/>
      <c r="N16746" s="124"/>
      <c r="O16746" s="124"/>
    </row>
    <row r="16747">
      <c r="K16747" s="124"/>
      <c r="L16747" s="124"/>
      <c r="M16747" s="124"/>
      <c r="N16747" s="124"/>
      <c r="O16747" s="124"/>
    </row>
    <row r="16748">
      <c r="K16748" s="124"/>
      <c r="L16748" s="124"/>
      <c r="M16748" s="124"/>
      <c r="N16748" s="124"/>
      <c r="O16748" s="124"/>
    </row>
    <row r="16749">
      <c r="K16749" s="124"/>
      <c r="L16749" s="124"/>
      <c r="M16749" s="124"/>
      <c r="N16749" s="124"/>
      <c r="O16749" s="124"/>
    </row>
    <row r="16750">
      <c r="K16750" s="124"/>
      <c r="L16750" s="124"/>
      <c r="M16750" s="124"/>
      <c r="N16750" s="124"/>
      <c r="O16750" s="124"/>
    </row>
    <row r="16751">
      <c r="K16751" s="124"/>
      <c r="L16751" s="124"/>
      <c r="M16751" s="124"/>
      <c r="N16751" s="124"/>
      <c r="O16751" s="124"/>
    </row>
    <row r="16752">
      <c r="K16752" s="124"/>
      <c r="L16752" s="124"/>
      <c r="M16752" s="124"/>
      <c r="N16752" s="124"/>
      <c r="O16752" s="124"/>
    </row>
    <row r="16753">
      <c r="K16753" s="124"/>
      <c r="L16753" s="124"/>
      <c r="M16753" s="124"/>
      <c r="N16753" s="124"/>
      <c r="O16753" s="124"/>
    </row>
    <row r="16754">
      <c r="K16754" s="124"/>
      <c r="L16754" s="124"/>
      <c r="M16754" s="124"/>
      <c r="N16754" s="124"/>
      <c r="O16754" s="124"/>
    </row>
    <row r="16755">
      <c r="K16755" s="124"/>
      <c r="L16755" s="124"/>
      <c r="M16755" s="124"/>
      <c r="N16755" s="124"/>
      <c r="O16755" s="124"/>
    </row>
    <row r="16756">
      <c r="K16756" s="124"/>
      <c r="L16756" s="124"/>
      <c r="M16756" s="124"/>
      <c r="N16756" s="124"/>
      <c r="O16756" s="124"/>
    </row>
    <row r="16757">
      <c r="K16757" s="124"/>
      <c r="L16757" s="124"/>
      <c r="M16757" s="124"/>
      <c r="N16757" s="124"/>
      <c r="O16757" s="124"/>
    </row>
    <row r="16758">
      <c r="K16758" s="124"/>
      <c r="L16758" s="124"/>
      <c r="M16758" s="124"/>
      <c r="N16758" s="124"/>
      <c r="O16758" s="124"/>
    </row>
    <row r="16759">
      <c r="K16759" s="124"/>
      <c r="L16759" s="124"/>
      <c r="M16759" s="124"/>
      <c r="N16759" s="124"/>
      <c r="O16759" s="124"/>
    </row>
    <row r="16760">
      <c r="K16760" s="124"/>
      <c r="L16760" s="124"/>
      <c r="M16760" s="124"/>
      <c r="N16760" s="124"/>
      <c r="O16760" s="124"/>
    </row>
    <row r="16761">
      <c r="K16761" s="124"/>
      <c r="L16761" s="124"/>
      <c r="M16761" s="124"/>
      <c r="N16761" s="124"/>
      <c r="O16761" s="124"/>
    </row>
    <row r="16762">
      <c r="K16762" s="124"/>
      <c r="L16762" s="124"/>
      <c r="M16762" s="124"/>
      <c r="N16762" s="124"/>
      <c r="O16762" s="124"/>
    </row>
    <row r="16763">
      <c r="K16763" s="124"/>
      <c r="L16763" s="124"/>
      <c r="M16763" s="124"/>
      <c r="N16763" s="124"/>
      <c r="O16763" s="124"/>
    </row>
    <row r="16764">
      <c r="K16764" s="124"/>
      <c r="L16764" s="124"/>
      <c r="M16764" s="124"/>
      <c r="N16764" s="124"/>
      <c r="O16764" s="124"/>
    </row>
    <row r="16765">
      <c r="K16765" s="124"/>
      <c r="L16765" s="124"/>
      <c r="M16765" s="124"/>
      <c r="N16765" s="124"/>
      <c r="O16765" s="124"/>
    </row>
    <row r="16766">
      <c r="K16766" s="124"/>
      <c r="L16766" s="124"/>
      <c r="M16766" s="124"/>
      <c r="N16766" s="124"/>
      <c r="O16766" s="124"/>
    </row>
    <row r="16767">
      <c r="K16767" s="124"/>
      <c r="L16767" s="124"/>
      <c r="M16767" s="124"/>
      <c r="N16767" s="124"/>
      <c r="O16767" s="124"/>
    </row>
    <row r="16768">
      <c r="K16768" s="124"/>
      <c r="L16768" s="124"/>
      <c r="M16768" s="124"/>
      <c r="N16768" s="124"/>
      <c r="O16768" s="124"/>
    </row>
    <row r="16769">
      <c r="K16769" s="124"/>
      <c r="L16769" s="124"/>
      <c r="M16769" s="124"/>
      <c r="N16769" s="124"/>
      <c r="O16769" s="124"/>
    </row>
    <row r="16770">
      <c r="K16770" s="124"/>
      <c r="L16770" s="124"/>
      <c r="M16770" s="124"/>
      <c r="N16770" s="124"/>
      <c r="O16770" s="124"/>
    </row>
    <row r="16771">
      <c r="K16771" s="124"/>
      <c r="L16771" s="124"/>
      <c r="M16771" s="124"/>
      <c r="N16771" s="124"/>
      <c r="O16771" s="124"/>
    </row>
    <row r="16772">
      <c r="K16772" s="124"/>
      <c r="L16772" s="124"/>
      <c r="M16772" s="124"/>
      <c r="N16772" s="124"/>
      <c r="O16772" s="124"/>
    </row>
    <row r="16773">
      <c r="K16773" s="124"/>
      <c r="L16773" s="124"/>
      <c r="M16773" s="124"/>
      <c r="N16773" s="124"/>
      <c r="O16773" s="124"/>
    </row>
    <row r="16774">
      <c r="K16774" s="124"/>
      <c r="L16774" s="124"/>
      <c r="M16774" s="124"/>
      <c r="N16774" s="124"/>
      <c r="O16774" s="124"/>
    </row>
    <row r="16775">
      <c r="K16775" s="124"/>
      <c r="L16775" s="124"/>
      <c r="M16775" s="124"/>
      <c r="N16775" s="124"/>
      <c r="O16775" s="124"/>
    </row>
    <row r="16776">
      <c r="K16776" s="124"/>
      <c r="L16776" s="124"/>
      <c r="M16776" s="124"/>
      <c r="N16776" s="124"/>
      <c r="O16776" s="124"/>
    </row>
    <row r="16777">
      <c r="K16777" s="124"/>
      <c r="L16777" s="124"/>
      <c r="M16777" s="124"/>
      <c r="N16777" s="124"/>
      <c r="O16777" s="124"/>
    </row>
    <row r="16778">
      <c r="K16778" s="124"/>
      <c r="L16778" s="124"/>
      <c r="M16778" s="124"/>
      <c r="N16778" s="124"/>
      <c r="O16778" s="124"/>
    </row>
    <row r="16779">
      <c r="K16779" s="124"/>
      <c r="L16779" s="124"/>
      <c r="M16779" s="124"/>
      <c r="N16779" s="124"/>
      <c r="O16779" s="124"/>
    </row>
    <row r="16780">
      <c r="K16780" s="124"/>
      <c r="L16780" s="124"/>
      <c r="M16780" s="124"/>
      <c r="N16780" s="124"/>
      <c r="O16780" s="124"/>
    </row>
    <row r="16781">
      <c r="K16781" s="124"/>
      <c r="L16781" s="124"/>
      <c r="M16781" s="124"/>
      <c r="N16781" s="124"/>
      <c r="O16781" s="124"/>
    </row>
    <row r="16782">
      <c r="K16782" s="124"/>
      <c r="L16782" s="124"/>
      <c r="M16782" s="124"/>
      <c r="N16782" s="124"/>
      <c r="O16782" s="124"/>
    </row>
    <row r="16783">
      <c r="K16783" s="124"/>
      <c r="L16783" s="124"/>
      <c r="M16783" s="124"/>
      <c r="N16783" s="124"/>
      <c r="O16783" s="124"/>
    </row>
    <row r="16784">
      <c r="K16784" s="124"/>
      <c r="L16784" s="124"/>
      <c r="M16784" s="124"/>
      <c r="N16784" s="124"/>
      <c r="O16784" s="124"/>
    </row>
    <row r="16785">
      <c r="K16785" s="124"/>
      <c r="L16785" s="124"/>
      <c r="M16785" s="124"/>
      <c r="N16785" s="124"/>
      <c r="O16785" s="124"/>
    </row>
    <row r="16786">
      <c r="K16786" s="124"/>
      <c r="L16786" s="124"/>
      <c r="M16786" s="124"/>
      <c r="N16786" s="124"/>
      <c r="O16786" s="124"/>
    </row>
    <row r="16787">
      <c r="K16787" s="124"/>
      <c r="L16787" s="124"/>
      <c r="M16787" s="124"/>
      <c r="N16787" s="124"/>
      <c r="O16787" s="124"/>
    </row>
    <row r="16788">
      <c r="K16788" s="124"/>
      <c r="L16788" s="124"/>
      <c r="M16788" s="124"/>
      <c r="N16788" s="124"/>
      <c r="O16788" s="124"/>
    </row>
    <row r="16789">
      <c r="K16789" s="124"/>
      <c r="L16789" s="124"/>
      <c r="M16789" s="124"/>
      <c r="N16789" s="124"/>
      <c r="O16789" s="124"/>
    </row>
    <row r="16790">
      <c r="K16790" s="124"/>
      <c r="L16790" s="124"/>
      <c r="M16790" s="124"/>
      <c r="N16790" s="124"/>
      <c r="O16790" s="124"/>
    </row>
    <row r="16791">
      <c r="K16791" s="124"/>
      <c r="L16791" s="124"/>
      <c r="M16791" s="124"/>
      <c r="N16791" s="124"/>
      <c r="O16791" s="124"/>
    </row>
    <row r="16792">
      <c r="K16792" s="124"/>
      <c r="L16792" s="124"/>
      <c r="M16792" s="124"/>
      <c r="N16792" s="124"/>
      <c r="O16792" s="124"/>
    </row>
    <row r="16793">
      <c r="K16793" s="124"/>
      <c r="L16793" s="124"/>
      <c r="M16793" s="124"/>
      <c r="N16793" s="124"/>
      <c r="O16793" s="124"/>
    </row>
    <row r="16794">
      <c r="K16794" s="124"/>
      <c r="L16794" s="124"/>
      <c r="M16794" s="124"/>
      <c r="N16794" s="124"/>
      <c r="O16794" s="124"/>
    </row>
    <row r="16795">
      <c r="K16795" s="124"/>
      <c r="L16795" s="124"/>
      <c r="M16795" s="124"/>
      <c r="N16795" s="124"/>
      <c r="O16795" s="124"/>
    </row>
    <row r="16796">
      <c r="K16796" s="124"/>
      <c r="L16796" s="124"/>
      <c r="M16796" s="124"/>
      <c r="N16796" s="124"/>
      <c r="O16796" s="124"/>
    </row>
    <row r="16797">
      <c r="K16797" s="124"/>
      <c r="L16797" s="124"/>
      <c r="M16797" s="124"/>
      <c r="N16797" s="124"/>
      <c r="O16797" s="124"/>
    </row>
    <row r="16798">
      <c r="K16798" s="124"/>
      <c r="L16798" s="124"/>
      <c r="M16798" s="124"/>
      <c r="N16798" s="124"/>
      <c r="O16798" s="124"/>
    </row>
    <row r="16799">
      <c r="K16799" s="124"/>
      <c r="L16799" s="124"/>
      <c r="M16799" s="124"/>
      <c r="N16799" s="124"/>
      <c r="O16799" s="124"/>
    </row>
    <row r="16800">
      <c r="K16800" s="124"/>
      <c r="L16800" s="124"/>
      <c r="M16800" s="124"/>
      <c r="N16800" s="124"/>
      <c r="O16800" s="124"/>
    </row>
    <row r="16801">
      <c r="K16801" s="124"/>
      <c r="L16801" s="124"/>
      <c r="M16801" s="124"/>
      <c r="N16801" s="124"/>
      <c r="O16801" s="124"/>
    </row>
    <row r="16802">
      <c r="K16802" s="124"/>
      <c r="L16802" s="124"/>
      <c r="M16802" s="124"/>
      <c r="N16802" s="124"/>
      <c r="O16802" s="124"/>
    </row>
    <row r="16803">
      <c r="K16803" s="124"/>
      <c r="L16803" s="124"/>
      <c r="M16803" s="124"/>
      <c r="N16803" s="124"/>
      <c r="O16803" s="124"/>
    </row>
    <row r="16804">
      <c r="K16804" s="124"/>
      <c r="L16804" s="124"/>
      <c r="M16804" s="124"/>
      <c r="N16804" s="124"/>
      <c r="O16804" s="124"/>
    </row>
    <row r="16805">
      <c r="K16805" s="124"/>
      <c r="L16805" s="124"/>
      <c r="M16805" s="124"/>
      <c r="N16805" s="124"/>
      <c r="O16805" s="124"/>
    </row>
    <row r="16806">
      <c r="K16806" s="124"/>
      <c r="L16806" s="124"/>
      <c r="M16806" s="124"/>
      <c r="N16806" s="124"/>
      <c r="O16806" s="124"/>
    </row>
    <row r="16807">
      <c r="K16807" s="124"/>
      <c r="L16807" s="124"/>
      <c r="M16807" s="124"/>
      <c r="N16807" s="124"/>
      <c r="O16807" s="124"/>
    </row>
    <row r="16808">
      <c r="K16808" s="124"/>
      <c r="L16808" s="124"/>
      <c r="M16808" s="124"/>
      <c r="N16808" s="124"/>
      <c r="O16808" s="124"/>
    </row>
    <row r="16809">
      <c r="K16809" s="124"/>
      <c r="L16809" s="124"/>
      <c r="M16809" s="124"/>
      <c r="N16809" s="124"/>
      <c r="O16809" s="124"/>
    </row>
    <row r="16810">
      <c r="K16810" s="124"/>
      <c r="L16810" s="124"/>
      <c r="M16810" s="124"/>
      <c r="N16810" s="124"/>
      <c r="O16810" s="124"/>
    </row>
    <row r="16811">
      <c r="K16811" s="124"/>
      <c r="L16811" s="124"/>
      <c r="M16811" s="124"/>
      <c r="N16811" s="124"/>
      <c r="O16811" s="124"/>
    </row>
    <row r="16812">
      <c r="K16812" s="124"/>
      <c r="L16812" s="124"/>
      <c r="M16812" s="124"/>
      <c r="N16812" s="124"/>
      <c r="O16812" s="124"/>
    </row>
    <row r="16813">
      <c r="K16813" s="124"/>
      <c r="L16813" s="124"/>
      <c r="M16813" s="124"/>
      <c r="N16813" s="124"/>
      <c r="O16813" s="124"/>
    </row>
    <row r="16814">
      <c r="K16814" s="124"/>
      <c r="L16814" s="124"/>
      <c r="M16814" s="124"/>
      <c r="N16814" s="124"/>
      <c r="O16814" s="124"/>
    </row>
    <row r="16815">
      <c r="K16815" s="124"/>
      <c r="L16815" s="124"/>
      <c r="M16815" s="124"/>
      <c r="N16815" s="124"/>
      <c r="O16815" s="124"/>
    </row>
    <row r="16816">
      <c r="K16816" s="124"/>
      <c r="L16816" s="124"/>
      <c r="M16816" s="124"/>
      <c r="N16816" s="124"/>
      <c r="O16816" s="124"/>
    </row>
    <row r="16817">
      <c r="K16817" s="124"/>
      <c r="L16817" s="124"/>
      <c r="M16817" s="124"/>
      <c r="N16817" s="124"/>
      <c r="O16817" s="124"/>
    </row>
    <row r="16818">
      <c r="K16818" s="124"/>
      <c r="L16818" s="124"/>
      <c r="M16818" s="124"/>
      <c r="N16818" s="124"/>
      <c r="O16818" s="124"/>
    </row>
    <row r="16819">
      <c r="K16819" s="124"/>
      <c r="L16819" s="124"/>
      <c r="M16819" s="124"/>
      <c r="N16819" s="124"/>
      <c r="O16819" s="124"/>
    </row>
    <row r="16820">
      <c r="K16820" s="124"/>
      <c r="L16820" s="124"/>
      <c r="M16820" s="124"/>
      <c r="N16820" s="124"/>
      <c r="O16820" s="124"/>
    </row>
    <row r="16821">
      <c r="K16821" s="124"/>
      <c r="L16821" s="124"/>
      <c r="M16821" s="124"/>
      <c r="N16821" s="124"/>
      <c r="O16821" s="124"/>
    </row>
    <row r="16822">
      <c r="K16822" s="124"/>
      <c r="L16822" s="124"/>
      <c r="M16822" s="124"/>
      <c r="N16822" s="124"/>
      <c r="O16822" s="124"/>
    </row>
    <row r="16823">
      <c r="K16823" s="124"/>
      <c r="L16823" s="124"/>
      <c r="M16823" s="124"/>
      <c r="N16823" s="124"/>
      <c r="O16823" s="124"/>
    </row>
    <row r="16824">
      <c r="K16824" s="124"/>
      <c r="L16824" s="124"/>
      <c r="M16824" s="124"/>
      <c r="N16824" s="124"/>
      <c r="O16824" s="124"/>
    </row>
    <row r="16825">
      <c r="K16825" s="124"/>
      <c r="L16825" s="124"/>
      <c r="M16825" s="124"/>
      <c r="N16825" s="124"/>
      <c r="O16825" s="124"/>
    </row>
    <row r="16826">
      <c r="K16826" s="124"/>
      <c r="L16826" s="124"/>
      <c r="M16826" s="124"/>
      <c r="N16826" s="124"/>
      <c r="O16826" s="124"/>
    </row>
    <row r="16827">
      <c r="K16827" s="124"/>
      <c r="L16827" s="124"/>
      <c r="M16827" s="124"/>
      <c r="N16827" s="124"/>
      <c r="O16827" s="124"/>
    </row>
    <row r="16828">
      <c r="K16828" s="124"/>
      <c r="L16828" s="124"/>
      <c r="M16828" s="124"/>
      <c r="N16828" s="124"/>
      <c r="O16828" s="124"/>
    </row>
    <row r="16829">
      <c r="K16829" s="124"/>
      <c r="L16829" s="124"/>
      <c r="M16829" s="124"/>
      <c r="N16829" s="124"/>
      <c r="O16829" s="124"/>
    </row>
    <row r="16830">
      <c r="K16830" s="124"/>
      <c r="L16830" s="124"/>
      <c r="M16830" s="124"/>
      <c r="N16830" s="124"/>
      <c r="O16830" s="124"/>
    </row>
    <row r="16831">
      <c r="K16831" s="124"/>
      <c r="L16831" s="124"/>
      <c r="M16831" s="124"/>
      <c r="N16831" s="124"/>
      <c r="O16831" s="124"/>
    </row>
    <row r="16832">
      <c r="K16832" s="124"/>
      <c r="L16832" s="124"/>
      <c r="M16832" s="124"/>
      <c r="N16832" s="124"/>
      <c r="O16832" s="124"/>
    </row>
    <row r="16833">
      <c r="K16833" s="124"/>
      <c r="L16833" s="124"/>
      <c r="M16833" s="124"/>
      <c r="N16833" s="124"/>
      <c r="O16833" s="124"/>
    </row>
    <row r="16834">
      <c r="K16834" s="124"/>
      <c r="L16834" s="124"/>
      <c r="M16834" s="124"/>
      <c r="N16834" s="124"/>
      <c r="O16834" s="124"/>
    </row>
    <row r="16835">
      <c r="K16835" s="124"/>
      <c r="L16835" s="124"/>
      <c r="M16835" s="124"/>
      <c r="N16835" s="124"/>
      <c r="O16835" s="124"/>
    </row>
    <row r="16836">
      <c r="K16836" s="124"/>
      <c r="L16836" s="124"/>
      <c r="M16836" s="124"/>
      <c r="N16836" s="124"/>
      <c r="O16836" s="124"/>
    </row>
    <row r="16837">
      <c r="K16837" s="124"/>
      <c r="L16837" s="124"/>
      <c r="M16837" s="124"/>
      <c r="N16837" s="124"/>
      <c r="O16837" s="124"/>
    </row>
    <row r="16838">
      <c r="K16838" s="124"/>
      <c r="L16838" s="124"/>
      <c r="M16838" s="124"/>
      <c r="N16838" s="124"/>
      <c r="O16838" s="124"/>
    </row>
    <row r="16839">
      <c r="K16839" s="124"/>
      <c r="L16839" s="124"/>
      <c r="M16839" s="124"/>
      <c r="N16839" s="124"/>
      <c r="O16839" s="124"/>
    </row>
    <row r="16840">
      <c r="K16840" s="124"/>
      <c r="L16840" s="124"/>
      <c r="M16840" s="124"/>
      <c r="N16840" s="124"/>
      <c r="O16840" s="124"/>
    </row>
    <row r="16841">
      <c r="K16841" s="124"/>
      <c r="L16841" s="124"/>
      <c r="M16841" s="124"/>
      <c r="N16841" s="124"/>
      <c r="O16841" s="124"/>
    </row>
    <row r="16842">
      <c r="K16842" s="124"/>
      <c r="L16842" s="124"/>
      <c r="M16842" s="124"/>
      <c r="N16842" s="124"/>
      <c r="O16842" s="124"/>
    </row>
    <row r="16843">
      <c r="K16843" s="124"/>
      <c r="L16843" s="124"/>
      <c r="M16843" s="124"/>
      <c r="N16843" s="124"/>
      <c r="O16843" s="124"/>
    </row>
    <row r="16844">
      <c r="K16844" s="124"/>
      <c r="L16844" s="124"/>
      <c r="M16844" s="124"/>
      <c r="N16844" s="124"/>
      <c r="O16844" s="124"/>
    </row>
    <row r="16845">
      <c r="K16845" s="124"/>
      <c r="L16845" s="124"/>
      <c r="M16845" s="124"/>
      <c r="N16845" s="124"/>
      <c r="O16845" s="124"/>
    </row>
    <row r="16846">
      <c r="K16846" s="124"/>
      <c r="L16846" s="124"/>
      <c r="M16846" s="124"/>
      <c r="N16846" s="124"/>
      <c r="O16846" s="124"/>
    </row>
    <row r="16847">
      <c r="K16847" s="124"/>
      <c r="L16847" s="124"/>
      <c r="M16847" s="124"/>
      <c r="N16847" s="124"/>
      <c r="O16847" s="124"/>
    </row>
    <row r="16848">
      <c r="K16848" s="124"/>
      <c r="L16848" s="124"/>
      <c r="M16848" s="124"/>
      <c r="N16848" s="124"/>
      <c r="O16848" s="124"/>
    </row>
    <row r="16849">
      <c r="K16849" s="124"/>
      <c r="L16849" s="124"/>
      <c r="M16849" s="124"/>
      <c r="N16849" s="124"/>
      <c r="O16849" s="124"/>
    </row>
    <row r="16850">
      <c r="K16850" s="124"/>
      <c r="L16850" s="124"/>
      <c r="M16850" s="124"/>
      <c r="N16850" s="124"/>
      <c r="O16850" s="124"/>
    </row>
    <row r="16851">
      <c r="K16851" s="124"/>
      <c r="L16851" s="124"/>
      <c r="M16851" s="124"/>
      <c r="N16851" s="124"/>
      <c r="O16851" s="124"/>
    </row>
    <row r="16852">
      <c r="K16852" s="124"/>
      <c r="L16852" s="124"/>
      <c r="M16852" s="124"/>
      <c r="N16852" s="124"/>
      <c r="O16852" s="124"/>
    </row>
    <row r="16853">
      <c r="K16853" s="124"/>
      <c r="L16853" s="124"/>
      <c r="M16853" s="124"/>
      <c r="N16853" s="124"/>
      <c r="O16853" s="124"/>
    </row>
    <row r="16854">
      <c r="K16854" s="124"/>
      <c r="L16854" s="124"/>
      <c r="M16854" s="124"/>
      <c r="N16854" s="124"/>
      <c r="O16854" s="124"/>
    </row>
    <row r="16855">
      <c r="K16855" s="124"/>
      <c r="L16855" s="124"/>
      <c r="M16855" s="124"/>
      <c r="N16855" s="124"/>
      <c r="O16855" s="124"/>
    </row>
    <row r="16856">
      <c r="K16856" s="124"/>
      <c r="L16856" s="124"/>
      <c r="M16856" s="124"/>
      <c r="N16856" s="124"/>
      <c r="O16856" s="124"/>
    </row>
    <row r="16857">
      <c r="K16857" s="124"/>
      <c r="L16857" s="124"/>
      <c r="M16857" s="124"/>
      <c r="N16857" s="124"/>
      <c r="O16857" s="124"/>
    </row>
    <row r="16858">
      <c r="K16858" s="124"/>
      <c r="L16858" s="124"/>
      <c r="M16858" s="124"/>
      <c r="N16858" s="124"/>
      <c r="O16858" s="124"/>
    </row>
    <row r="16859">
      <c r="K16859" s="124"/>
      <c r="L16859" s="124"/>
      <c r="M16859" s="124"/>
      <c r="N16859" s="124"/>
      <c r="O16859" s="124"/>
    </row>
    <row r="16860">
      <c r="K16860" s="124"/>
      <c r="L16860" s="124"/>
      <c r="M16860" s="124"/>
      <c r="N16860" s="124"/>
      <c r="O16860" s="124"/>
    </row>
    <row r="16861">
      <c r="K16861" s="124"/>
      <c r="L16861" s="124"/>
      <c r="M16861" s="124"/>
      <c r="N16861" s="124"/>
      <c r="O16861" s="124"/>
    </row>
    <row r="16862">
      <c r="K16862" s="124"/>
      <c r="L16862" s="124"/>
      <c r="M16862" s="124"/>
      <c r="N16862" s="124"/>
      <c r="O16862" s="124"/>
    </row>
    <row r="16863">
      <c r="K16863" s="124"/>
      <c r="L16863" s="124"/>
      <c r="M16863" s="124"/>
      <c r="N16863" s="124"/>
      <c r="O16863" s="124"/>
    </row>
    <row r="16864">
      <c r="K16864" s="124"/>
      <c r="L16864" s="124"/>
      <c r="M16864" s="124"/>
      <c r="N16864" s="124"/>
      <c r="O16864" s="124"/>
    </row>
    <row r="16865">
      <c r="K16865" s="124"/>
      <c r="L16865" s="124"/>
      <c r="M16865" s="124"/>
      <c r="N16865" s="124"/>
      <c r="O16865" s="124"/>
    </row>
    <row r="16866">
      <c r="K16866" s="124"/>
      <c r="L16866" s="124"/>
      <c r="M16866" s="124"/>
      <c r="N16866" s="124"/>
      <c r="O16866" s="124"/>
    </row>
    <row r="16867">
      <c r="K16867" s="124"/>
      <c r="L16867" s="124"/>
      <c r="M16867" s="124"/>
      <c r="N16867" s="124"/>
      <c r="O16867" s="124"/>
    </row>
    <row r="16868">
      <c r="K16868" s="124"/>
      <c r="L16868" s="124"/>
      <c r="M16868" s="124"/>
      <c r="N16868" s="124"/>
      <c r="O16868" s="124"/>
    </row>
    <row r="16869">
      <c r="K16869" s="124"/>
      <c r="L16869" s="124"/>
      <c r="M16869" s="124"/>
      <c r="N16869" s="124"/>
      <c r="O16869" s="124"/>
    </row>
    <row r="16870">
      <c r="K16870" s="124"/>
      <c r="L16870" s="124"/>
      <c r="M16870" s="124"/>
      <c r="N16870" s="124"/>
      <c r="O16870" s="124"/>
    </row>
    <row r="16871">
      <c r="K16871" s="124"/>
      <c r="L16871" s="124"/>
      <c r="M16871" s="124"/>
      <c r="N16871" s="124"/>
      <c r="O16871" s="124"/>
    </row>
    <row r="16872">
      <c r="K16872" s="124"/>
      <c r="L16872" s="124"/>
      <c r="M16872" s="124"/>
      <c r="N16872" s="124"/>
      <c r="O16872" s="124"/>
    </row>
    <row r="16873">
      <c r="K16873" s="124"/>
      <c r="L16873" s="124"/>
      <c r="M16873" s="124"/>
      <c r="N16873" s="124"/>
      <c r="O16873" s="124"/>
    </row>
    <row r="16874">
      <c r="K16874" s="124"/>
      <c r="L16874" s="124"/>
      <c r="M16874" s="124"/>
      <c r="N16874" s="124"/>
      <c r="O16874" s="124"/>
    </row>
    <row r="16875">
      <c r="K16875" s="124"/>
      <c r="L16875" s="124"/>
      <c r="M16875" s="124"/>
      <c r="N16875" s="124"/>
      <c r="O16875" s="124"/>
    </row>
    <row r="16876">
      <c r="K16876" s="124"/>
      <c r="L16876" s="124"/>
      <c r="M16876" s="124"/>
      <c r="N16876" s="124"/>
      <c r="O16876" s="124"/>
    </row>
    <row r="16877">
      <c r="K16877" s="124"/>
      <c r="L16877" s="124"/>
      <c r="M16877" s="124"/>
      <c r="N16877" s="124"/>
      <c r="O16877" s="124"/>
    </row>
    <row r="16878">
      <c r="K16878" s="124"/>
      <c r="L16878" s="124"/>
      <c r="M16878" s="124"/>
      <c r="N16878" s="124"/>
      <c r="O16878" s="124"/>
    </row>
    <row r="16879">
      <c r="K16879" s="124"/>
      <c r="L16879" s="124"/>
      <c r="M16879" s="124"/>
      <c r="N16879" s="124"/>
      <c r="O16879" s="124"/>
    </row>
    <row r="16880">
      <c r="K16880" s="124"/>
      <c r="L16880" s="124"/>
      <c r="M16880" s="124"/>
      <c r="N16880" s="124"/>
      <c r="O16880" s="124"/>
    </row>
    <row r="16881">
      <c r="K16881" s="124"/>
      <c r="L16881" s="124"/>
      <c r="M16881" s="124"/>
      <c r="N16881" s="124"/>
      <c r="O16881" s="124"/>
    </row>
    <row r="16882">
      <c r="K16882" s="124"/>
      <c r="L16882" s="124"/>
      <c r="M16882" s="124"/>
      <c r="N16882" s="124"/>
      <c r="O16882" s="124"/>
    </row>
    <row r="16883">
      <c r="K16883" s="124"/>
      <c r="L16883" s="124"/>
      <c r="M16883" s="124"/>
      <c r="N16883" s="124"/>
      <c r="O16883" s="124"/>
    </row>
    <row r="16884">
      <c r="K16884" s="124"/>
      <c r="L16884" s="124"/>
      <c r="M16884" s="124"/>
      <c r="N16884" s="124"/>
      <c r="O16884" s="124"/>
    </row>
    <row r="16885">
      <c r="K16885" s="124"/>
      <c r="L16885" s="124"/>
      <c r="M16885" s="124"/>
      <c r="N16885" s="124"/>
      <c r="O16885" s="124"/>
    </row>
    <row r="16886">
      <c r="K16886" s="124"/>
      <c r="L16886" s="124"/>
      <c r="M16886" s="124"/>
      <c r="N16886" s="124"/>
      <c r="O16886" s="124"/>
    </row>
    <row r="16887">
      <c r="K16887" s="124"/>
      <c r="L16887" s="124"/>
      <c r="M16887" s="124"/>
      <c r="N16887" s="124"/>
      <c r="O16887" s="124"/>
    </row>
    <row r="16888">
      <c r="K16888" s="124"/>
      <c r="L16888" s="124"/>
      <c r="M16888" s="124"/>
      <c r="N16888" s="124"/>
      <c r="O16888" s="124"/>
    </row>
    <row r="16889">
      <c r="K16889" s="124"/>
      <c r="L16889" s="124"/>
      <c r="M16889" s="124"/>
      <c r="N16889" s="124"/>
      <c r="O16889" s="124"/>
    </row>
    <row r="16890">
      <c r="K16890" s="124"/>
      <c r="L16890" s="124"/>
      <c r="M16890" s="124"/>
      <c r="N16890" s="124"/>
      <c r="O16890" s="124"/>
    </row>
    <row r="16891">
      <c r="K16891" s="124"/>
      <c r="L16891" s="124"/>
      <c r="M16891" s="124"/>
      <c r="N16891" s="124"/>
      <c r="O16891" s="124"/>
    </row>
    <row r="16892">
      <c r="K16892" s="124"/>
      <c r="L16892" s="124"/>
      <c r="M16892" s="124"/>
      <c r="N16892" s="124"/>
      <c r="O16892" s="124"/>
    </row>
    <row r="16893">
      <c r="K16893" s="124"/>
      <c r="L16893" s="124"/>
      <c r="M16893" s="124"/>
      <c r="N16893" s="124"/>
      <c r="O16893" s="124"/>
    </row>
    <row r="16894">
      <c r="K16894" s="124"/>
      <c r="L16894" s="124"/>
      <c r="M16894" s="124"/>
      <c r="N16894" s="124"/>
      <c r="O16894" s="124"/>
    </row>
    <row r="16895">
      <c r="K16895" s="124"/>
      <c r="L16895" s="124"/>
      <c r="M16895" s="124"/>
      <c r="N16895" s="124"/>
      <c r="O16895" s="124"/>
    </row>
    <row r="16896">
      <c r="K16896" s="124"/>
      <c r="L16896" s="124"/>
      <c r="M16896" s="124"/>
      <c r="N16896" s="124"/>
      <c r="O16896" s="124"/>
    </row>
    <row r="16897">
      <c r="K16897" s="124"/>
      <c r="L16897" s="124"/>
      <c r="M16897" s="124"/>
      <c r="N16897" s="124"/>
      <c r="O16897" s="124"/>
    </row>
    <row r="16898">
      <c r="K16898" s="124"/>
      <c r="L16898" s="124"/>
      <c r="M16898" s="124"/>
      <c r="N16898" s="124"/>
      <c r="O16898" s="124"/>
    </row>
    <row r="16899">
      <c r="K16899" s="124"/>
      <c r="L16899" s="124"/>
      <c r="M16899" s="124"/>
      <c r="N16899" s="124"/>
      <c r="O16899" s="124"/>
    </row>
    <row r="16900">
      <c r="K16900" s="124"/>
      <c r="L16900" s="124"/>
      <c r="M16900" s="124"/>
      <c r="N16900" s="124"/>
      <c r="O16900" s="124"/>
    </row>
    <row r="16901">
      <c r="K16901" s="124"/>
      <c r="L16901" s="124"/>
      <c r="M16901" s="124"/>
      <c r="N16901" s="124"/>
      <c r="O16901" s="124"/>
    </row>
    <row r="16902">
      <c r="K16902" s="124"/>
      <c r="L16902" s="124"/>
      <c r="M16902" s="124"/>
      <c r="N16902" s="124"/>
      <c r="O16902" s="124"/>
    </row>
    <row r="16903">
      <c r="K16903" s="124"/>
      <c r="L16903" s="124"/>
      <c r="M16903" s="124"/>
      <c r="N16903" s="124"/>
      <c r="O16903" s="124"/>
    </row>
    <row r="16904">
      <c r="K16904" s="124"/>
      <c r="L16904" s="124"/>
      <c r="M16904" s="124"/>
      <c r="N16904" s="124"/>
      <c r="O16904" s="124"/>
    </row>
    <row r="16905">
      <c r="K16905" s="124"/>
      <c r="L16905" s="124"/>
      <c r="M16905" s="124"/>
      <c r="N16905" s="124"/>
      <c r="O16905" s="124"/>
    </row>
    <row r="16906">
      <c r="K16906" s="124"/>
      <c r="L16906" s="124"/>
      <c r="M16906" s="124"/>
      <c r="N16906" s="124"/>
      <c r="O16906" s="124"/>
    </row>
    <row r="16907">
      <c r="K16907" s="124"/>
      <c r="L16907" s="124"/>
      <c r="M16907" s="124"/>
      <c r="N16907" s="124"/>
      <c r="O16907" s="124"/>
    </row>
    <row r="16908">
      <c r="K16908" s="124"/>
      <c r="L16908" s="124"/>
      <c r="M16908" s="124"/>
      <c r="N16908" s="124"/>
      <c r="O16908" s="124"/>
    </row>
    <row r="16909">
      <c r="K16909" s="124"/>
      <c r="L16909" s="124"/>
      <c r="M16909" s="124"/>
      <c r="N16909" s="124"/>
      <c r="O16909" s="124"/>
    </row>
    <row r="16910">
      <c r="K16910" s="124"/>
      <c r="L16910" s="124"/>
      <c r="M16910" s="124"/>
      <c r="N16910" s="124"/>
      <c r="O16910" s="124"/>
    </row>
    <row r="16911">
      <c r="K16911" s="124"/>
      <c r="L16911" s="124"/>
      <c r="M16911" s="124"/>
      <c r="N16911" s="124"/>
      <c r="O16911" s="124"/>
    </row>
    <row r="16912">
      <c r="K16912" s="124"/>
      <c r="L16912" s="124"/>
      <c r="M16912" s="124"/>
      <c r="N16912" s="124"/>
      <c r="O16912" s="124"/>
    </row>
    <row r="16913">
      <c r="K16913" s="124"/>
      <c r="L16913" s="124"/>
      <c r="M16913" s="124"/>
      <c r="N16913" s="124"/>
      <c r="O16913" s="124"/>
    </row>
    <row r="16914">
      <c r="K16914" s="124"/>
      <c r="L16914" s="124"/>
      <c r="M16914" s="124"/>
      <c r="N16914" s="124"/>
      <c r="O16914" s="124"/>
    </row>
    <row r="16915">
      <c r="K16915" s="124"/>
      <c r="L16915" s="124"/>
      <c r="M16915" s="124"/>
      <c r="N16915" s="124"/>
      <c r="O16915" s="124"/>
    </row>
    <row r="16916">
      <c r="K16916" s="124"/>
      <c r="L16916" s="124"/>
      <c r="M16916" s="124"/>
      <c r="N16916" s="124"/>
      <c r="O16916" s="124"/>
    </row>
    <row r="16917">
      <c r="K16917" s="124"/>
      <c r="L16917" s="124"/>
      <c r="M16917" s="124"/>
      <c r="N16917" s="124"/>
      <c r="O16917" s="124"/>
    </row>
    <row r="16918">
      <c r="K16918" s="124"/>
      <c r="L16918" s="124"/>
      <c r="M16918" s="124"/>
      <c r="N16918" s="124"/>
      <c r="O16918" s="124"/>
    </row>
    <row r="16919">
      <c r="K16919" s="124"/>
      <c r="L16919" s="124"/>
      <c r="M16919" s="124"/>
      <c r="N16919" s="124"/>
      <c r="O16919" s="124"/>
    </row>
    <row r="16920">
      <c r="K16920" s="124"/>
      <c r="L16920" s="124"/>
      <c r="M16920" s="124"/>
      <c r="N16920" s="124"/>
      <c r="O16920" s="124"/>
    </row>
    <row r="16921">
      <c r="K16921" s="124"/>
      <c r="L16921" s="124"/>
      <c r="M16921" s="124"/>
      <c r="N16921" s="124"/>
      <c r="O16921" s="124"/>
    </row>
    <row r="16922">
      <c r="K16922" s="124"/>
      <c r="L16922" s="124"/>
      <c r="M16922" s="124"/>
      <c r="N16922" s="124"/>
      <c r="O16922" s="124"/>
    </row>
    <row r="16923">
      <c r="K16923" s="124"/>
      <c r="L16923" s="124"/>
      <c r="M16923" s="124"/>
      <c r="N16923" s="124"/>
      <c r="O16923" s="124"/>
    </row>
    <row r="16924">
      <c r="K16924" s="124"/>
      <c r="L16924" s="124"/>
      <c r="M16924" s="124"/>
      <c r="N16924" s="124"/>
      <c r="O16924" s="124"/>
    </row>
    <row r="16925">
      <c r="K16925" s="124"/>
      <c r="L16925" s="124"/>
      <c r="M16925" s="124"/>
      <c r="N16925" s="124"/>
      <c r="O16925" s="124"/>
    </row>
    <row r="16926">
      <c r="K16926" s="124"/>
      <c r="L16926" s="124"/>
      <c r="M16926" s="124"/>
      <c r="N16926" s="124"/>
      <c r="O16926" s="124"/>
    </row>
    <row r="16927">
      <c r="K16927" s="124"/>
      <c r="L16927" s="124"/>
      <c r="M16927" s="124"/>
      <c r="N16927" s="124"/>
      <c r="O16927" s="124"/>
    </row>
    <row r="16928">
      <c r="K16928" s="124"/>
      <c r="L16928" s="124"/>
      <c r="M16928" s="124"/>
      <c r="N16928" s="124"/>
      <c r="O16928" s="124"/>
    </row>
    <row r="16929">
      <c r="K16929" s="124"/>
      <c r="L16929" s="124"/>
      <c r="M16929" s="124"/>
      <c r="N16929" s="124"/>
      <c r="O16929" s="124"/>
    </row>
    <row r="16930">
      <c r="K16930" s="124"/>
      <c r="L16930" s="124"/>
      <c r="M16930" s="124"/>
      <c r="N16930" s="124"/>
      <c r="O16930" s="124"/>
    </row>
    <row r="16931">
      <c r="K16931" s="124"/>
      <c r="L16931" s="124"/>
      <c r="M16931" s="124"/>
      <c r="N16931" s="124"/>
      <c r="O16931" s="124"/>
    </row>
    <row r="16932">
      <c r="K16932" s="124"/>
      <c r="L16932" s="124"/>
      <c r="M16932" s="124"/>
      <c r="N16932" s="124"/>
      <c r="O16932" s="124"/>
    </row>
    <row r="16933">
      <c r="K16933" s="124"/>
      <c r="L16933" s="124"/>
      <c r="M16933" s="124"/>
      <c r="N16933" s="124"/>
      <c r="O16933" s="124"/>
    </row>
    <row r="16934">
      <c r="K16934" s="124"/>
      <c r="L16934" s="124"/>
      <c r="M16934" s="124"/>
      <c r="N16934" s="124"/>
      <c r="O16934" s="124"/>
    </row>
    <row r="16935">
      <c r="K16935" s="124"/>
      <c r="L16935" s="124"/>
      <c r="M16935" s="124"/>
      <c r="N16935" s="124"/>
      <c r="O16935" s="124"/>
    </row>
    <row r="16936">
      <c r="K16936" s="124"/>
      <c r="L16936" s="124"/>
      <c r="M16936" s="124"/>
      <c r="N16936" s="124"/>
      <c r="O16936" s="124"/>
    </row>
    <row r="16937">
      <c r="K16937" s="124"/>
      <c r="L16937" s="124"/>
      <c r="M16937" s="124"/>
      <c r="N16937" s="124"/>
      <c r="O16937" s="124"/>
    </row>
    <row r="16938">
      <c r="K16938" s="124"/>
      <c r="L16938" s="124"/>
      <c r="M16938" s="124"/>
      <c r="N16938" s="124"/>
      <c r="O16938" s="124"/>
    </row>
    <row r="16939">
      <c r="K16939" s="124"/>
      <c r="L16939" s="124"/>
      <c r="M16939" s="124"/>
      <c r="N16939" s="124"/>
      <c r="O16939" s="124"/>
    </row>
    <row r="16940">
      <c r="K16940" s="124"/>
      <c r="L16940" s="124"/>
      <c r="M16940" s="124"/>
      <c r="N16940" s="124"/>
      <c r="O16940" s="124"/>
    </row>
    <row r="16941">
      <c r="K16941" s="124"/>
      <c r="L16941" s="124"/>
      <c r="M16941" s="124"/>
      <c r="N16941" s="124"/>
      <c r="O16941" s="124"/>
    </row>
    <row r="16942">
      <c r="K16942" s="124"/>
      <c r="L16942" s="124"/>
      <c r="M16942" s="124"/>
      <c r="N16942" s="124"/>
      <c r="O16942" s="124"/>
    </row>
    <row r="16943">
      <c r="K16943" s="124"/>
      <c r="L16943" s="124"/>
      <c r="M16943" s="124"/>
      <c r="N16943" s="124"/>
      <c r="O16943" s="124"/>
    </row>
    <row r="16944">
      <c r="K16944" s="124"/>
      <c r="L16944" s="124"/>
      <c r="M16944" s="124"/>
      <c r="N16944" s="124"/>
      <c r="O16944" s="124"/>
    </row>
    <row r="16945">
      <c r="K16945" s="124"/>
      <c r="L16945" s="124"/>
      <c r="M16945" s="124"/>
      <c r="N16945" s="124"/>
      <c r="O16945" s="124"/>
    </row>
    <row r="16946">
      <c r="K16946" s="124"/>
      <c r="L16946" s="124"/>
      <c r="M16946" s="124"/>
      <c r="N16946" s="124"/>
      <c r="O16946" s="124"/>
    </row>
    <row r="16947">
      <c r="K16947" s="124"/>
      <c r="L16947" s="124"/>
      <c r="M16947" s="124"/>
      <c r="N16947" s="124"/>
      <c r="O16947" s="124"/>
    </row>
    <row r="16948">
      <c r="K16948" s="124"/>
      <c r="L16948" s="124"/>
      <c r="M16948" s="124"/>
      <c r="N16948" s="124"/>
      <c r="O16948" s="124"/>
    </row>
    <row r="16949">
      <c r="K16949" s="124"/>
      <c r="L16949" s="124"/>
      <c r="M16949" s="124"/>
      <c r="N16949" s="124"/>
      <c r="O16949" s="124"/>
    </row>
    <row r="16950">
      <c r="K16950" s="124"/>
      <c r="L16950" s="124"/>
      <c r="M16950" s="124"/>
      <c r="N16950" s="124"/>
      <c r="O16950" s="124"/>
    </row>
    <row r="16951">
      <c r="K16951" s="124"/>
      <c r="L16951" s="124"/>
      <c r="M16951" s="124"/>
      <c r="N16951" s="124"/>
      <c r="O16951" s="124"/>
    </row>
    <row r="16952">
      <c r="K16952" s="124"/>
      <c r="L16952" s="124"/>
      <c r="M16952" s="124"/>
      <c r="N16952" s="124"/>
      <c r="O16952" s="124"/>
    </row>
    <row r="16953">
      <c r="K16953" s="124"/>
      <c r="L16953" s="124"/>
      <c r="M16953" s="124"/>
      <c r="N16953" s="124"/>
      <c r="O16953" s="124"/>
    </row>
    <row r="16954">
      <c r="K16954" s="124"/>
      <c r="L16954" s="124"/>
      <c r="M16954" s="124"/>
      <c r="N16954" s="124"/>
      <c r="O16954" s="124"/>
    </row>
    <row r="16955">
      <c r="K16955" s="124"/>
      <c r="L16955" s="124"/>
      <c r="M16955" s="124"/>
      <c r="N16955" s="124"/>
      <c r="O16955" s="124"/>
    </row>
    <row r="16956">
      <c r="K16956" s="124"/>
      <c r="L16956" s="124"/>
      <c r="M16956" s="124"/>
      <c r="N16956" s="124"/>
      <c r="O16956" s="124"/>
    </row>
    <row r="16957">
      <c r="K16957" s="124"/>
      <c r="L16957" s="124"/>
      <c r="M16957" s="124"/>
      <c r="N16957" s="124"/>
      <c r="O16957" s="124"/>
    </row>
    <row r="16958">
      <c r="K16958" s="124"/>
      <c r="L16958" s="124"/>
      <c r="M16958" s="124"/>
      <c r="N16958" s="124"/>
      <c r="O16958" s="124"/>
    </row>
    <row r="16959">
      <c r="K16959" s="124"/>
      <c r="L16959" s="124"/>
      <c r="M16959" s="124"/>
      <c r="N16959" s="124"/>
      <c r="O16959" s="124"/>
    </row>
    <row r="16960">
      <c r="K16960" s="124"/>
      <c r="L16960" s="124"/>
      <c r="M16960" s="124"/>
      <c r="N16960" s="124"/>
      <c r="O16960" s="124"/>
    </row>
    <row r="16961">
      <c r="K16961" s="124"/>
      <c r="L16961" s="124"/>
      <c r="M16961" s="124"/>
      <c r="N16961" s="124"/>
      <c r="O16961" s="124"/>
    </row>
    <row r="16962">
      <c r="K16962" s="124"/>
      <c r="L16962" s="124"/>
      <c r="M16962" s="124"/>
      <c r="N16962" s="124"/>
      <c r="O16962" s="124"/>
    </row>
    <row r="16963">
      <c r="K16963" s="124"/>
      <c r="L16963" s="124"/>
      <c r="M16963" s="124"/>
      <c r="N16963" s="124"/>
      <c r="O16963" s="124"/>
    </row>
    <row r="16964">
      <c r="K16964" s="124"/>
      <c r="L16964" s="124"/>
      <c r="M16964" s="124"/>
      <c r="N16964" s="124"/>
      <c r="O16964" s="124"/>
    </row>
    <row r="16965">
      <c r="K16965" s="124"/>
      <c r="L16965" s="124"/>
      <c r="M16965" s="124"/>
      <c r="N16965" s="124"/>
      <c r="O16965" s="124"/>
    </row>
    <row r="16966">
      <c r="K16966" s="124"/>
      <c r="L16966" s="124"/>
      <c r="M16966" s="124"/>
      <c r="N16966" s="124"/>
      <c r="O16966" s="124"/>
    </row>
    <row r="16967">
      <c r="K16967" s="124"/>
      <c r="L16967" s="124"/>
      <c r="M16967" s="124"/>
      <c r="N16967" s="124"/>
      <c r="O16967" s="124"/>
    </row>
    <row r="16968">
      <c r="K16968" s="124"/>
      <c r="L16968" s="124"/>
      <c r="M16968" s="124"/>
      <c r="N16968" s="124"/>
      <c r="O16968" s="124"/>
    </row>
    <row r="16969">
      <c r="K16969" s="124"/>
      <c r="L16969" s="124"/>
      <c r="M16969" s="124"/>
      <c r="N16969" s="124"/>
      <c r="O16969" s="124"/>
    </row>
    <row r="16970">
      <c r="K16970" s="124"/>
      <c r="L16970" s="124"/>
      <c r="M16970" s="124"/>
      <c r="N16970" s="124"/>
      <c r="O16970" s="124"/>
    </row>
    <row r="16971">
      <c r="K16971" s="124"/>
      <c r="L16971" s="124"/>
      <c r="M16971" s="124"/>
      <c r="N16971" s="124"/>
      <c r="O16971" s="124"/>
    </row>
    <row r="16972">
      <c r="K16972" s="124"/>
      <c r="L16972" s="124"/>
      <c r="M16972" s="124"/>
      <c r="N16972" s="124"/>
      <c r="O16972" s="124"/>
    </row>
    <row r="16973">
      <c r="K16973" s="124"/>
      <c r="L16973" s="124"/>
      <c r="M16973" s="124"/>
      <c r="N16973" s="124"/>
      <c r="O16973" s="124"/>
    </row>
    <row r="16974">
      <c r="K16974" s="124"/>
      <c r="L16974" s="124"/>
      <c r="M16974" s="124"/>
      <c r="N16974" s="124"/>
      <c r="O16974" s="124"/>
    </row>
    <row r="16975">
      <c r="K16975" s="124"/>
      <c r="L16975" s="124"/>
      <c r="M16975" s="124"/>
      <c r="N16975" s="124"/>
      <c r="O16975" s="124"/>
    </row>
    <row r="16976">
      <c r="K16976" s="124"/>
      <c r="L16976" s="124"/>
      <c r="M16976" s="124"/>
      <c r="N16976" s="124"/>
      <c r="O16976" s="124"/>
    </row>
    <row r="16977">
      <c r="K16977" s="124"/>
      <c r="L16977" s="124"/>
      <c r="M16977" s="124"/>
      <c r="N16977" s="124"/>
      <c r="O16977" s="124"/>
    </row>
    <row r="16978">
      <c r="K16978" s="124"/>
      <c r="L16978" s="124"/>
      <c r="M16978" s="124"/>
      <c r="N16978" s="124"/>
      <c r="O16978" s="124"/>
    </row>
    <row r="16979">
      <c r="K16979" s="124"/>
      <c r="L16979" s="124"/>
      <c r="M16979" s="124"/>
      <c r="N16979" s="124"/>
      <c r="O16979" s="124"/>
    </row>
    <row r="16980">
      <c r="K16980" s="124"/>
      <c r="L16980" s="124"/>
      <c r="M16980" s="124"/>
      <c r="N16980" s="124"/>
      <c r="O16980" s="124"/>
    </row>
    <row r="16981">
      <c r="K16981" s="124"/>
      <c r="L16981" s="124"/>
      <c r="M16981" s="124"/>
      <c r="N16981" s="124"/>
      <c r="O16981" s="124"/>
    </row>
    <row r="16982">
      <c r="K16982" s="124"/>
      <c r="L16982" s="124"/>
      <c r="M16982" s="124"/>
      <c r="N16982" s="124"/>
      <c r="O16982" s="124"/>
    </row>
    <row r="16983">
      <c r="K16983" s="124"/>
      <c r="L16983" s="124"/>
      <c r="M16983" s="124"/>
      <c r="N16983" s="124"/>
      <c r="O16983" s="124"/>
    </row>
    <row r="16984">
      <c r="K16984" s="124"/>
      <c r="L16984" s="124"/>
      <c r="M16984" s="124"/>
      <c r="N16984" s="124"/>
      <c r="O16984" s="124"/>
    </row>
    <row r="16985">
      <c r="K16985" s="124"/>
      <c r="L16985" s="124"/>
      <c r="M16985" s="124"/>
      <c r="N16985" s="124"/>
      <c r="O16985" s="124"/>
    </row>
    <row r="16986">
      <c r="K16986" s="124"/>
      <c r="L16986" s="124"/>
      <c r="M16986" s="124"/>
      <c r="N16986" s="124"/>
      <c r="O16986" s="124"/>
    </row>
    <row r="16987">
      <c r="K16987" s="124"/>
      <c r="L16987" s="124"/>
      <c r="M16987" s="124"/>
      <c r="N16987" s="124"/>
      <c r="O16987" s="124"/>
    </row>
    <row r="16988">
      <c r="K16988" s="124"/>
      <c r="L16988" s="124"/>
      <c r="M16988" s="124"/>
      <c r="N16988" s="124"/>
      <c r="O16988" s="124"/>
    </row>
    <row r="16989">
      <c r="K16989" s="124"/>
      <c r="L16989" s="124"/>
      <c r="M16989" s="124"/>
      <c r="N16989" s="124"/>
      <c r="O16989" s="124"/>
    </row>
    <row r="16990">
      <c r="K16990" s="124"/>
      <c r="L16990" s="124"/>
      <c r="M16990" s="124"/>
      <c r="N16990" s="124"/>
      <c r="O16990" s="124"/>
    </row>
    <row r="16991">
      <c r="K16991" s="124"/>
      <c r="L16991" s="124"/>
      <c r="M16991" s="124"/>
      <c r="N16991" s="124"/>
      <c r="O16991" s="124"/>
    </row>
    <row r="16992">
      <c r="K16992" s="124"/>
      <c r="L16992" s="124"/>
      <c r="M16992" s="124"/>
      <c r="N16992" s="124"/>
      <c r="O16992" s="124"/>
    </row>
    <row r="16993">
      <c r="K16993" s="124"/>
      <c r="L16993" s="124"/>
      <c r="M16993" s="124"/>
      <c r="N16993" s="124"/>
      <c r="O16993" s="124"/>
    </row>
    <row r="16994">
      <c r="K16994" s="124"/>
      <c r="L16994" s="124"/>
      <c r="M16994" s="124"/>
      <c r="N16994" s="124"/>
      <c r="O16994" s="124"/>
    </row>
    <row r="16995">
      <c r="K16995" s="124"/>
      <c r="L16995" s="124"/>
      <c r="M16995" s="124"/>
      <c r="N16995" s="124"/>
      <c r="O16995" s="124"/>
    </row>
    <row r="16996">
      <c r="K16996" s="124"/>
      <c r="L16996" s="124"/>
      <c r="M16996" s="124"/>
      <c r="N16996" s="124"/>
      <c r="O16996" s="124"/>
    </row>
    <row r="16997">
      <c r="K16997" s="124"/>
      <c r="L16997" s="124"/>
      <c r="M16997" s="124"/>
      <c r="N16997" s="124"/>
      <c r="O16997" s="124"/>
    </row>
    <row r="16998">
      <c r="K16998" s="124"/>
      <c r="L16998" s="124"/>
      <c r="M16998" s="124"/>
      <c r="N16998" s="124"/>
      <c r="O16998" s="124"/>
    </row>
    <row r="16999">
      <c r="K16999" s="124"/>
      <c r="L16999" s="124"/>
      <c r="M16999" s="124"/>
      <c r="N16999" s="124"/>
      <c r="O16999" s="124"/>
    </row>
    <row r="17000">
      <c r="K17000" s="124"/>
      <c r="L17000" s="124"/>
      <c r="M17000" s="124"/>
      <c r="N17000" s="124"/>
      <c r="O17000" s="124"/>
    </row>
    <row r="17001">
      <c r="K17001" s="124"/>
      <c r="L17001" s="124"/>
      <c r="M17001" s="124"/>
      <c r="N17001" s="124"/>
      <c r="O17001" s="124"/>
    </row>
    <row r="17002">
      <c r="K17002" s="124"/>
      <c r="L17002" s="124"/>
      <c r="M17002" s="124"/>
      <c r="N17002" s="124"/>
      <c r="O17002" s="124"/>
    </row>
    <row r="17003">
      <c r="K17003" s="124"/>
      <c r="L17003" s="124"/>
      <c r="M17003" s="124"/>
      <c r="N17003" s="124"/>
      <c r="O17003" s="124"/>
    </row>
    <row r="17004">
      <c r="K17004" s="124"/>
      <c r="L17004" s="124"/>
      <c r="M17004" s="124"/>
      <c r="N17004" s="124"/>
      <c r="O17004" s="124"/>
    </row>
    <row r="17005">
      <c r="K17005" s="124"/>
      <c r="L17005" s="124"/>
      <c r="M17005" s="124"/>
      <c r="N17005" s="124"/>
      <c r="O17005" s="124"/>
    </row>
    <row r="17006">
      <c r="K17006" s="124"/>
      <c r="L17006" s="124"/>
      <c r="M17006" s="124"/>
      <c r="N17006" s="124"/>
      <c r="O17006" s="124"/>
    </row>
    <row r="17007">
      <c r="K17007" s="124"/>
      <c r="L17007" s="124"/>
      <c r="M17007" s="124"/>
      <c r="N17007" s="124"/>
      <c r="O17007" s="124"/>
    </row>
    <row r="17008">
      <c r="K17008" s="124"/>
      <c r="L17008" s="124"/>
      <c r="M17008" s="124"/>
      <c r="N17008" s="124"/>
      <c r="O17008" s="124"/>
    </row>
    <row r="17009">
      <c r="K17009" s="124"/>
      <c r="L17009" s="124"/>
      <c r="M17009" s="124"/>
      <c r="N17009" s="124"/>
      <c r="O17009" s="124"/>
    </row>
    <row r="17010">
      <c r="K17010" s="124"/>
      <c r="L17010" s="124"/>
      <c r="M17010" s="124"/>
      <c r="N17010" s="124"/>
      <c r="O17010" s="124"/>
    </row>
    <row r="17011">
      <c r="K17011" s="124"/>
      <c r="L17011" s="124"/>
      <c r="M17011" s="124"/>
      <c r="N17011" s="124"/>
      <c r="O17011" s="124"/>
    </row>
    <row r="17012">
      <c r="K17012" s="124"/>
      <c r="L17012" s="124"/>
      <c r="M17012" s="124"/>
      <c r="N17012" s="124"/>
      <c r="O17012" s="124"/>
    </row>
    <row r="17013">
      <c r="K17013" s="124"/>
      <c r="L17013" s="124"/>
      <c r="M17013" s="124"/>
      <c r="N17013" s="124"/>
      <c r="O17013" s="124"/>
    </row>
    <row r="17014">
      <c r="K17014" s="124"/>
      <c r="L17014" s="124"/>
      <c r="M17014" s="124"/>
      <c r="N17014" s="124"/>
      <c r="O17014" s="124"/>
    </row>
    <row r="17015">
      <c r="K17015" s="124"/>
      <c r="L17015" s="124"/>
      <c r="M17015" s="124"/>
      <c r="N17015" s="124"/>
      <c r="O17015" s="124"/>
    </row>
    <row r="17016">
      <c r="K17016" s="124"/>
      <c r="L17016" s="124"/>
      <c r="M17016" s="124"/>
      <c r="N17016" s="124"/>
      <c r="O17016" s="124"/>
    </row>
    <row r="17017">
      <c r="K17017" s="124"/>
      <c r="L17017" s="124"/>
      <c r="M17017" s="124"/>
      <c r="N17017" s="124"/>
      <c r="O17017" s="124"/>
    </row>
    <row r="17018">
      <c r="K17018" s="124"/>
      <c r="L17018" s="124"/>
      <c r="M17018" s="124"/>
      <c r="N17018" s="124"/>
      <c r="O17018" s="124"/>
    </row>
    <row r="17019">
      <c r="K17019" s="124"/>
      <c r="L17019" s="124"/>
      <c r="M17019" s="124"/>
      <c r="N17019" s="124"/>
      <c r="O17019" s="124"/>
    </row>
    <row r="17020">
      <c r="K17020" s="124"/>
      <c r="L17020" s="124"/>
      <c r="M17020" s="124"/>
      <c r="N17020" s="124"/>
      <c r="O17020" s="124"/>
    </row>
    <row r="17021">
      <c r="K17021" s="124"/>
      <c r="L17021" s="124"/>
      <c r="M17021" s="124"/>
      <c r="N17021" s="124"/>
      <c r="O17021" s="124"/>
    </row>
    <row r="17022">
      <c r="K17022" s="124"/>
      <c r="L17022" s="124"/>
      <c r="M17022" s="124"/>
      <c r="N17022" s="124"/>
      <c r="O17022" s="124"/>
    </row>
    <row r="17023">
      <c r="K17023" s="124"/>
      <c r="L17023" s="124"/>
      <c r="M17023" s="124"/>
      <c r="N17023" s="124"/>
      <c r="O17023" s="124"/>
    </row>
    <row r="17024">
      <c r="K17024" s="124"/>
      <c r="L17024" s="124"/>
      <c r="M17024" s="124"/>
      <c r="N17024" s="124"/>
      <c r="O17024" s="124"/>
    </row>
    <row r="17025">
      <c r="K17025" s="124"/>
      <c r="L17025" s="124"/>
      <c r="M17025" s="124"/>
      <c r="N17025" s="124"/>
      <c r="O17025" s="124"/>
    </row>
    <row r="17026">
      <c r="K17026" s="124"/>
      <c r="L17026" s="124"/>
      <c r="M17026" s="124"/>
      <c r="N17026" s="124"/>
      <c r="O17026" s="124"/>
    </row>
    <row r="17027">
      <c r="K17027" s="124"/>
      <c r="L17027" s="124"/>
      <c r="M17027" s="124"/>
      <c r="N17027" s="124"/>
      <c r="O17027" s="124"/>
    </row>
    <row r="17028">
      <c r="K17028" s="124"/>
      <c r="L17028" s="124"/>
      <c r="M17028" s="124"/>
      <c r="N17028" s="124"/>
      <c r="O17028" s="124"/>
    </row>
    <row r="17029">
      <c r="K17029" s="124"/>
      <c r="L17029" s="124"/>
      <c r="M17029" s="124"/>
      <c r="N17029" s="124"/>
      <c r="O17029" s="124"/>
    </row>
    <row r="17030">
      <c r="K17030" s="124"/>
      <c r="L17030" s="124"/>
      <c r="M17030" s="124"/>
      <c r="N17030" s="124"/>
      <c r="O17030" s="124"/>
    </row>
    <row r="17031">
      <c r="K17031" s="124"/>
      <c r="L17031" s="124"/>
      <c r="M17031" s="124"/>
      <c r="N17031" s="124"/>
      <c r="O17031" s="124"/>
    </row>
    <row r="17032">
      <c r="K17032" s="124"/>
      <c r="L17032" s="124"/>
      <c r="M17032" s="124"/>
      <c r="N17032" s="124"/>
      <c r="O17032" s="124"/>
    </row>
    <row r="17033">
      <c r="K17033" s="124"/>
      <c r="L17033" s="124"/>
      <c r="M17033" s="124"/>
      <c r="N17033" s="124"/>
      <c r="O17033" s="124"/>
    </row>
    <row r="17034">
      <c r="K17034" s="124"/>
      <c r="L17034" s="124"/>
      <c r="M17034" s="124"/>
      <c r="N17034" s="124"/>
      <c r="O17034" s="124"/>
    </row>
    <row r="17035">
      <c r="K17035" s="124"/>
      <c r="L17035" s="124"/>
      <c r="M17035" s="124"/>
      <c r="N17035" s="124"/>
      <c r="O17035" s="124"/>
    </row>
    <row r="17036">
      <c r="K17036" s="124"/>
      <c r="L17036" s="124"/>
      <c r="M17036" s="124"/>
      <c r="N17036" s="124"/>
      <c r="O17036" s="124"/>
    </row>
    <row r="17037">
      <c r="K17037" s="124"/>
      <c r="L17037" s="124"/>
      <c r="M17037" s="124"/>
      <c r="N17037" s="124"/>
      <c r="O17037" s="124"/>
    </row>
    <row r="17038">
      <c r="K17038" s="124"/>
      <c r="L17038" s="124"/>
      <c r="M17038" s="124"/>
      <c r="N17038" s="124"/>
      <c r="O17038" s="124"/>
    </row>
    <row r="17039">
      <c r="K17039" s="124"/>
      <c r="L17039" s="124"/>
      <c r="M17039" s="124"/>
      <c r="N17039" s="124"/>
      <c r="O17039" s="124"/>
    </row>
    <row r="17040">
      <c r="K17040" s="124"/>
      <c r="L17040" s="124"/>
      <c r="M17040" s="124"/>
      <c r="N17040" s="124"/>
      <c r="O17040" s="124"/>
    </row>
    <row r="17041">
      <c r="K17041" s="124"/>
      <c r="L17041" s="124"/>
      <c r="M17041" s="124"/>
      <c r="N17041" s="124"/>
      <c r="O17041" s="124"/>
    </row>
    <row r="17042">
      <c r="K17042" s="124"/>
      <c r="L17042" s="124"/>
      <c r="M17042" s="124"/>
      <c r="N17042" s="124"/>
      <c r="O17042" s="124"/>
    </row>
    <row r="17043">
      <c r="K17043" s="124"/>
      <c r="L17043" s="124"/>
      <c r="M17043" s="124"/>
      <c r="N17043" s="124"/>
      <c r="O17043" s="124"/>
    </row>
    <row r="17044">
      <c r="K17044" s="124"/>
      <c r="L17044" s="124"/>
      <c r="M17044" s="124"/>
      <c r="N17044" s="124"/>
      <c r="O17044" s="124"/>
    </row>
    <row r="17045">
      <c r="K17045" s="124"/>
      <c r="L17045" s="124"/>
      <c r="M17045" s="124"/>
      <c r="N17045" s="124"/>
      <c r="O17045" s="124"/>
    </row>
    <row r="17046">
      <c r="K17046" s="124"/>
      <c r="L17046" s="124"/>
      <c r="M17046" s="124"/>
      <c r="N17046" s="124"/>
      <c r="O17046" s="124"/>
    </row>
    <row r="17047">
      <c r="K17047" s="124"/>
      <c r="L17047" s="124"/>
      <c r="M17047" s="124"/>
      <c r="N17047" s="124"/>
      <c r="O17047" s="124"/>
    </row>
    <row r="17048">
      <c r="K17048" s="124"/>
      <c r="L17048" s="124"/>
      <c r="M17048" s="124"/>
      <c r="N17048" s="124"/>
      <c r="O17048" s="124"/>
    </row>
    <row r="17049">
      <c r="K17049" s="124"/>
      <c r="L17049" s="124"/>
      <c r="M17049" s="124"/>
      <c r="N17049" s="124"/>
      <c r="O17049" s="124"/>
    </row>
    <row r="17050">
      <c r="K17050" s="124"/>
      <c r="L17050" s="124"/>
      <c r="M17050" s="124"/>
      <c r="N17050" s="124"/>
      <c r="O17050" s="124"/>
    </row>
    <row r="17051">
      <c r="K17051" s="124"/>
      <c r="L17051" s="124"/>
      <c r="M17051" s="124"/>
      <c r="N17051" s="124"/>
      <c r="O17051" s="124"/>
    </row>
    <row r="17052">
      <c r="K17052" s="124"/>
      <c r="L17052" s="124"/>
      <c r="M17052" s="124"/>
      <c r="N17052" s="124"/>
      <c r="O17052" s="124"/>
    </row>
    <row r="17053">
      <c r="K17053" s="124"/>
      <c r="L17053" s="124"/>
      <c r="M17053" s="124"/>
      <c r="N17053" s="124"/>
      <c r="O17053" s="124"/>
    </row>
    <row r="17054">
      <c r="K17054" s="124"/>
      <c r="L17054" s="124"/>
      <c r="M17054" s="124"/>
      <c r="N17054" s="124"/>
      <c r="O17054" s="124"/>
    </row>
    <row r="17055">
      <c r="K17055" s="124"/>
      <c r="L17055" s="124"/>
      <c r="M17055" s="124"/>
      <c r="N17055" s="124"/>
      <c r="O17055" s="124"/>
    </row>
    <row r="17056">
      <c r="K17056" s="124"/>
      <c r="L17056" s="124"/>
      <c r="M17056" s="124"/>
      <c r="N17056" s="124"/>
      <c r="O17056" s="124"/>
    </row>
    <row r="17057">
      <c r="K17057" s="124"/>
      <c r="L17057" s="124"/>
      <c r="M17057" s="124"/>
      <c r="N17057" s="124"/>
      <c r="O17057" s="124"/>
    </row>
    <row r="17058">
      <c r="K17058" s="124"/>
      <c r="L17058" s="124"/>
      <c r="M17058" s="124"/>
      <c r="N17058" s="124"/>
      <c r="O17058" s="124"/>
    </row>
    <row r="17059">
      <c r="K17059" s="124"/>
      <c r="L17059" s="124"/>
      <c r="M17059" s="124"/>
      <c r="N17059" s="124"/>
      <c r="O17059" s="124"/>
    </row>
    <row r="17060">
      <c r="K17060" s="124"/>
      <c r="L17060" s="124"/>
      <c r="M17060" s="124"/>
      <c r="N17060" s="124"/>
      <c r="O17060" s="124"/>
    </row>
    <row r="17061">
      <c r="K17061" s="124"/>
      <c r="L17061" s="124"/>
      <c r="M17061" s="124"/>
      <c r="N17061" s="124"/>
      <c r="O17061" s="124"/>
    </row>
    <row r="17062">
      <c r="K17062" s="124"/>
      <c r="L17062" s="124"/>
      <c r="M17062" s="124"/>
      <c r="N17062" s="124"/>
      <c r="O17062" s="124"/>
    </row>
    <row r="17063">
      <c r="K17063" s="124"/>
      <c r="L17063" s="124"/>
      <c r="M17063" s="124"/>
      <c r="N17063" s="124"/>
      <c r="O17063" s="124"/>
    </row>
    <row r="17064">
      <c r="K17064" s="124"/>
      <c r="L17064" s="124"/>
      <c r="M17064" s="124"/>
      <c r="N17064" s="124"/>
      <c r="O17064" s="124"/>
    </row>
    <row r="17065">
      <c r="K17065" s="124"/>
      <c r="L17065" s="124"/>
      <c r="M17065" s="124"/>
      <c r="N17065" s="124"/>
      <c r="O17065" s="124"/>
    </row>
    <row r="17066">
      <c r="K17066" s="124"/>
      <c r="L17066" s="124"/>
      <c r="M17066" s="124"/>
      <c r="N17066" s="124"/>
      <c r="O17066" s="124"/>
    </row>
    <row r="17067">
      <c r="K17067" s="124"/>
      <c r="L17067" s="124"/>
      <c r="M17067" s="124"/>
      <c r="N17067" s="124"/>
      <c r="O17067" s="124"/>
    </row>
    <row r="17068">
      <c r="K17068" s="124"/>
      <c r="L17068" s="124"/>
      <c r="M17068" s="124"/>
      <c r="N17068" s="124"/>
      <c r="O17068" s="124"/>
    </row>
    <row r="17069">
      <c r="K17069" s="124"/>
      <c r="L17069" s="124"/>
      <c r="M17069" s="124"/>
      <c r="N17069" s="124"/>
      <c r="O17069" s="124"/>
    </row>
    <row r="17070">
      <c r="K17070" s="124"/>
      <c r="L17070" s="124"/>
      <c r="M17070" s="124"/>
      <c r="N17070" s="124"/>
      <c r="O17070" s="124"/>
    </row>
    <row r="17071">
      <c r="K17071" s="124"/>
      <c r="L17071" s="124"/>
      <c r="M17071" s="124"/>
      <c r="N17071" s="124"/>
      <c r="O17071" s="124"/>
    </row>
    <row r="17072">
      <c r="K17072" s="124"/>
      <c r="L17072" s="124"/>
      <c r="M17072" s="124"/>
      <c r="N17072" s="124"/>
      <c r="O17072" s="124"/>
    </row>
    <row r="17073">
      <c r="K17073" s="124"/>
      <c r="L17073" s="124"/>
      <c r="M17073" s="124"/>
      <c r="N17073" s="124"/>
      <c r="O17073" s="124"/>
    </row>
    <row r="17074">
      <c r="K17074" s="124"/>
      <c r="L17074" s="124"/>
      <c r="M17074" s="124"/>
      <c r="N17074" s="124"/>
      <c r="O17074" s="124"/>
    </row>
    <row r="17075">
      <c r="K17075" s="124"/>
      <c r="L17075" s="124"/>
      <c r="M17075" s="124"/>
      <c r="N17075" s="124"/>
      <c r="O17075" s="124"/>
    </row>
    <row r="17076">
      <c r="K17076" s="124"/>
      <c r="L17076" s="124"/>
      <c r="M17076" s="124"/>
      <c r="N17076" s="124"/>
      <c r="O17076" s="124"/>
    </row>
    <row r="17077">
      <c r="K17077" s="124"/>
      <c r="L17077" s="124"/>
      <c r="M17077" s="124"/>
      <c r="N17077" s="124"/>
      <c r="O17077" s="124"/>
    </row>
    <row r="17078">
      <c r="K17078" s="124"/>
      <c r="L17078" s="124"/>
      <c r="M17078" s="124"/>
      <c r="N17078" s="124"/>
      <c r="O17078" s="124"/>
    </row>
    <row r="17079">
      <c r="K17079" s="124"/>
      <c r="L17079" s="124"/>
      <c r="M17079" s="124"/>
      <c r="N17079" s="124"/>
      <c r="O17079" s="124"/>
    </row>
    <row r="17080">
      <c r="K17080" s="124"/>
      <c r="L17080" s="124"/>
      <c r="M17080" s="124"/>
      <c r="N17080" s="124"/>
      <c r="O17080" s="124"/>
    </row>
    <row r="17081">
      <c r="K17081" s="124"/>
      <c r="L17081" s="124"/>
      <c r="M17081" s="124"/>
      <c r="N17081" s="124"/>
      <c r="O17081" s="124"/>
    </row>
    <row r="17082">
      <c r="K17082" s="124"/>
      <c r="L17082" s="124"/>
      <c r="M17082" s="124"/>
      <c r="N17082" s="124"/>
      <c r="O17082" s="124"/>
    </row>
    <row r="17083">
      <c r="K17083" s="124"/>
      <c r="L17083" s="124"/>
      <c r="M17083" s="124"/>
      <c r="N17083" s="124"/>
      <c r="O17083" s="124"/>
    </row>
    <row r="17084">
      <c r="K17084" s="124"/>
      <c r="L17084" s="124"/>
      <c r="M17084" s="124"/>
      <c r="N17084" s="124"/>
      <c r="O17084" s="124"/>
    </row>
    <row r="17085">
      <c r="K17085" s="124"/>
      <c r="L17085" s="124"/>
      <c r="M17085" s="124"/>
      <c r="N17085" s="124"/>
      <c r="O17085" s="124"/>
    </row>
    <row r="17086">
      <c r="K17086" s="124"/>
      <c r="L17086" s="124"/>
      <c r="M17086" s="124"/>
      <c r="N17086" s="124"/>
      <c r="O17086" s="124"/>
    </row>
    <row r="17087">
      <c r="K17087" s="124"/>
      <c r="L17087" s="124"/>
      <c r="M17087" s="124"/>
      <c r="N17087" s="124"/>
      <c r="O17087" s="124"/>
    </row>
    <row r="17088">
      <c r="K17088" s="124"/>
      <c r="L17088" s="124"/>
      <c r="M17088" s="124"/>
      <c r="N17088" s="124"/>
      <c r="O17088" s="124"/>
    </row>
    <row r="17089">
      <c r="K17089" s="124"/>
      <c r="L17089" s="124"/>
      <c r="M17089" s="124"/>
      <c r="N17089" s="124"/>
      <c r="O17089" s="124"/>
    </row>
    <row r="17090">
      <c r="K17090" s="124"/>
      <c r="L17090" s="124"/>
      <c r="M17090" s="124"/>
      <c r="N17090" s="124"/>
      <c r="O17090" s="124"/>
    </row>
    <row r="17091">
      <c r="K17091" s="124"/>
      <c r="L17091" s="124"/>
      <c r="M17091" s="124"/>
      <c r="N17091" s="124"/>
      <c r="O17091" s="124"/>
    </row>
    <row r="17092">
      <c r="K17092" s="124"/>
      <c r="L17092" s="124"/>
      <c r="M17092" s="124"/>
      <c r="N17092" s="124"/>
      <c r="O17092" s="124"/>
    </row>
    <row r="17093">
      <c r="K17093" s="124"/>
      <c r="L17093" s="124"/>
      <c r="M17093" s="124"/>
      <c r="N17093" s="124"/>
      <c r="O17093" s="124"/>
    </row>
    <row r="17094">
      <c r="K17094" s="124"/>
      <c r="L17094" s="124"/>
      <c r="M17094" s="124"/>
      <c r="N17094" s="124"/>
      <c r="O17094" s="124"/>
    </row>
    <row r="17095">
      <c r="K17095" s="124"/>
      <c r="L17095" s="124"/>
      <c r="M17095" s="124"/>
      <c r="N17095" s="124"/>
      <c r="O17095" s="124"/>
    </row>
    <row r="17096">
      <c r="K17096" s="124"/>
      <c r="L17096" s="124"/>
      <c r="M17096" s="124"/>
      <c r="N17096" s="124"/>
      <c r="O17096" s="124"/>
    </row>
    <row r="17097">
      <c r="K17097" s="124"/>
      <c r="L17097" s="124"/>
      <c r="M17097" s="124"/>
      <c r="N17097" s="124"/>
      <c r="O17097" s="124"/>
    </row>
    <row r="17098">
      <c r="K17098" s="124"/>
      <c r="L17098" s="124"/>
      <c r="M17098" s="124"/>
      <c r="N17098" s="124"/>
      <c r="O17098" s="124"/>
    </row>
    <row r="17099">
      <c r="K17099" s="124"/>
      <c r="L17099" s="124"/>
      <c r="M17099" s="124"/>
      <c r="N17099" s="124"/>
      <c r="O17099" s="124"/>
    </row>
    <row r="17100">
      <c r="K17100" s="124"/>
      <c r="L17100" s="124"/>
      <c r="M17100" s="124"/>
      <c r="N17100" s="124"/>
      <c r="O17100" s="124"/>
    </row>
    <row r="17101">
      <c r="K17101" s="124"/>
      <c r="L17101" s="124"/>
      <c r="M17101" s="124"/>
      <c r="N17101" s="124"/>
      <c r="O17101" s="124"/>
    </row>
    <row r="17102">
      <c r="K17102" s="124"/>
      <c r="L17102" s="124"/>
      <c r="M17102" s="124"/>
      <c r="N17102" s="124"/>
      <c r="O17102" s="124"/>
    </row>
    <row r="17103">
      <c r="K17103" s="124"/>
      <c r="L17103" s="124"/>
      <c r="M17103" s="124"/>
      <c r="N17103" s="124"/>
      <c r="O17103" s="124"/>
    </row>
    <row r="17104">
      <c r="K17104" s="124"/>
      <c r="L17104" s="124"/>
      <c r="M17104" s="124"/>
      <c r="N17104" s="124"/>
      <c r="O17104" s="124"/>
    </row>
    <row r="17105">
      <c r="K17105" s="124"/>
      <c r="L17105" s="124"/>
      <c r="M17105" s="124"/>
      <c r="N17105" s="124"/>
      <c r="O17105" s="124"/>
    </row>
    <row r="17106">
      <c r="K17106" s="124"/>
      <c r="L17106" s="124"/>
      <c r="M17106" s="124"/>
      <c r="N17106" s="124"/>
      <c r="O17106" s="124"/>
    </row>
    <row r="17107">
      <c r="K17107" s="124"/>
      <c r="L17107" s="124"/>
      <c r="M17107" s="124"/>
      <c r="N17107" s="124"/>
      <c r="O17107" s="124"/>
    </row>
    <row r="17108">
      <c r="K17108" s="124"/>
      <c r="L17108" s="124"/>
      <c r="M17108" s="124"/>
      <c r="N17108" s="124"/>
      <c r="O17108" s="124"/>
    </row>
    <row r="17109">
      <c r="K17109" s="124"/>
      <c r="L17109" s="124"/>
      <c r="M17109" s="124"/>
      <c r="N17109" s="124"/>
      <c r="O17109" s="124"/>
    </row>
    <row r="17110">
      <c r="K17110" s="124"/>
      <c r="L17110" s="124"/>
      <c r="M17110" s="124"/>
      <c r="N17110" s="124"/>
      <c r="O17110" s="124"/>
    </row>
    <row r="17111">
      <c r="K17111" s="124"/>
      <c r="L17111" s="124"/>
      <c r="M17111" s="124"/>
      <c r="N17111" s="124"/>
      <c r="O17111" s="124"/>
    </row>
    <row r="17112">
      <c r="K17112" s="124"/>
      <c r="L17112" s="124"/>
      <c r="M17112" s="124"/>
      <c r="N17112" s="124"/>
      <c r="O17112" s="124"/>
    </row>
    <row r="17113">
      <c r="K17113" s="124"/>
      <c r="L17113" s="124"/>
      <c r="M17113" s="124"/>
      <c r="N17113" s="124"/>
      <c r="O17113" s="124"/>
    </row>
    <row r="17114">
      <c r="K17114" s="124"/>
      <c r="L17114" s="124"/>
      <c r="M17114" s="124"/>
      <c r="N17114" s="124"/>
      <c r="O17114" s="124"/>
    </row>
    <row r="17115">
      <c r="K17115" s="124"/>
      <c r="L17115" s="124"/>
      <c r="M17115" s="124"/>
      <c r="N17115" s="124"/>
      <c r="O17115" s="124"/>
    </row>
    <row r="17116">
      <c r="K17116" s="124"/>
      <c r="L17116" s="124"/>
      <c r="M17116" s="124"/>
      <c r="N17116" s="124"/>
      <c r="O17116" s="124"/>
    </row>
    <row r="17117">
      <c r="K17117" s="124"/>
      <c r="L17117" s="124"/>
      <c r="M17117" s="124"/>
      <c r="N17117" s="124"/>
      <c r="O17117" s="124"/>
    </row>
    <row r="17118">
      <c r="K17118" s="124"/>
      <c r="L17118" s="124"/>
      <c r="M17118" s="124"/>
      <c r="N17118" s="124"/>
      <c r="O17118" s="124"/>
    </row>
    <row r="17119">
      <c r="K17119" s="124"/>
      <c r="L17119" s="124"/>
      <c r="M17119" s="124"/>
      <c r="N17119" s="124"/>
      <c r="O17119" s="124"/>
    </row>
    <row r="17120">
      <c r="K17120" s="124"/>
      <c r="L17120" s="124"/>
      <c r="M17120" s="124"/>
      <c r="N17120" s="124"/>
      <c r="O17120" s="124"/>
    </row>
    <row r="17121">
      <c r="K17121" s="124"/>
      <c r="L17121" s="124"/>
      <c r="M17121" s="124"/>
      <c r="N17121" s="124"/>
      <c r="O17121" s="124"/>
    </row>
    <row r="17122">
      <c r="K17122" s="124"/>
      <c r="L17122" s="124"/>
      <c r="M17122" s="124"/>
      <c r="N17122" s="124"/>
      <c r="O17122" s="124"/>
    </row>
    <row r="17123">
      <c r="K17123" s="124"/>
      <c r="L17123" s="124"/>
      <c r="M17123" s="124"/>
      <c r="N17123" s="124"/>
      <c r="O17123" s="124"/>
    </row>
    <row r="17124">
      <c r="K17124" s="124"/>
      <c r="L17124" s="124"/>
      <c r="M17124" s="124"/>
      <c r="N17124" s="124"/>
      <c r="O17124" s="124"/>
    </row>
    <row r="17125">
      <c r="K17125" s="124"/>
      <c r="L17125" s="124"/>
      <c r="M17125" s="124"/>
      <c r="N17125" s="124"/>
      <c r="O17125" s="124"/>
    </row>
    <row r="17126">
      <c r="K17126" s="124"/>
      <c r="L17126" s="124"/>
      <c r="M17126" s="124"/>
      <c r="N17126" s="124"/>
      <c r="O17126" s="124"/>
    </row>
    <row r="17127">
      <c r="K17127" s="124"/>
      <c r="L17127" s="124"/>
      <c r="M17127" s="124"/>
      <c r="N17127" s="124"/>
      <c r="O17127" s="124"/>
    </row>
    <row r="17128">
      <c r="K17128" s="124"/>
      <c r="L17128" s="124"/>
      <c r="M17128" s="124"/>
      <c r="N17128" s="124"/>
      <c r="O17128" s="124"/>
    </row>
    <row r="17129">
      <c r="K17129" s="124"/>
      <c r="L17129" s="124"/>
      <c r="M17129" s="124"/>
      <c r="N17129" s="124"/>
      <c r="O17129" s="124"/>
    </row>
    <row r="17130">
      <c r="K17130" s="124"/>
      <c r="L17130" s="124"/>
      <c r="M17130" s="124"/>
      <c r="N17130" s="124"/>
      <c r="O17130" s="124"/>
    </row>
    <row r="17131">
      <c r="K17131" s="124"/>
      <c r="L17131" s="124"/>
      <c r="M17131" s="124"/>
      <c r="N17131" s="124"/>
      <c r="O17131" s="124"/>
    </row>
    <row r="17132">
      <c r="K17132" s="124"/>
      <c r="L17132" s="124"/>
      <c r="M17132" s="124"/>
      <c r="N17132" s="124"/>
      <c r="O17132" s="124"/>
    </row>
    <row r="17133">
      <c r="K17133" s="124"/>
      <c r="L17133" s="124"/>
      <c r="M17133" s="124"/>
      <c r="N17133" s="124"/>
      <c r="O17133" s="124"/>
    </row>
    <row r="17134">
      <c r="K17134" s="124"/>
      <c r="L17134" s="124"/>
      <c r="M17134" s="124"/>
      <c r="N17134" s="124"/>
      <c r="O17134" s="124"/>
    </row>
    <row r="17135">
      <c r="K17135" s="124"/>
      <c r="L17135" s="124"/>
      <c r="M17135" s="124"/>
      <c r="N17135" s="124"/>
      <c r="O17135" s="124"/>
    </row>
    <row r="17136">
      <c r="K17136" s="124"/>
      <c r="L17136" s="124"/>
      <c r="M17136" s="124"/>
      <c r="N17136" s="124"/>
      <c r="O17136" s="124"/>
    </row>
    <row r="17137">
      <c r="K17137" s="124"/>
      <c r="L17137" s="124"/>
      <c r="M17137" s="124"/>
      <c r="N17137" s="124"/>
      <c r="O17137" s="124"/>
    </row>
    <row r="17138">
      <c r="K17138" s="124"/>
      <c r="L17138" s="124"/>
      <c r="M17138" s="124"/>
      <c r="N17138" s="124"/>
      <c r="O17138" s="124"/>
    </row>
    <row r="17139">
      <c r="K17139" s="124"/>
      <c r="L17139" s="124"/>
      <c r="M17139" s="124"/>
      <c r="N17139" s="124"/>
      <c r="O17139" s="124"/>
    </row>
    <row r="17140">
      <c r="K17140" s="124"/>
      <c r="L17140" s="124"/>
      <c r="M17140" s="124"/>
      <c r="N17140" s="124"/>
      <c r="O17140" s="124"/>
    </row>
    <row r="17141">
      <c r="K17141" s="124"/>
      <c r="L17141" s="124"/>
      <c r="M17141" s="124"/>
      <c r="N17141" s="124"/>
      <c r="O17141" s="124"/>
    </row>
    <row r="17142">
      <c r="K17142" s="124"/>
      <c r="L17142" s="124"/>
      <c r="M17142" s="124"/>
      <c r="N17142" s="124"/>
      <c r="O17142" s="124"/>
    </row>
    <row r="17143">
      <c r="K17143" s="124"/>
      <c r="L17143" s="124"/>
      <c r="M17143" s="124"/>
      <c r="N17143" s="124"/>
      <c r="O17143" s="124"/>
    </row>
    <row r="17144">
      <c r="K17144" s="124"/>
      <c r="L17144" s="124"/>
      <c r="M17144" s="124"/>
      <c r="N17144" s="124"/>
      <c r="O17144" s="124"/>
    </row>
    <row r="17145">
      <c r="K17145" s="124"/>
      <c r="L17145" s="124"/>
      <c r="M17145" s="124"/>
      <c r="N17145" s="124"/>
      <c r="O17145" s="124"/>
    </row>
    <row r="17146">
      <c r="K17146" s="124"/>
      <c r="L17146" s="124"/>
      <c r="M17146" s="124"/>
      <c r="N17146" s="124"/>
      <c r="O17146" s="124"/>
    </row>
    <row r="17147">
      <c r="K17147" s="124"/>
      <c r="L17147" s="124"/>
      <c r="M17147" s="124"/>
      <c r="N17147" s="124"/>
      <c r="O17147" s="124"/>
    </row>
    <row r="17148">
      <c r="K17148" s="124"/>
      <c r="L17148" s="124"/>
      <c r="M17148" s="124"/>
      <c r="N17148" s="124"/>
      <c r="O17148" s="124"/>
    </row>
    <row r="17149">
      <c r="K17149" s="124"/>
      <c r="L17149" s="124"/>
      <c r="M17149" s="124"/>
      <c r="N17149" s="124"/>
      <c r="O17149" s="124"/>
    </row>
    <row r="17150">
      <c r="K17150" s="124"/>
      <c r="L17150" s="124"/>
      <c r="M17150" s="124"/>
      <c r="N17150" s="124"/>
      <c r="O17150" s="124"/>
    </row>
    <row r="17151">
      <c r="K17151" s="124"/>
      <c r="L17151" s="124"/>
      <c r="M17151" s="124"/>
      <c r="N17151" s="124"/>
      <c r="O17151" s="124"/>
    </row>
    <row r="17152">
      <c r="K17152" s="124"/>
      <c r="L17152" s="124"/>
      <c r="M17152" s="124"/>
      <c r="N17152" s="124"/>
      <c r="O17152" s="124"/>
    </row>
    <row r="17153">
      <c r="K17153" s="124"/>
      <c r="L17153" s="124"/>
      <c r="M17153" s="124"/>
      <c r="N17153" s="124"/>
      <c r="O17153" s="124"/>
    </row>
    <row r="17154">
      <c r="K17154" s="124"/>
      <c r="L17154" s="124"/>
      <c r="M17154" s="124"/>
      <c r="N17154" s="124"/>
      <c r="O17154" s="124"/>
    </row>
    <row r="17155">
      <c r="K17155" s="124"/>
      <c r="L17155" s="124"/>
      <c r="M17155" s="124"/>
      <c r="N17155" s="124"/>
      <c r="O17155" s="124"/>
    </row>
    <row r="17156">
      <c r="K17156" s="124"/>
      <c r="L17156" s="124"/>
      <c r="M17156" s="124"/>
      <c r="N17156" s="124"/>
      <c r="O17156" s="124"/>
    </row>
    <row r="17157">
      <c r="K17157" s="124"/>
      <c r="L17157" s="124"/>
      <c r="M17157" s="124"/>
      <c r="N17157" s="124"/>
      <c r="O17157" s="124"/>
    </row>
    <row r="17158">
      <c r="K17158" s="124"/>
      <c r="L17158" s="124"/>
      <c r="M17158" s="124"/>
      <c r="N17158" s="124"/>
      <c r="O17158" s="124"/>
    </row>
    <row r="17159">
      <c r="K17159" s="124"/>
      <c r="L17159" s="124"/>
      <c r="M17159" s="124"/>
      <c r="N17159" s="124"/>
      <c r="O17159" s="124"/>
    </row>
    <row r="17160">
      <c r="K17160" s="124"/>
      <c r="L17160" s="124"/>
      <c r="M17160" s="124"/>
      <c r="N17160" s="124"/>
      <c r="O17160" s="124"/>
    </row>
    <row r="17161">
      <c r="K17161" s="124"/>
      <c r="L17161" s="124"/>
      <c r="M17161" s="124"/>
      <c r="N17161" s="124"/>
      <c r="O17161" s="124"/>
    </row>
    <row r="17162">
      <c r="K17162" s="124"/>
      <c r="L17162" s="124"/>
      <c r="M17162" s="124"/>
      <c r="N17162" s="124"/>
      <c r="O17162" s="124"/>
    </row>
    <row r="17163">
      <c r="K17163" s="124"/>
      <c r="L17163" s="124"/>
      <c r="M17163" s="124"/>
      <c r="N17163" s="124"/>
      <c r="O17163" s="124"/>
    </row>
    <row r="17164">
      <c r="K17164" s="124"/>
      <c r="L17164" s="124"/>
      <c r="M17164" s="124"/>
      <c r="N17164" s="124"/>
      <c r="O17164" s="124"/>
    </row>
    <row r="17165">
      <c r="K17165" s="124"/>
      <c r="L17165" s="124"/>
      <c r="M17165" s="124"/>
      <c r="N17165" s="124"/>
      <c r="O17165" s="124"/>
    </row>
    <row r="17166">
      <c r="K17166" s="124"/>
      <c r="L17166" s="124"/>
      <c r="M17166" s="124"/>
      <c r="N17166" s="124"/>
      <c r="O17166" s="124"/>
    </row>
    <row r="17167">
      <c r="K17167" s="124"/>
      <c r="L17167" s="124"/>
      <c r="M17167" s="124"/>
      <c r="N17167" s="124"/>
      <c r="O17167" s="124"/>
    </row>
    <row r="17168">
      <c r="K17168" s="124"/>
      <c r="L17168" s="124"/>
      <c r="M17168" s="124"/>
      <c r="N17168" s="124"/>
      <c r="O17168" s="124"/>
    </row>
    <row r="17169">
      <c r="K17169" s="124"/>
      <c r="L17169" s="124"/>
      <c r="M17169" s="124"/>
      <c r="N17169" s="124"/>
      <c r="O17169" s="124"/>
    </row>
    <row r="17170">
      <c r="K17170" s="124"/>
      <c r="L17170" s="124"/>
      <c r="M17170" s="124"/>
      <c r="N17170" s="124"/>
      <c r="O17170" s="124"/>
    </row>
    <row r="17171">
      <c r="K17171" s="124"/>
      <c r="L17171" s="124"/>
      <c r="M17171" s="124"/>
      <c r="N17171" s="124"/>
      <c r="O17171" s="124"/>
    </row>
    <row r="17172">
      <c r="K17172" s="124"/>
      <c r="L17172" s="124"/>
      <c r="M17172" s="124"/>
      <c r="N17172" s="124"/>
      <c r="O17172" s="124"/>
    </row>
    <row r="17173">
      <c r="K17173" s="124"/>
      <c r="L17173" s="124"/>
      <c r="M17173" s="124"/>
      <c r="N17173" s="124"/>
      <c r="O17173" s="124"/>
    </row>
    <row r="17174">
      <c r="K17174" s="124"/>
      <c r="L17174" s="124"/>
      <c r="M17174" s="124"/>
      <c r="N17174" s="124"/>
      <c r="O17174" s="124"/>
    </row>
    <row r="17175">
      <c r="K17175" s="124"/>
      <c r="L17175" s="124"/>
      <c r="M17175" s="124"/>
      <c r="N17175" s="124"/>
      <c r="O17175" s="124"/>
    </row>
    <row r="17176">
      <c r="K17176" s="124"/>
      <c r="L17176" s="124"/>
      <c r="M17176" s="124"/>
      <c r="N17176" s="124"/>
      <c r="O17176" s="124"/>
    </row>
    <row r="17177">
      <c r="K17177" s="124"/>
      <c r="L17177" s="124"/>
      <c r="M17177" s="124"/>
      <c r="N17177" s="124"/>
      <c r="O17177" s="124"/>
    </row>
    <row r="17178">
      <c r="K17178" s="124"/>
      <c r="L17178" s="124"/>
      <c r="M17178" s="124"/>
      <c r="N17178" s="124"/>
      <c r="O17178" s="124"/>
    </row>
    <row r="17179">
      <c r="K17179" s="124"/>
      <c r="L17179" s="124"/>
      <c r="M17179" s="124"/>
      <c r="N17179" s="124"/>
      <c r="O17179" s="124"/>
    </row>
    <row r="17180">
      <c r="K17180" s="124"/>
      <c r="L17180" s="124"/>
      <c r="M17180" s="124"/>
      <c r="N17180" s="124"/>
      <c r="O17180" s="124"/>
    </row>
    <row r="17181">
      <c r="K17181" s="124"/>
      <c r="L17181" s="124"/>
      <c r="M17181" s="124"/>
      <c r="N17181" s="124"/>
      <c r="O17181" s="124"/>
    </row>
    <row r="17182">
      <c r="K17182" s="124"/>
      <c r="L17182" s="124"/>
      <c r="M17182" s="124"/>
      <c r="N17182" s="124"/>
      <c r="O17182" s="124"/>
    </row>
    <row r="17183">
      <c r="K17183" s="124"/>
      <c r="L17183" s="124"/>
      <c r="M17183" s="124"/>
      <c r="N17183" s="124"/>
      <c r="O17183" s="124"/>
    </row>
    <row r="17184">
      <c r="K17184" s="124"/>
      <c r="L17184" s="124"/>
      <c r="M17184" s="124"/>
      <c r="N17184" s="124"/>
      <c r="O17184" s="124"/>
    </row>
    <row r="17185">
      <c r="K17185" s="124"/>
      <c r="L17185" s="124"/>
      <c r="M17185" s="124"/>
      <c r="N17185" s="124"/>
      <c r="O17185" s="124"/>
    </row>
    <row r="17186">
      <c r="K17186" s="124"/>
      <c r="L17186" s="124"/>
      <c r="M17186" s="124"/>
      <c r="N17186" s="124"/>
      <c r="O17186" s="124"/>
    </row>
    <row r="17187">
      <c r="K17187" s="124"/>
      <c r="L17187" s="124"/>
      <c r="M17187" s="124"/>
      <c r="N17187" s="124"/>
      <c r="O17187" s="124"/>
    </row>
    <row r="17188">
      <c r="K17188" s="124"/>
      <c r="L17188" s="124"/>
      <c r="M17188" s="124"/>
      <c r="N17188" s="124"/>
      <c r="O17188" s="124"/>
    </row>
    <row r="17189">
      <c r="K17189" s="124"/>
      <c r="L17189" s="124"/>
      <c r="M17189" s="124"/>
      <c r="N17189" s="124"/>
      <c r="O17189" s="124"/>
    </row>
    <row r="17190">
      <c r="K17190" s="124"/>
      <c r="L17190" s="124"/>
      <c r="M17190" s="124"/>
      <c r="N17190" s="124"/>
      <c r="O17190" s="124"/>
    </row>
    <row r="17191">
      <c r="K17191" s="124"/>
      <c r="L17191" s="124"/>
      <c r="M17191" s="124"/>
      <c r="N17191" s="124"/>
      <c r="O17191" s="124"/>
    </row>
    <row r="17192">
      <c r="K17192" s="124"/>
      <c r="L17192" s="124"/>
      <c r="M17192" s="124"/>
      <c r="N17192" s="124"/>
      <c r="O17192" s="124"/>
    </row>
    <row r="17193">
      <c r="K17193" s="124"/>
      <c r="L17193" s="124"/>
      <c r="M17193" s="124"/>
      <c r="N17193" s="124"/>
      <c r="O17193" s="124"/>
    </row>
    <row r="17194">
      <c r="K17194" s="124"/>
      <c r="L17194" s="124"/>
      <c r="M17194" s="124"/>
      <c r="N17194" s="124"/>
      <c r="O17194" s="124"/>
    </row>
    <row r="17195">
      <c r="K17195" s="124"/>
      <c r="L17195" s="124"/>
      <c r="M17195" s="124"/>
      <c r="N17195" s="124"/>
      <c r="O17195" s="124"/>
    </row>
    <row r="17196">
      <c r="K17196" s="124"/>
      <c r="L17196" s="124"/>
      <c r="M17196" s="124"/>
      <c r="N17196" s="124"/>
      <c r="O17196" s="124"/>
    </row>
    <row r="17197">
      <c r="K17197" s="124"/>
      <c r="L17197" s="124"/>
      <c r="M17197" s="124"/>
      <c r="N17197" s="124"/>
      <c r="O17197" s="124"/>
    </row>
    <row r="17198">
      <c r="K17198" s="124"/>
      <c r="L17198" s="124"/>
      <c r="M17198" s="124"/>
      <c r="N17198" s="124"/>
      <c r="O17198" s="124"/>
    </row>
    <row r="17199">
      <c r="K17199" s="124"/>
      <c r="L17199" s="124"/>
      <c r="M17199" s="124"/>
      <c r="N17199" s="124"/>
      <c r="O17199" s="124"/>
    </row>
    <row r="17200">
      <c r="K17200" s="124"/>
      <c r="L17200" s="124"/>
      <c r="M17200" s="124"/>
      <c r="N17200" s="124"/>
      <c r="O17200" s="124"/>
    </row>
    <row r="17201">
      <c r="K17201" s="124"/>
      <c r="L17201" s="124"/>
      <c r="M17201" s="124"/>
      <c r="N17201" s="124"/>
      <c r="O17201" s="124"/>
    </row>
    <row r="17202">
      <c r="K17202" s="124"/>
      <c r="L17202" s="124"/>
      <c r="M17202" s="124"/>
      <c r="N17202" s="124"/>
      <c r="O17202" s="124"/>
    </row>
    <row r="17203">
      <c r="K17203" s="124"/>
      <c r="L17203" s="124"/>
      <c r="M17203" s="124"/>
      <c r="N17203" s="124"/>
      <c r="O17203" s="124"/>
    </row>
    <row r="17204">
      <c r="K17204" s="124"/>
      <c r="L17204" s="124"/>
      <c r="M17204" s="124"/>
      <c r="N17204" s="124"/>
      <c r="O17204" s="124"/>
    </row>
    <row r="17205">
      <c r="K17205" s="124"/>
      <c r="L17205" s="124"/>
      <c r="M17205" s="124"/>
      <c r="N17205" s="124"/>
      <c r="O17205" s="124"/>
    </row>
    <row r="17206">
      <c r="K17206" s="124"/>
      <c r="L17206" s="124"/>
      <c r="M17206" s="124"/>
      <c r="N17206" s="124"/>
      <c r="O17206" s="124"/>
    </row>
    <row r="17207">
      <c r="K17207" s="124"/>
      <c r="L17207" s="124"/>
      <c r="M17207" s="124"/>
      <c r="N17207" s="124"/>
      <c r="O17207" s="124"/>
    </row>
    <row r="17208">
      <c r="K17208" s="124"/>
      <c r="L17208" s="124"/>
      <c r="M17208" s="124"/>
      <c r="N17208" s="124"/>
      <c r="O17208" s="124"/>
    </row>
    <row r="17209">
      <c r="K17209" s="124"/>
      <c r="L17209" s="124"/>
      <c r="M17209" s="124"/>
      <c r="N17209" s="124"/>
      <c r="O17209" s="124"/>
    </row>
    <row r="17210">
      <c r="K17210" s="124"/>
      <c r="L17210" s="124"/>
      <c r="M17210" s="124"/>
      <c r="N17210" s="124"/>
      <c r="O17210" s="124"/>
    </row>
    <row r="17211">
      <c r="K17211" s="124"/>
      <c r="L17211" s="124"/>
      <c r="M17211" s="124"/>
      <c r="N17211" s="124"/>
      <c r="O17211" s="124"/>
    </row>
    <row r="17212">
      <c r="K17212" s="124"/>
      <c r="L17212" s="124"/>
      <c r="M17212" s="124"/>
      <c r="N17212" s="124"/>
      <c r="O17212" s="124"/>
    </row>
    <row r="17213">
      <c r="K17213" s="124"/>
      <c r="L17213" s="124"/>
      <c r="M17213" s="124"/>
      <c r="N17213" s="124"/>
      <c r="O17213" s="124"/>
    </row>
    <row r="17214">
      <c r="K17214" s="124"/>
      <c r="L17214" s="124"/>
      <c r="M17214" s="124"/>
      <c r="N17214" s="124"/>
      <c r="O17214" s="124"/>
    </row>
    <row r="17215">
      <c r="K17215" s="124"/>
      <c r="L17215" s="124"/>
      <c r="M17215" s="124"/>
      <c r="N17215" s="124"/>
      <c r="O17215" s="124"/>
    </row>
    <row r="17216">
      <c r="K17216" s="124"/>
      <c r="L17216" s="124"/>
      <c r="M17216" s="124"/>
      <c r="N17216" s="124"/>
      <c r="O17216" s="124"/>
    </row>
    <row r="17217">
      <c r="K17217" s="124"/>
      <c r="L17217" s="124"/>
      <c r="M17217" s="124"/>
      <c r="N17217" s="124"/>
      <c r="O17217" s="124"/>
    </row>
    <row r="17218">
      <c r="K17218" s="124"/>
      <c r="L17218" s="124"/>
      <c r="M17218" s="124"/>
      <c r="N17218" s="124"/>
      <c r="O17218" s="124"/>
    </row>
    <row r="17219">
      <c r="K17219" s="124"/>
      <c r="L17219" s="124"/>
      <c r="M17219" s="124"/>
      <c r="N17219" s="124"/>
      <c r="O17219" s="124"/>
    </row>
    <row r="17220">
      <c r="K17220" s="124"/>
      <c r="L17220" s="124"/>
      <c r="M17220" s="124"/>
      <c r="N17220" s="124"/>
      <c r="O17220" s="124"/>
    </row>
    <row r="17221">
      <c r="K17221" s="124"/>
      <c r="L17221" s="124"/>
      <c r="M17221" s="124"/>
      <c r="N17221" s="124"/>
      <c r="O17221" s="124"/>
    </row>
    <row r="17222">
      <c r="K17222" s="124"/>
      <c r="L17222" s="124"/>
      <c r="M17222" s="124"/>
      <c r="N17222" s="124"/>
      <c r="O17222" s="124"/>
    </row>
    <row r="17223">
      <c r="K17223" s="124"/>
      <c r="L17223" s="124"/>
      <c r="M17223" s="124"/>
      <c r="N17223" s="124"/>
      <c r="O17223" s="124"/>
    </row>
    <row r="17224">
      <c r="K17224" s="124"/>
      <c r="L17224" s="124"/>
      <c r="M17224" s="124"/>
      <c r="N17224" s="124"/>
      <c r="O17224" s="124"/>
    </row>
    <row r="17225">
      <c r="K17225" s="124"/>
      <c r="L17225" s="124"/>
      <c r="M17225" s="124"/>
      <c r="N17225" s="124"/>
      <c r="O17225" s="124"/>
    </row>
    <row r="17226">
      <c r="K17226" s="124"/>
      <c r="L17226" s="124"/>
      <c r="M17226" s="124"/>
      <c r="N17226" s="124"/>
      <c r="O17226" s="124"/>
    </row>
    <row r="17227">
      <c r="K17227" s="124"/>
      <c r="L17227" s="124"/>
      <c r="M17227" s="124"/>
      <c r="N17227" s="124"/>
      <c r="O17227" s="124"/>
    </row>
    <row r="17228">
      <c r="K17228" s="124"/>
      <c r="L17228" s="124"/>
      <c r="M17228" s="124"/>
      <c r="N17228" s="124"/>
      <c r="O17228" s="124"/>
    </row>
    <row r="17229">
      <c r="K17229" s="124"/>
      <c r="L17229" s="124"/>
      <c r="M17229" s="124"/>
      <c r="N17229" s="124"/>
      <c r="O17229" s="124"/>
    </row>
    <row r="17230">
      <c r="K17230" s="124"/>
      <c r="L17230" s="124"/>
      <c r="M17230" s="124"/>
      <c r="N17230" s="124"/>
      <c r="O17230" s="124"/>
    </row>
    <row r="17231">
      <c r="K17231" s="124"/>
      <c r="L17231" s="124"/>
      <c r="M17231" s="124"/>
      <c r="N17231" s="124"/>
      <c r="O17231" s="124"/>
    </row>
    <row r="17232">
      <c r="K17232" s="124"/>
      <c r="L17232" s="124"/>
      <c r="M17232" s="124"/>
      <c r="N17232" s="124"/>
      <c r="O17232" s="124"/>
    </row>
    <row r="17233">
      <c r="K17233" s="124"/>
      <c r="L17233" s="124"/>
      <c r="M17233" s="124"/>
      <c r="N17233" s="124"/>
      <c r="O17233" s="124"/>
    </row>
    <row r="17234">
      <c r="K17234" s="124"/>
      <c r="L17234" s="124"/>
      <c r="M17234" s="124"/>
      <c r="N17234" s="124"/>
      <c r="O17234" s="124"/>
    </row>
    <row r="17235">
      <c r="K17235" s="124"/>
      <c r="L17235" s="124"/>
      <c r="M17235" s="124"/>
      <c r="N17235" s="124"/>
      <c r="O17235" s="124"/>
    </row>
    <row r="17236">
      <c r="K17236" s="124"/>
      <c r="L17236" s="124"/>
      <c r="M17236" s="124"/>
      <c r="N17236" s="124"/>
      <c r="O17236" s="124"/>
    </row>
    <row r="17237">
      <c r="K17237" s="124"/>
      <c r="L17237" s="124"/>
      <c r="M17237" s="124"/>
      <c r="N17237" s="124"/>
      <c r="O17237" s="124"/>
    </row>
    <row r="17238">
      <c r="K17238" s="124"/>
      <c r="L17238" s="124"/>
      <c r="M17238" s="124"/>
      <c r="N17238" s="124"/>
      <c r="O17238" s="124"/>
    </row>
    <row r="17239">
      <c r="K17239" s="124"/>
      <c r="L17239" s="124"/>
      <c r="M17239" s="124"/>
      <c r="N17239" s="124"/>
      <c r="O17239" s="124"/>
    </row>
    <row r="17240">
      <c r="K17240" s="124"/>
      <c r="L17240" s="124"/>
      <c r="M17240" s="124"/>
      <c r="N17240" s="124"/>
      <c r="O17240" s="124"/>
    </row>
    <row r="17241">
      <c r="K17241" s="124"/>
      <c r="L17241" s="124"/>
      <c r="M17241" s="124"/>
      <c r="N17241" s="124"/>
      <c r="O17241" s="124"/>
    </row>
    <row r="17242">
      <c r="K17242" s="124"/>
      <c r="L17242" s="124"/>
      <c r="M17242" s="124"/>
      <c r="N17242" s="124"/>
      <c r="O17242" s="124"/>
    </row>
    <row r="17243">
      <c r="K17243" s="124"/>
      <c r="L17243" s="124"/>
      <c r="M17243" s="124"/>
      <c r="N17243" s="124"/>
      <c r="O17243" s="124"/>
    </row>
    <row r="17244">
      <c r="K17244" s="124"/>
      <c r="L17244" s="124"/>
      <c r="M17244" s="124"/>
      <c r="N17244" s="124"/>
      <c r="O17244" s="124"/>
    </row>
    <row r="17245">
      <c r="K17245" s="124"/>
      <c r="L17245" s="124"/>
      <c r="M17245" s="124"/>
      <c r="N17245" s="124"/>
      <c r="O17245" s="124"/>
    </row>
    <row r="17246">
      <c r="K17246" s="124"/>
      <c r="L17246" s="124"/>
      <c r="M17246" s="124"/>
      <c r="N17246" s="124"/>
      <c r="O17246" s="124"/>
    </row>
    <row r="17247">
      <c r="K17247" s="124"/>
      <c r="L17247" s="124"/>
      <c r="M17247" s="124"/>
      <c r="N17247" s="124"/>
      <c r="O17247" s="124"/>
    </row>
    <row r="17248">
      <c r="K17248" s="124"/>
      <c r="L17248" s="124"/>
      <c r="M17248" s="124"/>
      <c r="N17248" s="124"/>
      <c r="O17248" s="124"/>
    </row>
    <row r="17249">
      <c r="K17249" s="124"/>
      <c r="L17249" s="124"/>
      <c r="M17249" s="124"/>
      <c r="N17249" s="124"/>
      <c r="O17249" s="124"/>
    </row>
    <row r="17250">
      <c r="K17250" s="124"/>
      <c r="L17250" s="124"/>
      <c r="M17250" s="124"/>
      <c r="N17250" s="124"/>
      <c r="O17250" s="124"/>
    </row>
    <row r="17251">
      <c r="K17251" s="124"/>
      <c r="L17251" s="124"/>
      <c r="M17251" s="124"/>
      <c r="N17251" s="124"/>
      <c r="O17251" s="124"/>
    </row>
    <row r="17252">
      <c r="K17252" s="124"/>
      <c r="L17252" s="124"/>
      <c r="M17252" s="124"/>
      <c r="N17252" s="124"/>
      <c r="O17252" s="124"/>
    </row>
    <row r="17253">
      <c r="K17253" s="124"/>
      <c r="L17253" s="124"/>
      <c r="M17253" s="124"/>
      <c r="N17253" s="124"/>
      <c r="O17253" s="124"/>
    </row>
    <row r="17254">
      <c r="K17254" s="124"/>
      <c r="L17254" s="124"/>
      <c r="M17254" s="124"/>
      <c r="N17254" s="124"/>
      <c r="O17254" s="124"/>
    </row>
    <row r="17255">
      <c r="K17255" s="124"/>
      <c r="L17255" s="124"/>
      <c r="M17255" s="124"/>
      <c r="N17255" s="124"/>
      <c r="O17255" s="124"/>
    </row>
    <row r="17256">
      <c r="K17256" s="124"/>
      <c r="L17256" s="124"/>
      <c r="M17256" s="124"/>
      <c r="N17256" s="124"/>
      <c r="O17256" s="124"/>
    </row>
    <row r="17257">
      <c r="K17257" s="124"/>
      <c r="L17257" s="124"/>
      <c r="M17257" s="124"/>
      <c r="N17257" s="124"/>
      <c r="O17257" s="124"/>
    </row>
    <row r="17258">
      <c r="K17258" s="124"/>
      <c r="L17258" s="124"/>
      <c r="M17258" s="124"/>
      <c r="N17258" s="124"/>
      <c r="O17258" s="124"/>
    </row>
    <row r="17259">
      <c r="K17259" s="124"/>
      <c r="L17259" s="124"/>
      <c r="M17259" s="124"/>
      <c r="N17259" s="124"/>
      <c r="O17259" s="124"/>
    </row>
    <row r="17260">
      <c r="K17260" s="124"/>
      <c r="L17260" s="124"/>
      <c r="M17260" s="124"/>
      <c r="N17260" s="124"/>
      <c r="O17260" s="124"/>
    </row>
    <row r="17261">
      <c r="K17261" s="124"/>
      <c r="L17261" s="124"/>
      <c r="M17261" s="124"/>
      <c r="N17261" s="124"/>
      <c r="O17261" s="124"/>
    </row>
    <row r="17262">
      <c r="K17262" s="124"/>
      <c r="L17262" s="124"/>
      <c r="M17262" s="124"/>
      <c r="N17262" s="124"/>
      <c r="O17262" s="124"/>
    </row>
    <row r="17263">
      <c r="K17263" s="124"/>
      <c r="L17263" s="124"/>
      <c r="M17263" s="124"/>
      <c r="N17263" s="124"/>
      <c r="O17263" s="124"/>
    </row>
    <row r="17264">
      <c r="K17264" s="124"/>
      <c r="L17264" s="124"/>
      <c r="M17264" s="124"/>
      <c r="N17264" s="124"/>
      <c r="O17264" s="124"/>
    </row>
    <row r="17265">
      <c r="K17265" s="124"/>
      <c r="L17265" s="124"/>
      <c r="M17265" s="124"/>
      <c r="N17265" s="124"/>
      <c r="O17265" s="124"/>
    </row>
    <row r="17266">
      <c r="K17266" s="124"/>
      <c r="L17266" s="124"/>
      <c r="M17266" s="124"/>
      <c r="N17266" s="124"/>
      <c r="O17266" s="124"/>
    </row>
    <row r="17267">
      <c r="K17267" s="124"/>
      <c r="L17267" s="124"/>
      <c r="M17267" s="124"/>
      <c r="N17267" s="124"/>
      <c r="O17267" s="124"/>
    </row>
    <row r="17268">
      <c r="K17268" s="124"/>
      <c r="L17268" s="124"/>
      <c r="M17268" s="124"/>
      <c r="N17268" s="124"/>
      <c r="O17268" s="124"/>
    </row>
    <row r="17269">
      <c r="K17269" s="124"/>
      <c r="L17269" s="124"/>
      <c r="M17269" s="124"/>
      <c r="N17269" s="124"/>
      <c r="O17269" s="124"/>
    </row>
    <row r="17270">
      <c r="K17270" s="124"/>
      <c r="L17270" s="124"/>
      <c r="M17270" s="124"/>
      <c r="N17270" s="124"/>
      <c r="O17270" s="124"/>
    </row>
    <row r="17271">
      <c r="K17271" s="124"/>
      <c r="L17271" s="124"/>
      <c r="M17271" s="124"/>
      <c r="N17271" s="124"/>
      <c r="O17271" s="124"/>
    </row>
    <row r="17272">
      <c r="K17272" s="124"/>
      <c r="L17272" s="124"/>
      <c r="M17272" s="124"/>
      <c r="N17272" s="124"/>
      <c r="O17272" s="124"/>
    </row>
    <row r="17273">
      <c r="K17273" s="124"/>
      <c r="L17273" s="124"/>
      <c r="M17273" s="124"/>
      <c r="N17273" s="124"/>
      <c r="O17273" s="124"/>
    </row>
    <row r="17274">
      <c r="K17274" s="124"/>
      <c r="L17274" s="124"/>
      <c r="M17274" s="124"/>
      <c r="N17274" s="124"/>
      <c r="O17274" s="124"/>
    </row>
    <row r="17275">
      <c r="K17275" s="124"/>
      <c r="L17275" s="124"/>
      <c r="M17275" s="124"/>
      <c r="N17275" s="124"/>
      <c r="O17275" s="124"/>
    </row>
    <row r="17276">
      <c r="K17276" s="124"/>
      <c r="L17276" s="124"/>
      <c r="M17276" s="124"/>
      <c r="N17276" s="124"/>
      <c r="O17276" s="124"/>
    </row>
    <row r="17277">
      <c r="K17277" s="124"/>
      <c r="L17277" s="124"/>
      <c r="M17277" s="124"/>
      <c r="N17277" s="124"/>
      <c r="O17277" s="124"/>
    </row>
    <row r="17278">
      <c r="K17278" s="124"/>
      <c r="L17278" s="124"/>
      <c r="M17278" s="124"/>
      <c r="N17278" s="124"/>
      <c r="O17278" s="124"/>
    </row>
    <row r="17279">
      <c r="K17279" s="124"/>
      <c r="L17279" s="124"/>
      <c r="M17279" s="124"/>
      <c r="N17279" s="124"/>
      <c r="O17279" s="124"/>
    </row>
    <row r="17280">
      <c r="K17280" s="124"/>
      <c r="L17280" s="124"/>
      <c r="M17280" s="124"/>
      <c r="N17280" s="124"/>
      <c r="O17280" s="124"/>
    </row>
    <row r="17281">
      <c r="K17281" s="124"/>
      <c r="L17281" s="124"/>
      <c r="M17281" s="124"/>
      <c r="N17281" s="124"/>
      <c r="O17281" s="124"/>
    </row>
    <row r="17282">
      <c r="K17282" s="124"/>
      <c r="L17282" s="124"/>
      <c r="M17282" s="124"/>
      <c r="N17282" s="124"/>
      <c r="O17282" s="124"/>
    </row>
    <row r="17283">
      <c r="K17283" s="124"/>
      <c r="L17283" s="124"/>
      <c r="M17283" s="124"/>
      <c r="N17283" s="124"/>
      <c r="O17283" s="124"/>
    </row>
    <row r="17284">
      <c r="K17284" s="124"/>
      <c r="L17284" s="124"/>
      <c r="M17284" s="124"/>
      <c r="N17284" s="124"/>
      <c r="O17284" s="124"/>
    </row>
    <row r="17285">
      <c r="K17285" s="124"/>
      <c r="L17285" s="124"/>
      <c r="M17285" s="124"/>
      <c r="N17285" s="124"/>
      <c r="O17285" s="124"/>
    </row>
    <row r="17286">
      <c r="K17286" s="124"/>
      <c r="L17286" s="124"/>
      <c r="M17286" s="124"/>
      <c r="N17286" s="124"/>
      <c r="O17286" s="124"/>
    </row>
    <row r="17287">
      <c r="K17287" s="124"/>
      <c r="L17287" s="124"/>
      <c r="M17287" s="124"/>
      <c r="N17287" s="124"/>
      <c r="O17287" s="124"/>
    </row>
    <row r="17288">
      <c r="K17288" s="124"/>
      <c r="L17288" s="124"/>
      <c r="M17288" s="124"/>
      <c r="N17288" s="124"/>
      <c r="O17288" s="124"/>
    </row>
    <row r="17289">
      <c r="K17289" s="124"/>
      <c r="L17289" s="124"/>
      <c r="M17289" s="124"/>
      <c r="N17289" s="124"/>
      <c r="O17289" s="124"/>
    </row>
    <row r="17290">
      <c r="K17290" s="124"/>
      <c r="L17290" s="124"/>
      <c r="M17290" s="124"/>
      <c r="N17290" s="124"/>
      <c r="O17290" s="124"/>
    </row>
    <row r="17291">
      <c r="K17291" s="124"/>
      <c r="L17291" s="124"/>
      <c r="M17291" s="124"/>
      <c r="N17291" s="124"/>
      <c r="O17291" s="124"/>
    </row>
    <row r="17292">
      <c r="K17292" s="124"/>
      <c r="L17292" s="124"/>
      <c r="M17292" s="124"/>
      <c r="N17292" s="124"/>
      <c r="O17292" s="124"/>
    </row>
    <row r="17293">
      <c r="K17293" s="124"/>
      <c r="L17293" s="124"/>
      <c r="M17293" s="124"/>
      <c r="N17293" s="124"/>
      <c r="O17293" s="124"/>
    </row>
    <row r="17294">
      <c r="K17294" s="124"/>
      <c r="L17294" s="124"/>
      <c r="M17294" s="124"/>
      <c r="N17294" s="124"/>
      <c r="O17294" s="124"/>
    </row>
    <row r="17295">
      <c r="K17295" s="124"/>
      <c r="L17295" s="124"/>
      <c r="M17295" s="124"/>
      <c r="N17295" s="124"/>
      <c r="O17295" s="124"/>
    </row>
    <row r="17296">
      <c r="K17296" s="124"/>
      <c r="L17296" s="124"/>
      <c r="M17296" s="124"/>
      <c r="N17296" s="124"/>
      <c r="O17296" s="124"/>
    </row>
    <row r="17297">
      <c r="K17297" s="124"/>
      <c r="L17297" s="124"/>
      <c r="M17297" s="124"/>
      <c r="N17297" s="124"/>
      <c r="O17297" s="124"/>
    </row>
    <row r="17298">
      <c r="K17298" s="124"/>
      <c r="L17298" s="124"/>
      <c r="M17298" s="124"/>
      <c r="N17298" s="124"/>
      <c r="O17298" s="124"/>
    </row>
    <row r="17299">
      <c r="K17299" s="124"/>
      <c r="L17299" s="124"/>
      <c r="M17299" s="124"/>
      <c r="N17299" s="124"/>
      <c r="O17299" s="124"/>
    </row>
    <row r="17300">
      <c r="K17300" s="124"/>
      <c r="L17300" s="124"/>
      <c r="M17300" s="124"/>
      <c r="N17300" s="124"/>
      <c r="O17300" s="124"/>
    </row>
    <row r="17301">
      <c r="K17301" s="124"/>
      <c r="L17301" s="124"/>
      <c r="M17301" s="124"/>
      <c r="N17301" s="124"/>
      <c r="O17301" s="124"/>
    </row>
    <row r="17302">
      <c r="K17302" s="124"/>
      <c r="L17302" s="124"/>
      <c r="M17302" s="124"/>
      <c r="N17302" s="124"/>
      <c r="O17302" s="124"/>
    </row>
    <row r="17303">
      <c r="K17303" s="124"/>
      <c r="L17303" s="124"/>
      <c r="M17303" s="124"/>
      <c r="N17303" s="124"/>
      <c r="O17303" s="124"/>
    </row>
    <row r="17304">
      <c r="K17304" s="124"/>
      <c r="L17304" s="124"/>
      <c r="M17304" s="124"/>
      <c r="N17304" s="124"/>
      <c r="O17304" s="124"/>
    </row>
    <row r="17305">
      <c r="K17305" s="124"/>
      <c r="L17305" s="124"/>
      <c r="M17305" s="124"/>
      <c r="N17305" s="124"/>
      <c r="O17305" s="124"/>
    </row>
    <row r="17306">
      <c r="K17306" s="124"/>
      <c r="L17306" s="124"/>
      <c r="M17306" s="124"/>
      <c r="N17306" s="124"/>
      <c r="O17306" s="124"/>
    </row>
    <row r="17307">
      <c r="K17307" s="124"/>
      <c r="L17307" s="124"/>
      <c r="M17307" s="124"/>
      <c r="N17307" s="124"/>
      <c r="O17307" s="124"/>
    </row>
    <row r="17308">
      <c r="K17308" s="124"/>
      <c r="L17308" s="124"/>
      <c r="M17308" s="124"/>
      <c r="N17308" s="124"/>
      <c r="O17308" s="124"/>
    </row>
    <row r="17309">
      <c r="K17309" s="124"/>
      <c r="L17309" s="124"/>
      <c r="M17309" s="124"/>
      <c r="N17309" s="124"/>
      <c r="O17309" s="124"/>
    </row>
    <row r="17310">
      <c r="K17310" s="124"/>
      <c r="L17310" s="124"/>
      <c r="M17310" s="124"/>
      <c r="N17310" s="124"/>
      <c r="O17310" s="124"/>
    </row>
    <row r="17311">
      <c r="K17311" s="124"/>
      <c r="L17311" s="124"/>
      <c r="M17311" s="124"/>
      <c r="N17311" s="124"/>
      <c r="O17311" s="124"/>
    </row>
    <row r="17312">
      <c r="K17312" s="124"/>
      <c r="L17312" s="124"/>
      <c r="M17312" s="124"/>
      <c r="N17312" s="124"/>
      <c r="O17312" s="124"/>
    </row>
    <row r="17313">
      <c r="K17313" s="124"/>
      <c r="L17313" s="124"/>
      <c r="M17313" s="124"/>
      <c r="N17313" s="124"/>
      <c r="O17313" s="124"/>
    </row>
    <row r="17314">
      <c r="K17314" s="124"/>
      <c r="L17314" s="124"/>
      <c r="M17314" s="124"/>
      <c r="N17314" s="124"/>
      <c r="O17314" s="124"/>
    </row>
    <row r="17315">
      <c r="K17315" s="124"/>
      <c r="L17315" s="124"/>
      <c r="M17315" s="124"/>
      <c r="N17315" s="124"/>
      <c r="O17315" s="124"/>
    </row>
    <row r="17316">
      <c r="K17316" s="124"/>
      <c r="L17316" s="124"/>
      <c r="M17316" s="124"/>
      <c r="N17316" s="124"/>
      <c r="O17316" s="124"/>
    </row>
    <row r="17317">
      <c r="K17317" s="124"/>
      <c r="L17317" s="124"/>
      <c r="M17317" s="124"/>
      <c r="N17317" s="124"/>
      <c r="O17317" s="124"/>
    </row>
    <row r="17318">
      <c r="K17318" s="124"/>
      <c r="L17318" s="124"/>
      <c r="M17318" s="124"/>
      <c r="N17318" s="124"/>
      <c r="O17318" s="124"/>
    </row>
    <row r="17319">
      <c r="K17319" s="124"/>
      <c r="L17319" s="124"/>
      <c r="M17319" s="124"/>
      <c r="N17319" s="124"/>
      <c r="O17319" s="124"/>
    </row>
    <row r="17320">
      <c r="K17320" s="124"/>
      <c r="L17320" s="124"/>
      <c r="M17320" s="124"/>
      <c r="N17320" s="124"/>
      <c r="O17320" s="124"/>
    </row>
    <row r="17321">
      <c r="K17321" s="124"/>
      <c r="L17321" s="124"/>
      <c r="M17321" s="124"/>
      <c r="N17321" s="124"/>
      <c r="O17321" s="124"/>
    </row>
    <row r="17322">
      <c r="K17322" s="124"/>
      <c r="L17322" s="124"/>
      <c r="M17322" s="124"/>
      <c r="N17322" s="124"/>
      <c r="O17322" s="124"/>
    </row>
    <row r="17323">
      <c r="K17323" s="124"/>
      <c r="L17323" s="124"/>
      <c r="M17323" s="124"/>
      <c r="N17323" s="124"/>
      <c r="O17323" s="124"/>
    </row>
    <row r="17324">
      <c r="K17324" s="124"/>
      <c r="L17324" s="124"/>
      <c r="M17324" s="124"/>
      <c r="N17324" s="124"/>
      <c r="O17324" s="124"/>
    </row>
    <row r="17325">
      <c r="K17325" s="124"/>
      <c r="L17325" s="124"/>
      <c r="M17325" s="124"/>
      <c r="N17325" s="124"/>
      <c r="O17325" s="124"/>
    </row>
    <row r="17326">
      <c r="K17326" s="124"/>
      <c r="L17326" s="124"/>
      <c r="M17326" s="124"/>
      <c r="N17326" s="124"/>
      <c r="O17326" s="124"/>
    </row>
    <row r="17327">
      <c r="K17327" s="124"/>
      <c r="L17327" s="124"/>
      <c r="M17327" s="124"/>
      <c r="N17327" s="124"/>
      <c r="O17327" s="124"/>
    </row>
    <row r="17328">
      <c r="K17328" s="124"/>
      <c r="L17328" s="124"/>
      <c r="M17328" s="124"/>
      <c r="N17328" s="124"/>
      <c r="O17328" s="124"/>
    </row>
    <row r="17329">
      <c r="K17329" s="124"/>
      <c r="L17329" s="124"/>
      <c r="M17329" s="124"/>
      <c r="N17329" s="124"/>
      <c r="O17329" s="124"/>
    </row>
    <row r="17330">
      <c r="K17330" s="124"/>
      <c r="L17330" s="124"/>
      <c r="M17330" s="124"/>
      <c r="N17330" s="124"/>
      <c r="O17330" s="124"/>
    </row>
    <row r="17331">
      <c r="K17331" s="124"/>
      <c r="L17331" s="124"/>
      <c r="M17331" s="124"/>
      <c r="N17331" s="124"/>
      <c r="O17331" s="124"/>
    </row>
    <row r="17332">
      <c r="K17332" s="124"/>
      <c r="L17332" s="124"/>
      <c r="M17332" s="124"/>
      <c r="N17332" s="124"/>
      <c r="O17332" s="124"/>
    </row>
    <row r="17333">
      <c r="K17333" s="124"/>
      <c r="L17333" s="124"/>
      <c r="M17333" s="124"/>
      <c r="N17333" s="124"/>
      <c r="O17333" s="124"/>
    </row>
    <row r="17334">
      <c r="K17334" s="124"/>
      <c r="L17334" s="124"/>
      <c r="M17334" s="124"/>
      <c r="N17334" s="124"/>
      <c r="O17334" s="124"/>
    </row>
    <row r="17335">
      <c r="K17335" s="124"/>
      <c r="L17335" s="124"/>
      <c r="M17335" s="124"/>
      <c r="N17335" s="124"/>
      <c r="O17335" s="124"/>
    </row>
    <row r="17336">
      <c r="K17336" s="124"/>
      <c r="L17336" s="124"/>
      <c r="M17336" s="124"/>
      <c r="N17336" s="124"/>
      <c r="O17336" s="124"/>
    </row>
    <row r="17337">
      <c r="K17337" s="124"/>
      <c r="L17337" s="124"/>
      <c r="M17337" s="124"/>
      <c r="N17337" s="124"/>
      <c r="O17337" s="124"/>
    </row>
    <row r="17338">
      <c r="K17338" s="124"/>
      <c r="L17338" s="124"/>
      <c r="M17338" s="124"/>
      <c r="N17338" s="124"/>
      <c r="O17338" s="124"/>
    </row>
    <row r="17339">
      <c r="K17339" s="124"/>
      <c r="L17339" s="124"/>
      <c r="M17339" s="124"/>
      <c r="N17339" s="124"/>
      <c r="O17339" s="124"/>
    </row>
    <row r="17340">
      <c r="K17340" s="124"/>
      <c r="L17340" s="124"/>
      <c r="M17340" s="124"/>
      <c r="N17340" s="124"/>
      <c r="O17340" s="124"/>
    </row>
    <row r="17341">
      <c r="K17341" s="124"/>
      <c r="L17341" s="124"/>
      <c r="M17341" s="124"/>
      <c r="N17341" s="124"/>
      <c r="O17341" s="124"/>
    </row>
    <row r="17342">
      <c r="K17342" s="124"/>
      <c r="L17342" s="124"/>
      <c r="M17342" s="124"/>
      <c r="N17342" s="124"/>
      <c r="O17342" s="124"/>
    </row>
    <row r="17343">
      <c r="K17343" s="124"/>
      <c r="L17343" s="124"/>
      <c r="M17343" s="124"/>
      <c r="N17343" s="124"/>
      <c r="O17343" s="124"/>
    </row>
    <row r="17344">
      <c r="K17344" s="124"/>
      <c r="L17344" s="124"/>
      <c r="M17344" s="124"/>
      <c r="N17344" s="124"/>
      <c r="O17344" s="124"/>
    </row>
    <row r="17345">
      <c r="K17345" s="124"/>
      <c r="L17345" s="124"/>
      <c r="M17345" s="124"/>
      <c r="N17345" s="124"/>
      <c r="O17345" s="124"/>
    </row>
    <row r="17346">
      <c r="K17346" s="124"/>
      <c r="L17346" s="124"/>
      <c r="M17346" s="124"/>
      <c r="N17346" s="124"/>
      <c r="O17346" s="124"/>
    </row>
    <row r="17347">
      <c r="K17347" s="124"/>
      <c r="L17347" s="124"/>
      <c r="M17347" s="124"/>
      <c r="N17347" s="124"/>
      <c r="O17347" s="124"/>
    </row>
    <row r="17348">
      <c r="K17348" s="124"/>
      <c r="L17348" s="124"/>
      <c r="M17348" s="124"/>
      <c r="N17348" s="124"/>
      <c r="O17348" s="124"/>
    </row>
    <row r="17349">
      <c r="K17349" s="124"/>
      <c r="L17349" s="124"/>
      <c r="M17349" s="124"/>
      <c r="N17349" s="124"/>
      <c r="O17349" s="124"/>
    </row>
    <row r="17350">
      <c r="K17350" s="124"/>
      <c r="L17350" s="124"/>
      <c r="M17350" s="124"/>
      <c r="N17350" s="124"/>
      <c r="O17350" s="124"/>
    </row>
    <row r="17351">
      <c r="K17351" s="124"/>
      <c r="L17351" s="124"/>
      <c r="M17351" s="124"/>
      <c r="N17351" s="124"/>
      <c r="O17351" s="124"/>
    </row>
    <row r="17352">
      <c r="K17352" s="124"/>
      <c r="L17352" s="124"/>
      <c r="M17352" s="124"/>
      <c r="N17352" s="124"/>
      <c r="O17352" s="124"/>
    </row>
    <row r="17353">
      <c r="K17353" s="124"/>
      <c r="L17353" s="124"/>
      <c r="M17353" s="124"/>
      <c r="N17353" s="124"/>
      <c r="O17353" s="124"/>
    </row>
    <row r="17354">
      <c r="K17354" s="124"/>
      <c r="L17354" s="124"/>
      <c r="M17354" s="124"/>
      <c r="N17354" s="124"/>
      <c r="O17354" s="124"/>
    </row>
    <row r="17355">
      <c r="K17355" s="124"/>
      <c r="L17355" s="124"/>
      <c r="M17355" s="124"/>
      <c r="N17355" s="124"/>
      <c r="O17355" s="124"/>
    </row>
    <row r="17356">
      <c r="K17356" s="124"/>
      <c r="L17356" s="124"/>
      <c r="M17356" s="124"/>
      <c r="N17356" s="124"/>
      <c r="O17356" s="124"/>
    </row>
    <row r="17357">
      <c r="K17357" s="124"/>
      <c r="L17357" s="124"/>
      <c r="M17357" s="124"/>
      <c r="N17357" s="124"/>
      <c r="O17357" s="124"/>
    </row>
    <row r="17358">
      <c r="K17358" s="124"/>
      <c r="L17358" s="124"/>
      <c r="M17358" s="124"/>
      <c r="N17358" s="124"/>
      <c r="O17358" s="124"/>
    </row>
    <row r="17359">
      <c r="K17359" s="124"/>
      <c r="L17359" s="124"/>
      <c r="M17359" s="124"/>
      <c r="N17359" s="124"/>
      <c r="O17359" s="124"/>
    </row>
    <row r="17360">
      <c r="K17360" s="124"/>
      <c r="L17360" s="124"/>
      <c r="M17360" s="124"/>
      <c r="N17360" s="124"/>
      <c r="O17360" s="124"/>
    </row>
    <row r="17361">
      <c r="K17361" s="124"/>
      <c r="L17361" s="124"/>
      <c r="M17361" s="124"/>
      <c r="N17361" s="124"/>
      <c r="O17361" s="124"/>
    </row>
    <row r="17362">
      <c r="K17362" s="124"/>
      <c r="L17362" s="124"/>
      <c r="M17362" s="124"/>
      <c r="N17362" s="124"/>
      <c r="O17362" s="124"/>
    </row>
    <row r="17363">
      <c r="K17363" s="124"/>
      <c r="L17363" s="124"/>
      <c r="M17363" s="124"/>
      <c r="N17363" s="124"/>
      <c r="O17363" s="124"/>
    </row>
    <row r="17364">
      <c r="K17364" s="124"/>
      <c r="L17364" s="124"/>
      <c r="M17364" s="124"/>
      <c r="N17364" s="124"/>
      <c r="O17364" s="124"/>
    </row>
    <row r="17365">
      <c r="K17365" s="124"/>
      <c r="L17365" s="124"/>
      <c r="M17365" s="124"/>
      <c r="N17365" s="124"/>
      <c r="O17365" s="124"/>
    </row>
    <row r="17366">
      <c r="K17366" s="124"/>
      <c r="L17366" s="124"/>
      <c r="M17366" s="124"/>
      <c r="N17366" s="124"/>
      <c r="O17366" s="124"/>
    </row>
    <row r="17367">
      <c r="K17367" s="124"/>
      <c r="L17367" s="124"/>
      <c r="M17367" s="124"/>
      <c r="N17367" s="124"/>
      <c r="O17367" s="124"/>
    </row>
    <row r="17368">
      <c r="K17368" s="124"/>
      <c r="L17368" s="124"/>
      <c r="M17368" s="124"/>
      <c r="N17368" s="124"/>
      <c r="O17368" s="124"/>
    </row>
    <row r="17369">
      <c r="K17369" s="124"/>
      <c r="L17369" s="124"/>
      <c r="M17369" s="124"/>
      <c r="N17369" s="124"/>
      <c r="O17369" s="124"/>
    </row>
    <row r="17370">
      <c r="K17370" s="124"/>
      <c r="L17370" s="124"/>
      <c r="M17370" s="124"/>
      <c r="N17370" s="124"/>
      <c r="O17370" s="124"/>
    </row>
    <row r="17371">
      <c r="K17371" s="124"/>
      <c r="L17371" s="124"/>
      <c r="M17371" s="124"/>
      <c r="N17371" s="124"/>
      <c r="O17371" s="124"/>
    </row>
    <row r="17372">
      <c r="K17372" s="124"/>
      <c r="L17372" s="124"/>
      <c r="M17372" s="124"/>
      <c r="N17372" s="124"/>
      <c r="O17372" s="124"/>
    </row>
    <row r="17373">
      <c r="K17373" s="124"/>
      <c r="L17373" s="124"/>
      <c r="M17373" s="124"/>
      <c r="N17373" s="124"/>
      <c r="O17373" s="124"/>
    </row>
    <row r="17374">
      <c r="K17374" s="124"/>
      <c r="L17374" s="124"/>
      <c r="M17374" s="124"/>
      <c r="N17374" s="124"/>
      <c r="O17374" s="124"/>
    </row>
    <row r="17375">
      <c r="K17375" s="124"/>
      <c r="L17375" s="124"/>
      <c r="M17375" s="124"/>
      <c r="N17375" s="124"/>
      <c r="O17375" s="124"/>
    </row>
    <row r="17376">
      <c r="K17376" s="124"/>
      <c r="L17376" s="124"/>
      <c r="M17376" s="124"/>
      <c r="N17376" s="124"/>
      <c r="O17376" s="124"/>
    </row>
    <row r="17377">
      <c r="K17377" s="124"/>
      <c r="L17377" s="124"/>
      <c r="M17377" s="124"/>
      <c r="N17377" s="124"/>
      <c r="O17377" s="124"/>
    </row>
    <row r="17378">
      <c r="K17378" s="124"/>
      <c r="L17378" s="124"/>
      <c r="M17378" s="124"/>
      <c r="N17378" s="124"/>
      <c r="O17378" s="124"/>
    </row>
    <row r="17379">
      <c r="K17379" s="124"/>
      <c r="L17379" s="124"/>
      <c r="M17379" s="124"/>
      <c r="N17379" s="124"/>
      <c r="O17379" s="124"/>
    </row>
    <row r="17380">
      <c r="K17380" s="124"/>
      <c r="L17380" s="124"/>
      <c r="M17380" s="124"/>
      <c r="N17380" s="124"/>
      <c r="O17380" s="124"/>
    </row>
    <row r="17381">
      <c r="K17381" s="124"/>
      <c r="L17381" s="124"/>
      <c r="M17381" s="124"/>
      <c r="N17381" s="124"/>
      <c r="O17381" s="124"/>
    </row>
    <row r="17382">
      <c r="K17382" s="124"/>
      <c r="L17382" s="124"/>
      <c r="M17382" s="124"/>
      <c r="N17382" s="124"/>
      <c r="O17382" s="124"/>
    </row>
    <row r="17383">
      <c r="K17383" s="124"/>
      <c r="L17383" s="124"/>
      <c r="M17383" s="124"/>
      <c r="N17383" s="124"/>
      <c r="O17383" s="124"/>
    </row>
    <row r="17384">
      <c r="K17384" s="124"/>
      <c r="L17384" s="124"/>
      <c r="M17384" s="124"/>
      <c r="N17384" s="124"/>
      <c r="O17384" s="124"/>
    </row>
    <row r="17385">
      <c r="K17385" s="124"/>
      <c r="L17385" s="124"/>
      <c r="M17385" s="124"/>
      <c r="N17385" s="124"/>
      <c r="O17385" s="124"/>
    </row>
    <row r="17386">
      <c r="K17386" s="124"/>
      <c r="L17386" s="124"/>
      <c r="M17386" s="124"/>
      <c r="N17386" s="124"/>
      <c r="O17386" s="124"/>
    </row>
    <row r="17387">
      <c r="K17387" s="124"/>
      <c r="L17387" s="124"/>
      <c r="M17387" s="124"/>
      <c r="N17387" s="124"/>
      <c r="O17387" s="124"/>
    </row>
    <row r="17388">
      <c r="K17388" s="124"/>
      <c r="L17388" s="124"/>
      <c r="M17388" s="124"/>
      <c r="N17388" s="124"/>
      <c r="O17388" s="124"/>
    </row>
    <row r="17389">
      <c r="K17389" s="124"/>
      <c r="L17389" s="124"/>
      <c r="M17389" s="124"/>
      <c r="N17389" s="124"/>
      <c r="O17389" s="124"/>
    </row>
    <row r="17390">
      <c r="K17390" s="124"/>
      <c r="L17390" s="124"/>
      <c r="M17390" s="124"/>
      <c r="N17390" s="124"/>
      <c r="O17390" s="124"/>
    </row>
    <row r="17391">
      <c r="K17391" s="124"/>
      <c r="L17391" s="124"/>
      <c r="M17391" s="124"/>
      <c r="N17391" s="124"/>
      <c r="O17391" s="124"/>
    </row>
    <row r="17392">
      <c r="K17392" s="124"/>
      <c r="L17392" s="124"/>
      <c r="M17392" s="124"/>
      <c r="N17392" s="124"/>
      <c r="O17392" s="124"/>
    </row>
    <row r="17393">
      <c r="K17393" s="124"/>
      <c r="L17393" s="124"/>
      <c r="M17393" s="124"/>
      <c r="N17393" s="124"/>
      <c r="O17393" s="124"/>
    </row>
    <row r="17394">
      <c r="K17394" s="124"/>
      <c r="L17394" s="124"/>
      <c r="M17394" s="124"/>
      <c r="N17394" s="124"/>
      <c r="O17394" s="124"/>
    </row>
    <row r="17395">
      <c r="K17395" s="124"/>
      <c r="L17395" s="124"/>
      <c r="M17395" s="124"/>
      <c r="N17395" s="124"/>
      <c r="O17395" s="124"/>
    </row>
    <row r="17396">
      <c r="K17396" s="124"/>
      <c r="L17396" s="124"/>
      <c r="M17396" s="124"/>
      <c r="N17396" s="124"/>
      <c r="O17396" s="124"/>
    </row>
    <row r="17397">
      <c r="K17397" s="124"/>
      <c r="L17397" s="124"/>
      <c r="M17397" s="124"/>
      <c r="N17397" s="124"/>
      <c r="O17397" s="124"/>
    </row>
    <row r="17398">
      <c r="K17398" s="124"/>
      <c r="L17398" s="124"/>
      <c r="M17398" s="124"/>
      <c r="N17398" s="124"/>
      <c r="O17398" s="124"/>
    </row>
    <row r="17399">
      <c r="K17399" s="124"/>
      <c r="L17399" s="124"/>
      <c r="M17399" s="124"/>
      <c r="N17399" s="124"/>
      <c r="O17399" s="124"/>
    </row>
    <row r="17400">
      <c r="K17400" s="124"/>
      <c r="L17400" s="124"/>
      <c r="M17400" s="124"/>
      <c r="N17400" s="124"/>
      <c r="O17400" s="124"/>
    </row>
    <row r="17401">
      <c r="K17401" s="124"/>
      <c r="L17401" s="124"/>
      <c r="M17401" s="124"/>
      <c r="N17401" s="124"/>
      <c r="O17401" s="124"/>
    </row>
    <row r="17402">
      <c r="K17402" s="124"/>
      <c r="L17402" s="124"/>
      <c r="M17402" s="124"/>
      <c r="N17402" s="124"/>
      <c r="O17402" s="124"/>
    </row>
    <row r="17403">
      <c r="K17403" s="124"/>
      <c r="L17403" s="124"/>
      <c r="M17403" s="124"/>
      <c r="N17403" s="124"/>
      <c r="O17403" s="124"/>
    </row>
    <row r="17404">
      <c r="K17404" s="124"/>
      <c r="L17404" s="124"/>
      <c r="M17404" s="124"/>
      <c r="N17404" s="124"/>
      <c r="O17404" s="124"/>
    </row>
    <row r="17405">
      <c r="K17405" s="124"/>
      <c r="L17405" s="124"/>
      <c r="M17405" s="124"/>
      <c r="N17405" s="124"/>
      <c r="O17405" s="124"/>
    </row>
    <row r="17406">
      <c r="K17406" s="124"/>
      <c r="L17406" s="124"/>
      <c r="M17406" s="124"/>
      <c r="N17406" s="124"/>
      <c r="O17406" s="124"/>
    </row>
    <row r="17407">
      <c r="K17407" s="124"/>
      <c r="L17407" s="124"/>
      <c r="M17407" s="124"/>
      <c r="N17407" s="124"/>
      <c r="O17407" s="124"/>
    </row>
    <row r="17408">
      <c r="K17408" s="124"/>
      <c r="L17408" s="124"/>
      <c r="M17408" s="124"/>
      <c r="N17408" s="124"/>
      <c r="O17408" s="124"/>
    </row>
    <row r="17409">
      <c r="K17409" s="124"/>
      <c r="L17409" s="124"/>
      <c r="M17409" s="124"/>
      <c r="N17409" s="124"/>
      <c r="O17409" s="124"/>
    </row>
    <row r="17410">
      <c r="K17410" s="124"/>
      <c r="L17410" s="124"/>
      <c r="M17410" s="124"/>
      <c r="N17410" s="124"/>
      <c r="O17410" s="124"/>
    </row>
    <row r="17411">
      <c r="K17411" s="124"/>
      <c r="L17411" s="124"/>
      <c r="M17411" s="124"/>
      <c r="N17411" s="124"/>
      <c r="O17411" s="124"/>
    </row>
    <row r="17412">
      <c r="K17412" s="124"/>
      <c r="L17412" s="124"/>
      <c r="M17412" s="124"/>
      <c r="N17412" s="124"/>
      <c r="O17412" s="124"/>
    </row>
    <row r="17413">
      <c r="K17413" s="124"/>
      <c r="L17413" s="124"/>
      <c r="M17413" s="124"/>
      <c r="N17413" s="124"/>
      <c r="O17413" s="124"/>
    </row>
    <row r="17414">
      <c r="K17414" s="124"/>
      <c r="L17414" s="124"/>
      <c r="M17414" s="124"/>
      <c r="N17414" s="124"/>
      <c r="O17414" s="124"/>
    </row>
    <row r="17415">
      <c r="K17415" s="124"/>
      <c r="L17415" s="124"/>
      <c r="M17415" s="124"/>
      <c r="N17415" s="124"/>
      <c r="O17415" s="124"/>
    </row>
    <row r="17416">
      <c r="K17416" s="124"/>
      <c r="L17416" s="124"/>
      <c r="M17416" s="124"/>
      <c r="N17416" s="124"/>
      <c r="O17416" s="124"/>
    </row>
    <row r="17417">
      <c r="K17417" s="124"/>
      <c r="L17417" s="124"/>
      <c r="M17417" s="124"/>
      <c r="N17417" s="124"/>
      <c r="O17417" s="124"/>
    </row>
    <row r="17418">
      <c r="K17418" s="124"/>
      <c r="L17418" s="124"/>
      <c r="M17418" s="124"/>
      <c r="N17418" s="124"/>
      <c r="O17418" s="124"/>
    </row>
    <row r="17419">
      <c r="K17419" s="124"/>
      <c r="L17419" s="124"/>
      <c r="M17419" s="124"/>
      <c r="N17419" s="124"/>
      <c r="O17419" s="124"/>
    </row>
    <row r="17420">
      <c r="K17420" s="124"/>
      <c r="L17420" s="124"/>
      <c r="M17420" s="124"/>
      <c r="N17420" s="124"/>
      <c r="O17420" s="124"/>
    </row>
    <row r="17421">
      <c r="K17421" s="124"/>
      <c r="L17421" s="124"/>
      <c r="M17421" s="124"/>
      <c r="N17421" s="124"/>
      <c r="O17421" s="124"/>
    </row>
    <row r="17422">
      <c r="K17422" s="124"/>
      <c r="L17422" s="124"/>
      <c r="M17422" s="124"/>
      <c r="N17422" s="124"/>
      <c r="O17422" s="124"/>
    </row>
    <row r="17423">
      <c r="K17423" s="124"/>
      <c r="L17423" s="124"/>
      <c r="M17423" s="124"/>
      <c r="N17423" s="124"/>
      <c r="O17423" s="124"/>
    </row>
    <row r="17424">
      <c r="K17424" s="124"/>
      <c r="L17424" s="124"/>
      <c r="M17424" s="124"/>
      <c r="N17424" s="124"/>
      <c r="O17424" s="124"/>
    </row>
    <row r="17425">
      <c r="K17425" s="124"/>
      <c r="L17425" s="124"/>
      <c r="M17425" s="124"/>
      <c r="N17425" s="124"/>
      <c r="O17425" s="124"/>
    </row>
    <row r="17426">
      <c r="K17426" s="124"/>
      <c r="L17426" s="124"/>
      <c r="M17426" s="124"/>
      <c r="N17426" s="124"/>
      <c r="O17426" s="124"/>
    </row>
    <row r="17427">
      <c r="K17427" s="124"/>
      <c r="L17427" s="124"/>
      <c r="M17427" s="124"/>
      <c r="N17427" s="124"/>
      <c r="O17427" s="124"/>
    </row>
    <row r="17428">
      <c r="K17428" s="124"/>
      <c r="L17428" s="124"/>
      <c r="M17428" s="124"/>
      <c r="N17428" s="124"/>
      <c r="O17428" s="124"/>
    </row>
    <row r="17429">
      <c r="K17429" s="124"/>
      <c r="L17429" s="124"/>
      <c r="M17429" s="124"/>
      <c r="N17429" s="124"/>
      <c r="O17429" s="124"/>
    </row>
    <row r="17430">
      <c r="K17430" s="124"/>
      <c r="L17430" s="124"/>
      <c r="M17430" s="124"/>
      <c r="N17430" s="124"/>
      <c r="O17430" s="124"/>
    </row>
    <row r="17431">
      <c r="K17431" s="124"/>
      <c r="L17431" s="124"/>
      <c r="M17431" s="124"/>
      <c r="N17431" s="124"/>
      <c r="O17431" s="124"/>
    </row>
    <row r="17432">
      <c r="K17432" s="124"/>
      <c r="L17432" s="124"/>
      <c r="M17432" s="124"/>
      <c r="N17432" s="124"/>
      <c r="O17432" s="124"/>
    </row>
    <row r="17433">
      <c r="K17433" s="124"/>
      <c r="L17433" s="124"/>
      <c r="M17433" s="124"/>
      <c r="N17433" s="124"/>
      <c r="O17433" s="124"/>
    </row>
    <row r="17434">
      <c r="K17434" s="124"/>
      <c r="L17434" s="124"/>
      <c r="M17434" s="124"/>
      <c r="N17434" s="124"/>
      <c r="O17434" s="124"/>
    </row>
    <row r="17435">
      <c r="K17435" s="124"/>
      <c r="L17435" s="124"/>
      <c r="M17435" s="124"/>
      <c r="N17435" s="124"/>
      <c r="O17435" s="124"/>
    </row>
    <row r="17436">
      <c r="K17436" s="124"/>
      <c r="L17436" s="124"/>
      <c r="M17436" s="124"/>
      <c r="N17436" s="124"/>
      <c r="O17436" s="124"/>
    </row>
    <row r="17437">
      <c r="K17437" s="124"/>
      <c r="L17437" s="124"/>
      <c r="M17437" s="124"/>
      <c r="N17437" s="124"/>
      <c r="O17437" s="124"/>
    </row>
    <row r="17438">
      <c r="K17438" s="124"/>
      <c r="L17438" s="124"/>
      <c r="M17438" s="124"/>
      <c r="N17438" s="124"/>
      <c r="O17438" s="124"/>
    </row>
    <row r="17439">
      <c r="K17439" s="124"/>
      <c r="L17439" s="124"/>
      <c r="M17439" s="124"/>
      <c r="N17439" s="124"/>
      <c r="O17439" s="124"/>
    </row>
    <row r="17440">
      <c r="K17440" s="124"/>
      <c r="L17440" s="124"/>
      <c r="M17440" s="124"/>
      <c r="N17440" s="124"/>
      <c r="O17440" s="124"/>
    </row>
    <row r="17441">
      <c r="K17441" s="124"/>
      <c r="L17441" s="124"/>
      <c r="M17441" s="124"/>
      <c r="N17441" s="124"/>
      <c r="O17441" s="124"/>
    </row>
    <row r="17442">
      <c r="K17442" s="124"/>
      <c r="L17442" s="124"/>
      <c r="M17442" s="124"/>
      <c r="N17442" s="124"/>
      <c r="O17442" s="124"/>
    </row>
    <row r="17443">
      <c r="K17443" s="124"/>
      <c r="L17443" s="124"/>
      <c r="M17443" s="124"/>
      <c r="N17443" s="124"/>
      <c r="O17443" s="124"/>
    </row>
    <row r="17444">
      <c r="K17444" s="124"/>
      <c r="L17444" s="124"/>
      <c r="M17444" s="124"/>
      <c r="N17444" s="124"/>
      <c r="O17444" s="124"/>
    </row>
    <row r="17445">
      <c r="K17445" s="124"/>
      <c r="L17445" s="124"/>
      <c r="M17445" s="124"/>
      <c r="N17445" s="124"/>
      <c r="O17445" s="124"/>
    </row>
    <row r="17446">
      <c r="K17446" s="124"/>
      <c r="L17446" s="124"/>
      <c r="M17446" s="124"/>
      <c r="N17446" s="124"/>
      <c r="O17446" s="124"/>
    </row>
    <row r="17447">
      <c r="K17447" s="124"/>
      <c r="L17447" s="124"/>
      <c r="M17447" s="124"/>
      <c r="N17447" s="124"/>
      <c r="O17447" s="124"/>
    </row>
    <row r="17448">
      <c r="K17448" s="124"/>
      <c r="L17448" s="124"/>
      <c r="M17448" s="124"/>
      <c r="N17448" s="124"/>
      <c r="O17448" s="124"/>
    </row>
    <row r="17449">
      <c r="K17449" s="124"/>
      <c r="L17449" s="124"/>
      <c r="M17449" s="124"/>
      <c r="N17449" s="124"/>
      <c r="O17449" s="124"/>
    </row>
    <row r="17450">
      <c r="K17450" s="124"/>
      <c r="L17450" s="124"/>
      <c r="M17450" s="124"/>
      <c r="N17450" s="124"/>
      <c r="O17450" s="124"/>
    </row>
    <row r="17451">
      <c r="K17451" s="124"/>
      <c r="L17451" s="124"/>
      <c r="M17451" s="124"/>
      <c r="N17451" s="124"/>
      <c r="O17451" s="124"/>
    </row>
    <row r="17452">
      <c r="K17452" s="124"/>
      <c r="L17452" s="124"/>
      <c r="M17452" s="124"/>
      <c r="N17452" s="124"/>
      <c r="O17452" s="124"/>
    </row>
    <row r="17453">
      <c r="K17453" s="124"/>
      <c r="L17453" s="124"/>
      <c r="M17453" s="124"/>
      <c r="N17453" s="124"/>
      <c r="O17453" s="124"/>
    </row>
    <row r="17454">
      <c r="K17454" s="124"/>
      <c r="L17454" s="124"/>
      <c r="M17454" s="124"/>
      <c r="N17454" s="124"/>
      <c r="O17454" s="124"/>
    </row>
    <row r="17455">
      <c r="K17455" s="124"/>
      <c r="L17455" s="124"/>
      <c r="M17455" s="124"/>
      <c r="N17455" s="124"/>
      <c r="O17455" s="124"/>
    </row>
    <row r="17456">
      <c r="K17456" s="124"/>
      <c r="L17456" s="124"/>
      <c r="M17456" s="124"/>
      <c r="N17456" s="124"/>
      <c r="O17456" s="124"/>
    </row>
    <row r="17457">
      <c r="K17457" s="124"/>
      <c r="L17457" s="124"/>
      <c r="M17457" s="124"/>
      <c r="N17457" s="124"/>
      <c r="O17457" s="124"/>
    </row>
    <row r="17458">
      <c r="K17458" s="124"/>
      <c r="L17458" s="124"/>
      <c r="M17458" s="124"/>
      <c r="N17458" s="124"/>
      <c r="O17458" s="124"/>
    </row>
    <row r="17459">
      <c r="K17459" s="124"/>
      <c r="L17459" s="124"/>
      <c r="M17459" s="124"/>
      <c r="N17459" s="124"/>
      <c r="O17459" s="124"/>
    </row>
    <row r="17460">
      <c r="K17460" s="124"/>
      <c r="L17460" s="124"/>
      <c r="M17460" s="124"/>
      <c r="N17460" s="124"/>
      <c r="O17460" s="124"/>
    </row>
    <row r="17461">
      <c r="K17461" s="124"/>
      <c r="L17461" s="124"/>
      <c r="M17461" s="124"/>
      <c r="N17461" s="124"/>
      <c r="O17461" s="124"/>
    </row>
    <row r="17462">
      <c r="K17462" s="124"/>
      <c r="L17462" s="124"/>
      <c r="M17462" s="124"/>
      <c r="N17462" s="124"/>
      <c r="O17462" s="124"/>
    </row>
    <row r="17463">
      <c r="K17463" s="124"/>
      <c r="L17463" s="124"/>
      <c r="M17463" s="124"/>
      <c r="N17463" s="124"/>
      <c r="O17463" s="124"/>
    </row>
    <row r="17464">
      <c r="K17464" s="124"/>
      <c r="L17464" s="124"/>
      <c r="M17464" s="124"/>
      <c r="N17464" s="124"/>
      <c r="O17464" s="124"/>
    </row>
    <row r="17465">
      <c r="K17465" s="124"/>
      <c r="L17465" s="124"/>
      <c r="M17465" s="124"/>
      <c r="N17465" s="124"/>
      <c r="O17465" s="124"/>
    </row>
    <row r="17466">
      <c r="K17466" s="124"/>
      <c r="L17466" s="124"/>
      <c r="M17466" s="124"/>
      <c r="N17466" s="124"/>
      <c r="O17466" s="124"/>
    </row>
    <row r="17467">
      <c r="K17467" s="124"/>
      <c r="L17467" s="124"/>
      <c r="M17467" s="124"/>
      <c r="N17467" s="124"/>
      <c r="O17467" s="124"/>
    </row>
    <row r="17468">
      <c r="K17468" s="124"/>
      <c r="L17468" s="124"/>
      <c r="M17468" s="124"/>
      <c r="N17468" s="124"/>
      <c r="O17468" s="124"/>
    </row>
    <row r="17469">
      <c r="K17469" s="124"/>
      <c r="L17469" s="124"/>
      <c r="M17469" s="124"/>
      <c r="N17469" s="124"/>
      <c r="O17469" s="124"/>
    </row>
    <row r="17470">
      <c r="K17470" s="124"/>
      <c r="L17470" s="124"/>
      <c r="M17470" s="124"/>
      <c r="N17470" s="124"/>
      <c r="O17470" s="124"/>
    </row>
    <row r="17471">
      <c r="K17471" s="124"/>
      <c r="L17471" s="124"/>
      <c r="M17471" s="124"/>
      <c r="N17471" s="124"/>
      <c r="O17471" s="124"/>
    </row>
    <row r="17472">
      <c r="K17472" s="124"/>
      <c r="L17472" s="124"/>
      <c r="M17472" s="124"/>
      <c r="N17472" s="124"/>
      <c r="O17472" s="124"/>
    </row>
    <row r="17473">
      <c r="K17473" s="124"/>
      <c r="L17473" s="124"/>
      <c r="M17473" s="124"/>
      <c r="N17473" s="124"/>
      <c r="O17473" s="124"/>
    </row>
    <row r="17474">
      <c r="K17474" s="124"/>
      <c r="L17474" s="124"/>
      <c r="M17474" s="124"/>
      <c r="N17474" s="124"/>
      <c r="O17474" s="124"/>
    </row>
    <row r="17475">
      <c r="K17475" s="124"/>
      <c r="L17475" s="124"/>
      <c r="M17475" s="124"/>
      <c r="N17475" s="124"/>
      <c r="O17475" s="124"/>
    </row>
    <row r="17476">
      <c r="K17476" s="124"/>
      <c r="L17476" s="124"/>
      <c r="M17476" s="124"/>
      <c r="N17476" s="124"/>
      <c r="O17476" s="124"/>
    </row>
    <row r="17477">
      <c r="K17477" s="124"/>
      <c r="L17477" s="124"/>
      <c r="M17477" s="124"/>
      <c r="N17477" s="124"/>
      <c r="O17477" s="124"/>
    </row>
    <row r="17478">
      <c r="K17478" s="124"/>
      <c r="L17478" s="124"/>
      <c r="M17478" s="124"/>
      <c r="N17478" s="124"/>
      <c r="O17478" s="124"/>
    </row>
    <row r="17479">
      <c r="K17479" s="124"/>
      <c r="L17479" s="124"/>
      <c r="M17479" s="124"/>
      <c r="N17479" s="124"/>
      <c r="O17479" s="124"/>
    </row>
    <row r="17480">
      <c r="K17480" s="124"/>
      <c r="L17480" s="124"/>
      <c r="M17480" s="124"/>
      <c r="N17480" s="124"/>
      <c r="O17480" s="124"/>
    </row>
    <row r="17481">
      <c r="K17481" s="124"/>
      <c r="L17481" s="124"/>
      <c r="M17481" s="124"/>
      <c r="N17481" s="124"/>
      <c r="O17481" s="124"/>
    </row>
    <row r="17482">
      <c r="K17482" s="124"/>
      <c r="L17482" s="124"/>
      <c r="M17482" s="124"/>
      <c r="N17482" s="124"/>
      <c r="O17482" s="124"/>
    </row>
    <row r="17483">
      <c r="K17483" s="124"/>
      <c r="L17483" s="124"/>
      <c r="M17483" s="124"/>
      <c r="N17483" s="124"/>
      <c r="O17483" s="124"/>
    </row>
    <row r="17484">
      <c r="K17484" s="124"/>
      <c r="L17484" s="124"/>
      <c r="M17484" s="124"/>
      <c r="N17484" s="124"/>
      <c r="O17484" s="124"/>
    </row>
    <row r="17485">
      <c r="K17485" s="124"/>
      <c r="L17485" s="124"/>
      <c r="M17485" s="124"/>
      <c r="N17485" s="124"/>
      <c r="O17485" s="124"/>
    </row>
    <row r="17486">
      <c r="K17486" s="124"/>
      <c r="L17486" s="124"/>
      <c r="M17486" s="124"/>
      <c r="N17486" s="124"/>
      <c r="O17486" s="124"/>
    </row>
    <row r="17487">
      <c r="K17487" s="124"/>
      <c r="L17487" s="124"/>
      <c r="M17487" s="124"/>
      <c r="N17487" s="124"/>
      <c r="O17487" s="124"/>
    </row>
    <row r="17488">
      <c r="K17488" s="124"/>
      <c r="L17488" s="124"/>
      <c r="M17488" s="124"/>
      <c r="N17488" s="124"/>
      <c r="O17488" s="124"/>
    </row>
    <row r="17489">
      <c r="K17489" s="124"/>
      <c r="L17489" s="124"/>
      <c r="M17489" s="124"/>
      <c r="N17489" s="124"/>
      <c r="O17489" s="124"/>
    </row>
    <row r="17490">
      <c r="K17490" s="124"/>
      <c r="L17490" s="124"/>
      <c r="M17490" s="124"/>
      <c r="N17490" s="124"/>
      <c r="O17490" s="124"/>
    </row>
    <row r="17491">
      <c r="K17491" s="124"/>
      <c r="L17491" s="124"/>
      <c r="M17491" s="124"/>
      <c r="N17491" s="124"/>
      <c r="O17491" s="124"/>
    </row>
    <row r="17492">
      <c r="K17492" s="124"/>
      <c r="L17492" s="124"/>
      <c r="M17492" s="124"/>
      <c r="N17492" s="124"/>
      <c r="O17492" s="124"/>
    </row>
    <row r="17493">
      <c r="K17493" s="124"/>
      <c r="L17493" s="124"/>
      <c r="M17493" s="124"/>
      <c r="N17493" s="124"/>
      <c r="O17493" s="124"/>
    </row>
    <row r="17494">
      <c r="K17494" s="124"/>
      <c r="L17494" s="124"/>
      <c r="M17494" s="124"/>
      <c r="N17494" s="124"/>
      <c r="O17494" s="124"/>
    </row>
    <row r="17495">
      <c r="K17495" s="124"/>
      <c r="L17495" s="124"/>
      <c r="M17495" s="124"/>
      <c r="N17495" s="124"/>
      <c r="O17495" s="124"/>
    </row>
    <row r="17496">
      <c r="K17496" s="124"/>
      <c r="L17496" s="124"/>
      <c r="M17496" s="124"/>
      <c r="N17496" s="124"/>
      <c r="O17496" s="124"/>
    </row>
    <row r="17497">
      <c r="K17497" s="124"/>
      <c r="L17497" s="124"/>
      <c r="M17497" s="124"/>
      <c r="N17497" s="124"/>
      <c r="O17497" s="124"/>
    </row>
    <row r="17498">
      <c r="K17498" s="124"/>
      <c r="L17498" s="124"/>
      <c r="M17498" s="124"/>
      <c r="N17498" s="124"/>
      <c r="O17498" s="124"/>
    </row>
    <row r="17499">
      <c r="K17499" s="124"/>
      <c r="L17499" s="124"/>
      <c r="M17499" s="124"/>
      <c r="N17499" s="124"/>
      <c r="O17499" s="124"/>
    </row>
    <row r="17500">
      <c r="K17500" s="124"/>
      <c r="L17500" s="124"/>
      <c r="M17500" s="124"/>
      <c r="N17500" s="124"/>
      <c r="O17500" s="124"/>
    </row>
    <row r="17501">
      <c r="K17501" s="124"/>
      <c r="L17501" s="124"/>
      <c r="M17501" s="124"/>
      <c r="N17501" s="124"/>
      <c r="O17501" s="124"/>
    </row>
    <row r="17502">
      <c r="K17502" s="124"/>
      <c r="L17502" s="124"/>
      <c r="M17502" s="124"/>
      <c r="N17502" s="124"/>
      <c r="O17502" s="124"/>
    </row>
    <row r="17503">
      <c r="K17503" s="124"/>
      <c r="L17503" s="124"/>
      <c r="M17503" s="124"/>
      <c r="N17503" s="124"/>
      <c r="O17503" s="124"/>
    </row>
    <row r="17504">
      <c r="K17504" s="124"/>
      <c r="L17504" s="124"/>
      <c r="M17504" s="124"/>
      <c r="N17504" s="124"/>
      <c r="O17504" s="124"/>
    </row>
    <row r="17505">
      <c r="K17505" s="124"/>
      <c r="L17505" s="124"/>
      <c r="M17505" s="124"/>
      <c r="N17505" s="124"/>
      <c r="O17505" s="124"/>
    </row>
    <row r="17506">
      <c r="K17506" s="124"/>
      <c r="L17506" s="124"/>
      <c r="M17506" s="124"/>
      <c r="N17506" s="124"/>
      <c r="O17506" s="124"/>
    </row>
    <row r="17507">
      <c r="K17507" s="124"/>
      <c r="L17507" s="124"/>
      <c r="M17507" s="124"/>
      <c r="N17507" s="124"/>
      <c r="O17507" s="124"/>
    </row>
    <row r="17508">
      <c r="K17508" s="124"/>
      <c r="L17508" s="124"/>
      <c r="M17508" s="124"/>
      <c r="N17508" s="124"/>
      <c r="O17508" s="124"/>
    </row>
    <row r="17509">
      <c r="K17509" s="124"/>
      <c r="L17509" s="124"/>
      <c r="M17509" s="124"/>
      <c r="N17509" s="124"/>
      <c r="O17509" s="124"/>
    </row>
    <row r="17510">
      <c r="K17510" s="124"/>
      <c r="L17510" s="124"/>
      <c r="M17510" s="124"/>
      <c r="N17510" s="124"/>
      <c r="O17510" s="124"/>
    </row>
    <row r="17511">
      <c r="K17511" s="124"/>
      <c r="L17511" s="124"/>
      <c r="M17511" s="124"/>
      <c r="N17511" s="124"/>
      <c r="O17511" s="124"/>
    </row>
    <row r="17512">
      <c r="K17512" s="124"/>
      <c r="L17512" s="124"/>
      <c r="M17512" s="124"/>
      <c r="N17512" s="124"/>
      <c r="O17512" s="124"/>
    </row>
    <row r="17513">
      <c r="K17513" s="124"/>
      <c r="L17513" s="124"/>
      <c r="M17513" s="124"/>
      <c r="N17513" s="124"/>
      <c r="O17513" s="124"/>
    </row>
    <row r="17514">
      <c r="K17514" s="124"/>
      <c r="L17514" s="124"/>
      <c r="M17514" s="124"/>
      <c r="N17514" s="124"/>
      <c r="O17514" s="124"/>
    </row>
    <row r="17515">
      <c r="K17515" s="124"/>
      <c r="L17515" s="124"/>
      <c r="M17515" s="124"/>
      <c r="N17515" s="124"/>
      <c r="O17515" s="124"/>
    </row>
    <row r="17516">
      <c r="K17516" s="124"/>
      <c r="L17516" s="124"/>
      <c r="M17516" s="124"/>
      <c r="N17516" s="124"/>
      <c r="O17516" s="124"/>
    </row>
    <row r="17517">
      <c r="K17517" s="124"/>
      <c r="L17517" s="124"/>
      <c r="M17517" s="124"/>
      <c r="N17517" s="124"/>
      <c r="O17517" s="124"/>
    </row>
    <row r="17518">
      <c r="K17518" s="124"/>
      <c r="L17518" s="124"/>
      <c r="M17518" s="124"/>
      <c r="N17518" s="124"/>
      <c r="O17518" s="124"/>
    </row>
    <row r="17519">
      <c r="K17519" s="124"/>
      <c r="L17519" s="124"/>
      <c r="M17519" s="124"/>
      <c r="N17519" s="124"/>
      <c r="O17519" s="124"/>
    </row>
    <row r="17520">
      <c r="K17520" s="124"/>
      <c r="L17520" s="124"/>
      <c r="M17520" s="124"/>
      <c r="N17520" s="124"/>
      <c r="O17520" s="124"/>
    </row>
    <row r="17521">
      <c r="K17521" s="124"/>
      <c r="L17521" s="124"/>
      <c r="M17521" s="124"/>
      <c r="N17521" s="124"/>
      <c r="O17521" s="124"/>
    </row>
    <row r="17522">
      <c r="K17522" s="124"/>
      <c r="L17522" s="124"/>
      <c r="M17522" s="124"/>
      <c r="N17522" s="124"/>
      <c r="O17522" s="124"/>
    </row>
    <row r="17523">
      <c r="K17523" s="124"/>
      <c r="L17523" s="124"/>
      <c r="M17523" s="124"/>
      <c r="N17523" s="124"/>
      <c r="O17523" s="124"/>
    </row>
    <row r="17524">
      <c r="K17524" s="124"/>
      <c r="L17524" s="124"/>
      <c r="M17524" s="124"/>
      <c r="N17524" s="124"/>
      <c r="O17524" s="124"/>
    </row>
    <row r="17525">
      <c r="K17525" s="124"/>
      <c r="L17525" s="124"/>
      <c r="M17525" s="124"/>
      <c r="N17525" s="124"/>
      <c r="O17525" s="124"/>
    </row>
    <row r="17526">
      <c r="K17526" s="124"/>
      <c r="L17526" s="124"/>
      <c r="M17526" s="124"/>
      <c r="N17526" s="124"/>
      <c r="O17526" s="124"/>
    </row>
    <row r="17527">
      <c r="K17527" s="124"/>
      <c r="L17527" s="124"/>
      <c r="M17527" s="124"/>
      <c r="N17527" s="124"/>
      <c r="O17527" s="124"/>
    </row>
    <row r="17528">
      <c r="K17528" s="124"/>
      <c r="L17528" s="124"/>
      <c r="M17528" s="124"/>
      <c r="N17528" s="124"/>
      <c r="O17528" s="124"/>
    </row>
    <row r="17529">
      <c r="K17529" s="124"/>
      <c r="L17529" s="124"/>
      <c r="M17529" s="124"/>
      <c r="N17529" s="124"/>
      <c r="O17529" s="124"/>
    </row>
    <row r="17530">
      <c r="K17530" s="124"/>
      <c r="L17530" s="124"/>
      <c r="M17530" s="124"/>
      <c r="N17530" s="124"/>
      <c r="O17530" s="124"/>
    </row>
    <row r="17531">
      <c r="K17531" s="124"/>
      <c r="L17531" s="124"/>
      <c r="M17531" s="124"/>
      <c r="N17531" s="124"/>
      <c r="O17531" s="124"/>
    </row>
    <row r="17532">
      <c r="K17532" s="124"/>
      <c r="L17532" s="124"/>
      <c r="M17532" s="124"/>
      <c r="N17532" s="124"/>
      <c r="O17532" s="124"/>
    </row>
    <row r="17533">
      <c r="K17533" s="124"/>
      <c r="L17533" s="124"/>
      <c r="M17533" s="124"/>
      <c r="N17533" s="124"/>
      <c r="O17533" s="124"/>
    </row>
    <row r="17534">
      <c r="K17534" s="124"/>
      <c r="L17534" s="124"/>
      <c r="M17534" s="124"/>
      <c r="N17534" s="124"/>
      <c r="O17534" s="124"/>
    </row>
    <row r="17535">
      <c r="K17535" s="124"/>
      <c r="L17535" s="124"/>
      <c r="M17535" s="124"/>
      <c r="N17535" s="124"/>
      <c r="O17535" s="124"/>
    </row>
    <row r="17536">
      <c r="K17536" s="124"/>
      <c r="L17536" s="124"/>
      <c r="M17536" s="124"/>
      <c r="N17536" s="124"/>
      <c r="O17536" s="124"/>
    </row>
    <row r="17537">
      <c r="K17537" s="124"/>
      <c r="L17537" s="124"/>
      <c r="M17537" s="124"/>
      <c r="N17537" s="124"/>
      <c r="O17537" s="124"/>
    </row>
    <row r="17538">
      <c r="K17538" s="124"/>
      <c r="L17538" s="124"/>
      <c r="M17538" s="124"/>
      <c r="N17538" s="124"/>
      <c r="O17538" s="124"/>
    </row>
    <row r="17539">
      <c r="K17539" s="124"/>
      <c r="L17539" s="124"/>
      <c r="M17539" s="124"/>
      <c r="N17539" s="124"/>
      <c r="O17539" s="124"/>
    </row>
    <row r="17540">
      <c r="K17540" s="124"/>
      <c r="L17540" s="124"/>
      <c r="M17540" s="124"/>
      <c r="N17540" s="124"/>
      <c r="O17540" s="124"/>
    </row>
    <row r="17541">
      <c r="K17541" s="124"/>
      <c r="L17541" s="124"/>
      <c r="M17541" s="124"/>
      <c r="N17541" s="124"/>
      <c r="O17541" s="124"/>
    </row>
    <row r="17542">
      <c r="K17542" s="124"/>
      <c r="L17542" s="124"/>
      <c r="M17542" s="124"/>
      <c r="N17542" s="124"/>
      <c r="O17542" s="124"/>
    </row>
    <row r="17543">
      <c r="K17543" s="124"/>
      <c r="L17543" s="124"/>
      <c r="M17543" s="124"/>
      <c r="N17543" s="124"/>
      <c r="O17543" s="124"/>
    </row>
    <row r="17544">
      <c r="K17544" s="124"/>
      <c r="L17544" s="124"/>
      <c r="M17544" s="124"/>
      <c r="N17544" s="124"/>
      <c r="O17544" s="124"/>
    </row>
    <row r="17545">
      <c r="K17545" s="124"/>
      <c r="L17545" s="124"/>
      <c r="M17545" s="124"/>
      <c r="N17545" s="124"/>
      <c r="O17545" s="124"/>
    </row>
    <row r="17546">
      <c r="K17546" s="124"/>
      <c r="L17546" s="124"/>
      <c r="M17546" s="124"/>
      <c r="N17546" s="124"/>
      <c r="O17546" s="124"/>
    </row>
    <row r="17547">
      <c r="K17547" s="124"/>
      <c r="L17547" s="124"/>
      <c r="M17547" s="124"/>
      <c r="N17547" s="124"/>
      <c r="O17547" s="124"/>
    </row>
    <row r="17548">
      <c r="K17548" s="124"/>
      <c r="L17548" s="124"/>
      <c r="M17548" s="124"/>
      <c r="N17548" s="124"/>
      <c r="O17548" s="124"/>
    </row>
    <row r="17549">
      <c r="K17549" s="124"/>
      <c r="L17549" s="124"/>
      <c r="M17549" s="124"/>
      <c r="N17549" s="124"/>
      <c r="O17549" s="124"/>
    </row>
    <row r="17550">
      <c r="K17550" s="124"/>
      <c r="L17550" s="124"/>
      <c r="M17550" s="124"/>
      <c r="N17550" s="124"/>
      <c r="O17550" s="124"/>
    </row>
    <row r="17551">
      <c r="K17551" s="124"/>
      <c r="L17551" s="124"/>
      <c r="M17551" s="124"/>
      <c r="N17551" s="124"/>
      <c r="O17551" s="124"/>
    </row>
    <row r="17552">
      <c r="K17552" s="124"/>
      <c r="L17552" s="124"/>
      <c r="M17552" s="124"/>
      <c r="N17552" s="124"/>
      <c r="O17552" s="124"/>
    </row>
    <row r="17553">
      <c r="K17553" s="124"/>
      <c r="L17553" s="124"/>
      <c r="M17553" s="124"/>
      <c r="N17553" s="124"/>
      <c r="O17553" s="124"/>
    </row>
    <row r="17554">
      <c r="K17554" s="124"/>
      <c r="L17554" s="124"/>
      <c r="M17554" s="124"/>
      <c r="N17554" s="124"/>
      <c r="O17554" s="124"/>
    </row>
    <row r="17555">
      <c r="K17555" s="124"/>
      <c r="L17555" s="124"/>
      <c r="M17555" s="124"/>
      <c r="N17555" s="124"/>
      <c r="O17555" s="124"/>
    </row>
    <row r="17556">
      <c r="K17556" s="124"/>
      <c r="L17556" s="124"/>
      <c r="M17556" s="124"/>
      <c r="N17556" s="124"/>
      <c r="O17556" s="124"/>
    </row>
    <row r="17557">
      <c r="K17557" s="124"/>
      <c r="L17557" s="124"/>
      <c r="M17557" s="124"/>
      <c r="N17557" s="124"/>
      <c r="O17557" s="124"/>
    </row>
    <row r="17558">
      <c r="K17558" s="124"/>
      <c r="L17558" s="124"/>
      <c r="M17558" s="124"/>
      <c r="N17558" s="124"/>
      <c r="O17558" s="124"/>
    </row>
    <row r="17559">
      <c r="K17559" s="124"/>
      <c r="L17559" s="124"/>
      <c r="M17559" s="124"/>
      <c r="N17559" s="124"/>
      <c r="O17559" s="124"/>
    </row>
    <row r="17560">
      <c r="K17560" s="124"/>
      <c r="L17560" s="124"/>
      <c r="M17560" s="124"/>
      <c r="N17560" s="124"/>
      <c r="O17560" s="124"/>
    </row>
    <row r="17561">
      <c r="K17561" s="124"/>
      <c r="L17561" s="124"/>
      <c r="M17561" s="124"/>
      <c r="N17561" s="124"/>
      <c r="O17561" s="124"/>
    </row>
    <row r="17562">
      <c r="K17562" s="124"/>
      <c r="L17562" s="124"/>
      <c r="M17562" s="124"/>
      <c r="N17562" s="124"/>
      <c r="O17562" s="124"/>
    </row>
    <row r="17563">
      <c r="K17563" s="124"/>
      <c r="L17563" s="124"/>
      <c r="M17563" s="124"/>
      <c r="N17563" s="124"/>
      <c r="O17563" s="124"/>
    </row>
    <row r="17564">
      <c r="K17564" s="124"/>
      <c r="L17564" s="124"/>
      <c r="M17564" s="124"/>
      <c r="N17564" s="124"/>
      <c r="O17564" s="124"/>
    </row>
    <row r="17565">
      <c r="K17565" s="124"/>
      <c r="L17565" s="124"/>
      <c r="M17565" s="124"/>
      <c r="N17565" s="124"/>
      <c r="O17565" s="124"/>
    </row>
    <row r="17566">
      <c r="K17566" s="124"/>
      <c r="L17566" s="124"/>
      <c r="M17566" s="124"/>
      <c r="N17566" s="124"/>
      <c r="O17566" s="124"/>
    </row>
    <row r="17567">
      <c r="K17567" s="124"/>
      <c r="L17567" s="124"/>
      <c r="M17567" s="124"/>
      <c r="N17567" s="124"/>
      <c r="O17567" s="124"/>
    </row>
    <row r="17568">
      <c r="K17568" s="124"/>
      <c r="L17568" s="124"/>
      <c r="M17568" s="124"/>
      <c r="N17568" s="124"/>
      <c r="O17568" s="124"/>
    </row>
    <row r="17569">
      <c r="K17569" s="124"/>
      <c r="L17569" s="124"/>
      <c r="M17569" s="124"/>
      <c r="N17569" s="124"/>
      <c r="O17569" s="124"/>
    </row>
    <row r="17570">
      <c r="K17570" s="124"/>
      <c r="L17570" s="124"/>
      <c r="M17570" s="124"/>
      <c r="N17570" s="124"/>
      <c r="O17570" s="124"/>
    </row>
    <row r="17571">
      <c r="K17571" s="124"/>
      <c r="L17571" s="124"/>
      <c r="M17571" s="124"/>
      <c r="N17571" s="124"/>
      <c r="O17571" s="124"/>
    </row>
    <row r="17572">
      <c r="K17572" s="124"/>
      <c r="L17572" s="124"/>
      <c r="M17572" s="124"/>
      <c r="N17572" s="124"/>
      <c r="O17572" s="124"/>
    </row>
    <row r="17573">
      <c r="K17573" s="124"/>
      <c r="L17573" s="124"/>
      <c r="M17573" s="124"/>
      <c r="N17573" s="124"/>
      <c r="O17573" s="124"/>
    </row>
    <row r="17574">
      <c r="K17574" s="124"/>
      <c r="L17574" s="124"/>
      <c r="M17574" s="124"/>
      <c r="N17574" s="124"/>
      <c r="O17574" s="124"/>
    </row>
    <row r="17575">
      <c r="K17575" s="124"/>
      <c r="L17575" s="124"/>
      <c r="M17575" s="124"/>
      <c r="N17575" s="124"/>
      <c r="O17575" s="124"/>
    </row>
    <row r="17576">
      <c r="K17576" s="124"/>
      <c r="L17576" s="124"/>
      <c r="M17576" s="124"/>
      <c r="N17576" s="124"/>
      <c r="O17576" s="124"/>
    </row>
    <row r="17577">
      <c r="K17577" s="124"/>
      <c r="L17577" s="124"/>
      <c r="M17577" s="124"/>
      <c r="N17577" s="124"/>
      <c r="O17577" s="124"/>
    </row>
    <row r="17578">
      <c r="K17578" s="124"/>
      <c r="L17578" s="124"/>
      <c r="M17578" s="124"/>
      <c r="N17578" s="124"/>
      <c r="O17578" s="124"/>
    </row>
    <row r="17579">
      <c r="K17579" s="124"/>
      <c r="L17579" s="124"/>
      <c r="M17579" s="124"/>
      <c r="N17579" s="124"/>
      <c r="O17579" s="124"/>
    </row>
    <row r="17580">
      <c r="K17580" s="124"/>
      <c r="L17580" s="124"/>
      <c r="M17580" s="124"/>
      <c r="N17580" s="124"/>
      <c r="O17580" s="124"/>
    </row>
    <row r="17581">
      <c r="K17581" s="124"/>
      <c r="L17581" s="124"/>
      <c r="M17581" s="124"/>
      <c r="N17581" s="124"/>
      <c r="O17581" s="124"/>
    </row>
    <row r="17582">
      <c r="K17582" s="124"/>
      <c r="L17582" s="124"/>
      <c r="M17582" s="124"/>
      <c r="N17582" s="124"/>
      <c r="O17582" s="124"/>
    </row>
    <row r="17583">
      <c r="K17583" s="124"/>
      <c r="L17583" s="124"/>
      <c r="M17583" s="124"/>
      <c r="N17583" s="124"/>
      <c r="O17583" s="124"/>
    </row>
    <row r="17584">
      <c r="K17584" s="124"/>
      <c r="L17584" s="124"/>
      <c r="M17584" s="124"/>
      <c r="N17584" s="124"/>
      <c r="O17584" s="124"/>
    </row>
    <row r="17585">
      <c r="K17585" s="124"/>
      <c r="L17585" s="124"/>
      <c r="M17585" s="124"/>
      <c r="N17585" s="124"/>
      <c r="O17585" s="124"/>
    </row>
    <row r="17586">
      <c r="K17586" s="124"/>
      <c r="L17586" s="124"/>
      <c r="M17586" s="124"/>
      <c r="N17586" s="124"/>
      <c r="O17586" s="124"/>
    </row>
    <row r="17587">
      <c r="K17587" s="124"/>
      <c r="L17587" s="124"/>
      <c r="M17587" s="124"/>
      <c r="N17587" s="124"/>
      <c r="O17587" s="124"/>
    </row>
    <row r="17588">
      <c r="K17588" s="124"/>
      <c r="L17588" s="124"/>
      <c r="M17588" s="124"/>
      <c r="N17588" s="124"/>
      <c r="O17588" s="124"/>
    </row>
    <row r="17589">
      <c r="K17589" s="124"/>
      <c r="L17589" s="124"/>
      <c r="M17589" s="124"/>
      <c r="N17589" s="124"/>
      <c r="O17589" s="124"/>
    </row>
    <row r="17590">
      <c r="K17590" s="124"/>
      <c r="L17590" s="124"/>
      <c r="M17590" s="124"/>
      <c r="N17590" s="124"/>
      <c r="O17590" s="124"/>
    </row>
    <row r="17591">
      <c r="K17591" s="124"/>
      <c r="L17591" s="124"/>
      <c r="M17591" s="124"/>
      <c r="N17591" s="124"/>
      <c r="O17591" s="124"/>
    </row>
    <row r="17592">
      <c r="K17592" s="124"/>
      <c r="L17592" s="124"/>
      <c r="M17592" s="124"/>
      <c r="N17592" s="124"/>
      <c r="O17592" s="124"/>
    </row>
    <row r="17593">
      <c r="K17593" s="124"/>
      <c r="L17593" s="124"/>
      <c r="M17593" s="124"/>
      <c r="N17593" s="124"/>
      <c r="O17593" s="124"/>
    </row>
    <row r="17594">
      <c r="K17594" s="124"/>
      <c r="L17594" s="124"/>
      <c r="M17594" s="124"/>
      <c r="N17594" s="124"/>
      <c r="O17594" s="124"/>
    </row>
    <row r="17595">
      <c r="K17595" s="124"/>
      <c r="L17595" s="124"/>
      <c r="M17595" s="124"/>
      <c r="N17595" s="124"/>
      <c r="O17595" s="124"/>
    </row>
    <row r="17596">
      <c r="K17596" s="124"/>
      <c r="L17596" s="124"/>
      <c r="M17596" s="124"/>
      <c r="N17596" s="124"/>
      <c r="O17596" s="124"/>
    </row>
    <row r="17597">
      <c r="K17597" s="124"/>
      <c r="L17597" s="124"/>
      <c r="M17597" s="124"/>
      <c r="N17597" s="124"/>
      <c r="O17597" s="124"/>
    </row>
    <row r="17598">
      <c r="K17598" s="124"/>
      <c r="L17598" s="124"/>
      <c r="M17598" s="124"/>
      <c r="N17598" s="124"/>
      <c r="O17598" s="124"/>
    </row>
    <row r="17599">
      <c r="K17599" s="124"/>
      <c r="L17599" s="124"/>
      <c r="M17599" s="124"/>
      <c r="N17599" s="124"/>
      <c r="O17599" s="124"/>
    </row>
    <row r="17600">
      <c r="K17600" s="124"/>
      <c r="L17600" s="124"/>
      <c r="M17600" s="124"/>
      <c r="N17600" s="124"/>
      <c r="O17600" s="124"/>
    </row>
    <row r="17601">
      <c r="K17601" s="124"/>
      <c r="L17601" s="124"/>
      <c r="M17601" s="124"/>
      <c r="N17601" s="124"/>
      <c r="O17601" s="124"/>
    </row>
    <row r="17602">
      <c r="K17602" s="124"/>
      <c r="L17602" s="124"/>
      <c r="M17602" s="124"/>
      <c r="N17602" s="124"/>
      <c r="O17602" s="124"/>
    </row>
    <row r="17603">
      <c r="K17603" s="124"/>
      <c r="L17603" s="124"/>
      <c r="M17603" s="124"/>
      <c r="N17603" s="124"/>
      <c r="O17603" s="124"/>
    </row>
    <row r="17604">
      <c r="K17604" s="124"/>
      <c r="L17604" s="124"/>
      <c r="M17604" s="124"/>
      <c r="N17604" s="124"/>
      <c r="O17604" s="124"/>
    </row>
    <row r="17605">
      <c r="K17605" s="124"/>
      <c r="L17605" s="124"/>
      <c r="M17605" s="124"/>
      <c r="N17605" s="124"/>
      <c r="O17605" s="124"/>
    </row>
    <row r="17606">
      <c r="K17606" s="124"/>
      <c r="L17606" s="124"/>
      <c r="M17606" s="124"/>
      <c r="N17606" s="124"/>
      <c r="O17606" s="124"/>
    </row>
    <row r="17607">
      <c r="K17607" s="124"/>
      <c r="L17607" s="124"/>
      <c r="M17607" s="124"/>
      <c r="N17607" s="124"/>
      <c r="O17607" s="124"/>
    </row>
    <row r="17608">
      <c r="K17608" s="124"/>
      <c r="L17608" s="124"/>
      <c r="M17608" s="124"/>
      <c r="N17608" s="124"/>
      <c r="O17608" s="124"/>
    </row>
    <row r="17609">
      <c r="K17609" s="124"/>
      <c r="L17609" s="124"/>
      <c r="M17609" s="124"/>
      <c r="N17609" s="124"/>
      <c r="O17609" s="124"/>
    </row>
    <row r="17610">
      <c r="K17610" s="124"/>
      <c r="L17610" s="124"/>
      <c r="M17610" s="124"/>
      <c r="N17610" s="124"/>
      <c r="O17610" s="124"/>
    </row>
    <row r="17611">
      <c r="K17611" s="124"/>
      <c r="L17611" s="124"/>
      <c r="M17611" s="124"/>
      <c r="N17611" s="124"/>
      <c r="O17611" s="124"/>
    </row>
    <row r="17612">
      <c r="K17612" s="124"/>
      <c r="L17612" s="124"/>
      <c r="M17612" s="124"/>
      <c r="N17612" s="124"/>
      <c r="O17612" s="124"/>
    </row>
    <row r="17613">
      <c r="K17613" s="124"/>
      <c r="L17613" s="124"/>
      <c r="M17613" s="124"/>
      <c r="N17613" s="124"/>
      <c r="O17613" s="124"/>
    </row>
    <row r="17614">
      <c r="K17614" s="124"/>
      <c r="L17614" s="124"/>
      <c r="M17614" s="124"/>
      <c r="N17614" s="124"/>
      <c r="O17614" s="124"/>
    </row>
    <row r="17615">
      <c r="K17615" s="124"/>
      <c r="L17615" s="124"/>
      <c r="M17615" s="124"/>
      <c r="N17615" s="124"/>
      <c r="O17615" s="124"/>
    </row>
    <row r="17616">
      <c r="K17616" s="124"/>
      <c r="L17616" s="124"/>
      <c r="M17616" s="124"/>
      <c r="N17616" s="124"/>
      <c r="O17616" s="124"/>
    </row>
    <row r="17617">
      <c r="K17617" s="124"/>
      <c r="L17617" s="124"/>
      <c r="M17617" s="124"/>
      <c r="N17617" s="124"/>
      <c r="O17617" s="124"/>
    </row>
    <row r="17618">
      <c r="K17618" s="124"/>
      <c r="L17618" s="124"/>
      <c r="M17618" s="124"/>
      <c r="N17618" s="124"/>
      <c r="O17618" s="124"/>
    </row>
    <row r="17619">
      <c r="K17619" s="124"/>
      <c r="L17619" s="124"/>
      <c r="M17619" s="124"/>
      <c r="N17619" s="124"/>
      <c r="O17619" s="124"/>
    </row>
    <row r="17620">
      <c r="K17620" s="124"/>
      <c r="L17620" s="124"/>
      <c r="M17620" s="124"/>
      <c r="N17620" s="124"/>
      <c r="O17620" s="124"/>
    </row>
    <row r="17621">
      <c r="K17621" s="124"/>
      <c r="L17621" s="124"/>
      <c r="M17621" s="124"/>
      <c r="N17621" s="124"/>
      <c r="O17621" s="124"/>
    </row>
    <row r="17622">
      <c r="K17622" s="124"/>
      <c r="L17622" s="124"/>
      <c r="M17622" s="124"/>
      <c r="N17622" s="124"/>
      <c r="O17622" s="124"/>
    </row>
    <row r="17623">
      <c r="K17623" s="124"/>
      <c r="L17623" s="124"/>
      <c r="M17623" s="124"/>
      <c r="N17623" s="124"/>
      <c r="O17623" s="124"/>
    </row>
    <row r="17624">
      <c r="K17624" s="124"/>
      <c r="L17624" s="124"/>
      <c r="M17624" s="124"/>
      <c r="N17624" s="124"/>
      <c r="O17624" s="124"/>
    </row>
    <row r="17625">
      <c r="K17625" s="124"/>
      <c r="L17625" s="124"/>
      <c r="M17625" s="124"/>
      <c r="N17625" s="124"/>
      <c r="O17625" s="124"/>
    </row>
    <row r="17626">
      <c r="K17626" s="124"/>
      <c r="L17626" s="124"/>
      <c r="M17626" s="124"/>
      <c r="N17626" s="124"/>
      <c r="O17626" s="124"/>
    </row>
    <row r="17627">
      <c r="K17627" s="124"/>
      <c r="L17627" s="124"/>
      <c r="M17627" s="124"/>
      <c r="N17627" s="124"/>
      <c r="O17627" s="124"/>
    </row>
    <row r="17628">
      <c r="K17628" s="124"/>
      <c r="L17628" s="124"/>
      <c r="M17628" s="124"/>
      <c r="N17628" s="124"/>
      <c r="O17628" s="124"/>
    </row>
    <row r="17629">
      <c r="K17629" s="124"/>
      <c r="L17629" s="124"/>
      <c r="M17629" s="124"/>
      <c r="N17629" s="124"/>
      <c r="O17629" s="124"/>
    </row>
    <row r="17630">
      <c r="K17630" s="124"/>
      <c r="L17630" s="124"/>
      <c r="M17630" s="124"/>
      <c r="N17630" s="124"/>
      <c r="O17630" s="124"/>
    </row>
    <row r="17631">
      <c r="K17631" s="124"/>
      <c r="L17631" s="124"/>
      <c r="M17631" s="124"/>
      <c r="N17631" s="124"/>
      <c r="O17631" s="124"/>
    </row>
    <row r="17632">
      <c r="K17632" s="124"/>
      <c r="L17632" s="124"/>
      <c r="M17632" s="124"/>
      <c r="N17632" s="124"/>
      <c r="O17632" s="124"/>
    </row>
    <row r="17633">
      <c r="K17633" s="124"/>
      <c r="L17633" s="124"/>
      <c r="M17633" s="124"/>
      <c r="N17633" s="124"/>
      <c r="O17633" s="124"/>
    </row>
    <row r="17634">
      <c r="K17634" s="124"/>
      <c r="L17634" s="124"/>
      <c r="M17634" s="124"/>
      <c r="N17634" s="124"/>
      <c r="O17634" s="124"/>
    </row>
    <row r="17635">
      <c r="K17635" s="124"/>
      <c r="L17635" s="124"/>
      <c r="M17635" s="124"/>
      <c r="N17635" s="124"/>
      <c r="O17635" s="124"/>
    </row>
    <row r="17636">
      <c r="K17636" s="124"/>
      <c r="L17636" s="124"/>
      <c r="M17636" s="124"/>
      <c r="N17636" s="124"/>
      <c r="O17636" s="124"/>
    </row>
    <row r="17637">
      <c r="K17637" s="124"/>
      <c r="L17637" s="124"/>
      <c r="M17637" s="124"/>
      <c r="N17637" s="124"/>
      <c r="O17637" s="124"/>
    </row>
    <row r="17638">
      <c r="K17638" s="124"/>
      <c r="L17638" s="124"/>
      <c r="M17638" s="124"/>
      <c r="N17638" s="124"/>
      <c r="O17638" s="124"/>
    </row>
    <row r="17639">
      <c r="K17639" s="124"/>
      <c r="L17639" s="124"/>
      <c r="M17639" s="124"/>
      <c r="N17639" s="124"/>
      <c r="O17639" s="124"/>
    </row>
    <row r="17640">
      <c r="K17640" s="124"/>
      <c r="L17640" s="124"/>
      <c r="M17640" s="124"/>
      <c r="N17640" s="124"/>
      <c r="O17640" s="124"/>
    </row>
    <row r="17641">
      <c r="K17641" s="124"/>
      <c r="L17641" s="124"/>
      <c r="M17641" s="124"/>
      <c r="N17641" s="124"/>
      <c r="O17641" s="124"/>
    </row>
    <row r="17642">
      <c r="K17642" s="124"/>
      <c r="L17642" s="124"/>
      <c r="M17642" s="124"/>
      <c r="N17642" s="124"/>
      <c r="O17642" s="124"/>
    </row>
    <row r="17643">
      <c r="K17643" s="124"/>
      <c r="L17643" s="124"/>
      <c r="M17643" s="124"/>
      <c r="N17643" s="124"/>
      <c r="O17643" s="124"/>
    </row>
    <row r="17644">
      <c r="K17644" s="124"/>
      <c r="L17644" s="124"/>
      <c r="M17644" s="124"/>
      <c r="N17644" s="124"/>
      <c r="O17644" s="124"/>
    </row>
    <row r="17645">
      <c r="K17645" s="124"/>
      <c r="L17645" s="124"/>
      <c r="M17645" s="124"/>
      <c r="N17645" s="124"/>
      <c r="O17645" s="124"/>
    </row>
    <row r="17646">
      <c r="K17646" s="124"/>
      <c r="L17646" s="124"/>
      <c r="M17646" s="124"/>
      <c r="N17646" s="124"/>
      <c r="O17646" s="124"/>
    </row>
    <row r="17647">
      <c r="K17647" s="124"/>
      <c r="L17647" s="124"/>
      <c r="M17647" s="124"/>
      <c r="N17647" s="124"/>
      <c r="O17647" s="124"/>
    </row>
    <row r="17648">
      <c r="K17648" s="124"/>
      <c r="L17648" s="124"/>
      <c r="M17648" s="124"/>
      <c r="N17648" s="124"/>
      <c r="O17648" s="124"/>
    </row>
    <row r="17649">
      <c r="K17649" s="124"/>
      <c r="L17649" s="124"/>
      <c r="M17649" s="124"/>
      <c r="N17649" s="124"/>
      <c r="O17649" s="124"/>
    </row>
    <row r="17650">
      <c r="K17650" s="124"/>
      <c r="L17650" s="124"/>
      <c r="M17650" s="124"/>
      <c r="N17650" s="124"/>
      <c r="O17650" s="124"/>
    </row>
    <row r="17651">
      <c r="K17651" s="124"/>
      <c r="L17651" s="124"/>
      <c r="M17651" s="124"/>
      <c r="N17651" s="124"/>
      <c r="O17651" s="124"/>
    </row>
    <row r="17652">
      <c r="K17652" s="124"/>
      <c r="L17652" s="124"/>
      <c r="M17652" s="124"/>
      <c r="N17652" s="124"/>
      <c r="O17652" s="124"/>
    </row>
    <row r="17653">
      <c r="K17653" s="124"/>
      <c r="L17653" s="124"/>
      <c r="M17653" s="124"/>
      <c r="N17653" s="124"/>
      <c r="O17653" s="124"/>
    </row>
    <row r="17654">
      <c r="K17654" s="124"/>
      <c r="L17654" s="124"/>
      <c r="M17654" s="124"/>
      <c r="N17654" s="124"/>
      <c r="O17654" s="124"/>
    </row>
    <row r="17655">
      <c r="K17655" s="124"/>
      <c r="L17655" s="124"/>
      <c r="M17655" s="124"/>
      <c r="N17655" s="124"/>
      <c r="O17655" s="124"/>
    </row>
    <row r="17656">
      <c r="K17656" s="124"/>
      <c r="L17656" s="124"/>
      <c r="M17656" s="124"/>
      <c r="N17656" s="124"/>
      <c r="O17656" s="124"/>
    </row>
    <row r="17657">
      <c r="K17657" s="124"/>
      <c r="L17657" s="124"/>
      <c r="M17657" s="124"/>
      <c r="N17657" s="124"/>
      <c r="O17657" s="124"/>
    </row>
    <row r="17658">
      <c r="K17658" s="124"/>
      <c r="L17658" s="124"/>
      <c r="M17658" s="124"/>
      <c r="N17658" s="124"/>
      <c r="O17658" s="124"/>
    </row>
    <row r="17659">
      <c r="K17659" s="124"/>
      <c r="L17659" s="124"/>
      <c r="M17659" s="124"/>
      <c r="N17659" s="124"/>
      <c r="O17659" s="124"/>
    </row>
    <row r="17660">
      <c r="K17660" s="124"/>
      <c r="L17660" s="124"/>
      <c r="M17660" s="124"/>
      <c r="N17660" s="124"/>
      <c r="O17660" s="124"/>
    </row>
    <row r="17661">
      <c r="K17661" s="124"/>
      <c r="L17661" s="124"/>
      <c r="M17661" s="124"/>
      <c r="N17661" s="124"/>
      <c r="O17661" s="124"/>
    </row>
    <row r="17662">
      <c r="K17662" s="124"/>
      <c r="L17662" s="124"/>
      <c r="M17662" s="124"/>
      <c r="N17662" s="124"/>
      <c r="O17662" s="124"/>
    </row>
    <row r="17663">
      <c r="K17663" s="124"/>
      <c r="L17663" s="124"/>
      <c r="M17663" s="124"/>
      <c r="N17663" s="124"/>
      <c r="O17663" s="124"/>
    </row>
    <row r="17664">
      <c r="K17664" s="124"/>
      <c r="L17664" s="124"/>
      <c r="M17664" s="124"/>
      <c r="N17664" s="124"/>
      <c r="O17664" s="124"/>
    </row>
    <row r="17665">
      <c r="K17665" s="124"/>
      <c r="L17665" s="124"/>
      <c r="M17665" s="124"/>
      <c r="N17665" s="124"/>
      <c r="O17665" s="124"/>
    </row>
    <row r="17666">
      <c r="K17666" s="124"/>
      <c r="L17666" s="124"/>
      <c r="M17666" s="124"/>
      <c r="N17666" s="124"/>
      <c r="O17666" s="124"/>
    </row>
    <row r="17667">
      <c r="K17667" s="124"/>
      <c r="L17667" s="124"/>
      <c r="M17667" s="124"/>
      <c r="N17667" s="124"/>
      <c r="O17667" s="124"/>
    </row>
    <row r="17668">
      <c r="K17668" s="124"/>
      <c r="L17668" s="124"/>
      <c r="M17668" s="124"/>
      <c r="N17668" s="124"/>
      <c r="O17668" s="124"/>
    </row>
    <row r="17669">
      <c r="K17669" s="124"/>
      <c r="L17669" s="124"/>
      <c r="M17669" s="124"/>
      <c r="N17669" s="124"/>
      <c r="O17669" s="124"/>
    </row>
    <row r="17670">
      <c r="K17670" s="124"/>
      <c r="L17670" s="124"/>
      <c r="M17670" s="124"/>
      <c r="N17670" s="124"/>
      <c r="O17670" s="124"/>
    </row>
    <row r="17671">
      <c r="K17671" s="124"/>
      <c r="L17671" s="124"/>
      <c r="M17671" s="124"/>
      <c r="N17671" s="124"/>
      <c r="O17671" s="124"/>
    </row>
    <row r="17672">
      <c r="K17672" s="124"/>
      <c r="L17672" s="124"/>
      <c r="M17672" s="124"/>
      <c r="N17672" s="124"/>
      <c r="O17672" s="124"/>
    </row>
    <row r="17673">
      <c r="K17673" s="124"/>
      <c r="L17673" s="124"/>
      <c r="M17673" s="124"/>
      <c r="N17673" s="124"/>
      <c r="O17673" s="124"/>
    </row>
    <row r="17674">
      <c r="K17674" s="124"/>
      <c r="L17674" s="124"/>
      <c r="M17674" s="124"/>
      <c r="N17674" s="124"/>
      <c r="O17674" s="124"/>
    </row>
    <row r="17675">
      <c r="K17675" s="124"/>
      <c r="L17675" s="124"/>
      <c r="M17675" s="124"/>
      <c r="N17675" s="124"/>
      <c r="O17675" s="124"/>
    </row>
    <row r="17676">
      <c r="K17676" s="124"/>
      <c r="L17676" s="124"/>
      <c r="M17676" s="124"/>
      <c r="N17676" s="124"/>
      <c r="O17676" s="124"/>
    </row>
    <row r="17677">
      <c r="K17677" s="124"/>
      <c r="L17677" s="124"/>
      <c r="M17677" s="124"/>
      <c r="N17677" s="124"/>
      <c r="O17677" s="124"/>
    </row>
    <row r="17678">
      <c r="K17678" s="124"/>
      <c r="L17678" s="124"/>
      <c r="M17678" s="124"/>
      <c r="N17678" s="124"/>
      <c r="O17678" s="124"/>
    </row>
    <row r="17679">
      <c r="K17679" s="124"/>
      <c r="L17679" s="124"/>
      <c r="M17679" s="124"/>
      <c r="N17679" s="124"/>
      <c r="O17679" s="124"/>
    </row>
    <row r="17680">
      <c r="K17680" s="124"/>
      <c r="L17680" s="124"/>
      <c r="M17680" s="124"/>
      <c r="N17680" s="124"/>
      <c r="O17680" s="124"/>
    </row>
    <row r="17681">
      <c r="K17681" s="124"/>
      <c r="L17681" s="124"/>
      <c r="M17681" s="124"/>
      <c r="N17681" s="124"/>
      <c r="O17681" s="124"/>
    </row>
    <row r="17682">
      <c r="K17682" s="124"/>
      <c r="L17682" s="124"/>
      <c r="M17682" s="124"/>
      <c r="N17682" s="124"/>
      <c r="O17682" s="124"/>
    </row>
    <row r="17683">
      <c r="K17683" s="124"/>
      <c r="L17683" s="124"/>
      <c r="M17683" s="124"/>
      <c r="N17683" s="124"/>
      <c r="O17683" s="124"/>
    </row>
    <row r="17684">
      <c r="K17684" s="124"/>
      <c r="L17684" s="124"/>
      <c r="M17684" s="124"/>
      <c r="N17684" s="124"/>
      <c r="O17684" s="124"/>
    </row>
    <row r="17685">
      <c r="K17685" s="124"/>
      <c r="L17685" s="124"/>
      <c r="M17685" s="124"/>
      <c r="N17685" s="124"/>
      <c r="O17685" s="124"/>
    </row>
    <row r="17686">
      <c r="K17686" s="124"/>
      <c r="L17686" s="124"/>
      <c r="M17686" s="124"/>
      <c r="N17686" s="124"/>
      <c r="O17686" s="124"/>
    </row>
    <row r="17687">
      <c r="K17687" s="124"/>
      <c r="L17687" s="124"/>
      <c r="M17687" s="124"/>
      <c r="N17687" s="124"/>
      <c r="O17687" s="124"/>
    </row>
    <row r="17688">
      <c r="K17688" s="124"/>
      <c r="L17688" s="124"/>
      <c r="M17688" s="124"/>
      <c r="N17688" s="124"/>
      <c r="O17688" s="124"/>
    </row>
    <row r="17689">
      <c r="K17689" s="124"/>
      <c r="L17689" s="124"/>
      <c r="M17689" s="124"/>
      <c r="N17689" s="124"/>
      <c r="O17689" s="124"/>
    </row>
    <row r="17690">
      <c r="K17690" s="124"/>
      <c r="L17690" s="124"/>
      <c r="M17690" s="124"/>
      <c r="N17690" s="124"/>
      <c r="O17690" s="124"/>
    </row>
    <row r="17691">
      <c r="K17691" s="124"/>
      <c r="L17691" s="124"/>
      <c r="M17691" s="124"/>
      <c r="N17691" s="124"/>
      <c r="O17691" s="124"/>
    </row>
    <row r="17692">
      <c r="K17692" s="124"/>
      <c r="L17692" s="124"/>
      <c r="M17692" s="124"/>
      <c r="N17692" s="124"/>
      <c r="O17692" s="124"/>
    </row>
    <row r="17693">
      <c r="K17693" s="124"/>
      <c r="L17693" s="124"/>
      <c r="M17693" s="124"/>
      <c r="N17693" s="124"/>
      <c r="O17693" s="124"/>
    </row>
    <row r="17694">
      <c r="K17694" s="124"/>
      <c r="L17694" s="124"/>
      <c r="M17694" s="124"/>
      <c r="N17694" s="124"/>
      <c r="O17694" s="124"/>
    </row>
    <row r="17695">
      <c r="K17695" s="124"/>
      <c r="L17695" s="124"/>
      <c r="M17695" s="124"/>
      <c r="N17695" s="124"/>
      <c r="O17695" s="124"/>
    </row>
    <row r="17696">
      <c r="K17696" s="124"/>
      <c r="L17696" s="124"/>
      <c r="M17696" s="124"/>
      <c r="N17696" s="124"/>
      <c r="O17696" s="124"/>
    </row>
    <row r="17697">
      <c r="K17697" s="124"/>
      <c r="L17697" s="124"/>
      <c r="M17697" s="124"/>
      <c r="N17697" s="124"/>
      <c r="O17697" s="124"/>
    </row>
    <row r="17698">
      <c r="K17698" s="124"/>
      <c r="L17698" s="124"/>
      <c r="M17698" s="124"/>
      <c r="N17698" s="124"/>
      <c r="O17698" s="124"/>
    </row>
    <row r="17699">
      <c r="K17699" s="124"/>
      <c r="L17699" s="124"/>
      <c r="M17699" s="124"/>
      <c r="N17699" s="124"/>
      <c r="O17699" s="124"/>
    </row>
    <row r="17700">
      <c r="K17700" s="124"/>
      <c r="L17700" s="124"/>
      <c r="M17700" s="124"/>
      <c r="N17700" s="124"/>
      <c r="O17700" s="124"/>
    </row>
    <row r="17701">
      <c r="K17701" s="124"/>
      <c r="L17701" s="124"/>
      <c r="M17701" s="124"/>
      <c r="N17701" s="124"/>
      <c r="O17701" s="124"/>
    </row>
    <row r="17702">
      <c r="K17702" s="124"/>
      <c r="L17702" s="124"/>
      <c r="M17702" s="124"/>
      <c r="N17702" s="124"/>
      <c r="O17702" s="124"/>
    </row>
    <row r="17703">
      <c r="K17703" s="124"/>
      <c r="L17703" s="124"/>
      <c r="M17703" s="124"/>
      <c r="N17703" s="124"/>
      <c r="O17703" s="124"/>
    </row>
    <row r="17704">
      <c r="K17704" s="124"/>
      <c r="L17704" s="124"/>
      <c r="M17704" s="124"/>
      <c r="N17704" s="124"/>
      <c r="O17704" s="124"/>
    </row>
    <row r="17705">
      <c r="K17705" s="124"/>
      <c r="L17705" s="124"/>
      <c r="M17705" s="124"/>
      <c r="N17705" s="124"/>
      <c r="O17705" s="124"/>
    </row>
    <row r="17706">
      <c r="K17706" s="124"/>
      <c r="L17706" s="124"/>
      <c r="M17706" s="124"/>
      <c r="N17706" s="124"/>
      <c r="O17706" s="124"/>
    </row>
    <row r="17707">
      <c r="K17707" s="124"/>
      <c r="L17707" s="124"/>
      <c r="M17707" s="124"/>
      <c r="N17707" s="124"/>
      <c r="O17707" s="124"/>
    </row>
    <row r="17708">
      <c r="K17708" s="124"/>
      <c r="L17708" s="124"/>
      <c r="M17708" s="124"/>
      <c r="N17708" s="124"/>
      <c r="O17708" s="124"/>
    </row>
    <row r="17709">
      <c r="K17709" s="124"/>
      <c r="L17709" s="124"/>
      <c r="M17709" s="124"/>
      <c r="N17709" s="124"/>
      <c r="O17709" s="124"/>
    </row>
    <row r="17710">
      <c r="K17710" s="124"/>
      <c r="L17710" s="124"/>
      <c r="M17710" s="124"/>
      <c r="N17710" s="124"/>
      <c r="O17710" s="124"/>
    </row>
    <row r="17711">
      <c r="K17711" s="124"/>
      <c r="L17711" s="124"/>
      <c r="M17711" s="124"/>
      <c r="N17711" s="124"/>
      <c r="O17711" s="124"/>
    </row>
    <row r="17712">
      <c r="K17712" s="124"/>
      <c r="L17712" s="124"/>
      <c r="M17712" s="124"/>
      <c r="N17712" s="124"/>
      <c r="O17712" s="124"/>
    </row>
    <row r="17713">
      <c r="K17713" s="124"/>
      <c r="L17713" s="124"/>
      <c r="M17713" s="124"/>
      <c r="N17713" s="124"/>
      <c r="O17713" s="124"/>
    </row>
    <row r="17714">
      <c r="K17714" s="124"/>
      <c r="L17714" s="124"/>
      <c r="M17714" s="124"/>
      <c r="N17714" s="124"/>
      <c r="O17714" s="124"/>
    </row>
    <row r="17715">
      <c r="K17715" s="124"/>
      <c r="L17715" s="124"/>
      <c r="M17715" s="124"/>
      <c r="N17715" s="124"/>
      <c r="O17715" s="124"/>
    </row>
    <row r="17716">
      <c r="K17716" s="124"/>
      <c r="L17716" s="124"/>
      <c r="M17716" s="124"/>
      <c r="N17716" s="124"/>
      <c r="O17716" s="124"/>
    </row>
    <row r="17717">
      <c r="K17717" s="124"/>
      <c r="L17717" s="124"/>
      <c r="M17717" s="124"/>
      <c r="N17717" s="124"/>
      <c r="O17717" s="124"/>
    </row>
    <row r="17718">
      <c r="K17718" s="124"/>
      <c r="L17718" s="124"/>
      <c r="M17718" s="124"/>
      <c r="N17718" s="124"/>
      <c r="O17718" s="124"/>
    </row>
    <row r="17719">
      <c r="K17719" s="124"/>
      <c r="L17719" s="124"/>
      <c r="M17719" s="124"/>
      <c r="N17719" s="124"/>
      <c r="O17719" s="124"/>
    </row>
    <row r="17720">
      <c r="K17720" s="124"/>
      <c r="L17720" s="124"/>
      <c r="M17720" s="124"/>
      <c r="N17720" s="124"/>
      <c r="O17720" s="124"/>
    </row>
    <row r="17721">
      <c r="K17721" s="124"/>
      <c r="L17721" s="124"/>
      <c r="M17721" s="124"/>
      <c r="N17721" s="124"/>
      <c r="O17721" s="124"/>
    </row>
    <row r="17722">
      <c r="K17722" s="124"/>
      <c r="L17722" s="124"/>
      <c r="M17722" s="124"/>
      <c r="N17722" s="124"/>
      <c r="O17722" s="124"/>
    </row>
    <row r="17723">
      <c r="K17723" s="124"/>
      <c r="L17723" s="124"/>
      <c r="M17723" s="124"/>
      <c r="N17723" s="124"/>
      <c r="O17723" s="124"/>
    </row>
    <row r="17724">
      <c r="K17724" s="124"/>
      <c r="L17724" s="124"/>
      <c r="M17724" s="124"/>
      <c r="N17724" s="124"/>
      <c r="O17724" s="124"/>
    </row>
    <row r="17725">
      <c r="K17725" s="124"/>
      <c r="L17725" s="124"/>
      <c r="M17725" s="124"/>
      <c r="N17725" s="124"/>
      <c r="O17725" s="124"/>
    </row>
    <row r="17726">
      <c r="K17726" s="124"/>
      <c r="L17726" s="124"/>
      <c r="M17726" s="124"/>
      <c r="N17726" s="124"/>
      <c r="O17726" s="124"/>
    </row>
    <row r="17727">
      <c r="K17727" s="124"/>
      <c r="L17727" s="124"/>
      <c r="M17727" s="124"/>
      <c r="N17727" s="124"/>
      <c r="O17727" s="124"/>
    </row>
    <row r="17728">
      <c r="K17728" s="124"/>
      <c r="L17728" s="124"/>
      <c r="M17728" s="124"/>
      <c r="N17728" s="124"/>
      <c r="O17728" s="124"/>
    </row>
    <row r="17729">
      <c r="K17729" s="124"/>
      <c r="L17729" s="124"/>
      <c r="M17729" s="124"/>
      <c r="N17729" s="124"/>
      <c r="O17729" s="124"/>
    </row>
    <row r="17730">
      <c r="K17730" s="124"/>
      <c r="L17730" s="124"/>
      <c r="M17730" s="124"/>
      <c r="N17730" s="124"/>
      <c r="O17730" s="124"/>
    </row>
    <row r="17731">
      <c r="K17731" s="124"/>
      <c r="L17731" s="124"/>
      <c r="M17731" s="124"/>
      <c r="N17731" s="124"/>
      <c r="O17731" s="124"/>
    </row>
    <row r="17732">
      <c r="K17732" s="124"/>
      <c r="L17732" s="124"/>
      <c r="M17732" s="124"/>
      <c r="N17732" s="124"/>
      <c r="O17732" s="124"/>
    </row>
    <row r="17733">
      <c r="K17733" s="124"/>
      <c r="L17733" s="124"/>
      <c r="M17733" s="124"/>
      <c r="N17733" s="124"/>
      <c r="O17733" s="124"/>
    </row>
    <row r="17734">
      <c r="K17734" s="124"/>
      <c r="L17734" s="124"/>
      <c r="M17734" s="124"/>
      <c r="N17734" s="124"/>
      <c r="O17734" s="124"/>
    </row>
    <row r="17735">
      <c r="K17735" s="124"/>
      <c r="L17735" s="124"/>
      <c r="M17735" s="124"/>
      <c r="N17735" s="124"/>
      <c r="O17735" s="124"/>
    </row>
    <row r="17736">
      <c r="K17736" s="124"/>
      <c r="L17736" s="124"/>
      <c r="M17736" s="124"/>
      <c r="N17736" s="124"/>
      <c r="O17736" s="124"/>
    </row>
    <row r="17737">
      <c r="K17737" s="124"/>
      <c r="L17737" s="124"/>
      <c r="M17737" s="124"/>
      <c r="N17737" s="124"/>
      <c r="O17737" s="124"/>
    </row>
    <row r="17738">
      <c r="K17738" s="124"/>
      <c r="L17738" s="124"/>
      <c r="M17738" s="124"/>
      <c r="N17738" s="124"/>
      <c r="O17738" s="124"/>
    </row>
    <row r="17739">
      <c r="K17739" s="124"/>
      <c r="L17739" s="124"/>
      <c r="M17739" s="124"/>
      <c r="N17739" s="124"/>
      <c r="O17739" s="124"/>
    </row>
    <row r="17740">
      <c r="K17740" s="124"/>
      <c r="L17740" s="124"/>
      <c r="M17740" s="124"/>
      <c r="N17740" s="124"/>
      <c r="O17740" s="124"/>
    </row>
    <row r="17741">
      <c r="K17741" s="124"/>
      <c r="L17741" s="124"/>
      <c r="M17741" s="124"/>
      <c r="N17741" s="124"/>
      <c r="O17741" s="124"/>
    </row>
    <row r="17742">
      <c r="K17742" s="124"/>
      <c r="L17742" s="124"/>
      <c r="M17742" s="124"/>
      <c r="N17742" s="124"/>
      <c r="O17742" s="124"/>
    </row>
    <row r="17743">
      <c r="K17743" s="124"/>
      <c r="L17743" s="124"/>
      <c r="M17743" s="124"/>
      <c r="N17743" s="124"/>
      <c r="O17743" s="124"/>
    </row>
    <row r="17744">
      <c r="K17744" s="124"/>
      <c r="L17744" s="124"/>
      <c r="M17744" s="124"/>
      <c r="N17744" s="124"/>
      <c r="O17744" s="124"/>
    </row>
    <row r="17745">
      <c r="K17745" s="124"/>
      <c r="L17745" s="124"/>
      <c r="M17745" s="124"/>
      <c r="N17745" s="124"/>
      <c r="O17745" s="124"/>
    </row>
    <row r="17746">
      <c r="K17746" s="124"/>
      <c r="L17746" s="124"/>
      <c r="M17746" s="124"/>
      <c r="N17746" s="124"/>
      <c r="O17746" s="124"/>
    </row>
    <row r="17747">
      <c r="K17747" s="124"/>
      <c r="L17747" s="124"/>
      <c r="M17747" s="124"/>
      <c r="N17747" s="124"/>
      <c r="O17747" s="124"/>
    </row>
    <row r="17748">
      <c r="K17748" s="124"/>
      <c r="L17748" s="124"/>
      <c r="M17748" s="124"/>
      <c r="N17748" s="124"/>
      <c r="O17748" s="124"/>
    </row>
    <row r="17749">
      <c r="K17749" s="124"/>
      <c r="L17749" s="124"/>
      <c r="M17749" s="124"/>
      <c r="N17749" s="124"/>
      <c r="O17749" s="124"/>
    </row>
    <row r="17750">
      <c r="K17750" s="124"/>
      <c r="L17750" s="124"/>
      <c r="M17750" s="124"/>
      <c r="N17750" s="124"/>
      <c r="O17750" s="124"/>
    </row>
    <row r="17751">
      <c r="K17751" s="124"/>
      <c r="L17751" s="124"/>
      <c r="M17751" s="124"/>
      <c r="N17751" s="124"/>
      <c r="O17751" s="124"/>
    </row>
    <row r="17752">
      <c r="K17752" s="124"/>
      <c r="L17752" s="124"/>
      <c r="M17752" s="124"/>
      <c r="N17752" s="124"/>
      <c r="O17752" s="124"/>
    </row>
    <row r="17753">
      <c r="K17753" s="124"/>
      <c r="L17753" s="124"/>
      <c r="M17753" s="124"/>
      <c r="N17753" s="124"/>
      <c r="O17753" s="124"/>
    </row>
    <row r="17754">
      <c r="K17754" s="124"/>
      <c r="L17754" s="124"/>
      <c r="M17754" s="124"/>
      <c r="N17754" s="124"/>
      <c r="O17754" s="124"/>
    </row>
    <row r="17755">
      <c r="K17755" s="124"/>
      <c r="L17755" s="124"/>
      <c r="M17755" s="124"/>
      <c r="N17755" s="124"/>
      <c r="O17755" s="124"/>
    </row>
    <row r="17756">
      <c r="K17756" s="124"/>
      <c r="L17756" s="124"/>
      <c r="M17756" s="124"/>
      <c r="N17756" s="124"/>
      <c r="O17756" s="124"/>
    </row>
    <row r="17757">
      <c r="K17757" s="124"/>
      <c r="L17757" s="124"/>
      <c r="M17757" s="124"/>
      <c r="N17757" s="124"/>
      <c r="O17757" s="124"/>
    </row>
    <row r="17758">
      <c r="K17758" s="124"/>
      <c r="L17758" s="124"/>
      <c r="M17758" s="124"/>
      <c r="N17758" s="124"/>
      <c r="O17758" s="124"/>
    </row>
    <row r="17759">
      <c r="K17759" s="124"/>
      <c r="L17759" s="124"/>
      <c r="M17759" s="124"/>
      <c r="N17759" s="124"/>
      <c r="O17759" s="124"/>
    </row>
    <row r="17760">
      <c r="K17760" s="124"/>
      <c r="L17760" s="124"/>
      <c r="M17760" s="124"/>
      <c r="N17760" s="124"/>
      <c r="O17760" s="124"/>
    </row>
    <row r="17761">
      <c r="K17761" s="124"/>
      <c r="L17761" s="124"/>
      <c r="M17761" s="124"/>
      <c r="N17761" s="124"/>
      <c r="O17761" s="124"/>
    </row>
    <row r="17762">
      <c r="K17762" s="124"/>
      <c r="L17762" s="124"/>
      <c r="M17762" s="124"/>
      <c r="N17762" s="124"/>
      <c r="O17762" s="124"/>
    </row>
    <row r="17763">
      <c r="K17763" s="124"/>
      <c r="L17763" s="124"/>
      <c r="M17763" s="124"/>
      <c r="N17763" s="124"/>
      <c r="O17763" s="124"/>
    </row>
    <row r="17764">
      <c r="K17764" s="124"/>
      <c r="L17764" s="124"/>
      <c r="M17764" s="124"/>
      <c r="N17764" s="124"/>
      <c r="O17764" s="124"/>
    </row>
    <row r="17765">
      <c r="K17765" s="124"/>
      <c r="L17765" s="124"/>
      <c r="M17765" s="124"/>
      <c r="N17765" s="124"/>
      <c r="O17765" s="124"/>
    </row>
    <row r="17766">
      <c r="K17766" s="124"/>
      <c r="L17766" s="124"/>
      <c r="M17766" s="124"/>
      <c r="N17766" s="124"/>
      <c r="O17766" s="124"/>
    </row>
    <row r="17767">
      <c r="K17767" s="124"/>
      <c r="L17767" s="124"/>
      <c r="M17767" s="124"/>
      <c r="N17767" s="124"/>
      <c r="O17767" s="124"/>
    </row>
    <row r="17768">
      <c r="K17768" s="124"/>
      <c r="L17768" s="124"/>
      <c r="M17768" s="124"/>
      <c r="N17768" s="124"/>
      <c r="O17768" s="124"/>
    </row>
    <row r="17769">
      <c r="K17769" s="124"/>
      <c r="L17769" s="124"/>
      <c r="M17769" s="124"/>
      <c r="N17769" s="124"/>
      <c r="O17769" s="124"/>
    </row>
    <row r="17770">
      <c r="K17770" s="124"/>
      <c r="L17770" s="124"/>
      <c r="M17770" s="124"/>
      <c r="N17770" s="124"/>
      <c r="O17770" s="124"/>
    </row>
    <row r="17771">
      <c r="K17771" s="124"/>
      <c r="L17771" s="124"/>
      <c r="M17771" s="124"/>
      <c r="N17771" s="124"/>
      <c r="O17771" s="124"/>
    </row>
    <row r="17772">
      <c r="K17772" s="124"/>
      <c r="L17772" s="124"/>
      <c r="M17772" s="124"/>
      <c r="N17772" s="124"/>
      <c r="O17772" s="124"/>
    </row>
    <row r="17773">
      <c r="K17773" s="124"/>
      <c r="L17773" s="124"/>
      <c r="M17773" s="124"/>
      <c r="N17773" s="124"/>
      <c r="O17773" s="124"/>
    </row>
    <row r="17774">
      <c r="K17774" s="124"/>
      <c r="L17774" s="124"/>
      <c r="M17774" s="124"/>
      <c r="N17774" s="124"/>
      <c r="O17774" s="124"/>
    </row>
    <row r="17775">
      <c r="K17775" s="124"/>
      <c r="L17775" s="124"/>
      <c r="M17775" s="124"/>
      <c r="N17775" s="124"/>
      <c r="O17775" s="124"/>
    </row>
    <row r="17776">
      <c r="K17776" s="124"/>
      <c r="L17776" s="124"/>
      <c r="M17776" s="124"/>
      <c r="N17776" s="124"/>
      <c r="O17776" s="124"/>
    </row>
    <row r="17777">
      <c r="K17777" s="124"/>
      <c r="L17777" s="124"/>
      <c r="M17777" s="124"/>
      <c r="N17777" s="124"/>
      <c r="O17777" s="124"/>
    </row>
    <row r="17778">
      <c r="K17778" s="124"/>
      <c r="L17778" s="124"/>
      <c r="M17778" s="124"/>
      <c r="N17778" s="124"/>
      <c r="O17778" s="124"/>
    </row>
    <row r="17779">
      <c r="K17779" s="124"/>
      <c r="L17779" s="124"/>
      <c r="M17779" s="124"/>
      <c r="N17779" s="124"/>
      <c r="O17779" s="124"/>
    </row>
    <row r="17780">
      <c r="K17780" s="124"/>
      <c r="L17780" s="124"/>
      <c r="M17780" s="124"/>
      <c r="N17780" s="124"/>
      <c r="O17780" s="124"/>
    </row>
    <row r="17781">
      <c r="K17781" s="124"/>
      <c r="L17781" s="124"/>
      <c r="M17781" s="124"/>
      <c r="N17781" s="124"/>
      <c r="O17781" s="124"/>
    </row>
    <row r="17782">
      <c r="K17782" s="124"/>
      <c r="L17782" s="124"/>
      <c r="M17782" s="124"/>
      <c r="N17782" s="124"/>
      <c r="O17782" s="124"/>
    </row>
    <row r="17783">
      <c r="K17783" s="124"/>
      <c r="L17783" s="124"/>
      <c r="M17783" s="124"/>
      <c r="N17783" s="124"/>
      <c r="O17783" s="124"/>
    </row>
    <row r="17784">
      <c r="K17784" s="124"/>
      <c r="L17784" s="124"/>
      <c r="M17784" s="124"/>
      <c r="N17784" s="124"/>
      <c r="O17784" s="124"/>
    </row>
    <row r="17785">
      <c r="K17785" s="124"/>
      <c r="L17785" s="124"/>
      <c r="M17785" s="124"/>
      <c r="N17785" s="124"/>
      <c r="O17785" s="124"/>
    </row>
    <row r="17786">
      <c r="K17786" s="124"/>
      <c r="L17786" s="124"/>
      <c r="M17786" s="124"/>
      <c r="N17786" s="124"/>
      <c r="O17786" s="124"/>
    </row>
    <row r="17787">
      <c r="K17787" s="124"/>
      <c r="L17787" s="124"/>
      <c r="M17787" s="124"/>
      <c r="N17787" s="124"/>
      <c r="O17787" s="124"/>
    </row>
    <row r="17788">
      <c r="K17788" s="124"/>
      <c r="L17788" s="124"/>
      <c r="M17788" s="124"/>
      <c r="N17788" s="124"/>
      <c r="O17788" s="124"/>
    </row>
    <row r="17789">
      <c r="K17789" s="124"/>
      <c r="L17789" s="124"/>
      <c r="M17789" s="124"/>
      <c r="N17789" s="124"/>
      <c r="O17789" s="124"/>
    </row>
    <row r="17790">
      <c r="K17790" s="124"/>
      <c r="L17790" s="124"/>
      <c r="M17790" s="124"/>
      <c r="N17790" s="124"/>
      <c r="O17790" s="124"/>
    </row>
    <row r="17791">
      <c r="K17791" s="124"/>
      <c r="L17791" s="124"/>
      <c r="M17791" s="124"/>
      <c r="N17791" s="124"/>
      <c r="O17791" s="124"/>
    </row>
    <row r="17792">
      <c r="K17792" s="124"/>
      <c r="L17792" s="124"/>
      <c r="M17792" s="124"/>
      <c r="N17792" s="124"/>
      <c r="O17792" s="124"/>
    </row>
    <row r="17793">
      <c r="K17793" s="124"/>
      <c r="L17793" s="124"/>
      <c r="M17793" s="124"/>
      <c r="N17793" s="124"/>
      <c r="O17793" s="124"/>
    </row>
    <row r="17794">
      <c r="K17794" s="124"/>
      <c r="L17794" s="124"/>
      <c r="M17794" s="124"/>
      <c r="N17794" s="124"/>
      <c r="O17794" s="124"/>
    </row>
    <row r="17795">
      <c r="K17795" s="124"/>
      <c r="L17795" s="124"/>
      <c r="M17795" s="124"/>
      <c r="N17795" s="124"/>
      <c r="O17795" s="124"/>
    </row>
    <row r="17796">
      <c r="K17796" s="124"/>
      <c r="L17796" s="124"/>
      <c r="M17796" s="124"/>
      <c r="N17796" s="124"/>
      <c r="O17796" s="124"/>
    </row>
    <row r="17797">
      <c r="K17797" s="124"/>
      <c r="L17797" s="124"/>
      <c r="M17797" s="124"/>
      <c r="N17797" s="124"/>
      <c r="O17797" s="124"/>
    </row>
    <row r="17798">
      <c r="K17798" s="124"/>
      <c r="L17798" s="124"/>
      <c r="M17798" s="124"/>
      <c r="N17798" s="124"/>
      <c r="O17798" s="124"/>
    </row>
    <row r="17799">
      <c r="K17799" s="124"/>
      <c r="L17799" s="124"/>
      <c r="M17799" s="124"/>
      <c r="N17799" s="124"/>
      <c r="O17799" s="124"/>
    </row>
    <row r="17800">
      <c r="K17800" s="124"/>
      <c r="L17800" s="124"/>
      <c r="M17800" s="124"/>
      <c r="N17800" s="124"/>
      <c r="O17800" s="124"/>
    </row>
    <row r="17801">
      <c r="K17801" s="124"/>
      <c r="L17801" s="124"/>
      <c r="M17801" s="124"/>
      <c r="N17801" s="124"/>
      <c r="O17801" s="124"/>
    </row>
    <row r="17802">
      <c r="K17802" s="124"/>
      <c r="L17802" s="124"/>
      <c r="M17802" s="124"/>
      <c r="N17802" s="124"/>
      <c r="O17802" s="124"/>
    </row>
    <row r="17803">
      <c r="K17803" s="124"/>
      <c r="L17803" s="124"/>
      <c r="M17803" s="124"/>
      <c r="N17803" s="124"/>
      <c r="O17803" s="124"/>
    </row>
    <row r="17804">
      <c r="K17804" s="124"/>
      <c r="L17804" s="124"/>
      <c r="M17804" s="124"/>
      <c r="N17804" s="124"/>
      <c r="O17804" s="124"/>
    </row>
    <row r="17805">
      <c r="K17805" s="124"/>
      <c r="L17805" s="124"/>
      <c r="M17805" s="124"/>
      <c r="N17805" s="124"/>
      <c r="O17805" s="124"/>
    </row>
    <row r="17806">
      <c r="K17806" s="124"/>
      <c r="L17806" s="124"/>
      <c r="M17806" s="124"/>
      <c r="N17806" s="124"/>
      <c r="O17806" s="124"/>
    </row>
    <row r="17807">
      <c r="K17807" s="124"/>
      <c r="L17807" s="124"/>
      <c r="M17807" s="124"/>
      <c r="N17807" s="124"/>
      <c r="O17807" s="124"/>
    </row>
    <row r="17808">
      <c r="K17808" s="124"/>
      <c r="L17808" s="124"/>
      <c r="M17808" s="124"/>
      <c r="N17808" s="124"/>
      <c r="O17808" s="124"/>
    </row>
    <row r="17809">
      <c r="K17809" s="124"/>
      <c r="L17809" s="124"/>
      <c r="M17809" s="124"/>
      <c r="N17809" s="124"/>
      <c r="O17809" s="124"/>
    </row>
    <row r="17810">
      <c r="K17810" s="124"/>
      <c r="L17810" s="124"/>
      <c r="M17810" s="124"/>
      <c r="N17810" s="124"/>
      <c r="O17810" s="124"/>
    </row>
    <row r="17811">
      <c r="K17811" s="124"/>
      <c r="L17811" s="124"/>
      <c r="M17811" s="124"/>
      <c r="N17811" s="124"/>
      <c r="O17811" s="124"/>
    </row>
    <row r="17812">
      <c r="K17812" s="124"/>
      <c r="L17812" s="124"/>
      <c r="M17812" s="124"/>
      <c r="N17812" s="124"/>
      <c r="O17812" s="124"/>
    </row>
    <row r="17813">
      <c r="K17813" s="124"/>
      <c r="L17813" s="124"/>
      <c r="M17813" s="124"/>
      <c r="N17813" s="124"/>
      <c r="O17813" s="124"/>
    </row>
    <row r="17814">
      <c r="K17814" s="124"/>
      <c r="L17814" s="124"/>
      <c r="M17814" s="124"/>
      <c r="N17814" s="124"/>
      <c r="O17814" s="124"/>
    </row>
    <row r="17815">
      <c r="K17815" s="124"/>
      <c r="L17815" s="124"/>
      <c r="M17815" s="124"/>
      <c r="N17815" s="124"/>
      <c r="O17815" s="124"/>
    </row>
    <row r="17816">
      <c r="K17816" s="124"/>
      <c r="L17816" s="124"/>
      <c r="M17816" s="124"/>
      <c r="N17816" s="124"/>
      <c r="O17816" s="124"/>
    </row>
    <row r="17817">
      <c r="K17817" s="124"/>
      <c r="L17817" s="124"/>
      <c r="M17817" s="124"/>
      <c r="N17817" s="124"/>
      <c r="O17817" s="124"/>
    </row>
    <row r="17818">
      <c r="K17818" s="124"/>
      <c r="L17818" s="124"/>
      <c r="M17818" s="124"/>
      <c r="N17818" s="124"/>
      <c r="O17818" s="124"/>
    </row>
    <row r="17819">
      <c r="K17819" s="124"/>
      <c r="L17819" s="124"/>
      <c r="M17819" s="124"/>
      <c r="N17819" s="124"/>
      <c r="O17819" s="124"/>
    </row>
    <row r="17820">
      <c r="K17820" s="124"/>
      <c r="L17820" s="124"/>
      <c r="M17820" s="124"/>
      <c r="N17820" s="124"/>
      <c r="O17820" s="124"/>
    </row>
    <row r="17821">
      <c r="K17821" s="124"/>
      <c r="L17821" s="124"/>
      <c r="M17821" s="124"/>
      <c r="N17821" s="124"/>
      <c r="O17821" s="124"/>
    </row>
    <row r="17822">
      <c r="K17822" s="124"/>
      <c r="L17822" s="124"/>
      <c r="M17822" s="124"/>
      <c r="N17822" s="124"/>
      <c r="O17822" s="124"/>
    </row>
    <row r="17823">
      <c r="K17823" s="124"/>
      <c r="L17823" s="124"/>
      <c r="M17823" s="124"/>
      <c r="N17823" s="124"/>
      <c r="O17823" s="124"/>
    </row>
    <row r="17824">
      <c r="K17824" s="124"/>
      <c r="L17824" s="124"/>
      <c r="M17824" s="124"/>
      <c r="N17824" s="124"/>
      <c r="O17824" s="124"/>
    </row>
    <row r="17825">
      <c r="K17825" s="124"/>
      <c r="L17825" s="124"/>
      <c r="M17825" s="124"/>
      <c r="N17825" s="124"/>
      <c r="O17825" s="124"/>
    </row>
    <row r="17826">
      <c r="K17826" s="124"/>
      <c r="L17826" s="124"/>
      <c r="M17826" s="124"/>
      <c r="N17826" s="124"/>
      <c r="O17826" s="124"/>
    </row>
    <row r="17827">
      <c r="K17827" s="124"/>
      <c r="L17827" s="124"/>
      <c r="M17827" s="124"/>
      <c r="N17827" s="124"/>
      <c r="O17827" s="124"/>
    </row>
    <row r="17828">
      <c r="K17828" s="124"/>
      <c r="L17828" s="124"/>
      <c r="M17828" s="124"/>
      <c r="N17828" s="124"/>
      <c r="O17828" s="124"/>
    </row>
    <row r="17829">
      <c r="K17829" s="124"/>
      <c r="L17829" s="124"/>
      <c r="M17829" s="124"/>
      <c r="N17829" s="124"/>
      <c r="O17829" s="124"/>
    </row>
    <row r="17830">
      <c r="K17830" s="124"/>
      <c r="L17830" s="124"/>
      <c r="M17830" s="124"/>
      <c r="N17830" s="124"/>
      <c r="O17830" s="124"/>
    </row>
    <row r="17831">
      <c r="K17831" s="124"/>
      <c r="L17831" s="124"/>
      <c r="M17831" s="124"/>
      <c r="N17831" s="124"/>
      <c r="O17831" s="124"/>
    </row>
    <row r="17832">
      <c r="K17832" s="124"/>
      <c r="L17832" s="124"/>
      <c r="M17832" s="124"/>
      <c r="N17832" s="124"/>
      <c r="O17832" s="124"/>
    </row>
    <row r="17833">
      <c r="K17833" s="124"/>
      <c r="L17833" s="124"/>
      <c r="M17833" s="124"/>
      <c r="N17833" s="124"/>
      <c r="O17833" s="124"/>
    </row>
    <row r="17834">
      <c r="K17834" s="124"/>
      <c r="L17834" s="124"/>
      <c r="M17834" s="124"/>
      <c r="N17834" s="124"/>
      <c r="O17834" s="124"/>
    </row>
    <row r="17835">
      <c r="K17835" s="124"/>
      <c r="L17835" s="124"/>
      <c r="M17835" s="124"/>
      <c r="N17835" s="124"/>
      <c r="O17835" s="124"/>
    </row>
    <row r="17836">
      <c r="K17836" s="124"/>
      <c r="L17836" s="124"/>
      <c r="M17836" s="124"/>
      <c r="N17836" s="124"/>
      <c r="O17836" s="124"/>
    </row>
    <row r="17837">
      <c r="K17837" s="124"/>
      <c r="L17837" s="124"/>
      <c r="M17837" s="124"/>
      <c r="N17837" s="124"/>
      <c r="O17837" s="124"/>
    </row>
    <row r="17838">
      <c r="K17838" s="124"/>
      <c r="L17838" s="124"/>
      <c r="M17838" s="124"/>
      <c r="N17838" s="124"/>
      <c r="O17838" s="124"/>
    </row>
    <row r="17839">
      <c r="K17839" s="124"/>
      <c r="L17839" s="124"/>
      <c r="M17839" s="124"/>
      <c r="N17839" s="124"/>
      <c r="O17839" s="124"/>
    </row>
    <row r="17840">
      <c r="K17840" s="124"/>
      <c r="L17840" s="124"/>
      <c r="M17840" s="124"/>
      <c r="N17840" s="124"/>
      <c r="O17840" s="124"/>
    </row>
    <row r="17841">
      <c r="K17841" s="124"/>
      <c r="L17841" s="124"/>
      <c r="M17841" s="124"/>
      <c r="N17841" s="124"/>
      <c r="O17841" s="124"/>
    </row>
    <row r="17842">
      <c r="K17842" s="124"/>
      <c r="L17842" s="124"/>
      <c r="M17842" s="124"/>
      <c r="N17842" s="124"/>
      <c r="O17842" s="124"/>
    </row>
    <row r="17843">
      <c r="K17843" s="124"/>
      <c r="L17843" s="124"/>
      <c r="M17843" s="124"/>
      <c r="N17843" s="124"/>
      <c r="O17843" s="124"/>
    </row>
    <row r="17844">
      <c r="K17844" s="124"/>
      <c r="L17844" s="124"/>
      <c r="M17844" s="124"/>
      <c r="N17844" s="124"/>
      <c r="O17844" s="124"/>
    </row>
    <row r="17845">
      <c r="K17845" s="124"/>
      <c r="L17845" s="124"/>
      <c r="M17845" s="124"/>
      <c r="N17845" s="124"/>
      <c r="O17845" s="124"/>
    </row>
    <row r="17846">
      <c r="K17846" s="124"/>
      <c r="L17846" s="124"/>
      <c r="M17846" s="124"/>
      <c r="N17846" s="124"/>
      <c r="O17846" s="124"/>
    </row>
    <row r="17847">
      <c r="K17847" s="124"/>
      <c r="L17847" s="124"/>
      <c r="M17847" s="124"/>
      <c r="N17847" s="124"/>
      <c r="O17847" s="124"/>
    </row>
    <row r="17848">
      <c r="K17848" s="124"/>
      <c r="L17848" s="124"/>
      <c r="M17848" s="124"/>
      <c r="N17848" s="124"/>
      <c r="O17848" s="124"/>
    </row>
    <row r="17849">
      <c r="K17849" s="124"/>
      <c r="L17849" s="124"/>
      <c r="M17849" s="124"/>
      <c r="N17849" s="124"/>
      <c r="O17849" s="124"/>
    </row>
    <row r="17850">
      <c r="K17850" s="124"/>
      <c r="L17850" s="124"/>
      <c r="M17850" s="124"/>
      <c r="N17850" s="124"/>
      <c r="O17850" s="124"/>
    </row>
    <row r="17851">
      <c r="K17851" s="124"/>
      <c r="L17851" s="124"/>
      <c r="M17851" s="124"/>
      <c r="N17851" s="124"/>
      <c r="O17851" s="124"/>
    </row>
    <row r="17852">
      <c r="K17852" s="124"/>
      <c r="L17852" s="124"/>
      <c r="M17852" s="124"/>
      <c r="N17852" s="124"/>
      <c r="O17852" s="124"/>
    </row>
    <row r="17853">
      <c r="K17853" s="124"/>
      <c r="L17853" s="124"/>
      <c r="M17853" s="124"/>
      <c r="N17853" s="124"/>
      <c r="O17853" s="124"/>
    </row>
    <row r="17854">
      <c r="K17854" s="124"/>
      <c r="L17854" s="124"/>
      <c r="M17854" s="124"/>
      <c r="N17854" s="124"/>
      <c r="O17854" s="124"/>
    </row>
    <row r="17855">
      <c r="K17855" s="124"/>
      <c r="L17855" s="124"/>
      <c r="M17855" s="124"/>
      <c r="N17855" s="124"/>
      <c r="O17855" s="124"/>
    </row>
    <row r="17856">
      <c r="K17856" s="124"/>
      <c r="L17856" s="124"/>
      <c r="M17856" s="124"/>
      <c r="N17856" s="124"/>
      <c r="O17856" s="124"/>
    </row>
    <row r="17857">
      <c r="K17857" s="124"/>
      <c r="L17857" s="124"/>
      <c r="M17857" s="124"/>
      <c r="N17857" s="124"/>
      <c r="O17857" s="124"/>
    </row>
    <row r="17858">
      <c r="K17858" s="124"/>
      <c r="L17858" s="124"/>
      <c r="M17858" s="124"/>
      <c r="N17858" s="124"/>
      <c r="O17858" s="124"/>
    </row>
    <row r="17859">
      <c r="K17859" s="124"/>
      <c r="L17859" s="124"/>
      <c r="M17859" s="124"/>
      <c r="N17859" s="124"/>
      <c r="O17859" s="124"/>
    </row>
    <row r="17860">
      <c r="K17860" s="124"/>
      <c r="L17860" s="124"/>
      <c r="M17860" s="124"/>
      <c r="N17860" s="124"/>
      <c r="O17860" s="124"/>
    </row>
    <row r="17861">
      <c r="K17861" s="124"/>
      <c r="L17861" s="124"/>
      <c r="M17861" s="124"/>
      <c r="N17861" s="124"/>
      <c r="O17861" s="124"/>
    </row>
    <row r="17862">
      <c r="K17862" s="124"/>
      <c r="L17862" s="124"/>
      <c r="M17862" s="124"/>
      <c r="N17862" s="124"/>
      <c r="O17862" s="124"/>
    </row>
    <row r="17863">
      <c r="K17863" s="124"/>
      <c r="L17863" s="124"/>
      <c r="M17863" s="124"/>
      <c r="N17863" s="124"/>
      <c r="O17863" s="124"/>
    </row>
    <row r="17864">
      <c r="K17864" s="124"/>
      <c r="L17864" s="124"/>
      <c r="M17864" s="124"/>
      <c r="N17864" s="124"/>
      <c r="O17864" s="124"/>
    </row>
    <row r="17865">
      <c r="K17865" s="124"/>
      <c r="L17865" s="124"/>
      <c r="M17865" s="124"/>
      <c r="N17865" s="124"/>
      <c r="O17865" s="124"/>
    </row>
    <row r="17866">
      <c r="K17866" s="124"/>
      <c r="L17866" s="124"/>
      <c r="M17866" s="124"/>
      <c r="N17866" s="124"/>
      <c r="O17866" s="124"/>
    </row>
    <row r="17867">
      <c r="K17867" s="124"/>
      <c r="L17867" s="124"/>
      <c r="M17867" s="124"/>
      <c r="N17867" s="124"/>
      <c r="O17867" s="124"/>
    </row>
    <row r="17868">
      <c r="K17868" s="124"/>
      <c r="L17868" s="124"/>
      <c r="M17868" s="124"/>
      <c r="N17868" s="124"/>
      <c r="O17868" s="124"/>
    </row>
    <row r="17869">
      <c r="K17869" s="124"/>
      <c r="L17869" s="124"/>
      <c r="M17869" s="124"/>
      <c r="N17869" s="124"/>
      <c r="O17869" s="124"/>
    </row>
    <row r="17870">
      <c r="K17870" s="124"/>
      <c r="L17870" s="124"/>
      <c r="M17870" s="124"/>
      <c r="N17870" s="124"/>
      <c r="O17870" s="124"/>
    </row>
    <row r="17871">
      <c r="K17871" s="124"/>
      <c r="L17871" s="124"/>
      <c r="M17871" s="124"/>
      <c r="N17871" s="124"/>
      <c r="O17871" s="124"/>
    </row>
    <row r="17872">
      <c r="K17872" s="124"/>
      <c r="L17872" s="124"/>
      <c r="M17872" s="124"/>
      <c r="N17872" s="124"/>
      <c r="O17872" s="124"/>
    </row>
    <row r="17873">
      <c r="K17873" s="124"/>
      <c r="L17873" s="124"/>
      <c r="M17873" s="124"/>
      <c r="N17873" s="124"/>
      <c r="O17873" s="124"/>
    </row>
    <row r="17874">
      <c r="K17874" s="124"/>
      <c r="L17874" s="124"/>
      <c r="M17874" s="124"/>
      <c r="N17874" s="124"/>
      <c r="O17874" s="124"/>
    </row>
    <row r="17875">
      <c r="K17875" s="124"/>
      <c r="L17875" s="124"/>
      <c r="M17875" s="124"/>
      <c r="N17875" s="124"/>
      <c r="O17875" s="124"/>
    </row>
    <row r="17876">
      <c r="K17876" s="124"/>
      <c r="L17876" s="124"/>
      <c r="M17876" s="124"/>
      <c r="N17876" s="124"/>
      <c r="O17876" s="124"/>
    </row>
    <row r="17877">
      <c r="K17877" s="124"/>
      <c r="L17877" s="124"/>
      <c r="M17877" s="124"/>
      <c r="N17877" s="124"/>
      <c r="O17877" s="124"/>
    </row>
    <row r="17878">
      <c r="K17878" s="124"/>
      <c r="L17878" s="124"/>
      <c r="M17878" s="124"/>
      <c r="N17878" s="124"/>
      <c r="O17878" s="124"/>
    </row>
    <row r="17879">
      <c r="K17879" s="124"/>
      <c r="L17879" s="124"/>
      <c r="M17879" s="124"/>
      <c r="N17879" s="124"/>
      <c r="O17879" s="124"/>
    </row>
    <row r="17880">
      <c r="K17880" s="124"/>
      <c r="L17880" s="124"/>
      <c r="M17880" s="124"/>
      <c r="N17880" s="124"/>
      <c r="O17880" s="124"/>
    </row>
    <row r="17881">
      <c r="K17881" s="124"/>
      <c r="L17881" s="124"/>
      <c r="M17881" s="124"/>
      <c r="N17881" s="124"/>
      <c r="O17881" s="124"/>
    </row>
    <row r="17882">
      <c r="K17882" s="124"/>
      <c r="L17882" s="124"/>
      <c r="M17882" s="124"/>
      <c r="N17882" s="124"/>
      <c r="O17882" s="124"/>
    </row>
    <row r="17883">
      <c r="K17883" s="124"/>
      <c r="L17883" s="124"/>
      <c r="M17883" s="124"/>
      <c r="N17883" s="124"/>
      <c r="O17883" s="124"/>
    </row>
    <row r="17884">
      <c r="K17884" s="124"/>
      <c r="L17884" s="124"/>
      <c r="M17884" s="124"/>
      <c r="N17884" s="124"/>
      <c r="O17884" s="124"/>
    </row>
    <row r="17885">
      <c r="K17885" s="124"/>
      <c r="L17885" s="124"/>
      <c r="M17885" s="124"/>
      <c r="N17885" s="124"/>
      <c r="O17885" s="124"/>
    </row>
    <row r="17886">
      <c r="K17886" s="124"/>
      <c r="L17886" s="124"/>
      <c r="M17886" s="124"/>
      <c r="N17886" s="124"/>
      <c r="O17886" s="124"/>
    </row>
    <row r="17887">
      <c r="K17887" s="124"/>
      <c r="L17887" s="124"/>
      <c r="M17887" s="124"/>
      <c r="N17887" s="124"/>
      <c r="O17887" s="124"/>
    </row>
    <row r="17888">
      <c r="K17888" s="124"/>
      <c r="L17888" s="124"/>
      <c r="M17888" s="124"/>
      <c r="N17888" s="124"/>
      <c r="O17888" s="124"/>
    </row>
    <row r="17889">
      <c r="K17889" s="124"/>
      <c r="L17889" s="124"/>
      <c r="M17889" s="124"/>
      <c r="N17889" s="124"/>
      <c r="O17889" s="124"/>
    </row>
    <row r="17890">
      <c r="K17890" s="124"/>
      <c r="L17890" s="124"/>
      <c r="M17890" s="124"/>
      <c r="N17890" s="124"/>
      <c r="O17890" s="124"/>
    </row>
    <row r="17891">
      <c r="K17891" s="124"/>
      <c r="L17891" s="124"/>
      <c r="M17891" s="124"/>
      <c r="N17891" s="124"/>
      <c r="O17891" s="124"/>
    </row>
    <row r="17892">
      <c r="K17892" s="124"/>
      <c r="L17892" s="124"/>
      <c r="M17892" s="124"/>
      <c r="N17892" s="124"/>
      <c r="O17892" s="124"/>
    </row>
    <row r="17893">
      <c r="K17893" s="124"/>
      <c r="L17893" s="124"/>
      <c r="M17893" s="124"/>
      <c r="N17893" s="124"/>
      <c r="O17893" s="124"/>
    </row>
    <row r="17894">
      <c r="K17894" s="124"/>
      <c r="L17894" s="124"/>
      <c r="M17894" s="124"/>
      <c r="N17894" s="124"/>
      <c r="O17894" s="124"/>
    </row>
    <row r="17895">
      <c r="K17895" s="124"/>
      <c r="L17895" s="124"/>
      <c r="M17895" s="124"/>
      <c r="N17895" s="124"/>
      <c r="O17895" s="124"/>
    </row>
    <row r="17896">
      <c r="K17896" s="124"/>
      <c r="L17896" s="124"/>
      <c r="M17896" s="124"/>
      <c r="N17896" s="124"/>
      <c r="O17896" s="124"/>
    </row>
    <row r="17897">
      <c r="K17897" s="124"/>
      <c r="L17897" s="124"/>
      <c r="M17897" s="124"/>
      <c r="N17897" s="124"/>
      <c r="O17897" s="124"/>
    </row>
    <row r="17898">
      <c r="K17898" s="124"/>
      <c r="L17898" s="124"/>
      <c r="M17898" s="124"/>
      <c r="N17898" s="124"/>
      <c r="O17898" s="124"/>
    </row>
    <row r="17899">
      <c r="K17899" s="124"/>
      <c r="L17899" s="124"/>
      <c r="M17899" s="124"/>
      <c r="N17899" s="124"/>
      <c r="O17899" s="124"/>
    </row>
    <row r="17900">
      <c r="K17900" s="124"/>
      <c r="L17900" s="124"/>
      <c r="M17900" s="124"/>
      <c r="N17900" s="124"/>
      <c r="O17900" s="124"/>
    </row>
    <row r="17901">
      <c r="K17901" s="124"/>
      <c r="L17901" s="124"/>
      <c r="M17901" s="124"/>
      <c r="N17901" s="124"/>
      <c r="O17901" s="124"/>
    </row>
    <row r="17902">
      <c r="K17902" s="124"/>
      <c r="L17902" s="124"/>
      <c r="M17902" s="124"/>
      <c r="N17902" s="124"/>
      <c r="O17902" s="124"/>
    </row>
    <row r="17903">
      <c r="K17903" s="124"/>
      <c r="L17903" s="124"/>
      <c r="M17903" s="124"/>
      <c r="N17903" s="124"/>
      <c r="O17903" s="124"/>
    </row>
    <row r="17904">
      <c r="K17904" s="124"/>
      <c r="L17904" s="124"/>
      <c r="M17904" s="124"/>
      <c r="N17904" s="124"/>
      <c r="O17904" s="124"/>
    </row>
    <row r="17905">
      <c r="K17905" s="124"/>
      <c r="L17905" s="124"/>
      <c r="M17905" s="124"/>
      <c r="N17905" s="124"/>
      <c r="O17905" s="124"/>
    </row>
    <row r="17906">
      <c r="K17906" s="124"/>
      <c r="L17906" s="124"/>
      <c r="M17906" s="124"/>
      <c r="N17906" s="124"/>
      <c r="O17906" s="124"/>
    </row>
    <row r="17907">
      <c r="K17907" s="124"/>
      <c r="L17907" s="124"/>
      <c r="M17907" s="124"/>
      <c r="N17907" s="124"/>
      <c r="O17907" s="124"/>
    </row>
    <row r="17908">
      <c r="K17908" s="124"/>
      <c r="L17908" s="124"/>
      <c r="M17908" s="124"/>
      <c r="N17908" s="124"/>
      <c r="O17908" s="124"/>
    </row>
    <row r="17909">
      <c r="K17909" s="124"/>
      <c r="L17909" s="124"/>
      <c r="M17909" s="124"/>
      <c r="N17909" s="124"/>
      <c r="O17909" s="124"/>
    </row>
    <row r="17910">
      <c r="K17910" s="124"/>
      <c r="L17910" s="124"/>
      <c r="M17910" s="124"/>
      <c r="N17910" s="124"/>
      <c r="O17910" s="124"/>
    </row>
    <row r="17911">
      <c r="K17911" s="124"/>
      <c r="L17911" s="124"/>
      <c r="M17911" s="124"/>
      <c r="N17911" s="124"/>
      <c r="O17911" s="124"/>
    </row>
    <row r="17912">
      <c r="K17912" s="124"/>
      <c r="L17912" s="124"/>
      <c r="M17912" s="124"/>
      <c r="N17912" s="124"/>
      <c r="O17912" s="124"/>
    </row>
    <row r="17913">
      <c r="K17913" s="124"/>
      <c r="L17913" s="124"/>
      <c r="M17913" s="124"/>
      <c r="N17913" s="124"/>
      <c r="O17913" s="124"/>
    </row>
    <row r="17914">
      <c r="K17914" s="124"/>
      <c r="L17914" s="124"/>
      <c r="M17914" s="124"/>
      <c r="N17914" s="124"/>
      <c r="O17914" s="124"/>
    </row>
    <row r="17915">
      <c r="K17915" s="124"/>
      <c r="L17915" s="124"/>
      <c r="M17915" s="124"/>
      <c r="N17915" s="124"/>
      <c r="O17915" s="124"/>
    </row>
    <row r="17916">
      <c r="K17916" s="124"/>
      <c r="L17916" s="124"/>
      <c r="M17916" s="124"/>
      <c r="N17916" s="124"/>
      <c r="O17916" s="124"/>
    </row>
    <row r="17917">
      <c r="K17917" s="124"/>
      <c r="L17917" s="124"/>
      <c r="M17917" s="124"/>
      <c r="N17917" s="124"/>
      <c r="O17917" s="124"/>
    </row>
    <row r="17918">
      <c r="K17918" s="124"/>
      <c r="L17918" s="124"/>
      <c r="M17918" s="124"/>
      <c r="N17918" s="124"/>
      <c r="O17918" s="124"/>
    </row>
    <row r="17919">
      <c r="K17919" s="124"/>
      <c r="L17919" s="124"/>
      <c r="M17919" s="124"/>
      <c r="N17919" s="124"/>
      <c r="O17919" s="124"/>
    </row>
    <row r="17920">
      <c r="K17920" s="124"/>
      <c r="L17920" s="124"/>
      <c r="M17920" s="124"/>
      <c r="N17920" s="124"/>
      <c r="O17920" s="124"/>
    </row>
    <row r="17921">
      <c r="K17921" s="124"/>
      <c r="L17921" s="124"/>
      <c r="M17921" s="124"/>
      <c r="N17921" s="124"/>
      <c r="O17921" s="124"/>
    </row>
    <row r="17922">
      <c r="K17922" s="124"/>
      <c r="L17922" s="124"/>
      <c r="M17922" s="124"/>
      <c r="N17922" s="124"/>
      <c r="O17922" s="124"/>
    </row>
    <row r="17923">
      <c r="K17923" s="124"/>
      <c r="L17923" s="124"/>
      <c r="M17923" s="124"/>
      <c r="N17923" s="124"/>
      <c r="O17923" s="124"/>
    </row>
    <row r="17924">
      <c r="K17924" s="124"/>
      <c r="L17924" s="124"/>
      <c r="M17924" s="124"/>
      <c r="N17924" s="124"/>
      <c r="O17924" s="124"/>
    </row>
    <row r="17925">
      <c r="K17925" s="124"/>
      <c r="L17925" s="124"/>
      <c r="M17925" s="124"/>
      <c r="N17925" s="124"/>
      <c r="O17925" s="124"/>
    </row>
    <row r="17926">
      <c r="K17926" s="124"/>
      <c r="L17926" s="124"/>
      <c r="M17926" s="124"/>
      <c r="N17926" s="124"/>
      <c r="O17926" s="124"/>
    </row>
    <row r="17927">
      <c r="K17927" s="124"/>
      <c r="L17927" s="124"/>
      <c r="M17927" s="124"/>
      <c r="N17927" s="124"/>
      <c r="O17927" s="124"/>
    </row>
    <row r="17928">
      <c r="K17928" s="124"/>
      <c r="L17928" s="124"/>
      <c r="M17928" s="124"/>
      <c r="N17928" s="124"/>
      <c r="O17928" s="124"/>
    </row>
    <row r="17929">
      <c r="K17929" s="124"/>
      <c r="L17929" s="124"/>
      <c r="M17929" s="124"/>
      <c r="N17929" s="124"/>
      <c r="O17929" s="124"/>
    </row>
    <row r="17930">
      <c r="K17930" s="124"/>
      <c r="L17930" s="124"/>
      <c r="M17930" s="124"/>
      <c r="N17930" s="124"/>
      <c r="O17930" s="124"/>
    </row>
    <row r="17931">
      <c r="K17931" s="124"/>
      <c r="L17931" s="124"/>
      <c r="M17931" s="124"/>
      <c r="N17931" s="124"/>
      <c r="O17931" s="124"/>
    </row>
    <row r="17932">
      <c r="K17932" s="124"/>
      <c r="L17932" s="124"/>
      <c r="M17932" s="124"/>
      <c r="N17932" s="124"/>
      <c r="O17932" s="124"/>
    </row>
    <row r="17933">
      <c r="K17933" s="124"/>
      <c r="L17933" s="124"/>
      <c r="M17933" s="124"/>
      <c r="N17933" s="124"/>
      <c r="O17933" s="124"/>
    </row>
    <row r="17934">
      <c r="K17934" s="124"/>
      <c r="L17934" s="124"/>
      <c r="M17934" s="124"/>
      <c r="N17934" s="124"/>
      <c r="O17934" s="124"/>
    </row>
    <row r="17935">
      <c r="K17935" s="124"/>
      <c r="L17935" s="124"/>
      <c r="M17935" s="124"/>
      <c r="N17935" s="124"/>
      <c r="O17935" s="124"/>
    </row>
    <row r="17936">
      <c r="K17936" s="124"/>
      <c r="L17936" s="124"/>
      <c r="M17936" s="124"/>
      <c r="N17936" s="124"/>
      <c r="O17936" s="124"/>
    </row>
    <row r="17937">
      <c r="K17937" s="124"/>
      <c r="L17937" s="124"/>
      <c r="M17937" s="124"/>
      <c r="N17937" s="124"/>
      <c r="O17937" s="124"/>
    </row>
    <row r="17938">
      <c r="K17938" s="124"/>
      <c r="L17938" s="124"/>
      <c r="M17938" s="124"/>
      <c r="N17938" s="124"/>
      <c r="O17938" s="124"/>
    </row>
    <row r="17939">
      <c r="K17939" s="124"/>
      <c r="L17939" s="124"/>
      <c r="M17939" s="124"/>
      <c r="N17939" s="124"/>
      <c r="O17939" s="124"/>
    </row>
    <row r="17940">
      <c r="K17940" s="124"/>
      <c r="L17940" s="124"/>
      <c r="M17940" s="124"/>
      <c r="N17940" s="124"/>
      <c r="O17940" s="124"/>
    </row>
    <row r="17941">
      <c r="K17941" s="124"/>
      <c r="L17941" s="124"/>
      <c r="M17941" s="124"/>
      <c r="N17941" s="124"/>
      <c r="O17941" s="124"/>
    </row>
    <row r="17942">
      <c r="K17942" s="124"/>
      <c r="L17942" s="124"/>
      <c r="M17942" s="124"/>
      <c r="N17942" s="124"/>
      <c r="O17942" s="124"/>
    </row>
    <row r="17943">
      <c r="K17943" s="124"/>
      <c r="L17943" s="124"/>
      <c r="M17943" s="124"/>
      <c r="N17943" s="124"/>
      <c r="O17943" s="124"/>
    </row>
    <row r="17944">
      <c r="K17944" s="124"/>
      <c r="L17944" s="124"/>
      <c r="M17944" s="124"/>
      <c r="N17944" s="124"/>
      <c r="O17944" s="124"/>
    </row>
    <row r="17945">
      <c r="K17945" s="124"/>
      <c r="L17945" s="124"/>
      <c r="M17945" s="124"/>
      <c r="N17945" s="124"/>
      <c r="O17945" s="124"/>
    </row>
    <row r="17946">
      <c r="K17946" s="124"/>
      <c r="L17946" s="124"/>
      <c r="M17946" s="124"/>
      <c r="N17946" s="124"/>
      <c r="O17946" s="124"/>
    </row>
    <row r="17947">
      <c r="K17947" s="124"/>
      <c r="L17947" s="124"/>
      <c r="M17947" s="124"/>
      <c r="N17947" s="124"/>
      <c r="O17947" s="124"/>
    </row>
    <row r="17948">
      <c r="K17948" s="124"/>
      <c r="L17948" s="124"/>
      <c r="M17948" s="124"/>
      <c r="N17948" s="124"/>
      <c r="O17948" s="124"/>
    </row>
    <row r="17949">
      <c r="K17949" s="124"/>
      <c r="L17949" s="124"/>
      <c r="M17949" s="124"/>
      <c r="N17949" s="124"/>
      <c r="O17949" s="124"/>
    </row>
    <row r="17950">
      <c r="K17950" s="124"/>
      <c r="L17950" s="124"/>
      <c r="M17950" s="124"/>
      <c r="N17950" s="124"/>
      <c r="O17950" s="124"/>
    </row>
    <row r="17951">
      <c r="K17951" s="124"/>
      <c r="L17951" s="124"/>
      <c r="M17951" s="124"/>
      <c r="N17951" s="124"/>
      <c r="O17951" s="124"/>
    </row>
    <row r="17952">
      <c r="K17952" s="124"/>
      <c r="L17952" s="124"/>
      <c r="M17952" s="124"/>
      <c r="N17952" s="124"/>
      <c r="O17952" s="124"/>
    </row>
    <row r="17953">
      <c r="K17953" s="124"/>
      <c r="L17953" s="124"/>
      <c r="M17953" s="124"/>
      <c r="N17953" s="124"/>
      <c r="O17953" s="124"/>
    </row>
    <row r="17954">
      <c r="K17954" s="124"/>
      <c r="L17954" s="124"/>
      <c r="M17954" s="124"/>
      <c r="N17954" s="124"/>
      <c r="O17954" s="124"/>
    </row>
    <row r="17955">
      <c r="K17955" s="124"/>
      <c r="L17955" s="124"/>
      <c r="M17955" s="124"/>
      <c r="N17955" s="124"/>
      <c r="O17955" s="124"/>
    </row>
    <row r="17956">
      <c r="K17956" s="124"/>
      <c r="L17956" s="124"/>
      <c r="M17956" s="124"/>
      <c r="N17956" s="124"/>
      <c r="O17956" s="124"/>
    </row>
    <row r="17957">
      <c r="K17957" s="124"/>
      <c r="L17957" s="124"/>
      <c r="M17957" s="124"/>
      <c r="N17957" s="124"/>
      <c r="O17957" s="124"/>
    </row>
    <row r="17958">
      <c r="K17958" s="124"/>
      <c r="L17958" s="124"/>
      <c r="M17958" s="124"/>
      <c r="N17958" s="124"/>
      <c r="O17958" s="124"/>
    </row>
    <row r="17959">
      <c r="K17959" s="124"/>
      <c r="L17959" s="124"/>
      <c r="M17959" s="124"/>
      <c r="N17959" s="124"/>
      <c r="O17959" s="124"/>
    </row>
    <row r="17960">
      <c r="K17960" s="124"/>
      <c r="L17960" s="124"/>
      <c r="M17960" s="124"/>
      <c r="N17960" s="124"/>
      <c r="O17960" s="124"/>
    </row>
    <row r="17961">
      <c r="K17961" s="124"/>
      <c r="L17961" s="124"/>
      <c r="M17961" s="124"/>
      <c r="N17961" s="124"/>
      <c r="O17961" s="124"/>
    </row>
    <row r="17962">
      <c r="K17962" s="124"/>
      <c r="L17962" s="124"/>
      <c r="M17962" s="124"/>
      <c r="N17962" s="124"/>
      <c r="O17962" s="124"/>
    </row>
    <row r="17963">
      <c r="K17963" s="124"/>
      <c r="L17963" s="124"/>
      <c r="M17963" s="124"/>
      <c r="N17963" s="124"/>
      <c r="O17963" s="124"/>
    </row>
    <row r="17964">
      <c r="K17964" s="124"/>
      <c r="L17964" s="124"/>
      <c r="M17964" s="124"/>
      <c r="N17964" s="124"/>
      <c r="O17964" s="124"/>
    </row>
    <row r="17965">
      <c r="K17965" s="124"/>
      <c r="L17965" s="124"/>
      <c r="M17965" s="124"/>
      <c r="N17965" s="124"/>
      <c r="O17965" s="124"/>
    </row>
    <row r="17966">
      <c r="K17966" s="124"/>
      <c r="L17966" s="124"/>
      <c r="M17966" s="124"/>
      <c r="N17966" s="124"/>
      <c r="O17966" s="124"/>
    </row>
    <row r="17967">
      <c r="K17967" s="124"/>
      <c r="L17967" s="124"/>
      <c r="M17967" s="124"/>
      <c r="N17967" s="124"/>
      <c r="O17967" s="124"/>
    </row>
    <row r="17968">
      <c r="K17968" s="124"/>
      <c r="L17968" s="124"/>
      <c r="M17968" s="124"/>
      <c r="N17968" s="124"/>
      <c r="O17968" s="124"/>
    </row>
    <row r="17969">
      <c r="K17969" s="124"/>
      <c r="L17969" s="124"/>
      <c r="M17969" s="124"/>
      <c r="N17969" s="124"/>
      <c r="O17969" s="124"/>
    </row>
    <row r="17970">
      <c r="K17970" s="124"/>
      <c r="L17970" s="124"/>
      <c r="M17970" s="124"/>
      <c r="N17970" s="124"/>
      <c r="O17970" s="124"/>
    </row>
    <row r="17971">
      <c r="K17971" s="124"/>
      <c r="L17971" s="124"/>
      <c r="M17971" s="124"/>
      <c r="N17971" s="124"/>
      <c r="O17971" s="124"/>
    </row>
    <row r="17972">
      <c r="K17972" s="124"/>
      <c r="L17972" s="124"/>
      <c r="M17972" s="124"/>
      <c r="N17972" s="124"/>
      <c r="O17972" s="124"/>
    </row>
    <row r="17973">
      <c r="K17973" s="124"/>
      <c r="L17973" s="124"/>
      <c r="M17973" s="124"/>
      <c r="N17973" s="124"/>
      <c r="O17973" s="124"/>
    </row>
    <row r="17974">
      <c r="K17974" s="124"/>
      <c r="L17974" s="124"/>
      <c r="M17974" s="124"/>
      <c r="N17974" s="124"/>
      <c r="O17974" s="124"/>
    </row>
    <row r="17975">
      <c r="K17975" s="124"/>
      <c r="L17975" s="124"/>
      <c r="M17975" s="124"/>
      <c r="N17975" s="124"/>
      <c r="O17975" s="124"/>
    </row>
    <row r="17976">
      <c r="K17976" s="124"/>
      <c r="L17976" s="124"/>
      <c r="M17976" s="124"/>
      <c r="N17976" s="124"/>
      <c r="O17976" s="124"/>
    </row>
    <row r="17977">
      <c r="K17977" s="124"/>
      <c r="L17977" s="124"/>
      <c r="M17977" s="124"/>
      <c r="N17977" s="124"/>
      <c r="O17977" s="124"/>
    </row>
    <row r="17978">
      <c r="K17978" s="124"/>
      <c r="L17978" s="124"/>
      <c r="M17978" s="124"/>
      <c r="N17978" s="124"/>
      <c r="O17978" s="124"/>
    </row>
    <row r="17979">
      <c r="K17979" s="124"/>
      <c r="L17979" s="124"/>
      <c r="M17979" s="124"/>
      <c r="N17979" s="124"/>
      <c r="O17979" s="124"/>
    </row>
    <row r="17980">
      <c r="K17980" s="124"/>
      <c r="L17980" s="124"/>
      <c r="M17980" s="124"/>
      <c r="N17980" s="124"/>
      <c r="O17980" s="124"/>
    </row>
    <row r="17981">
      <c r="K17981" s="124"/>
      <c r="L17981" s="124"/>
      <c r="M17981" s="124"/>
      <c r="N17981" s="124"/>
      <c r="O17981" s="124"/>
    </row>
    <row r="17982">
      <c r="K17982" s="124"/>
      <c r="L17982" s="124"/>
      <c r="M17982" s="124"/>
      <c r="N17982" s="124"/>
      <c r="O17982" s="124"/>
    </row>
    <row r="17983">
      <c r="K17983" s="124"/>
      <c r="L17983" s="124"/>
      <c r="M17983" s="124"/>
      <c r="N17983" s="124"/>
      <c r="O17983" s="124"/>
    </row>
    <row r="17984">
      <c r="K17984" s="124"/>
      <c r="L17984" s="124"/>
      <c r="M17984" s="124"/>
      <c r="N17984" s="124"/>
      <c r="O17984" s="124"/>
    </row>
    <row r="17985">
      <c r="K17985" s="124"/>
      <c r="L17985" s="124"/>
      <c r="M17985" s="124"/>
      <c r="N17985" s="124"/>
      <c r="O17985" s="124"/>
    </row>
    <row r="17986">
      <c r="K17986" s="124"/>
      <c r="L17986" s="124"/>
      <c r="M17986" s="124"/>
      <c r="N17986" s="124"/>
      <c r="O17986" s="124"/>
    </row>
    <row r="17987">
      <c r="K17987" s="124"/>
      <c r="L17987" s="124"/>
      <c r="M17987" s="124"/>
      <c r="N17987" s="124"/>
      <c r="O17987" s="124"/>
    </row>
    <row r="17988">
      <c r="K17988" s="124"/>
      <c r="L17988" s="124"/>
      <c r="M17988" s="124"/>
      <c r="N17988" s="124"/>
      <c r="O17988" s="124"/>
    </row>
    <row r="17989">
      <c r="K17989" s="124"/>
      <c r="L17989" s="124"/>
      <c r="M17989" s="124"/>
      <c r="N17989" s="124"/>
      <c r="O17989" s="124"/>
    </row>
    <row r="17990">
      <c r="K17990" s="124"/>
      <c r="L17990" s="124"/>
      <c r="M17990" s="124"/>
      <c r="N17990" s="124"/>
      <c r="O17990" s="124"/>
    </row>
    <row r="17991">
      <c r="K17991" s="124"/>
      <c r="L17991" s="124"/>
      <c r="M17991" s="124"/>
      <c r="N17991" s="124"/>
      <c r="O17991" s="124"/>
    </row>
    <row r="17992">
      <c r="K17992" s="124"/>
      <c r="L17992" s="124"/>
      <c r="M17992" s="124"/>
      <c r="N17992" s="124"/>
      <c r="O17992" s="124"/>
    </row>
    <row r="17993">
      <c r="K17993" s="124"/>
      <c r="L17993" s="124"/>
      <c r="M17993" s="124"/>
      <c r="N17993" s="124"/>
      <c r="O17993" s="124"/>
    </row>
    <row r="17994">
      <c r="K17994" s="124"/>
      <c r="L17994" s="124"/>
      <c r="M17994" s="124"/>
      <c r="N17994" s="124"/>
      <c r="O17994" s="124"/>
    </row>
    <row r="17995">
      <c r="K17995" s="124"/>
      <c r="L17995" s="124"/>
      <c r="M17995" s="124"/>
      <c r="N17995" s="124"/>
      <c r="O17995" s="124"/>
    </row>
    <row r="17996">
      <c r="K17996" s="124"/>
      <c r="L17996" s="124"/>
      <c r="M17996" s="124"/>
      <c r="N17996" s="124"/>
      <c r="O17996" s="124"/>
    </row>
    <row r="17997">
      <c r="K17997" s="124"/>
      <c r="L17997" s="124"/>
      <c r="M17997" s="124"/>
      <c r="N17997" s="124"/>
      <c r="O17997" s="124"/>
    </row>
    <row r="17998">
      <c r="K17998" s="124"/>
      <c r="L17998" s="124"/>
      <c r="M17998" s="124"/>
      <c r="N17998" s="124"/>
      <c r="O17998" s="124"/>
    </row>
    <row r="17999">
      <c r="K17999" s="124"/>
      <c r="L17999" s="124"/>
      <c r="M17999" s="124"/>
      <c r="N17999" s="124"/>
      <c r="O17999" s="124"/>
    </row>
    <row r="18000">
      <c r="K18000" s="124"/>
      <c r="L18000" s="124"/>
      <c r="M18000" s="124"/>
      <c r="N18000" s="124"/>
      <c r="O18000" s="124"/>
    </row>
    <row r="18001">
      <c r="K18001" s="124"/>
      <c r="L18001" s="124"/>
      <c r="M18001" s="124"/>
      <c r="N18001" s="124"/>
      <c r="O18001" s="124"/>
    </row>
    <row r="18002">
      <c r="K18002" s="124"/>
      <c r="L18002" s="124"/>
      <c r="M18002" s="124"/>
      <c r="N18002" s="124"/>
      <c r="O18002" s="124"/>
    </row>
    <row r="18003">
      <c r="K18003" s="124"/>
      <c r="L18003" s="124"/>
      <c r="M18003" s="124"/>
      <c r="N18003" s="124"/>
      <c r="O18003" s="124"/>
    </row>
    <row r="18004">
      <c r="K18004" s="124"/>
      <c r="L18004" s="124"/>
      <c r="M18004" s="124"/>
      <c r="N18004" s="124"/>
      <c r="O18004" s="124"/>
    </row>
    <row r="18005">
      <c r="K18005" s="124"/>
      <c r="L18005" s="124"/>
      <c r="M18005" s="124"/>
      <c r="N18005" s="124"/>
      <c r="O18005" s="124"/>
    </row>
    <row r="18006">
      <c r="K18006" s="124"/>
      <c r="L18006" s="124"/>
      <c r="M18006" s="124"/>
      <c r="N18006" s="124"/>
      <c r="O18006" s="124"/>
    </row>
    <row r="18007">
      <c r="K18007" s="124"/>
      <c r="L18007" s="124"/>
      <c r="M18007" s="124"/>
      <c r="N18007" s="124"/>
      <c r="O18007" s="124"/>
    </row>
    <row r="18008">
      <c r="K18008" s="124"/>
      <c r="L18008" s="124"/>
      <c r="M18008" s="124"/>
      <c r="N18008" s="124"/>
      <c r="O18008" s="124"/>
    </row>
    <row r="18009">
      <c r="K18009" s="124"/>
      <c r="L18009" s="124"/>
      <c r="M18009" s="124"/>
      <c r="N18009" s="124"/>
      <c r="O18009" s="124"/>
    </row>
    <row r="18010">
      <c r="K18010" s="124"/>
      <c r="L18010" s="124"/>
      <c r="M18010" s="124"/>
      <c r="N18010" s="124"/>
      <c r="O18010" s="124"/>
    </row>
    <row r="18011">
      <c r="K18011" s="124"/>
      <c r="L18011" s="124"/>
      <c r="M18011" s="124"/>
      <c r="N18011" s="124"/>
      <c r="O18011" s="124"/>
    </row>
    <row r="18012">
      <c r="K18012" s="124"/>
      <c r="L18012" s="124"/>
      <c r="M18012" s="124"/>
      <c r="N18012" s="124"/>
      <c r="O18012" s="124"/>
    </row>
    <row r="18013">
      <c r="K18013" s="124"/>
      <c r="L18013" s="124"/>
      <c r="M18013" s="124"/>
      <c r="N18013" s="124"/>
      <c r="O18013" s="124"/>
    </row>
    <row r="18014">
      <c r="K18014" s="124"/>
      <c r="L18014" s="124"/>
      <c r="M18014" s="124"/>
      <c r="N18014" s="124"/>
      <c r="O18014" s="124"/>
    </row>
    <row r="18015">
      <c r="K18015" s="124"/>
      <c r="L18015" s="124"/>
      <c r="M18015" s="124"/>
      <c r="N18015" s="124"/>
      <c r="O18015" s="124"/>
    </row>
    <row r="18016">
      <c r="K18016" s="124"/>
      <c r="L18016" s="124"/>
      <c r="M18016" s="124"/>
      <c r="N18016" s="124"/>
      <c r="O18016" s="124"/>
    </row>
    <row r="18017">
      <c r="K18017" s="124"/>
      <c r="L18017" s="124"/>
      <c r="M18017" s="124"/>
      <c r="N18017" s="124"/>
      <c r="O18017" s="124"/>
    </row>
    <row r="18018">
      <c r="K18018" s="124"/>
      <c r="L18018" s="124"/>
      <c r="M18018" s="124"/>
      <c r="N18018" s="124"/>
      <c r="O18018" s="124"/>
    </row>
    <row r="18019">
      <c r="K18019" s="124"/>
      <c r="L18019" s="124"/>
      <c r="M18019" s="124"/>
      <c r="N18019" s="124"/>
      <c r="O18019" s="124"/>
    </row>
    <row r="18020">
      <c r="K18020" s="124"/>
      <c r="L18020" s="124"/>
      <c r="M18020" s="124"/>
      <c r="N18020" s="124"/>
      <c r="O18020" s="124"/>
    </row>
    <row r="18021">
      <c r="K18021" s="124"/>
      <c r="L18021" s="124"/>
      <c r="M18021" s="124"/>
      <c r="N18021" s="124"/>
      <c r="O18021" s="124"/>
    </row>
    <row r="18022">
      <c r="K18022" s="124"/>
      <c r="L18022" s="124"/>
      <c r="M18022" s="124"/>
      <c r="N18022" s="124"/>
      <c r="O18022" s="124"/>
    </row>
    <row r="18023">
      <c r="K18023" s="124"/>
      <c r="L18023" s="124"/>
      <c r="M18023" s="124"/>
      <c r="N18023" s="124"/>
      <c r="O18023" s="124"/>
    </row>
    <row r="18024">
      <c r="K18024" s="124"/>
      <c r="L18024" s="124"/>
      <c r="M18024" s="124"/>
      <c r="N18024" s="124"/>
      <c r="O18024" s="124"/>
    </row>
    <row r="18025">
      <c r="K18025" s="124"/>
      <c r="L18025" s="124"/>
      <c r="M18025" s="124"/>
      <c r="N18025" s="124"/>
      <c r="O18025" s="124"/>
    </row>
    <row r="18026">
      <c r="K18026" s="124"/>
      <c r="L18026" s="124"/>
      <c r="M18026" s="124"/>
      <c r="N18026" s="124"/>
      <c r="O18026" s="124"/>
    </row>
    <row r="18027">
      <c r="K18027" s="124"/>
      <c r="L18027" s="124"/>
      <c r="M18027" s="124"/>
      <c r="N18027" s="124"/>
      <c r="O18027" s="124"/>
    </row>
    <row r="18028">
      <c r="K18028" s="124"/>
      <c r="L18028" s="124"/>
      <c r="M18028" s="124"/>
      <c r="N18028" s="124"/>
      <c r="O18028" s="124"/>
    </row>
    <row r="18029">
      <c r="K18029" s="124"/>
      <c r="L18029" s="124"/>
      <c r="M18029" s="124"/>
      <c r="N18029" s="124"/>
      <c r="O18029" s="124"/>
    </row>
    <row r="18030">
      <c r="K18030" s="124"/>
      <c r="L18030" s="124"/>
      <c r="M18030" s="124"/>
      <c r="N18030" s="124"/>
      <c r="O18030" s="124"/>
    </row>
    <row r="18031">
      <c r="K18031" s="124"/>
      <c r="L18031" s="124"/>
      <c r="M18031" s="124"/>
      <c r="N18031" s="124"/>
      <c r="O18031" s="124"/>
    </row>
    <row r="18032">
      <c r="K18032" s="124"/>
      <c r="L18032" s="124"/>
      <c r="M18032" s="124"/>
      <c r="N18032" s="124"/>
      <c r="O18032" s="124"/>
    </row>
    <row r="18033">
      <c r="K18033" s="124"/>
      <c r="L18033" s="124"/>
      <c r="M18033" s="124"/>
      <c r="N18033" s="124"/>
      <c r="O18033" s="124"/>
    </row>
    <row r="18034">
      <c r="K18034" s="124"/>
      <c r="L18034" s="124"/>
      <c r="M18034" s="124"/>
      <c r="N18034" s="124"/>
      <c r="O18034" s="124"/>
    </row>
    <row r="18035">
      <c r="K18035" s="124"/>
      <c r="L18035" s="124"/>
      <c r="M18035" s="124"/>
      <c r="N18035" s="124"/>
      <c r="O18035" s="124"/>
    </row>
    <row r="18036">
      <c r="K18036" s="124"/>
      <c r="L18036" s="124"/>
      <c r="M18036" s="124"/>
      <c r="N18036" s="124"/>
      <c r="O18036" s="124"/>
    </row>
    <row r="18037">
      <c r="K18037" s="124"/>
      <c r="L18037" s="124"/>
      <c r="M18037" s="124"/>
      <c r="N18037" s="124"/>
      <c r="O18037" s="124"/>
    </row>
    <row r="18038">
      <c r="K18038" s="124"/>
      <c r="L18038" s="124"/>
      <c r="M18038" s="124"/>
      <c r="N18038" s="124"/>
      <c r="O18038" s="124"/>
    </row>
    <row r="18039">
      <c r="K18039" s="124"/>
      <c r="L18039" s="124"/>
      <c r="M18039" s="124"/>
      <c r="N18039" s="124"/>
      <c r="O18039" s="124"/>
    </row>
    <row r="18040">
      <c r="K18040" s="124"/>
      <c r="L18040" s="124"/>
      <c r="M18040" s="124"/>
      <c r="N18040" s="124"/>
      <c r="O18040" s="124"/>
    </row>
    <row r="18041">
      <c r="K18041" s="124"/>
      <c r="L18041" s="124"/>
      <c r="M18041" s="124"/>
      <c r="N18041" s="124"/>
      <c r="O18041" s="124"/>
    </row>
    <row r="18042">
      <c r="K18042" s="124"/>
      <c r="L18042" s="124"/>
      <c r="M18042" s="124"/>
      <c r="N18042" s="124"/>
      <c r="O18042" s="124"/>
    </row>
    <row r="18043">
      <c r="K18043" s="124"/>
      <c r="L18043" s="124"/>
      <c r="M18043" s="124"/>
      <c r="N18043" s="124"/>
      <c r="O18043" s="124"/>
    </row>
    <row r="18044">
      <c r="K18044" s="124"/>
      <c r="L18044" s="124"/>
      <c r="M18044" s="124"/>
      <c r="N18044" s="124"/>
      <c r="O18044" s="124"/>
    </row>
    <row r="18045">
      <c r="K18045" s="124"/>
      <c r="L18045" s="124"/>
      <c r="M18045" s="124"/>
      <c r="N18045" s="124"/>
      <c r="O18045" s="124"/>
    </row>
    <row r="18046">
      <c r="K18046" s="124"/>
      <c r="L18046" s="124"/>
      <c r="M18046" s="124"/>
      <c r="N18046" s="124"/>
      <c r="O18046" s="124"/>
    </row>
    <row r="18047">
      <c r="K18047" s="124"/>
      <c r="L18047" s="124"/>
      <c r="M18047" s="124"/>
      <c r="N18047" s="124"/>
      <c r="O18047" s="124"/>
    </row>
    <row r="18048">
      <c r="K18048" s="124"/>
      <c r="L18048" s="124"/>
      <c r="M18048" s="124"/>
      <c r="N18048" s="124"/>
      <c r="O18048" s="124"/>
    </row>
    <row r="18049">
      <c r="K18049" s="124"/>
      <c r="L18049" s="124"/>
      <c r="M18049" s="124"/>
      <c r="N18049" s="124"/>
      <c r="O18049" s="124"/>
    </row>
    <row r="18050">
      <c r="K18050" s="124"/>
      <c r="L18050" s="124"/>
      <c r="M18050" s="124"/>
      <c r="N18050" s="124"/>
      <c r="O18050" s="124"/>
    </row>
    <row r="18051">
      <c r="K18051" s="124"/>
      <c r="L18051" s="124"/>
      <c r="M18051" s="124"/>
      <c r="N18051" s="124"/>
      <c r="O18051" s="124"/>
    </row>
    <row r="18052">
      <c r="K18052" s="124"/>
      <c r="L18052" s="124"/>
      <c r="M18052" s="124"/>
      <c r="N18052" s="124"/>
      <c r="O18052" s="124"/>
    </row>
    <row r="18053">
      <c r="K18053" s="124"/>
      <c r="L18053" s="124"/>
      <c r="M18053" s="124"/>
      <c r="N18053" s="124"/>
      <c r="O18053" s="124"/>
    </row>
    <row r="18054">
      <c r="K18054" s="124"/>
      <c r="L18054" s="124"/>
      <c r="M18054" s="124"/>
      <c r="N18054" s="124"/>
      <c r="O18054" s="124"/>
    </row>
    <row r="18055">
      <c r="K18055" s="124"/>
      <c r="L18055" s="124"/>
      <c r="M18055" s="124"/>
      <c r="N18055" s="124"/>
      <c r="O18055" s="124"/>
    </row>
    <row r="18056">
      <c r="K18056" s="124"/>
      <c r="L18056" s="124"/>
      <c r="M18056" s="124"/>
      <c r="N18056" s="124"/>
      <c r="O18056" s="124"/>
    </row>
    <row r="18057">
      <c r="K18057" s="124"/>
      <c r="L18057" s="124"/>
      <c r="M18057" s="124"/>
      <c r="N18057" s="124"/>
      <c r="O18057" s="124"/>
    </row>
    <row r="18058">
      <c r="K18058" s="124"/>
      <c r="L18058" s="124"/>
      <c r="M18058" s="124"/>
      <c r="N18058" s="124"/>
      <c r="O18058" s="124"/>
    </row>
    <row r="18059">
      <c r="K18059" s="124"/>
      <c r="L18059" s="124"/>
      <c r="M18059" s="124"/>
      <c r="N18059" s="124"/>
      <c r="O18059" s="124"/>
    </row>
    <row r="18060">
      <c r="K18060" s="124"/>
      <c r="L18060" s="124"/>
      <c r="M18060" s="124"/>
      <c r="N18060" s="124"/>
      <c r="O18060" s="124"/>
    </row>
    <row r="18061">
      <c r="K18061" s="124"/>
      <c r="L18061" s="124"/>
      <c r="M18061" s="124"/>
      <c r="N18061" s="124"/>
      <c r="O18061" s="124"/>
    </row>
    <row r="18062">
      <c r="K18062" s="124"/>
      <c r="L18062" s="124"/>
      <c r="M18062" s="124"/>
      <c r="N18062" s="124"/>
      <c r="O18062" s="124"/>
    </row>
    <row r="18063">
      <c r="K18063" s="124"/>
      <c r="L18063" s="124"/>
      <c r="M18063" s="124"/>
      <c r="N18063" s="124"/>
      <c r="O18063" s="124"/>
    </row>
    <row r="18064">
      <c r="K18064" s="124"/>
      <c r="L18064" s="124"/>
      <c r="M18064" s="124"/>
      <c r="N18064" s="124"/>
      <c r="O18064" s="124"/>
    </row>
    <row r="18065">
      <c r="K18065" s="124"/>
      <c r="L18065" s="124"/>
      <c r="M18065" s="124"/>
      <c r="N18065" s="124"/>
      <c r="O18065" s="124"/>
    </row>
    <row r="18066">
      <c r="K18066" s="124"/>
      <c r="L18066" s="124"/>
      <c r="M18066" s="124"/>
      <c r="N18066" s="124"/>
      <c r="O18066" s="124"/>
    </row>
    <row r="18067">
      <c r="K18067" s="124"/>
      <c r="L18067" s="124"/>
      <c r="M18067" s="124"/>
      <c r="N18067" s="124"/>
      <c r="O18067" s="124"/>
    </row>
    <row r="18068">
      <c r="K18068" s="124"/>
      <c r="L18068" s="124"/>
      <c r="M18068" s="124"/>
      <c r="N18068" s="124"/>
      <c r="O18068" s="124"/>
    </row>
    <row r="18069">
      <c r="K18069" s="124"/>
      <c r="L18069" s="124"/>
      <c r="M18069" s="124"/>
      <c r="N18069" s="124"/>
      <c r="O18069" s="124"/>
    </row>
    <row r="18070">
      <c r="K18070" s="124"/>
      <c r="L18070" s="124"/>
      <c r="M18070" s="124"/>
      <c r="N18070" s="124"/>
      <c r="O18070" s="124"/>
    </row>
    <row r="18071">
      <c r="K18071" s="124"/>
      <c r="L18071" s="124"/>
      <c r="M18071" s="124"/>
      <c r="N18071" s="124"/>
      <c r="O18071" s="124"/>
    </row>
    <row r="18072">
      <c r="K18072" s="124"/>
      <c r="L18072" s="124"/>
      <c r="M18072" s="124"/>
      <c r="N18072" s="124"/>
      <c r="O18072" s="124"/>
    </row>
    <row r="18073">
      <c r="K18073" s="124"/>
      <c r="L18073" s="124"/>
      <c r="M18073" s="124"/>
      <c r="N18073" s="124"/>
      <c r="O18073" s="124"/>
    </row>
    <row r="18074">
      <c r="K18074" s="124"/>
      <c r="L18074" s="124"/>
      <c r="M18074" s="124"/>
      <c r="N18074" s="124"/>
      <c r="O18074" s="124"/>
    </row>
    <row r="18075">
      <c r="K18075" s="124"/>
      <c r="L18075" s="124"/>
      <c r="M18075" s="124"/>
      <c r="N18075" s="124"/>
      <c r="O18075" s="124"/>
    </row>
    <row r="18076">
      <c r="K18076" s="124"/>
      <c r="L18076" s="124"/>
      <c r="M18076" s="124"/>
      <c r="N18076" s="124"/>
      <c r="O18076" s="124"/>
    </row>
    <row r="18077">
      <c r="K18077" s="124"/>
      <c r="L18077" s="124"/>
      <c r="M18077" s="124"/>
      <c r="N18077" s="124"/>
      <c r="O18077" s="124"/>
    </row>
    <row r="18078">
      <c r="K18078" s="124"/>
      <c r="L18078" s="124"/>
      <c r="M18078" s="124"/>
      <c r="N18078" s="124"/>
      <c r="O18078" s="124"/>
    </row>
    <row r="18079">
      <c r="K18079" s="124"/>
      <c r="L18079" s="124"/>
      <c r="M18079" s="124"/>
      <c r="N18079" s="124"/>
      <c r="O18079" s="124"/>
    </row>
    <row r="18080">
      <c r="K18080" s="124"/>
      <c r="L18080" s="124"/>
      <c r="M18080" s="124"/>
      <c r="N18080" s="124"/>
      <c r="O18080" s="124"/>
    </row>
    <row r="18081">
      <c r="K18081" s="124"/>
      <c r="L18081" s="124"/>
      <c r="M18081" s="124"/>
      <c r="N18081" s="124"/>
      <c r="O18081" s="124"/>
    </row>
    <row r="18082">
      <c r="K18082" s="124"/>
      <c r="L18082" s="124"/>
      <c r="M18082" s="124"/>
      <c r="N18082" s="124"/>
      <c r="O18082" s="124"/>
    </row>
    <row r="18083">
      <c r="K18083" s="124"/>
      <c r="L18083" s="124"/>
      <c r="M18083" s="124"/>
      <c r="N18083" s="124"/>
      <c r="O18083" s="124"/>
    </row>
    <row r="18084">
      <c r="K18084" s="124"/>
      <c r="L18084" s="124"/>
      <c r="M18084" s="124"/>
      <c r="N18084" s="124"/>
      <c r="O18084" s="124"/>
    </row>
    <row r="18085">
      <c r="K18085" s="124"/>
      <c r="L18085" s="124"/>
      <c r="M18085" s="124"/>
      <c r="N18085" s="124"/>
      <c r="O18085" s="124"/>
    </row>
    <row r="18086">
      <c r="K18086" s="124"/>
      <c r="L18086" s="124"/>
      <c r="M18086" s="124"/>
      <c r="N18086" s="124"/>
      <c r="O18086" s="124"/>
    </row>
    <row r="18087">
      <c r="K18087" s="124"/>
      <c r="L18087" s="124"/>
      <c r="M18087" s="124"/>
      <c r="N18087" s="124"/>
      <c r="O18087" s="124"/>
    </row>
    <row r="18088">
      <c r="K18088" s="124"/>
      <c r="L18088" s="124"/>
      <c r="M18088" s="124"/>
      <c r="N18088" s="124"/>
      <c r="O18088" s="124"/>
    </row>
    <row r="18089">
      <c r="K18089" s="124"/>
      <c r="L18089" s="124"/>
      <c r="M18089" s="124"/>
      <c r="N18089" s="124"/>
      <c r="O18089" s="124"/>
    </row>
    <row r="18090">
      <c r="K18090" s="124"/>
      <c r="L18090" s="124"/>
      <c r="M18090" s="124"/>
      <c r="N18090" s="124"/>
      <c r="O18090" s="124"/>
    </row>
    <row r="18091">
      <c r="K18091" s="124"/>
      <c r="L18091" s="124"/>
      <c r="M18091" s="124"/>
      <c r="N18091" s="124"/>
      <c r="O18091" s="124"/>
    </row>
    <row r="18092">
      <c r="K18092" s="124"/>
      <c r="L18092" s="124"/>
      <c r="M18092" s="124"/>
      <c r="N18092" s="124"/>
      <c r="O18092" s="124"/>
    </row>
    <row r="18093">
      <c r="K18093" s="124"/>
      <c r="L18093" s="124"/>
      <c r="M18093" s="124"/>
      <c r="N18093" s="124"/>
      <c r="O18093" s="124"/>
    </row>
    <row r="18094">
      <c r="K18094" s="124"/>
      <c r="L18094" s="124"/>
      <c r="M18094" s="124"/>
      <c r="N18094" s="124"/>
      <c r="O18094" s="124"/>
    </row>
    <row r="18095">
      <c r="K18095" s="124"/>
      <c r="L18095" s="124"/>
      <c r="M18095" s="124"/>
      <c r="N18095" s="124"/>
      <c r="O18095" s="124"/>
    </row>
    <row r="18096">
      <c r="K18096" s="124"/>
      <c r="L18096" s="124"/>
      <c r="M18096" s="124"/>
      <c r="N18096" s="124"/>
      <c r="O18096" s="124"/>
    </row>
    <row r="18097">
      <c r="K18097" s="124"/>
      <c r="L18097" s="124"/>
      <c r="M18097" s="124"/>
      <c r="N18097" s="124"/>
      <c r="O18097" s="124"/>
    </row>
    <row r="18098">
      <c r="K18098" s="124"/>
      <c r="L18098" s="124"/>
      <c r="M18098" s="124"/>
      <c r="N18098" s="124"/>
      <c r="O18098" s="124"/>
    </row>
    <row r="18099">
      <c r="K18099" s="124"/>
      <c r="L18099" s="124"/>
      <c r="M18099" s="124"/>
      <c r="N18099" s="124"/>
      <c r="O18099" s="124"/>
    </row>
    <row r="18100">
      <c r="K18100" s="124"/>
      <c r="L18100" s="124"/>
      <c r="M18100" s="124"/>
      <c r="N18100" s="124"/>
      <c r="O18100" s="124"/>
    </row>
    <row r="18101">
      <c r="K18101" s="124"/>
      <c r="L18101" s="124"/>
      <c r="M18101" s="124"/>
      <c r="N18101" s="124"/>
      <c r="O18101" s="124"/>
    </row>
    <row r="18102">
      <c r="K18102" s="124"/>
      <c r="L18102" s="124"/>
      <c r="M18102" s="124"/>
      <c r="N18102" s="124"/>
      <c r="O18102" s="124"/>
    </row>
    <row r="18103">
      <c r="K18103" s="124"/>
      <c r="L18103" s="124"/>
      <c r="M18103" s="124"/>
      <c r="N18103" s="124"/>
      <c r="O18103" s="124"/>
    </row>
    <row r="18104">
      <c r="K18104" s="124"/>
      <c r="L18104" s="124"/>
      <c r="M18104" s="124"/>
      <c r="N18104" s="124"/>
      <c r="O18104" s="124"/>
    </row>
    <row r="18105">
      <c r="K18105" s="124"/>
      <c r="L18105" s="124"/>
      <c r="M18105" s="124"/>
      <c r="N18105" s="124"/>
      <c r="O18105" s="124"/>
    </row>
    <row r="18106">
      <c r="K18106" s="124"/>
      <c r="L18106" s="124"/>
      <c r="M18106" s="124"/>
      <c r="N18106" s="124"/>
      <c r="O18106" s="124"/>
    </row>
    <row r="18107">
      <c r="K18107" s="124"/>
      <c r="L18107" s="124"/>
      <c r="M18107" s="124"/>
      <c r="N18107" s="124"/>
      <c r="O18107" s="124"/>
    </row>
    <row r="18108">
      <c r="K18108" s="124"/>
      <c r="L18108" s="124"/>
      <c r="M18108" s="124"/>
      <c r="N18108" s="124"/>
      <c r="O18108" s="124"/>
    </row>
    <row r="18109">
      <c r="K18109" s="124"/>
      <c r="L18109" s="124"/>
      <c r="M18109" s="124"/>
      <c r="N18109" s="124"/>
      <c r="O18109" s="124"/>
    </row>
    <row r="18110">
      <c r="K18110" s="124"/>
      <c r="L18110" s="124"/>
      <c r="M18110" s="124"/>
      <c r="N18110" s="124"/>
      <c r="O18110" s="124"/>
    </row>
    <row r="18111">
      <c r="K18111" s="124"/>
      <c r="L18111" s="124"/>
      <c r="M18111" s="124"/>
      <c r="N18111" s="124"/>
      <c r="O18111" s="124"/>
    </row>
    <row r="18112">
      <c r="K18112" s="124"/>
      <c r="L18112" s="124"/>
      <c r="M18112" s="124"/>
      <c r="N18112" s="124"/>
      <c r="O18112" s="124"/>
    </row>
    <row r="18113">
      <c r="K18113" s="124"/>
      <c r="L18113" s="124"/>
      <c r="M18113" s="124"/>
      <c r="N18113" s="124"/>
      <c r="O18113" s="124"/>
    </row>
    <row r="18114">
      <c r="K18114" s="124"/>
      <c r="L18114" s="124"/>
      <c r="M18114" s="124"/>
      <c r="N18114" s="124"/>
      <c r="O18114" s="124"/>
    </row>
    <row r="18115">
      <c r="K18115" s="124"/>
      <c r="L18115" s="124"/>
      <c r="M18115" s="124"/>
      <c r="N18115" s="124"/>
      <c r="O18115" s="124"/>
    </row>
    <row r="18116">
      <c r="K18116" s="124"/>
      <c r="L18116" s="124"/>
      <c r="M18116" s="124"/>
      <c r="N18116" s="124"/>
      <c r="O18116" s="124"/>
    </row>
    <row r="18117">
      <c r="K18117" s="124"/>
      <c r="L18117" s="124"/>
      <c r="M18117" s="124"/>
      <c r="N18117" s="124"/>
      <c r="O18117" s="124"/>
    </row>
    <row r="18118">
      <c r="K18118" s="124"/>
      <c r="L18118" s="124"/>
      <c r="M18118" s="124"/>
      <c r="N18118" s="124"/>
      <c r="O18118" s="124"/>
    </row>
    <row r="18119">
      <c r="K18119" s="124"/>
      <c r="L18119" s="124"/>
      <c r="M18119" s="124"/>
      <c r="N18119" s="124"/>
      <c r="O18119" s="124"/>
    </row>
    <row r="18120">
      <c r="K18120" s="124"/>
      <c r="L18120" s="124"/>
      <c r="M18120" s="124"/>
      <c r="N18120" s="124"/>
      <c r="O18120" s="124"/>
    </row>
    <row r="18121">
      <c r="K18121" s="124"/>
      <c r="L18121" s="124"/>
      <c r="M18121" s="124"/>
      <c r="N18121" s="124"/>
      <c r="O18121" s="124"/>
    </row>
    <row r="18122">
      <c r="K18122" s="124"/>
      <c r="L18122" s="124"/>
      <c r="M18122" s="124"/>
      <c r="N18122" s="124"/>
      <c r="O18122" s="124"/>
    </row>
    <row r="18123">
      <c r="K18123" s="124"/>
      <c r="L18123" s="124"/>
      <c r="M18123" s="124"/>
      <c r="N18123" s="124"/>
      <c r="O18123" s="124"/>
    </row>
    <row r="18124">
      <c r="K18124" s="124"/>
      <c r="L18124" s="124"/>
      <c r="M18124" s="124"/>
      <c r="N18124" s="124"/>
      <c r="O18124" s="124"/>
    </row>
    <row r="18125">
      <c r="K18125" s="124"/>
      <c r="L18125" s="124"/>
      <c r="M18125" s="124"/>
      <c r="N18125" s="124"/>
      <c r="O18125" s="124"/>
    </row>
    <row r="18126">
      <c r="K18126" s="124"/>
      <c r="L18126" s="124"/>
      <c r="M18126" s="124"/>
      <c r="N18126" s="124"/>
      <c r="O18126" s="124"/>
    </row>
    <row r="18127">
      <c r="K18127" s="124"/>
      <c r="L18127" s="124"/>
      <c r="M18127" s="124"/>
      <c r="N18127" s="124"/>
      <c r="O18127" s="124"/>
    </row>
    <row r="18128">
      <c r="K18128" s="124"/>
      <c r="L18128" s="124"/>
      <c r="M18128" s="124"/>
      <c r="N18128" s="124"/>
      <c r="O18128" s="124"/>
    </row>
    <row r="18129">
      <c r="K18129" s="124"/>
      <c r="L18129" s="124"/>
      <c r="M18129" s="124"/>
      <c r="N18129" s="124"/>
      <c r="O18129" s="124"/>
    </row>
    <row r="18130">
      <c r="K18130" s="124"/>
      <c r="L18130" s="124"/>
      <c r="M18130" s="124"/>
      <c r="N18130" s="124"/>
      <c r="O18130" s="124"/>
    </row>
    <row r="18131">
      <c r="K18131" s="124"/>
      <c r="L18131" s="124"/>
      <c r="M18131" s="124"/>
      <c r="N18131" s="124"/>
      <c r="O18131" s="124"/>
    </row>
    <row r="18132">
      <c r="K18132" s="124"/>
      <c r="L18132" s="124"/>
      <c r="M18132" s="124"/>
      <c r="N18132" s="124"/>
      <c r="O18132" s="124"/>
    </row>
    <row r="18133">
      <c r="K18133" s="124"/>
      <c r="L18133" s="124"/>
      <c r="M18133" s="124"/>
      <c r="N18133" s="124"/>
      <c r="O18133" s="124"/>
    </row>
    <row r="18134">
      <c r="K18134" s="124"/>
      <c r="L18134" s="124"/>
      <c r="M18134" s="124"/>
      <c r="N18134" s="124"/>
      <c r="O18134" s="124"/>
    </row>
    <row r="18135">
      <c r="K18135" s="124"/>
      <c r="L18135" s="124"/>
      <c r="M18135" s="124"/>
      <c r="N18135" s="124"/>
      <c r="O18135" s="124"/>
    </row>
    <row r="18136">
      <c r="K18136" s="124"/>
      <c r="L18136" s="124"/>
      <c r="M18136" s="124"/>
      <c r="N18136" s="124"/>
      <c r="O18136" s="124"/>
    </row>
    <row r="18137">
      <c r="K18137" s="124"/>
      <c r="L18137" s="124"/>
      <c r="M18137" s="124"/>
      <c r="N18137" s="124"/>
      <c r="O18137" s="124"/>
    </row>
    <row r="18138">
      <c r="K18138" s="124"/>
      <c r="L18138" s="124"/>
      <c r="M18138" s="124"/>
      <c r="N18138" s="124"/>
      <c r="O18138" s="124"/>
    </row>
    <row r="18139">
      <c r="K18139" s="124"/>
      <c r="L18139" s="124"/>
      <c r="M18139" s="124"/>
      <c r="N18139" s="124"/>
      <c r="O18139" s="124"/>
    </row>
    <row r="18140">
      <c r="K18140" s="124"/>
      <c r="L18140" s="124"/>
      <c r="M18140" s="124"/>
      <c r="N18140" s="124"/>
      <c r="O18140" s="124"/>
    </row>
    <row r="18141">
      <c r="K18141" s="124"/>
      <c r="L18141" s="124"/>
      <c r="M18141" s="124"/>
      <c r="N18141" s="124"/>
      <c r="O18141" s="124"/>
    </row>
    <row r="18142">
      <c r="K18142" s="124"/>
      <c r="L18142" s="124"/>
      <c r="M18142" s="124"/>
      <c r="N18142" s="124"/>
      <c r="O18142" s="124"/>
    </row>
    <row r="18143">
      <c r="K18143" s="124"/>
      <c r="L18143" s="124"/>
      <c r="M18143" s="124"/>
      <c r="N18143" s="124"/>
      <c r="O18143" s="124"/>
    </row>
    <row r="18144">
      <c r="K18144" s="124"/>
      <c r="L18144" s="124"/>
      <c r="M18144" s="124"/>
      <c r="N18144" s="124"/>
      <c r="O18144" s="124"/>
    </row>
    <row r="18145">
      <c r="K18145" s="124"/>
      <c r="L18145" s="124"/>
      <c r="M18145" s="124"/>
      <c r="N18145" s="124"/>
      <c r="O18145" s="124"/>
    </row>
    <row r="18146">
      <c r="K18146" s="124"/>
      <c r="L18146" s="124"/>
      <c r="M18146" s="124"/>
      <c r="N18146" s="124"/>
      <c r="O18146" s="124"/>
    </row>
    <row r="18147">
      <c r="K18147" s="124"/>
      <c r="L18147" s="124"/>
      <c r="M18147" s="124"/>
      <c r="N18147" s="124"/>
      <c r="O18147" s="124"/>
    </row>
    <row r="18148">
      <c r="K18148" s="124"/>
      <c r="L18148" s="124"/>
      <c r="M18148" s="124"/>
      <c r="N18148" s="124"/>
      <c r="O18148" s="124"/>
    </row>
    <row r="18149">
      <c r="K18149" s="124"/>
      <c r="L18149" s="124"/>
      <c r="M18149" s="124"/>
      <c r="N18149" s="124"/>
      <c r="O18149" s="124"/>
    </row>
    <row r="18150">
      <c r="K18150" s="124"/>
      <c r="L18150" s="124"/>
      <c r="M18150" s="124"/>
      <c r="N18150" s="124"/>
      <c r="O18150" s="124"/>
    </row>
    <row r="18151">
      <c r="K18151" s="124"/>
      <c r="L18151" s="124"/>
      <c r="M18151" s="124"/>
      <c r="N18151" s="124"/>
      <c r="O18151" s="124"/>
    </row>
    <row r="18152">
      <c r="K18152" s="124"/>
      <c r="L18152" s="124"/>
      <c r="M18152" s="124"/>
      <c r="N18152" s="124"/>
      <c r="O18152" s="124"/>
    </row>
    <row r="18153">
      <c r="K18153" s="124"/>
      <c r="L18153" s="124"/>
      <c r="M18153" s="124"/>
      <c r="N18153" s="124"/>
      <c r="O18153" s="124"/>
    </row>
    <row r="18154">
      <c r="K18154" s="124"/>
      <c r="L18154" s="124"/>
      <c r="M18154" s="124"/>
      <c r="N18154" s="124"/>
      <c r="O18154" s="124"/>
    </row>
    <row r="18155">
      <c r="K18155" s="124"/>
      <c r="L18155" s="124"/>
      <c r="M18155" s="124"/>
      <c r="N18155" s="124"/>
      <c r="O18155" s="124"/>
    </row>
    <row r="18156">
      <c r="K18156" s="124"/>
      <c r="L18156" s="124"/>
      <c r="M18156" s="124"/>
      <c r="N18156" s="124"/>
      <c r="O18156" s="124"/>
    </row>
    <row r="18157">
      <c r="K18157" s="124"/>
      <c r="L18157" s="124"/>
      <c r="M18157" s="124"/>
      <c r="N18157" s="124"/>
      <c r="O18157" s="124"/>
    </row>
    <row r="18158">
      <c r="K18158" s="124"/>
      <c r="L18158" s="124"/>
      <c r="M18158" s="124"/>
      <c r="N18158" s="124"/>
      <c r="O18158" s="124"/>
    </row>
    <row r="18159">
      <c r="K18159" s="124"/>
      <c r="L18159" s="124"/>
      <c r="M18159" s="124"/>
      <c r="N18159" s="124"/>
      <c r="O18159" s="124"/>
    </row>
    <row r="18160">
      <c r="K18160" s="124"/>
      <c r="L18160" s="124"/>
      <c r="M18160" s="124"/>
      <c r="N18160" s="124"/>
      <c r="O18160" s="124"/>
    </row>
    <row r="18161">
      <c r="K18161" s="124"/>
      <c r="L18161" s="124"/>
      <c r="M18161" s="124"/>
      <c r="N18161" s="124"/>
      <c r="O18161" s="124"/>
    </row>
    <row r="18162">
      <c r="K18162" s="124"/>
      <c r="L18162" s="124"/>
      <c r="M18162" s="124"/>
      <c r="N18162" s="124"/>
      <c r="O18162" s="124"/>
    </row>
    <row r="18163">
      <c r="K18163" s="124"/>
      <c r="L18163" s="124"/>
      <c r="M18163" s="124"/>
      <c r="N18163" s="124"/>
      <c r="O18163" s="124"/>
    </row>
    <row r="18164">
      <c r="K18164" s="124"/>
      <c r="L18164" s="124"/>
      <c r="M18164" s="124"/>
      <c r="N18164" s="124"/>
      <c r="O18164" s="124"/>
    </row>
    <row r="18165">
      <c r="K18165" s="124"/>
      <c r="L18165" s="124"/>
      <c r="M18165" s="124"/>
      <c r="N18165" s="124"/>
      <c r="O18165" s="124"/>
    </row>
    <row r="18166">
      <c r="K18166" s="124"/>
      <c r="L18166" s="124"/>
      <c r="M18166" s="124"/>
      <c r="N18166" s="124"/>
      <c r="O18166" s="124"/>
    </row>
    <row r="18167">
      <c r="K18167" s="124"/>
      <c r="L18167" s="124"/>
      <c r="M18167" s="124"/>
      <c r="N18167" s="124"/>
      <c r="O18167" s="124"/>
    </row>
    <row r="18168">
      <c r="K18168" s="124"/>
      <c r="L18168" s="124"/>
      <c r="M18168" s="124"/>
      <c r="N18168" s="124"/>
      <c r="O18168" s="124"/>
    </row>
    <row r="18169">
      <c r="K18169" s="124"/>
      <c r="L18169" s="124"/>
      <c r="M18169" s="124"/>
      <c r="N18169" s="124"/>
      <c r="O18169" s="124"/>
    </row>
    <row r="18170">
      <c r="K18170" s="124"/>
      <c r="L18170" s="124"/>
      <c r="M18170" s="124"/>
      <c r="N18170" s="124"/>
      <c r="O18170" s="124"/>
    </row>
    <row r="18171">
      <c r="K18171" s="124"/>
      <c r="L18171" s="124"/>
      <c r="M18171" s="124"/>
      <c r="N18171" s="124"/>
      <c r="O18171" s="124"/>
    </row>
    <row r="18172">
      <c r="K18172" s="124"/>
      <c r="L18172" s="124"/>
      <c r="M18172" s="124"/>
      <c r="N18172" s="124"/>
      <c r="O18172" s="124"/>
    </row>
    <row r="18173">
      <c r="K18173" s="124"/>
      <c r="L18173" s="124"/>
      <c r="M18173" s="124"/>
      <c r="N18173" s="124"/>
      <c r="O18173" s="124"/>
    </row>
    <row r="18174">
      <c r="K18174" s="124"/>
      <c r="L18174" s="124"/>
      <c r="M18174" s="124"/>
      <c r="N18174" s="124"/>
      <c r="O18174" s="124"/>
    </row>
    <row r="18175">
      <c r="K18175" s="124"/>
      <c r="L18175" s="124"/>
      <c r="M18175" s="124"/>
      <c r="N18175" s="124"/>
      <c r="O18175" s="124"/>
    </row>
    <row r="18176">
      <c r="K18176" s="124"/>
      <c r="L18176" s="124"/>
      <c r="M18176" s="124"/>
      <c r="N18176" s="124"/>
      <c r="O18176" s="124"/>
    </row>
    <row r="18177">
      <c r="K18177" s="124"/>
      <c r="L18177" s="124"/>
      <c r="M18177" s="124"/>
      <c r="N18177" s="124"/>
      <c r="O18177" s="124"/>
    </row>
    <row r="18178">
      <c r="K18178" s="124"/>
      <c r="L18178" s="124"/>
      <c r="M18178" s="124"/>
      <c r="N18178" s="124"/>
      <c r="O18178" s="124"/>
    </row>
    <row r="18179">
      <c r="K18179" s="124"/>
      <c r="L18179" s="124"/>
      <c r="M18179" s="124"/>
      <c r="N18179" s="124"/>
      <c r="O18179" s="124"/>
    </row>
    <row r="18180">
      <c r="K18180" s="124"/>
      <c r="L18180" s="124"/>
      <c r="M18180" s="124"/>
      <c r="N18180" s="124"/>
      <c r="O18180" s="124"/>
    </row>
    <row r="18181">
      <c r="K18181" s="124"/>
      <c r="L18181" s="124"/>
      <c r="M18181" s="124"/>
      <c r="N18181" s="124"/>
      <c r="O18181" s="124"/>
    </row>
    <row r="18182">
      <c r="K18182" s="124"/>
      <c r="L18182" s="124"/>
      <c r="M18182" s="124"/>
      <c r="N18182" s="124"/>
      <c r="O18182" s="124"/>
    </row>
    <row r="18183">
      <c r="K18183" s="124"/>
      <c r="L18183" s="124"/>
      <c r="M18183" s="124"/>
      <c r="N18183" s="124"/>
      <c r="O18183" s="124"/>
    </row>
    <row r="18184">
      <c r="K18184" s="124"/>
      <c r="L18184" s="124"/>
      <c r="M18184" s="124"/>
      <c r="N18184" s="124"/>
      <c r="O18184" s="124"/>
    </row>
    <row r="18185">
      <c r="K18185" s="124"/>
      <c r="L18185" s="124"/>
      <c r="M18185" s="124"/>
      <c r="N18185" s="124"/>
      <c r="O18185" s="124"/>
    </row>
    <row r="18186">
      <c r="K18186" s="124"/>
      <c r="L18186" s="124"/>
      <c r="M18186" s="124"/>
      <c r="N18186" s="124"/>
      <c r="O18186" s="124"/>
    </row>
    <row r="18187">
      <c r="K18187" s="124"/>
      <c r="L18187" s="124"/>
      <c r="M18187" s="124"/>
      <c r="N18187" s="124"/>
      <c r="O18187" s="124"/>
    </row>
    <row r="18188">
      <c r="K18188" s="124"/>
      <c r="L18188" s="124"/>
      <c r="M18188" s="124"/>
      <c r="N18188" s="124"/>
      <c r="O18188" s="124"/>
    </row>
    <row r="18189">
      <c r="K18189" s="124"/>
      <c r="L18189" s="124"/>
      <c r="M18189" s="124"/>
      <c r="N18189" s="124"/>
      <c r="O18189" s="124"/>
    </row>
    <row r="18190">
      <c r="K18190" s="124"/>
      <c r="L18190" s="124"/>
      <c r="M18190" s="124"/>
      <c r="N18190" s="124"/>
      <c r="O18190" s="124"/>
    </row>
    <row r="18191">
      <c r="K18191" s="124"/>
      <c r="L18191" s="124"/>
      <c r="M18191" s="124"/>
      <c r="N18191" s="124"/>
      <c r="O18191" s="124"/>
    </row>
    <row r="18192">
      <c r="K18192" s="124"/>
      <c r="L18192" s="124"/>
      <c r="M18192" s="124"/>
      <c r="N18192" s="124"/>
      <c r="O18192" s="124"/>
    </row>
    <row r="18193">
      <c r="K18193" s="124"/>
      <c r="L18193" s="124"/>
      <c r="M18193" s="124"/>
      <c r="N18193" s="124"/>
      <c r="O18193" s="124"/>
    </row>
    <row r="18194">
      <c r="K18194" s="124"/>
      <c r="L18194" s="124"/>
      <c r="M18194" s="124"/>
      <c r="N18194" s="124"/>
      <c r="O18194" s="124"/>
    </row>
    <row r="18195">
      <c r="K18195" s="124"/>
      <c r="L18195" s="124"/>
      <c r="M18195" s="124"/>
      <c r="N18195" s="124"/>
      <c r="O18195" s="124"/>
    </row>
    <row r="18196">
      <c r="K18196" s="124"/>
      <c r="L18196" s="124"/>
      <c r="M18196" s="124"/>
      <c r="N18196" s="124"/>
      <c r="O18196" s="124"/>
    </row>
    <row r="18197">
      <c r="K18197" s="124"/>
      <c r="L18197" s="124"/>
      <c r="M18197" s="124"/>
      <c r="N18197" s="124"/>
      <c r="O18197" s="124"/>
    </row>
    <row r="18198">
      <c r="K18198" s="124"/>
      <c r="L18198" s="124"/>
      <c r="M18198" s="124"/>
      <c r="N18198" s="124"/>
      <c r="O18198" s="124"/>
    </row>
    <row r="18199">
      <c r="K18199" s="124"/>
      <c r="L18199" s="124"/>
      <c r="M18199" s="124"/>
      <c r="N18199" s="124"/>
      <c r="O18199" s="124"/>
    </row>
    <row r="18200">
      <c r="K18200" s="124"/>
      <c r="L18200" s="124"/>
      <c r="M18200" s="124"/>
      <c r="N18200" s="124"/>
      <c r="O18200" s="124"/>
    </row>
    <row r="18201">
      <c r="K18201" s="124"/>
      <c r="L18201" s="124"/>
      <c r="M18201" s="124"/>
      <c r="N18201" s="124"/>
      <c r="O18201" s="124"/>
    </row>
    <row r="18202">
      <c r="K18202" s="124"/>
      <c r="L18202" s="124"/>
      <c r="M18202" s="124"/>
      <c r="N18202" s="124"/>
      <c r="O18202" s="124"/>
    </row>
    <row r="18203">
      <c r="K18203" s="124"/>
      <c r="L18203" s="124"/>
      <c r="M18203" s="124"/>
      <c r="N18203" s="124"/>
      <c r="O18203" s="124"/>
    </row>
    <row r="18204">
      <c r="K18204" s="124"/>
      <c r="L18204" s="124"/>
      <c r="M18204" s="124"/>
      <c r="N18204" s="124"/>
      <c r="O18204" s="124"/>
    </row>
    <row r="18205">
      <c r="K18205" s="124"/>
      <c r="L18205" s="124"/>
      <c r="M18205" s="124"/>
      <c r="N18205" s="124"/>
      <c r="O18205" s="124"/>
    </row>
    <row r="18206">
      <c r="K18206" s="124"/>
      <c r="L18206" s="124"/>
      <c r="M18206" s="124"/>
      <c r="N18206" s="124"/>
      <c r="O18206" s="124"/>
    </row>
    <row r="18207">
      <c r="K18207" s="124"/>
      <c r="L18207" s="124"/>
      <c r="M18207" s="124"/>
      <c r="N18207" s="124"/>
      <c r="O18207" s="124"/>
    </row>
    <row r="18208">
      <c r="K18208" s="124"/>
      <c r="L18208" s="124"/>
      <c r="M18208" s="124"/>
      <c r="N18208" s="124"/>
      <c r="O18208" s="124"/>
    </row>
    <row r="18209">
      <c r="K18209" s="124"/>
      <c r="L18209" s="124"/>
      <c r="M18209" s="124"/>
      <c r="N18209" s="124"/>
      <c r="O18209" s="124"/>
    </row>
    <row r="18210">
      <c r="K18210" s="124"/>
      <c r="L18210" s="124"/>
      <c r="M18210" s="124"/>
      <c r="N18210" s="124"/>
      <c r="O18210" s="124"/>
    </row>
    <row r="18211">
      <c r="K18211" s="124"/>
      <c r="L18211" s="124"/>
      <c r="M18211" s="124"/>
      <c r="N18211" s="124"/>
      <c r="O18211" s="124"/>
    </row>
    <row r="18212">
      <c r="K18212" s="124"/>
      <c r="L18212" s="124"/>
      <c r="M18212" s="124"/>
      <c r="N18212" s="124"/>
      <c r="O18212" s="124"/>
    </row>
    <row r="18213">
      <c r="K18213" s="124"/>
      <c r="L18213" s="124"/>
      <c r="M18213" s="124"/>
      <c r="N18213" s="124"/>
      <c r="O18213" s="124"/>
    </row>
    <row r="18214">
      <c r="K18214" s="124"/>
      <c r="L18214" s="124"/>
      <c r="M18214" s="124"/>
      <c r="N18214" s="124"/>
      <c r="O18214" s="124"/>
    </row>
    <row r="18215">
      <c r="K18215" s="124"/>
      <c r="L18215" s="124"/>
      <c r="M18215" s="124"/>
      <c r="N18215" s="124"/>
      <c r="O18215" s="124"/>
    </row>
    <row r="18216">
      <c r="K18216" s="124"/>
      <c r="L18216" s="124"/>
      <c r="M18216" s="124"/>
      <c r="N18216" s="124"/>
      <c r="O18216" s="124"/>
    </row>
    <row r="18217">
      <c r="K18217" s="124"/>
      <c r="L18217" s="124"/>
      <c r="M18217" s="124"/>
      <c r="N18217" s="124"/>
      <c r="O18217" s="124"/>
    </row>
    <row r="18218">
      <c r="K18218" s="124"/>
      <c r="L18218" s="124"/>
      <c r="M18218" s="124"/>
      <c r="N18218" s="124"/>
      <c r="O18218" s="124"/>
    </row>
    <row r="18219">
      <c r="K18219" s="124"/>
      <c r="L18219" s="124"/>
      <c r="M18219" s="124"/>
      <c r="N18219" s="124"/>
      <c r="O18219" s="124"/>
    </row>
    <row r="18220">
      <c r="K18220" s="124"/>
      <c r="L18220" s="124"/>
      <c r="M18220" s="124"/>
      <c r="N18220" s="124"/>
      <c r="O18220" s="124"/>
    </row>
    <row r="18221">
      <c r="K18221" s="124"/>
      <c r="L18221" s="124"/>
      <c r="M18221" s="124"/>
      <c r="N18221" s="124"/>
      <c r="O18221" s="124"/>
    </row>
    <row r="18222">
      <c r="K18222" s="124"/>
      <c r="L18222" s="124"/>
      <c r="M18222" s="124"/>
      <c r="N18222" s="124"/>
      <c r="O18222" s="124"/>
    </row>
    <row r="18223">
      <c r="K18223" s="124"/>
      <c r="L18223" s="124"/>
      <c r="M18223" s="124"/>
      <c r="N18223" s="124"/>
      <c r="O18223" s="124"/>
    </row>
    <row r="18224">
      <c r="K18224" s="124"/>
      <c r="L18224" s="124"/>
      <c r="M18224" s="124"/>
      <c r="N18224" s="124"/>
      <c r="O18224" s="124"/>
    </row>
    <row r="18225">
      <c r="K18225" s="124"/>
      <c r="L18225" s="124"/>
      <c r="M18225" s="124"/>
      <c r="N18225" s="124"/>
      <c r="O18225" s="124"/>
    </row>
    <row r="18226">
      <c r="K18226" s="124"/>
      <c r="L18226" s="124"/>
      <c r="M18226" s="124"/>
      <c r="N18226" s="124"/>
      <c r="O18226" s="124"/>
    </row>
    <row r="18227">
      <c r="K18227" s="124"/>
      <c r="L18227" s="124"/>
      <c r="M18227" s="124"/>
      <c r="N18227" s="124"/>
      <c r="O18227" s="124"/>
    </row>
    <row r="18228">
      <c r="K18228" s="124"/>
      <c r="L18228" s="124"/>
      <c r="M18228" s="124"/>
      <c r="N18228" s="124"/>
      <c r="O18228" s="124"/>
    </row>
    <row r="18229">
      <c r="K18229" s="124"/>
      <c r="L18229" s="124"/>
      <c r="M18229" s="124"/>
      <c r="N18229" s="124"/>
      <c r="O18229" s="124"/>
    </row>
    <row r="18230">
      <c r="K18230" s="124"/>
      <c r="L18230" s="124"/>
      <c r="M18230" s="124"/>
      <c r="N18230" s="124"/>
      <c r="O18230" s="124"/>
    </row>
    <row r="18231">
      <c r="K18231" s="124"/>
      <c r="L18231" s="124"/>
      <c r="M18231" s="124"/>
      <c r="N18231" s="124"/>
      <c r="O18231" s="124"/>
    </row>
    <row r="18232">
      <c r="K18232" s="124"/>
      <c r="L18232" s="124"/>
      <c r="M18232" s="124"/>
      <c r="N18232" s="124"/>
      <c r="O18232" s="124"/>
    </row>
    <row r="18233">
      <c r="K18233" s="124"/>
      <c r="L18233" s="124"/>
      <c r="M18233" s="124"/>
      <c r="N18233" s="124"/>
      <c r="O18233" s="124"/>
    </row>
    <row r="18234">
      <c r="K18234" s="124"/>
      <c r="L18234" s="124"/>
      <c r="M18234" s="124"/>
      <c r="N18234" s="124"/>
      <c r="O18234" s="124"/>
    </row>
    <row r="18235">
      <c r="K18235" s="124"/>
      <c r="L18235" s="124"/>
      <c r="M18235" s="124"/>
      <c r="N18235" s="124"/>
      <c r="O18235" s="124"/>
    </row>
    <row r="18236">
      <c r="K18236" s="124"/>
      <c r="L18236" s="124"/>
      <c r="M18236" s="124"/>
      <c r="N18236" s="124"/>
      <c r="O18236" s="124"/>
    </row>
    <row r="18237">
      <c r="K18237" s="124"/>
      <c r="L18237" s="124"/>
      <c r="M18237" s="124"/>
      <c r="N18237" s="124"/>
      <c r="O18237" s="124"/>
    </row>
    <row r="18238">
      <c r="K18238" s="124"/>
      <c r="L18238" s="124"/>
      <c r="M18238" s="124"/>
      <c r="N18238" s="124"/>
      <c r="O18238" s="124"/>
    </row>
    <row r="18239">
      <c r="K18239" s="124"/>
      <c r="L18239" s="124"/>
      <c r="M18239" s="124"/>
      <c r="N18239" s="124"/>
      <c r="O18239" s="124"/>
    </row>
    <row r="18240">
      <c r="K18240" s="124"/>
      <c r="L18240" s="124"/>
      <c r="M18240" s="124"/>
      <c r="N18240" s="124"/>
      <c r="O18240" s="124"/>
    </row>
    <row r="18241">
      <c r="K18241" s="124"/>
      <c r="L18241" s="124"/>
      <c r="M18241" s="124"/>
      <c r="N18241" s="124"/>
      <c r="O18241" s="124"/>
    </row>
    <row r="18242">
      <c r="K18242" s="124"/>
      <c r="L18242" s="124"/>
      <c r="M18242" s="124"/>
      <c r="N18242" s="124"/>
      <c r="O18242" s="124"/>
    </row>
    <row r="18243">
      <c r="K18243" s="124"/>
      <c r="L18243" s="124"/>
      <c r="M18243" s="124"/>
      <c r="N18243" s="124"/>
      <c r="O18243" s="124"/>
    </row>
    <row r="18244">
      <c r="K18244" s="124"/>
      <c r="L18244" s="124"/>
      <c r="M18244" s="124"/>
      <c r="N18244" s="124"/>
      <c r="O18244" s="124"/>
    </row>
    <row r="18245">
      <c r="K18245" s="124"/>
      <c r="L18245" s="124"/>
      <c r="M18245" s="124"/>
      <c r="N18245" s="124"/>
      <c r="O18245" s="124"/>
    </row>
    <row r="18246">
      <c r="K18246" s="124"/>
      <c r="L18246" s="124"/>
      <c r="M18246" s="124"/>
      <c r="N18246" s="124"/>
      <c r="O18246" s="124"/>
    </row>
    <row r="18247">
      <c r="K18247" s="124"/>
      <c r="L18247" s="124"/>
      <c r="M18247" s="124"/>
      <c r="N18247" s="124"/>
      <c r="O18247" s="124"/>
    </row>
    <row r="18248">
      <c r="K18248" s="124"/>
      <c r="L18248" s="124"/>
      <c r="M18248" s="124"/>
      <c r="N18248" s="124"/>
      <c r="O18248" s="124"/>
    </row>
    <row r="18249">
      <c r="K18249" s="124"/>
      <c r="L18249" s="124"/>
      <c r="M18249" s="124"/>
      <c r="N18249" s="124"/>
      <c r="O18249" s="124"/>
    </row>
    <row r="18250">
      <c r="K18250" s="124"/>
      <c r="L18250" s="124"/>
      <c r="M18250" s="124"/>
      <c r="N18250" s="124"/>
      <c r="O18250" s="124"/>
    </row>
    <row r="18251">
      <c r="K18251" s="124"/>
      <c r="L18251" s="124"/>
      <c r="M18251" s="124"/>
      <c r="N18251" s="124"/>
      <c r="O18251" s="124"/>
    </row>
    <row r="18252">
      <c r="K18252" s="124"/>
      <c r="L18252" s="124"/>
      <c r="M18252" s="124"/>
      <c r="N18252" s="124"/>
      <c r="O18252" s="124"/>
    </row>
    <row r="18253">
      <c r="K18253" s="124"/>
      <c r="L18253" s="124"/>
      <c r="M18253" s="124"/>
      <c r="N18253" s="124"/>
      <c r="O18253" s="124"/>
    </row>
    <row r="18254">
      <c r="K18254" s="124"/>
      <c r="L18254" s="124"/>
      <c r="M18254" s="124"/>
      <c r="N18254" s="124"/>
      <c r="O18254" s="124"/>
    </row>
    <row r="18255">
      <c r="K18255" s="124"/>
      <c r="L18255" s="124"/>
      <c r="M18255" s="124"/>
      <c r="N18255" s="124"/>
      <c r="O18255" s="124"/>
    </row>
    <row r="18256">
      <c r="K18256" s="124"/>
      <c r="L18256" s="124"/>
      <c r="M18256" s="124"/>
      <c r="N18256" s="124"/>
      <c r="O18256" s="124"/>
    </row>
    <row r="18257">
      <c r="K18257" s="124"/>
      <c r="L18257" s="124"/>
      <c r="M18257" s="124"/>
      <c r="N18257" s="124"/>
      <c r="O18257" s="124"/>
    </row>
    <row r="18258">
      <c r="K18258" s="124"/>
      <c r="L18258" s="124"/>
      <c r="M18258" s="124"/>
      <c r="N18258" s="124"/>
      <c r="O18258" s="124"/>
    </row>
    <row r="18259">
      <c r="K18259" s="124"/>
      <c r="L18259" s="124"/>
      <c r="M18259" s="124"/>
      <c r="N18259" s="124"/>
      <c r="O18259" s="124"/>
    </row>
    <row r="18260">
      <c r="K18260" s="124"/>
      <c r="L18260" s="124"/>
      <c r="M18260" s="124"/>
      <c r="N18260" s="124"/>
      <c r="O18260" s="124"/>
    </row>
    <row r="18261">
      <c r="K18261" s="124"/>
      <c r="L18261" s="124"/>
      <c r="M18261" s="124"/>
      <c r="N18261" s="124"/>
      <c r="O18261" s="124"/>
    </row>
    <row r="18262">
      <c r="K18262" s="124"/>
      <c r="L18262" s="124"/>
      <c r="M18262" s="124"/>
      <c r="N18262" s="124"/>
      <c r="O18262" s="124"/>
    </row>
    <row r="18263">
      <c r="K18263" s="124"/>
      <c r="L18263" s="124"/>
      <c r="M18263" s="124"/>
      <c r="N18263" s="124"/>
      <c r="O18263" s="124"/>
    </row>
    <row r="18264">
      <c r="K18264" s="124"/>
      <c r="L18264" s="124"/>
      <c r="M18264" s="124"/>
      <c r="N18264" s="124"/>
      <c r="O18264" s="124"/>
    </row>
    <row r="18265">
      <c r="K18265" s="124"/>
      <c r="L18265" s="124"/>
      <c r="M18265" s="124"/>
      <c r="N18265" s="124"/>
      <c r="O18265" s="124"/>
    </row>
    <row r="18266">
      <c r="K18266" s="124"/>
      <c r="L18266" s="124"/>
      <c r="M18266" s="124"/>
      <c r="N18266" s="124"/>
      <c r="O18266" s="124"/>
    </row>
    <row r="18267">
      <c r="K18267" s="124"/>
      <c r="L18267" s="124"/>
      <c r="M18267" s="124"/>
      <c r="N18267" s="124"/>
      <c r="O18267" s="124"/>
    </row>
    <row r="18268">
      <c r="K18268" s="124"/>
      <c r="L18268" s="124"/>
      <c r="M18268" s="124"/>
      <c r="N18268" s="124"/>
      <c r="O18268" s="124"/>
    </row>
    <row r="18269">
      <c r="K18269" s="124"/>
      <c r="L18269" s="124"/>
      <c r="M18269" s="124"/>
      <c r="N18269" s="124"/>
      <c r="O18269" s="124"/>
    </row>
    <row r="18270">
      <c r="K18270" s="124"/>
      <c r="L18270" s="124"/>
      <c r="M18270" s="124"/>
      <c r="N18270" s="124"/>
      <c r="O18270" s="124"/>
    </row>
    <row r="18271">
      <c r="K18271" s="124"/>
      <c r="L18271" s="124"/>
      <c r="M18271" s="124"/>
      <c r="N18271" s="124"/>
      <c r="O18271" s="124"/>
    </row>
    <row r="18272">
      <c r="K18272" s="124"/>
      <c r="L18272" s="124"/>
      <c r="M18272" s="124"/>
      <c r="N18272" s="124"/>
      <c r="O18272" s="124"/>
    </row>
    <row r="18273">
      <c r="K18273" s="124"/>
      <c r="L18273" s="124"/>
      <c r="M18273" s="124"/>
      <c r="N18273" s="124"/>
      <c r="O18273" s="124"/>
    </row>
    <row r="18274">
      <c r="K18274" s="124"/>
      <c r="L18274" s="124"/>
      <c r="M18274" s="124"/>
      <c r="N18274" s="124"/>
      <c r="O18274" s="124"/>
    </row>
    <row r="18275">
      <c r="K18275" s="124"/>
      <c r="L18275" s="124"/>
      <c r="M18275" s="124"/>
      <c r="N18275" s="124"/>
      <c r="O18275" s="124"/>
    </row>
    <row r="18276">
      <c r="K18276" s="124"/>
      <c r="L18276" s="124"/>
      <c r="M18276" s="124"/>
      <c r="N18276" s="124"/>
      <c r="O18276" s="124"/>
    </row>
    <row r="18277">
      <c r="K18277" s="124"/>
      <c r="L18277" s="124"/>
      <c r="M18277" s="124"/>
      <c r="N18277" s="124"/>
      <c r="O18277" s="124"/>
    </row>
    <row r="18278">
      <c r="K18278" s="124"/>
      <c r="L18278" s="124"/>
      <c r="M18278" s="124"/>
      <c r="N18278" s="124"/>
      <c r="O18278" s="124"/>
    </row>
    <row r="18279">
      <c r="K18279" s="124"/>
      <c r="L18279" s="124"/>
      <c r="M18279" s="124"/>
      <c r="N18279" s="124"/>
      <c r="O18279" s="124"/>
    </row>
    <row r="18280">
      <c r="K18280" s="124"/>
      <c r="L18280" s="124"/>
      <c r="M18280" s="124"/>
      <c r="N18280" s="124"/>
      <c r="O18280" s="124"/>
    </row>
    <row r="18281">
      <c r="K18281" s="124"/>
      <c r="L18281" s="124"/>
      <c r="M18281" s="124"/>
      <c r="N18281" s="124"/>
      <c r="O18281" s="124"/>
    </row>
    <row r="18282">
      <c r="K18282" s="124"/>
      <c r="L18282" s="124"/>
      <c r="M18282" s="124"/>
      <c r="N18282" s="124"/>
      <c r="O18282" s="124"/>
    </row>
    <row r="18283">
      <c r="K18283" s="124"/>
      <c r="L18283" s="124"/>
      <c r="M18283" s="124"/>
      <c r="N18283" s="124"/>
      <c r="O18283" s="124"/>
    </row>
    <row r="18284">
      <c r="K18284" s="124"/>
      <c r="L18284" s="124"/>
      <c r="M18284" s="124"/>
      <c r="N18284" s="124"/>
      <c r="O18284" s="124"/>
    </row>
    <row r="18285">
      <c r="K18285" s="124"/>
      <c r="L18285" s="124"/>
      <c r="M18285" s="124"/>
      <c r="N18285" s="124"/>
      <c r="O18285" s="124"/>
    </row>
    <row r="18286">
      <c r="K18286" s="124"/>
      <c r="L18286" s="124"/>
      <c r="M18286" s="124"/>
      <c r="N18286" s="124"/>
      <c r="O18286" s="124"/>
    </row>
    <row r="18287">
      <c r="K18287" s="124"/>
      <c r="L18287" s="124"/>
      <c r="M18287" s="124"/>
      <c r="N18287" s="124"/>
      <c r="O18287" s="124"/>
    </row>
    <row r="18288">
      <c r="K18288" s="124"/>
      <c r="L18288" s="124"/>
      <c r="M18288" s="124"/>
      <c r="N18288" s="124"/>
      <c r="O18288" s="124"/>
    </row>
    <row r="18289">
      <c r="K18289" s="124"/>
      <c r="L18289" s="124"/>
      <c r="M18289" s="124"/>
      <c r="N18289" s="124"/>
      <c r="O18289" s="124"/>
    </row>
    <row r="18290">
      <c r="K18290" s="124"/>
      <c r="L18290" s="124"/>
      <c r="M18290" s="124"/>
      <c r="N18290" s="124"/>
      <c r="O18290" s="124"/>
    </row>
    <row r="18291">
      <c r="K18291" s="124"/>
      <c r="L18291" s="124"/>
      <c r="M18291" s="124"/>
      <c r="N18291" s="124"/>
      <c r="O18291" s="124"/>
    </row>
    <row r="18292">
      <c r="K18292" s="124"/>
      <c r="L18292" s="124"/>
      <c r="M18292" s="124"/>
      <c r="N18292" s="124"/>
      <c r="O18292" s="124"/>
    </row>
    <row r="18293">
      <c r="K18293" s="124"/>
      <c r="L18293" s="124"/>
      <c r="M18293" s="124"/>
      <c r="N18293" s="124"/>
      <c r="O18293" s="124"/>
    </row>
    <row r="18294">
      <c r="K18294" s="124"/>
      <c r="L18294" s="124"/>
      <c r="M18294" s="124"/>
      <c r="N18294" s="124"/>
      <c r="O18294" s="124"/>
    </row>
    <row r="18295">
      <c r="K18295" s="124"/>
      <c r="L18295" s="124"/>
      <c r="M18295" s="124"/>
      <c r="N18295" s="124"/>
      <c r="O18295" s="124"/>
    </row>
    <row r="18296">
      <c r="K18296" s="124"/>
      <c r="L18296" s="124"/>
      <c r="M18296" s="124"/>
      <c r="N18296" s="124"/>
      <c r="O18296" s="124"/>
    </row>
    <row r="18297">
      <c r="K18297" s="124"/>
      <c r="L18297" s="124"/>
      <c r="M18297" s="124"/>
      <c r="N18297" s="124"/>
      <c r="O18297" s="124"/>
    </row>
    <row r="18298">
      <c r="K18298" s="124"/>
      <c r="L18298" s="124"/>
      <c r="M18298" s="124"/>
      <c r="N18298" s="124"/>
      <c r="O18298" s="124"/>
    </row>
    <row r="18299">
      <c r="K18299" s="124"/>
      <c r="L18299" s="124"/>
      <c r="M18299" s="124"/>
      <c r="N18299" s="124"/>
      <c r="O18299" s="124"/>
    </row>
    <row r="18300">
      <c r="K18300" s="124"/>
      <c r="L18300" s="124"/>
      <c r="M18300" s="124"/>
      <c r="N18300" s="124"/>
      <c r="O18300" s="124"/>
    </row>
    <row r="18301">
      <c r="K18301" s="124"/>
      <c r="L18301" s="124"/>
      <c r="M18301" s="124"/>
      <c r="N18301" s="124"/>
      <c r="O18301" s="124"/>
    </row>
    <row r="18302">
      <c r="K18302" s="124"/>
      <c r="L18302" s="124"/>
      <c r="M18302" s="124"/>
      <c r="N18302" s="124"/>
      <c r="O18302" s="124"/>
    </row>
    <row r="18303">
      <c r="K18303" s="124"/>
      <c r="L18303" s="124"/>
      <c r="M18303" s="124"/>
      <c r="N18303" s="124"/>
      <c r="O18303" s="124"/>
    </row>
    <row r="18304">
      <c r="K18304" s="124"/>
      <c r="L18304" s="124"/>
      <c r="M18304" s="124"/>
      <c r="N18304" s="124"/>
      <c r="O18304" s="124"/>
    </row>
    <row r="18305">
      <c r="K18305" s="124"/>
      <c r="L18305" s="124"/>
      <c r="M18305" s="124"/>
      <c r="N18305" s="124"/>
      <c r="O18305" s="124"/>
    </row>
    <row r="18306">
      <c r="K18306" s="124"/>
      <c r="L18306" s="124"/>
      <c r="M18306" s="124"/>
      <c r="N18306" s="124"/>
      <c r="O18306" s="124"/>
    </row>
    <row r="18307">
      <c r="K18307" s="124"/>
      <c r="L18307" s="124"/>
      <c r="M18307" s="124"/>
      <c r="N18307" s="124"/>
      <c r="O18307" s="124"/>
    </row>
    <row r="18308">
      <c r="K18308" s="124"/>
      <c r="L18308" s="124"/>
      <c r="M18308" s="124"/>
      <c r="N18308" s="124"/>
      <c r="O18308" s="124"/>
    </row>
    <row r="18309">
      <c r="K18309" s="124"/>
      <c r="L18309" s="124"/>
      <c r="M18309" s="124"/>
      <c r="N18309" s="124"/>
      <c r="O18309" s="124"/>
    </row>
    <row r="18310">
      <c r="K18310" s="124"/>
      <c r="L18310" s="124"/>
      <c r="M18310" s="124"/>
      <c r="N18310" s="124"/>
      <c r="O18310" s="124"/>
    </row>
    <row r="18311">
      <c r="K18311" s="124"/>
      <c r="L18311" s="124"/>
      <c r="M18311" s="124"/>
      <c r="N18311" s="124"/>
      <c r="O18311" s="124"/>
    </row>
    <row r="18312">
      <c r="K18312" s="124"/>
      <c r="L18312" s="124"/>
      <c r="M18312" s="124"/>
      <c r="N18312" s="124"/>
      <c r="O18312" s="124"/>
    </row>
    <row r="18313">
      <c r="K18313" s="124"/>
      <c r="L18313" s="124"/>
      <c r="M18313" s="124"/>
      <c r="N18313" s="124"/>
      <c r="O18313" s="124"/>
    </row>
    <row r="18314">
      <c r="K18314" s="124"/>
      <c r="L18314" s="124"/>
      <c r="M18314" s="124"/>
      <c r="N18314" s="124"/>
      <c r="O18314" s="124"/>
    </row>
    <row r="18315">
      <c r="K18315" s="124"/>
      <c r="L18315" s="124"/>
      <c r="M18315" s="124"/>
      <c r="N18315" s="124"/>
      <c r="O18315" s="124"/>
    </row>
    <row r="18316">
      <c r="K18316" s="124"/>
      <c r="L18316" s="124"/>
      <c r="M18316" s="124"/>
      <c r="N18316" s="124"/>
      <c r="O18316" s="124"/>
    </row>
    <row r="18317">
      <c r="K18317" s="124"/>
      <c r="L18317" s="124"/>
      <c r="M18317" s="124"/>
      <c r="N18317" s="124"/>
      <c r="O18317" s="124"/>
    </row>
    <row r="18318">
      <c r="K18318" s="124"/>
      <c r="L18318" s="124"/>
      <c r="M18318" s="124"/>
      <c r="N18318" s="124"/>
      <c r="O18318" s="124"/>
    </row>
    <row r="18319">
      <c r="K18319" s="124"/>
      <c r="L18319" s="124"/>
      <c r="M18319" s="124"/>
      <c r="N18319" s="124"/>
      <c r="O18319" s="124"/>
    </row>
    <row r="18320">
      <c r="K18320" s="124"/>
      <c r="L18320" s="124"/>
      <c r="M18320" s="124"/>
      <c r="N18320" s="124"/>
      <c r="O18320" s="124"/>
    </row>
    <row r="18321">
      <c r="K18321" s="124"/>
      <c r="L18321" s="124"/>
      <c r="M18321" s="124"/>
      <c r="N18321" s="124"/>
      <c r="O18321" s="124"/>
    </row>
    <row r="18322">
      <c r="K18322" s="124"/>
      <c r="L18322" s="124"/>
      <c r="M18322" s="124"/>
      <c r="N18322" s="124"/>
      <c r="O18322" s="124"/>
    </row>
    <row r="18323">
      <c r="K18323" s="124"/>
      <c r="L18323" s="124"/>
      <c r="M18323" s="124"/>
      <c r="N18323" s="124"/>
      <c r="O18323" s="124"/>
    </row>
    <row r="18324">
      <c r="K18324" s="124"/>
      <c r="L18324" s="124"/>
      <c r="M18324" s="124"/>
      <c r="N18324" s="124"/>
      <c r="O18324" s="124"/>
    </row>
    <row r="18325">
      <c r="K18325" s="124"/>
      <c r="L18325" s="124"/>
      <c r="M18325" s="124"/>
      <c r="N18325" s="124"/>
      <c r="O18325" s="124"/>
    </row>
    <row r="18326">
      <c r="K18326" s="124"/>
      <c r="L18326" s="124"/>
      <c r="M18326" s="124"/>
      <c r="N18326" s="124"/>
      <c r="O18326" s="124"/>
    </row>
    <row r="18327">
      <c r="K18327" s="124"/>
      <c r="L18327" s="124"/>
      <c r="M18327" s="124"/>
      <c r="N18327" s="124"/>
      <c r="O18327" s="124"/>
    </row>
    <row r="18328">
      <c r="K18328" s="124"/>
      <c r="L18328" s="124"/>
      <c r="M18328" s="124"/>
      <c r="N18328" s="124"/>
      <c r="O18328" s="124"/>
    </row>
    <row r="18329">
      <c r="K18329" s="124"/>
      <c r="L18329" s="124"/>
      <c r="M18329" s="124"/>
      <c r="N18329" s="124"/>
      <c r="O18329" s="124"/>
    </row>
    <row r="18330">
      <c r="K18330" s="124"/>
      <c r="L18330" s="124"/>
      <c r="M18330" s="124"/>
      <c r="N18330" s="124"/>
      <c r="O18330" s="124"/>
    </row>
    <row r="18331">
      <c r="K18331" s="124"/>
      <c r="L18331" s="124"/>
      <c r="M18331" s="124"/>
      <c r="N18331" s="124"/>
      <c r="O18331" s="124"/>
    </row>
    <row r="18332">
      <c r="K18332" s="124"/>
      <c r="L18332" s="124"/>
      <c r="M18332" s="124"/>
      <c r="N18332" s="124"/>
      <c r="O18332" s="124"/>
    </row>
    <row r="18333">
      <c r="K18333" s="124"/>
      <c r="L18333" s="124"/>
      <c r="M18333" s="124"/>
      <c r="N18333" s="124"/>
      <c r="O18333" s="124"/>
    </row>
    <row r="18334">
      <c r="K18334" s="124"/>
      <c r="L18334" s="124"/>
      <c r="M18334" s="124"/>
      <c r="N18334" s="124"/>
      <c r="O18334" s="124"/>
    </row>
    <row r="18335">
      <c r="K18335" s="124"/>
      <c r="L18335" s="124"/>
      <c r="M18335" s="124"/>
      <c r="N18335" s="124"/>
      <c r="O18335" s="124"/>
    </row>
    <row r="18336">
      <c r="K18336" s="124"/>
      <c r="L18336" s="124"/>
      <c r="M18336" s="124"/>
      <c r="N18336" s="124"/>
      <c r="O18336" s="124"/>
    </row>
    <row r="18337">
      <c r="K18337" s="124"/>
      <c r="L18337" s="124"/>
      <c r="M18337" s="124"/>
      <c r="N18337" s="124"/>
      <c r="O18337" s="124"/>
    </row>
    <row r="18338">
      <c r="K18338" s="124"/>
      <c r="L18338" s="124"/>
      <c r="M18338" s="124"/>
      <c r="N18338" s="124"/>
      <c r="O18338" s="124"/>
    </row>
    <row r="18339">
      <c r="K18339" s="124"/>
      <c r="L18339" s="124"/>
      <c r="M18339" s="124"/>
      <c r="N18339" s="124"/>
      <c r="O18339" s="124"/>
    </row>
    <row r="18340">
      <c r="K18340" s="124"/>
      <c r="L18340" s="124"/>
      <c r="M18340" s="124"/>
      <c r="N18340" s="124"/>
      <c r="O18340" s="124"/>
    </row>
    <row r="18341">
      <c r="K18341" s="124"/>
      <c r="L18341" s="124"/>
      <c r="M18341" s="124"/>
      <c r="N18341" s="124"/>
      <c r="O18341" s="124"/>
    </row>
    <row r="18342">
      <c r="K18342" s="124"/>
      <c r="L18342" s="124"/>
      <c r="M18342" s="124"/>
      <c r="N18342" s="124"/>
      <c r="O18342" s="124"/>
    </row>
    <row r="18343">
      <c r="K18343" s="124"/>
      <c r="L18343" s="124"/>
      <c r="M18343" s="124"/>
      <c r="N18343" s="124"/>
      <c r="O18343" s="124"/>
    </row>
    <row r="18344">
      <c r="K18344" s="124"/>
      <c r="L18344" s="124"/>
      <c r="M18344" s="124"/>
      <c r="N18344" s="124"/>
      <c r="O18344" s="124"/>
    </row>
    <row r="18345">
      <c r="K18345" s="124"/>
      <c r="L18345" s="124"/>
      <c r="M18345" s="124"/>
      <c r="N18345" s="124"/>
      <c r="O18345" s="124"/>
    </row>
    <row r="18346">
      <c r="K18346" s="124"/>
      <c r="L18346" s="124"/>
      <c r="M18346" s="124"/>
      <c r="N18346" s="124"/>
      <c r="O18346" s="124"/>
    </row>
    <row r="18347">
      <c r="K18347" s="124"/>
      <c r="L18347" s="124"/>
      <c r="M18347" s="124"/>
      <c r="N18347" s="124"/>
      <c r="O18347" s="124"/>
    </row>
    <row r="18348">
      <c r="K18348" s="124"/>
      <c r="L18348" s="124"/>
      <c r="M18348" s="124"/>
      <c r="N18348" s="124"/>
      <c r="O18348" s="124"/>
    </row>
    <row r="18349">
      <c r="K18349" s="124"/>
      <c r="L18349" s="124"/>
      <c r="M18349" s="124"/>
      <c r="N18349" s="124"/>
      <c r="O18349" s="124"/>
    </row>
    <row r="18350">
      <c r="K18350" s="124"/>
      <c r="L18350" s="124"/>
      <c r="M18350" s="124"/>
      <c r="N18350" s="124"/>
      <c r="O18350" s="124"/>
    </row>
    <row r="18351">
      <c r="K18351" s="124"/>
      <c r="L18351" s="124"/>
      <c r="M18351" s="124"/>
      <c r="N18351" s="124"/>
      <c r="O18351" s="124"/>
    </row>
    <row r="18352">
      <c r="K18352" s="124"/>
      <c r="L18352" s="124"/>
      <c r="M18352" s="124"/>
      <c r="N18352" s="124"/>
      <c r="O18352" s="124"/>
    </row>
    <row r="18353">
      <c r="K18353" s="124"/>
      <c r="L18353" s="124"/>
      <c r="M18353" s="124"/>
      <c r="N18353" s="124"/>
      <c r="O18353" s="124"/>
    </row>
    <row r="18354">
      <c r="K18354" s="124"/>
      <c r="L18354" s="124"/>
      <c r="M18354" s="124"/>
      <c r="N18354" s="124"/>
      <c r="O18354" s="124"/>
    </row>
    <row r="18355">
      <c r="K18355" s="124"/>
      <c r="L18355" s="124"/>
      <c r="M18355" s="124"/>
      <c r="N18355" s="124"/>
      <c r="O18355" s="124"/>
    </row>
    <row r="18356">
      <c r="K18356" s="124"/>
      <c r="L18356" s="124"/>
      <c r="M18356" s="124"/>
      <c r="N18356" s="124"/>
      <c r="O18356" s="124"/>
    </row>
    <row r="18357">
      <c r="K18357" s="124"/>
      <c r="L18357" s="124"/>
      <c r="M18357" s="124"/>
      <c r="N18357" s="124"/>
      <c r="O18357" s="124"/>
    </row>
    <row r="18358">
      <c r="K18358" s="124"/>
      <c r="L18358" s="124"/>
      <c r="M18358" s="124"/>
      <c r="N18358" s="124"/>
      <c r="O18358" s="124"/>
    </row>
    <row r="18359">
      <c r="K18359" s="124"/>
      <c r="L18359" s="124"/>
      <c r="M18359" s="124"/>
      <c r="N18359" s="124"/>
      <c r="O18359" s="124"/>
    </row>
    <row r="18360">
      <c r="K18360" s="124"/>
      <c r="L18360" s="124"/>
      <c r="M18360" s="124"/>
      <c r="N18360" s="124"/>
      <c r="O18360" s="124"/>
    </row>
    <row r="18361">
      <c r="K18361" s="124"/>
      <c r="L18361" s="124"/>
      <c r="M18361" s="124"/>
      <c r="N18361" s="124"/>
      <c r="O18361" s="124"/>
    </row>
    <row r="18362">
      <c r="K18362" s="124"/>
      <c r="L18362" s="124"/>
      <c r="M18362" s="124"/>
      <c r="N18362" s="124"/>
      <c r="O18362" s="124"/>
    </row>
    <row r="18363">
      <c r="K18363" s="124"/>
      <c r="L18363" s="124"/>
      <c r="M18363" s="124"/>
      <c r="N18363" s="124"/>
      <c r="O18363" s="124"/>
    </row>
    <row r="18364">
      <c r="K18364" s="124"/>
      <c r="L18364" s="124"/>
      <c r="M18364" s="124"/>
      <c r="N18364" s="124"/>
      <c r="O18364" s="124"/>
    </row>
    <row r="18365">
      <c r="K18365" s="124"/>
      <c r="L18365" s="124"/>
      <c r="M18365" s="124"/>
      <c r="N18365" s="124"/>
      <c r="O18365" s="124"/>
    </row>
    <row r="18366">
      <c r="K18366" s="124"/>
      <c r="L18366" s="124"/>
      <c r="M18366" s="124"/>
      <c r="N18366" s="124"/>
      <c r="O18366" s="124"/>
    </row>
    <row r="18367">
      <c r="K18367" s="124"/>
      <c r="L18367" s="124"/>
      <c r="M18367" s="124"/>
      <c r="N18367" s="124"/>
      <c r="O18367" s="124"/>
    </row>
    <row r="18368">
      <c r="K18368" s="124"/>
      <c r="L18368" s="124"/>
      <c r="M18368" s="124"/>
      <c r="N18368" s="124"/>
      <c r="O18368" s="124"/>
    </row>
    <row r="18369">
      <c r="K18369" s="124"/>
      <c r="L18369" s="124"/>
      <c r="M18369" s="124"/>
      <c r="N18369" s="124"/>
      <c r="O18369" s="124"/>
    </row>
    <row r="18370">
      <c r="K18370" s="124"/>
      <c r="L18370" s="124"/>
      <c r="M18370" s="124"/>
      <c r="N18370" s="124"/>
      <c r="O18370" s="124"/>
    </row>
    <row r="18371">
      <c r="K18371" s="124"/>
      <c r="L18371" s="124"/>
      <c r="M18371" s="124"/>
      <c r="N18371" s="124"/>
      <c r="O18371" s="124"/>
    </row>
    <row r="18372">
      <c r="K18372" s="124"/>
      <c r="L18372" s="124"/>
      <c r="M18372" s="124"/>
      <c r="N18372" s="124"/>
      <c r="O18372" s="124"/>
    </row>
    <row r="18373">
      <c r="K18373" s="124"/>
      <c r="L18373" s="124"/>
      <c r="M18373" s="124"/>
      <c r="N18373" s="124"/>
      <c r="O18373" s="124"/>
    </row>
    <row r="18374">
      <c r="K18374" s="124"/>
      <c r="L18374" s="124"/>
      <c r="M18374" s="124"/>
      <c r="N18374" s="124"/>
      <c r="O18374" s="124"/>
    </row>
    <row r="18375">
      <c r="K18375" s="124"/>
      <c r="L18375" s="124"/>
      <c r="M18375" s="124"/>
      <c r="N18375" s="124"/>
      <c r="O18375" s="124"/>
    </row>
    <row r="18376">
      <c r="K18376" s="124"/>
      <c r="L18376" s="124"/>
      <c r="M18376" s="124"/>
      <c r="N18376" s="124"/>
      <c r="O18376" s="124"/>
    </row>
    <row r="18377">
      <c r="K18377" s="124"/>
      <c r="L18377" s="124"/>
      <c r="M18377" s="124"/>
      <c r="N18377" s="124"/>
      <c r="O18377" s="124"/>
    </row>
    <row r="18378">
      <c r="K18378" s="124"/>
      <c r="L18378" s="124"/>
      <c r="M18378" s="124"/>
      <c r="N18378" s="124"/>
      <c r="O18378" s="124"/>
    </row>
    <row r="18379">
      <c r="K18379" s="124"/>
      <c r="L18379" s="124"/>
      <c r="M18379" s="124"/>
      <c r="N18379" s="124"/>
      <c r="O18379" s="124"/>
    </row>
    <row r="18380">
      <c r="K18380" s="124"/>
      <c r="L18380" s="124"/>
      <c r="M18380" s="124"/>
      <c r="N18380" s="124"/>
      <c r="O18380" s="124"/>
    </row>
    <row r="18381">
      <c r="K18381" s="124"/>
      <c r="L18381" s="124"/>
      <c r="M18381" s="124"/>
      <c r="N18381" s="124"/>
      <c r="O18381" s="124"/>
    </row>
    <row r="18382">
      <c r="K18382" s="124"/>
      <c r="L18382" s="124"/>
      <c r="M18382" s="124"/>
      <c r="N18382" s="124"/>
      <c r="O18382" s="124"/>
    </row>
    <row r="18383">
      <c r="K18383" s="124"/>
      <c r="L18383" s="124"/>
      <c r="M18383" s="124"/>
      <c r="N18383" s="124"/>
      <c r="O18383" s="124"/>
    </row>
    <row r="18384">
      <c r="K18384" s="124"/>
      <c r="L18384" s="124"/>
      <c r="M18384" s="124"/>
      <c r="N18384" s="124"/>
      <c r="O18384" s="124"/>
    </row>
    <row r="18385">
      <c r="K18385" s="124"/>
      <c r="L18385" s="124"/>
      <c r="M18385" s="124"/>
      <c r="N18385" s="124"/>
      <c r="O18385" s="124"/>
    </row>
    <row r="18386">
      <c r="K18386" s="124"/>
      <c r="L18386" s="124"/>
      <c r="M18386" s="124"/>
      <c r="N18386" s="124"/>
      <c r="O18386" s="124"/>
    </row>
    <row r="18387">
      <c r="K18387" s="124"/>
      <c r="L18387" s="124"/>
      <c r="M18387" s="124"/>
      <c r="N18387" s="124"/>
      <c r="O18387" s="124"/>
    </row>
    <row r="18388">
      <c r="K18388" s="124"/>
      <c r="L18388" s="124"/>
      <c r="M18388" s="124"/>
      <c r="N18388" s="124"/>
      <c r="O18388" s="124"/>
    </row>
    <row r="18389">
      <c r="K18389" s="124"/>
      <c r="L18389" s="124"/>
      <c r="M18389" s="124"/>
      <c r="N18389" s="124"/>
      <c r="O18389" s="124"/>
    </row>
    <row r="18390">
      <c r="K18390" s="124"/>
      <c r="L18390" s="124"/>
      <c r="M18390" s="124"/>
      <c r="N18390" s="124"/>
      <c r="O18390" s="124"/>
    </row>
    <row r="18391">
      <c r="K18391" s="124"/>
      <c r="L18391" s="124"/>
      <c r="M18391" s="124"/>
      <c r="N18391" s="124"/>
      <c r="O18391" s="124"/>
    </row>
    <row r="18392">
      <c r="K18392" s="124"/>
      <c r="L18392" s="124"/>
      <c r="M18392" s="124"/>
      <c r="N18392" s="124"/>
      <c r="O18392" s="124"/>
    </row>
    <row r="18393">
      <c r="K18393" s="124"/>
      <c r="L18393" s="124"/>
      <c r="M18393" s="124"/>
      <c r="N18393" s="124"/>
      <c r="O18393" s="124"/>
    </row>
    <row r="18394">
      <c r="K18394" s="124"/>
      <c r="L18394" s="124"/>
      <c r="M18394" s="124"/>
      <c r="N18394" s="124"/>
      <c r="O18394" s="124"/>
    </row>
    <row r="18395">
      <c r="K18395" s="124"/>
      <c r="L18395" s="124"/>
      <c r="M18395" s="124"/>
      <c r="N18395" s="124"/>
      <c r="O18395" s="124"/>
    </row>
    <row r="18396">
      <c r="K18396" s="124"/>
      <c r="L18396" s="124"/>
      <c r="M18396" s="124"/>
      <c r="N18396" s="124"/>
      <c r="O18396" s="124"/>
    </row>
    <row r="18397">
      <c r="K18397" s="124"/>
      <c r="L18397" s="124"/>
      <c r="M18397" s="124"/>
      <c r="N18397" s="124"/>
      <c r="O18397" s="124"/>
    </row>
    <row r="18398">
      <c r="K18398" s="124"/>
      <c r="L18398" s="124"/>
      <c r="M18398" s="124"/>
      <c r="N18398" s="124"/>
      <c r="O18398" s="124"/>
    </row>
    <row r="18399">
      <c r="K18399" s="124"/>
      <c r="L18399" s="124"/>
      <c r="M18399" s="124"/>
      <c r="N18399" s="124"/>
      <c r="O18399" s="124"/>
    </row>
    <row r="18400">
      <c r="K18400" s="124"/>
      <c r="L18400" s="124"/>
      <c r="M18400" s="124"/>
      <c r="N18400" s="124"/>
      <c r="O18400" s="124"/>
    </row>
    <row r="18401">
      <c r="K18401" s="124"/>
      <c r="L18401" s="124"/>
      <c r="M18401" s="124"/>
      <c r="N18401" s="124"/>
      <c r="O18401" s="124"/>
    </row>
    <row r="18402">
      <c r="K18402" s="124"/>
      <c r="L18402" s="124"/>
      <c r="M18402" s="124"/>
      <c r="N18402" s="124"/>
      <c r="O18402" s="124"/>
    </row>
    <row r="18403">
      <c r="K18403" s="124"/>
      <c r="L18403" s="124"/>
      <c r="M18403" s="124"/>
      <c r="N18403" s="124"/>
      <c r="O18403" s="124"/>
    </row>
    <row r="18404">
      <c r="K18404" s="124"/>
      <c r="L18404" s="124"/>
      <c r="M18404" s="124"/>
      <c r="N18404" s="124"/>
      <c r="O18404" s="124"/>
    </row>
    <row r="18405">
      <c r="K18405" s="124"/>
      <c r="L18405" s="124"/>
      <c r="M18405" s="124"/>
      <c r="N18405" s="124"/>
      <c r="O18405" s="124"/>
    </row>
    <row r="18406">
      <c r="K18406" s="124"/>
      <c r="L18406" s="124"/>
      <c r="M18406" s="124"/>
      <c r="N18406" s="124"/>
      <c r="O18406" s="124"/>
    </row>
    <row r="18407">
      <c r="K18407" s="124"/>
      <c r="L18407" s="124"/>
      <c r="M18407" s="124"/>
      <c r="N18407" s="124"/>
      <c r="O18407" s="124"/>
    </row>
    <row r="18408">
      <c r="K18408" s="124"/>
      <c r="L18408" s="124"/>
      <c r="M18408" s="124"/>
      <c r="N18408" s="124"/>
      <c r="O18408" s="124"/>
    </row>
    <row r="18409">
      <c r="K18409" s="124"/>
      <c r="L18409" s="124"/>
      <c r="M18409" s="124"/>
      <c r="N18409" s="124"/>
      <c r="O18409" s="124"/>
    </row>
    <row r="18410">
      <c r="K18410" s="124"/>
      <c r="L18410" s="124"/>
      <c r="M18410" s="124"/>
      <c r="N18410" s="124"/>
      <c r="O18410" s="124"/>
    </row>
    <row r="18411">
      <c r="K18411" s="124"/>
      <c r="L18411" s="124"/>
      <c r="M18411" s="124"/>
      <c r="N18411" s="124"/>
      <c r="O18411" s="124"/>
    </row>
    <row r="18412">
      <c r="K18412" s="124"/>
      <c r="L18412" s="124"/>
      <c r="M18412" s="124"/>
      <c r="N18412" s="124"/>
      <c r="O18412" s="124"/>
    </row>
    <row r="18413">
      <c r="K18413" s="124"/>
      <c r="L18413" s="124"/>
      <c r="M18413" s="124"/>
      <c r="N18413" s="124"/>
      <c r="O18413" s="124"/>
    </row>
    <row r="18414">
      <c r="K18414" s="124"/>
      <c r="L18414" s="124"/>
      <c r="M18414" s="124"/>
      <c r="N18414" s="124"/>
      <c r="O18414" s="124"/>
    </row>
    <row r="18415">
      <c r="K18415" s="124"/>
      <c r="L18415" s="124"/>
      <c r="M18415" s="124"/>
      <c r="N18415" s="124"/>
      <c r="O18415" s="124"/>
    </row>
    <row r="18416">
      <c r="K18416" s="124"/>
      <c r="L18416" s="124"/>
      <c r="M18416" s="124"/>
      <c r="N18416" s="124"/>
      <c r="O18416" s="124"/>
    </row>
    <row r="18417">
      <c r="K18417" s="124"/>
      <c r="L18417" s="124"/>
      <c r="M18417" s="124"/>
      <c r="N18417" s="124"/>
      <c r="O18417" s="124"/>
    </row>
    <row r="18418">
      <c r="K18418" s="124"/>
      <c r="L18418" s="124"/>
      <c r="M18418" s="124"/>
      <c r="N18418" s="124"/>
      <c r="O18418" s="124"/>
    </row>
    <row r="18419">
      <c r="K18419" s="124"/>
      <c r="L18419" s="124"/>
      <c r="M18419" s="124"/>
      <c r="N18419" s="124"/>
      <c r="O18419" s="124"/>
    </row>
    <row r="18420">
      <c r="K18420" s="124"/>
      <c r="L18420" s="124"/>
      <c r="M18420" s="124"/>
      <c r="N18420" s="124"/>
      <c r="O18420" s="124"/>
    </row>
    <row r="18421">
      <c r="K18421" s="124"/>
      <c r="L18421" s="124"/>
      <c r="M18421" s="124"/>
      <c r="N18421" s="124"/>
      <c r="O18421" s="124"/>
    </row>
    <row r="18422">
      <c r="K18422" s="124"/>
      <c r="L18422" s="124"/>
      <c r="M18422" s="124"/>
      <c r="N18422" s="124"/>
      <c r="O18422" s="124"/>
    </row>
    <row r="18423">
      <c r="K18423" s="124"/>
      <c r="L18423" s="124"/>
      <c r="M18423" s="124"/>
      <c r="N18423" s="124"/>
      <c r="O18423" s="124"/>
    </row>
    <row r="18424">
      <c r="K18424" s="124"/>
      <c r="L18424" s="124"/>
      <c r="M18424" s="124"/>
      <c r="N18424" s="124"/>
      <c r="O18424" s="124"/>
    </row>
    <row r="18425">
      <c r="K18425" s="124"/>
      <c r="L18425" s="124"/>
      <c r="M18425" s="124"/>
      <c r="N18425" s="124"/>
      <c r="O18425" s="124"/>
    </row>
    <row r="18426">
      <c r="K18426" s="124"/>
      <c r="L18426" s="124"/>
      <c r="M18426" s="124"/>
      <c r="N18426" s="124"/>
      <c r="O18426" s="124"/>
    </row>
    <row r="18427">
      <c r="K18427" s="124"/>
      <c r="L18427" s="124"/>
      <c r="M18427" s="124"/>
      <c r="N18427" s="124"/>
      <c r="O18427" s="124"/>
    </row>
    <row r="18428">
      <c r="K18428" s="124"/>
      <c r="L18428" s="124"/>
      <c r="M18428" s="124"/>
      <c r="N18428" s="124"/>
      <c r="O18428" s="124"/>
    </row>
    <row r="18429">
      <c r="K18429" s="124"/>
      <c r="L18429" s="124"/>
      <c r="M18429" s="124"/>
      <c r="N18429" s="124"/>
      <c r="O18429" s="124"/>
    </row>
    <row r="18430">
      <c r="K18430" s="124"/>
      <c r="L18430" s="124"/>
      <c r="M18430" s="124"/>
      <c r="N18430" s="124"/>
      <c r="O18430" s="124"/>
    </row>
    <row r="18431">
      <c r="K18431" s="124"/>
      <c r="L18431" s="124"/>
      <c r="M18431" s="124"/>
      <c r="N18431" s="124"/>
      <c r="O18431" s="124"/>
    </row>
    <row r="18432">
      <c r="K18432" s="124"/>
      <c r="L18432" s="124"/>
      <c r="M18432" s="124"/>
      <c r="N18432" s="124"/>
      <c r="O18432" s="124"/>
    </row>
    <row r="18433">
      <c r="K18433" s="124"/>
      <c r="L18433" s="124"/>
      <c r="M18433" s="124"/>
      <c r="N18433" s="124"/>
      <c r="O18433" s="124"/>
    </row>
    <row r="18434">
      <c r="K18434" s="124"/>
      <c r="L18434" s="124"/>
      <c r="M18434" s="124"/>
      <c r="N18434" s="124"/>
      <c r="O18434" s="124"/>
    </row>
    <row r="18435">
      <c r="K18435" s="124"/>
      <c r="L18435" s="124"/>
      <c r="M18435" s="124"/>
      <c r="N18435" s="124"/>
      <c r="O18435" s="124"/>
    </row>
    <row r="18436">
      <c r="K18436" s="124"/>
      <c r="L18436" s="124"/>
      <c r="M18436" s="124"/>
      <c r="N18436" s="124"/>
      <c r="O18436" s="124"/>
    </row>
    <row r="18437">
      <c r="K18437" s="124"/>
      <c r="L18437" s="124"/>
      <c r="M18437" s="124"/>
      <c r="N18437" s="124"/>
      <c r="O18437" s="124"/>
    </row>
    <row r="18438">
      <c r="K18438" s="124"/>
      <c r="L18438" s="124"/>
      <c r="M18438" s="124"/>
      <c r="N18438" s="124"/>
      <c r="O18438" s="124"/>
    </row>
    <row r="18439">
      <c r="K18439" s="124"/>
      <c r="L18439" s="124"/>
      <c r="M18439" s="124"/>
      <c r="N18439" s="124"/>
      <c r="O18439" s="124"/>
    </row>
    <row r="18440">
      <c r="K18440" s="124"/>
      <c r="L18440" s="124"/>
      <c r="M18440" s="124"/>
      <c r="N18440" s="124"/>
      <c r="O18440" s="124"/>
    </row>
    <row r="18441">
      <c r="K18441" s="124"/>
      <c r="L18441" s="124"/>
      <c r="M18441" s="124"/>
      <c r="N18441" s="124"/>
      <c r="O18441" s="124"/>
    </row>
    <row r="18442">
      <c r="K18442" s="124"/>
      <c r="L18442" s="124"/>
      <c r="M18442" s="124"/>
      <c r="N18442" s="124"/>
      <c r="O18442" s="124"/>
    </row>
    <row r="18443">
      <c r="K18443" s="124"/>
      <c r="L18443" s="124"/>
      <c r="M18443" s="124"/>
      <c r="N18443" s="124"/>
      <c r="O18443" s="124"/>
    </row>
    <row r="18444">
      <c r="K18444" s="124"/>
      <c r="L18444" s="124"/>
      <c r="M18444" s="124"/>
      <c r="N18444" s="124"/>
      <c r="O18444" s="124"/>
    </row>
    <row r="18445">
      <c r="K18445" s="124"/>
      <c r="L18445" s="124"/>
      <c r="M18445" s="124"/>
      <c r="N18445" s="124"/>
      <c r="O18445" s="124"/>
    </row>
    <row r="18446">
      <c r="K18446" s="124"/>
      <c r="L18446" s="124"/>
      <c r="M18446" s="124"/>
      <c r="N18446" s="124"/>
      <c r="O18446" s="124"/>
    </row>
    <row r="18447">
      <c r="K18447" s="124"/>
      <c r="L18447" s="124"/>
      <c r="M18447" s="124"/>
      <c r="N18447" s="124"/>
      <c r="O18447" s="124"/>
    </row>
    <row r="18448">
      <c r="K18448" s="124"/>
      <c r="L18448" s="124"/>
      <c r="M18448" s="124"/>
      <c r="N18448" s="124"/>
      <c r="O18448" s="124"/>
    </row>
    <row r="18449">
      <c r="K18449" s="124"/>
      <c r="L18449" s="124"/>
      <c r="M18449" s="124"/>
      <c r="N18449" s="124"/>
      <c r="O18449" s="124"/>
    </row>
    <row r="18450">
      <c r="K18450" s="124"/>
      <c r="L18450" s="124"/>
      <c r="M18450" s="124"/>
      <c r="N18450" s="124"/>
      <c r="O18450" s="124"/>
    </row>
    <row r="18451">
      <c r="K18451" s="124"/>
      <c r="L18451" s="124"/>
      <c r="M18451" s="124"/>
      <c r="N18451" s="124"/>
      <c r="O18451" s="124"/>
    </row>
    <row r="18452">
      <c r="K18452" s="124"/>
      <c r="L18452" s="124"/>
      <c r="M18452" s="124"/>
      <c r="N18452" s="124"/>
      <c r="O18452" s="124"/>
    </row>
    <row r="18453">
      <c r="K18453" s="124"/>
      <c r="L18453" s="124"/>
      <c r="M18453" s="124"/>
      <c r="N18453" s="124"/>
      <c r="O18453" s="124"/>
    </row>
    <row r="18454">
      <c r="K18454" s="124"/>
      <c r="L18454" s="124"/>
      <c r="M18454" s="124"/>
      <c r="N18454" s="124"/>
      <c r="O18454" s="124"/>
    </row>
    <row r="18455">
      <c r="K18455" s="124"/>
      <c r="L18455" s="124"/>
      <c r="M18455" s="124"/>
      <c r="N18455" s="124"/>
      <c r="O18455" s="124"/>
    </row>
    <row r="18456">
      <c r="K18456" s="124"/>
      <c r="L18456" s="124"/>
      <c r="M18456" s="124"/>
      <c r="N18456" s="124"/>
      <c r="O18456" s="124"/>
    </row>
    <row r="18457">
      <c r="K18457" s="124"/>
      <c r="L18457" s="124"/>
      <c r="M18457" s="124"/>
      <c r="N18457" s="124"/>
      <c r="O18457" s="124"/>
    </row>
    <row r="18458">
      <c r="K18458" s="124"/>
      <c r="L18458" s="124"/>
      <c r="M18458" s="124"/>
      <c r="N18458" s="124"/>
      <c r="O18458" s="124"/>
    </row>
    <row r="18459">
      <c r="K18459" s="124"/>
      <c r="L18459" s="124"/>
      <c r="M18459" s="124"/>
      <c r="N18459" s="124"/>
      <c r="O18459" s="124"/>
    </row>
    <row r="18460">
      <c r="K18460" s="124"/>
      <c r="L18460" s="124"/>
      <c r="M18460" s="124"/>
      <c r="N18460" s="124"/>
      <c r="O18460" s="124"/>
    </row>
    <row r="18461">
      <c r="K18461" s="124"/>
      <c r="L18461" s="124"/>
      <c r="M18461" s="124"/>
      <c r="N18461" s="124"/>
      <c r="O18461" s="124"/>
    </row>
    <row r="18462">
      <c r="K18462" s="124"/>
      <c r="L18462" s="124"/>
      <c r="M18462" s="124"/>
      <c r="N18462" s="124"/>
      <c r="O18462" s="124"/>
    </row>
    <row r="18463">
      <c r="K18463" s="124"/>
      <c r="L18463" s="124"/>
      <c r="M18463" s="124"/>
      <c r="N18463" s="124"/>
      <c r="O18463" s="124"/>
    </row>
    <row r="18464">
      <c r="K18464" s="124"/>
      <c r="L18464" s="124"/>
      <c r="M18464" s="124"/>
      <c r="N18464" s="124"/>
      <c r="O18464" s="124"/>
    </row>
    <row r="18465">
      <c r="K18465" s="124"/>
      <c r="L18465" s="124"/>
      <c r="M18465" s="124"/>
      <c r="N18465" s="124"/>
      <c r="O18465" s="124"/>
    </row>
    <row r="18466">
      <c r="K18466" s="124"/>
      <c r="L18466" s="124"/>
      <c r="M18466" s="124"/>
      <c r="N18466" s="124"/>
      <c r="O18466" s="124"/>
    </row>
    <row r="18467">
      <c r="K18467" s="124"/>
      <c r="L18467" s="124"/>
      <c r="M18467" s="124"/>
      <c r="N18467" s="124"/>
      <c r="O18467" s="124"/>
    </row>
    <row r="18468">
      <c r="K18468" s="124"/>
      <c r="L18468" s="124"/>
      <c r="M18468" s="124"/>
      <c r="N18468" s="124"/>
      <c r="O18468" s="124"/>
    </row>
    <row r="18469">
      <c r="K18469" s="124"/>
      <c r="L18469" s="124"/>
      <c r="M18469" s="124"/>
      <c r="N18469" s="124"/>
      <c r="O18469" s="124"/>
    </row>
    <row r="18470">
      <c r="K18470" s="124"/>
      <c r="L18470" s="124"/>
      <c r="M18470" s="124"/>
      <c r="N18470" s="124"/>
      <c r="O18470" s="124"/>
    </row>
    <row r="18471">
      <c r="K18471" s="124"/>
      <c r="L18471" s="124"/>
      <c r="M18471" s="124"/>
      <c r="N18471" s="124"/>
      <c r="O18471" s="124"/>
    </row>
    <row r="18472">
      <c r="K18472" s="124"/>
      <c r="L18472" s="124"/>
      <c r="M18472" s="124"/>
      <c r="N18472" s="124"/>
      <c r="O18472" s="124"/>
    </row>
    <row r="18473">
      <c r="K18473" s="124"/>
      <c r="L18473" s="124"/>
      <c r="M18473" s="124"/>
      <c r="N18473" s="124"/>
      <c r="O18473" s="124"/>
    </row>
    <row r="18474">
      <c r="K18474" s="124"/>
      <c r="L18474" s="124"/>
      <c r="M18474" s="124"/>
      <c r="N18474" s="124"/>
      <c r="O18474" s="124"/>
    </row>
    <row r="18475">
      <c r="K18475" s="124"/>
      <c r="L18475" s="124"/>
      <c r="M18475" s="124"/>
      <c r="N18475" s="124"/>
      <c r="O18475" s="124"/>
    </row>
    <row r="18476">
      <c r="K18476" s="124"/>
      <c r="L18476" s="124"/>
      <c r="M18476" s="124"/>
      <c r="N18476" s="124"/>
      <c r="O18476" s="124"/>
    </row>
    <row r="18477">
      <c r="K18477" s="124"/>
      <c r="L18477" s="124"/>
      <c r="M18477" s="124"/>
      <c r="N18477" s="124"/>
      <c r="O18477" s="124"/>
    </row>
    <row r="18478">
      <c r="K18478" s="124"/>
      <c r="L18478" s="124"/>
      <c r="M18478" s="124"/>
      <c r="N18478" s="124"/>
      <c r="O18478" s="124"/>
    </row>
    <row r="18479">
      <c r="K18479" s="124"/>
      <c r="L18479" s="124"/>
      <c r="M18479" s="124"/>
      <c r="N18479" s="124"/>
      <c r="O18479" s="124"/>
    </row>
    <row r="18480">
      <c r="K18480" s="124"/>
      <c r="L18480" s="124"/>
      <c r="M18480" s="124"/>
      <c r="N18480" s="124"/>
      <c r="O18480" s="124"/>
    </row>
    <row r="18481">
      <c r="K18481" s="124"/>
      <c r="L18481" s="124"/>
      <c r="M18481" s="124"/>
      <c r="N18481" s="124"/>
      <c r="O18481" s="124"/>
    </row>
    <row r="18482">
      <c r="K18482" s="124"/>
      <c r="L18482" s="124"/>
      <c r="M18482" s="124"/>
      <c r="N18482" s="124"/>
      <c r="O18482" s="124"/>
    </row>
    <row r="18483">
      <c r="K18483" s="124"/>
      <c r="L18483" s="124"/>
      <c r="M18483" s="124"/>
      <c r="N18483" s="124"/>
      <c r="O18483" s="124"/>
    </row>
    <row r="18484">
      <c r="K18484" s="124"/>
      <c r="L18484" s="124"/>
      <c r="M18484" s="124"/>
      <c r="N18484" s="124"/>
      <c r="O18484" s="124"/>
    </row>
    <row r="18485">
      <c r="K18485" s="124"/>
      <c r="L18485" s="124"/>
      <c r="M18485" s="124"/>
      <c r="N18485" s="124"/>
      <c r="O18485" s="124"/>
    </row>
    <row r="18486">
      <c r="K18486" s="124"/>
      <c r="L18486" s="124"/>
      <c r="M18486" s="124"/>
      <c r="N18486" s="124"/>
      <c r="O18486" s="124"/>
    </row>
    <row r="18487">
      <c r="K18487" s="124"/>
      <c r="L18487" s="124"/>
      <c r="M18487" s="124"/>
      <c r="N18487" s="124"/>
      <c r="O18487" s="124"/>
    </row>
    <row r="18488">
      <c r="K18488" s="124"/>
      <c r="L18488" s="124"/>
      <c r="M18488" s="124"/>
      <c r="N18488" s="124"/>
      <c r="O18488" s="124"/>
    </row>
    <row r="18489">
      <c r="K18489" s="124"/>
      <c r="L18489" s="124"/>
      <c r="M18489" s="124"/>
      <c r="N18489" s="124"/>
      <c r="O18489" s="124"/>
    </row>
    <row r="18490">
      <c r="K18490" s="124"/>
      <c r="L18490" s="124"/>
      <c r="M18490" s="124"/>
      <c r="N18490" s="124"/>
      <c r="O18490" s="124"/>
    </row>
    <row r="18491">
      <c r="K18491" s="124"/>
      <c r="L18491" s="124"/>
      <c r="M18491" s="124"/>
      <c r="N18491" s="124"/>
      <c r="O18491" s="124"/>
    </row>
    <row r="18492">
      <c r="K18492" s="124"/>
      <c r="L18492" s="124"/>
      <c r="M18492" s="124"/>
      <c r="N18492" s="124"/>
      <c r="O18492" s="124"/>
    </row>
    <row r="18493">
      <c r="K18493" s="124"/>
      <c r="L18493" s="124"/>
      <c r="M18493" s="124"/>
      <c r="N18493" s="124"/>
      <c r="O18493" s="124"/>
    </row>
    <row r="18494">
      <c r="K18494" s="124"/>
      <c r="L18494" s="124"/>
      <c r="M18494" s="124"/>
      <c r="N18494" s="124"/>
      <c r="O18494" s="124"/>
    </row>
    <row r="18495">
      <c r="K18495" s="124"/>
      <c r="L18495" s="124"/>
      <c r="M18495" s="124"/>
      <c r="N18495" s="124"/>
      <c r="O18495" s="124"/>
    </row>
    <row r="18496">
      <c r="K18496" s="124"/>
      <c r="L18496" s="124"/>
      <c r="M18496" s="124"/>
      <c r="N18496" s="124"/>
      <c r="O18496" s="124"/>
    </row>
    <row r="18497">
      <c r="K18497" s="124"/>
      <c r="L18497" s="124"/>
      <c r="M18497" s="124"/>
      <c r="N18497" s="124"/>
      <c r="O18497" s="124"/>
    </row>
    <row r="18498">
      <c r="K18498" s="124"/>
      <c r="L18498" s="124"/>
      <c r="M18498" s="124"/>
      <c r="N18498" s="124"/>
      <c r="O18498" s="124"/>
    </row>
    <row r="18499">
      <c r="K18499" s="124"/>
      <c r="L18499" s="124"/>
      <c r="M18499" s="124"/>
      <c r="N18499" s="124"/>
      <c r="O18499" s="124"/>
    </row>
    <row r="18500">
      <c r="K18500" s="124"/>
      <c r="L18500" s="124"/>
      <c r="M18500" s="124"/>
      <c r="N18500" s="124"/>
      <c r="O18500" s="124"/>
    </row>
    <row r="18501">
      <c r="K18501" s="124"/>
      <c r="L18501" s="124"/>
      <c r="M18501" s="124"/>
      <c r="N18501" s="124"/>
      <c r="O18501" s="124"/>
    </row>
    <row r="18502">
      <c r="K18502" s="124"/>
      <c r="L18502" s="124"/>
      <c r="M18502" s="124"/>
      <c r="N18502" s="124"/>
      <c r="O18502" s="124"/>
    </row>
    <row r="18503">
      <c r="K18503" s="124"/>
      <c r="L18503" s="124"/>
      <c r="M18503" s="124"/>
      <c r="N18503" s="124"/>
      <c r="O18503" s="124"/>
    </row>
    <row r="18504">
      <c r="K18504" s="124"/>
      <c r="L18504" s="124"/>
      <c r="M18504" s="124"/>
      <c r="N18504" s="124"/>
      <c r="O18504" s="124"/>
    </row>
    <row r="18505">
      <c r="K18505" s="124"/>
      <c r="L18505" s="124"/>
      <c r="M18505" s="124"/>
      <c r="N18505" s="124"/>
      <c r="O18505" s="124"/>
    </row>
    <row r="18506">
      <c r="K18506" s="124"/>
      <c r="L18506" s="124"/>
      <c r="M18506" s="124"/>
      <c r="N18506" s="124"/>
      <c r="O18506" s="124"/>
    </row>
    <row r="18507">
      <c r="K18507" s="124"/>
      <c r="L18507" s="124"/>
      <c r="M18507" s="124"/>
      <c r="N18507" s="124"/>
      <c r="O18507" s="124"/>
    </row>
    <row r="18508">
      <c r="K18508" s="124"/>
      <c r="L18508" s="124"/>
      <c r="M18508" s="124"/>
      <c r="N18508" s="124"/>
      <c r="O18508" s="124"/>
    </row>
    <row r="18509">
      <c r="K18509" s="124"/>
      <c r="L18509" s="124"/>
      <c r="M18509" s="124"/>
      <c r="N18509" s="124"/>
      <c r="O18509" s="124"/>
    </row>
    <row r="18510">
      <c r="K18510" s="124"/>
      <c r="L18510" s="124"/>
      <c r="M18510" s="124"/>
      <c r="N18510" s="124"/>
      <c r="O18510" s="124"/>
    </row>
    <row r="18511">
      <c r="K18511" s="124"/>
      <c r="L18511" s="124"/>
      <c r="M18511" s="124"/>
      <c r="N18511" s="124"/>
      <c r="O18511" s="124"/>
    </row>
    <row r="18512">
      <c r="K18512" s="124"/>
      <c r="L18512" s="124"/>
      <c r="M18512" s="124"/>
      <c r="N18512" s="124"/>
      <c r="O18512" s="124"/>
    </row>
    <row r="18513">
      <c r="K18513" s="124"/>
      <c r="L18513" s="124"/>
      <c r="M18513" s="124"/>
      <c r="N18513" s="124"/>
      <c r="O18513" s="124"/>
    </row>
    <row r="18514">
      <c r="K18514" s="124"/>
      <c r="L18514" s="124"/>
      <c r="M18514" s="124"/>
      <c r="N18514" s="124"/>
      <c r="O18514" s="124"/>
    </row>
    <row r="18515">
      <c r="K18515" s="124"/>
      <c r="L18515" s="124"/>
      <c r="M18515" s="124"/>
      <c r="N18515" s="124"/>
      <c r="O18515" s="124"/>
    </row>
    <row r="18516">
      <c r="K18516" s="124"/>
      <c r="L18516" s="124"/>
      <c r="M18516" s="124"/>
      <c r="N18516" s="124"/>
      <c r="O18516" s="124"/>
    </row>
    <row r="18517">
      <c r="K18517" s="124"/>
      <c r="L18517" s="124"/>
      <c r="M18517" s="124"/>
      <c r="N18517" s="124"/>
      <c r="O18517" s="124"/>
    </row>
    <row r="18518">
      <c r="K18518" s="124"/>
      <c r="L18518" s="124"/>
      <c r="M18518" s="124"/>
      <c r="N18518" s="124"/>
      <c r="O18518" s="124"/>
    </row>
    <row r="18519">
      <c r="K18519" s="124"/>
      <c r="L18519" s="124"/>
      <c r="M18519" s="124"/>
      <c r="N18519" s="124"/>
      <c r="O18519" s="124"/>
    </row>
    <row r="18520">
      <c r="K18520" s="124"/>
      <c r="L18520" s="124"/>
      <c r="M18520" s="124"/>
      <c r="N18520" s="124"/>
      <c r="O18520" s="124"/>
    </row>
    <row r="18521">
      <c r="K18521" s="124"/>
      <c r="L18521" s="124"/>
      <c r="M18521" s="124"/>
      <c r="N18521" s="124"/>
      <c r="O18521" s="124"/>
    </row>
    <row r="18522">
      <c r="K18522" s="124"/>
      <c r="L18522" s="124"/>
      <c r="M18522" s="124"/>
      <c r="N18522" s="124"/>
      <c r="O18522" s="124"/>
    </row>
    <row r="18523">
      <c r="K18523" s="124"/>
      <c r="L18523" s="124"/>
      <c r="M18523" s="124"/>
      <c r="N18523" s="124"/>
      <c r="O18523" s="124"/>
    </row>
    <row r="18524">
      <c r="K18524" s="124"/>
      <c r="L18524" s="124"/>
      <c r="M18524" s="124"/>
      <c r="N18524" s="124"/>
      <c r="O18524" s="124"/>
    </row>
    <row r="18525">
      <c r="K18525" s="124"/>
      <c r="L18525" s="124"/>
      <c r="M18525" s="124"/>
      <c r="N18525" s="124"/>
      <c r="O18525" s="124"/>
    </row>
    <row r="18526">
      <c r="K18526" s="124"/>
      <c r="L18526" s="124"/>
      <c r="M18526" s="124"/>
      <c r="N18526" s="124"/>
      <c r="O18526" s="124"/>
    </row>
    <row r="18527">
      <c r="K18527" s="124"/>
      <c r="L18527" s="124"/>
      <c r="M18527" s="124"/>
      <c r="N18527" s="124"/>
      <c r="O18527" s="124"/>
    </row>
    <row r="18528">
      <c r="K18528" s="124"/>
      <c r="L18528" s="124"/>
      <c r="M18528" s="124"/>
      <c r="N18528" s="124"/>
      <c r="O18528" s="124"/>
    </row>
    <row r="18529">
      <c r="K18529" s="124"/>
      <c r="L18529" s="124"/>
      <c r="M18529" s="124"/>
      <c r="N18529" s="124"/>
      <c r="O18529" s="124"/>
    </row>
    <row r="18530">
      <c r="K18530" s="124"/>
      <c r="L18530" s="124"/>
      <c r="M18530" s="124"/>
      <c r="N18530" s="124"/>
      <c r="O18530" s="124"/>
    </row>
    <row r="18531">
      <c r="K18531" s="124"/>
      <c r="L18531" s="124"/>
      <c r="M18531" s="124"/>
      <c r="N18531" s="124"/>
      <c r="O18531" s="124"/>
    </row>
    <row r="18532">
      <c r="K18532" s="124"/>
      <c r="L18532" s="124"/>
      <c r="M18532" s="124"/>
      <c r="N18532" s="124"/>
      <c r="O18532" s="124"/>
    </row>
    <row r="18533">
      <c r="K18533" s="124"/>
      <c r="L18533" s="124"/>
      <c r="M18533" s="124"/>
      <c r="N18533" s="124"/>
      <c r="O18533" s="124"/>
    </row>
    <row r="18534">
      <c r="K18534" s="124"/>
      <c r="L18534" s="124"/>
      <c r="M18534" s="124"/>
      <c r="N18534" s="124"/>
      <c r="O18534" s="124"/>
    </row>
    <row r="18535">
      <c r="K18535" s="124"/>
      <c r="L18535" s="124"/>
      <c r="M18535" s="124"/>
      <c r="N18535" s="124"/>
      <c r="O18535" s="124"/>
    </row>
    <row r="18536">
      <c r="K18536" s="124"/>
      <c r="L18536" s="124"/>
      <c r="M18536" s="124"/>
      <c r="N18536" s="124"/>
      <c r="O18536" s="124"/>
    </row>
    <row r="18537">
      <c r="K18537" s="124"/>
      <c r="L18537" s="124"/>
      <c r="M18537" s="124"/>
      <c r="N18537" s="124"/>
      <c r="O18537" s="124"/>
    </row>
    <row r="18538">
      <c r="K18538" s="124"/>
      <c r="L18538" s="124"/>
      <c r="M18538" s="124"/>
      <c r="N18538" s="124"/>
      <c r="O18538" s="124"/>
    </row>
    <row r="18539">
      <c r="K18539" s="124"/>
      <c r="L18539" s="124"/>
      <c r="M18539" s="124"/>
      <c r="N18539" s="124"/>
      <c r="O18539" s="124"/>
    </row>
    <row r="18540">
      <c r="K18540" s="124"/>
      <c r="L18540" s="124"/>
      <c r="M18540" s="124"/>
      <c r="N18540" s="124"/>
      <c r="O18540" s="124"/>
    </row>
    <row r="18541">
      <c r="K18541" s="124"/>
      <c r="L18541" s="124"/>
      <c r="M18541" s="124"/>
      <c r="N18541" s="124"/>
      <c r="O18541" s="124"/>
    </row>
    <row r="18542">
      <c r="K18542" s="124"/>
      <c r="L18542" s="124"/>
      <c r="M18542" s="124"/>
      <c r="N18542" s="124"/>
      <c r="O18542" s="124"/>
    </row>
    <row r="18543">
      <c r="K18543" s="124"/>
      <c r="L18543" s="124"/>
      <c r="M18543" s="124"/>
      <c r="N18543" s="124"/>
      <c r="O18543" s="124"/>
    </row>
    <row r="18544">
      <c r="K18544" s="124"/>
      <c r="L18544" s="124"/>
      <c r="M18544" s="124"/>
      <c r="N18544" s="124"/>
      <c r="O18544" s="124"/>
    </row>
    <row r="18545">
      <c r="K18545" s="124"/>
      <c r="L18545" s="124"/>
      <c r="M18545" s="124"/>
      <c r="N18545" s="124"/>
      <c r="O18545" s="124"/>
    </row>
    <row r="18546">
      <c r="K18546" s="124"/>
      <c r="L18546" s="124"/>
      <c r="M18546" s="124"/>
      <c r="N18546" s="124"/>
      <c r="O18546" s="124"/>
    </row>
    <row r="18547">
      <c r="K18547" s="124"/>
      <c r="L18547" s="124"/>
      <c r="M18547" s="124"/>
      <c r="N18547" s="124"/>
      <c r="O18547" s="124"/>
    </row>
    <row r="18548">
      <c r="K18548" s="124"/>
      <c r="L18548" s="124"/>
      <c r="M18548" s="124"/>
      <c r="N18548" s="124"/>
      <c r="O18548" s="124"/>
    </row>
    <row r="18549">
      <c r="K18549" s="124"/>
      <c r="L18549" s="124"/>
      <c r="M18549" s="124"/>
      <c r="N18549" s="124"/>
      <c r="O18549" s="124"/>
    </row>
    <row r="18550">
      <c r="K18550" s="124"/>
      <c r="L18550" s="124"/>
      <c r="M18550" s="124"/>
      <c r="N18550" s="124"/>
      <c r="O18550" s="124"/>
    </row>
    <row r="18551">
      <c r="K18551" s="124"/>
      <c r="L18551" s="124"/>
      <c r="M18551" s="124"/>
      <c r="N18551" s="124"/>
      <c r="O18551" s="124"/>
    </row>
    <row r="18552">
      <c r="K18552" s="124"/>
      <c r="L18552" s="124"/>
      <c r="M18552" s="124"/>
      <c r="N18552" s="124"/>
      <c r="O18552" s="124"/>
    </row>
    <row r="18553">
      <c r="K18553" s="124"/>
      <c r="L18553" s="124"/>
      <c r="M18553" s="124"/>
      <c r="N18553" s="124"/>
      <c r="O18553" s="124"/>
    </row>
    <row r="18554">
      <c r="K18554" s="124"/>
      <c r="L18554" s="124"/>
      <c r="M18554" s="124"/>
      <c r="N18554" s="124"/>
      <c r="O18554" s="124"/>
    </row>
    <row r="18555">
      <c r="K18555" s="124"/>
      <c r="L18555" s="124"/>
      <c r="M18555" s="124"/>
      <c r="N18555" s="124"/>
      <c r="O18555" s="124"/>
    </row>
    <row r="18556">
      <c r="K18556" s="124"/>
      <c r="L18556" s="124"/>
      <c r="M18556" s="124"/>
      <c r="N18556" s="124"/>
      <c r="O18556" s="124"/>
    </row>
    <row r="18557">
      <c r="K18557" s="124"/>
      <c r="L18557" s="124"/>
      <c r="M18557" s="124"/>
      <c r="N18557" s="124"/>
      <c r="O18557" s="124"/>
    </row>
    <row r="18558">
      <c r="K18558" s="124"/>
      <c r="L18558" s="124"/>
      <c r="M18558" s="124"/>
      <c r="N18558" s="124"/>
      <c r="O18558" s="124"/>
    </row>
    <row r="18559">
      <c r="K18559" s="124"/>
      <c r="L18559" s="124"/>
      <c r="M18559" s="124"/>
      <c r="N18559" s="124"/>
      <c r="O18559" s="124"/>
    </row>
    <row r="18560">
      <c r="K18560" s="124"/>
      <c r="L18560" s="124"/>
      <c r="M18560" s="124"/>
      <c r="N18560" s="124"/>
      <c r="O18560" s="124"/>
    </row>
    <row r="18561">
      <c r="K18561" s="124"/>
      <c r="L18561" s="124"/>
      <c r="M18561" s="124"/>
      <c r="N18561" s="124"/>
      <c r="O18561" s="124"/>
    </row>
    <row r="18562">
      <c r="K18562" s="124"/>
      <c r="L18562" s="124"/>
      <c r="M18562" s="124"/>
      <c r="N18562" s="124"/>
      <c r="O18562" s="124"/>
    </row>
    <row r="18563">
      <c r="K18563" s="124"/>
      <c r="L18563" s="124"/>
      <c r="M18563" s="124"/>
      <c r="N18563" s="124"/>
      <c r="O18563" s="124"/>
    </row>
    <row r="18564">
      <c r="K18564" s="124"/>
      <c r="L18564" s="124"/>
      <c r="M18564" s="124"/>
      <c r="N18564" s="124"/>
      <c r="O18564" s="124"/>
    </row>
    <row r="18565">
      <c r="K18565" s="124"/>
      <c r="L18565" s="124"/>
      <c r="M18565" s="124"/>
      <c r="N18565" s="124"/>
      <c r="O18565" s="124"/>
    </row>
    <row r="18566">
      <c r="K18566" s="124"/>
      <c r="L18566" s="124"/>
      <c r="M18566" s="124"/>
      <c r="N18566" s="124"/>
      <c r="O18566" s="124"/>
    </row>
    <row r="18567">
      <c r="K18567" s="124"/>
      <c r="L18567" s="124"/>
      <c r="M18567" s="124"/>
      <c r="N18567" s="124"/>
      <c r="O18567" s="124"/>
    </row>
    <row r="18568">
      <c r="K18568" s="124"/>
      <c r="L18568" s="124"/>
      <c r="M18568" s="124"/>
      <c r="N18568" s="124"/>
      <c r="O18568" s="124"/>
    </row>
    <row r="18569">
      <c r="K18569" s="124"/>
      <c r="L18569" s="124"/>
      <c r="M18569" s="124"/>
      <c r="N18569" s="124"/>
      <c r="O18569" s="124"/>
    </row>
    <row r="18570">
      <c r="K18570" s="124"/>
      <c r="L18570" s="124"/>
      <c r="M18570" s="124"/>
      <c r="N18570" s="124"/>
      <c r="O18570" s="124"/>
    </row>
    <row r="18571">
      <c r="K18571" s="124"/>
      <c r="L18571" s="124"/>
      <c r="M18571" s="124"/>
      <c r="N18571" s="124"/>
      <c r="O18571" s="124"/>
    </row>
    <row r="18572">
      <c r="K18572" s="124"/>
      <c r="L18572" s="124"/>
      <c r="M18572" s="124"/>
      <c r="N18572" s="124"/>
      <c r="O18572" s="124"/>
    </row>
    <row r="18573">
      <c r="K18573" s="124"/>
      <c r="L18573" s="124"/>
      <c r="M18573" s="124"/>
      <c r="N18573" s="124"/>
      <c r="O18573" s="124"/>
    </row>
    <row r="18574">
      <c r="K18574" s="124"/>
      <c r="L18574" s="124"/>
      <c r="M18574" s="124"/>
      <c r="N18574" s="124"/>
      <c r="O18574" s="124"/>
    </row>
    <row r="18575">
      <c r="K18575" s="124"/>
      <c r="L18575" s="124"/>
      <c r="M18575" s="124"/>
      <c r="N18575" s="124"/>
      <c r="O18575" s="124"/>
    </row>
    <row r="18576">
      <c r="K18576" s="124"/>
      <c r="L18576" s="124"/>
      <c r="M18576" s="124"/>
      <c r="N18576" s="124"/>
      <c r="O18576" s="124"/>
    </row>
    <row r="18577">
      <c r="K18577" s="124"/>
      <c r="L18577" s="124"/>
      <c r="M18577" s="124"/>
      <c r="N18577" s="124"/>
      <c r="O18577" s="124"/>
    </row>
    <row r="18578">
      <c r="K18578" s="124"/>
      <c r="L18578" s="124"/>
      <c r="M18578" s="124"/>
      <c r="N18578" s="124"/>
      <c r="O18578" s="124"/>
    </row>
    <row r="18579">
      <c r="K18579" s="124"/>
      <c r="L18579" s="124"/>
      <c r="M18579" s="124"/>
      <c r="N18579" s="124"/>
      <c r="O18579" s="124"/>
    </row>
    <row r="18580">
      <c r="K18580" s="124"/>
      <c r="L18580" s="124"/>
      <c r="M18580" s="124"/>
      <c r="N18580" s="124"/>
      <c r="O18580" s="124"/>
    </row>
    <row r="18581">
      <c r="K18581" s="124"/>
      <c r="L18581" s="124"/>
      <c r="M18581" s="124"/>
      <c r="N18581" s="124"/>
      <c r="O18581" s="124"/>
    </row>
    <row r="18582">
      <c r="K18582" s="124"/>
      <c r="L18582" s="124"/>
      <c r="M18582" s="124"/>
      <c r="N18582" s="124"/>
      <c r="O18582" s="124"/>
    </row>
    <row r="18583">
      <c r="K18583" s="124"/>
      <c r="L18583" s="124"/>
      <c r="M18583" s="124"/>
      <c r="N18583" s="124"/>
      <c r="O18583" s="124"/>
    </row>
    <row r="18584">
      <c r="K18584" s="124"/>
      <c r="L18584" s="124"/>
      <c r="M18584" s="124"/>
      <c r="N18584" s="124"/>
      <c r="O18584" s="124"/>
    </row>
    <row r="18585">
      <c r="K18585" s="124"/>
      <c r="L18585" s="124"/>
      <c r="M18585" s="124"/>
      <c r="N18585" s="124"/>
      <c r="O18585" s="124"/>
    </row>
    <row r="18586">
      <c r="K18586" s="124"/>
      <c r="L18586" s="124"/>
      <c r="M18586" s="124"/>
      <c r="N18586" s="124"/>
      <c r="O18586" s="124"/>
    </row>
    <row r="18587">
      <c r="K18587" s="124"/>
      <c r="L18587" s="124"/>
      <c r="M18587" s="124"/>
      <c r="N18587" s="124"/>
      <c r="O18587" s="124"/>
    </row>
    <row r="18588">
      <c r="K18588" s="124"/>
      <c r="L18588" s="124"/>
      <c r="M18588" s="124"/>
      <c r="N18588" s="124"/>
      <c r="O18588" s="124"/>
    </row>
    <row r="18589">
      <c r="K18589" s="124"/>
      <c r="L18589" s="124"/>
      <c r="M18589" s="124"/>
      <c r="N18589" s="124"/>
      <c r="O18589" s="124"/>
    </row>
    <row r="18590">
      <c r="K18590" s="124"/>
      <c r="L18590" s="124"/>
      <c r="M18590" s="124"/>
      <c r="N18590" s="124"/>
      <c r="O18590" s="124"/>
    </row>
    <row r="18591">
      <c r="K18591" s="124"/>
      <c r="L18591" s="124"/>
      <c r="M18591" s="124"/>
      <c r="N18591" s="124"/>
      <c r="O18591" s="124"/>
    </row>
    <row r="18592">
      <c r="K18592" s="124"/>
      <c r="L18592" s="124"/>
      <c r="M18592" s="124"/>
      <c r="N18592" s="124"/>
      <c r="O18592" s="124"/>
    </row>
    <row r="18593">
      <c r="K18593" s="124"/>
      <c r="L18593" s="124"/>
      <c r="M18593" s="124"/>
      <c r="N18593" s="124"/>
      <c r="O18593" s="124"/>
    </row>
    <row r="18594">
      <c r="K18594" s="124"/>
      <c r="L18594" s="124"/>
      <c r="M18594" s="124"/>
      <c r="N18594" s="124"/>
      <c r="O18594" s="124"/>
    </row>
    <row r="18595">
      <c r="K18595" s="124"/>
      <c r="L18595" s="124"/>
      <c r="M18595" s="124"/>
      <c r="N18595" s="124"/>
      <c r="O18595" s="124"/>
    </row>
    <row r="18596">
      <c r="K18596" s="124"/>
      <c r="L18596" s="124"/>
      <c r="M18596" s="124"/>
      <c r="N18596" s="124"/>
      <c r="O18596" s="124"/>
    </row>
    <row r="18597">
      <c r="K18597" s="124"/>
      <c r="L18597" s="124"/>
      <c r="M18597" s="124"/>
      <c r="N18597" s="124"/>
      <c r="O18597" s="124"/>
    </row>
    <row r="18598">
      <c r="K18598" s="124"/>
      <c r="L18598" s="124"/>
      <c r="M18598" s="124"/>
      <c r="N18598" s="124"/>
      <c r="O18598" s="124"/>
    </row>
    <row r="18599">
      <c r="K18599" s="124"/>
      <c r="L18599" s="124"/>
      <c r="M18599" s="124"/>
      <c r="N18599" s="124"/>
      <c r="O18599" s="124"/>
    </row>
    <row r="18600">
      <c r="K18600" s="124"/>
      <c r="L18600" s="124"/>
      <c r="M18600" s="124"/>
      <c r="N18600" s="124"/>
      <c r="O18600" s="124"/>
    </row>
    <row r="18601">
      <c r="K18601" s="124"/>
      <c r="L18601" s="124"/>
      <c r="M18601" s="124"/>
      <c r="N18601" s="124"/>
      <c r="O18601" s="124"/>
    </row>
    <row r="18602">
      <c r="K18602" s="124"/>
      <c r="L18602" s="124"/>
      <c r="M18602" s="124"/>
      <c r="N18602" s="124"/>
      <c r="O18602" s="124"/>
    </row>
    <row r="18603">
      <c r="K18603" s="124"/>
      <c r="L18603" s="124"/>
      <c r="M18603" s="124"/>
      <c r="N18603" s="124"/>
      <c r="O18603" s="124"/>
    </row>
    <row r="18604">
      <c r="K18604" s="124"/>
      <c r="L18604" s="124"/>
      <c r="M18604" s="124"/>
      <c r="N18604" s="124"/>
      <c r="O18604" s="124"/>
    </row>
    <row r="18605">
      <c r="K18605" s="124"/>
      <c r="L18605" s="124"/>
      <c r="M18605" s="124"/>
      <c r="N18605" s="124"/>
      <c r="O18605" s="124"/>
    </row>
    <row r="18606">
      <c r="K18606" s="124"/>
      <c r="L18606" s="124"/>
      <c r="M18606" s="124"/>
      <c r="N18606" s="124"/>
      <c r="O18606" s="124"/>
    </row>
    <row r="18607">
      <c r="K18607" s="124"/>
      <c r="L18607" s="124"/>
      <c r="M18607" s="124"/>
      <c r="N18607" s="124"/>
      <c r="O18607" s="124"/>
    </row>
    <row r="18608">
      <c r="K18608" s="124"/>
      <c r="L18608" s="124"/>
      <c r="M18608" s="124"/>
      <c r="N18608" s="124"/>
      <c r="O18608" s="124"/>
    </row>
    <row r="18609">
      <c r="K18609" s="124"/>
      <c r="L18609" s="124"/>
      <c r="M18609" s="124"/>
      <c r="N18609" s="124"/>
      <c r="O18609" s="124"/>
    </row>
    <row r="18610">
      <c r="K18610" s="124"/>
      <c r="L18610" s="124"/>
      <c r="M18610" s="124"/>
      <c r="N18610" s="124"/>
      <c r="O18610" s="124"/>
    </row>
    <row r="18611">
      <c r="K18611" s="124"/>
      <c r="L18611" s="124"/>
      <c r="M18611" s="124"/>
      <c r="N18611" s="124"/>
      <c r="O18611" s="124"/>
    </row>
    <row r="18612">
      <c r="K18612" s="124"/>
      <c r="L18612" s="124"/>
      <c r="M18612" s="124"/>
      <c r="N18612" s="124"/>
      <c r="O18612" s="124"/>
    </row>
    <row r="18613">
      <c r="K18613" s="124"/>
      <c r="L18613" s="124"/>
      <c r="M18613" s="124"/>
      <c r="N18613" s="124"/>
      <c r="O18613" s="124"/>
    </row>
    <row r="18614">
      <c r="K18614" s="124"/>
      <c r="L18614" s="124"/>
      <c r="M18614" s="124"/>
      <c r="N18614" s="124"/>
      <c r="O18614" s="124"/>
    </row>
    <row r="18615">
      <c r="K18615" s="124"/>
      <c r="L18615" s="124"/>
      <c r="M18615" s="124"/>
      <c r="N18615" s="124"/>
      <c r="O18615" s="124"/>
    </row>
    <row r="18616">
      <c r="K18616" s="124"/>
      <c r="L18616" s="124"/>
      <c r="M18616" s="124"/>
      <c r="N18616" s="124"/>
      <c r="O18616" s="124"/>
    </row>
    <row r="18617">
      <c r="K18617" s="124"/>
      <c r="L18617" s="124"/>
      <c r="M18617" s="124"/>
      <c r="N18617" s="124"/>
      <c r="O18617" s="124"/>
    </row>
    <row r="18618">
      <c r="K18618" s="124"/>
      <c r="L18618" s="124"/>
      <c r="M18618" s="124"/>
      <c r="N18618" s="124"/>
      <c r="O18618" s="124"/>
    </row>
    <row r="18619">
      <c r="K18619" s="124"/>
      <c r="L18619" s="124"/>
      <c r="M18619" s="124"/>
      <c r="N18619" s="124"/>
      <c r="O18619" s="124"/>
    </row>
    <row r="18620">
      <c r="K18620" s="124"/>
      <c r="L18620" s="124"/>
      <c r="M18620" s="124"/>
      <c r="N18620" s="124"/>
      <c r="O18620" s="124"/>
    </row>
    <row r="18621">
      <c r="K18621" s="124"/>
      <c r="L18621" s="124"/>
      <c r="M18621" s="124"/>
      <c r="N18621" s="124"/>
      <c r="O18621" s="124"/>
    </row>
    <row r="18622">
      <c r="K18622" s="124"/>
      <c r="L18622" s="124"/>
      <c r="M18622" s="124"/>
      <c r="N18622" s="124"/>
      <c r="O18622" s="124"/>
    </row>
    <row r="18623">
      <c r="K18623" s="124"/>
      <c r="L18623" s="124"/>
      <c r="M18623" s="124"/>
      <c r="N18623" s="124"/>
      <c r="O18623" s="124"/>
    </row>
    <row r="18624">
      <c r="K18624" s="124"/>
      <c r="L18624" s="124"/>
      <c r="M18624" s="124"/>
      <c r="N18624" s="124"/>
      <c r="O18624" s="124"/>
    </row>
    <row r="18625">
      <c r="K18625" s="124"/>
      <c r="L18625" s="124"/>
      <c r="M18625" s="124"/>
      <c r="N18625" s="124"/>
      <c r="O18625" s="124"/>
    </row>
    <row r="18626">
      <c r="K18626" s="124"/>
      <c r="L18626" s="124"/>
      <c r="M18626" s="124"/>
      <c r="N18626" s="124"/>
      <c r="O18626" s="124"/>
    </row>
    <row r="18627">
      <c r="K18627" s="124"/>
      <c r="L18627" s="124"/>
      <c r="M18627" s="124"/>
      <c r="N18627" s="124"/>
      <c r="O18627" s="124"/>
    </row>
    <row r="18628">
      <c r="K18628" s="124"/>
      <c r="L18628" s="124"/>
      <c r="M18628" s="124"/>
      <c r="N18628" s="124"/>
      <c r="O18628" s="124"/>
    </row>
    <row r="18629">
      <c r="K18629" s="124"/>
      <c r="L18629" s="124"/>
      <c r="M18629" s="124"/>
      <c r="N18629" s="124"/>
      <c r="O18629" s="124"/>
    </row>
    <row r="18630">
      <c r="K18630" s="124"/>
      <c r="L18630" s="124"/>
      <c r="M18630" s="124"/>
      <c r="N18630" s="124"/>
      <c r="O18630" s="124"/>
    </row>
    <row r="18631">
      <c r="K18631" s="124"/>
      <c r="L18631" s="124"/>
      <c r="M18631" s="124"/>
      <c r="N18631" s="124"/>
      <c r="O18631" s="124"/>
    </row>
    <row r="18632">
      <c r="K18632" s="124"/>
      <c r="L18632" s="124"/>
      <c r="M18632" s="124"/>
      <c r="N18632" s="124"/>
      <c r="O18632" s="124"/>
    </row>
    <row r="18633">
      <c r="K18633" s="124"/>
      <c r="L18633" s="124"/>
      <c r="M18633" s="124"/>
      <c r="N18633" s="124"/>
      <c r="O18633" s="124"/>
    </row>
    <row r="18634">
      <c r="K18634" s="124"/>
      <c r="L18634" s="124"/>
      <c r="M18634" s="124"/>
      <c r="N18634" s="124"/>
      <c r="O18634" s="124"/>
    </row>
    <row r="18635">
      <c r="K18635" s="124"/>
      <c r="L18635" s="124"/>
      <c r="M18635" s="124"/>
      <c r="N18635" s="124"/>
      <c r="O18635" s="124"/>
    </row>
    <row r="18636">
      <c r="K18636" s="124"/>
      <c r="L18636" s="124"/>
      <c r="M18636" s="124"/>
      <c r="N18636" s="124"/>
      <c r="O18636" s="124"/>
    </row>
    <row r="18637">
      <c r="K18637" s="124"/>
      <c r="L18637" s="124"/>
      <c r="M18637" s="124"/>
      <c r="N18637" s="124"/>
      <c r="O18637" s="124"/>
    </row>
    <row r="18638">
      <c r="K18638" s="124"/>
      <c r="L18638" s="124"/>
      <c r="M18638" s="124"/>
      <c r="N18638" s="124"/>
      <c r="O18638" s="124"/>
    </row>
    <row r="18639">
      <c r="K18639" s="124"/>
      <c r="L18639" s="124"/>
      <c r="M18639" s="124"/>
      <c r="N18639" s="124"/>
      <c r="O18639" s="124"/>
    </row>
    <row r="18640">
      <c r="K18640" s="124"/>
      <c r="L18640" s="124"/>
      <c r="M18640" s="124"/>
      <c r="N18640" s="124"/>
      <c r="O18640" s="124"/>
    </row>
    <row r="18641">
      <c r="K18641" s="124"/>
      <c r="L18641" s="124"/>
      <c r="M18641" s="124"/>
      <c r="N18641" s="124"/>
      <c r="O18641" s="124"/>
    </row>
    <row r="18642">
      <c r="K18642" s="124"/>
      <c r="L18642" s="124"/>
      <c r="M18642" s="124"/>
      <c r="N18642" s="124"/>
      <c r="O18642" s="124"/>
    </row>
    <row r="18643">
      <c r="K18643" s="124"/>
      <c r="L18643" s="124"/>
      <c r="M18643" s="124"/>
      <c r="N18643" s="124"/>
      <c r="O18643" s="124"/>
    </row>
    <row r="18644">
      <c r="K18644" s="124"/>
      <c r="L18644" s="124"/>
      <c r="M18644" s="124"/>
      <c r="N18644" s="124"/>
      <c r="O18644" s="124"/>
    </row>
    <row r="18645">
      <c r="K18645" s="124"/>
      <c r="L18645" s="124"/>
      <c r="M18645" s="124"/>
      <c r="N18645" s="124"/>
      <c r="O18645" s="124"/>
    </row>
    <row r="18646">
      <c r="K18646" s="124"/>
      <c r="L18646" s="124"/>
      <c r="M18646" s="124"/>
      <c r="N18646" s="124"/>
      <c r="O18646" s="124"/>
    </row>
    <row r="18647">
      <c r="K18647" s="124"/>
      <c r="L18647" s="124"/>
      <c r="M18647" s="124"/>
      <c r="N18647" s="124"/>
      <c r="O18647" s="124"/>
    </row>
    <row r="18648">
      <c r="K18648" s="124"/>
      <c r="L18648" s="124"/>
      <c r="M18648" s="124"/>
      <c r="N18648" s="124"/>
      <c r="O18648" s="124"/>
    </row>
    <row r="18649">
      <c r="K18649" s="124"/>
      <c r="L18649" s="124"/>
      <c r="M18649" s="124"/>
      <c r="N18649" s="124"/>
      <c r="O18649" s="124"/>
    </row>
    <row r="18650">
      <c r="K18650" s="124"/>
      <c r="L18650" s="124"/>
      <c r="M18650" s="124"/>
      <c r="N18650" s="124"/>
      <c r="O18650" s="124"/>
    </row>
    <row r="18651">
      <c r="K18651" s="124"/>
      <c r="L18651" s="124"/>
      <c r="M18651" s="124"/>
      <c r="N18651" s="124"/>
      <c r="O18651" s="124"/>
    </row>
    <row r="18652">
      <c r="K18652" s="124"/>
      <c r="L18652" s="124"/>
      <c r="M18652" s="124"/>
      <c r="N18652" s="124"/>
      <c r="O18652" s="124"/>
    </row>
    <row r="18653">
      <c r="K18653" s="124"/>
      <c r="L18653" s="124"/>
      <c r="M18653" s="124"/>
      <c r="N18653" s="124"/>
      <c r="O18653" s="124"/>
    </row>
    <row r="18654">
      <c r="K18654" s="124"/>
      <c r="L18654" s="124"/>
      <c r="M18654" s="124"/>
      <c r="N18654" s="124"/>
      <c r="O18654" s="124"/>
    </row>
    <row r="18655">
      <c r="K18655" s="124"/>
      <c r="L18655" s="124"/>
      <c r="M18655" s="124"/>
      <c r="N18655" s="124"/>
      <c r="O18655" s="124"/>
    </row>
    <row r="18656">
      <c r="K18656" s="124"/>
      <c r="L18656" s="124"/>
      <c r="M18656" s="124"/>
      <c r="N18656" s="124"/>
      <c r="O18656" s="124"/>
    </row>
    <row r="18657">
      <c r="K18657" s="124"/>
      <c r="L18657" s="124"/>
      <c r="M18657" s="124"/>
      <c r="N18657" s="124"/>
      <c r="O18657" s="12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8.75"/>
  </cols>
  <sheetData>
    <row r="1">
      <c r="A1" s="130"/>
      <c r="B1" s="130" t="str">
        <f>IFERROR(__xludf.DUMMYFUNCTION("importrange(""https://docs.google.com/spreadsheets/d/1IT7V0YJQRraVMIDqldtcUIAZ6gGqa_K0UAog-TJzekc/edit?usp=sharing"",""Sheet1!A:V"")"),"current_paid_date")</f>
        <v>current_paid_date</v>
      </c>
      <c r="C1" s="124" t="str">
        <f>IFERROR(__xludf.DUMMYFUNCTION("""COMPUTED_VALUE"""),"subject")</f>
        <v>subject</v>
      </c>
      <c r="D1" s="124" t="str">
        <f>IFERROR(__xludf.DUMMYFUNCTION("""COMPUTED_VALUE"""),"description")</f>
        <v>description</v>
      </c>
      <c r="E1" s="124" t="str">
        <f>IFERROR(__xludf.DUMMYFUNCTION("""COMPUTED_VALUE"""),"center_code")</f>
        <v>center_code</v>
      </c>
      <c r="F1" s="124" t="str">
        <f>IFERROR(__xludf.DUMMYFUNCTION("""COMPUTED_VALUE"""),"collexo_order_id")</f>
        <v>collexo_order_id</v>
      </c>
      <c r="G1" s="124" t="str">
        <f>IFERROR(__xludf.DUMMYFUNCTION("""COMPUTED_VALUE"""),"current_paid_amount")</f>
        <v>current_paid_amount</v>
      </c>
      <c r="H1" s="124" t="str">
        <f>IFERROR(__xludf.DUMMYFUNCTION("""COMPUTED_VALUE"""),"next_installment_date")</f>
        <v>next_installment_date</v>
      </c>
      <c r="I1" s="124" t="str">
        <f>IFERROR(__xludf.DUMMYFUNCTION("""COMPUTED_VALUE"""),"next_installment_amount")</f>
        <v>next_installment_amount</v>
      </c>
      <c r="J1" s="124" t="str">
        <f>IFERROR(__xludf.DUMMYFUNCTION("""COMPUTED_VALUE"""),"total_amount")</f>
        <v>total_amount</v>
      </c>
      <c r="K1" s="124" t="str">
        <f>IFERROR(__xludf.DUMMYFUNCTION("""COMPUTED_VALUE"""),"total_installment")</f>
        <v>total_installment</v>
      </c>
      <c r="L1" s="124" t="str">
        <f>IFERROR(__xludf.DUMMYFUNCTION("""COMPUTED_VALUE"""),"id")</f>
        <v>id</v>
      </c>
      <c r="M1" s="124" t="str">
        <f>IFERROR(__xludf.DUMMYFUNCTION("""COMPUTED_VALUE"""),"title")</f>
        <v>title</v>
      </c>
      <c r="N1" s="124" t="str">
        <f>IFERROR(__xludf.DUMMYFUNCTION("""COMPUTED_VALUE"""),"email")</f>
        <v>email</v>
      </c>
      <c r="O1" s="124" t="str">
        <f>IFERROR(__xludf.DUMMYFUNCTION("""COMPUTED_VALUE"""),"name")</f>
        <v>name</v>
      </c>
      <c r="P1" s="124" t="str">
        <f>IFERROR(__xludf.DUMMYFUNCTION("""COMPUTED_VALUE"""),"user_id")</f>
        <v>user_id</v>
      </c>
      <c r="Q1" s="124" t="str">
        <f>IFERROR(__xludf.DUMMYFUNCTION("""COMPUTED_VALUE"""),"course slug")</f>
        <v>course slug</v>
      </c>
      <c r="R1" s="124" t="str">
        <f>IFERROR(__xludf.DUMMYFUNCTION("""COMPUTED_VALUE"""),"course_name")</f>
        <v>course_name</v>
      </c>
      <c r="S1" s="124" t="str">
        <f>IFERROR(__xludf.DUMMYFUNCTION("""COMPUTED_VALUE"""),"mobile")</f>
        <v>mobile</v>
      </c>
      <c r="T1" s="124" t="str">
        <f>IFERROR(__xludf.DUMMYFUNCTION("""COMPUTED_VALUE"""),"payment_mode")</f>
        <v>payment_mode</v>
      </c>
      <c r="U1" s="124" t="str">
        <f>IFERROR(__xludf.DUMMYFUNCTION("""COMPUTED_VALUE"""),"payment_status")</f>
        <v>payment_status</v>
      </c>
      <c r="V1" s="124" t="str">
        <f>IFERROR(__xludf.DUMMYFUNCTION("""COMPUTED_VALUE"""),"purchase_date")</f>
        <v>purchase_date</v>
      </c>
      <c r="W1" s="124" t="str">
        <f>IFERROR(__xludf.DUMMYFUNCTION("""COMPUTED_VALUE"""),"amount")</f>
        <v>amount</v>
      </c>
    </row>
    <row r="2">
      <c r="A2" s="124" t="str">
        <f t="shared" ref="A2:A1000" si="1">N2</f>
        <v>aryanvats927@gmail.com</v>
      </c>
      <c r="B2" s="131">
        <f>IFERROR(__xludf.DUMMYFUNCTION("""COMPUTED_VALUE"""),46071.0)</f>
        <v>46071</v>
      </c>
      <c r="C2" s="124" t="str">
        <f>IFERROR(__xludf.DUMMYFUNCTION("""COMPUTED_VALUE"""),"Payment data from Collexo")</f>
        <v>Payment data from Collexo</v>
      </c>
      <c r="D2" s="124" t="str">
        <f>IFERROR(__xludf.DUMMYFUNCTION("""COMPUTED_VALUE"""),"Not Available")</f>
        <v>Not Available</v>
      </c>
      <c r="E2" s="124">
        <f>IFERROR(__xludf.DUMMYFUNCTION("""COMPUTED_VALUE"""),1500609.0)</f>
        <v>1500609</v>
      </c>
      <c r="F2" s="124" t="str">
        <f>IFERROR(__xludf.DUMMYFUNCTION("""COMPUTED_VALUE"""),"6339_988_7")</f>
        <v>6339_988_7</v>
      </c>
      <c r="G2" s="124">
        <f>IFERROR(__xludf.DUMMYFUNCTION("""COMPUTED_VALUE"""),5000.0)</f>
        <v>5000</v>
      </c>
      <c r="H2" s="131">
        <f>IFERROR(__xludf.DUMMYFUNCTION("""COMPUTED_VALUE"""),46081.0)</f>
        <v>46081</v>
      </c>
      <c r="I2" s="124">
        <f>IFERROR(__xludf.DUMMYFUNCTION("""COMPUTED_VALUE"""),125000.0)</f>
        <v>125000</v>
      </c>
      <c r="J2" s="124">
        <f>IFERROR(__xludf.DUMMYFUNCTION("""COMPUTED_VALUE"""),130000.0)</f>
        <v>130000</v>
      </c>
      <c r="K2" s="124">
        <f>IFERROR(__xludf.DUMMYFUNCTION("""COMPUTED_VALUE"""),2.0)</f>
        <v>2</v>
      </c>
      <c r="L2" s="124">
        <f>IFERROR(__xludf.DUMMYFUNCTION("""COMPUTED_VALUE"""),251.0)</f>
        <v>251</v>
      </c>
      <c r="M2" s="124" t="str">
        <f>IFERROR(__xludf.DUMMYFUNCTION("""COMPUTED_VALUE"""),"New Delhi")</f>
        <v>New Delhi</v>
      </c>
      <c r="N2" s="124" t="str">
        <f>IFERROR(__xludf.DUMMYFUNCTION("""COMPUTED_VALUE"""),"aryanvats927@gmail.com")</f>
        <v>aryanvats927@gmail.com</v>
      </c>
      <c r="O2" s="124" t="str">
        <f>IFERROR(__xludf.DUMMYFUNCTION("""COMPUTED_VALUE"""),"Aryan")</f>
        <v>Aryan</v>
      </c>
      <c r="P2" s="124">
        <f>IFERROR(__xludf.DUMMYFUNCTION("""COMPUTED_VALUE"""),96169.0)</f>
        <v>96169</v>
      </c>
      <c r="Q2" s="124" t="str">
        <f>IFERROR(__xludf.DUMMYFUNCTION("""COMPUTED_VALUE"""),"upsc-gs-foundation-hinglish-target-2027-gsf-upsc-e04-orn")</f>
        <v>upsc-gs-foundation-hinglish-target-2027-gsf-upsc-e04-orn</v>
      </c>
      <c r="R2" s="124" t="str">
        <f>IFERROR(__xludf.DUMMYFUNCTION("""COMPUTED_VALUE"""),"GS Foundation Course")</f>
        <v>GS Foundation Course</v>
      </c>
      <c r="S2" s="124">
        <f>IFERROR(__xludf.DUMMYFUNCTION("""COMPUTED_VALUE"""),9.871932461E9)</f>
        <v>9871932461</v>
      </c>
      <c r="T2" s="124" t="str">
        <f>IFERROR(__xludf.DUMMYFUNCTION("""COMPUTED_VALUE"""),"Collexo")</f>
        <v>Collexo</v>
      </c>
      <c r="U2" s="124" t="str">
        <f>IFERROR(__xludf.DUMMYFUNCTION("""COMPUTED_VALUE"""),"Success")</f>
        <v>Success</v>
      </c>
      <c r="V2" s="131">
        <f>IFERROR(__xludf.DUMMYFUNCTION("""COMPUTED_VALUE"""),46071.0)</f>
        <v>46071</v>
      </c>
      <c r="W2" s="124">
        <f>IFERROR(__xludf.DUMMYFUNCTION("""COMPUTED_VALUE"""),0.0)</f>
        <v>0</v>
      </c>
    </row>
    <row r="3">
      <c r="A3" s="124" t="str">
        <f t="shared" si="1"/>
        <v>prathvi2515@gmail.com</v>
      </c>
      <c r="B3" s="131">
        <f>IFERROR(__xludf.DUMMYFUNCTION("""COMPUTED_VALUE"""),46087.0)</f>
        <v>46087</v>
      </c>
      <c r="C3" s="124" t="str">
        <f>IFERROR(__xludf.DUMMYFUNCTION("""COMPUTED_VALUE"""),"Payment data from Collexo")</f>
        <v>Payment data from Collexo</v>
      </c>
      <c r="D3" s="124" t="str">
        <f>IFERROR(__xludf.DUMMYFUNCTION("""COMPUTED_VALUE"""),"Not Available")</f>
        <v>Not Available</v>
      </c>
      <c r="E3" s="124">
        <f>IFERROR(__xludf.DUMMYFUNCTION("""COMPUTED_VALUE"""),1500612.0)</f>
        <v>1500612</v>
      </c>
      <c r="F3" s="124">
        <f>IFERROR(__xludf.DUMMYFUNCTION("""COMPUTED_VALUE"""),126108.0)</f>
        <v>126108</v>
      </c>
      <c r="G3" s="124">
        <f>IFERROR(__xludf.DUMMYFUNCTION("""COMPUTED_VALUE"""),5000.0)</f>
        <v>5000</v>
      </c>
      <c r="H3" s="131">
        <f>IFERROR(__xludf.DUMMYFUNCTION("""COMPUTED_VALUE"""),46090.0)</f>
        <v>46090</v>
      </c>
      <c r="I3" s="124">
        <f>IFERROR(__xludf.DUMMYFUNCTION("""COMPUTED_VALUE"""),35000.0)</f>
        <v>35000</v>
      </c>
      <c r="J3" s="124">
        <f>IFERROR(__xludf.DUMMYFUNCTION("""COMPUTED_VALUE"""),40000.0)</f>
        <v>40000</v>
      </c>
      <c r="K3" s="124">
        <f>IFERROR(__xludf.DUMMYFUNCTION("""COMPUTED_VALUE"""),2.0)</f>
        <v>2</v>
      </c>
      <c r="L3" s="124">
        <f>IFERROR(__xludf.DUMMYFUNCTION("""COMPUTED_VALUE"""),415.0)</f>
        <v>415</v>
      </c>
      <c r="M3" s="124" t="str">
        <f>IFERROR(__xludf.DUMMYFUNCTION("""COMPUTED_VALUE"""),"Indore")</f>
        <v>Indore</v>
      </c>
      <c r="N3" s="124" t="str">
        <f>IFERROR(__xludf.DUMMYFUNCTION("""COMPUTED_VALUE"""),"prathvi2515@gmail.com")</f>
        <v>prathvi2515@gmail.com</v>
      </c>
      <c r="O3" s="124" t="str">
        <f>IFERROR(__xludf.DUMMYFUNCTION("""COMPUTED_VALUE"""),"Prathvi Sharma")</f>
        <v>Prathvi Sharma</v>
      </c>
      <c r="P3" s="124">
        <f>IFERROR(__xludf.DUMMYFUNCTION("""COMPUTED_VALUE"""),126108.0)</f>
        <v>126108</v>
      </c>
      <c r="Q3" s="124" t="str">
        <f>IFERROR(__xludf.DUMMYFUNCTION("""COMPUTED_VALUE"""),"upsc-gs-foundation-hinglish-target-2027-gsf-upsc-m02-ind")</f>
        <v>upsc-gs-foundation-hinglish-target-2027-gsf-upsc-m02-ind</v>
      </c>
      <c r="R3" s="124" t="str">
        <f>IFERROR(__xludf.DUMMYFUNCTION("""COMPUTED_VALUE"""),"GS Foundation Course")</f>
        <v>GS Foundation Course</v>
      </c>
      <c r="S3" s="124">
        <f>IFERROR(__xludf.DUMMYFUNCTION("""COMPUTED_VALUE"""),9.302103026E9)</f>
        <v>9302103026</v>
      </c>
      <c r="T3" s="124" t="str">
        <f>IFERROR(__xludf.DUMMYFUNCTION("""COMPUTED_VALUE"""),"Not Available")</f>
        <v>Not Available</v>
      </c>
      <c r="U3" s="124" t="str">
        <f>IFERROR(__xludf.DUMMYFUNCTION("""COMPUTED_VALUE"""),"Not Available")</f>
        <v>Not Available</v>
      </c>
      <c r="V3" s="124" t="str">
        <f>IFERROR(__xludf.DUMMYFUNCTION("""COMPUTED_VALUE"""),"Not Available")</f>
        <v>Not Available</v>
      </c>
      <c r="W3" s="124" t="str">
        <f>IFERROR(__xludf.DUMMYFUNCTION("""COMPUTED_VALUE"""),"Not Available")</f>
        <v>Not Available</v>
      </c>
    </row>
    <row r="4">
      <c r="A4" s="124" t="str">
        <f t="shared" si="1"/>
        <v>alok27269@gmail.com</v>
      </c>
      <c r="B4" s="131">
        <f>IFERROR(__xludf.DUMMYFUNCTION("""COMPUTED_VALUE"""),46098.0)</f>
        <v>46098</v>
      </c>
      <c r="C4" s="124" t="str">
        <f>IFERROR(__xludf.DUMMYFUNCTION("""COMPUTED_VALUE"""),"Payment data from Collexo")</f>
        <v>Payment data from Collexo</v>
      </c>
      <c r="D4" s="124" t="str">
        <f>IFERROR(__xludf.DUMMYFUNCTION("""COMPUTED_VALUE"""),"Not Available")</f>
        <v>Not Available</v>
      </c>
      <c r="E4" s="124">
        <f>IFERROR(__xludf.DUMMYFUNCTION("""COMPUTED_VALUE"""),1500610.0)</f>
        <v>1500610</v>
      </c>
      <c r="F4" s="124">
        <f>IFERROR(__xludf.DUMMYFUNCTION("""COMPUTED_VALUE"""),127566.0)</f>
        <v>127566</v>
      </c>
      <c r="G4" s="124">
        <f>IFERROR(__xludf.DUMMYFUNCTION("""COMPUTED_VALUE"""),2000.0)</f>
        <v>2000</v>
      </c>
      <c r="H4" s="131">
        <f>IFERROR(__xludf.DUMMYFUNCTION("""COMPUTED_VALUE"""),46098.0)</f>
        <v>46098</v>
      </c>
      <c r="I4" s="124">
        <f>IFERROR(__xludf.DUMMYFUNCTION("""COMPUTED_VALUE"""),2000.0)</f>
        <v>2000</v>
      </c>
      <c r="J4" s="124">
        <f>IFERROR(__xludf.DUMMYFUNCTION("""COMPUTED_VALUE"""),55000.0)</f>
        <v>55000</v>
      </c>
      <c r="K4" s="124">
        <f>IFERROR(__xludf.DUMMYFUNCTION("""COMPUTED_VALUE"""),5.0)</f>
        <v>5</v>
      </c>
      <c r="L4" s="124">
        <f>IFERROR(__xludf.DUMMYFUNCTION("""COMPUTED_VALUE"""),583.0)</f>
        <v>583</v>
      </c>
      <c r="M4" s="124" t="str">
        <f>IFERROR(__xludf.DUMMYFUNCTION("""COMPUTED_VALUE"""),"Lucknow")</f>
        <v>Lucknow</v>
      </c>
      <c r="N4" s="124" t="str">
        <f>IFERROR(__xludf.DUMMYFUNCTION("""COMPUTED_VALUE"""),"alok27269@gmail.com")</f>
        <v>alok27269@gmail.com</v>
      </c>
      <c r="O4" s="124" t="str">
        <f>IFERROR(__xludf.DUMMYFUNCTION("""COMPUTED_VALUE"""),"Alok")</f>
        <v>Alok</v>
      </c>
      <c r="P4" s="124">
        <f>IFERROR(__xludf.DUMMYFUNCTION("""COMPUTED_VALUE"""),127566.0)</f>
        <v>127566</v>
      </c>
      <c r="Q4" s="124" t="str">
        <f>IFERROR(__xludf.DUMMYFUNCTION("""COMPUTED_VALUE"""),"Not Available")</f>
        <v>Not Available</v>
      </c>
      <c r="R4" s="124" t="str">
        <f>IFERROR(__xludf.DUMMYFUNCTION("""COMPUTED_VALUE"""),"GS Foundation Course")</f>
        <v>GS Foundation Course</v>
      </c>
      <c r="S4" s="124">
        <f>IFERROR(__xludf.DUMMYFUNCTION("""COMPUTED_VALUE"""),7.991564058E9)</f>
        <v>7991564058</v>
      </c>
      <c r="T4" s="124" t="str">
        <f>IFERROR(__xludf.DUMMYFUNCTION("""COMPUTED_VALUE"""),"Not Available")</f>
        <v>Not Available</v>
      </c>
      <c r="U4" s="124" t="str">
        <f>IFERROR(__xludf.DUMMYFUNCTION("""COMPUTED_VALUE"""),"Not Available")</f>
        <v>Not Available</v>
      </c>
      <c r="V4" s="124" t="str">
        <f>IFERROR(__xludf.DUMMYFUNCTION("""COMPUTED_VALUE"""),"Not Available")</f>
        <v>Not Available</v>
      </c>
      <c r="W4" s="124" t="str">
        <f>IFERROR(__xludf.DUMMYFUNCTION("""COMPUTED_VALUE"""),"Not Available")</f>
        <v>Not Available</v>
      </c>
    </row>
    <row r="5">
      <c r="A5" s="124" t="str">
        <f t="shared" si="1"/>
        <v>namishkarajput8d@gmail.com</v>
      </c>
      <c r="B5" s="131">
        <f>IFERROR(__xludf.DUMMYFUNCTION("""COMPUTED_VALUE"""),46106.0)</f>
        <v>46106</v>
      </c>
      <c r="C5" s="124" t="str">
        <f>IFERROR(__xludf.DUMMYFUNCTION("""COMPUTED_VALUE"""),"Payment data from Collexo")</f>
        <v>Payment data from Collexo</v>
      </c>
      <c r="D5" s="124" t="str">
        <f>IFERROR(__xludf.DUMMYFUNCTION("""COMPUTED_VALUE"""),"Not Available")</f>
        <v>Not Available</v>
      </c>
      <c r="E5" s="124">
        <f>IFERROR(__xludf.DUMMYFUNCTION("""COMPUTED_VALUE"""),1500609.0)</f>
        <v>1500609</v>
      </c>
      <c r="F5" s="124" t="str">
        <f>IFERROR(__xludf.DUMMYFUNCTION("""COMPUTED_VALUE"""),"16577_988_7")</f>
        <v>16577_988_7</v>
      </c>
      <c r="G5" s="124">
        <f>IFERROR(__xludf.DUMMYFUNCTION("""COMPUTED_VALUE"""),40000.0)</f>
        <v>40000</v>
      </c>
      <c r="H5" s="131">
        <f>IFERROR(__xludf.DUMMYFUNCTION("""COMPUTED_VALUE"""),46112.0)</f>
        <v>46112</v>
      </c>
      <c r="I5" s="124">
        <f>IFERROR(__xludf.DUMMYFUNCTION("""COMPUTED_VALUE"""),130000.0)</f>
        <v>130000</v>
      </c>
      <c r="J5" s="124">
        <f>IFERROR(__xludf.DUMMYFUNCTION("""COMPUTED_VALUE"""),175000.0)</f>
        <v>175000</v>
      </c>
      <c r="K5" s="124">
        <f>IFERROR(__xludf.DUMMYFUNCTION("""COMPUTED_VALUE"""),3.0)</f>
        <v>3</v>
      </c>
      <c r="L5" s="124">
        <f>IFERROR(__xludf.DUMMYFUNCTION("""COMPUTED_VALUE"""),753.0)</f>
        <v>753</v>
      </c>
      <c r="M5" s="124" t="str">
        <f>IFERROR(__xludf.DUMMYFUNCTION("""COMPUTED_VALUE"""),"New Delhi")</f>
        <v>New Delhi</v>
      </c>
      <c r="N5" s="124" t="str">
        <f>IFERROR(__xludf.DUMMYFUNCTION("""COMPUTED_VALUE"""),"namishkarajput8d@gmail.com")</f>
        <v>namishkarajput8d@gmail.com</v>
      </c>
      <c r="O5" s="124" t="str">
        <f>IFERROR(__xludf.DUMMYFUNCTION("""COMPUTED_VALUE"""),"Namishka")</f>
        <v>Namishka</v>
      </c>
      <c r="P5" s="124">
        <f>IFERROR(__xludf.DUMMYFUNCTION("""COMPUTED_VALUE"""),31782.0)</f>
        <v>31782</v>
      </c>
      <c r="Q5" s="124" t="str">
        <f>IFERROR(__xludf.DUMMYFUNCTION("""COMPUTED_VALUE"""),"upsc-gs-foundation-hinglish-target-2028-gsf-upsc-e05-orn")</f>
        <v>upsc-gs-foundation-hinglish-target-2028-gsf-upsc-e05-orn</v>
      </c>
      <c r="R5" s="124" t="str">
        <f>IFERROR(__xludf.DUMMYFUNCTION("""COMPUTED_VALUE"""),"GS Foundation Course")</f>
        <v>GS Foundation Course</v>
      </c>
      <c r="S5" s="124">
        <f>IFERROR(__xludf.DUMMYFUNCTION("""COMPUTED_VALUE"""),9.654206738E9)</f>
        <v>9654206738</v>
      </c>
      <c r="T5" s="124" t="str">
        <f>IFERROR(__xludf.DUMMYFUNCTION("""COMPUTED_VALUE"""),"Collexo")</f>
        <v>Collexo</v>
      </c>
      <c r="U5" s="124" t="str">
        <f>IFERROR(__xludf.DUMMYFUNCTION("""COMPUTED_VALUE"""),"Success")</f>
        <v>Success</v>
      </c>
      <c r="V5" s="131">
        <f>IFERROR(__xludf.DUMMYFUNCTION("""COMPUTED_VALUE"""),46106.0)</f>
        <v>46106</v>
      </c>
      <c r="W5" s="124">
        <f>IFERROR(__xludf.DUMMYFUNCTION("""COMPUTED_VALUE"""),0.0)</f>
        <v>0</v>
      </c>
    </row>
    <row r="6">
      <c r="A6" s="124" t="str">
        <f t="shared" si="1"/>
        <v>ayushprabhakar80@gmail.com</v>
      </c>
      <c r="B6" s="131">
        <f>IFERROR(__xludf.DUMMYFUNCTION("""COMPUTED_VALUE"""),46087.0)</f>
        <v>46087</v>
      </c>
      <c r="C6" s="124" t="str">
        <f>IFERROR(__xludf.DUMMYFUNCTION("""COMPUTED_VALUE"""),"Payment data from Collexo")</f>
        <v>Payment data from Collexo</v>
      </c>
      <c r="D6" s="124" t="str">
        <f>IFERROR(__xludf.DUMMYFUNCTION("""COMPUTED_VALUE"""),"Not Available")</f>
        <v>Not Available</v>
      </c>
      <c r="E6" s="124">
        <f>IFERROR(__xludf.DUMMYFUNCTION("""COMPUTED_VALUE"""),1500613.0)</f>
        <v>1500613</v>
      </c>
      <c r="F6" s="124">
        <f>IFERROR(__xludf.DUMMYFUNCTION("""COMPUTED_VALUE"""),110855.0)</f>
        <v>110855</v>
      </c>
      <c r="G6" s="124">
        <f>IFERROR(__xludf.DUMMYFUNCTION("""COMPUTED_VALUE"""),32000.0)</f>
        <v>32000</v>
      </c>
      <c r="H6" s="131">
        <f>IFERROR(__xludf.DUMMYFUNCTION("""COMPUTED_VALUE"""),46118.0)</f>
        <v>46118</v>
      </c>
      <c r="I6" s="124">
        <f>IFERROR(__xludf.DUMMYFUNCTION("""COMPUTED_VALUE"""),6000.0)</f>
        <v>6000</v>
      </c>
      <c r="J6" s="124">
        <f>IFERROR(__xludf.DUMMYFUNCTION("""COMPUTED_VALUE"""),38000.0)</f>
        <v>38000</v>
      </c>
      <c r="K6" s="124">
        <f>IFERROR(__xludf.DUMMYFUNCTION("""COMPUTED_VALUE"""),2.0)</f>
        <v>2</v>
      </c>
      <c r="L6" s="124">
        <f>IFERROR(__xludf.DUMMYFUNCTION("""COMPUTED_VALUE"""),422.0)</f>
        <v>422</v>
      </c>
      <c r="M6" s="124" t="str">
        <f>IFERROR(__xludf.DUMMYFUNCTION("""COMPUTED_VALUE"""),"Prayagraj")</f>
        <v>Prayagraj</v>
      </c>
      <c r="N6" s="124" t="str">
        <f>IFERROR(__xludf.DUMMYFUNCTION("""COMPUTED_VALUE"""),"ayushprabhakar80@gmail.com")</f>
        <v>ayushprabhakar80@gmail.com</v>
      </c>
      <c r="O6" s="124" t="str">
        <f>IFERROR(__xludf.DUMMYFUNCTION("""COMPUTED_VALUE"""),"Ayush")</f>
        <v>Ayush</v>
      </c>
      <c r="P6" s="124">
        <f>IFERROR(__xludf.DUMMYFUNCTION("""COMPUTED_VALUE"""),110855.0)</f>
        <v>110855</v>
      </c>
      <c r="Q6" s="124" t="str">
        <f>IFERROR(__xludf.DUMMYFUNCTION("""COMPUTED_VALUE"""),"upsc-gs-foundation-hinglish-target-2027-gsf-upsc-e03-pry")</f>
        <v>upsc-gs-foundation-hinglish-target-2027-gsf-upsc-e03-pry</v>
      </c>
      <c r="R6" s="124" t="str">
        <f>IFERROR(__xludf.DUMMYFUNCTION("""COMPUTED_VALUE"""),"GS Foundation Course")</f>
        <v>GS Foundation Course</v>
      </c>
      <c r="S6" s="124">
        <f>IFERROR(__xludf.DUMMYFUNCTION("""COMPUTED_VALUE"""),7.307323495E9)</f>
        <v>7307323495</v>
      </c>
      <c r="T6" s="124" t="str">
        <f>IFERROR(__xludf.DUMMYFUNCTION("""COMPUTED_VALUE"""),"Not Available")</f>
        <v>Not Available</v>
      </c>
      <c r="U6" s="124" t="str">
        <f>IFERROR(__xludf.DUMMYFUNCTION("""COMPUTED_VALUE"""),"Not Available")</f>
        <v>Not Available</v>
      </c>
      <c r="V6" s="124" t="str">
        <f>IFERROR(__xludf.DUMMYFUNCTION("""COMPUTED_VALUE"""),"Not Available")</f>
        <v>Not Available</v>
      </c>
      <c r="W6" s="124" t="str">
        <f>IFERROR(__xludf.DUMMYFUNCTION("""COMPUTED_VALUE"""),"Not Available")</f>
        <v>Not Available</v>
      </c>
    </row>
    <row r="7">
      <c r="A7" s="124" t="str">
        <f t="shared" si="1"/>
        <v>ranjit221715@mail.com</v>
      </c>
      <c r="B7" s="131">
        <f>IFERROR(__xludf.DUMMYFUNCTION("""COMPUTED_VALUE"""),46108.0)</f>
        <v>46108</v>
      </c>
      <c r="C7" s="124" t="str">
        <f>IFERROR(__xludf.DUMMYFUNCTION("""COMPUTED_VALUE"""),"Payment data from Collexo")</f>
        <v>Payment data from Collexo</v>
      </c>
      <c r="D7" s="124" t="str">
        <f>IFERROR(__xludf.DUMMYFUNCTION("""COMPUTED_VALUE"""),"Not Available")</f>
        <v>Not Available</v>
      </c>
      <c r="E7" s="124">
        <f>IFERROR(__xludf.DUMMYFUNCTION("""COMPUTED_VALUE"""),1500613.0)</f>
        <v>1500613</v>
      </c>
      <c r="F7" s="124">
        <f>IFERROR(__xludf.DUMMYFUNCTION("""COMPUTED_VALUE"""),46422.0)</f>
        <v>46422</v>
      </c>
      <c r="G7" s="124">
        <f>IFERROR(__xludf.DUMMYFUNCTION("""COMPUTED_VALUE"""),34000.0)</f>
        <v>34000</v>
      </c>
      <c r="H7" s="124" t="str">
        <f>IFERROR(__xludf.DUMMYFUNCTION("""COMPUTED_VALUE"""),"Not Available")</f>
        <v>Not Available</v>
      </c>
      <c r="I7" s="124">
        <f>IFERROR(__xludf.DUMMYFUNCTION("""COMPUTED_VALUE"""),0.0)</f>
        <v>0</v>
      </c>
      <c r="J7" s="124">
        <f>IFERROR(__xludf.DUMMYFUNCTION("""COMPUTED_VALUE"""),35000.0)</f>
        <v>35000</v>
      </c>
      <c r="K7" s="124">
        <f>IFERROR(__xludf.DUMMYFUNCTION("""COMPUTED_VALUE"""),2.0)</f>
        <v>2</v>
      </c>
      <c r="L7" s="124">
        <f>IFERROR(__xludf.DUMMYFUNCTION("""COMPUTED_VALUE"""),784.0)</f>
        <v>784</v>
      </c>
      <c r="M7" s="124" t="str">
        <f>IFERROR(__xludf.DUMMYFUNCTION("""COMPUTED_VALUE"""),"Prayagraj")</f>
        <v>Prayagraj</v>
      </c>
      <c r="N7" s="124" t="str">
        <f>IFERROR(__xludf.DUMMYFUNCTION("""COMPUTED_VALUE"""),"ranjit221715@mail.com")</f>
        <v>ranjit221715@mail.com</v>
      </c>
      <c r="O7" s="124" t="str">
        <f>IFERROR(__xludf.DUMMYFUNCTION("""COMPUTED_VALUE"""),"Ranjit")</f>
        <v>Ranjit</v>
      </c>
      <c r="P7" s="124">
        <f>IFERROR(__xludf.DUMMYFUNCTION("""COMPUTED_VALUE"""),46422.0)</f>
        <v>46422</v>
      </c>
      <c r="Q7" s="124" t="str">
        <f>IFERROR(__xludf.DUMMYFUNCTION("""COMPUTED_VALUE"""),"upsc-gs-foundation-hindi-target-2027-gsf-upsc-m02-pry")</f>
        <v>upsc-gs-foundation-hindi-target-2027-gsf-upsc-m02-pry</v>
      </c>
      <c r="R7" s="124" t="str">
        <f>IFERROR(__xludf.DUMMYFUNCTION("""COMPUTED_VALUE"""),"GS Foundation Course")</f>
        <v>GS Foundation Course</v>
      </c>
      <c r="S7" s="124">
        <f>IFERROR(__xludf.DUMMYFUNCTION("""COMPUTED_VALUE"""),6.388848525E9)</f>
        <v>6388848525</v>
      </c>
      <c r="T7" s="124" t="str">
        <f>IFERROR(__xludf.DUMMYFUNCTION("""COMPUTED_VALUE"""),"Not Available")</f>
        <v>Not Available</v>
      </c>
      <c r="U7" s="124" t="str">
        <f>IFERROR(__xludf.DUMMYFUNCTION("""COMPUTED_VALUE"""),"Not Available")</f>
        <v>Not Available</v>
      </c>
      <c r="V7" s="124" t="str">
        <f>IFERROR(__xludf.DUMMYFUNCTION("""COMPUTED_VALUE"""),"Not Available")</f>
        <v>Not Available</v>
      </c>
      <c r="W7" s="124" t="str">
        <f>IFERROR(__xludf.DUMMYFUNCTION("""COMPUTED_VALUE"""),"Not Available")</f>
        <v>Not Available</v>
      </c>
    </row>
    <row r="8">
      <c r="A8" s="124" t="str">
        <f t="shared" si="1"/>
        <v>nileshyadav8765@gmail.com</v>
      </c>
      <c r="B8" s="131">
        <f>IFERROR(__xludf.DUMMYFUNCTION("""COMPUTED_VALUE"""),46101.0)</f>
        <v>46101</v>
      </c>
      <c r="C8" s="124" t="str">
        <f>IFERROR(__xludf.DUMMYFUNCTION("""COMPUTED_VALUE"""),"Payment data from Collexo")</f>
        <v>Payment data from Collexo</v>
      </c>
      <c r="D8" s="124" t="str">
        <f>IFERROR(__xludf.DUMMYFUNCTION("""COMPUTED_VALUE"""),"Not Available")</f>
        <v>Not Available</v>
      </c>
      <c r="E8" s="124">
        <f>IFERROR(__xludf.DUMMYFUNCTION("""COMPUTED_VALUE"""),1500613.0)</f>
        <v>1500613</v>
      </c>
      <c r="F8" s="124">
        <f>IFERROR(__xludf.DUMMYFUNCTION("""COMPUTED_VALUE"""),88177.0)</f>
        <v>88177</v>
      </c>
      <c r="G8" s="124">
        <f>IFERROR(__xludf.DUMMYFUNCTION("""COMPUTED_VALUE"""),35000.0)</f>
        <v>35000</v>
      </c>
      <c r="H8" s="131">
        <f>IFERROR(__xludf.DUMMYFUNCTION("""COMPUTED_VALUE"""),46103.0)</f>
        <v>46103</v>
      </c>
      <c r="I8" s="124">
        <f>IFERROR(__xludf.DUMMYFUNCTION("""COMPUTED_VALUE"""),30000.0)</f>
        <v>30000</v>
      </c>
      <c r="J8" s="124">
        <f>IFERROR(__xludf.DUMMYFUNCTION("""COMPUTED_VALUE"""),65000.0)</f>
        <v>65000</v>
      </c>
      <c r="K8" s="124">
        <f>IFERROR(__xludf.DUMMYFUNCTION("""COMPUTED_VALUE"""),2.0)</f>
        <v>2</v>
      </c>
      <c r="L8" s="124">
        <f>IFERROR(__xludf.DUMMYFUNCTION("""COMPUTED_VALUE"""),644.0)</f>
        <v>644</v>
      </c>
      <c r="M8" s="124" t="str">
        <f>IFERROR(__xludf.DUMMYFUNCTION("""COMPUTED_VALUE"""),"Prayagraj")</f>
        <v>Prayagraj</v>
      </c>
      <c r="N8" s="124" t="str">
        <f>IFERROR(__xludf.DUMMYFUNCTION("""COMPUTED_VALUE"""),"nileshyadav8765@gmail.com")</f>
        <v>nileshyadav8765@gmail.com</v>
      </c>
      <c r="O8" s="124" t="str">
        <f>IFERROR(__xludf.DUMMYFUNCTION("""COMPUTED_VALUE"""),"Nilesh yadav")</f>
        <v>Nilesh yadav</v>
      </c>
      <c r="P8" s="124">
        <f>IFERROR(__xludf.DUMMYFUNCTION("""COMPUTED_VALUE"""),88177.0)</f>
        <v>88177</v>
      </c>
      <c r="Q8" s="124" t="str">
        <f>IFERROR(__xludf.DUMMYFUNCTION("""COMPUTED_VALUE"""),"upsc-gs-foundation-hindi-target-2027-gsf-upsc-m02-pry")</f>
        <v>upsc-gs-foundation-hindi-target-2027-gsf-upsc-m02-pry</v>
      </c>
      <c r="R8" s="124" t="str">
        <f>IFERROR(__xludf.DUMMYFUNCTION("""COMPUTED_VALUE"""),"GS Foundation Course")</f>
        <v>GS Foundation Course</v>
      </c>
      <c r="S8" s="124">
        <f>IFERROR(__xludf.DUMMYFUNCTION("""COMPUTED_VALUE"""),7.355115452E9)</f>
        <v>7355115452</v>
      </c>
      <c r="T8" s="124" t="str">
        <f>IFERROR(__xludf.DUMMYFUNCTION("""COMPUTED_VALUE"""),"Not Available")</f>
        <v>Not Available</v>
      </c>
      <c r="U8" s="124" t="str">
        <f>IFERROR(__xludf.DUMMYFUNCTION("""COMPUTED_VALUE"""),"Not Available")</f>
        <v>Not Available</v>
      </c>
      <c r="V8" s="124" t="str">
        <f>IFERROR(__xludf.DUMMYFUNCTION("""COMPUTED_VALUE"""),"Not Available")</f>
        <v>Not Available</v>
      </c>
      <c r="W8" s="124" t="str">
        <f>IFERROR(__xludf.DUMMYFUNCTION("""COMPUTED_VALUE"""),"Not Available")</f>
        <v>Not Available</v>
      </c>
    </row>
    <row r="9">
      <c r="A9" s="124" t="str">
        <f t="shared" si="1"/>
        <v>grajagraja0987@gmail.com</v>
      </c>
      <c r="B9" s="131">
        <f>IFERROR(__xludf.DUMMYFUNCTION("""COMPUTED_VALUE"""),46091.0)</f>
        <v>46091</v>
      </c>
      <c r="C9" s="124" t="str">
        <f>IFERROR(__xludf.DUMMYFUNCTION("""COMPUTED_VALUE"""),"Payment data from Collexo")</f>
        <v>Payment data from Collexo</v>
      </c>
      <c r="D9" s="124" t="str">
        <f>IFERROR(__xludf.DUMMYFUNCTION("""COMPUTED_VALUE"""),"Not Available")</f>
        <v>Not Available</v>
      </c>
      <c r="E9" s="124">
        <f>IFERROR(__xludf.DUMMYFUNCTION("""COMPUTED_VALUE"""),1500613.0)</f>
        <v>1500613</v>
      </c>
      <c r="F9" s="124">
        <f>IFERROR(__xludf.DUMMYFUNCTION("""COMPUTED_VALUE"""),70130.0)</f>
        <v>70130</v>
      </c>
      <c r="G9" s="124">
        <f>IFERROR(__xludf.DUMMYFUNCTION("""COMPUTED_VALUE"""),4338.0)</f>
        <v>4338</v>
      </c>
      <c r="H9" s="131">
        <f>IFERROR(__xludf.DUMMYFUNCTION("""COMPUTED_VALUE"""),46093.0)</f>
        <v>46093</v>
      </c>
      <c r="I9" s="124">
        <f>IFERROR(__xludf.DUMMYFUNCTION("""COMPUTED_VALUE"""),20662.0)</f>
        <v>20662</v>
      </c>
      <c r="J9" s="124">
        <f>IFERROR(__xludf.DUMMYFUNCTION("""COMPUTED_VALUE"""),25000.0)</f>
        <v>25000</v>
      </c>
      <c r="K9" s="124">
        <f>IFERROR(__xludf.DUMMYFUNCTION("""COMPUTED_VALUE"""),2.0)</f>
        <v>2</v>
      </c>
      <c r="L9" s="124">
        <f>IFERROR(__xludf.DUMMYFUNCTION("""COMPUTED_VALUE"""),469.0)</f>
        <v>469</v>
      </c>
      <c r="M9" s="124" t="str">
        <f>IFERROR(__xludf.DUMMYFUNCTION("""COMPUTED_VALUE"""),"Prayagraj")</f>
        <v>Prayagraj</v>
      </c>
      <c r="N9" s="124" t="str">
        <f>IFERROR(__xludf.DUMMYFUNCTION("""COMPUTED_VALUE"""),"grajagraja0987@gmail.com")</f>
        <v>grajagraja0987@gmail.com</v>
      </c>
      <c r="O9" s="124" t="str">
        <f>IFERROR(__xludf.DUMMYFUNCTION("""COMPUTED_VALUE"""),"Raj kumari")</f>
        <v>Raj kumari</v>
      </c>
      <c r="P9" s="124">
        <f>IFERROR(__xludf.DUMMYFUNCTION("""COMPUTED_VALUE"""),70130.0)</f>
        <v>70130</v>
      </c>
      <c r="Q9" s="124" t="str">
        <f>IFERROR(__xludf.DUMMYFUNCTION("""COMPUTED_VALUE"""),"samadhan-mentorship-program-pry")</f>
        <v>samadhan-mentorship-program-pry</v>
      </c>
      <c r="R9" s="124" t="str">
        <f>IFERROR(__xludf.DUMMYFUNCTION("""COMPUTED_VALUE"""),"Mentorship - Samadhan")</f>
        <v>Mentorship - Samadhan</v>
      </c>
      <c r="S9" s="124">
        <f>IFERROR(__xludf.DUMMYFUNCTION("""COMPUTED_VALUE"""),8.303812163E9)</f>
        <v>8303812163</v>
      </c>
      <c r="T9" s="124" t="str">
        <f>IFERROR(__xludf.DUMMYFUNCTION("""COMPUTED_VALUE"""),"Not Available")</f>
        <v>Not Available</v>
      </c>
      <c r="U9" s="124" t="str">
        <f>IFERROR(__xludf.DUMMYFUNCTION("""COMPUTED_VALUE"""),"Not Available")</f>
        <v>Not Available</v>
      </c>
      <c r="V9" s="124" t="str">
        <f>IFERROR(__xludf.DUMMYFUNCTION("""COMPUTED_VALUE"""),"Not Available")</f>
        <v>Not Available</v>
      </c>
      <c r="W9" s="124" t="str">
        <f>IFERROR(__xludf.DUMMYFUNCTION("""COMPUTED_VALUE"""),"Not Available")</f>
        <v>Not Available</v>
      </c>
    </row>
    <row r="10">
      <c r="A10" s="124" t="str">
        <f t="shared" si="1"/>
        <v>piyushchouhan2593@gmail.com</v>
      </c>
      <c r="B10" s="131">
        <f>IFERROR(__xludf.DUMMYFUNCTION("""COMPUTED_VALUE"""),46090.0)</f>
        <v>46090</v>
      </c>
      <c r="C10" s="124" t="str">
        <f>IFERROR(__xludf.DUMMYFUNCTION("""COMPUTED_VALUE"""),"Payment data from Collexo")</f>
        <v>Payment data from Collexo</v>
      </c>
      <c r="D10" s="124" t="str">
        <f>IFERROR(__xludf.DUMMYFUNCTION("""COMPUTED_VALUE"""),"Not Available")</f>
        <v>Not Available</v>
      </c>
      <c r="E10" s="124">
        <f>IFERROR(__xludf.DUMMYFUNCTION("""COMPUTED_VALUE"""),1500612.0)</f>
        <v>1500612</v>
      </c>
      <c r="F10" s="124">
        <f>IFERROR(__xludf.DUMMYFUNCTION("""COMPUTED_VALUE"""),78492.0)</f>
        <v>78492</v>
      </c>
      <c r="G10" s="124">
        <f>IFERROR(__xludf.DUMMYFUNCTION("""COMPUTED_VALUE"""),7000.0)</f>
        <v>7000</v>
      </c>
      <c r="H10" s="124" t="str">
        <f>IFERROR(__xludf.DUMMYFUNCTION("""COMPUTED_VALUE"""),"Not Available")</f>
        <v>Not Available</v>
      </c>
      <c r="I10" s="124">
        <f>IFERROR(__xludf.DUMMYFUNCTION("""COMPUTED_VALUE"""),0.0)</f>
        <v>0</v>
      </c>
      <c r="J10" s="124">
        <f>IFERROR(__xludf.DUMMYFUNCTION("""COMPUTED_VALUE"""),80000.0)</f>
        <v>80000</v>
      </c>
      <c r="K10" s="124">
        <f>IFERROR(__xludf.DUMMYFUNCTION("""COMPUTED_VALUE"""),4.0)</f>
        <v>4</v>
      </c>
      <c r="L10" s="124">
        <f>IFERROR(__xludf.DUMMYFUNCTION("""COMPUTED_VALUE"""),447.0)</f>
        <v>447</v>
      </c>
      <c r="M10" s="124" t="str">
        <f>IFERROR(__xludf.DUMMYFUNCTION("""COMPUTED_VALUE"""),"Indore")</f>
        <v>Indore</v>
      </c>
      <c r="N10" s="124" t="str">
        <f>IFERROR(__xludf.DUMMYFUNCTION("""COMPUTED_VALUE"""),"piyushchouhan2593@gmail.com")</f>
        <v>piyushchouhan2593@gmail.com</v>
      </c>
      <c r="O10" s="124" t="str">
        <f>IFERROR(__xludf.DUMMYFUNCTION("""COMPUTED_VALUE"""),"Piyush")</f>
        <v>Piyush</v>
      </c>
      <c r="P10" s="124">
        <f>IFERROR(__xludf.DUMMYFUNCTION("""COMPUTED_VALUE"""),78492.0)</f>
        <v>78492</v>
      </c>
      <c r="Q10" s="124" t="str">
        <f>IFERROR(__xludf.DUMMYFUNCTION("""COMPUTED_VALUE"""),"upsc-gs-foundation-hindi-target-2028-gsf-upsc-m02-ind")</f>
        <v>upsc-gs-foundation-hindi-target-2028-gsf-upsc-m02-ind</v>
      </c>
      <c r="R10" s="124" t="str">
        <f>IFERROR(__xludf.DUMMYFUNCTION("""COMPUTED_VALUE"""),"GS Foundation Course")</f>
        <v>GS Foundation Course</v>
      </c>
      <c r="S10" s="124">
        <f>IFERROR(__xludf.DUMMYFUNCTION("""COMPUTED_VALUE"""),6.262548575E9)</f>
        <v>6262548575</v>
      </c>
      <c r="T10" s="124" t="str">
        <f>IFERROR(__xludf.DUMMYFUNCTION("""COMPUTED_VALUE"""),"Not Available")</f>
        <v>Not Available</v>
      </c>
      <c r="U10" s="124" t="str">
        <f>IFERROR(__xludf.DUMMYFUNCTION("""COMPUTED_VALUE"""),"Not Available")</f>
        <v>Not Available</v>
      </c>
      <c r="V10" s="124" t="str">
        <f>IFERROR(__xludf.DUMMYFUNCTION("""COMPUTED_VALUE"""),"Not Available")</f>
        <v>Not Available</v>
      </c>
      <c r="W10" s="124" t="str">
        <f>IFERROR(__xludf.DUMMYFUNCTION("""COMPUTED_VALUE"""),"Not Available")</f>
        <v>Not Available</v>
      </c>
    </row>
    <row r="11">
      <c r="A11" s="124" t="str">
        <f t="shared" si="1"/>
        <v>aryanvats927@gmail.com</v>
      </c>
      <c r="B11" s="131">
        <f>IFERROR(__xludf.DUMMYFUNCTION("""COMPUTED_VALUE"""),46073.0)</f>
        <v>46073</v>
      </c>
      <c r="C11" s="124" t="str">
        <f>IFERROR(__xludf.DUMMYFUNCTION("""COMPUTED_VALUE"""),"Payment data from Collexo")</f>
        <v>Payment data from Collexo</v>
      </c>
      <c r="D11" s="124" t="str">
        <f>IFERROR(__xludf.DUMMYFUNCTION("""COMPUTED_VALUE"""),"Not Available")</f>
        <v>Not Available</v>
      </c>
      <c r="E11" s="124">
        <f>IFERROR(__xludf.DUMMYFUNCTION("""COMPUTED_VALUE"""),1500609.0)</f>
        <v>1500609</v>
      </c>
      <c r="F11" s="124" t="str">
        <f>IFERROR(__xludf.DUMMYFUNCTION("""COMPUTED_VALUE"""),"7721_988_7")</f>
        <v>7721_988_7</v>
      </c>
      <c r="G11" s="124">
        <f>IFERROR(__xludf.DUMMYFUNCTION("""COMPUTED_VALUE"""),1.0)</f>
        <v>1</v>
      </c>
      <c r="H11" s="124" t="str">
        <f>IFERROR(__xludf.DUMMYFUNCTION("""COMPUTED_VALUE"""),"Not Available")</f>
        <v>Not Available</v>
      </c>
      <c r="I11" s="124">
        <f>IFERROR(__xludf.DUMMYFUNCTION("""COMPUTED_VALUE"""),0.0)</f>
        <v>0</v>
      </c>
      <c r="J11" s="124">
        <f>IFERROR(__xludf.DUMMYFUNCTION("""COMPUTED_VALUE"""),1.0)</f>
        <v>1</v>
      </c>
      <c r="K11" s="124">
        <f>IFERROR(__xludf.DUMMYFUNCTION("""COMPUTED_VALUE"""),1.0)</f>
        <v>1</v>
      </c>
      <c r="L11" s="124">
        <f>IFERROR(__xludf.DUMMYFUNCTION("""COMPUTED_VALUE"""),286.0)</f>
        <v>286</v>
      </c>
      <c r="M11" s="124" t="str">
        <f>IFERROR(__xludf.DUMMYFUNCTION("""COMPUTED_VALUE"""),"New Delhi")</f>
        <v>New Delhi</v>
      </c>
      <c r="N11" s="124" t="str">
        <f>IFERROR(__xludf.DUMMYFUNCTION("""COMPUTED_VALUE"""),"aryanvats927@gmail.com")</f>
        <v>aryanvats927@gmail.com</v>
      </c>
      <c r="O11" s="124" t="str">
        <f>IFERROR(__xludf.DUMMYFUNCTION("""COMPUTED_VALUE"""),"Aryan")</f>
        <v>Aryan</v>
      </c>
      <c r="P11" s="124">
        <f>IFERROR(__xludf.DUMMYFUNCTION("""COMPUTED_VALUE"""),96169.0)</f>
        <v>96169</v>
      </c>
      <c r="Q11" s="124" t="str">
        <f>IFERROR(__xludf.DUMMYFUNCTION("""COMPUTED_VALUE"""),"upsc-gs-foundation-hinglish-target-2027-gsf-upsc-e04-orn")</f>
        <v>upsc-gs-foundation-hinglish-target-2027-gsf-upsc-e04-orn</v>
      </c>
      <c r="R11" s="124" t="str">
        <f>IFERROR(__xludf.DUMMYFUNCTION("""COMPUTED_VALUE"""),"GS Foundation Course")</f>
        <v>GS Foundation Course</v>
      </c>
      <c r="S11" s="124">
        <f>IFERROR(__xludf.DUMMYFUNCTION("""COMPUTED_VALUE"""),9.871932461E9)</f>
        <v>9871932461</v>
      </c>
      <c r="T11" s="124" t="str">
        <f>IFERROR(__xludf.DUMMYFUNCTION("""COMPUTED_VALUE"""),"Collexo")</f>
        <v>Collexo</v>
      </c>
      <c r="U11" s="124" t="str">
        <f>IFERROR(__xludf.DUMMYFUNCTION("""COMPUTED_VALUE"""),"Success")</f>
        <v>Success</v>
      </c>
      <c r="V11" s="131">
        <f>IFERROR(__xludf.DUMMYFUNCTION("""COMPUTED_VALUE"""),46073.0)</f>
        <v>46073</v>
      </c>
      <c r="W11" s="124">
        <f>IFERROR(__xludf.DUMMYFUNCTION("""COMPUTED_VALUE"""),0.0)</f>
        <v>0</v>
      </c>
    </row>
    <row r="12">
      <c r="A12" s="124" t="str">
        <f t="shared" si="1"/>
        <v>adityakr1901@gmail.com</v>
      </c>
      <c r="B12" s="131">
        <f>IFERROR(__xludf.DUMMYFUNCTION("""COMPUTED_VALUE"""),46108.0)</f>
        <v>46108</v>
      </c>
      <c r="C12" s="124" t="str">
        <f>IFERROR(__xludf.DUMMYFUNCTION("""COMPUTED_VALUE"""),"Payment data from Collexo")</f>
        <v>Payment data from Collexo</v>
      </c>
      <c r="D12" s="124" t="str">
        <f>IFERROR(__xludf.DUMMYFUNCTION("""COMPUTED_VALUE"""),"Not Available")</f>
        <v>Not Available</v>
      </c>
      <c r="E12" s="124">
        <f>IFERROR(__xludf.DUMMYFUNCTION("""COMPUTED_VALUE"""),1500611.0)</f>
        <v>1500611</v>
      </c>
      <c r="F12" s="124">
        <f>IFERROR(__xludf.DUMMYFUNCTION("""COMPUTED_VALUE"""),139300.0)</f>
        <v>139300</v>
      </c>
      <c r="G12" s="124">
        <f>IFERROR(__xludf.DUMMYFUNCTION("""COMPUTED_VALUE"""),43200.0)</f>
        <v>43200</v>
      </c>
      <c r="H12" s="124" t="str">
        <f>IFERROR(__xludf.DUMMYFUNCTION("""COMPUTED_VALUE"""),"Not Available")</f>
        <v>Not Available</v>
      </c>
      <c r="I12" s="124">
        <f>IFERROR(__xludf.DUMMYFUNCTION("""COMPUTED_VALUE"""),0.0)</f>
        <v>0</v>
      </c>
      <c r="J12" s="124">
        <f>IFERROR(__xludf.DUMMYFUNCTION("""COMPUTED_VALUE"""),48000.0)</f>
        <v>48000</v>
      </c>
      <c r="K12" s="124">
        <f>IFERROR(__xludf.DUMMYFUNCTION("""COMPUTED_VALUE"""),2.0)</f>
        <v>2</v>
      </c>
      <c r="L12" s="124">
        <f>IFERROR(__xludf.DUMMYFUNCTION("""COMPUTED_VALUE"""),793.0)</f>
        <v>793</v>
      </c>
      <c r="M12" s="124" t="str">
        <f>IFERROR(__xludf.DUMMYFUNCTION("""COMPUTED_VALUE"""),"Patna")</f>
        <v>Patna</v>
      </c>
      <c r="N12" s="124" t="str">
        <f>IFERROR(__xludf.DUMMYFUNCTION("""COMPUTED_VALUE"""),"adityakr1901@gmail.com")</f>
        <v>adityakr1901@gmail.com</v>
      </c>
      <c r="O12" s="124" t="str">
        <f>IFERROR(__xludf.DUMMYFUNCTION("""COMPUTED_VALUE"""),"Anjali kumari")</f>
        <v>Anjali kumari</v>
      </c>
      <c r="P12" s="124">
        <f>IFERROR(__xludf.DUMMYFUNCTION("""COMPUTED_VALUE"""),139300.0)</f>
        <v>139300</v>
      </c>
      <c r="Q12" s="124" t="str">
        <f>IFERROR(__xludf.DUMMYFUNCTION("""COMPUTED_VALUE"""),"bpsc-gs-foundation-hinglish-target-2026-gsf-bpsc-m02-pat")</f>
        <v>bpsc-gs-foundation-hinglish-target-2026-gsf-bpsc-m02-pat</v>
      </c>
      <c r="R12" s="124" t="str">
        <f>IFERROR(__xludf.DUMMYFUNCTION("""COMPUTED_VALUE"""),"State PCS")</f>
        <v>State PCS</v>
      </c>
      <c r="S12" s="124">
        <f>IFERROR(__xludf.DUMMYFUNCTION("""COMPUTED_VALUE"""),9.220585925E9)</f>
        <v>9220585925</v>
      </c>
      <c r="T12" s="124" t="str">
        <f>IFERROR(__xludf.DUMMYFUNCTION("""COMPUTED_VALUE"""),"Not Available")</f>
        <v>Not Available</v>
      </c>
      <c r="U12" s="124" t="str">
        <f>IFERROR(__xludf.DUMMYFUNCTION("""COMPUTED_VALUE"""),"Not Available")</f>
        <v>Not Available</v>
      </c>
      <c r="V12" s="124" t="str">
        <f>IFERROR(__xludf.DUMMYFUNCTION("""COMPUTED_VALUE"""),"Not Available")</f>
        <v>Not Available</v>
      </c>
      <c r="W12" s="124" t="str">
        <f>IFERROR(__xludf.DUMMYFUNCTION("""COMPUTED_VALUE"""),"Not Available")</f>
        <v>Not Available</v>
      </c>
    </row>
    <row r="13">
      <c r="A13" s="124" t="str">
        <f t="shared" si="1"/>
        <v>9918313@gmail.com</v>
      </c>
      <c r="B13" s="131">
        <f>IFERROR(__xludf.DUMMYFUNCTION("""COMPUTED_VALUE"""),46069.0)</f>
        <v>46069</v>
      </c>
      <c r="C13" s="124" t="str">
        <f>IFERROR(__xludf.DUMMYFUNCTION("""COMPUTED_VALUE"""),"Payment data from Collexo")</f>
        <v>Payment data from Collexo</v>
      </c>
      <c r="D13" s="124" t="str">
        <f>IFERROR(__xludf.DUMMYFUNCTION("""COMPUTED_VALUE"""),"Not Available")</f>
        <v>Not Available</v>
      </c>
      <c r="E13" s="124">
        <f>IFERROR(__xludf.DUMMYFUNCTION("""COMPUTED_VALUE"""),1500613.0)</f>
        <v>1500613</v>
      </c>
      <c r="F13" s="124">
        <f>IFERROR(__xludf.DUMMYFUNCTION("""COMPUTED_VALUE"""),39331.0)</f>
        <v>39331</v>
      </c>
      <c r="G13" s="124">
        <f>IFERROR(__xludf.DUMMYFUNCTION("""COMPUTED_VALUE"""),44000.0)</f>
        <v>44000</v>
      </c>
      <c r="H13" s="124" t="str">
        <f>IFERROR(__xludf.DUMMYFUNCTION("""COMPUTED_VALUE"""),"Not Available")</f>
        <v>Not Available</v>
      </c>
      <c r="I13" s="124">
        <f>IFERROR(__xludf.DUMMYFUNCTION("""COMPUTED_VALUE"""),0.0)</f>
        <v>0</v>
      </c>
      <c r="J13" s="124">
        <f>IFERROR(__xludf.DUMMYFUNCTION("""COMPUTED_VALUE"""),44400.0)</f>
        <v>44400</v>
      </c>
      <c r="K13" s="124">
        <f>IFERROR(__xludf.DUMMYFUNCTION("""COMPUTED_VALUE"""),2.0)</f>
        <v>2</v>
      </c>
      <c r="L13" s="124">
        <f>IFERROR(__xludf.DUMMYFUNCTION("""COMPUTED_VALUE"""),227.0)</f>
        <v>227</v>
      </c>
      <c r="M13" s="124" t="str">
        <f>IFERROR(__xludf.DUMMYFUNCTION("""COMPUTED_VALUE"""),"Prayagraj")</f>
        <v>Prayagraj</v>
      </c>
      <c r="N13" s="124" t="str">
        <f>IFERROR(__xludf.DUMMYFUNCTION("""COMPUTED_VALUE"""),"9918313@gmail.com")</f>
        <v>9918313@gmail.com</v>
      </c>
      <c r="O13" s="124" t="str">
        <f>IFERROR(__xludf.DUMMYFUNCTION("""COMPUTED_VALUE"""),"Ashish")</f>
        <v>Ashish</v>
      </c>
      <c r="P13" s="124">
        <f>IFERROR(__xludf.DUMMYFUNCTION("""COMPUTED_VALUE"""),39331.0)</f>
        <v>39331</v>
      </c>
      <c r="Q13" s="124" t="str">
        <f>IFERROR(__xludf.DUMMYFUNCTION("""COMPUTED_VALUE"""),"upsc-gs-foundation-hindi-target-2027-gsf-upsc-m02-pry")</f>
        <v>upsc-gs-foundation-hindi-target-2027-gsf-upsc-m02-pry</v>
      </c>
      <c r="R13" s="124" t="str">
        <f>IFERROR(__xludf.DUMMYFUNCTION("""COMPUTED_VALUE"""),"GS Foundation Course")</f>
        <v>GS Foundation Course</v>
      </c>
      <c r="S13" s="124">
        <f>IFERROR(__xludf.DUMMYFUNCTION("""COMPUTED_VALUE"""),9.554917918E9)</f>
        <v>9554917918</v>
      </c>
      <c r="T13" s="124" t="str">
        <f>IFERROR(__xludf.DUMMYFUNCTION("""COMPUTED_VALUE"""),"Not Available")</f>
        <v>Not Available</v>
      </c>
      <c r="U13" s="124" t="str">
        <f>IFERROR(__xludf.DUMMYFUNCTION("""COMPUTED_VALUE"""),"Not Available")</f>
        <v>Not Available</v>
      </c>
      <c r="V13" s="124" t="str">
        <f>IFERROR(__xludf.DUMMYFUNCTION("""COMPUTED_VALUE"""),"Not Available")</f>
        <v>Not Available</v>
      </c>
      <c r="W13" s="124" t="str">
        <f>IFERROR(__xludf.DUMMYFUNCTION("""COMPUTED_VALUE"""),"Not Available")</f>
        <v>Not Available</v>
      </c>
    </row>
    <row r="14">
      <c r="A14" s="124" t="str">
        <f t="shared" si="1"/>
        <v>fahadmir1998@gmail.com</v>
      </c>
      <c r="B14" s="131">
        <f>IFERROR(__xludf.DUMMYFUNCTION("""COMPUTED_VALUE"""),46111.0)</f>
        <v>46111</v>
      </c>
      <c r="C14" s="124" t="str">
        <f>IFERROR(__xludf.DUMMYFUNCTION("""COMPUTED_VALUE"""),"Payment data from Collexo")</f>
        <v>Payment data from Collexo</v>
      </c>
      <c r="D14" s="124" t="str">
        <f>IFERROR(__xludf.DUMMYFUNCTION("""COMPUTED_VALUE"""),"Not Available")</f>
        <v>Not Available</v>
      </c>
      <c r="E14" s="124">
        <f>IFERROR(__xludf.DUMMYFUNCTION("""COMPUTED_VALUE"""),1500609.0)</f>
        <v>1500609</v>
      </c>
      <c r="F14" s="124" t="str">
        <f>IFERROR(__xludf.DUMMYFUNCTION("""COMPUTED_VALUE"""),"17462_988_7")</f>
        <v>17462_988_7</v>
      </c>
      <c r="G14" s="124">
        <f>IFERROR(__xludf.DUMMYFUNCTION("""COMPUTED_VALUE"""),1.0)</f>
        <v>1</v>
      </c>
      <c r="H14" s="124" t="str">
        <f>IFERROR(__xludf.DUMMYFUNCTION("""COMPUTED_VALUE"""),"Not Available")</f>
        <v>Not Available</v>
      </c>
      <c r="I14" s="124">
        <f>IFERROR(__xludf.DUMMYFUNCTION("""COMPUTED_VALUE"""),0.0)</f>
        <v>0</v>
      </c>
      <c r="J14" s="124">
        <f>IFERROR(__xludf.DUMMYFUNCTION("""COMPUTED_VALUE"""),1.0)</f>
        <v>1</v>
      </c>
      <c r="K14" s="124">
        <f>IFERROR(__xludf.DUMMYFUNCTION("""COMPUTED_VALUE"""),1.0)</f>
        <v>1</v>
      </c>
      <c r="L14" s="124">
        <f>IFERROR(__xludf.DUMMYFUNCTION("""COMPUTED_VALUE"""),841.0)</f>
        <v>841</v>
      </c>
      <c r="M14" s="124" t="str">
        <f>IFERROR(__xludf.DUMMYFUNCTION("""COMPUTED_VALUE"""),"New Delhi")</f>
        <v>New Delhi</v>
      </c>
      <c r="N14" s="124" t="str">
        <f>IFERROR(__xludf.DUMMYFUNCTION("""COMPUTED_VALUE"""),"fahadmir1998@gmail.com")</f>
        <v>fahadmir1998@gmail.com</v>
      </c>
      <c r="O14" s="124" t="str">
        <f>IFERROR(__xludf.DUMMYFUNCTION("""COMPUTED_VALUE"""),"FAHA IRSHAD MIR")</f>
        <v>FAHA IRSHAD MIR</v>
      </c>
      <c r="P14" s="124">
        <f>IFERROR(__xludf.DUMMYFUNCTION("""COMPUTED_VALUE"""),133212.0)</f>
        <v>133212</v>
      </c>
      <c r="Q14" s="124" t="str">
        <f>IFERROR(__xludf.DUMMYFUNCTION("""COMPUTED_VALUE"""),"upsc-gs-foundation-hinglish-target-2027-gsf-upsc-m05-orn")</f>
        <v>upsc-gs-foundation-hinglish-target-2027-gsf-upsc-m05-orn</v>
      </c>
      <c r="R14" s="124" t="str">
        <f>IFERROR(__xludf.DUMMYFUNCTION("""COMPUTED_VALUE"""),"GS Foundation Course")</f>
        <v>GS Foundation Course</v>
      </c>
      <c r="S14" s="124">
        <f>IFERROR(__xludf.DUMMYFUNCTION("""COMPUTED_VALUE"""),7.889367873E9)</f>
        <v>7889367873</v>
      </c>
      <c r="T14" s="124" t="str">
        <f>IFERROR(__xludf.DUMMYFUNCTION("""COMPUTED_VALUE"""),"Collexo")</f>
        <v>Collexo</v>
      </c>
      <c r="U14" s="124" t="str">
        <f>IFERROR(__xludf.DUMMYFUNCTION("""COMPUTED_VALUE"""),"Success")</f>
        <v>Success</v>
      </c>
      <c r="V14" s="131">
        <f>IFERROR(__xludf.DUMMYFUNCTION("""COMPUTED_VALUE"""),46111.0)</f>
        <v>46111</v>
      </c>
      <c r="W14" s="124">
        <f>IFERROR(__xludf.DUMMYFUNCTION("""COMPUTED_VALUE"""),0.0)</f>
        <v>0</v>
      </c>
    </row>
    <row r="15">
      <c r="A15" s="124" t="str">
        <f t="shared" si="1"/>
        <v>fahadmir1998@gmail.com</v>
      </c>
      <c r="B15" s="131">
        <f>IFERROR(__xludf.DUMMYFUNCTION("""COMPUTED_VALUE"""),46111.0)</f>
        <v>46111</v>
      </c>
      <c r="C15" s="124" t="str">
        <f>IFERROR(__xludf.DUMMYFUNCTION("""COMPUTED_VALUE"""),"Payment data from Collexo")</f>
        <v>Payment data from Collexo</v>
      </c>
      <c r="D15" s="124" t="str">
        <f>IFERROR(__xludf.DUMMYFUNCTION("""COMPUTED_VALUE"""),"Not Available")</f>
        <v>Not Available</v>
      </c>
      <c r="E15" s="124">
        <f>IFERROR(__xludf.DUMMYFUNCTION("""COMPUTED_VALUE"""),1500609.0)</f>
        <v>1500609</v>
      </c>
      <c r="F15" s="124" t="str">
        <f>IFERROR(__xludf.DUMMYFUNCTION("""COMPUTED_VALUE"""),"17460_988_7")</f>
        <v>17460_988_7</v>
      </c>
      <c r="G15" s="124">
        <f>IFERROR(__xludf.DUMMYFUNCTION("""COMPUTED_VALUE"""),10000.0)</f>
        <v>10000</v>
      </c>
      <c r="H15" s="131">
        <f>IFERROR(__xludf.DUMMYFUNCTION("""COMPUTED_VALUE"""),46112.0)</f>
        <v>46112</v>
      </c>
      <c r="I15" s="124">
        <f>IFERROR(__xludf.DUMMYFUNCTION("""COMPUTED_VALUE"""),90000.0)</f>
        <v>90000</v>
      </c>
      <c r="J15" s="124">
        <f>IFERROR(__xludf.DUMMYFUNCTION("""COMPUTED_VALUE"""),100000.0)</f>
        <v>100000</v>
      </c>
      <c r="K15" s="124">
        <f>IFERROR(__xludf.DUMMYFUNCTION("""COMPUTED_VALUE"""),2.0)</f>
        <v>2</v>
      </c>
      <c r="L15" s="124">
        <f>IFERROR(__xludf.DUMMYFUNCTION("""COMPUTED_VALUE"""),840.0)</f>
        <v>840</v>
      </c>
      <c r="M15" s="124" t="str">
        <f>IFERROR(__xludf.DUMMYFUNCTION("""COMPUTED_VALUE"""),"New Delhi")</f>
        <v>New Delhi</v>
      </c>
      <c r="N15" s="124" t="str">
        <f>IFERROR(__xludf.DUMMYFUNCTION("""COMPUTED_VALUE"""),"fahadmir1998@gmail.com")</f>
        <v>fahadmir1998@gmail.com</v>
      </c>
      <c r="O15" s="124" t="str">
        <f>IFERROR(__xludf.DUMMYFUNCTION("""COMPUTED_VALUE"""),"FAHA IRSHAD MIR")</f>
        <v>FAHA IRSHAD MIR</v>
      </c>
      <c r="P15" s="124">
        <f>IFERROR(__xludf.DUMMYFUNCTION("""COMPUTED_VALUE"""),133212.0)</f>
        <v>133212</v>
      </c>
      <c r="Q15" s="124" t="str">
        <f>IFERROR(__xludf.DUMMYFUNCTION("""COMPUTED_VALUE"""),"upsc-gs-foundation-hinglish-target-2027-gsf-upsc-m05-orn")</f>
        <v>upsc-gs-foundation-hinglish-target-2027-gsf-upsc-m05-orn</v>
      </c>
      <c r="R15" s="124" t="str">
        <f>IFERROR(__xludf.DUMMYFUNCTION("""COMPUTED_VALUE"""),"GS Foundation Course")</f>
        <v>GS Foundation Course</v>
      </c>
      <c r="S15" s="124">
        <f>IFERROR(__xludf.DUMMYFUNCTION("""COMPUTED_VALUE"""),7.889367873E9)</f>
        <v>7889367873</v>
      </c>
      <c r="T15" s="124" t="str">
        <f>IFERROR(__xludf.DUMMYFUNCTION("""COMPUTED_VALUE"""),"Collexo")</f>
        <v>Collexo</v>
      </c>
      <c r="U15" s="124" t="str">
        <f>IFERROR(__xludf.DUMMYFUNCTION("""COMPUTED_VALUE"""),"Success")</f>
        <v>Success</v>
      </c>
      <c r="V15" s="131">
        <f>IFERROR(__xludf.DUMMYFUNCTION("""COMPUTED_VALUE"""),46111.0)</f>
        <v>46111</v>
      </c>
      <c r="W15" s="124">
        <f>IFERROR(__xludf.DUMMYFUNCTION("""COMPUTED_VALUE"""),0.0)</f>
        <v>0</v>
      </c>
    </row>
    <row r="16">
      <c r="A16" s="124" t="str">
        <f t="shared" si="1"/>
        <v>piyushchouhan2593@gmail.com</v>
      </c>
      <c r="B16" s="131">
        <f>IFERROR(__xludf.DUMMYFUNCTION("""COMPUTED_VALUE"""),46079.0)</f>
        <v>46079</v>
      </c>
      <c r="C16" s="124" t="str">
        <f>IFERROR(__xludf.DUMMYFUNCTION("""COMPUTED_VALUE"""),"Payment data from Collexo")</f>
        <v>Payment data from Collexo</v>
      </c>
      <c r="D16" s="124" t="str">
        <f>IFERROR(__xludf.DUMMYFUNCTION("""COMPUTED_VALUE"""),"Not Available")</f>
        <v>Not Available</v>
      </c>
      <c r="E16" s="124">
        <f>IFERROR(__xludf.DUMMYFUNCTION("""COMPUTED_VALUE"""),1500612.0)</f>
        <v>1500612</v>
      </c>
      <c r="F16" s="124">
        <f>IFERROR(__xludf.DUMMYFUNCTION("""COMPUTED_VALUE"""),78492.0)</f>
        <v>78492</v>
      </c>
      <c r="G16" s="124">
        <f>IFERROR(__xludf.DUMMYFUNCTION("""COMPUTED_VALUE"""),65000.0)</f>
        <v>65000</v>
      </c>
      <c r="H16" s="131">
        <f>IFERROR(__xludf.DUMMYFUNCTION("""COMPUTED_VALUE"""),46091.0)</f>
        <v>46091</v>
      </c>
      <c r="I16" s="124">
        <f>IFERROR(__xludf.DUMMYFUNCTION("""COMPUTED_VALUE"""),14000.0)</f>
        <v>14000</v>
      </c>
      <c r="J16" s="124">
        <f>IFERROR(__xludf.DUMMYFUNCTION("""COMPUTED_VALUE"""),80000.0)</f>
        <v>80000</v>
      </c>
      <c r="K16" s="124">
        <f>IFERROR(__xludf.DUMMYFUNCTION("""COMPUTED_VALUE"""),3.0)</f>
        <v>3</v>
      </c>
      <c r="L16" s="124">
        <f>IFERROR(__xludf.DUMMYFUNCTION("""COMPUTED_VALUE"""),344.0)</f>
        <v>344</v>
      </c>
      <c r="M16" s="124" t="str">
        <f>IFERROR(__xludf.DUMMYFUNCTION("""COMPUTED_VALUE"""),"Indore")</f>
        <v>Indore</v>
      </c>
      <c r="N16" s="124" t="str">
        <f>IFERROR(__xludf.DUMMYFUNCTION("""COMPUTED_VALUE"""),"piyushchouhan2593@gmail.com")</f>
        <v>piyushchouhan2593@gmail.com</v>
      </c>
      <c r="O16" s="124" t="str">
        <f>IFERROR(__xludf.DUMMYFUNCTION("""COMPUTED_VALUE"""),"Piyush")</f>
        <v>Piyush</v>
      </c>
      <c r="P16" s="124">
        <f>IFERROR(__xludf.DUMMYFUNCTION("""COMPUTED_VALUE"""),78492.0)</f>
        <v>78492</v>
      </c>
      <c r="Q16" s="124" t="str">
        <f>IFERROR(__xludf.DUMMYFUNCTION("""COMPUTED_VALUE"""),"upsc-gs-foundation-hindi-target-2028-gsf-upsc-m02-ind")</f>
        <v>upsc-gs-foundation-hindi-target-2028-gsf-upsc-m02-ind</v>
      </c>
      <c r="R16" s="124" t="str">
        <f>IFERROR(__xludf.DUMMYFUNCTION("""COMPUTED_VALUE"""),"GS Foundation Course")</f>
        <v>GS Foundation Course</v>
      </c>
      <c r="S16" s="124">
        <f>IFERROR(__xludf.DUMMYFUNCTION("""COMPUTED_VALUE"""),6.262548575E9)</f>
        <v>6262548575</v>
      </c>
      <c r="T16" s="124" t="str">
        <f>IFERROR(__xludf.DUMMYFUNCTION("""COMPUTED_VALUE"""),"Not Available")</f>
        <v>Not Available</v>
      </c>
      <c r="U16" s="124" t="str">
        <f>IFERROR(__xludf.DUMMYFUNCTION("""COMPUTED_VALUE"""),"Not Available")</f>
        <v>Not Available</v>
      </c>
      <c r="V16" s="124" t="str">
        <f>IFERROR(__xludf.DUMMYFUNCTION("""COMPUTED_VALUE"""),"Not Available")</f>
        <v>Not Available</v>
      </c>
      <c r="W16" s="124" t="str">
        <f>IFERROR(__xludf.DUMMYFUNCTION("""COMPUTED_VALUE"""),"Not Available")</f>
        <v>Not Available</v>
      </c>
    </row>
    <row r="17">
      <c r="A17" s="124" t="str">
        <f t="shared" si="1"/>
        <v>namishkarajput8d@gmail.com</v>
      </c>
      <c r="B17" s="131">
        <f>IFERROR(__xludf.DUMMYFUNCTION("""COMPUTED_VALUE"""),46106.0)</f>
        <v>46106</v>
      </c>
      <c r="C17" s="124" t="str">
        <f>IFERROR(__xludf.DUMMYFUNCTION("""COMPUTED_VALUE"""),"Payment data from Collexo")</f>
        <v>Payment data from Collexo</v>
      </c>
      <c r="D17" s="124" t="str">
        <f>IFERROR(__xludf.DUMMYFUNCTION("""COMPUTED_VALUE"""),"Not Available")</f>
        <v>Not Available</v>
      </c>
      <c r="E17" s="124">
        <f>IFERROR(__xludf.DUMMYFUNCTION("""COMPUTED_VALUE"""),1500609.0)</f>
        <v>1500609</v>
      </c>
      <c r="F17" s="124" t="str">
        <f>IFERROR(__xludf.DUMMYFUNCTION("""COMPUTED_VALUE"""),"16579_988_7")</f>
        <v>16579_988_7</v>
      </c>
      <c r="G17" s="124">
        <f>IFERROR(__xludf.DUMMYFUNCTION("""COMPUTED_VALUE"""),30000.0)</f>
        <v>30000</v>
      </c>
      <c r="H17" s="131">
        <f>IFERROR(__xludf.DUMMYFUNCTION("""COMPUTED_VALUE"""),46112.0)</f>
        <v>46112</v>
      </c>
      <c r="I17" s="124">
        <f>IFERROR(__xludf.DUMMYFUNCTION("""COMPUTED_VALUE"""),140000.0)</f>
        <v>140000</v>
      </c>
      <c r="J17" s="124">
        <f>IFERROR(__xludf.DUMMYFUNCTION("""COMPUTED_VALUE"""),175000.0)</f>
        <v>175000</v>
      </c>
      <c r="K17" s="124">
        <f>IFERROR(__xludf.DUMMYFUNCTION("""COMPUTED_VALUE"""),3.0)</f>
        <v>3</v>
      </c>
      <c r="L17" s="124">
        <f>IFERROR(__xludf.DUMMYFUNCTION("""COMPUTED_VALUE"""),754.0)</f>
        <v>754</v>
      </c>
      <c r="M17" s="124" t="str">
        <f>IFERROR(__xludf.DUMMYFUNCTION("""COMPUTED_VALUE"""),"New Delhi")</f>
        <v>New Delhi</v>
      </c>
      <c r="N17" s="124" t="str">
        <f>IFERROR(__xludf.DUMMYFUNCTION("""COMPUTED_VALUE"""),"namishkarajput8d@gmail.com")</f>
        <v>namishkarajput8d@gmail.com</v>
      </c>
      <c r="O17" s="124" t="str">
        <f>IFERROR(__xludf.DUMMYFUNCTION("""COMPUTED_VALUE"""),"Namishka")</f>
        <v>Namishka</v>
      </c>
      <c r="P17" s="124">
        <f>IFERROR(__xludf.DUMMYFUNCTION("""COMPUTED_VALUE"""),31782.0)</f>
        <v>31782</v>
      </c>
      <c r="Q17" s="124" t="str">
        <f>IFERROR(__xludf.DUMMYFUNCTION("""COMPUTED_VALUE"""),"upsc-gs-foundation-hinglish-target-2028-gsf-upsc-e05-orn")</f>
        <v>upsc-gs-foundation-hinglish-target-2028-gsf-upsc-e05-orn</v>
      </c>
      <c r="R17" s="124" t="str">
        <f>IFERROR(__xludf.DUMMYFUNCTION("""COMPUTED_VALUE"""),"GS Foundation Course")</f>
        <v>GS Foundation Course</v>
      </c>
      <c r="S17" s="124">
        <f>IFERROR(__xludf.DUMMYFUNCTION("""COMPUTED_VALUE"""),9.654206738E9)</f>
        <v>9654206738</v>
      </c>
      <c r="T17" s="124" t="str">
        <f>IFERROR(__xludf.DUMMYFUNCTION("""COMPUTED_VALUE"""),"Collexo")</f>
        <v>Collexo</v>
      </c>
      <c r="U17" s="124" t="str">
        <f>IFERROR(__xludf.DUMMYFUNCTION("""COMPUTED_VALUE"""),"Success")</f>
        <v>Success</v>
      </c>
      <c r="V17" s="131">
        <f>IFERROR(__xludf.DUMMYFUNCTION("""COMPUTED_VALUE"""),46106.0)</f>
        <v>46106</v>
      </c>
      <c r="W17" s="124">
        <f>IFERROR(__xludf.DUMMYFUNCTION("""COMPUTED_VALUE"""),0.0)</f>
        <v>0</v>
      </c>
    </row>
    <row r="18">
      <c r="A18" s="124" t="str">
        <f t="shared" si="1"/>
        <v>kumarsetu16.ka@gmail.com</v>
      </c>
      <c r="B18" s="131">
        <f>IFERROR(__xludf.DUMMYFUNCTION("""COMPUTED_VALUE"""),46076.0)</f>
        <v>46076</v>
      </c>
      <c r="C18" s="124" t="str">
        <f>IFERROR(__xludf.DUMMYFUNCTION("""COMPUTED_VALUE"""),"Payment data from Collexo")</f>
        <v>Payment data from Collexo</v>
      </c>
      <c r="D18" s="124" t="str">
        <f>IFERROR(__xludf.DUMMYFUNCTION("""COMPUTED_VALUE"""),"Not Available")</f>
        <v>Not Available</v>
      </c>
      <c r="E18" s="124">
        <f>IFERROR(__xludf.DUMMYFUNCTION("""COMPUTED_VALUE"""),1500609.0)</f>
        <v>1500609</v>
      </c>
      <c r="F18" s="124" t="str">
        <f>IFERROR(__xludf.DUMMYFUNCTION("""COMPUTED_VALUE"""),"10470_988_7")</f>
        <v>10470_988_7</v>
      </c>
      <c r="G18" s="124">
        <f>IFERROR(__xludf.DUMMYFUNCTION("""COMPUTED_VALUE"""),70000.0)</f>
        <v>70000</v>
      </c>
      <c r="H18" s="124" t="str">
        <f>IFERROR(__xludf.DUMMYFUNCTION("""COMPUTED_VALUE"""),"Not Available")</f>
        <v>Not Available</v>
      </c>
      <c r="I18" s="124">
        <f>IFERROR(__xludf.DUMMYFUNCTION("""COMPUTED_VALUE"""),0.0)</f>
        <v>0</v>
      </c>
      <c r="J18" s="124">
        <f>IFERROR(__xludf.DUMMYFUNCTION("""COMPUTED_VALUE"""),80000.0)</f>
        <v>80000</v>
      </c>
      <c r="K18" s="124">
        <f>IFERROR(__xludf.DUMMYFUNCTION("""COMPUTED_VALUE"""),2.0)</f>
        <v>2</v>
      </c>
      <c r="L18" s="124">
        <f>IFERROR(__xludf.DUMMYFUNCTION("""COMPUTED_VALUE"""),320.0)</f>
        <v>320</v>
      </c>
      <c r="M18" s="124" t="str">
        <f>IFERROR(__xludf.DUMMYFUNCTION("""COMPUTED_VALUE"""),"New Delhi")</f>
        <v>New Delhi</v>
      </c>
      <c r="N18" s="124" t="str">
        <f>IFERROR(__xludf.DUMMYFUNCTION("""COMPUTED_VALUE"""),"kumarsetu16.ka@gmail.com")</f>
        <v>kumarsetu16.ka@gmail.com</v>
      </c>
      <c r="O18" s="124" t="str">
        <f>IFERROR(__xludf.DUMMYFUNCTION("""COMPUTED_VALUE"""),"Kumar Setu")</f>
        <v>Kumar Setu</v>
      </c>
      <c r="P18" s="124">
        <f>IFERROR(__xludf.DUMMYFUNCTION("""COMPUTED_VALUE"""),122970.0)</f>
        <v>122970</v>
      </c>
      <c r="Q18" s="124" t="str">
        <f>IFERROR(__xludf.DUMMYFUNCTION("""COMPUTED_VALUE"""),"upsc-gs-foundation-hinglish-target-2027-gsf-upsc-e02-orn")</f>
        <v>upsc-gs-foundation-hinglish-target-2027-gsf-upsc-e02-orn</v>
      </c>
      <c r="R18" s="124" t="str">
        <f>IFERROR(__xludf.DUMMYFUNCTION("""COMPUTED_VALUE"""),"GS Foundation Course")</f>
        <v>GS Foundation Course</v>
      </c>
      <c r="S18" s="124">
        <f>IFERROR(__xludf.DUMMYFUNCTION("""COMPUTED_VALUE"""),8.287887061E9)</f>
        <v>8287887061</v>
      </c>
      <c r="T18" s="124" t="str">
        <f>IFERROR(__xludf.DUMMYFUNCTION("""COMPUTED_VALUE"""),"Collexo")</f>
        <v>Collexo</v>
      </c>
      <c r="U18" s="124" t="str">
        <f>IFERROR(__xludf.DUMMYFUNCTION("""COMPUTED_VALUE"""),"Success")</f>
        <v>Success</v>
      </c>
      <c r="V18" s="131">
        <f>IFERROR(__xludf.DUMMYFUNCTION("""COMPUTED_VALUE"""),46076.0)</f>
        <v>46076</v>
      </c>
      <c r="W18" s="124">
        <f>IFERROR(__xludf.DUMMYFUNCTION("""COMPUTED_VALUE"""),0.0)</f>
        <v>0</v>
      </c>
    </row>
    <row r="19">
      <c r="A19" s="124" t="str">
        <f t="shared" si="1"/>
        <v>alishaahmad1814@gmal.com</v>
      </c>
      <c r="B19" s="131">
        <f>IFERROR(__xludf.DUMMYFUNCTION("""COMPUTED_VALUE"""),46106.0)</f>
        <v>46106</v>
      </c>
      <c r="C19" s="124" t="str">
        <f>IFERROR(__xludf.DUMMYFUNCTION("""COMPUTED_VALUE"""),"Payment data from Collexo")</f>
        <v>Payment data from Collexo</v>
      </c>
      <c r="D19" s="124" t="str">
        <f>IFERROR(__xludf.DUMMYFUNCTION("""COMPUTED_VALUE"""),"Not Available")</f>
        <v>Not Available</v>
      </c>
      <c r="E19" s="124">
        <f>IFERROR(__xludf.DUMMYFUNCTION("""COMPUTED_VALUE"""),1500613.0)</f>
        <v>1500613</v>
      </c>
      <c r="F19" s="124">
        <f>IFERROR(__xludf.DUMMYFUNCTION("""COMPUTED_VALUE"""),133169.0)</f>
        <v>133169</v>
      </c>
      <c r="G19" s="124">
        <f>IFERROR(__xludf.DUMMYFUNCTION("""COMPUTED_VALUE"""),40000.0)</f>
        <v>40000</v>
      </c>
      <c r="H19" s="124" t="str">
        <f>IFERROR(__xludf.DUMMYFUNCTION("""COMPUTED_VALUE"""),"Not Available")</f>
        <v>Not Available</v>
      </c>
      <c r="I19" s="124">
        <f>IFERROR(__xludf.DUMMYFUNCTION("""COMPUTED_VALUE"""),0.0)</f>
        <v>0</v>
      </c>
      <c r="J19" s="124">
        <f>IFERROR(__xludf.DUMMYFUNCTION("""COMPUTED_VALUE"""),40000.0)</f>
        <v>40000</v>
      </c>
      <c r="K19" s="124">
        <f>IFERROR(__xludf.DUMMYFUNCTION("""COMPUTED_VALUE"""),1.0)</f>
        <v>1</v>
      </c>
      <c r="L19" s="124">
        <f>IFERROR(__xludf.DUMMYFUNCTION("""COMPUTED_VALUE"""),722.0)</f>
        <v>722</v>
      </c>
      <c r="M19" s="124" t="str">
        <f>IFERROR(__xludf.DUMMYFUNCTION("""COMPUTED_VALUE"""),"Prayagraj")</f>
        <v>Prayagraj</v>
      </c>
      <c r="N19" s="124" t="str">
        <f>IFERROR(__xludf.DUMMYFUNCTION("""COMPUTED_VALUE"""),"alishaahmad1814@gmal.com")</f>
        <v>alishaahmad1814@gmal.com</v>
      </c>
      <c r="O19" s="124" t="str">
        <f>IFERROR(__xludf.DUMMYFUNCTION("""COMPUTED_VALUE"""),"Alisha")</f>
        <v>Alisha</v>
      </c>
      <c r="P19" s="124">
        <f>IFERROR(__xludf.DUMMYFUNCTION("""COMPUTED_VALUE"""),133169.0)</f>
        <v>133169</v>
      </c>
      <c r="Q19" s="124" t="str">
        <f>IFERROR(__xludf.DUMMYFUNCTION("""COMPUTED_VALUE"""),"upsc-gs-foundation-hinglish-target-2027-gsf-upsc-e03-pry")</f>
        <v>upsc-gs-foundation-hinglish-target-2027-gsf-upsc-e03-pry</v>
      </c>
      <c r="R19" s="124" t="str">
        <f>IFERROR(__xludf.DUMMYFUNCTION("""COMPUTED_VALUE"""),"GS Foundation Course")</f>
        <v>GS Foundation Course</v>
      </c>
      <c r="S19" s="124">
        <f>IFERROR(__xludf.DUMMYFUNCTION("""COMPUTED_VALUE"""),9.260914814E9)</f>
        <v>9260914814</v>
      </c>
      <c r="T19" s="124" t="str">
        <f>IFERROR(__xludf.DUMMYFUNCTION("""COMPUTED_VALUE"""),"Not Available")</f>
        <v>Not Available</v>
      </c>
      <c r="U19" s="124" t="str">
        <f>IFERROR(__xludf.DUMMYFUNCTION("""COMPUTED_VALUE"""),"Not Available")</f>
        <v>Not Available</v>
      </c>
      <c r="V19" s="124" t="str">
        <f>IFERROR(__xludf.DUMMYFUNCTION("""COMPUTED_VALUE"""),"Not Available")</f>
        <v>Not Available</v>
      </c>
      <c r="W19" s="124" t="str">
        <f>IFERROR(__xludf.DUMMYFUNCTION("""COMPUTED_VALUE"""),"Not Available")</f>
        <v>Not Available</v>
      </c>
    </row>
    <row r="20">
      <c r="A20" s="124" t="str">
        <f t="shared" si="1"/>
        <v>ritikadalal0216@gmail.com</v>
      </c>
      <c r="B20" s="131">
        <f>IFERROR(__xludf.DUMMYFUNCTION("""COMPUTED_VALUE"""),46086.0)</f>
        <v>46086</v>
      </c>
      <c r="C20" s="124" t="str">
        <f>IFERROR(__xludf.DUMMYFUNCTION("""COMPUTED_VALUE"""),"Payment data from Collexo")</f>
        <v>Payment data from Collexo</v>
      </c>
      <c r="D20" s="124" t="str">
        <f>IFERROR(__xludf.DUMMYFUNCTION("""COMPUTED_VALUE"""),"Not Available")</f>
        <v>Not Available</v>
      </c>
      <c r="E20" s="124">
        <f>IFERROR(__xludf.DUMMYFUNCTION("""COMPUTED_VALUE"""),1500609.0)</f>
        <v>1500609</v>
      </c>
      <c r="F20" s="124" t="str">
        <f>IFERROR(__xludf.DUMMYFUNCTION("""COMPUTED_VALUE"""),"12617_988_7")</f>
        <v>12617_988_7</v>
      </c>
      <c r="G20" s="124">
        <f>IFERROR(__xludf.DUMMYFUNCTION("""COMPUTED_VALUE"""),1.0)</f>
        <v>1</v>
      </c>
      <c r="H20" s="124" t="str">
        <f>IFERROR(__xludf.DUMMYFUNCTION("""COMPUTED_VALUE"""),"Not Available")</f>
        <v>Not Available</v>
      </c>
      <c r="I20" s="124">
        <f>IFERROR(__xludf.DUMMYFUNCTION("""COMPUTED_VALUE"""),0.0)</f>
        <v>0</v>
      </c>
      <c r="J20" s="124">
        <f>IFERROR(__xludf.DUMMYFUNCTION("""COMPUTED_VALUE"""),1.0)</f>
        <v>1</v>
      </c>
      <c r="K20" s="124">
        <f>IFERROR(__xludf.DUMMYFUNCTION("""COMPUTED_VALUE"""),1.0)</f>
        <v>1</v>
      </c>
      <c r="L20" s="124">
        <f>IFERROR(__xludf.DUMMYFUNCTION("""COMPUTED_VALUE"""),411.0)</f>
        <v>411</v>
      </c>
      <c r="M20" s="124" t="str">
        <f>IFERROR(__xludf.DUMMYFUNCTION("""COMPUTED_VALUE"""),"New Delhi")</f>
        <v>New Delhi</v>
      </c>
      <c r="N20" s="124" t="str">
        <f>IFERROR(__xludf.DUMMYFUNCTION("""COMPUTED_VALUE"""),"ritikadalal0216@gmail.com")</f>
        <v>ritikadalal0216@gmail.com</v>
      </c>
      <c r="O20" s="124" t="str">
        <f>IFERROR(__xludf.DUMMYFUNCTION("""COMPUTED_VALUE"""),"Ritika")</f>
        <v>Ritika</v>
      </c>
      <c r="P20" s="124">
        <f>IFERROR(__xludf.DUMMYFUNCTION("""COMPUTED_VALUE"""),126075.0)</f>
        <v>126075</v>
      </c>
      <c r="Q20" s="124" t="str">
        <f>IFERROR(__xludf.DUMMYFUNCTION("""COMPUTED_VALUE"""),"upsc-gs-foundation-hinglish-target-2028-gsf-upsc-m05-orn")</f>
        <v>upsc-gs-foundation-hinglish-target-2028-gsf-upsc-m05-orn</v>
      </c>
      <c r="R20" s="124" t="str">
        <f>IFERROR(__xludf.DUMMYFUNCTION("""COMPUTED_VALUE"""),"GS Foundation Course")</f>
        <v>GS Foundation Course</v>
      </c>
      <c r="S20" s="124">
        <f>IFERROR(__xludf.DUMMYFUNCTION("""COMPUTED_VALUE"""),7.011882881E9)</f>
        <v>7011882881</v>
      </c>
      <c r="T20" s="124" t="str">
        <f>IFERROR(__xludf.DUMMYFUNCTION("""COMPUTED_VALUE"""),"Collexo")</f>
        <v>Collexo</v>
      </c>
      <c r="U20" s="124" t="str">
        <f>IFERROR(__xludf.DUMMYFUNCTION("""COMPUTED_VALUE"""),"Success")</f>
        <v>Success</v>
      </c>
      <c r="V20" s="131">
        <f>IFERROR(__xludf.DUMMYFUNCTION("""COMPUTED_VALUE"""),46086.0)</f>
        <v>46086</v>
      </c>
      <c r="W20" s="124">
        <f>IFERROR(__xludf.DUMMYFUNCTION("""COMPUTED_VALUE"""),0.0)</f>
        <v>0</v>
      </c>
    </row>
    <row r="21">
      <c r="A21" s="124" t="str">
        <f t="shared" si="1"/>
        <v>sahilmeher229@gmail.com</v>
      </c>
      <c r="B21" s="131">
        <f>IFERROR(__xludf.DUMMYFUNCTION("""COMPUTED_VALUE"""),46105.0)</f>
        <v>46105</v>
      </c>
      <c r="C21" s="124" t="str">
        <f>IFERROR(__xludf.DUMMYFUNCTION("""COMPUTED_VALUE"""),"Payment data from Collexo")</f>
        <v>Payment data from Collexo</v>
      </c>
      <c r="D21" s="124" t="str">
        <f>IFERROR(__xludf.DUMMYFUNCTION("""COMPUTED_VALUE"""),"Not Available")</f>
        <v>Not Available</v>
      </c>
      <c r="E21" s="124">
        <f>IFERROR(__xludf.DUMMYFUNCTION("""COMPUTED_VALUE"""),1500609.0)</f>
        <v>1500609</v>
      </c>
      <c r="F21" s="124" t="str">
        <f>IFERROR(__xludf.DUMMYFUNCTION("""COMPUTED_VALUE"""),"16343_988_7")</f>
        <v>16343_988_7</v>
      </c>
      <c r="G21" s="124">
        <f>IFERROR(__xludf.DUMMYFUNCTION("""COMPUTED_VALUE"""),1.0)</f>
        <v>1</v>
      </c>
      <c r="H21" s="124" t="str">
        <f>IFERROR(__xludf.DUMMYFUNCTION("""COMPUTED_VALUE"""),"Not Available")</f>
        <v>Not Available</v>
      </c>
      <c r="I21" s="124">
        <f>IFERROR(__xludf.DUMMYFUNCTION("""COMPUTED_VALUE"""),0.0)</f>
        <v>0</v>
      </c>
      <c r="J21" s="124">
        <f>IFERROR(__xludf.DUMMYFUNCTION("""COMPUTED_VALUE"""),1.0)</f>
        <v>1</v>
      </c>
      <c r="K21" s="124">
        <f>IFERROR(__xludf.DUMMYFUNCTION("""COMPUTED_VALUE"""),1.0)</f>
        <v>1</v>
      </c>
      <c r="L21" s="124">
        <f>IFERROR(__xludf.DUMMYFUNCTION("""COMPUTED_VALUE"""),708.0)</f>
        <v>708</v>
      </c>
      <c r="M21" s="124" t="str">
        <f>IFERROR(__xludf.DUMMYFUNCTION("""COMPUTED_VALUE"""),"New Delhi")</f>
        <v>New Delhi</v>
      </c>
      <c r="N21" s="124" t="str">
        <f>IFERROR(__xludf.DUMMYFUNCTION("""COMPUTED_VALUE"""),"sahilmeher229@gmail.com")</f>
        <v>sahilmeher229@gmail.com</v>
      </c>
      <c r="O21" s="124" t="str">
        <f>IFERROR(__xludf.DUMMYFUNCTION("""COMPUTED_VALUE"""),"Sahil")</f>
        <v>Sahil</v>
      </c>
      <c r="P21" s="124">
        <f>IFERROR(__xludf.DUMMYFUNCTION("""COMPUTED_VALUE"""),130021.0)</f>
        <v>130021</v>
      </c>
      <c r="Q21" s="124" t="str">
        <f>IFERROR(__xludf.DUMMYFUNCTION("""COMPUTED_VALUE"""),"upsc-gs-foundation-hinglish-target-2028-gsf-upsc-e05-orn")</f>
        <v>upsc-gs-foundation-hinglish-target-2028-gsf-upsc-e05-orn</v>
      </c>
      <c r="R21" s="124" t="str">
        <f>IFERROR(__xludf.DUMMYFUNCTION("""COMPUTED_VALUE"""),"GS Foundation Course")</f>
        <v>GS Foundation Course</v>
      </c>
      <c r="S21" s="124">
        <f>IFERROR(__xludf.DUMMYFUNCTION("""COMPUTED_VALUE"""),8.260489709E9)</f>
        <v>8260489709</v>
      </c>
      <c r="T21" s="124" t="str">
        <f>IFERROR(__xludf.DUMMYFUNCTION("""COMPUTED_VALUE"""),"Collexo")</f>
        <v>Collexo</v>
      </c>
      <c r="U21" s="124" t="str">
        <f>IFERROR(__xludf.DUMMYFUNCTION("""COMPUTED_VALUE"""),"Success")</f>
        <v>Success</v>
      </c>
      <c r="V21" s="131">
        <f>IFERROR(__xludf.DUMMYFUNCTION("""COMPUTED_VALUE"""),46105.0)</f>
        <v>46105</v>
      </c>
      <c r="W21" s="124">
        <f>IFERROR(__xludf.DUMMYFUNCTION("""COMPUTED_VALUE"""),0.0)</f>
        <v>0</v>
      </c>
    </row>
    <row r="22">
      <c r="A22" s="124" t="str">
        <f t="shared" si="1"/>
        <v>nileshyadav8765@gmail.com</v>
      </c>
      <c r="B22" s="131">
        <f>IFERROR(__xludf.DUMMYFUNCTION("""COMPUTED_VALUE"""),46107.0)</f>
        <v>46107</v>
      </c>
      <c r="C22" s="124" t="str">
        <f>IFERROR(__xludf.DUMMYFUNCTION("""COMPUTED_VALUE"""),"Payment data from Collexo")</f>
        <v>Payment data from Collexo</v>
      </c>
      <c r="D22" s="124" t="str">
        <f>IFERROR(__xludf.DUMMYFUNCTION("""COMPUTED_VALUE"""),"Not Available")</f>
        <v>Not Available</v>
      </c>
      <c r="E22" s="124">
        <f>IFERROR(__xludf.DUMMYFUNCTION("""COMPUTED_VALUE"""),1500613.0)</f>
        <v>1500613</v>
      </c>
      <c r="F22" s="124">
        <f>IFERROR(__xludf.DUMMYFUNCTION("""COMPUTED_VALUE"""),88177.0)</f>
        <v>88177</v>
      </c>
      <c r="G22" s="124">
        <f>IFERROR(__xludf.DUMMYFUNCTION("""COMPUTED_VALUE"""),30000.0)</f>
        <v>30000</v>
      </c>
      <c r="H22" s="124" t="str">
        <f>IFERROR(__xludf.DUMMYFUNCTION("""COMPUTED_VALUE"""),"Not Available")</f>
        <v>Not Available</v>
      </c>
      <c r="I22" s="124">
        <f>IFERROR(__xludf.DUMMYFUNCTION("""COMPUTED_VALUE"""),0.0)</f>
        <v>0</v>
      </c>
      <c r="J22" s="124">
        <f>IFERROR(__xludf.DUMMYFUNCTION("""COMPUTED_VALUE"""),65000.0)</f>
        <v>65000</v>
      </c>
      <c r="K22" s="124">
        <f>IFERROR(__xludf.DUMMYFUNCTION("""COMPUTED_VALUE"""),2.0)</f>
        <v>2</v>
      </c>
      <c r="L22" s="124">
        <f>IFERROR(__xludf.DUMMYFUNCTION("""COMPUTED_VALUE"""),762.0)</f>
        <v>762</v>
      </c>
      <c r="M22" s="124" t="str">
        <f>IFERROR(__xludf.DUMMYFUNCTION("""COMPUTED_VALUE"""),"Prayagraj")</f>
        <v>Prayagraj</v>
      </c>
      <c r="N22" s="124" t="str">
        <f>IFERROR(__xludf.DUMMYFUNCTION("""COMPUTED_VALUE"""),"nileshyadav8765@gmail.com")</f>
        <v>nileshyadav8765@gmail.com</v>
      </c>
      <c r="O22" s="124" t="str">
        <f>IFERROR(__xludf.DUMMYFUNCTION("""COMPUTED_VALUE"""),"Nilesh yadav")</f>
        <v>Nilesh yadav</v>
      </c>
      <c r="P22" s="124">
        <f>IFERROR(__xludf.DUMMYFUNCTION("""COMPUTED_VALUE"""),88177.0)</f>
        <v>88177</v>
      </c>
      <c r="Q22" s="124" t="str">
        <f>IFERROR(__xludf.DUMMYFUNCTION("""COMPUTED_VALUE"""),"upsc-gs-foundation-hindi-target-2027-gsf-upsc-m02-pry")</f>
        <v>upsc-gs-foundation-hindi-target-2027-gsf-upsc-m02-pry</v>
      </c>
      <c r="R22" s="124" t="str">
        <f>IFERROR(__xludf.DUMMYFUNCTION("""COMPUTED_VALUE"""),"GS Foundation Course")</f>
        <v>GS Foundation Course</v>
      </c>
      <c r="S22" s="124">
        <f>IFERROR(__xludf.DUMMYFUNCTION("""COMPUTED_VALUE"""),7.355115452E9)</f>
        <v>7355115452</v>
      </c>
      <c r="T22" s="124" t="str">
        <f>IFERROR(__xludf.DUMMYFUNCTION("""COMPUTED_VALUE"""),"Not Available")</f>
        <v>Not Available</v>
      </c>
      <c r="U22" s="124" t="str">
        <f>IFERROR(__xludf.DUMMYFUNCTION("""COMPUTED_VALUE"""),"Not Available")</f>
        <v>Not Available</v>
      </c>
      <c r="V22" s="124" t="str">
        <f>IFERROR(__xludf.DUMMYFUNCTION("""COMPUTED_VALUE"""),"Not Available")</f>
        <v>Not Available</v>
      </c>
      <c r="W22" s="124" t="str">
        <f>IFERROR(__xludf.DUMMYFUNCTION("""COMPUTED_VALUE"""),"Not Available")</f>
        <v>Not Available</v>
      </c>
    </row>
    <row r="23">
      <c r="A23" s="124" t="str">
        <f t="shared" si="1"/>
        <v>namishkarajput8d@gmail.com</v>
      </c>
      <c r="B23" s="131">
        <f>IFERROR(__xludf.DUMMYFUNCTION("""COMPUTED_VALUE"""),46105.0)</f>
        <v>46105</v>
      </c>
      <c r="C23" s="124" t="str">
        <f>IFERROR(__xludf.DUMMYFUNCTION("""COMPUTED_VALUE"""),"Payment data from Collexo")</f>
        <v>Payment data from Collexo</v>
      </c>
      <c r="D23" s="124" t="str">
        <f>IFERROR(__xludf.DUMMYFUNCTION("""COMPUTED_VALUE"""),"Not Available")</f>
        <v>Not Available</v>
      </c>
      <c r="E23" s="124">
        <f>IFERROR(__xludf.DUMMYFUNCTION("""COMPUTED_VALUE"""),1500609.0)</f>
        <v>1500609</v>
      </c>
      <c r="F23" s="124" t="str">
        <f>IFERROR(__xludf.DUMMYFUNCTION("""COMPUTED_VALUE"""),"16352_988_7")</f>
        <v>16352_988_7</v>
      </c>
      <c r="G23" s="124">
        <f>IFERROR(__xludf.DUMMYFUNCTION("""COMPUTED_VALUE"""),1.0)</f>
        <v>1</v>
      </c>
      <c r="H23" s="124" t="str">
        <f>IFERROR(__xludf.DUMMYFUNCTION("""COMPUTED_VALUE"""),"Not Available")</f>
        <v>Not Available</v>
      </c>
      <c r="I23" s="124">
        <f>IFERROR(__xludf.DUMMYFUNCTION("""COMPUTED_VALUE"""),0.0)</f>
        <v>0</v>
      </c>
      <c r="J23" s="124">
        <f>IFERROR(__xludf.DUMMYFUNCTION("""COMPUTED_VALUE"""),1.0)</f>
        <v>1</v>
      </c>
      <c r="K23" s="124">
        <f>IFERROR(__xludf.DUMMYFUNCTION("""COMPUTED_VALUE"""),1.0)</f>
        <v>1</v>
      </c>
      <c r="L23" s="124">
        <f>IFERROR(__xludf.DUMMYFUNCTION("""COMPUTED_VALUE"""),712.0)</f>
        <v>712</v>
      </c>
      <c r="M23" s="124" t="str">
        <f>IFERROR(__xludf.DUMMYFUNCTION("""COMPUTED_VALUE"""),"New Delhi")</f>
        <v>New Delhi</v>
      </c>
      <c r="N23" s="124" t="str">
        <f>IFERROR(__xludf.DUMMYFUNCTION("""COMPUTED_VALUE"""),"namishkarajput8d@gmail.com")</f>
        <v>namishkarajput8d@gmail.com</v>
      </c>
      <c r="O23" s="124" t="str">
        <f>IFERROR(__xludf.DUMMYFUNCTION("""COMPUTED_VALUE"""),"Namishka")</f>
        <v>Namishka</v>
      </c>
      <c r="P23" s="124">
        <f>IFERROR(__xludf.DUMMYFUNCTION("""COMPUTED_VALUE"""),31782.0)</f>
        <v>31782</v>
      </c>
      <c r="Q23" s="124" t="str">
        <f>IFERROR(__xludf.DUMMYFUNCTION("""COMPUTED_VALUE"""),"upsc-gs-foundation-hinglish-target-2028-gsf-upsc-e05-orn")</f>
        <v>upsc-gs-foundation-hinglish-target-2028-gsf-upsc-e05-orn</v>
      </c>
      <c r="R23" s="124" t="str">
        <f>IFERROR(__xludf.DUMMYFUNCTION("""COMPUTED_VALUE"""),"GS Foundation Course")</f>
        <v>GS Foundation Course</v>
      </c>
      <c r="S23" s="124">
        <f>IFERROR(__xludf.DUMMYFUNCTION("""COMPUTED_VALUE"""),9.654206738E9)</f>
        <v>9654206738</v>
      </c>
      <c r="T23" s="124" t="str">
        <f>IFERROR(__xludf.DUMMYFUNCTION("""COMPUTED_VALUE"""),"Collexo")</f>
        <v>Collexo</v>
      </c>
      <c r="U23" s="124" t="str">
        <f>IFERROR(__xludf.DUMMYFUNCTION("""COMPUTED_VALUE"""),"Success")</f>
        <v>Success</v>
      </c>
      <c r="V23" s="131">
        <f>IFERROR(__xludf.DUMMYFUNCTION("""COMPUTED_VALUE"""),46105.0)</f>
        <v>46105</v>
      </c>
      <c r="W23" s="124">
        <f>IFERROR(__xludf.DUMMYFUNCTION("""COMPUTED_VALUE"""),0.0)</f>
        <v>0</v>
      </c>
    </row>
    <row r="24">
      <c r="A24" s="124" t="str">
        <f t="shared" si="1"/>
        <v>sahilmeher229@gmail.com</v>
      </c>
      <c r="B24" s="131">
        <f>IFERROR(__xludf.DUMMYFUNCTION("""COMPUTED_VALUE"""),46105.0)</f>
        <v>46105</v>
      </c>
      <c r="C24" s="124" t="str">
        <f>IFERROR(__xludf.DUMMYFUNCTION("""COMPUTED_VALUE"""),"Payment data from Collexo")</f>
        <v>Payment data from Collexo</v>
      </c>
      <c r="D24" s="124" t="str">
        <f>IFERROR(__xludf.DUMMYFUNCTION("""COMPUTED_VALUE"""),"Not Available")</f>
        <v>Not Available</v>
      </c>
      <c r="E24" s="124">
        <f>IFERROR(__xludf.DUMMYFUNCTION("""COMPUTED_VALUE"""),1500609.0)</f>
        <v>1500609</v>
      </c>
      <c r="F24" s="124" t="str">
        <f>IFERROR(__xludf.DUMMYFUNCTION("""COMPUTED_VALUE"""),"16342_988_7")</f>
        <v>16342_988_7</v>
      </c>
      <c r="G24" s="124">
        <f>IFERROR(__xludf.DUMMYFUNCTION("""COMPUTED_VALUE"""),25000.0)</f>
        <v>25000</v>
      </c>
      <c r="H24" s="131">
        <f>IFERROR(__xludf.DUMMYFUNCTION("""COMPUTED_VALUE"""),46112.0)</f>
        <v>46112</v>
      </c>
      <c r="I24" s="124">
        <f>IFERROR(__xludf.DUMMYFUNCTION("""COMPUTED_VALUE"""),100000.0)</f>
        <v>100000</v>
      </c>
      <c r="J24" s="124">
        <f>IFERROR(__xludf.DUMMYFUNCTION("""COMPUTED_VALUE"""),125000.0)</f>
        <v>125000</v>
      </c>
      <c r="K24" s="124">
        <f>IFERROR(__xludf.DUMMYFUNCTION("""COMPUTED_VALUE"""),2.0)</f>
        <v>2</v>
      </c>
      <c r="L24" s="124">
        <f>IFERROR(__xludf.DUMMYFUNCTION("""COMPUTED_VALUE"""),707.0)</f>
        <v>707</v>
      </c>
      <c r="M24" s="124" t="str">
        <f>IFERROR(__xludf.DUMMYFUNCTION("""COMPUTED_VALUE"""),"New Delhi")</f>
        <v>New Delhi</v>
      </c>
      <c r="N24" s="124" t="str">
        <f>IFERROR(__xludf.DUMMYFUNCTION("""COMPUTED_VALUE"""),"sahilmeher229@gmail.com")</f>
        <v>sahilmeher229@gmail.com</v>
      </c>
      <c r="O24" s="124" t="str">
        <f>IFERROR(__xludf.DUMMYFUNCTION("""COMPUTED_VALUE"""),"Sahil")</f>
        <v>Sahil</v>
      </c>
      <c r="P24" s="124">
        <f>IFERROR(__xludf.DUMMYFUNCTION("""COMPUTED_VALUE"""),130021.0)</f>
        <v>130021</v>
      </c>
      <c r="Q24" s="124" t="str">
        <f>IFERROR(__xludf.DUMMYFUNCTION("""COMPUTED_VALUE"""),"upsc-gs-foundation-hinglish-target-2028-gsf-upsc-e05-orn")</f>
        <v>upsc-gs-foundation-hinglish-target-2028-gsf-upsc-e05-orn</v>
      </c>
      <c r="R24" s="124" t="str">
        <f>IFERROR(__xludf.DUMMYFUNCTION("""COMPUTED_VALUE"""),"GS Foundation Course")</f>
        <v>GS Foundation Course</v>
      </c>
      <c r="S24" s="124">
        <f>IFERROR(__xludf.DUMMYFUNCTION("""COMPUTED_VALUE"""),8.260489709E9)</f>
        <v>8260489709</v>
      </c>
      <c r="T24" s="124" t="str">
        <f>IFERROR(__xludf.DUMMYFUNCTION("""COMPUTED_VALUE"""),"Not Available")</f>
        <v>Not Available</v>
      </c>
      <c r="U24" s="124" t="str">
        <f>IFERROR(__xludf.DUMMYFUNCTION("""COMPUTED_VALUE"""),"Not Available")</f>
        <v>Not Available</v>
      </c>
      <c r="V24" s="124" t="str">
        <f>IFERROR(__xludf.DUMMYFUNCTION("""COMPUTED_VALUE"""),"Not Available")</f>
        <v>Not Available</v>
      </c>
      <c r="W24" s="124" t="str">
        <f>IFERROR(__xludf.DUMMYFUNCTION("""COMPUTED_VALUE"""),"Not Available")</f>
        <v>Not Available</v>
      </c>
    </row>
    <row r="25">
      <c r="A25" s="124" t="str">
        <f t="shared" si="1"/>
        <v>piyushchouhan2593@gmail.com</v>
      </c>
      <c r="B25" s="131">
        <f>IFERROR(__xludf.DUMMYFUNCTION("""COMPUTED_VALUE"""),46076.0)</f>
        <v>46076</v>
      </c>
      <c r="C25" s="124" t="str">
        <f>IFERROR(__xludf.DUMMYFUNCTION("""COMPUTED_VALUE"""),"Payment data from Collexo")</f>
        <v>Payment data from Collexo</v>
      </c>
      <c r="D25" s="124" t="str">
        <f>IFERROR(__xludf.DUMMYFUNCTION("""COMPUTED_VALUE"""),"Not Available")</f>
        <v>Not Available</v>
      </c>
      <c r="E25" s="124">
        <f>IFERROR(__xludf.DUMMYFUNCTION("""COMPUTED_VALUE"""),1500612.0)</f>
        <v>1500612</v>
      </c>
      <c r="F25" s="124">
        <f>IFERROR(__xludf.DUMMYFUNCTION("""COMPUTED_VALUE"""),78492.0)</f>
        <v>78492</v>
      </c>
      <c r="G25" s="124">
        <f>IFERROR(__xludf.DUMMYFUNCTION("""COMPUTED_VALUE"""),1000.0)</f>
        <v>1000</v>
      </c>
      <c r="H25" s="131">
        <f>IFERROR(__xludf.DUMMYFUNCTION("""COMPUTED_VALUE"""),46081.0)</f>
        <v>46081</v>
      </c>
      <c r="I25" s="124">
        <f>IFERROR(__xludf.DUMMYFUNCTION("""COMPUTED_VALUE"""),79000.0)</f>
        <v>79000</v>
      </c>
      <c r="J25" s="124">
        <f>IFERROR(__xludf.DUMMYFUNCTION("""COMPUTED_VALUE"""),80000.0)</f>
        <v>80000</v>
      </c>
      <c r="K25" s="124">
        <f>IFERROR(__xludf.DUMMYFUNCTION("""COMPUTED_VALUE"""),2.0)</f>
        <v>2</v>
      </c>
      <c r="L25" s="124">
        <f>IFERROR(__xludf.DUMMYFUNCTION("""COMPUTED_VALUE"""),321.0)</f>
        <v>321</v>
      </c>
      <c r="M25" s="124" t="str">
        <f>IFERROR(__xludf.DUMMYFUNCTION("""COMPUTED_VALUE"""),"Indore")</f>
        <v>Indore</v>
      </c>
      <c r="N25" s="124" t="str">
        <f>IFERROR(__xludf.DUMMYFUNCTION("""COMPUTED_VALUE"""),"piyushchouhan2593@gmail.com")</f>
        <v>piyushchouhan2593@gmail.com</v>
      </c>
      <c r="O25" s="124" t="str">
        <f>IFERROR(__xludf.DUMMYFUNCTION("""COMPUTED_VALUE"""),"Piyush")</f>
        <v>Piyush</v>
      </c>
      <c r="P25" s="124">
        <f>IFERROR(__xludf.DUMMYFUNCTION("""COMPUTED_VALUE"""),78492.0)</f>
        <v>78492</v>
      </c>
      <c r="Q25" s="124" t="str">
        <f>IFERROR(__xludf.DUMMYFUNCTION("""COMPUTED_VALUE"""),"upsc-gs-foundation-hindi-target-2028-gsf-upsc-m02-ind")</f>
        <v>upsc-gs-foundation-hindi-target-2028-gsf-upsc-m02-ind</v>
      </c>
      <c r="R25" s="124" t="str">
        <f>IFERROR(__xludf.DUMMYFUNCTION("""COMPUTED_VALUE"""),"GS Foundation Course")</f>
        <v>GS Foundation Course</v>
      </c>
      <c r="S25" s="124">
        <f>IFERROR(__xludf.DUMMYFUNCTION("""COMPUTED_VALUE"""),6.262548575E9)</f>
        <v>6262548575</v>
      </c>
      <c r="T25" s="124" t="str">
        <f>IFERROR(__xludf.DUMMYFUNCTION("""COMPUTED_VALUE"""),"Not Available")</f>
        <v>Not Available</v>
      </c>
      <c r="U25" s="124" t="str">
        <f>IFERROR(__xludf.DUMMYFUNCTION("""COMPUTED_VALUE"""),"Not Available")</f>
        <v>Not Available</v>
      </c>
      <c r="V25" s="124" t="str">
        <f>IFERROR(__xludf.DUMMYFUNCTION("""COMPUTED_VALUE"""),"Not Available")</f>
        <v>Not Available</v>
      </c>
      <c r="W25" s="124" t="str">
        <f>IFERROR(__xludf.DUMMYFUNCTION("""COMPUTED_VALUE"""),"Not Available")</f>
        <v>Not Available</v>
      </c>
    </row>
    <row r="26">
      <c r="A26" s="124" t="str">
        <f t="shared" si="1"/>
        <v>harshitarai7272@gmail.com</v>
      </c>
      <c r="B26" s="131">
        <f>IFERROR(__xludf.DUMMYFUNCTION("""COMPUTED_VALUE"""),46099.0)</f>
        <v>46099</v>
      </c>
      <c r="C26" s="124" t="str">
        <f>IFERROR(__xludf.DUMMYFUNCTION("""COMPUTED_VALUE"""),"Payment data from Collexo")</f>
        <v>Payment data from Collexo</v>
      </c>
      <c r="D26" s="124" t="str">
        <f>IFERROR(__xludf.DUMMYFUNCTION("""COMPUTED_VALUE"""),"Not Available")</f>
        <v>Not Available</v>
      </c>
      <c r="E26" s="124">
        <f>IFERROR(__xludf.DUMMYFUNCTION("""COMPUTED_VALUE"""),1500613.0)</f>
        <v>1500613</v>
      </c>
      <c r="F26" s="124">
        <f>IFERROR(__xludf.DUMMYFUNCTION("""COMPUTED_VALUE"""),129240.0)</f>
        <v>129240</v>
      </c>
      <c r="G26" s="124">
        <f>IFERROR(__xludf.DUMMYFUNCTION("""COMPUTED_VALUE"""),7909.0)</f>
        <v>7909</v>
      </c>
      <c r="H26" s="131">
        <f>IFERROR(__xludf.DUMMYFUNCTION("""COMPUTED_VALUE"""),46100.0)</f>
        <v>46100</v>
      </c>
      <c r="I26" s="124">
        <f>IFERROR(__xludf.DUMMYFUNCTION("""COMPUTED_VALUE"""),41673.0)</f>
        <v>41673</v>
      </c>
      <c r="J26" s="124">
        <f>IFERROR(__xludf.DUMMYFUNCTION("""COMPUTED_VALUE"""),55000.0)</f>
        <v>55000</v>
      </c>
      <c r="K26" s="124">
        <f>IFERROR(__xludf.DUMMYFUNCTION("""COMPUTED_VALUE"""),3.0)</f>
        <v>3</v>
      </c>
      <c r="L26" s="124">
        <f>IFERROR(__xludf.DUMMYFUNCTION("""COMPUTED_VALUE"""),604.0)</f>
        <v>604</v>
      </c>
      <c r="M26" s="124" t="str">
        <f>IFERROR(__xludf.DUMMYFUNCTION("""COMPUTED_VALUE"""),"Prayagraj")</f>
        <v>Prayagraj</v>
      </c>
      <c r="N26" s="124" t="str">
        <f>IFERROR(__xludf.DUMMYFUNCTION("""COMPUTED_VALUE"""),"harshitarai7272@gmail.com")</f>
        <v>harshitarai7272@gmail.com</v>
      </c>
      <c r="O26" s="124" t="str">
        <f>IFERROR(__xludf.DUMMYFUNCTION("""COMPUTED_VALUE"""),"Harshita Rai")</f>
        <v>Harshita Rai</v>
      </c>
      <c r="P26" s="124">
        <f>IFERROR(__xludf.DUMMYFUNCTION("""COMPUTED_VALUE"""),129240.0)</f>
        <v>129240</v>
      </c>
      <c r="Q26" s="124" t="str">
        <f>IFERROR(__xludf.DUMMYFUNCTION("""COMPUTED_VALUE"""),"upsc-gs-foundation-hindi-target-2027-gsf-upsc-m02-pry")</f>
        <v>upsc-gs-foundation-hindi-target-2027-gsf-upsc-m02-pry</v>
      </c>
      <c r="R26" s="124" t="str">
        <f>IFERROR(__xludf.DUMMYFUNCTION("""COMPUTED_VALUE"""),"GS Foundation Course")</f>
        <v>GS Foundation Course</v>
      </c>
      <c r="S26" s="124">
        <f>IFERROR(__xludf.DUMMYFUNCTION("""COMPUTED_VALUE"""),9.45106071E9)</f>
        <v>9451060710</v>
      </c>
      <c r="T26" s="124" t="str">
        <f>IFERROR(__xludf.DUMMYFUNCTION("""COMPUTED_VALUE"""),"Not Available")</f>
        <v>Not Available</v>
      </c>
      <c r="U26" s="124" t="str">
        <f>IFERROR(__xludf.DUMMYFUNCTION("""COMPUTED_VALUE"""),"Not Available")</f>
        <v>Not Available</v>
      </c>
      <c r="V26" s="124" t="str">
        <f>IFERROR(__xludf.DUMMYFUNCTION("""COMPUTED_VALUE"""),"Not Available")</f>
        <v>Not Available</v>
      </c>
      <c r="W26" s="124" t="str">
        <f>IFERROR(__xludf.DUMMYFUNCTION("""COMPUTED_VALUE"""),"Not Available")</f>
        <v>Not Available</v>
      </c>
    </row>
    <row r="27">
      <c r="A27" s="124" t="str">
        <f t="shared" si="1"/>
        <v>harshitarai7272@gmail.com</v>
      </c>
      <c r="B27" s="131">
        <f>IFERROR(__xludf.DUMMYFUNCTION("""COMPUTED_VALUE"""),46107.0)</f>
        <v>46107</v>
      </c>
      <c r="C27" s="124" t="str">
        <f>IFERROR(__xludf.DUMMYFUNCTION("""COMPUTED_VALUE"""),"Payment data from Collexo")</f>
        <v>Payment data from Collexo</v>
      </c>
      <c r="D27" s="124" t="str">
        <f>IFERROR(__xludf.DUMMYFUNCTION("""COMPUTED_VALUE"""),"Not Available")</f>
        <v>Not Available</v>
      </c>
      <c r="E27" s="124">
        <f>IFERROR(__xludf.DUMMYFUNCTION("""COMPUTED_VALUE"""),1500613.0)</f>
        <v>1500613</v>
      </c>
      <c r="F27" s="124">
        <f>IFERROR(__xludf.DUMMYFUNCTION("""COMPUTED_VALUE"""),129240.0)</f>
        <v>129240</v>
      </c>
      <c r="G27" s="124">
        <f>IFERROR(__xludf.DUMMYFUNCTION("""COMPUTED_VALUE"""),35673.0)</f>
        <v>35673</v>
      </c>
      <c r="H27" s="124" t="str">
        <f>IFERROR(__xludf.DUMMYFUNCTION("""COMPUTED_VALUE"""),"Not Available")</f>
        <v>Not Available</v>
      </c>
      <c r="I27" s="124">
        <f>IFERROR(__xludf.DUMMYFUNCTION("""COMPUTED_VALUE"""),0.0)</f>
        <v>0</v>
      </c>
      <c r="J27" s="124">
        <f>IFERROR(__xludf.DUMMYFUNCTION("""COMPUTED_VALUE"""),49000.0)</f>
        <v>49000</v>
      </c>
      <c r="K27" s="124">
        <f>IFERROR(__xludf.DUMMYFUNCTION("""COMPUTED_VALUE"""),3.0)</f>
        <v>3</v>
      </c>
      <c r="L27" s="124">
        <f>IFERROR(__xludf.DUMMYFUNCTION("""COMPUTED_VALUE"""),760.0)</f>
        <v>760</v>
      </c>
      <c r="M27" s="124" t="str">
        <f>IFERROR(__xludf.DUMMYFUNCTION("""COMPUTED_VALUE"""),"Prayagraj")</f>
        <v>Prayagraj</v>
      </c>
      <c r="N27" s="124" t="str">
        <f>IFERROR(__xludf.DUMMYFUNCTION("""COMPUTED_VALUE"""),"harshitarai7272@gmail.com")</f>
        <v>harshitarai7272@gmail.com</v>
      </c>
      <c r="O27" s="124" t="str">
        <f>IFERROR(__xludf.DUMMYFUNCTION("""COMPUTED_VALUE"""),"Harshita Rai")</f>
        <v>Harshita Rai</v>
      </c>
      <c r="P27" s="124">
        <f>IFERROR(__xludf.DUMMYFUNCTION("""COMPUTED_VALUE"""),129240.0)</f>
        <v>129240</v>
      </c>
      <c r="Q27" s="124" t="str">
        <f>IFERROR(__xludf.DUMMYFUNCTION("""COMPUTED_VALUE"""),"upsc-gs-foundation-hindi-target-2027-gsf-upsc-m02-pry")</f>
        <v>upsc-gs-foundation-hindi-target-2027-gsf-upsc-m02-pry</v>
      </c>
      <c r="R27" s="124" t="str">
        <f>IFERROR(__xludf.DUMMYFUNCTION("""COMPUTED_VALUE"""),"GS Foundation Course")</f>
        <v>GS Foundation Course</v>
      </c>
      <c r="S27" s="124">
        <f>IFERROR(__xludf.DUMMYFUNCTION("""COMPUTED_VALUE"""),9.45106071E9)</f>
        <v>9451060710</v>
      </c>
      <c r="T27" s="124" t="str">
        <f>IFERROR(__xludf.DUMMYFUNCTION("""COMPUTED_VALUE"""),"Not Available")</f>
        <v>Not Available</v>
      </c>
      <c r="U27" s="124" t="str">
        <f>IFERROR(__xludf.DUMMYFUNCTION("""COMPUTED_VALUE"""),"Not Available")</f>
        <v>Not Available</v>
      </c>
      <c r="V27" s="124" t="str">
        <f>IFERROR(__xludf.DUMMYFUNCTION("""COMPUTED_VALUE"""),"Not Available")</f>
        <v>Not Available</v>
      </c>
      <c r="W27" s="124" t="str">
        <f>IFERROR(__xludf.DUMMYFUNCTION("""COMPUTED_VALUE"""),"Not Available")</f>
        <v>Not Available</v>
      </c>
    </row>
    <row r="28">
      <c r="A28" s="124" t="str">
        <f t="shared" si="1"/>
        <v>Sonukumar912217@gmail.com</v>
      </c>
      <c r="B28" s="131">
        <f>IFERROR(__xludf.DUMMYFUNCTION("""COMPUTED_VALUE"""),46097.0)</f>
        <v>46097</v>
      </c>
      <c r="C28" s="124" t="str">
        <f>IFERROR(__xludf.DUMMYFUNCTION("""COMPUTED_VALUE"""),"Payment data from Collexo")</f>
        <v>Payment data from Collexo</v>
      </c>
      <c r="D28" s="124" t="str">
        <f>IFERROR(__xludf.DUMMYFUNCTION("""COMPUTED_VALUE"""),"Not Available")</f>
        <v>Not Available</v>
      </c>
      <c r="E28" s="124">
        <f>IFERROR(__xludf.DUMMYFUNCTION("""COMPUTED_VALUE"""),1500609.0)</f>
        <v>1500609</v>
      </c>
      <c r="F28" s="124" t="str">
        <f>IFERROR(__xludf.DUMMYFUNCTION("""COMPUTED_VALUE"""),"14631_988_7")</f>
        <v>14631_988_7</v>
      </c>
      <c r="G28" s="124">
        <f>IFERROR(__xludf.DUMMYFUNCTION("""COMPUTED_VALUE"""),112000.0)</f>
        <v>112000</v>
      </c>
      <c r="H28" s="131">
        <f>IFERROR(__xludf.DUMMYFUNCTION("""COMPUTED_VALUE"""),46112.0)</f>
        <v>46112</v>
      </c>
      <c r="I28" s="124">
        <f>IFERROR(__xludf.DUMMYFUNCTION("""COMPUTED_VALUE"""),8000.0)</f>
        <v>8000</v>
      </c>
      <c r="J28" s="124">
        <f>IFERROR(__xludf.DUMMYFUNCTION("""COMPUTED_VALUE"""),140000.0)</f>
        <v>140000</v>
      </c>
      <c r="K28" s="124">
        <f>IFERROR(__xludf.DUMMYFUNCTION("""COMPUTED_VALUE"""),3.0)</f>
        <v>3</v>
      </c>
      <c r="L28" s="124">
        <f>IFERROR(__xludf.DUMMYFUNCTION("""COMPUTED_VALUE"""),569.0)</f>
        <v>569</v>
      </c>
      <c r="M28" s="124" t="str">
        <f>IFERROR(__xludf.DUMMYFUNCTION("""COMPUTED_VALUE"""),"New Delhi")</f>
        <v>New Delhi</v>
      </c>
      <c r="N28" s="124" t="str">
        <f>IFERROR(__xludf.DUMMYFUNCTION("""COMPUTED_VALUE"""),"Sonukumar912217@gmail.com")</f>
        <v>Sonukumar912217@gmail.com</v>
      </c>
      <c r="O28" s="124" t="str">
        <f>IFERROR(__xludf.DUMMYFUNCTION("""COMPUTED_VALUE"""),"Ashutosh kumar")</f>
        <v>Ashutosh kumar</v>
      </c>
      <c r="P28" s="124">
        <f>IFERROR(__xludf.DUMMYFUNCTION("""COMPUTED_VALUE"""),120562.0)</f>
        <v>120562</v>
      </c>
      <c r="Q28" s="124" t="str">
        <f>IFERROR(__xludf.DUMMYFUNCTION("""COMPUTED_VALUE"""),"upsc-gs-foundation-hinglish-target-2028-gsf-upsc-e05-orn")</f>
        <v>upsc-gs-foundation-hinglish-target-2028-gsf-upsc-e05-orn</v>
      </c>
      <c r="R28" s="124" t="str">
        <f>IFERROR(__xludf.DUMMYFUNCTION("""COMPUTED_VALUE"""),"GS Foundation Course")</f>
        <v>GS Foundation Course</v>
      </c>
      <c r="S28" s="124">
        <f>IFERROR(__xludf.DUMMYFUNCTION("""COMPUTED_VALUE"""),8.340107504E9)</f>
        <v>8340107504</v>
      </c>
      <c r="T28" s="124" t="str">
        <f>IFERROR(__xludf.DUMMYFUNCTION("""COMPUTED_VALUE"""),"Collexo")</f>
        <v>Collexo</v>
      </c>
      <c r="U28" s="124" t="str">
        <f>IFERROR(__xludf.DUMMYFUNCTION("""COMPUTED_VALUE"""),"Success")</f>
        <v>Success</v>
      </c>
      <c r="V28" s="131">
        <f>IFERROR(__xludf.DUMMYFUNCTION("""COMPUTED_VALUE"""),46097.0)</f>
        <v>46097</v>
      </c>
      <c r="W28" s="124">
        <f>IFERROR(__xludf.DUMMYFUNCTION("""COMPUTED_VALUE"""),0.0)</f>
        <v>0</v>
      </c>
    </row>
    <row r="29">
      <c r="A29" s="124" t="str">
        <f t="shared" si="1"/>
        <v>sp7954364@gmail.com</v>
      </c>
      <c r="B29" s="131">
        <f>IFERROR(__xludf.DUMMYFUNCTION("""COMPUTED_VALUE"""),46073.0)</f>
        <v>46073</v>
      </c>
      <c r="C29" s="124" t="str">
        <f>IFERROR(__xludf.DUMMYFUNCTION("""COMPUTED_VALUE"""),"Payment data from Collexo")</f>
        <v>Payment data from Collexo</v>
      </c>
      <c r="D29" s="124" t="str">
        <f>IFERROR(__xludf.DUMMYFUNCTION("""COMPUTED_VALUE"""),"Not Available")</f>
        <v>Not Available</v>
      </c>
      <c r="E29" s="124">
        <f>IFERROR(__xludf.DUMMYFUNCTION("""COMPUTED_VALUE"""),1500613.0)</f>
        <v>1500613</v>
      </c>
      <c r="F29" s="124">
        <f>IFERROR(__xludf.DUMMYFUNCTION("""COMPUTED_VALUE"""),123029.0)</f>
        <v>123029</v>
      </c>
      <c r="G29" s="124">
        <f>IFERROR(__xludf.DUMMYFUNCTION("""COMPUTED_VALUE"""),1000.0)</f>
        <v>1000</v>
      </c>
      <c r="H29" s="131">
        <f>IFERROR(__xludf.DUMMYFUNCTION("""COMPUTED_VALUE"""),46073.0)</f>
        <v>46073</v>
      </c>
      <c r="I29" s="124">
        <f>IFERROR(__xludf.DUMMYFUNCTION("""COMPUTED_VALUE"""),39000.0)</f>
        <v>39000</v>
      </c>
      <c r="J29" s="124">
        <f>IFERROR(__xludf.DUMMYFUNCTION("""COMPUTED_VALUE"""),40000.0)</f>
        <v>40000</v>
      </c>
      <c r="K29" s="124">
        <f>IFERROR(__xludf.DUMMYFUNCTION("""COMPUTED_VALUE"""),2.0)</f>
        <v>2</v>
      </c>
      <c r="L29" s="124">
        <f>IFERROR(__xludf.DUMMYFUNCTION("""COMPUTED_VALUE"""),281.0)</f>
        <v>281</v>
      </c>
      <c r="M29" s="124" t="str">
        <f>IFERROR(__xludf.DUMMYFUNCTION("""COMPUTED_VALUE"""),"Prayagraj")</f>
        <v>Prayagraj</v>
      </c>
      <c r="N29" s="124" t="str">
        <f>IFERROR(__xludf.DUMMYFUNCTION("""COMPUTED_VALUE"""),"sp7954364@gmail.com")</f>
        <v>sp7954364@gmail.com</v>
      </c>
      <c r="O29" s="124" t="str">
        <f>IFERROR(__xludf.DUMMYFUNCTION("""COMPUTED_VALUE"""),"Satya Prakash Verma")</f>
        <v>Satya Prakash Verma</v>
      </c>
      <c r="P29" s="124">
        <f>IFERROR(__xludf.DUMMYFUNCTION("""COMPUTED_VALUE"""),123029.0)</f>
        <v>123029</v>
      </c>
      <c r="Q29" s="124" t="str">
        <f>IFERROR(__xludf.DUMMYFUNCTION("""COMPUTED_VALUE"""),"upsc-gs-foundation-hinglish-target-2027-gsf-upsc-e02-pry")</f>
        <v>upsc-gs-foundation-hinglish-target-2027-gsf-upsc-e02-pry</v>
      </c>
      <c r="R29" s="124" t="str">
        <f>IFERROR(__xludf.DUMMYFUNCTION("""COMPUTED_VALUE"""),"GS Foundation Course")</f>
        <v>GS Foundation Course</v>
      </c>
      <c r="S29" s="124">
        <f>IFERROR(__xludf.DUMMYFUNCTION("""COMPUTED_VALUE"""),7.525828802E9)</f>
        <v>7525828802</v>
      </c>
      <c r="T29" s="124" t="str">
        <f>IFERROR(__xludf.DUMMYFUNCTION("""COMPUTED_VALUE"""),"Not Available")</f>
        <v>Not Available</v>
      </c>
      <c r="U29" s="124" t="str">
        <f>IFERROR(__xludf.DUMMYFUNCTION("""COMPUTED_VALUE"""),"Not Available")</f>
        <v>Not Available</v>
      </c>
      <c r="V29" s="124" t="str">
        <f>IFERROR(__xludf.DUMMYFUNCTION("""COMPUTED_VALUE"""),"Not Available")</f>
        <v>Not Available</v>
      </c>
      <c r="W29" s="124" t="str">
        <f>IFERROR(__xludf.DUMMYFUNCTION("""COMPUTED_VALUE"""),"Not Available")</f>
        <v>Not Available</v>
      </c>
    </row>
    <row r="30">
      <c r="A30" s="124" t="str">
        <f t="shared" si="1"/>
        <v>kushikumari@gmail.com</v>
      </c>
      <c r="B30" s="131">
        <f>IFERROR(__xludf.DUMMYFUNCTION("""COMPUTED_VALUE"""),46099.0)</f>
        <v>46099</v>
      </c>
      <c r="C30" s="124" t="str">
        <f>IFERROR(__xludf.DUMMYFUNCTION("""COMPUTED_VALUE"""),"Payment data from Collexo")</f>
        <v>Payment data from Collexo</v>
      </c>
      <c r="D30" s="124" t="str">
        <f>IFERROR(__xludf.DUMMYFUNCTION("""COMPUTED_VALUE"""),"Not Available")</f>
        <v>Not Available</v>
      </c>
      <c r="E30" s="124">
        <f>IFERROR(__xludf.DUMMYFUNCTION("""COMPUTED_VALUE"""),1500613.0)</f>
        <v>1500613</v>
      </c>
      <c r="F30" s="124">
        <f>IFERROR(__xludf.DUMMYFUNCTION("""COMPUTED_VALUE"""),127724.0)</f>
        <v>127724</v>
      </c>
      <c r="G30" s="124">
        <f>IFERROR(__xludf.DUMMYFUNCTION("""COMPUTED_VALUE"""),1000.0)</f>
        <v>1000</v>
      </c>
      <c r="H30" s="131">
        <f>IFERROR(__xludf.DUMMYFUNCTION("""COMPUTED_VALUE"""),46105.0)</f>
        <v>46105</v>
      </c>
      <c r="I30" s="124">
        <f>IFERROR(__xludf.DUMMYFUNCTION("""COMPUTED_VALUE"""),54000.0)</f>
        <v>54000</v>
      </c>
      <c r="J30" s="124">
        <f>IFERROR(__xludf.DUMMYFUNCTION("""COMPUTED_VALUE"""),55000.0)</f>
        <v>55000</v>
      </c>
      <c r="K30" s="124">
        <f>IFERROR(__xludf.DUMMYFUNCTION("""COMPUTED_VALUE"""),2.0)</f>
        <v>2</v>
      </c>
      <c r="L30" s="124">
        <f>IFERROR(__xludf.DUMMYFUNCTION("""COMPUTED_VALUE"""),592.0)</f>
        <v>592</v>
      </c>
      <c r="M30" s="124" t="str">
        <f>IFERROR(__xludf.DUMMYFUNCTION("""COMPUTED_VALUE"""),"Prayagraj")</f>
        <v>Prayagraj</v>
      </c>
      <c r="N30" s="124" t="str">
        <f>IFERROR(__xludf.DUMMYFUNCTION("""COMPUTED_VALUE"""),"kushikumari@gmail.com")</f>
        <v>kushikumari@gmail.com</v>
      </c>
      <c r="O30" s="124" t="str">
        <f>IFERROR(__xludf.DUMMYFUNCTION("""COMPUTED_VALUE"""),"Shiwangi kumari")</f>
        <v>Shiwangi kumari</v>
      </c>
      <c r="P30" s="124">
        <f>IFERROR(__xludf.DUMMYFUNCTION("""COMPUTED_VALUE"""),127724.0)</f>
        <v>127724</v>
      </c>
      <c r="Q30" s="124" t="str">
        <f>IFERROR(__xludf.DUMMYFUNCTION("""COMPUTED_VALUE"""),"upsc-gs-foundation-hinglish-target-2027-gsf-upsc-e03-pry")</f>
        <v>upsc-gs-foundation-hinglish-target-2027-gsf-upsc-e03-pry</v>
      </c>
      <c r="R30" s="124" t="str">
        <f>IFERROR(__xludf.DUMMYFUNCTION("""COMPUTED_VALUE"""),"GS Foundation Course")</f>
        <v>GS Foundation Course</v>
      </c>
      <c r="S30" s="124">
        <f>IFERROR(__xludf.DUMMYFUNCTION("""COMPUTED_VALUE"""),9.631918855E9)</f>
        <v>9631918855</v>
      </c>
      <c r="T30" s="124" t="str">
        <f>IFERROR(__xludf.DUMMYFUNCTION("""COMPUTED_VALUE"""),"Not Available")</f>
        <v>Not Available</v>
      </c>
      <c r="U30" s="124" t="str">
        <f>IFERROR(__xludf.DUMMYFUNCTION("""COMPUTED_VALUE"""),"Not Available")</f>
        <v>Not Available</v>
      </c>
      <c r="V30" s="124" t="str">
        <f>IFERROR(__xludf.DUMMYFUNCTION("""COMPUTED_VALUE"""),"Not Available")</f>
        <v>Not Available</v>
      </c>
      <c r="W30" s="124" t="str">
        <f>IFERROR(__xludf.DUMMYFUNCTION("""COMPUTED_VALUE"""),"Not Available")</f>
        <v>Not Available</v>
      </c>
    </row>
    <row r="31">
      <c r="A31" s="124" t="str">
        <f t="shared" si="1"/>
        <v>Sonukumar912217@gmail.com</v>
      </c>
      <c r="B31" s="131">
        <f>IFERROR(__xludf.DUMMYFUNCTION("""COMPUTED_VALUE"""),46092.0)</f>
        <v>46092</v>
      </c>
      <c r="C31" s="124" t="str">
        <f>IFERROR(__xludf.DUMMYFUNCTION("""COMPUTED_VALUE"""),"Payment data from Collexo")</f>
        <v>Payment data from Collexo</v>
      </c>
      <c r="D31" s="124" t="str">
        <f>IFERROR(__xludf.DUMMYFUNCTION("""COMPUTED_VALUE"""),"Not Available")</f>
        <v>Not Available</v>
      </c>
      <c r="E31" s="124">
        <f>IFERROR(__xludf.DUMMYFUNCTION("""COMPUTED_VALUE"""),1500609.0)</f>
        <v>1500609</v>
      </c>
      <c r="F31" s="124" t="str">
        <f>IFERROR(__xludf.DUMMYFUNCTION("""COMPUTED_VALUE"""),"13597_988_7")</f>
        <v>13597_988_7</v>
      </c>
      <c r="G31" s="124">
        <f>IFERROR(__xludf.DUMMYFUNCTION("""COMPUTED_VALUE"""),1.0)</f>
        <v>1</v>
      </c>
      <c r="H31" s="124" t="str">
        <f>IFERROR(__xludf.DUMMYFUNCTION("""COMPUTED_VALUE"""),"Not Available")</f>
        <v>Not Available</v>
      </c>
      <c r="I31" s="124">
        <f>IFERROR(__xludf.DUMMYFUNCTION("""COMPUTED_VALUE"""),0.0)</f>
        <v>0</v>
      </c>
      <c r="J31" s="124">
        <f>IFERROR(__xludf.DUMMYFUNCTION("""COMPUTED_VALUE"""),1.0)</f>
        <v>1</v>
      </c>
      <c r="K31" s="124">
        <f>IFERROR(__xludf.DUMMYFUNCTION("""COMPUTED_VALUE"""),1.0)</f>
        <v>1</v>
      </c>
      <c r="L31" s="124">
        <f>IFERROR(__xludf.DUMMYFUNCTION("""COMPUTED_VALUE"""),483.0)</f>
        <v>483</v>
      </c>
      <c r="M31" s="124" t="str">
        <f>IFERROR(__xludf.DUMMYFUNCTION("""COMPUTED_VALUE"""),"New Delhi")</f>
        <v>New Delhi</v>
      </c>
      <c r="N31" s="124" t="str">
        <f>IFERROR(__xludf.DUMMYFUNCTION("""COMPUTED_VALUE"""),"Sonukumar912217@gmail.com")</f>
        <v>Sonukumar912217@gmail.com</v>
      </c>
      <c r="O31" s="124" t="str">
        <f>IFERROR(__xludf.DUMMYFUNCTION("""COMPUTED_VALUE"""),"Ashutosh kumar")</f>
        <v>Ashutosh kumar</v>
      </c>
      <c r="P31" s="124">
        <f>IFERROR(__xludf.DUMMYFUNCTION("""COMPUTED_VALUE"""),120562.0)</f>
        <v>120562</v>
      </c>
      <c r="Q31" s="124" t="str">
        <f>IFERROR(__xludf.DUMMYFUNCTION("""COMPUTED_VALUE"""),"upsc-gs-foundation-hinglish-target-2028-gsf-upsc-e05-orn")</f>
        <v>upsc-gs-foundation-hinglish-target-2028-gsf-upsc-e05-orn</v>
      </c>
      <c r="R31" s="124" t="str">
        <f>IFERROR(__xludf.DUMMYFUNCTION("""COMPUTED_VALUE"""),"GS Foundation Course")</f>
        <v>GS Foundation Course</v>
      </c>
      <c r="S31" s="124">
        <f>IFERROR(__xludf.DUMMYFUNCTION("""COMPUTED_VALUE"""),8.340107504E9)</f>
        <v>8340107504</v>
      </c>
      <c r="T31" s="124" t="str">
        <f>IFERROR(__xludf.DUMMYFUNCTION("""COMPUTED_VALUE"""),"Collexo")</f>
        <v>Collexo</v>
      </c>
      <c r="U31" s="124" t="str">
        <f>IFERROR(__xludf.DUMMYFUNCTION("""COMPUTED_VALUE"""),"Success")</f>
        <v>Success</v>
      </c>
      <c r="V31" s="131">
        <f>IFERROR(__xludf.DUMMYFUNCTION("""COMPUTED_VALUE"""),46092.0)</f>
        <v>46092</v>
      </c>
      <c r="W31" s="124">
        <f>IFERROR(__xludf.DUMMYFUNCTION("""COMPUTED_VALUE"""),0.0)</f>
        <v>0</v>
      </c>
    </row>
    <row r="32">
      <c r="A32" s="124" t="str">
        <f t="shared" si="1"/>
        <v>ritikadalal0216@gmail.com</v>
      </c>
      <c r="B32" s="131">
        <f>IFERROR(__xludf.DUMMYFUNCTION("""COMPUTED_VALUE"""),46086.0)</f>
        <v>46086</v>
      </c>
      <c r="C32" s="124" t="str">
        <f>IFERROR(__xludf.DUMMYFUNCTION("""COMPUTED_VALUE"""),"Payment data from Collexo")</f>
        <v>Payment data from Collexo</v>
      </c>
      <c r="D32" s="124" t="str">
        <f>IFERROR(__xludf.DUMMYFUNCTION("""COMPUTED_VALUE"""),"Not Available")</f>
        <v>Not Available</v>
      </c>
      <c r="E32" s="124">
        <f>IFERROR(__xludf.DUMMYFUNCTION("""COMPUTED_VALUE"""),1500609.0)</f>
        <v>1500609</v>
      </c>
      <c r="F32" s="124" t="str">
        <f>IFERROR(__xludf.DUMMYFUNCTION("""COMPUTED_VALUE"""),"12613_988_7")</f>
        <v>12613_988_7</v>
      </c>
      <c r="G32" s="124">
        <f>IFERROR(__xludf.DUMMYFUNCTION("""COMPUTED_VALUE"""),10000.0)</f>
        <v>10000</v>
      </c>
      <c r="H32" s="131">
        <f>IFERROR(__xludf.DUMMYFUNCTION("""COMPUTED_VALUE"""),46087.0)</f>
        <v>46087</v>
      </c>
      <c r="I32" s="124">
        <f>IFERROR(__xludf.DUMMYFUNCTION("""COMPUTED_VALUE"""),16000.0)</f>
        <v>16000</v>
      </c>
      <c r="J32" s="124">
        <f>IFERROR(__xludf.DUMMYFUNCTION("""COMPUTED_VALUE"""),130000.0)</f>
        <v>130000</v>
      </c>
      <c r="K32" s="124">
        <f>IFERROR(__xludf.DUMMYFUNCTION("""COMPUTED_VALUE"""),3.0)</f>
        <v>3</v>
      </c>
      <c r="L32" s="124">
        <f>IFERROR(__xludf.DUMMYFUNCTION("""COMPUTED_VALUE"""),409.0)</f>
        <v>409</v>
      </c>
      <c r="M32" s="124" t="str">
        <f>IFERROR(__xludf.DUMMYFUNCTION("""COMPUTED_VALUE"""),"New Delhi")</f>
        <v>New Delhi</v>
      </c>
      <c r="N32" s="124" t="str">
        <f>IFERROR(__xludf.DUMMYFUNCTION("""COMPUTED_VALUE"""),"ritikadalal0216@gmail.com")</f>
        <v>ritikadalal0216@gmail.com</v>
      </c>
      <c r="O32" s="124" t="str">
        <f>IFERROR(__xludf.DUMMYFUNCTION("""COMPUTED_VALUE"""),"Ritika")</f>
        <v>Ritika</v>
      </c>
      <c r="P32" s="124">
        <f>IFERROR(__xludf.DUMMYFUNCTION("""COMPUTED_VALUE"""),126075.0)</f>
        <v>126075</v>
      </c>
      <c r="Q32" s="124" t="str">
        <f>IFERROR(__xludf.DUMMYFUNCTION("""COMPUTED_VALUE"""),"upsc-gs-foundation-hinglish-target-2028-gsf-upsc-m05-orn")</f>
        <v>upsc-gs-foundation-hinglish-target-2028-gsf-upsc-m05-orn</v>
      </c>
      <c r="R32" s="124" t="str">
        <f>IFERROR(__xludf.DUMMYFUNCTION("""COMPUTED_VALUE"""),"GS Foundation Course")</f>
        <v>GS Foundation Course</v>
      </c>
      <c r="S32" s="124">
        <f>IFERROR(__xludf.DUMMYFUNCTION("""COMPUTED_VALUE"""),7.011882881E9)</f>
        <v>7011882881</v>
      </c>
      <c r="T32" s="124" t="str">
        <f>IFERROR(__xludf.DUMMYFUNCTION("""COMPUTED_VALUE"""),"Collexo")</f>
        <v>Collexo</v>
      </c>
      <c r="U32" s="124" t="str">
        <f>IFERROR(__xludf.DUMMYFUNCTION("""COMPUTED_VALUE"""),"Success")</f>
        <v>Success</v>
      </c>
      <c r="V32" s="131">
        <f>IFERROR(__xludf.DUMMYFUNCTION("""COMPUTED_VALUE"""),46086.0)</f>
        <v>46086</v>
      </c>
      <c r="W32" s="124">
        <f>IFERROR(__xludf.DUMMYFUNCTION("""COMPUTED_VALUE"""),0.0)</f>
        <v>0</v>
      </c>
    </row>
    <row r="33">
      <c r="A33" s="124" t="str">
        <f t="shared" si="1"/>
        <v>sahilmeher229@gmail.com</v>
      </c>
      <c r="B33" s="131">
        <f>IFERROR(__xludf.DUMMYFUNCTION("""COMPUTED_VALUE"""),46111.0)</f>
        <v>46111</v>
      </c>
      <c r="C33" s="124" t="str">
        <f>IFERROR(__xludf.DUMMYFUNCTION("""COMPUTED_VALUE"""),"Payment data from Collexo")</f>
        <v>Payment data from Collexo</v>
      </c>
      <c r="D33" s="124" t="str">
        <f>IFERROR(__xludf.DUMMYFUNCTION("""COMPUTED_VALUE"""),"Not Available")</f>
        <v>Not Available</v>
      </c>
      <c r="E33" s="124">
        <f>IFERROR(__xludf.DUMMYFUNCTION("""COMPUTED_VALUE"""),1500609.0)</f>
        <v>1500609</v>
      </c>
      <c r="F33" s="124" t="str">
        <f>IFERROR(__xludf.DUMMYFUNCTION("""COMPUTED_VALUE"""),"17468_988_7")</f>
        <v>17468_988_7</v>
      </c>
      <c r="G33" s="124">
        <f>IFERROR(__xludf.DUMMYFUNCTION("""COMPUTED_VALUE"""),100000.0)</f>
        <v>100000</v>
      </c>
      <c r="H33" s="124" t="str">
        <f>IFERROR(__xludf.DUMMYFUNCTION("""COMPUTED_VALUE"""),"Not Available")</f>
        <v>Not Available</v>
      </c>
      <c r="I33" s="124">
        <f>IFERROR(__xludf.DUMMYFUNCTION("""COMPUTED_VALUE"""),0.0)</f>
        <v>0</v>
      </c>
      <c r="J33" s="124">
        <f>IFERROR(__xludf.DUMMYFUNCTION("""COMPUTED_VALUE"""),125000.0)</f>
        <v>125000</v>
      </c>
      <c r="K33" s="124">
        <f>IFERROR(__xludf.DUMMYFUNCTION("""COMPUTED_VALUE"""),2.0)</f>
        <v>2</v>
      </c>
      <c r="L33" s="124">
        <f>IFERROR(__xludf.DUMMYFUNCTION("""COMPUTED_VALUE"""),845.0)</f>
        <v>845</v>
      </c>
      <c r="M33" s="124" t="str">
        <f>IFERROR(__xludf.DUMMYFUNCTION("""COMPUTED_VALUE"""),"New Delhi")</f>
        <v>New Delhi</v>
      </c>
      <c r="N33" s="124" t="str">
        <f>IFERROR(__xludf.DUMMYFUNCTION("""COMPUTED_VALUE"""),"sahilmeher229@gmail.com")</f>
        <v>sahilmeher229@gmail.com</v>
      </c>
      <c r="O33" s="124" t="str">
        <f>IFERROR(__xludf.DUMMYFUNCTION("""COMPUTED_VALUE"""),"Sahil")</f>
        <v>Sahil</v>
      </c>
      <c r="P33" s="124">
        <f>IFERROR(__xludf.DUMMYFUNCTION("""COMPUTED_VALUE"""),130021.0)</f>
        <v>130021</v>
      </c>
      <c r="Q33" s="124" t="str">
        <f>IFERROR(__xludf.DUMMYFUNCTION("""COMPUTED_VALUE"""),"upsc-gs-foundation-hinglish-target-2028-gsf-upsc-e05-orn")</f>
        <v>upsc-gs-foundation-hinglish-target-2028-gsf-upsc-e05-orn</v>
      </c>
      <c r="R33" s="124" t="str">
        <f>IFERROR(__xludf.DUMMYFUNCTION("""COMPUTED_VALUE"""),"GS Foundation Course")</f>
        <v>GS Foundation Course</v>
      </c>
      <c r="S33" s="124">
        <f>IFERROR(__xludf.DUMMYFUNCTION("""COMPUTED_VALUE"""),8.260489709E9)</f>
        <v>8260489709</v>
      </c>
      <c r="T33" s="124" t="str">
        <f>IFERROR(__xludf.DUMMYFUNCTION("""COMPUTED_VALUE"""),"Collexo")</f>
        <v>Collexo</v>
      </c>
      <c r="U33" s="124" t="str">
        <f>IFERROR(__xludf.DUMMYFUNCTION("""COMPUTED_VALUE"""),"Success")</f>
        <v>Success</v>
      </c>
      <c r="V33" s="131">
        <f>IFERROR(__xludf.DUMMYFUNCTION("""COMPUTED_VALUE"""),46111.0)</f>
        <v>46111</v>
      </c>
      <c r="W33" s="124">
        <f>IFERROR(__xludf.DUMMYFUNCTION("""COMPUTED_VALUE"""),0.0)</f>
        <v>0</v>
      </c>
    </row>
    <row r="34">
      <c r="A34" s="124" t="str">
        <f t="shared" si="1"/>
        <v>Sonukumar912217@gmail.com</v>
      </c>
      <c r="B34" s="131">
        <f>IFERROR(__xludf.DUMMYFUNCTION("""COMPUTED_VALUE"""),46092.0)</f>
        <v>46092</v>
      </c>
      <c r="C34" s="124" t="str">
        <f>IFERROR(__xludf.DUMMYFUNCTION("""COMPUTED_VALUE"""),"Payment data from Collexo")</f>
        <v>Payment data from Collexo</v>
      </c>
      <c r="D34" s="124" t="str">
        <f>IFERROR(__xludf.DUMMYFUNCTION("""COMPUTED_VALUE"""),"Not Available")</f>
        <v>Not Available</v>
      </c>
      <c r="E34" s="124">
        <f>IFERROR(__xludf.DUMMYFUNCTION("""COMPUTED_VALUE"""),1500609.0)</f>
        <v>1500609</v>
      </c>
      <c r="F34" s="124" t="str">
        <f>IFERROR(__xludf.DUMMYFUNCTION("""COMPUTED_VALUE"""),"13596_988_7")</f>
        <v>13596_988_7</v>
      </c>
      <c r="G34" s="124">
        <f>IFERROR(__xludf.DUMMYFUNCTION("""COMPUTED_VALUE"""),20000.0)</f>
        <v>20000</v>
      </c>
      <c r="H34" s="131">
        <f>IFERROR(__xludf.DUMMYFUNCTION("""COMPUTED_VALUE"""),46112.0)</f>
        <v>46112</v>
      </c>
      <c r="I34" s="124">
        <f>IFERROR(__xludf.DUMMYFUNCTION("""COMPUTED_VALUE"""),120000.0)</f>
        <v>120000</v>
      </c>
      <c r="J34" s="124">
        <f>IFERROR(__xludf.DUMMYFUNCTION("""COMPUTED_VALUE"""),140000.0)</f>
        <v>140000</v>
      </c>
      <c r="K34" s="124">
        <f>IFERROR(__xludf.DUMMYFUNCTION("""COMPUTED_VALUE"""),2.0)</f>
        <v>2</v>
      </c>
      <c r="L34" s="124">
        <f>IFERROR(__xludf.DUMMYFUNCTION("""COMPUTED_VALUE"""),482.0)</f>
        <v>482</v>
      </c>
      <c r="M34" s="124" t="str">
        <f>IFERROR(__xludf.DUMMYFUNCTION("""COMPUTED_VALUE"""),"New Delhi")</f>
        <v>New Delhi</v>
      </c>
      <c r="N34" s="124" t="str">
        <f>IFERROR(__xludf.DUMMYFUNCTION("""COMPUTED_VALUE"""),"Sonukumar912217@gmail.com")</f>
        <v>Sonukumar912217@gmail.com</v>
      </c>
      <c r="O34" s="124" t="str">
        <f>IFERROR(__xludf.DUMMYFUNCTION("""COMPUTED_VALUE"""),"Ashutosh kumar")</f>
        <v>Ashutosh kumar</v>
      </c>
      <c r="P34" s="124">
        <f>IFERROR(__xludf.DUMMYFUNCTION("""COMPUTED_VALUE"""),120562.0)</f>
        <v>120562</v>
      </c>
      <c r="Q34" s="124" t="str">
        <f>IFERROR(__xludf.DUMMYFUNCTION("""COMPUTED_VALUE"""),"upsc-gs-foundation-hinglish-target-2028-gsf-upsc-e05-orn")</f>
        <v>upsc-gs-foundation-hinglish-target-2028-gsf-upsc-e05-orn</v>
      </c>
      <c r="R34" s="124" t="str">
        <f>IFERROR(__xludf.DUMMYFUNCTION("""COMPUTED_VALUE"""),"GS Foundation Course")</f>
        <v>GS Foundation Course</v>
      </c>
      <c r="S34" s="124">
        <f>IFERROR(__xludf.DUMMYFUNCTION("""COMPUTED_VALUE"""),8.340107504E9)</f>
        <v>8340107504</v>
      </c>
      <c r="T34" s="124" t="str">
        <f>IFERROR(__xludf.DUMMYFUNCTION("""COMPUTED_VALUE"""),"Collexo")</f>
        <v>Collexo</v>
      </c>
      <c r="U34" s="124" t="str">
        <f>IFERROR(__xludf.DUMMYFUNCTION("""COMPUTED_VALUE"""),"Success")</f>
        <v>Success</v>
      </c>
      <c r="V34" s="131">
        <f>IFERROR(__xludf.DUMMYFUNCTION("""COMPUTED_VALUE"""),46092.0)</f>
        <v>46092</v>
      </c>
      <c r="W34" s="124">
        <f>IFERROR(__xludf.DUMMYFUNCTION("""COMPUTED_VALUE"""),0.0)</f>
        <v>0</v>
      </c>
    </row>
    <row r="35">
      <c r="A35" s="124" t="str">
        <f t="shared" si="1"/>
        <v>piyushchouhan2593@gmail.com</v>
      </c>
      <c r="B35" s="131">
        <f>IFERROR(__xludf.DUMMYFUNCTION("""COMPUTED_VALUE"""),46088.0)</f>
        <v>46088</v>
      </c>
      <c r="C35" s="124" t="str">
        <f>IFERROR(__xludf.DUMMYFUNCTION("""COMPUTED_VALUE"""),"Payment data from Collexo")</f>
        <v>Payment data from Collexo</v>
      </c>
      <c r="D35" s="124" t="str">
        <f>IFERROR(__xludf.DUMMYFUNCTION("""COMPUTED_VALUE"""),"Not Available")</f>
        <v>Not Available</v>
      </c>
      <c r="E35" s="124">
        <f>IFERROR(__xludf.DUMMYFUNCTION("""COMPUTED_VALUE"""),1500612.0)</f>
        <v>1500612</v>
      </c>
      <c r="F35" s="124">
        <f>IFERROR(__xludf.DUMMYFUNCTION("""COMPUTED_VALUE"""),78492.0)</f>
        <v>78492</v>
      </c>
      <c r="G35" s="124">
        <f>IFERROR(__xludf.DUMMYFUNCTION("""COMPUTED_VALUE"""),7000.0)</f>
        <v>7000</v>
      </c>
      <c r="H35" s="131">
        <f>IFERROR(__xludf.DUMMYFUNCTION("""COMPUTED_VALUE"""),46090.0)</f>
        <v>46090</v>
      </c>
      <c r="I35" s="124">
        <f>IFERROR(__xludf.DUMMYFUNCTION("""COMPUTED_VALUE"""),7000.0)</f>
        <v>7000</v>
      </c>
      <c r="J35" s="124">
        <f>IFERROR(__xludf.DUMMYFUNCTION("""COMPUTED_VALUE"""),80000.0)</f>
        <v>80000</v>
      </c>
      <c r="K35" s="124">
        <f>IFERROR(__xludf.DUMMYFUNCTION("""COMPUTED_VALUE"""),4.0)</f>
        <v>4</v>
      </c>
      <c r="L35" s="124">
        <f>IFERROR(__xludf.DUMMYFUNCTION("""COMPUTED_VALUE"""),427.0)</f>
        <v>427</v>
      </c>
      <c r="M35" s="124" t="str">
        <f>IFERROR(__xludf.DUMMYFUNCTION("""COMPUTED_VALUE"""),"Indore")</f>
        <v>Indore</v>
      </c>
      <c r="N35" s="124" t="str">
        <f>IFERROR(__xludf.DUMMYFUNCTION("""COMPUTED_VALUE"""),"piyushchouhan2593@gmail.com")</f>
        <v>piyushchouhan2593@gmail.com</v>
      </c>
      <c r="O35" s="124" t="str">
        <f>IFERROR(__xludf.DUMMYFUNCTION("""COMPUTED_VALUE"""),"Piyush")</f>
        <v>Piyush</v>
      </c>
      <c r="P35" s="124">
        <f>IFERROR(__xludf.DUMMYFUNCTION("""COMPUTED_VALUE"""),78492.0)</f>
        <v>78492</v>
      </c>
      <c r="Q35" s="124" t="str">
        <f>IFERROR(__xludf.DUMMYFUNCTION("""COMPUTED_VALUE"""),"upsc-gs-foundation-hindi-target-2028-gsf-upsc-m02-ind")</f>
        <v>upsc-gs-foundation-hindi-target-2028-gsf-upsc-m02-ind</v>
      </c>
      <c r="R35" s="124" t="str">
        <f>IFERROR(__xludf.DUMMYFUNCTION("""COMPUTED_VALUE"""),"GS Foundation Course")</f>
        <v>GS Foundation Course</v>
      </c>
      <c r="S35" s="124">
        <f>IFERROR(__xludf.DUMMYFUNCTION("""COMPUTED_VALUE"""),6.262548575E9)</f>
        <v>6262548575</v>
      </c>
      <c r="T35" s="124" t="str">
        <f>IFERROR(__xludf.DUMMYFUNCTION("""COMPUTED_VALUE"""),"Not Available")</f>
        <v>Not Available</v>
      </c>
      <c r="U35" s="124" t="str">
        <f>IFERROR(__xludf.DUMMYFUNCTION("""COMPUTED_VALUE"""),"Not Available")</f>
        <v>Not Available</v>
      </c>
      <c r="V35" s="124" t="str">
        <f>IFERROR(__xludf.DUMMYFUNCTION("""COMPUTED_VALUE"""),"Not Available")</f>
        <v>Not Available</v>
      </c>
      <c r="W35" s="124" t="str">
        <f>IFERROR(__xludf.DUMMYFUNCTION("""COMPUTED_VALUE"""),"Not Available")</f>
        <v>Not Available</v>
      </c>
    </row>
    <row r="36">
      <c r="A36" s="124" t="str">
        <f t="shared" si="1"/>
        <v>sanjanshrirao27@gmail.com</v>
      </c>
      <c r="B36" s="131">
        <f>IFERROR(__xludf.DUMMYFUNCTION("""COMPUTED_VALUE"""),46067.0)</f>
        <v>46067</v>
      </c>
      <c r="C36" s="124" t="str">
        <f>IFERROR(__xludf.DUMMYFUNCTION("""COMPUTED_VALUE"""),"Payment data from Collexo")</f>
        <v>Payment data from Collexo</v>
      </c>
      <c r="D36" s="124" t="str">
        <f>IFERROR(__xludf.DUMMYFUNCTION("""COMPUTED_VALUE"""),"Not Available")</f>
        <v>Not Available</v>
      </c>
      <c r="E36" s="124">
        <f>IFERROR(__xludf.DUMMYFUNCTION("""COMPUTED_VALUE"""),1500612.0)</f>
        <v>1500612</v>
      </c>
      <c r="F36" s="124">
        <f>IFERROR(__xludf.DUMMYFUNCTION("""COMPUTED_VALUE"""),122274.0)</f>
        <v>122274</v>
      </c>
      <c r="G36" s="124">
        <f>IFERROR(__xludf.DUMMYFUNCTION("""COMPUTED_VALUE"""),5000.0)</f>
        <v>5000</v>
      </c>
      <c r="H36" s="131">
        <f>IFERROR(__xludf.DUMMYFUNCTION("""COMPUTED_VALUE"""),46071.0)</f>
        <v>46071</v>
      </c>
      <c r="I36" s="124">
        <f>IFERROR(__xludf.DUMMYFUNCTION("""COMPUTED_VALUE"""),65000.0)</f>
        <v>65000</v>
      </c>
      <c r="J36" s="124">
        <f>IFERROR(__xludf.DUMMYFUNCTION("""COMPUTED_VALUE"""),70000.0)</f>
        <v>70000</v>
      </c>
      <c r="K36" s="124">
        <f>IFERROR(__xludf.DUMMYFUNCTION("""COMPUTED_VALUE"""),2.0)</f>
        <v>2</v>
      </c>
      <c r="L36" s="124">
        <f>IFERROR(__xludf.DUMMYFUNCTION("""COMPUTED_VALUE"""),212.0)</f>
        <v>212</v>
      </c>
      <c r="M36" s="124" t="str">
        <f>IFERROR(__xludf.DUMMYFUNCTION("""COMPUTED_VALUE"""),"Indore")</f>
        <v>Indore</v>
      </c>
      <c r="N36" s="124" t="str">
        <f>IFERROR(__xludf.DUMMYFUNCTION("""COMPUTED_VALUE"""),"sanjanshrirao27@gmail.com")</f>
        <v>sanjanshrirao27@gmail.com</v>
      </c>
      <c r="O36" s="124" t="str">
        <f>IFERROR(__xludf.DUMMYFUNCTION("""COMPUTED_VALUE"""),"Sanjan shrirao")</f>
        <v>Sanjan shrirao</v>
      </c>
      <c r="P36" s="124">
        <f>IFERROR(__xludf.DUMMYFUNCTION("""COMPUTED_VALUE"""),122274.0)</f>
        <v>122274</v>
      </c>
      <c r="Q36" s="124" t="str">
        <f>IFERROR(__xludf.DUMMYFUNCTION("""COMPUTED_VALUE"""),"upsc-gs-foundation-hinglish-target-2027-gsf-upsc-m02-ind")</f>
        <v>upsc-gs-foundation-hinglish-target-2027-gsf-upsc-m02-ind</v>
      </c>
      <c r="R36" s="124" t="str">
        <f>IFERROR(__xludf.DUMMYFUNCTION("""COMPUTED_VALUE"""),"GS Foundation Course")</f>
        <v>GS Foundation Course</v>
      </c>
      <c r="S36" s="124">
        <f>IFERROR(__xludf.DUMMYFUNCTION("""COMPUTED_VALUE"""),9.960120204E9)</f>
        <v>9960120204</v>
      </c>
      <c r="T36" s="124" t="str">
        <f>IFERROR(__xludf.DUMMYFUNCTION("""COMPUTED_VALUE"""),"Not Available")</f>
        <v>Not Available</v>
      </c>
      <c r="U36" s="124" t="str">
        <f>IFERROR(__xludf.DUMMYFUNCTION("""COMPUTED_VALUE"""),"Not Available")</f>
        <v>Not Available</v>
      </c>
      <c r="V36" s="124" t="str">
        <f>IFERROR(__xludf.DUMMYFUNCTION("""COMPUTED_VALUE"""),"Not Available")</f>
        <v>Not Available</v>
      </c>
      <c r="W36" s="124" t="str">
        <f>IFERROR(__xludf.DUMMYFUNCTION("""COMPUTED_VALUE"""),"Not Available")</f>
        <v>Not Available</v>
      </c>
    </row>
    <row r="37">
      <c r="A37" s="124" t="str">
        <f t="shared" si="1"/>
        <v>Sonukumar912217@gmail.com</v>
      </c>
      <c r="B37" s="131">
        <f>IFERROR(__xludf.DUMMYFUNCTION("""COMPUTED_VALUE"""),46101.0)</f>
        <v>46101</v>
      </c>
      <c r="C37" s="124" t="str">
        <f>IFERROR(__xludf.DUMMYFUNCTION("""COMPUTED_VALUE"""),"Payment data from Collexo")</f>
        <v>Payment data from Collexo</v>
      </c>
      <c r="D37" s="124" t="str">
        <f>IFERROR(__xludf.DUMMYFUNCTION("""COMPUTED_VALUE"""),"Not Available")</f>
        <v>Not Available</v>
      </c>
      <c r="E37" s="124">
        <f>IFERROR(__xludf.DUMMYFUNCTION("""COMPUTED_VALUE"""),1500609.0)</f>
        <v>1500609</v>
      </c>
      <c r="F37" s="124" t="str">
        <f>IFERROR(__xludf.DUMMYFUNCTION("""COMPUTED_VALUE"""),"15574_988_7")</f>
        <v>15574_988_7</v>
      </c>
      <c r="G37" s="124">
        <f>IFERROR(__xludf.DUMMYFUNCTION("""COMPUTED_VALUE"""),8000.0)</f>
        <v>8000</v>
      </c>
      <c r="H37" s="124" t="str">
        <f>IFERROR(__xludf.DUMMYFUNCTION("""COMPUTED_VALUE"""),"Not Available")</f>
        <v>Not Available</v>
      </c>
      <c r="I37" s="124">
        <f>IFERROR(__xludf.DUMMYFUNCTION("""COMPUTED_VALUE"""),0.0)</f>
        <v>0</v>
      </c>
      <c r="J37" s="124">
        <f>IFERROR(__xludf.DUMMYFUNCTION("""COMPUTED_VALUE"""),140000.0)</f>
        <v>140000</v>
      </c>
      <c r="K37" s="124">
        <f>IFERROR(__xludf.DUMMYFUNCTION("""COMPUTED_VALUE"""),3.0)</f>
        <v>3</v>
      </c>
      <c r="L37" s="124">
        <f>IFERROR(__xludf.DUMMYFUNCTION("""COMPUTED_VALUE"""),650.0)</f>
        <v>650</v>
      </c>
      <c r="M37" s="124" t="str">
        <f>IFERROR(__xludf.DUMMYFUNCTION("""COMPUTED_VALUE"""),"New Delhi")</f>
        <v>New Delhi</v>
      </c>
      <c r="N37" s="124" t="str">
        <f>IFERROR(__xludf.DUMMYFUNCTION("""COMPUTED_VALUE"""),"Sonukumar912217@gmail.com")</f>
        <v>Sonukumar912217@gmail.com</v>
      </c>
      <c r="O37" s="124" t="str">
        <f>IFERROR(__xludf.DUMMYFUNCTION("""COMPUTED_VALUE"""),"Ashutosh kumar")</f>
        <v>Ashutosh kumar</v>
      </c>
      <c r="P37" s="124">
        <f>IFERROR(__xludf.DUMMYFUNCTION("""COMPUTED_VALUE"""),120562.0)</f>
        <v>120562</v>
      </c>
      <c r="Q37" s="124" t="str">
        <f>IFERROR(__xludf.DUMMYFUNCTION("""COMPUTED_VALUE"""),"upsc-gs-foundation-hinglish-target-2028-gsf-upsc-e05-orn")</f>
        <v>upsc-gs-foundation-hinglish-target-2028-gsf-upsc-e05-orn</v>
      </c>
      <c r="R37" s="124" t="str">
        <f>IFERROR(__xludf.DUMMYFUNCTION("""COMPUTED_VALUE"""),"GS Foundation Course")</f>
        <v>GS Foundation Course</v>
      </c>
      <c r="S37" s="124">
        <f>IFERROR(__xludf.DUMMYFUNCTION("""COMPUTED_VALUE"""),8.340107504E9)</f>
        <v>8340107504</v>
      </c>
      <c r="T37" s="124" t="str">
        <f>IFERROR(__xludf.DUMMYFUNCTION("""COMPUTED_VALUE"""),"Collexo")</f>
        <v>Collexo</v>
      </c>
      <c r="U37" s="124" t="str">
        <f>IFERROR(__xludf.DUMMYFUNCTION("""COMPUTED_VALUE"""),"Success")</f>
        <v>Success</v>
      </c>
      <c r="V37" s="131">
        <f>IFERROR(__xludf.DUMMYFUNCTION("""COMPUTED_VALUE"""),46101.0)</f>
        <v>46101</v>
      </c>
      <c r="W37" s="124">
        <f>IFERROR(__xludf.DUMMYFUNCTION("""COMPUTED_VALUE"""),0.0)</f>
        <v>0</v>
      </c>
    </row>
    <row r="38">
      <c r="A38" s="124" t="str">
        <f t="shared" si="1"/>
        <v>ranjit221715@mail.com</v>
      </c>
      <c r="B38" s="131">
        <f>IFERROR(__xludf.DUMMYFUNCTION("""COMPUTED_VALUE"""),46089.0)</f>
        <v>46089</v>
      </c>
      <c r="C38" s="124" t="str">
        <f>IFERROR(__xludf.DUMMYFUNCTION("""COMPUTED_VALUE"""),"Payment data from Collexo")</f>
        <v>Payment data from Collexo</v>
      </c>
      <c r="D38" s="124" t="str">
        <f>IFERROR(__xludf.DUMMYFUNCTION("""COMPUTED_VALUE"""),"Not Available")</f>
        <v>Not Available</v>
      </c>
      <c r="E38" s="124">
        <f>IFERROR(__xludf.DUMMYFUNCTION("""COMPUTED_VALUE"""),1500613.0)</f>
        <v>1500613</v>
      </c>
      <c r="F38" s="124">
        <f>IFERROR(__xludf.DUMMYFUNCTION("""COMPUTED_VALUE"""),46422.0)</f>
        <v>46422</v>
      </c>
      <c r="G38" s="124">
        <f>IFERROR(__xludf.DUMMYFUNCTION("""COMPUTED_VALUE"""),1000.0)</f>
        <v>1000</v>
      </c>
      <c r="H38" s="131">
        <f>IFERROR(__xludf.DUMMYFUNCTION("""COMPUTED_VALUE"""),46094.0)</f>
        <v>46094</v>
      </c>
      <c r="I38" s="124">
        <f>IFERROR(__xludf.DUMMYFUNCTION("""COMPUTED_VALUE"""),34000.0)</f>
        <v>34000</v>
      </c>
      <c r="J38" s="124">
        <f>IFERROR(__xludf.DUMMYFUNCTION("""COMPUTED_VALUE"""),35000.0)</f>
        <v>35000</v>
      </c>
      <c r="K38" s="124">
        <f>IFERROR(__xludf.DUMMYFUNCTION("""COMPUTED_VALUE"""),2.0)</f>
        <v>2</v>
      </c>
      <c r="L38" s="124">
        <f>IFERROR(__xludf.DUMMYFUNCTION("""COMPUTED_VALUE"""),431.0)</f>
        <v>431</v>
      </c>
      <c r="M38" s="124" t="str">
        <f>IFERROR(__xludf.DUMMYFUNCTION("""COMPUTED_VALUE"""),"Prayagraj")</f>
        <v>Prayagraj</v>
      </c>
      <c r="N38" s="124" t="str">
        <f>IFERROR(__xludf.DUMMYFUNCTION("""COMPUTED_VALUE"""),"ranjit221715@mail.com")</f>
        <v>ranjit221715@mail.com</v>
      </c>
      <c r="O38" s="124" t="str">
        <f>IFERROR(__xludf.DUMMYFUNCTION("""COMPUTED_VALUE"""),"Ranjit")</f>
        <v>Ranjit</v>
      </c>
      <c r="P38" s="124">
        <f>IFERROR(__xludf.DUMMYFUNCTION("""COMPUTED_VALUE"""),46422.0)</f>
        <v>46422</v>
      </c>
      <c r="Q38" s="124" t="str">
        <f>IFERROR(__xludf.DUMMYFUNCTION("""COMPUTED_VALUE"""),"upsc-gs-foundation-hindi-target-2027-gsf-upsc-m02-pry")</f>
        <v>upsc-gs-foundation-hindi-target-2027-gsf-upsc-m02-pry</v>
      </c>
      <c r="R38" s="124" t="str">
        <f>IFERROR(__xludf.DUMMYFUNCTION("""COMPUTED_VALUE"""),"GS Foundation Course")</f>
        <v>GS Foundation Course</v>
      </c>
      <c r="S38" s="124">
        <f>IFERROR(__xludf.DUMMYFUNCTION("""COMPUTED_VALUE"""),6.388848525E9)</f>
        <v>6388848525</v>
      </c>
      <c r="T38" s="124" t="str">
        <f>IFERROR(__xludf.DUMMYFUNCTION("""COMPUTED_VALUE"""),"Not Available")</f>
        <v>Not Available</v>
      </c>
      <c r="U38" s="124" t="str">
        <f>IFERROR(__xludf.DUMMYFUNCTION("""COMPUTED_VALUE"""),"Not Available")</f>
        <v>Not Available</v>
      </c>
      <c r="V38" s="124" t="str">
        <f>IFERROR(__xludf.DUMMYFUNCTION("""COMPUTED_VALUE"""),"Not Available")</f>
        <v>Not Available</v>
      </c>
      <c r="W38" s="124" t="str">
        <f>IFERROR(__xludf.DUMMYFUNCTION("""COMPUTED_VALUE"""),"Not Available")</f>
        <v>Not Available</v>
      </c>
    </row>
    <row r="39">
      <c r="A39" s="124" t="str">
        <f t="shared" si="1"/>
        <v>alok27269@gmail.com</v>
      </c>
      <c r="B39" s="131">
        <f>IFERROR(__xludf.DUMMYFUNCTION("""COMPUTED_VALUE"""),46098.0)</f>
        <v>46098</v>
      </c>
      <c r="C39" s="124" t="str">
        <f>IFERROR(__xludf.DUMMYFUNCTION("""COMPUTED_VALUE"""),"Payment data from Collexo")</f>
        <v>Payment data from Collexo</v>
      </c>
      <c r="D39" s="124" t="str">
        <f>IFERROR(__xludf.DUMMYFUNCTION("""COMPUTED_VALUE"""),"Not Available")</f>
        <v>Not Available</v>
      </c>
      <c r="E39" s="124">
        <f>IFERROR(__xludf.DUMMYFUNCTION("""COMPUTED_VALUE"""),1500610.0)</f>
        <v>1500610</v>
      </c>
      <c r="F39" s="124">
        <f>IFERROR(__xludf.DUMMYFUNCTION("""COMPUTED_VALUE"""),127566.0)</f>
        <v>127566</v>
      </c>
      <c r="G39" s="124">
        <f>IFERROR(__xludf.DUMMYFUNCTION("""COMPUTED_VALUE"""),1000.0)</f>
        <v>1000</v>
      </c>
      <c r="H39" s="131">
        <f>IFERROR(__xludf.DUMMYFUNCTION("""COMPUTED_VALUE"""),46112.0)</f>
        <v>46112</v>
      </c>
      <c r="I39" s="124">
        <f>IFERROR(__xludf.DUMMYFUNCTION("""COMPUTED_VALUE"""),15000.0)</f>
        <v>15000</v>
      </c>
      <c r="J39" s="124">
        <f>IFERROR(__xludf.DUMMYFUNCTION("""COMPUTED_VALUE"""),55000.0)</f>
        <v>55000</v>
      </c>
      <c r="K39" s="124">
        <f>IFERROR(__xludf.DUMMYFUNCTION("""COMPUTED_VALUE"""),5.0)</f>
        <v>5</v>
      </c>
      <c r="L39" s="124">
        <f>IFERROR(__xludf.DUMMYFUNCTION("""COMPUTED_VALUE"""),585.0)</f>
        <v>585</v>
      </c>
      <c r="M39" s="124" t="str">
        <f>IFERROR(__xludf.DUMMYFUNCTION("""COMPUTED_VALUE"""),"Lucknow")</f>
        <v>Lucknow</v>
      </c>
      <c r="N39" s="124" t="str">
        <f>IFERROR(__xludf.DUMMYFUNCTION("""COMPUTED_VALUE"""),"alok27269@gmail.com")</f>
        <v>alok27269@gmail.com</v>
      </c>
      <c r="O39" s="124" t="str">
        <f>IFERROR(__xludf.DUMMYFUNCTION("""COMPUTED_VALUE"""),"Alok")</f>
        <v>Alok</v>
      </c>
      <c r="P39" s="124">
        <f>IFERROR(__xludf.DUMMYFUNCTION("""COMPUTED_VALUE"""),127566.0)</f>
        <v>127566</v>
      </c>
      <c r="Q39" s="124" t="str">
        <f>IFERROR(__xludf.DUMMYFUNCTION("""COMPUTED_VALUE"""),"Not Available")</f>
        <v>Not Available</v>
      </c>
      <c r="R39" s="124" t="str">
        <f>IFERROR(__xludf.DUMMYFUNCTION("""COMPUTED_VALUE"""),"GS Foundation Course")</f>
        <v>GS Foundation Course</v>
      </c>
      <c r="S39" s="124">
        <f>IFERROR(__xludf.DUMMYFUNCTION("""COMPUTED_VALUE"""),7.991564058E9)</f>
        <v>7991564058</v>
      </c>
      <c r="T39" s="124" t="str">
        <f>IFERROR(__xludf.DUMMYFUNCTION("""COMPUTED_VALUE"""),"Not Available")</f>
        <v>Not Available</v>
      </c>
      <c r="U39" s="124" t="str">
        <f>IFERROR(__xludf.DUMMYFUNCTION("""COMPUTED_VALUE"""),"Not Available")</f>
        <v>Not Available</v>
      </c>
      <c r="V39" s="124" t="str">
        <f>IFERROR(__xludf.DUMMYFUNCTION("""COMPUTED_VALUE"""),"Not Available")</f>
        <v>Not Available</v>
      </c>
      <c r="W39" s="124" t="str">
        <f>IFERROR(__xludf.DUMMYFUNCTION("""COMPUTED_VALUE"""),"Not Available")</f>
        <v>Not Available</v>
      </c>
    </row>
    <row r="40">
      <c r="A40" s="124" t="str">
        <f t="shared" si="1"/>
        <v>aditisrivas14@gmail.com</v>
      </c>
      <c r="B40" s="131">
        <f>IFERROR(__xludf.DUMMYFUNCTION("""COMPUTED_VALUE"""),46091.0)</f>
        <v>46091</v>
      </c>
      <c r="C40" s="124" t="str">
        <f>IFERROR(__xludf.DUMMYFUNCTION("""COMPUTED_VALUE"""),"Payment data from Collexo")</f>
        <v>Payment data from Collexo</v>
      </c>
      <c r="D40" s="124" t="str">
        <f>IFERROR(__xludf.DUMMYFUNCTION("""COMPUTED_VALUE"""),"Not Available")</f>
        <v>Not Available</v>
      </c>
      <c r="E40" s="124">
        <f>IFERROR(__xludf.DUMMYFUNCTION("""COMPUTED_VALUE"""),1500610.0)</f>
        <v>1500610</v>
      </c>
      <c r="F40" s="124">
        <f>IFERROR(__xludf.DUMMYFUNCTION("""COMPUTED_VALUE"""),126732.0)</f>
        <v>126732</v>
      </c>
      <c r="G40" s="124">
        <f>IFERROR(__xludf.DUMMYFUNCTION("""COMPUTED_VALUE"""),25000.0)</f>
        <v>25000</v>
      </c>
      <c r="H40" s="124" t="str">
        <f>IFERROR(__xludf.DUMMYFUNCTION("""COMPUTED_VALUE"""),"Not Available")</f>
        <v>Not Available</v>
      </c>
      <c r="I40" s="124">
        <f>IFERROR(__xludf.DUMMYFUNCTION("""COMPUTED_VALUE"""),0.0)</f>
        <v>0</v>
      </c>
      <c r="J40" s="124">
        <f>IFERROR(__xludf.DUMMYFUNCTION("""COMPUTED_VALUE"""),25000.0)</f>
        <v>25000</v>
      </c>
      <c r="K40" s="124">
        <f>IFERROR(__xludf.DUMMYFUNCTION("""COMPUTED_VALUE"""),1.0)</f>
        <v>1</v>
      </c>
      <c r="L40" s="124">
        <f>IFERROR(__xludf.DUMMYFUNCTION("""COMPUTED_VALUE"""),476.0)</f>
        <v>476</v>
      </c>
      <c r="M40" s="124" t="str">
        <f>IFERROR(__xludf.DUMMYFUNCTION("""COMPUTED_VALUE"""),"Lucknow")</f>
        <v>Lucknow</v>
      </c>
      <c r="N40" s="124" t="str">
        <f>IFERROR(__xludf.DUMMYFUNCTION("""COMPUTED_VALUE"""),"aditisrivas14@gmail.com")</f>
        <v>aditisrivas14@gmail.com</v>
      </c>
      <c r="O40" s="124" t="str">
        <f>IFERROR(__xludf.DUMMYFUNCTION("""COMPUTED_VALUE"""),"Aditi Srivas")</f>
        <v>Aditi Srivas</v>
      </c>
      <c r="P40" s="124">
        <f>IFERROR(__xludf.DUMMYFUNCTION("""COMPUTED_VALUE"""),126732.0)</f>
        <v>126732</v>
      </c>
      <c r="Q40" s="124" t="str">
        <f>IFERROR(__xludf.DUMMYFUNCTION("""COMPUTED_VALUE"""),"Not Available")</f>
        <v>Not Available</v>
      </c>
      <c r="R40" s="124" t="str">
        <f>IFERROR(__xludf.DUMMYFUNCTION("""COMPUTED_VALUE"""),"GS Foundation Course")</f>
        <v>GS Foundation Course</v>
      </c>
      <c r="S40" s="124">
        <f>IFERROR(__xludf.DUMMYFUNCTION("""COMPUTED_VALUE"""),7.307905986E9)</f>
        <v>7307905986</v>
      </c>
      <c r="T40" s="124" t="str">
        <f>IFERROR(__xludf.DUMMYFUNCTION("""COMPUTED_VALUE"""),"Not Available")</f>
        <v>Not Available</v>
      </c>
      <c r="U40" s="124" t="str">
        <f>IFERROR(__xludf.DUMMYFUNCTION("""COMPUTED_VALUE"""),"Not Available")</f>
        <v>Not Available</v>
      </c>
      <c r="V40" s="124" t="str">
        <f>IFERROR(__xludf.DUMMYFUNCTION("""COMPUTED_VALUE"""),"Not Available")</f>
        <v>Not Available</v>
      </c>
      <c r="W40" s="124" t="str">
        <f>IFERROR(__xludf.DUMMYFUNCTION("""COMPUTED_VALUE"""),"Not Available")</f>
        <v>Not Available</v>
      </c>
    </row>
    <row r="41">
      <c r="A41" s="124" t="str">
        <f t="shared" si="1"/>
        <v>harshitarai7272@gmail.com</v>
      </c>
      <c r="B41" s="131">
        <f>IFERROR(__xludf.DUMMYFUNCTION("""COMPUTED_VALUE"""),46099.0)</f>
        <v>46099</v>
      </c>
      <c r="C41" s="124" t="str">
        <f>IFERROR(__xludf.DUMMYFUNCTION("""COMPUTED_VALUE"""),"Payment data from Collexo")</f>
        <v>Payment data from Collexo</v>
      </c>
      <c r="D41" s="124" t="str">
        <f>IFERROR(__xludf.DUMMYFUNCTION("""COMPUTED_VALUE"""),"Not Available")</f>
        <v>Not Available</v>
      </c>
      <c r="E41" s="124">
        <f>IFERROR(__xludf.DUMMYFUNCTION("""COMPUTED_VALUE"""),1500613.0)</f>
        <v>1500613</v>
      </c>
      <c r="F41" s="124">
        <f>IFERROR(__xludf.DUMMYFUNCTION("""COMPUTED_VALUE"""),129240.0)</f>
        <v>129240</v>
      </c>
      <c r="G41" s="124">
        <f>IFERROR(__xludf.DUMMYFUNCTION("""COMPUTED_VALUE"""),41673.0)</f>
        <v>41673</v>
      </c>
      <c r="H41" s="124" t="str">
        <f>IFERROR(__xludf.DUMMYFUNCTION("""COMPUTED_VALUE"""),"Not Available")</f>
        <v>Not Available</v>
      </c>
      <c r="I41" s="124">
        <f>IFERROR(__xludf.DUMMYFUNCTION("""COMPUTED_VALUE"""),0.0)</f>
        <v>0</v>
      </c>
      <c r="J41" s="124">
        <f>IFERROR(__xludf.DUMMYFUNCTION("""COMPUTED_VALUE"""),55000.0)</f>
        <v>55000</v>
      </c>
      <c r="K41" s="124">
        <f>IFERROR(__xludf.DUMMYFUNCTION("""COMPUTED_VALUE"""),3.0)</f>
        <v>3</v>
      </c>
      <c r="L41" s="124">
        <f>IFERROR(__xludf.DUMMYFUNCTION("""COMPUTED_VALUE"""),605.0)</f>
        <v>605</v>
      </c>
      <c r="M41" s="124" t="str">
        <f>IFERROR(__xludf.DUMMYFUNCTION("""COMPUTED_VALUE"""),"Prayagraj")</f>
        <v>Prayagraj</v>
      </c>
      <c r="N41" s="124" t="str">
        <f>IFERROR(__xludf.DUMMYFUNCTION("""COMPUTED_VALUE"""),"harshitarai7272@gmail.com")</f>
        <v>harshitarai7272@gmail.com</v>
      </c>
      <c r="O41" s="124" t="str">
        <f>IFERROR(__xludf.DUMMYFUNCTION("""COMPUTED_VALUE"""),"Harshita Rai")</f>
        <v>Harshita Rai</v>
      </c>
      <c r="P41" s="124">
        <f>IFERROR(__xludf.DUMMYFUNCTION("""COMPUTED_VALUE"""),129240.0)</f>
        <v>129240</v>
      </c>
      <c r="Q41" s="124" t="str">
        <f>IFERROR(__xludf.DUMMYFUNCTION("""COMPUTED_VALUE"""),"upsc-gs-foundation-hindi-target-2027-gsf-upsc-m02-pry")</f>
        <v>upsc-gs-foundation-hindi-target-2027-gsf-upsc-m02-pry</v>
      </c>
      <c r="R41" s="124" t="str">
        <f>IFERROR(__xludf.DUMMYFUNCTION("""COMPUTED_VALUE"""),"GS Foundation Course")</f>
        <v>GS Foundation Course</v>
      </c>
      <c r="S41" s="124">
        <f>IFERROR(__xludf.DUMMYFUNCTION("""COMPUTED_VALUE"""),9.45106071E9)</f>
        <v>9451060710</v>
      </c>
      <c r="T41" s="124" t="str">
        <f>IFERROR(__xludf.DUMMYFUNCTION("""COMPUTED_VALUE"""),"Not Available")</f>
        <v>Not Available</v>
      </c>
      <c r="U41" s="124" t="str">
        <f>IFERROR(__xludf.DUMMYFUNCTION("""COMPUTED_VALUE"""),"Not Available")</f>
        <v>Not Available</v>
      </c>
      <c r="V41" s="124" t="str">
        <f>IFERROR(__xludf.DUMMYFUNCTION("""COMPUTED_VALUE"""),"Not Available")</f>
        <v>Not Available</v>
      </c>
      <c r="W41" s="124" t="str">
        <f>IFERROR(__xludf.DUMMYFUNCTION("""COMPUTED_VALUE"""),"Not Available")</f>
        <v>Not Available</v>
      </c>
    </row>
    <row r="42">
      <c r="A42" s="124" t="str">
        <f t="shared" si="1"/>
        <v>anjjali28@gmail.com</v>
      </c>
      <c r="B42" s="131">
        <f>IFERROR(__xludf.DUMMYFUNCTION("""COMPUTED_VALUE"""),46090.0)</f>
        <v>46090</v>
      </c>
      <c r="C42" s="124" t="str">
        <f>IFERROR(__xludf.DUMMYFUNCTION("""COMPUTED_VALUE"""),"Payment data from Collexo")</f>
        <v>Payment data from Collexo</v>
      </c>
      <c r="D42" s="124" t="str">
        <f>IFERROR(__xludf.DUMMYFUNCTION("""COMPUTED_VALUE"""),"Not Available")</f>
        <v>Not Available</v>
      </c>
      <c r="E42" s="124">
        <f>IFERROR(__xludf.DUMMYFUNCTION("""COMPUTED_VALUE"""),1500610.0)</f>
        <v>1500610</v>
      </c>
      <c r="F42" s="124">
        <f>IFERROR(__xludf.DUMMYFUNCTION("""COMPUTED_VALUE"""),124723.0)</f>
        <v>124723</v>
      </c>
      <c r="G42" s="124">
        <f>IFERROR(__xludf.DUMMYFUNCTION("""COMPUTED_VALUE"""),20000.0)</f>
        <v>20000</v>
      </c>
      <c r="H42" s="131">
        <f>IFERROR(__xludf.DUMMYFUNCTION("""COMPUTED_VALUE"""),46142.0)</f>
        <v>46142</v>
      </c>
      <c r="I42" s="124">
        <f>IFERROR(__xludf.DUMMYFUNCTION("""COMPUTED_VALUE"""),30000.0)</f>
        <v>30000</v>
      </c>
      <c r="J42" s="124">
        <f>IFERROR(__xludf.DUMMYFUNCTION("""COMPUTED_VALUE"""),50000.0)</f>
        <v>50000</v>
      </c>
      <c r="K42" s="124">
        <f>IFERROR(__xludf.DUMMYFUNCTION("""COMPUTED_VALUE"""),2.0)</f>
        <v>2</v>
      </c>
      <c r="L42" s="124">
        <f>IFERROR(__xludf.DUMMYFUNCTION("""COMPUTED_VALUE"""),450.0)</f>
        <v>450</v>
      </c>
      <c r="M42" s="124" t="str">
        <f>IFERROR(__xludf.DUMMYFUNCTION("""COMPUTED_VALUE"""),"Lucknow")</f>
        <v>Lucknow</v>
      </c>
      <c r="N42" s="124" t="str">
        <f>IFERROR(__xludf.DUMMYFUNCTION("""COMPUTED_VALUE"""),"anjjali28@gmail.com")</f>
        <v>anjjali28@gmail.com</v>
      </c>
      <c r="O42" s="124" t="str">
        <f>IFERROR(__xludf.DUMMYFUNCTION("""COMPUTED_VALUE"""),"ANJALI YADAV")</f>
        <v>ANJALI YADAV</v>
      </c>
      <c r="P42" s="124">
        <f>IFERROR(__xludf.DUMMYFUNCTION("""COMPUTED_VALUE"""),124723.0)</f>
        <v>124723</v>
      </c>
      <c r="Q42" s="124" t="str">
        <f>IFERROR(__xludf.DUMMYFUNCTION("""COMPUTED_VALUE"""),"Not Available")</f>
        <v>Not Available</v>
      </c>
      <c r="R42" s="124" t="str">
        <f>IFERROR(__xludf.DUMMYFUNCTION("""COMPUTED_VALUE"""),"GS Foundation Course")</f>
        <v>GS Foundation Course</v>
      </c>
      <c r="S42" s="124">
        <f>IFERROR(__xludf.DUMMYFUNCTION("""COMPUTED_VALUE"""),9.354616316E9)</f>
        <v>9354616316</v>
      </c>
      <c r="T42" s="124" t="str">
        <f>IFERROR(__xludf.DUMMYFUNCTION("""COMPUTED_VALUE"""),"Not Available")</f>
        <v>Not Available</v>
      </c>
      <c r="U42" s="124" t="str">
        <f>IFERROR(__xludf.DUMMYFUNCTION("""COMPUTED_VALUE"""),"Not Available")</f>
        <v>Not Available</v>
      </c>
      <c r="V42" s="124" t="str">
        <f>IFERROR(__xludf.DUMMYFUNCTION("""COMPUTED_VALUE"""),"Not Available")</f>
        <v>Not Available</v>
      </c>
      <c r="W42" s="124" t="str">
        <f>IFERROR(__xludf.DUMMYFUNCTION("""COMPUTED_VALUE"""),"Not Available")</f>
        <v>Not Available</v>
      </c>
    </row>
    <row r="43">
      <c r="A43" s="124" t="str">
        <f t="shared" si="1"/>
        <v>gauravyd2095@gmail.com</v>
      </c>
      <c r="B43" s="131">
        <f>IFERROR(__xludf.DUMMYFUNCTION("""COMPUTED_VALUE"""),46110.0)</f>
        <v>46110</v>
      </c>
      <c r="C43" s="124" t="str">
        <f>IFERROR(__xludf.DUMMYFUNCTION("""COMPUTED_VALUE"""),"Payment data from Collexo")</f>
        <v>Payment data from Collexo</v>
      </c>
      <c r="D43" s="124" t="str">
        <f>IFERROR(__xludf.DUMMYFUNCTION("""COMPUTED_VALUE"""),"Not Available")</f>
        <v>Not Available</v>
      </c>
      <c r="E43" s="124">
        <f>IFERROR(__xludf.DUMMYFUNCTION("""COMPUTED_VALUE"""),1500613.0)</f>
        <v>1500613</v>
      </c>
      <c r="F43" s="124">
        <f>IFERROR(__xludf.DUMMYFUNCTION("""COMPUTED_VALUE"""),134615.0)</f>
        <v>134615</v>
      </c>
      <c r="G43" s="124">
        <f>IFERROR(__xludf.DUMMYFUNCTION("""COMPUTED_VALUE"""),25000.0)</f>
        <v>25000</v>
      </c>
      <c r="H43" s="124" t="str">
        <f>IFERROR(__xludf.DUMMYFUNCTION("""COMPUTED_VALUE"""),"Not Available")</f>
        <v>Not Available</v>
      </c>
      <c r="I43" s="124">
        <f>IFERROR(__xludf.DUMMYFUNCTION("""COMPUTED_VALUE"""),0.0)</f>
        <v>0</v>
      </c>
      <c r="J43" s="124">
        <f>IFERROR(__xludf.DUMMYFUNCTION("""COMPUTED_VALUE"""),35000.0)</f>
        <v>35000</v>
      </c>
      <c r="K43" s="124">
        <f>IFERROR(__xludf.DUMMYFUNCTION("""COMPUTED_VALUE"""),2.0)</f>
        <v>2</v>
      </c>
      <c r="L43" s="124">
        <f>IFERROR(__xludf.DUMMYFUNCTION("""COMPUTED_VALUE"""),821.0)</f>
        <v>821</v>
      </c>
      <c r="M43" s="124" t="str">
        <f>IFERROR(__xludf.DUMMYFUNCTION("""COMPUTED_VALUE"""),"Prayagraj")</f>
        <v>Prayagraj</v>
      </c>
      <c r="N43" s="124" t="str">
        <f>IFERROR(__xludf.DUMMYFUNCTION("""COMPUTED_VALUE"""),"gauravyd2095@gmail.com")</f>
        <v>gauravyd2095@gmail.com</v>
      </c>
      <c r="O43" s="124" t="str">
        <f>IFERROR(__xludf.DUMMYFUNCTION("""COMPUTED_VALUE"""),"Manisha Yadav")</f>
        <v>Manisha Yadav</v>
      </c>
      <c r="P43" s="124">
        <f>IFERROR(__xludf.DUMMYFUNCTION("""COMPUTED_VALUE"""),134615.0)</f>
        <v>134615</v>
      </c>
      <c r="Q43" s="124" t="str">
        <f>IFERROR(__xludf.DUMMYFUNCTION("""COMPUTED_VALUE"""),"upsc-gs-foundation-hindi-target-2027-gsf-upsc-m03-pry")</f>
        <v>upsc-gs-foundation-hindi-target-2027-gsf-upsc-m03-pry</v>
      </c>
      <c r="R43" s="124" t="str">
        <f>IFERROR(__xludf.DUMMYFUNCTION("""COMPUTED_VALUE"""),"State PCS")</f>
        <v>State PCS</v>
      </c>
      <c r="S43" s="124">
        <f>IFERROR(__xludf.DUMMYFUNCTION("""COMPUTED_VALUE"""),6.307339718E9)</f>
        <v>6307339718</v>
      </c>
      <c r="T43" s="124" t="str">
        <f>IFERROR(__xludf.DUMMYFUNCTION("""COMPUTED_VALUE"""),"Not Available")</f>
        <v>Not Available</v>
      </c>
      <c r="U43" s="124" t="str">
        <f>IFERROR(__xludf.DUMMYFUNCTION("""COMPUTED_VALUE"""),"Not Available")</f>
        <v>Not Available</v>
      </c>
      <c r="V43" s="124" t="str">
        <f>IFERROR(__xludf.DUMMYFUNCTION("""COMPUTED_VALUE"""),"Not Available")</f>
        <v>Not Available</v>
      </c>
      <c r="W43" s="124" t="str">
        <f>IFERROR(__xludf.DUMMYFUNCTION("""COMPUTED_VALUE"""),"Not Available")</f>
        <v>Not Available</v>
      </c>
    </row>
    <row r="44">
      <c r="A44" s="124" t="str">
        <f t="shared" si="1"/>
        <v>ny68525@gmail.com</v>
      </c>
      <c r="B44" s="131">
        <f>IFERROR(__xludf.DUMMYFUNCTION("""COMPUTED_VALUE"""),46072.0)</f>
        <v>46072</v>
      </c>
      <c r="C44" s="124" t="str">
        <f>IFERROR(__xludf.DUMMYFUNCTION("""COMPUTED_VALUE"""),"Payment data from Collexo")</f>
        <v>Payment data from Collexo</v>
      </c>
      <c r="D44" s="124" t="str">
        <f>IFERROR(__xludf.DUMMYFUNCTION("""COMPUTED_VALUE"""),"Not Available")</f>
        <v>Not Available</v>
      </c>
      <c r="E44" s="124">
        <f>IFERROR(__xludf.DUMMYFUNCTION("""COMPUTED_VALUE"""),1500610.0)</f>
        <v>1500610</v>
      </c>
      <c r="F44" s="124">
        <f>IFERROR(__xludf.DUMMYFUNCTION("""COMPUTED_VALUE"""),124097.0)</f>
        <v>124097</v>
      </c>
      <c r="G44" s="124">
        <f>IFERROR(__xludf.DUMMYFUNCTION("""COMPUTED_VALUE"""),43913.0)</f>
        <v>43913</v>
      </c>
      <c r="H44" s="124" t="str">
        <f>IFERROR(__xludf.DUMMYFUNCTION("""COMPUTED_VALUE"""),"Not Available")</f>
        <v>Not Available</v>
      </c>
      <c r="I44" s="124">
        <f>IFERROR(__xludf.DUMMYFUNCTION("""COMPUTED_VALUE"""),0.0)</f>
        <v>0</v>
      </c>
      <c r="J44" s="124">
        <f>IFERROR(__xludf.DUMMYFUNCTION("""COMPUTED_VALUE"""),50000.0)</f>
        <v>50000</v>
      </c>
      <c r="K44" s="124">
        <f>IFERROR(__xludf.DUMMYFUNCTION("""COMPUTED_VALUE"""),2.0)</f>
        <v>2</v>
      </c>
      <c r="L44" s="124">
        <f>IFERROR(__xludf.DUMMYFUNCTION("""COMPUTED_VALUE"""),266.0)</f>
        <v>266</v>
      </c>
      <c r="M44" s="124" t="str">
        <f>IFERROR(__xludf.DUMMYFUNCTION("""COMPUTED_VALUE"""),"Lucknow")</f>
        <v>Lucknow</v>
      </c>
      <c r="N44" s="124" t="str">
        <f>IFERROR(__xludf.DUMMYFUNCTION("""COMPUTED_VALUE"""),"ny68525@gmail.com")</f>
        <v>ny68525@gmail.com</v>
      </c>
      <c r="O44" s="124" t="str">
        <f>IFERROR(__xludf.DUMMYFUNCTION("""COMPUTED_VALUE"""),"Neha")</f>
        <v>Neha</v>
      </c>
      <c r="P44" s="124">
        <f>IFERROR(__xludf.DUMMYFUNCTION("""COMPUTED_VALUE"""),124097.0)</f>
        <v>124097</v>
      </c>
      <c r="Q44" s="124" t="str">
        <f>IFERROR(__xludf.DUMMYFUNCTION("""COMPUTED_VALUE"""),"upsc-gs-foundation-hindi-target-2028-gsf-upsc-m01-lko")</f>
        <v>upsc-gs-foundation-hindi-target-2028-gsf-upsc-m01-lko</v>
      </c>
      <c r="R44" s="124" t="str">
        <f>IFERROR(__xludf.DUMMYFUNCTION("""COMPUTED_VALUE"""),"GS Foundation Course")</f>
        <v>GS Foundation Course</v>
      </c>
      <c r="S44" s="124">
        <f>IFERROR(__xludf.DUMMYFUNCTION("""COMPUTED_VALUE"""),9.026638188E9)</f>
        <v>9026638188</v>
      </c>
      <c r="T44" s="124" t="str">
        <f>IFERROR(__xludf.DUMMYFUNCTION("""COMPUTED_VALUE"""),"Not Available")</f>
        <v>Not Available</v>
      </c>
      <c r="U44" s="124" t="str">
        <f>IFERROR(__xludf.DUMMYFUNCTION("""COMPUTED_VALUE"""),"Not Available")</f>
        <v>Not Available</v>
      </c>
      <c r="V44" s="124" t="str">
        <f>IFERROR(__xludf.DUMMYFUNCTION("""COMPUTED_VALUE"""),"Not Available")</f>
        <v>Not Available</v>
      </c>
      <c r="W44" s="124" t="str">
        <f>IFERROR(__xludf.DUMMYFUNCTION("""COMPUTED_VALUE"""),"Not Available")</f>
        <v>Not Available</v>
      </c>
    </row>
    <row r="45">
      <c r="A45" s="124" t="str">
        <f t="shared" si="1"/>
        <v>aryanvats927@gmail.com</v>
      </c>
      <c r="B45" s="131">
        <f>IFERROR(__xludf.DUMMYFUNCTION("""COMPUTED_VALUE"""),46079.0)</f>
        <v>46079</v>
      </c>
      <c r="C45" s="124" t="str">
        <f>IFERROR(__xludf.DUMMYFUNCTION("""COMPUTED_VALUE"""),"Payment data from Collexo")</f>
        <v>Payment data from Collexo</v>
      </c>
      <c r="D45" s="124" t="str">
        <f>IFERROR(__xludf.DUMMYFUNCTION("""COMPUTED_VALUE"""),"Not Available")</f>
        <v>Not Available</v>
      </c>
      <c r="E45" s="124">
        <f>IFERROR(__xludf.DUMMYFUNCTION("""COMPUTED_VALUE"""),1500609.0)</f>
        <v>1500609</v>
      </c>
      <c r="F45" s="124" t="str">
        <f>IFERROR(__xludf.DUMMYFUNCTION("""COMPUTED_VALUE"""),"11243_988_7")</f>
        <v>11243_988_7</v>
      </c>
      <c r="G45" s="124">
        <f>IFERROR(__xludf.DUMMYFUNCTION("""COMPUTED_VALUE"""),125000.0)</f>
        <v>125000</v>
      </c>
      <c r="H45" s="124" t="str">
        <f>IFERROR(__xludf.DUMMYFUNCTION("""COMPUTED_VALUE"""),"Not Available")</f>
        <v>Not Available</v>
      </c>
      <c r="I45" s="124">
        <f>IFERROR(__xludf.DUMMYFUNCTION("""COMPUTED_VALUE"""),0.0)</f>
        <v>0</v>
      </c>
      <c r="J45" s="124">
        <f>IFERROR(__xludf.DUMMYFUNCTION("""COMPUTED_VALUE"""),130000.0)</f>
        <v>130000</v>
      </c>
      <c r="K45" s="124">
        <f>IFERROR(__xludf.DUMMYFUNCTION("""COMPUTED_VALUE"""),2.0)</f>
        <v>2</v>
      </c>
      <c r="L45" s="124">
        <f>IFERROR(__xludf.DUMMYFUNCTION("""COMPUTED_VALUE"""),358.0)</f>
        <v>358</v>
      </c>
      <c r="M45" s="124" t="str">
        <f>IFERROR(__xludf.DUMMYFUNCTION("""COMPUTED_VALUE"""),"New Delhi")</f>
        <v>New Delhi</v>
      </c>
      <c r="N45" s="124" t="str">
        <f>IFERROR(__xludf.DUMMYFUNCTION("""COMPUTED_VALUE"""),"aryanvats927@gmail.com")</f>
        <v>aryanvats927@gmail.com</v>
      </c>
      <c r="O45" s="124" t="str">
        <f>IFERROR(__xludf.DUMMYFUNCTION("""COMPUTED_VALUE"""),"Aryan")</f>
        <v>Aryan</v>
      </c>
      <c r="P45" s="124">
        <f>IFERROR(__xludf.DUMMYFUNCTION("""COMPUTED_VALUE"""),96169.0)</f>
        <v>96169</v>
      </c>
      <c r="Q45" s="124" t="str">
        <f>IFERROR(__xludf.DUMMYFUNCTION("""COMPUTED_VALUE"""),"upsc-gs-foundation-hinglish-target-2027-gsf-upsc-e04-orn")</f>
        <v>upsc-gs-foundation-hinglish-target-2027-gsf-upsc-e04-orn</v>
      </c>
      <c r="R45" s="124" t="str">
        <f>IFERROR(__xludf.DUMMYFUNCTION("""COMPUTED_VALUE"""),"GS Foundation Course")</f>
        <v>GS Foundation Course</v>
      </c>
      <c r="S45" s="124">
        <f>IFERROR(__xludf.DUMMYFUNCTION("""COMPUTED_VALUE"""),9.871932461E9)</f>
        <v>9871932461</v>
      </c>
      <c r="T45" s="124" t="str">
        <f>IFERROR(__xludf.DUMMYFUNCTION("""COMPUTED_VALUE"""),"Collexo")</f>
        <v>Collexo</v>
      </c>
      <c r="U45" s="124" t="str">
        <f>IFERROR(__xludf.DUMMYFUNCTION("""COMPUTED_VALUE"""),"Success")</f>
        <v>Success</v>
      </c>
      <c r="V45" s="131">
        <f>IFERROR(__xludf.DUMMYFUNCTION("""COMPUTED_VALUE"""),46079.0)</f>
        <v>46079</v>
      </c>
      <c r="W45" s="124">
        <f>IFERROR(__xludf.DUMMYFUNCTION("""COMPUTED_VALUE"""),0.0)</f>
        <v>0</v>
      </c>
    </row>
    <row r="46">
      <c r="A46" s="124" t="str">
        <f t="shared" si="1"/>
        <v>kashishguru12345@gmail.com</v>
      </c>
      <c r="B46" s="131">
        <f>IFERROR(__xludf.DUMMYFUNCTION("""COMPUTED_VALUE"""),46095.0)</f>
        <v>46095</v>
      </c>
      <c r="C46" s="124" t="str">
        <f>IFERROR(__xludf.DUMMYFUNCTION("""COMPUTED_VALUE"""),"Payment data from Collexo")</f>
        <v>Payment data from Collexo</v>
      </c>
      <c r="D46" s="124" t="str">
        <f>IFERROR(__xludf.DUMMYFUNCTION("""COMPUTED_VALUE"""),"Not Available")</f>
        <v>Not Available</v>
      </c>
      <c r="E46" s="124">
        <f>IFERROR(__xludf.DUMMYFUNCTION("""COMPUTED_VALUE"""),1500613.0)</f>
        <v>1500613</v>
      </c>
      <c r="F46" s="124">
        <f>IFERROR(__xludf.DUMMYFUNCTION("""COMPUTED_VALUE"""),40215.0)</f>
        <v>40215</v>
      </c>
      <c r="G46" s="124">
        <f>IFERROR(__xludf.DUMMYFUNCTION("""COMPUTED_VALUE"""),1000.0)</f>
        <v>1000</v>
      </c>
      <c r="H46" s="131">
        <f>IFERROR(__xludf.DUMMYFUNCTION("""COMPUTED_VALUE"""),46095.0)</f>
        <v>46095</v>
      </c>
      <c r="I46" s="124">
        <f>IFERROR(__xludf.DUMMYFUNCTION("""COMPUTED_VALUE"""),6372.0)</f>
        <v>6372</v>
      </c>
      <c r="J46" s="124">
        <f>IFERROR(__xludf.DUMMYFUNCTION("""COMPUTED_VALUE"""),44000.0)</f>
        <v>44000</v>
      </c>
      <c r="K46" s="124">
        <f>IFERROR(__xludf.DUMMYFUNCTION("""COMPUTED_VALUE"""),3.0)</f>
        <v>3</v>
      </c>
      <c r="L46" s="124">
        <f>IFERROR(__xludf.DUMMYFUNCTION("""COMPUTED_VALUE"""),542.0)</f>
        <v>542</v>
      </c>
      <c r="M46" s="124" t="str">
        <f>IFERROR(__xludf.DUMMYFUNCTION("""COMPUTED_VALUE"""),"Prayagraj")</f>
        <v>Prayagraj</v>
      </c>
      <c r="N46" s="124" t="str">
        <f>IFERROR(__xludf.DUMMYFUNCTION("""COMPUTED_VALUE"""),"kashishguru12345@gmail.com")</f>
        <v>kashishguru12345@gmail.com</v>
      </c>
      <c r="O46" s="124" t="str">
        <f>IFERROR(__xludf.DUMMYFUNCTION("""COMPUTED_VALUE"""),"Kashish")</f>
        <v>Kashish</v>
      </c>
      <c r="P46" s="124">
        <f>IFERROR(__xludf.DUMMYFUNCTION("""COMPUTED_VALUE"""),40215.0)</f>
        <v>40215</v>
      </c>
      <c r="Q46" s="124" t="str">
        <f>IFERROR(__xludf.DUMMYFUNCTION("""COMPUTED_VALUE"""),"upsc-gs-foundation-hinglish-target-2027-gsf-upsc-e03-pry")</f>
        <v>upsc-gs-foundation-hinglish-target-2027-gsf-upsc-e03-pry</v>
      </c>
      <c r="R46" s="124" t="str">
        <f>IFERROR(__xludf.DUMMYFUNCTION("""COMPUTED_VALUE"""),"GS Foundation Course")</f>
        <v>GS Foundation Course</v>
      </c>
      <c r="S46" s="124">
        <f>IFERROR(__xludf.DUMMYFUNCTION("""COMPUTED_VALUE"""),9.63036563E9)</f>
        <v>9630365630</v>
      </c>
      <c r="T46" s="124" t="str">
        <f>IFERROR(__xludf.DUMMYFUNCTION("""COMPUTED_VALUE"""),"Not Available")</f>
        <v>Not Available</v>
      </c>
      <c r="U46" s="124" t="str">
        <f>IFERROR(__xludf.DUMMYFUNCTION("""COMPUTED_VALUE"""),"Not Available")</f>
        <v>Not Available</v>
      </c>
      <c r="V46" s="124" t="str">
        <f>IFERROR(__xludf.DUMMYFUNCTION("""COMPUTED_VALUE"""),"Not Available")</f>
        <v>Not Available</v>
      </c>
      <c r="W46" s="124" t="str">
        <f>IFERROR(__xludf.DUMMYFUNCTION("""COMPUTED_VALUE"""),"Not Available")</f>
        <v>Not Available</v>
      </c>
    </row>
    <row r="47">
      <c r="A47" s="124" t="str">
        <f t="shared" si="1"/>
        <v>kashishguru12345@gmail.com</v>
      </c>
      <c r="B47" s="131">
        <f>IFERROR(__xludf.DUMMYFUNCTION("""COMPUTED_VALUE"""),46095.0)</f>
        <v>46095</v>
      </c>
      <c r="C47" s="124" t="str">
        <f>IFERROR(__xludf.DUMMYFUNCTION("""COMPUTED_VALUE"""),"Payment data from Collexo")</f>
        <v>Payment data from Collexo</v>
      </c>
      <c r="D47" s="124" t="str">
        <f>IFERROR(__xludf.DUMMYFUNCTION("""COMPUTED_VALUE"""),"Not Available")</f>
        <v>Not Available</v>
      </c>
      <c r="E47" s="124">
        <f>IFERROR(__xludf.DUMMYFUNCTION("""COMPUTED_VALUE"""),1500613.0)</f>
        <v>1500613</v>
      </c>
      <c r="F47" s="124">
        <f>IFERROR(__xludf.DUMMYFUNCTION("""COMPUTED_VALUE"""),40215.0)</f>
        <v>40215</v>
      </c>
      <c r="G47" s="124">
        <f>IFERROR(__xludf.DUMMYFUNCTION("""COMPUTED_VALUE"""),36628.0)</f>
        <v>36628</v>
      </c>
      <c r="H47" s="124" t="str">
        <f>IFERROR(__xludf.DUMMYFUNCTION("""COMPUTED_VALUE"""),"Not Available")</f>
        <v>Not Available</v>
      </c>
      <c r="I47" s="124">
        <f>IFERROR(__xludf.DUMMYFUNCTION("""COMPUTED_VALUE"""),0.0)</f>
        <v>0</v>
      </c>
      <c r="J47" s="124">
        <f>IFERROR(__xludf.DUMMYFUNCTION("""COMPUTED_VALUE"""),44000.0)</f>
        <v>44000</v>
      </c>
      <c r="K47" s="124">
        <f>IFERROR(__xludf.DUMMYFUNCTION("""COMPUTED_VALUE"""),3.0)</f>
        <v>3</v>
      </c>
      <c r="L47" s="124">
        <f>IFERROR(__xludf.DUMMYFUNCTION("""COMPUTED_VALUE"""),544.0)</f>
        <v>544</v>
      </c>
      <c r="M47" s="124" t="str">
        <f>IFERROR(__xludf.DUMMYFUNCTION("""COMPUTED_VALUE"""),"Prayagraj")</f>
        <v>Prayagraj</v>
      </c>
      <c r="N47" s="124" t="str">
        <f>IFERROR(__xludf.DUMMYFUNCTION("""COMPUTED_VALUE"""),"kashishguru12345@gmail.com")</f>
        <v>kashishguru12345@gmail.com</v>
      </c>
      <c r="O47" s="124" t="str">
        <f>IFERROR(__xludf.DUMMYFUNCTION("""COMPUTED_VALUE"""),"Kashish")</f>
        <v>Kashish</v>
      </c>
      <c r="P47" s="124">
        <f>IFERROR(__xludf.DUMMYFUNCTION("""COMPUTED_VALUE"""),40215.0)</f>
        <v>40215</v>
      </c>
      <c r="Q47" s="124" t="str">
        <f>IFERROR(__xludf.DUMMYFUNCTION("""COMPUTED_VALUE"""),"upsc-gs-foundation-hinglish-target-2027-gsf-upsc-e03-pry")</f>
        <v>upsc-gs-foundation-hinglish-target-2027-gsf-upsc-e03-pry</v>
      </c>
      <c r="R47" s="124" t="str">
        <f>IFERROR(__xludf.DUMMYFUNCTION("""COMPUTED_VALUE"""),"GS Foundation Course")</f>
        <v>GS Foundation Course</v>
      </c>
      <c r="S47" s="124">
        <f>IFERROR(__xludf.DUMMYFUNCTION("""COMPUTED_VALUE"""),9.63036563E9)</f>
        <v>9630365630</v>
      </c>
      <c r="T47" s="124" t="str">
        <f>IFERROR(__xludf.DUMMYFUNCTION("""COMPUTED_VALUE"""),"Not Available")</f>
        <v>Not Available</v>
      </c>
      <c r="U47" s="124" t="str">
        <f>IFERROR(__xludf.DUMMYFUNCTION("""COMPUTED_VALUE"""),"Not Available")</f>
        <v>Not Available</v>
      </c>
      <c r="V47" s="124" t="str">
        <f>IFERROR(__xludf.DUMMYFUNCTION("""COMPUTED_VALUE"""),"Not Available")</f>
        <v>Not Available</v>
      </c>
      <c r="W47" s="124" t="str">
        <f>IFERROR(__xludf.DUMMYFUNCTION("""COMPUTED_VALUE"""),"Not Available")</f>
        <v>Not Available</v>
      </c>
    </row>
    <row r="48">
      <c r="A48" s="124" t="str">
        <f t="shared" si="1"/>
        <v>shuklavyomax@gmail.com</v>
      </c>
      <c r="B48" s="131">
        <f>IFERROR(__xludf.DUMMYFUNCTION("""COMPUTED_VALUE"""),46086.0)</f>
        <v>46086</v>
      </c>
      <c r="C48" s="124" t="str">
        <f>IFERROR(__xludf.DUMMYFUNCTION("""COMPUTED_VALUE"""),"Payment data from Collexo")</f>
        <v>Payment data from Collexo</v>
      </c>
      <c r="D48" s="124" t="str">
        <f>IFERROR(__xludf.DUMMYFUNCTION("""COMPUTED_VALUE"""),"Not Available")</f>
        <v>Not Available</v>
      </c>
      <c r="E48" s="124">
        <f>IFERROR(__xludf.DUMMYFUNCTION("""COMPUTED_VALUE"""),1500613.0)</f>
        <v>1500613</v>
      </c>
      <c r="F48" s="124">
        <f>IFERROR(__xludf.DUMMYFUNCTION("""COMPUTED_VALUE"""),110726.0)</f>
        <v>110726</v>
      </c>
      <c r="G48" s="124">
        <f>IFERROR(__xludf.DUMMYFUNCTION("""COMPUTED_VALUE"""),47500.0)</f>
        <v>47500</v>
      </c>
      <c r="H48" s="124" t="str">
        <f>IFERROR(__xludf.DUMMYFUNCTION("""COMPUTED_VALUE"""),"Not Available")</f>
        <v>Not Available</v>
      </c>
      <c r="I48" s="124">
        <f>IFERROR(__xludf.DUMMYFUNCTION("""COMPUTED_VALUE"""),0.0)</f>
        <v>0</v>
      </c>
      <c r="J48" s="124">
        <f>IFERROR(__xludf.DUMMYFUNCTION("""COMPUTED_VALUE"""),47500.0)</f>
        <v>47500</v>
      </c>
      <c r="K48" s="124">
        <f>IFERROR(__xludf.DUMMYFUNCTION("""COMPUTED_VALUE"""),1.0)</f>
        <v>1</v>
      </c>
      <c r="L48" s="124">
        <f>IFERROR(__xludf.DUMMYFUNCTION("""COMPUTED_VALUE"""),412.0)</f>
        <v>412</v>
      </c>
      <c r="M48" s="124" t="str">
        <f>IFERROR(__xludf.DUMMYFUNCTION("""COMPUTED_VALUE"""),"Prayagraj")</f>
        <v>Prayagraj</v>
      </c>
      <c r="N48" s="124" t="str">
        <f>IFERROR(__xludf.DUMMYFUNCTION("""COMPUTED_VALUE"""),"shuklavyomax@gmail.com")</f>
        <v>shuklavyomax@gmail.com</v>
      </c>
      <c r="O48" s="124" t="str">
        <f>IFERROR(__xludf.DUMMYFUNCTION("""COMPUTED_VALUE"""),"Vyomesh Shukla")</f>
        <v>Vyomesh Shukla</v>
      </c>
      <c r="P48" s="124">
        <f>IFERROR(__xludf.DUMMYFUNCTION("""COMPUTED_VALUE"""),110726.0)</f>
        <v>110726</v>
      </c>
      <c r="Q48" s="124" t="str">
        <f>IFERROR(__xludf.DUMMYFUNCTION("""COMPUTED_VALUE"""),"upsc-gs-foundation-hinglish-target-2027-gsf-upsc-e03-pry")</f>
        <v>upsc-gs-foundation-hinglish-target-2027-gsf-upsc-e03-pry</v>
      </c>
      <c r="R48" s="124" t="str">
        <f>IFERROR(__xludf.DUMMYFUNCTION("""COMPUTED_VALUE"""),"GS Foundation Course")</f>
        <v>GS Foundation Course</v>
      </c>
      <c r="S48" s="124">
        <f>IFERROR(__xludf.DUMMYFUNCTION("""COMPUTED_VALUE"""),8.887710938E9)</f>
        <v>8887710938</v>
      </c>
      <c r="T48" s="124" t="str">
        <f>IFERROR(__xludf.DUMMYFUNCTION("""COMPUTED_VALUE"""),"Not Available")</f>
        <v>Not Available</v>
      </c>
      <c r="U48" s="124" t="str">
        <f>IFERROR(__xludf.DUMMYFUNCTION("""COMPUTED_VALUE"""),"Not Available")</f>
        <v>Not Available</v>
      </c>
      <c r="V48" s="124" t="str">
        <f>IFERROR(__xludf.DUMMYFUNCTION("""COMPUTED_VALUE"""),"Not Available")</f>
        <v>Not Available</v>
      </c>
      <c r="W48" s="124" t="str">
        <f>IFERROR(__xludf.DUMMYFUNCTION("""COMPUTED_VALUE"""),"Not Available")</f>
        <v>Not Available</v>
      </c>
    </row>
    <row r="49">
      <c r="A49" s="124" t="str">
        <f t="shared" si="1"/>
        <v>choudharymahimasays@gmail.com</v>
      </c>
      <c r="B49" s="131">
        <f>IFERROR(__xludf.DUMMYFUNCTION("""COMPUTED_VALUE"""),46059.0)</f>
        <v>46059</v>
      </c>
      <c r="C49" s="124" t="str">
        <f>IFERROR(__xludf.DUMMYFUNCTION("""COMPUTED_VALUE"""),"Payment data from Collexo")</f>
        <v>Payment data from Collexo</v>
      </c>
      <c r="D49" s="124" t="str">
        <f>IFERROR(__xludf.DUMMYFUNCTION("""COMPUTED_VALUE"""),"Not Available")</f>
        <v>Not Available</v>
      </c>
      <c r="E49" s="124">
        <f>IFERROR(__xludf.DUMMYFUNCTION("""COMPUTED_VALUE"""),1500609.0)</f>
        <v>1500609</v>
      </c>
      <c r="F49" s="124" t="str">
        <f>IFERROR(__xludf.DUMMYFUNCTION("""COMPUTED_VALUE"""),"4012_988_7")</f>
        <v>4012_988_7</v>
      </c>
      <c r="G49" s="124">
        <f>IFERROR(__xludf.DUMMYFUNCTION("""COMPUTED_VALUE"""),5000.0)</f>
        <v>5000</v>
      </c>
      <c r="H49" s="131">
        <f>IFERROR(__xludf.DUMMYFUNCTION("""COMPUTED_VALUE"""),46081.0)</f>
        <v>46081</v>
      </c>
      <c r="I49" s="124">
        <f>IFERROR(__xludf.DUMMYFUNCTION("""COMPUTED_VALUE"""),75000.0)</f>
        <v>75000</v>
      </c>
      <c r="J49" s="124">
        <f>IFERROR(__xludf.DUMMYFUNCTION("""COMPUTED_VALUE"""),80000.0)</f>
        <v>80000</v>
      </c>
      <c r="K49" s="124">
        <f>IFERROR(__xludf.DUMMYFUNCTION("""COMPUTED_VALUE"""),2.0)</f>
        <v>2</v>
      </c>
      <c r="L49" s="124">
        <f>IFERROR(__xludf.DUMMYFUNCTION("""COMPUTED_VALUE"""),173.0)</f>
        <v>173</v>
      </c>
      <c r="M49" s="124" t="str">
        <f>IFERROR(__xludf.DUMMYFUNCTION("""COMPUTED_VALUE"""),"New Delhi")</f>
        <v>New Delhi</v>
      </c>
      <c r="N49" s="124" t="str">
        <f>IFERROR(__xludf.DUMMYFUNCTION("""COMPUTED_VALUE"""),"choudharymahimasays@gmail.com")</f>
        <v>choudharymahimasays@gmail.com</v>
      </c>
      <c r="O49" s="124" t="str">
        <f>IFERROR(__xludf.DUMMYFUNCTION("""COMPUTED_VALUE"""),"Mahima Choudhary")</f>
        <v>Mahima Choudhary</v>
      </c>
      <c r="P49" s="124">
        <f>IFERROR(__xludf.DUMMYFUNCTION("""COMPUTED_VALUE"""),120715.0)</f>
        <v>120715</v>
      </c>
      <c r="Q49" s="124" t="str">
        <f>IFERROR(__xludf.DUMMYFUNCTION("""COMPUTED_VALUE"""),"upsc-gs-foundation-hinglish-target-2027-gsf-upsc-m02-orn")</f>
        <v>upsc-gs-foundation-hinglish-target-2027-gsf-upsc-m02-orn</v>
      </c>
      <c r="R49" s="124" t="str">
        <f>IFERROR(__xludf.DUMMYFUNCTION("""COMPUTED_VALUE"""),"GS Foundation Course")</f>
        <v>GS Foundation Course</v>
      </c>
      <c r="S49" s="124">
        <f>IFERROR(__xludf.DUMMYFUNCTION("""COMPUTED_VALUE"""),7.374845032E9)</f>
        <v>7374845032</v>
      </c>
      <c r="T49" s="124" t="str">
        <f>IFERROR(__xludf.DUMMYFUNCTION("""COMPUTED_VALUE"""),"Collexo")</f>
        <v>Collexo</v>
      </c>
      <c r="U49" s="124" t="str">
        <f>IFERROR(__xludf.DUMMYFUNCTION("""COMPUTED_VALUE"""),"Success")</f>
        <v>Success</v>
      </c>
      <c r="V49" s="131">
        <f>IFERROR(__xludf.DUMMYFUNCTION("""COMPUTED_VALUE"""),46059.0)</f>
        <v>46059</v>
      </c>
      <c r="W49" s="124">
        <f>IFERROR(__xludf.DUMMYFUNCTION("""COMPUTED_VALUE"""),0.0)</f>
        <v>0</v>
      </c>
    </row>
    <row r="50">
      <c r="A50" s="124" t="str">
        <f t="shared" si="1"/>
        <v>ritikadalal0216@gmail.com</v>
      </c>
      <c r="B50" s="131">
        <f>IFERROR(__xludf.DUMMYFUNCTION("""COMPUTED_VALUE"""),46086.0)</f>
        <v>46086</v>
      </c>
      <c r="C50" s="124" t="str">
        <f>IFERROR(__xludf.DUMMYFUNCTION("""COMPUTED_VALUE"""),"Payment data from Collexo")</f>
        <v>Payment data from Collexo</v>
      </c>
      <c r="D50" s="124" t="str">
        <f>IFERROR(__xludf.DUMMYFUNCTION("""COMPUTED_VALUE"""),"Not Available")</f>
        <v>Not Available</v>
      </c>
      <c r="E50" s="124">
        <f>IFERROR(__xludf.DUMMYFUNCTION("""COMPUTED_VALUE"""),1500609.0)</f>
        <v>1500609</v>
      </c>
      <c r="F50" s="124" t="str">
        <f>IFERROR(__xludf.DUMMYFUNCTION("""COMPUTED_VALUE"""),"12615_988_7")</f>
        <v>12615_988_7</v>
      </c>
      <c r="G50" s="124">
        <f>IFERROR(__xludf.DUMMYFUNCTION("""COMPUTED_VALUE"""),16000.0)</f>
        <v>16000</v>
      </c>
      <c r="H50" s="131">
        <f>IFERROR(__xludf.DUMMYFUNCTION("""COMPUTED_VALUE"""),46112.0)</f>
        <v>46112</v>
      </c>
      <c r="I50" s="124">
        <f>IFERROR(__xludf.DUMMYFUNCTION("""COMPUTED_VALUE"""),104000.0)</f>
        <v>104000</v>
      </c>
      <c r="J50" s="124">
        <f>IFERROR(__xludf.DUMMYFUNCTION("""COMPUTED_VALUE"""),130000.0)</f>
        <v>130000</v>
      </c>
      <c r="K50" s="124">
        <f>IFERROR(__xludf.DUMMYFUNCTION("""COMPUTED_VALUE"""),3.0)</f>
        <v>3</v>
      </c>
      <c r="L50" s="124">
        <f>IFERROR(__xludf.DUMMYFUNCTION("""COMPUTED_VALUE"""),410.0)</f>
        <v>410</v>
      </c>
      <c r="M50" s="124" t="str">
        <f>IFERROR(__xludf.DUMMYFUNCTION("""COMPUTED_VALUE"""),"New Delhi")</f>
        <v>New Delhi</v>
      </c>
      <c r="N50" s="124" t="str">
        <f>IFERROR(__xludf.DUMMYFUNCTION("""COMPUTED_VALUE"""),"ritikadalal0216@gmail.com")</f>
        <v>ritikadalal0216@gmail.com</v>
      </c>
      <c r="O50" s="124" t="str">
        <f>IFERROR(__xludf.DUMMYFUNCTION("""COMPUTED_VALUE"""),"Ritika")</f>
        <v>Ritika</v>
      </c>
      <c r="P50" s="124">
        <f>IFERROR(__xludf.DUMMYFUNCTION("""COMPUTED_VALUE"""),126075.0)</f>
        <v>126075</v>
      </c>
      <c r="Q50" s="124" t="str">
        <f>IFERROR(__xludf.DUMMYFUNCTION("""COMPUTED_VALUE"""),"upsc-gs-foundation-hinglish-target-2028-gsf-upsc-m05-orn")</f>
        <v>upsc-gs-foundation-hinglish-target-2028-gsf-upsc-m05-orn</v>
      </c>
      <c r="R50" s="124" t="str">
        <f>IFERROR(__xludf.DUMMYFUNCTION("""COMPUTED_VALUE"""),"GS Foundation Course")</f>
        <v>GS Foundation Course</v>
      </c>
      <c r="S50" s="124">
        <f>IFERROR(__xludf.DUMMYFUNCTION("""COMPUTED_VALUE"""),7.011882881E9)</f>
        <v>7011882881</v>
      </c>
      <c r="T50" s="124" t="str">
        <f>IFERROR(__xludf.DUMMYFUNCTION("""COMPUTED_VALUE"""),"Collexo")</f>
        <v>Collexo</v>
      </c>
      <c r="U50" s="124" t="str">
        <f>IFERROR(__xludf.DUMMYFUNCTION("""COMPUTED_VALUE"""),"Success")</f>
        <v>Success</v>
      </c>
      <c r="V50" s="131">
        <f>IFERROR(__xludf.DUMMYFUNCTION("""COMPUTED_VALUE"""),46086.0)</f>
        <v>46086</v>
      </c>
      <c r="W50" s="124">
        <f>IFERROR(__xludf.DUMMYFUNCTION("""COMPUTED_VALUE"""),0.0)</f>
        <v>0</v>
      </c>
    </row>
    <row r="51">
      <c r="A51" s="124" t="str">
        <f t="shared" si="1"/>
        <v>suhanikumarimauryaprofessor@gmail.com</v>
      </c>
      <c r="B51" s="131">
        <f>IFERROR(__xludf.DUMMYFUNCTION("""COMPUTED_VALUE"""),46112.0)</f>
        <v>46112</v>
      </c>
      <c r="C51" s="124" t="str">
        <f>IFERROR(__xludf.DUMMYFUNCTION("""COMPUTED_VALUE"""),"Payment data from Collexo")</f>
        <v>Payment data from Collexo</v>
      </c>
      <c r="D51" s="124" t="str">
        <f>IFERROR(__xludf.DUMMYFUNCTION("""COMPUTED_VALUE"""),"Not Available")</f>
        <v>Not Available</v>
      </c>
      <c r="E51" s="124">
        <f>IFERROR(__xludf.DUMMYFUNCTION("""COMPUTED_VALUE"""),1500611.0)</f>
        <v>1500611</v>
      </c>
      <c r="F51" s="124">
        <f>IFERROR(__xludf.DUMMYFUNCTION("""COMPUTED_VALUE"""),29086.0)</f>
        <v>29086</v>
      </c>
      <c r="G51" s="124">
        <f>IFERROR(__xludf.DUMMYFUNCTION("""COMPUTED_VALUE"""),55800.0)</f>
        <v>55800</v>
      </c>
      <c r="H51" s="124" t="str">
        <f>IFERROR(__xludf.DUMMYFUNCTION("""COMPUTED_VALUE"""),"Not Available")</f>
        <v>Not Available</v>
      </c>
      <c r="I51" s="124">
        <f>IFERROR(__xludf.DUMMYFUNCTION("""COMPUTED_VALUE"""),0.0)</f>
        <v>0</v>
      </c>
      <c r="J51" s="124">
        <f>IFERROR(__xludf.DUMMYFUNCTION("""COMPUTED_VALUE"""),62000.0)</f>
        <v>62000</v>
      </c>
      <c r="K51" s="124">
        <f>IFERROR(__xludf.DUMMYFUNCTION("""COMPUTED_VALUE"""),2.0)</f>
        <v>2</v>
      </c>
      <c r="L51" s="124">
        <f>IFERROR(__xludf.DUMMYFUNCTION("""COMPUTED_VALUE"""),877.0)</f>
        <v>877</v>
      </c>
      <c r="M51" s="124" t="str">
        <f>IFERROR(__xludf.DUMMYFUNCTION("""COMPUTED_VALUE"""),"Patna")</f>
        <v>Patna</v>
      </c>
      <c r="N51" s="124" t="str">
        <f>IFERROR(__xludf.DUMMYFUNCTION("""COMPUTED_VALUE"""),"suhanikumarimauryaprofessor@gmail.com")</f>
        <v>suhanikumarimauryaprofessor@gmail.com</v>
      </c>
      <c r="O51" s="124" t="str">
        <f>IFERROR(__xludf.DUMMYFUNCTION("""COMPUTED_VALUE"""),"Suhani Kumari")</f>
        <v>Suhani Kumari</v>
      </c>
      <c r="P51" s="124">
        <f>IFERROR(__xludf.DUMMYFUNCTION("""COMPUTED_VALUE"""),29086.0)</f>
        <v>29086</v>
      </c>
      <c r="Q51" s="124" t="str">
        <f>IFERROR(__xludf.DUMMYFUNCTION("""COMPUTED_VALUE"""),"upsc-gs-foundation-hinglish-target-2027-gsf-upsc-e03-pat")</f>
        <v>upsc-gs-foundation-hinglish-target-2027-gsf-upsc-e03-pat</v>
      </c>
      <c r="R51" s="124" t="str">
        <f>IFERROR(__xludf.DUMMYFUNCTION("""COMPUTED_VALUE"""),"GS Foundation Course")</f>
        <v>GS Foundation Course</v>
      </c>
      <c r="S51" s="124">
        <f>IFERROR(__xludf.DUMMYFUNCTION("""COMPUTED_VALUE"""),7.75906625E9)</f>
        <v>7759066250</v>
      </c>
      <c r="T51" s="124" t="str">
        <f>IFERROR(__xludf.DUMMYFUNCTION("""COMPUTED_VALUE"""),"Not Available")</f>
        <v>Not Available</v>
      </c>
      <c r="U51" s="124" t="str">
        <f>IFERROR(__xludf.DUMMYFUNCTION("""COMPUTED_VALUE"""),"Not Available")</f>
        <v>Not Available</v>
      </c>
      <c r="V51" s="124" t="str">
        <f>IFERROR(__xludf.DUMMYFUNCTION("""COMPUTED_VALUE"""),"Not Available")</f>
        <v>Not Available</v>
      </c>
      <c r="W51" s="124" t="str">
        <f>IFERROR(__xludf.DUMMYFUNCTION("""COMPUTED_VALUE"""),"Not Available")</f>
        <v>Not Available</v>
      </c>
    </row>
    <row r="52">
      <c r="A52" s="124" t="str">
        <f t="shared" si="1"/>
        <v>namishkarajput8d@gmail.com</v>
      </c>
      <c r="B52" s="131">
        <f>IFERROR(__xludf.DUMMYFUNCTION("""COMPUTED_VALUE"""),46105.0)</f>
        <v>46105</v>
      </c>
      <c r="C52" s="124" t="str">
        <f>IFERROR(__xludf.DUMMYFUNCTION("""COMPUTED_VALUE"""),"Payment data from Collexo")</f>
        <v>Payment data from Collexo</v>
      </c>
      <c r="D52" s="124" t="str">
        <f>IFERROR(__xludf.DUMMYFUNCTION("""COMPUTED_VALUE"""),"Not Available")</f>
        <v>Not Available</v>
      </c>
      <c r="E52" s="124">
        <f>IFERROR(__xludf.DUMMYFUNCTION("""COMPUTED_VALUE"""),1500609.0)</f>
        <v>1500609</v>
      </c>
      <c r="F52" s="124" t="str">
        <f>IFERROR(__xludf.DUMMYFUNCTION("""COMPUTED_VALUE"""),"16350_988_7")</f>
        <v>16350_988_7</v>
      </c>
      <c r="G52" s="124">
        <f>IFERROR(__xludf.DUMMYFUNCTION("""COMPUTED_VALUE"""),5000.0)</f>
        <v>5000</v>
      </c>
      <c r="H52" s="131">
        <f>IFERROR(__xludf.DUMMYFUNCTION("""COMPUTED_VALUE"""),46112.0)</f>
        <v>46112</v>
      </c>
      <c r="I52" s="124">
        <f>IFERROR(__xludf.DUMMYFUNCTION("""COMPUTED_VALUE"""),40000.0)</f>
        <v>40000</v>
      </c>
      <c r="J52" s="124">
        <f>IFERROR(__xludf.DUMMYFUNCTION("""COMPUTED_VALUE"""),175000.0)</f>
        <v>175000</v>
      </c>
      <c r="K52" s="124">
        <f>IFERROR(__xludf.DUMMYFUNCTION("""COMPUTED_VALUE"""),3.0)</f>
        <v>3</v>
      </c>
      <c r="L52" s="124">
        <f>IFERROR(__xludf.DUMMYFUNCTION("""COMPUTED_VALUE"""),711.0)</f>
        <v>711</v>
      </c>
      <c r="M52" s="124" t="str">
        <f>IFERROR(__xludf.DUMMYFUNCTION("""COMPUTED_VALUE"""),"New Delhi")</f>
        <v>New Delhi</v>
      </c>
      <c r="N52" s="124" t="str">
        <f>IFERROR(__xludf.DUMMYFUNCTION("""COMPUTED_VALUE"""),"namishkarajput8d@gmail.com")</f>
        <v>namishkarajput8d@gmail.com</v>
      </c>
      <c r="O52" s="124" t="str">
        <f>IFERROR(__xludf.DUMMYFUNCTION("""COMPUTED_VALUE"""),"Namishka")</f>
        <v>Namishka</v>
      </c>
      <c r="P52" s="124">
        <f>IFERROR(__xludf.DUMMYFUNCTION("""COMPUTED_VALUE"""),31782.0)</f>
        <v>31782</v>
      </c>
      <c r="Q52" s="124" t="str">
        <f>IFERROR(__xludf.DUMMYFUNCTION("""COMPUTED_VALUE"""),"upsc-gs-foundation-hinglish-target-2028-gsf-upsc-e05-orn")</f>
        <v>upsc-gs-foundation-hinglish-target-2028-gsf-upsc-e05-orn</v>
      </c>
      <c r="R52" s="124" t="str">
        <f>IFERROR(__xludf.DUMMYFUNCTION("""COMPUTED_VALUE"""),"GS Foundation Course")</f>
        <v>GS Foundation Course</v>
      </c>
      <c r="S52" s="124">
        <f>IFERROR(__xludf.DUMMYFUNCTION("""COMPUTED_VALUE"""),9.654206738E9)</f>
        <v>9654206738</v>
      </c>
      <c r="T52" s="124" t="str">
        <f>IFERROR(__xludf.DUMMYFUNCTION("""COMPUTED_VALUE"""),"Not Available")</f>
        <v>Not Available</v>
      </c>
      <c r="U52" s="124" t="str">
        <f>IFERROR(__xludf.DUMMYFUNCTION("""COMPUTED_VALUE"""),"Not Available")</f>
        <v>Not Available</v>
      </c>
      <c r="V52" s="124" t="str">
        <f>IFERROR(__xludf.DUMMYFUNCTION("""COMPUTED_VALUE"""),"Not Available")</f>
        <v>Not Available</v>
      </c>
      <c r="W52" s="124" t="str">
        <f>IFERROR(__xludf.DUMMYFUNCTION("""COMPUTED_VALUE"""),"Not Available")</f>
        <v>Not Available</v>
      </c>
    </row>
    <row r="53">
      <c r="A53" s="124" t="str">
        <f t="shared" si="1"/>
        <v>sanketshukriya2630@gmail.com</v>
      </c>
      <c r="B53" s="131">
        <f>IFERROR(__xludf.DUMMYFUNCTION("""COMPUTED_VALUE"""),46107.0)</f>
        <v>46107</v>
      </c>
      <c r="C53" s="124" t="str">
        <f>IFERROR(__xludf.DUMMYFUNCTION("""COMPUTED_VALUE"""),"Payment data from Collexo")</f>
        <v>Payment data from Collexo</v>
      </c>
      <c r="D53" s="124" t="str">
        <f>IFERROR(__xludf.DUMMYFUNCTION("""COMPUTED_VALUE"""),"Not Available")</f>
        <v>Not Available</v>
      </c>
      <c r="E53" s="124">
        <f>IFERROR(__xludf.DUMMYFUNCTION("""COMPUTED_VALUE"""),1500609.0)</f>
        <v>1500609</v>
      </c>
      <c r="F53" s="124" t="str">
        <f>IFERROR(__xludf.DUMMYFUNCTION("""COMPUTED_VALUE"""),"16799_988_7")</f>
        <v>16799_988_7</v>
      </c>
      <c r="G53" s="124">
        <f>IFERROR(__xludf.DUMMYFUNCTION("""COMPUTED_VALUE"""),10000.0)</f>
        <v>10000</v>
      </c>
      <c r="H53" s="131">
        <f>IFERROR(__xludf.DUMMYFUNCTION("""COMPUTED_VALUE"""),46112.0)</f>
        <v>46112</v>
      </c>
      <c r="I53" s="124">
        <f>IFERROR(__xludf.DUMMYFUNCTION("""COMPUTED_VALUE"""),60000.0)</f>
        <v>60000</v>
      </c>
      <c r="J53" s="124">
        <f>IFERROR(__xludf.DUMMYFUNCTION("""COMPUTED_VALUE"""),70000.0)</f>
        <v>70000</v>
      </c>
      <c r="K53" s="124">
        <f>IFERROR(__xludf.DUMMYFUNCTION("""COMPUTED_VALUE"""),2.0)</f>
        <v>2</v>
      </c>
      <c r="L53" s="124">
        <f>IFERROR(__xludf.DUMMYFUNCTION("""COMPUTED_VALUE"""),767.0)</f>
        <v>767</v>
      </c>
      <c r="M53" s="124" t="str">
        <f>IFERROR(__xludf.DUMMYFUNCTION("""COMPUTED_VALUE"""),"New Delhi")</f>
        <v>New Delhi</v>
      </c>
      <c r="N53" s="124" t="str">
        <f>IFERROR(__xludf.DUMMYFUNCTION("""COMPUTED_VALUE"""),"sanketshukriya2630@gmail.com")</f>
        <v>sanketshukriya2630@gmail.com</v>
      </c>
      <c r="O53" s="124" t="str">
        <f>IFERROR(__xludf.DUMMYFUNCTION("""COMPUTED_VALUE"""),"Sanket")</f>
        <v>Sanket</v>
      </c>
      <c r="P53" s="124">
        <f>IFERROR(__xludf.DUMMYFUNCTION("""COMPUTED_VALUE"""),92076.0)</f>
        <v>92076</v>
      </c>
      <c r="Q53" s="124" t="str">
        <f>IFERROR(__xludf.DUMMYFUNCTION("""COMPUTED_VALUE"""),"upsc-gs-foundation-hinglish-target-2027-gsf-upsc-e03-orn")</f>
        <v>upsc-gs-foundation-hinglish-target-2027-gsf-upsc-e03-orn</v>
      </c>
      <c r="R53" s="124" t="str">
        <f>IFERROR(__xludf.DUMMYFUNCTION("""COMPUTED_VALUE"""),"GS Foundation Course")</f>
        <v>GS Foundation Course</v>
      </c>
      <c r="S53" s="124">
        <f>IFERROR(__xludf.DUMMYFUNCTION("""COMPUTED_VALUE"""),9.43091471E9)</f>
        <v>9430914710</v>
      </c>
      <c r="T53" s="124" t="str">
        <f>IFERROR(__xludf.DUMMYFUNCTION("""COMPUTED_VALUE"""),"Collexo")</f>
        <v>Collexo</v>
      </c>
      <c r="U53" s="124" t="str">
        <f>IFERROR(__xludf.DUMMYFUNCTION("""COMPUTED_VALUE"""),"Success")</f>
        <v>Success</v>
      </c>
      <c r="V53" s="131">
        <f>IFERROR(__xludf.DUMMYFUNCTION("""COMPUTED_VALUE"""),46107.0)</f>
        <v>46107</v>
      </c>
      <c r="W53" s="124">
        <f>IFERROR(__xludf.DUMMYFUNCTION("""COMPUTED_VALUE"""),0.0)</f>
        <v>0</v>
      </c>
    </row>
    <row r="54">
      <c r="A54" s="124" t="str">
        <f t="shared" si="1"/>
        <v>kumarsetu16.ka@gmail.com</v>
      </c>
      <c r="B54" s="131">
        <f>IFERROR(__xludf.DUMMYFUNCTION("""COMPUTED_VALUE"""),46072.0)</f>
        <v>46072</v>
      </c>
      <c r="C54" s="124" t="str">
        <f>IFERROR(__xludf.DUMMYFUNCTION("""COMPUTED_VALUE"""),"Payment data from Collexo")</f>
        <v>Payment data from Collexo</v>
      </c>
      <c r="D54" s="124" t="str">
        <f>IFERROR(__xludf.DUMMYFUNCTION("""COMPUTED_VALUE"""),"Not Available")</f>
        <v>Not Available</v>
      </c>
      <c r="E54" s="124">
        <f>IFERROR(__xludf.DUMMYFUNCTION("""COMPUTED_VALUE"""),1500609.0)</f>
        <v>1500609</v>
      </c>
      <c r="F54" s="124" t="str">
        <f>IFERROR(__xludf.DUMMYFUNCTION("""COMPUTED_VALUE"""),"6459_988_7")</f>
        <v>6459_988_7</v>
      </c>
      <c r="G54" s="124">
        <f>IFERROR(__xludf.DUMMYFUNCTION("""COMPUTED_VALUE"""),1.0)</f>
        <v>1</v>
      </c>
      <c r="H54" s="124" t="str">
        <f>IFERROR(__xludf.DUMMYFUNCTION("""COMPUTED_VALUE"""),"Not Available")</f>
        <v>Not Available</v>
      </c>
      <c r="I54" s="124">
        <f>IFERROR(__xludf.DUMMYFUNCTION("""COMPUTED_VALUE"""),0.0)</f>
        <v>0</v>
      </c>
      <c r="J54" s="124">
        <f>IFERROR(__xludf.DUMMYFUNCTION("""COMPUTED_VALUE"""),1.0)</f>
        <v>1</v>
      </c>
      <c r="K54" s="124">
        <f>IFERROR(__xludf.DUMMYFUNCTION("""COMPUTED_VALUE"""),1.0)</f>
        <v>1</v>
      </c>
      <c r="L54" s="124">
        <f>IFERROR(__xludf.DUMMYFUNCTION("""COMPUTED_VALUE"""),257.0)</f>
        <v>257</v>
      </c>
      <c r="M54" s="124" t="str">
        <f>IFERROR(__xludf.DUMMYFUNCTION("""COMPUTED_VALUE"""),"New Delhi")</f>
        <v>New Delhi</v>
      </c>
      <c r="N54" s="124" t="str">
        <f>IFERROR(__xludf.DUMMYFUNCTION("""COMPUTED_VALUE"""),"kumarsetu16.ka@gmail.com")</f>
        <v>kumarsetu16.ka@gmail.com</v>
      </c>
      <c r="O54" s="124" t="str">
        <f>IFERROR(__xludf.DUMMYFUNCTION("""COMPUTED_VALUE"""),"Kumar Setu")</f>
        <v>Kumar Setu</v>
      </c>
      <c r="P54" s="124">
        <f>IFERROR(__xludf.DUMMYFUNCTION("""COMPUTED_VALUE"""),122970.0)</f>
        <v>122970</v>
      </c>
      <c r="Q54" s="124" t="str">
        <f>IFERROR(__xludf.DUMMYFUNCTION("""COMPUTED_VALUE"""),"upsc-gs-foundation-hinglish-target-2027-gsf-upsc-e02-orn")</f>
        <v>upsc-gs-foundation-hinglish-target-2027-gsf-upsc-e02-orn</v>
      </c>
      <c r="R54" s="124" t="str">
        <f>IFERROR(__xludf.DUMMYFUNCTION("""COMPUTED_VALUE"""),"GS Foundation Course")</f>
        <v>GS Foundation Course</v>
      </c>
      <c r="S54" s="124">
        <f>IFERROR(__xludf.DUMMYFUNCTION("""COMPUTED_VALUE"""),8.287887061E9)</f>
        <v>8287887061</v>
      </c>
      <c r="T54" s="124" t="str">
        <f>IFERROR(__xludf.DUMMYFUNCTION("""COMPUTED_VALUE"""),"Not Available")</f>
        <v>Not Available</v>
      </c>
      <c r="U54" s="124" t="str">
        <f>IFERROR(__xludf.DUMMYFUNCTION("""COMPUTED_VALUE"""),"Not Available")</f>
        <v>Not Available</v>
      </c>
      <c r="V54" s="124" t="str">
        <f>IFERROR(__xludf.DUMMYFUNCTION("""COMPUTED_VALUE"""),"Not Available")</f>
        <v>Not Available</v>
      </c>
      <c r="W54" s="124" t="str">
        <f>IFERROR(__xludf.DUMMYFUNCTION("""COMPUTED_VALUE"""),"Not Available")</f>
        <v>Not Available</v>
      </c>
    </row>
    <row r="55">
      <c r="A55" s="124" t="str">
        <f t="shared" si="1"/>
        <v>harshitarai7272@gmail.com</v>
      </c>
      <c r="B55" s="131">
        <f>IFERROR(__xludf.DUMMYFUNCTION("""COMPUTED_VALUE"""),46099.0)</f>
        <v>46099</v>
      </c>
      <c r="C55" s="124" t="str">
        <f>IFERROR(__xludf.DUMMYFUNCTION("""COMPUTED_VALUE"""),"Payment data from Collexo")</f>
        <v>Payment data from Collexo</v>
      </c>
      <c r="D55" s="124" t="str">
        <f>IFERROR(__xludf.DUMMYFUNCTION("""COMPUTED_VALUE"""),"Not Available")</f>
        <v>Not Available</v>
      </c>
      <c r="E55" s="124">
        <f>IFERROR(__xludf.DUMMYFUNCTION("""COMPUTED_VALUE"""),1500613.0)</f>
        <v>1500613</v>
      </c>
      <c r="F55" s="124">
        <f>IFERROR(__xludf.DUMMYFUNCTION("""COMPUTED_VALUE"""),129240.0)</f>
        <v>129240</v>
      </c>
      <c r="G55" s="124">
        <f>IFERROR(__xludf.DUMMYFUNCTION("""COMPUTED_VALUE"""),5418.0)</f>
        <v>5418</v>
      </c>
      <c r="H55" s="131">
        <f>IFERROR(__xludf.DUMMYFUNCTION("""COMPUTED_VALUE"""),46100.0)</f>
        <v>46100</v>
      </c>
      <c r="I55" s="124">
        <f>IFERROR(__xludf.DUMMYFUNCTION("""COMPUTED_VALUE"""),7909.0)</f>
        <v>7909</v>
      </c>
      <c r="J55" s="124">
        <f>IFERROR(__xludf.DUMMYFUNCTION("""COMPUTED_VALUE"""),55000.0)</f>
        <v>55000</v>
      </c>
      <c r="K55" s="124">
        <f>IFERROR(__xludf.DUMMYFUNCTION("""COMPUTED_VALUE"""),3.0)</f>
        <v>3</v>
      </c>
      <c r="L55" s="124">
        <f>IFERROR(__xludf.DUMMYFUNCTION("""COMPUTED_VALUE"""),603.0)</f>
        <v>603</v>
      </c>
      <c r="M55" s="124" t="str">
        <f>IFERROR(__xludf.DUMMYFUNCTION("""COMPUTED_VALUE"""),"Prayagraj")</f>
        <v>Prayagraj</v>
      </c>
      <c r="N55" s="124" t="str">
        <f>IFERROR(__xludf.DUMMYFUNCTION("""COMPUTED_VALUE"""),"harshitarai7272@gmail.com")</f>
        <v>harshitarai7272@gmail.com</v>
      </c>
      <c r="O55" s="124" t="str">
        <f>IFERROR(__xludf.DUMMYFUNCTION("""COMPUTED_VALUE"""),"Harshita Rai")</f>
        <v>Harshita Rai</v>
      </c>
      <c r="P55" s="124">
        <f>IFERROR(__xludf.DUMMYFUNCTION("""COMPUTED_VALUE"""),129240.0)</f>
        <v>129240</v>
      </c>
      <c r="Q55" s="124" t="str">
        <f>IFERROR(__xludf.DUMMYFUNCTION("""COMPUTED_VALUE"""),"upsc-gs-foundation-hindi-target-2027-gsf-upsc-m02-pry")</f>
        <v>upsc-gs-foundation-hindi-target-2027-gsf-upsc-m02-pry</v>
      </c>
      <c r="R55" s="124" t="str">
        <f>IFERROR(__xludf.DUMMYFUNCTION("""COMPUTED_VALUE"""),"GS Foundation Course")</f>
        <v>GS Foundation Course</v>
      </c>
      <c r="S55" s="124">
        <f>IFERROR(__xludf.DUMMYFUNCTION("""COMPUTED_VALUE"""),9.45106071E9)</f>
        <v>9451060710</v>
      </c>
      <c r="T55" s="124" t="str">
        <f>IFERROR(__xludf.DUMMYFUNCTION("""COMPUTED_VALUE"""),"Not Available")</f>
        <v>Not Available</v>
      </c>
      <c r="U55" s="124" t="str">
        <f>IFERROR(__xludf.DUMMYFUNCTION("""COMPUTED_VALUE"""),"Not Available")</f>
        <v>Not Available</v>
      </c>
      <c r="V55" s="124" t="str">
        <f>IFERROR(__xludf.DUMMYFUNCTION("""COMPUTED_VALUE"""),"Not Available")</f>
        <v>Not Available</v>
      </c>
      <c r="W55" s="124" t="str">
        <f>IFERROR(__xludf.DUMMYFUNCTION("""COMPUTED_VALUE"""),"Not Available")</f>
        <v>Not Available</v>
      </c>
    </row>
    <row r="56">
      <c r="A56" s="124" t="str">
        <f t="shared" si="1"/>
        <v>vansh666806@gmail.com</v>
      </c>
      <c r="B56" s="131">
        <f>IFERROR(__xludf.DUMMYFUNCTION("""COMPUTED_VALUE"""),46107.0)</f>
        <v>46107</v>
      </c>
      <c r="C56" s="124" t="str">
        <f>IFERROR(__xludf.DUMMYFUNCTION("""COMPUTED_VALUE"""),"Payment data from Collexo")</f>
        <v>Payment data from Collexo</v>
      </c>
      <c r="D56" s="124" t="str">
        <f>IFERROR(__xludf.DUMMYFUNCTION("""COMPUTED_VALUE"""),"Not Available")</f>
        <v>Not Available</v>
      </c>
      <c r="E56" s="124">
        <f>IFERROR(__xludf.DUMMYFUNCTION("""COMPUTED_VALUE"""),1500609.0)</f>
        <v>1500609</v>
      </c>
      <c r="F56" s="124" t="str">
        <f>IFERROR(__xludf.DUMMYFUNCTION("""COMPUTED_VALUE"""),"16812_988_7")</f>
        <v>16812_988_7</v>
      </c>
      <c r="G56" s="124">
        <f>IFERROR(__xludf.DUMMYFUNCTION("""COMPUTED_VALUE"""),1.0)</f>
        <v>1</v>
      </c>
      <c r="H56" s="124" t="str">
        <f>IFERROR(__xludf.DUMMYFUNCTION("""COMPUTED_VALUE"""),"Not Available")</f>
        <v>Not Available</v>
      </c>
      <c r="I56" s="124">
        <f>IFERROR(__xludf.DUMMYFUNCTION("""COMPUTED_VALUE"""),0.0)</f>
        <v>0</v>
      </c>
      <c r="J56" s="124">
        <f>IFERROR(__xludf.DUMMYFUNCTION("""COMPUTED_VALUE"""),1.0)</f>
        <v>1</v>
      </c>
      <c r="K56" s="124">
        <f>IFERROR(__xludf.DUMMYFUNCTION("""COMPUTED_VALUE"""),1.0)</f>
        <v>1</v>
      </c>
      <c r="L56" s="124">
        <f>IFERROR(__xludf.DUMMYFUNCTION("""COMPUTED_VALUE"""),772.0)</f>
        <v>772</v>
      </c>
      <c r="M56" s="124" t="str">
        <f>IFERROR(__xludf.DUMMYFUNCTION("""COMPUTED_VALUE"""),"New Delhi")</f>
        <v>New Delhi</v>
      </c>
      <c r="N56" s="124" t="str">
        <f>IFERROR(__xludf.DUMMYFUNCTION("""COMPUTED_VALUE"""),"vansh666806@gmail.com")</f>
        <v>vansh666806@gmail.com</v>
      </c>
      <c r="O56" s="124" t="str">
        <f>IFERROR(__xludf.DUMMYFUNCTION("""COMPUTED_VALUE"""),"Vansh")</f>
        <v>Vansh</v>
      </c>
      <c r="P56" s="124">
        <f>IFERROR(__xludf.DUMMYFUNCTION("""COMPUTED_VALUE"""),133072.0)</f>
        <v>133072</v>
      </c>
      <c r="Q56" s="124" t="str">
        <f>IFERROR(__xludf.DUMMYFUNCTION("""COMPUTED_VALUE"""),"upsc-gs-foundation-hinglish-target-2028-gsf-upsc-e05-orn")</f>
        <v>upsc-gs-foundation-hinglish-target-2028-gsf-upsc-e05-orn</v>
      </c>
      <c r="R56" s="124" t="str">
        <f>IFERROR(__xludf.DUMMYFUNCTION("""COMPUTED_VALUE"""),"GS Foundation Course")</f>
        <v>GS Foundation Course</v>
      </c>
      <c r="S56" s="124">
        <f>IFERROR(__xludf.DUMMYFUNCTION("""COMPUTED_VALUE"""),8.168304118E9)</f>
        <v>8168304118</v>
      </c>
      <c r="T56" s="124" t="str">
        <f>IFERROR(__xludf.DUMMYFUNCTION("""COMPUTED_VALUE"""),"Collexo")</f>
        <v>Collexo</v>
      </c>
      <c r="U56" s="124" t="str">
        <f>IFERROR(__xludf.DUMMYFUNCTION("""COMPUTED_VALUE"""),"Success")</f>
        <v>Success</v>
      </c>
      <c r="V56" s="131">
        <f>IFERROR(__xludf.DUMMYFUNCTION("""COMPUTED_VALUE"""),46107.0)</f>
        <v>46107</v>
      </c>
      <c r="W56" s="124">
        <f>IFERROR(__xludf.DUMMYFUNCTION("""COMPUTED_VALUE"""),0.0)</f>
        <v>0</v>
      </c>
    </row>
    <row r="57">
      <c r="A57" s="124" t="str">
        <f t="shared" si="1"/>
        <v>sanjanshrirao27@gmail.com</v>
      </c>
      <c r="B57" s="131">
        <f>IFERROR(__xludf.DUMMYFUNCTION("""COMPUTED_VALUE"""),46068.0)</f>
        <v>46068</v>
      </c>
      <c r="C57" s="124" t="str">
        <f>IFERROR(__xludf.DUMMYFUNCTION("""COMPUTED_VALUE"""),"Payment data from Collexo")</f>
        <v>Payment data from Collexo</v>
      </c>
      <c r="D57" s="124" t="str">
        <f>IFERROR(__xludf.DUMMYFUNCTION("""COMPUTED_VALUE"""),"Not Available")</f>
        <v>Not Available</v>
      </c>
      <c r="E57" s="124">
        <f>IFERROR(__xludf.DUMMYFUNCTION("""COMPUTED_VALUE"""),1500612.0)</f>
        <v>1500612</v>
      </c>
      <c r="F57" s="124">
        <f>IFERROR(__xludf.DUMMYFUNCTION("""COMPUTED_VALUE"""),122274.0)</f>
        <v>122274</v>
      </c>
      <c r="G57" s="124">
        <f>IFERROR(__xludf.DUMMYFUNCTION("""COMPUTED_VALUE"""),65000.0)</f>
        <v>65000</v>
      </c>
      <c r="H57" s="124" t="str">
        <f>IFERROR(__xludf.DUMMYFUNCTION("""COMPUTED_VALUE"""),"Not Available")</f>
        <v>Not Available</v>
      </c>
      <c r="I57" s="124">
        <f>IFERROR(__xludf.DUMMYFUNCTION("""COMPUTED_VALUE"""),0.0)</f>
        <v>0</v>
      </c>
      <c r="J57" s="124">
        <f>IFERROR(__xludf.DUMMYFUNCTION("""COMPUTED_VALUE"""),70000.0)</f>
        <v>70000</v>
      </c>
      <c r="K57" s="124">
        <f>IFERROR(__xludf.DUMMYFUNCTION("""COMPUTED_VALUE"""),2.0)</f>
        <v>2</v>
      </c>
      <c r="L57" s="124">
        <f>IFERROR(__xludf.DUMMYFUNCTION("""COMPUTED_VALUE"""),219.0)</f>
        <v>219</v>
      </c>
      <c r="M57" s="124" t="str">
        <f>IFERROR(__xludf.DUMMYFUNCTION("""COMPUTED_VALUE"""),"Indore")</f>
        <v>Indore</v>
      </c>
      <c r="N57" s="124" t="str">
        <f>IFERROR(__xludf.DUMMYFUNCTION("""COMPUTED_VALUE"""),"sanjanshrirao27@gmail.com")</f>
        <v>sanjanshrirao27@gmail.com</v>
      </c>
      <c r="O57" s="124" t="str">
        <f>IFERROR(__xludf.DUMMYFUNCTION("""COMPUTED_VALUE"""),"Sanjan shrirao")</f>
        <v>Sanjan shrirao</v>
      </c>
      <c r="P57" s="124">
        <f>IFERROR(__xludf.DUMMYFUNCTION("""COMPUTED_VALUE"""),122274.0)</f>
        <v>122274</v>
      </c>
      <c r="Q57" s="124" t="str">
        <f>IFERROR(__xludf.DUMMYFUNCTION("""COMPUTED_VALUE"""),"upsc-gs-foundation-hinglish-target-2027-gsf-upsc-m02-ind")</f>
        <v>upsc-gs-foundation-hinglish-target-2027-gsf-upsc-m02-ind</v>
      </c>
      <c r="R57" s="124" t="str">
        <f>IFERROR(__xludf.DUMMYFUNCTION("""COMPUTED_VALUE"""),"GS Foundation Course")</f>
        <v>GS Foundation Course</v>
      </c>
      <c r="S57" s="124">
        <f>IFERROR(__xludf.DUMMYFUNCTION("""COMPUTED_VALUE"""),9.960120204E9)</f>
        <v>9960120204</v>
      </c>
      <c r="T57" s="124" t="str">
        <f>IFERROR(__xludf.DUMMYFUNCTION("""COMPUTED_VALUE"""),"Not Available")</f>
        <v>Not Available</v>
      </c>
      <c r="U57" s="124" t="str">
        <f>IFERROR(__xludf.DUMMYFUNCTION("""COMPUTED_VALUE"""),"Not Available")</f>
        <v>Not Available</v>
      </c>
      <c r="V57" s="124" t="str">
        <f>IFERROR(__xludf.DUMMYFUNCTION("""COMPUTED_VALUE"""),"Not Available")</f>
        <v>Not Available</v>
      </c>
      <c r="W57" s="124" t="str">
        <f>IFERROR(__xludf.DUMMYFUNCTION("""COMPUTED_VALUE"""),"Not Available")</f>
        <v>Not Available</v>
      </c>
    </row>
    <row r="58">
      <c r="A58" s="124" t="str">
        <f t="shared" si="1"/>
        <v>aditipatel45678@gmail.com</v>
      </c>
      <c r="B58" s="131">
        <f>IFERROR(__xludf.DUMMYFUNCTION("""COMPUTED_VALUE"""),46056.0)</f>
        <v>46056</v>
      </c>
      <c r="C58" s="124" t="str">
        <f>IFERROR(__xludf.DUMMYFUNCTION("""COMPUTED_VALUE"""),"Payment data from Collexo")</f>
        <v>Payment data from Collexo</v>
      </c>
      <c r="D58" s="124" t="str">
        <f>IFERROR(__xludf.DUMMYFUNCTION("""COMPUTED_VALUE"""),"Not Available")</f>
        <v>Not Available</v>
      </c>
      <c r="E58" s="124">
        <f>IFERROR(__xludf.DUMMYFUNCTION("""COMPUTED_VALUE"""),1500610.0)</f>
        <v>1500610</v>
      </c>
      <c r="F58" s="124">
        <f>IFERROR(__xludf.DUMMYFUNCTION("""COMPUTED_VALUE"""),120500.0)</f>
        <v>120500</v>
      </c>
      <c r="G58" s="124">
        <f>IFERROR(__xludf.DUMMYFUNCTION("""COMPUTED_VALUE"""),44233.0)</f>
        <v>44233</v>
      </c>
      <c r="H58" s="124" t="str">
        <f>IFERROR(__xludf.DUMMYFUNCTION("""COMPUTED_VALUE"""),"Not Available")</f>
        <v>Not Available</v>
      </c>
      <c r="I58" s="124">
        <f>IFERROR(__xludf.DUMMYFUNCTION("""COMPUTED_VALUE"""),0.0)</f>
        <v>0</v>
      </c>
      <c r="J58" s="124">
        <f>IFERROR(__xludf.DUMMYFUNCTION("""COMPUTED_VALUE"""),50000.0)</f>
        <v>50000</v>
      </c>
      <c r="K58" s="124">
        <f>IFERROR(__xludf.DUMMYFUNCTION("""COMPUTED_VALUE"""),2.0)</f>
        <v>2</v>
      </c>
      <c r="L58" s="124">
        <f>IFERROR(__xludf.DUMMYFUNCTION("""COMPUTED_VALUE"""),161.0)</f>
        <v>161</v>
      </c>
      <c r="M58" s="124" t="str">
        <f>IFERROR(__xludf.DUMMYFUNCTION("""COMPUTED_VALUE"""),"Lucknow")</f>
        <v>Lucknow</v>
      </c>
      <c r="N58" s="124" t="str">
        <f>IFERROR(__xludf.DUMMYFUNCTION("""COMPUTED_VALUE"""),"aditipatel45678@gmail.com")</f>
        <v>aditipatel45678@gmail.com</v>
      </c>
      <c r="O58" s="124" t="str">
        <f>IFERROR(__xludf.DUMMYFUNCTION("""COMPUTED_VALUE"""),"Aditi")</f>
        <v>Aditi</v>
      </c>
      <c r="P58" s="124">
        <f>IFERROR(__xludf.DUMMYFUNCTION("""COMPUTED_VALUE"""),120500.0)</f>
        <v>120500</v>
      </c>
      <c r="Q58" s="124" t="str">
        <f>IFERROR(__xludf.DUMMYFUNCTION("""COMPUTED_VALUE"""),"Not Available")</f>
        <v>Not Available</v>
      </c>
      <c r="R58" s="124" t="str">
        <f>IFERROR(__xludf.DUMMYFUNCTION("""COMPUTED_VALUE"""),"GS Foundation Course")</f>
        <v>GS Foundation Course</v>
      </c>
      <c r="S58" s="124">
        <f>IFERROR(__xludf.DUMMYFUNCTION("""COMPUTED_VALUE"""),9.369709052E9)</f>
        <v>9369709052</v>
      </c>
      <c r="T58" s="124" t="str">
        <f>IFERROR(__xludf.DUMMYFUNCTION("""COMPUTED_VALUE"""),"Not Available")</f>
        <v>Not Available</v>
      </c>
      <c r="U58" s="124" t="str">
        <f>IFERROR(__xludf.DUMMYFUNCTION("""COMPUTED_VALUE"""),"Not Available")</f>
        <v>Not Available</v>
      </c>
      <c r="V58" s="124" t="str">
        <f>IFERROR(__xludf.DUMMYFUNCTION("""COMPUTED_VALUE"""),"Not Available")</f>
        <v>Not Available</v>
      </c>
      <c r="W58" s="124" t="str">
        <f>IFERROR(__xludf.DUMMYFUNCTION("""COMPUTED_VALUE"""),"Not Available")</f>
        <v>Not Available</v>
      </c>
    </row>
    <row r="59">
      <c r="A59" s="124" t="str">
        <f t="shared" si="1"/>
        <v>kashishguru12345@gmail.com</v>
      </c>
      <c r="B59" s="131">
        <f>IFERROR(__xludf.DUMMYFUNCTION("""COMPUTED_VALUE"""),46095.0)</f>
        <v>46095</v>
      </c>
      <c r="C59" s="124" t="str">
        <f>IFERROR(__xludf.DUMMYFUNCTION("""COMPUTED_VALUE"""),"Payment data from Collexo")</f>
        <v>Payment data from Collexo</v>
      </c>
      <c r="D59" s="124" t="str">
        <f>IFERROR(__xludf.DUMMYFUNCTION("""COMPUTED_VALUE"""),"Not Available")</f>
        <v>Not Available</v>
      </c>
      <c r="E59" s="124">
        <f>IFERROR(__xludf.DUMMYFUNCTION("""COMPUTED_VALUE"""),1500613.0)</f>
        <v>1500613</v>
      </c>
      <c r="F59" s="124">
        <f>IFERROR(__xludf.DUMMYFUNCTION("""COMPUTED_VALUE"""),40215.0)</f>
        <v>40215</v>
      </c>
      <c r="G59" s="124">
        <f>IFERROR(__xludf.DUMMYFUNCTION("""COMPUTED_VALUE"""),6372.0)</f>
        <v>6372</v>
      </c>
      <c r="H59" s="131">
        <f>IFERROR(__xludf.DUMMYFUNCTION("""COMPUTED_VALUE"""),46096.0)</f>
        <v>46096</v>
      </c>
      <c r="I59" s="124">
        <f>IFERROR(__xludf.DUMMYFUNCTION("""COMPUTED_VALUE"""),36628.0)</f>
        <v>36628</v>
      </c>
      <c r="J59" s="124">
        <f>IFERROR(__xludf.DUMMYFUNCTION("""COMPUTED_VALUE"""),44000.0)</f>
        <v>44000</v>
      </c>
      <c r="K59" s="124">
        <f>IFERROR(__xludf.DUMMYFUNCTION("""COMPUTED_VALUE"""),3.0)</f>
        <v>3</v>
      </c>
      <c r="L59" s="124">
        <f>IFERROR(__xludf.DUMMYFUNCTION("""COMPUTED_VALUE"""),543.0)</f>
        <v>543</v>
      </c>
      <c r="M59" s="124" t="str">
        <f>IFERROR(__xludf.DUMMYFUNCTION("""COMPUTED_VALUE"""),"Prayagraj")</f>
        <v>Prayagraj</v>
      </c>
      <c r="N59" s="124" t="str">
        <f>IFERROR(__xludf.DUMMYFUNCTION("""COMPUTED_VALUE"""),"kashishguru12345@gmail.com")</f>
        <v>kashishguru12345@gmail.com</v>
      </c>
      <c r="O59" s="124" t="str">
        <f>IFERROR(__xludf.DUMMYFUNCTION("""COMPUTED_VALUE"""),"Kashish")</f>
        <v>Kashish</v>
      </c>
      <c r="P59" s="124">
        <f>IFERROR(__xludf.DUMMYFUNCTION("""COMPUTED_VALUE"""),40215.0)</f>
        <v>40215</v>
      </c>
      <c r="Q59" s="124" t="str">
        <f>IFERROR(__xludf.DUMMYFUNCTION("""COMPUTED_VALUE"""),"upsc-gs-foundation-hinglish-target-2027-gsf-upsc-e03-pry")</f>
        <v>upsc-gs-foundation-hinglish-target-2027-gsf-upsc-e03-pry</v>
      </c>
      <c r="R59" s="124" t="str">
        <f>IFERROR(__xludf.DUMMYFUNCTION("""COMPUTED_VALUE"""),"GS Foundation Course")</f>
        <v>GS Foundation Course</v>
      </c>
      <c r="S59" s="124">
        <f>IFERROR(__xludf.DUMMYFUNCTION("""COMPUTED_VALUE"""),9.63036563E9)</f>
        <v>9630365630</v>
      </c>
      <c r="T59" s="124" t="str">
        <f>IFERROR(__xludf.DUMMYFUNCTION("""COMPUTED_VALUE"""),"Not Available")</f>
        <v>Not Available</v>
      </c>
      <c r="U59" s="124" t="str">
        <f>IFERROR(__xludf.DUMMYFUNCTION("""COMPUTED_VALUE"""),"Not Available")</f>
        <v>Not Available</v>
      </c>
      <c r="V59" s="124" t="str">
        <f>IFERROR(__xludf.DUMMYFUNCTION("""COMPUTED_VALUE"""),"Not Available")</f>
        <v>Not Available</v>
      </c>
      <c r="W59" s="124" t="str">
        <f>IFERROR(__xludf.DUMMYFUNCTION("""COMPUTED_VALUE"""),"Not Available")</f>
        <v>Not Available</v>
      </c>
    </row>
    <row r="60">
      <c r="A60" s="124" t="str">
        <f t="shared" si="1"/>
        <v>gauravyd2095@gmail.com</v>
      </c>
      <c r="B60" s="131">
        <f>IFERROR(__xludf.DUMMYFUNCTION("""COMPUTED_VALUE"""),46110.0)</f>
        <v>46110</v>
      </c>
      <c r="C60" s="124" t="str">
        <f>IFERROR(__xludf.DUMMYFUNCTION("""COMPUTED_VALUE"""),"Payment data from Collexo")</f>
        <v>Payment data from Collexo</v>
      </c>
      <c r="D60" s="124" t="str">
        <f>IFERROR(__xludf.DUMMYFUNCTION("""COMPUTED_VALUE"""),"Not Available")</f>
        <v>Not Available</v>
      </c>
      <c r="E60" s="124">
        <f>IFERROR(__xludf.DUMMYFUNCTION("""COMPUTED_VALUE"""),1500613.0)</f>
        <v>1500613</v>
      </c>
      <c r="F60" s="124">
        <f>IFERROR(__xludf.DUMMYFUNCTION("""COMPUTED_VALUE"""),134615.0)</f>
        <v>134615</v>
      </c>
      <c r="G60" s="124">
        <f>IFERROR(__xludf.DUMMYFUNCTION("""COMPUTED_VALUE"""),10000.0)</f>
        <v>10000</v>
      </c>
      <c r="H60" s="131">
        <f>IFERROR(__xludf.DUMMYFUNCTION("""COMPUTED_VALUE"""),46110.0)</f>
        <v>46110</v>
      </c>
      <c r="I60" s="124">
        <f>IFERROR(__xludf.DUMMYFUNCTION("""COMPUTED_VALUE"""),25000.0)</f>
        <v>25000</v>
      </c>
      <c r="J60" s="124">
        <f>IFERROR(__xludf.DUMMYFUNCTION("""COMPUTED_VALUE"""),35000.0)</f>
        <v>35000</v>
      </c>
      <c r="K60" s="124">
        <f>IFERROR(__xludf.DUMMYFUNCTION("""COMPUTED_VALUE"""),2.0)</f>
        <v>2</v>
      </c>
      <c r="L60" s="124">
        <f>IFERROR(__xludf.DUMMYFUNCTION("""COMPUTED_VALUE"""),820.0)</f>
        <v>820</v>
      </c>
      <c r="M60" s="124" t="str">
        <f>IFERROR(__xludf.DUMMYFUNCTION("""COMPUTED_VALUE"""),"Prayagraj")</f>
        <v>Prayagraj</v>
      </c>
      <c r="N60" s="124" t="str">
        <f>IFERROR(__xludf.DUMMYFUNCTION("""COMPUTED_VALUE"""),"gauravyd2095@gmail.com")</f>
        <v>gauravyd2095@gmail.com</v>
      </c>
      <c r="O60" s="124" t="str">
        <f>IFERROR(__xludf.DUMMYFUNCTION("""COMPUTED_VALUE"""),"Manisha Yadav")</f>
        <v>Manisha Yadav</v>
      </c>
      <c r="P60" s="124">
        <f>IFERROR(__xludf.DUMMYFUNCTION("""COMPUTED_VALUE"""),134615.0)</f>
        <v>134615</v>
      </c>
      <c r="Q60" s="124" t="str">
        <f>IFERROR(__xludf.DUMMYFUNCTION("""COMPUTED_VALUE"""),"upsc-gs-foundation-hindi-target-2027-gsf-upsc-m03-pry")</f>
        <v>upsc-gs-foundation-hindi-target-2027-gsf-upsc-m03-pry</v>
      </c>
      <c r="R60" s="124" t="str">
        <f>IFERROR(__xludf.DUMMYFUNCTION("""COMPUTED_VALUE"""),"State PCS")</f>
        <v>State PCS</v>
      </c>
      <c r="S60" s="124">
        <f>IFERROR(__xludf.DUMMYFUNCTION("""COMPUTED_VALUE"""),6.307339718E9)</f>
        <v>6307339718</v>
      </c>
      <c r="T60" s="124" t="str">
        <f>IFERROR(__xludf.DUMMYFUNCTION("""COMPUTED_VALUE"""),"Not Available")</f>
        <v>Not Available</v>
      </c>
      <c r="U60" s="124" t="str">
        <f>IFERROR(__xludf.DUMMYFUNCTION("""COMPUTED_VALUE"""),"Not Available")</f>
        <v>Not Available</v>
      </c>
      <c r="V60" s="124" t="str">
        <f>IFERROR(__xludf.DUMMYFUNCTION("""COMPUTED_VALUE"""),"Not Available")</f>
        <v>Not Available</v>
      </c>
      <c r="W60" s="124" t="str">
        <f>IFERROR(__xludf.DUMMYFUNCTION("""COMPUTED_VALUE"""),"Not Available")</f>
        <v>Not Available</v>
      </c>
    </row>
    <row r="61">
      <c r="A61" s="124" t="str">
        <f t="shared" si="1"/>
        <v>suhanikumarimauryaprofessor@gmail.com</v>
      </c>
      <c r="B61" s="131">
        <f>IFERROR(__xludf.DUMMYFUNCTION("""COMPUTED_VALUE"""),46090.0)</f>
        <v>46090</v>
      </c>
      <c r="C61" s="124" t="str">
        <f>IFERROR(__xludf.DUMMYFUNCTION("""COMPUTED_VALUE"""),"Payment data from Collexo")</f>
        <v>Payment data from Collexo</v>
      </c>
      <c r="D61" s="124" t="str">
        <f>IFERROR(__xludf.DUMMYFUNCTION("""COMPUTED_VALUE"""),"Not Available")</f>
        <v>Not Available</v>
      </c>
      <c r="E61" s="124">
        <f>IFERROR(__xludf.DUMMYFUNCTION("""COMPUTED_VALUE"""),1500611.0)</f>
        <v>1500611</v>
      </c>
      <c r="F61" s="124">
        <f>IFERROR(__xludf.DUMMYFUNCTION("""COMPUTED_VALUE"""),29086.0)</f>
        <v>29086</v>
      </c>
      <c r="G61" s="124">
        <f>IFERROR(__xludf.DUMMYFUNCTION("""COMPUTED_VALUE"""),6200.0)</f>
        <v>6200</v>
      </c>
      <c r="H61" s="131">
        <f>IFERROR(__xludf.DUMMYFUNCTION("""COMPUTED_VALUE"""),46101.0)</f>
        <v>46101</v>
      </c>
      <c r="I61" s="124">
        <f>IFERROR(__xludf.DUMMYFUNCTION("""COMPUTED_VALUE"""),55800.0)</f>
        <v>55800</v>
      </c>
      <c r="J61" s="124">
        <f>IFERROR(__xludf.DUMMYFUNCTION("""COMPUTED_VALUE"""),62000.0)</f>
        <v>62000</v>
      </c>
      <c r="K61" s="124">
        <f>IFERROR(__xludf.DUMMYFUNCTION("""COMPUTED_VALUE"""),2.0)</f>
        <v>2</v>
      </c>
      <c r="L61" s="124">
        <f>IFERROR(__xludf.DUMMYFUNCTION("""COMPUTED_VALUE"""),444.0)</f>
        <v>444</v>
      </c>
      <c r="M61" s="124" t="str">
        <f>IFERROR(__xludf.DUMMYFUNCTION("""COMPUTED_VALUE"""),"Patna")</f>
        <v>Patna</v>
      </c>
      <c r="N61" s="124" t="str">
        <f>IFERROR(__xludf.DUMMYFUNCTION("""COMPUTED_VALUE"""),"suhanikumarimauryaprofessor@gmail.com")</f>
        <v>suhanikumarimauryaprofessor@gmail.com</v>
      </c>
      <c r="O61" s="124" t="str">
        <f>IFERROR(__xludf.DUMMYFUNCTION("""COMPUTED_VALUE"""),"Suhani Kumari")</f>
        <v>Suhani Kumari</v>
      </c>
      <c r="P61" s="124">
        <f>IFERROR(__xludf.DUMMYFUNCTION("""COMPUTED_VALUE"""),29086.0)</f>
        <v>29086</v>
      </c>
      <c r="Q61" s="124" t="str">
        <f>IFERROR(__xludf.DUMMYFUNCTION("""COMPUTED_VALUE"""),"upsc-gs-foundation-hinglish-target-2027-gsf-upsc-e03-pat")</f>
        <v>upsc-gs-foundation-hinglish-target-2027-gsf-upsc-e03-pat</v>
      </c>
      <c r="R61" s="124" t="str">
        <f>IFERROR(__xludf.DUMMYFUNCTION("""COMPUTED_VALUE"""),"GS Foundation Course")</f>
        <v>GS Foundation Course</v>
      </c>
      <c r="S61" s="124">
        <f>IFERROR(__xludf.DUMMYFUNCTION("""COMPUTED_VALUE"""),7.75906625E9)</f>
        <v>7759066250</v>
      </c>
      <c r="T61" s="124" t="str">
        <f>IFERROR(__xludf.DUMMYFUNCTION("""COMPUTED_VALUE"""),"Not Available")</f>
        <v>Not Available</v>
      </c>
      <c r="U61" s="124" t="str">
        <f>IFERROR(__xludf.DUMMYFUNCTION("""COMPUTED_VALUE"""),"Not Available")</f>
        <v>Not Available</v>
      </c>
      <c r="V61" s="124" t="str">
        <f>IFERROR(__xludf.DUMMYFUNCTION("""COMPUTED_VALUE"""),"Not Available")</f>
        <v>Not Available</v>
      </c>
      <c r="W61" s="124" t="str">
        <f>IFERROR(__xludf.DUMMYFUNCTION("""COMPUTED_VALUE"""),"Not Available")</f>
        <v>Not Available</v>
      </c>
    </row>
    <row r="62">
      <c r="A62" s="124" t="str">
        <f t="shared" si="1"/>
        <v>d14861381@gmail.com</v>
      </c>
      <c r="B62" s="131">
        <f>IFERROR(__xludf.DUMMYFUNCTION("""COMPUTED_VALUE"""),46099.0)</f>
        <v>46099</v>
      </c>
      <c r="C62" s="124" t="str">
        <f>IFERROR(__xludf.DUMMYFUNCTION("""COMPUTED_VALUE"""),"Payment data from Collexo")</f>
        <v>Payment data from Collexo</v>
      </c>
      <c r="D62" s="124" t="str">
        <f>IFERROR(__xludf.DUMMYFUNCTION("""COMPUTED_VALUE"""),"Not Available")</f>
        <v>Not Available</v>
      </c>
      <c r="E62" s="124">
        <f>IFERROR(__xludf.DUMMYFUNCTION("""COMPUTED_VALUE"""),1500613.0)</f>
        <v>1500613</v>
      </c>
      <c r="F62" s="124">
        <f>IFERROR(__xludf.DUMMYFUNCTION("""COMPUTED_VALUE"""),126857.0)</f>
        <v>126857</v>
      </c>
      <c r="G62" s="124">
        <f>IFERROR(__xludf.DUMMYFUNCTION("""COMPUTED_VALUE"""),1000.0)</f>
        <v>1000</v>
      </c>
      <c r="H62" s="131">
        <f>IFERROR(__xludf.DUMMYFUNCTION("""COMPUTED_VALUE"""),46108.0)</f>
        <v>46108</v>
      </c>
      <c r="I62" s="124">
        <f>IFERROR(__xludf.DUMMYFUNCTION("""COMPUTED_VALUE"""),69000.0)</f>
        <v>69000</v>
      </c>
      <c r="J62" s="124">
        <f>IFERROR(__xludf.DUMMYFUNCTION("""COMPUTED_VALUE"""),70000.0)</f>
        <v>70000</v>
      </c>
      <c r="K62" s="124">
        <f>IFERROR(__xludf.DUMMYFUNCTION("""COMPUTED_VALUE"""),2.0)</f>
        <v>2</v>
      </c>
      <c r="L62" s="124">
        <f>IFERROR(__xludf.DUMMYFUNCTION("""COMPUTED_VALUE"""),588.0)</f>
        <v>588</v>
      </c>
      <c r="M62" s="124" t="str">
        <f>IFERROR(__xludf.DUMMYFUNCTION("""COMPUTED_VALUE"""),"Prayagraj")</f>
        <v>Prayagraj</v>
      </c>
      <c r="N62" s="124" t="str">
        <f>IFERROR(__xludf.DUMMYFUNCTION("""COMPUTED_VALUE"""),"d14861381@gmail.com")</f>
        <v>d14861381@gmail.com</v>
      </c>
      <c r="O62" s="124" t="str">
        <f>IFERROR(__xludf.DUMMYFUNCTION("""COMPUTED_VALUE"""),"Deeksha")</f>
        <v>Deeksha</v>
      </c>
      <c r="P62" s="124">
        <f>IFERROR(__xludf.DUMMYFUNCTION("""COMPUTED_VALUE"""),126857.0)</f>
        <v>126857</v>
      </c>
      <c r="Q62" s="124" t="str">
        <f>IFERROR(__xludf.DUMMYFUNCTION("""COMPUTED_VALUE"""),"upsc-gs-foundation-hindi-target-2027-gsf-upsc-m02-pry")</f>
        <v>upsc-gs-foundation-hindi-target-2027-gsf-upsc-m02-pry</v>
      </c>
      <c r="R62" s="124" t="str">
        <f>IFERROR(__xludf.DUMMYFUNCTION("""COMPUTED_VALUE"""),"GS Foundation Course")</f>
        <v>GS Foundation Course</v>
      </c>
      <c r="S62" s="124">
        <f>IFERROR(__xludf.DUMMYFUNCTION("""COMPUTED_VALUE"""),7.395068633E9)</f>
        <v>7395068633</v>
      </c>
      <c r="T62" s="124" t="str">
        <f>IFERROR(__xludf.DUMMYFUNCTION("""COMPUTED_VALUE"""),"Not Available")</f>
        <v>Not Available</v>
      </c>
      <c r="U62" s="124" t="str">
        <f>IFERROR(__xludf.DUMMYFUNCTION("""COMPUTED_VALUE"""),"Not Available")</f>
        <v>Not Available</v>
      </c>
      <c r="V62" s="124" t="str">
        <f>IFERROR(__xludf.DUMMYFUNCTION("""COMPUTED_VALUE"""),"Not Available")</f>
        <v>Not Available</v>
      </c>
      <c r="W62" s="124" t="str">
        <f>IFERROR(__xludf.DUMMYFUNCTION("""COMPUTED_VALUE"""),"Not Available")</f>
        <v>Not Available</v>
      </c>
    </row>
    <row r="63">
      <c r="A63" s="124" t="str">
        <f t="shared" si="1"/>
        <v>sp7954364@gmail.com</v>
      </c>
      <c r="B63" s="131">
        <f>IFERROR(__xludf.DUMMYFUNCTION("""COMPUTED_VALUE"""),46073.0)</f>
        <v>46073</v>
      </c>
      <c r="C63" s="124" t="str">
        <f>IFERROR(__xludf.DUMMYFUNCTION("""COMPUTED_VALUE"""),"Payment data from Collexo")</f>
        <v>Payment data from Collexo</v>
      </c>
      <c r="D63" s="124" t="str">
        <f>IFERROR(__xludf.DUMMYFUNCTION("""COMPUTED_VALUE"""),"Not Available")</f>
        <v>Not Available</v>
      </c>
      <c r="E63" s="124">
        <f>IFERROR(__xludf.DUMMYFUNCTION("""COMPUTED_VALUE"""),1500613.0)</f>
        <v>1500613</v>
      </c>
      <c r="F63" s="124">
        <f>IFERROR(__xludf.DUMMYFUNCTION("""COMPUTED_VALUE"""),123029.0)</f>
        <v>123029</v>
      </c>
      <c r="G63" s="124">
        <f>IFERROR(__xludf.DUMMYFUNCTION("""COMPUTED_VALUE"""),39000.0)</f>
        <v>39000</v>
      </c>
      <c r="H63" s="124" t="str">
        <f>IFERROR(__xludf.DUMMYFUNCTION("""COMPUTED_VALUE"""),"Not Available")</f>
        <v>Not Available</v>
      </c>
      <c r="I63" s="124">
        <f>IFERROR(__xludf.DUMMYFUNCTION("""COMPUTED_VALUE"""),0.0)</f>
        <v>0</v>
      </c>
      <c r="J63" s="124">
        <f>IFERROR(__xludf.DUMMYFUNCTION("""COMPUTED_VALUE"""),40000.0)</f>
        <v>40000</v>
      </c>
      <c r="K63" s="124">
        <f>IFERROR(__xludf.DUMMYFUNCTION("""COMPUTED_VALUE"""),2.0)</f>
        <v>2</v>
      </c>
      <c r="L63" s="124">
        <f>IFERROR(__xludf.DUMMYFUNCTION("""COMPUTED_VALUE"""),282.0)</f>
        <v>282</v>
      </c>
      <c r="M63" s="124" t="str">
        <f>IFERROR(__xludf.DUMMYFUNCTION("""COMPUTED_VALUE"""),"Prayagraj")</f>
        <v>Prayagraj</v>
      </c>
      <c r="N63" s="124" t="str">
        <f>IFERROR(__xludf.DUMMYFUNCTION("""COMPUTED_VALUE"""),"sp7954364@gmail.com")</f>
        <v>sp7954364@gmail.com</v>
      </c>
      <c r="O63" s="124" t="str">
        <f>IFERROR(__xludf.DUMMYFUNCTION("""COMPUTED_VALUE"""),"Satya Prakash Verma")</f>
        <v>Satya Prakash Verma</v>
      </c>
      <c r="P63" s="124">
        <f>IFERROR(__xludf.DUMMYFUNCTION("""COMPUTED_VALUE"""),123029.0)</f>
        <v>123029</v>
      </c>
      <c r="Q63" s="124" t="str">
        <f>IFERROR(__xludf.DUMMYFUNCTION("""COMPUTED_VALUE"""),"upsc-gs-foundation-hinglish-target-2027-gsf-upsc-e02-pry")</f>
        <v>upsc-gs-foundation-hinglish-target-2027-gsf-upsc-e02-pry</v>
      </c>
      <c r="R63" s="124" t="str">
        <f>IFERROR(__xludf.DUMMYFUNCTION("""COMPUTED_VALUE"""),"GS Foundation Course")</f>
        <v>GS Foundation Course</v>
      </c>
      <c r="S63" s="124">
        <f>IFERROR(__xludf.DUMMYFUNCTION("""COMPUTED_VALUE"""),7.525828802E9)</f>
        <v>7525828802</v>
      </c>
      <c r="T63" s="124" t="str">
        <f>IFERROR(__xludf.DUMMYFUNCTION("""COMPUTED_VALUE"""),"Not Available")</f>
        <v>Not Available</v>
      </c>
      <c r="U63" s="124" t="str">
        <f>IFERROR(__xludf.DUMMYFUNCTION("""COMPUTED_VALUE"""),"Not Available")</f>
        <v>Not Available</v>
      </c>
      <c r="V63" s="124" t="str">
        <f>IFERROR(__xludf.DUMMYFUNCTION("""COMPUTED_VALUE"""),"Not Available")</f>
        <v>Not Available</v>
      </c>
      <c r="W63" s="124" t="str">
        <f>IFERROR(__xludf.DUMMYFUNCTION("""COMPUTED_VALUE"""),"Not Available")</f>
        <v>Not Available</v>
      </c>
    </row>
    <row r="64">
      <c r="A64" s="124" t="str">
        <f t="shared" si="1"/>
        <v>kushikumari@gmail.com</v>
      </c>
      <c r="B64" s="131">
        <f>IFERROR(__xludf.DUMMYFUNCTION("""COMPUTED_VALUE"""),46104.0)</f>
        <v>46104</v>
      </c>
      <c r="C64" s="124" t="str">
        <f>IFERROR(__xludf.DUMMYFUNCTION("""COMPUTED_VALUE"""),"Payment data from Collexo")</f>
        <v>Payment data from Collexo</v>
      </c>
      <c r="D64" s="124" t="str">
        <f>IFERROR(__xludf.DUMMYFUNCTION("""COMPUTED_VALUE"""),"Not Available")</f>
        <v>Not Available</v>
      </c>
      <c r="E64" s="124">
        <f>IFERROR(__xludf.DUMMYFUNCTION("""COMPUTED_VALUE"""),1500613.0)</f>
        <v>1500613</v>
      </c>
      <c r="F64" s="124">
        <f>IFERROR(__xludf.DUMMYFUNCTION("""COMPUTED_VALUE"""),127724.0)</f>
        <v>127724</v>
      </c>
      <c r="G64" s="124">
        <f>IFERROR(__xludf.DUMMYFUNCTION("""COMPUTED_VALUE"""),54000.0)</f>
        <v>54000</v>
      </c>
      <c r="H64" s="124" t="str">
        <f>IFERROR(__xludf.DUMMYFUNCTION("""COMPUTED_VALUE"""),"Not Available")</f>
        <v>Not Available</v>
      </c>
      <c r="I64" s="124">
        <f>IFERROR(__xludf.DUMMYFUNCTION("""COMPUTED_VALUE"""),0.0)</f>
        <v>0</v>
      </c>
      <c r="J64" s="124">
        <f>IFERROR(__xludf.DUMMYFUNCTION("""COMPUTED_VALUE"""),55000.0)</f>
        <v>55000</v>
      </c>
      <c r="K64" s="124">
        <f>IFERROR(__xludf.DUMMYFUNCTION("""COMPUTED_VALUE"""),2.0)</f>
        <v>2</v>
      </c>
      <c r="L64" s="124">
        <f>IFERROR(__xludf.DUMMYFUNCTION("""COMPUTED_VALUE"""),681.0)</f>
        <v>681</v>
      </c>
      <c r="M64" s="124" t="str">
        <f>IFERROR(__xludf.DUMMYFUNCTION("""COMPUTED_VALUE"""),"Prayagraj")</f>
        <v>Prayagraj</v>
      </c>
      <c r="N64" s="124" t="str">
        <f>IFERROR(__xludf.DUMMYFUNCTION("""COMPUTED_VALUE"""),"kushikumari@gmail.com")</f>
        <v>kushikumari@gmail.com</v>
      </c>
      <c r="O64" s="124" t="str">
        <f>IFERROR(__xludf.DUMMYFUNCTION("""COMPUTED_VALUE"""),"Shiwangi kumari")</f>
        <v>Shiwangi kumari</v>
      </c>
      <c r="P64" s="124">
        <f>IFERROR(__xludf.DUMMYFUNCTION("""COMPUTED_VALUE"""),127724.0)</f>
        <v>127724</v>
      </c>
      <c r="Q64" s="124" t="str">
        <f>IFERROR(__xludf.DUMMYFUNCTION("""COMPUTED_VALUE"""),"upsc-gs-foundation-hinglish-target-2027-gsf-upsc-e03-pry")</f>
        <v>upsc-gs-foundation-hinglish-target-2027-gsf-upsc-e03-pry</v>
      </c>
      <c r="R64" s="124" t="str">
        <f>IFERROR(__xludf.DUMMYFUNCTION("""COMPUTED_VALUE"""),"GS Foundation Course")</f>
        <v>GS Foundation Course</v>
      </c>
      <c r="S64" s="124">
        <f>IFERROR(__xludf.DUMMYFUNCTION("""COMPUTED_VALUE"""),9.631918855E9)</f>
        <v>9631918855</v>
      </c>
      <c r="T64" s="124" t="str">
        <f>IFERROR(__xludf.DUMMYFUNCTION("""COMPUTED_VALUE"""),"Not Available")</f>
        <v>Not Available</v>
      </c>
      <c r="U64" s="124" t="str">
        <f>IFERROR(__xludf.DUMMYFUNCTION("""COMPUTED_VALUE"""),"Not Available")</f>
        <v>Not Available</v>
      </c>
      <c r="V64" s="124" t="str">
        <f>IFERROR(__xludf.DUMMYFUNCTION("""COMPUTED_VALUE"""),"Not Available")</f>
        <v>Not Available</v>
      </c>
      <c r="W64" s="124" t="str">
        <f>IFERROR(__xludf.DUMMYFUNCTION("""COMPUTED_VALUE"""),"Not Available")</f>
        <v>Not Available</v>
      </c>
    </row>
    <row r="65">
      <c r="A65" s="124" t="str">
        <f t="shared" si="1"/>
        <v>sanketshukriya2630@gmail.com</v>
      </c>
      <c r="B65" s="131">
        <f>IFERROR(__xludf.DUMMYFUNCTION("""COMPUTED_VALUE"""),46110.0)</f>
        <v>46110</v>
      </c>
      <c r="C65" s="124" t="str">
        <f>IFERROR(__xludf.DUMMYFUNCTION("""COMPUTED_VALUE"""),"Payment data from Collexo")</f>
        <v>Payment data from Collexo</v>
      </c>
      <c r="D65" s="124" t="str">
        <f>IFERROR(__xludf.DUMMYFUNCTION("""COMPUTED_VALUE"""),"Not Available")</f>
        <v>Not Available</v>
      </c>
      <c r="E65" s="124">
        <f>IFERROR(__xludf.DUMMYFUNCTION("""COMPUTED_VALUE"""),1500609.0)</f>
        <v>1500609</v>
      </c>
      <c r="F65" s="124" t="str">
        <f>IFERROR(__xludf.DUMMYFUNCTION("""COMPUTED_VALUE"""),"17318_988_7")</f>
        <v>17318_988_7</v>
      </c>
      <c r="G65" s="124">
        <f>IFERROR(__xludf.DUMMYFUNCTION("""COMPUTED_VALUE"""),60000.0)</f>
        <v>60000</v>
      </c>
      <c r="H65" s="124" t="str">
        <f>IFERROR(__xludf.DUMMYFUNCTION("""COMPUTED_VALUE"""),"Not Available")</f>
        <v>Not Available</v>
      </c>
      <c r="I65" s="124">
        <f>IFERROR(__xludf.DUMMYFUNCTION("""COMPUTED_VALUE"""),0.0)</f>
        <v>0</v>
      </c>
      <c r="J65" s="124">
        <f>IFERROR(__xludf.DUMMYFUNCTION("""COMPUTED_VALUE"""),70000.0)</f>
        <v>70000</v>
      </c>
      <c r="K65" s="124">
        <f>IFERROR(__xludf.DUMMYFUNCTION("""COMPUTED_VALUE"""),2.0)</f>
        <v>2</v>
      </c>
      <c r="L65" s="124">
        <f>IFERROR(__xludf.DUMMYFUNCTION("""COMPUTED_VALUE"""),827.0)</f>
        <v>827</v>
      </c>
      <c r="M65" s="124" t="str">
        <f>IFERROR(__xludf.DUMMYFUNCTION("""COMPUTED_VALUE"""),"New Delhi")</f>
        <v>New Delhi</v>
      </c>
      <c r="N65" s="124" t="str">
        <f>IFERROR(__xludf.DUMMYFUNCTION("""COMPUTED_VALUE"""),"sanketshukriya2630@gmail.com")</f>
        <v>sanketshukriya2630@gmail.com</v>
      </c>
      <c r="O65" s="124" t="str">
        <f>IFERROR(__xludf.DUMMYFUNCTION("""COMPUTED_VALUE"""),"Sanket")</f>
        <v>Sanket</v>
      </c>
      <c r="P65" s="124">
        <f>IFERROR(__xludf.DUMMYFUNCTION("""COMPUTED_VALUE"""),92076.0)</f>
        <v>92076</v>
      </c>
      <c r="Q65" s="124" t="str">
        <f>IFERROR(__xludf.DUMMYFUNCTION("""COMPUTED_VALUE"""),"upsc-gs-foundation-hinglish-target-2027-gsf-upsc-e03-orn")</f>
        <v>upsc-gs-foundation-hinglish-target-2027-gsf-upsc-e03-orn</v>
      </c>
      <c r="R65" s="124" t="str">
        <f>IFERROR(__xludf.DUMMYFUNCTION("""COMPUTED_VALUE"""),"GS Foundation Course")</f>
        <v>GS Foundation Course</v>
      </c>
      <c r="S65" s="124">
        <f>IFERROR(__xludf.DUMMYFUNCTION("""COMPUTED_VALUE"""),9.43091471E9)</f>
        <v>9430914710</v>
      </c>
      <c r="T65" s="124" t="str">
        <f>IFERROR(__xludf.DUMMYFUNCTION("""COMPUTED_VALUE"""),"Collexo")</f>
        <v>Collexo</v>
      </c>
      <c r="U65" s="124" t="str">
        <f>IFERROR(__xludf.DUMMYFUNCTION("""COMPUTED_VALUE"""),"Success")</f>
        <v>Success</v>
      </c>
      <c r="V65" s="131">
        <f>IFERROR(__xludf.DUMMYFUNCTION("""COMPUTED_VALUE"""),46110.0)</f>
        <v>46110</v>
      </c>
      <c r="W65" s="124">
        <f>IFERROR(__xludf.DUMMYFUNCTION("""COMPUTED_VALUE"""),0.0)</f>
        <v>0</v>
      </c>
    </row>
    <row r="66">
      <c r="A66" s="124" t="str">
        <f t="shared" si="1"/>
        <v>rashishy1@gmail.com</v>
      </c>
      <c r="B66" s="131">
        <f>IFERROR(__xludf.DUMMYFUNCTION("""COMPUTED_VALUE"""),46097.0)</f>
        <v>46097</v>
      </c>
      <c r="C66" s="124" t="str">
        <f>IFERROR(__xludf.DUMMYFUNCTION("""COMPUTED_VALUE"""),"Payment data from Collexo")</f>
        <v>Payment data from Collexo</v>
      </c>
      <c r="D66" s="124" t="str">
        <f>IFERROR(__xludf.DUMMYFUNCTION("""COMPUTED_VALUE"""),"Not Available")</f>
        <v>Not Available</v>
      </c>
      <c r="E66" s="124">
        <f>IFERROR(__xludf.DUMMYFUNCTION("""COMPUTED_VALUE"""),1500613.0)</f>
        <v>1500613</v>
      </c>
      <c r="F66" s="124">
        <f>IFERROR(__xludf.DUMMYFUNCTION("""COMPUTED_VALUE"""),107371.0)</f>
        <v>107371</v>
      </c>
      <c r="G66" s="124">
        <f>IFERROR(__xludf.DUMMYFUNCTION("""COMPUTED_VALUE"""),20000.0)</f>
        <v>20000</v>
      </c>
      <c r="H66" s="131">
        <f>IFERROR(__xludf.DUMMYFUNCTION("""COMPUTED_VALUE"""),46104.0)</f>
        <v>46104</v>
      </c>
      <c r="I66" s="124">
        <f>IFERROR(__xludf.DUMMYFUNCTION("""COMPUTED_VALUE"""),12000.0)</f>
        <v>12000</v>
      </c>
      <c r="J66" s="124">
        <f>IFERROR(__xludf.DUMMYFUNCTION("""COMPUTED_VALUE"""),32000.0)</f>
        <v>32000</v>
      </c>
      <c r="K66" s="124">
        <f>IFERROR(__xludf.DUMMYFUNCTION("""COMPUTED_VALUE"""),2.0)</f>
        <v>2</v>
      </c>
      <c r="L66" s="124">
        <f>IFERROR(__xludf.DUMMYFUNCTION("""COMPUTED_VALUE"""),557.0)</f>
        <v>557</v>
      </c>
      <c r="M66" s="124" t="str">
        <f>IFERROR(__xludf.DUMMYFUNCTION("""COMPUTED_VALUE"""),"Prayagraj")</f>
        <v>Prayagraj</v>
      </c>
      <c r="N66" s="124" t="str">
        <f>IFERROR(__xludf.DUMMYFUNCTION("""COMPUTED_VALUE"""),"rashishy1@gmail.com")</f>
        <v>rashishy1@gmail.com</v>
      </c>
      <c r="O66" s="124" t="str">
        <f>IFERROR(__xludf.DUMMYFUNCTION("""COMPUTED_VALUE"""),"Ashish yadav")</f>
        <v>Ashish yadav</v>
      </c>
      <c r="P66" s="124">
        <f>IFERROR(__xludf.DUMMYFUNCTION("""COMPUTED_VALUE"""),107371.0)</f>
        <v>107371</v>
      </c>
      <c r="Q66" s="124" t="str">
        <f>IFERROR(__xludf.DUMMYFUNCTION("""COMPUTED_VALUE"""),"upsc-gs-foundation-hindi-target-2027-gsf-upsc-m02-pry")</f>
        <v>upsc-gs-foundation-hindi-target-2027-gsf-upsc-m02-pry</v>
      </c>
      <c r="R66" s="124" t="str">
        <f>IFERROR(__xludf.DUMMYFUNCTION("""COMPUTED_VALUE"""),"GS Foundation Course")</f>
        <v>GS Foundation Course</v>
      </c>
      <c r="S66" s="124">
        <f>IFERROR(__xludf.DUMMYFUNCTION("""COMPUTED_VALUE"""),6.394376064E9)</f>
        <v>6394376064</v>
      </c>
      <c r="T66" s="124" t="str">
        <f>IFERROR(__xludf.DUMMYFUNCTION("""COMPUTED_VALUE"""),"Not Available")</f>
        <v>Not Available</v>
      </c>
      <c r="U66" s="124" t="str">
        <f>IFERROR(__xludf.DUMMYFUNCTION("""COMPUTED_VALUE"""),"Not Available")</f>
        <v>Not Available</v>
      </c>
      <c r="V66" s="124" t="str">
        <f>IFERROR(__xludf.DUMMYFUNCTION("""COMPUTED_VALUE"""),"Not Available")</f>
        <v>Not Available</v>
      </c>
      <c r="W66" s="124" t="str">
        <f>IFERROR(__xludf.DUMMYFUNCTION("""COMPUTED_VALUE"""),"Not Available")</f>
        <v>Not Available</v>
      </c>
    </row>
    <row r="67">
      <c r="A67" s="124" t="str">
        <f t="shared" si="1"/>
        <v>9918313@gmail.com</v>
      </c>
      <c r="B67" s="131">
        <f>IFERROR(__xludf.DUMMYFUNCTION("""COMPUTED_VALUE"""),46069.0)</f>
        <v>46069</v>
      </c>
      <c r="C67" s="124" t="str">
        <f>IFERROR(__xludf.DUMMYFUNCTION("""COMPUTED_VALUE"""),"Payment data from Collexo")</f>
        <v>Payment data from Collexo</v>
      </c>
      <c r="D67" s="124" t="str">
        <f>IFERROR(__xludf.DUMMYFUNCTION("""COMPUTED_VALUE"""),"Not Available")</f>
        <v>Not Available</v>
      </c>
      <c r="E67" s="124">
        <f>IFERROR(__xludf.DUMMYFUNCTION("""COMPUTED_VALUE"""),1500613.0)</f>
        <v>1500613</v>
      </c>
      <c r="F67" s="124">
        <f>IFERROR(__xludf.DUMMYFUNCTION("""COMPUTED_VALUE"""),39331.0)</f>
        <v>39331</v>
      </c>
      <c r="G67" s="124">
        <f>IFERROR(__xludf.DUMMYFUNCTION("""COMPUTED_VALUE"""),400.0)</f>
        <v>400</v>
      </c>
      <c r="H67" s="131">
        <f>IFERROR(__xludf.DUMMYFUNCTION("""COMPUTED_VALUE"""),46069.0)</f>
        <v>46069</v>
      </c>
      <c r="I67" s="124">
        <f>IFERROR(__xludf.DUMMYFUNCTION("""COMPUTED_VALUE"""),44000.0)</f>
        <v>44000</v>
      </c>
      <c r="J67" s="124">
        <f>IFERROR(__xludf.DUMMYFUNCTION("""COMPUTED_VALUE"""),44400.0)</f>
        <v>44400</v>
      </c>
      <c r="K67" s="124">
        <f>IFERROR(__xludf.DUMMYFUNCTION("""COMPUTED_VALUE"""),2.0)</f>
        <v>2</v>
      </c>
      <c r="L67" s="124">
        <f>IFERROR(__xludf.DUMMYFUNCTION("""COMPUTED_VALUE"""),226.0)</f>
        <v>226</v>
      </c>
      <c r="M67" s="124" t="str">
        <f>IFERROR(__xludf.DUMMYFUNCTION("""COMPUTED_VALUE"""),"Prayagraj")</f>
        <v>Prayagraj</v>
      </c>
      <c r="N67" s="124" t="str">
        <f>IFERROR(__xludf.DUMMYFUNCTION("""COMPUTED_VALUE"""),"9918313@gmail.com")</f>
        <v>9918313@gmail.com</v>
      </c>
      <c r="O67" s="124" t="str">
        <f>IFERROR(__xludf.DUMMYFUNCTION("""COMPUTED_VALUE"""),"Ashish")</f>
        <v>Ashish</v>
      </c>
      <c r="P67" s="124">
        <f>IFERROR(__xludf.DUMMYFUNCTION("""COMPUTED_VALUE"""),39331.0)</f>
        <v>39331</v>
      </c>
      <c r="Q67" s="124" t="str">
        <f>IFERROR(__xludf.DUMMYFUNCTION("""COMPUTED_VALUE"""),"upsc-gs-foundation-hindi-target-2027-gsf-upsc-m02-pry")</f>
        <v>upsc-gs-foundation-hindi-target-2027-gsf-upsc-m02-pry</v>
      </c>
      <c r="R67" s="124" t="str">
        <f>IFERROR(__xludf.DUMMYFUNCTION("""COMPUTED_VALUE"""),"GS Foundation Course")</f>
        <v>GS Foundation Course</v>
      </c>
      <c r="S67" s="124">
        <f>IFERROR(__xludf.DUMMYFUNCTION("""COMPUTED_VALUE"""),9.554917918E9)</f>
        <v>9554917918</v>
      </c>
      <c r="T67" s="124" t="str">
        <f>IFERROR(__xludf.DUMMYFUNCTION("""COMPUTED_VALUE"""),"Not Available")</f>
        <v>Not Available</v>
      </c>
      <c r="U67" s="124" t="str">
        <f>IFERROR(__xludf.DUMMYFUNCTION("""COMPUTED_VALUE"""),"Not Available")</f>
        <v>Not Available</v>
      </c>
      <c r="V67" s="124" t="str">
        <f>IFERROR(__xludf.DUMMYFUNCTION("""COMPUTED_VALUE"""),"Not Available")</f>
        <v>Not Available</v>
      </c>
      <c r="W67" s="124" t="str">
        <f>IFERROR(__xludf.DUMMYFUNCTION("""COMPUTED_VALUE"""),"Not Available")</f>
        <v>Not Available</v>
      </c>
    </row>
    <row r="68">
      <c r="A68" s="124" t="str">
        <f t="shared" si="1"/>
        <v>prathvi2515@gmail.com</v>
      </c>
      <c r="B68" s="131">
        <f>IFERROR(__xludf.DUMMYFUNCTION("""COMPUTED_VALUE"""),46088.0)</f>
        <v>46088</v>
      </c>
      <c r="C68" s="124" t="str">
        <f>IFERROR(__xludf.DUMMYFUNCTION("""COMPUTED_VALUE"""),"Payment data from Collexo")</f>
        <v>Payment data from Collexo</v>
      </c>
      <c r="D68" s="124" t="str">
        <f>IFERROR(__xludf.DUMMYFUNCTION("""COMPUTED_VALUE"""),"Not Available")</f>
        <v>Not Available</v>
      </c>
      <c r="E68" s="124">
        <f>IFERROR(__xludf.DUMMYFUNCTION("""COMPUTED_VALUE"""),1500612.0)</f>
        <v>1500612</v>
      </c>
      <c r="F68" s="124">
        <f>IFERROR(__xludf.DUMMYFUNCTION("""COMPUTED_VALUE"""),126108.0)</f>
        <v>126108</v>
      </c>
      <c r="G68" s="124">
        <f>IFERROR(__xludf.DUMMYFUNCTION("""COMPUTED_VALUE"""),35000.0)</f>
        <v>35000</v>
      </c>
      <c r="H68" s="124" t="str">
        <f>IFERROR(__xludf.DUMMYFUNCTION("""COMPUTED_VALUE"""),"Not Available")</f>
        <v>Not Available</v>
      </c>
      <c r="I68" s="124">
        <f>IFERROR(__xludf.DUMMYFUNCTION("""COMPUTED_VALUE"""),0.0)</f>
        <v>0</v>
      </c>
      <c r="J68" s="124">
        <f>IFERROR(__xludf.DUMMYFUNCTION("""COMPUTED_VALUE"""),40000.0)</f>
        <v>40000</v>
      </c>
      <c r="K68" s="124">
        <f>IFERROR(__xludf.DUMMYFUNCTION("""COMPUTED_VALUE"""),2.0)</f>
        <v>2</v>
      </c>
      <c r="L68" s="124">
        <f>IFERROR(__xludf.DUMMYFUNCTION("""COMPUTED_VALUE"""),430.0)</f>
        <v>430</v>
      </c>
      <c r="M68" s="124" t="str">
        <f>IFERROR(__xludf.DUMMYFUNCTION("""COMPUTED_VALUE"""),"Indore")</f>
        <v>Indore</v>
      </c>
      <c r="N68" s="124" t="str">
        <f>IFERROR(__xludf.DUMMYFUNCTION("""COMPUTED_VALUE"""),"prathvi2515@gmail.com")</f>
        <v>prathvi2515@gmail.com</v>
      </c>
      <c r="O68" s="124" t="str">
        <f>IFERROR(__xludf.DUMMYFUNCTION("""COMPUTED_VALUE"""),"Prathvi Sharma")</f>
        <v>Prathvi Sharma</v>
      </c>
      <c r="P68" s="124">
        <f>IFERROR(__xludf.DUMMYFUNCTION("""COMPUTED_VALUE"""),126108.0)</f>
        <v>126108</v>
      </c>
      <c r="Q68" s="124" t="str">
        <f>IFERROR(__xludf.DUMMYFUNCTION("""COMPUTED_VALUE"""),"upsc-gs-foundation-hinglish-target-2027-gsf-upsc-m02-ind")</f>
        <v>upsc-gs-foundation-hinglish-target-2027-gsf-upsc-m02-ind</v>
      </c>
      <c r="R68" s="124" t="str">
        <f>IFERROR(__xludf.DUMMYFUNCTION("""COMPUTED_VALUE"""),"GS Foundation Course")</f>
        <v>GS Foundation Course</v>
      </c>
      <c r="S68" s="124">
        <f>IFERROR(__xludf.DUMMYFUNCTION("""COMPUTED_VALUE"""),9.302103026E9)</f>
        <v>9302103026</v>
      </c>
      <c r="T68" s="124" t="str">
        <f>IFERROR(__xludf.DUMMYFUNCTION("""COMPUTED_VALUE"""),"Not Available")</f>
        <v>Not Available</v>
      </c>
      <c r="U68" s="124" t="str">
        <f>IFERROR(__xludf.DUMMYFUNCTION("""COMPUTED_VALUE"""),"Not Available")</f>
        <v>Not Available</v>
      </c>
      <c r="V68" s="124" t="str">
        <f>IFERROR(__xludf.DUMMYFUNCTION("""COMPUTED_VALUE"""),"Not Available")</f>
        <v>Not Available</v>
      </c>
      <c r="W68" s="124" t="str">
        <f>IFERROR(__xludf.DUMMYFUNCTION("""COMPUTED_VALUE"""),"Not Available")</f>
        <v>Not Available</v>
      </c>
    </row>
    <row r="69">
      <c r="A69" s="124" t="str">
        <f t="shared" si="1"/>
        <v>rohit8210378599@gmail.com</v>
      </c>
      <c r="B69" s="131">
        <f>IFERROR(__xludf.DUMMYFUNCTION("""COMPUTED_VALUE"""),46098.0)</f>
        <v>46098</v>
      </c>
      <c r="C69" s="124" t="str">
        <f>IFERROR(__xludf.DUMMYFUNCTION("""COMPUTED_VALUE"""),"Payment data from Collexo")</f>
        <v>Payment data from Collexo</v>
      </c>
      <c r="D69" s="124" t="str">
        <f>IFERROR(__xludf.DUMMYFUNCTION("""COMPUTED_VALUE"""),"Not Available")</f>
        <v>Not Available</v>
      </c>
      <c r="E69" s="124">
        <f>IFERROR(__xludf.DUMMYFUNCTION("""COMPUTED_VALUE"""),1500611.0)</f>
        <v>1500611</v>
      </c>
      <c r="F69" s="124">
        <f>IFERROR(__xludf.DUMMYFUNCTION("""COMPUTED_VALUE"""),128605.0)</f>
        <v>128605</v>
      </c>
      <c r="G69" s="124">
        <f>IFERROR(__xludf.DUMMYFUNCTION("""COMPUTED_VALUE"""),30000.0)</f>
        <v>30000</v>
      </c>
      <c r="H69" s="131">
        <f>IFERROR(__xludf.DUMMYFUNCTION("""COMPUTED_VALUE"""),46116.0)</f>
        <v>46116</v>
      </c>
      <c r="I69" s="124">
        <f>IFERROR(__xludf.DUMMYFUNCTION("""COMPUTED_VALUE"""),39004.0)</f>
        <v>39004</v>
      </c>
      <c r="J69" s="124">
        <f>IFERROR(__xludf.DUMMYFUNCTION("""COMPUTED_VALUE"""),75004.0)</f>
        <v>75004</v>
      </c>
      <c r="K69" s="124">
        <f>IFERROR(__xludf.DUMMYFUNCTION("""COMPUTED_VALUE"""),3.0)</f>
        <v>3</v>
      </c>
      <c r="L69" s="124">
        <f>IFERROR(__xludf.DUMMYFUNCTION("""COMPUTED_VALUE"""),578.0)</f>
        <v>578</v>
      </c>
      <c r="M69" s="124" t="str">
        <f>IFERROR(__xludf.DUMMYFUNCTION("""COMPUTED_VALUE"""),"Patna")</f>
        <v>Patna</v>
      </c>
      <c r="N69" s="124" t="str">
        <f>IFERROR(__xludf.DUMMYFUNCTION("""COMPUTED_VALUE"""),"rohit8210378599@gmail.com")</f>
        <v>rohit8210378599@gmail.com</v>
      </c>
      <c r="O69" s="124" t="str">
        <f>IFERROR(__xludf.DUMMYFUNCTION("""COMPUTED_VALUE"""),"Rohit Kumar")</f>
        <v>Rohit Kumar</v>
      </c>
      <c r="P69" s="124">
        <f>IFERROR(__xludf.DUMMYFUNCTION("""COMPUTED_VALUE"""),128605.0)</f>
        <v>128605</v>
      </c>
      <c r="Q69" s="124" t="str">
        <f>IFERROR(__xludf.DUMMYFUNCTION("""COMPUTED_VALUE"""),"upsc-gs-foundation-hinglish-target-2027-gsf-upsc-e03-pat")</f>
        <v>upsc-gs-foundation-hinglish-target-2027-gsf-upsc-e03-pat</v>
      </c>
      <c r="R69" s="124" t="str">
        <f>IFERROR(__xludf.DUMMYFUNCTION("""COMPUTED_VALUE"""),"GS Foundation Course")</f>
        <v>GS Foundation Course</v>
      </c>
      <c r="S69" s="124">
        <f>IFERROR(__xludf.DUMMYFUNCTION("""COMPUTED_VALUE"""),8.210378599E9)</f>
        <v>8210378599</v>
      </c>
      <c r="T69" s="124" t="str">
        <f>IFERROR(__xludf.DUMMYFUNCTION("""COMPUTED_VALUE"""),"Not Available")</f>
        <v>Not Available</v>
      </c>
      <c r="U69" s="124" t="str">
        <f>IFERROR(__xludf.DUMMYFUNCTION("""COMPUTED_VALUE"""),"Not Available")</f>
        <v>Not Available</v>
      </c>
      <c r="V69" s="124" t="str">
        <f>IFERROR(__xludf.DUMMYFUNCTION("""COMPUTED_VALUE"""),"Not Available")</f>
        <v>Not Available</v>
      </c>
      <c r="W69" s="124" t="str">
        <f>IFERROR(__xludf.DUMMYFUNCTION("""COMPUTED_VALUE"""),"Not Available")</f>
        <v>Not Available</v>
      </c>
    </row>
    <row r="70">
      <c r="A70" s="124" t="str">
        <f t="shared" si="1"/>
        <v>adityakr1901@gmail.com</v>
      </c>
      <c r="B70" s="131">
        <f>IFERROR(__xludf.DUMMYFUNCTION("""COMPUTED_VALUE"""),46108.0)</f>
        <v>46108</v>
      </c>
      <c r="C70" s="124" t="str">
        <f>IFERROR(__xludf.DUMMYFUNCTION("""COMPUTED_VALUE"""),"Payment data from Collexo")</f>
        <v>Payment data from Collexo</v>
      </c>
      <c r="D70" s="124" t="str">
        <f>IFERROR(__xludf.DUMMYFUNCTION("""COMPUTED_VALUE"""),"Not Available")</f>
        <v>Not Available</v>
      </c>
      <c r="E70" s="124">
        <f>IFERROR(__xludf.DUMMYFUNCTION("""COMPUTED_VALUE"""),1500611.0)</f>
        <v>1500611</v>
      </c>
      <c r="F70" s="124">
        <f>IFERROR(__xludf.DUMMYFUNCTION("""COMPUTED_VALUE"""),139300.0)</f>
        <v>139300</v>
      </c>
      <c r="G70" s="124">
        <f>IFERROR(__xludf.DUMMYFUNCTION("""COMPUTED_VALUE"""),4800.0)</f>
        <v>4800</v>
      </c>
      <c r="H70" s="131">
        <f>IFERROR(__xludf.DUMMYFUNCTION("""COMPUTED_VALUE"""),46108.0)</f>
        <v>46108</v>
      </c>
      <c r="I70" s="124">
        <f>IFERROR(__xludf.DUMMYFUNCTION("""COMPUTED_VALUE"""),43200.0)</f>
        <v>43200</v>
      </c>
      <c r="J70" s="124">
        <f>IFERROR(__xludf.DUMMYFUNCTION("""COMPUTED_VALUE"""),48000.0)</f>
        <v>48000</v>
      </c>
      <c r="K70" s="124">
        <f>IFERROR(__xludf.DUMMYFUNCTION("""COMPUTED_VALUE"""),2.0)</f>
        <v>2</v>
      </c>
      <c r="L70" s="124">
        <f>IFERROR(__xludf.DUMMYFUNCTION("""COMPUTED_VALUE"""),792.0)</f>
        <v>792</v>
      </c>
      <c r="M70" s="124" t="str">
        <f>IFERROR(__xludf.DUMMYFUNCTION("""COMPUTED_VALUE"""),"Patna")</f>
        <v>Patna</v>
      </c>
      <c r="N70" s="124" t="str">
        <f>IFERROR(__xludf.DUMMYFUNCTION("""COMPUTED_VALUE"""),"adityakr1901@gmail.com")</f>
        <v>adityakr1901@gmail.com</v>
      </c>
      <c r="O70" s="124" t="str">
        <f>IFERROR(__xludf.DUMMYFUNCTION("""COMPUTED_VALUE"""),"Anjali kumari")</f>
        <v>Anjali kumari</v>
      </c>
      <c r="P70" s="124">
        <f>IFERROR(__xludf.DUMMYFUNCTION("""COMPUTED_VALUE"""),139300.0)</f>
        <v>139300</v>
      </c>
      <c r="Q70" s="124" t="str">
        <f>IFERROR(__xludf.DUMMYFUNCTION("""COMPUTED_VALUE"""),"bpsc-gs-foundation-hinglish-target-2026-gsf-bpsc-m02-pat")</f>
        <v>bpsc-gs-foundation-hinglish-target-2026-gsf-bpsc-m02-pat</v>
      </c>
      <c r="R70" s="124" t="str">
        <f>IFERROR(__xludf.DUMMYFUNCTION("""COMPUTED_VALUE"""),"State PCS")</f>
        <v>State PCS</v>
      </c>
      <c r="S70" s="124">
        <f>IFERROR(__xludf.DUMMYFUNCTION("""COMPUTED_VALUE"""),9.220585925E9)</f>
        <v>9220585925</v>
      </c>
      <c r="T70" s="124" t="str">
        <f>IFERROR(__xludf.DUMMYFUNCTION("""COMPUTED_VALUE"""),"Not Available")</f>
        <v>Not Available</v>
      </c>
      <c r="U70" s="124" t="str">
        <f>IFERROR(__xludf.DUMMYFUNCTION("""COMPUTED_VALUE"""),"Not Available")</f>
        <v>Not Available</v>
      </c>
      <c r="V70" s="124" t="str">
        <f>IFERROR(__xludf.DUMMYFUNCTION("""COMPUTED_VALUE"""),"Not Available")</f>
        <v>Not Available</v>
      </c>
      <c r="W70" s="124" t="str">
        <f>IFERROR(__xludf.DUMMYFUNCTION("""COMPUTED_VALUE"""),"Not Available")</f>
        <v>Not Available</v>
      </c>
    </row>
    <row r="71">
      <c r="A71" s="124" t="str">
        <f t="shared" si="1"/>
        <v>namishkarajput8d@gmail.com</v>
      </c>
      <c r="B71" s="131">
        <f>IFERROR(__xludf.DUMMYFUNCTION("""COMPUTED_VALUE"""),46105.0)</f>
        <v>46105</v>
      </c>
      <c r="C71" s="124" t="str">
        <f>IFERROR(__xludf.DUMMYFUNCTION("""COMPUTED_VALUE"""),"Payment data from Collexo")</f>
        <v>Payment data from Collexo</v>
      </c>
      <c r="D71" s="124" t="str">
        <f>IFERROR(__xludf.DUMMYFUNCTION("""COMPUTED_VALUE"""),"Not Available")</f>
        <v>Not Available</v>
      </c>
      <c r="E71" s="124">
        <f>IFERROR(__xludf.DUMMYFUNCTION("""COMPUTED_VALUE"""),1500609.0)</f>
        <v>1500609</v>
      </c>
      <c r="F71" s="124" t="str">
        <f>IFERROR(__xludf.DUMMYFUNCTION("""COMPUTED_VALUE"""),"16380_988_7")</f>
        <v>16380_988_7</v>
      </c>
      <c r="G71" s="124">
        <f>IFERROR(__xludf.DUMMYFUNCTION("""COMPUTED_VALUE"""),5000.0)</f>
        <v>5000</v>
      </c>
      <c r="H71" s="131">
        <f>IFERROR(__xludf.DUMMYFUNCTION("""COMPUTED_VALUE"""),46112.0)</f>
        <v>46112</v>
      </c>
      <c r="I71" s="124">
        <f>IFERROR(__xludf.DUMMYFUNCTION("""COMPUTED_VALUE"""),40000.0)</f>
        <v>40000</v>
      </c>
      <c r="J71" s="124">
        <f>IFERROR(__xludf.DUMMYFUNCTION("""COMPUTED_VALUE"""),175000.0)</f>
        <v>175000</v>
      </c>
      <c r="K71" s="124">
        <f>IFERROR(__xludf.DUMMYFUNCTION("""COMPUTED_VALUE"""),3.0)</f>
        <v>3</v>
      </c>
      <c r="L71" s="124">
        <f>IFERROR(__xludf.DUMMYFUNCTION("""COMPUTED_VALUE"""),715.0)</f>
        <v>715</v>
      </c>
      <c r="M71" s="124" t="str">
        <f>IFERROR(__xludf.DUMMYFUNCTION("""COMPUTED_VALUE"""),"New Delhi")</f>
        <v>New Delhi</v>
      </c>
      <c r="N71" s="124" t="str">
        <f>IFERROR(__xludf.DUMMYFUNCTION("""COMPUTED_VALUE"""),"namishkarajput8d@gmail.com")</f>
        <v>namishkarajput8d@gmail.com</v>
      </c>
      <c r="O71" s="124" t="str">
        <f>IFERROR(__xludf.DUMMYFUNCTION("""COMPUTED_VALUE"""),"Namishka")</f>
        <v>Namishka</v>
      </c>
      <c r="P71" s="124">
        <f>IFERROR(__xludf.DUMMYFUNCTION("""COMPUTED_VALUE"""),31782.0)</f>
        <v>31782</v>
      </c>
      <c r="Q71" s="124" t="str">
        <f>IFERROR(__xludf.DUMMYFUNCTION("""COMPUTED_VALUE"""),"upsc-gs-foundation-hinglish-target-2028-gsf-upsc-e05-orn")</f>
        <v>upsc-gs-foundation-hinglish-target-2028-gsf-upsc-e05-orn</v>
      </c>
      <c r="R71" s="124" t="str">
        <f>IFERROR(__xludf.DUMMYFUNCTION("""COMPUTED_VALUE"""),"GS Foundation Course")</f>
        <v>GS Foundation Course</v>
      </c>
      <c r="S71" s="124">
        <f>IFERROR(__xludf.DUMMYFUNCTION("""COMPUTED_VALUE"""),9.654206738E9)</f>
        <v>9654206738</v>
      </c>
      <c r="T71" s="124" t="str">
        <f>IFERROR(__xludf.DUMMYFUNCTION("""COMPUTED_VALUE"""),"Collexo")</f>
        <v>Collexo</v>
      </c>
      <c r="U71" s="124" t="str">
        <f>IFERROR(__xludf.DUMMYFUNCTION("""COMPUTED_VALUE"""),"Success")</f>
        <v>Success</v>
      </c>
      <c r="V71" s="131">
        <f>IFERROR(__xludf.DUMMYFUNCTION("""COMPUTED_VALUE"""),46105.0)</f>
        <v>46105</v>
      </c>
      <c r="W71" s="124">
        <f>IFERROR(__xludf.DUMMYFUNCTION("""COMPUTED_VALUE"""),0.0)</f>
        <v>0</v>
      </c>
    </row>
    <row r="72">
      <c r="A72" s="124" t="str">
        <f t="shared" si="1"/>
        <v>rohit8210378599@gmail.com</v>
      </c>
      <c r="B72" s="131">
        <f>IFERROR(__xludf.DUMMYFUNCTION("""COMPUTED_VALUE"""),46097.0)</f>
        <v>46097</v>
      </c>
      <c r="C72" s="124" t="str">
        <f>IFERROR(__xludf.DUMMYFUNCTION("""COMPUTED_VALUE"""),"Payment data from Collexo")</f>
        <v>Payment data from Collexo</v>
      </c>
      <c r="D72" s="124" t="str">
        <f>IFERROR(__xludf.DUMMYFUNCTION("""COMPUTED_VALUE"""),"Not Available")</f>
        <v>Not Available</v>
      </c>
      <c r="E72" s="124">
        <f>IFERROR(__xludf.DUMMYFUNCTION("""COMPUTED_VALUE"""),1500611.0)</f>
        <v>1500611</v>
      </c>
      <c r="F72" s="124">
        <f>IFERROR(__xludf.DUMMYFUNCTION("""COMPUTED_VALUE"""),128605.0)</f>
        <v>128605</v>
      </c>
      <c r="G72" s="124">
        <f>IFERROR(__xludf.DUMMYFUNCTION("""COMPUTED_VALUE"""),6000.0)</f>
        <v>6000</v>
      </c>
      <c r="H72" s="131">
        <f>IFERROR(__xludf.DUMMYFUNCTION("""COMPUTED_VALUE"""),46099.0)</f>
        <v>46099</v>
      </c>
      <c r="I72" s="124">
        <f>IFERROR(__xludf.DUMMYFUNCTION("""COMPUTED_VALUE"""),30000.0)</f>
        <v>30000</v>
      </c>
      <c r="J72" s="124">
        <f>IFERROR(__xludf.DUMMYFUNCTION("""COMPUTED_VALUE"""),75004.0)</f>
        <v>75004</v>
      </c>
      <c r="K72" s="124">
        <f>IFERROR(__xludf.DUMMYFUNCTION("""COMPUTED_VALUE"""),3.0)</f>
        <v>3</v>
      </c>
      <c r="L72" s="124">
        <f>IFERROR(__xludf.DUMMYFUNCTION("""COMPUTED_VALUE"""),570.0)</f>
        <v>570</v>
      </c>
      <c r="M72" s="124" t="str">
        <f>IFERROR(__xludf.DUMMYFUNCTION("""COMPUTED_VALUE"""),"Patna")</f>
        <v>Patna</v>
      </c>
      <c r="N72" s="124" t="str">
        <f>IFERROR(__xludf.DUMMYFUNCTION("""COMPUTED_VALUE"""),"rohit8210378599@gmail.com")</f>
        <v>rohit8210378599@gmail.com</v>
      </c>
      <c r="O72" s="124" t="str">
        <f>IFERROR(__xludf.DUMMYFUNCTION("""COMPUTED_VALUE"""),"Rohit Kumar")</f>
        <v>Rohit Kumar</v>
      </c>
      <c r="P72" s="124">
        <f>IFERROR(__xludf.DUMMYFUNCTION("""COMPUTED_VALUE"""),128605.0)</f>
        <v>128605</v>
      </c>
      <c r="Q72" s="124" t="str">
        <f>IFERROR(__xludf.DUMMYFUNCTION("""COMPUTED_VALUE"""),"upsc-gs-foundation-hinglish-target-2027-gsf-upsc-e03-pat")</f>
        <v>upsc-gs-foundation-hinglish-target-2027-gsf-upsc-e03-pat</v>
      </c>
      <c r="R72" s="124" t="str">
        <f>IFERROR(__xludf.DUMMYFUNCTION("""COMPUTED_VALUE"""),"GS Foundation Course")</f>
        <v>GS Foundation Course</v>
      </c>
      <c r="S72" s="124">
        <f>IFERROR(__xludf.DUMMYFUNCTION("""COMPUTED_VALUE"""),8.210378599E9)</f>
        <v>8210378599</v>
      </c>
      <c r="T72" s="124" t="str">
        <f>IFERROR(__xludf.DUMMYFUNCTION("""COMPUTED_VALUE"""),"Not Available")</f>
        <v>Not Available</v>
      </c>
      <c r="U72" s="124" t="str">
        <f>IFERROR(__xludf.DUMMYFUNCTION("""COMPUTED_VALUE"""),"Not Available")</f>
        <v>Not Available</v>
      </c>
      <c r="V72" s="124" t="str">
        <f>IFERROR(__xludf.DUMMYFUNCTION("""COMPUTED_VALUE"""),"Not Available")</f>
        <v>Not Available</v>
      </c>
      <c r="W72" s="124" t="str">
        <f>IFERROR(__xludf.DUMMYFUNCTION("""COMPUTED_VALUE"""),"Not Available")</f>
        <v>Not Available</v>
      </c>
    </row>
    <row r="73">
      <c r="A73" s="124" t="str">
        <f t="shared" si="1"/>
        <v>sanketshukriya2630@gmail.com</v>
      </c>
      <c r="B73" s="131">
        <f>IFERROR(__xludf.DUMMYFUNCTION("""COMPUTED_VALUE"""),46107.0)</f>
        <v>46107</v>
      </c>
      <c r="C73" s="124" t="str">
        <f>IFERROR(__xludf.DUMMYFUNCTION("""COMPUTED_VALUE"""),"Payment data from Collexo")</f>
        <v>Payment data from Collexo</v>
      </c>
      <c r="D73" s="124" t="str">
        <f>IFERROR(__xludf.DUMMYFUNCTION("""COMPUTED_VALUE"""),"Not Available")</f>
        <v>Not Available</v>
      </c>
      <c r="E73" s="124">
        <f>IFERROR(__xludf.DUMMYFUNCTION("""COMPUTED_VALUE"""),1500609.0)</f>
        <v>1500609</v>
      </c>
      <c r="F73" s="124" t="str">
        <f>IFERROR(__xludf.DUMMYFUNCTION("""COMPUTED_VALUE"""),"16801_988_7")</f>
        <v>16801_988_7</v>
      </c>
      <c r="G73" s="124">
        <f>IFERROR(__xludf.DUMMYFUNCTION("""COMPUTED_VALUE"""),1.0)</f>
        <v>1</v>
      </c>
      <c r="H73" s="124" t="str">
        <f>IFERROR(__xludf.DUMMYFUNCTION("""COMPUTED_VALUE"""),"Not Available")</f>
        <v>Not Available</v>
      </c>
      <c r="I73" s="124">
        <f>IFERROR(__xludf.DUMMYFUNCTION("""COMPUTED_VALUE"""),0.0)</f>
        <v>0</v>
      </c>
      <c r="J73" s="124">
        <f>IFERROR(__xludf.DUMMYFUNCTION("""COMPUTED_VALUE"""),1.0)</f>
        <v>1</v>
      </c>
      <c r="K73" s="124">
        <f>IFERROR(__xludf.DUMMYFUNCTION("""COMPUTED_VALUE"""),1.0)</f>
        <v>1</v>
      </c>
      <c r="L73" s="124">
        <f>IFERROR(__xludf.DUMMYFUNCTION("""COMPUTED_VALUE"""),768.0)</f>
        <v>768</v>
      </c>
      <c r="M73" s="124" t="str">
        <f>IFERROR(__xludf.DUMMYFUNCTION("""COMPUTED_VALUE"""),"New Delhi")</f>
        <v>New Delhi</v>
      </c>
      <c r="N73" s="124" t="str">
        <f>IFERROR(__xludf.DUMMYFUNCTION("""COMPUTED_VALUE"""),"sanketshukriya2630@gmail.com")</f>
        <v>sanketshukriya2630@gmail.com</v>
      </c>
      <c r="O73" s="124" t="str">
        <f>IFERROR(__xludf.DUMMYFUNCTION("""COMPUTED_VALUE"""),"Sanket")</f>
        <v>Sanket</v>
      </c>
      <c r="P73" s="124">
        <f>IFERROR(__xludf.DUMMYFUNCTION("""COMPUTED_VALUE"""),92076.0)</f>
        <v>92076</v>
      </c>
      <c r="Q73" s="124" t="str">
        <f>IFERROR(__xludf.DUMMYFUNCTION("""COMPUTED_VALUE"""),"upsc-gs-foundation-hinglish-target-2027-gsf-upsc-e03-orn")</f>
        <v>upsc-gs-foundation-hinglish-target-2027-gsf-upsc-e03-orn</v>
      </c>
      <c r="R73" s="124" t="str">
        <f>IFERROR(__xludf.DUMMYFUNCTION("""COMPUTED_VALUE"""),"GS Foundation Course")</f>
        <v>GS Foundation Course</v>
      </c>
      <c r="S73" s="124">
        <f>IFERROR(__xludf.DUMMYFUNCTION("""COMPUTED_VALUE"""),9.43091471E9)</f>
        <v>9430914710</v>
      </c>
      <c r="T73" s="124" t="str">
        <f>IFERROR(__xludf.DUMMYFUNCTION("""COMPUTED_VALUE"""),"Collexo")</f>
        <v>Collexo</v>
      </c>
      <c r="U73" s="124" t="str">
        <f>IFERROR(__xludf.DUMMYFUNCTION("""COMPUTED_VALUE"""),"Success")</f>
        <v>Success</v>
      </c>
      <c r="V73" s="131">
        <f>IFERROR(__xludf.DUMMYFUNCTION("""COMPUTED_VALUE"""),46107.0)</f>
        <v>46107</v>
      </c>
      <c r="W73" s="124">
        <f>IFERROR(__xludf.DUMMYFUNCTION("""COMPUTED_VALUE"""),0.0)</f>
        <v>0</v>
      </c>
    </row>
    <row r="74">
      <c r="A74" s="124" t="str">
        <f t="shared" si="1"/>
        <v>ny68525@gmail.com</v>
      </c>
      <c r="B74" s="131">
        <f>IFERROR(__xludf.DUMMYFUNCTION("""COMPUTED_VALUE"""),46071.0)</f>
        <v>46071</v>
      </c>
      <c r="C74" s="124" t="str">
        <f>IFERROR(__xludf.DUMMYFUNCTION("""COMPUTED_VALUE"""),"Payment data from Collexo")</f>
        <v>Payment data from Collexo</v>
      </c>
      <c r="D74" s="124" t="str">
        <f>IFERROR(__xludf.DUMMYFUNCTION("""COMPUTED_VALUE"""),"Not Available")</f>
        <v>Not Available</v>
      </c>
      <c r="E74" s="124">
        <f>IFERROR(__xludf.DUMMYFUNCTION("""COMPUTED_VALUE"""),1500610.0)</f>
        <v>1500610</v>
      </c>
      <c r="F74" s="124">
        <f>IFERROR(__xludf.DUMMYFUNCTION("""COMPUTED_VALUE"""),124097.0)</f>
        <v>124097</v>
      </c>
      <c r="G74" s="124">
        <f>IFERROR(__xludf.DUMMYFUNCTION("""COMPUTED_VALUE"""),6087.0)</f>
        <v>6087</v>
      </c>
      <c r="H74" s="131">
        <f>IFERROR(__xludf.DUMMYFUNCTION("""COMPUTED_VALUE"""),46077.0)</f>
        <v>46077</v>
      </c>
      <c r="I74" s="124">
        <f>IFERROR(__xludf.DUMMYFUNCTION("""COMPUTED_VALUE"""),43913.0)</f>
        <v>43913</v>
      </c>
      <c r="J74" s="124">
        <f>IFERROR(__xludf.DUMMYFUNCTION("""COMPUTED_VALUE"""),50000.0)</f>
        <v>50000</v>
      </c>
      <c r="K74" s="124">
        <f>IFERROR(__xludf.DUMMYFUNCTION("""COMPUTED_VALUE"""),2.0)</f>
        <v>2</v>
      </c>
      <c r="L74" s="124">
        <f>IFERROR(__xludf.DUMMYFUNCTION("""COMPUTED_VALUE"""),250.0)</f>
        <v>250</v>
      </c>
      <c r="M74" s="124" t="str">
        <f>IFERROR(__xludf.DUMMYFUNCTION("""COMPUTED_VALUE"""),"Lucknow")</f>
        <v>Lucknow</v>
      </c>
      <c r="N74" s="124" t="str">
        <f>IFERROR(__xludf.DUMMYFUNCTION("""COMPUTED_VALUE"""),"ny68525@gmail.com")</f>
        <v>ny68525@gmail.com</v>
      </c>
      <c r="O74" s="124" t="str">
        <f>IFERROR(__xludf.DUMMYFUNCTION("""COMPUTED_VALUE"""),"Neha")</f>
        <v>Neha</v>
      </c>
      <c r="P74" s="124">
        <f>IFERROR(__xludf.DUMMYFUNCTION("""COMPUTED_VALUE"""),124097.0)</f>
        <v>124097</v>
      </c>
      <c r="Q74" s="124" t="str">
        <f>IFERROR(__xludf.DUMMYFUNCTION("""COMPUTED_VALUE"""),"upsc-gs-foundation-hindi-target-2028-gsf-upsc-m01-lko")</f>
        <v>upsc-gs-foundation-hindi-target-2028-gsf-upsc-m01-lko</v>
      </c>
      <c r="R74" s="124" t="str">
        <f>IFERROR(__xludf.DUMMYFUNCTION("""COMPUTED_VALUE"""),"GS Foundation Course")</f>
        <v>GS Foundation Course</v>
      </c>
      <c r="S74" s="124">
        <f>IFERROR(__xludf.DUMMYFUNCTION("""COMPUTED_VALUE"""),9.026638188E9)</f>
        <v>9026638188</v>
      </c>
      <c r="T74" s="124" t="str">
        <f>IFERROR(__xludf.DUMMYFUNCTION("""COMPUTED_VALUE"""),"Not Available")</f>
        <v>Not Available</v>
      </c>
      <c r="U74" s="124" t="str">
        <f>IFERROR(__xludf.DUMMYFUNCTION("""COMPUTED_VALUE"""),"Not Available")</f>
        <v>Not Available</v>
      </c>
      <c r="V74" s="124" t="str">
        <f>IFERROR(__xludf.DUMMYFUNCTION("""COMPUTED_VALUE"""),"Not Available")</f>
        <v>Not Available</v>
      </c>
      <c r="W74" s="124" t="str">
        <f>IFERROR(__xludf.DUMMYFUNCTION("""COMPUTED_VALUE"""),"Not Available")</f>
        <v>Not Available</v>
      </c>
    </row>
    <row r="75">
      <c r="A75" s="124" t="str">
        <f t="shared" si="1"/>
        <v>grajagraja0987@gmail.com</v>
      </c>
      <c r="B75" s="131">
        <f>IFERROR(__xludf.DUMMYFUNCTION("""COMPUTED_VALUE"""),46092.0)</f>
        <v>46092</v>
      </c>
      <c r="C75" s="124" t="str">
        <f>IFERROR(__xludf.DUMMYFUNCTION("""COMPUTED_VALUE"""),"Payment data from Collexo")</f>
        <v>Payment data from Collexo</v>
      </c>
      <c r="D75" s="124" t="str">
        <f>IFERROR(__xludf.DUMMYFUNCTION("""COMPUTED_VALUE"""),"Not Available")</f>
        <v>Not Available</v>
      </c>
      <c r="E75" s="124">
        <f>IFERROR(__xludf.DUMMYFUNCTION("""COMPUTED_VALUE"""),1500613.0)</f>
        <v>1500613</v>
      </c>
      <c r="F75" s="124">
        <f>IFERROR(__xludf.DUMMYFUNCTION("""COMPUTED_VALUE"""),70130.0)</f>
        <v>70130</v>
      </c>
      <c r="G75" s="124">
        <f>IFERROR(__xludf.DUMMYFUNCTION("""COMPUTED_VALUE"""),20059.0)</f>
        <v>20059</v>
      </c>
      <c r="H75" s="124" t="str">
        <f>IFERROR(__xludf.DUMMYFUNCTION("""COMPUTED_VALUE"""),"Not Available")</f>
        <v>Not Available</v>
      </c>
      <c r="I75" s="124">
        <f>IFERROR(__xludf.DUMMYFUNCTION("""COMPUTED_VALUE"""),0.0)</f>
        <v>0</v>
      </c>
      <c r="J75" s="124">
        <f>IFERROR(__xludf.DUMMYFUNCTION("""COMPUTED_VALUE"""),25000.0)</f>
        <v>25000</v>
      </c>
      <c r="K75" s="124">
        <f>IFERROR(__xludf.DUMMYFUNCTION("""COMPUTED_VALUE"""),2.0)</f>
        <v>2</v>
      </c>
      <c r="L75" s="124">
        <f>IFERROR(__xludf.DUMMYFUNCTION("""COMPUTED_VALUE"""),494.0)</f>
        <v>494</v>
      </c>
      <c r="M75" s="124" t="str">
        <f>IFERROR(__xludf.DUMMYFUNCTION("""COMPUTED_VALUE"""),"Prayagraj")</f>
        <v>Prayagraj</v>
      </c>
      <c r="N75" s="124" t="str">
        <f>IFERROR(__xludf.DUMMYFUNCTION("""COMPUTED_VALUE"""),"grajagraja0987@gmail.com")</f>
        <v>grajagraja0987@gmail.com</v>
      </c>
      <c r="O75" s="124" t="str">
        <f>IFERROR(__xludf.DUMMYFUNCTION("""COMPUTED_VALUE"""),"Raj kumari")</f>
        <v>Raj kumari</v>
      </c>
      <c r="P75" s="124">
        <f>IFERROR(__xludf.DUMMYFUNCTION("""COMPUTED_VALUE"""),70130.0)</f>
        <v>70130</v>
      </c>
      <c r="Q75" s="124" t="str">
        <f>IFERROR(__xludf.DUMMYFUNCTION("""COMPUTED_VALUE"""),"samadhan-mentorship-program-pry")</f>
        <v>samadhan-mentorship-program-pry</v>
      </c>
      <c r="R75" s="124" t="str">
        <f>IFERROR(__xludf.DUMMYFUNCTION("""COMPUTED_VALUE"""),"Mentorship - Samadhan")</f>
        <v>Mentorship - Samadhan</v>
      </c>
      <c r="S75" s="124">
        <f>IFERROR(__xludf.DUMMYFUNCTION("""COMPUTED_VALUE"""),8.303812163E9)</f>
        <v>8303812163</v>
      </c>
      <c r="T75" s="124" t="str">
        <f>IFERROR(__xludf.DUMMYFUNCTION("""COMPUTED_VALUE"""),"Not Available")</f>
        <v>Not Available</v>
      </c>
      <c r="U75" s="124" t="str">
        <f>IFERROR(__xludf.DUMMYFUNCTION("""COMPUTED_VALUE"""),"Not Available")</f>
        <v>Not Available</v>
      </c>
      <c r="V75" s="124" t="str">
        <f>IFERROR(__xludf.DUMMYFUNCTION("""COMPUTED_VALUE"""),"Not Available")</f>
        <v>Not Available</v>
      </c>
      <c r="W75" s="124" t="str">
        <f>IFERROR(__xludf.DUMMYFUNCTION("""COMPUTED_VALUE"""),"Not Available")</f>
        <v>Not Available</v>
      </c>
    </row>
    <row r="76">
      <c r="A76" s="124" t="str">
        <f t="shared" si="1"/>
        <v>kumarsetu16.ka@gmail.com</v>
      </c>
      <c r="B76" s="131">
        <f>IFERROR(__xludf.DUMMYFUNCTION("""COMPUTED_VALUE"""),46069.0)</f>
        <v>46069</v>
      </c>
      <c r="C76" s="124" t="str">
        <f>IFERROR(__xludf.DUMMYFUNCTION("""COMPUTED_VALUE"""),"Payment data from Collexo")</f>
        <v>Payment data from Collexo</v>
      </c>
      <c r="D76" s="124" t="str">
        <f>IFERROR(__xludf.DUMMYFUNCTION("""COMPUTED_VALUE"""),"Not Available")</f>
        <v>Not Available</v>
      </c>
      <c r="E76" s="124">
        <f>IFERROR(__xludf.DUMMYFUNCTION("""COMPUTED_VALUE"""),1500609.0)</f>
        <v>1500609</v>
      </c>
      <c r="F76" s="124" t="str">
        <f>IFERROR(__xludf.DUMMYFUNCTION("""COMPUTED_VALUE"""),"5454_988_7")</f>
        <v>5454_988_7</v>
      </c>
      <c r="G76" s="124">
        <f>IFERROR(__xludf.DUMMYFUNCTION("""COMPUTED_VALUE"""),10000.0)</f>
        <v>10000</v>
      </c>
      <c r="H76" s="131">
        <f>IFERROR(__xludf.DUMMYFUNCTION("""COMPUTED_VALUE"""),46081.0)</f>
        <v>46081</v>
      </c>
      <c r="I76" s="124">
        <f>IFERROR(__xludf.DUMMYFUNCTION("""COMPUTED_VALUE"""),70000.0)</f>
        <v>70000</v>
      </c>
      <c r="J76" s="124">
        <f>IFERROR(__xludf.DUMMYFUNCTION("""COMPUTED_VALUE"""),80000.0)</f>
        <v>80000</v>
      </c>
      <c r="K76" s="124">
        <f>IFERROR(__xludf.DUMMYFUNCTION("""COMPUTED_VALUE"""),2.0)</f>
        <v>2</v>
      </c>
      <c r="L76" s="124">
        <f>IFERROR(__xludf.DUMMYFUNCTION("""COMPUTED_VALUE"""),232.0)</f>
        <v>232</v>
      </c>
      <c r="M76" s="124" t="str">
        <f>IFERROR(__xludf.DUMMYFUNCTION("""COMPUTED_VALUE"""),"New Delhi")</f>
        <v>New Delhi</v>
      </c>
      <c r="N76" s="124" t="str">
        <f>IFERROR(__xludf.DUMMYFUNCTION("""COMPUTED_VALUE"""),"kumarsetu16.ka@gmail.com")</f>
        <v>kumarsetu16.ka@gmail.com</v>
      </c>
      <c r="O76" s="124" t="str">
        <f>IFERROR(__xludf.DUMMYFUNCTION("""COMPUTED_VALUE"""),"Kumar Setu")</f>
        <v>Kumar Setu</v>
      </c>
      <c r="P76" s="124">
        <f>IFERROR(__xludf.DUMMYFUNCTION("""COMPUTED_VALUE"""),122970.0)</f>
        <v>122970</v>
      </c>
      <c r="Q76" s="124" t="str">
        <f>IFERROR(__xludf.DUMMYFUNCTION("""COMPUTED_VALUE"""),"upsc-gs-foundation-hinglish-target-2027-gsf-upsc-e02-orn")</f>
        <v>upsc-gs-foundation-hinglish-target-2027-gsf-upsc-e02-orn</v>
      </c>
      <c r="R76" s="124" t="str">
        <f>IFERROR(__xludf.DUMMYFUNCTION("""COMPUTED_VALUE"""),"GS Foundation Course")</f>
        <v>GS Foundation Course</v>
      </c>
      <c r="S76" s="124">
        <f>IFERROR(__xludf.DUMMYFUNCTION("""COMPUTED_VALUE"""),8.287887061E9)</f>
        <v>8287887061</v>
      </c>
      <c r="T76" s="124" t="str">
        <f>IFERROR(__xludf.DUMMYFUNCTION("""COMPUTED_VALUE"""),"Collexo")</f>
        <v>Collexo</v>
      </c>
      <c r="U76" s="124" t="str">
        <f>IFERROR(__xludf.DUMMYFUNCTION("""COMPUTED_VALUE"""),"Success")</f>
        <v>Success</v>
      </c>
      <c r="V76" s="131">
        <f>IFERROR(__xludf.DUMMYFUNCTION("""COMPUTED_VALUE"""),46069.0)</f>
        <v>46069</v>
      </c>
      <c r="W76" s="124">
        <f>IFERROR(__xludf.DUMMYFUNCTION("""COMPUTED_VALUE"""),0.0)</f>
        <v>0</v>
      </c>
    </row>
    <row r="77">
      <c r="A77" s="124" t="str">
        <f t="shared" si="1"/>
        <v>choudharymahimasays@gmail.com</v>
      </c>
      <c r="B77" s="131">
        <f>IFERROR(__xludf.DUMMYFUNCTION("""COMPUTED_VALUE"""),46094.0)</f>
        <v>46094</v>
      </c>
      <c r="C77" s="124" t="str">
        <f>IFERROR(__xludf.DUMMYFUNCTION("""COMPUTED_VALUE"""),"Payment data from Collexo")</f>
        <v>Payment data from Collexo</v>
      </c>
      <c r="D77" s="124" t="str">
        <f>IFERROR(__xludf.DUMMYFUNCTION("""COMPUTED_VALUE"""),"Not Available")</f>
        <v>Not Available</v>
      </c>
      <c r="E77" s="124">
        <f>IFERROR(__xludf.DUMMYFUNCTION("""COMPUTED_VALUE"""),1500609.0)</f>
        <v>1500609</v>
      </c>
      <c r="F77" s="124" t="str">
        <f>IFERROR(__xludf.DUMMYFUNCTION("""COMPUTED_VALUE"""),"14071_988_7")</f>
        <v>14071_988_7</v>
      </c>
      <c r="G77" s="124">
        <f>IFERROR(__xludf.DUMMYFUNCTION("""COMPUTED_VALUE"""),75000.0)</f>
        <v>75000</v>
      </c>
      <c r="H77" s="124" t="str">
        <f>IFERROR(__xludf.DUMMYFUNCTION("""COMPUTED_VALUE"""),"Not Available")</f>
        <v>Not Available</v>
      </c>
      <c r="I77" s="124">
        <f>IFERROR(__xludf.DUMMYFUNCTION("""COMPUTED_VALUE"""),0.0)</f>
        <v>0</v>
      </c>
      <c r="J77" s="124">
        <f>IFERROR(__xludf.DUMMYFUNCTION("""COMPUTED_VALUE"""),80000.0)</f>
        <v>80000</v>
      </c>
      <c r="K77" s="124">
        <f>IFERROR(__xludf.DUMMYFUNCTION("""COMPUTED_VALUE"""),2.0)</f>
        <v>2</v>
      </c>
      <c r="L77" s="124">
        <f>IFERROR(__xludf.DUMMYFUNCTION("""COMPUTED_VALUE"""),531.0)</f>
        <v>531</v>
      </c>
      <c r="M77" s="124" t="str">
        <f>IFERROR(__xludf.DUMMYFUNCTION("""COMPUTED_VALUE"""),"New Delhi")</f>
        <v>New Delhi</v>
      </c>
      <c r="N77" s="124" t="str">
        <f>IFERROR(__xludf.DUMMYFUNCTION("""COMPUTED_VALUE"""),"choudharymahimasays@gmail.com")</f>
        <v>choudharymahimasays@gmail.com</v>
      </c>
      <c r="O77" s="124" t="str">
        <f>IFERROR(__xludf.DUMMYFUNCTION("""COMPUTED_VALUE"""),"Mahima Choudhary")</f>
        <v>Mahima Choudhary</v>
      </c>
      <c r="P77" s="124">
        <f>IFERROR(__xludf.DUMMYFUNCTION("""COMPUTED_VALUE"""),120715.0)</f>
        <v>120715</v>
      </c>
      <c r="Q77" s="124" t="str">
        <f>IFERROR(__xludf.DUMMYFUNCTION("""COMPUTED_VALUE"""),"upsc-gs-foundation-hinglish-target-2027-gsf-upsc-m02-orn")</f>
        <v>upsc-gs-foundation-hinglish-target-2027-gsf-upsc-m02-orn</v>
      </c>
      <c r="R77" s="124" t="str">
        <f>IFERROR(__xludf.DUMMYFUNCTION("""COMPUTED_VALUE"""),"GS Foundation Course")</f>
        <v>GS Foundation Course</v>
      </c>
      <c r="S77" s="124">
        <f>IFERROR(__xludf.DUMMYFUNCTION("""COMPUTED_VALUE"""),7.374845032E9)</f>
        <v>7374845032</v>
      </c>
      <c r="T77" s="124" t="str">
        <f>IFERROR(__xludf.DUMMYFUNCTION("""COMPUTED_VALUE"""),"Collexo")</f>
        <v>Collexo</v>
      </c>
      <c r="U77" s="124" t="str">
        <f>IFERROR(__xludf.DUMMYFUNCTION("""COMPUTED_VALUE"""),"Success")</f>
        <v>Success</v>
      </c>
      <c r="V77" s="131">
        <f>IFERROR(__xludf.DUMMYFUNCTION("""COMPUTED_VALUE"""),46094.0)</f>
        <v>46094</v>
      </c>
      <c r="W77" s="124">
        <f>IFERROR(__xludf.DUMMYFUNCTION("""COMPUTED_VALUE"""),0.0)</f>
        <v>0</v>
      </c>
    </row>
    <row r="78">
      <c r="A78" s="124" t="str">
        <f t="shared" si="1"/>
        <v>alok27269@gmail.com</v>
      </c>
      <c r="B78" s="131">
        <f>IFERROR(__xludf.DUMMYFUNCTION("""COMPUTED_VALUE"""),46098.0)</f>
        <v>46098</v>
      </c>
      <c r="C78" s="124" t="str">
        <f>IFERROR(__xludf.DUMMYFUNCTION("""COMPUTED_VALUE"""),"Payment data from Collexo")</f>
        <v>Payment data from Collexo</v>
      </c>
      <c r="D78" s="124" t="str">
        <f>IFERROR(__xludf.DUMMYFUNCTION("""COMPUTED_VALUE"""),"Not Available")</f>
        <v>Not Available</v>
      </c>
      <c r="E78" s="124">
        <f>IFERROR(__xludf.DUMMYFUNCTION("""COMPUTED_VALUE"""),1500610.0)</f>
        <v>1500610</v>
      </c>
      <c r="F78" s="124">
        <f>IFERROR(__xludf.DUMMYFUNCTION("""COMPUTED_VALUE"""),127566.0)</f>
        <v>127566</v>
      </c>
      <c r="G78" s="124">
        <f>IFERROR(__xludf.DUMMYFUNCTION("""COMPUTED_VALUE"""),2000.0)</f>
        <v>2000</v>
      </c>
      <c r="H78" s="131">
        <f>IFERROR(__xludf.DUMMYFUNCTION("""COMPUTED_VALUE"""),46098.0)</f>
        <v>46098</v>
      </c>
      <c r="I78" s="124">
        <f>IFERROR(__xludf.DUMMYFUNCTION("""COMPUTED_VALUE"""),1000.0)</f>
        <v>1000</v>
      </c>
      <c r="J78" s="124">
        <f>IFERROR(__xludf.DUMMYFUNCTION("""COMPUTED_VALUE"""),55000.0)</f>
        <v>55000</v>
      </c>
      <c r="K78" s="124">
        <f>IFERROR(__xludf.DUMMYFUNCTION("""COMPUTED_VALUE"""),5.0)</f>
        <v>5</v>
      </c>
      <c r="L78" s="124">
        <f>IFERROR(__xludf.DUMMYFUNCTION("""COMPUTED_VALUE"""),584.0)</f>
        <v>584</v>
      </c>
      <c r="M78" s="124" t="str">
        <f>IFERROR(__xludf.DUMMYFUNCTION("""COMPUTED_VALUE"""),"Lucknow")</f>
        <v>Lucknow</v>
      </c>
      <c r="N78" s="124" t="str">
        <f>IFERROR(__xludf.DUMMYFUNCTION("""COMPUTED_VALUE"""),"alok27269@gmail.com")</f>
        <v>alok27269@gmail.com</v>
      </c>
      <c r="O78" s="124" t="str">
        <f>IFERROR(__xludf.DUMMYFUNCTION("""COMPUTED_VALUE"""),"Alok")</f>
        <v>Alok</v>
      </c>
      <c r="P78" s="124">
        <f>IFERROR(__xludf.DUMMYFUNCTION("""COMPUTED_VALUE"""),127566.0)</f>
        <v>127566</v>
      </c>
      <c r="Q78" s="124" t="str">
        <f>IFERROR(__xludf.DUMMYFUNCTION("""COMPUTED_VALUE"""),"Not Available")</f>
        <v>Not Available</v>
      </c>
      <c r="R78" s="124" t="str">
        <f>IFERROR(__xludf.DUMMYFUNCTION("""COMPUTED_VALUE"""),"GS Foundation Course")</f>
        <v>GS Foundation Course</v>
      </c>
      <c r="S78" s="124">
        <f>IFERROR(__xludf.DUMMYFUNCTION("""COMPUTED_VALUE"""),7.991564058E9)</f>
        <v>7991564058</v>
      </c>
      <c r="T78" s="124" t="str">
        <f>IFERROR(__xludf.DUMMYFUNCTION("""COMPUTED_VALUE"""),"Not Available")</f>
        <v>Not Available</v>
      </c>
      <c r="U78" s="124" t="str">
        <f>IFERROR(__xludf.DUMMYFUNCTION("""COMPUTED_VALUE"""),"Not Available")</f>
        <v>Not Available</v>
      </c>
      <c r="V78" s="124" t="str">
        <f>IFERROR(__xludf.DUMMYFUNCTION("""COMPUTED_VALUE"""),"Not Available")</f>
        <v>Not Available</v>
      </c>
      <c r="W78" s="124" t="str">
        <f>IFERROR(__xludf.DUMMYFUNCTION("""COMPUTED_VALUE"""),"Not Available")</f>
        <v>Not Available</v>
      </c>
    </row>
    <row r="79">
      <c r="A79" s="124" t="str">
        <f t="shared" si="1"/>
        <v>kumarsetu16.ka@gmail.com</v>
      </c>
      <c r="B79" s="131">
        <f>IFERROR(__xludf.DUMMYFUNCTION("""COMPUTED_VALUE"""),46072.0)</f>
        <v>46072</v>
      </c>
      <c r="C79" s="124" t="str">
        <f>IFERROR(__xludf.DUMMYFUNCTION("""COMPUTED_VALUE"""),"Payment data from Collexo")</f>
        <v>Payment data from Collexo</v>
      </c>
      <c r="D79" s="124" t="str">
        <f>IFERROR(__xludf.DUMMYFUNCTION("""COMPUTED_VALUE"""),"Not Available")</f>
        <v>Not Available</v>
      </c>
      <c r="E79" s="124">
        <f>IFERROR(__xludf.DUMMYFUNCTION("""COMPUTED_VALUE"""),1500609.0)</f>
        <v>1500609</v>
      </c>
      <c r="F79" s="124" t="str">
        <f>IFERROR(__xludf.DUMMYFUNCTION("""COMPUTED_VALUE"""),"6467_988_7")</f>
        <v>6467_988_7</v>
      </c>
      <c r="G79" s="124">
        <f>IFERROR(__xludf.DUMMYFUNCTION("""COMPUTED_VALUE"""),1.0)</f>
        <v>1</v>
      </c>
      <c r="H79" s="124" t="str">
        <f>IFERROR(__xludf.DUMMYFUNCTION("""COMPUTED_VALUE"""),"Not Available")</f>
        <v>Not Available</v>
      </c>
      <c r="I79" s="124">
        <f>IFERROR(__xludf.DUMMYFUNCTION("""COMPUTED_VALUE"""),0.0)</f>
        <v>0</v>
      </c>
      <c r="J79" s="124">
        <f>IFERROR(__xludf.DUMMYFUNCTION("""COMPUTED_VALUE"""),1.0)</f>
        <v>1</v>
      </c>
      <c r="K79" s="124">
        <f>IFERROR(__xludf.DUMMYFUNCTION("""COMPUTED_VALUE"""),1.0)</f>
        <v>1</v>
      </c>
      <c r="L79" s="124">
        <f>IFERROR(__xludf.DUMMYFUNCTION("""COMPUTED_VALUE"""),260.0)</f>
        <v>260</v>
      </c>
      <c r="M79" s="124" t="str">
        <f>IFERROR(__xludf.DUMMYFUNCTION("""COMPUTED_VALUE"""),"New Delhi")</f>
        <v>New Delhi</v>
      </c>
      <c r="N79" s="124" t="str">
        <f>IFERROR(__xludf.DUMMYFUNCTION("""COMPUTED_VALUE"""),"kumarsetu16.ka@gmail.com")</f>
        <v>kumarsetu16.ka@gmail.com</v>
      </c>
      <c r="O79" s="124" t="str">
        <f>IFERROR(__xludf.DUMMYFUNCTION("""COMPUTED_VALUE"""),"Kumar Setu")</f>
        <v>Kumar Setu</v>
      </c>
      <c r="P79" s="124">
        <f>IFERROR(__xludf.DUMMYFUNCTION("""COMPUTED_VALUE"""),122970.0)</f>
        <v>122970</v>
      </c>
      <c r="Q79" s="124" t="str">
        <f>IFERROR(__xludf.DUMMYFUNCTION("""COMPUTED_VALUE"""),"upsc-gs-foundation-hinglish-target-2027-gsf-upsc-e02-orn")</f>
        <v>upsc-gs-foundation-hinglish-target-2027-gsf-upsc-e02-orn</v>
      </c>
      <c r="R79" s="124" t="str">
        <f>IFERROR(__xludf.DUMMYFUNCTION("""COMPUTED_VALUE"""),"GS Foundation Course")</f>
        <v>GS Foundation Course</v>
      </c>
      <c r="S79" s="124">
        <f>IFERROR(__xludf.DUMMYFUNCTION("""COMPUTED_VALUE"""),8.287887061E9)</f>
        <v>8287887061</v>
      </c>
      <c r="T79" s="124" t="str">
        <f>IFERROR(__xludf.DUMMYFUNCTION("""COMPUTED_VALUE"""),"Collexo")</f>
        <v>Collexo</v>
      </c>
      <c r="U79" s="124" t="str">
        <f>IFERROR(__xludf.DUMMYFUNCTION("""COMPUTED_VALUE"""),"Success")</f>
        <v>Success</v>
      </c>
      <c r="V79" s="131">
        <f>IFERROR(__xludf.DUMMYFUNCTION("""COMPUTED_VALUE"""),46072.0)</f>
        <v>46072</v>
      </c>
      <c r="W79" s="124">
        <f>IFERROR(__xludf.DUMMYFUNCTION("""COMPUTED_VALUE"""),0.0)</f>
        <v>0</v>
      </c>
    </row>
    <row r="80">
      <c r="A80" s="124" t="str">
        <f t="shared" si="1"/>
        <v>kushikumari@gmail.com</v>
      </c>
      <c r="B80" s="131">
        <f>IFERROR(__xludf.DUMMYFUNCTION("""COMPUTED_VALUE"""),46104.0)</f>
        <v>46104</v>
      </c>
      <c r="C80" s="124" t="str">
        <f>IFERROR(__xludf.DUMMYFUNCTION("""COMPUTED_VALUE"""),"Payment data from Collexo")</f>
        <v>Payment data from Collexo</v>
      </c>
      <c r="D80" s="124" t="str">
        <f>IFERROR(__xludf.DUMMYFUNCTION("""COMPUTED_VALUE"""),"Not Available")</f>
        <v>Not Available</v>
      </c>
      <c r="E80" s="124">
        <f>IFERROR(__xludf.DUMMYFUNCTION("""COMPUTED_VALUE"""),1500613.0)</f>
        <v>1500613</v>
      </c>
      <c r="F80" s="124">
        <f>IFERROR(__xludf.DUMMYFUNCTION("""COMPUTED_VALUE"""),127724.0)</f>
        <v>127724</v>
      </c>
      <c r="G80" s="124">
        <f>IFERROR(__xludf.DUMMYFUNCTION("""COMPUTED_VALUE"""),54000.0)</f>
        <v>54000</v>
      </c>
      <c r="H80" s="124" t="str">
        <f>IFERROR(__xludf.DUMMYFUNCTION("""COMPUTED_VALUE"""),"Not Available")</f>
        <v>Not Available</v>
      </c>
      <c r="I80" s="124">
        <f>IFERROR(__xludf.DUMMYFUNCTION("""COMPUTED_VALUE"""),0.0)</f>
        <v>0</v>
      </c>
      <c r="J80" s="124">
        <f>IFERROR(__xludf.DUMMYFUNCTION("""COMPUTED_VALUE"""),55000.0)</f>
        <v>55000</v>
      </c>
      <c r="K80" s="124">
        <f>IFERROR(__xludf.DUMMYFUNCTION("""COMPUTED_VALUE"""),2.0)</f>
        <v>2</v>
      </c>
      <c r="L80" s="124">
        <f>IFERROR(__xludf.DUMMYFUNCTION("""COMPUTED_VALUE"""),680.0)</f>
        <v>680</v>
      </c>
      <c r="M80" s="124" t="str">
        <f>IFERROR(__xludf.DUMMYFUNCTION("""COMPUTED_VALUE"""),"Prayagraj")</f>
        <v>Prayagraj</v>
      </c>
      <c r="N80" s="124" t="str">
        <f>IFERROR(__xludf.DUMMYFUNCTION("""COMPUTED_VALUE"""),"kushikumari@gmail.com")</f>
        <v>kushikumari@gmail.com</v>
      </c>
      <c r="O80" s="124" t="str">
        <f>IFERROR(__xludf.DUMMYFUNCTION("""COMPUTED_VALUE"""),"Shiwangi kumari")</f>
        <v>Shiwangi kumari</v>
      </c>
      <c r="P80" s="124">
        <f>IFERROR(__xludf.DUMMYFUNCTION("""COMPUTED_VALUE"""),127724.0)</f>
        <v>127724</v>
      </c>
      <c r="Q80" s="124" t="str">
        <f>IFERROR(__xludf.DUMMYFUNCTION("""COMPUTED_VALUE"""),"upsc-gs-foundation-hinglish-target-2027-gsf-upsc-e03-pry")</f>
        <v>upsc-gs-foundation-hinglish-target-2027-gsf-upsc-e03-pry</v>
      </c>
      <c r="R80" s="124" t="str">
        <f>IFERROR(__xludf.DUMMYFUNCTION("""COMPUTED_VALUE"""),"GS Foundation Course")</f>
        <v>GS Foundation Course</v>
      </c>
      <c r="S80" s="124">
        <f>IFERROR(__xludf.DUMMYFUNCTION("""COMPUTED_VALUE"""),9.631918855E9)</f>
        <v>9631918855</v>
      </c>
      <c r="T80" s="124" t="str">
        <f>IFERROR(__xludf.DUMMYFUNCTION("""COMPUTED_VALUE"""),"Not Available")</f>
        <v>Not Available</v>
      </c>
      <c r="U80" s="124" t="str">
        <f>IFERROR(__xludf.DUMMYFUNCTION("""COMPUTED_VALUE"""),"Not Available")</f>
        <v>Not Available</v>
      </c>
      <c r="V80" s="124" t="str">
        <f>IFERROR(__xludf.DUMMYFUNCTION("""COMPUTED_VALUE"""),"Not Available")</f>
        <v>Not Available</v>
      </c>
      <c r="W80" s="124" t="str">
        <f>IFERROR(__xludf.DUMMYFUNCTION("""COMPUTED_VALUE"""),"Not Available")</f>
        <v>Not Available</v>
      </c>
    </row>
    <row r="81">
      <c r="A81" s="124" t="str">
        <f t="shared" si="1"/>
        <v>namishkarajput8d@gmail.com</v>
      </c>
      <c r="B81" s="131">
        <f>IFERROR(__xludf.DUMMYFUNCTION("""COMPUTED_VALUE"""),46107.0)</f>
        <v>46107</v>
      </c>
      <c r="C81" s="124" t="str">
        <f>IFERROR(__xludf.DUMMYFUNCTION("""COMPUTED_VALUE"""),"Payment data from Collexo")</f>
        <v>Payment data from Collexo</v>
      </c>
      <c r="D81" s="124" t="str">
        <f>IFERROR(__xludf.DUMMYFUNCTION("""COMPUTED_VALUE"""),"Not Available")</f>
        <v>Not Available</v>
      </c>
      <c r="E81" s="124">
        <f>IFERROR(__xludf.DUMMYFUNCTION("""COMPUTED_VALUE"""),1500609.0)</f>
        <v>1500609</v>
      </c>
      <c r="F81" s="124" t="str">
        <f>IFERROR(__xludf.DUMMYFUNCTION("""COMPUTED_VALUE"""),"16821_988_7")</f>
        <v>16821_988_7</v>
      </c>
      <c r="G81" s="124">
        <f>IFERROR(__xludf.DUMMYFUNCTION("""COMPUTED_VALUE"""),140000.0)</f>
        <v>140000</v>
      </c>
      <c r="H81" s="124" t="str">
        <f>IFERROR(__xludf.DUMMYFUNCTION("""COMPUTED_VALUE"""),"Not Available")</f>
        <v>Not Available</v>
      </c>
      <c r="I81" s="124">
        <f>IFERROR(__xludf.DUMMYFUNCTION("""COMPUTED_VALUE"""),0.0)</f>
        <v>0</v>
      </c>
      <c r="J81" s="124">
        <f>IFERROR(__xludf.DUMMYFUNCTION("""COMPUTED_VALUE"""),175000.0)</f>
        <v>175000</v>
      </c>
      <c r="K81" s="124">
        <f>IFERROR(__xludf.DUMMYFUNCTION("""COMPUTED_VALUE"""),3.0)</f>
        <v>3</v>
      </c>
      <c r="L81" s="124">
        <f>IFERROR(__xludf.DUMMYFUNCTION("""COMPUTED_VALUE"""),773.0)</f>
        <v>773</v>
      </c>
      <c r="M81" s="124" t="str">
        <f>IFERROR(__xludf.DUMMYFUNCTION("""COMPUTED_VALUE"""),"New Delhi")</f>
        <v>New Delhi</v>
      </c>
      <c r="N81" s="124" t="str">
        <f>IFERROR(__xludf.DUMMYFUNCTION("""COMPUTED_VALUE"""),"namishkarajput8d@gmail.com")</f>
        <v>namishkarajput8d@gmail.com</v>
      </c>
      <c r="O81" s="124" t="str">
        <f>IFERROR(__xludf.DUMMYFUNCTION("""COMPUTED_VALUE"""),"Namishka")</f>
        <v>Namishka</v>
      </c>
      <c r="P81" s="124">
        <f>IFERROR(__xludf.DUMMYFUNCTION("""COMPUTED_VALUE"""),31782.0)</f>
        <v>31782</v>
      </c>
      <c r="Q81" s="124" t="str">
        <f>IFERROR(__xludf.DUMMYFUNCTION("""COMPUTED_VALUE"""),"upsc-gs-foundation-hinglish-target-2028-gsf-upsc-e05-orn")</f>
        <v>upsc-gs-foundation-hinglish-target-2028-gsf-upsc-e05-orn</v>
      </c>
      <c r="R81" s="124" t="str">
        <f>IFERROR(__xludf.DUMMYFUNCTION("""COMPUTED_VALUE"""),"GS Foundation Course")</f>
        <v>GS Foundation Course</v>
      </c>
      <c r="S81" s="124">
        <f>IFERROR(__xludf.DUMMYFUNCTION("""COMPUTED_VALUE"""),9.654206738E9)</f>
        <v>9654206738</v>
      </c>
      <c r="T81" s="124" t="str">
        <f>IFERROR(__xludf.DUMMYFUNCTION("""COMPUTED_VALUE"""),"Collexo")</f>
        <v>Collexo</v>
      </c>
      <c r="U81" s="124" t="str">
        <f>IFERROR(__xludf.DUMMYFUNCTION("""COMPUTED_VALUE"""),"Success")</f>
        <v>Success</v>
      </c>
      <c r="V81" s="131">
        <f>IFERROR(__xludf.DUMMYFUNCTION("""COMPUTED_VALUE"""),46107.0)</f>
        <v>46107</v>
      </c>
      <c r="W81" s="124">
        <f>IFERROR(__xludf.DUMMYFUNCTION("""COMPUTED_VALUE"""),0.0)</f>
        <v>0</v>
      </c>
    </row>
    <row r="82">
      <c r="A82" s="124" t="str">
        <f t="shared" si="1"/>
        <v>pariharrakshita23@gmail.com</v>
      </c>
      <c r="B82" s="131">
        <f>IFERROR(__xludf.DUMMYFUNCTION("""COMPUTED_VALUE"""),46094.0)</f>
        <v>46094</v>
      </c>
      <c r="C82" s="124" t="str">
        <f>IFERROR(__xludf.DUMMYFUNCTION("""COMPUTED_VALUE"""),"Payment data from Collexo")</f>
        <v>Payment data from Collexo</v>
      </c>
      <c r="D82" s="124" t="str">
        <f>IFERROR(__xludf.DUMMYFUNCTION("""COMPUTED_VALUE"""),"Not Available")</f>
        <v>Not Available</v>
      </c>
      <c r="E82" s="124">
        <f>IFERROR(__xludf.DUMMYFUNCTION("""COMPUTED_VALUE"""),1500612.0)</f>
        <v>1500612</v>
      </c>
      <c r="F82" s="124">
        <f>IFERROR(__xludf.DUMMYFUNCTION("""COMPUTED_VALUE"""),79530.0)</f>
        <v>79530</v>
      </c>
      <c r="G82" s="124">
        <f>IFERROR(__xludf.DUMMYFUNCTION("""COMPUTED_VALUE"""),2000.0)</f>
        <v>2000</v>
      </c>
      <c r="H82" s="131">
        <f>IFERROR(__xludf.DUMMYFUNCTION("""COMPUTED_VALUE"""),46112.0)</f>
        <v>46112</v>
      </c>
      <c r="I82" s="124">
        <f>IFERROR(__xludf.DUMMYFUNCTION("""COMPUTED_VALUE"""),18000.0)</f>
        <v>18000</v>
      </c>
      <c r="J82" s="124">
        <f>IFERROR(__xludf.DUMMYFUNCTION("""COMPUTED_VALUE"""),20000.0)</f>
        <v>20000</v>
      </c>
      <c r="K82" s="124">
        <f>IFERROR(__xludf.DUMMYFUNCTION("""COMPUTED_VALUE"""),2.0)</f>
        <v>2</v>
      </c>
      <c r="L82" s="124">
        <f>IFERROR(__xludf.DUMMYFUNCTION("""COMPUTED_VALUE"""),526.0)</f>
        <v>526</v>
      </c>
      <c r="M82" s="124" t="str">
        <f>IFERROR(__xludf.DUMMYFUNCTION("""COMPUTED_VALUE"""),"Indore")</f>
        <v>Indore</v>
      </c>
      <c r="N82" s="124" t="str">
        <f>IFERROR(__xludf.DUMMYFUNCTION("""COMPUTED_VALUE"""),"pariharrakshita23@gmail.com")</f>
        <v>pariharrakshita23@gmail.com</v>
      </c>
      <c r="O82" s="124" t="str">
        <f>IFERROR(__xludf.DUMMYFUNCTION("""COMPUTED_VALUE"""),"Rakshita Parihar")</f>
        <v>Rakshita Parihar</v>
      </c>
      <c r="P82" s="124">
        <f>IFERROR(__xludf.DUMMYFUNCTION("""COMPUTED_VALUE"""),79530.0)</f>
        <v>79530</v>
      </c>
      <c r="Q82" s="124" t="str">
        <f>IFERROR(__xludf.DUMMYFUNCTION("""COMPUTED_VALUE"""),"samadhan-mentorship-program-ind")</f>
        <v>samadhan-mentorship-program-ind</v>
      </c>
      <c r="R82" s="124" t="str">
        <f>IFERROR(__xludf.DUMMYFUNCTION("""COMPUTED_VALUE"""),"Mentorship - Samadhan")</f>
        <v>Mentorship - Samadhan</v>
      </c>
      <c r="S82" s="124">
        <f>IFERROR(__xludf.DUMMYFUNCTION("""COMPUTED_VALUE"""),8.989555666E9)</f>
        <v>8989555666</v>
      </c>
      <c r="T82" s="124" t="str">
        <f>IFERROR(__xludf.DUMMYFUNCTION("""COMPUTED_VALUE"""),"Not Available")</f>
        <v>Not Available</v>
      </c>
      <c r="U82" s="124" t="str">
        <f>IFERROR(__xludf.DUMMYFUNCTION("""COMPUTED_VALUE"""),"Not Available")</f>
        <v>Not Available</v>
      </c>
      <c r="V82" s="124" t="str">
        <f>IFERROR(__xludf.DUMMYFUNCTION("""COMPUTED_VALUE"""),"Not Available")</f>
        <v>Not Available</v>
      </c>
      <c r="W82" s="124" t="str">
        <f>IFERROR(__xludf.DUMMYFUNCTION("""COMPUTED_VALUE"""),"Not Available")</f>
        <v>Not Available</v>
      </c>
    </row>
    <row r="83">
      <c r="A83" s="124" t="str">
        <f t="shared" si="1"/>
        <v>fahadmir1998@gmail.com</v>
      </c>
      <c r="B83" s="131">
        <f>IFERROR(__xludf.DUMMYFUNCTION("""COMPUTED_VALUE"""),46111.0)</f>
        <v>46111</v>
      </c>
      <c r="C83" s="124" t="str">
        <f>IFERROR(__xludf.DUMMYFUNCTION("""COMPUTED_VALUE"""),"Payment data from Collexo")</f>
        <v>Payment data from Collexo</v>
      </c>
      <c r="D83" s="124" t="str">
        <f>IFERROR(__xludf.DUMMYFUNCTION("""COMPUTED_VALUE"""),"Not Available")</f>
        <v>Not Available</v>
      </c>
      <c r="E83" s="124">
        <f>IFERROR(__xludf.DUMMYFUNCTION("""COMPUTED_VALUE"""),1500609.0)</f>
        <v>1500609</v>
      </c>
      <c r="F83" s="124" t="str">
        <f>IFERROR(__xludf.DUMMYFUNCTION("""COMPUTED_VALUE"""),"17465_988_7")</f>
        <v>17465_988_7</v>
      </c>
      <c r="G83" s="124">
        <f>IFERROR(__xludf.DUMMYFUNCTION("""COMPUTED_VALUE"""),10320.0)</f>
        <v>10320</v>
      </c>
      <c r="H83" s="131">
        <f>IFERROR(__xludf.DUMMYFUNCTION("""COMPUTED_VALUE"""),46112.0)</f>
        <v>46112</v>
      </c>
      <c r="I83" s="124">
        <f>IFERROR(__xludf.DUMMYFUNCTION("""COMPUTED_VALUE"""),79680.0)</f>
        <v>79680</v>
      </c>
      <c r="J83" s="124">
        <f>IFERROR(__xludf.DUMMYFUNCTION("""COMPUTED_VALUE"""),100000.0)</f>
        <v>100000</v>
      </c>
      <c r="K83" s="124">
        <f>IFERROR(__xludf.DUMMYFUNCTION("""COMPUTED_VALUE"""),3.0)</f>
        <v>3</v>
      </c>
      <c r="L83" s="124">
        <f>IFERROR(__xludf.DUMMYFUNCTION("""COMPUTED_VALUE"""),843.0)</f>
        <v>843</v>
      </c>
      <c r="M83" s="124" t="str">
        <f>IFERROR(__xludf.DUMMYFUNCTION("""COMPUTED_VALUE"""),"New Delhi")</f>
        <v>New Delhi</v>
      </c>
      <c r="N83" s="124" t="str">
        <f>IFERROR(__xludf.DUMMYFUNCTION("""COMPUTED_VALUE"""),"fahadmir1998@gmail.com")</f>
        <v>fahadmir1998@gmail.com</v>
      </c>
      <c r="O83" s="124" t="str">
        <f>IFERROR(__xludf.DUMMYFUNCTION("""COMPUTED_VALUE"""),"FAHA IRSHAD MIR")</f>
        <v>FAHA IRSHAD MIR</v>
      </c>
      <c r="P83" s="124">
        <f>IFERROR(__xludf.DUMMYFUNCTION("""COMPUTED_VALUE"""),133212.0)</f>
        <v>133212</v>
      </c>
      <c r="Q83" s="124" t="str">
        <f>IFERROR(__xludf.DUMMYFUNCTION("""COMPUTED_VALUE"""),"upsc-gs-foundation-hinglish-target-2027-gsf-upsc-m05-orn")</f>
        <v>upsc-gs-foundation-hinglish-target-2027-gsf-upsc-m05-orn</v>
      </c>
      <c r="R83" s="124" t="str">
        <f>IFERROR(__xludf.DUMMYFUNCTION("""COMPUTED_VALUE"""),"GS Foundation Course")</f>
        <v>GS Foundation Course</v>
      </c>
      <c r="S83" s="124">
        <f>IFERROR(__xludf.DUMMYFUNCTION("""COMPUTED_VALUE"""),7.889367873E9)</f>
        <v>7889367873</v>
      </c>
      <c r="T83" s="124" t="str">
        <f>IFERROR(__xludf.DUMMYFUNCTION("""COMPUTED_VALUE"""),"Collexo")</f>
        <v>Collexo</v>
      </c>
      <c r="U83" s="124" t="str">
        <f>IFERROR(__xludf.DUMMYFUNCTION("""COMPUTED_VALUE"""),"Success")</f>
        <v>Success</v>
      </c>
      <c r="V83" s="131">
        <f>IFERROR(__xludf.DUMMYFUNCTION("""COMPUTED_VALUE"""),46111.0)</f>
        <v>46111</v>
      </c>
      <c r="W83" s="124">
        <f>IFERROR(__xludf.DUMMYFUNCTION("""COMPUTED_VALUE"""),0.0)</f>
        <v>0</v>
      </c>
    </row>
    <row r="84">
      <c r="A84" s="124" t="str">
        <f t="shared" si="1"/>
        <v>vansh666806@gmail.com</v>
      </c>
      <c r="B84" s="131">
        <f>IFERROR(__xludf.DUMMYFUNCTION("""COMPUTED_VALUE"""),46107.0)</f>
        <v>46107</v>
      </c>
      <c r="C84" s="124" t="str">
        <f>IFERROR(__xludf.DUMMYFUNCTION("""COMPUTED_VALUE"""),"Payment data from Collexo")</f>
        <v>Payment data from Collexo</v>
      </c>
      <c r="D84" s="124" t="str">
        <f>IFERROR(__xludf.DUMMYFUNCTION("""COMPUTED_VALUE"""),"Not Available")</f>
        <v>Not Available</v>
      </c>
      <c r="E84" s="124">
        <f>IFERROR(__xludf.DUMMYFUNCTION("""COMPUTED_VALUE"""),1500609.0)</f>
        <v>1500609</v>
      </c>
      <c r="F84" s="124" t="str">
        <f>IFERROR(__xludf.DUMMYFUNCTION("""COMPUTED_VALUE"""),"16809_988_7")</f>
        <v>16809_988_7</v>
      </c>
      <c r="G84" s="124">
        <f>IFERROR(__xludf.DUMMYFUNCTION("""COMPUTED_VALUE"""),5000.0)</f>
        <v>5000</v>
      </c>
      <c r="H84" s="131">
        <f>IFERROR(__xludf.DUMMYFUNCTION("""COMPUTED_VALUE"""),46112.0)</f>
        <v>46112</v>
      </c>
      <c r="I84" s="124">
        <f>IFERROR(__xludf.DUMMYFUNCTION("""COMPUTED_VALUE"""),165000.0)</f>
        <v>165000</v>
      </c>
      <c r="J84" s="124">
        <f>IFERROR(__xludf.DUMMYFUNCTION("""COMPUTED_VALUE"""),170000.0)</f>
        <v>170000</v>
      </c>
      <c r="K84" s="124">
        <f>IFERROR(__xludf.DUMMYFUNCTION("""COMPUTED_VALUE"""),2.0)</f>
        <v>2</v>
      </c>
      <c r="L84" s="124">
        <f>IFERROR(__xludf.DUMMYFUNCTION("""COMPUTED_VALUE"""),771.0)</f>
        <v>771</v>
      </c>
      <c r="M84" s="124" t="str">
        <f>IFERROR(__xludf.DUMMYFUNCTION("""COMPUTED_VALUE"""),"New Delhi")</f>
        <v>New Delhi</v>
      </c>
      <c r="N84" s="124" t="str">
        <f>IFERROR(__xludf.DUMMYFUNCTION("""COMPUTED_VALUE"""),"vansh666806@gmail.com")</f>
        <v>vansh666806@gmail.com</v>
      </c>
      <c r="O84" s="124" t="str">
        <f>IFERROR(__xludf.DUMMYFUNCTION("""COMPUTED_VALUE"""),"Vansh")</f>
        <v>Vansh</v>
      </c>
      <c r="P84" s="124">
        <f>IFERROR(__xludf.DUMMYFUNCTION("""COMPUTED_VALUE"""),133072.0)</f>
        <v>133072</v>
      </c>
      <c r="Q84" s="124" t="str">
        <f>IFERROR(__xludf.DUMMYFUNCTION("""COMPUTED_VALUE"""),"upsc-gs-foundation-hinglish-target-2028-gsf-upsc-e05-orn")</f>
        <v>upsc-gs-foundation-hinglish-target-2028-gsf-upsc-e05-orn</v>
      </c>
      <c r="R84" s="124" t="str">
        <f>IFERROR(__xludf.DUMMYFUNCTION("""COMPUTED_VALUE"""),"GS Foundation Course")</f>
        <v>GS Foundation Course</v>
      </c>
      <c r="S84" s="124">
        <f>IFERROR(__xludf.DUMMYFUNCTION("""COMPUTED_VALUE"""),8.168304118E9)</f>
        <v>8168304118</v>
      </c>
      <c r="T84" s="124" t="str">
        <f>IFERROR(__xludf.DUMMYFUNCTION("""COMPUTED_VALUE"""),"Collexo")</f>
        <v>Collexo</v>
      </c>
      <c r="U84" s="124" t="str">
        <f>IFERROR(__xludf.DUMMYFUNCTION("""COMPUTED_VALUE"""),"Success")</f>
        <v>Success</v>
      </c>
      <c r="V84" s="131">
        <f>IFERROR(__xludf.DUMMYFUNCTION("""COMPUTED_VALUE"""),46107.0)</f>
        <v>46107</v>
      </c>
      <c r="W84" s="124">
        <f>IFERROR(__xludf.DUMMYFUNCTION("""COMPUTED_VALUE"""),0.0)</f>
        <v>0</v>
      </c>
    </row>
    <row r="85">
      <c r="A85" s="124" t="str">
        <f t="shared" si="1"/>
        <v>aditipatel45678@gmail.com</v>
      </c>
      <c r="B85" s="131">
        <f>IFERROR(__xludf.DUMMYFUNCTION("""COMPUTED_VALUE"""),46055.0)</f>
        <v>46055</v>
      </c>
      <c r="C85" s="124" t="str">
        <f>IFERROR(__xludf.DUMMYFUNCTION("""COMPUTED_VALUE"""),"Payment data from Collexo")</f>
        <v>Payment data from Collexo</v>
      </c>
      <c r="D85" s="124" t="str">
        <f>IFERROR(__xludf.DUMMYFUNCTION("""COMPUTED_VALUE"""),"Not Available")</f>
        <v>Not Available</v>
      </c>
      <c r="E85" s="124">
        <f>IFERROR(__xludf.DUMMYFUNCTION("""COMPUTED_VALUE"""),1500610.0)</f>
        <v>1500610</v>
      </c>
      <c r="F85" s="124">
        <f>IFERROR(__xludf.DUMMYFUNCTION("""COMPUTED_VALUE"""),120500.0)</f>
        <v>120500</v>
      </c>
      <c r="G85" s="124">
        <f>IFERROR(__xludf.DUMMYFUNCTION("""COMPUTED_VALUE"""),5767.0)</f>
        <v>5767</v>
      </c>
      <c r="H85" s="131">
        <f>IFERROR(__xludf.DUMMYFUNCTION("""COMPUTED_VALUE"""),46063.0)</f>
        <v>46063</v>
      </c>
      <c r="I85" s="124">
        <f>IFERROR(__xludf.DUMMYFUNCTION("""COMPUTED_VALUE"""),44233.0)</f>
        <v>44233</v>
      </c>
      <c r="J85" s="124">
        <f>IFERROR(__xludf.DUMMYFUNCTION("""COMPUTED_VALUE"""),50000.0)</f>
        <v>50000</v>
      </c>
      <c r="K85" s="124">
        <f>IFERROR(__xludf.DUMMYFUNCTION("""COMPUTED_VALUE"""),2.0)</f>
        <v>2</v>
      </c>
      <c r="L85" s="124">
        <f>IFERROR(__xludf.DUMMYFUNCTION("""COMPUTED_VALUE"""),155.0)</f>
        <v>155</v>
      </c>
      <c r="M85" s="124" t="str">
        <f>IFERROR(__xludf.DUMMYFUNCTION("""COMPUTED_VALUE"""),"Lucknow")</f>
        <v>Lucknow</v>
      </c>
      <c r="N85" s="124" t="str">
        <f>IFERROR(__xludf.DUMMYFUNCTION("""COMPUTED_VALUE"""),"aditipatel45678@gmail.com")</f>
        <v>aditipatel45678@gmail.com</v>
      </c>
      <c r="O85" s="124" t="str">
        <f>IFERROR(__xludf.DUMMYFUNCTION("""COMPUTED_VALUE"""),"Aditi")</f>
        <v>Aditi</v>
      </c>
      <c r="P85" s="124">
        <f>IFERROR(__xludf.DUMMYFUNCTION("""COMPUTED_VALUE"""),120500.0)</f>
        <v>120500</v>
      </c>
      <c r="Q85" s="124" t="str">
        <f>IFERROR(__xludf.DUMMYFUNCTION("""COMPUTED_VALUE"""),"Not Available")</f>
        <v>Not Available</v>
      </c>
      <c r="R85" s="124" t="str">
        <f>IFERROR(__xludf.DUMMYFUNCTION("""COMPUTED_VALUE"""),"GS Foundation Course")</f>
        <v>GS Foundation Course</v>
      </c>
      <c r="S85" s="124">
        <f>IFERROR(__xludf.DUMMYFUNCTION("""COMPUTED_VALUE"""),9.369709052E9)</f>
        <v>9369709052</v>
      </c>
      <c r="T85" s="124" t="str">
        <f>IFERROR(__xludf.DUMMYFUNCTION("""COMPUTED_VALUE"""),"Not Available")</f>
        <v>Not Available</v>
      </c>
      <c r="U85" s="124" t="str">
        <f>IFERROR(__xludf.DUMMYFUNCTION("""COMPUTED_VALUE"""),"Not Available")</f>
        <v>Not Available</v>
      </c>
      <c r="V85" s="124" t="str">
        <f>IFERROR(__xludf.DUMMYFUNCTION("""COMPUTED_VALUE"""),"Not Available")</f>
        <v>Not Available</v>
      </c>
      <c r="W85" s="124" t="str">
        <f>IFERROR(__xludf.DUMMYFUNCTION("""COMPUTED_VALUE"""),"Not Available")</f>
        <v>Not Available</v>
      </c>
    </row>
    <row r="86">
      <c r="A86" s="124" t="str">
        <f t="shared" si="1"/>
        <v>abhyuday9990@gmail.com</v>
      </c>
      <c r="B86" s="131">
        <f>IFERROR(__xludf.DUMMYFUNCTION("""COMPUTED_VALUE"""),46097.0)</f>
        <v>46097</v>
      </c>
      <c r="C86" s="124" t="str">
        <f>IFERROR(__xludf.DUMMYFUNCTION("""COMPUTED_VALUE"""),"Payment data from Collexo")</f>
        <v>Payment data from Collexo</v>
      </c>
      <c r="D86" s="124" t="str">
        <f>IFERROR(__xludf.DUMMYFUNCTION("""COMPUTED_VALUE"""),"Not Available")</f>
        <v>Not Available</v>
      </c>
      <c r="E86" s="124">
        <f>IFERROR(__xludf.DUMMYFUNCTION("""COMPUTED_VALUE"""),1500613.0)</f>
        <v>1500613</v>
      </c>
      <c r="F86" s="124">
        <f>IFERROR(__xludf.DUMMYFUNCTION("""COMPUTED_VALUE"""),127463.0)</f>
        <v>127463</v>
      </c>
      <c r="G86" s="124">
        <f>IFERROR(__xludf.DUMMYFUNCTION("""COMPUTED_VALUE"""),60000.0)</f>
        <v>60000</v>
      </c>
      <c r="H86" s="131">
        <f>IFERROR(__xludf.DUMMYFUNCTION("""COMPUTED_VALUE"""),46143.0)</f>
        <v>46143</v>
      </c>
      <c r="I86" s="124">
        <f>IFERROR(__xludf.DUMMYFUNCTION("""COMPUTED_VALUE"""),50000.0)</f>
        <v>50000</v>
      </c>
      <c r="J86" s="124">
        <f>IFERROR(__xludf.DUMMYFUNCTION("""COMPUTED_VALUE"""),110000.0)</f>
        <v>110000</v>
      </c>
      <c r="K86" s="124">
        <f>IFERROR(__xludf.DUMMYFUNCTION("""COMPUTED_VALUE"""),2.0)</f>
        <v>2</v>
      </c>
      <c r="L86" s="124">
        <f>IFERROR(__xludf.DUMMYFUNCTION("""COMPUTED_VALUE"""),559.0)</f>
        <v>559</v>
      </c>
      <c r="M86" s="124" t="str">
        <f>IFERROR(__xludf.DUMMYFUNCTION("""COMPUTED_VALUE"""),"Prayagraj")</f>
        <v>Prayagraj</v>
      </c>
      <c r="N86" s="124" t="str">
        <f>IFERROR(__xludf.DUMMYFUNCTION("""COMPUTED_VALUE"""),"abhyuday9990@gmail.com")</f>
        <v>abhyuday9990@gmail.com</v>
      </c>
      <c r="O86" s="124" t="str">
        <f>IFERROR(__xludf.DUMMYFUNCTION("""COMPUTED_VALUE"""),"Abhyuday singh")</f>
        <v>Abhyuday singh</v>
      </c>
      <c r="P86" s="124">
        <f>IFERROR(__xludf.DUMMYFUNCTION("""COMPUTED_VALUE"""),127463.0)</f>
        <v>127463</v>
      </c>
      <c r="Q86" s="124" t="str">
        <f>IFERROR(__xludf.DUMMYFUNCTION("""COMPUTED_VALUE"""),"upsc-gs-foundation-hinglish-target-2028-gsf-upsc-e03-pry")</f>
        <v>upsc-gs-foundation-hinglish-target-2028-gsf-upsc-e03-pry</v>
      </c>
      <c r="R86" s="124" t="str">
        <f>IFERROR(__xludf.DUMMYFUNCTION("""COMPUTED_VALUE"""),"GS Foundation Course")</f>
        <v>GS Foundation Course</v>
      </c>
      <c r="S86" s="124">
        <f>IFERROR(__xludf.DUMMYFUNCTION("""COMPUTED_VALUE"""),6.38822191E9)</f>
        <v>6388221910</v>
      </c>
      <c r="T86" s="124" t="str">
        <f>IFERROR(__xludf.DUMMYFUNCTION("""COMPUTED_VALUE"""),"Not Available")</f>
        <v>Not Available</v>
      </c>
      <c r="U86" s="124" t="str">
        <f>IFERROR(__xludf.DUMMYFUNCTION("""COMPUTED_VALUE"""),"Not Available")</f>
        <v>Not Available</v>
      </c>
      <c r="V86" s="124" t="str">
        <f>IFERROR(__xludf.DUMMYFUNCTION("""COMPUTED_VALUE"""),"Not Available")</f>
        <v>Not Available</v>
      </c>
      <c r="W86" s="124" t="str">
        <f>IFERROR(__xludf.DUMMYFUNCTION("""COMPUTED_VALUE"""),"Not Available")</f>
        <v>Not Available</v>
      </c>
    </row>
    <row r="87">
      <c r="A87" s="124" t="str">
        <f t="shared" si="1"/>
        <v>khushbujasavat20@gmail.com</v>
      </c>
      <c r="B87" s="131">
        <f>IFERROR(__xludf.DUMMYFUNCTION("""COMPUTED_VALUE"""),46049.0)</f>
        <v>46049</v>
      </c>
      <c r="C87" s="124" t="str">
        <f>IFERROR(__xludf.DUMMYFUNCTION("""COMPUTED_VALUE"""),"Payment data from Collexo")</f>
        <v>Payment data from Collexo</v>
      </c>
      <c r="D87" s="124" t="str">
        <f>IFERROR(__xludf.DUMMYFUNCTION("""COMPUTED_VALUE"""),"Not Available")</f>
        <v>Not Available</v>
      </c>
      <c r="E87" s="124">
        <f>IFERROR(__xludf.DUMMYFUNCTION("""COMPUTED_VALUE"""),1500609.0)</f>
        <v>1500609</v>
      </c>
      <c r="F87" s="124" t="str">
        <f>IFERROR(__xludf.DUMMYFUNCTION("""COMPUTED_VALUE"""),"2584_988_7")</f>
        <v>2584_988_7</v>
      </c>
      <c r="G87" s="124">
        <f>IFERROR(__xludf.DUMMYFUNCTION("""COMPUTED_VALUE"""),135000.0)</f>
        <v>135000</v>
      </c>
      <c r="H87" s="124" t="str">
        <f>IFERROR(__xludf.DUMMYFUNCTION("""COMPUTED_VALUE"""),"Not Available")</f>
        <v>Not Available</v>
      </c>
      <c r="I87" s="124">
        <f>IFERROR(__xludf.DUMMYFUNCTION("""COMPUTED_VALUE"""),0.0)</f>
        <v>0</v>
      </c>
      <c r="J87" s="124">
        <f>IFERROR(__xludf.DUMMYFUNCTION("""COMPUTED_VALUE"""),140000.0)</f>
        <v>140000</v>
      </c>
      <c r="K87" s="124">
        <f>IFERROR(__xludf.DUMMYFUNCTION("""COMPUTED_VALUE"""),2.0)</f>
        <v>2</v>
      </c>
      <c r="L87" s="124">
        <f>IFERROR(__xludf.DUMMYFUNCTION("""COMPUTED_VALUE"""),118.0)</f>
        <v>118</v>
      </c>
      <c r="M87" s="124" t="str">
        <f>IFERROR(__xludf.DUMMYFUNCTION("""COMPUTED_VALUE"""),"New Delhi")</f>
        <v>New Delhi</v>
      </c>
      <c r="N87" s="124" t="str">
        <f>IFERROR(__xludf.DUMMYFUNCTION("""COMPUTED_VALUE"""),"khushbujasavat20@gmail.com")</f>
        <v>khushbujasavat20@gmail.com</v>
      </c>
      <c r="O87" s="124" t="str">
        <f>IFERROR(__xludf.DUMMYFUNCTION("""COMPUTED_VALUE"""),"Khushbu Jasavat")</f>
        <v>Khushbu Jasavat</v>
      </c>
      <c r="P87" s="124">
        <f>IFERROR(__xludf.DUMMYFUNCTION("""COMPUTED_VALUE"""),42045.0)</f>
        <v>42045</v>
      </c>
      <c r="Q87" s="124" t="str">
        <f>IFERROR(__xludf.DUMMYFUNCTION("""COMPUTED_VALUE"""),"ncert-foundation-hinglish-target-2026-nce-upsc-e02-orn")</f>
        <v>ncert-foundation-hinglish-target-2026-nce-upsc-e02-orn</v>
      </c>
      <c r="R87" s="124" t="str">
        <f>IFERROR(__xludf.DUMMYFUNCTION("""COMPUTED_VALUE"""),"GS Foundation Course")</f>
        <v>GS Foundation Course</v>
      </c>
      <c r="S87" s="124">
        <f>IFERROR(__xludf.DUMMYFUNCTION("""COMPUTED_VALUE"""),7.375013137E9)</f>
        <v>7375013137</v>
      </c>
      <c r="T87" s="124" t="str">
        <f>IFERROR(__xludf.DUMMYFUNCTION("""COMPUTED_VALUE"""),"Collexo")</f>
        <v>Collexo</v>
      </c>
      <c r="U87" s="124" t="str">
        <f>IFERROR(__xludf.DUMMYFUNCTION("""COMPUTED_VALUE"""),"Success")</f>
        <v>Success</v>
      </c>
      <c r="V87" s="131">
        <f>IFERROR(__xludf.DUMMYFUNCTION("""COMPUTED_VALUE"""),46049.0)</f>
        <v>46049</v>
      </c>
      <c r="W87" s="124">
        <f>IFERROR(__xludf.DUMMYFUNCTION("""COMPUTED_VALUE"""),0.0)</f>
        <v>0</v>
      </c>
    </row>
    <row r="88">
      <c r="A88" s="124" t="str">
        <f t="shared" si="1"/>
        <v>a3754586@gmail.com</v>
      </c>
      <c r="B88" s="131">
        <f>IFERROR(__xludf.DUMMYFUNCTION("""COMPUTED_VALUE"""),46109.0)</f>
        <v>46109</v>
      </c>
      <c r="C88" s="124" t="str">
        <f>IFERROR(__xludf.DUMMYFUNCTION("""COMPUTED_VALUE"""),"Payment data from Collexo")</f>
        <v>Payment data from Collexo</v>
      </c>
      <c r="D88" s="124" t="str">
        <f>IFERROR(__xludf.DUMMYFUNCTION("""COMPUTED_VALUE"""),"Not Available")</f>
        <v>Not Available</v>
      </c>
      <c r="E88" s="124">
        <f>IFERROR(__xludf.DUMMYFUNCTION("""COMPUTED_VALUE"""),1500610.0)</f>
        <v>1500610</v>
      </c>
      <c r="F88" s="124">
        <f>IFERROR(__xludf.DUMMYFUNCTION("""COMPUTED_VALUE"""),133174.0)</f>
        <v>133174</v>
      </c>
      <c r="G88" s="124">
        <f>IFERROR(__xludf.DUMMYFUNCTION("""COMPUTED_VALUE"""),48413.0)</f>
        <v>48413</v>
      </c>
      <c r="H88" s="124" t="str">
        <f>IFERROR(__xludf.DUMMYFUNCTION("""COMPUTED_VALUE"""),"Not Available")</f>
        <v>Not Available</v>
      </c>
      <c r="I88" s="124">
        <f>IFERROR(__xludf.DUMMYFUNCTION("""COMPUTED_VALUE"""),0.0)</f>
        <v>0</v>
      </c>
      <c r="J88" s="124">
        <f>IFERROR(__xludf.DUMMYFUNCTION("""COMPUTED_VALUE"""),55000.0)</f>
        <v>55000</v>
      </c>
      <c r="K88" s="124">
        <f>IFERROR(__xludf.DUMMYFUNCTION("""COMPUTED_VALUE"""),2.0)</f>
        <v>2</v>
      </c>
      <c r="L88" s="124">
        <f>IFERROR(__xludf.DUMMYFUNCTION("""COMPUTED_VALUE"""),804.0)</f>
        <v>804</v>
      </c>
      <c r="M88" s="124" t="str">
        <f>IFERROR(__xludf.DUMMYFUNCTION("""COMPUTED_VALUE"""),"Lucknow")</f>
        <v>Lucknow</v>
      </c>
      <c r="N88" s="124" t="str">
        <f>IFERROR(__xludf.DUMMYFUNCTION("""COMPUTED_VALUE"""),"a3754586@gmail.com")</f>
        <v>a3754586@gmail.com</v>
      </c>
      <c r="O88" s="124" t="str">
        <f>IFERROR(__xludf.DUMMYFUNCTION("""COMPUTED_VALUE"""),"Amit")</f>
        <v>Amit</v>
      </c>
      <c r="P88" s="124">
        <f>IFERROR(__xludf.DUMMYFUNCTION("""COMPUTED_VALUE"""),133174.0)</f>
        <v>133174</v>
      </c>
      <c r="Q88" s="124" t="str">
        <f>IFERROR(__xludf.DUMMYFUNCTION("""COMPUTED_VALUE"""),"upsc-gs-foundation-hindi-target-2028-gsf-upsc-m03-lko")</f>
        <v>upsc-gs-foundation-hindi-target-2028-gsf-upsc-m03-lko</v>
      </c>
      <c r="R88" s="124" t="str">
        <f>IFERROR(__xludf.DUMMYFUNCTION("""COMPUTED_VALUE"""),"GS Foundation Course")</f>
        <v>GS Foundation Course</v>
      </c>
      <c r="S88" s="124">
        <f>IFERROR(__xludf.DUMMYFUNCTION("""COMPUTED_VALUE"""),7.607984659E9)</f>
        <v>7607984659</v>
      </c>
      <c r="T88" s="124" t="str">
        <f>IFERROR(__xludf.DUMMYFUNCTION("""COMPUTED_VALUE"""),"Not Available")</f>
        <v>Not Available</v>
      </c>
      <c r="U88" s="124" t="str">
        <f>IFERROR(__xludf.DUMMYFUNCTION("""COMPUTED_VALUE"""),"Not Available")</f>
        <v>Not Available</v>
      </c>
      <c r="V88" s="124" t="str">
        <f>IFERROR(__xludf.DUMMYFUNCTION("""COMPUTED_VALUE"""),"Not Available")</f>
        <v>Not Available</v>
      </c>
      <c r="W88" s="124" t="str">
        <f>IFERROR(__xludf.DUMMYFUNCTION("""COMPUTED_VALUE"""),"Not Available")</f>
        <v>Not Available</v>
      </c>
    </row>
    <row r="89">
      <c r="A89" s="124" t="str">
        <f t="shared" si="1"/>
        <v>aman0800003@gmail.com</v>
      </c>
      <c r="B89" s="131">
        <f>IFERROR(__xludf.DUMMYFUNCTION("""COMPUTED_VALUE"""),46108.0)</f>
        <v>46108</v>
      </c>
      <c r="C89" s="124" t="str">
        <f>IFERROR(__xludf.DUMMYFUNCTION("""COMPUTED_VALUE"""),"Payment data from Collexo")</f>
        <v>Payment data from Collexo</v>
      </c>
      <c r="D89" s="124" t="str">
        <f>IFERROR(__xludf.DUMMYFUNCTION("""COMPUTED_VALUE"""),"Not Available")</f>
        <v>Not Available</v>
      </c>
      <c r="E89" s="124">
        <f>IFERROR(__xludf.DUMMYFUNCTION("""COMPUTED_VALUE"""),1500610.0)</f>
        <v>1500610</v>
      </c>
      <c r="F89" s="124">
        <f>IFERROR(__xludf.DUMMYFUNCTION("""COMPUTED_VALUE"""),133176.0)</f>
        <v>133176</v>
      </c>
      <c r="G89" s="124">
        <f>IFERROR(__xludf.DUMMYFUNCTION("""COMPUTED_VALUE"""),6587.0)</f>
        <v>6587</v>
      </c>
      <c r="H89" s="131">
        <f>IFERROR(__xludf.DUMMYFUNCTION("""COMPUTED_VALUE"""),46111.0)</f>
        <v>46111</v>
      </c>
      <c r="I89" s="124">
        <f>IFERROR(__xludf.DUMMYFUNCTION("""COMPUTED_VALUE"""),48413.0)</f>
        <v>48413</v>
      </c>
      <c r="J89" s="124">
        <f>IFERROR(__xludf.DUMMYFUNCTION("""COMPUTED_VALUE"""),55000.0)</f>
        <v>55000</v>
      </c>
      <c r="K89" s="124">
        <f>IFERROR(__xludf.DUMMYFUNCTION("""COMPUTED_VALUE"""),2.0)</f>
        <v>2</v>
      </c>
      <c r="L89" s="124">
        <f>IFERROR(__xludf.DUMMYFUNCTION("""COMPUTED_VALUE"""),790.0)</f>
        <v>790</v>
      </c>
      <c r="M89" s="124" t="str">
        <f>IFERROR(__xludf.DUMMYFUNCTION("""COMPUTED_VALUE"""),"Lucknow")</f>
        <v>Lucknow</v>
      </c>
      <c r="N89" s="124" t="str">
        <f>IFERROR(__xludf.DUMMYFUNCTION("""COMPUTED_VALUE"""),"aman0800003@gmail.com")</f>
        <v>aman0800003@gmail.com</v>
      </c>
      <c r="O89" s="124" t="str">
        <f>IFERROR(__xludf.DUMMYFUNCTION("""COMPUTED_VALUE"""),"Aman")</f>
        <v>Aman</v>
      </c>
      <c r="P89" s="124">
        <f>IFERROR(__xludf.DUMMYFUNCTION("""COMPUTED_VALUE"""),133176.0)</f>
        <v>133176</v>
      </c>
      <c r="Q89" s="124" t="str">
        <f>IFERROR(__xludf.DUMMYFUNCTION("""COMPUTED_VALUE"""),"upsc-gs-foundation-hindi-target-2028-gsf-upsc-m03-lko")</f>
        <v>upsc-gs-foundation-hindi-target-2028-gsf-upsc-m03-lko</v>
      </c>
      <c r="R89" s="124" t="str">
        <f>IFERROR(__xludf.DUMMYFUNCTION("""COMPUTED_VALUE"""),"GS Foundation Course")</f>
        <v>GS Foundation Course</v>
      </c>
      <c r="S89" s="124">
        <f>IFERROR(__xludf.DUMMYFUNCTION("""COMPUTED_VALUE"""),8.726997266E9)</f>
        <v>8726997266</v>
      </c>
      <c r="T89" s="124" t="str">
        <f>IFERROR(__xludf.DUMMYFUNCTION("""COMPUTED_VALUE"""),"Not Available")</f>
        <v>Not Available</v>
      </c>
      <c r="U89" s="124" t="str">
        <f>IFERROR(__xludf.DUMMYFUNCTION("""COMPUTED_VALUE"""),"Not Available")</f>
        <v>Not Available</v>
      </c>
      <c r="V89" s="124" t="str">
        <f>IFERROR(__xludf.DUMMYFUNCTION("""COMPUTED_VALUE"""),"Not Available")</f>
        <v>Not Available</v>
      </c>
      <c r="W89" s="124" t="str">
        <f>IFERROR(__xludf.DUMMYFUNCTION("""COMPUTED_VALUE"""),"Not Available")</f>
        <v>Not Available</v>
      </c>
    </row>
    <row r="90">
      <c r="A90" s="124" t="str">
        <f t="shared" si="1"/>
        <v>anushkabankar529@gmail.com</v>
      </c>
      <c r="B90" s="131">
        <f>IFERROR(__xludf.DUMMYFUNCTION("""COMPUTED_VALUE"""),46074.0)</f>
        <v>46074</v>
      </c>
      <c r="C90" s="124" t="str">
        <f>IFERROR(__xludf.DUMMYFUNCTION("""COMPUTED_VALUE"""),"Payment data from Collexo")</f>
        <v>Payment data from Collexo</v>
      </c>
      <c r="D90" s="124" t="str">
        <f>IFERROR(__xludf.DUMMYFUNCTION("""COMPUTED_VALUE"""),"Not Available")</f>
        <v>Not Available</v>
      </c>
      <c r="E90" s="124">
        <f>IFERROR(__xludf.DUMMYFUNCTION("""COMPUTED_VALUE"""),1500612.0)</f>
        <v>1500612</v>
      </c>
      <c r="F90" s="124">
        <f>IFERROR(__xludf.DUMMYFUNCTION("""COMPUTED_VALUE"""),123052.0)</f>
        <v>123052</v>
      </c>
      <c r="G90" s="124">
        <f>IFERROR(__xludf.DUMMYFUNCTION("""COMPUTED_VALUE"""),39000.0)</f>
        <v>39000</v>
      </c>
      <c r="H90" s="131">
        <f>IFERROR(__xludf.DUMMYFUNCTION("""COMPUTED_VALUE"""),46081.0)</f>
        <v>46081</v>
      </c>
      <c r="I90" s="124">
        <f>IFERROR(__xludf.DUMMYFUNCTION("""COMPUTED_VALUE"""),30000.0)</f>
        <v>30000</v>
      </c>
      <c r="J90" s="124">
        <f>IFERROR(__xludf.DUMMYFUNCTION("""COMPUTED_VALUE"""),70000.0)</f>
        <v>70000</v>
      </c>
      <c r="K90" s="124">
        <f>IFERROR(__xludf.DUMMYFUNCTION("""COMPUTED_VALUE"""),3.0)</f>
        <v>3</v>
      </c>
      <c r="L90" s="124">
        <f>IFERROR(__xludf.DUMMYFUNCTION("""COMPUTED_VALUE"""),291.0)</f>
        <v>291</v>
      </c>
      <c r="M90" s="124" t="str">
        <f>IFERROR(__xludf.DUMMYFUNCTION("""COMPUTED_VALUE"""),"Indore")</f>
        <v>Indore</v>
      </c>
      <c r="N90" s="124" t="str">
        <f>IFERROR(__xludf.DUMMYFUNCTION("""COMPUTED_VALUE"""),"anushkabankar529@gmail.com")</f>
        <v>anushkabankar529@gmail.com</v>
      </c>
      <c r="O90" s="124" t="str">
        <f>IFERROR(__xludf.DUMMYFUNCTION("""COMPUTED_VALUE"""),"Anushka Bankar")</f>
        <v>Anushka Bankar</v>
      </c>
      <c r="P90" s="124">
        <f>IFERROR(__xludf.DUMMYFUNCTION("""COMPUTED_VALUE"""),123052.0)</f>
        <v>123052</v>
      </c>
      <c r="Q90" s="124" t="str">
        <f>IFERROR(__xludf.DUMMYFUNCTION("""COMPUTED_VALUE"""),"upsc-gs-foundation-hinglish-target-2028-gsf-upsc-m01-ind")</f>
        <v>upsc-gs-foundation-hinglish-target-2028-gsf-upsc-m01-ind</v>
      </c>
      <c r="R90" s="124" t="str">
        <f>IFERROR(__xludf.DUMMYFUNCTION("""COMPUTED_VALUE"""),"GS Foundation Course")</f>
        <v>GS Foundation Course</v>
      </c>
      <c r="S90" s="124">
        <f>IFERROR(__xludf.DUMMYFUNCTION("""COMPUTED_VALUE"""),9.607392999E9)</f>
        <v>9607392999</v>
      </c>
      <c r="T90" s="124" t="str">
        <f>IFERROR(__xludf.DUMMYFUNCTION("""COMPUTED_VALUE"""),"Not Available")</f>
        <v>Not Available</v>
      </c>
      <c r="U90" s="124" t="str">
        <f>IFERROR(__xludf.DUMMYFUNCTION("""COMPUTED_VALUE"""),"Not Available")</f>
        <v>Not Available</v>
      </c>
      <c r="V90" s="124" t="str">
        <f>IFERROR(__xludf.DUMMYFUNCTION("""COMPUTED_VALUE"""),"Not Available")</f>
        <v>Not Available</v>
      </c>
      <c r="W90" s="124" t="str">
        <f>IFERROR(__xludf.DUMMYFUNCTION("""COMPUTED_VALUE"""),"Not Available")</f>
        <v>Not Available</v>
      </c>
    </row>
    <row r="91">
      <c r="A91" s="124" t="str">
        <f t="shared" si="1"/>
        <v>anshikam224149@gmail.com</v>
      </c>
      <c r="B91" s="131">
        <f>IFERROR(__xludf.DUMMYFUNCTION("""COMPUTED_VALUE"""),46096.0)</f>
        <v>46096</v>
      </c>
      <c r="C91" s="124" t="str">
        <f>IFERROR(__xludf.DUMMYFUNCTION("""COMPUTED_VALUE"""),"Payment data from Collexo")</f>
        <v>Payment data from Collexo</v>
      </c>
      <c r="D91" s="124" t="str">
        <f>IFERROR(__xludf.DUMMYFUNCTION("""COMPUTED_VALUE"""),"Not Available")</f>
        <v>Not Available</v>
      </c>
      <c r="E91" s="124">
        <f>IFERROR(__xludf.DUMMYFUNCTION("""COMPUTED_VALUE"""),1500610.0)</f>
        <v>1500610</v>
      </c>
      <c r="F91" s="124">
        <f>IFERROR(__xludf.DUMMYFUNCTION("""COMPUTED_VALUE"""),127273.0)</f>
        <v>127273</v>
      </c>
      <c r="G91" s="124">
        <f>IFERROR(__xludf.DUMMYFUNCTION("""COMPUTED_VALUE"""),5000.0)</f>
        <v>5000</v>
      </c>
      <c r="H91" s="131">
        <f>IFERROR(__xludf.DUMMYFUNCTION("""COMPUTED_VALUE"""),46140.0)</f>
        <v>46140</v>
      </c>
      <c r="I91" s="124">
        <f>IFERROR(__xludf.DUMMYFUNCTION("""COMPUTED_VALUE"""),15000.0)</f>
        <v>15000</v>
      </c>
      <c r="J91" s="124">
        <f>IFERROR(__xludf.DUMMYFUNCTION("""COMPUTED_VALUE"""),55000.0)</f>
        <v>55000</v>
      </c>
      <c r="K91" s="124">
        <f>IFERROR(__xludf.DUMMYFUNCTION("""COMPUTED_VALUE"""),3.0)</f>
        <v>3</v>
      </c>
      <c r="L91" s="124">
        <f>IFERROR(__xludf.DUMMYFUNCTION("""COMPUTED_VALUE"""),552.0)</f>
        <v>552</v>
      </c>
      <c r="M91" s="124" t="str">
        <f>IFERROR(__xludf.DUMMYFUNCTION("""COMPUTED_VALUE"""),"Lucknow")</f>
        <v>Lucknow</v>
      </c>
      <c r="N91" s="124" t="str">
        <f>IFERROR(__xludf.DUMMYFUNCTION("""COMPUTED_VALUE"""),"anshikam224149@gmail.com")</f>
        <v>anshikam224149@gmail.com</v>
      </c>
      <c r="O91" s="124" t="str">
        <f>IFERROR(__xludf.DUMMYFUNCTION("""COMPUTED_VALUE"""),"Anshika")</f>
        <v>Anshika</v>
      </c>
      <c r="P91" s="124">
        <f>IFERROR(__xludf.DUMMYFUNCTION("""COMPUTED_VALUE"""),127273.0)</f>
        <v>127273</v>
      </c>
      <c r="Q91" s="124" t="str">
        <f>IFERROR(__xludf.DUMMYFUNCTION("""COMPUTED_VALUE"""),"Not Available")</f>
        <v>Not Available</v>
      </c>
      <c r="R91" s="124" t="str">
        <f>IFERROR(__xludf.DUMMYFUNCTION("""COMPUTED_VALUE"""),"GS Foundation Course")</f>
        <v>GS Foundation Course</v>
      </c>
      <c r="S91" s="124">
        <f>IFERROR(__xludf.DUMMYFUNCTION("""COMPUTED_VALUE"""),7.310403419E9)</f>
        <v>7310403419</v>
      </c>
      <c r="T91" s="124" t="str">
        <f>IFERROR(__xludf.DUMMYFUNCTION("""COMPUTED_VALUE"""),"Not Available")</f>
        <v>Not Available</v>
      </c>
      <c r="U91" s="124" t="str">
        <f>IFERROR(__xludf.DUMMYFUNCTION("""COMPUTED_VALUE"""),"Not Available")</f>
        <v>Not Available</v>
      </c>
      <c r="V91" s="124" t="str">
        <f>IFERROR(__xludf.DUMMYFUNCTION("""COMPUTED_VALUE"""),"Not Available")</f>
        <v>Not Available</v>
      </c>
      <c r="W91" s="124" t="str">
        <f>IFERROR(__xludf.DUMMYFUNCTION("""COMPUTED_VALUE"""),"Not Available")</f>
        <v>Not Available</v>
      </c>
    </row>
    <row r="92">
      <c r="A92" s="124" t="str">
        <f t="shared" si="1"/>
        <v>dhimanak2004@gmail.com</v>
      </c>
      <c r="B92" s="131">
        <f>IFERROR(__xludf.DUMMYFUNCTION("""COMPUTED_VALUE"""),46051.0)</f>
        <v>46051</v>
      </c>
      <c r="C92" s="124" t="str">
        <f>IFERROR(__xludf.DUMMYFUNCTION("""COMPUTED_VALUE"""),"Payment data from Collexo")</f>
        <v>Payment data from Collexo</v>
      </c>
      <c r="D92" s="124" t="str">
        <f>IFERROR(__xludf.DUMMYFUNCTION("""COMPUTED_VALUE"""),"Not Available")</f>
        <v>Not Available</v>
      </c>
      <c r="E92" s="124">
        <f>IFERROR(__xludf.DUMMYFUNCTION("""COMPUTED_VALUE"""),1500609.0)</f>
        <v>1500609</v>
      </c>
      <c r="F92" s="124" t="str">
        <f>IFERROR(__xludf.DUMMYFUNCTION("""COMPUTED_VALUE"""),"2865_988_7")</f>
        <v>2865_988_7</v>
      </c>
      <c r="G92" s="124">
        <f>IFERROR(__xludf.DUMMYFUNCTION("""COMPUTED_VALUE"""),10000.0)</f>
        <v>10000</v>
      </c>
      <c r="H92" s="131">
        <f>IFERROR(__xludf.DUMMYFUNCTION("""COMPUTED_VALUE"""),46053.0)</f>
        <v>46053</v>
      </c>
      <c r="I92" s="124">
        <f>IFERROR(__xludf.DUMMYFUNCTION("""COMPUTED_VALUE"""),90000.0)</f>
        <v>90000</v>
      </c>
      <c r="J92" s="124">
        <f>IFERROR(__xludf.DUMMYFUNCTION("""COMPUTED_VALUE"""),100000.0)</f>
        <v>100000</v>
      </c>
      <c r="K92" s="124">
        <f>IFERROR(__xludf.DUMMYFUNCTION("""COMPUTED_VALUE"""),2.0)</f>
        <v>2</v>
      </c>
      <c r="L92" s="124">
        <f>IFERROR(__xludf.DUMMYFUNCTION("""COMPUTED_VALUE"""),128.0)</f>
        <v>128</v>
      </c>
      <c r="M92" s="124" t="str">
        <f>IFERROR(__xludf.DUMMYFUNCTION("""COMPUTED_VALUE"""),"New Delhi")</f>
        <v>New Delhi</v>
      </c>
      <c r="N92" s="124" t="str">
        <f>IFERROR(__xludf.DUMMYFUNCTION("""COMPUTED_VALUE"""),"dhimanak2004@gmail.com")</f>
        <v>dhimanak2004@gmail.com</v>
      </c>
      <c r="O92" s="124" t="str">
        <f>IFERROR(__xludf.DUMMYFUNCTION("""COMPUTED_VALUE"""),"Akshay")</f>
        <v>Akshay</v>
      </c>
      <c r="P92" s="124">
        <f>IFERROR(__xludf.DUMMYFUNCTION("""COMPUTED_VALUE"""),88384.0)</f>
        <v>88384</v>
      </c>
      <c r="Q92" s="124" t="str">
        <f>IFERROR(__xludf.DUMMYFUNCTION("""COMPUTED_VALUE"""),"upsc-gs-foundation-hinglish-target-2027-gsf-upsc-m02-orn")</f>
        <v>upsc-gs-foundation-hinglish-target-2027-gsf-upsc-m02-orn</v>
      </c>
      <c r="R92" s="124" t="str">
        <f>IFERROR(__xludf.DUMMYFUNCTION("""COMPUTED_VALUE"""),"GS Foundation Course")</f>
        <v>GS Foundation Course</v>
      </c>
      <c r="S92" s="124">
        <f>IFERROR(__xludf.DUMMYFUNCTION("""COMPUTED_VALUE"""),8.218271839E9)</f>
        <v>8218271839</v>
      </c>
      <c r="T92" s="124" t="str">
        <f>IFERROR(__xludf.DUMMYFUNCTION("""COMPUTED_VALUE"""),"Collexo")</f>
        <v>Collexo</v>
      </c>
      <c r="U92" s="124" t="str">
        <f>IFERROR(__xludf.DUMMYFUNCTION("""COMPUTED_VALUE"""),"Success")</f>
        <v>Success</v>
      </c>
      <c r="V92" s="131">
        <f>IFERROR(__xludf.DUMMYFUNCTION("""COMPUTED_VALUE"""),46051.0)</f>
        <v>46051</v>
      </c>
      <c r="W92" s="124">
        <f>IFERROR(__xludf.DUMMYFUNCTION("""COMPUTED_VALUE"""),0.0)</f>
        <v>0</v>
      </c>
    </row>
    <row r="93">
      <c r="A93" s="124" t="str">
        <f t="shared" si="1"/>
        <v>keshrisanya53@gmail.com</v>
      </c>
      <c r="B93" s="131">
        <f>IFERROR(__xludf.DUMMYFUNCTION("""COMPUTED_VALUE"""),46092.0)</f>
        <v>46092</v>
      </c>
      <c r="C93" s="124" t="str">
        <f>IFERROR(__xludf.DUMMYFUNCTION("""COMPUTED_VALUE"""),"Payment data from Collexo")</f>
        <v>Payment data from Collexo</v>
      </c>
      <c r="D93" s="124" t="str">
        <f>IFERROR(__xludf.DUMMYFUNCTION("""COMPUTED_VALUE"""),"Not Available")</f>
        <v>Not Available</v>
      </c>
      <c r="E93" s="124">
        <f>IFERROR(__xludf.DUMMYFUNCTION("""COMPUTED_VALUE"""),1500613.0)</f>
        <v>1500613</v>
      </c>
      <c r="F93" s="124">
        <f>IFERROR(__xludf.DUMMYFUNCTION("""COMPUTED_VALUE"""),125023.0)</f>
        <v>125023</v>
      </c>
      <c r="G93" s="124">
        <f>IFERROR(__xludf.DUMMYFUNCTION("""COMPUTED_VALUE"""),1000.0)</f>
        <v>1000</v>
      </c>
      <c r="H93" s="131">
        <f>IFERROR(__xludf.DUMMYFUNCTION("""COMPUTED_VALUE"""),46101.0)</f>
        <v>46101</v>
      </c>
      <c r="I93" s="124">
        <f>IFERROR(__xludf.DUMMYFUNCTION("""COMPUTED_VALUE"""),33000.0)</f>
        <v>33000</v>
      </c>
      <c r="J93" s="124">
        <f>IFERROR(__xludf.DUMMYFUNCTION("""COMPUTED_VALUE"""),34000.0)</f>
        <v>34000</v>
      </c>
      <c r="K93" s="124">
        <f>IFERROR(__xludf.DUMMYFUNCTION("""COMPUTED_VALUE"""),2.0)</f>
        <v>2</v>
      </c>
      <c r="L93" s="124">
        <f>IFERROR(__xludf.DUMMYFUNCTION("""COMPUTED_VALUE"""),485.0)</f>
        <v>485</v>
      </c>
      <c r="M93" s="124" t="str">
        <f>IFERROR(__xludf.DUMMYFUNCTION("""COMPUTED_VALUE"""),"Prayagraj")</f>
        <v>Prayagraj</v>
      </c>
      <c r="N93" s="124" t="str">
        <f>IFERROR(__xludf.DUMMYFUNCTION("""COMPUTED_VALUE"""),"keshrisanya53@gmail.com")</f>
        <v>keshrisanya53@gmail.com</v>
      </c>
      <c r="O93" s="124" t="str">
        <f>IFERROR(__xludf.DUMMYFUNCTION("""COMPUTED_VALUE"""),"Sanya")</f>
        <v>Sanya</v>
      </c>
      <c r="P93" s="124">
        <f>IFERROR(__xludf.DUMMYFUNCTION("""COMPUTED_VALUE"""),125023.0)</f>
        <v>125023</v>
      </c>
      <c r="Q93" s="124" t="str">
        <f>IFERROR(__xludf.DUMMYFUNCTION("""COMPUTED_VALUE"""),"upsc-gs-foundation-hinglish-target-2027-gsf-upsc-e03-pry")</f>
        <v>upsc-gs-foundation-hinglish-target-2027-gsf-upsc-e03-pry</v>
      </c>
      <c r="R93" s="124" t="str">
        <f>IFERROR(__xludf.DUMMYFUNCTION("""COMPUTED_VALUE"""),"GS Foundation Course")</f>
        <v>GS Foundation Course</v>
      </c>
      <c r="S93" s="124">
        <f>IFERROR(__xludf.DUMMYFUNCTION("""COMPUTED_VALUE"""),8.381946988E9)</f>
        <v>8381946988</v>
      </c>
      <c r="T93" s="124" t="str">
        <f>IFERROR(__xludf.DUMMYFUNCTION("""COMPUTED_VALUE"""),"Not Available")</f>
        <v>Not Available</v>
      </c>
      <c r="U93" s="124" t="str">
        <f>IFERROR(__xludf.DUMMYFUNCTION("""COMPUTED_VALUE"""),"Not Available")</f>
        <v>Not Available</v>
      </c>
      <c r="V93" s="124" t="str">
        <f>IFERROR(__xludf.DUMMYFUNCTION("""COMPUTED_VALUE"""),"Not Available")</f>
        <v>Not Available</v>
      </c>
      <c r="W93" s="124" t="str">
        <f>IFERROR(__xludf.DUMMYFUNCTION("""COMPUTED_VALUE"""),"Not Available")</f>
        <v>Not Available</v>
      </c>
    </row>
    <row r="94">
      <c r="A94" s="124" t="str">
        <f t="shared" si="1"/>
        <v>sb1409948@gmail.com</v>
      </c>
      <c r="B94" s="131">
        <f>IFERROR(__xludf.DUMMYFUNCTION("""COMPUTED_VALUE"""),46068.0)</f>
        <v>46068</v>
      </c>
      <c r="C94" s="124" t="str">
        <f>IFERROR(__xludf.DUMMYFUNCTION("""COMPUTED_VALUE"""),"Payment data from Collexo")</f>
        <v>Payment data from Collexo</v>
      </c>
      <c r="D94" s="124" t="str">
        <f>IFERROR(__xludf.DUMMYFUNCTION("""COMPUTED_VALUE"""),"Not Available")</f>
        <v>Not Available</v>
      </c>
      <c r="E94" s="124">
        <f>IFERROR(__xludf.DUMMYFUNCTION("""COMPUTED_VALUE"""),1500613.0)</f>
        <v>1500613</v>
      </c>
      <c r="F94" s="124">
        <f>IFERROR(__xludf.DUMMYFUNCTION("""COMPUTED_VALUE"""),80125.0)</f>
        <v>80125</v>
      </c>
      <c r="G94" s="124">
        <f>IFERROR(__xludf.DUMMYFUNCTION("""COMPUTED_VALUE"""),40000.0)</f>
        <v>40000</v>
      </c>
      <c r="H94" s="124" t="str">
        <f>IFERROR(__xludf.DUMMYFUNCTION("""COMPUTED_VALUE"""),"Not Available")</f>
        <v>Not Available</v>
      </c>
      <c r="I94" s="124">
        <f>IFERROR(__xludf.DUMMYFUNCTION("""COMPUTED_VALUE"""),0.0)</f>
        <v>0</v>
      </c>
      <c r="J94" s="124">
        <f>IFERROR(__xludf.DUMMYFUNCTION("""COMPUTED_VALUE"""),40000.0)</f>
        <v>40000</v>
      </c>
      <c r="K94" s="124">
        <f>IFERROR(__xludf.DUMMYFUNCTION("""COMPUTED_VALUE"""),1.0)</f>
        <v>1</v>
      </c>
      <c r="L94" s="124">
        <f>IFERROR(__xludf.DUMMYFUNCTION("""COMPUTED_VALUE"""),217.0)</f>
        <v>217</v>
      </c>
      <c r="M94" s="124" t="str">
        <f>IFERROR(__xludf.DUMMYFUNCTION("""COMPUTED_VALUE"""),"Prayagraj")</f>
        <v>Prayagraj</v>
      </c>
      <c r="N94" s="124" t="str">
        <f>IFERROR(__xludf.DUMMYFUNCTION("""COMPUTED_VALUE"""),"sb1409948@gmail.com")</f>
        <v>sb1409948@gmail.com</v>
      </c>
      <c r="O94" s="124" t="str">
        <f>IFERROR(__xludf.DUMMYFUNCTION("""COMPUTED_VALUE"""),"SURAJ")</f>
        <v>SURAJ</v>
      </c>
      <c r="P94" s="124">
        <f>IFERROR(__xludf.DUMMYFUNCTION("""COMPUTED_VALUE"""),80125.0)</f>
        <v>80125</v>
      </c>
      <c r="Q94" s="124" t="str">
        <f>IFERROR(__xludf.DUMMYFUNCTION("""COMPUTED_VALUE"""),"upsc-gs-foundation-hindi-target-2027-gsf-upsc-m02-pry")</f>
        <v>upsc-gs-foundation-hindi-target-2027-gsf-upsc-m02-pry</v>
      </c>
      <c r="R94" s="124" t="str">
        <f>IFERROR(__xludf.DUMMYFUNCTION("""COMPUTED_VALUE"""),"GS Foundation Course")</f>
        <v>GS Foundation Course</v>
      </c>
      <c r="S94" s="124">
        <f>IFERROR(__xludf.DUMMYFUNCTION("""COMPUTED_VALUE"""),7.753870534E9)</f>
        <v>7753870534</v>
      </c>
      <c r="T94" s="124" t="str">
        <f>IFERROR(__xludf.DUMMYFUNCTION("""COMPUTED_VALUE"""),"Not Available")</f>
        <v>Not Available</v>
      </c>
      <c r="U94" s="124" t="str">
        <f>IFERROR(__xludf.DUMMYFUNCTION("""COMPUTED_VALUE"""),"Not Available")</f>
        <v>Not Available</v>
      </c>
      <c r="V94" s="124" t="str">
        <f>IFERROR(__xludf.DUMMYFUNCTION("""COMPUTED_VALUE"""),"Not Available")</f>
        <v>Not Available</v>
      </c>
      <c r="W94" s="124" t="str">
        <f>IFERROR(__xludf.DUMMYFUNCTION("""COMPUTED_VALUE"""),"Not Available")</f>
        <v>Not Available</v>
      </c>
    </row>
    <row r="95">
      <c r="A95" s="124" t="str">
        <f t="shared" si="1"/>
        <v>ks1965532@gmail.com</v>
      </c>
      <c r="B95" s="131">
        <f>IFERROR(__xludf.DUMMYFUNCTION("""COMPUTED_VALUE"""),46087.0)</f>
        <v>46087</v>
      </c>
      <c r="C95" s="124" t="str">
        <f>IFERROR(__xludf.DUMMYFUNCTION("""COMPUTED_VALUE"""),"Payment data from Collexo")</f>
        <v>Payment data from Collexo</v>
      </c>
      <c r="D95" s="124" t="str">
        <f>IFERROR(__xludf.DUMMYFUNCTION("""COMPUTED_VALUE"""),"Not Available")</f>
        <v>Not Available</v>
      </c>
      <c r="E95" s="124">
        <f>IFERROR(__xludf.DUMMYFUNCTION("""COMPUTED_VALUE"""),1500609.0)</f>
        <v>1500609</v>
      </c>
      <c r="F95" s="124" t="str">
        <f>IFERROR(__xludf.DUMMYFUNCTION("""COMPUTED_VALUE"""),"12790_988_7")</f>
        <v>12790_988_7</v>
      </c>
      <c r="G95" s="124">
        <f>IFERROR(__xludf.DUMMYFUNCTION("""COMPUTED_VALUE"""),26000.0)</f>
        <v>26000</v>
      </c>
      <c r="H95" s="131">
        <f>IFERROR(__xludf.DUMMYFUNCTION("""COMPUTED_VALUE"""),46094.0)</f>
        <v>46094</v>
      </c>
      <c r="I95" s="124">
        <f>IFERROR(__xludf.DUMMYFUNCTION("""COMPUTED_VALUE"""),104000.0)</f>
        <v>104000</v>
      </c>
      <c r="J95" s="124">
        <f>IFERROR(__xludf.DUMMYFUNCTION("""COMPUTED_VALUE"""),130000.0)</f>
        <v>130000</v>
      </c>
      <c r="K95" s="124">
        <f>IFERROR(__xludf.DUMMYFUNCTION("""COMPUTED_VALUE"""),2.0)</f>
        <v>2</v>
      </c>
      <c r="L95" s="124">
        <f>IFERROR(__xludf.DUMMYFUNCTION("""COMPUTED_VALUE"""),417.0)</f>
        <v>417</v>
      </c>
      <c r="M95" s="124" t="str">
        <f>IFERROR(__xludf.DUMMYFUNCTION("""COMPUTED_VALUE"""),"New Delhi")</f>
        <v>New Delhi</v>
      </c>
      <c r="N95" s="124" t="str">
        <f>IFERROR(__xludf.DUMMYFUNCTION("""COMPUTED_VALUE"""),"ks1965532@gmail.com")</f>
        <v>ks1965532@gmail.com</v>
      </c>
      <c r="O95" s="124" t="str">
        <f>IFERROR(__xludf.DUMMYFUNCTION("""COMPUTED_VALUE"""),"Komal")</f>
        <v>Komal</v>
      </c>
      <c r="P95" s="124">
        <f>IFERROR(__xludf.DUMMYFUNCTION("""COMPUTED_VALUE"""),126120.0)</f>
        <v>126120</v>
      </c>
      <c r="Q95" s="124" t="str">
        <f>IFERROR(__xludf.DUMMYFUNCTION("""COMPUTED_VALUE"""),"upsc-gs-foundation-hinglish-target-2028-gsf-upsc-m05-orn")</f>
        <v>upsc-gs-foundation-hinglish-target-2028-gsf-upsc-m05-orn</v>
      </c>
      <c r="R95" s="124" t="str">
        <f>IFERROR(__xludf.DUMMYFUNCTION("""COMPUTED_VALUE"""),"GS Foundation Course")</f>
        <v>GS Foundation Course</v>
      </c>
      <c r="S95" s="124">
        <f>IFERROR(__xludf.DUMMYFUNCTION("""COMPUTED_VALUE"""),9.053823253E9)</f>
        <v>9053823253</v>
      </c>
      <c r="T95" s="124" t="str">
        <f>IFERROR(__xludf.DUMMYFUNCTION("""COMPUTED_VALUE"""),"Collexo")</f>
        <v>Collexo</v>
      </c>
      <c r="U95" s="124" t="str">
        <f>IFERROR(__xludf.DUMMYFUNCTION("""COMPUTED_VALUE"""),"Success")</f>
        <v>Success</v>
      </c>
      <c r="V95" s="131">
        <f>IFERROR(__xludf.DUMMYFUNCTION("""COMPUTED_VALUE"""),46087.0)</f>
        <v>46087</v>
      </c>
      <c r="W95" s="124">
        <f>IFERROR(__xludf.DUMMYFUNCTION("""COMPUTED_VALUE"""),0.0)</f>
        <v>0</v>
      </c>
    </row>
    <row r="96">
      <c r="A96" s="124" t="str">
        <f t="shared" si="1"/>
        <v>tiwarishivank778@gmail.com</v>
      </c>
      <c r="B96" s="131">
        <f>IFERROR(__xludf.DUMMYFUNCTION("""COMPUTED_VALUE"""),46092.0)</f>
        <v>46092</v>
      </c>
      <c r="C96" s="124" t="str">
        <f>IFERROR(__xludf.DUMMYFUNCTION("""COMPUTED_VALUE"""),"Payment data from Collexo")</f>
        <v>Payment data from Collexo</v>
      </c>
      <c r="D96" s="124" t="str">
        <f>IFERROR(__xludf.DUMMYFUNCTION("""COMPUTED_VALUE"""),"Not Available")</f>
        <v>Not Available</v>
      </c>
      <c r="E96" s="124">
        <f>IFERROR(__xludf.DUMMYFUNCTION("""COMPUTED_VALUE"""),1500609.0)</f>
        <v>1500609</v>
      </c>
      <c r="F96" s="124" t="str">
        <f>IFERROR(__xludf.DUMMYFUNCTION("""COMPUTED_VALUE"""),"13626_988_7")</f>
        <v>13626_988_7</v>
      </c>
      <c r="G96" s="124">
        <f>IFERROR(__xludf.DUMMYFUNCTION("""COMPUTED_VALUE"""),10000.0)</f>
        <v>10000</v>
      </c>
      <c r="H96" s="124" t="str">
        <f>IFERROR(__xludf.DUMMYFUNCTION("""COMPUTED_VALUE"""),"Not Available")</f>
        <v>Not Available</v>
      </c>
      <c r="I96" s="124">
        <f>IFERROR(__xludf.DUMMYFUNCTION("""COMPUTED_VALUE"""),0.0)</f>
        <v>0</v>
      </c>
      <c r="J96" s="124">
        <f>IFERROR(__xludf.DUMMYFUNCTION("""COMPUTED_VALUE"""),100000.0)</f>
        <v>100000</v>
      </c>
      <c r="K96" s="124">
        <f>IFERROR(__xludf.DUMMYFUNCTION("""COMPUTED_VALUE"""),3.0)</f>
        <v>3</v>
      </c>
      <c r="L96" s="124">
        <f>IFERROR(__xludf.DUMMYFUNCTION("""COMPUTED_VALUE"""),484.0)</f>
        <v>484</v>
      </c>
      <c r="M96" s="124" t="str">
        <f>IFERROR(__xludf.DUMMYFUNCTION("""COMPUTED_VALUE"""),"New Delhi")</f>
        <v>New Delhi</v>
      </c>
      <c r="N96" s="124" t="str">
        <f>IFERROR(__xludf.DUMMYFUNCTION("""COMPUTED_VALUE"""),"tiwarishivank778@gmail.com")</f>
        <v>tiwarishivank778@gmail.com</v>
      </c>
      <c r="O96" s="124" t="str">
        <f>IFERROR(__xludf.DUMMYFUNCTION("""COMPUTED_VALUE"""),"Shiwank")</f>
        <v>Shiwank</v>
      </c>
      <c r="P96" s="124">
        <f>IFERROR(__xludf.DUMMYFUNCTION("""COMPUTED_VALUE"""),14600.0)</f>
        <v>14600</v>
      </c>
      <c r="Q96" s="124" t="str">
        <f>IFERROR(__xludf.DUMMYFUNCTION("""COMPUTED_VALUE"""),"ncert-foundation-hinglish-target-2026-nce-upsc-e02-orn")</f>
        <v>ncert-foundation-hinglish-target-2026-nce-upsc-e02-orn</v>
      </c>
      <c r="R96" s="124" t="str">
        <f>IFERROR(__xludf.DUMMYFUNCTION("""COMPUTED_VALUE"""),"GS Foundation Course")</f>
        <v>GS Foundation Course</v>
      </c>
      <c r="S96" s="124">
        <f>IFERROR(__xludf.DUMMYFUNCTION("""COMPUTED_VALUE"""),9.918526032E9)</f>
        <v>9918526032</v>
      </c>
      <c r="T96" s="124" t="str">
        <f>IFERROR(__xludf.DUMMYFUNCTION("""COMPUTED_VALUE"""),"Not Available")</f>
        <v>Not Available</v>
      </c>
      <c r="U96" s="124" t="str">
        <f>IFERROR(__xludf.DUMMYFUNCTION("""COMPUTED_VALUE"""),"Not Available")</f>
        <v>Not Available</v>
      </c>
      <c r="V96" s="124" t="str">
        <f>IFERROR(__xludf.DUMMYFUNCTION("""COMPUTED_VALUE"""),"Not Available")</f>
        <v>Not Available</v>
      </c>
      <c r="W96" s="124" t="str">
        <f>IFERROR(__xludf.DUMMYFUNCTION("""COMPUTED_VALUE"""),"Not Available")</f>
        <v>Not Available</v>
      </c>
    </row>
    <row r="97">
      <c r="A97" s="124" t="str">
        <f t="shared" si="1"/>
        <v>sandeeprichasaurabh@gmai.com</v>
      </c>
      <c r="B97" s="131">
        <f>IFERROR(__xludf.DUMMYFUNCTION("""COMPUTED_VALUE"""),46073.0)</f>
        <v>46073</v>
      </c>
      <c r="C97" s="124" t="str">
        <f>IFERROR(__xludf.DUMMYFUNCTION("""COMPUTED_VALUE"""),"Payment data from Collexo")</f>
        <v>Payment data from Collexo</v>
      </c>
      <c r="D97" s="124" t="str">
        <f>IFERROR(__xludf.DUMMYFUNCTION("""COMPUTED_VALUE"""),"Not Available")</f>
        <v>Not Available</v>
      </c>
      <c r="E97" s="124">
        <f>IFERROR(__xludf.DUMMYFUNCTION("""COMPUTED_VALUE"""),1500610.0)</f>
        <v>1500610</v>
      </c>
      <c r="F97" s="124">
        <f>IFERROR(__xludf.DUMMYFUNCTION("""COMPUTED_VALUE"""),36197.0)</f>
        <v>36197</v>
      </c>
      <c r="G97" s="124">
        <f>IFERROR(__xludf.DUMMYFUNCTION("""COMPUTED_VALUE"""),3587.0)</f>
        <v>3587</v>
      </c>
      <c r="H97" s="131">
        <f>IFERROR(__xludf.DUMMYFUNCTION("""COMPUTED_VALUE"""),46073.0)</f>
        <v>46073</v>
      </c>
      <c r="I97" s="124">
        <f>IFERROR(__xludf.DUMMYFUNCTION("""COMPUTED_VALUE"""),21413.0)</f>
        <v>21413</v>
      </c>
      <c r="J97" s="124">
        <f>IFERROR(__xludf.DUMMYFUNCTION("""COMPUTED_VALUE"""),25000.0)</f>
        <v>25000</v>
      </c>
      <c r="K97" s="124">
        <f>IFERROR(__xludf.DUMMYFUNCTION("""COMPUTED_VALUE"""),2.0)</f>
        <v>2</v>
      </c>
      <c r="L97" s="124">
        <f>IFERROR(__xludf.DUMMYFUNCTION("""COMPUTED_VALUE"""),283.0)</f>
        <v>283</v>
      </c>
      <c r="M97" s="124" t="str">
        <f>IFERROR(__xludf.DUMMYFUNCTION("""COMPUTED_VALUE"""),"Lucknow")</f>
        <v>Lucknow</v>
      </c>
      <c r="N97" s="124" t="str">
        <f>IFERROR(__xludf.DUMMYFUNCTION("""COMPUTED_VALUE"""),"sandeeprichasaurabh@gmai.com")</f>
        <v>sandeeprichasaurabh@gmai.com</v>
      </c>
      <c r="O97" s="124" t="str">
        <f>IFERROR(__xludf.DUMMYFUNCTION("""COMPUTED_VALUE"""),"Sandeep")</f>
        <v>Sandeep</v>
      </c>
      <c r="P97" s="124">
        <f>IFERROR(__xludf.DUMMYFUNCTION("""COMPUTED_VALUE"""),36197.0)</f>
        <v>36197</v>
      </c>
      <c r="Q97" s="124" t="str">
        <f>IFERROR(__xludf.DUMMYFUNCTION("""COMPUTED_VALUE"""),"upsc-gs-foundation-hinglish-target-2028-gsf-upsc-e02-lko")</f>
        <v>upsc-gs-foundation-hinglish-target-2028-gsf-upsc-e02-lko</v>
      </c>
      <c r="R97" s="124" t="str">
        <f>IFERROR(__xludf.DUMMYFUNCTION("""COMPUTED_VALUE"""),"GS Foundation Course")</f>
        <v>GS Foundation Course</v>
      </c>
      <c r="S97" s="124">
        <f>IFERROR(__xludf.DUMMYFUNCTION("""COMPUTED_VALUE"""),6.387381393E9)</f>
        <v>6387381393</v>
      </c>
      <c r="T97" s="124" t="str">
        <f>IFERROR(__xludf.DUMMYFUNCTION("""COMPUTED_VALUE"""),"Not Available")</f>
        <v>Not Available</v>
      </c>
      <c r="U97" s="124" t="str">
        <f>IFERROR(__xludf.DUMMYFUNCTION("""COMPUTED_VALUE"""),"Not Available")</f>
        <v>Not Available</v>
      </c>
      <c r="V97" s="124" t="str">
        <f>IFERROR(__xludf.DUMMYFUNCTION("""COMPUTED_VALUE"""),"Not Available")</f>
        <v>Not Available</v>
      </c>
      <c r="W97" s="124" t="str">
        <f>IFERROR(__xludf.DUMMYFUNCTION("""COMPUTED_VALUE"""),"Not Available")</f>
        <v>Not Available</v>
      </c>
    </row>
    <row r="98">
      <c r="A98" s="124" t="str">
        <f t="shared" si="1"/>
        <v>yv5895774@gmail.com</v>
      </c>
      <c r="B98" s="131">
        <f>IFERROR(__xludf.DUMMYFUNCTION("""COMPUTED_VALUE"""),46111.0)</f>
        <v>46111</v>
      </c>
      <c r="C98" s="124" t="str">
        <f>IFERROR(__xludf.DUMMYFUNCTION("""COMPUTED_VALUE"""),"Payment data from Collexo")</f>
        <v>Payment data from Collexo</v>
      </c>
      <c r="D98" s="124" t="str">
        <f>IFERROR(__xludf.DUMMYFUNCTION("""COMPUTED_VALUE"""),"Not Available")</f>
        <v>Not Available</v>
      </c>
      <c r="E98" s="124">
        <f>IFERROR(__xludf.DUMMYFUNCTION("""COMPUTED_VALUE"""),1500610.0)</f>
        <v>1500610</v>
      </c>
      <c r="F98" s="124">
        <f>IFERROR(__xludf.DUMMYFUNCTION("""COMPUTED_VALUE"""),139365.0)</f>
        <v>139365</v>
      </c>
      <c r="G98" s="124">
        <f>IFERROR(__xludf.DUMMYFUNCTION("""COMPUTED_VALUE"""),46056.0)</f>
        <v>46056</v>
      </c>
      <c r="H98" s="124" t="str">
        <f>IFERROR(__xludf.DUMMYFUNCTION("""COMPUTED_VALUE"""),"Not Available")</f>
        <v>Not Available</v>
      </c>
      <c r="I98" s="124">
        <f>IFERROR(__xludf.DUMMYFUNCTION("""COMPUTED_VALUE"""),0.0)</f>
        <v>0</v>
      </c>
      <c r="J98" s="124">
        <f>IFERROR(__xludf.DUMMYFUNCTION("""COMPUTED_VALUE"""),55000.0)</f>
        <v>55000</v>
      </c>
      <c r="K98" s="124">
        <f>IFERROR(__xludf.DUMMYFUNCTION("""COMPUTED_VALUE"""),2.0)</f>
        <v>2</v>
      </c>
      <c r="L98" s="124">
        <f>IFERROR(__xludf.DUMMYFUNCTION("""COMPUTED_VALUE"""),848.0)</f>
        <v>848</v>
      </c>
      <c r="M98" s="124" t="str">
        <f>IFERROR(__xludf.DUMMYFUNCTION("""COMPUTED_VALUE"""),"Lucknow")</f>
        <v>Lucknow</v>
      </c>
      <c r="N98" s="124" t="str">
        <f>IFERROR(__xludf.DUMMYFUNCTION("""COMPUTED_VALUE"""),"yv5895774@gmail.com")</f>
        <v>yv5895774@gmail.com</v>
      </c>
      <c r="O98" s="124" t="str">
        <f>IFERROR(__xludf.DUMMYFUNCTION("""COMPUTED_VALUE"""),"Vivek Lav Yadav")</f>
        <v>Vivek Lav Yadav</v>
      </c>
      <c r="P98" s="124">
        <f>IFERROR(__xludf.DUMMYFUNCTION("""COMPUTED_VALUE"""),139365.0)</f>
        <v>139365</v>
      </c>
      <c r="Q98" s="124" t="str">
        <f>IFERROR(__xludf.DUMMYFUNCTION("""COMPUTED_VALUE"""),"Not Available")</f>
        <v>Not Available</v>
      </c>
      <c r="R98" s="124" t="str">
        <f>IFERROR(__xludf.DUMMYFUNCTION("""COMPUTED_VALUE"""),"GS Foundation Course")</f>
        <v>GS Foundation Course</v>
      </c>
      <c r="S98" s="124">
        <f>IFERROR(__xludf.DUMMYFUNCTION("""COMPUTED_VALUE"""),6.394233709E9)</f>
        <v>6394233709</v>
      </c>
      <c r="T98" s="124" t="str">
        <f>IFERROR(__xludf.DUMMYFUNCTION("""COMPUTED_VALUE"""),"Not Available")</f>
        <v>Not Available</v>
      </c>
      <c r="U98" s="124" t="str">
        <f>IFERROR(__xludf.DUMMYFUNCTION("""COMPUTED_VALUE"""),"Not Available")</f>
        <v>Not Available</v>
      </c>
      <c r="V98" s="124" t="str">
        <f>IFERROR(__xludf.DUMMYFUNCTION("""COMPUTED_VALUE"""),"Not Available")</f>
        <v>Not Available</v>
      </c>
      <c r="W98" s="124" t="str">
        <f>IFERROR(__xludf.DUMMYFUNCTION("""COMPUTED_VALUE"""),"Not Available")</f>
        <v>Not Available</v>
      </c>
    </row>
    <row r="99">
      <c r="A99" s="124" t="str">
        <f t="shared" si="1"/>
        <v>prajapatmohit372@gmail.com</v>
      </c>
      <c r="B99" s="131">
        <f>IFERROR(__xludf.DUMMYFUNCTION("""COMPUTED_VALUE"""),46100.0)</f>
        <v>46100</v>
      </c>
      <c r="C99" s="124" t="str">
        <f>IFERROR(__xludf.DUMMYFUNCTION("""COMPUTED_VALUE"""),"Payment data from Collexo")</f>
        <v>Payment data from Collexo</v>
      </c>
      <c r="D99" s="124" t="str">
        <f>IFERROR(__xludf.DUMMYFUNCTION("""COMPUTED_VALUE"""),"Not Available")</f>
        <v>Not Available</v>
      </c>
      <c r="E99" s="124">
        <f>IFERROR(__xludf.DUMMYFUNCTION("""COMPUTED_VALUE"""),1500609.0)</f>
        <v>1500609</v>
      </c>
      <c r="F99" s="124" t="str">
        <f>IFERROR(__xludf.DUMMYFUNCTION("""COMPUTED_VALUE"""),"15324_988_7")</f>
        <v>15324_988_7</v>
      </c>
      <c r="G99" s="124">
        <f>IFERROR(__xludf.DUMMYFUNCTION("""COMPUTED_VALUE"""),1000.0)</f>
        <v>1000</v>
      </c>
      <c r="H99" s="131">
        <f>IFERROR(__xludf.DUMMYFUNCTION("""COMPUTED_VALUE"""),46112.0)</f>
        <v>46112</v>
      </c>
      <c r="I99" s="124">
        <f>IFERROR(__xludf.DUMMYFUNCTION("""COMPUTED_VALUE"""),94000.0)</f>
        <v>94000</v>
      </c>
      <c r="J99" s="124">
        <f>IFERROR(__xludf.DUMMYFUNCTION("""COMPUTED_VALUE"""),95000.0)</f>
        <v>95000</v>
      </c>
      <c r="K99" s="124">
        <f>IFERROR(__xludf.DUMMYFUNCTION("""COMPUTED_VALUE"""),2.0)</f>
        <v>2</v>
      </c>
      <c r="L99" s="124">
        <f>IFERROR(__xludf.DUMMYFUNCTION("""COMPUTED_VALUE"""),625.0)</f>
        <v>625</v>
      </c>
      <c r="M99" s="124" t="str">
        <f>IFERROR(__xludf.DUMMYFUNCTION("""COMPUTED_VALUE"""),"New Delhi")</f>
        <v>New Delhi</v>
      </c>
      <c r="N99" s="124" t="str">
        <f>IFERROR(__xludf.DUMMYFUNCTION("""COMPUTED_VALUE"""),"prajapatmohit372@gmail.com")</f>
        <v>prajapatmohit372@gmail.com</v>
      </c>
      <c r="O99" s="124" t="str">
        <f>IFERROR(__xludf.DUMMYFUNCTION("""COMPUTED_VALUE"""),"Mohit prajapat")</f>
        <v>Mohit prajapat</v>
      </c>
      <c r="P99" s="124">
        <f>IFERROR(__xludf.DUMMYFUNCTION("""COMPUTED_VALUE"""),124593.0)</f>
        <v>124593</v>
      </c>
      <c r="Q99" s="124" t="str">
        <f>IFERROR(__xludf.DUMMYFUNCTION("""COMPUTED_VALUE"""),"upsc-gs-foundation-hinglish-target-2028-gsf-upsc-e05-orn")</f>
        <v>upsc-gs-foundation-hinglish-target-2028-gsf-upsc-e05-orn</v>
      </c>
      <c r="R99" s="124" t="str">
        <f>IFERROR(__xludf.DUMMYFUNCTION("""COMPUTED_VALUE"""),"GS Foundation Course")</f>
        <v>GS Foundation Course</v>
      </c>
      <c r="S99" s="124">
        <f>IFERROR(__xludf.DUMMYFUNCTION("""COMPUTED_VALUE"""),9.257006657E9)</f>
        <v>9257006657</v>
      </c>
      <c r="T99" s="124" t="str">
        <f>IFERROR(__xludf.DUMMYFUNCTION("""COMPUTED_VALUE"""),"Collexo")</f>
        <v>Collexo</v>
      </c>
      <c r="U99" s="124" t="str">
        <f>IFERROR(__xludf.DUMMYFUNCTION("""COMPUTED_VALUE"""),"Success")</f>
        <v>Success</v>
      </c>
      <c r="V99" s="131">
        <f>IFERROR(__xludf.DUMMYFUNCTION("""COMPUTED_VALUE"""),46100.0)</f>
        <v>46100</v>
      </c>
      <c r="W99" s="124">
        <f>IFERROR(__xludf.DUMMYFUNCTION("""COMPUTED_VALUE"""),0.0)</f>
        <v>0</v>
      </c>
    </row>
    <row r="100">
      <c r="A100" s="124" t="str">
        <f t="shared" si="1"/>
        <v>sy8840381490@gmail.com</v>
      </c>
      <c r="B100" s="131">
        <f>IFERROR(__xludf.DUMMYFUNCTION("""COMPUTED_VALUE"""),46100.0)</f>
        <v>46100</v>
      </c>
      <c r="C100" s="124" t="str">
        <f>IFERROR(__xludf.DUMMYFUNCTION("""COMPUTED_VALUE"""),"Payment data from Collexo")</f>
        <v>Payment data from Collexo</v>
      </c>
      <c r="D100" s="124" t="str">
        <f>IFERROR(__xludf.DUMMYFUNCTION("""COMPUTED_VALUE"""),"Not Available")</f>
        <v>Not Available</v>
      </c>
      <c r="E100" s="124">
        <f>IFERROR(__xludf.DUMMYFUNCTION("""COMPUTED_VALUE"""),1500613.0)</f>
        <v>1500613</v>
      </c>
      <c r="F100" s="124">
        <f>IFERROR(__xludf.DUMMYFUNCTION("""COMPUTED_VALUE"""),78973.0)</f>
        <v>78973</v>
      </c>
      <c r="G100" s="124">
        <f>IFERROR(__xludf.DUMMYFUNCTION("""COMPUTED_VALUE"""),60000.0)</f>
        <v>60000</v>
      </c>
      <c r="H100" s="131">
        <f>IFERROR(__xludf.DUMMYFUNCTION("""COMPUTED_VALUE"""),46104.0)</f>
        <v>46104</v>
      </c>
      <c r="I100" s="124">
        <f>IFERROR(__xludf.DUMMYFUNCTION("""COMPUTED_VALUE"""),8750.0)</f>
        <v>8750</v>
      </c>
      <c r="J100" s="124">
        <f>IFERROR(__xludf.DUMMYFUNCTION("""COMPUTED_VALUE"""),71250.0)</f>
        <v>71250</v>
      </c>
      <c r="K100" s="124">
        <f>IFERROR(__xludf.DUMMYFUNCTION("""COMPUTED_VALUE"""),3.0)</f>
        <v>3</v>
      </c>
      <c r="L100" s="124">
        <f>IFERROR(__xludf.DUMMYFUNCTION("""COMPUTED_VALUE"""),616.0)</f>
        <v>616</v>
      </c>
      <c r="M100" s="124" t="str">
        <f>IFERROR(__xludf.DUMMYFUNCTION("""COMPUTED_VALUE"""),"Prayagraj")</f>
        <v>Prayagraj</v>
      </c>
      <c r="N100" s="124" t="str">
        <f>IFERROR(__xludf.DUMMYFUNCTION("""COMPUTED_VALUE"""),"sy8840381490@gmail.com")</f>
        <v>sy8840381490@gmail.com</v>
      </c>
      <c r="O100" s="124" t="str">
        <f>IFERROR(__xludf.DUMMYFUNCTION("""COMPUTED_VALUE"""),"Suraj yadav")</f>
        <v>Suraj yadav</v>
      </c>
      <c r="P100" s="124">
        <f>IFERROR(__xludf.DUMMYFUNCTION("""COMPUTED_VALUE"""),78973.0)</f>
        <v>78973</v>
      </c>
      <c r="Q100" s="124" t="str">
        <f>IFERROR(__xludf.DUMMYFUNCTION("""COMPUTED_VALUE"""),"upsc-gs-foundation-hindi-target-2027-gsf-upsc-m02-pry")</f>
        <v>upsc-gs-foundation-hindi-target-2027-gsf-upsc-m02-pry</v>
      </c>
      <c r="R100" s="124" t="str">
        <f>IFERROR(__xludf.DUMMYFUNCTION("""COMPUTED_VALUE"""),"GS Foundation Course")</f>
        <v>GS Foundation Course</v>
      </c>
      <c r="S100" s="124">
        <f>IFERROR(__xludf.DUMMYFUNCTION("""COMPUTED_VALUE"""),9.569167599E9)</f>
        <v>9569167599</v>
      </c>
      <c r="T100" s="124" t="str">
        <f>IFERROR(__xludf.DUMMYFUNCTION("""COMPUTED_VALUE"""),"Not Available")</f>
        <v>Not Available</v>
      </c>
      <c r="U100" s="124" t="str">
        <f>IFERROR(__xludf.DUMMYFUNCTION("""COMPUTED_VALUE"""),"Not Available")</f>
        <v>Not Available</v>
      </c>
      <c r="V100" s="124" t="str">
        <f>IFERROR(__xludf.DUMMYFUNCTION("""COMPUTED_VALUE"""),"Not Available")</f>
        <v>Not Available</v>
      </c>
      <c r="W100" s="124" t="str">
        <f>IFERROR(__xludf.DUMMYFUNCTION("""COMPUTED_VALUE"""),"Not Available")</f>
        <v>Not Available</v>
      </c>
    </row>
    <row r="101">
      <c r="A101" s="124" t="str">
        <f t="shared" si="1"/>
        <v>roshni2007tiwari.05@gmail.com</v>
      </c>
      <c r="B101" s="131">
        <f>IFERROR(__xludf.DUMMYFUNCTION("""COMPUTED_VALUE"""),46105.0)</f>
        <v>46105</v>
      </c>
      <c r="C101" s="124" t="str">
        <f>IFERROR(__xludf.DUMMYFUNCTION("""COMPUTED_VALUE"""),"Payment data from Collexo")</f>
        <v>Payment data from Collexo</v>
      </c>
      <c r="D101" s="124" t="str">
        <f>IFERROR(__xludf.DUMMYFUNCTION("""COMPUTED_VALUE"""),"Not Available")</f>
        <v>Not Available</v>
      </c>
      <c r="E101" s="124">
        <f>IFERROR(__xludf.DUMMYFUNCTION("""COMPUTED_VALUE"""),1500610.0)</f>
        <v>1500610</v>
      </c>
      <c r="F101" s="124">
        <f>IFERROR(__xludf.DUMMYFUNCTION("""COMPUTED_VALUE"""),123403.0)</f>
        <v>123403</v>
      </c>
      <c r="G101" s="124">
        <f>IFERROR(__xludf.DUMMYFUNCTION("""COMPUTED_VALUE"""),6087.0)</f>
        <v>6087</v>
      </c>
      <c r="H101" s="131">
        <f>IFERROR(__xludf.DUMMYFUNCTION("""COMPUTED_VALUE"""),46106.0)</f>
        <v>46106</v>
      </c>
      <c r="I101" s="124">
        <f>IFERROR(__xludf.DUMMYFUNCTION("""COMPUTED_VALUE"""),43913.0)</f>
        <v>43913</v>
      </c>
      <c r="J101" s="124">
        <f>IFERROR(__xludf.DUMMYFUNCTION("""COMPUTED_VALUE"""),50000.0)</f>
        <v>50000</v>
      </c>
      <c r="K101" s="124">
        <f>IFERROR(__xludf.DUMMYFUNCTION("""COMPUTED_VALUE"""),2.0)</f>
        <v>2</v>
      </c>
      <c r="L101" s="124">
        <f>IFERROR(__xludf.DUMMYFUNCTION("""COMPUTED_VALUE"""),704.0)</f>
        <v>704</v>
      </c>
      <c r="M101" s="124" t="str">
        <f>IFERROR(__xludf.DUMMYFUNCTION("""COMPUTED_VALUE"""),"Lucknow")</f>
        <v>Lucknow</v>
      </c>
      <c r="N101" s="124" t="str">
        <f>IFERROR(__xludf.DUMMYFUNCTION("""COMPUTED_VALUE"""),"roshni2007tiwari.05@gmail.com")</f>
        <v>roshni2007tiwari.05@gmail.com</v>
      </c>
      <c r="O101" s="124" t="str">
        <f>IFERROR(__xludf.DUMMYFUNCTION("""COMPUTED_VALUE"""),"ROSANI TIWARI")</f>
        <v>ROSANI TIWARI</v>
      </c>
      <c r="P101" s="124">
        <f>IFERROR(__xludf.DUMMYFUNCTION("""COMPUTED_VALUE"""),123403.0)</f>
        <v>123403</v>
      </c>
      <c r="Q101" s="124" t="str">
        <f>IFERROR(__xludf.DUMMYFUNCTION("""COMPUTED_VALUE"""),"Not Available")</f>
        <v>Not Available</v>
      </c>
      <c r="R101" s="124" t="str">
        <f>IFERROR(__xludf.DUMMYFUNCTION("""COMPUTED_VALUE"""),"GS Foundation Course")</f>
        <v>GS Foundation Course</v>
      </c>
      <c r="S101" s="124">
        <f>IFERROR(__xludf.DUMMYFUNCTION("""COMPUTED_VALUE"""),9.871734417E9)</f>
        <v>9871734417</v>
      </c>
      <c r="T101" s="124" t="str">
        <f>IFERROR(__xludf.DUMMYFUNCTION("""COMPUTED_VALUE"""),"Not Available")</f>
        <v>Not Available</v>
      </c>
      <c r="U101" s="124" t="str">
        <f>IFERROR(__xludf.DUMMYFUNCTION("""COMPUTED_VALUE"""),"Not Available")</f>
        <v>Not Available</v>
      </c>
      <c r="V101" s="124" t="str">
        <f>IFERROR(__xludf.DUMMYFUNCTION("""COMPUTED_VALUE"""),"Not Available")</f>
        <v>Not Available</v>
      </c>
      <c r="W101" s="124" t="str">
        <f>IFERROR(__xludf.DUMMYFUNCTION("""COMPUTED_VALUE"""),"Not Available")</f>
        <v>Not Available</v>
      </c>
    </row>
    <row r="102">
      <c r="A102" s="124" t="str">
        <f t="shared" si="1"/>
        <v>dhimanak2004@gmail.com</v>
      </c>
      <c r="B102" s="131">
        <f>IFERROR(__xludf.DUMMYFUNCTION("""COMPUTED_VALUE"""),46053.0)</f>
        <v>46053</v>
      </c>
      <c r="C102" s="124" t="str">
        <f>IFERROR(__xludf.DUMMYFUNCTION("""COMPUTED_VALUE"""),"Payment data from Collexo")</f>
        <v>Payment data from Collexo</v>
      </c>
      <c r="D102" s="124" t="str">
        <f>IFERROR(__xludf.DUMMYFUNCTION("""COMPUTED_VALUE"""),"Not Available")</f>
        <v>Not Available</v>
      </c>
      <c r="E102" s="124">
        <f>IFERROR(__xludf.DUMMYFUNCTION("""COMPUTED_VALUE"""),1500609.0)</f>
        <v>1500609</v>
      </c>
      <c r="F102" s="124" t="str">
        <f>IFERROR(__xludf.DUMMYFUNCTION("""COMPUTED_VALUE"""),"3206_988_7")</f>
        <v>3206_988_7</v>
      </c>
      <c r="G102" s="124">
        <f>IFERROR(__xludf.DUMMYFUNCTION("""COMPUTED_VALUE"""),90000.0)</f>
        <v>90000</v>
      </c>
      <c r="H102" s="124" t="str">
        <f>IFERROR(__xludf.DUMMYFUNCTION("""COMPUTED_VALUE"""),"Not Available")</f>
        <v>Not Available</v>
      </c>
      <c r="I102" s="124">
        <f>IFERROR(__xludf.DUMMYFUNCTION("""COMPUTED_VALUE"""),0.0)</f>
        <v>0</v>
      </c>
      <c r="J102" s="124">
        <f>IFERROR(__xludf.DUMMYFUNCTION("""COMPUTED_VALUE"""),100000.0)</f>
        <v>100000</v>
      </c>
      <c r="K102" s="124">
        <f>IFERROR(__xludf.DUMMYFUNCTION("""COMPUTED_VALUE"""),2.0)</f>
        <v>2</v>
      </c>
      <c r="L102" s="124">
        <f>IFERROR(__xludf.DUMMYFUNCTION("""COMPUTED_VALUE"""),141.0)</f>
        <v>141</v>
      </c>
      <c r="M102" s="124" t="str">
        <f>IFERROR(__xludf.DUMMYFUNCTION("""COMPUTED_VALUE"""),"New Delhi")</f>
        <v>New Delhi</v>
      </c>
      <c r="N102" s="124" t="str">
        <f>IFERROR(__xludf.DUMMYFUNCTION("""COMPUTED_VALUE"""),"dhimanak2004@gmail.com")</f>
        <v>dhimanak2004@gmail.com</v>
      </c>
      <c r="O102" s="124" t="str">
        <f>IFERROR(__xludf.DUMMYFUNCTION("""COMPUTED_VALUE"""),"Akshay")</f>
        <v>Akshay</v>
      </c>
      <c r="P102" s="124">
        <f>IFERROR(__xludf.DUMMYFUNCTION("""COMPUTED_VALUE"""),88384.0)</f>
        <v>88384</v>
      </c>
      <c r="Q102" s="124" t="str">
        <f>IFERROR(__xludf.DUMMYFUNCTION("""COMPUTED_VALUE"""),"upsc-gs-foundation-hinglish-target-2027-gsf-upsc-m02-orn")</f>
        <v>upsc-gs-foundation-hinglish-target-2027-gsf-upsc-m02-orn</v>
      </c>
      <c r="R102" s="124" t="str">
        <f>IFERROR(__xludf.DUMMYFUNCTION("""COMPUTED_VALUE"""),"GS Foundation Course")</f>
        <v>GS Foundation Course</v>
      </c>
      <c r="S102" s="124">
        <f>IFERROR(__xludf.DUMMYFUNCTION("""COMPUTED_VALUE"""),8.218271839E9)</f>
        <v>8218271839</v>
      </c>
      <c r="T102" s="124" t="str">
        <f>IFERROR(__xludf.DUMMYFUNCTION("""COMPUTED_VALUE"""),"Collexo")</f>
        <v>Collexo</v>
      </c>
      <c r="U102" s="124" t="str">
        <f>IFERROR(__xludf.DUMMYFUNCTION("""COMPUTED_VALUE"""),"Success")</f>
        <v>Success</v>
      </c>
      <c r="V102" s="131">
        <f>IFERROR(__xludf.DUMMYFUNCTION("""COMPUTED_VALUE"""),46053.0)</f>
        <v>46053</v>
      </c>
      <c r="W102" s="124">
        <f>IFERROR(__xludf.DUMMYFUNCTION("""COMPUTED_VALUE"""),0.0)</f>
        <v>0</v>
      </c>
    </row>
    <row r="103">
      <c r="A103" s="124" t="str">
        <f t="shared" si="1"/>
        <v>tiwarishivank778@gmail.com</v>
      </c>
      <c r="B103" s="131">
        <f>IFERROR(__xludf.DUMMYFUNCTION("""COMPUTED_VALUE"""),46062.0)</f>
        <v>46062</v>
      </c>
      <c r="C103" s="124" t="str">
        <f>IFERROR(__xludf.DUMMYFUNCTION("""COMPUTED_VALUE"""),"Payment data from Collexo")</f>
        <v>Payment data from Collexo</v>
      </c>
      <c r="D103" s="124" t="str">
        <f>IFERROR(__xludf.DUMMYFUNCTION("""COMPUTED_VALUE"""),"Not Available")</f>
        <v>Not Available</v>
      </c>
      <c r="E103" s="124">
        <f>IFERROR(__xludf.DUMMYFUNCTION("""COMPUTED_VALUE"""),1500609.0)</f>
        <v>1500609</v>
      </c>
      <c r="F103" s="124" t="str">
        <f>IFERROR(__xludf.DUMMYFUNCTION("""COMPUTED_VALUE"""),"4359_988_7")</f>
        <v>4359_988_7</v>
      </c>
      <c r="G103" s="124">
        <f>IFERROR(__xludf.DUMMYFUNCTION("""COMPUTED_VALUE"""),20000.0)</f>
        <v>20000</v>
      </c>
      <c r="H103" s="124" t="str">
        <f>IFERROR(__xludf.DUMMYFUNCTION("""COMPUTED_VALUE"""),"Not Available")</f>
        <v>Not Available</v>
      </c>
      <c r="I103" s="124">
        <f>IFERROR(__xludf.DUMMYFUNCTION("""COMPUTED_VALUE"""),0.0)</f>
        <v>0</v>
      </c>
      <c r="J103" s="124">
        <f>IFERROR(__xludf.DUMMYFUNCTION("""COMPUTED_VALUE"""),100000.0)</f>
        <v>100000</v>
      </c>
      <c r="K103" s="124">
        <f>IFERROR(__xludf.DUMMYFUNCTION("""COMPUTED_VALUE"""),2.0)</f>
        <v>2</v>
      </c>
      <c r="L103" s="124">
        <f>IFERROR(__xludf.DUMMYFUNCTION("""COMPUTED_VALUE"""),182.0)</f>
        <v>182</v>
      </c>
      <c r="M103" s="124" t="str">
        <f>IFERROR(__xludf.DUMMYFUNCTION("""COMPUTED_VALUE"""),"New Delhi")</f>
        <v>New Delhi</v>
      </c>
      <c r="N103" s="124" t="str">
        <f>IFERROR(__xludf.DUMMYFUNCTION("""COMPUTED_VALUE"""),"tiwarishivank778@gmail.com")</f>
        <v>tiwarishivank778@gmail.com</v>
      </c>
      <c r="O103" s="124" t="str">
        <f>IFERROR(__xludf.DUMMYFUNCTION("""COMPUTED_VALUE"""),"Shiwank")</f>
        <v>Shiwank</v>
      </c>
      <c r="P103" s="124">
        <f>IFERROR(__xludf.DUMMYFUNCTION("""COMPUTED_VALUE"""),14600.0)</f>
        <v>14600</v>
      </c>
      <c r="Q103" s="124" t="str">
        <f>IFERROR(__xludf.DUMMYFUNCTION("""COMPUTED_VALUE"""),"ncert-foundation-hinglish-target-2026-nce-upsc-e02-orn")</f>
        <v>ncert-foundation-hinglish-target-2026-nce-upsc-e02-orn</v>
      </c>
      <c r="R103" s="124" t="str">
        <f>IFERROR(__xludf.DUMMYFUNCTION("""COMPUTED_VALUE"""),"GS Foundation Course")</f>
        <v>GS Foundation Course</v>
      </c>
      <c r="S103" s="124">
        <f>IFERROR(__xludf.DUMMYFUNCTION("""COMPUTED_VALUE"""),9.918526032E9)</f>
        <v>9918526032</v>
      </c>
      <c r="T103" s="124" t="str">
        <f>IFERROR(__xludf.DUMMYFUNCTION("""COMPUTED_VALUE"""),"Collexo")</f>
        <v>Collexo</v>
      </c>
      <c r="U103" s="124" t="str">
        <f>IFERROR(__xludf.DUMMYFUNCTION("""COMPUTED_VALUE"""),"Success")</f>
        <v>Success</v>
      </c>
      <c r="V103" s="131">
        <f>IFERROR(__xludf.DUMMYFUNCTION("""COMPUTED_VALUE"""),46062.0)</f>
        <v>46062</v>
      </c>
      <c r="W103" s="124">
        <f>IFERROR(__xludf.DUMMYFUNCTION("""COMPUTED_VALUE"""),0.0)</f>
        <v>0</v>
      </c>
    </row>
    <row r="104">
      <c r="A104" s="124" t="str">
        <f t="shared" si="1"/>
        <v>aryanstark2005@gmail.com</v>
      </c>
      <c r="B104" s="131">
        <f>IFERROR(__xludf.DUMMYFUNCTION("""COMPUTED_VALUE"""),46075.0)</f>
        <v>46075</v>
      </c>
      <c r="C104" s="124" t="str">
        <f>IFERROR(__xludf.DUMMYFUNCTION("""COMPUTED_VALUE"""),"Payment data from Collexo")</f>
        <v>Payment data from Collexo</v>
      </c>
      <c r="D104" s="124" t="str">
        <f>IFERROR(__xludf.DUMMYFUNCTION("""COMPUTED_VALUE"""),"Not Available")</f>
        <v>Not Available</v>
      </c>
      <c r="E104" s="124">
        <f>IFERROR(__xludf.DUMMYFUNCTION("""COMPUTED_VALUE"""),1500609.0)</f>
        <v>1500609</v>
      </c>
      <c r="F104" s="124" t="str">
        <f>IFERROR(__xludf.DUMMYFUNCTION("""COMPUTED_VALUE"""),"8030_988_7")</f>
        <v>8030_988_7</v>
      </c>
      <c r="G104" s="124">
        <f>IFERROR(__xludf.DUMMYFUNCTION("""COMPUTED_VALUE"""),10000.0)</f>
        <v>10000</v>
      </c>
      <c r="H104" s="131">
        <f>IFERROR(__xludf.DUMMYFUNCTION("""COMPUTED_VALUE"""),46081.0)</f>
        <v>46081</v>
      </c>
      <c r="I104" s="124">
        <f>IFERROR(__xludf.DUMMYFUNCTION("""COMPUTED_VALUE"""),96000.0)</f>
        <v>96000</v>
      </c>
      <c r="J104" s="124">
        <f>IFERROR(__xludf.DUMMYFUNCTION("""COMPUTED_VALUE"""),120000.0)</f>
        <v>120000</v>
      </c>
      <c r="K104" s="124">
        <f>IFERROR(__xludf.DUMMYFUNCTION("""COMPUTED_VALUE"""),3.0)</f>
        <v>3</v>
      </c>
      <c r="L104" s="124">
        <f>IFERROR(__xludf.DUMMYFUNCTION("""COMPUTED_VALUE"""),306.0)</f>
        <v>306</v>
      </c>
      <c r="M104" s="124" t="str">
        <f>IFERROR(__xludf.DUMMYFUNCTION("""COMPUTED_VALUE"""),"New Delhi")</f>
        <v>New Delhi</v>
      </c>
      <c r="N104" s="124" t="str">
        <f>IFERROR(__xludf.DUMMYFUNCTION("""COMPUTED_VALUE"""),"aryanstark2005@gmail.com")</f>
        <v>aryanstark2005@gmail.com</v>
      </c>
      <c r="O104" s="124" t="str">
        <f>IFERROR(__xludf.DUMMYFUNCTION("""COMPUTED_VALUE"""),"Aryan")</f>
        <v>Aryan</v>
      </c>
      <c r="P104" s="124">
        <f>IFERROR(__xludf.DUMMYFUNCTION("""COMPUTED_VALUE"""),123511.0)</f>
        <v>123511</v>
      </c>
      <c r="Q104" s="124" t="str">
        <f>IFERROR(__xludf.DUMMYFUNCTION("""COMPUTED_VALUE"""),"upsc-gs-foundation-hinglish-target-2028-gsf-upsc-e04-orn")</f>
        <v>upsc-gs-foundation-hinglish-target-2028-gsf-upsc-e04-orn</v>
      </c>
      <c r="R104" s="124" t="str">
        <f>IFERROR(__xludf.DUMMYFUNCTION("""COMPUTED_VALUE"""),"GS Foundation Course")</f>
        <v>GS Foundation Course</v>
      </c>
      <c r="S104" s="124">
        <f>IFERROR(__xludf.DUMMYFUNCTION("""COMPUTED_VALUE"""),9.31047141E9)</f>
        <v>9310471410</v>
      </c>
      <c r="T104" s="124" t="str">
        <f>IFERROR(__xludf.DUMMYFUNCTION("""COMPUTED_VALUE"""),"Collexo")</f>
        <v>Collexo</v>
      </c>
      <c r="U104" s="124" t="str">
        <f>IFERROR(__xludf.DUMMYFUNCTION("""COMPUTED_VALUE"""),"Success")</f>
        <v>Success</v>
      </c>
      <c r="V104" s="131">
        <f>IFERROR(__xludf.DUMMYFUNCTION("""COMPUTED_VALUE"""),46075.0)</f>
        <v>46075</v>
      </c>
      <c r="W104" s="124">
        <f>IFERROR(__xludf.DUMMYFUNCTION("""COMPUTED_VALUE"""),0.0)</f>
        <v>0</v>
      </c>
    </row>
    <row r="105">
      <c r="A105" s="124" t="str">
        <f t="shared" si="1"/>
        <v>tiwarishivank778@gmail.com</v>
      </c>
      <c r="B105" s="131">
        <f>IFERROR(__xludf.DUMMYFUNCTION("""COMPUTED_VALUE"""),46044.0)</f>
        <v>46044</v>
      </c>
      <c r="C105" s="124" t="str">
        <f>IFERROR(__xludf.DUMMYFUNCTION("""COMPUTED_VALUE"""),"Payment data from Collexo")</f>
        <v>Payment data from Collexo</v>
      </c>
      <c r="D105" s="124" t="str">
        <f>IFERROR(__xludf.DUMMYFUNCTION("""COMPUTED_VALUE"""),"Not Available")</f>
        <v>Not Available</v>
      </c>
      <c r="E105" s="124">
        <f>IFERROR(__xludf.DUMMYFUNCTION("""COMPUTED_VALUE"""),1500609.0)</f>
        <v>1500609</v>
      </c>
      <c r="F105" s="124" t="str">
        <f>IFERROR(__xludf.DUMMYFUNCTION("""COMPUTED_VALUE"""),"1753_988_7")</f>
        <v>1753_988_7</v>
      </c>
      <c r="G105" s="124">
        <f>IFERROR(__xludf.DUMMYFUNCTION("""COMPUTED_VALUE"""),80000.0)</f>
        <v>80000</v>
      </c>
      <c r="H105" s="131">
        <f>IFERROR(__xludf.DUMMYFUNCTION("""COMPUTED_VALUE"""),46046.0)</f>
        <v>46046</v>
      </c>
      <c r="I105" s="124">
        <f>IFERROR(__xludf.DUMMYFUNCTION("""COMPUTED_VALUE"""),20000.0)</f>
        <v>20000</v>
      </c>
      <c r="J105" s="124">
        <f>IFERROR(__xludf.DUMMYFUNCTION("""COMPUTED_VALUE"""),100000.0)</f>
        <v>100000</v>
      </c>
      <c r="K105" s="124">
        <f>IFERROR(__xludf.DUMMYFUNCTION("""COMPUTED_VALUE"""),2.0)</f>
        <v>2</v>
      </c>
      <c r="L105" s="124">
        <f>IFERROR(__xludf.DUMMYFUNCTION("""COMPUTED_VALUE"""),103.0)</f>
        <v>103</v>
      </c>
      <c r="M105" s="124" t="str">
        <f>IFERROR(__xludf.DUMMYFUNCTION("""COMPUTED_VALUE"""),"New Delhi")</f>
        <v>New Delhi</v>
      </c>
      <c r="N105" s="124" t="str">
        <f>IFERROR(__xludf.DUMMYFUNCTION("""COMPUTED_VALUE"""),"tiwarishivank778@gmail.com")</f>
        <v>tiwarishivank778@gmail.com</v>
      </c>
      <c r="O105" s="124" t="str">
        <f>IFERROR(__xludf.DUMMYFUNCTION("""COMPUTED_VALUE"""),"Shiwank")</f>
        <v>Shiwank</v>
      </c>
      <c r="P105" s="124">
        <f>IFERROR(__xludf.DUMMYFUNCTION("""COMPUTED_VALUE"""),14600.0)</f>
        <v>14600</v>
      </c>
      <c r="Q105" s="124" t="str">
        <f>IFERROR(__xludf.DUMMYFUNCTION("""COMPUTED_VALUE"""),"ncert-foundation-hinglish-target-2026-nce-upsc-e02-orn")</f>
        <v>ncert-foundation-hinglish-target-2026-nce-upsc-e02-orn</v>
      </c>
      <c r="R105" s="124" t="str">
        <f>IFERROR(__xludf.DUMMYFUNCTION("""COMPUTED_VALUE"""),"GS Foundation Course")</f>
        <v>GS Foundation Course</v>
      </c>
      <c r="S105" s="124">
        <f>IFERROR(__xludf.DUMMYFUNCTION("""COMPUTED_VALUE"""),9.918526032E9)</f>
        <v>9918526032</v>
      </c>
      <c r="T105" s="124" t="str">
        <f>IFERROR(__xludf.DUMMYFUNCTION("""COMPUTED_VALUE"""),"Collexo")</f>
        <v>Collexo</v>
      </c>
      <c r="U105" s="124" t="str">
        <f>IFERROR(__xludf.DUMMYFUNCTION("""COMPUTED_VALUE"""),"Success")</f>
        <v>Success</v>
      </c>
      <c r="V105" s="131">
        <f>IFERROR(__xludf.DUMMYFUNCTION("""COMPUTED_VALUE"""),46044.0)</f>
        <v>46044</v>
      </c>
      <c r="W105" s="124">
        <f>IFERROR(__xludf.DUMMYFUNCTION("""COMPUTED_VALUE"""),0.0)</f>
        <v>0</v>
      </c>
    </row>
    <row r="106">
      <c r="A106" s="124" t="str">
        <f t="shared" si="1"/>
        <v>sakimaurya0806@gmail.com</v>
      </c>
      <c r="B106" s="131">
        <f>IFERROR(__xludf.DUMMYFUNCTION("""COMPUTED_VALUE"""),46076.0)</f>
        <v>46076</v>
      </c>
      <c r="C106" s="124" t="str">
        <f>IFERROR(__xludf.DUMMYFUNCTION("""COMPUTED_VALUE"""),"Payment data from Collexo")</f>
        <v>Payment data from Collexo</v>
      </c>
      <c r="D106" s="124" t="str">
        <f>IFERROR(__xludf.DUMMYFUNCTION("""COMPUTED_VALUE"""),"Not Available")</f>
        <v>Not Available</v>
      </c>
      <c r="E106" s="124">
        <f>IFERROR(__xludf.DUMMYFUNCTION("""COMPUTED_VALUE"""),1500610.0)</f>
        <v>1500610</v>
      </c>
      <c r="F106" s="124">
        <f>IFERROR(__xludf.DUMMYFUNCTION("""COMPUTED_VALUE"""),122267.0)</f>
        <v>122267</v>
      </c>
      <c r="G106" s="124">
        <f>IFERROR(__xludf.DUMMYFUNCTION("""COMPUTED_VALUE"""),35000.0)</f>
        <v>35000</v>
      </c>
      <c r="H106" s="124" t="str">
        <f>IFERROR(__xludf.DUMMYFUNCTION("""COMPUTED_VALUE"""),"Not Available")</f>
        <v>Not Available</v>
      </c>
      <c r="I106" s="124">
        <f>IFERROR(__xludf.DUMMYFUNCTION("""COMPUTED_VALUE"""),0.0)</f>
        <v>0</v>
      </c>
      <c r="J106" s="124">
        <f>IFERROR(__xludf.DUMMYFUNCTION("""COMPUTED_VALUE"""),65000.0)</f>
        <v>65000</v>
      </c>
      <c r="K106" s="124">
        <f>IFERROR(__xludf.DUMMYFUNCTION("""COMPUTED_VALUE"""),2.0)</f>
        <v>2</v>
      </c>
      <c r="L106" s="124">
        <f>IFERROR(__xludf.DUMMYFUNCTION("""COMPUTED_VALUE"""),319.0)</f>
        <v>319</v>
      </c>
      <c r="M106" s="124" t="str">
        <f>IFERROR(__xludf.DUMMYFUNCTION("""COMPUTED_VALUE"""),"Lucknow")</f>
        <v>Lucknow</v>
      </c>
      <c r="N106" s="124" t="str">
        <f>IFERROR(__xludf.DUMMYFUNCTION("""COMPUTED_VALUE"""),"sakimaurya0806@gmail.com")</f>
        <v>sakimaurya0806@gmail.com</v>
      </c>
      <c r="O106" s="124" t="str">
        <f>IFERROR(__xludf.DUMMYFUNCTION("""COMPUTED_VALUE"""),"Sakshi")</f>
        <v>Sakshi</v>
      </c>
      <c r="P106" s="124">
        <f>IFERROR(__xludf.DUMMYFUNCTION("""COMPUTED_VALUE"""),122267.0)</f>
        <v>122267</v>
      </c>
      <c r="Q106" s="124" t="str">
        <f>IFERROR(__xludf.DUMMYFUNCTION("""COMPUTED_VALUE"""),"upsc-gs-foundation-hinglish-target-2027-gsf-upsc-e03-lko")</f>
        <v>upsc-gs-foundation-hinglish-target-2027-gsf-upsc-e03-lko</v>
      </c>
      <c r="R106" s="124" t="str">
        <f>IFERROR(__xludf.DUMMYFUNCTION("""COMPUTED_VALUE"""),"GS Foundation Course")</f>
        <v>GS Foundation Course</v>
      </c>
      <c r="S106" s="124">
        <f>IFERROR(__xludf.DUMMYFUNCTION("""COMPUTED_VALUE"""),7.505481168E9)</f>
        <v>7505481168</v>
      </c>
      <c r="T106" s="124" t="str">
        <f>IFERROR(__xludf.DUMMYFUNCTION("""COMPUTED_VALUE"""),"Not Available")</f>
        <v>Not Available</v>
      </c>
      <c r="U106" s="124" t="str">
        <f>IFERROR(__xludf.DUMMYFUNCTION("""COMPUTED_VALUE"""),"Not Available")</f>
        <v>Not Available</v>
      </c>
      <c r="V106" s="124" t="str">
        <f>IFERROR(__xludf.DUMMYFUNCTION("""COMPUTED_VALUE"""),"Not Available")</f>
        <v>Not Available</v>
      </c>
      <c r="W106" s="124" t="str">
        <f>IFERROR(__xludf.DUMMYFUNCTION("""COMPUTED_VALUE"""),"Not Available")</f>
        <v>Not Available</v>
      </c>
    </row>
    <row r="107">
      <c r="A107" s="124" t="str">
        <f t="shared" si="1"/>
        <v>deep32mishra@gmail.com</v>
      </c>
      <c r="B107" s="131">
        <f>IFERROR(__xludf.DUMMYFUNCTION("""COMPUTED_VALUE"""),46091.0)</f>
        <v>46091</v>
      </c>
      <c r="C107" s="124" t="str">
        <f>IFERROR(__xludf.DUMMYFUNCTION("""COMPUTED_VALUE"""),"Payment data from Collexo")</f>
        <v>Payment data from Collexo</v>
      </c>
      <c r="D107" s="124" t="str">
        <f>IFERROR(__xludf.DUMMYFUNCTION("""COMPUTED_VALUE"""),"Not Available")</f>
        <v>Not Available</v>
      </c>
      <c r="E107" s="124">
        <f>IFERROR(__xludf.DUMMYFUNCTION("""COMPUTED_VALUE"""),1500613.0)</f>
        <v>1500613</v>
      </c>
      <c r="F107" s="124">
        <f>IFERROR(__xludf.DUMMYFUNCTION("""COMPUTED_VALUE"""),126849.0)</f>
        <v>126849</v>
      </c>
      <c r="G107" s="124">
        <f>IFERROR(__xludf.DUMMYFUNCTION("""COMPUTED_VALUE"""),500.0)</f>
        <v>500</v>
      </c>
      <c r="H107" s="131">
        <f>IFERROR(__xludf.DUMMYFUNCTION("""COMPUTED_VALUE"""),46095.0)</f>
        <v>46095</v>
      </c>
      <c r="I107" s="124">
        <f>IFERROR(__xludf.DUMMYFUNCTION("""COMPUTED_VALUE"""),59500.0)</f>
        <v>59500</v>
      </c>
      <c r="J107" s="124">
        <f>IFERROR(__xludf.DUMMYFUNCTION("""COMPUTED_VALUE"""),60000.0)</f>
        <v>60000</v>
      </c>
      <c r="K107" s="124">
        <f>IFERROR(__xludf.DUMMYFUNCTION("""COMPUTED_VALUE"""),2.0)</f>
        <v>2</v>
      </c>
      <c r="L107" s="124">
        <f>IFERROR(__xludf.DUMMYFUNCTION("""COMPUTED_VALUE"""),462.0)</f>
        <v>462</v>
      </c>
      <c r="M107" s="124" t="str">
        <f>IFERROR(__xludf.DUMMYFUNCTION("""COMPUTED_VALUE"""),"Prayagraj")</f>
        <v>Prayagraj</v>
      </c>
      <c r="N107" s="124" t="str">
        <f>IFERROR(__xludf.DUMMYFUNCTION("""COMPUTED_VALUE"""),"deep32mishra@gmail.com")</f>
        <v>deep32mishra@gmail.com</v>
      </c>
      <c r="O107" s="124" t="str">
        <f>IFERROR(__xludf.DUMMYFUNCTION("""COMPUTED_VALUE"""),"Ved Prakash Mishra")</f>
        <v>Ved Prakash Mishra</v>
      </c>
      <c r="P107" s="124">
        <f>IFERROR(__xludf.DUMMYFUNCTION("""COMPUTED_VALUE"""),126849.0)</f>
        <v>126849</v>
      </c>
      <c r="Q107" s="124" t="str">
        <f>IFERROR(__xludf.DUMMYFUNCTION("""COMPUTED_VALUE"""),"upsc-gs-foundation-hindi-target-2027-gsf-upsc-m02-pry")</f>
        <v>upsc-gs-foundation-hindi-target-2027-gsf-upsc-m02-pry</v>
      </c>
      <c r="R107" s="124" t="str">
        <f>IFERROR(__xludf.DUMMYFUNCTION("""COMPUTED_VALUE"""),"GS Foundation Course")</f>
        <v>GS Foundation Course</v>
      </c>
      <c r="S107" s="124">
        <f>IFERROR(__xludf.DUMMYFUNCTION("""COMPUTED_VALUE"""),9.305988624E9)</f>
        <v>9305988624</v>
      </c>
      <c r="T107" s="124" t="str">
        <f>IFERROR(__xludf.DUMMYFUNCTION("""COMPUTED_VALUE"""),"Not Available")</f>
        <v>Not Available</v>
      </c>
      <c r="U107" s="124" t="str">
        <f>IFERROR(__xludf.DUMMYFUNCTION("""COMPUTED_VALUE"""),"Not Available")</f>
        <v>Not Available</v>
      </c>
      <c r="V107" s="124" t="str">
        <f>IFERROR(__xludf.DUMMYFUNCTION("""COMPUTED_VALUE"""),"Not Available")</f>
        <v>Not Available</v>
      </c>
      <c r="W107" s="124" t="str">
        <f>IFERROR(__xludf.DUMMYFUNCTION("""COMPUTED_VALUE"""),"Not Available")</f>
        <v>Not Available</v>
      </c>
    </row>
    <row r="108">
      <c r="A108" s="124" t="str">
        <f t="shared" si="1"/>
        <v>anandsinghhpking@gmail.com</v>
      </c>
      <c r="B108" s="131">
        <f>IFERROR(__xludf.DUMMYFUNCTION("""COMPUTED_VALUE"""),46076.0)</f>
        <v>46076</v>
      </c>
      <c r="C108" s="124" t="str">
        <f>IFERROR(__xludf.DUMMYFUNCTION("""COMPUTED_VALUE"""),"Payment data from Collexo")</f>
        <v>Payment data from Collexo</v>
      </c>
      <c r="D108" s="124" t="str">
        <f>IFERROR(__xludf.DUMMYFUNCTION("""COMPUTED_VALUE"""),"Not Available")</f>
        <v>Not Available</v>
      </c>
      <c r="E108" s="124">
        <f>IFERROR(__xludf.DUMMYFUNCTION("""COMPUTED_VALUE"""),1500612.0)</f>
        <v>1500612</v>
      </c>
      <c r="F108" s="124">
        <f>IFERROR(__xludf.DUMMYFUNCTION("""COMPUTED_VALUE"""),36232.0)</f>
        <v>36232</v>
      </c>
      <c r="G108" s="124">
        <f>IFERROR(__xludf.DUMMYFUNCTION("""COMPUTED_VALUE"""),1000.0)</f>
        <v>1000</v>
      </c>
      <c r="H108" s="131">
        <f>IFERROR(__xludf.DUMMYFUNCTION("""COMPUTED_VALUE"""),46081.0)</f>
        <v>46081</v>
      </c>
      <c r="I108" s="124">
        <f>IFERROR(__xludf.DUMMYFUNCTION("""COMPUTED_VALUE"""),119000.0)</f>
        <v>119000</v>
      </c>
      <c r="J108" s="124">
        <f>IFERROR(__xludf.DUMMYFUNCTION("""COMPUTED_VALUE"""),120000.0)</f>
        <v>120000</v>
      </c>
      <c r="K108" s="124">
        <f>IFERROR(__xludf.DUMMYFUNCTION("""COMPUTED_VALUE"""),2.0)</f>
        <v>2</v>
      </c>
      <c r="L108" s="124">
        <f>IFERROR(__xludf.DUMMYFUNCTION("""COMPUTED_VALUE"""),314.0)</f>
        <v>314</v>
      </c>
      <c r="M108" s="124" t="str">
        <f>IFERROR(__xludf.DUMMYFUNCTION("""COMPUTED_VALUE"""),"Indore")</f>
        <v>Indore</v>
      </c>
      <c r="N108" s="124" t="str">
        <f>IFERROR(__xludf.DUMMYFUNCTION("""COMPUTED_VALUE"""),"anandsinghhpking@gmail.com")</f>
        <v>anandsinghhpking@gmail.com</v>
      </c>
      <c r="O108" s="124" t="str">
        <f>IFERROR(__xludf.DUMMYFUNCTION("""COMPUTED_VALUE"""),"Anand pratap singh")</f>
        <v>Anand pratap singh</v>
      </c>
      <c r="P108" s="124">
        <f>IFERROR(__xludf.DUMMYFUNCTION("""COMPUTED_VALUE"""),36232.0)</f>
        <v>36232</v>
      </c>
      <c r="Q108" s="124" t="str">
        <f>IFERROR(__xludf.DUMMYFUNCTION("""COMPUTED_VALUE"""),"upsc-gs-foundation-hindi-target-2028-gsf-upsc-m02-ind")</f>
        <v>upsc-gs-foundation-hindi-target-2028-gsf-upsc-m02-ind</v>
      </c>
      <c r="R108" s="124" t="str">
        <f>IFERROR(__xludf.DUMMYFUNCTION("""COMPUTED_VALUE"""),"GS Foundation Course")</f>
        <v>GS Foundation Course</v>
      </c>
      <c r="S108" s="124">
        <f>IFERROR(__xludf.DUMMYFUNCTION("""COMPUTED_VALUE"""),7.389351178E9)</f>
        <v>7389351178</v>
      </c>
      <c r="T108" s="124" t="str">
        <f>IFERROR(__xludf.DUMMYFUNCTION("""COMPUTED_VALUE"""),"Not Available")</f>
        <v>Not Available</v>
      </c>
      <c r="U108" s="124" t="str">
        <f>IFERROR(__xludf.DUMMYFUNCTION("""COMPUTED_VALUE"""),"Not Available")</f>
        <v>Not Available</v>
      </c>
      <c r="V108" s="124" t="str">
        <f>IFERROR(__xludf.DUMMYFUNCTION("""COMPUTED_VALUE"""),"Not Available")</f>
        <v>Not Available</v>
      </c>
      <c r="W108" s="124" t="str">
        <f>IFERROR(__xludf.DUMMYFUNCTION("""COMPUTED_VALUE"""),"Not Available")</f>
        <v>Not Available</v>
      </c>
    </row>
    <row r="109">
      <c r="A109" s="124" t="str">
        <f t="shared" si="1"/>
        <v>rks12122001@gmail.com</v>
      </c>
      <c r="B109" s="131">
        <f>IFERROR(__xludf.DUMMYFUNCTION("""COMPUTED_VALUE"""),46077.0)</f>
        <v>46077</v>
      </c>
      <c r="C109" s="124" t="str">
        <f>IFERROR(__xludf.DUMMYFUNCTION("""COMPUTED_VALUE"""),"Payment data from Collexo")</f>
        <v>Payment data from Collexo</v>
      </c>
      <c r="D109" s="124" t="str">
        <f>IFERROR(__xludf.DUMMYFUNCTION("""COMPUTED_VALUE"""),"Not Available")</f>
        <v>Not Available</v>
      </c>
      <c r="E109" s="124">
        <f>IFERROR(__xludf.DUMMYFUNCTION("""COMPUTED_VALUE"""),1500611.0)</f>
        <v>1500611</v>
      </c>
      <c r="F109" s="124">
        <f>IFERROR(__xludf.DUMMYFUNCTION("""COMPUTED_VALUE"""),124460.0)</f>
        <v>124460</v>
      </c>
      <c r="G109" s="124">
        <f>IFERROR(__xludf.DUMMYFUNCTION("""COMPUTED_VALUE"""),50000.0)</f>
        <v>50000</v>
      </c>
      <c r="H109" s="124" t="str">
        <f>IFERROR(__xludf.DUMMYFUNCTION("""COMPUTED_VALUE"""),"Not Available")</f>
        <v>Not Available</v>
      </c>
      <c r="I109" s="124">
        <f>IFERROR(__xludf.DUMMYFUNCTION("""COMPUTED_VALUE"""),0.0)</f>
        <v>0</v>
      </c>
      <c r="J109" s="124">
        <f>IFERROR(__xludf.DUMMYFUNCTION("""COMPUTED_VALUE"""),55000.0)</f>
        <v>55000</v>
      </c>
      <c r="K109" s="124">
        <f>IFERROR(__xludf.DUMMYFUNCTION("""COMPUTED_VALUE"""),2.0)</f>
        <v>2</v>
      </c>
      <c r="L109" s="124">
        <f>IFERROR(__xludf.DUMMYFUNCTION("""COMPUTED_VALUE"""),328.0)</f>
        <v>328</v>
      </c>
      <c r="M109" s="124" t="str">
        <f>IFERROR(__xludf.DUMMYFUNCTION("""COMPUTED_VALUE"""),"Patna")</f>
        <v>Patna</v>
      </c>
      <c r="N109" s="124" t="str">
        <f>IFERROR(__xludf.DUMMYFUNCTION("""COMPUTED_VALUE"""),"rks12122001@gmail.com")</f>
        <v>rks12122001@gmail.com</v>
      </c>
      <c r="O109" s="124" t="str">
        <f>IFERROR(__xludf.DUMMYFUNCTION("""COMPUTED_VALUE"""),"Rakesh kumar")</f>
        <v>Rakesh kumar</v>
      </c>
      <c r="P109" s="124">
        <f>IFERROR(__xludf.DUMMYFUNCTION("""COMPUTED_VALUE"""),124460.0)</f>
        <v>124460</v>
      </c>
      <c r="Q109" s="124" t="str">
        <f>IFERROR(__xludf.DUMMYFUNCTION("""COMPUTED_VALUE"""),"course-detail/bpsc-gs-foundation-hindi-target-2026-gsf-bpsc-m02-pat")</f>
        <v>course-detail/bpsc-gs-foundation-hindi-target-2026-gsf-bpsc-m02-pat</v>
      </c>
      <c r="R109" s="124" t="str">
        <f>IFERROR(__xludf.DUMMYFUNCTION("""COMPUTED_VALUE"""),"State PCS")</f>
        <v>State PCS</v>
      </c>
      <c r="S109" s="124">
        <f>IFERROR(__xludf.DUMMYFUNCTION("""COMPUTED_VALUE"""),9.065098868E9)</f>
        <v>9065098868</v>
      </c>
      <c r="T109" s="124" t="str">
        <f>IFERROR(__xludf.DUMMYFUNCTION("""COMPUTED_VALUE"""),"Not Available")</f>
        <v>Not Available</v>
      </c>
      <c r="U109" s="124" t="str">
        <f>IFERROR(__xludf.DUMMYFUNCTION("""COMPUTED_VALUE"""),"Not Available")</f>
        <v>Not Available</v>
      </c>
      <c r="V109" s="124" t="str">
        <f>IFERROR(__xludf.DUMMYFUNCTION("""COMPUTED_VALUE"""),"Not Available")</f>
        <v>Not Available</v>
      </c>
      <c r="W109" s="124" t="str">
        <f>IFERROR(__xludf.DUMMYFUNCTION("""COMPUTED_VALUE"""),"Not Available")</f>
        <v>Not Available</v>
      </c>
    </row>
    <row r="110">
      <c r="A110" s="124" t="str">
        <f t="shared" si="1"/>
        <v>prajapatmohit372@gmail.com</v>
      </c>
      <c r="B110" s="131">
        <f>IFERROR(__xludf.DUMMYFUNCTION("""COMPUTED_VALUE"""),46100.0)</f>
        <v>46100</v>
      </c>
      <c r="C110" s="124" t="str">
        <f>IFERROR(__xludf.DUMMYFUNCTION("""COMPUTED_VALUE"""),"Payment data from Collexo")</f>
        <v>Payment data from Collexo</v>
      </c>
      <c r="D110" s="124" t="str">
        <f>IFERROR(__xludf.DUMMYFUNCTION("""COMPUTED_VALUE"""),"Not Available")</f>
        <v>Not Available</v>
      </c>
      <c r="E110" s="124">
        <f>IFERROR(__xludf.DUMMYFUNCTION("""COMPUTED_VALUE"""),1500609.0)</f>
        <v>1500609</v>
      </c>
      <c r="F110" s="124" t="str">
        <f>IFERROR(__xludf.DUMMYFUNCTION("""COMPUTED_VALUE"""),"15321_988_7")</f>
        <v>15321_988_7</v>
      </c>
      <c r="G110" s="124">
        <f>IFERROR(__xludf.DUMMYFUNCTION("""COMPUTED_VALUE"""),1000.0)</f>
        <v>1000</v>
      </c>
      <c r="H110" s="131">
        <f>IFERROR(__xludf.DUMMYFUNCTION("""COMPUTED_VALUE"""),46112.0)</f>
        <v>46112</v>
      </c>
      <c r="I110" s="124">
        <f>IFERROR(__xludf.DUMMYFUNCTION("""COMPUTED_VALUE"""),94000.0)</f>
        <v>94000</v>
      </c>
      <c r="J110" s="124">
        <f>IFERROR(__xludf.DUMMYFUNCTION("""COMPUTED_VALUE"""),95000.0)</f>
        <v>95000</v>
      </c>
      <c r="K110" s="124">
        <f>IFERROR(__xludf.DUMMYFUNCTION("""COMPUTED_VALUE"""),2.0)</f>
        <v>2</v>
      </c>
      <c r="L110" s="124">
        <f>IFERROR(__xludf.DUMMYFUNCTION("""COMPUTED_VALUE"""),624.0)</f>
        <v>624</v>
      </c>
      <c r="M110" s="124" t="str">
        <f>IFERROR(__xludf.DUMMYFUNCTION("""COMPUTED_VALUE"""),"New Delhi")</f>
        <v>New Delhi</v>
      </c>
      <c r="N110" s="124" t="str">
        <f>IFERROR(__xludf.DUMMYFUNCTION("""COMPUTED_VALUE"""),"prajapatmohit372@gmail.com")</f>
        <v>prajapatmohit372@gmail.com</v>
      </c>
      <c r="O110" s="124" t="str">
        <f>IFERROR(__xludf.DUMMYFUNCTION("""COMPUTED_VALUE"""),"Mohit prajapat")</f>
        <v>Mohit prajapat</v>
      </c>
      <c r="P110" s="124">
        <f>IFERROR(__xludf.DUMMYFUNCTION("""COMPUTED_VALUE"""),124593.0)</f>
        <v>124593</v>
      </c>
      <c r="Q110" s="124" t="str">
        <f>IFERROR(__xludf.DUMMYFUNCTION("""COMPUTED_VALUE"""),"upsc-gs-foundation-hinglish-target-2028-gsf-upsc-e05-orn")</f>
        <v>upsc-gs-foundation-hinglish-target-2028-gsf-upsc-e05-orn</v>
      </c>
      <c r="R110" s="124" t="str">
        <f>IFERROR(__xludf.DUMMYFUNCTION("""COMPUTED_VALUE"""),"GS Foundation Course")</f>
        <v>GS Foundation Course</v>
      </c>
      <c r="S110" s="124">
        <f>IFERROR(__xludf.DUMMYFUNCTION("""COMPUTED_VALUE"""),9.257006657E9)</f>
        <v>9257006657</v>
      </c>
      <c r="T110" s="124" t="str">
        <f>IFERROR(__xludf.DUMMYFUNCTION("""COMPUTED_VALUE"""),"Not Available")</f>
        <v>Not Available</v>
      </c>
      <c r="U110" s="124" t="str">
        <f>IFERROR(__xludf.DUMMYFUNCTION("""COMPUTED_VALUE"""),"Not Available")</f>
        <v>Not Available</v>
      </c>
      <c r="V110" s="124" t="str">
        <f>IFERROR(__xludf.DUMMYFUNCTION("""COMPUTED_VALUE"""),"Not Available")</f>
        <v>Not Available</v>
      </c>
      <c r="W110" s="124" t="str">
        <f>IFERROR(__xludf.DUMMYFUNCTION("""COMPUTED_VALUE"""),"Not Available")</f>
        <v>Not Available</v>
      </c>
    </row>
    <row r="111">
      <c r="A111" s="124" t="str">
        <f t="shared" si="1"/>
        <v>a3754586@gmail.com</v>
      </c>
      <c r="B111" s="131">
        <f>IFERROR(__xludf.DUMMYFUNCTION("""COMPUTED_VALUE"""),46108.0)</f>
        <v>46108</v>
      </c>
      <c r="C111" s="124" t="str">
        <f>IFERROR(__xludf.DUMMYFUNCTION("""COMPUTED_VALUE"""),"Payment data from Collexo")</f>
        <v>Payment data from Collexo</v>
      </c>
      <c r="D111" s="124" t="str">
        <f>IFERROR(__xludf.DUMMYFUNCTION("""COMPUTED_VALUE"""),"Not Available")</f>
        <v>Not Available</v>
      </c>
      <c r="E111" s="124">
        <f>IFERROR(__xludf.DUMMYFUNCTION("""COMPUTED_VALUE"""),1500610.0)</f>
        <v>1500610</v>
      </c>
      <c r="F111" s="124">
        <f>IFERROR(__xludf.DUMMYFUNCTION("""COMPUTED_VALUE"""),133174.0)</f>
        <v>133174</v>
      </c>
      <c r="G111" s="124">
        <f>IFERROR(__xludf.DUMMYFUNCTION("""COMPUTED_VALUE"""),6587.0)</f>
        <v>6587</v>
      </c>
      <c r="H111" s="131">
        <f>IFERROR(__xludf.DUMMYFUNCTION("""COMPUTED_VALUE"""),46109.0)</f>
        <v>46109</v>
      </c>
      <c r="I111" s="124">
        <f>IFERROR(__xludf.DUMMYFUNCTION("""COMPUTED_VALUE"""),48413.0)</f>
        <v>48413</v>
      </c>
      <c r="J111" s="124">
        <f>IFERROR(__xludf.DUMMYFUNCTION("""COMPUTED_VALUE"""),55000.0)</f>
        <v>55000</v>
      </c>
      <c r="K111" s="124">
        <f>IFERROR(__xludf.DUMMYFUNCTION("""COMPUTED_VALUE"""),2.0)</f>
        <v>2</v>
      </c>
      <c r="L111" s="124">
        <f>IFERROR(__xludf.DUMMYFUNCTION("""COMPUTED_VALUE"""),789.0)</f>
        <v>789</v>
      </c>
      <c r="M111" s="124" t="str">
        <f>IFERROR(__xludf.DUMMYFUNCTION("""COMPUTED_VALUE"""),"Lucknow")</f>
        <v>Lucknow</v>
      </c>
      <c r="N111" s="124" t="str">
        <f>IFERROR(__xludf.DUMMYFUNCTION("""COMPUTED_VALUE"""),"a3754586@gmail.com")</f>
        <v>a3754586@gmail.com</v>
      </c>
      <c r="O111" s="124" t="str">
        <f>IFERROR(__xludf.DUMMYFUNCTION("""COMPUTED_VALUE"""),"Amit")</f>
        <v>Amit</v>
      </c>
      <c r="P111" s="124">
        <f>IFERROR(__xludf.DUMMYFUNCTION("""COMPUTED_VALUE"""),133174.0)</f>
        <v>133174</v>
      </c>
      <c r="Q111" s="124" t="str">
        <f>IFERROR(__xludf.DUMMYFUNCTION("""COMPUTED_VALUE"""),"upsc-gs-foundation-hindi-target-2028-gsf-upsc-m03-lko")</f>
        <v>upsc-gs-foundation-hindi-target-2028-gsf-upsc-m03-lko</v>
      </c>
      <c r="R111" s="124" t="str">
        <f>IFERROR(__xludf.DUMMYFUNCTION("""COMPUTED_VALUE"""),"GS Foundation Course")</f>
        <v>GS Foundation Course</v>
      </c>
      <c r="S111" s="124">
        <f>IFERROR(__xludf.DUMMYFUNCTION("""COMPUTED_VALUE"""),7.607984659E9)</f>
        <v>7607984659</v>
      </c>
      <c r="T111" s="124" t="str">
        <f>IFERROR(__xludf.DUMMYFUNCTION("""COMPUTED_VALUE"""),"Not Available")</f>
        <v>Not Available</v>
      </c>
      <c r="U111" s="124" t="str">
        <f>IFERROR(__xludf.DUMMYFUNCTION("""COMPUTED_VALUE"""),"Not Available")</f>
        <v>Not Available</v>
      </c>
      <c r="V111" s="124" t="str">
        <f>IFERROR(__xludf.DUMMYFUNCTION("""COMPUTED_VALUE"""),"Not Available")</f>
        <v>Not Available</v>
      </c>
      <c r="W111" s="124" t="str">
        <f>IFERROR(__xludf.DUMMYFUNCTION("""COMPUTED_VALUE"""),"Not Available")</f>
        <v>Not Available</v>
      </c>
    </row>
    <row r="112">
      <c r="A112" s="124" t="str">
        <f t="shared" si="1"/>
        <v>rajeshkumarmaurya85@yahoo.com</v>
      </c>
      <c r="B112" s="131">
        <f>IFERROR(__xludf.DUMMYFUNCTION("""COMPUTED_VALUE"""),46109.0)</f>
        <v>46109</v>
      </c>
      <c r="C112" s="124" t="str">
        <f>IFERROR(__xludf.DUMMYFUNCTION("""COMPUTED_VALUE"""),"Payment data from Collexo")</f>
        <v>Payment data from Collexo</v>
      </c>
      <c r="D112" s="124" t="str">
        <f>IFERROR(__xludf.DUMMYFUNCTION("""COMPUTED_VALUE"""),"Not Available")</f>
        <v>Not Available</v>
      </c>
      <c r="E112" s="124">
        <f>IFERROR(__xludf.DUMMYFUNCTION("""COMPUTED_VALUE"""),1500613.0)</f>
        <v>1500613</v>
      </c>
      <c r="F112" s="124">
        <f>IFERROR(__xludf.DUMMYFUNCTION("""COMPUTED_VALUE"""),107270.0)</f>
        <v>107270</v>
      </c>
      <c r="G112" s="124">
        <f>IFERROR(__xludf.DUMMYFUNCTION("""COMPUTED_VALUE"""),30000.0)</f>
        <v>30000</v>
      </c>
      <c r="H112" s="124" t="str">
        <f>IFERROR(__xludf.DUMMYFUNCTION("""COMPUTED_VALUE"""),"Not Available")</f>
        <v>Not Available</v>
      </c>
      <c r="I112" s="124">
        <f>IFERROR(__xludf.DUMMYFUNCTION("""COMPUTED_VALUE"""),0.0)</f>
        <v>0</v>
      </c>
      <c r="J112" s="124">
        <f>IFERROR(__xludf.DUMMYFUNCTION("""COMPUTED_VALUE"""),30000.0)</f>
        <v>30000</v>
      </c>
      <c r="K112" s="124">
        <f>IFERROR(__xludf.DUMMYFUNCTION("""COMPUTED_VALUE"""),1.0)</f>
        <v>1</v>
      </c>
      <c r="L112" s="124">
        <f>IFERROR(__xludf.DUMMYFUNCTION("""COMPUTED_VALUE"""),798.0)</f>
        <v>798</v>
      </c>
      <c r="M112" s="124" t="str">
        <f>IFERROR(__xludf.DUMMYFUNCTION("""COMPUTED_VALUE"""),"Prayagraj")</f>
        <v>Prayagraj</v>
      </c>
      <c r="N112" s="124" t="str">
        <f>IFERROR(__xludf.DUMMYFUNCTION("""COMPUTED_VALUE"""),"rajeshkumarmaurya85@yahoo.com")</f>
        <v>rajeshkumarmaurya85@yahoo.com</v>
      </c>
      <c r="O112" s="124" t="str">
        <f>IFERROR(__xludf.DUMMYFUNCTION("""COMPUTED_VALUE"""),"Rajesh kumar")</f>
        <v>Rajesh kumar</v>
      </c>
      <c r="P112" s="124">
        <f>IFERROR(__xludf.DUMMYFUNCTION("""COMPUTED_VALUE"""),107270.0)</f>
        <v>107270</v>
      </c>
      <c r="Q112" s="124" t="str">
        <f>IFERROR(__xludf.DUMMYFUNCTION("""COMPUTED_VALUE"""),"samadhan-mentorship-program-pry")</f>
        <v>samadhan-mentorship-program-pry</v>
      </c>
      <c r="R112" s="124" t="str">
        <f>IFERROR(__xludf.DUMMYFUNCTION("""COMPUTED_VALUE"""),"State PCS")</f>
        <v>State PCS</v>
      </c>
      <c r="S112" s="124">
        <f>IFERROR(__xludf.DUMMYFUNCTION("""COMPUTED_VALUE"""),9.762412013E9)</f>
        <v>9762412013</v>
      </c>
      <c r="T112" s="124" t="str">
        <f>IFERROR(__xludf.DUMMYFUNCTION("""COMPUTED_VALUE"""),"Not Available")</f>
        <v>Not Available</v>
      </c>
      <c r="U112" s="124" t="str">
        <f>IFERROR(__xludf.DUMMYFUNCTION("""COMPUTED_VALUE"""),"Not Available")</f>
        <v>Not Available</v>
      </c>
      <c r="V112" s="124" t="str">
        <f>IFERROR(__xludf.DUMMYFUNCTION("""COMPUTED_VALUE"""),"Not Available")</f>
        <v>Not Available</v>
      </c>
      <c r="W112" s="124" t="str">
        <f>IFERROR(__xludf.DUMMYFUNCTION("""COMPUTED_VALUE"""),"Not Available")</f>
        <v>Not Available</v>
      </c>
    </row>
    <row r="113">
      <c r="A113" s="124" t="str">
        <f t="shared" si="1"/>
        <v>tiwarishivank778@gmail.com</v>
      </c>
      <c r="B113" s="131">
        <f>IFERROR(__xludf.DUMMYFUNCTION("""COMPUTED_VALUE"""),46062.0)</f>
        <v>46062</v>
      </c>
      <c r="C113" s="124" t="str">
        <f>IFERROR(__xludf.DUMMYFUNCTION("""COMPUTED_VALUE"""),"Payment data from Collexo")</f>
        <v>Payment data from Collexo</v>
      </c>
      <c r="D113" s="124" t="str">
        <f>IFERROR(__xludf.DUMMYFUNCTION("""COMPUTED_VALUE"""),"Not Available")</f>
        <v>Not Available</v>
      </c>
      <c r="E113" s="124">
        <f>IFERROR(__xludf.DUMMYFUNCTION("""COMPUTED_VALUE"""),1500609.0)</f>
        <v>1500609</v>
      </c>
      <c r="F113" s="124" t="str">
        <f>IFERROR(__xludf.DUMMYFUNCTION("""COMPUTED_VALUE"""),"4361_988_7")</f>
        <v>4361_988_7</v>
      </c>
      <c r="G113" s="124">
        <f>IFERROR(__xludf.DUMMYFUNCTION("""COMPUTED_VALUE"""),10000.0)</f>
        <v>10000</v>
      </c>
      <c r="H113" s="131">
        <f>IFERROR(__xludf.DUMMYFUNCTION("""COMPUTED_VALUE"""),46093.0)</f>
        <v>46093</v>
      </c>
      <c r="I113" s="124">
        <f>IFERROR(__xludf.DUMMYFUNCTION("""COMPUTED_VALUE"""),10000.0)</f>
        <v>10000</v>
      </c>
      <c r="J113" s="124">
        <f>IFERROR(__xludf.DUMMYFUNCTION("""COMPUTED_VALUE"""),100000.0)</f>
        <v>100000</v>
      </c>
      <c r="K113" s="124">
        <f>IFERROR(__xludf.DUMMYFUNCTION("""COMPUTED_VALUE"""),3.0)</f>
        <v>3</v>
      </c>
      <c r="L113" s="124">
        <f>IFERROR(__xludf.DUMMYFUNCTION("""COMPUTED_VALUE"""),183.0)</f>
        <v>183</v>
      </c>
      <c r="M113" s="124" t="str">
        <f>IFERROR(__xludf.DUMMYFUNCTION("""COMPUTED_VALUE"""),"New Delhi")</f>
        <v>New Delhi</v>
      </c>
      <c r="N113" s="124" t="str">
        <f>IFERROR(__xludf.DUMMYFUNCTION("""COMPUTED_VALUE"""),"tiwarishivank778@gmail.com")</f>
        <v>tiwarishivank778@gmail.com</v>
      </c>
      <c r="O113" s="124" t="str">
        <f>IFERROR(__xludf.DUMMYFUNCTION("""COMPUTED_VALUE"""),"Shiwank")</f>
        <v>Shiwank</v>
      </c>
      <c r="P113" s="124">
        <f>IFERROR(__xludf.DUMMYFUNCTION("""COMPUTED_VALUE"""),14600.0)</f>
        <v>14600</v>
      </c>
      <c r="Q113" s="124" t="str">
        <f>IFERROR(__xludf.DUMMYFUNCTION("""COMPUTED_VALUE"""),"ncert-foundation-hinglish-target-2026-nce-upsc-e02-orn")</f>
        <v>ncert-foundation-hinglish-target-2026-nce-upsc-e02-orn</v>
      </c>
      <c r="R113" s="124" t="str">
        <f>IFERROR(__xludf.DUMMYFUNCTION("""COMPUTED_VALUE"""),"GS Foundation Course")</f>
        <v>GS Foundation Course</v>
      </c>
      <c r="S113" s="124">
        <f>IFERROR(__xludf.DUMMYFUNCTION("""COMPUTED_VALUE"""),9.918526032E9)</f>
        <v>9918526032</v>
      </c>
      <c r="T113" s="124" t="str">
        <f>IFERROR(__xludf.DUMMYFUNCTION("""COMPUTED_VALUE"""),"Collexo")</f>
        <v>Collexo</v>
      </c>
      <c r="U113" s="124" t="str">
        <f>IFERROR(__xludf.DUMMYFUNCTION("""COMPUTED_VALUE"""),"Success")</f>
        <v>Success</v>
      </c>
      <c r="V113" s="131">
        <f>IFERROR(__xludf.DUMMYFUNCTION("""COMPUTED_VALUE"""),46062.0)</f>
        <v>46062</v>
      </c>
      <c r="W113" s="124">
        <f>IFERROR(__xludf.DUMMYFUNCTION("""COMPUTED_VALUE"""),0.0)</f>
        <v>0</v>
      </c>
    </row>
    <row r="114">
      <c r="A114" s="124" t="str">
        <f t="shared" si="1"/>
        <v>aryanstark2005@gmail.com</v>
      </c>
      <c r="B114" s="131">
        <f>IFERROR(__xludf.DUMMYFUNCTION("""COMPUTED_VALUE"""),46080.0)</f>
        <v>46080</v>
      </c>
      <c r="C114" s="124" t="str">
        <f>IFERROR(__xludf.DUMMYFUNCTION("""COMPUTED_VALUE"""),"Payment data from Collexo")</f>
        <v>Payment data from Collexo</v>
      </c>
      <c r="D114" s="124" t="str">
        <f>IFERROR(__xludf.DUMMYFUNCTION("""COMPUTED_VALUE"""),"Not Available")</f>
        <v>Not Available</v>
      </c>
      <c r="E114" s="124">
        <f>IFERROR(__xludf.DUMMYFUNCTION("""COMPUTED_VALUE"""),1500609.0)</f>
        <v>1500609</v>
      </c>
      <c r="F114" s="124" t="str">
        <f>IFERROR(__xludf.DUMMYFUNCTION("""COMPUTED_VALUE"""),"11427_988_7")</f>
        <v>11427_988_7</v>
      </c>
      <c r="G114" s="124">
        <f>IFERROR(__xludf.DUMMYFUNCTION("""COMPUTED_VALUE"""),96000.0)</f>
        <v>96000</v>
      </c>
      <c r="H114" s="124" t="str">
        <f>IFERROR(__xludf.DUMMYFUNCTION("""COMPUTED_VALUE"""),"Not Available")</f>
        <v>Not Available</v>
      </c>
      <c r="I114" s="124">
        <f>IFERROR(__xludf.DUMMYFUNCTION("""COMPUTED_VALUE"""),0.0)</f>
        <v>0</v>
      </c>
      <c r="J114" s="124">
        <f>IFERROR(__xludf.DUMMYFUNCTION("""COMPUTED_VALUE"""),120000.0)</f>
        <v>120000</v>
      </c>
      <c r="K114" s="124">
        <f>IFERROR(__xludf.DUMMYFUNCTION("""COMPUTED_VALUE"""),3.0)</f>
        <v>3</v>
      </c>
      <c r="L114" s="124">
        <f>IFERROR(__xludf.DUMMYFUNCTION("""COMPUTED_VALUE"""),368.0)</f>
        <v>368</v>
      </c>
      <c r="M114" s="124" t="str">
        <f>IFERROR(__xludf.DUMMYFUNCTION("""COMPUTED_VALUE"""),"New Delhi")</f>
        <v>New Delhi</v>
      </c>
      <c r="N114" s="124" t="str">
        <f>IFERROR(__xludf.DUMMYFUNCTION("""COMPUTED_VALUE"""),"aryanstark2005@gmail.com")</f>
        <v>aryanstark2005@gmail.com</v>
      </c>
      <c r="O114" s="124" t="str">
        <f>IFERROR(__xludf.DUMMYFUNCTION("""COMPUTED_VALUE"""),"Aryan")</f>
        <v>Aryan</v>
      </c>
      <c r="P114" s="124">
        <f>IFERROR(__xludf.DUMMYFUNCTION("""COMPUTED_VALUE"""),123511.0)</f>
        <v>123511</v>
      </c>
      <c r="Q114" s="124" t="str">
        <f>IFERROR(__xludf.DUMMYFUNCTION("""COMPUTED_VALUE"""),"upsc-gs-foundation-hinglish-target-2028-gsf-upsc-e04-orn")</f>
        <v>upsc-gs-foundation-hinglish-target-2028-gsf-upsc-e04-orn</v>
      </c>
      <c r="R114" s="124" t="str">
        <f>IFERROR(__xludf.DUMMYFUNCTION("""COMPUTED_VALUE"""),"GS Foundation Course")</f>
        <v>GS Foundation Course</v>
      </c>
      <c r="S114" s="124">
        <f>IFERROR(__xludf.DUMMYFUNCTION("""COMPUTED_VALUE"""),9.31047141E9)</f>
        <v>9310471410</v>
      </c>
      <c r="T114" s="124" t="str">
        <f>IFERROR(__xludf.DUMMYFUNCTION("""COMPUTED_VALUE"""),"Collexo")</f>
        <v>Collexo</v>
      </c>
      <c r="U114" s="124" t="str">
        <f>IFERROR(__xludf.DUMMYFUNCTION("""COMPUTED_VALUE"""),"Success")</f>
        <v>Success</v>
      </c>
      <c r="V114" s="131">
        <f>IFERROR(__xludf.DUMMYFUNCTION("""COMPUTED_VALUE"""),46080.0)</f>
        <v>46080</v>
      </c>
      <c r="W114" s="124">
        <f>IFERROR(__xludf.DUMMYFUNCTION("""COMPUTED_VALUE"""),0.0)</f>
        <v>0</v>
      </c>
    </row>
    <row r="115">
      <c r="A115" s="124" t="str">
        <f t="shared" si="1"/>
        <v>ks1965532@gmail.com</v>
      </c>
      <c r="B115" s="131">
        <f>IFERROR(__xludf.DUMMYFUNCTION("""COMPUTED_VALUE"""),46095.0)</f>
        <v>46095</v>
      </c>
      <c r="C115" s="124" t="str">
        <f>IFERROR(__xludf.DUMMYFUNCTION("""COMPUTED_VALUE"""),"Payment data from Collexo")</f>
        <v>Payment data from Collexo</v>
      </c>
      <c r="D115" s="124" t="str">
        <f>IFERROR(__xludf.DUMMYFUNCTION("""COMPUTED_VALUE"""),"Not Available")</f>
        <v>Not Available</v>
      </c>
      <c r="E115" s="124">
        <f>IFERROR(__xludf.DUMMYFUNCTION("""COMPUTED_VALUE"""),1500609.0)</f>
        <v>1500609</v>
      </c>
      <c r="F115" s="124" t="str">
        <f>IFERROR(__xludf.DUMMYFUNCTION("""COMPUTED_VALUE"""),"14272_988_7")</f>
        <v>14272_988_7</v>
      </c>
      <c r="G115" s="124">
        <f>IFERROR(__xludf.DUMMYFUNCTION("""COMPUTED_VALUE"""),104000.0)</f>
        <v>104000</v>
      </c>
      <c r="H115" s="124" t="str">
        <f>IFERROR(__xludf.DUMMYFUNCTION("""COMPUTED_VALUE"""),"Not Available")</f>
        <v>Not Available</v>
      </c>
      <c r="I115" s="124">
        <f>IFERROR(__xludf.DUMMYFUNCTION("""COMPUTED_VALUE"""),0.0)</f>
        <v>0</v>
      </c>
      <c r="J115" s="124">
        <f>IFERROR(__xludf.DUMMYFUNCTION("""COMPUTED_VALUE"""),130000.0)</f>
        <v>130000</v>
      </c>
      <c r="K115" s="124">
        <f>IFERROR(__xludf.DUMMYFUNCTION("""COMPUTED_VALUE"""),2.0)</f>
        <v>2</v>
      </c>
      <c r="L115" s="124">
        <f>IFERROR(__xludf.DUMMYFUNCTION("""COMPUTED_VALUE"""),547.0)</f>
        <v>547</v>
      </c>
      <c r="M115" s="124" t="str">
        <f>IFERROR(__xludf.DUMMYFUNCTION("""COMPUTED_VALUE"""),"New Delhi")</f>
        <v>New Delhi</v>
      </c>
      <c r="N115" s="124" t="str">
        <f>IFERROR(__xludf.DUMMYFUNCTION("""COMPUTED_VALUE"""),"ks1965532@gmail.com")</f>
        <v>ks1965532@gmail.com</v>
      </c>
      <c r="O115" s="124" t="str">
        <f>IFERROR(__xludf.DUMMYFUNCTION("""COMPUTED_VALUE"""),"Komal")</f>
        <v>Komal</v>
      </c>
      <c r="P115" s="124">
        <f>IFERROR(__xludf.DUMMYFUNCTION("""COMPUTED_VALUE"""),126120.0)</f>
        <v>126120</v>
      </c>
      <c r="Q115" s="124" t="str">
        <f>IFERROR(__xludf.DUMMYFUNCTION("""COMPUTED_VALUE"""),"upsc-gs-foundation-hinglish-target-2028-gsf-upsc-m05-orn")</f>
        <v>upsc-gs-foundation-hinglish-target-2028-gsf-upsc-m05-orn</v>
      </c>
      <c r="R115" s="124" t="str">
        <f>IFERROR(__xludf.DUMMYFUNCTION("""COMPUTED_VALUE"""),"GS Foundation Course")</f>
        <v>GS Foundation Course</v>
      </c>
      <c r="S115" s="124">
        <f>IFERROR(__xludf.DUMMYFUNCTION("""COMPUTED_VALUE"""),9.053823253E9)</f>
        <v>9053823253</v>
      </c>
      <c r="T115" s="124" t="str">
        <f>IFERROR(__xludf.DUMMYFUNCTION("""COMPUTED_VALUE"""),"Collexo")</f>
        <v>Collexo</v>
      </c>
      <c r="U115" s="124" t="str">
        <f>IFERROR(__xludf.DUMMYFUNCTION("""COMPUTED_VALUE"""),"Success")</f>
        <v>Success</v>
      </c>
      <c r="V115" s="131">
        <f>IFERROR(__xludf.DUMMYFUNCTION("""COMPUTED_VALUE"""),46095.0)</f>
        <v>46095</v>
      </c>
      <c r="W115" s="124">
        <f>IFERROR(__xludf.DUMMYFUNCTION("""COMPUTED_VALUE"""),0.0)</f>
        <v>0</v>
      </c>
    </row>
    <row r="116">
      <c r="A116" s="124" t="str">
        <f t="shared" si="1"/>
        <v>khushbujasavat20@gmail.com</v>
      </c>
      <c r="B116" s="131">
        <f>IFERROR(__xludf.DUMMYFUNCTION("""COMPUTED_VALUE"""),46046.0)</f>
        <v>46046</v>
      </c>
      <c r="C116" s="124" t="str">
        <f>IFERROR(__xludf.DUMMYFUNCTION("""COMPUTED_VALUE"""),"Payment data from Collexo")</f>
        <v>Payment data from Collexo</v>
      </c>
      <c r="D116" s="124" t="str">
        <f>IFERROR(__xludf.DUMMYFUNCTION("""COMPUTED_VALUE"""),"Not Available")</f>
        <v>Not Available</v>
      </c>
      <c r="E116" s="124">
        <f>IFERROR(__xludf.DUMMYFUNCTION("""COMPUTED_VALUE"""),1500609.0)</f>
        <v>1500609</v>
      </c>
      <c r="F116" s="124" t="str">
        <f>IFERROR(__xludf.DUMMYFUNCTION("""COMPUTED_VALUE"""),"2131_988_7")</f>
        <v>2131_988_7</v>
      </c>
      <c r="G116" s="124">
        <f>IFERROR(__xludf.DUMMYFUNCTION("""COMPUTED_VALUE"""),5000.0)</f>
        <v>5000</v>
      </c>
      <c r="H116" s="131">
        <f>IFERROR(__xludf.DUMMYFUNCTION("""COMPUTED_VALUE"""),46053.0)</f>
        <v>46053</v>
      </c>
      <c r="I116" s="124">
        <f>IFERROR(__xludf.DUMMYFUNCTION("""COMPUTED_VALUE"""),135000.0)</f>
        <v>135000</v>
      </c>
      <c r="J116" s="124">
        <f>IFERROR(__xludf.DUMMYFUNCTION("""COMPUTED_VALUE"""),140000.0)</f>
        <v>140000</v>
      </c>
      <c r="K116" s="124">
        <f>IFERROR(__xludf.DUMMYFUNCTION("""COMPUTED_VALUE"""),2.0)</f>
        <v>2</v>
      </c>
      <c r="L116" s="124">
        <f>IFERROR(__xludf.DUMMYFUNCTION("""COMPUTED_VALUE"""),111.0)</f>
        <v>111</v>
      </c>
      <c r="M116" s="124" t="str">
        <f>IFERROR(__xludf.DUMMYFUNCTION("""COMPUTED_VALUE"""),"New Delhi")</f>
        <v>New Delhi</v>
      </c>
      <c r="N116" s="124" t="str">
        <f>IFERROR(__xludf.DUMMYFUNCTION("""COMPUTED_VALUE"""),"khushbujasavat20@gmail.com")</f>
        <v>khushbujasavat20@gmail.com</v>
      </c>
      <c r="O116" s="124" t="str">
        <f>IFERROR(__xludf.DUMMYFUNCTION("""COMPUTED_VALUE"""),"Khushbu Jasavat")</f>
        <v>Khushbu Jasavat</v>
      </c>
      <c r="P116" s="124">
        <f>IFERROR(__xludf.DUMMYFUNCTION("""COMPUTED_VALUE"""),42045.0)</f>
        <v>42045</v>
      </c>
      <c r="Q116" s="124" t="str">
        <f>IFERROR(__xludf.DUMMYFUNCTION("""COMPUTED_VALUE"""),"ncert-foundation-hinglish-target-2026-nce-upsc-e02-orn")</f>
        <v>ncert-foundation-hinglish-target-2026-nce-upsc-e02-orn</v>
      </c>
      <c r="R116" s="124" t="str">
        <f>IFERROR(__xludf.DUMMYFUNCTION("""COMPUTED_VALUE"""),"GS Foundation Course")</f>
        <v>GS Foundation Course</v>
      </c>
      <c r="S116" s="124">
        <f>IFERROR(__xludf.DUMMYFUNCTION("""COMPUTED_VALUE"""),7.375013137E9)</f>
        <v>7375013137</v>
      </c>
      <c r="T116" s="124" t="str">
        <f>IFERROR(__xludf.DUMMYFUNCTION("""COMPUTED_VALUE"""),"Collexo")</f>
        <v>Collexo</v>
      </c>
      <c r="U116" s="124" t="str">
        <f>IFERROR(__xludf.DUMMYFUNCTION("""COMPUTED_VALUE"""),"Success")</f>
        <v>Success</v>
      </c>
      <c r="V116" s="131">
        <f>IFERROR(__xludf.DUMMYFUNCTION("""COMPUTED_VALUE"""),46046.0)</f>
        <v>46046</v>
      </c>
      <c r="W116" s="124">
        <f>IFERROR(__xludf.DUMMYFUNCTION("""COMPUTED_VALUE"""),0.0)</f>
        <v>0</v>
      </c>
    </row>
    <row r="117">
      <c r="A117" s="124" t="str">
        <f t="shared" si="1"/>
        <v>sandeeprichasaurabh@gmai.com</v>
      </c>
      <c r="B117" s="131">
        <f>IFERROR(__xludf.DUMMYFUNCTION("""COMPUTED_VALUE"""),46073.0)</f>
        <v>46073</v>
      </c>
      <c r="C117" s="124" t="str">
        <f>IFERROR(__xludf.DUMMYFUNCTION("""COMPUTED_VALUE"""),"Payment data from Collexo")</f>
        <v>Payment data from Collexo</v>
      </c>
      <c r="D117" s="124" t="str">
        <f>IFERROR(__xludf.DUMMYFUNCTION("""COMPUTED_VALUE"""),"Not Available")</f>
        <v>Not Available</v>
      </c>
      <c r="E117" s="124">
        <f>IFERROR(__xludf.DUMMYFUNCTION("""COMPUTED_VALUE"""),1500610.0)</f>
        <v>1500610</v>
      </c>
      <c r="F117" s="124">
        <f>IFERROR(__xludf.DUMMYFUNCTION("""COMPUTED_VALUE"""),36197.0)</f>
        <v>36197</v>
      </c>
      <c r="G117" s="124">
        <f>IFERROR(__xludf.DUMMYFUNCTION("""COMPUTED_VALUE"""),21413.0)</f>
        <v>21413</v>
      </c>
      <c r="H117" s="124" t="str">
        <f>IFERROR(__xludf.DUMMYFUNCTION("""COMPUTED_VALUE"""),"Not Available")</f>
        <v>Not Available</v>
      </c>
      <c r="I117" s="124">
        <f>IFERROR(__xludf.DUMMYFUNCTION("""COMPUTED_VALUE"""),0.0)</f>
        <v>0</v>
      </c>
      <c r="J117" s="124">
        <f>IFERROR(__xludf.DUMMYFUNCTION("""COMPUTED_VALUE"""),25000.0)</f>
        <v>25000</v>
      </c>
      <c r="K117" s="124">
        <f>IFERROR(__xludf.DUMMYFUNCTION("""COMPUTED_VALUE"""),2.0)</f>
        <v>2</v>
      </c>
      <c r="L117" s="124">
        <f>IFERROR(__xludf.DUMMYFUNCTION("""COMPUTED_VALUE"""),284.0)</f>
        <v>284</v>
      </c>
      <c r="M117" s="124" t="str">
        <f>IFERROR(__xludf.DUMMYFUNCTION("""COMPUTED_VALUE"""),"Lucknow")</f>
        <v>Lucknow</v>
      </c>
      <c r="N117" s="124" t="str">
        <f>IFERROR(__xludf.DUMMYFUNCTION("""COMPUTED_VALUE"""),"sandeeprichasaurabh@gmai.com")</f>
        <v>sandeeprichasaurabh@gmai.com</v>
      </c>
      <c r="O117" s="124" t="str">
        <f>IFERROR(__xludf.DUMMYFUNCTION("""COMPUTED_VALUE"""),"Sandeep")</f>
        <v>Sandeep</v>
      </c>
      <c r="P117" s="124">
        <f>IFERROR(__xludf.DUMMYFUNCTION("""COMPUTED_VALUE"""),36197.0)</f>
        <v>36197</v>
      </c>
      <c r="Q117" s="124" t="str">
        <f>IFERROR(__xludf.DUMMYFUNCTION("""COMPUTED_VALUE"""),"upsc-gs-foundation-hinglish-target-2028-gsf-upsc-e02-lko")</f>
        <v>upsc-gs-foundation-hinglish-target-2028-gsf-upsc-e02-lko</v>
      </c>
      <c r="R117" s="124" t="str">
        <f>IFERROR(__xludf.DUMMYFUNCTION("""COMPUTED_VALUE"""),"GS Foundation Course")</f>
        <v>GS Foundation Course</v>
      </c>
      <c r="S117" s="124">
        <f>IFERROR(__xludf.DUMMYFUNCTION("""COMPUTED_VALUE"""),6.387381393E9)</f>
        <v>6387381393</v>
      </c>
      <c r="T117" s="124" t="str">
        <f>IFERROR(__xludf.DUMMYFUNCTION("""COMPUTED_VALUE"""),"Not Available")</f>
        <v>Not Available</v>
      </c>
      <c r="U117" s="124" t="str">
        <f>IFERROR(__xludf.DUMMYFUNCTION("""COMPUTED_VALUE"""),"Not Available")</f>
        <v>Not Available</v>
      </c>
      <c r="V117" s="124" t="str">
        <f>IFERROR(__xludf.DUMMYFUNCTION("""COMPUTED_VALUE"""),"Not Available")</f>
        <v>Not Available</v>
      </c>
      <c r="W117" s="124" t="str">
        <f>IFERROR(__xludf.DUMMYFUNCTION("""COMPUTED_VALUE"""),"Not Available")</f>
        <v>Not Available</v>
      </c>
    </row>
    <row r="118">
      <c r="A118" s="124" t="str">
        <f t="shared" si="1"/>
        <v>rajeshkumarmaurya85@yahoo.com</v>
      </c>
      <c r="B118" s="131">
        <f>IFERROR(__xludf.DUMMYFUNCTION("""COMPUTED_VALUE"""),46104.0)</f>
        <v>46104</v>
      </c>
      <c r="C118" s="124" t="str">
        <f>IFERROR(__xludf.DUMMYFUNCTION("""COMPUTED_VALUE"""),"Payment data from Collexo")</f>
        <v>Payment data from Collexo</v>
      </c>
      <c r="D118" s="124" t="str">
        <f>IFERROR(__xludf.DUMMYFUNCTION("""COMPUTED_VALUE"""),"Not Available")</f>
        <v>Not Available</v>
      </c>
      <c r="E118" s="124">
        <f>IFERROR(__xludf.DUMMYFUNCTION("""COMPUTED_VALUE"""),1500613.0)</f>
        <v>1500613</v>
      </c>
      <c r="F118" s="124">
        <f>IFERROR(__xludf.DUMMYFUNCTION("""COMPUTED_VALUE"""),107270.0)</f>
        <v>107270</v>
      </c>
      <c r="G118" s="124">
        <f>IFERROR(__xludf.DUMMYFUNCTION("""COMPUTED_VALUE"""),30000.0)</f>
        <v>30000</v>
      </c>
      <c r="H118" s="124" t="str">
        <f>IFERROR(__xludf.DUMMYFUNCTION("""COMPUTED_VALUE"""),"Not Available")</f>
        <v>Not Available</v>
      </c>
      <c r="I118" s="124">
        <f>IFERROR(__xludf.DUMMYFUNCTION("""COMPUTED_VALUE"""),0.0)</f>
        <v>0</v>
      </c>
      <c r="J118" s="124">
        <f>IFERROR(__xludf.DUMMYFUNCTION("""COMPUTED_VALUE"""),30000.0)</f>
        <v>30000</v>
      </c>
      <c r="K118" s="124">
        <f>IFERROR(__xludf.DUMMYFUNCTION("""COMPUTED_VALUE"""),1.0)</f>
        <v>1</v>
      </c>
      <c r="L118" s="124">
        <f>IFERROR(__xludf.DUMMYFUNCTION("""COMPUTED_VALUE"""),687.0)</f>
        <v>687</v>
      </c>
      <c r="M118" s="124" t="str">
        <f>IFERROR(__xludf.DUMMYFUNCTION("""COMPUTED_VALUE"""),"Prayagraj")</f>
        <v>Prayagraj</v>
      </c>
      <c r="N118" s="124" t="str">
        <f>IFERROR(__xludf.DUMMYFUNCTION("""COMPUTED_VALUE"""),"rajeshkumarmaurya85@yahoo.com")</f>
        <v>rajeshkumarmaurya85@yahoo.com</v>
      </c>
      <c r="O118" s="124" t="str">
        <f>IFERROR(__xludf.DUMMYFUNCTION("""COMPUTED_VALUE"""),"Rajesh kumar")</f>
        <v>Rajesh kumar</v>
      </c>
      <c r="P118" s="124">
        <f>IFERROR(__xludf.DUMMYFUNCTION("""COMPUTED_VALUE"""),107270.0)</f>
        <v>107270</v>
      </c>
      <c r="Q118" s="124" t="str">
        <f>IFERROR(__xludf.DUMMYFUNCTION("""COMPUTED_VALUE"""),"samadhan-mentorship-program-pry")</f>
        <v>samadhan-mentorship-program-pry</v>
      </c>
      <c r="R118" s="124" t="str">
        <f>IFERROR(__xludf.DUMMYFUNCTION("""COMPUTED_VALUE"""),"State PCS")</f>
        <v>State PCS</v>
      </c>
      <c r="S118" s="124">
        <f>IFERROR(__xludf.DUMMYFUNCTION("""COMPUTED_VALUE"""),9.762412013E9)</f>
        <v>9762412013</v>
      </c>
      <c r="T118" s="124" t="str">
        <f>IFERROR(__xludf.DUMMYFUNCTION("""COMPUTED_VALUE"""),"Not Available")</f>
        <v>Not Available</v>
      </c>
      <c r="U118" s="124" t="str">
        <f>IFERROR(__xludf.DUMMYFUNCTION("""COMPUTED_VALUE"""),"Not Available")</f>
        <v>Not Available</v>
      </c>
      <c r="V118" s="124" t="str">
        <f>IFERROR(__xludf.DUMMYFUNCTION("""COMPUTED_VALUE"""),"Not Available")</f>
        <v>Not Available</v>
      </c>
      <c r="W118" s="124" t="str">
        <f>IFERROR(__xludf.DUMMYFUNCTION("""COMPUTED_VALUE"""),"Not Available")</f>
        <v>Not Available</v>
      </c>
    </row>
    <row r="119">
      <c r="A119" s="124" t="str">
        <f t="shared" si="1"/>
        <v>namiagrahari19@gmail.com</v>
      </c>
      <c r="B119" s="131">
        <f>IFERROR(__xludf.DUMMYFUNCTION("""COMPUTED_VALUE"""),46093.0)</f>
        <v>46093</v>
      </c>
      <c r="C119" s="124" t="str">
        <f>IFERROR(__xludf.DUMMYFUNCTION("""COMPUTED_VALUE"""),"Payment data from Collexo")</f>
        <v>Payment data from Collexo</v>
      </c>
      <c r="D119" s="124" t="str">
        <f>IFERROR(__xludf.DUMMYFUNCTION("""COMPUTED_VALUE"""),"Not Available")</f>
        <v>Not Available</v>
      </c>
      <c r="E119" s="124">
        <f>IFERROR(__xludf.DUMMYFUNCTION("""COMPUTED_VALUE"""),1500613.0)</f>
        <v>1500613</v>
      </c>
      <c r="F119" s="124">
        <f>IFERROR(__xludf.DUMMYFUNCTION("""COMPUTED_VALUE"""),63916.0)</f>
        <v>63916</v>
      </c>
      <c r="G119" s="124">
        <f>IFERROR(__xludf.DUMMYFUNCTION("""COMPUTED_VALUE"""),2000.0)</f>
        <v>2000</v>
      </c>
      <c r="H119" s="131">
        <f>IFERROR(__xludf.DUMMYFUNCTION("""COMPUTED_VALUE"""),46117.0)</f>
        <v>46117</v>
      </c>
      <c r="I119" s="124">
        <f>IFERROR(__xludf.DUMMYFUNCTION("""COMPUTED_VALUE"""),7444.0)</f>
        <v>7444</v>
      </c>
      <c r="J119" s="124">
        <f>IFERROR(__xludf.DUMMYFUNCTION("""COMPUTED_VALUE"""),45000.0)</f>
        <v>45000</v>
      </c>
      <c r="K119" s="124">
        <f>IFERROR(__xludf.DUMMYFUNCTION("""COMPUTED_VALUE"""),8.0)</f>
        <v>8</v>
      </c>
      <c r="L119" s="124">
        <f>IFERROR(__xludf.DUMMYFUNCTION("""COMPUTED_VALUE"""),502.0)</f>
        <v>502</v>
      </c>
      <c r="M119" s="124" t="str">
        <f>IFERROR(__xludf.DUMMYFUNCTION("""COMPUTED_VALUE"""),"Prayagraj")</f>
        <v>Prayagraj</v>
      </c>
      <c r="N119" s="124" t="str">
        <f>IFERROR(__xludf.DUMMYFUNCTION("""COMPUTED_VALUE"""),"namiagrahari19@gmail.com")</f>
        <v>namiagrahari19@gmail.com</v>
      </c>
      <c r="O119" s="124" t="str">
        <f>IFERROR(__xludf.DUMMYFUNCTION("""COMPUTED_VALUE"""),"Nami Agrahari")</f>
        <v>Nami Agrahari</v>
      </c>
      <c r="P119" s="124">
        <f>IFERROR(__xludf.DUMMYFUNCTION("""COMPUTED_VALUE"""),63916.0)</f>
        <v>63916</v>
      </c>
      <c r="Q119" s="124" t="str">
        <f>IFERROR(__xludf.DUMMYFUNCTION("""COMPUTED_VALUE"""),"upsc-gs-foundation-hindi-target-2027-gsf-upsc-m02-pry")</f>
        <v>upsc-gs-foundation-hindi-target-2027-gsf-upsc-m02-pry</v>
      </c>
      <c r="R119" s="124" t="str">
        <f>IFERROR(__xludf.DUMMYFUNCTION("""COMPUTED_VALUE"""),"GS Foundation Course")</f>
        <v>GS Foundation Course</v>
      </c>
      <c r="S119" s="124">
        <f>IFERROR(__xludf.DUMMYFUNCTION("""COMPUTED_VALUE"""),9.369428815E9)</f>
        <v>9369428815</v>
      </c>
      <c r="T119" s="124" t="str">
        <f>IFERROR(__xludf.DUMMYFUNCTION("""COMPUTED_VALUE"""),"Not Available")</f>
        <v>Not Available</v>
      </c>
      <c r="U119" s="124" t="str">
        <f>IFERROR(__xludf.DUMMYFUNCTION("""COMPUTED_VALUE"""),"Not Available")</f>
        <v>Not Available</v>
      </c>
      <c r="V119" s="124" t="str">
        <f>IFERROR(__xludf.DUMMYFUNCTION("""COMPUTED_VALUE"""),"Not Available")</f>
        <v>Not Available</v>
      </c>
      <c r="W119" s="124" t="str">
        <f>IFERROR(__xludf.DUMMYFUNCTION("""COMPUTED_VALUE"""),"Not Available")</f>
        <v>Not Available</v>
      </c>
    </row>
    <row r="120">
      <c r="A120" s="124" t="str">
        <f t="shared" si="1"/>
        <v>someshpandey89611@gmail.com</v>
      </c>
      <c r="B120" s="131">
        <f>IFERROR(__xludf.DUMMYFUNCTION("""COMPUTED_VALUE"""),46104.0)</f>
        <v>46104</v>
      </c>
      <c r="C120" s="124" t="str">
        <f>IFERROR(__xludf.DUMMYFUNCTION("""COMPUTED_VALUE"""),"Payment data from Collexo")</f>
        <v>Payment data from Collexo</v>
      </c>
      <c r="D120" s="124" t="str">
        <f>IFERROR(__xludf.DUMMYFUNCTION("""COMPUTED_VALUE"""),"Not Available")</f>
        <v>Not Available</v>
      </c>
      <c r="E120" s="124">
        <f>IFERROR(__xludf.DUMMYFUNCTION("""COMPUTED_VALUE"""),1500613.0)</f>
        <v>1500613</v>
      </c>
      <c r="F120" s="124">
        <f>IFERROR(__xludf.DUMMYFUNCTION("""COMPUTED_VALUE"""),129293.0)</f>
        <v>129293</v>
      </c>
      <c r="G120" s="124">
        <f>IFERROR(__xludf.DUMMYFUNCTION("""COMPUTED_VALUE"""),2000.0)</f>
        <v>2000</v>
      </c>
      <c r="H120" s="131">
        <f>IFERROR(__xludf.DUMMYFUNCTION("""COMPUTED_VALUE"""),46107.0)</f>
        <v>46107</v>
      </c>
      <c r="I120" s="124">
        <f>IFERROR(__xludf.DUMMYFUNCTION("""COMPUTED_VALUE"""),46000.0)</f>
        <v>46000</v>
      </c>
      <c r="J120" s="124">
        <f>IFERROR(__xludf.DUMMYFUNCTION("""COMPUTED_VALUE"""),48000.0)</f>
        <v>48000</v>
      </c>
      <c r="K120" s="124">
        <f>IFERROR(__xludf.DUMMYFUNCTION("""COMPUTED_VALUE"""),2.0)</f>
        <v>2</v>
      </c>
      <c r="L120" s="124">
        <f>IFERROR(__xludf.DUMMYFUNCTION("""COMPUTED_VALUE"""),688.0)</f>
        <v>688</v>
      </c>
      <c r="M120" s="124" t="str">
        <f>IFERROR(__xludf.DUMMYFUNCTION("""COMPUTED_VALUE"""),"Prayagraj")</f>
        <v>Prayagraj</v>
      </c>
      <c r="N120" s="124" t="str">
        <f>IFERROR(__xludf.DUMMYFUNCTION("""COMPUTED_VALUE"""),"someshpandey89611@gmail.com")</f>
        <v>someshpandey89611@gmail.com</v>
      </c>
      <c r="O120" s="124" t="str">
        <f>IFERROR(__xludf.DUMMYFUNCTION("""COMPUTED_VALUE"""),"Soumesh pandey")</f>
        <v>Soumesh pandey</v>
      </c>
      <c r="P120" s="124">
        <f>IFERROR(__xludf.DUMMYFUNCTION("""COMPUTED_VALUE"""),129293.0)</f>
        <v>129293</v>
      </c>
      <c r="Q120" s="124" t="str">
        <f>IFERROR(__xludf.DUMMYFUNCTION("""COMPUTED_VALUE"""),"upsc-gs-foundation-hindi-target-2027-gsf-upsc-m03-pry")</f>
        <v>upsc-gs-foundation-hindi-target-2027-gsf-upsc-m03-pry</v>
      </c>
      <c r="R120" s="124" t="str">
        <f>IFERROR(__xludf.DUMMYFUNCTION("""COMPUTED_VALUE"""),"State PCS")</f>
        <v>State PCS</v>
      </c>
      <c r="S120" s="124">
        <f>IFERROR(__xludf.DUMMYFUNCTION("""COMPUTED_VALUE"""),8.707242699E9)</f>
        <v>8707242699</v>
      </c>
      <c r="T120" s="124" t="str">
        <f>IFERROR(__xludf.DUMMYFUNCTION("""COMPUTED_VALUE"""),"Not Available")</f>
        <v>Not Available</v>
      </c>
      <c r="U120" s="124" t="str">
        <f>IFERROR(__xludf.DUMMYFUNCTION("""COMPUTED_VALUE"""),"Not Available")</f>
        <v>Not Available</v>
      </c>
      <c r="V120" s="124" t="str">
        <f>IFERROR(__xludf.DUMMYFUNCTION("""COMPUTED_VALUE"""),"Not Available")</f>
        <v>Not Available</v>
      </c>
      <c r="W120" s="124" t="str">
        <f>IFERROR(__xludf.DUMMYFUNCTION("""COMPUTED_VALUE"""),"Not Available")</f>
        <v>Not Available</v>
      </c>
    </row>
    <row r="121">
      <c r="A121" s="124" t="str">
        <f t="shared" si="1"/>
        <v>ks1965532@gmail.com</v>
      </c>
      <c r="B121" s="131">
        <f>IFERROR(__xludf.DUMMYFUNCTION("""COMPUTED_VALUE"""),46087.0)</f>
        <v>46087</v>
      </c>
      <c r="C121" s="124" t="str">
        <f>IFERROR(__xludf.DUMMYFUNCTION("""COMPUTED_VALUE"""),"Payment data from Collexo")</f>
        <v>Payment data from Collexo</v>
      </c>
      <c r="D121" s="124" t="str">
        <f>IFERROR(__xludf.DUMMYFUNCTION("""COMPUTED_VALUE"""),"Not Available")</f>
        <v>Not Available</v>
      </c>
      <c r="E121" s="124">
        <f>IFERROR(__xludf.DUMMYFUNCTION("""COMPUTED_VALUE"""),1500609.0)</f>
        <v>1500609</v>
      </c>
      <c r="F121" s="124" t="str">
        <f>IFERROR(__xludf.DUMMYFUNCTION("""COMPUTED_VALUE"""),"12792_988_7")</f>
        <v>12792_988_7</v>
      </c>
      <c r="G121" s="124">
        <f>IFERROR(__xludf.DUMMYFUNCTION("""COMPUTED_VALUE"""),1.0)</f>
        <v>1</v>
      </c>
      <c r="H121" s="124" t="str">
        <f>IFERROR(__xludf.DUMMYFUNCTION("""COMPUTED_VALUE"""),"Not Available")</f>
        <v>Not Available</v>
      </c>
      <c r="I121" s="124">
        <f>IFERROR(__xludf.DUMMYFUNCTION("""COMPUTED_VALUE"""),0.0)</f>
        <v>0</v>
      </c>
      <c r="J121" s="124">
        <f>IFERROR(__xludf.DUMMYFUNCTION("""COMPUTED_VALUE"""),1.0)</f>
        <v>1</v>
      </c>
      <c r="K121" s="124">
        <f>IFERROR(__xludf.DUMMYFUNCTION("""COMPUTED_VALUE"""),1.0)</f>
        <v>1</v>
      </c>
      <c r="L121" s="124">
        <f>IFERROR(__xludf.DUMMYFUNCTION("""COMPUTED_VALUE"""),418.0)</f>
        <v>418</v>
      </c>
      <c r="M121" s="124" t="str">
        <f>IFERROR(__xludf.DUMMYFUNCTION("""COMPUTED_VALUE"""),"New Delhi")</f>
        <v>New Delhi</v>
      </c>
      <c r="N121" s="124" t="str">
        <f>IFERROR(__xludf.DUMMYFUNCTION("""COMPUTED_VALUE"""),"ks1965532@gmail.com")</f>
        <v>ks1965532@gmail.com</v>
      </c>
      <c r="O121" s="124" t="str">
        <f>IFERROR(__xludf.DUMMYFUNCTION("""COMPUTED_VALUE"""),"Komal")</f>
        <v>Komal</v>
      </c>
      <c r="P121" s="124">
        <f>IFERROR(__xludf.DUMMYFUNCTION("""COMPUTED_VALUE"""),126120.0)</f>
        <v>126120</v>
      </c>
      <c r="Q121" s="124" t="str">
        <f>IFERROR(__xludf.DUMMYFUNCTION("""COMPUTED_VALUE"""),"upsc-gs-foundation-hinglish-target-2028-gsf-upsc-m05-orn")</f>
        <v>upsc-gs-foundation-hinglish-target-2028-gsf-upsc-m05-orn</v>
      </c>
      <c r="R121" s="124" t="str">
        <f>IFERROR(__xludf.DUMMYFUNCTION("""COMPUTED_VALUE"""),"GS Foundation Course")</f>
        <v>GS Foundation Course</v>
      </c>
      <c r="S121" s="124">
        <f>IFERROR(__xludf.DUMMYFUNCTION("""COMPUTED_VALUE"""),9.053823253E9)</f>
        <v>9053823253</v>
      </c>
      <c r="T121" s="124" t="str">
        <f>IFERROR(__xludf.DUMMYFUNCTION("""COMPUTED_VALUE"""),"Collexo")</f>
        <v>Collexo</v>
      </c>
      <c r="U121" s="124" t="str">
        <f>IFERROR(__xludf.DUMMYFUNCTION("""COMPUTED_VALUE"""),"Success")</f>
        <v>Success</v>
      </c>
      <c r="V121" s="131">
        <f>IFERROR(__xludf.DUMMYFUNCTION("""COMPUTED_VALUE"""),46087.0)</f>
        <v>46087</v>
      </c>
      <c r="W121" s="124">
        <f>IFERROR(__xludf.DUMMYFUNCTION("""COMPUTED_VALUE"""),0.0)</f>
        <v>0</v>
      </c>
    </row>
    <row r="122">
      <c r="A122" s="124" t="str">
        <f t="shared" si="1"/>
        <v>satishvishwakarma1913199@gmail.com</v>
      </c>
      <c r="B122" s="131">
        <f>IFERROR(__xludf.DUMMYFUNCTION("""COMPUTED_VALUE"""),46063.0)</f>
        <v>46063</v>
      </c>
      <c r="C122" s="124" t="str">
        <f>IFERROR(__xludf.DUMMYFUNCTION("""COMPUTED_VALUE"""),"Payment data from Collexo")</f>
        <v>Payment data from Collexo</v>
      </c>
      <c r="D122" s="124" t="str">
        <f>IFERROR(__xludf.DUMMYFUNCTION("""COMPUTED_VALUE"""),"Not Available")</f>
        <v>Not Available</v>
      </c>
      <c r="E122" s="124">
        <f>IFERROR(__xludf.DUMMYFUNCTION("""COMPUTED_VALUE"""),1500609.0)</f>
        <v>1500609</v>
      </c>
      <c r="F122" s="124" t="str">
        <f>IFERROR(__xludf.DUMMYFUNCTION("""COMPUTED_VALUE"""),"4543_988_7")</f>
        <v>4543_988_7</v>
      </c>
      <c r="G122" s="124">
        <f>IFERROR(__xludf.DUMMYFUNCTION("""COMPUTED_VALUE"""),100000.0)</f>
        <v>100000</v>
      </c>
      <c r="H122" s="124" t="str">
        <f>IFERROR(__xludf.DUMMYFUNCTION("""COMPUTED_VALUE"""),"Not Available")</f>
        <v>Not Available</v>
      </c>
      <c r="I122" s="124">
        <f>IFERROR(__xludf.DUMMYFUNCTION("""COMPUTED_VALUE"""),0.0)</f>
        <v>0</v>
      </c>
      <c r="J122" s="124">
        <f>IFERROR(__xludf.DUMMYFUNCTION("""COMPUTED_VALUE"""),110000.0)</f>
        <v>110000</v>
      </c>
      <c r="K122" s="124">
        <f>IFERROR(__xludf.DUMMYFUNCTION("""COMPUTED_VALUE"""),2.0)</f>
        <v>2</v>
      </c>
      <c r="L122" s="124">
        <f>IFERROR(__xludf.DUMMYFUNCTION("""COMPUTED_VALUE"""),191.0)</f>
        <v>191</v>
      </c>
      <c r="M122" s="124" t="str">
        <f>IFERROR(__xludf.DUMMYFUNCTION("""COMPUTED_VALUE"""),"New Delhi")</f>
        <v>New Delhi</v>
      </c>
      <c r="N122" s="124" t="str">
        <f>IFERROR(__xludf.DUMMYFUNCTION("""COMPUTED_VALUE"""),"satishvishwakarma1913199@gmail.com")</f>
        <v>satishvishwakarma1913199@gmail.com</v>
      </c>
      <c r="O122" s="124" t="str">
        <f>IFERROR(__xludf.DUMMYFUNCTION("""COMPUTED_VALUE"""),"Satish")</f>
        <v>Satish</v>
      </c>
      <c r="P122" s="124">
        <f>IFERROR(__xludf.DUMMYFUNCTION("""COMPUTED_VALUE"""),120258.0)</f>
        <v>120258</v>
      </c>
      <c r="Q122" s="124" t="str">
        <f>IFERROR(__xludf.DUMMYFUNCTION("""COMPUTED_VALUE"""),"upsc-gs-foundation-hinglish-target-2027-gsf-upsc-e03-orn")</f>
        <v>upsc-gs-foundation-hinglish-target-2027-gsf-upsc-e03-orn</v>
      </c>
      <c r="R122" s="124" t="str">
        <f>IFERROR(__xludf.DUMMYFUNCTION("""COMPUTED_VALUE"""),"GS Foundation Course")</f>
        <v>GS Foundation Course</v>
      </c>
      <c r="S122" s="124">
        <f>IFERROR(__xludf.DUMMYFUNCTION("""COMPUTED_VALUE"""),8.576006471E9)</f>
        <v>8576006471</v>
      </c>
      <c r="T122" s="124" t="str">
        <f>IFERROR(__xludf.DUMMYFUNCTION("""COMPUTED_VALUE"""),"Collexo")</f>
        <v>Collexo</v>
      </c>
      <c r="U122" s="124" t="str">
        <f>IFERROR(__xludf.DUMMYFUNCTION("""COMPUTED_VALUE"""),"Success")</f>
        <v>Success</v>
      </c>
      <c r="V122" s="131">
        <f>IFERROR(__xludf.DUMMYFUNCTION("""COMPUTED_VALUE"""),46063.0)</f>
        <v>46063</v>
      </c>
      <c r="W122" s="124">
        <f>IFERROR(__xludf.DUMMYFUNCTION("""COMPUTED_VALUE"""),0.0)</f>
        <v>0</v>
      </c>
    </row>
    <row r="123">
      <c r="A123" s="124" t="str">
        <f t="shared" si="1"/>
        <v>NEETUGUPTA7617@GMAIL.COM</v>
      </c>
      <c r="B123" s="131">
        <f>IFERROR(__xludf.DUMMYFUNCTION("""COMPUTED_VALUE"""),46078.0)</f>
        <v>46078</v>
      </c>
      <c r="C123" s="124" t="str">
        <f>IFERROR(__xludf.DUMMYFUNCTION("""COMPUTED_VALUE"""),"Payment data from Collexo")</f>
        <v>Payment data from Collexo</v>
      </c>
      <c r="D123" s="124" t="str">
        <f>IFERROR(__xludf.DUMMYFUNCTION("""COMPUTED_VALUE"""),"Not Available")</f>
        <v>Not Available</v>
      </c>
      <c r="E123" s="124">
        <f>IFERROR(__xludf.DUMMYFUNCTION("""COMPUTED_VALUE"""),1500610.0)</f>
        <v>1500610</v>
      </c>
      <c r="F123" s="124">
        <f>IFERROR(__xludf.DUMMYFUNCTION("""COMPUTED_VALUE"""),124058.0)</f>
        <v>124058</v>
      </c>
      <c r="G123" s="124">
        <f>IFERROR(__xludf.DUMMYFUNCTION("""COMPUTED_VALUE"""),10000.0)</f>
        <v>10000</v>
      </c>
      <c r="H123" s="131">
        <f>IFERROR(__xludf.DUMMYFUNCTION("""COMPUTED_VALUE"""),46081.0)</f>
        <v>46081</v>
      </c>
      <c r="I123" s="124">
        <f>IFERROR(__xludf.DUMMYFUNCTION("""COMPUTED_VALUE"""),45000.0)</f>
        <v>45000</v>
      </c>
      <c r="J123" s="124">
        <f>IFERROR(__xludf.DUMMYFUNCTION("""COMPUTED_VALUE"""),55000.0)</f>
        <v>55000</v>
      </c>
      <c r="K123" s="124">
        <f>IFERROR(__xludf.DUMMYFUNCTION("""COMPUTED_VALUE"""),2.0)</f>
        <v>2</v>
      </c>
      <c r="L123" s="124">
        <f>IFERROR(__xludf.DUMMYFUNCTION("""COMPUTED_VALUE"""),339.0)</f>
        <v>339</v>
      </c>
      <c r="M123" s="124" t="str">
        <f>IFERROR(__xludf.DUMMYFUNCTION("""COMPUTED_VALUE"""),"Lucknow")</f>
        <v>Lucknow</v>
      </c>
      <c r="N123" s="124" t="str">
        <f>IFERROR(__xludf.DUMMYFUNCTION("""COMPUTED_VALUE"""),"NEETUGUPTA7617@GMAIL.COM")</f>
        <v>NEETUGUPTA7617@GMAIL.COM</v>
      </c>
      <c r="O123" s="124" t="str">
        <f>IFERROR(__xludf.DUMMYFUNCTION("""COMPUTED_VALUE"""),"Neetu")</f>
        <v>Neetu</v>
      </c>
      <c r="P123" s="124">
        <f>IFERROR(__xludf.DUMMYFUNCTION("""COMPUTED_VALUE"""),124058.0)</f>
        <v>124058</v>
      </c>
      <c r="Q123" s="124" t="str">
        <f>IFERROR(__xludf.DUMMYFUNCTION("""COMPUTED_VALUE"""),"upsc-gs-foundation-hindi-target-2028-gsf-upsc-m01-lko")</f>
        <v>upsc-gs-foundation-hindi-target-2028-gsf-upsc-m01-lko</v>
      </c>
      <c r="R123" s="124" t="str">
        <f>IFERROR(__xludf.DUMMYFUNCTION("""COMPUTED_VALUE"""),"GS Foundation Course")</f>
        <v>GS Foundation Course</v>
      </c>
      <c r="S123" s="124">
        <f>IFERROR(__xludf.DUMMYFUNCTION("""COMPUTED_VALUE"""),7.895147109E9)</f>
        <v>7895147109</v>
      </c>
      <c r="T123" s="124" t="str">
        <f>IFERROR(__xludf.DUMMYFUNCTION("""COMPUTED_VALUE"""),"Not Available")</f>
        <v>Not Available</v>
      </c>
      <c r="U123" s="124" t="str">
        <f>IFERROR(__xludf.DUMMYFUNCTION("""COMPUTED_VALUE"""),"Not Available")</f>
        <v>Not Available</v>
      </c>
      <c r="V123" s="124" t="str">
        <f>IFERROR(__xludf.DUMMYFUNCTION("""COMPUTED_VALUE"""),"Not Available")</f>
        <v>Not Available</v>
      </c>
      <c r="W123" s="124" t="str">
        <f>IFERROR(__xludf.DUMMYFUNCTION("""COMPUTED_VALUE"""),"Not Available")</f>
        <v>Not Available</v>
      </c>
    </row>
    <row r="124">
      <c r="A124" s="124" t="str">
        <f t="shared" si="1"/>
        <v>aman0800003@gmail.com</v>
      </c>
      <c r="B124" s="131">
        <f>IFERROR(__xludf.DUMMYFUNCTION("""COMPUTED_VALUE"""),46109.0)</f>
        <v>46109</v>
      </c>
      <c r="C124" s="124" t="str">
        <f>IFERROR(__xludf.DUMMYFUNCTION("""COMPUTED_VALUE"""),"Payment data from Collexo")</f>
        <v>Payment data from Collexo</v>
      </c>
      <c r="D124" s="124" t="str">
        <f>IFERROR(__xludf.DUMMYFUNCTION("""COMPUTED_VALUE"""),"Not Available")</f>
        <v>Not Available</v>
      </c>
      <c r="E124" s="124">
        <f>IFERROR(__xludf.DUMMYFUNCTION("""COMPUTED_VALUE"""),1500610.0)</f>
        <v>1500610</v>
      </c>
      <c r="F124" s="124">
        <f>IFERROR(__xludf.DUMMYFUNCTION("""COMPUTED_VALUE"""),133176.0)</f>
        <v>133176</v>
      </c>
      <c r="G124" s="124">
        <f>IFERROR(__xludf.DUMMYFUNCTION("""COMPUTED_VALUE"""),48413.0)</f>
        <v>48413</v>
      </c>
      <c r="H124" s="124" t="str">
        <f>IFERROR(__xludf.DUMMYFUNCTION("""COMPUTED_VALUE"""),"Not Available")</f>
        <v>Not Available</v>
      </c>
      <c r="I124" s="124">
        <f>IFERROR(__xludf.DUMMYFUNCTION("""COMPUTED_VALUE"""),0.0)</f>
        <v>0</v>
      </c>
      <c r="J124" s="124">
        <f>IFERROR(__xludf.DUMMYFUNCTION("""COMPUTED_VALUE"""),55000.0)</f>
        <v>55000</v>
      </c>
      <c r="K124" s="124">
        <f>IFERROR(__xludf.DUMMYFUNCTION("""COMPUTED_VALUE"""),2.0)</f>
        <v>2</v>
      </c>
      <c r="L124" s="124">
        <f>IFERROR(__xludf.DUMMYFUNCTION("""COMPUTED_VALUE"""),805.0)</f>
        <v>805</v>
      </c>
      <c r="M124" s="124" t="str">
        <f>IFERROR(__xludf.DUMMYFUNCTION("""COMPUTED_VALUE"""),"Lucknow")</f>
        <v>Lucknow</v>
      </c>
      <c r="N124" s="124" t="str">
        <f>IFERROR(__xludf.DUMMYFUNCTION("""COMPUTED_VALUE"""),"aman0800003@gmail.com")</f>
        <v>aman0800003@gmail.com</v>
      </c>
      <c r="O124" s="124" t="str">
        <f>IFERROR(__xludf.DUMMYFUNCTION("""COMPUTED_VALUE"""),"Aman")</f>
        <v>Aman</v>
      </c>
      <c r="P124" s="124">
        <f>IFERROR(__xludf.DUMMYFUNCTION("""COMPUTED_VALUE"""),133176.0)</f>
        <v>133176</v>
      </c>
      <c r="Q124" s="124" t="str">
        <f>IFERROR(__xludf.DUMMYFUNCTION("""COMPUTED_VALUE"""),"upsc-gs-foundation-hindi-target-2028-gsf-upsc-m03-lko")</f>
        <v>upsc-gs-foundation-hindi-target-2028-gsf-upsc-m03-lko</v>
      </c>
      <c r="R124" s="124" t="str">
        <f>IFERROR(__xludf.DUMMYFUNCTION("""COMPUTED_VALUE"""),"GS Foundation Course")</f>
        <v>GS Foundation Course</v>
      </c>
      <c r="S124" s="124">
        <f>IFERROR(__xludf.DUMMYFUNCTION("""COMPUTED_VALUE"""),8.726997266E9)</f>
        <v>8726997266</v>
      </c>
      <c r="T124" s="124" t="str">
        <f>IFERROR(__xludf.DUMMYFUNCTION("""COMPUTED_VALUE"""),"Not Available")</f>
        <v>Not Available</v>
      </c>
      <c r="U124" s="124" t="str">
        <f>IFERROR(__xludf.DUMMYFUNCTION("""COMPUTED_VALUE"""),"Not Available")</f>
        <v>Not Available</v>
      </c>
      <c r="V124" s="124" t="str">
        <f>IFERROR(__xludf.DUMMYFUNCTION("""COMPUTED_VALUE"""),"Not Available")</f>
        <v>Not Available</v>
      </c>
      <c r="W124" s="124" t="str">
        <f>IFERROR(__xludf.DUMMYFUNCTION("""COMPUTED_VALUE"""),"Not Available")</f>
        <v>Not Available</v>
      </c>
    </row>
    <row r="125">
      <c r="A125" s="124" t="str">
        <f t="shared" si="1"/>
        <v>satishvishwakarma1913199@gmail.com</v>
      </c>
      <c r="B125" s="131">
        <f>IFERROR(__xludf.DUMMYFUNCTION("""COMPUTED_VALUE"""),46056.0)</f>
        <v>46056</v>
      </c>
      <c r="C125" s="124" t="str">
        <f>IFERROR(__xludf.DUMMYFUNCTION("""COMPUTED_VALUE"""),"Payment data from Collexo")</f>
        <v>Payment data from Collexo</v>
      </c>
      <c r="D125" s="124" t="str">
        <f>IFERROR(__xludf.DUMMYFUNCTION("""COMPUTED_VALUE"""),"Not Available")</f>
        <v>Not Available</v>
      </c>
      <c r="E125" s="124">
        <f>IFERROR(__xludf.DUMMYFUNCTION("""COMPUTED_VALUE"""),1500609.0)</f>
        <v>1500609</v>
      </c>
      <c r="F125" s="124" t="str">
        <f>IFERROR(__xludf.DUMMYFUNCTION("""COMPUTED_VALUE"""),"3652_988_7")</f>
        <v>3652_988_7</v>
      </c>
      <c r="G125" s="124">
        <f>IFERROR(__xludf.DUMMYFUNCTION("""COMPUTED_VALUE"""),10000.0)</f>
        <v>10000</v>
      </c>
      <c r="H125" s="131">
        <f>IFERROR(__xludf.DUMMYFUNCTION("""COMPUTED_VALUE"""),46059.0)</f>
        <v>46059</v>
      </c>
      <c r="I125" s="124">
        <f>IFERROR(__xludf.DUMMYFUNCTION("""COMPUTED_VALUE"""),100000.0)</f>
        <v>100000</v>
      </c>
      <c r="J125" s="124">
        <f>IFERROR(__xludf.DUMMYFUNCTION("""COMPUTED_VALUE"""),110000.0)</f>
        <v>110000</v>
      </c>
      <c r="K125" s="124">
        <f>IFERROR(__xludf.DUMMYFUNCTION("""COMPUTED_VALUE"""),2.0)</f>
        <v>2</v>
      </c>
      <c r="L125" s="124">
        <f>IFERROR(__xludf.DUMMYFUNCTION("""COMPUTED_VALUE"""),158.0)</f>
        <v>158</v>
      </c>
      <c r="M125" s="124" t="str">
        <f>IFERROR(__xludf.DUMMYFUNCTION("""COMPUTED_VALUE"""),"New Delhi")</f>
        <v>New Delhi</v>
      </c>
      <c r="N125" s="124" t="str">
        <f>IFERROR(__xludf.DUMMYFUNCTION("""COMPUTED_VALUE"""),"satishvishwakarma1913199@gmail.com")</f>
        <v>satishvishwakarma1913199@gmail.com</v>
      </c>
      <c r="O125" s="124" t="str">
        <f>IFERROR(__xludf.DUMMYFUNCTION("""COMPUTED_VALUE"""),"Satish")</f>
        <v>Satish</v>
      </c>
      <c r="P125" s="124">
        <f>IFERROR(__xludf.DUMMYFUNCTION("""COMPUTED_VALUE"""),120258.0)</f>
        <v>120258</v>
      </c>
      <c r="Q125" s="124" t="str">
        <f>IFERROR(__xludf.DUMMYFUNCTION("""COMPUTED_VALUE"""),"upsc-gs-foundation-hinglish-target-2027-gsf-upsc-e03-orn")</f>
        <v>upsc-gs-foundation-hinglish-target-2027-gsf-upsc-e03-orn</v>
      </c>
      <c r="R125" s="124" t="str">
        <f>IFERROR(__xludf.DUMMYFUNCTION("""COMPUTED_VALUE"""),"GS Foundation Course")</f>
        <v>GS Foundation Course</v>
      </c>
      <c r="S125" s="124">
        <f>IFERROR(__xludf.DUMMYFUNCTION("""COMPUTED_VALUE"""),8.576006471E9)</f>
        <v>8576006471</v>
      </c>
      <c r="T125" s="124" t="str">
        <f>IFERROR(__xludf.DUMMYFUNCTION("""COMPUTED_VALUE"""),"Collexo")</f>
        <v>Collexo</v>
      </c>
      <c r="U125" s="124" t="str">
        <f>IFERROR(__xludf.DUMMYFUNCTION("""COMPUTED_VALUE"""),"Success")</f>
        <v>Success</v>
      </c>
      <c r="V125" s="131">
        <f>IFERROR(__xludf.DUMMYFUNCTION("""COMPUTED_VALUE"""),46056.0)</f>
        <v>46056</v>
      </c>
      <c r="W125" s="124">
        <f>IFERROR(__xludf.DUMMYFUNCTION("""COMPUTED_VALUE"""),0.0)</f>
        <v>0</v>
      </c>
    </row>
    <row r="126">
      <c r="A126" s="124" t="str">
        <f t="shared" si="1"/>
        <v>anandsinghhpking@gmail.com</v>
      </c>
      <c r="B126" s="131">
        <f>IFERROR(__xludf.DUMMYFUNCTION("""COMPUTED_VALUE"""),46079.0)</f>
        <v>46079</v>
      </c>
      <c r="C126" s="124" t="str">
        <f>IFERROR(__xludf.DUMMYFUNCTION("""COMPUTED_VALUE"""),"Payment data from Collexo")</f>
        <v>Payment data from Collexo</v>
      </c>
      <c r="D126" s="124" t="str">
        <f>IFERROR(__xludf.DUMMYFUNCTION("""COMPUTED_VALUE"""),"Not Available")</f>
        <v>Not Available</v>
      </c>
      <c r="E126" s="124">
        <f>IFERROR(__xludf.DUMMYFUNCTION("""COMPUTED_VALUE"""),1500612.0)</f>
        <v>1500612</v>
      </c>
      <c r="F126" s="124">
        <f>IFERROR(__xludf.DUMMYFUNCTION("""COMPUTED_VALUE"""),36232.0)</f>
        <v>36232</v>
      </c>
      <c r="G126" s="124">
        <f>IFERROR(__xludf.DUMMYFUNCTION("""COMPUTED_VALUE"""),119000.0)</f>
        <v>119000</v>
      </c>
      <c r="H126" s="124" t="str">
        <f>IFERROR(__xludf.DUMMYFUNCTION("""COMPUTED_VALUE"""),"Not Available")</f>
        <v>Not Available</v>
      </c>
      <c r="I126" s="124">
        <f>IFERROR(__xludf.DUMMYFUNCTION("""COMPUTED_VALUE"""),0.0)</f>
        <v>0</v>
      </c>
      <c r="J126" s="124">
        <f>IFERROR(__xludf.DUMMYFUNCTION("""COMPUTED_VALUE"""),120000.0)</f>
        <v>120000</v>
      </c>
      <c r="K126" s="124">
        <f>IFERROR(__xludf.DUMMYFUNCTION("""COMPUTED_VALUE"""),2.0)</f>
        <v>2</v>
      </c>
      <c r="L126" s="124">
        <f>IFERROR(__xludf.DUMMYFUNCTION("""COMPUTED_VALUE"""),355.0)</f>
        <v>355</v>
      </c>
      <c r="M126" s="124" t="str">
        <f>IFERROR(__xludf.DUMMYFUNCTION("""COMPUTED_VALUE"""),"Indore")</f>
        <v>Indore</v>
      </c>
      <c r="N126" s="124" t="str">
        <f>IFERROR(__xludf.DUMMYFUNCTION("""COMPUTED_VALUE"""),"anandsinghhpking@gmail.com")</f>
        <v>anandsinghhpking@gmail.com</v>
      </c>
      <c r="O126" s="124" t="str">
        <f>IFERROR(__xludf.DUMMYFUNCTION("""COMPUTED_VALUE"""),"Anand pratap singh")</f>
        <v>Anand pratap singh</v>
      </c>
      <c r="P126" s="124">
        <f>IFERROR(__xludf.DUMMYFUNCTION("""COMPUTED_VALUE"""),36232.0)</f>
        <v>36232</v>
      </c>
      <c r="Q126" s="124" t="str">
        <f>IFERROR(__xludf.DUMMYFUNCTION("""COMPUTED_VALUE"""),"upsc-gs-foundation-hindi-target-2028-gsf-upsc-m02-ind")</f>
        <v>upsc-gs-foundation-hindi-target-2028-gsf-upsc-m02-ind</v>
      </c>
      <c r="R126" s="124" t="str">
        <f>IFERROR(__xludf.DUMMYFUNCTION("""COMPUTED_VALUE"""),"GS Foundation Course")</f>
        <v>GS Foundation Course</v>
      </c>
      <c r="S126" s="124">
        <f>IFERROR(__xludf.DUMMYFUNCTION("""COMPUTED_VALUE"""),7.389351178E9)</f>
        <v>7389351178</v>
      </c>
      <c r="T126" s="124" t="str">
        <f>IFERROR(__xludf.DUMMYFUNCTION("""COMPUTED_VALUE"""),"Not Available")</f>
        <v>Not Available</v>
      </c>
      <c r="U126" s="124" t="str">
        <f>IFERROR(__xludf.DUMMYFUNCTION("""COMPUTED_VALUE"""),"Not Available")</f>
        <v>Not Available</v>
      </c>
      <c r="V126" s="124" t="str">
        <f>IFERROR(__xludf.DUMMYFUNCTION("""COMPUTED_VALUE"""),"Not Available")</f>
        <v>Not Available</v>
      </c>
      <c r="W126" s="124" t="str">
        <f>IFERROR(__xludf.DUMMYFUNCTION("""COMPUTED_VALUE"""),"Not Available")</f>
        <v>Not Available</v>
      </c>
    </row>
    <row r="127">
      <c r="A127" s="124" t="str">
        <f t="shared" si="1"/>
        <v>prajapatmohit372@gmail.com</v>
      </c>
      <c r="B127" s="131">
        <f>IFERROR(__xludf.DUMMYFUNCTION("""COMPUTED_VALUE"""),46101.0)</f>
        <v>46101</v>
      </c>
      <c r="C127" s="124" t="str">
        <f>IFERROR(__xludf.DUMMYFUNCTION("""COMPUTED_VALUE"""),"Payment data from Collexo")</f>
        <v>Payment data from Collexo</v>
      </c>
      <c r="D127" s="124" t="str">
        <f>IFERROR(__xludf.DUMMYFUNCTION("""COMPUTED_VALUE"""),"Not Available")</f>
        <v>Not Available</v>
      </c>
      <c r="E127" s="124">
        <f>IFERROR(__xludf.DUMMYFUNCTION("""COMPUTED_VALUE"""),1500609.0)</f>
        <v>1500609</v>
      </c>
      <c r="F127" s="124" t="str">
        <f>IFERROR(__xludf.DUMMYFUNCTION("""COMPUTED_VALUE"""),"15575_988_7")</f>
        <v>15575_988_7</v>
      </c>
      <c r="G127" s="124">
        <f>IFERROR(__xludf.DUMMYFUNCTION("""COMPUTED_VALUE"""),94000.0)</f>
        <v>94000</v>
      </c>
      <c r="H127" s="124" t="str">
        <f>IFERROR(__xludf.DUMMYFUNCTION("""COMPUTED_VALUE"""),"Not Available")</f>
        <v>Not Available</v>
      </c>
      <c r="I127" s="124">
        <f>IFERROR(__xludf.DUMMYFUNCTION("""COMPUTED_VALUE"""),0.0)</f>
        <v>0</v>
      </c>
      <c r="J127" s="124">
        <f>IFERROR(__xludf.DUMMYFUNCTION("""COMPUTED_VALUE"""),95000.0)</f>
        <v>95000</v>
      </c>
      <c r="K127" s="124">
        <f>IFERROR(__xludf.DUMMYFUNCTION("""COMPUTED_VALUE"""),2.0)</f>
        <v>2</v>
      </c>
      <c r="L127" s="124">
        <f>IFERROR(__xludf.DUMMYFUNCTION("""COMPUTED_VALUE"""),651.0)</f>
        <v>651</v>
      </c>
      <c r="M127" s="124" t="str">
        <f>IFERROR(__xludf.DUMMYFUNCTION("""COMPUTED_VALUE"""),"New Delhi")</f>
        <v>New Delhi</v>
      </c>
      <c r="N127" s="124" t="str">
        <f>IFERROR(__xludf.DUMMYFUNCTION("""COMPUTED_VALUE"""),"prajapatmohit372@gmail.com")</f>
        <v>prajapatmohit372@gmail.com</v>
      </c>
      <c r="O127" s="124" t="str">
        <f>IFERROR(__xludf.DUMMYFUNCTION("""COMPUTED_VALUE"""),"Mohit prajapat")</f>
        <v>Mohit prajapat</v>
      </c>
      <c r="P127" s="124">
        <f>IFERROR(__xludf.DUMMYFUNCTION("""COMPUTED_VALUE"""),124593.0)</f>
        <v>124593</v>
      </c>
      <c r="Q127" s="124" t="str">
        <f>IFERROR(__xludf.DUMMYFUNCTION("""COMPUTED_VALUE"""),"upsc-gs-foundation-hinglish-target-2028-gsf-upsc-e05-orn")</f>
        <v>upsc-gs-foundation-hinglish-target-2028-gsf-upsc-e05-orn</v>
      </c>
      <c r="R127" s="124" t="str">
        <f>IFERROR(__xludf.DUMMYFUNCTION("""COMPUTED_VALUE"""),"GS Foundation Course")</f>
        <v>GS Foundation Course</v>
      </c>
      <c r="S127" s="124">
        <f>IFERROR(__xludf.DUMMYFUNCTION("""COMPUTED_VALUE"""),9.257006657E9)</f>
        <v>9257006657</v>
      </c>
      <c r="T127" s="124" t="str">
        <f>IFERROR(__xludf.DUMMYFUNCTION("""COMPUTED_VALUE"""),"Collexo")</f>
        <v>Collexo</v>
      </c>
      <c r="U127" s="124" t="str">
        <f>IFERROR(__xludf.DUMMYFUNCTION("""COMPUTED_VALUE"""),"Success")</f>
        <v>Success</v>
      </c>
      <c r="V127" s="131">
        <f>IFERROR(__xludf.DUMMYFUNCTION("""COMPUTED_VALUE"""),46101.0)</f>
        <v>46101</v>
      </c>
      <c r="W127" s="124">
        <f>IFERROR(__xludf.DUMMYFUNCTION("""COMPUTED_VALUE"""),0.0)</f>
        <v>0</v>
      </c>
    </row>
    <row r="128">
      <c r="A128" s="124" t="str">
        <f t="shared" si="1"/>
        <v>shweta252jha@gmail.com</v>
      </c>
      <c r="B128" s="131">
        <f>IFERROR(__xludf.DUMMYFUNCTION("""COMPUTED_VALUE"""),46090.0)</f>
        <v>46090</v>
      </c>
      <c r="C128" s="124" t="str">
        <f>IFERROR(__xludf.DUMMYFUNCTION("""COMPUTED_VALUE"""),"Payment data from Collexo")</f>
        <v>Payment data from Collexo</v>
      </c>
      <c r="D128" s="124" t="str">
        <f>IFERROR(__xludf.DUMMYFUNCTION("""COMPUTED_VALUE"""),"Not Available")</f>
        <v>Not Available</v>
      </c>
      <c r="E128" s="124">
        <f>IFERROR(__xludf.DUMMYFUNCTION("""COMPUTED_VALUE"""),1500612.0)</f>
        <v>1500612</v>
      </c>
      <c r="F128" s="124">
        <f>IFERROR(__xludf.DUMMYFUNCTION("""COMPUTED_VALUE"""),126958.0)</f>
        <v>126958</v>
      </c>
      <c r="G128" s="124">
        <f>IFERROR(__xludf.DUMMYFUNCTION("""COMPUTED_VALUE"""),5000.0)</f>
        <v>5000</v>
      </c>
      <c r="H128" s="131">
        <f>IFERROR(__xludf.DUMMYFUNCTION("""COMPUTED_VALUE"""),46092.0)</f>
        <v>46092</v>
      </c>
      <c r="I128" s="124">
        <f>IFERROR(__xludf.DUMMYFUNCTION("""COMPUTED_VALUE"""),95000.0)</f>
        <v>95000</v>
      </c>
      <c r="J128" s="124">
        <f>IFERROR(__xludf.DUMMYFUNCTION("""COMPUTED_VALUE"""),100000.0)</f>
        <v>100000</v>
      </c>
      <c r="K128" s="124">
        <f>IFERROR(__xludf.DUMMYFUNCTION("""COMPUTED_VALUE"""),2.0)</f>
        <v>2</v>
      </c>
      <c r="L128" s="124">
        <f>IFERROR(__xludf.DUMMYFUNCTION("""COMPUTED_VALUE"""),448.0)</f>
        <v>448</v>
      </c>
      <c r="M128" s="124" t="str">
        <f>IFERROR(__xludf.DUMMYFUNCTION("""COMPUTED_VALUE"""),"Indore")</f>
        <v>Indore</v>
      </c>
      <c r="N128" s="124" t="str">
        <f>IFERROR(__xludf.DUMMYFUNCTION("""COMPUTED_VALUE"""),"shweta252jha@gmail.com")</f>
        <v>shweta252jha@gmail.com</v>
      </c>
      <c r="O128" s="124" t="str">
        <f>IFERROR(__xludf.DUMMYFUNCTION("""COMPUTED_VALUE"""),"Shweta Kumari")</f>
        <v>Shweta Kumari</v>
      </c>
      <c r="P128" s="124">
        <f>IFERROR(__xludf.DUMMYFUNCTION("""COMPUTED_VALUE"""),126958.0)</f>
        <v>126958</v>
      </c>
      <c r="Q128" s="124" t="str">
        <f>IFERROR(__xludf.DUMMYFUNCTION("""COMPUTED_VALUE"""),"upsc-gs-foundation-hinglish-target-2028-gsf-upsc-m02-ind")</f>
        <v>upsc-gs-foundation-hinglish-target-2028-gsf-upsc-m02-ind</v>
      </c>
      <c r="R128" s="124" t="str">
        <f>IFERROR(__xludf.DUMMYFUNCTION("""COMPUTED_VALUE"""),"GS Foundation Course")</f>
        <v>GS Foundation Course</v>
      </c>
      <c r="S128" s="124">
        <f>IFERROR(__xludf.DUMMYFUNCTION("""COMPUTED_VALUE"""),9.863798887E9)</f>
        <v>9863798887</v>
      </c>
      <c r="T128" s="124" t="str">
        <f>IFERROR(__xludf.DUMMYFUNCTION("""COMPUTED_VALUE"""),"Not Available")</f>
        <v>Not Available</v>
      </c>
      <c r="U128" s="124" t="str">
        <f>IFERROR(__xludf.DUMMYFUNCTION("""COMPUTED_VALUE"""),"Not Available")</f>
        <v>Not Available</v>
      </c>
      <c r="V128" s="124" t="str">
        <f>IFERROR(__xludf.DUMMYFUNCTION("""COMPUTED_VALUE"""),"Not Available")</f>
        <v>Not Available</v>
      </c>
      <c r="W128" s="124" t="str">
        <f>IFERROR(__xludf.DUMMYFUNCTION("""COMPUTED_VALUE"""),"Not Available")</f>
        <v>Not Available</v>
      </c>
    </row>
    <row r="129">
      <c r="A129" s="124" t="str">
        <f t="shared" si="1"/>
        <v>sakimaurya0806@gmail.com</v>
      </c>
      <c r="B129" s="131">
        <f>IFERROR(__xludf.DUMMYFUNCTION("""COMPUTED_VALUE"""),46074.0)</f>
        <v>46074</v>
      </c>
      <c r="C129" s="124" t="str">
        <f>IFERROR(__xludf.DUMMYFUNCTION("""COMPUTED_VALUE"""),"Payment data from Collexo")</f>
        <v>Payment data from Collexo</v>
      </c>
      <c r="D129" s="124" t="str">
        <f>IFERROR(__xludf.DUMMYFUNCTION("""COMPUTED_VALUE"""),"Not Available")</f>
        <v>Not Available</v>
      </c>
      <c r="E129" s="124">
        <f>IFERROR(__xludf.DUMMYFUNCTION("""COMPUTED_VALUE"""),1500610.0)</f>
        <v>1500610</v>
      </c>
      <c r="F129" s="124">
        <f>IFERROR(__xludf.DUMMYFUNCTION("""COMPUTED_VALUE"""),122267.0)</f>
        <v>122267</v>
      </c>
      <c r="G129" s="124">
        <f>IFERROR(__xludf.DUMMYFUNCTION("""COMPUTED_VALUE"""),30000.0)</f>
        <v>30000</v>
      </c>
      <c r="H129" s="131">
        <f>IFERROR(__xludf.DUMMYFUNCTION("""COMPUTED_VALUE"""),46081.0)</f>
        <v>46081</v>
      </c>
      <c r="I129" s="124">
        <f>IFERROR(__xludf.DUMMYFUNCTION("""COMPUTED_VALUE"""),35000.0)</f>
        <v>35000</v>
      </c>
      <c r="J129" s="124">
        <f>IFERROR(__xludf.DUMMYFUNCTION("""COMPUTED_VALUE"""),65000.0)</f>
        <v>65000</v>
      </c>
      <c r="K129" s="124">
        <f>IFERROR(__xludf.DUMMYFUNCTION("""COMPUTED_VALUE"""),2.0)</f>
        <v>2</v>
      </c>
      <c r="L129" s="124">
        <f>IFERROR(__xludf.DUMMYFUNCTION("""COMPUTED_VALUE"""),298.0)</f>
        <v>298</v>
      </c>
      <c r="M129" s="124" t="str">
        <f>IFERROR(__xludf.DUMMYFUNCTION("""COMPUTED_VALUE"""),"Lucknow")</f>
        <v>Lucknow</v>
      </c>
      <c r="N129" s="124" t="str">
        <f>IFERROR(__xludf.DUMMYFUNCTION("""COMPUTED_VALUE"""),"sakimaurya0806@gmail.com")</f>
        <v>sakimaurya0806@gmail.com</v>
      </c>
      <c r="O129" s="124" t="str">
        <f>IFERROR(__xludf.DUMMYFUNCTION("""COMPUTED_VALUE"""),"Sakshi")</f>
        <v>Sakshi</v>
      </c>
      <c r="P129" s="124">
        <f>IFERROR(__xludf.DUMMYFUNCTION("""COMPUTED_VALUE"""),122267.0)</f>
        <v>122267</v>
      </c>
      <c r="Q129" s="124" t="str">
        <f>IFERROR(__xludf.DUMMYFUNCTION("""COMPUTED_VALUE"""),"upsc-gs-foundation-hinglish-target-2027-gsf-upsc-e03-lko")</f>
        <v>upsc-gs-foundation-hinglish-target-2027-gsf-upsc-e03-lko</v>
      </c>
      <c r="R129" s="124" t="str">
        <f>IFERROR(__xludf.DUMMYFUNCTION("""COMPUTED_VALUE"""),"GS Foundation Course")</f>
        <v>GS Foundation Course</v>
      </c>
      <c r="S129" s="124">
        <f>IFERROR(__xludf.DUMMYFUNCTION("""COMPUTED_VALUE"""),7.505481168E9)</f>
        <v>7505481168</v>
      </c>
      <c r="T129" s="124" t="str">
        <f>IFERROR(__xludf.DUMMYFUNCTION("""COMPUTED_VALUE"""),"Not Available")</f>
        <v>Not Available</v>
      </c>
      <c r="U129" s="124" t="str">
        <f>IFERROR(__xludf.DUMMYFUNCTION("""COMPUTED_VALUE"""),"Not Available")</f>
        <v>Not Available</v>
      </c>
      <c r="V129" s="124" t="str">
        <f>IFERROR(__xludf.DUMMYFUNCTION("""COMPUTED_VALUE"""),"Not Available")</f>
        <v>Not Available</v>
      </c>
      <c r="W129" s="124" t="str">
        <f>IFERROR(__xludf.DUMMYFUNCTION("""COMPUTED_VALUE"""),"Not Available")</f>
        <v>Not Available</v>
      </c>
    </row>
    <row r="130">
      <c r="A130" s="124" t="str">
        <f t="shared" si="1"/>
        <v>anushkabankar529@gmail.com</v>
      </c>
      <c r="B130" s="131">
        <f>IFERROR(__xludf.DUMMYFUNCTION("""COMPUTED_VALUE"""),46069.0)</f>
        <v>46069</v>
      </c>
      <c r="C130" s="124" t="str">
        <f>IFERROR(__xludf.DUMMYFUNCTION("""COMPUTED_VALUE"""),"Payment data from Collexo")</f>
        <v>Payment data from Collexo</v>
      </c>
      <c r="D130" s="124" t="str">
        <f>IFERROR(__xludf.DUMMYFUNCTION("""COMPUTED_VALUE"""),"Not Available")</f>
        <v>Not Available</v>
      </c>
      <c r="E130" s="124">
        <f>IFERROR(__xludf.DUMMYFUNCTION("""COMPUTED_VALUE"""),1500612.0)</f>
        <v>1500612</v>
      </c>
      <c r="F130" s="124">
        <f>IFERROR(__xludf.DUMMYFUNCTION("""COMPUTED_VALUE"""),123052.0)</f>
        <v>123052</v>
      </c>
      <c r="G130" s="124">
        <f>IFERROR(__xludf.DUMMYFUNCTION("""COMPUTED_VALUE"""),1000.0)</f>
        <v>1000</v>
      </c>
      <c r="H130" s="131">
        <f>IFERROR(__xludf.DUMMYFUNCTION("""COMPUTED_VALUE"""),46076.0)</f>
        <v>46076</v>
      </c>
      <c r="I130" s="124">
        <f>IFERROR(__xludf.DUMMYFUNCTION("""COMPUTED_VALUE"""),24000.0)</f>
        <v>24000</v>
      </c>
      <c r="J130" s="124">
        <f>IFERROR(__xludf.DUMMYFUNCTION("""COMPUTED_VALUE"""),115000.0)</f>
        <v>115000</v>
      </c>
      <c r="K130" s="124">
        <f>IFERROR(__xludf.DUMMYFUNCTION("""COMPUTED_VALUE"""),3.0)</f>
        <v>3</v>
      </c>
      <c r="L130" s="124">
        <f>IFERROR(__xludf.DUMMYFUNCTION("""COMPUTED_VALUE"""),221.0)</f>
        <v>221</v>
      </c>
      <c r="M130" s="124" t="str">
        <f>IFERROR(__xludf.DUMMYFUNCTION("""COMPUTED_VALUE"""),"Indore")</f>
        <v>Indore</v>
      </c>
      <c r="N130" s="124" t="str">
        <f>IFERROR(__xludf.DUMMYFUNCTION("""COMPUTED_VALUE"""),"anushkabankar529@gmail.com")</f>
        <v>anushkabankar529@gmail.com</v>
      </c>
      <c r="O130" s="124" t="str">
        <f>IFERROR(__xludf.DUMMYFUNCTION("""COMPUTED_VALUE"""),"Anushka Bankar")</f>
        <v>Anushka Bankar</v>
      </c>
      <c r="P130" s="124">
        <f>IFERROR(__xludf.DUMMYFUNCTION("""COMPUTED_VALUE"""),123052.0)</f>
        <v>123052</v>
      </c>
      <c r="Q130" s="124" t="str">
        <f>IFERROR(__xludf.DUMMYFUNCTION("""COMPUTED_VALUE"""),"upsc-gs-foundation-hinglish-target-2028-gsf-upsc-m01-ind")</f>
        <v>upsc-gs-foundation-hinglish-target-2028-gsf-upsc-m01-ind</v>
      </c>
      <c r="R130" s="124" t="str">
        <f>IFERROR(__xludf.DUMMYFUNCTION("""COMPUTED_VALUE"""),"GS Foundation Course")</f>
        <v>GS Foundation Course</v>
      </c>
      <c r="S130" s="124">
        <f>IFERROR(__xludf.DUMMYFUNCTION("""COMPUTED_VALUE"""),9.607392999E9)</f>
        <v>9607392999</v>
      </c>
      <c r="T130" s="124" t="str">
        <f>IFERROR(__xludf.DUMMYFUNCTION("""COMPUTED_VALUE"""),"Not Available")</f>
        <v>Not Available</v>
      </c>
      <c r="U130" s="124" t="str">
        <f>IFERROR(__xludf.DUMMYFUNCTION("""COMPUTED_VALUE"""),"Not Available")</f>
        <v>Not Available</v>
      </c>
      <c r="V130" s="124" t="str">
        <f>IFERROR(__xludf.DUMMYFUNCTION("""COMPUTED_VALUE"""),"Not Available")</f>
        <v>Not Available</v>
      </c>
      <c r="W130" s="124" t="str">
        <f>IFERROR(__xludf.DUMMYFUNCTION("""COMPUTED_VALUE"""),"Not Available")</f>
        <v>Not Available</v>
      </c>
    </row>
    <row r="131">
      <c r="A131" s="124" t="str">
        <f t="shared" si="1"/>
        <v>someshpandey89611@gmail.com</v>
      </c>
      <c r="B131" s="131">
        <f>IFERROR(__xludf.DUMMYFUNCTION("""COMPUTED_VALUE"""),46106.0)</f>
        <v>46106</v>
      </c>
      <c r="C131" s="124" t="str">
        <f>IFERROR(__xludf.DUMMYFUNCTION("""COMPUTED_VALUE"""),"Payment data from Collexo")</f>
        <v>Payment data from Collexo</v>
      </c>
      <c r="D131" s="124" t="str">
        <f>IFERROR(__xludf.DUMMYFUNCTION("""COMPUTED_VALUE"""),"Not Available")</f>
        <v>Not Available</v>
      </c>
      <c r="E131" s="124">
        <f>IFERROR(__xludf.DUMMYFUNCTION("""COMPUTED_VALUE"""),1500613.0)</f>
        <v>1500613</v>
      </c>
      <c r="F131" s="124">
        <f>IFERROR(__xludf.DUMMYFUNCTION("""COMPUTED_VALUE"""),129293.0)</f>
        <v>129293</v>
      </c>
      <c r="G131" s="124">
        <f>IFERROR(__xludf.DUMMYFUNCTION("""COMPUTED_VALUE"""),46000.0)</f>
        <v>46000</v>
      </c>
      <c r="H131" s="124" t="str">
        <f>IFERROR(__xludf.DUMMYFUNCTION("""COMPUTED_VALUE"""),"Not Available")</f>
        <v>Not Available</v>
      </c>
      <c r="I131" s="124">
        <f>IFERROR(__xludf.DUMMYFUNCTION("""COMPUTED_VALUE"""),0.0)</f>
        <v>0</v>
      </c>
      <c r="J131" s="124">
        <f>IFERROR(__xludf.DUMMYFUNCTION("""COMPUTED_VALUE"""),48000.0)</f>
        <v>48000</v>
      </c>
      <c r="K131" s="124">
        <f>IFERROR(__xludf.DUMMYFUNCTION("""COMPUTED_VALUE"""),2.0)</f>
        <v>2</v>
      </c>
      <c r="L131" s="124">
        <f>IFERROR(__xludf.DUMMYFUNCTION("""COMPUTED_VALUE"""),744.0)</f>
        <v>744</v>
      </c>
      <c r="M131" s="124" t="str">
        <f>IFERROR(__xludf.DUMMYFUNCTION("""COMPUTED_VALUE"""),"Prayagraj")</f>
        <v>Prayagraj</v>
      </c>
      <c r="N131" s="124" t="str">
        <f>IFERROR(__xludf.DUMMYFUNCTION("""COMPUTED_VALUE"""),"someshpandey89611@gmail.com")</f>
        <v>someshpandey89611@gmail.com</v>
      </c>
      <c r="O131" s="124" t="str">
        <f>IFERROR(__xludf.DUMMYFUNCTION("""COMPUTED_VALUE"""),"Soumesh pandey")</f>
        <v>Soumesh pandey</v>
      </c>
      <c r="P131" s="124">
        <f>IFERROR(__xludf.DUMMYFUNCTION("""COMPUTED_VALUE"""),129293.0)</f>
        <v>129293</v>
      </c>
      <c r="Q131" s="124" t="str">
        <f>IFERROR(__xludf.DUMMYFUNCTION("""COMPUTED_VALUE"""),"upsc-gs-foundation-hindi-target-2027-gsf-upsc-m03-pry")</f>
        <v>upsc-gs-foundation-hindi-target-2027-gsf-upsc-m03-pry</v>
      </c>
      <c r="R131" s="124" t="str">
        <f>IFERROR(__xludf.DUMMYFUNCTION("""COMPUTED_VALUE"""),"State PCS")</f>
        <v>State PCS</v>
      </c>
      <c r="S131" s="124">
        <f>IFERROR(__xludf.DUMMYFUNCTION("""COMPUTED_VALUE"""),8.707242699E9)</f>
        <v>8707242699</v>
      </c>
      <c r="T131" s="124" t="str">
        <f>IFERROR(__xludf.DUMMYFUNCTION("""COMPUTED_VALUE"""),"Not Available")</f>
        <v>Not Available</v>
      </c>
      <c r="U131" s="124" t="str">
        <f>IFERROR(__xludf.DUMMYFUNCTION("""COMPUTED_VALUE"""),"Not Available")</f>
        <v>Not Available</v>
      </c>
      <c r="V131" s="124" t="str">
        <f>IFERROR(__xludf.DUMMYFUNCTION("""COMPUTED_VALUE"""),"Not Available")</f>
        <v>Not Available</v>
      </c>
      <c r="W131" s="124" t="str">
        <f>IFERROR(__xludf.DUMMYFUNCTION("""COMPUTED_VALUE"""),"Not Available")</f>
        <v>Not Available</v>
      </c>
    </row>
    <row r="132">
      <c r="A132" s="124" t="str">
        <f t="shared" si="1"/>
        <v>aryanstark2005@gmail.com</v>
      </c>
      <c r="B132" s="131">
        <f>IFERROR(__xludf.DUMMYFUNCTION("""COMPUTED_VALUE"""),46075.0)</f>
        <v>46075</v>
      </c>
      <c r="C132" s="124" t="str">
        <f>IFERROR(__xludf.DUMMYFUNCTION("""COMPUTED_VALUE"""),"Payment data from Collexo")</f>
        <v>Payment data from Collexo</v>
      </c>
      <c r="D132" s="124" t="str">
        <f>IFERROR(__xludf.DUMMYFUNCTION("""COMPUTED_VALUE"""),"Not Available")</f>
        <v>Not Available</v>
      </c>
      <c r="E132" s="124">
        <f>IFERROR(__xludf.DUMMYFUNCTION("""COMPUTED_VALUE"""),1500609.0)</f>
        <v>1500609</v>
      </c>
      <c r="F132" s="124" t="str">
        <f>IFERROR(__xludf.DUMMYFUNCTION("""COMPUTED_VALUE"""),"8029_988_7")</f>
        <v>8029_988_7</v>
      </c>
      <c r="G132" s="124">
        <f>IFERROR(__xludf.DUMMYFUNCTION("""COMPUTED_VALUE"""),14000.0)</f>
        <v>14000</v>
      </c>
      <c r="H132" s="131">
        <f>IFERROR(__xludf.DUMMYFUNCTION("""COMPUTED_VALUE"""),46081.0)</f>
        <v>46081</v>
      </c>
      <c r="I132" s="124">
        <f>IFERROR(__xludf.DUMMYFUNCTION("""COMPUTED_VALUE"""),10000.0)</f>
        <v>10000</v>
      </c>
      <c r="J132" s="124">
        <f>IFERROR(__xludf.DUMMYFUNCTION("""COMPUTED_VALUE"""),120000.0)</f>
        <v>120000</v>
      </c>
      <c r="K132" s="124">
        <f>IFERROR(__xludf.DUMMYFUNCTION("""COMPUTED_VALUE"""),3.0)</f>
        <v>3</v>
      </c>
      <c r="L132" s="124">
        <f>IFERROR(__xludf.DUMMYFUNCTION("""COMPUTED_VALUE"""),305.0)</f>
        <v>305</v>
      </c>
      <c r="M132" s="124" t="str">
        <f>IFERROR(__xludf.DUMMYFUNCTION("""COMPUTED_VALUE"""),"New Delhi")</f>
        <v>New Delhi</v>
      </c>
      <c r="N132" s="124" t="str">
        <f>IFERROR(__xludf.DUMMYFUNCTION("""COMPUTED_VALUE"""),"aryanstark2005@gmail.com")</f>
        <v>aryanstark2005@gmail.com</v>
      </c>
      <c r="O132" s="124" t="str">
        <f>IFERROR(__xludf.DUMMYFUNCTION("""COMPUTED_VALUE"""),"Aryan")</f>
        <v>Aryan</v>
      </c>
      <c r="P132" s="124">
        <f>IFERROR(__xludf.DUMMYFUNCTION("""COMPUTED_VALUE"""),123511.0)</f>
        <v>123511</v>
      </c>
      <c r="Q132" s="124" t="str">
        <f>IFERROR(__xludf.DUMMYFUNCTION("""COMPUTED_VALUE"""),"upsc-gs-foundation-hinglish-target-2028-gsf-upsc-e04-orn")</f>
        <v>upsc-gs-foundation-hinglish-target-2028-gsf-upsc-e04-orn</v>
      </c>
      <c r="R132" s="124" t="str">
        <f>IFERROR(__xludf.DUMMYFUNCTION("""COMPUTED_VALUE"""),"GS Foundation Course")</f>
        <v>GS Foundation Course</v>
      </c>
      <c r="S132" s="124">
        <f>IFERROR(__xludf.DUMMYFUNCTION("""COMPUTED_VALUE"""),9.31047141E9)</f>
        <v>9310471410</v>
      </c>
      <c r="T132" s="124" t="str">
        <f>IFERROR(__xludf.DUMMYFUNCTION("""COMPUTED_VALUE"""),"Collexo")</f>
        <v>Collexo</v>
      </c>
      <c r="U132" s="124" t="str">
        <f>IFERROR(__xludf.DUMMYFUNCTION("""COMPUTED_VALUE"""),"Success")</f>
        <v>Success</v>
      </c>
      <c r="V132" s="131">
        <f>IFERROR(__xludf.DUMMYFUNCTION("""COMPUTED_VALUE"""),46075.0)</f>
        <v>46075</v>
      </c>
      <c r="W132" s="124">
        <f>IFERROR(__xludf.DUMMYFUNCTION("""COMPUTED_VALUE"""),0.0)</f>
        <v>0</v>
      </c>
    </row>
    <row r="133">
      <c r="A133" s="124" t="str">
        <f t="shared" si="1"/>
        <v>kalayidenim@gmail.com</v>
      </c>
      <c r="B133" s="131">
        <f>IFERROR(__xludf.DUMMYFUNCTION("""COMPUTED_VALUE"""),46067.0)</f>
        <v>46067</v>
      </c>
      <c r="C133" s="124" t="str">
        <f>IFERROR(__xludf.DUMMYFUNCTION("""COMPUTED_VALUE"""),"Payment data from Collexo")</f>
        <v>Payment data from Collexo</v>
      </c>
      <c r="D133" s="124" t="str">
        <f>IFERROR(__xludf.DUMMYFUNCTION("""COMPUTED_VALUE"""),"Not Available")</f>
        <v>Not Available</v>
      </c>
      <c r="E133" s="124">
        <f>IFERROR(__xludf.DUMMYFUNCTION("""COMPUTED_VALUE"""),1500609.0)</f>
        <v>1500609</v>
      </c>
      <c r="F133" s="124" t="str">
        <f>IFERROR(__xludf.DUMMYFUNCTION("""COMPUTED_VALUE"""),"5176_988_7")</f>
        <v>5176_988_7</v>
      </c>
      <c r="G133" s="124">
        <f>IFERROR(__xludf.DUMMYFUNCTION("""COMPUTED_VALUE"""),2000.0)</f>
        <v>2000</v>
      </c>
      <c r="H133" s="131">
        <f>IFERROR(__xludf.DUMMYFUNCTION("""COMPUTED_VALUE"""),46071.0)</f>
        <v>46071</v>
      </c>
      <c r="I133" s="124">
        <f>IFERROR(__xludf.DUMMYFUNCTION("""COMPUTED_VALUE"""),118000.0)</f>
        <v>118000</v>
      </c>
      <c r="J133" s="124">
        <f>IFERROR(__xludf.DUMMYFUNCTION("""COMPUTED_VALUE"""),120000.0)</f>
        <v>120000</v>
      </c>
      <c r="K133" s="124">
        <f>IFERROR(__xludf.DUMMYFUNCTION("""COMPUTED_VALUE"""),2.0)</f>
        <v>2</v>
      </c>
      <c r="L133" s="124">
        <f>IFERROR(__xludf.DUMMYFUNCTION("""COMPUTED_VALUE"""),211.0)</f>
        <v>211</v>
      </c>
      <c r="M133" s="124" t="str">
        <f>IFERROR(__xludf.DUMMYFUNCTION("""COMPUTED_VALUE"""),"New Delhi")</f>
        <v>New Delhi</v>
      </c>
      <c r="N133" s="124" t="str">
        <f>IFERROR(__xludf.DUMMYFUNCTION("""COMPUTED_VALUE"""),"kalayidenim@gmail.com")</f>
        <v>kalayidenim@gmail.com</v>
      </c>
      <c r="O133" s="124" t="str">
        <f>IFERROR(__xludf.DUMMYFUNCTION("""COMPUTED_VALUE"""),"Denim")</f>
        <v>Denim</v>
      </c>
      <c r="P133" s="124">
        <f>IFERROR(__xludf.DUMMYFUNCTION("""COMPUTED_VALUE"""),123514.0)</f>
        <v>123514</v>
      </c>
      <c r="Q133" s="124" t="str">
        <f>IFERROR(__xludf.DUMMYFUNCTION("""COMPUTED_VALUE"""),"upsc-gs-foundation-hinglish-target-2027-gsf-upsc-m02-orn")</f>
        <v>upsc-gs-foundation-hinglish-target-2027-gsf-upsc-m02-orn</v>
      </c>
      <c r="R133" s="124" t="str">
        <f>IFERROR(__xludf.DUMMYFUNCTION("""COMPUTED_VALUE"""),"GS Foundation Course")</f>
        <v>GS Foundation Course</v>
      </c>
      <c r="S133" s="124">
        <f>IFERROR(__xludf.DUMMYFUNCTION("""COMPUTED_VALUE"""),7.629971971E9)</f>
        <v>7629971971</v>
      </c>
      <c r="T133" s="124" t="str">
        <f>IFERROR(__xludf.DUMMYFUNCTION("""COMPUTED_VALUE"""),"Collexo")</f>
        <v>Collexo</v>
      </c>
      <c r="U133" s="124" t="str">
        <f>IFERROR(__xludf.DUMMYFUNCTION("""COMPUTED_VALUE"""),"Success")</f>
        <v>Success</v>
      </c>
      <c r="V133" s="131">
        <f>IFERROR(__xludf.DUMMYFUNCTION("""COMPUTED_VALUE"""),46067.0)</f>
        <v>46067</v>
      </c>
      <c r="W133" s="124">
        <f>IFERROR(__xludf.DUMMYFUNCTION("""COMPUTED_VALUE"""),0.0)</f>
        <v>0</v>
      </c>
    </row>
    <row r="134">
      <c r="A134" s="124" t="str">
        <f t="shared" si="1"/>
        <v>aryanstark2005@gmail.com</v>
      </c>
      <c r="B134" s="131">
        <f>IFERROR(__xludf.DUMMYFUNCTION("""COMPUTED_VALUE"""),46075.0)</f>
        <v>46075</v>
      </c>
      <c r="C134" s="124" t="str">
        <f>IFERROR(__xludf.DUMMYFUNCTION("""COMPUTED_VALUE"""),"Payment data from Collexo")</f>
        <v>Payment data from Collexo</v>
      </c>
      <c r="D134" s="124" t="str">
        <f>IFERROR(__xludf.DUMMYFUNCTION("""COMPUTED_VALUE"""),"Not Available")</f>
        <v>Not Available</v>
      </c>
      <c r="E134" s="124">
        <f>IFERROR(__xludf.DUMMYFUNCTION("""COMPUTED_VALUE"""),1500609.0)</f>
        <v>1500609</v>
      </c>
      <c r="F134" s="124" t="str">
        <f>IFERROR(__xludf.DUMMYFUNCTION("""COMPUTED_VALUE"""),"8033_988_7")</f>
        <v>8033_988_7</v>
      </c>
      <c r="G134" s="124">
        <f>IFERROR(__xludf.DUMMYFUNCTION("""COMPUTED_VALUE"""),1.0)</f>
        <v>1</v>
      </c>
      <c r="H134" s="124" t="str">
        <f>IFERROR(__xludf.DUMMYFUNCTION("""COMPUTED_VALUE"""),"Not Available")</f>
        <v>Not Available</v>
      </c>
      <c r="I134" s="124">
        <f>IFERROR(__xludf.DUMMYFUNCTION("""COMPUTED_VALUE"""),0.0)</f>
        <v>0</v>
      </c>
      <c r="J134" s="124">
        <f>IFERROR(__xludf.DUMMYFUNCTION("""COMPUTED_VALUE"""),1.0)</f>
        <v>1</v>
      </c>
      <c r="K134" s="124">
        <f>IFERROR(__xludf.DUMMYFUNCTION("""COMPUTED_VALUE"""),1.0)</f>
        <v>1</v>
      </c>
      <c r="L134" s="124">
        <f>IFERROR(__xludf.DUMMYFUNCTION("""COMPUTED_VALUE"""),307.0)</f>
        <v>307</v>
      </c>
      <c r="M134" s="124" t="str">
        <f>IFERROR(__xludf.DUMMYFUNCTION("""COMPUTED_VALUE"""),"New Delhi")</f>
        <v>New Delhi</v>
      </c>
      <c r="N134" s="124" t="str">
        <f>IFERROR(__xludf.DUMMYFUNCTION("""COMPUTED_VALUE"""),"aryanstark2005@gmail.com")</f>
        <v>aryanstark2005@gmail.com</v>
      </c>
      <c r="O134" s="124" t="str">
        <f>IFERROR(__xludf.DUMMYFUNCTION("""COMPUTED_VALUE"""),"Aryan")</f>
        <v>Aryan</v>
      </c>
      <c r="P134" s="124">
        <f>IFERROR(__xludf.DUMMYFUNCTION("""COMPUTED_VALUE"""),123511.0)</f>
        <v>123511</v>
      </c>
      <c r="Q134" s="124" t="str">
        <f>IFERROR(__xludf.DUMMYFUNCTION("""COMPUTED_VALUE"""),"upsc-gs-foundation-hinglish-target-2028-gsf-upsc-e04-orn")</f>
        <v>upsc-gs-foundation-hinglish-target-2028-gsf-upsc-e04-orn</v>
      </c>
      <c r="R134" s="124" t="str">
        <f>IFERROR(__xludf.DUMMYFUNCTION("""COMPUTED_VALUE"""),"GS Foundation Course")</f>
        <v>GS Foundation Course</v>
      </c>
      <c r="S134" s="124">
        <f>IFERROR(__xludf.DUMMYFUNCTION("""COMPUTED_VALUE"""),9.31047141E9)</f>
        <v>9310471410</v>
      </c>
      <c r="T134" s="124" t="str">
        <f>IFERROR(__xludf.DUMMYFUNCTION("""COMPUTED_VALUE"""),"Collexo")</f>
        <v>Collexo</v>
      </c>
      <c r="U134" s="124" t="str">
        <f>IFERROR(__xludf.DUMMYFUNCTION("""COMPUTED_VALUE"""),"Success")</f>
        <v>Success</v>
      </c>
      <c r="V134" s="131">
        <f>IFERROR(__xludf.DUMMYFUNCTION("""COMPUTED_VALUE"""),46075.0)</f>
        <v>46075</v>
      </c>
      <c r="W134" s="124">
        <f>IFERROR(__xludf.DUMMYFUNCTION("""COMPUTED_VALUE"""),0.0)</f>
        <v>0</v>
      </c>
    </row>
    <row r="135">
      <c r="A135" s="124" t="str">
        <f t="shared" si="1"/>
        <v>prajapatmohit372@gmail.com</v>
      </c>
      <c r="B135" s="131">
        <f>IFERROR(__xludf.DUMMYFUNCTION("""COMPUTED_VALUE"""),46100.0)</f>
        <v>46100</v>
      </c>
      <c r="C135" s="124" t="str">
        <f>IFERROR(__xludf.DUMMYFUNCTION("""COMPUTED_VALUE"""),"Payment data from Collexo")</f>
        <v>Payment data from Collexo</v>
      </c>
      <c r="D135" s="124" t="str">
        <f>IFERROR(__xludf.DUMMYFUNCTION("""COMPUTED_VALUE"""),"Not Available")</f>
        <v>Not Available</v>
      </c>
      <c r="E135" s="124">
        <f>IFERROR(__xludf.DUMMYFUNCTION("""COMPUTED_VALUE"""),1500609.0)</f>
        <v>1500609</v>
      </c>
      <c r="F135" s="124" t="str">
        <f>IFERROR(__xludf.DUMMYFUNCTION("""COMPUTED_VALUE"""),"15326_988_7")</f>
        <v>15326_988_7</v>
      </c>
      <c r="G135" s="124">
        <f>IFERROR(__xludf.DUMMYFUNCTION("""COMPUTED_VALUE"""),1.0)</f>
        <v>1</v>
      </c>
      <c r="H135" s="124" t="str">
        <f>IFERROR(__xludf.DUMMYFUNCTION("""COMPUTED_VALUE"""),"Not Available")</f>
        <v>Not Available</v>
      </c>
      <c r="I135" s="124">
        <f>IFERROR(__xludf.DUMMYFUNCTION("""COMPUTED_VALUE"""),0.0)</f>
        <v>0</v>
      </c>
      <c r="J135" s="124">
        <f>IFERROR(__xludf.DUMMYFUNCTION("""COMPUTED_VALUE"""),1.0)</f>
        <v>1</v>
      </c>
      <c r="K135" s="124">
        <f>IFERROR(__xludf.DUMMYFUNCTION("""COMPUTED_VALUE"""),1.0)</f>
        <v>1</v>
      </c>
      <c r="L135" s="124">
        <f>IFERROR(__xludf.DUMMYFUNCTION("""COMPUTED_VALUE"""),627.0)</f>
        <v>627</v>
      </c>
      <c r="M135" s="124" t="str">
        <f>IFERROR(__xludf.DUMMYFUNCTION("""COMPUTED_VALUE"""),"New Delhi")</f>
        <v>New Delhi</v>
      </c>
      <c r="N135" s="124" t="str">
        <f>IFERROR(__xludf.DUMMYFUNCTION("""COMPUTED_VALUE"""),"prajapatmohit372@gmail.com")</f>
        <v>prajapatmohit372@gmail.com</v>
      </c>
      <c r="O135" s="124" t="str">
        <f>IFERROR(__xludf.DUMMYFUNCTION("""COMPUTED_VALUE"""),"Mohit prajapat")</f>
        <v>Mohit prajapat</v>
      </c>
      <c r="P135" s="124">
        <f>IFERROR(__xludf.DUMMYFUNCTION("""COMPUTED_VALUE"""),124593.0)</f>
        <v>124593</v>
      </c>
      <c r="Q135" s="124" t="str">
        <f>IFERROR(__xludf.DUMMYFUNCTION("""COMPUTED_VALUE"""),"upsc-gs-foundation-hinglish-target-2028-gsf-upsc-e05-orn")</f>
        <v>upsc-gs-foundation-hinglish-target-2028-gsf-upsc-e05-orn</v>
      </c>
      <c r="R135" s="124" t="str">
        <f>IFERROR(__xludf.DUMMYFUNCTION("""COMPUTED_VALUE"""),"GS Foundation Course")</f>
        <v>GS Foundation Course</v>
      </c>
      <c r="S135" s="124">
        <f>IFERROR(__xludf.DUMMYFUNCTION("""COMPUTED_VALUE"""),9.257006657E9)</f>
        <v>9257006657</v>
      </c>
      <c r="T135" s="124" t="str">
        <f>IFERROR(__xludf.DUMMYFUNCTION("""COMPUTED_VALUE"""),"Collexo")</f>
        <v>Collexo</v>
      </c>
      <c r="U135" s="124" t="str">
        <f>IFERROR(__xludf.DUMMYFUNCTION("""COMPUTED_VALUE"""),"Success")</f>
        <v>Success</v>
      </c>
      <c r="V135" s="131">
        <f>IFERROR(__xludf.DUMMYFUNCTION("""COMPUTED_VALUE"""),46100.0)</f>
        <v>46100</v>
      </c>
      <c r="W135" s="124">
        <f>IFERROR(__xludf.DUMMYFUNCTION("""COMPUTED_VALUE"""),0.0)</f>
        <v>0</v>
      </c>
    </row>
    <row r="136">
      <c r="A136" s="124" t="str">
        <f t="shared" si="1"/>
        <v>rks12122001@gmail.com</v>
      </c>
      <c r="B136" s="131">
        <f>IFERROR(__xludf.DUMMYFUNCTION("""COMPUTED_VALUE"""),46077.0)</f>
        <v>46077</v>
      </c>
      <c r="C136" s="124" t="str">
        <f>IFERROR(__xludf.DUMMYFUNCTION("""COMPUTED_VALUE"""),"Payment data from Collexo")</f>
        <v>Payment data from Collexo</v>
      </c>
      <c r="D136" s="124" t="str">
        <f>IFERROR(__xludf.DUMMYFUNCTION("""COMPUTED_VALUE"""),"Not Available")</f>
        <v>Not Available</v>
      </c>
      <c r="E136" s="124">
        <f>IFERROR(__xludf.DUMMYFUNCTION("""COMPUTED_VALUE"""),1500611.0)</f>
        <v>1500611</v>
      </c>
      <c r="F136" s="124">
        <f>IFERROR(__xludf.DUMMYFUNCTION("""COMPUTED_VALUE"""),124460.0)</f>
        <v>124460</v>
      </c>
      <c r="G136" s="124">
        <f>IFERROR(__xludf.DUMMYFUNCTION("""COMPUTED_VALUE"""),5000.0)</f>
        <v>5000</v>
      </c>
      <c r="H136" s="131">
        <f>IFERROR(__xludf.DUMMYFUNCTION("""COMPUTED_VALUE"""),46079.0)</f>
        <v>46079</v>
      </c>
      <c r="I136" s="124">
        <f>IFERROR(__xludf.DUMMYFUNCTION("""COMPUTED_VALUE"""),50000.0)</f>
        <v>50000</v>
      </c>
      <c r="J136" s="124">
        <f>IFERROR(__xludf.DUMMYFUNCTION("""COMPUTED_VALUE"""),55000.0)</f>
        <v>55000</v>
      </c>
      <c r="K136" s="124">
        <f>IFERROR(__xludf.DUMMYFUNCTION("""COMPUTED_VALUE"""),2.0)</f>
        <v>2</v>
      </c>
      <c r="L136" s="124">
        <f>IFERROR(__xludf.DUMMYFUNCTION("""COMPUTED_VALUE"""),327.0)</f>
        <v>327</v>
      </c>
      <c r="M136" s="124" t="str">
        <f>IFERROR(__xludf.DUMMYFUNCTION("""COMPUTED_VALUE"""),"Patna")</f>
        <v>Patna</v>
      </c>
      <c r="N136" s="124" t="str">
        <f>IFERROR(__xludf.DUMMYFUNCTION("""COMPUTED_VALUE"""),"rks12122001@gmail.com")</f>
        <v>rks12122001@gmail.com</v>
      </c>
      <c r="O136" s="124" t="str">
        <f>IFERROR(__xludf.DUMMYFUNCTION("""COMPUTED_VALUE"""),"Rakesh kumar")</f>
        <v>Rakesh kumar</v>
      </c>
      <c r="P136" s="124">
        <f>IFERROR(__xludf.DUMMYFUNCTION("""COMPUTED_VALUE"""),124460.0)</f>
        <v>124460</v>
      </c>
      <c r="Q136" s="124" t="str">
        <f>IFERROR(__xludf.DUMMYFUNCTION("""COMPUTED_VALUE"""),"course-detail/bpsc-gs-foundation-hindi-target-2026-gsf-bpsc-m02-pat")</f>
        <v>course-detail/bpsc-gs-foundation-hindi-target-2026-gsf-bpsc-m02-pat</v>
      </c>
      <c r="R136" s="124" t="str">
        <f>IFERROR(__xludf.DUMMYFUNCTION("""COMPUTED_VALUE"""),"State PCS")</f>
        <v>State PCS</v>
      </c>
      <c r="S136" s="124">
        <f>IFERROR(__xludf.DUMMYFUNCTION("""COMPUTED_VALUE"""),9.065098868E9)</f>
        <v>9065098868</v>
      </c>
      <c r="T136" s="124" t="str">
        <f>IFERROR(__xludf.DUMMYFUNCTION("""COMPUTED_VALUE"""),"Not Available")</f>
        <v>Not Available</v>
      </c>
      <c r="U136" s="124" t="str">
        <f>IFERROR(__xludf.DUMMYFUNCTION("""COMPUTED_VALUE"""),"Not Available")</f>
        <v>Not Available</v>
      </c>
      <c r="V136" s="124" t="str">
        <f>IFERROR(__xludf.DUMMYFUNCTION("""COMPUTED_VALUE"""),"Not Available")</f>
        <v>Not Available</v>
      </c>
      <c r="W136" s="124" t="str">
        <f>IFERROR(__xludf.DUMMYFUNCTION("""COMPUTED_VALUE"""),"Not Available")</f>
        <v>Not Available</v>
      </c>
    </row>
    <row r="137">
      <c r="A137" s="124" t="str">
        <f t="shared" si="1"/>
        <v>ashwanig405@gmail.com</v>
      </c>
      <c r="B137" s="131">
        <f>IFERROR(__xludf.DUMMYFUNCTION("""COMPUTED_VALUE"""),46082.0)</f>
        <v>46082</v>
      </c>
      <c r="C137" s="124" t="str">
        <f>IFERROR(__xludf.DUMMYFUNCTION("""COMPUTED_VALUE"""),"Payment data from Collexo")</f>
        <v>Payment data from Collexo</v>
      </c>
      <c r="D137" s="124" t="str">
        <f>IFERROR(__xludf.DUMMYFUNCTION("""COMPUTED_VALUE"""),"Not Available")</f>
        <v>Not Available</v>
      </c>
      <c r="E137" s="124">
        <f>IFERROR(__xludf.DUMMYFUNCTION("""COMPUTED_VALUE"""),1500613.0)</f>
        <v>1500613</v>
      </c>
      <c r="F137" s="124">
        <f>IFERROR(__xludf.DUMMYFUNCTION("""COMPUTED_VALUE"""),32934.0)</f>
        <v>32934</v>
      </c>
      <c r="G137" s="124">
        <f>IFERROR(__xludf.DUMMYFUNCTION("""COMPUTED_VALUE"""),1000.0)</f>
        <v>1000</v>
      </c>
      <c r="H137" s="131">
        <f>IFERROR(__xludf.DUMMYFUNCTION("""COMPUTED_VALUE"""),46086.0)</f>
        <v>46086</v>
      </c>
      <c r="I137" s="124">
        <f>IFERROR(__xludf.DUMMYFUNCTION("""COMPUTED_VALUE"""),31000.0)</f>
        <v>31000</v>
      </c>
      <c r="J137" s="124">
        <f>IFERROR(__xludf.DUMMYFUNCTION("""COMPUTED_VALUE"""),32000.0)</f>
        <v>32000</v>
      </c>
      <c r="K137" s="124">
        <f>IFERROR(__xludf.DUMMYFUNCTION("""COMPUTED_VALUE"""),2.0)</f>
        <v>2</v>
      </c>
      <c r="L137" s="124">
        <f>IFERROR(__xludf.DUMMYFUNCTION("""COMPUTED_VALUE"""),401.0)</f>
        <v>401</v>
      </c>
      <c r="M137" s="124" t="str">
        <f>IFERROR(__xludf.DUMMYFUNCTION("""COMPUTED_VALUE"""),"Prayagraj")</f>
        <v>Prayagraj</v>
      </c>
      <c r="N137" s="124" t="str">
        <f>IFERROR(__xludf.DUMMYFUNCTION("""COMPUTED_VALUE"""),"ashwanig405@gmail.com")</f>
        <v>ashwanig405@gmail.com</v>
      </c>
      <c r="O137" s="124" t="str">
        <f>IFERROR(__xludf.DUMMYFUNCTION("""COMPUTED_VALUE"""),"Ashwani Singh")</f>
        <v>Ashwani Singh</v>
      </c>
      <c r="P137" s="124">
        <f>IFERROR(__xludf.DUMMYFUNCTION("""COMPUTED_VALUE"""),32934.0)</f>
        <v>32934</v>
      </c>
      <c r="Q137" s="124" t="str">
        <f>IFERROR(__xludf.DUMMYFUNCTION("""COMPUTED_VALUE"""),"upsc-gs-foundation-hinglish-target-2027-gsf-upsc-e03-pry")</f>
        <v>upsc-gs-foundation-hinglish-target-2027-gsf-upsc-e03-pry</v>
      </c>
      <c r="R137" s="124" t="str">
        <f>IFERROR(__xludf.DUMMYFUNCTION("""COMPUTED_VALUE"""),"GS Foundation Course")</f>
        <v>GS Foundation Course</v>
      </c>
      <c r="S137" s="124">
        <f>IFERROR(__xludf.DUMMYFUNCTION("""COMPUTED_VALUE"""),6.386828884E9)</f>
        <v>6386828884</v>
      </c>
      <c r="T137" s="124" t="str">
        <f>IFERROR(__xludf.DUMMYFUNCTION("""COMPUTED_VALUE"""),"Not Available")</f>
        <v>Not Available</v>
      </c>
      <c r="U137" s="124" t="str">
        <f>IFERROR(__xludf.DUMMYFUNCTION("""COMPUTED_VALUE"""),"Not Available")</f>
        <v>Not Available</v>
      </c>
      <c r="V137" s="124" t="str">
        <f>IFERROR(__xludf.DUMMYFUNCTION("""COMPUTED_VALUE"""),"Not Available")</f>
        <v>Not Available</v>
      </c>
      <c r="W137" s="124" t="str">
        <f>IFERROR(__xludf.DUMMYFUNCTION("""COMPUTED_VALUE"""),"Not Available")</f>
        <v>Not Available</v>
      </c>
    </row>
    <row r="138">
      <c r="A138" s="124" t="str">
        <f t="shared" si="1"/>
        <v>shweta252jha@gmail.com</v>
      </c>
      <c r="B138" s="131">
        <f>IFERROR(__xludf.DUMMYFUNCTION("""COMPUTED_VALUE"""),46092.0)</f>
        <v>46092</v>
      </c>
      <c r="C138" s="124" t="str">
        <f>IFERROR(__xludf.DUMMYFUNCTION("""COMPUTED_VALUE"""),"Payment data from Collexo")</f>
        <v>Payment data from Collexo</v>
      </c>
      <c r="D138" s="124" t="str">
        <f>IFERROR(__xludf.DUMMYFUNCTION("""COMPUTED_VALUE"""),"Not Available")</f>
        <v>Not Available</v>
      </c>
      <c r="E138" s="124">
        <f>IFERROR(__xludf.DUMMYFUNCTION("""COMPUTED_VALUE"""),1500612.0)</f>
        <v>1500612</v>
      </c>
      <c r="F138" s="124">
        <f>IFERROR(__xludf.DUMMYFUNCTION("""COMPUTED_VALUE"""),126958.0)</f>
        <v>126958</v>
      </c>
      <c r="G138" s="124">
        <f>IFERROR(__xludf.DUMMYFUNCTION("""COMPUTED_VALUE"""),95000.0)</f>
        <v>95000</v>
      </c>
      <c r="H138" s="124" t="str">
        <f>IFERROR(__xludf.DUMMYFUNCTION("""COMPUTED_VALUE"""),"Not Available")</f>
        <v>Not Available</v>
      </c>
      <c r="I138" s="124">
        <f>IFERROR(__xludf.DUMMYFUNCTION("""COMPUTED_VALUE"""),0.0)</f>
        <v>0</v>
      </c>
      <c r="J138" s="124">
        <f>IFERROR(__xludf.DUMMYFUNCTION("""COMPUTED_VALUE"""),100000.0)</f>
        <v>100000</v>
      </c>
      <c r="K138" s="124">
        <f>IFERROR(__xludf.DUMMYFUNCTION("""COMPUTED_VALUE"""),2.0)</f>
        <v>2</v>
      </c>
      <c r="L138" s="124">
        <f>IFERROR(__xludf.DUMMYFUNCTION("""COMPUTED_VALUE"""),480.0)</f>
        <v>480</v>
      </c>
      <c r="M138" s="124" t="str">
        <f>IFERROR(__xludf.DUMMYFUNCTION("""COMPUTED_VALUE"""),"Indore")</f>
        <v>Indore</v>
      </c>
      <c r="N138" s="124" t="str">
        <f>IFERROR(__xludf.DUMMYFUNCTION("""COMPUTED_VALUE"""),"shweta252jha@gmail.com")</f>
        <v>shweta252jha@gmail.com</v>
      </c>
      <c r="O138" s="124" t="str">
        <f>IFERROR(__xludf.DUMMYFUNCTION("""COMPUTED_VALUE"""),"Shweta Kumari")</f>
        <v>Shweta Kumari</v>
      </c>
      <c r="P138" s="124">
        <f>IFERROR(__xludf.DUMMYFUNCTION("""COMPUTED_VALUE"""),126958.0)</f>
        <v>126958</v>
      </c>
      <c r="Q138" s="124" t="str">
        <f>IFERROR(__xludf.DUMMYFUNCTION("""COMPUTED_VALUE"""),"upsc-gs-foundation-hinglish-target-2028-gsf-upsc-m02-ind")</f>
        <v>upsc-gs-foundation-hinglish-target-2028-gsf-upsc-m02-ind</v>
      </c>
      <c r="R138" s="124" t="str">
        <f>IFERROR(__xludf.DUMMYFUNCTION("""COMPUTED_VALUE"""),"GS Foundation Course")</f>
        <v>GS Foundation Course</v>
      </c>
      <c r="S138" s="124">
        <f>IFERROR(__xludf.DUMMYFUNCTION("""COMPUTED_VALUE"""),9.863798887E9)</f>
        <v>9863798887</v>
      </c>
      <c r="T138" s="124" t="str">
        <f>IFERROR(__xludf.DUMMYFUNCTION("""COMPUTED_VALUE"""),"Not Available")</f>
        <v>Not Available</v>
      </c>
      <c r="U138" s="124" t="str">
        <f>IFERROR(__xludf.DUMMYFUNCTION("""COMPUTED_VALUE"""),"Not Available")</f>
        <v>Not Available</v>
      </c>
      <c r="V138" s="124" t="str">
        <f>IFERROR(__xludf.DUMMYFUNCTION("""COMPUTED_VALUE"""),"Not Available")</f>
        <v>Not Available</v>
      </c>
      <c r="W138" s="124" t="str">
        <f>IFERROR(__xludf.DUMMYFUNCTION("""COMPUTED_VALUE"""),"Not Available")</f>
        <v>Not Available</v>
      </c>
    </row>
    <row r="139">
      <c r="A139" s="124" t="str">
        <f t="shared" si="1"/>
        <v>anushkabankar529@gmail.com</v>
      </c>
      <c r="B139" s="131">
        <f>IFERROR(__xludf.DUMMYFUNCTION("""COMPUTED_VALUE"""),46081.0)</f>
        <v>46081</v>
      </c>
      <c r="C139" s="124" t="str">
        <f>IFERROR(__xludf.DUMMYFUNCTION("""COMPUTED_VALUE"""),"Payment data from Collexo")</f>
        <v>Payment data from Collexo</v>
      </c>
      <c r="D139" s="124" t="str">
        <f>IFERROR(__xludf.DUMMYFUNCTION("""COMPUTED_VALUE"""),"Not Available")</f>
        <v>Not Available</v>
      </c>
      <c r="E139" s="124">
        <f>IFERROR(__xludf.DUMMYFUNCTION("""COMPUTED_VALUE"""),1500612.0)</f>
        <v>1500612</v>
      </c>
      <c r="F139" s="124">
        <f>IFERROR(__xludf.DUMMYFUNCTION("""COMPUTED_VALUE"""),123052.0)</f>
        <v>123052</v>
      </c>
      <c r="G139" s="124">
        <f>IFERROR(__xludf.DUMMYFUNCTION("""COMPUTED_VALUE"""),30000.0)</f>
        <v>30000</v>
      </c>
      <c r="H139" s="124" t="str">
        <f>IFERROR(__xludf.DUMMYFUNCTION("""COMPUTED_VALUE"""),"Not Available")</f>
        <v>Not Available</v>
      </c>
      <c r="I139" s="124">
        <f>IFERROR(__xludf.DUMMYFUNCTION("""COMPUTED_VALUE"""),0.0)</f>
        <v>0</v>
      </c>
      <c r="J139" s="124">
        <f>IFERROR(__xludf.DUMMYFUNCTION("""COMPUTED_VALUE"""),70000.0)</f>
        <v>70000</v>
      </c>
      <c r="K139" s="124">
        <f>IFERROR(__xludf.DUMMYFUNCTION("""COMPUTED_VALUE"""),3.0)</f>
        <v>3</v>
      </c>
      <c r="L139" s="124">
        <f>IFERROR(__xludf.DUMMYFUNCTION("""COMPUTED_VALUE"""),373.0)</f>
        <v>373</v>
      </c>
      <c r="M139" s="124" t="str">
        <f>IFERROR(__xludf.DUMMYFUNCTION("""COMPUTED_VALUE"""),"Indore")</f>
        <v>Indore</v>
      </c>
      <c r="N139" s="124" t="str">
        <f>IFERROR(__xludf.DUMMYFUNCTION("""COMPUTED_VALUE"""),"anushkabankar529@gmail.com")</f>
        <v>anushkabankar529@gmail.com</v>
      </c>
      <c r="O139" s="124" t="str">
        <f>IFERROR(__xludf.DUMMYFUNCTION("""COMPUTED_VALUE"""),"Anushka Bankar")</f>
        <v>Anushka Bankar</v>
      </c>
      <c r="P139" s="124">
        <f>IFERROR(__xludf.DUMMYFUNCTION("""COMPUTED_VALUE"""),123052.0)</f>
        <v>123052</v>
      </c>
      <c r="Q139" s="124" t="str">
        <f>IFERROR(__xludf.DUMMYFUNCTION("""COMPUTED_VALUE"""),"upsc-gs-foundation-hinglish-target-2028-gsf-upsc-m01-ind")</f>
        <v>upsc-gs-foundation-hinglish-target-2028-gsf-upsc-m01-ind</v>
      </c>
      <c r="R139" s="124" t="str">
        <f>IFERROR(__xludf.DUMMYFUNCTION("""COMPUTED_VALUE"""),"GS Foundation Course")</f>
        <v>GS Foundation Course</v>
      </c>
      <c r="S139" s="124">
        <f>IFERROR(__xludf.DUMMYFUNCTION("""COMPUTED_VALUE"""),9.607392999E9)</f>
        <v>9607392999</v>
      </c>
      <c r="T139" s="124" t="str">
        <f>IFERROR(__xludf.DUMMYFUNCTION("""COMPUTED_VALUE"""),"Not Available")</f>
        <v>Not Available</v>
      </c>
      <c r="U139" s="124" t="str">
        <f>IFERROR(__xludf.DUMMYFUNCTION("""COMPUTED_VALUE"""),"Not Available")</f>
        <v>Not Available</v>
      </c>
      <c r="V139" s="124" t="str">
        <f>IFERROR(__xludf.DUMMYFUNCTION("""COMPUTED_VALUE"""),"Not Available")</f>
        <v>Not Available</v>
      </c>
      <c r="W139" s="124" t="str">
        <f>IFERROR(__xludf.DUMMYFUNCTION("""COMPUTED_VALUE"""),"Not Available")</f>
        <v>Not Available</v>
      </c>
    </row>
    <row r="140">
      <c r="A140" s="124" t="str">
        <f t="shared" si="1"/>
        <v>yv5895774@gmail.com</v>
      </c>
      <c r="B140" s="131">
        <f>IFERROR(__xludf.DUMMYFUNCTION("""COMPUTED_VALUE"""),46109.0)</f>
        <v>46109</v>
      </c>
      <c r="C140" s="124" t="str">
        <f>IFERROR(__xludf.DUMMYFUNCTION("""COMPUTED_VALUE"""),"Payment data from Collexo")</f>
        <v>Payment data from Collexo</v>
      </c>
      <c r="D140" s="124" t="str">
        <f>IFERROR(__xludf.DUMMYFUNCTION("""COMPUTED_VALUE"""),"Not Available")</f>
        <v>Not Available</v>
      </c>
      <c r="E140" s="124">
        <f>IFERROR(__xludf.DUMMYFUNCTION("""COMPUTED_VALUE"""),1500610.0)</f>
        <v>1500610</v>
      </c>
      <c r="F140" s="124">
        <f>IFERROR(__xludf.DUMMYFUNCTION("""COMPUTED_VALUE"""),139365.0)</f>
        <v>139365</v>
      </c>
      <c r="G140" s="124">
        <f>IFERROR(__xludf.DUMMYFUNCTION("""COMPUTED_VALUE"""),8944.0)</f>
        <v>8944</v>
      </c>
      <c r="H140" s="131">
        <f>IFERROR(__xludf.DUMMYFUNCTION("""COMPUTED_VALUE"""),46111.0)</f>
        <v>46111</v>
      </c>
      <c r="I140" s="124">
        <f>IFERROR(__xludf.DUMMYFUNCTION("""COMPUTED_VALUE"""),46056.0)</f>
        <v>46056</v>
      </c>
      <c r="J140" s="124">
        <f>IFERROR(__xludf.DUMMYFUNCTION("""COMPUTED_VALUE"""),55000.0)</f>
        <v>55000</v>
      </c>
      <c r="K140" s="124">
        <f>IFERROR(__xludf.DUMMYFUNCTION("""COMPUTED_VALUE"""),2.0)</f>
        <v>2</v>
      </c>
      <c r="L140" s="124">
        <f>IFERROR(__xludf.DUMMYFUNCTION("""COMPUTED_VALUE"""),813.0)</f>
        <v>813</v>
      </c>
      <c r="M140" s="124" t="str">
        <f>IFERROR(__xludf.DUMMYFUNCTION("""COMPUTED_VALUE"""),"Lucknow")</f>
        <v>Lucknow</v>
      </c>
      <c r="N140" s="124" t="str">
        <f>IFERROR(__xludf.DUMMYFUNCTION("""COMPUTED_VALUE"""),"yv5895774@gmail.com")</f>
        <v>yv5895774@gmail.com</v>
      </c>
      <c r="O140" s="124" t="str">
        <f>IFERROR(__xludf.DUMMYFUNCTION("""COMPUTED_VALUE"""),"Vivek Lav Yadav")</f>
        <v>Vivek Lav Yadav</v>
      </c>
      <c r="P140" s="124">
        <f>IFERROR(__xludf.DUMMYFUNCTION("""COMPUTED_VALUE"""),139365.0)</f>
        <v>139365</v>
      </c>
      <c r="Q140" s="124" t="str">
        <f>IFERROR(__xludf.DUMMYFUNCTION("""COMPUTED_VALUE"""),"Not Available")</f>
        <v>Not Available</v>
      </c>
      <c r="R140" s="124" t="str">
        <f>IFERROR(__xludf.DUMMYFUNCTION("""COMPUTED_VALUE"""),"GS Foundation Course")</f>
        <v>GS Foundation Course</v>
      </c>
      <c r="S140" s="124">
        <f>IFERROR(__xludf.DUMMYFUNCTION("""COMPUTED_VALUE"""),6.394233709E9)</f>
        <v>6394233709</v>
      </c>
      <c r="T140" s="124" t="str">
        <f>IFERROR(__xludf.DUMMYFUNCTION("""COMPUTED_VALUE"""),"Not Available")</f>
        <v>Not Available</v>
      </c>
      <c r="U140" s="124" t="str">
        <f>IFERROR(__xludf.DUMMYFUNCTION("""COMPUTED_VALUE"""),"Not Available")</f>
        <v>Not Available</v>
      </c>
      <c r="V140" s="124" t="str">
        <f>IFERROR(__xludf.DUMMYFUNCTION("""COMPUTED_VALUE"""),"Not Available")</f>
        <v>Not Available</v>
      </c>
      <c r="W140" s="124" t="str">
        <f>IFERROR(__xludf.DUMMYFUNCTION("""COMPUTED_VALUE"""),"Not Available")</f>
        <v>Not Available</v>
      </c>
    </row>
    <row r="141">
      <c r="A141" s="124" t="str">
        <f t="shared" si="1"/>
        <v>NEETUGUPTA7617@GMAIL.COM</v>
      </c>
      <c r="B141" s="131">
        <f>IFERROR(__xludf.DUMMYFUNCTION("""COMPUTED_VALUE"""),46081.0)</f>
        <v>46081</v>
      </c>
      <c r="C141" s="124" t="str">
        <f>IFERROR(__xludf.DUMMYFUNCTION("""COMPUTED_VALUE"""),"Payment data from Collexo")</f>
        <v>Payment data from Collexo</v>
      </c>
      <c r="D141" s="124" t="str">
        <f>IFERROR(__xludf.DUMMYFUNCTION("""COMPUTED_VALUE"""),"Not Available")</f>
        <v>Not Available</v>
      </c>
      <c r="E141" s="124">
        <f>IFERROR(__xludf.DUMMYFUNCTION("""COMPUTED_VALUE"""),1500610.0)</f>
        <v>1500610</v>
      </c>
      <c r="F141" s="124">
        <f>IFERROR(__xludf.DUMMYFUNCTION("""COMPUTED_VALUE"""),124058.0)</f>
        <v>124058</v>
      </c>
      <c r="G141" s="124">
        <f>IFERROR(__xludf.DUMMYFUNCTION("""COMPUTED_VALUE"""),45000.0)</f>
        <v>45000</v>
      </c>
      <c r="H141" s="124" t="str">
        <f>IFERROR(__xludf.DUMMYFUNCTION("""COMPUTED_VALUE"""),"Not Available")</f>
        <v>Not Available</v>
      </c>
      <c r="I141" s="124">
        <f>IFERROR(__xludf.DUMMYFUNCTION("""COMPUTED_VALUE"""),0.0)</f>
        <v>0</v>
      </c>
      <c r="J141" s="124">
        <f>IFERROR(__xludf.DUMMYFUNCTION("""COMPUTED_VALUE"""),55000.0)</f>
        <v>55000</v>
      </c>
      <c r="K141" s="124">
        <f>IFERROR(__xludf.DUMMYFUNCTION("""COMPUTED_VALUE"""),2.0)</f>
        <v>2</v>
      </c>
      <c r="L141" s="124">
        <f>IFERROR(__xludf.DUMMYFUNCTION("""COMPUTED_VALUE"""),381.0)</f>
        <v>381</v>
      </c>
      <c r="M141" s="124" t="str">
        <f>IFERROR(__xludf.DUMMYFUNCTION("""COMPUTED_VALUE"""),"Lucknow")</f>
        <v>Lucknow</v>
      </c>
      <c r="N141" s="124" t="str">
        <f>IFERROR(__xludf.DUMMYFUNCTION("""COMPUTED_VALUE"""),"NEETUGUPTA7617@GMAIL.COM")</f>
        <v>NEETUGUPTA7617@GMAIL.COM</v>
      </c>
      <c r="O141" s="124" t="str">
        <f>IFERROR(__xludf.DUMMYFUNCTION("""COMPUTED_VALUE"""),"Neetu")</f>
        <v>Neetu</v>
      </c>
      <c r="P141" s="124">
        <f>IFERROR(__xludf.DUMMYFUNCTION("""COMPUTED_VALUE"""),124058.0)</f>
        <v>124058</v>
      </c>
      <c r="Q141" s="124" t="str">
        <f>IFERROR(__xludf.DUMMYFUNCTION("""COMPUTED_VALUE"""),"upsc-gs-foundation-hindi-target-2028-gsf-upsc-m01-lko")</f>
        <v>upsc-gs-foundation-hindi-target-2028-gsf-upsc-m01-lko</v>
      </c>
      <c r="R141" s="124" t="str">
        <f>IFERROR(__xludf.DUMMYFUNCTION("""COMPUTED_VALUE"""),"GS Foundation Course")</f>
        <v>GS Foundation Course</v>
      </c>
      <c r="S141" s="124">
        <f>IFERROR(__xludf.DUMMYFUNCTION("""COMPUTED_VALUE"""),7.895147109E9)</f>
        <v>7895147109</v>
      </c>
      <c r="T141" s="124" t="str">
        <f>IFERROR(__xludf.DUMMYFUNCTION("""COMPUTED_VALUE"""),"Not Available")</f>
        <v>Not Available</v>
      </c>
      <c r="U141" s="124" t="str">
        <f>IFERROR(__xludf.DUMMYFUNCTION("""COMPUTED_VALUE"""),"Not Available")</f>
        <v>Not Available</v>
      </c>
      <c r="V141" s="124" t="str">
        <f>IFERROR(__xludf.DUMMYFUNCTION("""COMPUTED_VALUE"""),"Not Available")</f>
        <v>Not Available</v>
      </c>
      <c r="W141" s="124" t="str">
        <f>IFERROR(__xludf.DUMMYFUNCTION("""COMPUTED_VALUE"""),"Not Available")</f>
        <v>Not Available</v>
      </c>
    </row>
    <row r="142">
      <c r="A142" s="124" t="str">
        <f t="shared" si="1"/>
        <v>jaykumarb931@gmail.com</v>
      </c>
      <c r="B142" s="131">
        <f>IFERROR(__xludf.DUMMYFUNCTION("""COMPUTED_VALUE"""),46094.0)</f>
        <v>46094</v>
      </c>
      <c r="C142" s="124" t="str">
        <f>IFERROR(__xludf.DUMMYFUNCTION("""COMPUTED_VALUE"""),"Payment data from Collexo")</f>
        <v>Payment data from Collexo</v>
      </c>
      <c r="D142" s="124" t="str">
        <f>IFERROR(__xludf.DUMMYFUNCTION("""COMPUTED_VALUE"""),"Not Available")</f>
        <v>Not Available</v>
      </c>
      <c r="E142" s="124">
        <f>IFERROR(__xludf.DUMMYFUNCTION("""COMPUTED_VALUE"""),1500611.0)</f>
        <v>1500611</v>
      </c>
      <c r="F142" s="124">
        <f>IFERROR(__xludf.DUMMYFUNCTION("""COMPUTED_VALUE"""),127313.0)</f>
        <v>127313</v>
      </c>
      <c r="G142" s="124">
        <f>IFERROR(__xludf.DUMMYFUNCTION("""COMPUTED_VALUE"""),67000.0)</f>
        <v>67000</v>
      </c>
      <c r="H142" s="124" t="str">
        <f>IFERROR(__xludf.DUMMYFUNCTION("""COMPUTED_VALUE"""),"Not Available")</f>
        <v>Not Available</v>
      </c>
      <c r="I142" s="124">
        <f>IFERROR(__xludf.DUMMYFUNCTION("""COMPUTED_VALUE"""),0.0)</f>
        <v>0</v>
      </c>
      <c r="J142" s="124">
        <f>IFERROR(__xludf.DUMMYFUNCTION("""COMPUTED_VALUE"""),70000.0)</f>
        <v>70000</v>
      </c>
      <c r="K142" s="124">
        <f>IFERROR(__xludf.DUMMYFUNCTION("""COMPUTED_VALUE"""),2.0)</f>
        <v>2</v>
      </c>
      <c r="L142" s="124">
        <f>IFERROR(__xludf.DUMMYFUNCTION("""COMPUTED_VALUE"""),533.0)</f>
        <v>533</v>
      </c>
      <c r="M142" s="124" t="str">
        <f>IFERROR(__xludf.DUMMYFUNCTION("""COMPUTED_VALUE"""),"Patna")</f>
        <v>Patna</v>
      </c>
      <c r="N142" s="124" t="str">
        <f>IFERROR(__xludf.DUMMYFUNCTION("""COMPUTED_VALUE"""),"jaykumarb931@gmail.com")</f>
        <v>jaykumarb931@gmail.com</v>
      </c>
      <c r="O142" s="124" t="str">
        <f>IFERROR(__xludf.DUMMYFUNCTION("""COMPUTED_VALUE"""),"Jay kumar")</f>
        <v>Jay kumar</v>
      </c>
      <c r="P142" s="124">
        <f>IFERROR(__xludf.DUMMYFUNCTION("""COMPUTED_VALUE"""),127313.0)</f>
        <v>127313</v>
      </c>
      <c r="Q142" s="124" t="str">
        <f>IFERROR(__xludf.DUMMYFUNCTION("""COMPUTED_VALUE"""),"upsc-gs-foundation-hinglish-target-2027-gsf-upsc-e03-pat")</f>
        <v>upsc-gs-foundation-hinglish-target-2027-gsf-upsc-e03-pat</v>
      </c>
      <c r="R142" s="124" t="str">
        <f>IFERROR(__xludf.DUMMYFUNCTION("""COMPUTED_VALUE"""),"GS Foundation Course")</f>
        <v>GS Foundation Course</v>
      </c>
      <c r="S142" s="124">
        <f>IFERROR(__xludf.DUMMYFUNCTION("""COMPUTED_VALUE"""),7.321826544E9)</f>
        <v>7321826544</v>
      </c>
      <c r="T142" s="124" t="str">
        <f>IFERROR(__xludf.DUMMYFUNCTION("""COMPUTED_VALUE"""),"Not Available")</f>
        <v>Not Available</v>
      </c>
      <c r="U142" s="124" t="str">
        <f>IFERROR(__xludf.DUMMYFUNCTION("""COMPUTED_VALUE"""),"Not Available")</f>
        <v>Not Available</v>
      </c>
      <c r="V142" s="124" t="str">
        <f>IFERROR(__xludf.DUMMYFUNCTION("""COMPUTED_VALUE"""),"Not Available")</f>
        <v>Not Available</v>
      </c>
      <c r="W142" s="124" t="str">
        <f>IFERROR(__xludf.DUMMYFUNCTION("""COMPUTED_VALUE"""),"Not Available")</f>
        <v>Not Available</v>
      </c>
    </row>
    <row r="143">
      <c r="A143" s="124" t="str">
        <f t="shared" si="1"/>
        <v>hari8318651390@gmail.com</v>
      </c>
      <c r="B143" s="131">
        <f>IFERROR(__xludf.DUMMYFUNCTION("""COMPUTED_VALUE"""),46090.0)</f>
        <v>46090</v>
      </c>
      <c r="C143" s="124" t="str">
        <f>IFERROR(__xludf.DUMMYFUNCTION("""COMPUTED_VALUE"""),"Payment data from Collexo")</f>
        <v>Payment data from Collexo</v>
      </c>
      <c r="D143" s="124" t="str">
        <f>IFERROR(__xludf.DUMMYFUNCTION("""COMPUTED_VALUE"""),"Not Available")</f>
        <v>Not Available</v>
      </c>
      <c r="E143" s="124">
        <f>IFERROR(__xludf.DUMMYFUNCTION("""COMPUTED_VALUE"""),1500610.0)</f>
        <v>1500610</v>
      </c>
      <c r="F143" s="124">
        <f>IFERROR(__xludf.DUMMYFUNCTION("""COMPUTED_VALUE"""),76874.0)</f>
        <v>76874</v>
      </c>
      <c r="G143" s="124">
        <f>IFERROR(__xludf.DUMMYFUNCTION("""COMPUTED_VALUE"""),5000.0)</f>
        <v>5000</v>
      </c>
      <c r="H143" s="131">
        <f>IFERROR(__xludf.DUMMYFUNCTION("""COMPUTED_VALUE"""),46111.0)</f>
        <v>46111</v>
      </c>
      <c r="I143" s="124">
        <f>IFERROR(__xludf.DUMMYFUNCTION("""COMPUTED_VALUE"""),50000.0)</f>
        <v>50000</v>
      </c>
      <c r="J143" s="124">
        <f>IFERROR(__xludf.DUMMYFUNCTION("""COMPUTED_VALUE"""),55000.0)</f>
        <v>55000</v>
      </c>
      <c r="K143" s="124">
        <f>IFERROR(__xludf.DUMMYFUNCTION("""COMPUTED_VALUE"""),2.0)</f>
        <v>2</v>
      </c>
      <c r="L143" s="124">
        <f>IFERROR(__xludf.DUMMYFUNCTION("""COMPUTED_VALUE"""),454.0)</f>
        <v>454</v>
      </c>
      <c r="M143" s="124" t="str">
        <f>IFERROR(__xludf.DUMMYFUNCTION("""COMPUTED_VALUE"""),"Lucknow")</f>
        <v>Lucknow</v>
      </c>
      <c r="N143" s="124" t="str">
        <f>IFERROR(__xludf.DUMMYFUNCTION("""COMPUTED_VALUE"""),"hari8318651390@gmail.com")</f>
        <v>hari8318651390@gmail.com</v>
      </c>
      <c r="O143" s="124" t="str">
        <f>IFERROR(__xludf.DUMMYFUNCTION("""COMPUTED_VALUE"""),"Hariom Singh")</f>
        <v>Hariom Singh</v>
      </c>
      <c r="P143" s="124">
        <f>IFERROR(__xludf.DUMMYFUNCTION("""COMPUTED_VALUE"""),76874.0)</f>
        <v>76874</v>
      </c>
      <c r="Q143" s="124" t="str">
        <f>IFERROR(__xludf.DUMMYFUNCTION("""COMPUTED_VALUE"""),"Not Available")</f>
        <v>Not Available</v>
      </c>
      <c r="R143" s="124" t="str">
        <f>IFERROR(__xludf.DUMMYFUNCTION("""COMPUTED_VALUE"""),"GS Foundation Course")</f>
        <v>GS Foundation Course</v>
      </c>
      <c r="S143" s="124">
        <f>IFERROR(__xludf.DUMMYFUNCTION("""COMPUTED_VALUE"""),6.389057893E9)</f>
        <v>6389057893</v>
      </c>
      <c r="T143" s="124" t="str">
        <f>IFERROR(__xludf.DUMMYFUNCTION("""COMPUTED_VALUE"""),"Not Available")</f>
        <v>Not Available</v>
      </c>
      <c r="U143" s="124" t="str">
        <f>IFERROR(__xludf.DUMMYFUNCTION("""COMPUTED_VALUE"""),"Not Available")</f>
        <v>Not Available</v>
      </c>
      <c r="V143" s="124" t="str">
        <f>IFERROR(__xludf.DUMMYFUNCTION("""COMPUTED_VALUE"""),"Not Available")</f>
        <v>Not Available</v>
      </c>
      <c r="W143" s="124" t="str">
        <f>IFERROR(__xludf.DUMMYFUNCTION("""COMPUTED_VALUE"""),"Not Available")</f>
        <v>Not Available</v>
      </c>
    </row>
    <row r="144">
      <c r="A144" s="124" t="str">
        <f t="shared" si="1"/>
        <v>indrajeet821145@gmail.com</v>
      </c>
      <c r="B144" s="131">
        <f>IFERROR(__xludf.DUMMYFUNCTION("""COMPUTED_VALUE"""),46112.0)</f>
        <v>46112</v>
      </c>
      <c r="C144" s="124" t="str">
        <f>IFERROR(__xludf.DUMMYFUNCTION("""COMPUTED_VALUE"""),"Payment data from Collexo")</f>
        <v>Payment data from Collexo</v>
      </c>
      <c r="D144" s="124" t="str">
        <f>IFERROR(__xludf.DUMMYFUNCTION("""COMPUTED_VALUE"""),"Not Available")</f>
        <v>Not Available</v>
      </c>
      <c r="E144" s="124">
        <f>IFERROR(__xludf.DUMMYFUNCTION("""COMPUTED_VALUE"""),1500611.0)</f>
        <v>1500611</v>
      </c>
      <c r="F144" s="124">
        <f>IFERROR(__xludf.DUMMYFUNCTION("""COMPUTED_VALUE"""),20568.0)</f>
        <v>20568</v>
      </c>
      <c r="G144" s="124">
        <f>IFERROR(__xludf.DUMMYFUNCTION("""COMPUTED_VALUE"""),2000.0)</f>
        <v>2000</v>
      </c>
      <c r="H144" s="131">
        <f>IFERROR(__xludf.DUMMYFUNCTION("""COMPUTED_VALUE"""),46112.0)</f>
        <v>46112</v>
      </c>
      <c r="I144" s="124">
        <f>IFERROR(__xludf.DUMMYFUNCTION("""COMPUTED_VALUE"""),58000.0)</f>
        <v>58000</v>
      </c>
      <c r="J144" s="124">
        <f>IFERROR(__xludf.DUMMYFUNCTION("""COMPUTED_VALUE"""),65000.0)</f>
        <v>65000</v>
      </c>
      <c r="K144" s="124">
        <f>IFERROR(__xludf.DUMMYFUNCTION("""COMPUTED_VALUE"""),3.0)</f>
        <v>3</v>
      </c>
      <c r="L144" s="124">
        <f>IFERROR(__xludf.DUMMYFUNCTION("""COMPUTED_VALUE"""),868.0)</f>
        <v>868</v>
      </c>
      <c r="M144" s="124" t="str">
        <f>IFERROR(__xludf.DUMMYFUNCTION("""COMPUTED_VALUE"""),"Patna")</f>
        <v>Patna</v>
      </c>
      <c r="N144" s="124" t="str">
        <f>IFERROR(__xludf.DUMMYFUNCTION("""COMPUTED_VALUE"""),"indrajeet821145@gmail.com")</f>
        <v>indrajeet821145@gmail.com</v>
      </c>
      <c r="O144" s="124" t="str">
        <f>IFERROR(__xludf.DUMMYFUNCTION("""COMPUTED_VALUE"""),"INDRAJEET")</f>
        <v>INDRAJEET</v>
      </c>
      <c r="P144" s="124">
        <f>IFERROR(__xludf.DUMMYFUNCTION("""COMPUTED_VALUE"""),20568.0)</f>
        <v>20568</v>
      </c>
      <c r="Q144" s="124" t="str">
        <f>IFERROR(__xludf.DUMMYFUNCTION("""COMPUTED_VALUE"""),"upsc-gs-foundation-hinglish-target-2028-gsf-upsc-e03-pat")</f>
        <v>upsc-gs-foundation-hinglish-target-2028-gsf-upsc-e03-pat</v>
      </c>
      <c r="R144" s="124" t="str">
        <f>IFERROR(__xludf.DUMMYFUNCTION("""COMPUTED_VALUE"""),"GS Foundation Course")</f>
        <v>GS Foundation Course</v>
      </c>
      <c r="S144" s="124">
        <f>IFERROR(__xludf.DUMMYFUNCTION("""COMPUTED_VALUE"""),9.229664795E9)</f>
        <v>9229664795</v>
      </c>
      <c r="T144" s="124" t="str">
        <f>IFERROR(__xludf.DUMMYFUNCTION("""COMPUTED_VALUE"""),"Not Available")</f>
        <v>Not Available</v>
      </c>
      <c r="U144" s="124" t="str">
        <f>IFERROR(__xludf.DUMMYFUNCTION("""COMPUTED_VALUE"""),"Not Available")</f>
        <v>Not Available</v>
      </c>
      <c r="V144" s="124" t="str">
        <f>IFERROR(__xludf.DUMMYFUNCTION("""COMPUTED_VALUE"""),"Not Available")</f>
        <v>Not Available</v>
      </c>
      <c r="W144" s="124" t="str">
        <f>IFERROR(__xludf.DUMMYFUNCTION("""COMPUTED_VALUE"""),"Not Available")</f>
        <v>Not Available</v>
      </c>
    </row>
    <row r="145">
      <c r="A145" s="124" t="str">
        <f t="shared" si="1"/>
        <v>mbhavna078@gmail.com</v>
      </c>
      <c r="B145" s="131">
        <f>IFERROR(__xludf.DUMMYFUNCTION("""COMPUTED_VALUE"""),46104.0)</f>
        <v>46104</v>
      </c>
      <c r="C145" s="124" t="str">
        <f>IFERROR(__xludf.DUMMYFUNCTION("""COMPUTED_VALUE"""),"Payment data from Collexo")</f>
        <v>Payment data from Collexo</v>
      </c>
      <c r="D145" s="124" t="str">
        <f>IFERROR(__xludf.DUMMYFUNCTION("""COMPUTED_VALUE"""),"Not Available")</f>
        <v>Not Available</v>
      </c>
      <c r="E145" s="124">
        <f>IFERROR(__xludf.DUMMYFUNCTION("""COMPUTED_VALUE"""),1500612.0)</f>
        <v>1500612</v>
      </c>
      <c r="F145" s="124">
        <f>IFERROR(__xludf.DUMMYFUNCTION("""COMPUTED_VALUE"""),130793.0)</f>
        <v>130793</v>
      </c>
      <c r="G145" s="124">
        <f>IFERROR(__xludf.DUMMYFUNCTION("""COMPUTED_VALUE"""),5000.0)</f>
        <v>5000</v>
      </c>
      <c r="H145" s="131">
        <f>IFERROR(__xludf.DUMMYFUNCTION("""COMPUTED_VALUE"""),46112.0)</f>
        <v>46112</v>
      </c>
      <c r="I145" s="124">
        <f>IFERROR(__xludf.DUMMYFUNCTION("""COMPUTED_VALUE"""),125000.0)</f>
        <v>125000</v>
      </c>
      <c r="J145" s="124">
        <f>IFERROR(__xludf.DUMMYFUNCTION("""COMPUTED_VALUE"""),130000.0)</f>
        <v>130000</v>
      </c>
      <c r="K145" s="124">
        <f>IFERROR(__xludf.DUMMYFUNCTION("""COMPUTED_VALUE"""),2.0)</f>
        <v>2</v>
      </c>
      <c r="L145" s="124">
        <f>IFERROR(__xludf.DUMMYFUNCTION("""COMPUTED_VALUE"""),683.0)</f>
        <v>683</v>
      </c>
      <c r="M145" s="124" t="str">
        <f>IFERROR(__xludf.DUMMYFUNCTION("""COMPUTED_VALUE"""),"Indore")</f>
        <v>Indore</v>
      </c>
      <c r="N145" s="124" t="str">
        <f>IFERROR(__xludf.DUMMYFUNCTION("""COMPUTED_VALUE"""),"mbhavna078@gmail.com")</f>
        <v>mbhavna078@gmail.com</v>
      </c>
      <c r="O145" s="124" t="str">
        <f>IFERROR(__xludf.DUMMYFUNCTION("""COMPUTED_VALUE"""),"Bhavna mishra")</f>
        <v>Bhavna mishra</v>
      </c>
      <c r="P145" s="124">
        <f>IFERROR(__xludf.DUMMYFUNCTION("""COMPUTED_VALUE"""),130793.0)</f>
        <v>130793</v>
      </c>
      <c r="Q145" s="124" t="str">
        <f>IFERROR(__xludf.DUMMYFUNCTION("""COMPUTED_VALUE"""),"upsc-gs-foundation-hindi-target-2028-gsf-upsc-m03-ind")</f>
        <v>upsc-gs-foundation-hindi-target-2028-gsf-upsc-m03-ind</v>
      </c>
      <c r="R145" s="124" t="str">
        <f>IFERROR(__xludf.DUMMYFUNCTION("""COMPUTED_VALUE"""),"GS Foundation Course")</f>
        <v>GS Foundation Course</v>
      </c>
      <c r="S145" s="124">
        <f>IFERROR(__xludf.DUMMYFUNCTION("""COMPUTED_VALUE"""),9.232009662E9)</f>
        <v>9232009662</v>
      </c>
      <c r="T145" s="124" t="str">
        <f>IFERROR(__xludf.DUMMYFUNCTION("""COMPUTED_VALUE"""),"Not Available")</f>
        <v>Not Available</v>
      </c>
      <c r="U145" s="124" t="str">
        <f>IFERROR(__xludf.DUMMYFUNCTION("""COMPUTED_VALUE"""),"Not Available")</f>
        <v>Not Available</v>
      </c>
      <c r="V145" s="124" t="str">
        <f>IFERROR(__xludf.DUMMYFUNCTION("""COMPUTED_VALUE"""),"Not Available")</f>
        <v>Not Available</v>
      </c>
      <c r="W145" s="124" t="str">
        <f>IFERROR(__xludf.DUMMYFUNCTION("""COMPUTED_VALUE"""),"Not Available")</f>
        <v>Not Available</v>
      </c>
    </row>
    <row r="146">
      <c r="A146" s="124" t="str">
        <f t="shared" si="1"/>
        <v>shantoshpandey43@gmail.com</v>
      </c>
      <c r="B146" s="131">
        <f>IFERROR(__xludf.DUMMYFUNCTION("""COMPUTED_VALUE"""),46108.0)</f>
        <v>46108</v>
      </c>
      <c r="C146" s="124" t="str">
        <f>IFERROR(__xludf.DUMMYFUNCTION("""COMPUTED_VALUE"""),"Payment data from Collexo")</f>
        <v>Payment data from Collexo</v>
      </c>
      <c r="D146" s="124" t="str">
        <f>IFERROR(__xludf.DUMMYFUNCTION("""COMPUTED_VALUE"""),"Not Available")</f>
        <v>Not Available</v>
      </c>
      <c r="E146" s="124">
        <f>IFERROR(__xludf.DUMMYFUNCTION("""COMPUTED_VALUE"""),1500610.0)</f>
        <v>1500610</v>
      </c>
      <c r="F146" s="124">
        <f>IFERROR(__xludf.DUMMYFUNCTION("""COMPUTED_VALUE"""),139366.0)</f>
        <v>139366</v>
      </c>
      <c r="G146" s="124">
        <f>IFERROR(__xludf.DUMMYFUNCTION("""COMPUTED_VALUE"""),15000.0)</f>
        <v>15000</v>
      </c>
      <c r="H146" s="131">
        <f>IFERROR(__xludf.DUMMYFUNCTION("""COMPUTED_VALUE"""),46142.0)</f>
        <v>46142</v>
      </c>
      <c r="I146" s="124">
        <f>IFERROR(__xludf.DUMMYFUNCTION("""COMPUTED_VALUE"""),10000.0)</f>
        <v>10000</v>
      </c>
      <c r="J146" s="124">
        <f>IFERROR(__xludf.DUMMYFUNCTION("""COMPUTED_VALUE"""),25000.0)</f>
        <v>25000</v>
      </c>
      <c r="K146" s="124">
        <f>IFERROR(__xludf.DUMMYFUNCTION("""COMPUTED_VALUE"""),2.0)</f>
        <v>2</v>
      </c>
      <c r="L146" s="124">
        <f>IFERROR(__xludf.DUMMYFUNCTION("""COMPUTED_VALUE"""),791.0)</f>
        <v>791</v>
      </c>
      <c r="M146" s="124" t="str">
        <f>IFERROR(__xludf.DUMMYFUNCTION("""COMPUTED_VALUE"""),"Lucknow")</f>
        <v>Lucknow</v>
      </c>
      <c r="N146" s="124" t="str">
        <f>IFERROR(__xludf.DUMMYFUNCTION("""COMPUTED_VALUE"""),"shantoshpandey43@gmail.com")</f>
        <v>shantoshpandey43@gmail.com</v>
      </c>
      <c r="O146" s="124" t="str">
        <f>IFERROR(__xludf.DUMMYFUNCTION("""COMPUTED_VALUE"""),"Sudhkar")</f>
        <v>Sudhkar</v>
      </c>
      <c r="P146" s="124">
        <f>IFERROR(__xludf.DUMMYFUNCTION("""COMPUTED_VALUE"""),139366.0)</f>
        <v>139366</v>
      </c>
      <c r="Q146" s="124" t="str">
        <f>IFERROR(__xludf.DUMMYFUNCTION("""COMPUTED_VALUE"""),"upsc-gs-foundation-hinglish-target-2027-gsf-upsc-e03-lko")</f>
        <v>upsc-gs-foundation-hinglish-target-2027-gsf-upsc-e03-lko</v>
      </c>
      <c r="R146" s="124" t="str">
        <f>IFERROR(__xludf.DUMMYFUNCTION("""COMPUTED_VALUE"""),"GS Foundation Course")</f>
        <v>GS Foundation Course</v>
      </c>
      <c r="S146" s="124">
        <f>IFERROR(__xludf.DUMMYFUNCTION("""COMPUTED_VALUE"""),7.652026709E9)</f>
        <v>7652026709</v>
      </c>
      <c r="T146" s="124" t="str">
        <f>IFERROR(__xludf.DUMMYFUNCTION("""COMPUTED_VALUE"""),"Not Available")</f>
        <v>Not Available</v>
      </c>
      <c r="U146" s="124" t="str">
        <f>IFERROR(__xludf.DUMMYFUNCTION("""COMPUTED_VALUE"""),"Not Available")</f>
        <v>Not Available</v>
      </c>
      <c r="V146" s="124" t="str">
        <f>IFERROR(__xludf.DUMMYFUNCTION("""COMPUTED_VALUE"""),"Not Available")</f>
        <v>Not Available</v>
      </c>
      <c r="W146" s="124" t="str">
        <f>IFERROR(__xludf.DUMMYFUNCTION("""COMPUTED_VALUE"""),"Not Available")</f>
        <v>Not Available</v>
      </c>
    </row>
    <row r="147">
      <c r="A147" s="124" t="str">
        <f t="shared" si="1"/>
        <v>lakshya.guptaforwork@gmail.com</v>
      </c>
      <c r="B147" s="131">
        <f>IFERROR(__xludf.DUMMYFUNCTION("""COMPUTED_VALUE"""),46046.0)</f>
        <v>46046</v>
      </c>
      <c r="C147" s="124" t="str">
        <f>IFERROR(__xludf.DUMMYFUNCTION("""COMPUTED_VALUE"""),"Payment data from Collexo")</f>
        <v>Payment data from Collexo</v>
      </c>
      <c r="D147" s="124" t="str">
        <f>IFERROR(__xludf.DUMMYFUNCTION("""COMPUTED_VALUE"""),"Not Available")</f>
        <v>Not Available</v>
      </c>
      <c r="E147" s="124">
        <f>IFERROR(__xludf.DUMMYFUNCTION("""COMPUTED_VALUE"""),1500609.0)</f>
        <v>1500609</v>
      </c>
      <c r="F147" s="124" t="str">
        <f>IFERROR(__xludf.DUMMYFUNCTION("""COMPUTED_VALUE"""),"2119_988_7")</f>
        <v>2119_988_7</v>
      </c>
      <c r="G147" s="124">
        <f>IFERROR(__xludf.DUMMYFUNCTION("""COMPUTED_VALUE"""),5000.0)</f>
        <v>5000</v>
      </c>
      <c r="H147" s="131">
        <f>IFERROR(__xludf.DUMMYFUNCTION("""COMPUTED_VALUE"""),46052.0)</f>
        <v>46052</v>
      </c>
      <c r="I147" s="124">
        <f>IFERROR(__xludf.DUMMYFUNCTION("""COMPUTED_VALUE"""),70000.0)</f>
        <v>70000</v>
      </c>
      <c r="J147" s="124">
        <f>IFERROR(__xludf.DUMMYFUNCTION("""COMPUTED_VALUE"""),75000.0)</f>
        <v>75000</v>
      </c>
      <c r="K147" s="124">
        <f>IFERROR(__xludf.DUMMYFUNCTION("""COMPUTED_VALUE"""),2.0)</f>
        <v>2</v>
      </c>
      <c r="L147" s="124">
        <f>IFERROR(__xludf.DUMMYFUNCTION("""COMPUTED_VALUE"""),108.0)</f>
        <v>108</v>
      </c>
      <c r="M147" s="124" t="str">
        <f>IFERROR(__xludf.DUMMYFUNCTION("""COMPUTED_VALUE"""),"New Delhi")</f>
        <v>New Delhi</v>
      </c>
      <c r="N147" s="124" t="str">
        <f>IFERROR(__xludf.DUMMYFUNCTION("""COMPUTED_VALUE"""),"lakshya.guptaforwork@gmail.com")</f>
        <v>lakshya.guptaforwork@gmail.com</v>
      </c>
      <c r="O147" s="124" t="str">
        <f>IFERROR(__xludf.DUMMYFUNCTION("""COMPUTED_VALUE"""),"lakshya")</f>
        <v>lakshya</v>
      </c>
      <c r="P147" s="124">
        <f>IFERROR(__xludf.DUMMYFUNCTION("""COMPUTED_VALUE"""),89109.0)</f>
        <v>89109</v>
      </c>
      <c r="Q147" s="124" t="str">
        <f>IFERROR(__xludf.DUMMYFUNCTION("""COMPUTED_VALUE"""),"ncert-foundation-hinglish-target-2026-nce-upsc-e02-orn")</f>
        <v>ncert-foundation-hinglish-target-2026-nce-upsc-e02-orn</v>
      </c>
      <c r="R147" s="124" t="str">
        <f>IFERROR(__xludf.DUMMYFUNCTION("""COMPUTED_VALUE"""),"GS Foundation Course")</f>
        <v>GS Foundation Course</v>
      </c>
      <c r="S147" s="124">
        <f>IFERROR(__xludf.DUMMYFUNCTION("""COMPUTED_VALUE"""),9.355666501E9)</f>
        <v>9355666501</v>
      </c>
      <c r="T147" s="124" t="str">
        <f>IFERROR(__xludf.DUMMYFUNCTION("""COMPUTED_VALUE"""),"Collexo")</f>
        <v>Collexo</v>
      </c>
      <c r="U147" s="124" t="str">
        <f>IFERROR(__xludf.DUMMYFUNCTION("""COMPUTED_VALUE"""),"Success")</f>
        <v>Success</v>
      </c>
      <c r="V147" s="131">
        <f>IFERROR(__xludf.DUMMYFUNCTION("""COMPUTED_VALUE"""),46046.0)</f>
        <v>46046</v>
      </c>
      <c r="W147" s="124">
        <f>IFERROR(__xludf.DUMMYFUNCTION("""COMPUTED_VALUE"""),0.0)</f>
        <v>0</v>
      </c>
    </row>
    <row r="148">
      <c r="A148" s="124" t="str">
        <f t="shared" si="1"/>
        <v>pratibharao080@gmail.com</v>
      </c>
      <c r="B148" s="131">
        <f>IFERROR(__xludf.DUMMYFUNCTION("""COMPUTED_VALUE"""),46106.0)</f>
        <v>46106</v>
      </c>
      <c r="C148" s="124" t="str">
        <f>IFERROR(__xludf.DUMMYFUNCTION("""COMPUTED_VALUE"""),"Payment data from Collexo")</f>
        <v>Payment data from Collexo</v>
      </c>
      <c r="D148" s="124" t="str">
        <f>IFERROR(__xludf.DUMMYFUNCTION("""COMPUTED_VALUE"""),"Not Available")</f>
        <v>Not Available</v>
      </c>
      <c r="E148" s="124">
        <f>IFERROR(__xludf.DUMMYFUNCTION("""COMPUTED_VALUE"""),1500613.0)</f>
        <v>1500613</v>
      </c>
      <c r="F148" s="124">
        <f>IFERROR(__xludf.DUMMYFUNCTION("""COMPUTED_VALUE"""),133215.0)</f>
        <v>133215</v>
      </c>
      <c r="G148" s="124">
        <f>IFERROR(__xludf.DUMMYFUNCTION("""COMPUTED_VALUE"""),1000.0)</f>
        <v>1000</v>
      </c>
      <c r="H148" s="131">
        <f>IFERROR(__xludf.DUMMYFUNCTION("""COMPUTED_VALUE"""),46108.0)</f>
        <v>46108</v>
      </c>
      <c r="I148" s="124">
        <f>IFERROR(__xludf.DUMMYFUNCTION("""COMPUTED_VALUE"""),20500.0)</f>
        <v>20500</v>
      </c>
      <c r="J148" s="124">
        <f>IFERROR(__xludf.DUMMYFUNCTION("""COMPUTED_VALUE"""),21500.0)</f>
        <v>21500</v>
      </c>
      <c r="K148" s="124">
        <f>IFERROR(__xludf.DUMMYFUNCTION("""COMPUTED_VALUE"""),2.0)</f>
        <v>2</v>
      </c>
      <c r="L148" s="124">
        <f>IFERROR(__xludf.DUMMYFUNCTION("""COMPUTED_VALUE"""),743.0)</f>
        <v>743</v>
      </c>
      <c r="M148" s="124" t="str">
        <f>IFERROR(__xludf.DUMMYFUNCTION("""COMPUTED_VALUE"""),"Prayagraj")</f>
        <v>Prayagraj</v>
      </c>
      <c r="N148" s="124" t="str">
        <f>IFERROR(__xludf.DUMMYFUNCTION("""COMPUTED_VALUE"""),"pratibharao080@gmail.com")</f>
        <v>pratibharao080@gmail.com</v>
      </c>
      <c r="O148" s="124" t="str">
        <f>IFERROR(__xludf.DUMMYFUNCTION("""COMPUTED_VALUE"""),"Pratibha")</f>
        <v>Pratibha</v>
      </c>
      <c r="P148" s="124">
        <f>IFERROR(__xludf.DUMMYFUNCTION("""COMPUTED_VALUE"""),133215.0)</f>
        <v>133215</v>
      </c>
      <c r="Q148" s="124" t="str">
        <f>IFERROR(__xludf.DUMMYFUNCTION("""COMPUTED_VALUE"""),"samadhan-mentorship-program-pry")</f>
        <v>samadhan-mentorship-program-pry</v>
      </c>
      <c r="R148" s="124" t="str">
        <f>IFERROR(__xludf.DUMMYFUNCTION("""COMPUTED_VALUE"""),"Mentorship - Samadhan")</f>
        <v>Mentorship - Samadhan</v>
      </c>
      <c r="S148" s="124">
        <f>IFERROR(__xludf.DUMMYFUNCTION("""COMPUTED_VALUE"""),8.881470311E9)</f>
        <v>8881470311</v>
      </c>
      <c r="T148" s="124" t="str">
        <f>IFERROR(__xludf.DUMMYFUNCTION("""COMPUTED_VALUE"""),"Not Available")</f>
        <v>Not Available</v>
      </c>
      <c r="U148" s="124" t="str">
        <f>IFERROR(__xludf.DUMMYFUNCTION("""COMPUTED_VALUE"""),"Not Available")</f>
        <v>Not Available</v>
      </c>
      <c r="V148" s="124" t="str">
        <f>IFERROR(__xludf.DUMMYFUNCTION("""COMPUTED_VALUE"""),"Not Available")</f>
        <v>Not Available</v>
      </c>
      <c r="W148" s="124" t="str">
        <f>IFERROR(__xludf.DUMMYFUNCTION("""COMPUTED_VALUE"""),"Not Available")</f>
        <v>Not Available</v>
      </c>
    </row>
    <row r="149">
      <c r="A149" s="124" t="str">
        <f t="shared" si="1"/>
        <v>pkkumarbc@gmail.com</v>
      </c>
      <c r="B149" s="131">
        <f>IFERROR(__xludf.DUMMYFUNCTION("""COMPUTED_VALUE"""),46069.0)</f>
        <v>46069</v>
      </c>
      <c r="C149" s="124" t="str">
        <f>IFERROR(__xludf.DUMMYFUNCTION("""COMPUTED_VALUE"""),"Payment data from Collexo")</f>
        <v>Payment data from Collexo</v>
      </c>
      <c r="D149" s="124" t="str">
        <f>IFERROR(__xludf.DUMMYFUNCTION("""COMPUTED_VALUE"""),"Not Available")</f>
        <v>Not Available</v>
      </c>
      <c r="E149" s="124">
        <f>IFERROR(__xludf.DUMMYFUNCTION("""COMPUTED_VALUE"""),1500610.0)</f>
        <v>1500610</v>
      </c>
      <c r="F149" s="124">
        <f>IFERROR(__xludf.DUMMYFUNCTION("""COMPUTED_VALUE"""),123696.0)</f>
        <v>123696</v>
      </c>
      <c r="G149" s="124">
        <f>IFERROR(__xludf.DUMMYFUNCTION("""COMPUTED_VALUE"""),6801.0)</f>
        <v>6801</v>
      </c>
      <c r="H149" s="131">
        <f>IFERROR(__xludf.DUMMYFUNCTION("""COMPUTED_VALUE"""),46073.0)</f>
        <v>46073</v>
      </c>
      <c r="I149" s="124">
        <f>IFERROR(__xludf.DUMMYFUNCTION("""COMPUTED_VALUE"""),33199.0)</f>
        <v>33199</v>
      </c>
      <c r="J149" s="124">
        <f>IFERROR(__xludf.DUMMYFUNCTION("""COMPUTED_VALUE"""),40000.0)</f>
        <v>40000</v>
      </c>
      <c r="K149" s="124">
        <f>IFERROR(__xludf.DUMMYFUNCTION("""COMPUTED_VALUE"""),2.0)</f>
        <v>2</v>
      </c>
      <c r="L149" s="124">
        <f>IFERROR(__xludf.DUMMYFUNCTION("""COMPUTED_VALUE"""),223.0)</f>
        <v>223</v>
      </c>
      <c r="M149" s="124" t="str">
        <f>IFERROR(__xludf.DUMMYFUNCTION("""COMPUTED_VALUE"""),"Lucknow")</f>
        <v>Lucknow</v>
      </c>
      <c r="N149" s="124" t="str">
        <f>IFERROR(__xludf.DUMMYFUNCTION("""COMPUTED_VALUE"""),"pkkumarbc@gmail.com")</f>
        <v>pkkumarbc@gmail.com</v>
      </c>
      <c r="O149" s="124" t="str">
        <f>IFERROR(__xludf.DUMMYFUNCTION("""COMPUTED_VALUE"""),"Praveen Kumar")</f>
        <v>Praveen Kumar</v>
      </c>
      <c r="P149" s="124">
        <f>IFERROR(__xludf.DUMMYFUNCTION("""COMPUTED_VALUE"""),123696.0)</f>
        <v>123696</v>
      </c>
      <c r="Q149" s="124" t="str">
        <f>IFERROR(__xludf.DUMMYFUNCTION("""COMPUTED_VALUE"""),"upsc-gs-foundation-hindi-target-2028-gsf-upsc-m01-lko")</f>
        <v>upsc-gs-foundation-hindi-target-2028-gsf-upsc-m01-lko</v>
      </c>
      <c r="R149" s="124" t="str">
        <f>IFERROR(__xludf.DUMMYFUNCTION("""COMPUTED_VALUE"""),"State PCS")</f>
        <v>State PCS</v>
      </c>
      <c r="S149" s="124">
        <f>IFERROR(__xludf.DUMMYFUNCTION("""COMPUTED_VALUE"""),7.355582262E9)</f>
        <v>7355582262</v>
      </c>
      <c r="T149" s="124" t="str">
        <f>IFERROR(__xludf.DUMMYFUNCTION("""COMPUTED_VALUE"""),"Not Available")</f>
        <v>Not Available</v>
      </c>
      <c r="U149" s="124" t="str">
        <f>IFERROR(__xludf.DUMMYFUNCTION("""COMPUTED_VALUE"""),"Not Available")</f>
        <v>Not Available</v>
      </c>
      <c r="V149" s="124" t="str">
        <f>IFERROR(__xludf.DUMMYFUNCTION("""COMPUTED_VALUE"""),"Not Available")</f>
        <v>Not Available</v>
      </c>
      <c r="W149" s="124" t="str">
        <f>IFERROR(__xludf.DUMMYFUNCTION("""COMPUTED_VALUE"""),"Not Available")</f>
        <v>Not Available</v>
      </c>
    </row>
    <row r="150">
      <c r="A150" s="124" t="str">
        <f t="shared" si="1"/>
        <v>kartiksharma98224@gmail.com</v>
      </c>
      <c r="B150" s="131">
        <f>IFERROR(__xludf.DUMMYFUNCTION("""COMPUTED_VALUE"""),46076.0)</f>
        <v>46076</v>
      </c>
      <c r="C150" s="124" t="str">
        <f>IFERROR(__xludf.DUMMYFUNCTION("""COMPUTED_VALUE"""),"Payment data from Collexo")</f>
        <v>Payment data from Collexo</v>
      </c>
      <c r="D150" s="124" t="str">
        <f>IFERROR(__xludf.DUMMYFUNCTION("""COMPUTED_VALUE"""),"Not Available")</f>
        <v>Not Available</v>
      </c>
      <c r="E150" s="124">
        <f>IFERROR(__xludf.DUMMYFUNCTION("""COMPUTED_VALUE"""),1500609.0)</f>
        <v>1500609</v>
      </c>
      <c r="F150" s="124" t="str">
        <f>IFERROR(__xludf.DUMMYFUNCTION("""COMPUTED_VALUE"""),"9067_988_7")</f>
        <v>9067_988_7</v>
      </c>
      <c r="G150" s="124">
        <f>IFERROR(__xludf.DUMMYFUNCTION("""COMPUTED_VALUE"""),36666.0)</f>
        <v>36666</v>
      </c>
      <c r="H150" s="131">
        <f>IFERROR(__xludf.DUMMYFUNCTION("""COMPUTED_VALUE"""),46081.0)</f>
        <v>46081</v>
      </c>
      <c r="I150" s="124">
        <f>IFERROR(__xludf.DUMMYFUNCTION("""COMPUTED_VALUE"""),36666.0)</f>
        <v>36666</v>
      </c>
      <c r="J150" s="124">
        <f>IFERROR(__xludf.DUMMYFUNCTION("""COMPUTED_VALUE"""),120000.0)</f>
        <v>120000</v>
      </c>
      <c r="K150" s="124">
        <f>IFERROR(__xludf.DUMMYFUNCTION("""COMPUTED_VALUE"""),4.0)</f>
        <v>4</v>
      </c>
      <c r="L150" s="124">
        <f>IFERROR(__xludf.DUMMYFUNCTION("""COMPUTED_VALUE"""),317.0)</f>
        <v>317</v>
      </c>
      <c r="M150" s="124" t="str">
        <f>IFERROR(__xludf.DUMMYFUNCTION("""COMPUTED_VALUE"""),"New Delhi")</f>
        <v>New Delhi</v>
      </c>
      <c r="N150" s="124" t="str">
        <f>IFERROR(__xludf.DUMMYFUNCTION("""COMPUTED_VALUE"""),"kartiksharma98224@gmail.com")</f>
        <v>kartiksharma98224@gmail.com</v>
      </c>
      <c r="O150" s="124" t="str">
        <f>IFERROR(__xludf.DUMMYFUNCTION("""COMPUTED_VALUE"""),"Kartik")</f>
        <v>Kartik</v>
      </c>
      <c r="P150" s="124">
        <f>IFERROR(__xludf.DUMMYFUNCTION("""COMPUTED_VALUE"""),112266.0)</f>
        <v>112266</v>
      </c>
      <c r="Q150" s="124" t="str">
        <f>IFERROR(__xludf.DUMMYFUNCTION("""COMPUTED_VALUE"""),"upsc-gs-foundation-hinglish-target-2028-gsf-upsc-e03-orn")</f>
        <v>upsc-gs-foundation-hinglish-target-2028-gsf-upsc-e03-orn</v>
      </c>
      <c r="R150" s="124" t="str">
        <f>IFERROR(__xludf.DUMMYFUNCTION("""COMPUTED_VALUE"""),"GS Foundation Course")</f>
        <v>GS Foundation Course</v>
      </c>
      <c r="S150" s="124">
        <f>IFERROR(__xludf.DUMMYFUNCTION("""COMPUTED_VALUE"""),9.413592675E9)</f>
        <v>9413592675</v>
      </c>
      <c r="T150" s="124" t="str">
        <f>IFERROR(__xludf.DUMMYFUNCTION("""COMPUTED_VALUE"""),"Collexo")</f>
        <v>Collexo</v>
      </c>
      <c r="U150" s="124" t="str">
        <f>IFERROR(__xludf.DUMMYFUNCTION("""COMPUTED_VALUE"""),"Success")</f>
        <v>Success</v>
      </c>
      <c r="V150" s="131">
        <f>IFERROR(__xludf.DUMMYFUNCTION("""COMPUTED_VALUE"""),46076.0)</f>
        <v>46076</v>
      </c>
      <c r="W150" s="124">
        <f>IFERROR(__xludf.DUMMYFUNCTION("""COMPUTED_VALUE"""),0.0)</f>
        <v>0</v>
      </c>
    </row>
    <row r="151">
      <c r="A151" s="124" t="str">
        <f t="shared" si="1"/>
        <v>sorabhsolankisorabhsolanki1217@gmail.com</v>
      </c>
      <c r="B151" s="131">
        <f>IFERROR(__xludf.DUMMYFUNCTION("""COMPUTED_VALUE"""),46100.0)</f>
        <v>46100</v>
      </c>
      <c r="C151" s="124" t="str">
        <f>IFERROR(__xludf.DUMMYFUNCTION("""COMPUTED_VALUE"""),"Payment data from Collexo")</f>
        <v>Payment data from Collexo</v>
      </c>
      <c r="D151" s="124" t="str">
        <f>IFERROR(__xludf.DUMMYFUNCTION("""COMPUTED_VALUE"""),"Not Available")</f>
        <v>Not Available</v>
      </c>
      <c r="E151" s="124">
        <f>IFERROR(__xludf.DUMMYFUNCTION("""COMPUTED_VALUE"""),1500612.0)</f>
        <v>1500612</v>
      </c>
      <c r="F151" s="124">
        <f>IFERROR(__xludf.DUMMYFUNCTION("""COMPUTED_VALUE"""),124285.0)</f>
        <v>124285</v>
      </c>
      <c r="G151" s="124">
        <f>IFERROR(__xludf.DUMMYFUNCTION("""COMPUTED_VALUE"""),9500.0)</f>
        <v>9500</v>
      </c>
      <c r="H151" s="131">
        <f>IFERROR(__xludf.DUMMYFUNCTION("""COMPUTED_VALUE"""),46112.0)</f>
        <v>46112</v>
      </c>
      <c r="I151" s="124">
        <f>IFERROR(__xludf.DUMMYFUNCTION("""COMPUTED_VALUE"""),21000.0)</f>
        <v>21000</v>
      </c>
      <c r="J151" s="124">
        <f>IFERROR(__xludf.DUMMYFUNCTION("""COMPUTED_VALUE"""),40000.0)</f>
        <v>40000</v>
      </c>
      <c r="K151" s="124">
        <f>IFERROR(__xludf.DUMMYFUNCTION("""COMPUTED_VALUE"""),3.0)</f>
        <v>3</v>
      </c>
      <c r="L151" s="124">
        <f>IFERROR(__xludf.DUMMYFUNCTION("""COMPUTED_VALUE"""),617.0)</f>
        <v>617</v>
      </c>
      <c r="M151" s="124" t="str">
        <f>IFERROR(__xludf.DUMMYFUNCTION("""COMPUTED_VALUE"""),"Indore")</f>
        <v>Indore</v>
      </c>
      <c r="N151" s="124" t="str">
        <f>IFERROR(__xludf.DUMMYFUNCTION("""COMPUTED_VALUE"""),"sorabhsolankisorabhsolanki1217@gmail.com")</f>
        <v>sorabhsolankisorabhsolanki1217@gmail.com</v>
      </c>
      <c r="O151" s="124" t="str">
        <f>IFERROR(__xludf.DUMMYFUNCTION("""COMPUTED_VALUE"""),"Sorabh solanki")</f>
        <v>Sorabh solanki</v>
      </c>
      <c r="P151" s="124">
        <f>IFERROR(__xludf.DUMMYFUNCTION("""COMPUTED_VALUE"""),124285.0)</f>
        <v>124285</v>
      </c>
      <c r="Q151" s="124" t="str">
        <f>IFERROR(__xludf.DUMMYFUNCTION("""COMPUTED_VALUE"""),"mppsc-gs-foundation-hinglish-target-2027-gsf-mppsc-e02-ind")</f>
        <v>mppsc-gs-foundation-hinglish-target-2027-gsf-mppsc-e02-ind</v>
      </c>
      <c r="R151" s="124" t="str">
        <f>IFERROR(__xludf.DUMMYFUNCTION("""COMPUTED_VALUE"""),"State PCS")</f>
        <v>State PCS</v>
      </c>
      <c r="S151" s="124">
        <f>IFERROR(__xludf.DUMMYFUNCTION("""COMPUTED_VALUE"""),9.644044883E9)</f>
        <v>9644044883</v>
      </c>
      <c r="T151" s="124" t="str">
        <f>IFERROR(__xludf.DUMMYFUNCTION("""COMPUTED_VALUE"""),"Not Available")</f>
        <v>Not Available</v>
      </c>
      <c r="U151" s="124" t="str">
        <f>IFERROR(__xludf.DUMMYFUNCTION("""COMPUTED_VALUE"""),"Not Available")</f>
        <v>Not Available</v>
      </c>
      <c r="V151" s="124" t="str">
        <f>IFERROR(__xludf.DUMMYFUNCTION("""COMPUTED_VALUE"""),"Not Available")</f>
        <v>Not Available</v>
      </c>
      <c r="W151" s="124" t="str">
        <f>IFERROR(__xludf.DUMMYFUNCTION("""COMPUTED_VALUE"""),"Not Available")</f>
        <v>Not Available</v>
      </c>
    </row>
    <row r="152">
      <c r="A152" s="124" t="str">
        <f t="shared" si="1"/>
        <v>kartiksharma98224@gmail.com</v>
      </c>
      <c r="B152" s="131">
        <f>IFERROR(__xludf.DUMMYFUNCTION("""COMPUTED_VALUE"""),46110.0)</f>
        <v>46110</v>
      </c>
      <c r="C152" s="124" t="str">
        <f>IFERROR(__xludf.DUMMYFUNCTION("""COMPUTED_VALUE"""),"Payment data from Collexo")</f>
        <v>Payment data from Collexo</v>
      </c>
      <c r="D152" s="124" t="str">
        <f>IFERROR(__xludf.DUMMYFUNCTION("""COMPUTED_VALUE"""),"Not Available")</f>
        <v>Not Available</v>
      </c>
      <c r="E152" s="124">
        <f>IFERROR(__xludf.DUMMYFUNCTION("""COMPUTED_VALUE"""),1500609.0)</f>
        <v>1500609</v>
      </c>
      <c r="F152" s="124" t="str">
        <f>IFERROR(__xludf.DUMMYFUNCTION("""COMPUTED_VALUE"""),"17306_988_7")</f>
        <v>17306_988_7</v>
      </c>
      <c r="G152" s="124">
        <f>IFERROR(__xludf.DUMMYFUNCTION("""COMPUTED_VALUE"""),36666.0)</f>
        <v>36666</v>
      </c>
      <c r="H152" s="131">
        <f>IFERROR(__xludf.DUMMYFUNCTION("""COMPUTED_VALUE"""),46142.0)</f>
        <v>46142</v>
      </c>
      <c r="I152" s="124">
        <f>IFERROR(__xludf.DUMMYFUNCTION("""COMPUTED_VALUE"""),36668.0)</f>
        <v>36668</v>
      </c>
      <c r="J152" s="124">
        <f>IFERROR(__xludf.DUMMYFUNCTION("""COMPUTED_VALUE"""),120000.0)</f>
        <v>120000</v>
      </c>
      <c r="K152" s="124">
        <f>IFERROR(__xludf.DUMMYFUNCTION("""COMPUTED_VALUE"""),4.0)</f>
        <v>4</v>
      </c>
      <c r="L152" s="124">
        <f>IFERROR(__xludf.DUMMYFUNCTION("""COMPUTED_VALUE"""),826.0)</f>
        <v>826</v>
      </c>
      <c r="M152" s="124" t="str">
        <f>IFERROR(__xludf.DUMMYFUNCTION("""COMPUTED_VALUE"""),"New Delhi")</f>
        <v>New Delhi</v>
      </c>
      <c r="N152" s="124" t="str">
        <f>IFERROR(__xludf.DUMMYFUNCTION("""COMPUTED_VALUE"""),"kartiksharma98224@gmail.com")</f>
        <v>kartiksharma98224@gmail.com</v>
      </c>
      <c r="O152" s="124" t="str">
        <f>IFERROR(__xludf.DUMMYFUNCTION("""COMPUTED_VALUE"""),"Kartik")</f>
        <v>Kartik</v>
      </c>
      <c r="P152" s="124">
        <f>IFERROR(__xludf.DUMMYFUNCTION("""COMPUTED_VALUE"""),112266.0)</f>
        <v>112266</v>
      </c>
      <c r="Q152" s="124" t="str">
        <f>IFERROR(__xludf.DUMMYFUNCTION("""COMPUTED_VALUE"""),"upsc-gs-foundation-hinglish-target-2028-gsf-upsc-e03-orn")</f>
        <v>upsc-gs-foundation-hinglish-target-2028-gsf-upsc-e03-orn</v>
      </c>
      <c r="R152" s="124" t="str">
        <f>IFERROR(__xludf.DUMMYFUNCTION("""COMPUTED_VALUE"""),"GS Foundation Course")</f>
        <v>GS Foundation Course</v>
      </c>
      <c r="S152" s="124">
        <f>IFERROR(__xludf.DUMMYFUNCTION("""COMPUTED_VALUE"""),9.413592675E9)</f>
        <v>9413592675</v>
      </c>
      <c r="T152" s="124" t="str">
        <f>IFERROR(__xludf.DUMMYFUNCTION("""COMPUTED_VALUE"""),"Not Available")</f>
        <v>Not Available</v>
      </c>
      <c r="U152" s="124" t="str">
        <f>IFERROR(__xludf.DUMMYFUNCTION("""COMPUTED_VALUE"""),"Not Available")</f>
        <v>Not Available</v>
      </c>
      <c r="V152" s="124" t="str">
        <f>IFERROR(__xludf.DUMMYFUNCTION("""COMPUTED_VALUE"""),"Not Available")</f>
        <v>Not Available</v>
      </c>
      <c r="W152" s="124" t="str">
        <f>IFERROR(__xludf.DUMMYFUNCTION("""COMPUTED_VALUE"""),"Not Available")</f>
        <v>Not Available</v>
      </c>
    </row>
    <row r="153">
      <c r="A153" s="124" t="str">
        <f t="shared" si="1"/>
        <v>pratibharao080@gmail.com</v>
      </c>
      <c r="B153" s="131">
        <f>IFERROR(__xludf.DUMMYFUNCTION("""COMPUTED_VALUE"""),46108.0)</f>
        <v>46108</v>
      </c>
      <c r="C153" s="124" t="str">
        <f>IFERROR(__xludf.DUMMYFUNCTION("""COMPUTED_VALUE"""),"Payment data from Collexo")</f>
        <v>Payment data from Collexo</v>
      </c>
      <c r="D153" s="124" t="str">
        <f>IFERROR(__xludf.DUMMYFUNCTION("""COMPUTED_VALUE"""),"Not Available")</f>
        <v>Not Available</v>
      </c>
      <c r="E153" s="124">
        <f>IFERROR(__xludf.DUMMYFUNCTION("""COMPUTED_VALUE"""),1500613.0)</f>
        <v>1500613</v>
      </c>
      <c r="F153" s="124">
        <f>IFERROR(__xludf.DUMMYFUNCTION("""COMPUTED_VALUE"""),133215.0)</f>
        <v>133215</v>
      </c>
      <c r="G153" s="124">
        <f>IFERROR(__xludf.DUMMYFUNCTION("""COMPUTED_VALUE"""),20500.0)</f>
        <v>20500</v>
      </c>
      <c r="H153" s="124" t="str">
        <f>IFERROR(__xludf.DUMMYFUNCTION("""COMPUTED_VALUE"""),"Not Available")</f>
        <v>Not Available</v>
      </c>
      <c r="I153" s="124">
        <f>IFERROR(__xludf.DUMMYFUNCTION("""COMPUTED_VALUE"""),0.0)</f>
        <v>0</v>
      </c>
      <c r="J153" s="124">
        <f>IFERROR(__xludf.DUMMYFUNCTION("""COMPUTED_VALUE"""),21500.0)</f>
        <v>21500</v>
      </c>
      <c r="K153" s="124">
        <f>IFERROR(__xludf.DUMMYFUNCTION("""COMPUTED_VALUE"""),2.0)</f>
        <v>2</v>
      </c>
      <c r="L153" s="124">
        <f>IFERROR(__xludf.DUMMYFUNCTION("""COMPUTED_VALUE"""),782.0)</f>
        <v>782</v>
      </c>
      <c r="M153" s="124" t="str">
        <f>IFERROR(__xludf.DUMMYFUNCTION("""COMPUTED_VALUE"""),"Prayagraj")</f>
        <v>Prayagraj</v>
      </c>
      <c r="N153" s="124" t="str">
        <f>IFERROR(__xludf.DUMMYFUNCTION("""COMPUTED_VALUE"""),"pratibharao080@gmail.com")</f>
        <v>pratibharao080@gmail.com</v>
      </c>
      <c r="O153" s="124" t="str">
        <f>IFERROR(__xludf.DUMMYFUNCTION("""COMPUTED_VALUE"""),"Pratibha")</f>
        <v>Pratibha</v>
      </c>
      <c r="P153" s="124">
        <f>IFERROR(__xludf.DUMMYFUNCTION("""COMPUTED_VALUE"""),133215.0)</f>
        <v>133215</v>
      </c>
      <c r="Q153" s="124" t="str">
        <f>IFERROR(__xludf.DUMMYFUNCTION("""COMPUTED_VALUE"""),"samadhan-mentorship-program-pry")</f>
        <v>samadhan-mentorship-program-pry</v>
      </c>
      <c r="R153" s="124" t="str">
        <f>IFERROR(__xludf.DUMMYFUNCTION("""COMPUTED_VALUE"""),"Mentorship - Samadhan")</f>
        <v>Mentorship - Samadhan</v>
      </c>
      <c r="S153" s="124">
        <f>IFERROR(__xludf.DUMMYFUNCTION("""COMPUTED_VALUE"""),8.881470311E9)</f>
        <v>8881470311</v>
      </c>
      <c r="T153" s="124" t="str">
        <f>IFERROR(__xludf.DUMMYFUNCTION("""COMPUTED_VALUE"""),"Not Available")</f>
        <v>Not Available</v>
      </c>
      <c r="U153" s="124" t="str">
        <f>IFERROR(__xludf.DUMMYFUNCTION("""COMPUTED_VALUE"""),"Not Available")</f>
        <v>Not Available</v>
      </c>
      <c r="V153" s="124" t="str">
        <f>IFERROR(__xludf.DUMMYFUNCTION("""COMPUTED_VALUE"""),"Not Available")</f>
        <v>Not Available</v>
      </c>
      <c r="W153" s="124" t="str">
        <f>IFERROR(__xludf.DUMMYFUNCTION("""COMPUTED_VALUE"""),"Not Available")</f>
        <v>Not Available</v>
      </c>
    </row>
    <row r="154">
      <c r="A154" s="124" t="str">
        <f t="shared" si="1"/>
        <v>kuldeeprajpoot9448@gmail.com</v>
      </c>
      <c r="B154" s="131">
        <f>IFERROR(__xludf.DUMMYFUNCTION("""COMPUTED_VALUE"""),46099.0)</f>
        <v>46099</v>
      </c>
      <c r="C154" s="124" t="str">
        <f>IFERROR(__xludf.DUMMYFUNCTION("""COMPUTED_VALUE"""),"Payment data from Collexo")</f>
        <v>Payment data from Collexo</v>
      </c>
      <c r="D154" s="124" t="str">
        <f>IFERROR(__xludf.DUMMYFUNCTION("""COMPUTED_VALUE"""),"Not Available")</f>
        <v>Not Available</v>
      </c>
      <c r="E154" s="124">
        <f>IFERROR(__xludf.DUMMYFUNCTION("""COMPUTED_VALUE"""),1500613.0)</f>
        <v>1500613</v>
      </c>
      <c r="F154" s="124">
        <f>IFERROR(__xludf.DUMMYFUNCTION("""COMPUTED_VALUE"""),127149.0)</f>
        <v>127149</v>
      </c>
      <c r="G154" s="124">
        <f>IFERROR(__xludf.DUMMYFUNCTION("""COMPUTED_VALUE"""),1000.0)</f>
        <v>1000</v>
      </c>
      <c r="H154" s="131">
        <f>IFERROR(__xludf.DUMMYFUNCTION("""COMPUTED_VALUE"""),46108.0)</f>
        <v>46108</v>
      </c>
      <c r="I154" s="124">
        <f>IFERROR(__xludf.DUMMYFUNCTION("""COMPUTED_VALUE"""),69000.0)</f>
        <v>69000</v>
      </c>
      <c r="J154" s="124">
        <f>IFERROR(__xludf.DUMMYFUNCTION("""COMPUTED_VALUE"""),70000.0)</f>
        <v>70000</v>
      </c>
      <c r="K154" s="124">
        <f>IFERROR(__xludf.DUMMYFUNCTION("""COMPUTED_VALUE"""),2.0)</f>
        <v>2</v>
      </c>
      <c r="L154" s="124">
        <f>IFERROR(__xludf.DUMMYFUNCTION("""COMPUTED_VALUE"""),589.0)</f>
        <v>589</v>
      </c>
      <c r="M154" s="124" t="str">
        <f>IFERROR(__xludf.DUMMYFUNCTION("""COMPUTED_VALUE"""),"Prayagraj")</f>
        <v>Prayagraj</v>
      </c>
      <c r="N154" s="124" t="str">
        <f>IFERROR(__xludf.DUMMYFUNCTION("""COMPUTED_VALUE"""),"kuldeeprajpoot9448@gmail.com")</f>
        <v>kuldeeprajpoot9448@gmail.com</v>
      </c>
      <c r="O154" s="124" t="str">
        <f>IFERROR(__xludf.DUMMYFUNCTION("""COMPUTED_VALUE"""),"Kuldeep rajpoot")</f>
        <v>Kuldeep rajpoot</v>
      </c>
      <c r="P154" s="124">
        <f>IFERROR(__xludf.DUMMYFUNCTION("""COMPUTED_VALUE"""),127149.0)</f>
        <v>127149</v>
      </c>
      <c r="Q154" s="124" t="str">
        <f>IFERROR(__xludf.DUMMYFUNCTION("""COMPUTED_VALUE"""),"upsc-gs-foundation-hindi-target-2027-gsf-upsc-m02-pry")</f>
        <v>upsc-gs-foundation-hindi-target-2027-gsf-upsc-m02-pry</v>
      </c>
      <c r="R154" s="124" t="str">
        <f>IFERROR(__xludf.DUMMYFUNCTION("""COMPUTED_VALUE"""),"GS Foundation Course")</f>
        <v>GS Foundation Course</v>
      </c>
      <c r="S154" s="124">
        <f>IFERROR(__xludf.DUMMYFUNCTION("""COMPUTED_VALUE"""),9.580636288E9)</f>
        <v>9580636288</v>
      </c>
      <c r="T154" s="124" t="str">
        <f>IFERROR(__xludf.DUMMYFUNCTION("""COMPUTED_VALUE"""),"Not Available")</f>
        <v>Not Available</v>
      </c>
      <c r="U154" s="124" t="str">
        <f>IFERROR(__xludf.DUMMYFUNCTION("""COMPUTED_VALUE"""),"Not Available")</f>
        <v>Not Available</v>
      </c>
      <c r="V154" s="124" t="str">
        <f>IFERROR(__xludf.DUMMYFUNCTION("""COMPUTED_VALUE"""),"Not Available")</f>
        <v>Not Available</v>
      </c>
      <c r="W154" s="124" t="str">
        <f>IFERROR(__xludf.DUMMYFUNCTION("""COMPUTED_VALUE"""),"Not Available")</f>
        <v>Not Available</v>
      </c>
    </row>
    <row r="155">
      <c r="A155" s="124" t="str">
        <f t="shared" si="1"/>
        <v>amishachoudhary956@gmail.com</v>
      </c>
      <c r="B155" s="131">
        <f>IFERROR(__xludf.DUMMYFUNCTION("""COMPUTED_VALUE"""),46092.0)</f>
        <v>46092</v>
      </c>
      <c r="C155" s="124" t="str">
        <f>IFERROR(__xludf.DUMMYFUNCTION("""COMPUTED_VALUE"""),"Payment data from Collexo")</f>
        <v>Payment data from Collexo</v>
      </c>
      <c r="D155" s="124" t="str">
        <f>IFERROR(__xludf.DUMMYFUNCTION("""COMPUTED_VALUE"""),"Not Available")</f>
        <v>Not Available</v>
      </c>
      <c r="E155" s="124">
        <f>IFERROR(__xludf.DUMMYFUNCTION("""COMPUTED_VALUE"""),1500609.0)</f>
        <v>1500609</v>
      </c>
      <c r="F155" s="124" t="str">
        <f>IFERROR(__xludf.DUMMYFUNCTION("""COMPUTED_VALUE"""),"13635_988_7")</f>
        <v>13635_988_7</v>
      </c>
      <c r="G155" s="124">
        <f>IFERROR(__xludf.DUMMYFUNCTION("""COMPUTED_VALUE"""),33750.0)</f>
        <v>33750</v>
      </c>
      <c r="H155" s="131">
        <f>IFERROR(__xludf.DUMMYFUNCTION("""COMPUTED_VALUE"""),46112.0)</f>
        <v>46112</v>
      </c>
      <c r="I155" s="124">
        <f>IFERROR(__xludf.DUMMYFUNCTION("""COMPUTED_VALUE"""),101250.0)</f>
        <v>101250</v>
      </c>
      <c r="J155" s="124">
        <f>IFERROR(__xludf.DUMMYFUNCTION("""COMPUTED_VALUE"""),135000.0)</f>
        <v>135000</v>
      </c>
      <c r="K155" s="124">
        <f>IFERROR(__xludf.DUMMYFUNCTION("""COMPUTED_VALUE"""),2.0)</f>
        <v>2</v>
      </c>
      <c r="L155" s="124">
        <f>IFERROR(__xludf.DUMMYFUNCTION("""COMPUTED_VALUE"""),488.0)</f>
        <v>488</v>
      </c>
      <c r="M155" s="124" t="str">
        <f>IFERROR(__xludf.DUMMYFUNCTION("""COMPUTED_VALUE"""),"New Delhi")</f>
        <v>New Delhi</v>
      </c>
      <c r="N155" s="124" t="str">
        <f>IFERROR(__xludf.DUMMYFUNCTION("""COMPUTED_VALUE"""),"amishachoudhary956@gmail.com")</f>
        <v>amishachoudhary956@gmail.com</v>
      </c>
      <c r="O155" s="124" t="str">
        <f>IFERROR(__xludf.DUMMYFUNCTION("""COMPUTED_VALUE"""),"Amisha choudhary")</f>
        <v>Amisha choudhary</v>
      </c>
      <c r="P155" s="124">
        <f>IFERROR(__xludf.DUMMYFUNCTION("""COMPUTED_VALUE"""),127272.0)</f>
        <v>127272</v>
      </c>
      <c r="Q155" s="124" t="str">
        <f>IFERROR(__xludf.DUMMYFUNCTION("""COMPUTED_VALUE"""),"upsc-gs-foundation-hinglish-target-2028-gsf-upsc-m05-orn")</f>
        <v>upsc-gs-foundation-hinglish-target-2028-gsf-upsc-m05-orn</v>
      </c>
      <c r="R155" s="124" t="str">
        <f>IFERROR(__xludf.DUMMYFUNCTION("""COMPUTED_VALUE"""),"GS Foundation Course")</f>
        <v>GS Foundation Course</v>
      </c>
      <c r="S155" s="124">
        <f>IFERROR(__xludf.DUMMYFUNCTION("""COMPUTED_VALUE"""),9.508331167E9)</f>
        <v>9508331167</v>
      </c>
      <c r="T155" s="124" t="str">
        <f>IFERROR(__xludf.DUMMYFUNCTION("""COMPUTED_VALUE"""),"Not Available")</f>
        <v>Not Available</v>
      </c>
      <c r="U155" s="124" t="str">
        <f>IFERROR(__xludf.DUMMYFUNCTION("""COMPUTED_VALUE"""),"Not Available")</f>
        <v>Not Available</v>
      </c>
      <c r="V155" s="124" t="str">
        <f>IFERROR(__xludf.DUMMYFUNCTION("""COMPUTED_VALUE"""),"Not Available")</f>
        <v>Not Available</v>
      </c>
      <c r="W155" s="124" t="str">
        <f>IFERROR(__xludf.DUMMYFUNCTION("""COMPUTED_VALUE"""),"Not Available")</f>
        <v>Not Available</v>
      </c>
    </row>
    <row r="156">
      <c r="A156" s="124" t="str">
        <f t="shared" si="1"/>
        <v>jaykumarb931@gmail.com</v>
      </c>
      <c r="B156" s="131">
        <f>IFERROR(__xludf.DUMMYFUNCTION("""COMPUTED_VALUE"""),46093.0)</f>
        <v>46093</v>
      </c>
      <c r="C156" s="124" t="str">
        <f>IFERROR(__xludf.DUMMYFUNCTION("""COMPUTED_VALUE"""),"Payment data from Collexo")</f>
        <v>Payment data from Collexo</v>
      </c>
      <c r="D156" s="124" t="str">
        <f>IFERROR(__xludf.DUMMYFUNCTION("""COMPUTED_VALUE"""),"Not Available")</f>
        <v>Not Available</v>
      </c>
      <c r="E156" s="124">
        <f>IFERROR(__xludf.DUMMYFUNCTION("""COMPUTED_VALUE"""),1500611.0)</f>
        <v>1500611</v>
      </c>
      <c r="F156" s="124">
        <f>IFERROR(__xludf.DUMMYFUNCTION("""COMPUTED_VALUE"""),127313.0)</f>
        <v>127313</v>
      </c>
      <c r="G156" s="124">
        <f>IFERROR(__xludf.DUMMYFUNCTION("""COMPUTED_VALUE"""),3000.0)</f>
        <v>3000</v>
      </c>
      <c r="H156" s="131">
        <f>IFERROR(__xludf.DUMMYFUNCTION("""COMPUTED_VALUE"""),46095.0)</f>
        <v>46095</v>
      </c>
      <c r="I156" s="124">
        <f>IFERROR(__xludf.DUMMYFUNCTION("""COMPUTED_VALUE"""),67000.0)</f>
        <v>67000</v>
      </c>
      <c r="J156" s="124">
        <f>IFERROR(__xludf.DUMMYFUNCTION("""COMPUTED_VALUE"""),70000.0)</f>
        <v>70000</v>
      </c>
      <c r="K156" s="124">
        <f>IFERROR(__xludf.DUMMYFUNCTION("""COMPUTED_VALUE"""),2.0)</f>
        <v>2</v>
      </c>
      <c r="L156" s="124">
        <f>IFERROR(__xludf.DUMMYFUNCTION("""COMPUTED_VALUE"""),501.0)</f>
        <v>501</v>
      </c>
      <c r="M156" s="124" t="str">
        <f>IFERROR(__xludf.DUMMYFUNCTION("""COMPUTED_VALUE"""),"Patna")</f>
        <v>Patna</v>
      </c>
      <c r="N156" s="124" t="str">
        <f>IFERROR(__xludf.DUMMYFUNCTION("""COMPUTED_VALUE"""),"jaykumarb931@gmail.com")</f>
        <v>jaykumarb931@gmail.com</v>
      </c>
      <c r="O156" s="124" t="str">
        <f>IFERROR(__xludf.DUMMYFUNCTION("""COMPUTED_VALUE"""),"Jay kumar")</f>
        <v>Jay kumar</v>
      </c>
      <c r="P156" s="124">
        <f>IFERROR(__xludf.DUMMYFUNCTION("""COMPUTED_VALUE"""),127313.0)</f>
        <v>127313</v>
      </c>
      <c r="Q156" s="124" t="str">
        <f>IFERROR(__xludf.DUMMYFUNCTION("""COMPUTED_VALUE"""),"upsc-gs-foundation-hinglish-target-2027-gsf-upsc-e03-pat")</f>
        <v>upsc-gs-foundation-hinglish-target-2027-gsf-upsc-e03-pat</v>
      </c>
      <c r="R156" s="124" t="str">
        <f>IFERROR(__xludf.DUMMYFUNCTION("""COMPUTED_VALUE"""),"GS Foundation Course")</f>
        <v>GS Foundation Course</v>
      </c>
      <c r="S156" s="124">
        <f>IFERROR(__xludf.DUMMYFUNCTION("""COMPUTED_VALUE"""),7.321826544E9)</f>
        <v>7321826544</v>
      </c>
      <c r="T156" s="124" t="str">
        <f>IFERROR(__xludf.DUMMYFUNCTION("""COMPUTED_VALUE"""),"Not Available")</f>
        <v>Not Available</v>
      </c>
      <c r="U156" s="124" t="str">
        <f>IFERROR(__xludf.DUMMYFUNCTION("""COMPUTED_VALUE"""),"Not Available")</f>
        <v>Not Available</v>
      </c>
      <c r="V156" s="124" t="str">
        <f>IFERROR(__xludf.DUMMYFUNCTION("""COMPUTED_VALUE"""),"Not Available")</f>
        <v>Not Available</v>
      </c>
      <c r="W156" s="124" t="str">
        <f>IFERROR(__xludf.DUMMYFUNCTION("""COMPUTED_VALUE"""),"Not Available")</f>
        <v>Not Available</v>
      </c>
    </row>
    <row r="157">
      <c r="A157" s="124" t="str">
        <f t="shared" si="1"/>
        <v>rajankitttttt1405@gmail.com</v>
      </c>
      <c r="B157" s="131">
        <f>IFERROR(__xludf.DUMMYFUNCTION("""COMPUTED_VALUE"""),46102.0)</f>
        <v>46102</v>
      </c>
      <c r="C157" s="124" t="str">
        <f>IFERROR(__xludf.DUMMYFUNCTION("""COMPUTED_VALUE"""),"Payment data from Collexo")</f>
        <v>Payment data from Collexo</v>
      </c>
      <c r="D157" s="124" t="str">
        <f>IFERROR(__xludf.DUMMYFUNCTION("""COMPUTED_VALUE"""),"Not Available")</f>
        <v>Not Available</v>
      </c>
      <c r="E157" s="124">
        <f>IFERROR(__xludf.DUMMYFUNCTION("""COMPUTED_VALUE"""),1500609.0)</f>
        <v>1500609</v>
      </c>
      <c r="F157" s="124" t="str">
        <f>IFERROR(__xludf.DUMMYFUNCTION("""COMPUTED_VALUE"""),"15700_988_7")</f>
        <v>15700_988_7</v>
      </c>
      <c r="G157" s="124">
        <f>IFERROR(__xludf.DUMMYFUNCTION("""COMPUTED_VALUE"""),1.0)</f>
        <v>1</v>
      </c>
      <c r="H157" s="124" t="str">
        <f>IFERROR(__xludf.DUMMYFUNCTION("""COMPUTED_VALUE"""),"Not Available")</f>
        <v>Not Available</v>
      </c>
      <c r="I157" s="124">
        <f>IFERROR(__xludf.DUMMYFUNCTION("""COMPUTED_VALUE"""),0.0)</f>
        <v>0</v>
      </c>
      <c r="J157" s="124">
        <f>IFERROR(__xludf.DUMMYFUNCTION("""COMPUTED_VALUE"""),1.0)</f>
        <v>1</v>
      </c>
      <c r="K157" s="124">
        <f>IFERROR(__xludf.DUMMYFUNCTION("""COMPUTED_VALUE"""),1.0)</f>
        <v>1</v>
      </c>
      <c r="L157" s="124">
        <f>IFERROR(__xludf.DUMMYFUNCTION("""COMPUTED_VALUE"""),660.0)</f>
        <v>660</v>
      </c>
      <c r="M157" s="124" t="str">
        <f>IFERROR(__xludf.DUMMYFUNCTION("""COMPUTED_VALUE"""),"New Delhi")</f>
        <v>New Delhi</v>
      </c>
      <c r="N157" s="124" t="str">
        <f>IFERROR(__xludf.DUMMYFUNCTION("""COMPUTED_VALUE"""),"rajankitttttt1405@gmail.com")</f>
        <v>rajankitttttt1405@gmail.com</v>
      </c>
      <c r="O157" s="124" t="str">
        <f>IFERROR(__xludf.DUMMYFUNCTION("""COMPUTED_VALUE"""),"Ankit")</f>
        <v>Ankit</v>
      </c>
      <c r="P157" s="124">
        <f>IFERROR(__xludf.DUMMYFUNCTION("""COMPUTED_VALUE"""),129294.0)</f>
        <v>129294</v>
      </c>
      <c r="Q157" s="124" t="str">
        <f>IFERROR(__xludf.DUMMYFUNCTION("""COMPUTED_VALUE"""),"upsc-gs-foundation-hinglish-target-2028-gsf-upsc-m05-orn")</f>
        <v>upsc-gs-foundation-hinglish-target-2028-gsf-upsc-m05-orn</v>
      </c>
      <c r="R157" s="124" t="str">
        <f>IFERROR(__xludf.DUMMYFUNCTION("""COMPUTED_VALUE"""),"GS Foundation Course")</f>
        <v>GS Foundation Course</v>
      </c>
      <c r="S157" s="124">
        <f>IFERROR(__xludf.DUMMYFUNCTION("""COMPUTED_VALUE"""),9.990504871E9)</f>
        <v>9990504871</v>
      </c>
      <c r="T157" s="124" t="str">
        <f>IFERROR(__xludf.DUMMYFUNCTION("""COMPUTED_VALUE"""),"Collexo")</f>
        <v>Collexo</v>
      </c>
      <c r="U157" s="124" t="str">
        <f>IFERROR(__xludf.DUMMYFUNCTION("""COMPUTED_VALUE"""),"Success")</f>
        <v>Success</v>
      </c>
      <c r="V157" s="131">
        <f>IFERROR(__xludf.DUMMYFUNCTION("""COMPUTED_VALUE"""),46102.0)</f>
        <v>46102</v>
      </c>
      <c r="W157" s="124">
        <f>IFERROR(__xludf.DUMMYFUNCTION("""COMPUTED_VALUE"""),0.0)</f>
        <v>0</v>
      </c>
    </row>
    <row r="158">
      <c r="A158" s="124" t="str">
        <f t="shared" si="1"/>
        <v>indrajeet821145@gmail.com</v>
      </c>
      <c r="B158" s="131">
        <f>IFERROR(__xludf.DUMMYFUNCTION("""COMPUTED_VALUE"""),46112.0)</f>
        <v>46112</v>
      </c>
      <c r="C158" s="124" t="str">
        <f>IFERROR(__xludf.DUMMYFUNCTION("""COMPUTED_VALUE"""),"Payment data from Collexo")</f>
        <v>Payment data from Collexo</v>
      </c>
      <c r="D158" s="124" t="str">
        <f>IFERROR(__xludf.DUMMYFUNCTION("""COMPUTED_VALUE"""),"Not Available")</f>
        <v>Not Available</v>
      </c>
      <c r="E158" s="124">
        <f>IFERROR(__xludf.DUMMYFUNCTION("""COMPUTED_VALUE"""),1500611.0)</f>
        <v>1500611</v>
      </c>
      <c r="F158" s="124">
        <f>IFERROR(__xludf.DUMMYFUNCTION("""COMPUTED_VALUE"""),20568.0)</f>
        <v>20568</v>
      </c>
      <c r="G158" s="124">
        <f>IFERROR(__xludf.DUMMYFUNCTION("""COMPUTED_VALUE"""),58000.0)</f>
        <v>58000</v>
      </c>
      <c r="H158" s="131">
        <f>IFERROR(__xludf.DUMMYFUNCTION("""COMPUTED_VALUE"""),46116.0)</f>
        <v>46116</v>
      </c>
      <c r="I158" s="124">
        <f>IFERROR(__xludf.DUMMYFUNCTION("""COMPUTED_VALUE"""),5000.0)</f>
        <v>5000</v>
      </c>
      <c r="J158" s="124">
        <f>IFERROR(__xludf.DUMMYFUNCTION("""COMPUTED_VALUE"""),65000.0)</f>
        <v>65000</v>
      </c>
      <c r="K158" s="124">
        <f>IFERROR(__xludf.DUMMYFUNCTION("""COMPUTED_VALUE"""),3.0)</f>
        <v>3</v>
      </c>
      <c r="L158" s="124">
        <f>IFERROR(__xludf.DUMMYFUNCTION("""COMPUTED_VALUE"""),869.0)</f>
        <v>869</v>
      </c>
      <c r="M158" s="124" t="str">
        <f>IFERROR(__xludf.DUMMYFUNCTION("""COMPUTED_VALUE"""),"Patna")</f>
        <v>Patna</v>
      </c>
      <c r="N158" s="124" t="str">
        <f>IFERROR(__xludf.DUMMYFUNCTION("""COMPUTED_VALUE"""),"indrajeet821145@gmail.com")</f>
        <v>indrajeet821145@gmail.com</v>
      </c>
      <c r="O158" s="124" t="str">
        <f>IFERROR(__xludf.DUMMYFUNCTION("""COMPUTED_VALUE"""),"INDRAJEET")</f>
        <v>INDRAJEET</v>
      </c>
      <c r="P158" s="124">
        <f>IFERROR(__xludf.DUMMYFUNCTION("""COMPUTED_VALUE"""),20568.0)</f>
        <v>20568</v>
      </c>
      <c r="Q158" s="124" t="str">
        <f>IFERROR(__xludf.DUMMYFUNCTION("""COMPUTED_VALUE"""),"upsc-gs-foundation-hinglish-target-2028-gsf-upsc-e03-pat")</f>
        <v>upsc-gs-foundation-hinglish-target-2028-gsf-upsc-e03-pat</v>
      </c>
      <c r="R158" s="124" t="str">
        <f>IFERROR(__xludf.DUMMYFUNCTION("""COMPUTED_VALUE"""),"GS Foundation Course")</f>
        <v>GS Foundation Course</v>
      </c>
      <c r="S158" s="124">
        <f>IFERROR(__xludf.DUMMYFUNCTION("""COMPUTED_VALUE"""),9.229664795E9)</f>
        <v>9229664795</v>
      </c>
      <c r="T158" s="124" t="str">
        <f>IFERROR(__xludf.DUMMYFUNCTION("""COMPUTED_VALUE"""),"Not Available")</f>
        <v>Not Available</v>
      </c>
      <c r="U158" s="124" t="str">
        <f>IFERROR(__xludf.DUMMYFUNCTION("""COMPUTED_VALUE"""),"Not Available")</f>
        <v>Not Available</v>
      </c>
      <c r="V158" s="124" t="str">
        <f>IFERROR(__xludf.DUMMYFUNCTION("""COMPUTED_VALUE"""),"Not Available")</f>
        <v>Not Available</v>
      </c>
      <c r="W158" s="124" t="str">
        <f>IFERROR(__xludf.DUMMYFUNCTION("""COMPUTED_VALUE"""),"Not Available")</f>
        <v>Not Available</v>
      </c>
    </row>
    <row r="159">
      <c r="A159" s="124" t="str">
        <f t="shared" si="1"/>
        <v>rajankitttttt1405@gmail.com</v>
      </c>
      <c r="B159" s="131">
        <f>IFERROR(__xludf.DUMMYFUNCTION("""COMPUTED_VALUE"""),46102.0)</f>
        <v>46102</v>
      </c>
      <c r="C159" s="124" t="str">
        <f>IFERROR(__xludf.DUMMYFUNCTION("""COMPUTED_VALUE"""),"Payment data from Collexo")</f>
        <v>Payment data from Collexo</v>
      </c>
      <c r="D159" s="124" t="str">
        <f>IFERROR(__xludf.DUMMYFUNCTION("""COMPUTED_VALUE"""),"Not Available")</f>
        <v>Not Available</v>
      </c>
      <c r="E159" s="124">
        <f>IFERROR(__xludf.DUMMYFUNCTION("""COMPUTED_VALUE"""),1500609.0)</f>
        <v>1500609</v>
      </c>
      <c r="F159" s="124" t="str">
        <f>IFERROR(__xludf.DUMMYFUNCTION("""COMPUTED_VALUE"""),"15694_988_7")</f>
        <v>15694_988_7</v>
      </c>
      <c r="G159" s="124">
        <f>IFERROR(__xludf.DUMMYFUNCTION("""COMPUTED_VALUE"""),40000.0)</f>
        <v>40000</v>
      </c>
      <c r="H159" s="131">
        <f>IFERROR(__xludf.DUMMYFUNCTION("""COMPUTED_VALUE"""),46112.0)</f>
        <v>46112</v>
      </c>
      <c r="I159" s="124">
        <f>IFERROR(__xludf.DUMMYFUNCTION("""COMPUTED_VALUE"""),80000.0)</f>
        <v>80000</v>
      </c>
      <c r="J159" s="124">
        <f>IFERROR(__xludf.DUMMYFUNCTION("""COMPUTED_VALUE"""),120000.0)</f>
        <v>120000</v>
      </c>
      <c r="K159" s="124">
        <f>IFERROR(__xludf.DUMMYFUNCTION("""COMPUTED_VALUE"""),2.0)</f>
        <v>2</v>
      </c>
      <c r="L159" s="124">
        <f>IFERROR(__xludf.DUMMYFUNCTION("""COMPUTED_VALUE"""),657.0)</f>
        <v>657</v>
      </c>
      <c r="M159" s="124" t="str">
        <f>IFERROR(__xludf.DUMMYFUNCTION("""COMPUTED_VALUE"""),"New Delhi")</f>
        <v>New Delhi</v>
      </c>
      <c r="N159" s="124" t="str">
        <f>IFERROR(__xludf.DUMMYFUNCTION("""COMPUTED_VALUE"""),"rajankitttttt1405@gmail.com")</f>
        <v>rajankitttttt1405@gmail.com</v>
      </c>
      <c r="O159" s="124" t="str">
        <f>IFERROR(__xludf.DUMMYFUNCTION("""COMPUTED_VALUE"""),"Ankit")</f>
        <v>Ankit</v>
      </c>
      <c r="P159" s="124">
        <f>IFERROR(__xludf.DUMMYFUNCTION("""COMPUTED_VALUE"""),129294.0)</f>
        <v>129294</v>
      </c>
      <c r="Q159" s="124" t="str">
        <f>IFERROR(__xludf.DUMMYFUNCTION("""COMPUTED_VALUE"""),"upsc-gs-foundation-hinglish-target-2028-gsf-upsc-m05-orn")</f>
        <v>upsc-gs-foundation-hinglish-target-2028-gsf-upsc-m05-orn</v>
      </c>
      <c r="R159" s="124" t="str">
        <f>IFERROR(__xludf.DUMMYFUNCTION("""COMPUTED_VALUE"""),"GS Foundation Course")</f>
        <v>GS Foundation Course</v>
      </c>
      <c r="S159" s="124">
        <f>IFERROR(__xludf.DUMMYFUNCTION("""COMPUTED_VALUE"""),9.990504871E9)</f>
        <v>9990504871</v>
      </c>
      <c r="T159" s="124" t="str">
        <f>IFERROR(__xludf.DUMMYFUNCTION("""COMPUTED_VALUE"""),"Not Available")</f>
        <v>Not Available</v>
      </c>
      <c r="U159" s="124" t="str">
        <f>IFERROR(__xludf.DUMMYFUNCTION("""COMPUTED_VALUE"""),"Not Available")</f>
        <v>Not Available</v>
      </c>
      <c r="V159" s="124" t="str">
        <f>IFERROR(__xludf.DUMMYFUNCTION("""COMPUTED_VALUE"""),"Not Available")</f>
        <v>Not Available</v>
      </c>
      <c r="W159" s="124" t="str">
        <f>IFERROR(__xludf.DUMMYFUNCTION("""COMPUTED_VALUE"""),"Not Available")</f>
        <v>Not Available</v>
      </c>
    </row>
    <row r="160">
      <c r="A160" s="124" t="str">
        <f t="shared" si="1"/>
        <v>amansunartiya09@gmail.com</v>
      </c>
      <c r="B160" s="131">
        <f>IFERROR(__xludf.DUMMYFUNCTION("""COMPUTED_VALUE"""),46087.0)</f>
        <v>46087</v>
      </c>
      <c r="C160" s="124" t="str">
        <f>IFERROR(__xludf.DUMMYFUNCTION("""COMPUTED_VALUE"""),"Payment data from Collexo")</f>
        <v>Payment data from Collexo</v>
      </c>
      <c r="D160" s="124" t="str">
        <f>IFERROR(__xludf.DUMMYFUNCTION("""COMPUTED_VALUE"""),"Not Available")</f>
        <v>Not Available</v>
      </c>
      <c r="E160" s="124">
        <f>IFERROR(__xludf.DUMMYFUNCTION("""COMPUTED_VALUE"""),1500612.0)</f>
        <v>1500612</v>
      </c>
      <c r="F160" s="124">
        <f>IFERROR(__xludf.DUMMYFUNCTION("""COMPUTED_VALUE"""),126176.0)</f>
        <v>126176</v>
      </c>
      <c r="G160" s="124">
        <f>IFERROR(__xludf.DUMMYFUNCTION("""COMPUTED_VALUE"""),2000.0)</f>
        <v>2000</v>
      </c>
      <c r="H160" s="131">
        <f>IFERROR(__xludf.DUMMYFUNCTION("""COMPUTED_VALUE"""),46093.0)</f>
        <v>46093</v>
      </c>
      <c r="I160" s="124">
        <f>IFERROR(__xludf.DUMMYFUNCTION("""COMPUTED_VALUE"""),78000.0)</f>
        <v>78000</v>
      </c>
      <c r="J160" s="124">
        <f>IFERROR(__xludf.DUMMYFUNCTION("""COMPUTED_VALUE"""),80000.0)</f>
        <v>80000</v>
      </c>
      <c r="K160" s="124">
        <f>IFERROR(__xludf.DUMMYFUNCTION("""COMPUTED_VALUE"""),2.0)</f>
        <v>2</v>
      </c>
      <c r="L160" s="124">
        <f>IFERROR(__xludf.DUMMYFUNCTION("""COMPUTED_VALUE"""),420.0)</f>
        <v>420</v>
      </c>
      <c r="M160" s="124" t="str">
        <f>IFERROR(__xludf.DUMMYFUNCTION("""COMPUTED_VALUE"""),"Indore")</f>
        <v>Indore</v>
      </c>
      <c r="N160" s="124" t="str">
        <f>IFERROR(__xludf.DUMMYFUNCTION("""COMPUTED_VALUE"""),"amansunartiya09@gmail.com")</f>
        <v>amansunartiya09@gmail.com</v>
      </c>
      <c r="O160" s="124" t="str">
        <f>IFERROR(__xludf.DUMMYFUNCTION("""COMPUTED_VALUE"""),"Aman sunartiya")</f>
        <v>Aman sunartiya</v>
      </c>
      <c r="P160" s="124">
        <f>IFERROR(__xludf.DUMMYFUNCTION("""COMPUTED_VALUE"""),126176.0)</f>
        <v>126176</v>
      </c>
      <c r="Q160" s="124" t="str">
        <f>IFERROR(__xludf.DUMMYFUNCTION("""COMPUTED_VALUE"""),"mppsc-gs-foundation-hinglish-target-2028-gsf-mppsc-e02-ind")</f>
        <v>mppsc-gs-foundation-hinglish-target-2028-gsf-mppsc-e02-ind</v>
      </c>
      <c r="R160" s="124" t="str">
        <f>IFERROR(__xludf.DUMMYFUNCTION("""COMPUTED_VALUE"""),"State PCS")</f>
        <v>State PCS</v>
      </c>
      <c r="S160" s="124">
        <f>IFERROR(__xludf.DUMMYFUNCTION("""COMPUTED_VALUE"""),8.602962929E9)</f>
        <v>8602962929</v>
      </c>
      <c r="T160" s="124" t="str">
        <f>IFERROR(__xludf.DUMMYFUNCTION("""COMPUTED_VALUE"""),"Not Available")</f>
        <v>Not Available</v>
      </c>
      <c r="U160" s="124" t="str">
        <f>IFERROR(__xludf.DUMMYFUNCTION("""COMPUTED_VALUE"""),"Not Available")</f>
        <v>Not Available</v>
      </c>
      <c r="V160" s="124" t="str">
        <f>IFERROR(__xludf.DUMMYFUNCTION("""COMPUTED_VALUE"""),"Not Available")</f>
        <v>Not Available</v>
      </c>
      <c r="W160" s="124" t="str">
        <f>IFERROR(__xludf.DUMMYFUNCTION("""COMPUTED_VALUE"""),"Not Available")</f>
        <v>Not Available</v>
      </c>
    </row>
    <row r="161">
      <c r="A161" s="124" t="str">
        <f t="shared" si="1"/>
        <v>mbhavna078@gmail.com</v>
      </c>
      <c r="B161" s="131">
        <f>IFERROR(__xludf.DUMMYFUNCTION("""COMPUTED_VALUE"""),46111.0)</f>
        <v>46111</v>
      </c>
      <c r="C161" s="124" t="str">
        <f>IFERROR(__xludf.DUMMYFUNCTION("""COMPUTED_VALUE"""),"Payment data from Collexo")</f>
        <v>Payment data from Collexo</v>
      </c>
      <c r="D161" s="124" t="str">
        <f>IFERROR(__xludf.DUMMYFUNCTION("""COMPUTED_VALUE"""),"Not Available")</f>
        <v>Not Available</v>
      </c>
      <c r="E161" s="124">
        <f>IFERROR(__xludf.DUMMYFUNCTION("""COMPUTED_VALUE"""),1500612.0)</f>
        <v>1500612</v>
      </c>
      <c r="F161" s="124">
        <f>IFERROR(__xludf.DUMMYFUNCTION("""COMPUTED_VALUE"""),130793.0)</f>
        <v>130793</v>
      </c>
      <c r="G161" s="124">
        <f>IFERROR(__xludf.DUMMYFUNCTION("""COMPUTED_VALUE"""),65000.0)</f>
        <v>65000</v>
      </c>
      <c r="H161" s="131">
        <f>IFERROR(__xludf.DUMMYFUNCTION("""COMPUTED_VALUE"""),46173.0)</f>
        <v>46173</v>
      </c>
      <c r="I161" s="124">
        <f>IFERROR(__xludf.DUMMYFUNCTION("""COMPUTED_VALUE"""),60000.0)</f>
        <v>60000</v>
      </c>
      <c r="J161" s="124">
        <f>IFERROR(__xludf.DUMMYFUNCTION("""COMPUTED_VALUE"""),130000.0)</f>
        <v>130000</v>
      </c>
      <c r="K161" s="124">
        <f>IFERROR(__xludf.DUMMYFUNCTION("""COMPUTED_VALUE"""),3.0)</f>
        <v>3</v>
      </c>
      <c r="L161" s="124">
        <f>IFERROR(__xludf.DUMMYFUNCTION("""COMPUTED_VALUE"""),832.0)</f>
        <v>832</v>
      </c>
      <c r="M161" s="124" t="str">
        <f>IFERROR(__xludf.DUMMYFUNCTION("""COMPUTED_VALUE"""),"Indore")</f>
        <v>Indore</v>
      </c>
      <c r="N161" s="124" t="str">
        <f>IFERROR(__xludf.DUMMYFUNCTION("""COMPUTED_VALUE"""),"mbhavna078@gmail.com")</f>
        <v>mbhavna078@gmail.com</v>
      </c>
      <c r="O161" s="124" t="str">
        <f>IFERROR(__xludf.DUMMYFUNCTION("""COMPUTED_VALUE"""),"Bhavna mishra")</f>
        <v>Bhavna mishra</v>
      </c>
      <c r="P161" s="124">
        <f>IFERROR(__xludf.DUMMYFUNCTION("""COMPUTED_VALUE"""),130793.0)</f>
        <v>130793</v>
      </c>
      <c r="Q161" s="124" t="str">
        <f>IFERROR(__xludf.DUMMYFUNCTION("""COMPUTED_VALUE"""),"upsc-gs-foundation-hindi-target-2028-gsf-upsc-m03-ind")</f>
        <v>upsc-gs-foundation-hindi-target-2028-gsf-upsc-m03-ind</v>
      </c>
      <c r="R161" s="124" t="str">
        <f>IFERROR(__xludf.DUMMYFUNCTION("""COMPUTED_VALUE"""),"GS Foundation Course")</f>
        <v>GS Foundation Course</v>
      </c>
      <c r="S161" s="124">
        <f>IFERROR(__xludf.DUMMYFUNCTION("""COMPUTED_VALUE"""),9.232009662E9)</f>
        <v>9232009662</v>
      </c>
      <c r="T161" s="124" t="str">
        <f>IFERROR(__xludf.DUMMYFUNCTION("""COMPUTED_VALUE"""),"Not Available")</f>
        <v>Not Available</v>
      </c>
      <c r="U161" s="124" t="str">
        <f>IFERROR(__xludf.DUMMYFUNCTION("""COMPUTED_VALUE"""),"Not Available")</f>
        <v>Not Available</v>
      </c>
      <c r="V161" s="124" t="str">
        <f>IFERROR(__xludf.DUMMYFUNCTION("""COMPUTED_VALUE"""),"Not Available")</f>
        <v>Not Available</v>
      </c>
      <c r="W161" s="124" t="str">
        <f>IFERROR(__xludf.DUMMYFUNCTION("""COMPUTED_VALUE"""),"Not Available")</f>
        <v>Not Available</v>
      </c>
    </row>
    <row r="162">
      <c r="A162" s="124" t="str">
        <f t="shared" si="1"/>
        <v>Rishavyadav@gmail.com</v>
      </c>
      <c r="B162" s="131">
        <f>IFERROR(__xludf.DUMMYFUNCTION("""COMPUTED_VALUE"""),46095.0)</f>
        <v>46095</v>
      </c>
      <c r="C162" s="124" t="str">
        <f>IFERROR(__xludf.DUMMYFUNCTION("""COMPUTED_VALUE"""),"Payment data from Collexo")</f>
        <v>Payment data from Collexo</v>
      </c>
      <c r="D162" s="124" t="str">
        <f>IFERROR(__xludf.DUMMYFUNCTION("""COMPUTED_VALUE"""),"Not Available")</f>
        <v>Not Available</v>
      </c>
      <c r="E162" s="124">
        <f>IFERROR(__xludf.DUMMYFUNCTION("""COMPUTED_VALUE"""),1500611.0)</f>
        <v>1500611</v>
      </c>
      <c r="F162" s="124">
        <f>IFERROR(__xludf.DUMMYFUNCTION("""COMPUTED_VALUE"""),126967.0)</f>
        <v>126967</v>
      </c>
      <c r="G162" s="124">
        <f>IFERROR(__xludf.DUMMYFUNCTION("""COMPUTED_VALUE"""),36000.0)</f>
        <v>36000</v>
      </c>
      <c r="H162" s="124" t="str">
        <f>IFERROR(__xludf.DUMMYFUNCTION("""COMPUTED_VALUE"""),"Not Available")</f>
        <v>Not Available</v>
      </c>
      <c r="I162" s="124">
        <f>IFERROR(__xludf.DUMMYFUNCTION("""COMPUTED_VALUE"""),0.0)</f>
        <v>0</v>
      </c>
      <c r="J162" s="124">
        <f>IFERROR(__xludf.DUMMYFUNCTION("""COMPUTED_VALUE"""),40750.0)</f>
        <v>40750</v>
      </c>
      <c r="K162" s="124">
        <f>IFERROR(__xludf.DUMMYFUNCTION("""COMPUTED_VALUE"""),3.0)</f>
        <v>3</v>
      </c>
      <c r="L162" s="124">
        <f>IFERROR(__xludf.DUMMYFUNCTION("""COMPUTED_VALUE"""),550.0)</f>
        <v>550</v>
      </c>
      <c r="M162" s="124" t="str">
        <f>IFERROR(__xludf.DUMMYFUNCTION("""COMPUTED_VALUE"""),"Patna")</f>
        <v>Patna</v>
      </c>
      <c r="N162" s="124" t="str">
        <f>IFERROR(__xludf.DUMMYFUNCTION("""COMPUTED_VALUE"""),"Rishavyadav@gmail.com")</f>
        <v>Rishavyadav@gmail.com</v>
      </c>
      <c r="O162" s="124" t="str">
        <f>IFERROR(__xludf.DUMMYFUNCTION("""COMPUTED_VALUE"""),"Rishav Kumar")</f>
        <v>Rishav Kumar</v>
      </c>
      <c r="P162" s="124">
        <f>IFERROR(__xludf.DUMMYFUNCTION("""COMPUTED_VALUE"""),126967.0)</f>
        <v>126967</v>
      </c>
      <c r="Q162" s="124" t="str">
        <f>IFERROR(__xludf.DUMMYFUNCTION("""COMPUTED_VALUE"""),"bpsc-gs-foundation-hinglish-target-2026-gsf-bpsc-m02-pat")</f>
        <v>bpsc-gs-foundation-hinglish-target-2026-gsf-bpsc-m02-pat</v>
      </c>
      <c r="R162" s="124" t="str">
        <f>IFERROR(__xludf.DUMMYFUNCTION("""COMPUTED_VALUE"""),"State PCS")</f>
        <v>State PCS</v>
      </c>
      <c r="S162" s="124">
        <f>IFERROR(__xludf.DUMMYFUNCTION("""COMPUTED_VALUE"""),9.304886426E9)</f>
        <v>9304886426</v>
      </c>
      <c r="T162" s="124" t="str">
        <f>IFERROR(__xludf.DUMMYFUNCTION("""COMPUTED_VALUE"""),"Not Available")</f>
        <v>Not Available</v>
      </c>
      <c r="U162" s="124" t="str">
        <f>IFERROR(__xludf.DUMMYFUNCTION("""COMPUTED_VALUE"""),"Not Available")</f>
        <v>Not Available</v>
      </c>
      <c r="V162" s="124" t="str">
        <f>IFERROR(__xludf.DUMMYFUNCTION("""COMPUTED_VALUE"""),"Not Available")</f>
        <v>Not Available</v>
      </c>
      <c r="W162" s="124" t="str">
        <f>IFERROR(__xludf.DUMMYFUNCTION("""COMPUTED_VALUE"""),"Not Available")</f>
        <v>Not Available</v>
      </c>
    </row>
    <row r="163">
      <c r="A163" s="124" t="str">
        <f t="shared" si="1"/>
        <v>nitzsha4@gmail.com</v>
      </c>
      <c r="B163" s="131">
        <f>IFERROR(__xludf.DUMMYFUNCTION("""COMPUTED_VALUE"""),46066.0)</f>
        <v>46066</v>
      </c>
      <c r="C163" s="124" t="str">
        <f>IFERROR(__xludf.DUMMYFUNCTION("""COMPUTED_VALUE"""),"Payment data from Collexo")</f>
        <v>Payment data from Collexo</v>
      </c>
      <c r="D163" s="124" t="str">
        <f>IFERROR(__xludf.DUMMYFUNCTION("""COMPUTED_VALUE"""),"Not Available")</f>
        <v>Not Available</v>
      </c>
      <c r="E163" s="124">
        <f>IFERROR(__xludf.DUMMYFUNCTION("""COMPUTED_VALUE"""),1500609.0)</f>
        <v>1500609</v>
      </c>
      <c r="F163" s="124" t="str">
        <f>IFERROR(__xludf.DUMMYFUNCTION("""COMPUTED_VALUE"""),"5055_988_7")</f>
        <v>5055_988_7</v>
      </c>
      <c r="G163" s="124">
        <f>IFERROR(__xludf.DUMMYFUNCTION("""COMPUTED_VALUE"""),5000.0)</f>
        <v>5000</v>
      </c>
      <c r="H163" s="131">
        <f>IFERROR(__xludf.DUMMYFUNCTION("""COMPUTED_VALUE"""),46070.0)</f>
        <v>46070</v>
      </c>
      <c r="I163" s="124">
        <f>IFERROR(__xludf.DUMMYFUNCTION("""COMPUTED_VALUE"""),105000.0)</f>
        <v>105000</v>
      </c>
      <c r="J163" s="124">
        <f>IFERROR(__xludf.DUMMYFUNCTION("""COMPUTED_VALUE"""),110000.0)</f>
        <v>110000</v>
      </c>
      <c r="K163" s="124">
        <f>IFERROR(__xludf.DUMMYFUNCTION("""COMPUTED_VALUE"""),2.0)</f>
        <v>2</v>
      </c>
      <c r="L163" s="124">
        <f>IFERROR(__xludf.DUMMYFUNCTION("""COMPUTED_VALUE"""),205.0)</f>
        <v>205</v>
      </c>
      <c r="M163" s="124" t="str">
        <f>IFERROR(__xludf.DUMMYFUNCTION("""COMPUTED_VALUE"""),"New Delhi")</f>
        <v>New Delhi</v>
      </c>
      <c r="N163" s="124" t="str">
        <f>IFERROR(__xludf.DUMMYFUNCTION("""COMPUTED_VALUE"""),"nitzsha4@gmail.com")</f>
        <v>nitzsha4@gmail.com</v>
      </c>
      <c r="O163" s="124" t="str">
        <f>IFERROR(__xludf.DUMMYFUNCTION("""COMPUTED_VALUE"""),"Nitish")</f>
        <v>Nitish</v>
      </c>
      <c r="P163" s="124">
        <f>IFERROR(__xludf.DUMMYFUNCTION("""COMPUTED_VALUE"""),123406.0)</f>
        <v>123406</v>
      </c>
      <c r="Q163" s="124" t="str">
        <f>IFERROR(__xludf.DUMMYFUNCTION("""COMPUTED_VALUE"""),"upsc-gs-foundation-hinglish-target-2027-gsf-upsc-m02-orn")</f>
        <v>upsc-gs-foundation-hinglish-target-2027-gsf-upsc-m02-orn</v>
      </c>
      <c r="R163" s="124" t="str">
        <f>IFERROR(__xludf.DUMMYFUNCTION("""COMPUTED_VALUE"""),"GS Foundation Course")</f>
        <v>GS Foundation Course</v>
      </c>
      <c r="S163" s="124">
        <f>IFERROR(__xludf.DUMMYFUNCTION("""COMPUTED_VALUE"""),9.555848241E9)</f>
        <v>9555848241</v>
      </c>
      <c r="T163" s="124" t="str">
        <f>IFERROR(__xludf.DUMMYFUNCTION("""COMPUTED_VALUE"""),"Collexo")</f>
        <v>Collexo</v>
      </c>
      <c r="U163" s="124" t="str">
        <f>IFERROR(__xludf.DUMMYFUNCTION("""COMPUTED_VALUE"""),"Success")</f>
        <v>Success</v>
      </c>
      <c r="V163" s="131">
        <f>IFERROR(__xludf.DUMMYFUNCTION("""COMPUTED_VALUE"""),46066.0)</f>
        <v>46066</v>
      </c>
      <c r="W163" s="124">
        <f>IFERROR(__xludf.DUMMYFUNCTION("""COMPUTED_VALUE"""),0.0)</f>
        <v>0</v>
      </c>
    </row>
    <row r="164">
      <c r="A164" s="124" t="str">
        <f t="shared" si="1"/>
        <v>jahanviikashyap17@gmail.com</v>
      </c>
      <c r="B164" s="131">
        <f>IFERROR(__xludf.DUMMYFUNCTION("""COMPUTED_VALUE"""),46062.0)</f>
        <v>46062</v>
      </c>
      <c r="C164" s="124" t="str">
        <f>IFERROR(__xludf.DUMMYFUNCTION("""COMPUTED_VALUE"""),"Payment data from Collexo")</f>
        <v>Payment data from Collexo</v>
      </c>
      <c r="D164" s="124" t="str">
        <f>IFERROR(__xludf.DUMMYFUNCTION("""COMPUTED_VALUE"""),"Not Available")</f>
        <v>Not Available</v>
      </c>
      <c r="E164" s="124">
        <f>IFERROR(__xludf.DUMMYFUNCTION("""COMPUTED_VALUE"""),1500609.0)</f>
        <v>1500609</v>
      </c>
      <c r="F164" s="124" t="str">
        <f>IFERROR(__xludf.DUMMYFUNCTION("""COMPUTED_VALUE"""),"4393_988_7")</f>
        <v>4393_988_7</v>
      </c>
      <c r="G164" s="124">
        <f>IFERROR(__xludf.DUMMYFUNCTION("""COMPUTED_VALUE"""),115000.0)</f>
        <v>115000</v>
      </c>
      <c r="H164" s="124" t="str">
        <f>IFERROR(__xludf.DUMMYFUNCTION("""COMPUTED_VALUE"""),"Not Available")</f>
        <v>Not Available</v>
      </c>
      <c r="I164" s="124">
        <f>IFERROR(__xludf.DUMMYFUNCTION("""COMPUTED_VALUE"""),0.0)</f>
        <v>0</v>
      </c>
      <c r="J164" s="124">
        <f>IFERROR(__xludf.DUMMYFUNCTION("""COMPUTED_VALUE"""),120000.0)</f>
        <v>120000</v>
      </c>
      <c r="K164" s="124">
        <f>IFERROR(__xludf.DUMMYFUNCTION("""COMPUTED_VALUE"""),2.0)</f>
        <v>2</v>
      </c>
      <c r="L164" s="124">
        <f>IFERROR(__xludf.DUMMYFUNCTION("""COMPUTED_VALUE"""),190.0)</f>
        <v>190</v>
      </c>
      <c r="M164" s="124" t="str">
        <f>IFERROR(__xludf.DUMMYFUNCTION("""COMPUTED_VALUE"""),"New Delhi")</f>
        <v>New Delhi</v>
      </c>
      <c r="N164" s="124" t="str">
        <f>IFERROR(__xludf.DUMMYFUNCTION("""COMPUTED_VALUE"""),"jahanviikashyap17@gmail.com")</f>
        <v>jahanviikashyap17@gmail.com</v>
      </c>
      <c r="O164" s="124" t="str">
        <f>IFERROR(__xludf.DUMMYFUNCTION("""COMPUTED_VALUE"""),"Jahanvi Kashyap")</f>
        <v>Jahanvi Kashyap</v>
      </c>
      <c r="P164" s="124">
        <f>IFERROR(__xludf.DUMMYFUNCTION("""COMPUTED_VALUE"""),83209.0)</f>
        <v>83209</v>
      </c>
      <c r="Q164" s="124" t="str">
        <f>IFERROR(__xludf.DUMMYFUNCTION("""COMPUTED_VALUE"""),"upsc-gs-foundation-hinglish-target-2027-gsf-upsc-e01-orn")</f>
        <v>upsc-gs-foundation-hinglish-target-2027-gsf-upsc-e01-orn</v>
      </c>
      <c r="R164" s="124" t="str">
        <f>IFERROR(__xludf.DUMMYFUNCTION("""COMPUTED_VALUE"""),"GS Foundation Course")</f>
        <v>GS Foundation Course</v>
      </c>
      <c r="S164" s="124">
        <f>IFERROR(__xludf.DUMMYFUNCTION("""COMPUTED_VALUE"""),8.814014928E9)</f>
        <v>8814014928</v>
      </c>
      <c r="T164" s="124" t="str">
        <f>IFERROR(__xludf.DUMMYFUNCTION("""COMPUTED_VALUE"""),"Collexo")</f>
        <v>Collexo</v>
      </c>
      <c r="U164" s="124" t="str">
        <f>IFERROR(__xludf.DUMMYFUNCTION("""COMPUTED_VALUE"""),"Success")</f>
        <v>Success</v>
      </c>
      <c r="V164" s="131">
        <f>IFERROR(__xludf.DUMMYFUNCTION("""COMPUTED_VALUE"""),46062.0)</f>
        <v>46062</v>
      </c>
      <c r="W164" s="124">
        <f>IFERROR(__xludf.DUMMYFUNCTION("""COMPUTED_VALUE"""),0.0)</f>
        <v>0</v>
      </c>
    </row>
    <row r="165">
      <c r="A165" s="124" t="str">
        <f t="shared" si="1"/>
        <v>naoremp43@gmail.com</v>
      </c>
      <c r="B165" s="131">
        <f>IFERROR(__xludf.DUMMYFUNCTION("""COMPUTED_VALUE"""),46060.0)</f>
        <v>46060</v>
      </c>
      <c r="C165" s="124" t="str">
        <f>IFERROR(__xludf.DUMMYFUNCTION("""COMPUTED_VALUE"""),"Payment data from Collexo")</f>
        <v>Payment data from Collexo</v>
      </c>
      <c r="D165" s="124" t="str">
        <f>IFERROR(__xludf.DUMMYFUNCTION("""COMPUTED_VALUE"""),"Not Available")</f>
        <v>Not Available</v>
      </c>
      <c r="E165" s="124">
        <f>IFERROR(__xludf.DUMMYFUNCTION("""COMPUTED_VALUE"""),1500609.0)</f>
        <v>1500609</v>
      </c>
      <c r="F165" s="124" t="str">
        <f>IFERROR(__xludf.DUMMYFUNCTION("""COMPUTED_VALUE"""),"4142_988_7")</f>
        <v>4142_988_7</v>
      </c>
      <c r="G165" s="124">
        <f>IFERROR(__xludf.DUMMYFUNCTION("""COMPUTED_VALUE"""),24000.0)</f>
        <v>24000</v>
      </c>
      <c r="H165" s="131">
        <f>IFERROR(__xludf.DUMMYFUNCTION("""COMPUTED_VALUE"""),46063.0)</f>
        <v>46063</v>
      </c>
      <c r="I165" s="124">
        <f>IFERROR(__xludf.DUMMYFUNCTION("""COMPUTED_VALUE"""),96000.0)</f>
        <v>96000</v>
      </c>
      <c r="J165" s="124">
        <f>IFERROR(__xludf.DUMMYFUNCTION("""COMPUTED_VALUE"""),120000.0)</f>
        <v>120000</v>
      </c>
      <c r="K165" s="124">
        <f>IFERROR(__xludf.DUMMYFUNCTION("""COMPUTED_VALUE"""),2.0)</f>
        <v>2</v>
      </c>
      <c r="L165" s="124">
        <f>IFERROR(__xludf.DUMMYFUNCTION("""COMPUTED_VALUE"""),176.0)</f>
        <v>176</v>
      </c>
      <c r="M165" s="124" t="str">
        <f>IFERROR(__xludf.DUMMYFUNCTION("""COMPUTED_VALUE"""),"New Delhi")</f>
        <v>New Delhi</v>
      </c>
      <c r="N165" s="124" t="str">
        <f>IFERROR(__xludf.DUMMYFUNCTION("""COMPUTED_VALUE"""),"naoremp43@gmail.com")</f>
        <v>naoremp43@gmail.com</v>
      </c>
      <c r="O165" s="124" t="str">
        <f>IFERROR(__xludf.DUMMYFUNCTION("""COMPUTED_VALUE"""),"Preety")</f>
        <v>Preety</v>
      </c>
      <c r="P165" s="124">
        <f>IFERROR(__xludf.DUMMYFUNCTION("""COMPUTED_VALUE"""),122252.0)</f>
        <v>122252</v>
      </c>
      <c r="Q165" s="124" t="str">
        <f>IFERROR(__xludf.DUMMYFUNCTION("""COMPUTED_VALUE"""),"upsc-gs-foundation-hinglish-target-2027-gsf-upsc-m03-orn")</f>
        <v>upsc-gs-foundation-hinglish-target-2027-gsf-upsc-m03-orn</v>
      </c>
      <c r="R165" s="124" t="str">
        <f>IFERROR(__xludf.DUMMYFUNCTION("""COMPUTED_VALUE"""),"GS Foundation Course")</f>
        <v>GS Foundation Course</v>
      </c>
      <c r="S165" s="124">
        <f>IFERROR(__xludf.DUMMYFUNCTION("""COMPUTED_VALUE"""),8.448319329E9)</f>
        <v>8448319329</v>
      </c>
      <c r="T165" s="124" t="str">
        <f>IFERROR(__xludf.DUMMYFUNCTION("""COMPUTED_VALUE"""),"Collexo")</f>
        <v>Collexo</v>
      </c>
      <c r="U165" s="124" t="str">
        <f>IFERROR(__xludf.DUMMYFUNCTION("""COMPUTED_VALUE"""),"Success")</f>
        <v>Success</v>
      </c>
      <c r="V165" s="131">
        <f>IFERROR(__xludf.DUMMYFUNCTION("""COMPUTED_VALUE"""),46060.0)</f>
        <v>46060</v>
      </c>
      <c r="W165" s="124">
        <f>IFERROR(__xludf.DUMMYFUNCTION("""COMPUTED_VALUE"""),0.0)</f>
        <v>0</v>
      </c>
    </row>
    <row r="166">
      <c r="A166" s="124" t="str">
        <f t="shared" si="1"/>
        <v>taigorsatendra806@gmail.com</v>
      </c>
      <c r="B166" s="131">
        <f>IFERROR(__xludf.DUMMYFUNCTION("""COMPUTED_VALUE"""),46106.0)</f>
        <v>46106</v>
      </c>
      <c r="C166" s="124" t="str">
        <f>IFERROR(__xludf.DUMMYFUNCTION("""COMPUTED_VALUE"""),"Payment data from Collexo")</f>
        <v>Payment data from Collexo</v>
      </c>
      <c r="D166" s="124" t="str">
        <f>IFERROR(__xludf.DUMMYFUNCTION("""COMPUTED_VALUE"""),"Not Available")</f>
        <v>Not Available</v>
      </c>
      <c r="E166" s="124">
        <f>IFERROR(__xludf.DUMMYFUNCTION("""COMPUTED_VALUE"""),1500613.0)</f>
        <v>1500613</v>
      </c>
      <c r="F166" s="124">
        <f>IFERROR(__xludf.DUMMYFUNCTION("""COMPUTED_VALUE"""),68558.0)</f>
        <v>68558</v>
      </c>
      <c r="G166" s="124">
        <f>IFERROR(__xludf.DUMMYFUNCTION("""COMPUTED_VALUE"""),1000.0)</f>
        <v>1000</v>
      </c>
      <c r="H166" s="131">
        <f>IFERROR(__xludf.DUMMYFUNCTION("""COMPUTED_VALUE"""),46108.0)</f>
        <v>46108</v>
      </c>
      <c r="I166" s="124">
        <f>IFERROR(__xludf.DUMMYFUNCTION("""COMPUTED_VALUE"""),67000.0)</f>
        <v>67000</v>
      </c>
      <c r="J166" s="124">
        <f>IFERROR(__xludf.DUMMYFUNCTION("""COMPUTED_VALUE"""),68000.0)</f>
        <v>68000</v>
      </c>
      <c r="K166" s="124">
        <f>IFERROR(__xludf.DUMMYFUNCTION("""COMPUTED_VALUE"""),2.0)</f>
        <v>2</v>
      </c>
      <c r="L166" s="124">
        <f>IFERROR(__xludf.DUMMYFUNCTION("""COMPUTED_VALUE"""),739.0)</f>
        <v>739</v>
      </c>
      <c r="M166" s="124" t="str">
        <f>IFERROR(__xludf.DUMMYFUNCTION("""COMPUTED_VALUE"""),"Prayagraj")</f>
        <v>Prayagraj</v>
      </c>
      <c r="N166" s="124" t="str">
        <f>IFERROR(__xludf.DUMMYFUNCTION("""COMPUTED_VALUE"""),"taigorsatendra806@gmail.com")</f>
        <v>taigorsatendra806@gmail.com</v>
      </c>
      <c r="O166" s="124" t="str">
        <f>IFERROR(__xludf.DUMMYFUNCTION("""COMPUTED_VALUE"""),"Satendra Kumar yadav")</f>
        <v>Satendra Kumar yadav</v>
      </c>
      <c r="P166" s="124">
        <f>IFERROR(__xludf.DUMMYFUNCTION("""COMPUTED_VALUE"""),68558.0)</f>
        <v>68558</v>
      </c>
      <c r="Q166" s="124" t="str">
        <f>IFERROR(__xludf.DUMMYFUNCTION("""COMPUTED_VALUE"""),"upsc-gs-foundation-hindi-target-2027-gsf-upsc-m03-pry")</f>
        <v>upsc-gs-foundation-hindi-target-2027-gsf-upsc-m03-pry</v>
      </c>
      <c r="R166" s="124" t="str">
        <f>IFERROR(__xludf.DUMMYFUNCTION("""COMPUTED_VALUE"""),"GS Foundation Course")</f>
        <v>GS Foundation Course</v>
      </c>
      <c r="S166" s="124">
        <f>IFERROR(__xludf.DUMMYFUNCTION("""COMPUTED_VALUE"""),7.348268798E9)</f>
        <v>7348268798</v>
      </c>
      <c r="T166" s="124" t="str">
        <f>IFERROR(__xludf.DUMMYFUNCTION("""COMPUTED_VALUE"""),"Not Available")</f>
        <v>Not Available</v>
      </c>
      <c r="U166" s="124" t="str">
        <f>IFERROR(__xludf.DUMMYFUNCTION("""COMPUTED_VALUE"""),"Not Available")</f>
        <v>Not Available</v>
      </c>
      <c r="V166" s="124" t="str">
        <f>IFERROR(__xludf.DUMMYFUNCTION("""COMPUTED_VALUE"""),"Not Available")</f>
        <v>Not Available</v>
      </c>
      <c r="W166" s="124" t="str">
        <f>IFERROR(__xludf.DUMMYFUNCTION("""COMPUTED_VALUE"""),"Not Available")</f>
        <v>Not Available</v>
      </c>
    </row>
    <row r="167">
      <c r="A167" s="124" t="str">
        <f t="shared" si="1"/>
        <v>pawank34550@gmail.com</v>
      </c>
      <c r="B167" s="131">
        <f>IFERROR(__xludf.DUMMYFUNCTION("""COMPUTED_VALUE"""),46092.0)</f>
        <v>46092</v>
      </c>
      <c r="C167" s="124" t="str">
        <f>IFERROR(__xludf.DUMMYFUNCTION("""COMPUTED_VALUE"""),"Payment data from Collexo")</f>
        <v>Payment data from Collexo</v>
      </c>
      <c r="D167" s="124" t="str">
        <f>IFERROR(__xludf.DUMMYFUNCTION("""COMPUTED_VALUE"""),"Not Available")</f>
        <v>Not Available</v>
      </c>
      <c r="E167" s="124">
        <f>IFERROR(__xludf.DUMMYFUNCTION("""COMPUTED_VALUE"""),1500613.0)</f>
        <v>1500613</v>
      </c>
      <c r="F167" s="124">
        <f>IFERROR(__xludf.DUMMYFUNCTION("""COMPUTED_VALUE"""),127255.0)</f>
        <v>127255</v>
      </c>
      <c r="G167" s="124">
        <f>IFERROR(__xludf.DUMMYFUNCTION("""COMPUTED_VALUE"""),1000.0)</f>
        <v>1000</v>
      </c>
      <c r="H167" s="131">
        <f>IFERROR(__xludf.DUMMYFUNCTION("""COMPUTED_VALUE"""),46093.0)</f>
        <v>46093</v>
      </c>
      <c r="I167" s="124">
        <f>IFERROR(__xludf.DUMMYFUNCTION("""COMPUTED_VALUE"""),24000.0)</f>
        <v>24000</v>
      </c>
      <c r="J167" s="124">
        <f>IFERROR(__xludf.DUMMYFUNCTION("""COMPUTED_VALUE"""),25000.0)</f>
        <v>25000</v>
      </c>
      <c r="K167" s="124">
        <f>IFERROR(__xludf.DUMMYFUNCTION("""COMPUTED_VALUE"""),2.0)</f>
        <v>2</v>
      </c>
      <c r="L167" s="124">
        <f>IFERROR(__xludf.DUMMYFUNCTION("""COMPUTED_VALUE"""),489.0)</f>
        <v>489</v>
      </c>
      <c r="M167" s="124" t="str">
        <f>IFERROR(__xludf.DUMMYFUNCTION("""COMPUTED_VALUE"""),"Prayagraj")</f>
        <v>Prayagraj</v>
      </c>
      <c r="N167" s="124" t="str">
        <f>IFERROR(__xludf.DUMMYFUNCTION("""COMPUTED_VALUE"""),"pawank34550@gmail.com")</f>
        <v>pawank34550@gmail.com</v>
      </c>
      <c r="O167" s="124" t="str">
        <f>IFERROR(__xludf.DUMMYFUNCTION("""COMPUTED_VALUE"""),"Pawan Kumar Sharma")</f>
        <v>Pawan Kumar Sharma</v>
      </c>
      <c r="P167" s="124">
        <f>IFERROR(__xludf.DUMMYFUNCTION("""COMPUTED_VALUE"""),127255.0)</f>
        <v>127255</v>
      </c>
      <c r="Q167" s="124" t="str">
        <f>IFERROR(__xludf.DUMMYFUNCTION("""COMPUTED_VALUE"""),"samadhan-mentorship-program-pry")</f>
        <v>samadhan-mentorship-program-pry</v>
      </c>
      <c r="R167" s="124" t="str">
        <f>IFERROR(__xludf.DUMMYFUNCTION("""COMPUTED_VALUE"""),"Mentorship - Samadhan")</f>
        <v>Mentorship - Samadhan</v>
      </c>
      <c r="S167" s="124">
        <f>IFERROR(__xludf.DUMMYFUNCTION("""COMPUTED_VALUE"""),8.303284846E9)</f>
        <v>8303284846</v>
      </c>
      <c r="T167" s="124" t="str">
        <f>IFERROR(__xludf.DUMMYFUNCTION("""COMPUTED_VALUE"""),"Not Available")</f>
        <v>Not Available</v>
      </c>
      <c r="U167" s="124" t="str">
        <f>IFERROR(__xludf.DUMMYFUNCTION("""COMPUTED_VALUE"""),"Not Available")</f>
        <v>Not Available</v>
      </c>
      <c r="V167" s="124" t="str">
        <f>IFERROR(__xludf.DUMMYFUNCTION("""COMPUTED_VALUE"""),"Not Available")</f>
        <v>Not Available</v>
      </c>
      <c r="W167" s="124" t="str">
        <f>IFERROR(__xludf.DUMMYFUNCTION("""COMPUTED_VALUE"""),"Not Available")</f>
        <v>Not Available</v>
      </c>
    </row>
    <row r="168">
      <c r="A168" s="124" t="str">
        <f t="shared" si="1"/>
        <v>prathmesh.archan@gmail.com</v>
      </c>
      <c r="B168" s="131">
        <f>IFERROR(__xludf.DUMMYFUNCTION("""COMPUTED_VALUE"""),46082.0)</f>
        <v>46082</v>
      </c>
      <c r="C168" s="124" t="str">
        <f>IFERROR(__xludf.DUMMYFUNCTION("""COMPUTED_VALUE"""),"Payment data from Collexo")</f>
        <v>Payment data from Collexo</v>
      </c>
      <c r="D168" s="124" t="str">
        <f>IFERROR(__xludf.DUMMYFUNCTION("""COMPUTED_VALUE"""),"Not Available")</f>
        <v>Not Available</v>
      </c>
      <c r="E168" s="124">
        <f>IFERROR(__xludf.DUMMYFUNCTION("""COMPUTED_VALUE"""),1500613.0)</f>
        <v>1500613</v>
      </c>
      <c r="F168" s="124">
        <f>IFERROR(__xludf.DUMMYFUNCTION("""COMPUTED_VALUE"""),124647.0)</f>
        <v>124647</v>
      </c>
      <c r="G168" s="124">
        <f>IFERROR(__xludf.DUMMYFUNCTION("""COMPUTED_VALUE"""),30000.0)</f>
        <v>30000</v>
      </c>
      <c r="H168" s="124" t="str">
        <f>IFERROR(__xludf.DUMMYFUNCTION("""COMPUTED_VALUE"""),"Not Available")</f>
        <v>Not Available</v>
      </c>
      <c r="I168" s="124">
        <f>IFERROR(__xludf.DUMMYFUNCTION("""COMPUTED_VALUE"""),0.0)</f>
        <v>0</v>
      </c>
      <c r="J168" s="124">
        <f>IFERROR(__xludf.DUMMYFUNCTION("""COMPUTED_VALUE"""),32000.0)</f>
        <v>32000</v>
      </c>
      <c r="K168" s="124">
        <f>IFERROR(__xludf.DUMMYFUNCTION("""COMPUTED_VALUE"""),2.0)</f>
        <v>2</v>
      </c>
      <c r="L168" s="124">
        <f>IFERROR(__xludf.DUMMYFUNCTION("""COMPUTED_VALUE"""),399.0)</f>
        <v>399</v>
      </c>
      <c r="M168" s="124" t="str">
        <f>IFERROR(__xludf.DUMMYFUNCTION("""COMPUTED_VALUE"""),"Prayagraj")</f>
        <v>Prayagraj</v>
      </c>
      <c r="N168" s="124" t="str">
        <f>IFERROR(__xludf.DUMMYFUNCTION("""COMPUTED_VALUE"""),"prathmesh.archan@gmail.com")</f>
        <v>prathmesh.archan@gmail.com</v>
      </c>
      <c r="O168" s="124" t="str">
        <f>IFERROR(__xludf.DUMMYFUNCTION("""COMPUTED_VALUE"""),"Prathmesh Kumar Gupta")</f>
        <v>Prathmesh Kumar Gupta</v>
      </c>
      <c r="P168" s="124">
        <f>IFERROR(__xludf.DUMMYFUNCTION("""COMPUTED_VALUE"""),124647.0)</f>
        <v>124647</v>
      </c>
      <c r="Q168" s="124" t="str">
        <f>IFERROR(__xludf.DUMMYFUNCTION("""COMPUTED_VALUE"""),"upsc-gs-foundation-hinglish-target-2027-gsf-upsc-e03-pry")</f>
        <v>upsc-gs-foundation-hinglish-target-2027-gsf-upsc-e03-pry</v>
      </c>
      <c r="R168" s="124" t="str">
        <f>IFERROR(__xludf.DUMMYFUNCTION("""COMPUTED_VALUE"""),"GS Foundation Course")</f>
        <v>GS Foundation Course</v>
      </c>
      <c r="S168" s="124">
        <f>IFERROR(__xludf.DUMMYFUNCTION("""COMPUTED_VALUE"""),7.317530189E9)</f>
        <v>7317530189</v>
      </c>
      <c r="T168" s="124" t="str">
        <f>IFERROR(__xludf.DUMMYFUNCTION("""COMPUTED_VALUE"""),"Not Available")</f>
        <v>Not Available</v>
      </c>
      <c r="U168" s="124" t="str">
        <f>IFERROR(__xludf.DUMMYFUNCTION("""COMPUTED_VALUE"""),"Not Available")</f>
        <v>Not Available</v>
      </c>
      <c r="V168" s="124" t="str">
        <f>IFERROR(__xludf.DUMMYFUNCTION("""COMPUTED_VALUE"""),"Not Available")</f>
        <v>Not Available</v>
      </c>
      <c r="W168" s="124" t="str">
        <f>IFERROR(__xludf.DUMMYFUNCTION("""COMPUTED_VALUE"""),"Not Available")</f>
        <v>Not Available</v>
      </c>
    </row>
    <row r="169">
      <c r="A169" s="124" t="str">
        <f t="shared" si="1"/>
        <v>ashwaniks1234@gmail.com</v>
      </c>
      <c r="B169" s="131">
        <f>IFERROR(__xludf.DUMMYFUNCTION("""COMPUTED_VALUE"""),46104.0)</f>
        <v>46104</v>
      </c>
      <c r="C169" s="124" t="str">
        <f>IFERROR(__xludf.DUMMYFUNCTION("""COMPUTED_VALUE"""),"Payment data from Collexo")</f>
        <v>Payment data from Collexo</v>
      </c>
      <c r="D169" s="124" t="str">
        <f>IFERROR(__xludf.DUMMYFUNCTION("""COMPUTED_VALUE"""),"Not Available")</f>
        <v>Not Available</v>
      </c>
      <c r="E169" s="124">
        <f>IFERROR(__xludf.DUMMYFUNCTION("""COMPUTED_VALUE"""),1500613.0)</f>
        <v>1500613</v>
      </c>
      <c r="F169" s="124">
        <f>IFERROR(__xludf.DUMMYFUNCTION("""COMPUTED_VALUE"""),132470.0)</f>
        <v>132470</v>
      </c>
      <c r="G169" s="124">
        <f>IFERROR(__xludf.DUMMYFUNCTION("""COMPUTED_VALUE"""),22000.0)</f>
        <v>22000</v>
      </c>
      <c r="H169" s="124" t="str">
        <f>IFERROR(__xludf.DUMMYFUNCTION("""COMPUTED_VALUE"""),"Not Available")</f>
        <v>Not Available</v>
      </c>
      <c r="I169" s="124">
        <f>IFERROR(__xludf.DUMMYFUNCTION("""COMPUTED_VALUE"""),0.0)</f>
        <v>0</v>
      </c>
      <c r="J169" s="124">
        <f>IFERROR(__xludf.DUMMYFUNCTION("""COMPUTED_VALUE"""),22000.0)</f>
        <v>22000</v>
      </c>
      <c r="K169" s="124">
        <f>IFERROR(__xludf.DUMMYFUNCTION("""COMPUTED_VALUE"""),1.0)</f>
        <v>1</v>
      </c>
      <c r="L169" s="124">
        <f>IFERROR(__xludf.DUMMYFUNCTION("""COMPUTED_VALUE"""),690.0)</f>
        <v>690</v>
      </c>
      <c r="M169" s="124" t="str">
        <f>IFERROR(__xludf.DUMMYFUNCTION("""COMPUTED_VALUE"""),"Prayagraj")</f>
        <v>Prayagraj</v>
      </c>
      <c r="N169" s="124" t="str">
        <f>IFERROR(__xludf.DUMMYFUNCTION("""COMPUTED_VALUE"""),"ashwaniks1234@gmail.com")</f>
        <v>ashwaniks1234@gmail.com</v>
      </c>
      <c r="O169" s="124" t="str">
        <f>IFERROR(__xludf.DUMMYFUNCTION("""COMPUTED_VALUE"""),"Ashwani Kumar")</f>
        <v>Ashwani Kumar</v>
      </c>
      <c r="P169" s="124">
        <f>IFERROR(__xludf.DUMMYFUNCTION("""COMPUTED_VALUE"""),132470.0)</f>
        <v>132470</v>
      </c>
      <c r="Q169" s="124" t="str">
        <f>IFERROR(__xludf.DUMMYFUNCTION("""COMPUTED_VALUE"""),"samadhan-mentorship-program-pry")</f>
        <v>samadhan-mentorship-program-pry</v>
      </c>
      <c r="R169" s="124" t="str">
        <f>IFERROR(__xludf.DUMMYFUNCTION("""COMPUTED_VALUE"""),"Mentorship - Samadhan")</f>
        <v>Mentorship - Samadhan</v>
      </c>
      <c r="S169" s="124">
        <f>IFERROR(__xludf.DUMMYFUNCTION("""COMPUTED_VALUE"""),7.007031214E9)</f>
        <v>7007031214</v>
      </c>
      <c r="T169" s="124" t="str">
        <f>IFERROR(__xludf.DUMMYFUNCTION("""COMPUTED_VALUE"""),"Not Available")</f>
        <v>Not Available</v>
      </c>
      <c r="U169" s="124" t="str">
        <f>IFERROR(__xludf.DUMMYFUNCTION("""COMPUTED_VALUE"""),"Not Available")</f>
        <v>Not Available</v>
      </c>
      <c r="V169" s="124" t="str">
        <f>IFERROR(__xludf.DUMMYFUNCTION("""COMPUTED_VALUE"""),"Not Available")</f>
        <v>Not Available</v>
      </c>
      <c r="W169" s="124" t="str">
        <f>IFERROR(__xludf.DUMMYFUNCTION("""COMPUTED_VALUE"""),"Not Available")</f>
        <v>Not Available</v>
      </c>
    </row>
    <row r="170">
      <c r="A170" s="124" t="str">
        <f t="shared" si="1"/>
        <v>nitzsha4@gmail.com</v>
      </c>
      <c r="B170" s="131">
        <f>IFERROR(__xludf.DUMMYFUNCTION("""COMPUTED_VALUE"""),46073.0)</f>
        <v>46073</v>
      </c>
      <c r="C170" s="124" t="str">
        <f>IFERROR(__xludf.DUMMYFUNCTION("""COMPUTED_VALUE"""),"Payment data from Collexo")</f>
        <v>Payment data from Collexo</v>
      </c>
      <c r="D170" s="124" t="str">
        <f>IFERROR(__xludf.DUMMYFUNCTION("""COMPUTED_VALUE"""),"Not Available")</f>
        <v>Not Available</v>
      </c>
      <c r="E170" s="124">
        <f>IFERROR(__xludf.DUMMYFUNCTION("""COMPUTED_VALUE"""),1500609.0)</f>
        <v>1500609</v>
      </c>
      <c r="F170" s="124" t="str">
        <f>IFERROR(__xludf.DUMMYFUNCTION("""COMPUTED_VALUE"""),"7726_988_7")</f>
        <v>7726_988_7</v>
      </c>
      <c r="G170" s="124">
        <f>IFERROR(__xludf.DUMMYFUNCTION("""COMPUTED_VALUE"""),105000.0)</f>
        <v>105000</v>
      </c>
      <c r="H170" s="124" t="str">
        <f>IFERROR(__xludf.DUMMYFUNCTION("""COMPUTED_VALUE"""),"Not Available")</f>
        <v>Not Available</v>
      </c>
      <c r="I170" s="124">
        <f>IFERROR(__xludf.DUMMYFUNCTION("""COMPUTED_VALUE"""),0.0)</f>
        <v>0</v>
      </c>
      <c r="J170" s="124">
        <f>IFERROR(__xludf.DUMMYFUNCTION("""COMPUTED_VALUE"""),110000.0)</f>
        <v>110000</v>
      </c>
      <c r="K170" s="124">
        <f>IFERROR(__xludf.DUMMYFUNCTION("""COMPUTED_VALUE"""),2.0)</f>
        <v>2</v>
      </c>
      <c r="L170" s="124">
        <f>IFERROR(__xludf.DUMMYFUNCTION("""COMPUTED_VALUE"""),287.0)</f>
        <v>287</v>
      </c>
      <c r="M170" s="124" t="str">
        <f>IFERROR(__xludf.DUMMYFUNCTION("""COMPUTED_VALUE"""),"New Delhi")</f>
        <v>New Delhi</v>
      </c>
      <c r="N170" s="124" t="str">
        <f>IFERROR(__xludf.DUMMYFUNCTION("""COMPUTED_VALUE"""),"nitzsha4@gmail.com")</f>
        <v>nitzsha4@gmail.com</v>
      </c>
      <c r="O170" s="124" t="str">
        <f>IFERROR(__xludf.DUMMYFUNCTION("""COMPUTED_VALUE"""),"Nitish")</f>
        <v>Nitish</v>
      </c>
      <c r="P170" s="124">
        <f>IFERROR(__xludf.DUMMYFUNCTION("""COMPUTED_VALUE"""),123406.0)</f>
        <v>123406</v>
      </c>
      <c r="Q170" s="124" t="str">
        <f>IFERROR(__xludf.DUMMYFUNCTION("""COMPUTED_VALUE"""),"upsc-gs-foundation-hinglish-target-2027-gsf-upsc-m02-orn")</f>
        <v>upsc-gs-foundation-hinglish-target-2027-gsf-upsc-m02-orn</v>
      </c>
      <c r="R170" s="124" t="str">
        <f>IFERROR(__xludf.DUMMYFUNCTION("""COMPUTED_VALUE"""),"GS Foundation Course")</f>
        <v>GS Foundation Course</v>
      </c>
      <c r="S170" s="124">
        <f>IFERROR(__xludf.DUMMYFUNCTION("""COMPUTED_VALUE"""),9.555848241E9)</f>
        <v>9555848241</v>
      </c>
      <c r="T170" s="124" t="str">
        <f>IFERROR(__xludf.DUMMYFUNCTION("""COMPUTED_VALUE"""),"Collexo")</f>
        <v>Collexo</v>
      </c>
      <c r="U170" s="124" t="str">
        <f>IFERROR(__xludf.DUMMYFUNCTION("""COMPUTED_VALUE"""),"Success")</f>
        <v>Success</v>
      </c>
      <c r="V170" s="131">
        <f>IFERROR(__xludf.DUMMYFUNCTION("""COMPUTED_VALUE"""),46073.0)</f>
        <v>46073</v>
      </c>
      <c r="W170" s="124">
        <f>IFERROR(__xludf.DUMMYFUNCTION("""COMPUTED_VALUE"""),0.0)</f>
        <v>0</v>
      </c>
    </row>
    <row r="171">
      <c r="A171" s="124" t="str">
        <f t="shared" si="1"/>
        <v>fenrir.v@gmail.com</v>
      </c>
      <c r="B171" s="131">
        <f>IFERROR(__xludf.DUMMYFUNCTION("""COMPUTED_VALUE"""),46073.0)</f>
        <v>46073</v>
      </c>
      <c r="C171" s="124" t="str">
        <f>IFERROR(__xludf.DUMMYFUNCTION("""COMPUTED_VALUE"""),"Payment data from Collexo")</f>
        <v>Payment data from Collexo</v>
      </c>
      <c r="D171" s="124" t="str">
        <f>IFERROR(__xludf.DUMMYFUNCTION("""COMPUTED_VALUE"""),"Not Available")</f>
        <v>Not Available</v>
      </c>
      <c r="E171" s="124">
        <f>IFERROR(__xludf.DUMMYFUNCTION("""COMPUTED_VALUE"""),1500609.0)</f>
        <v>1500609</v>
      </c>
      <c r="F171" s="124" t="str">
        <f>IFERROR(__xludf.DUMMYFUNCTION("""COMPUTED_VALUE"""),"7082_988_7")</f>
        <v>7082_988_7</v>
      </c>
      <c r="G171" s="124">
        <f>IFERROR(__xludf.DUMMYFUNCTION("""COMPUTED_VALUE"""),1.0)</f>
        <v>1</v>
      </c>
      <c r="H171" s="124" t="str">
        <f>IFERROR(__xludf.DUMMYFUNCTION("""COMPUTED_VALUE"""),"Not Available")</f>
        <v>Not Available</v>
      </c>
      <c r="I171" s="124">
        <f>IFERROR(__xludf.DUMMYFUNCTION("""COMPUTED_VALUE"""),0.0)</f>
        <v>0</v>
      </c>
      <c r="J171" s="124">
        <f>IFERROR(__xludf.DUMMYFUNCTION("""COMPUTED_VALUE"""),1.0)</f>
        <v>1</v>
      </c>
      <c r="K171" s="124">
        <f>IFERROR(__xludf.DUMMYFUNCTION("""COMPUTED_VALUE"""),1.0)</f>
        <v>1</v>
      </c>
      <c r="L171" s="124">
        <f>IFERROR(__xludf.DUMMYFUNCTION("""COMPUTED_VALUE"""),276.0)</f>
        <v>276</v>
      </c>
      <c r="M171" s="124" t="str">
        <f>IFERROR(__xludf.DUMMYFUNCTION("""COMPUTED_VALUE"""),"New Delhi")</f>
        <v>New Delhi</v>
      </c>
      <c r="N171" s="124" t="str">
        <f>IFERROR(__xludf.DUMMYFUNCTION("""COMPUTED_VALUE"""),"fenrir.v@gmail.com")</f>
        <v>fenrir.v@gmail.com</v>
      </c>
      <c r="O171" s="124" t="str">
        <f>IFERROR(__xludf.DUMMYFUNCTION("""COMPUTED_VALUE"""),"AYUSH")</f>
        <v>AYUSH</v>
      </c>
      <c r="P171" s="124">
        <f>IFERROR(__xludf.DUMMYFUNCTION("""COMPUTED_VALUE"""),123040.0)</f>
        <v>123040</v>
      </c>
      <c r="Q171" s="124" t="str">
        <f>IFERROR(__xludf.DUMMYFUNCTION("""COMPUTED_VALUE"""),"upsc-gs-foundation-hinglish-target-2027-gsf-upsc-e04-orn")</f>
        <v>upsc-gs-foundation-hinglish-target-2027-gsf-upsc-e04-orn</v>
      </c>
      <c r="R171" s="124" t="str">
        <f>IFERROR(__xludf.DUMMYFUNCTION("""COMPUTED_VALUE"""),"GS Foundation Course")</f>
        <v>GS Foundation Course</v>
      </c>
      <c r="S171" s="124">
        <f>IFERROR(__xludf.DUMMYFUNCTION("""COMPUTED_VALUE"""),7.070411838E9)</f>
        <v>7070411838</v>
      </c>
      <c r="T171" s="124" t="str">
        <f>IFERROR(__xludf.DUMMYFUNCTION("""COMPUTED_VALUE"""),"Collexo")</f>
        <v>Collexo</v>
      </c>
      <c r="U171" s="124" t="str">
        <f>IFERROR(__xludf.DUMMYFUNCTION("""COMPUTED_VALUE"""),"Success")</f>
        <v>Success</v>
      </c>
      <c r="V171" s="131">
        <f>IFERROR(__xludf.DUMMYFUNCTION("""COMPUTED_VALUE"""),46073.0)</f>
        <v>46073</v>
      </c>
      <c r="W171" s="124">
        <f>IFERROR(__xludf.DUMMYFUNCTION("""COMPUTED_VALUE"""),0.0)</f>
        <v>0</v>
      </c>
    </row>
    <row r="172">
      <c r="A172" s="124" t="str">
        <f t="shared" si="1"/>
        <v>amishachoudhary956@gmail.com</v>
      </c>
      <c r="B172" s="131">
        <f>IFERROR(__xludf.DUMMYFUNCTION("""COMPUTED_VALUE"""),46093.0)</f>
        <v>46093</v>
      </c>
      <c r="C172" s="124" t="str">
        <f>IFERROR(__xludf.DUMMYFUNCTION("""COMPUTED_VALUE"""),"Payment data from Collexo")</f>
        <v>Payment data from Collexo</v>
      </c>
      <c r="D172" s="124" t="str">
        <f>IFERROR(__xludf.DUMMYFUNCTION("""COMPUTED_VALUE"""),"Not Available")</f>
        <v>Not Available</v>
      </c>
      <c r="E172" s="124">
        <f>IFERROR(__xludf.DUMMYFUNCTION("""COMPUTED_VALUE"""),1500609.0)</f>
        <v>1500609</v>
      </c>
      <c r="F172" s="124" t="str">
        <f>IFERROR(__xludf.DUMMYFUNCTION("""COMPUTED_VALUE"""),"13707_988_7")</f>
        <v>13707_988_7</v>
      </c>
      <c r="G172" s="124">
        <f>IFERROR(__xludf.DUMMYFUNCTION("""COMPUTED_VALUE"""),1.0)</f>
        <v>1</v>
      </c>
      <c r="H172" s="124" t="str">
        <f>IFERROR(__xludf.DUMMYFUNCTION("""COMPUTED_VALUE"""),"Not Available")</f>
        <v>Not Available</v>
      </c>
      <c r="I172" s="124">
        <f>IFERROR(__xludf.DUMMYFUNCTION("""COMPUTED_VALUE"""),0.0)</f>
        <v>0</v>
      </c>
      <c r="J172" s="124">
        <f>IFERROR(__xludf.DUMMYFUNCTION("""COMPUTED_VALUE"""),1.0)</f>
        <v>1</v>
      </c>
      <c r="K172" s="124">
        <f>IFERROR(__xludf.DUMMYFUNCTION("""COMPUTED_VALUE"""),1.0)</f>
        <v>1</v>
      </c>
      <c r="L172" s="124">
        <f>IFERROR(__xludf.DUMMYFUNCTION("""COMPUTED_VALUE"""),499.0)</f>
        <v>499</v>
      </c>
      <c r="M172" s="124" t="str">
        <f>IFERROR(__xludf.DUMMYFUNCTION("""COMPUTED_VALUE"""),"New Delhi")</f>
        <v>New Delhi</v>
      </c>
      <c r="N172" s="124" t="str">
        <f>IFERROR(__xludf.DUMMYFUNCTION("""COMPUTED_VALUE"""),"amishachoudhary956@gmail.com")</f>
        <v>amishachoudhary956@gmail.com</v>
      </c>
      <c r="O172" s="124" t="str">
        <f>IFERROR(__xludf.DUMMYFUNCTION("""COMPUTED_VALUE"""),"Amisha choudhary")</f>
        <v>Amisha choudhary</v>
      </c>
      <c r="P172" s="124">
        <f>IFERROR(__xludf.DUMMYFUNCTION("""COMPUTED_VALUE"""),127272.0)</f>
        <v>127272</v>
      </c>
      <c r="Q172" s="124" t="str">
        <f>IFERROR(__xludf.DUMMYFUNCTION("""COMPUTED_VALUE"""),"upsc-gs-foundation-hinglish-target-2028-gsf-upsc-m05-orn")</f>
        <v>upsc-gs-foundation-hinglish-target-2028-gsf-upsc-m05-orn</v>
      </c>
      <c r="R172" s="124" t="str">
        <f>IFERROR(__xludf.DUMMYFUNCTION("""COMPUTED_VALUE"""),"GS Foundation Course")</f>
        <v>GS Foundation Course</v>
      </c>
      <c r="S172" s="124">
        <f>IFERROR(__xludf.DUMMYFUNCTION("""COMPUTED_VALUE"""),9.508331167E9)</f>
        <v>9508331167</v>
      </c>
      <c r="T172" s="124" t="str">
        <f>IFERROR(__xludf.DUMMYFUNCTION("""COMPUTED_VALUE"""),"Collexo")</f>
        <v>Collexo</v>
      </c>
      <c r="U172" s="124" t="str">
        <f>IFERROR(__xludf.DUMMYFUNCTION("""COMPUTED_VALUE"""),"Success")</f>
        <v>Success</v>
      </c>
      <c r="V172" s="131">
        <f>IFERROR(__xludf.DUMMYFUNCTION("""COMPUTED_VALUE"""),46093.0)</f>
        <v>46093</v>
      </c>
      <c r="W172" s="124">
        <f>IFERROR(__xludf.DUMMYFUNCTION("""COMPUTED_VALUE"""),0.0)</f>
        <v>0</v>
      </c>
    </row>
    <row r="173">
      <c r="A173" s="124" t="str">
        <f t="shared" si="1"/>
        <v>alifarahman@gmail.com</v>
      </c>
      <c r="B173" s="131">
        <f>IFERROR(__xludf.DUMMYFUNCTION("""COMPUTED_VALUE"""),46106.0)</f>
        <v>46106</v>
      </c>
      <c r="C173" s="124" t="str">
        <f>IFERROR(__xludf.DUMMYFUNCTION("""COMPUTED_VALUE"""),"Payment data from Collexo")</f>
        <v>Payment data from Collexo</v>
      </c>
      <c r="D173" s="124" t="str">
        <f>IFERROR(__xludf.DUMMYFUNCTION("""COMPUTED_VALUE"""),"Not Available")</f>
        <v>Not Available</v>
      </c>
      <c r="E173" s="124">
        <f>IFERROR(__xludf.DUMMYFUNCTION("""COMPUTED_VALUE"""),1500613.0)</f>
        <v>1500613</v>
      </c>
      <c r="F173" s="124">
        <f>IFERROR(__xludf.DUMMYFUNCTION("""COMPUTED_VALUE"""),133171.0)</f>
        <v>133171</v>
      </c>
      <c r="G173" s="124">
        <f>IFERROR(__xludf.DUMMYFUNCTION("""COMPUTED_VALUE"""),40000.0)</f>
        <v>40000</v>
      </c>
      <c r="H173" s="124" t="str">
        <f>IFERROR(__xludf.DUMMYFUNCTION("""COMPUTED_VALUE"""),"Not Available")</f>
        <v>Not Available</v>
      </c>
      <c r="I173" s="124">
        <f>IFERROR(__xludf.DUMMYFUNCTION("""COMPUTED_VALUE"""),0.0)</f>
        <v>0</v>
      </c>
      <c r="J173" s="124">
        <f>IFERROR(__xludf.DUMMYFUNCTION("""COMPUTED_VALUE"""),40000.0)</f>
        <v>40000</v>
      </c>
      <c r="K173" s="124">
        <f>IFERROR(__xludf.DUMMYFUNCTION("""COMPUTED_VALUE"""),1.0)</f>
        <v>1</v>
      </c>
      <c r="L173" s="124">
        <f>IFERROR(__xludf.DUMMYFUNCTION("""COMPUTED_VALUE"""),727.0)</f>
        <v>727</v>
      </c>
      <c r="M173" s="124" t="str">
        <f>IFERROR(__xludf.DUMMYFUNCTION("""COMPUTED_VALUE"""),"Prayagraj")</f>
        <v>Prayagraj</v>
      </c>
      <c r="N173" s="124" t="str">
        <f>IFERROR(__xludf.DUMMYFUNCTION("""COMPUTED_VALUE"""),"alifarahman@gmail.com")</f>
        <v>alifarahman@gmail.com</v>
      </c>
      <c r="O173" s="124" t="str">
        <f>IFERROR(__xludf.DUMMYFUNCTION("""COMPUTED_VALUE"""),"Alifa rahman")</f>
        <v>Alifa rahman</v>
      </c>
      <c r="P173" s="124">
        <f>IFERROR(__xludf.DUMMYFUNCTION("""COMPUTED_VALUE"""),133171.0)</f>
        <v>133171</v>
      </c>
      <c r="Q173" s="124" t="str">
        <f>IFERROR(__xludf.DUMMYFUNCTION("""COMPUTED_VALUE"""),"upsc-gs-foundation-hinglish-target-2027-gsf-upsc-e03-pry")</f>
        <v>upsc-gs-foundation-hinglish-target-2027-gsf-upsc-e03-pry</v>
      </c>
      <c r="R173" s="124" t="str">
        <f>IFERROR(__xludf.DUMMYFUNCTION("""COMPUTED_VALUE"""),"GS Foundation Course")</f>
        <v>GS Foundation Course</v>
      </c>
      <c r="S173" s="124">
        <f>IFERROR(__xludf.DUMMYFUNCTION("""COMPUTED_VALUE"""),6.393487536E9)</f>
        <v>6393487536</v>
      </c>
      <c r="T173" s="124" t="str">
        <f>IFERROR(__xludf.DUMMYFUNCTION("""COMPUTED_VALUE"""),"Not Available")</f>
        <v>Not Available</v>
      </c>
      <c r="U173" s="124" t="str">
        <f>IFERROR(__xludf.DUMMYFUNCTION("""COMPUTED_VALUE"""),"Not Available")</f>
        <v>Not Available</v>
      </c>
      <c r="V173" s="124" t="str">
        <f>IFERROR(__xludf.DUMMYFUNCTION("""COMPUTED_VALUE"""),"Not Available")</f>
        <v>Not Available</v>
      </c>
      <c r="W173" s="124" t="str">
        <f>IFERROR(__xludf.DUMMYFUNCTION("""COMPUTED_VALUE"""),"Not Available")</f>
        <v>Not Available</v>
      </c>
    </row>
    <row r="174">
      <c r="A174" s="124" t="str">
        <f t="shared" si="1"/>
        <v>ayushtripathi2024@gmail.com</v>
      </c>
      <c r="B174" s="131">
        <f>IFERROR(__xludf.DUMMYFUNCTION("""COMPUTED_VALUE"""),46103.0)</f>
        <v>46103</v>
      </c>
      <c r="C174" s="124" t="str">
        <f>IFERROR(__xludf.DUMMYFUNCTION("""COMPUTED_VALUE"""),"Payment data from Collexo")</f>
        <v>Payment data from Collexo</v>
      </c>
      <c r="D174" s="124" t="str">
        <f>IFERROR(__xludf.DUMMYFUNCTION("""COMPUTED_VALUE"""),"Not Available")</f>
        <v>Not Available</v>
      </c>
      <c r="E174" s="124">
        <f>IFERROR(__xludf.DUMMYFUNCTION("""COMPUTED_VALUE"""),1500609.0)</f>
        <v>1500609</v>
      </c>
      <c r="F174" s="124" t="str">
        <f>IFERROR(__xludf.DUMMYFUNCTION("""COMPUTED_VALUE"""),"15921_988_7")</f>
        <v>15921_988_7</v>
      </c>
      <c r="G174" s="124">
        <f>IFERROR(__xludf.DUMMYFUNCTION("""COMPUTED_VALUE"""),5000.0)</f>
        <v>5000</v>
      </c>
      <c r="H174" s="131">
        <f>IFERROR(__xludf.DUMMYFUNCTION("""COMPUTED_VALUE"""),46112.0)</f>
        <v>46112</v>
      </c>
      <c r="I174" s="124">
        <f>IFERROR(__xludf.DUMMYFUNCTION("""COMPUTED_VALUE"""),80000.0)</f>
        <v>80000</v>
      </c>
      <c r="J174" s="124">
        <f>IFERROR(__xludf.DUMMYFUNCTION("""COMPUTED_VALUE"""),85000.0)</f>
        <v>85000</v>
      </c>
      <c r="K174" s="124">
        <f>IFERROR(__xludf.DUMMYFUNCTION("""COMPUTED_VALUE"""),2.0)</f>
        <v>2</v>
      </c>
      <c r="L174" s="124">
        <f>IFERROR(__xludf.DUMMYFUNCTION("""COMPUTED_VALUE"""),677.0)</f>
        <v>677</v>
      </c>
      <c r="M174" s="124" t="str">
        <f>IFERROR(__xludf.DUMMYFUNCTION("""COMPUTED_VALUE"""),"New Delhi")</f>
        <v>New Delhi</v>
      </c>
      <c r="N174" s="124" t="str">
        <f>IFERROR(__xludf.DUMMYFUNCTION("""COMPUTED_VALUE"""),"ayushtripathi2024@gmail.com")</f>
        <v>ayushtripathi2024@gmail.com</v>
      </c>
      <c r="O174" s="124" t="str">
        <f>IFERROR(__xludf.DUMMYFUNCTION("""COMPUTED_VALUE"""),"Ayush")</f>
        <v>Ayush</v>
      </c>
      <c r="P174" s="124">
        <f>IFERROR(__xludf.DUMMYFUNCTION("""COMPUTED_VALUE"""),130266.0)</f>
        <v>130266</v>
      </c>
      <c r="Q174" s="124" t="str">
        <f>IFERROR(__xludf.DUMMYFUNCTION("""COMPUTED_VALUE"""),"upsc-gs-foundation-hinglish-target-2027-gsf-upsc-e03-orn")</f>
        <v>upsc-gs-foundation-hinglish-target-2027-gsf-upsc-e03-orn</v>
      </c>
      <c r="R174" s="124" t="str">
        <f>IFERROR(__xludf.DUMMYFUNCTION("""COMPUTED_VALUE"""),"GS Foundation Course")</f>
        <v>GS Foundation Course</v>
      </c>
      <c r="S174" s="124">
        <f>IFERROR(__xludf.DUMMYFUNCTION("""COMPUTED_VALUE"""),8.839808159E9)</f>
        <v>8839808159</v>
      </c>
      <c r="T174" s="124" t="str">
        <f>IFERROR(__xludf.DUMMYFUNCTION("""COMPUTED_VALUE"""),"Collexo")</f>
        <v>Collexo</v>
      </c>
      <c r="U174" s="124" t="str">
        <f>IFERROR(__xludf.DUMMYFUNCTION("""COMPUTED_VALUE"""),"Success")</f>
        <v>Success</v>
      </c>
      <c r="V174" s="131">
        <f>IFERROR(__xludf.DUMMYFUNCTION("""COMPUTED_VALUE"""),46103.0)</f>
        <v>46103</v>
      </c>
      <c r="W174" s="124">
        <f>IFERROR(__xludf.DUMMYFUNCTION("""COMPUTED_VALUE"""),0.0)</f>
        <v>0</v>
      </c>
    </row>
    <row r="175">
      <c r="A175" s="124" t="str">
        <f t="shared" si="1"/>
        <v>naoremp43@gmail.com</v>
      </c>
      <c r="B175" s="131">
        <f>IFERROR(__xludf.DUMMYFUNCTION("""COMPUTED_VALUE"""),46060.0)</f>
        <v>46060</v>
      </c>
      <c r="C175" s="124" t="str">
        <f>IFERROR(__xludf.DUMMYFUNCTION("""COMPUTED_VALUE"""),"Payment data from Collexo")</f>
        <v>Payment data from Collexo</v>
      </c>
      <c r="D175" s="124" t="str">
        <f>IFERROR(__xludf.DUMMYFUNCTION("""COMPUTED_VALUE"""),"Not Available")</f>
        <v>Not Available</v>
      </c>
      <c r="E175" s="124">
        <f>IFERROR(__xludf.DUMMYFUNCTION("""COMPUTED_VALUE"""),1500609.0)</f>
        <v>1500609</v>
      </c>
      <c r="F175" s="124" t="str">
        <f>IFERROR(__xludf.DUMMYFUNCTION("""COMPUTED_VALUE"""),"4150_988_7")</f>
        <v>4150_988_7</v>
      </c>
      <c r="G175" s="124">
        <f>IFERROR(__xludf.DUMMYFUNCTION("""COMPUTED_VALUE"""),96000.0)</f>
        <v>96000</v>
      </c>
      <c r="H175" s="124" t="str">
        <f>IFERROR(__xludf.DUMMYFUNCTION("""COMPUTED_VALUE"""),"Not Available")</f>
        <v>Not Available</v>
      </c>
      <c r="I175" s="124">
        <f>IFERROR(__xludf.DUMMYFUNCTION("""COMPUTED_VALUE"""),0.0)</f>
        <v>0</v>
      </c>
      <c r="J175" s="124">
        <f>IFERROR(__xludf.DUMMYFUNCTION("""COMPUTED_VALUE"""),120000.0)</f>
        <v>120000</v>
      </c>
      <c r="K175" s="124">
        <f>IFERROR(__xludf.DUMMYFUNCTION("""COMPUTED_VALUE"""),2.0)</f>
        <v>2</v>
      </c>
      <c r="L175" s="124">
        <f>IFERROR(__xludf.DUMMYFUNCTION("""COMPUTED_VALUE"""),177.0)</f>
        <v>177</v>
      </c>
      <c r="M175" s="124" t="str">
        <f>IFERROR(__xludf.DUMMYFUNCTION("""COMPUTED_VALUE"""),"New Delhi")</f>
        <v>New Delhi</v>
      </c>
      <c r="N175" s="124" t="str">
        <f>IFERROR(__xludf.DUMMYFUNCTION("""COMPUTED_VALUE"""),"naoremp43@gmail.com")</f>
        <v>naoremp43@gmail.com</v>
      </c>
      <c r="O175" s="124" t="str">
        <f>IFERROR(__xludf.DUMMYFUNCTION("""COMPUTED_VALUE"""),"Preety")</f>
        <v>Preety</v>
      </c>
      <c r="P175" s="124">
        <f>IFERROR(__xludf.DUMMYFUNCTION("""COMPUTED_VALUE"""),122252.0)</f>
        <v>122252</v>
      </c>
      <c r="Q175" s="124" t="str">
        <f>IFERROR(__xludf.DUMMYFUNCTION("""COMPUTED_VALUE"""),"upsc-gs-foundation-hinglish-target-2027-gsf-upsc-m03-orn")</f>
        <v>upsc-gs-foundation-hinglish-target-2027-gsf-upsc-m03-orn</v>
      </c>
      <c r="R175" s="124" t="str">
        <f>IFERROR(__xludf.DUMMYFUNCTION("""COMPUTED_VALUE"""),"GS Foundation Course")</f>
        <v>GS Foundation Course</v>
      </c>
      <c r="S175" s="124">
        <f>IFERROR(__xludf.DUMMYFUNCTION("""COMPUTED_VALUE"""),8.448319329E9)</f>
        <v>8448319329</v>
      </c>
      <c r="T175" s="124" t="str">
        <f>IFERROR(__xludf.DUMMYFUNCTION("""COMPUTED_VALUE"""),"Collexo")</f>
        <v>Collexo</v>
      </c>
      <c r="U175" s="124" t="str">
        <f>IFERROR(__xludf.DUMMYFUNCTION("""COMPUTED_VALUE"""),"Success")</f>
        <v>Success</v>
      </c>
      <c r="V175" s="131">
        <f>IFERROR(__xludf.DUMMYFUNCTION("""COMPUTED_VALUE"""),46060.0)</f>
        <v>46060</v>
      </c>
      <c r="W175" s="124">
        <f>IFERROR(__xludf.DUMMYFUNCTION("""COMPUTED_VALUE"""),0.0)</f>
        <v>0</v>
      </c>
    </row>
    <row r="176">
      <c r="A176" s="124" t="str">
        <f t="shared" si="1"/>
        <v>taigorsatendra806@gmail.com</v>
      </c>
      <c r="B176" s="131">
        <f>IFERROR(__xludf.DUMMYFUNCTION("""COMPUTED_VALUE"""),46107.0)</f>
        <v>46107</v>
      </c>
      <c r="C176" s="124" t="str">
        <f>IFERROR(__xludf.DUMMYFUNCTION("""COMPUTED_VALUE"""),"Payment data from Collexo")</f>
        <v>Payment data from Collexo</v>
      </c>
      <c r="D176" s="124" t="str">
        <f>IFERROR(__xludf.DUMMYFUNCTION("""COMPUTED_VALUE"""),"Not Available")</f>
        <v>Not Available</v>
      </c>
      <c r="E176" s="124">
        <f>IFERROR(__xludf.DUMMYFUNCTION("""COMPUTED_VALUE"""),1500613.0)</f>
        <v>1500613</v>
      </c>
      <c r="F176" s="124">
        <f>IFERROR(__xludf.DUMMYFUNCTION("""COMPUTED_VALUE"""),68558.0)</f>
        <v>68558</v>
      </c>
      <c r="G176" s="124">
        <f>IFERROR(__xludf.DUMMYFUNCTION("""COMPUTED_VALUE"""),67000.0)</f>
        <v>67000</v>
      </c>
      <c r="H176" s="124" t="str">
        <f>IFERROR(__xludf.DUMMYFUNCTION("""COMPUTED_VALUE"""),"Not Available")</f>
        <v>Not Available</v>
      </c>
      <c r="I176" s="124">
        <f>IFERROR(__xludf.DUMMYFUNCTION("""COMPUTED_VALUE"""),0.0)</f>
        <v>0</v>
      </c>
      <c r="J176" s="124">
        <f>IFERROR(__xludf.DUMMYFUNCTION("""COMPUTED_VALUE"""),68000.0)</f>
        <v>68000</v>
      </c>
      <c r="K176" s="124">
        <f>IFERROR(__xludf.DUMMYFUNCTION("""COMPUTED_VALUE"""),2.0)</f>
        <v>2</v>
      </c>
      <c r="L176" s="124">
        <f>IFERROR(__xludf.DUMMYFUNCTION("""COMPUTED_VALUE"""),764.0)</f>
        <v>764</v>
      </c>
      <c r="M176" s="124" t="str">
        <f>IFERROR(__xludf.DUMMYFUNCTION("""COMPUTED_VALUE"""),"Prayagraj")</f>
        <v>Prayagraj</v>
      </c>
      <c r="N176" s="124" t="str">
        <f>IFERROR(__xludf.DUMMYFUNCTION("""COMPUTED_VALUE"""),"taigorsatendra806@gmail.com")</f>
        <v>taigorsatendra806@gmail.com</v>
      </c>
      <c r="O176" s="124" t="str">
        <f>IFERROR(__xludf.DUMMYFUNCTION("""COMPUTED_VALUE"""),"Satendra Kumar yadav")</f>
        <v>Satendra Kumar yadav</v>
      </c>
      <c r="P176" s="124">
        <f>IFERROR(__xludf.DUMMYFUNCTION("""COMPUTED_VALUE"""),68558.0)</f>
        <v>68558</v>
      </c>
      <c r="Q176" s="124" t="str">
        <f>IFERROR(__xludf.DUMMYFUNCTION("""COMPUTED_VALUE"""),"upsc-gs-foundation-hindi-target-2027-gsf-upsc-m03-pry")</f>
        <v>upsc-gs-foundation-hindi-target-2027-gsf-upsc-m03-pry</v>
      </c>
      <c r="R176" s="124" t="str">
        <f>IFERROR(__xludf.DUMMYFUNCTION("""COMPUTED_VALUE"""),"GS Foundation Course")</f>
        <v>GS Foundation Course</v>
      </c>
      <c r="S176" s="124">
        <f>IFERROR(__xludf.DUMMYFUNCTION("""COMPUTED_VALUE"""),7.348268798E9)</f>
        <v>7348268798</v>
      </c>
      <c r="T176" s="124" t="str">
        <f>IFERROR(__xludf.DUMMYFUNCTION("""COMPUTED_VALUE"""),"Not Available")</f>
        <v>Not Available</v>
      </c>
      <c r="U176" s="124" t="str">
        <f>IFERROR(__xludf.DUMMYFUNCTION("""COMPUTED_VALUE"""),"Not Available")</f>
        <v>Not Available</v>
      </c>
      <c r="V176" s="124" t="str">
        <f>IFERROR(__xludf.DUMMYFUNCTION("""COMPUTED_VALUE"""),"Not Available")</f>
        <v>Not Available</v>
      </c>
      <c r="W176" s="124" t="str">
        <f>IFERROR(__xludf.DUMMYFUNCTION("""COMPUTED_VALUE"""),"Not Available")</f>
        <v>Not Available</v>
      </c>
    </row>
    <row r="177">
      <c r="A177" s="124" t="str">
        <f t="shared" si="1"/>
        <v>nikitabhartiya@gmail.com</v>
      </c>
      <c r="B177" s="131">
        <f>IFERROR(__xludf.DUMMYFUNCTION("""COMPUTED_VALUE"""),46099.0)</f>
        <v>46099</v>
      </c>
      <c r="C177" s="124" t="str">
        <f>IFERROR(__xludf.DUMMYFUNCTION("""COMPUTED_VALUE"""),"Payment data from Collexo")</f>
        <v>Payment data from Collexo</v>
      </c>
      <c r="D177" s="124" t="str">
        <f>IFERROR(__xludf.DUMMYFUNCTION("""COMPUTED_VALUE"""),"Not Available")</f>
        <v>Not Available</v>
      </c>
      <c r="E177" s="124">
        <f>IFERROR(__xludf.DUMMYFUNCTION("""COMPUTED_VALUE"""),1500613.0)</f>
        <v>1500613</v>
      </c>
      <c r="F177" s="124">
        <f>IFERROR(__xludf.DUMMYFUNCTION("""COMPUTED_VALUE"""),127840.0)</f>
        <v>127840</v>
      </c>
      <c r="G177" s="124">
        <f>IFERROR(__xludf.DUMMYFUNCTION("""COMPUTED_VALUE"""),2000.0)</f>
        <v>2000</v>
      </c>
      <c r="H177" s="131">
        <f>IFERROR(__xludf.DUMMYFUNCTION("""COMPUTED_VALUE"""),46103.0)</f>
        <v>46103</v>
      </c>
      <c r="I177" s="124">
        <f>IFERROR(__xludf.DUMMYFUNCTION("""COMPUTED_VALUE"""),48000.0)</f>
        <v>48000</v>
      </c>
      <c r="J177" s="124">
        <f>IFERROR(__xludf.DUMMYFUNCTION("""COMPUTED_VALUE"""),50000.0)</f>
        <v>50000</v>
      </c>
      <c r="K177" s="124">
        <f>IFERROR(__xludf.DUMMYFUNCTION("""COMPUTED_VALUE"""),2.0)</f>
        <v>2</v>
      </c>
      <c r="L177" s="124">
        <f>IFERROR(__xludf.DUMMYFUNCTION("""COMPUTED_VALUE"""),593.0)</f>
        <v>593</v>
      </c>
      <c r="M177" s="124" t="str">
        <f>IFERROR(__xludf.DUMMYFUNCTION("""COMPUTED_VALUE"""),"Prayagraj")</f>
        <v>Prayagraj</v>
      </c>
      <c r="N177" s="124" t="str">
        <f>IFERROR(__xludf.DUMMYFUNCTION("""COMPUTED_VALUE"""),"nikitabhartiya@gmail.com")</f>
        <v>nikitabhartiya@gmail.com</v>
      </c>
      <c r="O177" s="124" t="str">
        <f>IFERROR(__xludf.DUMMYFUNCTION("""COMPUTED_VALUE"""),"Nikita")</f>
        <v>Nikita</v>
      </c>
      <c r="P177" s="124">
        <f>IFERROR(__xludf.DUMMYFUNCTION("""COMPUTED_VALUE"""),127840.0)</f>
        <v>127840</v>
      </c>
      <c r="Q177" s="124" t="str">
        <f>IFERROR(__xludf.DUMMYFUNCTION("""COMPUTED_VALUE"""),"upsc-gs-foundation-hindi-target-2027-gsf-upsc-m02-pry")</f>
        <v>upsc-gs-foundation-hindi-target-2027-gsf-upsc-m02-pry</v>
      </c>
      <c r="R177" s="124" t="str">
        <f>IFERROR(__xludf.DUMMYFUNCTION("""COMPUTED_VALUE"""),"GS Foundation Course")</f>
        <v>GS Foundation Course</v>
      </c>
      <c r="S177" s="124">
        <f>IFERROR(__xludf.DUMMYFUNCTION("""COMPUTED_VALUE"""),9.250310684E9)</f>
        <v>9250310684</v>
      </c>
      <c r="T177" s="124" t="str">
        <f>IFERROR(__xludf.DUMMYFUNCTION("""COMPUTED_VALUE"""),"Not Available")</f>
        <v>Not Available</v>
      </c>
      <c r="U177" s="124" t="str">
        <f>IFERROR(__xludf.DUMMYFUNCTION("""COMPUTED_VALUE"""),"Not Available")</f>
        <v>Not Available</v>
      </c>
      <c r="V177" s="124" t="str">
        <f>IFERROR(__xludf.DUMMYFUNCTION("""COMPUTED_VALUE"""),"Not Available")</f>
        <v>Not Available</v>
      </c>
      <c r="W177" s="124" t="str">
        <f>IFERROR(__xludf.DUMMYFUNCTION("""COMPUTED_VALUE"""),"Not Available")</f>
        <v>Not Available</v>
      </c>
    </row>
    <row r="178">
      <c r="A178" s="124" t="str">
        <f t="shared" si="1"/>
        <v>lakshya.guptaforwork@gmail.com</v>
      </c>
      <c r="B178" s="131">
        <f>IFERROR(__xludf.DUMMYFUNCTION("""COMPUTED_VALUE"""),46046.0)</f>
        <v>46046</v>
      </c>
      <c r="C178" s="124" t="str">
        <f>IFERROR(__xludf.DUMMYFUNCTION("""COMPUTED_VALUE"""),"Payment data from Collexo")</f>
        <v>Payment data from Collexo</v>
      </c>
      <c r="D178" s="124" t="str">
        <f>IFERROR(__xludf.DUMMYFUNCTION("""COMPUTED_VALUE"""),"Not Available")</f>
        <v>Not Available</v>
      </c>
      <c r="E178" s="124">
        <f>IFERROR(__xludf.DUMMYFUNCTION("""COMPUTED_VALUE"""),1500609.0)</f>
        <v>1500609</v>
      </c>
      <c r="F178" s="124" t="str">
        <f>IFERROR(__xludf.DUMMYFUNCTION("""COMPUTED_VALUE"""),"2122_988_7")</f>
        <v>2122_988_7</v>
      </c>
      <c r="G178" s="124">
        <f>IFERROR(__xludf.DUMMYFUNCTION("""COMPUTED_VALUE"""),5000.0)</f>
        <v>5000</v>
      </c>
      <c r="H178" s="131">
        <f>IFERROR(__xludf.DUMMYFUNCTION("""COMPUTED_VALUE"""),46052.0)</f>
        <v>46052</v>
      </c>
      <c r="I178" s="124">
        <f>IFERROR(__xludf.DUMMYFUNCTION("""COMPUTED_VALUE"""),70000.0)</f>
        <v>70000</v>
      </c>
      <c r="J178" s="124">
        <f>IFERROR(__xludf.DUMMYFUNCTION("""COMPUTED_VALUE"""),75000.0)</f>
        <v>75000</v>
      </c>
      <c r="K178" s="124">
        <f>IFERROR(__xludf.DUMMYFUNCTION("""COMPUTED_VALUE"""),2.0)</f>
        <v>2</v>
      </c>
      <c r="L178" s="124">
        <f>IFERROR(__xludf.DUMMYFUNCTION("""COMPUTED_VALUE"""),109.0)</f>
        <v>109</v>
      </c>
      <c r="M178" s="124" t="str">
        <f>IFERROR(__xludf.DUMMYFUNCTION("""COMPUTED_VALUE"""),"New Delhi")</f>
        <v>New Delhi</v>
      </c>
      <c r="N178" s="124" t="str">
        <f>IFERROR(__xludf.DUMMYFUNCTION("""COMPUTED_VALUE"""),"lakshya.guptaforwork@gmail.com")</f>
        <v>lakshya.guptaforwork@gmail.com</v>
      </c>
      <c r="O178" s="124" t="str">
        <f>IFERROR(__xludf.DUMMYFUNCTION("""COMPUTED_VALUE"""),"lakshya")</f>
        <v>lakshya</v>
      </c>
      <c r="P178" s="124">
        <f>IFERROR(__xludf.DUMMYFUNCTION("""COMPUTED_VALUE"""),89109.0)</f>
        <v>89109</v>
      </c>
      <c r="Q178" s="124" t="str">
        <f>IFERROR(__xludf.DUMMYFUNCTION("""COMPUTED_VALUE"""),"ncert-foundation-hinglish-target-2026-nce-upsc-e02-orn")</f>
        <v>ncert-foundation-hinglish-target-2026-nce-upsc-e02-orn</v>
      </c>
      <c r="R178" s="124" t="str">
        <f>IFERROR(__xludf.DUMMYFUNCTION("""COMPUTED_VALUE"""),"GS Foundation Course")</f>
        <v>GS Foundation Course</v>
      </c>
      <c r="S178" s="124">
        <f>IFERROR(__xludf.DUMMYFUNCTION("""COMPUTED_VALUE"""),9.355666501E9)</f>
        <v>9355666501</v>
      </c>
      <c r="T178" s="124" t="str">
        <f>IFERROR(__xludf.DUMMYFUNCTION("""COMPUTED_VALUE"""),"Collexo")</f>
        <v>Collexo</v>
      </c>
      <c r="U178" s="124" t="str">
        <f>IFERROR(__xludf.DUMMYFUNCTION("""COMPUTED_VALUE"""),"Success")</f>
        <v>Success</v>
      </c>
      <c r="V178" s="131">
        <f>IFERROR(__xludf.DUMMYFUNCTION("""COMPUTED_VALUE"""),46046.0)</f>
        <v>46046</v>
      </c>
      <c r="W178" s="124">
        <f>IFERROR(__xludf.DUMMYFUNCTION("""COMPUTED_VALUE"""),0.0)</f>
        <v>0</v>
      </c>
    </row>
    <row r="179">
      <c r="A179" s="124" t="str">
        <f t="shared" si="1"/>
        <v>singhharshita76@gmail.com</v>
      </c>
      <c r="B179" s="131">
        <f>IFERROR(__xludf.DUMMYFUNCTION("""COMPUTED_VALUE"""),46107.0)</f>
        <v>46107</v>
      </c>
      <c r="C179" s="124" t="str">
        <f>IFERROR(__xludf.DUMMYFUNCTION("""COMPUTED_VALUE"""),"Payment data from Collexo")</f>
        <v>Payment data from Collexo</v>
      </c>
      <c r="D179" s="124" t="str">
        <f>IFERROR(__xludf.DUMMYFUNCTION("""COMPUTED_VALUE"""),"Not Available")</f>
        <v>Not Available</v>
      </c>
      <c r="E179" s="124">
        <f>IFERROR(__xludf.DUMMYFUNCTION("""COMPUTED_VALUE"""),1500610.0)</f>
        <v>1500610</v>
      </c>
      <c r="F179" s="124">
        <f>IFERROR(__xludf.DUMMYFUNCTION("""COMPUTED_VALUE"""),134656.0)</f>
        <v>134656</v>
      </c>
      <c r="G179" s="124">
        <f>IFERROR(__xludf.DUMMYFUNCTION("""COMPUTED_VALUE"""),10000.0)</f>
        <v>10000</v>
      </c>
      <c r="H179" s="131">
        <f>IFERROR(__xludf.DUMMYFUNCTION("""COMPUTED_VALUE"""),46112.0)</f>
        <v>46112</v>
      </c>
      <c r="I179" s="124">
        <f>IFERROR(__xludf.DUMMYFUNCTION("""COMPUTED_VALUE"""),50000.0)</f>
        <v>50000</v>
      </c>
      <c r="J179" s="124">
        <f>IFERROR(__xludf.DUMMYFUNCTION("""COMPUTED_VALUE"""),60000.0)</f>
        <v>60000</v>
      </c>
      <c r="K179" s="124">
        <f>IFERROR(__xludf.DUMMYFUNCTION("""COMPUTED_VALUE"""),2.0)</f>
        <v>2</v>
      </c>
      <c r="L179" s="124">
        <f>IFERROR(__xludf.DUMMYFUNCTION("""COMPUTED_VALUE"""),761.0)</f>
        <v>761</v>
      </c>
      <c r="M179" s="124" t="str">
        <f>IFERROR(__xludf.DUMMYFUNCTION("""COMPUTED_VALUE"""),"Lucknow")</f>
        <v>Lucknow</v>
      </c>
      <c r="N179" s="124" t="str">
        <f>IFERROR(__xludf.DUMMYFUNCTION("""COMPUTED_VALUE"""),"singhharshita76@gmail.com")</f>
        <v>singhharshita76@gmail.com</v>
      </c>
      <c r="O179" s="124" t="str">
        <f>IFERROR(__xludf.DUMMYFUNCTION("""COMPUTED_VALUE"""),"Harshita")</f>
        <v>Harshita</v>
      </c>
      <c r="P179" s="124">
        <f>IFERROR(__xludf.DUMMYFUNCTION("""COMPUTED_VALUE"""),134656.0)</f>
        <v>134656</v>
      </c>
      <c r="Q179" s="124" t="str">
        <f>IFERROR(__xludf.DUMMYFUNCTION("""COMPUTED_VALUE"""),"upsc-gs-foundation-hinglish-target-2028-gsf-upsc-e03-lko")</f>
        <v>upsc-gs-foundation-hinglish-target-2028-gsf-upsc-e03-lko</v>
      </c>
      <c r="R179" s="124" t="str">
        <f>IFERROR(__xludf.DUMMYFUNCTION("""COMPUTED_VALUE"""),"GS Foundation Course")</f>
        <v>GS Foundation Course</v>
      </c>
      <c r="S179" s="124">
        <f>IFERROR(__xludf.DUMMYFUNCTION("""COMPUTED_VALUE"""),9.161366059E9)</f>
        <v>9161366059</v>
      </c>
      <c r="T179" s="124" t="str">
        <f>IFERROR(__xludf.DUMMYFUNCTION("""COMPUTED_VALUE"""),"Not Available")</f>
        <v>Not Available</v>
      </c>
      <c r="U179" s="124" t="str">
        <f>IFERROR(__xludf.DUMMYFUNCTION("""COMPUTED_VALUE"""),"Not Available")</f>
        <v>Not Available</v>
      </c>
      <c r="V179" s="124" t="str">
        <f>IFERROR(__xludf.DUMMYFUNCTION("""COMPUTED_VALUE"""),"Not Available")</f>
        <v>Not Available</v>
      </c>
      <c r="W179" s="124" t="str">
        <f>IFERROR(__xludf.DUMMYFUNCTION("""COMPUTED_VALUE"""),"Not Available")</f>
        <v>Not Available</v>
      </c>
    </row>
    <row r="180">
      <c r="A180" s="124" t="str">
        <f t="shared" si="1"/>
        <v>jahanviikashyap17@gmail.com</v>
      </c>
      <c r="B180" s="131">
        <f>IFERROR(__xludf.DUMMYFUNCTION("""COMPUTED_VALUE"""),46058.0)</f>
        <v>46058</v>
      </c>
      <c r="C180" s="124" t="str">
        <f>IFERROR(__xludf.DUMMYFUNCTION("""COMPUTED_VALUE"""),"Payment data from Collexo")</f>
        <v>Payment data from Collexo</v>
      </c>
      <c r="D180" s="124" t="str">
        <f>IFERROR(__xludf.DUMMYFUNCTION("""COMPUTED_VALUE"""),"Not Available")</f>
        <v>Not Available</v>
      </c>
      <c r="E180" s="124">
        <f>IFERROR(__xludf.DUMMYFUNCTION("""COMPUTED_VALUE"""),1500609.0)</f>
        <v>1500609</v>
      </c>
      <c r="F180" s="124" t="str">
        <f>IFERROR(__xludf.DUMMYFUNCTION("""COMPUTED_VALUE"""),"3912_988_7")</f>
        <v>3912_988_7</v>
      </c>
      <c r="G180" s="124">
        <f>IFERROR(__xludf.DUMMYFUNCTION("""COMPUTED_VALUE"""),5000.0)</f>
        <v>5000</v>
      </c>
      <c r="H180" s="131">
        <f>IFERROR(__xludf.DUMMYFUNCTION("""COMPUTED_VALUE"""),46063.0)</f>
        <v>46063</v>
      </c>
      <c r="I180" s="124">
        <f>IFERROR(__xludf.DUMMYFUNCTION("""COMPUTED_VALUE"""),115000.0)</f>
        <v>115000</v>
      </c>
      <c r="J180" s="124">
        <f>IFERROR(__xludf.DUMMYFUNCTION("""COMPUTED_VALUE"""),120000.0)</f>
        <v>120000</v>
      </c>
      <c r="K180" s="124">
        <f>IFERROR(__xludf.DUMMYFUNCTION("""COMPUTED_VALUE"""),2.0)</f>
        <v>2</v>
      </c>
      <c r="L180" s="124">
        <f>IFERROR(__xludf.DUMMYFUNCTION("""COMPUTED_VALUE"""),169.0)</f>
        <v>169</v>
      </c>
      <c r="M180" s="124" t="str">
        <f>IFERROR(__xludf.DUMMYFUNCTION("""COMPUTED_VALUE"""),"New Delhi")</f>
        <v>New Delhi</v>
      </c>
      <c r="N180" s="124" t="str">
        <f>IFERROR(__xludf.DUMMYFUNCTION("""COMPUTED_VALUE"""),"jahanviikashyap17@gmail.com")</f>
        <v>jahanviikashyap17@gmail.com</v>
      </c>
      <c r="O180" s="124" t="str">
        <f>IFERROR(__xludf.DUMMYFUNCTION("""COMPUTED_VALUE"""),"Jahanvi Kashyap")</f>
        <v>Jahanvi Kashyap</v>
      </c>
      <c r="P180" s="124">
        <f>IFERROR(__xludf.DUMMYFUNCTION("""COMPUTED_VALUE"""),83209.0)</f>
        <v>83209</v>
      </c>
      <c r="Q180" s="124" t="str">
        <f>IFERROR(__xludf.DUMMYFUNCTION("""COMPUTED_VALUE"""),"upsc-gs-foundation-hinglish-target-2027-gsf-upsc-e01-orn")</f>
        <v>upsc-gs-foundation-hinglish-target-2027-gsf-upsc-e01-orn</v>
      </c>
      <c r="R180" s="124" t="str">
        <f>IFERROR(__xludf.DUMMYFUNCTION("""COMPUTED_VALUE"""),"GS Foundation Course")</f>
        <v>GS Foundation Course</v>
      </c>
      <c r="S180" s="124">
        <f>IFERROR(__xludf.DUMMYFUNCTION("""COMPUTED_VALUE"""),8.814014928E9)</f>
        <v>8814014928</v>
      </c>
      <c r="T180" s="124" t="str">
        <f>IFERROR(__xludf.DUMMYFUNCTION("""COMPUTED_VALUE"""),"Collexo")</f>
        <v>Collexo</v>
      </c>
      <c r="U180" s="124" t="str">
        <f>IFERROR(__xludf.DUMMYFUNCTION("""COMPUTED_VALUE"""),"Success")</f>
        <v>Success</v>
      </c>
      <c r="V180" s="131">
        <f>IFERROR(__xludf.DUMMYFUNCTION("""COMPUTED_VALUE"""),46058.0)</f>
        <v>46058</v>
      </c>
      <c r="W180" s="124">
        <f>IFERROR(__xludf.DUMMYFUNCTION("""COMPUTED_VALUE"""),0.0)</f>
        <v>0</v>
      </c>
    </row>
    <row r="181">
      <c r="A181" s="124" t="str">
        <f t="shared" si="1"/>
        <v>nehasoni080624@gmail.com</v>
      </c>
      <c r="B181" s="131">
        <f>IFERROR(__xludf.DUMMYFUNCTION("""COMPUTED_VALUE"""),46045.0)</f>
        <v>46045</v>
      </c>
      <c r="C181" s="124" t="str">
        <f>IFERROR(__xludf.DUMMYFUNCTION("""COMPUTED_VALUE"""),"Payment data from Collexo")</f>
        <v>Payment data from Collexo</v>
      </c>
      <c r="D181" s="124" t="str">
        <f>IFERROR(__xludf.DUMMYFUNCTION("""COMPUTED_VALUE"""),"Not Available")</f>
        <v>Not Available</v>
      </c>
      <c r="E181" s="124">
        <f>IFERROR(__xludf.DUMMYFUNCTION("""COMPUTED_VALUE"""),1500609.0)</f>
        <v>1500609</v>
      </c>
      <c r="F181" s="124" t="str">
        <f>IFERROR(__xludf.DUMMYFUNCTION("""COMPUTED_VALUE"""),"1930_988_7")</f>
        <v>1930_988_7</v>
      </c>
      <c r="G181" s="124">
        <f>IFERROR(__xludf.DUMMYFUNCTION("""COMPUTED_VALUE"""),100000.0)</f>
        <v>100000</v>
      </c>
      <c r="H181" s="124" t="str">
        <f>IFERROR(__xludf.DUMMYFUNCTION("""COMPUTED_VALUE"""),"Not Available")</f>
        <v>Not Available</v>
      </c>
      <c r="I181" s="124">
        <f>IFERROR(__xludf.DUMMYFUNCTION("""COMPUTED_VALUE"""),0.0)</f>
        <v>0</v>
      </c>
      <c r="J181" s="124">
        <f>IFERROR(__xludf.DUMMYFUNCTION("""COMPUTED_VALUE"""),110000.0)</f>
        <v>110000</v>
      </c>
      <c r="K181" s="124">
        <f>IFERROR(__xludf.DUMMYFUNCTION("""COMPUTED_VALUE"""),3.0)</f>
        <v>3</v>
      </c>
      <c r="L181" s="124">
        <f>IFERROR(__xludf.DUMMYFUNCTION("""COMPUTED_VALUE"""),106.0)</f>
        <v>106</v>
      </c>
      <c r="M181" s="124" t="str">
        <f>IFERROR(__xludf.DUMMYFUNCTION("""COMPUTED_VALUE"""),"New Delhi")</f>
        <v>New Delhi</v>
      </c>
      <c r="N181" s="124" t="str">
        <f>IFERROR(__xludf.DUMMYFUNCTION("""COMPUTED_VALUE"""),"nehasoni080624@gmail.com")</f>
        <v>nehasoni080624@gmail.com</v>
      </c>
      <c r="O181" s="124" t="str">
        <f>IFERROR(__xludf.DUMMYFUNCTION("""COMPUTED_VALUE"""),"Neha soni")</f>
        <v>Neha soni</v>
      </c>
      <c r="P181" s="124">
        <f>IFERROR(__xludf.DUMMYFUNCTION("""COMPUTED_VALUE"""),87938.0)</f>
        <v>87938</v>
      </c>
      <c r="Q181" s="124" t="str">
        <f>IFERROR(__xludf.DUMMYFUNCTION("""COMPUTED_VALUE"""),"ncert-foundation-hinglish-target-2026-nce-upsc-e01-orn")</f>
        <v>ncert-foundation-hinglish-target-2026-nce-upsc-e01-orn</v>
      </c>
      <c r="R181" s="124" t="str">
        <f>IFERROR(__xludf.DUMMYFUNCTION("""COMPUTED_VALUE"""),"GS Foundation Course")</f>
        <v>GS Foundation Course</v>
      </c>
      <c r="S181" s="124">
        <f>IFERROR(__xludf.DUMMYFUNCTION("""COMPUTED_VALUE"""),6.299527052E9)</f>
        <v>6299527052</v>
      </c>
      <c r="T181" s="124" t="str">
        <f>IFERROR(__xludf.DUMMYFUNCTION("""COMPUTED_VALUE"""),"Collexo")</f>
        <v>Collexo</v>
      </c>
      <c r="U181" s="124" t="str">
        <f>IFERROR(__xludf.DUMMYFUNCTION("""COMPUTED_VALUE"""),"Success")</f>
        <v>Success</v>
      </c>
      <c r="V181" s="131">
        <f>IFERROR(__xludf.DUMMYFUNCTION("""COMPUTED_VALUE"""),46045.0)</f>
        <v>46045</v>
      </c>
      <c r="W181" s="124">
        <f>IFERROR(__xludf.DUMMYFUNCTION("""COMPUTED_VALUE"""),0.0)</f>
        <v>0</v>
      </c>
    </row>
    <row r="182">
      <c r="A182" s="124" t="str">
        <f t="shared" si="1"/>
        <v>prathmesh.archan@gmail.com</v>
      </c>
      <c r="B182" s="131">
        <f>IFERROR(__xludf.DUMMYFUNCTION("""COMPUTED_VALUE"""),46082.0)</f>
        <v>46082</v>
      </c>
      <c r="C182" s="124" t="str">
        <f>IFERROR(__xludf.DUMMYFUNCTION("""COMPUTED_VALUE"""),"Payment data from Collexo")</f>
        <v>Payment data from Collexo</v>
      </c>
      <c r="D182" s="124" t="str">
        <f>IFERROR(__xludf.DUMMYFUNCTION("""COMPUTED_VALUE"""),"Not Available")</f>
        <v>Not Available</v>
      </c>
      <c r="E182" s="124">
        <f>IFERROR(__xludf.DUMMYFUNCTION("""COMPUTED_VALUE"""),1500613.0)</f>
        <v>1500613</v>
      </c>
      <c r="F182" s="124">
        <f>IFERROR(__xludf.DUMMYFUNCTION("""COMPUTED_VALUE"""),124647.0)</f>
        <v>124647</v>
      </c>
      <c r="G182" s="124">
        <f>IFERROR(__xludf.DUMMYFUNCTION("""COMPUTED_VALUE"""),2000.0)</f>
        <v>2000</v>
      </c>
      <c r="H182" s="131">
        <f>IFERROR(__xludf.DUMMYFUNCTION("""COMPUTED_VALUE"""),46082.0)</f>
        <v>46082</v>
      </c>
      <c r="I182" s="124">
        <f>IFERROR(__xludf.DUMMYFUNCTION("""COMPUTED_VALUE"""),30000.0)</f>
        <v>30000</v>
      </c>
      <c r="J182" s="124">
        <f>IFERROR(__xludf.DUMMYFUNCTION("""COMPUTED_VALUE"""),32000.0)</f>
        <v>32000</v>
      </c>
      <c r="K182" s="124">
        <f>IFERROR(__xludf.DUMMYFUNCTION("""COMPUTED_VALUE"""),2.0)</f>
        <v>2</v>
      </c>
      <c r="L182" s="124">
        <f>IFERROR(__xludf.DUMMYFUNCTION("""COMPUTED_VALUE"""),398.0)</f>
        <v>398</v>
      </c>
      <c r="M182" s="124" t="str">
        <f>IFERROR(__xludf.DUMMYFUNCTION("""COMPUTED_VALUE"""),"Prayagraj")</f>
        <v>Prayagraj</v>
      </c>
      <c r="N182" s="124" t="str">
        <f>IFERROR(__xludf.DUMMYFUNCTION("""COMPUTED_VALUE"""),"prathmesh.archan@gmail.com")</f>
        <v>prathmesh.archan@gmail.com</v>
      </c>
      <c r="O182" s="124" t="str">
        <f>IFERROR(__xludf.DUMMYFUNCTION("""COMPUTED_VALUE"""),"Prathmesh Kumar Gupta")</f>
        <v>Prathmesh Kumar Gupta</v>
      </c>
      <c r="P182" s="124">
        <f>IFERROR(__xludf.DUMMYFUNCTION("""COMPUTED_VALUE"""),124647.0)</f>
        <v>124647</v>
      </c>
      <c r="Q182" s="124" t="str">
        <f>IFERROR(__xludf.DUMMYFUNCTION("""COMPUTED_VALUE"""),"upsc-gs-foundation-hinglish-target-2027-gsf-upsc-e03-pry")</f>
        <v>upsc-gs-foundation-hinglish-target-2027-gsf-upsc-e03-pry</v>
      </c>
      <c r="R182" s="124" t="str">
        <f>IFERROR(__xludf.DUMMYFUNCTION("""COMPUTED_VALUE"""),"GS Foundation Course")</f>
        <v>GS Foundation Course</v>
      </c>
      <c r="S182" s="124">
        <f>IFERROR(__xludf.DUMMYFUNCTION("""COMPUTED_VALUE"""),7.317530189E9)</f>
        <v>7317530189</v>
      </c>
      <c r="T182" s="124" t="str">
        <f>IFERROR(__xludf.DUMMYFUNCTION("""COMPUTED_VALUE"""),"Not Available")</f>
        <v>Not Available</v>
      </c>
      <c r="U182" s="124" t="str">
        <f>IFERROR(__xludf.DUMMYFUNCTION("""COMPUTED_VALUE"""),"Not Available")</f>
        <v>Not Available</v>
      </c>
      <c r="V182" s="124" t="str">
        <f>IFERROR(__xludf.DUMMYFUNCTION("""COMPUTED_VALUE"""),"Not Available")</f>
        <v>Not Available</v>
      </c>
      <c r="W182" s="124" t="str">
        <f>IFERROR(__xludf.DUMMYFUNCTION("""COMPUTED_VALUE"""),"Not Available")</f>
        <v>Not Available</v>
      </c>
    </row>
    <row r="183">
      <c r="A183" s="124" t="str">
        <f t="shared" si="1"/>
        <v>Rishavyadav@gmail.com</v>
      </c>
      <c r="B183" s="131">
        <f>IFERROR(__xludf.DUMMYFUNCTION("""COMPUTED_VALUE"""),46096.0)</f>
        <v>46096</v>
      </c>
      <c r="C183" s="124" t="str">
        <f>IFERROR(__xludf.DUMMYFUNCTION("""COMPUTED_VALUE"""),"Payment data from Collexo")</f>
        <v>Payment data from Collexo</v>
      </c>
      <c r="D183" s="124" t="str">
        <f>IFERROR(__xludf.DUMMYFUNCTION("""COMPUTED_VALUE"""),"Not Available")</f>
        <v>Not Available</v>
      </c>
      <c r="E183" s="124">
        <f>IFERROR(__xludf.DUMMYFUNCTION("""COMPUTED_VALUE"""),1500611.0)</f>
        <v>1500611</v>
      </c>
      <c r="F183" s="124">
        <f>IFERROR(__xludf.DUMMYFUNCTION("""COMPUTED_VALUE"""),126967.0)</f>
        <v>126967</v>
      </c>
      <c r="G183" s="124">
        <f>IFERROR(__xludf.DUMMYFUNCTION("""COMPUTED_VALUE"""),3750.0)</f>
        <v>3750</v>
      </c>
      <c r="H183" s="131">
        <f>IFERROR(__xludf.DUMMYFUNCTION("""COMPUTED_VALUE"""),46097.0)</f>
        <v>46097</v>
      </c>
      <c r="I183" s="124">
        <f>IFERROR(__xludf.DUMMYFUNCTION("""COMPUTED_VALUE"""),36000.0)</f>
        <v>36000</v>
      </c>
      <c r="J183" s="124">
        <f>IFERROR(__xludf.DUMMYFUNCTION("""COMPUTED_VALUE"""),40750.0)</f>
        <v>40750</v>
      </c>
      <c r="K183" s="124">
        <f>IFERROR(__xludf.DUMMYFUNCTION("""COMPUTED_VALUE"""),3.0)</f>
        <v>3</v>
      </c>
      <c r="L183" s="124">
        <f>IFERROR(__xludf.DUMMYFUNCTION("""COMPUTED_VALUE"""),551.0)</f>
        <v>551</v>
      </c>
      <c r="M183" s="124" t="str">
        <f>IFERROR(__xludf.DUMMYFUNCTION("""COMPUTED_VALUE"""),"Patna")</f>
        <v>Patna</v>
      </c>
      <c r="N183" s="124" t="str">
        <f>IFERROR(__xludf.DUMMYFUNCTION("""COMPUTED_VALUE"""),"Rishavyadav@gmail.com")</f>
        <v>Rishavyadav@gmail.com</v>
      </c>
      <c r="O183" s="124" t="str">
        <f>IFERROR(__xludf.DUMMYFUNCTION("""COMPUTED_VALUE"""),"Rishav Kumar")</f>
        <v>Rishav Kumar</v>
      </c>
      <c r="P183" s="124">
        <f>IFERROR(__xludf.DUMMYFUNCTION("""COMPUTED_VALUE"""),126967.0)</f>
        <v>126967</v>
      </c>
      <c r="Q183" s="124" t="str">
        <f>IFERROR(__xludf.DUMMYFUNCTION("""COMPUTED_VALUE"""),"bpsc-gs-foundation-hinglish-target-2026-gsf-bpsc-m02-pat")</f>
        <v>bpsc-gs-foundation-hinglish-target-2026-gsf-bpsc-m02-pat</v>
      </c>
      <c r="R183" s="124" t="str">
        <f>IFERROR(__xludf.DUMMYFUNCTION("""COMPUTED_VALUE"""),"State PCS")</f>
        <v>State PCS</v>
      </c>
      <c r="S183" s="124">
        <f>IFERROR(__xludf.DUMMYFUNCTION("""COMPUTED_VALUE"""),9.304886426E9)</f>
        <v>9304886426</v>
      </c>
      <c r="T183" s="124" t="str">
        <f>IFERROR(__xludf.DUMMYFUNCTION("""COMPUTED_VALUE"""),"Not Available")</f>
        <v>Not Available</v>
      </c>
      <c r="U183" s="124" t="str">
        <f>IFERROR(__xludf.DUMMYFUNCTION("""COMPUTED_VALUE"""),"Not Available")</f>
        <v>Not Available</v>
      </c>
      <c r="V183" s="124" t="str">
        <f>IFERROR(__xludf.DUMMYFUNCTION("""COMPUTED_VALUE"""),"Not Available")</f>
        <v>Not Available</v>
      </c>
      <c r="W183" s="124" t="str">
        <f>IFERROR(__xludf.DUMMYFUNCTION("""COMPUTED_VALUE"""),"Not Available")</f>
        <v>Not Available</v>
      </c>
    </row>
    <row r="184">
      <c r="A184" s="124" t="str">
        <f t="shared" si="1"/>
        <v>fenrir.v@gmail.com</v>
      </c>
      <c r="B184" s="131">
        <f>IFERROR(__xludf.DUMMYFUNCTION("""COMPUTED_VALUE"""),46080.0)</f>
        <v>46080</v>
      </c>
      <c r="C184" s="124" t="str">
        <f>IFERROR(__xludf.DUMMYFUNCTION("""COMPUTED_VALUE"""),"Payment data from Collexo")</f>
        <v>Payment data from Collexo</v>
      </c>
      <c r="D184" s="124" t="str">
        <f>IFERROR(__xludf.DUMMYFUNCTION("""COMPUTED_VALUE"""),"Not Available")</f>
        <v>Not Available</v>
      </c>
      <c r="E184" s="124">
        <f>IFERROR(__xludf.DUMMYFUNCTION("""COMPUTED_VALUE"""),1500609.0)</f>
        <v>1500609</v>
      </c>
      <c r="F184" s="124" t="str">
        <f>IFERROR(__xludf.DUMMYFUNCTION("""COMPUTED_VALUE"""),"11437_988_7")</f>
        <v>11437_988_7</v>
      </c>
      <c r="G184" s="124">
        <f>IFERROR(__xludf.DUMMYFUNCTION("""COMPUTED_VALUE"""),105000.0)</f>
        <v>105000</v>
      </c>
      <c r="H184" s="124" t="str">
        <f>IFERROR(__xludf.DUMMYFUNCTION("""COMPUTED_VALUE"""),"Not Available")</f>
        <v>Not Available</v>
      </c>
      <c r="I184" s="124">
        <f>IFERROR(__xludf.DUMMYFUNCTION("""COMPUTED_VALUE"""),0.0)</f>
        <v>0</v>
      </c>
      <c r="J184" s="124">
        <f>IFERROR(__xludf.DUMMYFUNCTION("""COMPUTED_VALUE"""),110000.0)</f>
        <v>110000</v>
      </c>
      <c r="K184" s="124">
        <f>IFERROR(__xludf.DUMMYFUNCTION("""COMPUTED_VALUE"""),2.0)</f>
        <v>2</v>
      </c>
      <c r="L184" s="124">
        <f>IFERROR(__xludf.DUMMYFUNCTION("""COMPUTED_VALUE"""),371.0)</f>
        <v>371</v>
      </c>
      <c r="M184" s="124" t="str">
        <f>IFERROR(__xludf.DUMMYFUNCTION("""COMPUTED_VALUE"""),"New Delhi")</f>
        <v>New Delhi</v>
      </c>
      <c r="N184" s="124" t="str">
        <f>IFERROR(__xludf.DUMMYFUNCTION("""COMPUTED_VALUE"""),"fenrir.v@gmail.com")</f>
        <v>fenrir.v@gmail.com</v>
      </c>
      <c r="O184" s="124" t="str">
        <f>IFERROR(__xludf.DUMMYFUNCTION("""COMPUTED_VALUE"""),"AYUSH")</f>
        <v>AYUSH</v>
      </c>
      <c r="P184" s="124">
        <f>IFERROR(__xludf.DUMMYFUNCTION("""COMPUTED_VALUE"""),123040.0)</f>
        <v>123040</v>
      </c>
      <c r="Q184" s="124" t="str">
        <f>IFERROR(__xludf.DUMMYFUNCTION("""COMPUTED_VALUE"""),"upsc-gs-foundation-hinglish-target-2027-gsf-upsc-e04-orn")</f>
        <v>upsc-gs-foundation-hinglish-target-2027-gsf-upsc-e04-orn</v>
      </c>
      <c r="R184" s="124" t="str">
        <f>IFERROR(__xludf.DUMMYFUNCTION("""COMPUTED_VALUE"""),"GS Foundation Course")</f>
        <v>GS Foundation Course</v>
      </c>
      <c r="S184" s="124">
        <f>IFERROR(__xludf.DUMMYFUNCTION("""COMPUTED_VALUE"""),7.070411838E9)</f>
        <v>7070411838</v>
      </c>
      <c r="T184" s="124" t="str">
        <f>IFERROR(__xludf.DUMMYFUNCTION("""COMPUTED_VALUE"""),"Collexo")</f>
        <v>Collexo</v>
      </c>
      <c r="U184" s="124" t="str">
        <f>IFERROR(__xludf.DUMMYFUNCTION("""COMPUTED_VALUE"""),"Success")</f>
        <v>Success</v>
      </c>
      <c r="V184" s="131">
        <f>IFERROR(__xludf.DUMMYFUNCTION("""COMPUTED_VALUE"""),46080.0)</f>
        <v>46080</v>
      </c>
      <c r="W184" s="124">
        <f>IFERROR(__xludf.DUMMYFUNCTION("""COMPUTED_VALUE"""),0.0)</f>
        <v>0</v>
      </c>
    </row>
    <row r="185">
      <c r="A185" s="124" t="str">
        <f t="shared" si="1"/>
        <v>amishachoudhary956@gmail.com</v>
      </c>
      <c r="B185" s="131">
        <f>IFERROR(__xludf.DUMMYFUNCTION("""COMPUTED_VALUE"""),46093.0)</f>
        <v>46093</v>
      </c>
      <c r="C185" s="124" t="str">
        <f>IFERROR(__xludf.DUMMYFUNCTION("""COMPUTED_VALUE"""),"Payment data from Collexo")</f>
        <v>Payment data from Collexo</v>
      </c>
      <c r="D185" s="124" t="str">
        <f>IFERROR(__xludf.DUMMYFUNCTION("""COMPUTED_VALUE"""),"Not Available")</f>
        <v>Not Available</v>
      </c>
      <c r="E185" s="124">
        <f>IFERROR(__xludf.DUMMYFUNCTION("""COMPUTED_VALUE"""),1500609.0)</f>
        <v>1500609</v>
      </c>
      <c r="F185" s="124" t="str">
        <f>IFERROR(__xludf.DUMMYFUNCTION("""COMPUTED_VALUE"""),"13710_988_7")</f>
        <v>13710_988_7</v>
      </c>
      <c r="G185" s="124">
        <f>IFERROR(__xludf.DUMMYFUNCTION("""COMPUTED_VALUE"""),33750.0)</f>
        <v>33750</v>
      </c>
      <c r="H185" s="131">
        <f>IFERROR(__xludf.DUMMYFUNCTION("""COMPUTED_VALUE"""),46112.0)</f>
        <v>46112</v>
      </c>
      <c r="I185" s="124">
        <f>IFERROR(__xludf.DUMMYFUNCTION("""COMPUTED_VALUE"""),101250.0)</f>
        <v>101250</v>
      </c>
      <c r="J185" s="124">
        <f>IFERROR(__xludf.DUMMYFUNCTION("""COMPUTED_VALUE"""),135000.0)</f>
        <v>135000</v>
      </c>
      <c r="K185" s="124">
        <f>IFERROR(__xludf.DUMMYFUNCTION("""COMPUTED_VALUE"""),2.0)</f>
        <v>2</v>
      </c>
      <c r="L185" s="124">
        <f>IFERROR(__xludf.DUMMYFUNCTION("""COMPUTED_VALUE"""),500.0)</f>
        <v>500</v>
      </c>
      <c r="M185" s="124" t="str">
        <f>IFERROR(__xludf.DUMMYFUNCTION("""COMPUTED_VALUE"""),"New Delhi")</f>
        <v>New Delhi</v>
      </c>
      <c r="N185" s="124" t="str">
        <f>IFERROR(__xludf.DUMMYFUNCTION("""COMPUTED_VALUE"""),"amishachoudhary956@gmail.com")</f>
        <v>amishachoudhary956@gmail.com</v>
      </c>
      <c r="O185" s="124" t="str">
        <f>IFERROR(__xludf.DUMMYFUNCTION("""COMPUTED_VALUE"""),"Amisha choudhary")</f>
        <v>Amisha choudhary</v>
      </c>
      <c r="P185" s="124">
        <f>IFERROR(__xludf.DUMMYFUNCTION("""COMPUTED_VALUE"""),127272.0)</f>
        <v>127272</v>
      </c>
      <c r="Q185" s="124" t="str">
        <f>IFERROR(__xludf.DUMMYFUNCTION("""COMPUTED_VALUE"""),"upsc-gs-foundation-hinglish-target-2028-gsf-upsc-m05-orn")</f>
        <v>upsc-gs-foundation-hinglish-target-2028-gsf-upsc-m05-orn</v>
      </c>
      <c r="R185" s="124" t="str">
        <f>IFERROR(__xludf.DUMMYFUNCTION("""COMPUTED_VALUE"""),"GS Foundation Course")</f>
        <v>GS Foundation Course</v>
      </c>
      <c r="S185" s="124">
        <f>IFERROR(__xludf.DUMMYFUNCTION("""COMPUTED_VALUE"""),9.508331167E9)</f>
        <v>9508331167</v>
      </c>
      <c r="T185" s="124" t="str">
        <f>IFERROR(__xludf.DUMMYFUNCTION("""COMPUTED_VALUE"""),"Collexo")</f>
        <v>Collexo</v>
      </c>
      <c r="U185" s="124" t="str">
        <f>IFERROR(__xludf.DUMMYFUNCTION("""COMPUTED_VALUE"""),"Success")</f>
        <v>Success</v>
      </c>
      <c r="V185" s="131">
        <f>IFERROR(__xludf.DUMMYFUNCTION("""COMPUTED_VALUE"""),46093.0)</f>
        <v>46093</v>
      </c>
      <c r="W185" s="124">
        <f>IFERROR(__xludf.DUMMYFUNCTION("""COMPUTED_VALUE"""),0.0)</f>
        <v>0</v>
      </c>
    </row>
    <row r="186">
      <c r="A186" s="124" t="str">
        <f t="shared" si="1"/>
        <v>Rishavyadav@gmail.com</v>
      </c>
      <c r="B186" s="131">
        <f>IFERROR(__xludf.DUMMYFUNCTION("""COMPUTED_VALUE"""),46094.0)</f>
        <v>46094</v>
      </c>
      <c r="C186" s="124" t="str">
        <f>IFERROR(__xludf.DUMMYFUNCTION("""COMPUTED_VALUE"""),"Payment data from Collexo")</f>
        <v>Payment data from Collexo</v>
      </c>
      <c r="D186" s="124" t="str">
        <f>IFERROR(__xludf.DUMMYFUNCTION("""COMPUTED_VALUE"""),"Not Available")</f>
        <v>Not Available</v>
      </c>
      <c r="E186" s="124">
        <f>IFERROR(__xludf.DUMMYFUNCTION("""COMPUTED_VALUE"""),1500611.0)</f>
        <v>1500611</v>
      </c>
      <c r="F186" s="124">
        <f>IFERROR(__xludf.DUMMYFUNCTION("""COMPUTED_VALUE"""),126967.0)</f>
        <v>126967</v>
      </c>
      <c r="G186" s="124">
        <f>IFERROR(__xludf.DUMMYFUNCTION("""COMPUTED_VALUE"""),1000.0)</f>
        <v>1000</v>
      </c>
      <c r="H186" s="131">
        <f>IFERROR(__xludf.DUMMYFUNCTION("""COMPUTED_VALUE"""),46093.0)</f>
        <v>46093</v>
      </c>
      <c r="I186" s="124">
        <f>IFERROR(__xludf.DUMMYFUNCTION("""COMPUTED_VALUE"""),3750.0)</f>
        <v>3750</v>
      </c>
      <c r="J186" s="124">
        <f>IFERROR(__xludf.DUMMYFUNCTION("""COMPUTED_VALUE"""),40750.0)</f>
        <v>40750</v>
      </c>
      <c r="K186" s="124">
        <f>IFERROR(__xludf.DUMMYFUNCTION("""COMPUTED_VALUE"""),3.0)</f>
        <v>3</v>
      </c>
      <c r="L186" s="124">
        <f>IFERROR(__xludf.DUMMYFUNCTION("""COMPUTED_VALUE"""),534.0)</f>
        <v>534</v>
      </c>
      <c r="M186" s="124" t="str">
        <f>IFERROR(__xludf.DUMMYFUNCTION("""COMPUTED_VALUE"""),"Patna")</f>
        <v>Patna</v>
      </c>
      <c r="N186" s="124" t="str">
        <f>IFERROR(__xludf.DUMMYFUNCTION("""COMPUTED_VALUE"""),"Rishavyadav@gmail.com")</f>
        <v>Rishavyadav@gmail.com</v>
      </c>
      <c r="O186" s="124" t="str">
        <f>IFERROR(__xludf.DUMMYFUNCTION("""COMPUTED_VALUE"""),"Rishav Kumar")</f>
        <v>Rishav Kumar</v>
      </c>
      <c r="P186" s="124">
        <f>IFERROR(__xludf.DUMMYFUNCTION("""COMPUTED_VALUE"""),126967.0)</f>
        <v>126967</v>
      </c>
      <c r="Q186" s="124" t="str">
        <f>IFERROR(__xludf.DUMMYFUNCTION("""COMPUTED_VALUE"""),"bpsc-gs-foundation-hinglish-target-2026-gsf-bpsc-m02-pat")</f>
        <v>bpsc-gs-foundation-hinglish-target-2026-gsf-bpsc-m02-pat</v>
      </c>
      <c r="R186" s="124" t="str">
        <f>IFERROR(__xludf.DUMMYFUNCTION("""COMPUTED_VALUE"""),"State PCS")</f>
        <v>State PCS</v>
      </c>
      <c r="S186" s="124">
        <f>IFERROR(__xludf.DUMMYFUNCTION("""COMPUTED_VALUE"""),9.304886426E9)</f>
        <v>9304886426</v>
      </c>
      <c r="T186" s="124" t="str">
        <f>IFERROR(__xludf.DUMMYFUNCTION("""COMPUTED_VALUE"""),"Not Available")</f>
        <v>Not Available</v>
      </c>
      <c r="U186" s="124" t="str">
        <f>IFERROR(__xludf.DUMMYFUNCTION("""COMPUTED_VALUE"""),"Not Available")</f>
        <v>Not Available</v>
      </c>
      <c r="V186" s="124" t="str">
        <f>IFERROR(__xludf.DUMMYFUNCTION("""COMPUTED_VALUE"""),"Not Available")</f>
        <v>Not Available</v>
      </c>
      <c r="W186" s="124" t="str">
        <f>IFERROR(__xludf.DUMMYFUNCTION("""COMPUTED_VALUE"""),"Not Available")</f>
        <v>Not Available</v>
      </c>
    </row>
    <row r="187">
      <c r="A187" s="124" t="str">
        <f t="shared" si="1"/>
        <v>thecipher0001@gmail.com</v>
      </c>
      <c r="B187" s="131">
        <f>IFERROR(__xludf.DUMMYFUNCTION("""COMPUTED_VALUE"""),46101.0)</f>
        <v>46101</v>
      </c>
      <c r="C187" s="124" t="str">
        <f>IFERROR(__xludf.DUMMYFUNCTION("""COMPUTED_VALUE"""),"Payment data from Collexo")</f>
        <v>Payment data from Collexo</v>
      </c>
      <c r="D187" s="124" t="str">
        <f>IFERROR(__xludf.DUMMYFUNCTION("""COMPUTED_VALUE"""),"Not Available")</f>
        <v>Not Available</v>
      </c>
      <c r="E187" s="124">
        <f>IFERROR(__xludf.DUMMYFUNCTION("""COMPUTED_VALUE"""),1500613.0)</f>
        <v>1500613</v>
      </c>
      <c r="F187" s="124">
        <f>IFERROR(__xludf.DUMMYFUNCTION("""COMPUTED_VALUE"""),127026.0)</f>
        <v>127026</v>
      </c>
      <c r="G187" s="124">
        <f>IFERROR(__xludf.DUMMYFUNCTION("""COMPUTED_VALUE"""),42000.0)</f>
        <v>42000</v>
      </c>
      <c r="H187" s="124" t="str">
        <f>IFERROR(__xludf.DUMMYFUNCTION("""COMPUTED_VALUE"""),"Not Available")</f>
        <v>Not Available</v>
      </c>
      <c r="I187" s="124">
        <f>IFERROR(__xludf.DUMMYFUNCTION("""COMPUTED_VALUE"""),0.0)</f>
        <v>0</v>
      </c>
      <c r="J187" s="124">
        <f>IFERROR(__xludf.DUMMYFUNCTION("""COMPUTED_VALUE"""),42000.0)</f>
        <v>42000</v>
      </c>
      <c r="K187" s="124">
        <f>IFERROR(__xludf.DUMMYFUNCTION("""COMPUTED_VALUE"""),1.0)</f>
        <v>1</v>
      </c>
      <c r="L187" s="124">
        <f>IFERROR(__xludf.DUMMYFUNCTION("""COMPUTED_VALUE"""),645.0)</f>
        <v>645</v>
      </c>
      <c r="M187" s="124" t="str">
        <f>IFERROR(__xludf.DUMMYFUNCTION("""COMPUTED_VALUE"""),"Prayagraj")</f>
        <v>Prayagraj</v>
      </c>
      <c r="N187" s="124" t="str">
        <f>IFERROR(__xludf.DUMMYFUNCTION("""COMPUTED_VALUE"""),"thecipher0001@gmail.com")</f>
        <v>thecipher0001@gmail.com</v>
      </c>
      <c r="O187" s="124" t="str">
        <f>IFERROR(__xludf.DUMMYFUNCTION("""COMPUTED_VALUE"""),"Prince Patwa")</f>
        <v>Prince Patwa</v>
      </c>
      <c r="P187" s="124">
        <f>IFERROR(__xludf.DUMMYFUNCTION("""COMPUTED_VALUE"""),127026.0)</f>
        <v>127026</v>
      </c>
      <c r="Q187" s="124" t="str">
        <f>IFERROR(__xludf.DUMMYFUNCTION("""COMPUTED_VALUE"""),"upsc-gs-foundation-hinglish-target-2027-gsf-upsc-e03-pry")</f>
        <v>upsc-gs-foundation-hinglish-target-2027-gsf-upsc-e03-pry</v>
      </c>
      <c r="R187" s="124" t="str">
        <f>IFERROR(__xludf.DUMMYFUNCTION("""COMPUTED_VALUE"""),"GS Foundation Course")</f>
        <v>GS Foundation Course</v>
      </c>
      <c r="S187" s="124">
        <f>IFERROR(__xludf.DUMMYFUNCTION("""COMPUTED_VALUE"""),7.800017337E9)</f>
        <v>7800017337</v>
      </c>
      <c r="T187" s="124" t="str">
        <f>IFERROR(__xludf.DUMMYFUNCTION("""COMPUTED_VALUE"""),"Not Available")</f>
        <v>Not Available</v>
      </c>
      <c r="U187" s="124" t="str">
        <f>IFERROR(__xludf.DUMMYFUNCTION("""COMPUTED_VALUE"""),"Not Available")</f>
        <v>Not Available</v>
      </c>
      <c r="V187" s="124" t="str">
        <f>IFERROR(__xludf.DUMMYFUNCTION("""COMPUTED_VALUE"""),"Not Available")</f>
        <v>Not Available</v>
      </c>
      <c r="W187" s="124" t="str">
        <f>IFERROR(__xludf.DUMMYFUNCTION("""COMPUTED_VALUE"""),"Not Available")</f>
        <v>Not Available</v>
      </c>
    </row>
    <row r="188">
      <c r="A188" s="124" t="str">
        <f t="shared" si="1"/>
        <v>fenrir.v@gmail.com</v>
      </c>
      <c r="B188" s="131">
        <f>IFERROR(__xludf.DUMMYFUNCTION("""COMPUTED_VALUE"""),46067.0)</f>
        <v>46067</v>
      </c>
      <c r="C188" s="124" t="str">
        <f>IFERROR(__xludf.DUMMYFUNCTION("""COMPUTED_VALUE"""),"Payment data from Collexo")</f>
        <v>Payment data from Collexo</v>
      </c>
      <c r="D188" s="124" t="str">
        <f>IFERROR(__xludf.DUMMYFUNCTION("""COMPUTED_VALUE"""),"Not Available")</f>
        <v>Not Available</v>
      </c>
      <c r="E188" s="124">
        <f>IFERROR(__xludf.DUMMYFUNCTION("""COMPUTED_VALUE"""),1500609.0)</f>
        <v>1500609</v>
      </c>
      <c r="F188" s="124" t="str">
        <f>IFERROR(__xludf.DUMMYFUNCTION("""COMPUTED_VALUE"""),"5171_988_7")</f>
        <v>5171_988_7</v>
      </c>
      <c r="G188" s="124">
        <f>IFERROR(__xludf.DUMMYFUNCTION("""COMPUTED_VALUE"""),5000.0)</f>
        <v>5000</v>
      </c>
      <c r="H188" s="131">
        <f>IFERROR(__xludf.DUMMYFUNCTION("""COMPUTED_VALUE"""),46073.0)</f>
        <v>46073</v>
      </c>
      <c r="I188" s="124">
        <f>IFERROR(__xludf.DUMMYFUNCTION("""COMPUTED_VALUE"""),105000.0)</f>
        <v>105000</v>
      </c>
      <c r="J188" s="124">
        <f>IFERROR(__xludf.DUMMYFUNCTION("""COMPUTED_VALUE"""),110000.0)</f>
        <v>110000</v>
      </c>
      <c r="K188" s="124">
        <f>IFERROR(__xludf.DUMMYFUNCTION("""COMPUTED_VALUE"""),2.0)</f>
        <v>2</v>
      </c>
      <c r="L188" s="124">
        <f>IFERROR(__xludf.DUMMYFUNCTION("""COMPUTED_VALUE"""),209.0)</f>
        <v>209</v>
      </c>
      <c r="M188" s="124" t="str">
        <f>IFERROR(__xludf.DUMMYFUNCTION("""COMPUTED_VALUE"""),"New Delhi")</f>
        <v>New Delhi</v>
      </c>
      <c r="N188" s="124" t="str">
        <f>IFERROR(__xludf.DUMMYFUNCTION("""COMPUTED_VALUE"""),"fenrir.v@gmail.com")</f>
        <v>fenrir.v@gmail.com</v>
      </c>
      <c r="O188" s="124" t="str">
        <f>IFERROR(__xludf.DUMMYFUNCTION("""COMPUTED_VALUE"""),"AYUSH")</f>
        <v>AYUSH</v>
      </c>
      <c r="P188" s="124">
        <f>IFERROR(__xludf.DUMMYFUNCTION("""COMPUTED_VALUE"""),123040.0)</f>
        <v>123040</v>
      </c>
      <c r="Q188" s="124" t="str">
        <f>IFERROR(__xludf.DUMMYFUNCTION("""COMPUTED_VALUE"""),"upsc-gs-foundation-hinglish-target-2027-gsf-upsc-e04-orn")</f>
        <v>upsc-gs-foundation-hinglish-target-2027-gsf-upsc-e04-orn</v>
      </c>
      <c r="R188" s="124" t="str">
        <f>IFERROR(__xludf.DUMMYFUNCTION("""COMPUTED_VALUE"""),"GS Foundation Course")</f>
        <v>GS Foundation Course</v>
      </c>
      <c r="S188" s="124">
        <f>IFERROR(__xludf.DUMMYFUNCTION("""COMPUTED_VALUE"""),7.070411838E9)</f>
        <v>7070411838</v>
      </c>
      <c r="T188" s="124" t="str">
        <f>IFERROR(__xludf.DUMMYFUNCTION("""COMPUTED_VALUE"""),"Collexo")</f>
        <v>Collexo</v>
      </c>
      <c r="U188" s="124" t="str">
        <f>IFERROR(__xludf.DUMMYFUNCTION("""COMPUTED_VALUE"""),"Success")</f>
        <v>Success</v>
      </c>
      <c r="V188" s="131">
        <f>IFERROR(__xludf.DUMMYFUNCTION("""COMPUTED_VALUE"""),46067.0)</f>
        <v>46067</v>
      </c>
      <c r="W188" s="124">
        <f>IFERROR(__xludf.DUMMYFUNCTION("""COMPUTED_VALUE"""),0.0)</f>
        <v>0</v>
      </c>
    </row>
    <row r="189">
      <c r="A189" s="124" t="str">
        <f t="shared" si="1"/>
        <v>sorabhsolankisorabhsolanki1217@gmail.com</v>
      </c>
      <c r="B189" s="131">
        <f>IFERROR(__xludf.DUMMYFUNCTION("""COMPUTED_VALUE"""),46099.0)</f>
        <v>46099</v>
      </c>
      <c r="C189" s="124" t="str">
        <f>IFERROR(__xludf.DUMMYFUNCTION("""COMPUTED_VALUE"""),"Payment data from Collexo")</f>
        <v>Payment data from Collexo</v>
      </c>
      <c r="D189" s="124" t="str">
        <f>IFERROR(__xludf.DUMMYFUNCTION("""COMPUTED_VALUE"""),"Not Available")</f>
        <v>Not Available</v>
      </c>
      <c r="E189" s="124">
        <f>IFERROR(__xludf.DUMMYFUNCTION("""COMPUTED_VALUE"""),1500612.0)</f>
        <v>1500612</v>
      </c>
      <c r="F189" s="124">
        <f>IFERROR(__xludf.DUMMYFUNCTION("""COMPUTED_VALUE"""),124285.0)</f>
        <v>124285</v>
      </c>
      <c r="G189" s="124">
        <f>IFERROR(__xludf.DUMMYFUNCTION("""COMPUTED_VALUE"""),9500.0)</f>
        <v>9500</v>
      </c>
      <c r="H189" s="131">
        <f>IFERROR(__xludf.DUMMYFUNCTION("""COMPUTED_VALUE"""),46112.0)</f>
        <v>46112</v>
      </c>
      <c r="I189" s="124">
        <f>IFERROR(__xludf.DUMMYFUNCTION("""COMPUTED_VALUE"""),30500.0)</f>
        <v>30500</v>
      </c>
      <c r="J189" s="124">
        <f>IFERROR(__xludf.DUMMYFUNCTION("""COMPUTED_VALUE"""),40000.0)</f>
        <v>40000</v>
      </c>
      <c r="K189" s="124">
        <f>IFERROR(__xludf.DUMMYFUNCTION("""COMPUTED_VALUE"""),2.0)</f>
        <v>2</v>
      </c>
      <c r="L189" s="124">
        <f>IFERROR(__xludf.DUMMYFUNCTION("""COMPUTED_VALUE"""),598.0)</f>
        <v>598</v>
      </c>
      <c r="M189" s="124" t="str">
        <f>IFERROR(__xludf.DUMMYFUNCTION("""COMPUTED_VALUE"""),"Indore")</f>
        <v>Indore</v>
      </c>
      <c r="N189" s="124" t="str">
        <f>IFERROR(__xludf.DUMMYFUNCTION("""COMPUTED_VALUE"""),"sorabhsolankisorabhsolanki1217@gmail.com")</f>
        <v>sorabhsolankisorabhsolanki1217@gmail.com</v>
      </c>
      <c r="O189" s="124" t="str">
        <f>IFERROR(__xludf.DUMMYFUNCTION("""COMPUTED_VALUE"""),"Sorabh solanki")</f>
        <v>Sorabh solanki</v>
      </c>
      <c r="P189" s="124">
        <f>IFERROR(__xludf.DUMMYFUNCTION("""COMPUTED_VALUE"""),124285.0)</f>
        <v>124285</v>
      </c>
      <c r="Q189" s="124" t="str">
        <f>IFERROR(__xludf.DUMMYFUNCTION("""COMPUTED_VALUE"""),"mppsc-gs-foundation-hinglish-target-2027-gsf-mppsc-e02-ind")</f>
        <v>mppsc-gs-foundation-hinglish-target-2027-gsf-mppsc-e02-ind</v>
      </c>
      <c r="R189" s="124" t="str">
        <f>IFERROR(__xludf.DUMMYFUNCTION("""COMPUTED_VALUE"""),"State PCS")</f>
        <v>State PCS</v>
      </c>
      <c r="S189" s="124">
        <f>IFERROR(__xludf.DUMMYFUNCTION("""COMPUTED_VALUE"""),9.644044883E9)</f>
        <v>9644044883</v>
      </c>
      <c r="T189" s="124" t="str">
        <f>IFERROR(__xludf.DUMMYFUNCTION("""COMPUTED_VALUE"""),"Not Available")</f>
        <v>Not Available</v>
      </c>
      <c r="U189" s="124" t="str">
        <f>IFERROR(__xludf.DUMMYFUNCTION("""COMPUTED_VALUE"""),"Not Available")</f>
        <v>Not Available</v>
      </c>
      <c r="V189" s="124" t="str">
        <f>IFERROR(__xludf.DUMMYFUNCTION("""COMPUTED_VALUE"""),"Not Available")</f>
        <v>Not Available</v>
      </c>
      <c r="W189" s="124" t="str">
        <f>IFERROR(__xludf.DUMMYFUNCTION("""COMPUTED_VALUE"""),"Not Available")</f>
        <v>Not Available</v>
      </c>
    </row>
    <row r="190">
      <c r="A190" s="124" t="str">
        <f t="shared" si="1"/>
        <v>ayushtripathi2024@gmail.com</v>
      </c>
      <c r="B190" s="131">
        <f>IFERROR(__xludf.DUMMYFUNCTION("""COMPUTED_VALUE"""),46112.0)</f>
        <v>46112</v>
      </c>
      <c r="C190" s="124" t="str">
        <f>IFERROR(__xludf.DUMMYFUNCTION("""COMPUTED_VALUE"""),"Payment data from Collexo")</f>
        <v>Payment data from Collexo</v>
      </c>
      <c r="D190" s="124" t="str">
        <f>IFERROR(__xludf.DUMMYFUNCTION("""COMPUTED_VALUE"""),"Not Available")</f>
        <v>Not Available</v>
      </c>
      <c r="E190" s="124">
        <f>IFERROR(__xludf.DUMMYFUNCTION("""COMPUTED_VALUE"""),1500609.0)</f>
        <v>1500609</v>
      </c>
      <c r="F190" s="124" t="str">
        <f>IFERROR(__xludf.DUMMYFUNCTION("""COMPUTED_VALUE"""),"17756_988_7")</f>
        <v>17756_988_7</v>
      </c>
      <c r="G190" s="124">
        <f>IFERROR(__xludf.DUMMYFUNCTION("""COMPUTED_VALUE"""),80000.0)</f>
        <v>80000</v>
      </c>
      <c r="H190" s="124" t="str">
        <f>IFERROR(__xludf.DUMMYFUNCTION("""COMPUTED_VALUE"""),"Not Available")</f>
        <v>Not Available</v>
      </c>
      <c r="I190" s="124">
        <f>IFERROR(__xludf.DUMMYFUNCTION("""COMPUTED_VALUE"""),0.0)</f>
        <v>0</v>
      </c>
      <c r="J190" s="124">
        <f>IFERROR(__xludf.DUMMYFUNCTION("""COMPUTED_VALUE"""),85000.0)</f>
        <v>85000</v>
      </c>
      <c r="K190" s="124">
        <f>IFERROR(__xludf.DUMMYFUNCTION("""COMPUTED_VALUE"""),2.0)</f>
        <v>2</v>
      </c>
      <c r="L190" s="124">
        <f>IFERROR(__xludf.DUMMYFUNCTION("""COMPUTED_VALUE"""),870.0)</f>
        <v>870</v>
      </c>
      <c r="M190" s="124" t="str">
        <f>IFERROR(__xludf.DUMMYFUNCTION("""COMPUTED_VALUE"""),"New Delhi")</f>
        <v>New Delhi</v>
      </c>
      <c r="N190" s="124" t="str">
        <f>IFERROR(__xludf.DUMMYFUNCTION("""COMPUTED_VALUE"""),"ayushtripathi2024@gmail.com")</f>
        <v>ayushtripathi2024@gmail.com</v>
      </c>
      <c r="O190" s="124" t="str">
        <f>IFERROR(__xludf.DUMMYFUNCTION("""COMPUTED_VALUE"""),"Ayush")</f>
        <v>Ayush</v>
      </c>
      <c r="P190" s="124">
        <f>IFERROR(__xludf.DUMMYFUNCTION("""COMPUTED_VALUE"""),130266.0)</f>
        <v>130266</v>
      </c>
      <c r="Q190" s="124" t="str">
        <f>IFERROR(__xludf.DUMMYFUNCTION("""COMPUTED_VALUE"""),"upsc-gs-foundation-hinglish-target-2027-gsf-upsc-e03-orn")</f>
        <v>upsc-gs-foundation-hinglish-target-2027-gsf-upsc-e03-orn</v>
      </c>
      <c r="R190" s="124" t="str">
        <f>IFERROR(__xludf.DUMMYFUNCTION("""COMPUTED_VALUE"""),"GS Foundation Course")</f>
        <v>GS Foundation Course</v>
      </c>
      <c r="S190" s="124">
        <f>IFERROR(__xludf.DUMMYFUNCTION("""COMPUTED_VALUE"""),8.839808159E9)</f>
        <v>8839808159</v>
      </c>
      <c r="T190" s="124" t="str">
        <f>IFERROR(__xludf.DUMMYFUNCTION("""COMPUTED_VALUE"""),"Collexo")</f>
        <v>Collexo</v>
      </c>
      <c r="U190" s="124" t="str">
        <f>IFERROR(__xludf.DUMMYFUNCTION("""COMPUTED_VALUE"""),"Success")</f>
        <v>Success</v>
      </c>
      <c r="V190" s="131">
        <f>IFERROR(__xludf.DUMMYFUNCTION("""COMPUTED_VALUE"""),46112.0)</f>
        <v>46112</v>
      </c>
      <c r="W190" s="124">
        <f>IFERROR(__xludf.DUMMYFUNCTION("""COMPUTED_VALUE"""),0.0)</f>
        <v>0</v>
      </c>
    </row>
    <row r="191">
      <c r="A191" s="124" t="str">
        <f t="shared" si="1"/>
        <v>sanojkumar0378@gmail.com</v>
      </c>
      <c r="B191" s="131">
        <f>IFERROR(__xludf.DUMMYFUNCTION("""COMPUTED_VALUE"""),46081.0)</f>
        <v>46081</v>
      </c>
      <c r="C191" s="124" t="str">
        <f>IFERROR(__xludf.DUMMYFUNCTION("""COMPUTED_VALUE"""),"Payment data from Collexo")</f>
        <v>Payment data from Collexo</v>
      </c>
      <c r="D191" s="124" t="str">
        <f>IFERROR(__xludf.DUMMYFUNCTION("""COMPUTED_VALUE"""),"Not Available")</f>
        <v>Not Available</v>
      </c>
      <c r="E191" s="124">
        <f>IFERROR(__xludf.DUMMYFUNCTION("""COMPUTED_VALUE"""),1500613.0)</f>
        <v>1500613</v>
      </c>
      <c r="F191" s="124">
        <f>IFERROR(__xludf.DUMMYFUNCTION("""COMPUTED_VALUE"""),124825.0)</f>
        <v>124825</v>
      </c>
      <c r="G191" s="124">
        <f>IFERROR(__xludf.DUMMYFUNCTION("""COMPUTED_VALUE"""),3000.0)</f>
        <v>3000</v>
      </c>
      <c r="H191" s="131">
        <f>IFERROR(__xludf.DUMMYFUNCTION("""COMPUTED_VALUE"""),46091.0)</f>
        <v>46091</v>
      </c>
      <c r="I191" s="124">
        <f>IFERROR(__xludf.DUMMYFUNCTION("""COMPUTED_VALUE"""),101000.0)</f>
        <v>101000</v>
      </c>
      <c r="J191" s="124">
        <f>IFERROR(__xludf.DUMMYFUNCTION("""COMPUTED_VALUE"""),104000.0)</f>
        <v>104000</v>
      </c>
      <c r="K191" s="124">
        <f>IFERROR(__xludf.DUMMYFUNCTION("""COMPUTED_VALUE"""),2.0)</f>
        <v>2</v>
      </c>
      <c r="L191" s="124">
        <f>IFERROR(__xludf.DUMMYFUNCTION("""COMPUTED_VALUE"""),396.0)</f>
        <v>396</v>
      </c>
      <c r="M191" s="124" t="str">
        <f>IFERROR(__xludf.DUMMYFUNCTION("""COMPUTED_VALUE"""),"Prayagraj")</f>
        <v>Prayagraj</v>
      </c>
      <c r="N191" s="124" t="str">
        <f>IFERROR(__xludf.DUMMYFUNCTION("""COMPUTED_VALUE"""),"sanojkumar0378@gmail.com")</f>
        <v>sanojkumar0378@gmail.com</v>
      </c>
      <c r="O191" s="124" t="str">
        <f>IFERROR(__xludf.DUMMYFUNCTION("""COMPUTED_VALUE"""),"Sanoj")</f>
        <v>Sanoj</v>
      </c>
      <c r="P191" s="124">
        <f>IFERROR(__xludf.DUMMYFUNCTION("""COMPUTED_VALUE"""),124825.0)</f>
        <v>124825</v>
      </c>
      <c r="Q191" s="124" t="str">
        <f>IFERROR(__xludf.DUMMYFUNCTION("""COMPUTED_VALUE"""),"upsc-gs-foundation-hindi-target-2028-gsf-upsc-m02-pry")</f>
        <v>upsc-gs-foundation-hindi-target-2028-gsf-upsc-m02-pry</v>
      </c>
      <c r="R191" s="124" t="str">
        <f>IFERROR(__xludf.DUMMYFUNCTION("""COMPUTED_VALUE"""),"GS Foundation Course")</f>
        <v>GS Foundation Course</v>
      </c>
      <c r="S191" s="124">
        <f>IFERROR(__xludf.DUMMYFUNCTION("""COMPUTED_VALUE"""),9.060779354E9)</f>
        <v>9060779354</v>
      </c>
      <c r="T191" s="124" t="str">
        <f>IFERROR(__xludf.DUMMYFUNCTION("""COMPUTED_VALUE"""),"Not Available")</f>
        <v>Not Available</v>
      </c>
      <c r="U191" s="124" t="str">
        <f>IFERROR(__xludf.DUMMYFUNCTION("""COMPUTED_VALUE"""),"Not Available")</f>
        <v>Not Available</v>
      </c>
      <c r="V191" s="124" t="str">
        <f>IFERROR(__xludf.DUMMYFUNCTION("""COMPUTED_VALUE"""),"Not Available")</f>
        <v>Not Available</v>
      </c>
      <c r="W191" s="124" t="str">
        <f>IFERROR(__xludf.DUMMYFUNCTION("""COMPUTED_VALUE"""),"Not Available")</f>
        <v>Not Available</v>
      </c>
    </row>
    <row r="192">
      <c r="A192" s="124" t="str">
        <f t="shared" si="1"/>
        <v>amishachoudhary956@gmail.com</v>
      </c>
      <c r="B192" s="131">
        <f>IFERROR(__xludf.DUMMYFUNCTION("""COMPUTED_VALUE"""),46097.0)</f>
        <v>46097</v>
      </c>
      <c r="C192" s="124" t="str">
        <f>IFERROR(__xludf.DUMMYFUNCTION("""COMPUTED_VALUE"""),"Payment data from Collexo")</f>
        <v>Payment data from Collexo</v>
      </c>
      <c r="D192" s="124" t="str">
        <f>IFERROR(__xludf.DUMMYFUNCTION("""COMPUTED_VALUE"""),"Not Available")</f>
        <v>Not Available</v>
      </c>
      <c r="E192" s="124">
        <f>IFERROR(__xludf.DUMMYFUNCTION("""COMPUTED_VALUE"""),1500609.0)</f>
        <v>1500609</v>
      </c>
      <c r="F192" s="124" t="str">
        <f>IFERROR(__xludf.DUMMYFUNCTION("""COMPUTED_VALUE"""),"14627_988_7")</f>
        <v>14627_988_7</v>
      </c>
      <c r="G192" s="124">
        <f>IFERROR(__xludf.DUMMYFUNCTION("""COMPUTED_VALUE"""),101250.0)</f>
        <v>101250</v>
      </c>
      <c r="H192" s="124" t="str">
        <f>IFERROR(__xludf.DUMMYFUNCTION("""COMPUTED_VALUE"""),"Not Available")</f>
        <v>Not Available</v>
      </c>
      <c r="I192" s="124">
        <f>IFERROR(__xludf.DUMMYFUNCTION("""COMPUTED_VALUE"""),0.0)</f>
        <v>0</v>
      </c>
      <c r="J192" s="124">
        <f>IFERROR(__xludf.DUMMYFUNCTION("""COMPUTED_VALUE"""),135000.0)</f>
        <v>135000</v>
      </c>
      <c r="K192" s="124">
        <f>IFERROR(__xludf.DUMMYFUNCTION("""COMPUTED_VALUE"""),2.0)</f>
        <v>2</v>
      </c>
      <c r="L192" s="124">
        <f>IFERROR(__xludf.DUMMYFUNCTION("""COMPUTED_VALUE"""),568.0)</f>
        <v>568</v>
      </c>
      <c r="M192" s="124" t="str">
        <f>IFERROR(__xludf.DUMMYFUNCTION("""COMPUTED_VALUE"""),"New Delhi")</f>
        <v>New Delhi</v>
      </c>
      <c r="N192" s="124" t="str">
        <f>IFERROR(__xludf.DUMMYFUNCTION("""COMPUTED_VALUE"""),"amishachoudhary956@gmail.com")</f>
        <v>amishachoudhary956@gmail.com</v>
      </c>
      <c r="O192" s="124" t="str">
        <f>IFERROR(__xludf.DUMMYFUNCTION("""COMPUTED_VALUE"""),"Amisha choudhary")</f>
        <v>Amisha choudhary</v>
      </c>
      <c r="P192" s="124">
        <f>IFERROR(__xludf.DUMMYFUNCTION("""COMPUTED_VALUE"""),127272.0)</f>
        <v>127272</v>
      </c>
      <c r="Q192" s="124" t="str">
        <f>IFERROR(__xludf.DUMMYFUNCTION("""COMPUTED_VALUE"""),"upsc-gs-foundation-hinglish-target-2028-gsf-upsc-m05-orn")</f>
        <v>upsc-gs-foundation-hinglish-target-2028-gsf-upsc-m05-orn</v>
      </c>
      <c r="R192" s="124" t="str">
        <f>IFERROR(__xludf.DUMMYFUNCTION("""COMPUTED_VALUE"""),"GS Foundation Course")</f>
        <v>GS Foundation Course</v>
      </c>
      <c r="S192" s="124">
        <f>IFERROR(__xludf.DUMMYFUNCTION("""COMPUTED_VALUE"""),9.508331167E9)</f>
        <v>9508331167</v>
      </c>
      <c r="T192" s="124" t="str">
        <f>IFERROR(__xludf.DUMMYFUNCTION("""COMPUTED_VALUE"""),"Collexo")</f>
        <v>Collexo</v>
      </c>
      <c r="U192" s="124" t="str">
        <f>IFERROR(__xludf.DUMMYFUNCTION("""COMPUTED_VALUE"""),"Success")</f>
        <v>Success</v>
      </c>
      <c r="V192" s="131">
        <f>IFERROR(__xludf.DUMMYFUNCTION("""COMPUTED_VALUE"""),46097.0)</f>
        <v>46097</v>
      </c>
      <c r="W192" s="124">
        <f>IFERROR(__xludf.DUMMYFUNCTION("""COMPUTED_VALUE"""),0.0)</f>
        <v>0</v>
      </c>
    </row>
    <row r="193">
      <c r="A193" s="124" t="str">
        <f t="shared" si="1"/>
        <v>pkkumarbc@gmail.com</v>
      </c>
      <c r="B193" s="131">
        <f>IFERROR(__xludf.DUMMYFUNCTION("""COMPUTED_VALUE"""),46071.0)</f>
        <v>46071</v>
      </c>
      <c r="C193" s="124" t="str">
        <f>IFERROR(__xludf.DUMMYFUNCTION("""COMPUTED_VALUE"""),"Payment data from Collexo")</f>
        <v>Payment data from Collexo</v>
      </c>
      <c r="D193" s="124" t="str">
        <f>IFERROR(__xludf.DUMMYFUNCTION("""COMPUTED_VALUE"""),"Not Available")</f>
        <v>Not Available</v>
      </c>
      <c r="E193" s="124">
        <f>IFERROR(__xludf.DUMMYFUNCTION("""COMPUTED_VALUE"""),1500610.0)</f>
        <v>1500610</v>
      </c>
      <c r="F193" s="124">
        <f>IFERROR(__xludf.DUMMYFUNCTION("""COMPUTED_VALUE"""),123696.0)</f>
        <v>123696</v>
      </c>
      <c r="G193" s="124">
        <f>IFERROR(__xludf.DUMMYFUNCTION("""COMPUTED_VALUE"""),33199.0)</f>
        <v>33199</v>
      </c>
      <c r="H193" s="124" t="str">
        <f>IFERROR(__xludf.DUMMYFUNCTION("""COMPUTED_VALUE"""),"Not Available")</f>
        <v>Not Available</v>
      </c>
      <c r="I193" s="124">
        <f>IFERROR(__xludf.DUMMYFUNCTION("""COMPUTED_VALUE"""),0.0)</f>
        <v>0</v>
      </c>
      <c r="J193" s="124">
        <f>IFERROR(__xludf.DUMMYFUNCTION("""COMPUTED_VALUE"""),40000.0)</f>
        <v>40000</v>
      </c>
      <c r="K193" s="124">
        <f>IFERROR(__xludf.DUMMYFUNCTION("""COMPUTED_VALUE"""),2.0)</f>
        <v>2</v>
      </c>
      <c r="L193" s="124">
        <f>IFERROR(__xludf.DUMMYFUNCTION("""COMPUTED_VALUE"""),249.0)</f>
        <v>249</v>
      </c>
      <c r="M193" s="124" t="str">
        <f>IFERROR(__xludf.DUMMYFUNCTION("""COMPUTED_VALUE"""),"Lucknow")</f>
        <v>Lucknow</v>
      </c>
      <c r="N193" s="124" t="str">
        <f>IFERROR(__xludf.DUMMYFUNCTION("""COMPUTED_VALUE"""),"pkkumarbc@gmail.com")</f>
        <v>pkkumarbc@gmail.com</v>
      </c>
      <c r="O193" s="124" t="str">
        <f>IFERROR(__xludf.DUMMYFUNCTION("""COMPUTED_VALUE"""),"Praveen Kumar")</f>
        <v>Praveen Kumar</v>
      </c>
      <c r="P193" s="124">
        <f>IFERROR(__xludf.DUMMYFUNCTION("""COMPUTED_VALUE"""),123696.0)</f>
        <v>123696</v>
      </c>
      <c r="Q193" s="124" t="str">
        <f>IFERROR(__xludf.DUMMYFUNCTION("""COMPUTED_VALUE"""),"upsc-gs-foundation-hindi-target-2028-gsf-upsc-m01-lko")</f>
        <v>upsc-gs-foundation-hindi-target-2028-gsf-upsc-m01-lko</v>
      </c>
      <c r="R193" s="124" t="str">
        <f>IFERROR(__xludf.DUMMYFUNCTION("""COMPUTED_VALUE"""),"State PCS")</f>
        <v>State PCS</v>
      </c>
      <c r="S193" s="124">
        <f>IFERROR(__xludf.DUMMYFUNCTION("""COMPUTED_VALUE"""),7.355582262E9)</f>
        <v>7355582262</v>
      </c>
      <c r="T193" s="124" t="str">
        <f>IFERROR(__xludf.DUMMYFUNCTION("""COMPUTED_VALUE"""),"Not Available")</f>
        <v>Not Available</v>
      </c>
      <c r="U193" s="124" t="str">
        <f>IFERROR(__xludf.DUMMYFUNCTION("""COMPUTED_VALUE"""),"Not Available")</f>
        <v>Not Available</v>
      </c>
      <c r="V193" s="124" t="str">
        <f>IFERROR(__xludf.DUMMYFUNCTION("""COMPUTED_VALUE"""),"Not Available")</f>
        <v>Not Available</v>
      </c>
      <c r="W193" s="124" t="str">
        <f>IFERROR(__xludf.DUMMYFUNCTION("""COMPUTED_VALUE"""),"Not Available")</f>
        <v>Not Available</v>
      </c>
    </row>
    <row r="194">
      <c r="A194" s="124" t="str">
        <f t="shared" si="1"/>
        <v>kartiksharma98224@gmail.com</v>
      </c>
      <c r="B194" s="131">
        <f>IFERROR(__xludf.DUMMYFUNCTION("""COMPUTED_VALUE"""),46058.0)</f>
        <v>46058</v>
      </c>
      <c r="C194" s="124" t="str">
        <f>IFERROR(__xludf.DUMMYFUNCTION("""COMPUTED_VALUE"""),"Payment data from Collexo")</f>
        <v>Payment data from Collexo</v>
      </c>
      <c r="D194" s="124" t="str">
        <f>IFERROR(__xludf.DUMMYFUNCTION("""COMPUTED_VALUE"""),"Not Available")</f>
        <v>Not Available</v>
      </c>
      <c r="E194" s="124">
        <f>IFERROR(__xludf.DUMMYFUNCTION("""COMPUTED_VALUE"""),1500609.0)</f>
        <v>1500609</v>
      </c>
      <c r="F194" s="124" t="str">
        <f>IFERROR(__xludf.DUMMYFUNCTION("""COMPUTED_VALUE"""),"3910_988_7")</f>
        <v>3910_988_7</v>
      </c>
      <c r="G194" s="124">
        <f>IFERROR(__xludf.DUMMYFUNCTION("""COMPUTED_VALUE"""),10000.0)</f>
        <v>10000</v>
      </c>
      <c r="H194" s="131">
        <f>IFERROR(__xludf.DUMMYFUNCTION("""COMPUTED_VALUE"""),46063.0)</f>
        <v>46063</v>
      </c>
      <c r="I194" s="124">
        <f>IFERROR(__xludf.DUMMYFUNCTION("""COMPUTED_VALUE"""),110000.0)</f>
        <v>110000</v>
      </c>
      <c r="J194" s="124">
        <f>IFERROR(__xludf.DUMMYFUNCTION("""COMPUTED_VALUE"""),120000.0)</f>
        <v>120000</v>
      </c>
      <c r="K194" s="124">
        <f>IFERROR(__xludf.DUMMYFUNCTION("""COMPUTED_VALUE"""),2.0)</f>
        <v>2</v>
      </c>
      <c r="L194" s="124">
        <f>IFERROR(__xludf.DUMMYFUNCTION("""COMPUTED_VALUE"""),168.0)</f>
        <v>168</v>
      </c>
      <c r="M194" s="124" t="str">
        <f>IFERROR(__xludf.DUMMYFUNCTION("""COMPUTED_VALUE"""),"New Delhi")</f>
        <v>New Delhi</v>
      </c>
      <c r="N194" s="124" t="str">
        <f>IFERROR(__xludf.DUMMYFUNCTION("""COMPUTED_VALUE"""),"kartiksharma98224@gmail.com")</f>
        <v>kartiksharma98224@gmail.com</v>
      </c>
      <c r="O194" s="124" t="str">
        <f>IFERROR(__xludf.DUMMYFUNCTION("""COMPUTED_VALUE"""),"Kartik")</f>
        <v>Kartik</v>
      </c>
      <c r="P194" s="124">
        <f>IFERROR(__xludf.DUMMYFUNCTION("""COMPUTED_VALUE"""),112266.0)</f>
        <v>112266</v>
      </c>
      <c r="Q194" s="124" t="str">
        <f>IFERROR(__xludf.DUMMYFUNCTION("""COMPUTED_VALUE"""),"upsc-gs-foundation-hinglish-target-2028-gsf-upsc-e03-orn")</f>
        <v>upsc-gs-foundation-hinglish-target-2028-gsf-upsc-e03-orn</v>
      </c>
      <c r="R194" s="124" t="str">
        <f>IFERROR(__xludf.DUMMYFUNCTION("""COMPUTED_VALUE"""),"GS Foundation Course")</f>
        <v>GS Foundation Course</v>
      </c>
      <c r="S194" s="124">
        <f>IFERROR(__xludf.DUMMYFUNCTION("""COMPUTED_VALUE"""),9.413592675E9)</f>
        <v>9413592675</v>
      </c>
      <c r="T194" s="124" t="str">
        <f>IFERROR(__xludf.DUMMYFUNCTION("""COMPUTED_VALUE"""),"Collexo")</f>
        <v>Collexo</v>
      </c>
      <c r="U194" s="124" t="str">
        <f>IFERROR(__xludf.DUMMYFUNCTION("""COMPUTED_VALUE"""),"Success")</f>
        <v>Success</v>
      </c>
      <c r="V194" s="131">
        <f>IFERROR(__xludf.DUMMYFUNCTION("""COMPUTED_VALUE"""),46058.0)</f>
        <v>46058</v>
      </c>
      <c r="W194" s="124">
        <f>IFERROR(__xludf.DUMMYFUNCTION("""COMPUTED_VALUE"""),0.0)</f>
        <v>0</v>
      </c>
    </row>
    <row r="195">
      <c r="A195" s="124" t="str">
        <f t="shared" si="1"/>
        <v>pawank34550@gmail.com</v>
      </c>
      <c r="B195" s="131">
        <f>IFERROR(__xludf.DUMMYFUNCTION("""COMPUTED_VALUE"""),46092.0)</f>
        <v>46092</v>
      </c>
      <c r="C195" s="124" t="str">
        <f>IFERROR(__xludf.DUMMYFUNCTION("""COMPUTED_VALUE"""),"Payment data from Collexo")</f>
        <v>Payment data from Collexo</v>
      </c>
      <c r="D195" s="124" t="str">
        <f>IFERROR(__xludf.DUMMYFUNCTION("""COMPUTED_VALUE"""),"Not Available")</f>
        <v>Not Available</v>
      </c>
      <c r="E195" s="124">
        <f>IFERROR(__xludf.DUMMYFUNCTION("""COMPUTED_VALUE"""),1500613.0)</f>
        <v>1500613</v>
      </c>
      <c r="F195" s="124">
        <f>IFERROR(__xludf.DUMMYFUNCTION("""COMPUTED_VALUE"""),127255.0)</f>
        <v>127255</v>
      </c>
      <c r="G195" s="124">
        <f>IFERROR(__xludf.DUMMYFUNCTION("""COMPUTED_VALUE"""),23999.0)</f>
        <v>23999</v>
      </c>
      <c r="H195" s="124" t="str">
        <f>IFERROR(__xludf.DUMMYFUNCTION("""COMPUTED_VALUE"""),"Not Available")</f>
        <v>Not Available</v>
      </c>
      <c r="I195" s="124">
        <f>IFERROR(__xludf.DUMMYFUNCTION("""COMPUTED_VALUE"""),0.0)</f>
        <v>0</v>
      </c>
      <c r="J195" s="124">
        <f>IFERROR(__xludf.DUMMYFUNCTION("""COMPUTED_VALUE"""),24999.0)</f>
        <v>24999</v>
      </c>
      <c r="K195" s="124">
        <f>IFERROR(__xludf.DUMMYFUNCTION("""COMPUTED_VALUE"""),2.0)</f>
        <v>2</v>
      </c>
      <c r="L195" s="124">
        <f>IFERROR(__xludf.DUMMYFUNCTION("""COMPUTED_VALUE"""),490.0)</f>
        <v>490</v>
      </c>
      <c r="M195" s="124" t="str">
        <f>IFERROR(__xludf.DUMMYFUNCTION("""COMPUTED_VALUE"""),"Prayagraj")</f>
        <v>Prayagraj</v>
      </c>
      <c r="N195" s="124" t="str">
        <f>IFERROR(__xludf.DUMMYFUNCTION("""COMPUTED_VALUE"""),"pawank34550@gmail.com")</f>
        <v>pawank34550@gmail.com</v>
      </c>
      <c r="O195" s="124" t="str">
        <f>IFERROR(__xludf.DUMMYFUNCTION("""COMPUTED_VALUE"""),"Pawan Kumar Sharma")</f>
        <v>Pawan Kumar Sharma</v>
      </c>
      <c r="P195" s="124">
        <f>IFERROR(__xludf.DUMMYFUNCTION("""COMPUTED_VALUE"""),127255.0)</f>
        <v>127255</v>
      </c>
      <c r="Q195" s="124" t="str">
        <f>IFERROR(__xludf.DUMMYFUNCTION("""COMPUTED_VALUE"""),"samadhan-mentorship-program-pry")</f>
        <v>samadhan-mentorship-program-pry</v>
      </c>
      <c r="R195" s="124" t="str">
        <f>IFERROR(__xludf.DUMMYFUNCTION("""COMPUTED_VALUE"""),"Mentorship - Samadhan")</f>
        <v>Mentorship - Samadhan</v>
      </c>
      <c r="S195" s="124">
        <f>IFERROR(__xludf.DUMMYFUNCTION("""COMPUTED_VALUE"""),8.303284846E9)</f>
        <v>8303284846</v>
      </c>
      <c r="T195" s="124" t="str">
        <f>IFERROR(__xludf.DUMMYFUNCTION("""COMPUTED_VALUE"""),"Not Available")</f>
        <v>Not Available</v>
      </c>
      <c r="U195" s="124" t="str">
        <f>IFERROR(__xludf.DUMMYFUNCTION("""COMPUTED_VALUE"""),"Not Available")</f>
        <v>Not Available</v>
      </c>
      <c r="V195" s="124" t="str">
        <f>IFERROR(__xludf.DUMMYFUNCTION("""COMPUTED_VALUE"""),"Not Available")</f>
        <v>Not Available</v>
      </c>
      <c r="W195" s="124" t="str">
        <f>IFERROR(__xludf.DUMMYFUNCTION("""COMPUTED_VALUE"""),"Not Available")</f>
        <v>Not Available</v>
      </c>
    </row>
    <row r="196">
      <c r="A196" s="124" t="str">
        <f t="shared" si="1"/>
        <v>agraharishriyansh05@gmail.com</v>
      </c>
      <c r="B196" s="131">
        <f>IFERROR(__xludf.DUMMYFUNCTION("""COMPUTED_VALUE"""),46079.0)</f>
        <v>46079</v>
      </c>
      <c r="C196" s="124" t="str">
        <f>IFERROR(__xludf.DUMMYFUNCTION("""COMPUTED_VALUE"""),"Payment data from Collexo")</f>
        <v>Payment data from Collexo</v>
      </c>
      <c r="D196" s="124" t="str">
        <f>IFERROR(__xludf.DUMMYFUNCTION("""COMPUTED_VALUE"""),"Not Available")</f>
        <v>Not Available</v>
      </c>
      <c r="E196" s="124">
        <f>IFERROR(__xludf.DUMMYFUNCTION("""COMPUTED_VALUE"""),1500613.0)</f>
        <v>1500613</v>
      </c>
      <c r="F196" s="124">
        <f>IFERROR(__xludf.DUMMYFUNCTION("""COMPUTED_VALUE"""),124555.0)</f>
        <v>124555</v>
      </c>
      <c r="G196" s="124">
        <f>IFERROR(__xludf.DUMMYFUNCTION("""COMPUTED_VALUE"""),6000.0)</f>
        <v>6000</v>
      </c>
      <c r="H196" s="131">
        <f>IFERROR(__xludf.DUMMYFUNCTION("""COMPUTED_VALUE"""),46093.0)</f>
        <v>46093</v>
      </c>
      <c r="I196" s="124">
        <f>IFERROR(__xludf.DUMMYFUNCTION("""COMPUTED_VALUE"""),15000.0)</f>
        <v>15000</v>
      </c>
      <c r="J196" s="124">
        <f>IFERROR(__xludf.DUMMYFUNCTION("""COMPUTED_VALUE"""),21000.0)</f>
        <v>21000</v>
      </c>
      <c r="K196" s="124">
        <f>IFERROR(__xludf.DUMMYFUNCTION("""COMPUTED_VALUE"""),2.0)</f>
        <v>2</v>
      </c>
      <c r="L196" s="124">
        <f>IFERROR(__xludf.DUMMYFUNCTION("""COMPUTED_VALUE"""),349.0)</f>
        <v>349</v>
      </c>
      <c r="M196" s="124" t="str">
        <f>IFERROR(__xludf.DUMMYFUNCTION("""COMPUTED_VALUE"""),"Prayagraj")</f>
        <v>Prayagraj</v>
      </c>
      <c r="N196" s="124" t="str">
        <f>IFERROR(__xludf.DUMMYFUNCTION("""COMPUTED_VALUE"""),"agraharishriyansh05@gmail.com")</f>
        <v>agraharishriyansh05@gmail.com</v>
      </c>
      <c r="O196" s="124" t="str">
        <f>IFERROR(__xludf.DUMMYFUNCTION("""COMPUTED_VALUE"""),"Shreyansh Agrahari")</f>
        <v>Shreyansh Agrahari</v>
      </c>
      <c r="P196" s="124">
        <f>IFERROR(__xludf.DUMMYFUNCTION("""COMPUTED_VALUE"""),124555.0)</f>
        <v>124555</v>
      </c>
      <c r="Q196" s="124" t="str">
        <f>IFERROR(__xludf.DUMMYFUNCTION("""COMPUTED_VALUE"""),"samadhan-mentorship-program-pry")</f>
        <v>samadhan-mentorship-program-pry</v>
      </c>
      <c r="R196" s="124" t="str">
        <f>IFERROR(__xludf.DUMMYFUNCTION("""COMPUTED_VALUE"""),"Mentorship - Samadhan")</f>
        <v>Mentorship - Samadhan</v>
      </c>
      <c r="S196" s="124">
        <f>IFERROR(__xludf.DUMMYFUNCTION("""COMPUTED_VALUE"""),9.125646548E9)</f>
        <v>9125646548</v>
      </c>
      <c r="T196" s="124" t="str">
        <f>IFERROR(__xludf.DUMMYFUNCTION("""COMPUTED_VALUE"""),"Not Available")</f>
        <v>Not Available</v>
      </c>
      <c r="U196" s="124" t="str">
        <f>IFERROR(__xludf.DUMMYFUNCTION("""COMPUTED_VALUE"""),"Not Available")</f>
        <v>Not Available</v>
      </c>
      <c r="V196" s="124" t="str">
        <f>IFERROR(__xludf.DUMMYFUNCTION("""COMPUTED_VALUE"""),"Not Available")</f>
        <v>Not Available</v>
      </c>
      <c r="W196" s="124" t="str">
        <f>IFERROR(__xludf.DUMMYFUNCTION("""COMPUTED_VALUE"""),"Not Available")</f>
        <v>Not Available</v>
      </c>
    </row>
    <row r="197">
      <c r="A197" s="124" t="str">
        <f t="shared" si="1"/>
        <v>rajankitttttt1405@gmail.com</v>
      </c>
      <c r="B197" s="131">
        <f>IFERROR(__xludf.DUMMYFUNCTION("""COMPUTED_VALUE"""),46102.0)</f>
        <v>46102</v>
      </c>
      <c r="C197" s="124" t="str">
        <f>IFERROR(__xludf.DUMMYFUNCTION("""COMPUTED_VALUE"""),"Payment data from Collexo")</f>
        <v>Payment data from Collexo</v>
      </c>
      <c r="D197" s="124" t="str">
        <f>IFERROR(__xludf.DUMMYFUNCTION("""COMPUTED_VALUE"""),"Not Available")</f>
        <v>Not Available</v>
      </c>
      <c r="E197" s="124">
        <f>IFERROR(__xludf.DUMMYFUNCTION("""COMPUTED_VALUE"""),1500609.0)</f>
        <v>1500609</v>
      </c>
      <c r="F197" s="124" t="str">
        <f>IFERROR(__xludf.DUMMYFUNCTION("""COMPUTED_VALUE"""),"15697_988_7")</f>
        <v>15697_988_7</v>
      </c>
      <c r="G197" s="124">
        <f>IFERROR(__xludf.DUMMYFUNCTION("""COMPUTED_VALUE"""),80000.0)</f>
        <v>80000</v>
      </c>
      <c r="H197" s="124" t="str">
        <f>IFERROR(__xludf.DUMMYFUNCTION("""COMPUTED_VALUE"""),"Not Available")</f>
        <v>Not Available</v>
      </c>
      <c r="I197" s="124">
        <f>IFERROR(__xludf.DUMMYFUNCTION("""COMPUTED_VALUE"""),0.0)</f>
        <v>0</v>
      </c>
      <c r="J197" s="124">
        <f>IFERROR(__xludf.DUMMYFUNCTION("""COMPUTED_VALUE"""),120000.0)</f>
        <v>120000</v>
      </c>
      <c r="K197" s="124">
        <f>IFERROR(__xludf.DUMMYFUNCTION("""COMPUTED_VALUE"""),2.0)</f>
        <v>2</v>
      </c>
      <c r="L197" s="124">
        <f>IFERROR(__xludf.DUMMYFUNCTION("""COMPUTED_VALUE"""),659.0)</f>
        <v>659</v>
      </c>
      <c r="M197" s="124" t="str">
        <f>IFERROR(__xludf.DUMMYFUNCTION("""COMPUTED_VALUE"""),"New Delhi")</f>
        <v>New Delhi</v>
      </c>
      <c r="N197" s="124" t="str">
        <f>IFERROR(__xludf.DUMMYFUNCTION("""COMPUTED_VALUE"""),"rajankitttttt1405@gmail.com")</f>
        <v>rajankitttttt1405@gmail.com</v>
      </c>
      <c r="O197" s="124" t="str">
        <f>IFERROR(__xludf.DUMMYFUNCTION("""COMPUTED_VALUE"""),"Ankit")</f>
        <v>Ankit</v>
      </c>
      <c r="P197" s="124">
        <f>IFERROR(__xludf.DUMMYFUNCTION("""COMPUTED_VALUE"""),129294.0)</f>
        <v>129294</v>
      </c>
      <c r="Q197" s="124" t="str">
        <f>IFERROR(__xludf.DUMMYFUNCTION("""COMPUTED_VALUE"""),"upsc-gs-foundation-hinglish-target-2028-gsf-upsc-m05-orn")</f>
        <v>upsc-gs-foundation-hinglish-target-2028-gsf-upsc-m05-orn</v>
      </c>
      <c r="R197" s="124" t="str">
        <f>IFERROR(__xludf.DUMMYFUNCTION("""COMPUTED_VALUE"""),"GS Foundation Course")</f>
        <v>GS Foundation Course</v>
      </c>
      <c r="S197" s="124">
        <f>IFERROR(__xludf.DUMMYFUNCTION("""COMPUTED_VALUE"""),9.990504871E9)</f>
        <v>9990504871</v>
      </c>
      <c r="T197" s="124" t="str">
        <f>IFERROR(__xludf.DUMMYFUNCTION("""COMPUTED_VALUE"""),"Collexo")</f>
        <v>Collexo</v>
      </c>
      <c r="U197" s="124" t="str">
        <f>IFERROR(__xludf.DUMMYFUNCTION("""COMPUTED_VALUE"""),"Success")</f>
        <v>Success</v>
      </c>
      <c r="V197" s="131">
        <f>IFERROR(__xludf.DUMMYFUNCTION("""COMPUTED_VALUE"""),46102.0)</f>
        <v>46102</v>
      </c>
      <c r="W197" s="124">
        <f>IFERROR(__xludf.DUMMYFUNCTION("""COMPUTED_VALUE"""),0.0)</f>
        <v>0</v>
      </c>
    </row>
    <row r="198">
      <c r="A198" s="124" t="str">
        <f t="shared" si="1"/>
        <v>agraharishriyansh05@gmail.com</v>
      </c>
      <c r="B198" s="131">
        <f>IFERROR(__xludf.DUMMYFUNCTION("""COMPUTED_VALUE"""),46098.0)</f>
        <v>46098</v>
      </c>
      <c r="C198" s="124" t="str">
        <f>IFERROR(__xludf.DUMMYFUNCTION("""COMPUTED_VALUE"""),"Payment data from Collexo")</f>
        <v>Payment data from Collexo</v>
      </c>
      <c r="D198" s="124" t="str">
        <f>IFERROR(__xludf.DUMMYFUNCTION("""COMPUTED_VALUE"""),"Not Available")</f>
        <v>Not Available</v>
      </c>
      <c r="E198" s="124">
        <f>IFERROR(__xludf.DUMMYFUNCTION("""COMPUTED_VALUE"""),1500613.0)</f>
        <v>1500613</v>
      </c>
      <c r="F198" s="124">
        <f>IFERROR(__xludf.DUMMYFUNCTION("""COMPUTED_VALUE"""),124555.0)</f>
        <v>124555</v>
      </c>
      <c r="G198" s="124">
        <f>IFERROR(__xludf.DUMMYFUNCTION("""COMPUTED_VALUE"""),15000.0)</f>
        <v>15000</v>
      </c>
      <c r="H198" s="124" t="str">
        <f>IFERROR(__xludf.DUMMYFUNCTION("""COMPUTED_VALUE"""),"Not Available")</f>
        <v>Not Available</v>
      </c>
      <c r="I198" s="124">
        <f>IFERROR(__xludf.DUMMYFUNCTION("""COMPUTED_VALUE"""),0.0)</f>
        <v>0</v>
      </c>
      <c r="J198" s="124">
        <f>IFERROR(__xludf.DUMMYFUNCTION("""COMPUTED_VALUE"""),21000.0)</f>
        <v>21000</v>
      </c>
      <c r="K198" s="124">
        <f>IFERROR(__xludf.DUMMYFUNCTION("""COMPUTED_VALUE"""),2.0)</f>
        <v>2</v>
      </c>
      <c r="L198" s="124">
        <f>IFERROR(__xludf.DUMMYFUNCTION("""COMPUTED_VALUE"""),586.0)</f>
        <v>586</v>
      </c>
      <c r="M198" s="124" t="str">
        <f>IFERROR(__xludf.DUMMYFUNCTION("""COMPUTED_VALUE"""),"Prayagraj")</f>
        <v>Prayagraj</v>
      </c>
      <c r="N198" s="124" t="str">
        <f>IFERROR(__xludf.DUMMYFUNCTION("""COMPUTED_VALUE"""),"agraharishriyansh05@gmail.com")</f>
        <v>agraharishriyansh05@gmail.com</v>
      </c>
      <c r="O198" s="124" t="str">
        <f>IFERROR(__xludf.DUMMYFUNCTION("""COMPUTED_VALUE"""),"Shreyansh Agrahari")</f>
        <v>Shreyansh Agrahari</v>
      </c>
      <c r="P198" s="124">
        <f>IFERROR(__xludf.DUMMYFUNCTION("""COMPUTED_VALUE"""),124555.0)</f>
        <v>124555</v>
      </c>
      <c r="Q198" s="124" t="str">
        <f>IFERROR(__xludf.DUMMYFUNCTION("""COMPUTED_VALUE"""),"samadhan-mentorship-program-pry")</f>
        <v>samadhan-mentorship-program-pry</v>
      </c>
      <c r="R198" s="124" t="str">
        <f>IFERROR(__xludf.DUMMYFUNCTION("""COMPUTED_VALUE"""),"Mentorship - Samadhan")</f>
        <v>Mentorship - Samadhan</v>
      </c>
      <c r="S198" s="124">
        <f>IFERROR(__xludf.DUMMYFUNCTION("""COMPUTED_VALUE"""),9.125646548E9)</f>
        <v>9125646548</v>
      </c>
      <c r="T198" s="124" t="str">
        <f>IFERROR(__xludf.DUMMYFUNCTION("""COMPUTED_VALUE"""),"Not Available")</f>
        <v>Not Available</v>
      </c>
      <c r="U198" s="124" t="str">
        <f>IFERROR(__xludf.DUMMYFUNCTION("""COMPUTED_VALUE"""),"Not Available")</f>
        <v>Not Available</v>
      </c>
      <c r="V198" s="124" t="str">
        <f>IFERROR(__xludf.DUMMYFUNCTION("""COMPUTED_VALUE"""),"Not Available")</f>
        <v>Not Available</v>
      </c>
      <c r="W198" s="124" t="str">
        <f>IFERROR(__xludf.DUMMYFUNCTION("""COMPUTED_VALUE"""),"Not Available")</f>
        <v>Not Available</v>
      </c>
    </row>
    <row r="199">
      <c r="A199" s="124" t="str">
        <f t="shared" si="1"/>
        <v>rajankitttttt1405@gmail.com</v>
      </c>
      <c r="B199" s="131">
        <f>IFERROR(__xludf.DUMMYFUNCTION("""COMPUTED_VALUE"""),46102.0)</f>
        <v>46102</v>
      </c>
      <c r="C199" s="124" t="str">
        <f>IFERROR(__xludf.DUMMYFUNCTION("""COMPUTED_VALUE"""),"Payment data from Collexo")</f>
        <v>Payment data from Collexo</v>
      </c>
      <c r="D199" s="124" t="str">
        <f>IFERROR(__xludf.DUMMYFUNCTION("""COMPUTED_VALUE"""),"Not Available")</f>
        <v>Not Available</v>
      </c>
      <c r="E199" s="124">
        <f>IFERROR(__xludf.DUMMYFUNCTION("""COMPUTED_VALUE"""),1500609.0)</f>
        <v>1500609</v>
      </c>
      <c r="F199" s="124" t="str">
        <f>IFERROR(__xludf.DUMMYFUNCTION("""COMPUTED_VALUE"""),"15696_988_7")</f>
        <v>15696_988_7</v>
      </c>
      <c r="G199" s="124">
        <f>IFERROR(__xludf.DUMMYFUNCTION("""COMPUTED_VALUE"""),40000.0)</f>
        <v>40000</v>
      </c>
      <c r="H199" s="131">
        <f>IFERROR(__xludf.DUMMYFUNCTION("""COMPUTED_VALUE"""),46112.0)</f>
        <v>46112</v>
      </c>
      <c r="I199" s="124">
        <f>IFERROR(__xludf.DUMMYFUNCTION("""COMPUTED_VALUE"""),80000.0)</f>
        <v>80000</v>
      </c>
      <c r="J199" s="124">
        <f>IFERROR(__xludf.DUMMYFUNCTION("""COMPUTED_VALUE"""),120000.0)</f>
        <v>120000</v>
      </c>
      <c r="K199" s="124">
        <f>IFERROR(__xludf.DUMMYFUNCTION("""COMPUTED_VALUE"""),2.0)</f>
        <v>2</v>
      </c>
      <c r="L199" s="124">
        <f>IFERROR(__xludf.DUMMYFUNCTION("""COMPUTED_VALUE"""),658.0)</f>
        <v>658</v>
      </c>
      <c r="M199" s="124" t="str">
        <f>IFERROR(__xludf.DUMMYFUNCTION("""COMPUTED_VALUE"""),"New Delhi")</f>
        <v>New Delhi</v>
      </c>
      <c r="N199" s="124" t="str">
        <f>IFERROR(__xludf.DUMMYFUNCTION("""COMPUTED_VALUE"""),"rajankitttttt1405@gmail.com")</f>
        <v>rajankitttttt1405@gmail.com</v>
      </c>
      <c r="O199" s="124" t="str">
        <f>IFERROR(__xludf.DUMMYFUNCTION("""COMPUTED_VALUE"""),"Ankit")</f>
        <v>Ankit</v>
      </c>
      <c r="P199" s="124">
        <f>IFERROR(__xludf.DUMMYFUNCTION("""COMPUTED_VALUE"""),129294.0)</f>
        <v>129294</v>
      </c>
      <c r="Q199" s="124" t="str">
        <f>IFERROR(__xludf.DUMMYFUNCTION("""COMPUTED_VALUE"""),"upsc-gs-foundation-hinglish-target-2028-gsf-upsc-m05-orn")</f>
        <v>upsc-gs-foundation-hinglish-target-2028-gsf-upsc-m05-orn</v>
      </c>
      <c r="R199" s="124" t="str">
        <f>IFERROR(__xludf.DUMMYFUNCTION("""COMPUTED_VALUE"""),"GS Foundation Course")</f>
        <v>GS Foundation Course</v>
      </c>
      <c r="S199" s="124">
        <f>IFERROR(__xludf.DUMMYFUNCTION("""COMPUTED_VALUE"""),9.990504871E9)</f>
        <v>9990504871</v>
      </c>
      <c r="T199" s="124" t="str">
        <f>IFERROR(__xludf.DUMMYFUNCTION("""COMPUTED_VALUE"""),"Collexo")</f>
        <v>Collexo</v>
      </c>
      <c r="U199" s="124" t="str">
        <f>IFERROR(__xludf.DUMMYFUNCTION("""COMPUTED_VALUE"""),"Success")</f>
        <v>Success</v>
      </c>
      <c r="V199" s="131">
        <f>IFERROR(__xludf.DUMMYFUNCTION("""COMPUTED_VALUE"""),46102.0)</f>
        <v>46102</v>
      </c>
      <c r="W199" s="124">
        <f>IFERROR(__xludf.DUMMYFUNCTION("""COMPUTED_VALUE"""),0.0)</f>
        <v>0</v>
      </c>
    </row>
    <row r="200">
      <c r="A200" s="124" t="str">
        <f t="shared" si="1"/>
        <v>lakshya.guptaforwork@gmail.com</v>
      </c>
      <c r="B200" s="131">
        <f>IFERROR(__xludf.DUMMYFUNCTION("""COMPUTED_VALUE"""),46051.0)</f>
        <v>46051</v>
      </c>
      <c r="C200" s="124" t="str">
        <f>IFERROR(__xludf.DUMMYFUNCTION("""COMPUTED_VALUE"""),"Payment data from Collexo")</f>
        <v>Payment data from Collexo</v>
      </c>
      <c r="D200" s="124" t="str">
        <f>IFERROR(__xludf.DUMMYFUNCTION("""COMPUTED_VALUE"""),"Not Available")</f>
        <v>Not Available</v>
      </c>
      <c r="E200" s="124">
        <f>IFERROR(__xludf.DUMMYFUNCTION("""COMPUTED_VALUE"""),1500609.0)</f>
        <v>1500609</v>
      </c>
      <c r="F200" s="124" t="str">
        <f>IFERROR(__xludf.DUMMYFUNCTION("""COMPUTED_VALUE"""),"2912_988_7")</f>
        <v>2912_988_7</v>
      </c>
      <c r="G200" s="124">
        <f>IFERROR(__xludf.DUMMYFUNCTION("""COMPUTED_VALUE"""),70000.0)</f>
        <v>70000</v>
      </c>
      <c r="H200" s="124" t="str">
        <f>IFERROR(__xludf.DUMMYFUNCTION("""COMPUTED_VALUE"""),"Not Available")</f>
        <v>Not Available</v>
      </c>
      <c r="I200" s="124">
        <f>IFERROR(__xludf.DUMMYFUNCTION("""COMPUTED_VALUE"""),0.0)</f>
        <v>0</v>
      </c>
      <c r="J200" s="124">
        <f>IFERROR(__xludf.DUMMYFUNCTION("""COMPUTED_VALUE"""),75000.0)</f>
        <v>75000</v>
      </c>
      <c r="K200" s="124">
        <f>IFERROR(__xludf.DUMMYFUNCTION("""COMPUTED_VALUE"""),2.0)</f>
        <v>2</v>
      </c>
      <c r="L200" s="124">
        <f>IFERROR(__xludf.DUMMYFUNCTION("""COMPUTED_VALUE"""),130.0)</f>
        <v>130</v>
      </c>
      <c r="M200" s="124" t="str">
        <f>IFERROR(__xludf.DUMMYFUNCTION("""COMPUTED_VALUE"""),"New Delhi")</f>
        <v>New Delhi</v>
      </c>
      <c r="N200" s="124" t="str">
        <f>IFERROR(__xludf.DUMMYFUNCTION("""COMPUTED_VALUE"""),"lakshya.guptaforwork@gmail.com")</f>
        <v>lakshya.guptaforwork@gmail.com</v>
      </c>
      <c r="O200" s="124" t="str">
        <f>IFERROR(__xludf.DUMMYFUNCTION("""COMPUTED_VALUE"""),"lakshya")</f>
        <v>lakshya</v>
      </c>
      <c r="P200" s="124">
        <f>IFERROR(__xludf.DUMMYFUNCTION("""COMPUTED_VALUE"""),89109.0)</f>
        <v>89109</v>
      </c>
      <c r="Q200" s="124" t="str">
        <f>IFERROR(__xludf.DUMMYFUNCTION("""COMPUTED_VALUE"""),"ncert-foundation-hinglish-target-2026-nce-upsc-e02-orn")</f>
        <v>ncert-foundation-hinglish-target-2026-nce-upsc-e02-orn</v>
      </c>
      <c r="R200" s="124" t="str">
        <f>IFERROR(__xludf.DUMMYFUNCTION("""COMPUTED_VALUE"""),"GS Foundation Course")</f>
        <v>GS Foundation Course</v>
      </c>
      <c r="S200" s="124">
        <f>IFERROR(__xludf.DUMMYFUNCTION("""COMPUTED_VALUE"""),9.355666501E9)</f>
        <v>9355666501</v>
      </c>
      <c r="T200" s="124" t="str">
        <f>IFERROR(__xludf.DUMMYFUNCTION("""COMPUTED_VALUE"""),"Collexo")</f>
        <v>Collexo</v>
      </c>
      <c r="U200" s="124" t="str">
        <f>IFERROR(__xludf.DUMMYFUNCTION("""COMPUTED_VALUE"""),"Success")</f>
        <v>Success</v>
      </c>
      <c r="V200" s="131">
        <f>IFERROR(__xludf.DUMMYFUNCTION("""COMPUTED_VALUE"""),46051.0)</f>
        <v>46051</v>
      </c>
      <c r="W200" s="124">
        <f>IFERROR(__xludf.DUMMYFUNCTION("""COMPUTED_VALUE"""),0.0)</f>
        <v>0</v>
      </c>
    </row>
    <row r="201">
      <c r="A201" s="124" t="str">
        <f t="shared" si="1"/>
        <v>trendwithmanish@gmail.com</v>
      </c>
      <c r="B201" s="131">
        <f>IFERROR(__xludf.DUMMYFUNCTION("""COMPUTED_VALUE"""),46105.0)</f>
        <v>46105</v>
      </c>
      <c r="C201" s="124" t="str">
        <f>IFERROR(__xludf.DUMMYFUNCTION("""COMPUTED_VALUE"""),"Payment data from Collexo")</f>
        <v>Payment data from Collexo</v>
      </c>
      <c r="D201" s="124" t="str">
        <f>IFERROR(__xludf.DUMMYFUNCTION("""COMPUTED_VALUE"""),"Not Available")</f>
        <v>Not Available</v>
      </c>
      <c r="E201" s="124">
        <f>IFERROR(__xludf.DUMMYFUNCTION("""COMPUTED_VALUE"""),1500611.0)</f>
        <v>1500611</v>
      </c>
      <c r="F201" s="124">
        <f>IFERROR(__xludf.DUMMYFUNCTION("""COMPUTED_VALUE"""),105349.0)</f>
        <v>105349</v>
      </c>
      <c r="G201" s="124">
        <f>IFERROR(__xludf.DUMMYFUNCTION("""COMPUTED_VALUE"""),54000.0)</f>
        <v>54000</v>
      </c>
      <c r="H201" s="124" t="str">
        <f>IFERROR(__xludf.DUMMYFUNCTION("""COMPUTED_VALUE"""),"Not Available")</f>
        <v>Not Available</v>
      </c>
      <c r="I201" s="124">
        <f>IFERROR(__xludf.DUMMYFUNCTION("""COMPUTED_VALUE"""),0.0)</f>
        <v>0</v>
      </c>
      <c r="J201" s="124">
        <f>IFERROR(__xludf.DUMMYFUNCTION("""COMPUTED_VALUE"""),60000.0)</f>
        <v>60000</v>
      </c>
      <c r="K201" s="124">
        <f>IFERROR(__xludf.DUMMYFUNCTION("""COMPUTED_VALUE"""),2.0)</f>
        <v>2</v>
      </c>
      <c r="L201" s="124">
        <f>IFERROR(__xludf.DUMMYFUNCTION("""COMPUTED_VALUE"""),706.0)</f>
        <v>706</v>
      </c>
      <c r="M201" s="124" t="str">
        <f>IFERROR(__xludf.DUMMYFUNCTION("""COMPUTED_VALUE"""),"Patna")</f>
        <v>Patna</v>
      </c>
      <c r="N201" s="124" t="str">
        <f>IFERROR(__xludf.DUMMYFUNCTION("""COMPUTED_VALUE"""),"trendwithmanish@gmail.com")</f>
        <v>trendwithmanish@gmail.com</v>
      </c>
      <c r="O201" s="124" t="str">
        <f>IFERROR(__xludf.DUMMYFUNCTION("""COMPUTED_VALUE"""),"Manish Kumar")</f>
        <v>Manish Kumar</v>
      </c>
      <c r="P201" s="124">
        <f>IFERROR(__xludf.DUMMYFUNCTION("""COMPUTED_VALUE"""),105349.0)</f>
        <v>105349</v>
      </c>
      <c r="Q201" s="124" t="str">
        <f>IFERROR(__xludf.DUMMYFUNCTION("""COMPUTED_VALUE"""),"upsc-gs-foundation-hinglish-target-2027-gsf-upsc-e03-pat")</f>
        <v>upsc-gs-foundation-hinglish-target-2027-gsf-upsc-e03-pat</v>
      </c>
      <c r="R201" s="124" t="str">
        <f>IFERROR(__xludf.DUMMYFUNCTION("""COMPUTED_VALUE"""),"GS Foundation Course")</f>
        <v>GS Foundation Course</v>
      </c>
      <c r="S201" s="124">
        <f>IFERROR(__xludf.DUMMYFUNCTION("""COMPUTED_VALUE"""),8.757399474E9)</f>
        <v>8757399474</v>
      </c>
      <c r="T201" s="124" t="str">
        <f>IFERROR(__xludf.DUMMYFUNCTION("""COMPUTED_VALUE"""),"Not Available")</f>
        <v>Not Available</v>
      </c>
      <c r="U201" s="124" t="str">
        <f>IFERROR(__xludf.DUMMYFUNCTION("""COMPUTED_VALUE"""),"Not Available")</f>
        <v>Not Available</v>
      </c>
      <c r="V201" s="124" t="str">
        <f>IFERROR(__xludf.DUMMYFUNCTION("""COMPUTED_VALUE"""),"Not Available")</f>
        <v>Not Available</v>
      </c>
      <c r="W201" s="124" t="str">
        <f>IFERROR(__xludf.DUMMYFUNCTION("""COMPUTED_VALUE"""),"Not Available")</f>
        <v>Not Available</v>
      </c>
    </row>
    <row r="202">
      <c r="A202" s="124" t="str">
        <f t="shared" si="1"/>
        <v>mdhaseena1004@gmail.com</v>
      </c>
      <c r="B202" s="131">
        <f>IFERROR(__xludf.DUMMYFUNCTION("""COMPUTED_VALUE"""),46070.0)</f>
        <v>46070</v>
      </c>
      <c r="C202" s="124" t="str">
        <f>IFERROR(__xludf.DUMMYFUNCTION("""COMPUTED_VALUE"""),"Payment data from Collexo")</f>
        <v>Payment data from Collexo</v>
      </c>
      <c r="D202" s="124" t="str">
        <f>IFERROR(__xludf.DUMMYFUNCTION("""COMPUTED_VALUE"""),"Not Available")</f>
        <v>Not Available</v>
      </c>
      <c r="E202" s="124">
        <f>IFERROR(__xludf.DUMMYFUNCTION("""COMPUTED_VALUE"""),1500609.0)</f>
        <v>1500609</v>
      </c>
      <c r="F202" s="124" t="str">
        <f>IFERROR(__xludf.DUMMYFUNCTION("""COMPUTED_VALUE"""),"5643_988_7")</f>
        <v>5643_988_7</v>
      </c>
      <c r="G202" s="124">
        <f>IFERROR(__xludf.DUMMYFUNCTION("""COMPUTED_VALUE"""),10000.0)</f>
        <v>10000</v>
      </c>
      <c r="H202" s="131">
        <f>IFERROR(__xludf.DUMMYFUNCTION("""COMPUTED_VALUE"""),46081.0)</f>
        <v>46081</v>
      </c>
      <c r="I202" s="124">
        <f>IFERROR(__xludf.DUMMYFUNCTION("""COMPUTED_VALUE"""),125000.0)</f>
        <v>125000</v>
      </c>
      <c r="J202" s="124">
        <f>IFERROR(__xludf.DUMMYFUNCTION("""COMPUTED_VALUE"""),135000.0)</f>
        <v>135000</v>
      </c>
      <c r="K202" s="124">
        <f>IFERROR(__xludf.DUMMYFUNCTION("""COMPUTED_VALUE"""),2.0)</f>
        <v>2</v>
      </c>
      <c r="L202" s="124">
        <f>IFERROR(__xludf.DUMMYFUNCTION("""COMPUTED_VALUE"""),246.0)</f>
        <v>246</v>
      </c>
      <c r="M202" s="124" t="str">
        <f>IFERROR(__xludf.DUMMYFUNCTION("""COMPUTED_VALUE"""),"New Delhi")</f>
        <v>New Delhi</v>
      </c>
      <c r="N202" s="124" t="str">
        <f>IFERROR(__xludf.DUMMYFUNCTION("""COMPUTED_VALUE"""),"mdhaseena1004@gmail.com")</f>
        <v>mdhaseena1004@gmail.com</v>
      </c>
      <c r="O202" s="124" t="str">
        <f>IFERROR(__xludf.DUMMYFUNCTION("""COMPUTED_VALUE"""),"Haseena")</f>
        <v>Haseena</v>
      </c>
      <c r="P202" s="124">
        <f>IFERROR(__xludf.DUMMYFUNCTION("""COMPUTED_VALUE"""),123766.0)</f>
        <v>123766</v>
      </c>
      <c r="Q202" s="124" t="str">
        <f>IFERROR(__xludf.DUMMYFUNCTION("""COMPUTED_VALUE"""),"upsc-gs-foundation-hinglish-target-2027-gsf-upsc-m04-orn")</f>
        <v>upsc-gs-foundation-hinglish-target-2027-gsf-upsc-m04-orn</v>
      </c>
      <c r="R202" s="124" t="str">
        <f>IFERROR(__xludf.DUMMYFUNCTION("""COMPUTED_VALUE"""),"GS Foundation Course")</f>
        <v>GS Foundation Course</v>
      </c>
      <c r="S202" s="124">
        <f>IFERROR(__xludf.DUMMYFUNCTION("""COMPUTED_VALUE"""),8.688883282E9)</f>
        <v>8688883282</v>
      </c>
      <c r="T202" s="124" t="str">
        <f>IFERROR(__xludf.DUMMYFUNCTION("""COMPUTED_VALUE"""),"Collexo")</f>
        <v>Collexo</v>
      </c>
      <c r="U202" s="124" t="str">
        <f>IFERROR(__xludf.DUMMYFUNCTION("""COMPUTED_VALUE"""),"Success")</f>
        <v>Success</v>
      </c>
      <c r="V202" s="131">
        <f>IFERROR(__xludf.DUMMYFUNCTION("""COMPUTED_VALUE"""),46070.0)</f>
        <v>46070</v>
      </c>
      <c r="W202" s="124">
        <f>IFERROR(__xludf.DUMMYFUNCTION("""COMPUTED_VALUE"""),0.0)</f>
        <v>0</v>
      </c>
    </row>
    <row r="203">
      <c r="A203" s="124" t="str">
        <f t="shared" si="1"/>
        <v>singhchetan151295@gmail.com</v>
      </c>
      <c r="B203" s="131">
        <f>IFERROR(__xludf.DUMMYFUNCTION("""COMPUTED_VALUE"""),46089.0)</f>
        <v>46089</v>
      </c>
      <c r="C203" s="124" t="str">
        <f>IFERROR(__xludf.DUMMYFUNCTION("""COMPUTED_VALUE"""),"Payment data from Collexo")</f>
        <v>Payment data from Collexo</v>
      </c>
      <c r="D203" s="124" t="str">
        <f>IFERROR(__xludf.DUMMYFUNCTION("""COMPUTED_VALUE"""),"Not Available")</f>
        <v>Not Available</v>
      </c>
      <c r="E203" s="124">
        <f>IFERROR(__xludf.DUMMYFUNCTION("""COMPUTED_VALUE"""),1500613.0)</f>
        <v>1500613</v>
      </c>
      <c r="F203" s="124">
        <f>IFERROR(__xludf.DUMMYFUNCTION("""COMPUTED_VALUE"""),126627.0)</f>
        <v>126627</v>
      </c>
      <c r="G203" s="124">
        <f>IFERROR(__xludf.DUMMYFUNCTION("""COMPUTED_VALUE"""),21000.0)</f>
        <v>21000</v>
      </c>
      <c r="H203" s="124" t="str">
        <f>IFERROR(__xludf.DUMMYFUNCTION("""COMPUTED_VALUE"""),"Not Available")</f>
        <v>Not Available</v>
      </c>
      <c r="I203" s="124">
        <f>IFERROR(__xludf.DUMMYFUNCTION("""COMPUTED_VALUE"""),0.0)</f>
        <v>0</v>
      </c>
      <c r="J203" s="124">
        <f>IFERROR(__xludf.DUMMYFUNCTION("""COMPUTED_VALUE"""),21000.0)</f>
        <v>21000</v>
      </c>
      <c r="K203" s="124">
        <f>IFERROR(__xludf.DUMMYFUNCTION("""COMPUTED_VALUE"""),1.0)</f>
        <v>1</v>
      </c>
      <c r="L203" s="124">
        <f>IFERROR(__xludf.DUMMYFUNCTION("""COMPUTED_VALUE"""),433.0)</f>
        <v>433</v>
      </c>
      <c r="M203" s="124" t="str">
        <f>IFERROR(__xludf.DUMMYFUNCTION("""COMPUTED_VALUE"""),"Prayagraj")</f>
        <v>Prayagraj</v>
      </c>
      <c r="N203" s="124" t="str">
        <f>IFERROR(__xludf.DUMMYFUNCTION("""COMPUTED_VALUE"""),"singhchetan151295@gmail.com")</f>
        <v>singhchetan151295@gmail.com</v>
      </c>
      <c r="O203" s="124" t="str">
        <f>IFERROR(__xludf.DUMMYFUNCTION("""COMPUTED_VALUE"""),"Chetan singh")</f>
        <v>Chetan singh</v>
      </c>
      <c r="P203" s="124">
        <f>IFERROR(__xludf.DUMMYFUNCTION("""COMPUTED_VALUE"""),126627.0)</f>
        <v>126627</v>
      </c>
      <c r="Q203" s="124" t="str">
        <f>IFERROR(__xludf.DUMMYFUNCTION("""COMPUTED_VALUE"""),"samadhan-mentorship-program-pry")</f>
        <v>samadhan-mentorship-program-pry</v>
      </c>
      <c r="R203" s="124" t="str">
        <f>IFERROR(__xludf.DUMMYFUNCTION("""COMPUTED_VALUE"""),"Mentorship - Samadhan")</f>
        <v>Mentorship - Samadhan</v>
      </c>
      <c r="S203" s="124">
        <f>IFERROR(__xludf.DUMMYFUNCTION("""COMPUTED_VALUE"""),9.169514355E9)</f>
        <v>9169514355</v>
      </c>
      <c r="T203" s="124" t="str">
        <f>IFERROR(__xludf.DUMMYFUNCTION("""COMPUTED_VALUE"""),"Not Available")</f>
        <v>Not Available</v>
      </c>
      <c r="U203" s="124" t="str">
        <f>IFERROR(__xludf.DUMMYFUNCTION("""COMPUTED_VALUE"""),"Not Available")</f>
        <v>Not Available</v>
      </c>
      <c r="V203" s="124" t="str">
        <f>IFERROR(__xludf.DUMMYFUNCTION("""COMPUTED_VALUE"""),"Not Available")</f>
        <v>Not Available</v>
      </c>
      <c r="W203" s="124" t="str">
        <f>IFERROR(__xludf.DUMMYFUNCTION("""COMPUTED_VALUE"""),"Not Available")</f>
        <v>Not Available</v>
      </c>
    </row>
    <row r="204">
      <c r="A204" s="124" t="str">
        <f t="shared" si="1"/>
        <v>lakshmikumari98168@gmail.com</v>
      </c>
      <c r="B204" s="131">
        <f>IFERROR(__xludf.DUMMYFUNCTION("""COMPUTED_VALUE"""),46051.0)</f>
        <v>46051</v>
      </c>
      <c r="C204" s="124" t="str">
        <f>IFERROR(__xludf.DUMMYFUNCTION("""COMPUTED_VALUE"""),"Payment data from Collexo")</f>
        <v>Payment data from Collexo</v>
      </c>
      <c r="D204" s="124" t="str">
        <f>IFERROR(__xludf.DUMMYFUNCTION("""COMPUTED_VALUE"""),"Not Available")</f>
        <v>Not Available</v>
      </c>
      <c r="E204" s="124">
        <f>IFERROR(__xludf.DUMMYFUNCTION("""COMPUTED_VALUE"""),1500609.0)</f>
        <v>1500609</v>
      </c>
      <c r="F204" s="124" t="str">
        <f>IFERROR(__xludf.DUMMYFUNCTION("""COMPUTED_VALUE"""),"2860_988_7")</f>
        <v>2860_988_7</v>
      </c>
      <c r="G204" s="124">
        <f>IFERROR(__xludf.DUMMYFUNCTION("""COMPUTED_VALUE"""),2000.0)</f>
        <v>2000</v>
      </c>
      <c r="H204" s="124" t="str">
        <f>IFERROR(__xludf.DUMMYFUNCTION("""COMPUTED_VALUE"""),"Not Available")</f>
        <v>Not Available</v>
      </c>
      <c r="I204" s="124">
        <f>IFERROR(__xludf.DUMMYFUNCTION("""COMPUTED_VALUE"""),0.0)</f>
        <v>0</v>
      </c>
      <c r="J204" s="124">
        <f>IFERROR(__xludf.DUMMYFUNCTION("""COMPUTED_VALUE"""),130000.0)</f>
        <v>130000</v>
      </c>
      <c r="K204" s="124">
        <f>IFERROR(__xludf.DUMMYFUNCTION("""COMPUTED_VALUE"""),4.0)</f>
        <v>4</v>
      </c>
      <c r="L204" s="124">
        <f>IFERROR(__xludf.DUMMYFUNCTION("""COMPUTED_VALUE"""),127.0)</f>
        <v>127</v>
      </c>
      <c r="M204" s="124" t="str">
        <f>IFERROR(__xludf.DUMMYFUNCTION("""COMPUTED_VALUE"""),"New Delhi")</f>
        <v>New Delhi</v>
      </c>
      <c r="N204" s="124" t="str">
        <f>IFERROR(__xludf.DUMMYFUNCTION("""COMPUTED_VALUE"""),"lakshmikumari98168@gmail.com")</f>
        <v>lakshmikumari98168@gmail.com</v>
      </c>
      <c r="O204" s="124" t="str">
        <f>IFERROR(__xludf.DUMMYFUNCTION("""COMPUTED_VALUE"""),"lakshmi")</f>
        <v>lakshmi</v>
      </c>
      <c r="P204" s="124">
        <f>IFERROR(__xludf.DUMMYFUNCTION("""COMPUTED_VALUE"""),89028.0)</f>
        <v>89028</v>
      </c>
      <c r="Q204" s="124" t="str">
        <f>IFERROR(__xludf.DUMMYFUNCTION("""COMPUTED_VALUE"""),"ncert-foundation-hinglish-target-2026-nce-upsc-e02-orn")</f>
        <v>ncert-foundation-hinglish-target-2026-nce-upsc-e02-orn</v>
      </c>
      <c r="R204" s="124" t="str">
        <f>IFERROR(__xludf.DUMMYFUNCTION("""COMPUTED_VALUE"""),"GS Foundation Course")</f>
        <v>GS Foundation Course</v>
      </c>
      <c r="S204" s="124">
        <f>IFERROR(__xludf.DUMMYFUNCTION("""COMPUTED_VALUE"""),7.050309334E9)</f>
        <v>7050309334</v>
      </c>
      <c r="T204" s="124" t="str">
        <f>IFERROR(__xludf.DUMMYFUNCTION("""COMPUTED_VALUE"""),"Collexo")</f>
        <v>Collexo</v>
      </c>
      <c r="U204" s="124" t="str">
        <f>IFERROR(__xludf.DUMMYFUNCTION("""COMPUTED_VALUE"""),"Success")</f>
        <v>Success</v>
      </c>
      <c r="V204" s="131">
        <f>IFERROR(__xludf.DUMMYFUNCTION("""COMPUTED_VALUE"""),46051.0)</f>
        <v>46051</v>
      </c>
      <c r="W204" s="124">
        <f>IFERROR(__xludf.DUMMYFUNCTION("""COMPUTED_VALUE"""),0.0)</f>
        <v>0</v>
      </c>
    </row>
    <row r="205">
      <c r="A205" s="124" t="str">
        <f t="shared" si="1"/>
        <v>nagsoham31@gmail.com</v>
      </c>
      <c r="B205" s="131">
        <f>IFERROR(__xludf.DUMMYFUNCTION("""COMPUTED_VALUE"""),46111.0)</f>
        <v>46111</v>
      </c>
      <c r="C205" s="124" t="str">
        <f>IFERROR(__xludf.DUMMYFUNCTION("""COMPUTED_VALUE"""),"Payment data from Collexo")</f>
        <v>Payment data from Collexo</v>
      </c>
      <c r="D205" s="124" t="str">
        <f>IFERROR(__xludf.DUMMYFUNCTION("""COMPUTED_VALUE"""),"Not Available")</f>
        <v>Not Available</v>
      </c>
      <c r="E205" s="124">
        <f>IFERROR(__xludf.DUMMYFUNCTION("""COMPUTED_VALUE"""),1500609.0)</f>
        <v>1500609</v>
      </c>
      <c r="F205" s="124" t="str">
        <f>IFERROR(__xludf.DUMMYFUNCTION("""COMPUTED_VALUE"""),"17469_988_7")</f>
        <v>17469_988_7</v>
      </c>
      <c r="G205" s="124">
        <f>IFERROR(__xludf.DUMMYFUNCTION("""COMPUTED_VALUE"""),100000.0)</f>
        <v>100000</v>
      </c>
      <c r="H205" s="124" t="str">
        <f>IFERROR(__xludf.DUMMYFUNCTION("""COMPUTED_VALUE"""),"Not Available")</f>
        <v>Not Available</v>
      </c>
      <c r="I205" s="124">
        <f>IFERROR(__xludf.DUMMYFUNCTION("""COMPUTED_VALUE"""),0.0)</f>
        <v>0</v>
      </c>
      <c r="J205" s="124">
        <f>IFERROR(__xludf.DUMMYFUNCTION("""COMPUTED_VALUE"""),125000.0)</f>
        <v>125000</v>
      </c>
      <c r="K205" s="124">
        <f>IFERROR(__xludf.DUMMYFUNCTION("""COMPUTED_VALUE"""),2.0)</f>
        <v>2</v>
      </c>
      <c r="L205" s="124">
        <f>IFERROR(__xludf.DUMMYFUNCTION("""COMPUTED_VALUE"""),846.0)</f>
        <v>846</v>
      </c>
      <c r="M205" s="124" t="str">
        <f>IFERROR(__xludf.DUMMYFUNCTION("""COMPUTED_VALUE"""),"New Delhi")</f>
        <v>New Delhi</v>
      </c>
      <c r="N205" s="124" t="str">
        <f>IFERROR(__xludf.DUMMYFUNCTION("""COMPUTED_VALUE"""),"nagsoham31@gmail.com")</f>
        <v>nagsoham31@gmail.com</v>
      </c>
      <c r="O205" s="124" t="str">
        <f>IFERROR(__xludf.DUMMYFUNCTION("""COMPUTED_VALUE"""),"Soham nag")</f>
        <v>Soham nag</v>
      </c>
      <c r="P205" s="124">
        <f>IFERROR(__xludf.DUMMYFUNCTION("""COMPUTED_VALUE"""),130022.0)</f>
        <v>130022</v>
      </c>
      <c r="Q205" s="124" t="str">
        <f>IFERROR(__xludf.DUMMYFUNCTION("""COMPUTED_VALUE"""),"upsc-gs-foundation-hinglish-target-2028-gsf-upsc-e05-orn")</f>
        <v>upsc-gs-foundation-hinglish-target-2028-gsf-upsc-e05-orn</v>
      </c>
      <c r="R205" s="124" t="str">
        <f>IFERROR(__xludf.DUMMYFUNCTION("""COMPUTED_VALUE"""),"GS Foundation Course")</f>
        <v>GS Foundation Course</v>
      </c>
      <c r="S205" s="124">
        <f>IFERROR(__xludf.DUMMYFUNCTION("""COMPUTED_VALUE"""),7.855045836E9)</f>
        <v>7855045836</v>
      </c>
      <c r="T205" s="124" t="str">
        <f>IFERROR(__xludf.DUMMYFUNCTION("""COMPUTED_VALUE"""),"Collexo")</f>
        <v>Collexo</v>
      </c>
      <c r="U205" s="124" t="str">
        <f>IFERROR(__xludf.DUMMYFUNCTION("""COMPUTED_VALUE"""),"Success")</f>
        <v>Success</v>
      </c>
      <c r="V205" s="131">
        <f>IFERROR(__xludf.DUMMYFUNCTION("""COMPUTED_VALUE"""),46111.0)</f>
        <v>46111</v>
      </c>
      <c r="W205" s="124">
        <f>IFERROR(__xludf.DUMMYFUNCTION("""COMPUTED_VALUE"""),0.0)</f>
        <v>0</v>
      </c>
    </row>
    <row r="206">
      <c r="A206" s="124" t="str">
        <f t="shared" si="1"/>
        <v>tiger009vip@gmail.com</v>
      </c>
      <c r="B206" s="131">
        <f>IFERROR(__xludf.DUMMYFUNCTION("""COMPUTED_VALUE"""),46091.0)</f>
        <v>46091</v>
      </c>
      <c r="C206" s="124" t="str">
        <f>IFERROR(__xludf.DUMMYFUNCTION("""COMPUTED_VALUE"""),"Payment data from Collexo")</f>
        <v>Payment data from Collexo</v>
      </c>
      <c r="D206" s="124" t="str">
        <f>IFERROR(__xludf.DUMMYFUNCTION("""COMPUTED_VALUE"""),"Not Available")</f>
        <v>Not Available</v>
      </c>
      <c r="E206" s="124">
        <f>IFERROR(__xludf.DUMMYFUNCTION("""COMPUTED_VALUE"""),1500609.0)</f>
        <v>1500609</v>
      </c>
      <c r="F206" s="124" t="str">
        <f>IFERROR(__xludf.DUMMYFUNCTION("""COMPUTED_VALUE"""),"13444_988_7")</f>
        <v>13444_988_7</v>
      </c>
      <c r="G206" s="124">
        <f>IFERROR(__xludf.DUMMYFUNCTION("""COMPUTED_VALUE"""),1000.0)</f>
        <v>1000</v>
      </c>
      <c r="H206" s="131">
        <f>IFERROR(__xludf.DUMMYFUNCTION("""COMPUTED_VALUE"""),46112.0)</f>
        <v>46112</v>
      </c>
      <c r="I206" s="124">
        <f>IFERROR(__xludf.DUMMYFUNCTION("""COMPUTED_VALUE"""),9000.0)</f>
        <v>9000</v>
      </c>
      <c r="J206" s="124">
        <f>IFERROR(__xludf.DUMMYFUNCTION("""COMPUTED_VALUE"""),110000.0)</f>
        <v>110000</v>
      </c>
      <c r="K206" s="124">
        <f>IFERROR(__xludf.DUMMYFUNCTION("""COMPUTED_VALUE"""),3.0)</f>
        <v>3</v>
      </c>
      <c r="L206" s="124">
        <f>IFERROR(__xludf.DUMMYFUNCTION("""COMPUTED_VALUE"""),471.0)</f>
        <v>471</v>
      </c>
      <c r="M206" s="124" t="str">
        <f>IFERROR(__xludf.DUMMYFUNCTION("""COMPUTED_VALUE"""),"New Delhi")</f>
        <v>New Delhi</v>
      </c>
      <c r="N206" s="124" t="str">
        <f>IFERROR(__xludf.DUMMYFUNCTION("""COMPUTED_VALUE"""),"tiger009vip@gmail.com")</f>
        <v>tiger009vip@gmail.com</v>
      </c>
      <c r="O206" s="124" t="str">
        <f>IFERROR(__xludf.DUMMYFUNCTION("""COMPUTED_VALUE"""),"Shivam")</f>
        <v>Shivam</v>
      </c>
      <c r="P206" s="124">
        <f>IFERROR(__xludf.DUMMYFUNCTION("""COMPUTED_VALUE"""),47683.0)</f>
        <v>47683</v>
      </c>
      <c r="Q206" s="124" t="str">
        <f>IFERROR(__xludf.DUMMYFUNCTION("""COMPUTED_VALUE"""),"upsc-gs-foundation-hinglish-target-2027-gsf-upsc-e04-orn")</f>
        <v>upsc-gs-foundation-hinglish-target-2027-gsf-upsc-e04-orn</v>
      </c>
      <c r="R206" s="124" t="str">
        <f>IFERROR(__xludf.DUMMYFUNCTION("""COMPUTED_VALUE"""),"GS Foundation Course")</f>
        <v>GS Foundation Course</v>
      </c>
      <c r="S206" s="124">
        <f>IFERROR(__xludf.DUMMYFUNCTION("""COMPUTED_VALUE"""),9.9588563E9)</f>
        <v>9958856300</v>
      </c>
      <c r="T206" s="124" t="str">
        <f>IFERROR(__xludf.DUMMYFUNCTION("""COMPUTED_VALUE"""),"Collexo")</f>
        <v>Collexo</v>
      </c>
      <c r="U206" s="124" t="str">
        <f>IFERROR(__xludf.DUMMYFUNCTION("""COMPUTED_VALUE"""),"Success")</f>
        <v>Success</v>
      </c>
      <c r="V206" s="131">
        <f>IFERROR(__xludf.DUMMYFUNCTION("""COMPUTED_VALUE"""),46091.0)</f>
        <v>46091</v>
      </c>
      <c r="W206" s="124">
        <f>IFERROR(__xludf.DUMMYFUNCTION("""COMPUTED_VALUE"""),0.0)</f>
        <v>0</v>
      </c>
    </row>
    <row r="207">
      <c r="A207" s="124" t="str">
        <f t="shared" si="1"/>
        <v>hraj42331@gmail.com</v>
      </c>
      <c r="B207" s="131">
        <f>IFERROR(__xludf.DUMMYFUNCTION("""COMPUTED_VALUE"""),46107.0)</f>
        <v>46107</v>
      </c>
      <c r="C207" s="124" t="str">
        <f>IFERROR(__xludf.DUMMYFUNCTION("""COMPUTED_VALUE"""),"Payment data from Collexo")</f>
        <v>Payment data from Collexo</v>
      </c>
      <c r="D207" s="124" t="str">
        <f>IFERROR(__xludf.DUMMYFUNCTION("""COMPUTED_VALUE"""),"Not Available")</f>
        <v>Not Available</v>
      </c>
      <c r="E207" s="124">
        <f>IFERROR(__xludf.DUMMYFUNCTION("""COMPUTED_VALUE"""),1500609.0)</f>
        <v>1500609</v>
      </c>
      <c r="F207" s="124" t="str">
        <f>IFERROR(__xludf.DUMMYFUNCTION("""COMPUTED_VALUE"""),"16805_988_7")</f>
        <v>16805_988_7</v>
      </c>
      <c r="G207" s="124">
        <f>IFERROR(__xludf.DUMMYFUNCTION("""COMPUTED_VALUE"""),1.0)</f>
        <v>1</v>
      </c>
      <c r="H207" s="124" t="str">
        <f>IFERROR(__xludf.DUMMYFUNCTION("""COMPUTED_VALUE"""),"Not Available")</f>
        <v>Not Available</v>
      </c>
      <c r="I207" s="124">
        <f>IFERROR(__xludf.DUMMYFUNCTION("""COMPUTED_VALUE"""),0.0)</f>
        <v>0</v>
      </c>
      <c r="J207" s="124">
        <f>IFERROR(__xludf.DUMMYFUNCTION("""COMPUTED_VALUE"""),1.0)</f>
        <v>1</v>
      </c>
      <c r="K207" s="124">
        <f>IFERROR(__xludf.DUMMYFUNCTION("""COMPUTED_VALUE"""),1.0)</f>
        <v>1</v>
      </c>
      <c r="L207" s="124">
        <f>IFERROR(__xludf.DUMMYFUNCTION("""COMPUTED_VALUE"""),770.0)</f>
        <v>770</v>
      </c>
      <c r="M207" s="124" t="str">
        <f>IFERROR(__xludf.DUMMYFUNCTION("""COMPUTED_VALUE"""),"New Delhi")</f>
        <v>New Delhi</v>
      </c>
      <c r="N207" s="124" t="str">
        <f>IFERROR(__xludf.DUMMYFUNCTION("""COMPUTED_VALUE"""),"hraj42331@gmail.com")</f>
        <v>hraj42331@gmail.com</v>
      </c>
      <c r="O207" s="124" t="str">
        <f>IFERROR(__xludf.DUMMYFUNCTION("""COMPUTED_VALUE"""),"Harsh raj")</f>
        <v>Harsh raj</v>
      </c>
      <c r="P207" s="124">
        <f>IFERROR(__xludf.DUMMYFUNCTION("""COMPUTED_VALUE"""),101903.0)</f>
        <v>101903</v>
      </c>
      <c r="Q207" s="124" t="str">
        <f>IFERROR(__xludf.DUMMYFUNCTION("""COMPUTED_VALUE"""),"upsc-gs-foundation-hinglish-target-2028-gsf-upsc-m05-orn")</f>
        <v>upsc-gs-foundation-hinglish-target-2028-gsf-upsc-m05-orn</v>
      </c>
      <c r="R207" s="124" t="str">
        <f>IFERROR(__xludf.DUMMYFUNCTION("""COMPUTED_VALUE"""),"GS Foundation Course")</f>
        <v>GS Foundation Course</v>
      </c>
      <c r="S207" s="124">
        <f>IFERROR(__xludf.DUMMYFUNCTION("""COMPUTED_VALUE"""),9.835624619E9)</f>
        <v>9835624619</v>
      </c>
      <c r="T207" s="124" t="str">
        <f>IFERROR(__xludf.DUMMYFUNCTION("""COMPUTED_VALUE"""),"Collexo")</f>
        <v>Collexo</v>
      </c>
      <c r="U207" s="124" t="str">
        <f>IFERROR(__xludf.DUMMYFUNCTION("""COMPUTED_VALUE"""),"Success")</f>
        <v>Success</v>
      </c>
      <c r="V207" s="131">
        <f>IFERROR(__xludf.DUMMYFUNCTION("""COMPUTED_VALUE"""),46107.0)</f>
        <v>46107</v>
      </c>
      <c r="W207" s="124">
        <f>IFERROR(__xludf.DUMMYFUNCTION("""COMPUTED_VALUE"""),0.0)</f>
        <v>0</v>
      </c>
    </row>
    <row r="208">
      <c r="A208" s="124" t="str">
        <f t="shared" si="1"/>
        <v>anurajsingh.0376@gmail.com</v>
      </c>
      <c r="B208" s="131">
        <f>IFERROR(__xludf.DUMMYFUNCTION("""COMPUTED_VALUE"""),46055.0)</f>
        <v>46055</v>
      </c>
      <c r="C208" s="124" t="str">
        <f>IFERROR(__xludf.DUMMYFUNCTION("""COMPUTED_VALUE"""),"Payment data from Collexo")</f>
        <v>Payment data from Collexo</v>
      </c>
      <c r="D208" s="124" t="str">
        <f>IFERROR(__xludf.DUMMYFUNCTION("""COMPUTED_VALUE"""),"Not Available")</f>
        <v>Not Available</v>
      </c>
      <c r="E208" s="124">
        <f>IFERROR(__xludf.DUMMYFUNCTION("""COMPUTED_VALUE"""),1500609.0)</f>
        <v>1500609</v>
      </c>
      <c r="F208" s="124" t="str">
        <f>IFERROR(__xludf.DUMMYFUNCTION("""COMPUTED_VALUE"""),"3588_988_7")</f>
        <v>3588_988_7</v>
      </c>
      <c r="G208" s="124">
        <f>IFERROR(__xludf.DUMMYFUNCTION("""COMPUTED_VALUE"""),72000.0)</f>
        <v>72000</v>
      </c>
      <c r="H208" s="124" t="str">
        <f>IFERROR(__xludf.DUMMYFUNCTION("""COMPUTED_VALUE"""),"Not Available")</f>
        <v>Not Available</v>
      </c>
      <c r="I208" s="124">
        <f>IFERROR(__xludf.DUMMYFUNCTION("""COMPUTED_VALUE"""),0.0)</f>
        <v>0</v>
      </c>
      <c r="J208" s="124">
        <f>IFERROR(__xludf.DUMMYFUNCTION("""COMPUTED_VALUE"""),90000.0)</f>
        <v>90000</v>
      </c>
      <c r="K208" s="124">
        <f>IFERROR(__xludf.DUMMYFUNCTION("""COMPUTED_VALUE"""),3.0)</f>
        <v>3</v>
      </c>
      <c r="L208" s="124">
        <f>IFERROR(__xludf.DUMMYFUNCTION("""COMPUTED_VALUE"""),157.0)</f>
        <v>157</v>
      </c>
      <c r="M208" s="124" t="str">
        <f>IFERROR(__xludf.DUMMYFUNCTION("""COMPUTED_VALUE"""),"New Delhi")</f>
        <v>New Delhi</v>
      </c>
      <c r="N208" s="124" t="str">
        <f>IFERROR(__xludf.DUMMYFUNCTION("""COMPUTED_VALUE"""),"anurajsingh.0376@gmail.com")</f>
        <v>anurajsingh.0376@gmail.com</v>
      </c>
      <c r="O208" s="124" t="str">
        <f>IFERROR(__xludf.DUMMYFUNCTION("""COMPUTED_VALUE"""),"Anuraj singh")</f>
        <v>Anuraj singh</v>
      </c>
      <c r="P208" s="124">
        <f>IFERROR(__xludf.DUMMYFUNCTION("""COMPUTED_VALUE"""),120444.0)</f>
        <v>120444</v>
      </c>
      <c r="Q208" s="124" t="str">
        <f>IFERROR(__xludf.DUMMYFUNCTION("""COMPUTED_VALUE"""),"upsc-gs-foundation-hinglish-target-2028-gsf-upsc-e03-orn")</f>
        <v>upsc-gs-foundation-hinglish-target-2028-gsf-upsc-e03-orn</v>
      </c>
      <c r="R208" s="124" t="str">
        <f>IFERROR(__xludf.DUMMYFUNCTION("""COMPUTED_VALUE"""),"GS Foundation Course")</f>
        <v>GS Foundation Course</v>
      </c>
      <c r="S208" s="124">
        <f>IFERROR(__xludf.DUMMYFUNCTION("""COMPUTED_VALUE"""),9.520111541E9)</f>
        <v>9520111541</v>
      </c>
      <c r="T208" s="124" t="str">
        <f>IFERROR(__xludf.DUMMYFUNCTION("""COMPUTED_VALUE"""),"Collexo")</f>
        <v>Collexo</v>
      </c>
      <c r="U208" s="124" t="str">
        <f>IFERROR(__xludf.DUMMYFUNCTION("""COMPUTED_VALUE"""),"Success")</f>
        <v>Success</v>
      </c>
      <c r="V208" s="131">
        <f>IFERROR(__xludf.DUMMYFUNCTION("""COMPUTED_VALUE"""),46055.0)</f>
        <v>46055</v>
      </c>
      <c r="W208" s="124">
        <f>IFERROR(__xludf.DUMMYFUNCTION("""COMPUTED_VALUE"""),0.0)</f>
        <v>0</v>
      </c>
    </row>
    <row r="209">
      <c r="A209" s="124" t="str">
        <f t="shared" si="1"/>
        <v>kumarashutoshyadav4567@gmail.com</v>
      </c>
      <c r="B209" s="131">
        <f>IFERROR(__xludf.DUMMYFUNCTION("""COMPUTED_VALUE"""),46109.0)</f>
        <v>46109</v>
      </c>
      <c r="C209" s="124" t="str">
        <f>IFERROR(__xludf.DUMMYFUNCTION("""COMPUTED_VALUE"""),"Payment data from Collexo")</f>
        <v>Payment data from Collexo</v>
      </c>
      <c r="D209" s="124" t="str">
        <f>IFERROR(__xludf.DUMMYFUNCTION("""COMPUTED_VALUE"""),"Not Available")</f>
        <v>Not Available</v>
      </c>
      <c r="E209" s="124">
        <f>IFERROR(__xludf.DUMMYFUNCTION("""COMPUTED_VALUE"""),1500611.0)</f>
        <v>1500611</v>
      </c>
      <c r="F209" s="124">
        <f>IFERROR(__xludf.DUMMYFUNCTION("""COMPUTED_VALUE"""),139619.0)</f>
        <v>139619</v>
      </c>
      <c r="G209" s="124">
        <f>IFERROR(__xludf.DUMMYFUNCTION("""COMPUTED_VALUE"""),58000.0)</f>
        <v>58000</v>
      </c>
      <c r="H209" s="124" t="str">
        <f>IFERROR(__xludf.DUMMYFUNCTION("""COMPUTED_VALUE"""),"Not Available")</f>
        <v>Not Available</v>
      </c>
      <c r="I209" s="124">
        <f>IFERROR(__xludf.DUMMYFUNCTION("""COMPUTED_VALUE"""),0.0)</f>
        <v>0</v>
      </c>
      <c r="J209" s="124">
        <f>IFERROR(__xludf.DUMMYFUNCTION("""COMPUTED_VALUE"""),60000.0)</f>
        <v>60000</v>
      </c>
      <c r="K209" s="124">
        <f>IFERROR(__xludf.DUMMYFUNCTION("""COMPUTED_VALUE"""),2.0)</f>
        <v>2</v>
      </c>
      <c r="L209" s="124">
        <f>IFERROR(__xludf.DUMMYFUNCTION("""COMPUTED_VALUE"""),815.0)</f>
        <v>815</v>
      </c>
      <c r="M209" s="124" t="str">
        <f>IFERROR(__xludf.DUMMYFUNCTION("""COMPUTED_VALUE"""),"Patna")</f>
        <v>Patna</v>
      </c>
      <c r="N209" s="124" t="str">
        <f>IFERROR(__xludf.DUMMYFUNCTION("""COMPUTED_VALUE"""),"kumarashutoshyadav4567@gmail.com")</f>
        <v>kumarashutoshyadav4567@gmail.com</v>
      </c>
      <c r="O209" s="124" t="str">
        <f>IFERROR(__xludf.DUMMYFUNCTION("""COMPUTED_VALUE"""),"Ashutosh")</f>
        <v>Ashutosh</v>
      </c>
      <c r="P209" s="124">
        <f>IFERROR(__xludf.DUMMYFUNCTION("""COMPUTED_VALUE"""),139619.0)</f>
        <v>139619</v>
      </c>
      <c r="Q209" s="124" t="str">
        <f>IFERROR(__xludf.DUMMYFUNCTION("""COMPUTED_VALUE"""),"upsc-gs-foundation-hinglish-target-2028-gsf-upsc-e03-pat")</f>
        <v>upsc-gs-foundation-hinglish-target-2028-gsf-upsc-e03-pat</v>
      </c>
      <c r="R209" s="124" t="str">
        <f>IFERROR(__xludf.DUMMYFUNCTION("""COMPUTED_VALUE"""),"GS Foundation Course")</f>
        <v>GS Foundation Course</v>
      </c>
      <c r="S209" s="124">
        <f>IFERROR(__xludf.DUMMYFUNCTION("""COMPUTED_VALUE"""),6.201407029E9)</f>
        <v>6201407029</v>
      </c>
      <c r="T209" s="124" t="str">
        <f>IFERROR(__xludf.DUMMYFUNCTION("""COMPUTED_VALUE"""),"Not Available")</f>
        <v>Not Available</v>
      </c>
      <c r="U209" s="124" t="str">
        <f>IFERROR(__xludf.DUMMYFUNCTION("""COMPUTED_VALUE"""),"Not Available")</f>
        <v>Not Available</v>
      </c>
      <c r="V209" s="124" t="str">
        <f>IFERROR(__xludf.DUMMYFUNCTION("""COMPUTED_VALUE"""),"Not Available")</f>
        <v>Not Available</v>
      </c>
      <c r="W209" s="124" t="str">
        <f>IFERROR(__xludf.DUMMYFUNCTION("""COMPUTED_VALUE"""),"Not Available")</f>
        <v>Not Available</v>
      </c>
    </row>
    <row r="210">
      <c r="A210" s="124" t="str">
        <f t="shared" si="1"/>
        <v>lakshmikumari98168@gmail.com</v>
      </c>
      <c r="B210" s="131">
        <f>IFERROR(__xludf.DUMMYFUNCTION("""COMPUTED_VALUE"""),46050.0)</f>
        <v>46050</v>
      </c>
      <c r="C210" s="124" t="str">
        <f>IFERROR(__xludf.DUMMYFUNCTION("""COMPUTED_VALUE"""),"Payment data from Collexo")</f>
        <v>Payment data from Collexo</v>
      </c>
      <c r="D210" s="124" t="str">
        <f>IFERROR(__xludf.DUMMYFUNCTION("""COMPUTED_VALUE"""),"Not Available")</f>
        <v>Not Available</v>
      </c>
      <c r="E210" s="124">
        <f>IFERROR(__xludf.DUMMYFUNCTION("""COMPUTED_VALUE"""),1500609.0)</f>
        <v>1500609</v>
      </c>
      <c r="F210" s="124" t="str">
        <f>IFERROR(__xludf.DUMMYFUNCTION("""COMPUTED_VALUE"""),"2745_988_7")</f>
        <v>2745_988_7</v>
      </c>
      <c r="G210" s="124">
        <f>IFERROR(__xludf.DUMMYFUNCTION("""COMPUTED_VALUE"""),125000.0)</f>
        <v>125000</v>
      </c>
      <c r="H210" s="124" t="str">
        <f>IFERROR(__xludf.DUMMYFUNCTION("""COMPUTED_VALUE"""),"Not Available")</f>
        <v>Not Available</v>
      </c>
      <c r="I210" s="124">
        <f>IFERROR(__xludf.DUMMYFUNCTION("""COMPUTED_VALUE"""),0.0)</f>
        <v>0</v>
      </c>
      <c r="J210" s="124">
        <f>IFERROR(__xludf.DUMMYFUNCTION("""COMPUTED_VALUE"""),130000.0)</f>
        <v>130000</v>
      </c>
      <c r="K210" s="124">
        <f>IFERROR(__xludf.DUMMYFUNCTION("""COMPUTED_VALUE"""),3.0)</f>
        <v>3</v>
      </c>
      <c r="L210" s="124">
        <f>IFERROR(__xludf.DUMMYFUNCTION("""COMPUTED_VALUE"""),123.0)</f>
        <v>123</v>
      </c>
      <c r="M210" s="124" t="str">
        <f>IFERROR(__xludf.DUMMYFUNCTION("""COMPUTED_VALUE"""),"New Delhi")</f>
        <v>New Delhi</v>
      </c>
      <c r="N210" s="124" t="str">
        <f>IFERROR(__xludf.DUMMYFUNCTION("""COMPUTED_VALUE"""),"lakshmikumari98168@gmail.com")</f>
        <v>lakshmikumari98168@gmail.com</v>
      </c>
      <c r="O210" s="124" t="str">
        <f>IFERROR(__xludf.DUMMYFUNCTION("""COMPUTED_VALUE"""),"lakshmi")</f>
        <v>lakshmi</v>
      </c>
      <c r="P210" s="124">
        <f>IFERROR(__xludf.DUMMYFUNCTION("""COMPUTED_VALUE"""),89028.0)</f>
        <v>89028</v>
      </c>
      <c r="Q210" s="124" t="str">
        <f>IFERROR(__xludf.DUMMYFUNCTION("""COMPUTED_VALUE"""),"ncert-foundation-hinglish-target-2026-nce-upsc-e02-orn")</f>
        <v>ncert-foundation-hinglish-target-2026-nce-upsc-e02-orn</v>
      </c>
      <c r="R210" s="124" t="str">
        <f>IFERROR(__xludf.DUMMYFUNCTION("""COMPUTED_VALUE"""),"GS Foundation Course")</f>
        <v>GS Foundation Course</v>
      </c>
      <c r="S210" s="124">
        <f>IFERROR(__xludf.DUMMYFUNCTION("""COMPUTED_VALUE"""),7.050309334E9)</f>
        <v>7050309334</v>
      </c>
      <c r="T210" s="124" t="str">
        <f>IFERROR(__xludf.DUMMYFUNCTION("""COMPUTED_VALUE"""),"Collexo")</f>
        <v>Collexo</v>
      </c>
      <c r="U210" s="124" t="str">
        <f>IFERROR(__xludf.DUMMYFUNCTION("""COMPUTED_VALUE"""),"Success")</f>
        <v>Success</v>
      </c>
      <c r="V210" s="131">
        <f>IFERROR(__xludf.DUMMYFUNCTION("""COMPUTED_VALUE"""),46050.0)</f>
        <v>46050</v>
      </c>
      <c r="W210" s="124">
        <f>IFERROR(__xludf.DUMMYFUNCTION("""COMPUTED_VALUE"""),0.0)</f>
        <v>0</v>
      </c>
    </row>
    <row r="211">
      <c r="A211" s="124" t="str">
        <f t="shared" si="1"/>
        <v>hridaykushwaha50@gmail.com</v>
      </c>
      <c r="B211" s="131">
        <f>IFERROR(__xludf.DUMMYFUNCTION("""COMPUTED_VALUE"""),46097.0)</f>
        <v>46097</v>
      </c>
      <c r="C211" s="124" t="str">
        <f>IFERROR(__xludf.DUMMYFUNCTION("""COMPUTED_VALUE"""),"Payment data from Collexo")</f>
        <v>Payment data from Collexo</v>
      </c>
      <c r="D211" s="124" t="str">
        <f>IFERROR(__xludf.DUMMYFUNCTION("""COMPUTED_VALUE"""),"Not Available")</f>
        <v>Not Available</v>
      </c>
      <c r="E211" s="124">
        <f>IFERROR(__xludf.DUMMYFUNCTION("""COMPUTED_VALUE"""),1500613.0)</f>
        <v>1500613</v>
      </c>
      <c r="F211" s="124">
        <f>IFERROR(__xludf.DUMMYFUNCTION("""COMPUTED_VALUE"""),127464.0)</f>
        <v>127464</v>
      </c>
      <c r="G211" s="124">
        <f>IFERROR(__xludf.DUMMYFUNCTION("""COMPUTED_VALUE"""),93519.0)</f>
        <v>93519</v>
      </c>
      <c r="H211" s="124" t="str">
        <f>IFERROR(__xludf.DUMMYFUNCTION("""COMPUTED_VALUE"""),"Not Available")</f>
        <v>Not Available</v>
      </c>
      <c r="I211" s="124">
        <f>IFERROR(__xludf.DUMMYFUNCTION("""COMPUTED_VALUE"""),0.0)</f>
        <v>0</v>
      </c>
      <c r="J211" s="124">
        <f>IFERROR(__xludf.DUMMYFUNCTION("""COMPUTED_VALUE"""),110000.0)</f>
        <v>110000</v>
      </c>
      <c r="K211" s="124">
        <f>IFERROR(__xludf.DUMMYFUNCTION("""COMPUTED_VALUE"""),2.0)</f>
        <v>2</v>
      </c>
      <c r="L211" s="124">
        <f>IFERROR(__xludf.DUMMYFUNCTION("""COMPUTED_VALUE"""),561.0)</f>
        <v>561</v>
      </c>
      <c r="M211" s="124" t="str">
        <f>IFERROR(__xludf.DUMMYFUNCTION("""COMPUTED_VALUE"""),"Prayagraj")</f>
        <v>Prayagraj</v>
      </c>
      <c r="N211" s="124" t="str">
        <f>IFERROR(__xludf.DUMMYFUNCTION("""COMPUTED_VALUE"""),"hridaykushwaha50@gmail.com")</f>
        <v>hridaykushwaha50@gmail.com</v>
      </c>
      <c r="O211" s="124" t="str">
        <f>IFERROR(__xludf.DUMMYFUNCTION("""COMPUTED_VALUE"""),"Hriday Kushwaha")</f>
        <v>Hriday Kushwaha</v>
      </c>
      <c r="P211" s="124">
        <f>IFERROR(__xludf.DUMMYFUNCTION("""COMPUTED_VALUE"""),127464.0)</f>
        <v>127464</v>
      </c>
      <c r="Q211" s="124" t="str">
        <f>IFERROR(__xludf.DUMMYFUNCTION("""COMPUTED_VALUE"""),"upsc-gs-foundation-hinglish-target-2028-gsf-upsc-e03-pry")</f>
        <v>upsc-gs-foundation-hinglish-target-2028-gsf-upsc-e03-pry</v>
      </c>
      <c r="R211" s="124" t="str">
        <f>IFERROR(__xludf.DUMMYFUNCTION("""COMPUTED_VALUE"""),"GS Foundation Course")</f>
        <v>GS Foundation Course</v>
      </c>
      <c r="S211" s="124">
        <f>IFERROR(__xludf.DUMMYFUNCTION("""COMPUTED_VALUE"""),9.455289673E9)</f>
        <v>9455289673</v>
      </c>
      <c r="T211" s="124" t="str">
        <f>IFERROR(__xludf.DUMMYFUNCTION("""COMPUTED_VALUE"""),"Not Available")</f>
        <v>Not Available</v>
      </c>
      <c r="U211" s="124" t="str">
        <f>IFERROR(__xludf.DUMMYFUNCTION("""COMPUTED_VALUE"""),"Not Available")</f>
        <v>Not Available</v>
      </c>
      <c r="V211" s="124" t="str">
        <f>IFERROR(__xludf.DUMMYFUNCTION("""COMPUTED_VALUE"""),"Not Available")</f>
        <v>Not Available</v>
      </c>
      <c r="W211" s="124" t="str">
        <f>IFERROR(__xludf.DUMMYFUNCTION("""COMPUTED_VALUE"""),"Not Available")</f>
        <v>Not Available</v>
      </c>
    </row>
    <row r="212">
      <c r="A212" s="124" t="str">
        <f t="shared" si="1"/>
        <v>tiger009vip@gmail.com</v>
      </c>
      <c r="B212" s="131">
        <f>IFERROR(__xludf.DUMMYFUNCTION("""COMPUTED_VALUE"""),46092.0)</f>
        <v>46092</v>
      </c>
      <c r="C212" s="124" t="str">
        <f>IFERROR(__xludf.DUMMYFUNCTION("""COMPUTED_VALUE"""),"Payment data from Collexo")</f>
        <v>Payment data from Collexo</v>
      </c>
      <c r="D212" s="124" t="str">
        <f>IFERROR(__xludf.DUMMYFUNCTION("""COMPUTED_VALUE"""),"Not Available")</f>
        <v>Not Available</v>
      </c>
      <c r="E212" s="124">
        <f>IFERROR(__xludf.DUMMYFUNCTION("""COMPUTED_VALUE"""),1500609.0)</f>
        <v>1500609</v>
      </c>
      <c r="F212" s="124" t="str">
        <f>IFERROR(__xludf.DUMMYFUNCTION("""COMPUTED_VALUE"""),"13641_988_7")</f>
        <v>13641_988_7</v>
      </c>
      <c r="G212" s="124">
        <f>IFERROR(__xludf.DUMMYFUNCTION("""COMPUTED_VALUE"""),9000.0)</f>
        <v>9000</v>
      </c>
      <c r="H212" s="131">
        <f>IFERROR(__xludf.DUMMYFUNCTION("""COMPUTED_VALUE"""),46112.0)</f>
        <v>46112</v>
      </c>
      <c r="I212" s="124">
        <f>IFERROR(__xludf.DUMMYFUNCTION("""COMPUTED_VALUE"""),100000.0)</f>
        <v>100000</v>
      </c>
      <c r="J212" s="124">
        <f>IFERROR(__xludf.DUMMYFUNCTION("""COMPUTED_VALUE"""),110000.0)</f>
        <v>110000</v>
      </c>
      <c r="K212" s="124">
        <f>IFERROR(__xludf.DUMMYFUNCTION("""COMPUTED_VALUE"""),3.0)</f>
        <v>3</v>
      </c>
      <c r="L212" s="124">
        <f>IFERROR(__xludf.DUMMYFUNCTION("""COMPUTED_VALUE"""),491.0)</f>
        <v>491</v>
      </c>
      <c r="M212" s="124" t="str">
        <f>IFERROR(__xludf.DUMMYFUNCTION("""COMPUTED_VALUE"""),"New Delhi")</f>
        <v>New Delhi</v>
      </c>
      <c r="N212" s="124" t="str">
        <f>IFERROR(__xludf.DUMMYFUNCTION("""COMPUTED_VALUE"""),"tiger009vip@gmail.com")</f>
        <v>tiger009vip@gmail.com</v>
      </c>
      <c r="O212" s="124" t="str">
        <f>IFERROR(__xludf.DUMMYFUNCTION("""COMPUTED_VALUE"""),"Shivam")</f>
        <v>Shivam</v>
      </c>
      <c r="P212" s="124">
        <f>IFERROR(__xludf.DUMMYFUNCTION("""COMPUTED_VALUE"""),47683.0)</f>
        <v>47683</v>
      </c>
      <c r="Q212" s="124" t="str">
        <f>IFERROR(__xludf.DUMMYFUNCTION("""COMPUTED_VALUE"""),"upsc-gs-foundation-hinglish-target-2027-gsf-upsc-e04-orn")</f>
        <v>upsc-gs-foundation-hinglish-target-2027-gsf-upsc-e04-orn</v>
      </c>
      <c r="R212" s="124" t="str">
        <f>IFERROR(__xludf.DUMMYFUNCTION("""COMPUTED_VALUE"""),"GS Foundation Course")</f>
        <v>GS Foundation Course</v>
      </c>
      <c r="S212" s="124">
        <f>IFERROR(__xludf.DUMMYFUNCTION("""COMPUTED_VALUE"""),9.9588563E9)</f>
        <v>9958856300</v>
      </c>
      <c r="T212" s="124" t="str">
        <f>IFERROR(__xludf.DUMMYFUNCTION("""COMPUTED_VALUE"""),"Collexo")</f>
        <v>Collexo</v>
      </c>
      <c r="U212" s="124" t="str">
        <f>IFERROR(__xludf.DUMMYFUNCTION("""COMPUTED_VALUE"""),"Success")</f>
        <v>Success</v>
      </c>
      <c r="V212" s="131">
        <f>IFERROR(__xludf.DUMMYFUNCTION("""COMPUTED_VALUE"""),46092.0)</f>
        <v>46092</v>
      </c>
      <c r="W212" s="124">
        <f>IFERROR(__xludf.DUMMYFUNCTION("""COMPUTED_VALUE"""),0.0)</f>
        <v>0</v>
      </c>
    </row>
    <row r="213">
      <c r="A213" s="124" t="str">
        <f t="shared" si="1"/>
        <v>vibhutibharti5555@gmail.com</v>
      </c>
      <c r="B213" s="131">
        <f>IFERROR(__xludf.DUMMYFUNCTION("""COMPUTED_VALUE"""),46089.0)</f>
        <v>46089</v>
      </c>
      <c r="C213" s="124" t="str">
        <f>IFERROR(__xludf.DUMMYFUNCTION("""COMPUTED_VALUE"""),"Payment data from Collexo")</f>
        <v>Payment data from Collexo</v>
      </c>
      <c r="D213" s="124" t="str">
        <f>IFERROR(__xludf.DUMMYFUNCTION("""COMPUTED_VALUE"""),"Not Available")</f>
        <v>Not Available</v>
      </c>
      <c r="E213" s="124">
        <f>IFERROR(__xludf.DUMMYFUNCTION("""COMPUTED_VALUE"""),1500609.0)</f>
        <v>1500609</v>
      </c>
      <c r="F213" s="124" t="str">
        <f>IFERROR(__xludf.DUMMYFUNCTION("""COMPUTED_VALUE"""),"13068_988_7")</f>
        <v>13068_988_7</v>
      </c>
      <c r="G213" s="124">
        <f>IFERROR(__xludf.DUMMYFUNCTION("""COMPUTED_VALUE"""),1.0)</f>
        <v>1</v>
      </c>
      <c r="H213" s="124" t="str">
        <f>IFERROR(__xludf.DUMMYFUNCTION("""COMPUTED_VALUE"""),"Not Available")</f>
        <v>Not Available</v>
      </c>
      <c r="I213" s="124">
        <f>IFERROR(__xludf.DUMMYFUNCTION("""COMPUTED_VALUE"""),0.0)</f>
        <v>0</v>
      </c>
      <c r="J213" s="124">
        <f>IFERROR(__xludf.DUMMYFUNCTION("""COMPUTED_VALUE"""),1.0)</f>
        <v>1</v>
      </c>
      <c r="K213" s="124">
        <f>IFERROR(__xludf.DUMMYFUNCTION("""COMPUTED_VALUE"""),1.0)</f>
        <v>1</v>
      </c>
      <c r="L213" s="124">
        <f>IFERROR(__xludf.DUMMYFUNCTION("""COMPUTED_VALUE"""),439.0)</f>
        <v>439</v>
      </c>
      <c r="M213" s="124" t="str">
        <f>IFERROR(__xludf.DUMMYFUNCTION("""COMPUTED_VALUE"""),"New Delhi")</f>
        <v>New Delhi</v>
      </c>
      <c r="N213" s="124" t="str">
        <f>IFERROR(__xludf.DUMMYFUNCTION("""COMPUTED_VALUE"""),"vibhutibharti5555@gmail.com")</f>
        <v>vibhutibharti5555@gmail.com</v>
      </c>
      <c r="O213" s="124" t="str">
        <f>IFERROR(__xludf.DUMMYFUNCTION("""COMPUTED_VALUE"""),"vibhuti bharti")</f>
        <v>vibhuti bharti</v>
      </c>
      <c r="P213" s="124">
        <f>IFERROR(__xludf.DUMMYFUNCTION("""COMPUTED_VALUE"""),124546.0)</f>
        <v>124546</v>
      </c>
      <c r="Q213" s="124" t="str">
        <f>IFERROR(__xludf.DUMMYFUNCTION("""COMPUTED_VALUE"""),"upsc-gs-foundation-hinglish-target-2028-gsf-upsc-m05-orn")</f>
        <v>upsc-gs-foundation-hinglish-target-2028-gsf-upsc-m05-orn</v>
      </c>
      <c r="R213" s="124" t="str">
        <f>IFERROR(__xludf.DUMMYFUNCTION("""COMPUTED_VALUE"""),"GS Foundation Course")</f>
        <v>GS Foundation Course</v>
      </c>
      <c r="S213" s="124">
        <f>IFERROR(__xludf.DUMMYFUNCTION("""COMPUTED_VALUE"""),7.870378856E9)</f>
        <v>7870378856</v>
      </c>
      <c r="T213" s="124" t="str">
        <f>IFERROR(__xludf.DUMMYFUNCTION("""COMPUTED_VALUE"""),"Collexo")</f>
        <v>Collexo</v>
      </c>
      <c r="U213" s="124" t="str">
        <f>IFERROR(__xludf.DUMMYFUNCTION("""COMPUTED_VALUE"""),"Success")</f>
        <v>Success</v>
      </c>
      <c r="V213" s="131">
        <f>IFERROR(__xludf.DUMMYFUNCTION("""COMPUTED_VALUE"""),46089.0)</f>
        <v>46089</v>
      </c>
      <c r="W213" s="124">
        <f>IFERROR(__xludf.DUMMYFUNCTION("""COMPUTED_VALUE"""),0.0)</f>
        <v>0</v>
      </c>
    </row>
    <row r="214">
      <c r="A214" s="124" t="str">
        <f t="shared" si="1"/>
        <v>prajapatianand9999@gmail.com</v>
      </c>
      <c r="B214" s="131">
        <f>IFERROR(__xludf.DUMMYFUNCTION("""COMPUTED_VALUE"""),46101.0)</f>
        <v>46101</v>
      </c>
      <c r="C214" s="124" t="str">
        <f>IFERROR(__xludf.DUMMYFUNCTION("""COMPUTED_VALUE"""),"Payment data from Collexo")</f>
        <v>Payment data from Collexo</v>
      </c>
      <c r="D214" s="124" t="str">
        <f>IFERROR(__xludf.DUMMYFUNCTION("""COMPUTED_VALUE"""),"Not Available")</f>
        <v>Not Available</v>
      </c>
      <c r="E214" s="124">
        <f>IFERROR(__xludf.DUMMYFUNCTION("""COMPUTED_VALUE"""),1500613.0)</f>
        <v>1500613</v>
      </c>
      <c r="F214" s="124">
        <f>IFERROR(__xludf.DUMMYFUNCTION("""COMPUTED_VALUE"""),128654.0)</f>
        <v>128654</v>
      </c>
      <c r="G214" s="124">
        <f>IFERROR(__xludf.DUMMYFUNCTION("""COMPUTED_VALUE"""),5000.0)</f>
        <v>5000</v>
      </c>
      <c r="H214" s="131">
        <f>IFERROR(__xludf.DUMMYFUNCTION("""COMPUTED_VALUE"""),46101.0)</f>
        <v>46101</v>
      </c>
      <c r="I214" s="124">
        <f>IFERROR(__xludf.DUMMYFUNCTION("""COMPUTED_VALUE"""),1000.0)</f>
        <v>1000</v>
      </c>
      <c r="J214" s="124">
        <f>IFERROR(__xludf.DUMMYFUNCTION("""COMPUTED_VALUE"""),47000.0)</f>
        <v>47000</v>
      </c>
      <c r="K214" s="124">
        <f>IFERROR(__xludf.DUMMYFUNCTION("""COMPUTED_VALUE"""),4.0)</f>
        <v>4</v>
      </c>
      <c r="L214" s="124">
        <f>IFERROR(__xludf.DUMMYFUNCTION("""COMPUTED_VALUE"""),638.0)</f>
        <v>638</v>
      </c>
      <c r="M214" s="124" t="str">
        <f>IFERROR(__xludf.DUMMYFUNCTION("""COMPUTED_VALUE"""),"Prayagraj")</f>
        <v>Prayagraj</v>
      </c>
      <c r="N214" s="124" t="str">
        <f>IFERROR(__xludf.DUMMYFUNCTION("""COMPUTED_VALUE"""),"prajapatianand9999@gmail.com")</f>
        <v>prajapatianand9999@gmail.com</v>
      </c>
      <c r="O214" s="124" t="str">
        <f>IFERROR(__xludf.DUMMYFUNCTION("""COMPUTED_VALUE"""),"Anand Kumar Prajapati")</f>
        <v>Anand Kumar Prajapati</v>
      </c>
      <c r="P214" s="124">
        <f>IFERROR(__xludf.DUMMYFUNCTION("""COMPUTED_VALUE"""),128654.0)</f>
        <v>128654</v>
      </c>
      <c r="Q214" s="124" t="str">
        <f>IFERROR(__xludf.DUMMYFUNCTION("""COMPUTED_VALUE"""),"upsc-gs-foundation-hinglish-target-2027-gsf-upsc-e03-pry")</f>
        <v>upsc-gs-foundation-hinglish-target-2027-gsf-upsc-e03-pry</v>
      </c>
      <c r="R214" s="124" t="str">
        <f>IFERROR(__xludf.DUMMYFUNCTION("""COMPUTED_VALUE"""),"GS Foundation Course")</f>
        <v>GS Foundation Course</v>
      </c>
      <c r="S214" s="124">
        <f>IFERROR(__xludf.DUMMYFUNCTION("""COMPUTED_VALUE"""),8.299899506E9)</f>
        <v>8299899506</v>
      </c>
      <c r="T214" s="124" t="str">
        <f>IFERROR(__xludf.DUMMYFUNCTION("""COMPUTED_VALUE"""),"Not Available")</f>
        <v>Not Available</v>
      </c>
      <c r="U214" s="124" t="str">
        <f>IFERROR(__xludf.DUMMYFUNCTION("""COMPUTED_VALUE"""),"Not Available")</f>
        <v>Not Available</v>
      </c>
      <c r="V214" s="124" t="str">
        <f>IFERROR(__xludf.DUMMYFUNCTION("""COMPUTED_VALUE"""),"Not Available")</f>
        <v>Not Available</v>
      </c>
      <c r="W214" s="124" t="str">
        <f>IFERROR(__xludf.DUMMYFUNCTION("""COMPUTED_VALUE"""),"Not Available")</f>
        <v>Not Available</v>
      </c>
    </row>
    <row r="215">
      <c r="A215" s="124" t="str">
        <f t="shared" si="1"/>
        <v>kg082051@gmail.com</v>
      </c>
      <c r="B215" s="131">
        <f>IFERROR(__xludf.DUMMYFUNCTION("""COMPUTED_VALUE"""),46101.0)</f>
        <v>46101</v>
      </c>
      <c r="C215" s="124" t="str">
        <f>IFERROR(__xludf.DUMMYFUNCTION("""COMPUTED_VALUE"""),"Payment data from Collexo")</f>
        <v>Payment data from Collexo</v>
      </c>
      <c r="D215" s="124" t="str">
        <f>IFERROR(__xludf.DUMMYFUNCTION("""COMPUTED_VALUE"""),"Not Available")</f>
        <v>Not Available</v>
      </c>
      <c r="E215" s="124">
        <f>IFERROR(__xludf.DUMMYFUNCTION("""COMPUTED_VALUE"""),1500611.0)</f>
        <v>1500611</v>
      </c>
      <c r="F215" s="124">
        <f>IFERROR(__xludf.DUMMYFUNCTION("""COMPUTED_VALUE"""),129695.0)</f>
        <v>129695</v>
      </c>
      <c r="G215" s="124">
        <f>IFERROR(__xludf.DUMMYFUNCTION("""COMPUTED_VALUE"""),40000.0)</f>
        <v>40000</v>
      </c>
      <c r="H215" s="124" t="str">
        <f>IFERROR(__xludf.DUMMYFUNCTION("""COMPUTED_VALUE"""),"Not Available")</f>
        <v>Not Available</v>
      </c>
      <c r="I215" s="124">
        <f>IFERROR(__xludf.DUMMYFUNCTION("""COMPUTED_VALUE"""),0.0)</f>
        <v>0</v>
      </c>
      <c r="J215" s="124">
        <f>IFERROR(__xludf.DUMMYFUNCTION("""COMPUTED_VALUE"""),45000.0)</f>
        <v>45000</v>
      </c>
      <c r="K215" s="124">
        <f>IFERROR(__xludf.DUMMYFUNCTION("""COMPUTED_VALUE"""),2.0)</f>
        <v>2</v>
      </c>
      <c r="L215" s="124">
        <f>IFERROR(__xludf.DUMMYFUNCTION("""COMPUTED_VALUE"""),655.0)</f>
        <v>655</v>
      </c>
      <c r="M215" s="124" t="str">
        <f>IFERROR(__xludf.DUMMYFUNCTION("""COMPUTED_VALUE"""),"Patna")</f>
        <v>Patna</v>
      </c>
      <c r="N215" s="124" t="str">
        <f>IFERROR(__xludf.DUMMYFUNCTION("""COMPUTED_VALUE"""),"kg082051@gmail.com")</f>
        <v>kg082051@gmail.com</v>
      </c>
      <c r="O215" s="124" t="str">
        <f>IFERROR(__xludf.DUMMYFUNCTION("""COMPUTED_VALUE"""),"kajal")</f>
        <v>kajal</v>
      </c>
      <c r="P215" s="124">
        <f>IFERROR(__xludf.DUMMYFUNCTION("""COMPUTED_VALUE"""),129695.0)</f>
        <v>129695</v>
      </c>
      <c r="Q215" s="124" t="str">
        <f>IFERROR(__xludf.DUMMYFUNCTION("""COMPUTED_VALUE"""),"bpsc-gs-foundation-hindi-target-2026-gsf-bpsc-e02-pat")</f>
        <v>bpsc-gs-foundation-hindi-target-2026-gsf-bpsc-e02-pat</v>
      </c>
      <c r="R215" s="124" t="str">
        <f>IFERROR(__xludf.DUMMYFUNCTION("""COMPUTED_VALUE"""),"State PCS")</f>
        <v>State PCS</v>
      </c>
      <c r="S215" s="124">
        <f>IFERROR(__xludf.DUMMYFUNCTION("""COMPUTED_VALUE"""),9.50879206E9)</f>
        <v>9508792060</v>
      </c>
      <c r="T215" s="124" t="str">
        <f>IFERROR(__xludf.DUMMYFUNCTION("""COMPUTED_VALUE"""),"Not Available")</f>
        <v>Not Available</v>
      </c>
      <c r="U215" s="124" t="str">
        <f>IFERROR(__xludf.DUMMYFUNCTION("""COMPUTED_VALUE"""),"Not Available")</f>
        <v>Not Available</v>
      </c>
      <c r="V215" s="124" t="str">
        <f>IFERROR(__xludf.DUMMYFUNCTION("""COMPUTED_VALUE"""),"Not Available")</f>
        <v>Not Available</v>
      </c>
      <c r="W215" s="124" t="str">
        <f>IFERROR(__xludf.DUMMYFUNCTION("""COMPUTED_VALUE"""),"Not Available")</f>
        <v>Not Available</v>
      </c>
    </row>
    <row r="216">
      <c r="A216" s="124" t="str">
        <f t="shared" si="1"/>
        <v>prajapatianand9999@gmail.com</v>
      </c>
      <c r="B216" s="131">
        <f>IFERROR(__xludf.DUMMYFUNCTION("""COMPUTED_VALUE"""),46101.0)</f>
        <v>46101</v>
      </c>
      <c r="C216" s="124" t="str">
        <f>IFERROR(__xludf.DUMMYFUNCTION("""COMPUTED_VALUE"""),"Payment data from Collexo")</f>
        <v>Payment data from Collexo</v>
      </c>
      <c r="D216" s="124" t="str">
        <f>IFERROR(__xludf.DUMMYFUNCTION("""COMPUTED_VALUE"""),"Not Available")</f>
        <v>Not Available</v>
      </c>
      <c r="E216" s="124">
        <f>IFERROR(__xludf.DUMMYFUNCTION("""COMPUTED_VALUE"""),1500613.0)</f>
        <v>1500613</v>
      </c>
      <c r="F216" s="124">
        <f>IFERROR(__xludf.DUMMYFUNCTION("""COMPUTED_VALUE"""),128654.0)</f>
        <v>128654</v>
      </c>
      <c r="G216" s="124">
        <f>IFERROR(__xludf.DUMMYFUNCTION("""COMPUTED_VALUE"""),40000.0)</f>
        <v>40000</v>
      </c>
      <c r="H216" s="124" t="str">
        <f>IFERROR(__xludf.DUMMYFUNCTION("""COMPUTED_VALUE"""),"Not Available")</f>
        <v>Not Available</v>
      </c>
      <c r="I216" s="124">
        <f>IFERROR(__xludf.DUMMYFUNCTION("""COMPUTED_VALUE"""),0.0)</f>
        <v>0</v>
      </c>
      <c r="J216" s="124">
        <f>IFERROR(__xludf.DUMMYFUNCTION("""COMPUTED_VALUE"""),47000.0)</f>
        <v>47000</v>
      </c>
      <c r="K216" s="124">
        <f>IFERROR(__xludf.DUMMYFUNCTION("""COMPUTED_VALUE"""),4.0)</f>
        <v>4</v>
      </c>
      <c r="L216" s="124">
        <f>IFERROR(__xludf.DUMMYFUNCTION("""COMPUTED_VALUE"""),643.0)</f>
        <v>643</v>
      </c>
      <c r="M216" s="124" t="str">
        <f>IFERROR(__xludf.DUMMYFUNCTION("""COMPUTED_VALUE"""),"Prayagraj")</f>
        <v>Prayagraj</v>
      </c>
      <c r="N216" s="124" t="str">
        <f>IFERROR(__xludf.DUMMYFUNCTION("""COMPUTED_VALUE"""),"prajapatianand9999@gmail.com")</f>
        <v>prajapatianand9999@gmail.com</v>
      </c>
      <c r="O216" s="124" t="str">
        <f>IFERROR(__xludf.DUMMYFUNCTION("""COMPUTED_VALUE"""),"Anand Kumar Prajapati")</f>
        <v>Anand Kumar Prajapati</v>
      </c>
      <c r="P216" s="124">
        <f>IFERROR(__xludf.DUMMYFUNCTION("""COMPUTED_VALUE"""),128654.0)</f>
        <v>128654</v>
      </c>
      <c r="Q216" s="124" t="str">
        <f>IFERROR(__xludf.DUMMYFUNCTION("""COMPUTED_VALUE"""),"upsc-gs-foundation-hinglish-target-2027-gsf-upsc-e03-pry")</f>
        <v>upsc-gs-foundation-hinglish-target-2027-gsf-upsc-e03-pry</v>
      </c>
      <c r="R216" s="124" t="str">
        <f>IFERROR(__xludf.DUMMYFUNCTION("""COMPUTED_VALUE"""),"GS Foundation Course")</f>
        <v>GS Foundation Course</v>
      </c>
      <c r="S216" s="124">
        <f>IFERROR(__xludf.DUMMYFUNCTION("""COMPUTED_VALUE"""),8.299899506E9)</f>
        <v>8299899506</v>
      </c>
      <c r="T216" s="124" t="str">
        <f>IFERROR(__xludf.DUMMYFUNCTION("""COMPUTED_VALUE"""),"Not Available")</f>
        <v>Not Available</v>
      </c>
      <c r="U216" s="124" t="str">
        <f>IFERROR(__xludf.DUMMYFUNCTION("""COMPUTED_VALUE"""),"Not Available")</f>
        <v>Not Available</v>
      </c>
      <c r="V216" s="124" t="str">
        <f>IFERROR(__xludf.DUMMYFUNCTION("""COMPUTED_VALUE"""),"Not Available")</f>
        <v>Not Available</v>
      </c>
      <c r="W216" s="124" t="str">
        <f>IFERROR(__xludf.DUMMYFUNCTION("""COMPUTED_VALUE"""),"Not Available")</f>
        <v>Not Available</v>
      </c>
    </row>
    <row r="217">
      <c r="A217" s="124" t="str">
        <f t="shared" si="1"/>
        <v>lokesh2129verma@gmail.com</v>
      </c>
      <c r="B217" s="131">
        <f>IFERROR(__xludf.DUMMYFUNCTION("""COMPUTED_VALUE"""),46078.0)</f>
        <v>46078</v>
      </c>
      <c r="C217" s="124" t="str">
        <f>IFERROR(__xludf.DUMMYFUNCTION("""COMPUTED_VALUE"""),"Payment data from Collexo")</f>
        <v>Payment data from Collexo</v>
      </c>
      <c r="D217" s="124" t="str">
        <f>IFERROR(__xludf.DUMMYFUNCTION("""COMPUTED_VALUE"""),"Not Available")</f>
        <v>Not Available</v>
      </c>
      <c r="E217" s="124">
        <f>IFERROR(__xludf.DUMMYFUNCTION("""COMPUTED_VALUE"""),1500609.0)</f>
        <v>1500609</v>
      </c>
      <c r="F217" s="124" t="str">
        <f>IFERROR(__xludf.DUMMYFUNCTION("""COMPUTED_VALUE"""),"10915_988_7")</f>
        <v>10915_988_7</v>
      </c>
      <c r="G217" s="124">
        <f>IFERROR(__xludf.DUMMYFUNCTION("""COMPUTED_VALUE"""),30000.0)</f>
        <v>30000</v>
      </c>
      <c r="H217" s="124" t="str">
        <f>IFERROR(__xludf.DUMMYFUNCTION("""COMPUTED_VALUE"""),"Not Available")</f>
        <v>Not Available</v>
      </c>
      <c r="I217" s="124">
        <f>IFERROR(__xludf.DUMMYFUNCTION("""COMPUTED_VALUE"""),0.0)</f>
        <v>0</v>
      </c>
      <c r="J217" s="124">
        <f>IFERROR(__xludf.DUMMYFUNCTION("""COMPUTED_VALUE"""),70000.0)</f>
        <v>70000</v>
      </c>
      <c r="K217" s="124">
        <f>IFERROR(__xludf.DUMMYFUNCTION("""COMPUTED_VALUE"""),2.0)</f>
        <v>2</v>
      </c>
      <c r="L217" s="124">
        <f>IFERROR(__xludf.DUMMYFUNCTION("""COMPUTED_VALUE"""),335.0)</f>
        <v>335</v>
      </c>
      <c r="M217" s="124" t="str">
        <f>IFERROR(__xludf.DUMMYFUNCTION("""COMPUTED_VALUE"""),"New Delhi")</f>
        <v>New Delhi</v>
      </c>
      <c r="N217" s="124" t="str">
        <f>IFERROR(__xludf.DUMMYFUNCTION("""COMPUTED_VALUE"""),"lokesh2129verma@gmail.com")</f>
        <v>lokesh2129verma@gmail.com</v>
      </c>
      <c r="O217" s="124" t="str">
        <f>IFERROR(__xludf.DUMMYFUNCTION("""COMPUTED_VALUE"""),"Lokesh")</f>
        <v>Lokesh</v>
      </c>
      <c r="P217" s="124">
        <f>IFERROR(__xludf.DUMMYFUNCTION("""COMPUTED_VALUE"""),124363.0)</f>
        <v>124363</v>
      </c>
      <c r="Q217" s="124" t="str">
        <f>IFERROR(__xludf.DUMMYFUNCTION("""COMPUTED_VALUE"""),"super-100-gs-foundation-2027-p2i-offline-july-batch4-e-orn-with-ncert")</f>
        <v>super-100-gs-foundation-2027-p2i-offline-july-batch4-e-orn-with-ncert</v>
      </c>
      <c r="R217" s="124" t="str">
        <f>IFERROR(__xludf.DUMMYFUNCTION("""COMPUTED_VALUE"""),"GS Foundation Course")</f>
        <v>GS Foundation Course</v>
      </c>
      <c r="S217" s="124">
        <f>IFERROR(__xludf.DUMMYFUNCTION("""COMPUTED_VALUE"""),8.178194044E9)</f>
        <v>8178194044</v>
      </c>
      <c r="T217" s="124" t="str">
        <f>IFERROR(__xludf.DUMMYFUNCTION("""COMPUTED_VALUE"""),"Collexo")</f>
        <v>Collexo</v>
      </c>
      <c r="U217" s="124" t="str">
        <f>IFERROR(__xludf.DUMMYFUNCTION("""COMPUTED_VALUE"""),"Success")</f>
        <v>Success</v>
      </c>
      <c r="V217" s="131">
        <f>IFERROR(__xludf.DUMMYFUNCTION("""COMPUTED_VALUE"""),46078.0)</f>
        <v>46078</v>
      </c>
      <c r="W217" s="124">
        <f>IFERROR(__xludf.DUMMYFUNCTION("""COMPUTED_VALUE"""),0.0)</f>
        <v>0</v>
      </c>
    </row>
    <row r="218">
      <c r="A218" s="124" t="str">
        <f t="shared" si="1"/>
        <v>hraj42331@gmail.com</v>
      </c>
      <c r="B218" s="131">
        <f>IFERROR(__xludf.DUMMYFUNCTION("""COMPUTED_VALUE"""),46107.0)</f>
        <v>46107</v>
      </c>
      <c r="C218" s="124" t="str">
        <f>IFERROR(__xludf.DUMMYFUNCTION("""COMPUTED_VALUE"""),"Payment data from Collexo")</f>
        <v>Payment data from Collexo</v>
      </c>
      <c r="D218" s="124" t="str">
        <f>IFERROR(__xludf.DUMMYFUNCTION("""COMPUTED_VALUE"""),"Not Available")</f>
        <v>Not Available</v>
      </c>
      <c r="E218" s="124">
        <f>IFERROR(__xludf.DUMMYFUNCTION("""COMPUTED_VALUE"""),1500609.0)</f>
        <v>1500609</v>
      </c>
      <c r="F218" s="124" t="str">
        <f>IFERROR(__xludf.DUMMYFUNCTION("""COMPUTED_VALUE"""),"16802_988_7")</f>
        <v>16802_988_7</v>
      </c>
      <c r="G218" s="124">
        <f>IFERROR(__xludf.DUMMYFUNCTION("""COMPUTED_VALUE"""),10000.0)</f>
        <v>10000</v>
      </c>
      <c r="H218" s="131">
        <f>IFERROR(__xludf.DUMMYFUNCTION("""COMPUTED_VALUE"""),46112.0)</f>
        <v>46112</v>
      </c>
      <c r="I218" s="124">
        <f>IFERROR(__xludf.DUMMYFUNCTION("""COMPUTED_VALUE"""),120000.0)</f>
        <v>120000</v>
      </c>
      <c r="J218" s="124">
        <f>IFERROR(__xludf.DUMMYFUNCTION("""COMPUTED_VALUE"""),130000.0)</f>
        <v>130000</v>
      </c>
      <c r="K218" s="124">
        <f>IFERROR(__xludf.DUMMYFUNCTION("""COMPUTED_VALUE"""),2.0)</f>
        <v>2</v>
      </c>
      <c r="L218" s="124">
        <f>IFERROR(__xludf.DUMMYFUNCTION("""COMPUTED_VALUE"""),769.0)</f>
        <v>769</v>
      </c>
      <c r="M218" s="124" t="str">
        <f>IFERROR(__xludf.DUMMYFUNCTION("""COMPUTED_VALUE"""),"New Delhi")</f>
        <v>New Delhi</v>
      </c>
      <c r="N218" s="124" t="str">
        <f>IFERROR(__xludf.DUMMYFUNCTION("""COMPUTED_VALUE"""),"hraj42331@gmail.com")</f>
        <v>hraj42331@gmail.com</v>
      </c>
      <c r="O218" s="124" t="str">
        <f>IFERROR(__xludf.DUMMYFUNCTION("""COMPUTED_VALUE"""),"Harsh raj")</f>
        <v>Harsh raj</v>
      </c>
      <c r="P218" s="124">
        <f>IFERROR(__xludf.DUMMYFUNCTION("""COMPUTED_VALUE"""),101903.0)</f>
        <v>101903</v>
      </c>
      <c r="Q218" s="124" t="str">
        <f>IFERROR(__xludf.DUMMYFUNCTION("""COMPUTED_VALUE"""),"upsc-gs-foundation-hinglish-target-2028-gsf-upsc-m05-orn")</f>
        <v>upsc-gs-foundation-hinglish-target-2028-gsf-upsc-m05-orn</v>
      </c>
      <c r="R218" s="124" t="str">
        <f>IFERROR(__xludf.DUMMYFUNCTION("""COMPUTED_VALUE"""),"GS Foundation Course")</f>
        <v>GS Foundation Course</v>
      </c>
      <c r="S218" s="124">
        <f>IFERROR(__xludf.DUMMYFUNCTION("""COMPUTED_VALUE"""),9.835624619E9)</f>
        <v>9835624619</v>
      </c>
      <c r="T218" s="124" t="str">
        <f>IFERROR(__xludf.DUMMYFUNCTION("""COMPUTED_VALUE"""),"Collexo")</f>
        <v>Collexo</v>
      </c>
      <c r="U218" s="124" t="str">
        <f>IFERROR(__xludf.DUMMYFUNCTION("""COMPUTED_VALUE"""),"Success")</f>
        <v>Success</v>
      </c>
      <c r="V218" s="131">
        <f>IFERROR(__xludf.DUMMYFUNCTION("""COMPUTED_VALUE"""),46107.0)</f>
        <v>46107</v>
      </c>
      <c r="W218" s="124">
        <f>IFERROR(__xludf.DUMMYFUNCTION("""COMPUTED_VALUE"""),0.0)</f>
        <v>0</v>
      </c>
    </row>
    <row r="219">
      <c r="A219" s="124" t="str">
        <f t="shared" si="1"/>
        <v>smruthiranjan03@gmail.com</v>
      </c>
      <c r="B219" s="131">
        <f>IFERROR(__xludf.DUMMYFUNCTION("""COMPUTED_VALUE"""),46052.0)</f>
        <v>46052</v>
      </c>
      <c r="C219" s="124" t="str">
        <f>IFERROR(__xludf.DUMMYFUNCTION("""COMPUTED_VALUE"""),"Payment data from Collexo")</f>
        <v>Payment data from Collexo</v>
      </c>
      <c r="D219" s="124" t="str">
        <f>IFERROR(__xludf.DUMMYFUNCTION("""COMPUTED_VALUE"""),"Not Available")</f>
        <v>Not Available</v>
      </c>
      <c r="E219" s="124">
        <f>IFERROR(__xludf.DUMMYFUNCTION("""COMPUTED_VALUE"""),1500609.0)</f>
        <v>1500609</v>
      </c>
      <c r="F219" s="124" t="str">
        <f>IFERROR(__xludf.DUMMYFUNCTION("""COMPUTED_VALUE"""),"3126_988_7")</f>
        <v>3126_988_7</v>
      </c>
      <c r="G219" s="124">
        <f>IFERROR(__xludf.DUMMYFUNCTION("""COMPUTED_VALUE"""),108000.0)</f>
        <v>108000</v>
      </c>
      <c r="H219" s="131">
        <f>IFERROR(__xludf.DUMMYFUNCTION("""COMPUTED_VALUE"""),46053.0)</f>
        <v>46053</v>
      </c>
      <c r="I219" s="124">
        <f>IFERROR(__xludf.DUMMYFUNCTION("""COMPUTED_VALUE"""),22000.0)</f>
        <v>22000</v>
      </c>
      <c r="J219" s="124">
        <f>IFERROR(__xludf.DUMMYFUNCTION("""COMPUTED_VALUE"""),135000.0)</f>
        <v>135000</v>
      </c>
      <c r="K219" s="124">
        <f>IFERROR(__xludf.DUMMYFUNCTION("""COMPUTED_VALUE"""),3.0)</f>
        <v>3</v>
      </c>
      <c r="L219" s="124">
        <f>IFERROR(__xludf.DUMMYFUNCTION("""COMPUTED_VALUE"""),139.0)</f>
        <v>139</v>
      </c>
      <c r="M219" s="124" t="str">
        <f>IFERROR(__xludf.DUMMYFUNCTION("""COMPUTED_VALUE"""),"New Delhi")</f>
        <v>New Delhi</v>
      </c>
      <c r="N219" s="124" t="str">
        <f>IFERROR(__xludf.DUMMYFUNCTION("""COMPUTED_VALUE"""),"smruthiranjan03@gmail.com")</f>
        <v>smruthiranjan03@gmail.com</v>
      </c>
      <c r="O219" s="124" t="str">
        <f>IFERROR(__xludf.DUMMYFUNCTION("""COMPUTED_VALUE"""),"Ranjan")</f>
        <v>Ranjan</v>
      </c>
      <c r="P219" s="124">
        <f>IFERROR(__xludf.DUMMYFUNCTION("""COMPUTED_VALUE"""),111679.0)</f>
        <v>111679</v>
      </c>
      <c r="Q219" s="124" t="str">
        <f>IFERROR(__xludf.DUMMYFUNCTION("""COMPUTED_VALUE"""),"ncert-foundation-hinglish-target-2026-nce-upsc-e02-orn")</f>
        <v>ncert-foundation-hinglish-target-2026-nce-upsc-e02-orn</v>
      </c>
      <c r="R219" s="124" t="str">
        <f>IFERROR(__xludf.DUMMYFUNCTION("""COMPUTED_VALUE"""),"GS Foundation Course")</f>
        <v>GS Foundation Course</v>
      </c>
      <c r="S219" s="124">
        <f>IFERROR(__xludf.DUMMYFUNCTION("""COMPUTED_VALUE"""),7.876496464E9)</f>
        <v>7876496464</v>
      </c>
      <c r="T219" s="124" t="str">
        <f>IFERROR(__xludf.DUMMYFUNCTION("""COMPUTED_VALUE"""),"Collexo")</f>
        <v>Collexo</v>
      </c>
      <c r="U219" s="124" t="str">
        <f>IFERROR(__xludf.DUMMYFUNCTION("""COMPUTED_VALUE"""),"Success")</f>
        <v>Success</v>
      </c>
      <c r="V219" s="131">
        <f>IFERROR(__xludf.DUMMYFUNCTION("""COMPUTED_VALUE"""),46052.0)</f>
        <v>46052</v>
      </c>
      <c r="W219" s="124">
        <f>IFERROR(__xludf.DUMMYFUNCTION("""COMPUTED_VALUE"""),0.0)</f>
        <v>0</v>
      </c>
    </row>
    <row r="220">
      <c r="A220" s="124" t="str">
        <f t="shared" si="1"/>
        <v>prarthanajat4@gmail.com</v>
      </c>
      <c r="B220" s="131">
        <f>IFERROR(__xludf.DUMMYFUNCTION("""COMPUTED_VALUE"""),46112.0)</f>
        <v>46112</v>
      </c>
      <c r="C220" s="124" t="str">
        <f>IFERROR(__xludf.DUMMYFUNCTION("""COMPUTED_VALUE"""),"Payment data from Collexo")</f>
        <v>Payment data from Collexo</v>
      </c>
      <c r="D220" s="124" t="str">
        <f>IFERROR(__xludf.DUMMYFUNCTION("""COMPUTED_VALUE"""),"Not Available")</f>
        <v>Not Available</v>
      </c>
      <c r="E220" s="124">
        <f>IFERROR(__xludf.DUMMYFUNCTION("""COMPUTED_VALUE"""),1500612.0)</f>
        <v>1500612</v>
      </c>
      <c r="F220" s="124">
        <f>IFERROR(__xludf.DUMMYFUNCTION("""COMPUTED_VALUE"""),51034.0)</f>
        <v>51034</v>
      </c>
      <c r="G220" s="124">
        <f>IFERROR(__xludf.DUMMYFUNCTION("""COMPUTED_VALUE"""),82000.0)</f>
        <v>82000</v>
      </c>
      <c r="H220" s="124" t="str">
        <f>IFERROR(__xludf.DUMMYFUNCTION("""COMPUTED_VALUE"""),"Not Available")</f>
        <v>Not Available</v>
      </c>
      <c r="I220" s="124">
        <f>IFERROR(__xludf.DUMMYFUNCTION("""COMPUTED_VALUE"""),0.0)</f>
        <v>0</v>
      </c>
      <c r="J220" s="124">
        <f>IFERROR(__xludf.DUMMYFUNCTION("""COMPUTED_VALUE"""),85000.0)</f>
        <v>85000</v>
      </c>
      <c r="K220" s="124">
        <f>IFERROR(__xludf.DUMMYFUNCTION("""COMPUTED_VALUE"""),2.0)</f>
        <v>2</v>
      </c>
      <c r="L220" s="124">
        <f>IFERROR(__xludf.DUMMYFUNCTION("""COMPUTED_VALUE"""),879.0)</f>
        <v>879</v>
      </c>
      <c r="M220" s="124" t="str">
        <f>IFERROR(__xludf.DUMMYFUNCTION("""COMPUTED_VALUE"""),"Indore")</f>
        <v>Indore</v>
      </c>
      <c r="N220" s="124" t="str">
        <f>IFERROR(__xludf.DUMMYFUNCTION("""COMPUTED_VALUE"""),"prarthanajat4@gmail.com")</f>
        <v>prarthanajat4@gmail.com</v>
      </c>
      <c r="O220" s="124" t="str">
        <f>IFERROR(__xludf.DUMMYFUNCTION("""COMPUTED_VALUE"""),"Prarthana Jat")</f>
        <v>Prarthana Jat</v>
      </c>
      <c r="P220" s="124">
        <f>IFERROR(__xludf.DUMMYFUNCTION("""COMPUTED_VALUE"""),51034.0)</f>
        <v>51034</v>
      </c>
      <c r="Q220" s="124" t="str">
        <f>IFERROR(__xludf.DUMMYFUNCTION("""COMPUTED_VALUE"""),"mppsc-gs-foundation-hinglish-target-2028-gsf-mppsc-e02-ind")</f>
        <v>mppsc-gs-foundation-hinglish-target-2028-gsf-mppsc-e02-ind</v>
      </c>
      <c r="R220" s="124" t="str">
        <f>IFERROR(__xludf.DUMMYFUNCTION("""COMPUTED_VALUE"""),"State PCS")</f>
        <v>State PCS</v>
      </c>
      <c r="S220" s="124">
        <f>IFERROR(__xludf.DUMMYFUNCTION("""COMPUTED_VALUE"""),9.98170032E9)</f>
        <v>9981700320</v>
      </c>
      <c r="T220" s="124" t="str">
        <f>IFERROR(__xludf.DUMMYFUNCTION("""COMPUTED_VALUE"""),"Not Available")</f>
        <v>Not Available</v>
      </c>
      <c r="U220" s="124" t="str">
        <f>IFERROR(__xludf.DUMMYFUNCTION("""COMPUTED_VALUE"""),"Not Available")</f>
        <v>Not Available</v>
      </c>
      <c r="V220" s="124" t="str">
        <f>IFERROR(__xludf.DUMMYFUNCTION("""COMPUTED_VALUE"""),"Not Available")</f>
        <v>Not Available</v>
      </c>
      <c r="W220" s="124" t="str">
        <f>IFERROR(__xludf.DUMMYFUNCTION("""COMPUTED_VALUE"""),"Not Available")</f>
        <v>Not Available</v>
      </c>
    </row>
    <row r="221">
      <c r="A221" s="124" t="str">
        <f t="shared" si="1"/>
        <v>smruthiranjan03@gmail.com</v>
      </c>
      <c r="B221" s="131">
        <f>IFERROR(__xludf.DUMMYFUNCTION("""COMPUTED_VALUE"""),46052.0)</f>
        <v>46052</v>
      </c>
      <c r="C221" s="124" t="str">
        <f>IFERROR(__xludf.DUMMYFUNCTION("""COMPUTED_VALUE"""),"Payment data from Collexo")</f>
        <v>Payment data from Collexo</v>
      </c>
      <c r="D221" s="124" t="str">
        <f>IFERROR(__xludf.DUMMYFUNCTION("""COMPUTED_VALUE"""),"Not Available")</f>
        <v>Not Available</v>
      </c>
      <c r="E221" s="124">
        <f>IFERROR(__xludf.DUMMYFUNCTION("""COMPUTED_VALUE"""),1500609.0)</f>
        <v>1500609</v>
      </c>
      <c r="F221" s="124" t="str">
        <f>IFERROR(__xludf.DUMMYFUNCTION("""COMPUTED_VALUE"""),"3066_988_7")</f>
        <v>3066_988_7</v>
      </c>
      <c r="G221" s="124">
        <f>IFERROR(__xludf.DUMMYFUNCTION("""COMPUTED_VALUE"""),5000.0)</f>
        <v>5000</v>
      </c>
      <c r="H221" s="131">
        <f>IFERROR(__xludf.DUMMYFUNCTION("""COMPUTED_VALUE"""),46053.0)</f>
        <v>46053</v>
      </c>
      <c r="I221" s="124">
        <f>IFERROR(__xludf.DUMMYFUNCTION("""COMPUTED_VALUE"""),130000.0)</f>
        <v>130000</v>
      </c>
      <c r="J221" s="124">
        <f>IFERROR(__xludf.DUMMYFUNCTION("""COMPUTED_VALUE"""),135000.0)</f>
        <v>135000</v>
      </c>
      <c r="K221" s="124">
        <f>IFERROR(__xludf.DUMMYFUNCTION("""COMPUTED_VALUE"""),2.0)</f>
        <v>2</v>
      </c>
      <c r="L221" s="124">
        <f>IFERROR(__xludf.DUMMYFUNCTION("""COMPUTED_VALUE"""),131.0)</f>
        <v>131</v>
      </c>
      <c r="M221" s="124" t="str">
        <f>IFERROR(__xludf.DUMMYFUNCTION("""COMPUTED_VALUE"""),"New Delhi")</f>
        <v>New Delhi</v>
      </c>
      <c r="N221" s="124" t="str">
        <f>IFERROR(__xludf.DUMMYFUNCTION("""COMPUTED_VALUE"""),"smruthiranjan03@gmail.com")</f>
        <v>smruthiranjan03@gmail.com</v>
      </c>
      <c r="O221" s="124" t="str">
        <f>IFERROR(__xludf.DUMMYFUNCTION("""COMPUTED_VALUE"""),"Ranjan")</f>
        <v>Ranjan</v>
      </c>
      <c r="P221" s="124">
        <f>IFERROR(__xludf.DUMMYFUNCTION("""COMPUTED_VALUE"""),111679.0)</f>
        <v>111679</v>
      </c>
      <c r="Q221" s="124" t="str">
        <f>IFERROR(__xludf.DUMMYFUNCTION("""COMPUTED_VALUE"""),"ncert-foundation-hinglish-target-2026-nce-upsc-e02-orn")</f>
        <v>ncert-foundation-hinglish-target-2026-nce-upsc-e02-orn</v>
      </c>
      <c r="R221" s="124" t="str">
        <f>IFERROR(__xludf.DUMMYFUNCTION("""COMPUTED_VALUE"""),"GS Foundation Course")</f>
        <v>GS Foundation Course</v>
      </c>
      <c r="S221" s="124">
        <f>IFERROR(__xludf.DUMMYFUNCTION("""COMPUTED_VALUE"""),7.876496464E9)</f>
        <v>7876496464</v>
      </c>
      <c r="T221" s="124" t="str">
        <f>IFERROR(__xludf.DUMMYFUNCTION("""COMPUTED_VALUE"""),"Collexo")</f>
        <v>Collexo</v>
      </c>
      <c r="U221" s="124" t="str">
        <f>IFERROR(__xludf.DUMMYFUNCTION("""COMPUTED_VALUE"""),"Success")</f>
        <v>Success</v>
      </c>
      <c r="V221" s="131">
        <f>IFERROR(__xludf.DUMMYFUNCTION("""COMPUTED_VALUE"""),46052.0)</f>
        <v>46052</v>
      </c>
      <c r="W221" s="124">
        <f>IFERROR(__xludf.DUMMYFUNCTION("""COMPUTED_VALUE"""),0.0)</f>
        <v>0</v>
      </c>
    </row>
    <row r="222">
      <c r="A222" s="124" t="str">
        <f t="shared" si="1"/>
        <v>lokesh2129verma@gmail.com</v>
      </c>
      <c r="B222" s="131">
        <f>IFERROR(__xludf.DUMMYFUNCTION("""COMPUTED_VALUE"""),46076.0)</f>
        <v>46076</v>
      </c>
      <c r="C222" s="124" t="str">
        <f>IFERROR(__xludf.DUMMYFUNCTION("""COMPUTED_VALUE"""),"Payment data from Collexo")</f>
        <v>Payment data from Collexo</v>
      </c>
      <c r="D222" s="124" t="str">
        <f>IFERROR(__xludf.DUMMYFUNCTION("""COMPUTED_VALUE"""),"Not Available")</f>
        <v>Not Available</v>
      </c>
      <c r="E222" s="124">
        <f>IFERROR(__xludf.DUMMYFUNCTION("""COMPUTED_VALUE"""),1500609.0)</f>
        <v>1500609</v>
      </c>
      <c r="F222" s="124" t="str">
        <f>IFERROR(__xludf.DUMMYFUNCTION("""COMPUTED_VALUE"""),"9066_988_7")</f>
        <v>9066_988_7</v>
      </c>
      <c r="G222" s="124">
        <f>IFERROR(__xludf.DUMMYFUNCTION("""COMPUTED_VALUE"""),40000.0)</f>
        <v>40000</v>
      </c>
      <c r="H222" s="131">
        <f>IFERROR(__xludf.DUMMYFUNCTION("""COMPUTED_VALUE"""),46081.0)</f>
        <v>46081</v>
      </c>
      <c r="I222" s="124">
        <f>IFERROR(__xludf.DUMMYFUNCTION("""COMPUTED_VALUE"""),30000.0)</f>
        <v>30000</v>
      </c>
      <c r="J222" s="124">
        <f>IFERROR(__xludf.DUMMYFUNCTION("""COMPUTED_VALUE"""),70000.0)</f>
        <v>70000</v>
      </c>
      <c r="K222" s="124">
        <f>IFERROR(__xludf.DUMMYFUNCTION("""COMPUTED_VALUE"""),2.0)</f>
        <v>2</v>
      </c>
      <c r="L222" s="124">
        <f>IFERROR(__xludf.DUMMYFUNCTION("""COMPUTED_VALUE"""),316.0)</f>
        <v>316</v>
      </c>
      <c r="M222" s="124" t="str">
        <f>IFERROR(__xludf.DUMMYFUNCTION("""COMPUTED_VALUE"""),"New Delhi")</f>
        <v>New Delhi</v>
      </c>
      <c r="N222" s="124" t="str">
        <f>IFERROR(__xludf.DUMMYFUNCTION("""COMPUTED_VALUE"""),"lokesh2129verma@gmail.com")</f>
        <v>lokesh2129verma@gmail.com</v>
      </c>
      <c r="O222" s="124" t="str">
        <f>IFERROR(__xludf.DUMMYFUNCTION("""COMPUTED_VALUE"""),"Lokesh")</f>
        <v>Lokesh</v>
      </c>
      <c r="P222" s="124">
        <f>IFERROR(__xludf.DUMMYFUNCTION("""COMPUTED_VALUE"""),124363.0)</f>
        <v>124363</v>
      </c>
      <c r="Q222" s="124" t="str">
        <f>IFERROR(__xludf.DUMMYFUNCTION("""COMPUTED_VALUE"""),"super-100-gs-foundation-2027-p2i-offline-july-batch4-e-orn-with-ncert")</f>
        <v>super-100-gs-foundation-2027-p2i-offline-july-batch4-e-orn-with-ncert</v>
      </c>
      <c r="R222" s="124" t="str">
        <f>IFERROR(__xludf.DUMMYFUNCTION("""COMPUTED_VALUE"""),"GS Foundation Course")</f>
        <v>GS Foundation Course</v>
      </c>
      <c r="S222" s="124">
        <f>IFERROR(__xludf.DUMMYFUNCTION("""COMPUTED_VALUE"""),8.178194044E9)</f>
        <v>8178194044</v>
      </c>
      <c r="T222" s="124" t="str">
        <f>IFERROR(__xludf.DUMMYFUNCTION("""COMPUTED_VALUE"""),"Collexo")</f>
        <v>Collexo</v>
      </c>
      <c r="U222" s="124" t="str">
        <f>IFERROR(__xludf.DUMMYFUNCTION("""COMPUTED_VALUE"""),"Success")</f>
        <v>Success</v>
      </c>
      <c r="V222" s="131">
        <f>IFERROR(__xludf.DUMMYFUNCTION("""COMPUTED_VALUE"""),46076.0)</f>
        <v>46076</v>
      </c>
      <c r="W222" s="124">
        <f>IFERROR(__xludf.DUMMYFUNCTION("""COMPUTED_VALUE"""),0.0)</f>
        <v>0</v>
      </c>
    </row>
    <row r="223">
      <c r="A223" s="124" t="str">
        <f t="shared" si="1"/>
        <v>prarthanajat4@gmail.com</v>
      </c>
      <c r="B223" s="131">
        <f>IFERROR(__xludf.DUMMYFUNCTION("""COMPUTED_VALUE"""),46110.0)</f>
        <v>46110</v>
      </c>
      <c r="C223" s="124" t="str">
        <f>IFERROR(__xludf.DUMMYFUNCTION("""COMPUTED_VALUE"""),"Payment data from Collexo")</f>
        <v>Payment data from Collexo</v>
      </c>
      <c r="D223" s="124" t="str">
        <f>IFERROR(__xludf.DUMMYFUNCTION("""COMPUTED_VALUE"""),"Not Available")</f>
        <v>Not Available</v>
      </c>
      <c r="E223" s="124">
        <f>IFERROR(__xludf.DUMMYFUNCTION("""COMPUTED_VALUE"""),1500612.0)</f>
        <v>1500612</v>
      </c>
      <c r="F223" s="124">
        <f>IFERROR(__xludf.DUMMYFUNCTION("""COMPUTED_VALUE"""),51034.0)</f>
        <v>51034</v>
      </c>
      <c r="G223" s="124">
        <f>IFERROR(__xludf.DUMMYFUNCTION("""COMPUTED_VALUE"""),3000.0)</f>
        <v>3000</v>
      </c>
      <c r="H223" s="131">
        <f>IFERROR(__xludf.DUMMYFUNCTION("""COMPUTED_VALUE"""),46112.0)</f>
        <v>46112</v>
      </c>
      <c r="I223" s="124">
        <f>IFERROR(__xludf.DUMMYFUNCTION("""COMPUTED_VALUE"""),82000.0)</f>
        <v>82000</v>
      </c>
      <c r="J223" s="124">
        <f>IFERROR(__xludf.DUMMYFUNCTION("""COMPUTED_VALUE"""),85000.0)</f>
        <v>85000</v>
      </c>
      <c r="K223" s="124">
        <f>IFERROR(__xludf.DUMMYFUNCTION("""COMPUTED_VALUE"""),2.0)</f>
        <v>2</v>
      </c>
      <c r="L223" s="124">
        <f>IFERROR(__xludf.DUMMYFUNCTION("""COMPUTED_VALUE"""),816.0)</f>
        <v>816</v>
      </c>
      <c r="M223" s="124" t="str">
        <f>IFERROR(__xludf.DUMMYFUNCTION("""COMPUTED_VALUE"""),"Indore")</f>
        <v>Indore</v>
      </c>
      <c r="N223" s="124" t="str">
        <f>IFERROR(__xludf.DUMMYFUNCTION("""COMPUTED_VALUE"""),"prarthanajat4@gmail.com")</f>
        <v>prarthanajat4@gmail.com</v>
      </c>
      <c r="O223" s="124" t="str">
        <f>IFERROR(__xludf.DUMMYFUNCTION("""COMPUTED_VALUE"""),"Prarthana Jat")</f>
        <v>Prarthana Jat</v>
      </c>
      <c r="P223" s="124">
        <f>IFERROR(__xludf.DUMMYFUNCTION("""COMPUTED_VALUE"""),51034.0)</f>
        <v>51034</v>
      </c>
      <c r="Q223" s="124" t="str">
        <f>IFERROR(__xludf.DUMMYFUNCTION("""COMPUTED_VALUE"""),"mppsc-gs-foundation-hinglish-target-2028-gsf-mppsc-e02-ind")</f>
        <v>mppsc-gs-foundation-hinglish-target-2028-gsf-mppsc-e02-ind</v>
      </c>
      <c r="R223" s="124" t="str">
        <f>IFERROR(__xludf.DUMMYFUNCTION("""COMPUTED_VALUE"""),"State PCS")</f>
        <v>State PCS</v>
      </c>
      <c r="S223" s="124">
        <f>IFERROR(__xludf.DUMMYFUNCTION("""COMPUTED_VALUE"""),9.98170032E9)</f>
        <v>9981700320</v>
      </c>
      <c r="T223" s="124" t="str">
        <f>IFERROR(__xludf.DUMMYFUNCTION("""COMPUTED_VALUE"""),"Not Available")</f>
        <v>Not Available</v>
      </c>
      <c r="U223" s="124" t="str">
        <f>IFERROR(__xludf.DUMMYFUNCTION("""COMPUTED_VALUE"""),"Not Available")</f>
        <v>Not Available</v>
      </c>
      <c r="V223" s="124" t="str">
        <f>IFERROR(__xludf.DUMMYFUNCTION("""COMPUTED_VALUE"""),"Not Available")</f>
        <v>Not Available</v>
      </c>
      <c r="W223" s="124" t="str">
        <f>IFERROR(__xludf.DUMMYFUNCTION("""COMPUTED_VALUE"""),"Not Available")</f>
        <v>Not Available</v>
      </c>
    </row>
    <row r="224">
      <c r="A224" s="124" t="str">
        <f t="shared" si="1"/>
        <v>trendwithmanish@gmail.com</v>
      </c>
      <c r="B224" s="131">
        <f>IFERROR(__xludf.DUMMYFUNCTION("""COMPUTED_VALUE"""),46105.0)</f>
        <v>46105</v>
      </c>
      <c r="C224" s="124" t="str">
        <f>IFERROR(__xludf.DUMMYFUNCTION("""COMPUTED_VALUE"""),"Payment data from Collexo")</f>
        <v>Payment data from Collexo</v>
      </c>
      <c r="D224" s="124" t="str">
        <f>IFERROR(__xludf.DUMMYFUNCTION("""COMPUTED_VALUE"""),"Not Available")</f>
        <v>Not Available</v>
      </c>
      <c r="E224" s="124">
        <f>IFERROR(__xludf.DUMMYFUNCTION("""COMPUTED_VALUE"""),1500611.0)</f>
        <v>1500611</v>
      </c>
      <c r="F224" s="124">
        <f>IFERROR(__xludf.DUMMYFUNCTION("""COMPUTED_VALUE"""),105349.0)</f>
        <v>105349</v>
      </c>
      <c r="G224" s="124">
        <f>IFERROR(__xludf.DUMMYFUNCTION("""COMPUTED_VALUE"""),6000.0)</f>
        <v>6000</v>
      </c>
      <c r="H224" s="131">
        <f>IFERROR(__xludf.DUMMYFUNCTION("""COMPUTED_VALUE"""),46107.0)</f>
        <v>46107</v>
      </c>
      <c r="I224" s="124">
        <f>IFERROR(__xludf.DUMMYFUNCTION("""COMPUTED_VALUE"""),54000.0)</f>
        <v>54000</v>
      </c>
      <c r="J224" s="124">
        <f>IFERROR(__xludf.DUMMYFUNCTION("""COMPUTED_VALUE"""),60000.0)</f>
        <v>60000</v>
      </c>
      <c r="K224" s="124">
        <f>IFERROR(__xludf.DUMMYFUNCTION("""COMPUTED_VALUE"""),2.0)</f>
        <v>2</v>
      </c>
      <c r="L224" s="124">
        <f>IFERROR(__xludf.DUMMYFUNCTION("""COMPUTED_VALUE"""),705.0)</f>
        <v>705</v>
      </c>
      <c r="M224" s="124" t="str">
        <f>IFERROR(__xludf.DUMMYFUNCTION("""COMPUTED_VALUE"""),"Patna")</f>
        <v>Patna</v>
      </c>
      <c r="N224" s="124" t="str">
        <f>IFERROR(__xludf.DUMMYFUNCTION("""COMPUTED_VALUE"""),"trendwithmanish@gmail.com")</f>
        <v>trendwithmanish@gmail.com</v>
      </c>
      <c r="O224" s="124" t="str">
        <f>IFERROR(__xludf.DUMMYFUNCTION("""COMPUTED_VALUE"""),"Manish Kumar")</f>
        <v>Manish Kumar</v>
      </c>
      <c r="P224" s="124">
        <f>IFERROR(__xludf.DUMMYFUNCTION("""COMPUTED_VALUE"""),105349.0)</f>
        <v>105349</v>
      </c>
      <c r="Q224" s="124" t="str">
        <f>IFERROR(__xludf.DUMMYFUNCTION("""COMPUTED_VALUE"""),"upsc-gs-foundation-hinglish-target-2027-gsf-upsc-e03-pat")</f>
        <v>upsc-gs-foundation-hinglish-target-2027-gsf-upsc-e03-pat</v>
      </c>
      <c r="R224" s="124" t="str">
        <f>IFERROR(__xludf.DUMMYFUNCTION("""COMPUTED_VALUE"""),"GS Foundation Course")</f>
        <v>GS Foundation Course</v>
      </c>
      <c r="S224" s="124">
        <f>IFERROR(__xludf.DUMMYFUNCTION("""COMPUTED_VALUE"""),8.757399474E9)</f>
        <v>8757399474</v>
      </c>
      <c r="T224" s="124" t="str">
        <f>IFERROR(__xludf.DUMMYFUNCTION("""COMPUTED_VALUE"""),"Not Available")</f>
        <v>Not Available</v>
      </c>
      <c r="U224" s="124" t="str">
        <f>IFERROR(__xludf.DUMMYFUNCTION("""COMPUTED_VALUE"""),"Not Available")</f>
        <v>Not Available</v>
      </c>
      <c r="V224" s="124" t="str">
        <f>IFERROR(__xludf.DUMMYFUNCTION("""COMPUTED_VALUE"""),"Not Available")</f>
        <v>Not Available</v>
      </c>
      <c r="W224" s="124" t="str">
        <f>IFERROR(__xludf.DUMMYFUNCTION("""COMPUTED_VALUE"""),"Not Available")</f>
        <v>Not Available</v>
      </c>
    </row>
    <row r="225">
      <c r="A225" s="124" t="str">
        <f t="shared" si="1"/>
        <v>anurajsingh.0376@gmail.com</v>
      </c>
      <c r="B225" s="131">
        <f>IFERROR(__xludf.DUMMYFUNCTION("""COMPUTED_VALUE"""),46055.0)</f>
        <v>46055</v>
      </c>
      <c r="C225" s="124" t="str">
        <f>IFERROR(__xludf.DUMMYFUNCTION("""COMPUTED_VALUE"""),"Payment data from Collexo")</f>
        <v>Payment data from Collexo</v>
      </c>
      <c r="D225" s="124" t="str">
        <f>IFERROR(__xludf.DUMMYFUNCTION("""COMPUTED_VALUE"""),"Not Available")</f>
        <v>Not Available</v>
      </c>
      <c r="E225" s="124">
        <f>IFERROR(__xludf.DUMMYFUNCTION("""COMPUTED_VALUE"""),1500609.0)</f>
        <v>1500609</v>
      </c>
      <c r="F225" s="124" t="str">
        <f>IFERROR(__xludf.DUMMYFUNCTION("""COMPUTED_VALUE"""),"3583_988_7")</f>
        <v>3583_988_7</v>
      </c>
      <c r="G225" s="124">
        <f>IFERROR(__xludf.DUMMYFUNCTION("""COMPUTED_VALUE"""),10000.0)</f>
        <v>10000</v>
      </c>
      <c r="H225" s="131">
        <f>IFERROR(__xludf.DUMMYFUNCTION("""COMPUTED_VALUE"""),46058.0)</f>
        <v>46058</v>
      </c>
      <c r="I225" s="124">
        <f>IFERROR(__xludf.DUMMYFUNCTION("""COMPUTED_VALUE"""),80000.0)</f>
        <v>80000</v>
      </c>
      <c r="J225" s="124">
        <f>IFERROR(__xludf.DUMMYFUNCTION("""COMPUTED_VALUE"""),90000.0)</f>
        <v>90000</v>
      </c>
      <c r="K225" s="124">
        <f>IFERROR(__xludf.DUMMYFUNCTION("""COMPUTED_VALUE"""),2.0)</f>
        <v>2</v>
      </c>
      <c r="L225" s="124">
        <f>IFERROR(__xludf.DUMMYFUNCTION("""COMPUTED_VALUE"""),154.0)</f>
        <v>154</v>
      </c>
      <c r="M225" s="124" t="str">
        <f>IFERROR(__xludf.DUMMYFUNCTION("""COMPUTED_VALUE"""),"New Delhi")</f>
        <v>New Delhi</v>
      </c>
      <c r="N225" s="124" t="str">
        <f>IFERROR(__xludf.DUMMYFUNCTION("""COMPUTED_VALUE"""),"anurajsingh.0376@gmail.com")</f>
        <v>anurajsingh.0376@gmail.com</v>
      </c>
      <c r="O225" s="124" t="str">
        <f>IFERROR(__xludf.DUMMYFUNCTION("""COMPUTED_VALUE"""),"Anuraj singh")</f>
        <v>Anuraj singh</v>
      </c>
      <c r="P225" s="124">
        <f>IFERROR(__xludf.DUMMYFUNCTION("""COMPUTED_VALUE"""),120444.0)</f>
        <v>120444</v>
      </c>
      <c r="Q225" s="124" t="str">
        <f>IFERROR(__xludf.DUMMYFUNCTION("""COMPUTED_VALUE"""),"upsc-gs-foundation-hinglish-target-2028-gsf-upsc-e03-orn")</f>
        <v>upsc-gs-foundation-hinglish-target-2028-gsf-upsc-e03-orn</v>
      </c>
      <c r="R225" s="124" t="str">
        <f>IFERROR(__xludf.DUMMYFUNCTION("""COMPUTED_VALUE"""),"GS Foundation Course")</f>
        <v>GS Foundation Course</v>
      </c>
      <c r="S225" s="124">
        <f>IFERROR(__xludf.DUMMYFUNCTION("""COMPUTED_VALUE"""),9.520111541E9)</f>
        <v>9520111541</v>
      </c>
      <c r="T225" s="124" t="str">
        <f>IFERROR(__xludf.DUMMYFUNCTION("""COMPUTED_VALUE"""),"Collexo")</f>
        <v>Collexo</v>
      </c>
      <c r="U225" s="124" t="str">
        <f>IFERROR(__xludf.DUMMYFUNCTION("""COMPUTED_VALUE"""),"Success")</f>
        <v>Success</v>
      </c>
      <c r="V225" s="131">
        <f>IFERROR(__xludf.DUMMYFUNCTION("""COMPUTED_VALUE"""),46055.0)</f>
        <v>46055</v>
      </c>
      <c r="W225" s="124">
        <f>IFERROR(__xludf.DUMMYFUNCTION("""COMPUTED_VALUE"""),0.0)</f>
        <v>0</v>
      </c>
    </row>
    <row r="226">
      <c r="A226" s="124" t="str">
        <f t="shared" si="1"/>
        <v>metier18@gmail.com</v>
      </c>
      <c r="B226" s="131">
        <f>IFERROR(__xludf.DUMMYFUNCTION("""COMPUTED_VALUE"""),46112.0)</f>
        <v>46112</v>
      </c>
      <c r="C226" s="124" t="str">
        <f>IFERROR(__xludf.DUMMYFUNCTION("""COMPUTED_VALUE"""),"Payment data from Collexo")</f>
        <v>Payment data from Collexo</v>
      </c>
      <c r="D226" s="124" t="str">
        <f>IFERROR(__xludf.DUMMYFUNCTION("""COMPUTED_VALUE"""),"Not Available")</f>
        <v>Not Available</v>
      </c>
      <c r="E226" s="124">
        <f>IFERROR(__xludf.DUMMYFUNCTION("""COMPUTED_VALUE"""),1500609.0)</f>
        <v>1500609</v>
      </c>
      <c r="F226" s="124" t="str">
        <f>IFERROR(__xludf.DUMMYFUNCTION("""COMPUTED_VALUE"""),"17725_988_7")</f>
        <v>17725_988_7</v>
      </c>
      <c r="G226" s="124">
        <f>IFERROR(__xludf.DUMMYFUNCTION("""COMPUTED_VALUE"""),50000.0)</f>
        <v>50000</v>
      </c>
      <c r="H226" s="124" t="str">
        <f>IFERROR(__xludf.DUMMYFUNCTION("""COMPUTED_VALUE"""),"Not Available")</f>
        <v>Not Available</v>
      </c>
      <c r="I226" s="124">
        <f>IFERROR(__xludf.DUMMYFUNCTION("""COMPUTED_VALUE"""),0.0)</f>
        <v>0</v>
      </c>
      <c r="J226" s="124">
        <f>IFERROR(__xludf.DUMMYFUNCTION("""COMPUTED_VALUE"""),55000.0)</f>
        <v>55000</v>
      </c>
      <c r="K226" s="124">
        <f>IFERROR(__xludf.DUMMYFUNCTION("""COMPUTED_VALUE"""),2.0)</f>
        <v>2</v>
      </c>
      <c r="L226" s="124">
        <f>IFERROR(__xludf.DUMMYFUNCTION("""COMPUTED_VALUE"""),863.0)</f>
        <v>863</v>
      </c>
      <c r="M226" s="124" t="str">
        <f>IFERROR(__xludf.DUMMYFUNCTION("""COMPUTED_VALUE"""),"New Delhi")</f>
        <v>New Delhi</v>
      </c>
      <c r="N226" s="124" t="str">
        <f>IFERROR(__xludf.DUMMYFUNCTION("""COMPUTED_VALUE"""),"metier18@gmail.com")</f>
        <v>metier18@gmail.com</v>
      </c>
      <c r="O226" s="124" t="str">
        <f>IFERROR(__xludf.DUMMYFUNCTION("""COMPUTED_VALUE"""),"SHASHIKANT TIWARI")</f>
        <v>SHASHIKANT TIWARI</v>
      </c>
      <c r="P226" s="124">
        <f>IFERROR(__xludf.DUMMYFUNCTION("""COMPUTED_VALUE"""),133131.0)</f>
        <v>133131</v>
      </c>
      <c r="Q226" s="124" t="str">
        <f>IFERROR(__xludf.DUMMYFUNCTION("""COMPUTED_VALUE"""),"upsc-gs-foundation-hinglish-target-2027-gsf-upsc-e05-orn")</f>
        <v>upsc-gs-foundation-hinglish-target-2027-gsf-upsc-e05-orn</v>
      </c>
      <c r="R226" s="124" t="str">
        <f>IFERROR(__xludf.DUMMYFUNCTION("""COMPUTED_VALUE"""),"GS Foundation Course")</f>
        <v>GS Foundation Course</v>
      </c>
      <c r="S226" s="124">
        <f>IFERROR(__xludf.DUMMYFUNCTION("""COMPUTED_VALUE"""),9.664198337E9)</f>
        <v>9664198337</v>
      </c>
      <c r="T226" s="124" t="str">
        <f>IFERROR(__xludf.DUMMYFUNCTION("""COMPUTED_VALUE"""),"Collexo")</f>
        <v>Collexo</v>
      </c>
      <c r="U226" s="124" t="str">
        <f>IFERROR(__xludf.DUMMYFUNCTION("""COMPUTED_VALUE"""),"Success")</f>
        <v>Success</v>
      </c>
      <c r="V226" s="131">
        <f>IFERROR(__xludf.DUMMYFUNCTION("""COMPUTED_VALUE"""),46112.0)</f>
        <v>46112</v>
      </c>
      <c r="W226" s="124">
        <f>IFERROR(__xludf.DUMMYFUNCTION("""COMPUTED_VALUE"""),0.0)</f>
        <v>0</v>
      </c>
    </row>
    <row r="227">
      <c r="A227" s="124" t="str">
        <f t="shared" si="1"/>
        <v>nizammonitor@gmail.com</v>
      </c>
      <c r="B227" s="131">
        <f>IFERROR(__xludf.DUMMYFUNCTION("""COMPUTED_VALUE"""),46112.0)</f>
        <v>46112</v>
      </c>
      <c r="C227" s="124" t="str">
        <f>IFERROR(__xludf.DUMMYFUNCTION("""COMPUTED_VALUE"""),"Payment data from Collexo")</f>
        <v>Payment data from Collexo</v>
      </c>
      <c r="D227" s="124" t="str">
        <f>IFERROR(__xludf.DUMMYFUNCTION("""COMPUTED_VALUE"""),"Not Available")</f>
        <v>Not Available</v>
      </c>
      <c r="E227" s="124">
        <f>IFERROR(__xludf.DUMMYFUNCTION("""COMPUTED_VALUE"""),1500613.0)</f>
        <v>1500613</v>
      </c>
      <c r="F227" s="124">
        <f>IFERROR(__xludf.DUMMYFUNCTION("""COMPUTED_VALUE"""),140023.0)</f>
        <v>140023</v>
      </c>
      <c r="G227" s="124">
        <f>IFERROR(__xludf.DUMMYFUNCTION("""COMPUTED_VALUE"""),1500.0)</f>
        <v>1500</v>
      </c>
      <c r="H227" s="131">
        <f>IFERROR(__xludf.DUMMYFUNCTION("""COMPUTED_VALUE"""),46115.0)</f>
        <v>46115</v>
      </c>
      <c r="I227" s="124">
        <f>IFERROR(__xludf.DUMMYFUNCTION("""COMPUTED_VALUE"""),53500.0)</f>
        <v>53500</v>
      </c>
      <c r="J227" s="124">
        <f>IFERROR(__xludf.DUMMYFUNCTION("""COMPUTED_VALUE"""),55000.0)</f>
        <v>55000</v>
      </c>
      <c r="K227" s="124">
        <f>IFERROR(__xludf.DUMMYFUNCTION("""COMPUTED_VALUE"""),2.0)</f>
        <v>2</v>
      </c>
      <c r="L227" s="124">
        <f>IFERROR(__xludf.DUMMYFUNCTION("""COMPUTED_VALUE"""),871.0)</f>
        <v>871</v>
      </c>
      <c r="M227" s="124" t="str">
        <f>IFERROR(__xludf.DUMMYFUNCTION("""COMPUTED_VALUE"""),"Prayagraj")</f>
        <v>Prayagraj</v>
      </c>
      <c r="N227" s="124" t="str">
        <f>IFERROR(__xludf.DUMMYFUNCTION("""COMPUTED_VALUE"""),"nizammonitor@gmail.com")</f>
        <v>nizammonitor@gmail.com</v>
      </c>
      <c r="O227" s="124" t="str">
        <f>IFERROR(__xludf.DUMMYFUNCTION("""COMPUTED_VALUE"""),"Ahamad")</f>
        <v>Ahamad</v>
      </c>
      <c r="P227" s="124">
        <f>IFERROR(__xludf.DUMMYFUNCTION("""COMPUTED_VALUE"""),140023.0)</f>
        <v>140023</v>
      </c>
      <c r="Q227" s="124" t="str">
        <f>IFERROR(__xludf.DUMMYFUNCTION("""COMPUTED_VALUE"""),"upsc-gs-foundation-hinglish-target-2027-gsf-upsc-e03-pry")</f>
        <v>upsc-gs-foundation-hinglish-target-2027-gsf-upsc-e03-pry</v>
      </c>
      <c r="R227" s="124" t="str">
        <f>IFERROR(__xludf.DUMMYFUNCTION("""COMPUTED_VALUE"""),"State PCS")</f>
        <v>State PCS</v>
      </c>
      <c r="S227" s="124">
        <f>IFERROR(__xludf.DUMMYFUNCTION("""COMPUTED_VALUE"""),9.044850984E9)</f>
        <v>9044850984</v>
      </c>
      <c r="T227" s="124" t="str">
        <f>IFERROR(__xludf.DUMMYFUNCTION("""COMPUTED_VALUE"""),"Not Available")</f>
        <v>Not Available</v>
      </c>
      <c r="U227" s="124" t="str">
        <f>IFERROR(__xludf.DUMMYFUNCTION("""COMPUTED_VALUE"""),"Not Available")</f>
        <v>Not Available</v>
      </c>
      <c r="V227" s="124" t="str">
        <f>IFERROR(__xludf.DUMMYFUNCTION("""COMPUTED_VALUE"""),"Not Available")</f>
        <v>Not Available</v>
      </c>
      <c r="W227" s="124" t="str">
        <f>IFERROR(__xludf.DUMMYFUNCTION("""COMPUTED_VALUE"""),"Not Available")</f>
        <v>Not Available</v>
      </c>
    </row>
    <row r="228">
      <c r="A228" s="124" t="str">
        <f t="shared" si="1"/>
        <v>vibhutibharti5555@gmail.com</v>
      </c>
      <c r="B228" s="131">
        <f>IFERROR(__xludf.DUMMYFUNCTION("""COMPUTED_VALUE"""),46089.0)</f>
        <v>46089</v>
      </c>
      <c r="C228" s="124" t="str">
        <f>IFERROR(__xludf.DUMMYFUNCTION("""COMPUTED_VALUE"""),"Payment data from Collexo")</f>
        <v>Payment data from Collexo</v>
      </c>
      <c r="D228" s="124" t="str">
        <f>IFERROR(__xludf.DUMMYFUNCTION("""COMPUTED_VALUE"""),"Not Available")</f>
        <v>Not Available</v>
      </c>
      <c r="E228" s="124">
        <f>IFERROR(__xludf.DUMMYFUNCTION("""COMPUTED_VALUE"""),1500609.0)</f>
        <v>1500609</v>
      </c>
      <c r="F228" s="124" t="str">
        <f>IFERROR(__xludf.DUMMYFUNCTION("""COMPUTED_VALUE"""),"13067_988_7")</f>
        <v>13067_988_7</v>
      </c>
      <c r="G228" s="124">
        <f>IFERROR(__xludf.DUMMYFUNCTION("""COMPUTED_VALUE"""),5000.0)</f>
        <v>5000</v>
      </c>
      <c r="H228" s="131">
        <f>IFERROR(__xludf.DUMMYFUNCTION("""COMPUTED_VALUE"""),46112.0)</f>
        <v>46112</v>
      </c>
      <c r="I228" s="124">
        <f>IFERROR(__xludf.DUMMYFUNCTION("""COMPUTED_VALUE"""),120000.0)</f>
        <v>120000</v>
      </c>
      <c r="J228" s="124">
        <f>IFERROR(__xludf.DUMMYFUNCTION("""COMPUTED_VALUE"""),125000.0)</f>
        <v>125000</v>
      </c>
      <c r="K228" s="124">
        <f>IFERROR(__xludf.DUMMYFUNCTION("""COMPUTED_VALUE"""),2.0)</f>
        <v>2</v>
      </c>
      <c r="L228" s="124">
        <f>IFERROR(__xludf.DUMMYFUNCTION("""COMPUTED_VALUE"""),438.0)</f>
        <v>438</v>
      </c>
      <c r="M228" s="124" t="str">
        <f>IFERROR(__xludf.DUMMYFUNCTION("""COMPUTED_VALUE"""),"New Delhi")</f>
        <v>New Delhi</v>
      </c>
      <c r="N228" s="124" t="str">
        <f>IFERROR(__xludf.DUMMYFUNCTION("""COMPUTED_VALUE"""),"vibhutibharti5555@gmail.com")</f>
        <v>vibhutibharti5555@gmail.com</v>
      </c>
      <c r="O228" s="124" t="str">
        <f>IFERROR(__xludf.DUMMYFUNCTION("""COMPUTED_VALUE"""),"vibhuti bharti")</f>
        <v>vibhuti bharti</v>
      </c>
      <c r="P228" s="124">
        <f>IFERROR(__xludf.DUMMYFUNCTION("""COMPUTED_VALUE"""),124546.0)</f>
        <v>124546</v>
      </c>
      <c r="Q228" s="124" t="str">
        <f>IFERROR(__xludf.DUMMYFUNCTION("""COMPUTED_VALUE"""),"upsc-gs-foundation-hinglish-target-2028-gsf-upsc-m05-orn")</f>
        <v>upsc-gs-foundation-hinglish-target-2028-gsf-upsc-m05-orn</v>
      </c>
      <c r="R228" s="124" t="str">
        <f>IFERROR(__xludf.DUMMYFUNCTION("""COMPUTED_VALUE"""),"GS Foundation Course")</f>
        <v>GS Foundation Course</v>
      </c>
      <c r="S228" s="124">
        <f>IFERROR(__xludf.DUMMYFUNCTION("""COMPUTED_VALUE"""),7.870378856E9)</f>
        <v>7870378856</v>
      </c>
      <c r="T228" s="124" t="str">
        <f>IFERROR(__xludf.DUMMYFUNCTION("""COMPUTED_VALUE"""),"Collexo")</f>
        <v>Collexo</v>
      </c>
      <c r="U228" s="124" t="str">
        <f>IFERROR(__xludf.DUMMYFUNCTION("""COMPUTED_VALUE"""),"Success")</f>
        <v>Success</v>
      </c>
      <c r="V228" s="131">
        <f>IFERROR(__xludf.DUMMYFUNCTION("""COMPUTED_VALUE"""),46089.0)</f>
        <v>46089</v>
      </c>
      <c r="W228" s="124">
        <f>IFERROR(__xludf.DUMMYFUNCTION("""COMPUTED_VALUE"""),0.0)</f>
        <v>0</v>
      </c>
    </row>
    <row r="229">
      <c r="A229" s="124" t="str">
        <f t="shared" si="1"/>
        <v>kg082051@gmail.com</v>
      </c>
      <c r="B229" s="131">
        <f>IFERROR(__xludf.DUMMYFUNCTION("""COMPUTED_VALUE"""),46101.0)</f>
        <v>46101</v>
      </c>
      <c r="C229" s="124" t="str">
        <f>IFERROR(__xludf.DUMMYFUNCTION("""COMPUTED_VALUE"""),"Payment data from Collexo")</f>
        <v>Payment data from Collexo</v>
      </c>
      <c r="D229" s="124" t="str">
        <f>IFERROR(__xludf.DUMMYFUNCTION("""COMPUTED_VALUE"""),"Not Available")</f>
        <v>Not Available</v>
      </c>
      <c r="E229" s="124">
        <f>IFERROR(__xludf.DUMMYFUNCTION("""COMPUTED_VALUE"""),1500611.0)</f>
        <v>1500611</v>
      </c>
      <c r="F229" s="124">
        <f>IFERROR(__xludf.DUMMYFUNCTION("""COMPUTED_VALUE"""),129695.0)</f>
        <v>129695</v>
      </c>
      <c r="G229" s="124">
        <f>IFERROR(__xludf.DUMMYFUNCTION("""COMPUTED_VALUE"""),5000.0)</f>
        <v>5000</v>
      </c>
      <c r="H229" s="131">
        <f>IFERROR(__xludf.DUMMYFUNCTION("""COMPUTED_VALUE"""),46101.0)</f>
        <v>46101</v>
      </c>
      <c r="I229" s="124">
        <f>IFERROR(__xludf.DUMMYFUNCTION("""COMPUTED_VALUE"""),40000.0)</f>
        <v>40000</v>
      </c>
      <c r="J229" s="124">
        <f>IFERROR(__xludf.DUMMYFUNCTION("""COMPUTED_VALUE"""),45000.0)</f>
        <v>45000</v>
      </c>
      <c r="K229" s="124">
        <f>IFERROR(__xludf.DUMMYFUNCTION("""COMPUTED_VALUE"""),2.0)</f>
        <v>2</v>
      </c>
      <c r="L229" s="124">
        <f>IFERROR(__xludf.DUMMYFUNCTION("""COMPUTED_VALUE"""),654.0)</f>
        <v>654</v>
      </c>
      <c r="M229" s="124" t="str">
        <f>IFERROR(__xludf.DUMMYFUNCTION("""COMPUTED_VALUE"""),"Patna")</f>
        <v>Patna</v>
      </c>
      <c r="N229" s="124" t="str">
        <f>IFERROR(__xludf.DUMMYFUNCTION("""COMPUTED_VALUE"""),"kg082051@gmail.com")</f>
        <v>kg082051@gmail.com</v>
      </c>
      <c r="O229" s="124" t="str">
        <f>IFERROR(__xludf.DUMMYFUNCTION("""COMPUTED_VALUE"""),"kajal")</f>
        <v>kajal</v>
      </c>
      <c r="P229" s="124">
        <f>IFERROR(__xludf.DUMMYFUNCTION("""COMPUTED_VALUE"""),129695.0)</f>
        <v>129695</v>
      </c>
      <c r="Q229" s="124" t="str">
        <f>IFERROR(__xludf.DUMMYFUNCTION("""COMPUTED_VALUE"""),"bpsc-gs-foundation-hindi-target-2026-gsf-bpsc-e02-pat")</f>
        <v>bpsc-gs-foundation-hindi-target-2026-gsf-bpsc-e02-pat</v>
      </c>
      <c r="R229" s="124" t="str">
        <f>IFERROR(__xludf.DUMMYFUNCTION("""COMPUTED_VALUE"""),"State PCS")</f>
        <v>State PCS</v>
      </c>
      <c r="S229" s="124">
        <f>IFERROR(__xludf.DUMMYFUNCTION("""COMPUTED_VALUE"""),9.50879206E9)</f>
        <v>9508792060</v>
      </c>
      <c r="T229" s="124" t="str">
        <f>IFERROR(__xludf.DUMMYFUNCTION("""COMPUTED_VALUE"""),"Not Available")</f>
        <v>Not Available</v>
      </c>
      <c r="U229" s="124" t="str">
        <f>IFERROR(__xludf.DUMMYFUNCTION("""COMPUTED_VALUE"""),"Not Available")</f>
        <v>Not Available</v>
      </c>
      <c r="V229" s="124" t="str">
        <f>IFERROR(__xludf.DUMMYFUNCTION("""COMPUTED_VALUE"""),"Not Available")</f>
        <v>Not Available</v>
      </c>
      <c r="W229" s="124" t="str">
        <f>IFERROR(__xludf.DUMMYFUNCTION("""COMPUTED_VALUE"""),"Not Available")</f>
        <v>Not Available</v>
      </c>
    </row>
    <row r="230">
      <c r="A230" s="124" t="str">
        <f t="shared" si="1"/>
        <v>anurajsingh.0376@gmail.com</v>
      </c>
      <c r="B230" s="131">
        <f>IFERROR(__xludf.DUMMYFUNCTION("""COMPUTED_VALUE"""),46055.0)</f>
        <v>46055</v>
      </c>
      <c r="C230" s="124" t="str">
        <f>IFERROR(__xludf.DUMMYFUNCTION("""COMPUTED_VALUE"""),"Payment data from Collexo")</f>
        <v>Payment data from Collexo</v>
      </c>
      <c r="D230" s="124" t="str">
        <f>IFERROR(__xludf.DUMMYFUNCTION("""COMPUTED_VALUE"""),"Not Available")</f>
        <v>Not Available</v>
      </c>
      <c r="E230" s="124">
        <f>IFERROR(__xludf.DUMMYFUNCTION("""COMPUTED_VALUE"""),1500609.0)</f>
        <v>1500609</v>
      </c>
      <c r="F230" s="124" t="str">
        <f>IFERROR(__xludf.DUMMYFUNCTION("""COMPUTED_VALUE"""),"3585_988_7")</f>
        <v>3585_988_7</v>
      </c>
      <c r="G230" s="124">
        <f>IFERROR(__xludf.DUMMYFUNCTION("""COMPUTED_VALUE"""),8000.0)</f>
        <v>8000</v>
      </c>
      <c r="H230" s="131">
        <f>IFERROR(__xludf.DUMMYFUNCTION("""COMPUTED_VALUE"""),46057.0)</f>
        <v>46057</v>
      </c>
      <c r="I230" s="124">
        <f>IFERROR(__xludf.DUMMYFUNCTION("""COMPUTED_VALUE"""),72000.0)</f>
        <v>72000</v>
      </c>
      <c r="J230" s="124">
        <f>IFERROR(__xludf.DUMMYFUNCTION("""COMPUTED_VALUE"""),90000.0)</f>
        <v>90000</v>
      </c>
      <c r="K230" s="124">
        <f>IFERROR(__xludf.DUMMYFUNCTION("""COMPUTED_VALUE"""),3.0)</f>
        <v>3</v>
      </c>
      <c r="L230" s="124">
        <f>IFERROR(__xludf.DUMMYFUNCTION("""COMPUTED_VALUE"""),156.0)</f>
        <v>156</v>
      </c>
      <c r="M230" s="124" t="str">
        <f>IFERROR(__xludf.DUMMYFUNCTION("""COMPUTED_VALUE"""),"New Delhi")</f>
        <v>New Delhi</v>
      </c>
      <c r="N230" s="124" t="str">
        <f>IFERROR(__xludf.DUMMYFUNCTION("""COMPUTED_VALUE"""),"anurajsingh.0376@gmail.com")</f>
        <v>anurajsingh.0376@gmail.com</v>
      </c>
      <c r="O230" s="124" t="str">
        <f>IFERROR(__xludf.DUMMYFUNCTION("""COMPUTED_VALUE"""),"Anuraj singh")</f>
        <v>Anuraj singh</v>
      </c>
      <c r="P230" s="124">
        <f>IFERROR(__xludf.DUMMYFUNCTION("""COMPUTED_VALUE"""),120444.0)</f>
        <v>120444</v>
      </c>
      <c r="Q230" s="124" t="str">
        <f>IFERROR(__xludf.DUMMYFUNCTION("""COMPUTED_VALUE"""),"upsc-gs-foundation-hinglish-target-2028-gsf-upsc-e03-orn")</f>
        <v>upsc-gs-foundation-hinglish-target-2028-gsf-upsc-e03-orn</v>
      </c>
      <c r="R230" s="124" t="str">
        <f>IFERROR(__xludf.DUMMYFUNCTION("""COMPUTED_VALUE"""),"GS Foundation Course")</f>
        <v>GS Foundation Course</v>
      </c>
      <c r="S230" s="124">
        <f>IFERROR(__xludf.DUMMYFUNCTION("""COMPUTED_VALUE"""),9.520111541E9)</f>
        <v>9520111541</v>
      </c>
      <c r="T230" s="124" t="str">
        <f>IFERROR(__xludf.DUMMYFUNCTION("""COMPUTED_VALUE"""),"Collexo")</f>
        <v>Collexo</v>
      </c>
      <c r="U230" s="124" t="str">
        <f>IFERROR(__xludf.DUMMYFUNCTION("""COMPUTED_VALUE"""),"Success")</f>
        <v>Success</v>
      </c>
      <c r="V230" s="131">
        <f>IFERROR(__xludf.DUMMYFUNCTION("""COMPUTED_VALUE"""),46055.0)</f>
        <v>46055</v>
      </c>
      <c r="W230" s="124">
        <f>IFERROR(__xludf.DUMMYFUNCTION("""COMPUTED_VALUE"""),0.0)</f>
        <v>0</v>
      </c>
    </row>
    <row r="231">
      <c r="A231" s="124" t="str">
        <f t="shared" si="1"/>
        <v>vinayaksingh1556698@gmail.com</v>
      </c>
      <c r="B231" s="131">
        <f>IFERROR(__xludf.DUMMYFUNCTION("""COMPUTED_VALUE"""),46066.0)</f>
        <v>46066</v>
      </c>
      <c r="C231" s="124" t="str">
        <f>IFERROR(__xludf.DUMMYFUNCTION("""COMPUTED_VALUE"""),"Payment data from Collexo")</f>
        <v>Payment data from Collexo</v>
      </c>
      <c r="D231" s="124" t="str">
        <f>IFERROR(__xludf.DUMMYFUNCTION("""COMPUTED_VALUE"""),"Not Available")</f>
        <v>Not Available</v>
      </c>
      <c r="E231" s="124">
        <f>IFERROR(__xludf.DUMMYFUNCTION("""COMPUTED_VALUE"""),1500609.0)</f>
        <v>1500609</v>
      </c>
      <c r="F231" s="124" t="str">
        <f>IFERROR(__xludf.DUMMYFUNCTION("""COMPUTED_VALUE"""),"5065_988_7")</f>
        <v>5065_988_7</v>
      </c>
      <c r="G231" s="124">
        <f>IFERROR(__xludf.DUMMYFUNCTION("""COMPUTED_VALUE"""),105000.0)</f>
        <v>105000</v>
      </c>
      <c r="H231" s="124" t="str">
        <f>IFERROR(__xludf.DUMMYFUNCTION("""COMPUTED_VALUE"""),"Not Available")</f>
        <v>Not Available</v>
      </c>
      <c r="I231" s="124">
        <f>IFERROR(__xludf.DUMMYFUNCTION("""COMPUTED_VALUE"""),0.0)</f>
        <v>0</v>
      </c>
      <c r="J231" s="124">
        <f>IFERROR(__xludf.DUMMYFUNCTION("""COMPUTED_VALUE"""),110000.0)</f>
        <v>110000</v>
      </c>
      <c r="K231" s="124">
        <f>IFERROR(__xludf.DUMMYFUNCTION("""COMPUTED_VALUE"""),2.0)</f>
        <v>2</v>
      </c>
      <c r="L231" s="124">
        <f>IFERROR(__xludf.DUMMYFUNCTION("""COMPUTED_VALUE"""),206.0)</f>
        <v>206</v>
      </c>
      <c r="M231" s="124" t="str">
        <f>IFERROR(__xludf.DUMMYFUNCTION("""COMPUTED_VALUE"""),"New Delhi")</f>
        <v>New Delhi</v>
      </c>
      <c r="N231" s="124" t="str">
        <f>IFERROR(__xludf.DUMMYFUNCTION("""COMPUTED_VALUE"""),"vinayaksingh1556698@gmail.com")</f>
        <v>vinayaksingh1556698@gmail.com</v>
      </c>
      <c r="O231" s="124" t="str">
        <f>IFERROR(__xludf.DUMMYFUNCTION("""COMPUTED_VALUE"""),"Vinayak")</f>
        <v>Vinayak</v>
      </c>
      <c r="P231" s="124">
        <f>IFERROR(__xludf.DUMMYFUNCTION("""COMPUTED_VALUE"""),14775.0)</f>
        <v>14775</v>
      </c>
      <c r="Q231" s="124" t="str">
        <f>IFERROR(__xludf.DUMMYFUNCTION("""COMPUTED_VALUE"""),"upsc-gs-foundation-hinglish-target-2027-gsf-upsc-e04-orn")</f>
        <v>upsc-gs-foundation-hinglish-target-2027-gsf-upsc-e04-orn</v>
      </c>
      <c r="R231" s="124" t="str">
        <f>IFERROR(__xludf.DUMMYFUNCTION("""COMPUTED_VALUE"""),"GS Foundation Course")</f>
        <v>GS Foundation Course</v>
      </c>
      <c r="S231" s="124">
        <f>IFERROR(__xludf.DUMMYFUNCTION("""COMPUTED_VALUE"""),8.587970069E9)</f>
        <v>8587970069</v>
      </c>
      <c r="T231" s="124" t="str">
        <f>IFERROR(__xludf.DUMMYFUNCTION("""COMPUTED_VALUE"""),"Collexo")</f>
        <v>Collexo</v>
      </c>
      <c r="U231" s="124" t="str">
        <f>IFERROR(__xludf.DUMMYFUNCTION("""COMPUTED_VALUE"""),"Success")</f>
        <v>Success</v>
      </c>
      <c r="V231" s="131">
        <f>IFERROR(__xludf.DUMMYFUNCTION("""COMPUTED_VALUE"""),46066.0)</f>
        <v>46066</v>
      </c>
      <c r="W231" s="124">
        <f>IFERROR(__xludf.DUMMYFUNCTION("""COMPUTED_VALUE"""),0.0)</f>
        <v>0</v>
      </c>
    </row>
    <row r="232">
      <c r="A232" s="124" t="str">
        <f t="shared" si="1"/>
        <v>mdhaseena1004@gmail.com</v>
      </c>
      <c r="B232" s="131">
        <f>IFERROR(__xludf.DUMMYFUNCTION("""COMPUTED_VALUE"""),46106.0)</f>
        <v>46106</v>
      </c>
      <c r="C232" s="124" t="str">
        <f>IFERROR(__xludf.DUMMYFUNCTION("""COMPUTED_VALUE"""),"Payment data from Collexo")</f>
        <v>Payment data from Collexo</v>
      </c>
      <c r="D232" s="124" t="str">
        <f>IFERROR(__xludf.DUMMYFUNCTION("""COMPUTED_VALUE"""),"Not Available")</f>
        <v>Not Available</v>
      </c>
      <c r="E232" s="124">
        <f>IFERROR(__xludf.DUMMYFUNCTION("""COMPUTED_VALUE"""),1500609.0)</f>
        <v>1500609</v>
      </c>
      <c r="F232" s="124" t="str">
        <f>IFERROR(__xludf.DUMMYFUNCTION("""COMPUTED_VALUE"""),"16544_988_7")</f>
        <v>16544_988_7</v>
      </c>
      <c r="G232" s="124">
        <f>IFERROR(__xludf.DUMMYFUNCTION("""COMPUTED_VALUE"""),35000.0)</f>
        <v>35000</v>
      </c>
      <c r="H232" s="124" t="str">
        <f>IFERROR(__xludf.DUMMYFUNCTION("""COMPUTED_VALUE"""),"Not Available")</f>
        <v>Not Available</v>
      </c>
      <c r="I232" s="124">
        <f>IFERROR(__xludf.DUMMYFUNCTION("""COMPUTED_VALUE"""),0.0)</f>
        <v>0</v>
      </c>
      <c r="J232" s="124">
        <f>IFERROR(__xludf.DUMMYFUNCTION("""COMPUTED_VALUE"""),135000.0)</f>
        <v>135000</v>
      </c>
      <c r="K232" s="124">
        <f>IFERROR(__xludf.DUMMYFUNCTION("""COMPUTED_VALUE"""),3.0)</f>
        <v>3</v>
      </c>
      <c r="L232" s="124">
        <f>IFERROR(__xludf.DUMMYFUNCTION("""COMPUTED_VALUE"""),741.0)</f>
        <v>741</v>
      </c>
      <c r="M232" s="124" t="str">
        <f>IFERROR(__xludf.DUMMYFUNCTION("""COMPUTED_VALUE"""),"New Delhi")</f>
        <v>New Delhi</v>
      </c>
      <c r="N232" s="124" t="str">
        <f>IFERROR(__xludf.DUMMYFUNCTION("""COMPUTED_VALUE"""),"mdhaseena1004@gmail.com")</f>
        <v>mdhaseena1004@gmail.com</v>
      </c>
      <c r="O232" s="124" t="str">
        <f>IFERROR(__xludf.DUMMYFUNCTION("""COMPUTED_VALUE"""),"Haseena")</f>
        <v>Haseena</v>
      </c>
      <c r="P232" s="124">
        <f>IFERROR(__xludf.DUMMYFUNCTION("""COMPUTED_VALUE"""),123766.0)</f>
        <v>123766</v>
      </c>
      <c r="Q232" s="124" t="str">
        <f>IFERROR(__xludf.DUMMYFUNCTION("""COMPUTED_VALUE"""),"upsc-gs-foundation-hinglish-target-2027-gsf-upsc-m04-orn")</f>
        <v>upsc-gs-foundation-hinglish-target-2027-gsf-upsc-m04-orn</v>
      </c>
      <c r="R232" s="124" t="str">
        <f>IFERROR(__xludf.DUMMYFUNCTION("""COMPUTED_VALUE"""),"GS Foundation Course")</f>
        <v>GS Foundation Course</v>
      </c>
      <c r="S232" s="124">
        <f>IFERROR(__xludf.DUMMYFUNCTION("""COMPUTED_VALUE"""),8.688883282E9)</f>
        <v>8688883282</v>
      </c>
      <c r="T232" s="124" t="str">
        <f>IFERROR(__xludf.DUMMYFUNCTION("""COMPUTED_VALUE"""),"Not Available")</f>
        <v>Not Available</v>
      </c>
      <c r="U232" s="124" t="str">
        <f>IFERROR(__xludf.DUMMYFUNCTION("""COMPUTED_VALUE"""),"Not Available")</f>
        <v>Not Available</v>
      </c>
      <c r="V232" s="124" t="str">
        <f>IFERROR(__xludf.DUMMYFUNCTION("""COMPUTED_VALUE"""),"Not Available")</f>
        <v>Not Available</v>
      </c>
      <c r="W232" s="124" t="str">
        <f>IFERROR(__xludf.DUMMYFUNCTION("""COMPUTED_VALUE"""),"Not Available")</f>
        <v>Not Available</v>
      </c>
    </row>
    <row r="233">
      <c r="A233" s="124" t="str">
        <f t="shared" si="1"/>
        <v>nowaidbrma123@gmail.com</v>
      </c>
      <c r="B233" s="131">
        <f>IFERROR(__xludf.DUMMYFUNCTION("""COMPUTED_VALUE"""),46067.0)</f>
        <v>46067</v>
      </c>
      <c r="C233" s="124" t="str">
        <f>IFERROR(__xludf.DUMMYFUNCTION("""COMPUTED_VALUE"""),"Payment data from Collexo")</f>
        <v>Payment data from Collexo</v>
      </c>
      <c r="D233" s="124" t="str">
        <f>IFERROR(__xludf.DUMMYFUNCTION("""COMPUTED_VALUE"""),"Not Available")</f>
        <v>Not Available</v>
      </c>
      <c r="E233" s="124">
        <f>IFERROR(__xludf.DUMMYFUNCTION("""COMPUTED_VALUE"""),1500609.0)</f>
        <v>1500609</v>
      </c>
      <c r="F233" s="124" t="str">
        <f>IFERROR(__xludf.DUMMYFUNCTION("""COMPUTED_VALUE"""),"5175_988_7")</f>
        <v>5175_988_7</v>
      </c>
      <c r="G233" s="124">
        <f>IFERROR(__xludf.DUMMYFUNCTION("""COMPUTED_VALUE"""),5000.0)</f>
        <v>5000</v>
      </c>
      <c r="H233" s="131">
        <f>IFERROR(__xludf.DUMMYFUNCTION("""COMPUTED_VALUE"""),46072.0)</f>
        <v>46072</v>
      </c>
      <c r="I233" s="124">
        <f>IFERROR(__xludf.DUMMYFUNCTION("""COMPUTED_VALUE"""),115000.0)</f>
        <v>115000</v>
      </c>
      <c r="J233" s="124">
        <f>IFERROR(__xludf.DUMMYFUNCTION("""COMPUTED_VALUE"""),120000.0)</f>
        <v>120000</v>
      </c>
      <c r="K233" s="124">
        <f>IFERROR(__xludf.DUMMYFUNCTION("""COMPUTED_VALUE"""),2.0)</f>
        <v>2</v>
      </c>
      <c r="L233" s="124">
        <f>IFERROR(__xludf.DUMMYFUNCTION("""COMPUTED_VALUE"""),210.0)</f>
        <v>210</v>
      </c>
      <c r="M233" s="124" t="str">
        <f>IFERROR(__xludf.DUMMYFUNCTION("""COMPUTED_VALUE"""),"New Delhi")</f>
        <v>New Delhi</v>
      </c>
      <c r="N233" s="124" t="str">
        <f>IFERROR(__xludf.DUMMYFUNCTION("""COMPUTED_VALUE"""),"nowaidbrma123@gmail.com")</f>
        <v>nowaidbrma123@gmail.com</v>
      </c>
      <c r="O233" s="124" t="str">
        <f>IFERROR(__xludf.DUMMYFUNCTION("""COMPUTED_VALUE"""),"Nowai")</f>
        <v>Nowai</v>
      </c>
      <c r="P233" s="124">
        <f>IFERROR(__xludf.DUMMYFUNCTION("""COMPUTED_VALUE"""),123506.0)</f>
        <v>123506</v>
      </c>
      <c r="Q233" s="124" t="str">
        <f>IFERROR(__xludf.DUMMYFUNCTION("""COMPUTED_VALUE"""),"upsc-gs-foundation-hinglish-target-2027-gsf-upsc-m02-orn")</f>
        <v>upsc-gs-foundation-hinglish-target-2027-gsf-upsc-m02-orn</v>
      </c>
      <c r="R233" s="124" t="str">
        <f>IFERROR(__xludf.DUMMYFUNCTION("""COMPUTED_VALUE"""),"GS Foundation Course")</f>
        <v>GS Foundation Course</v>
      </c>
      <c r="S233" s="124">
        <f>IFERROR(__xludf.DUMMYFUNCTION("""COMPUTED_VALUE"""),9.366087291E9)</f>
        <v>9366087291</v>
      </c>
      <c r="T233" s="124" t="str">
        <f>IFERROR(__xludf.DUMMYFUNCTION("""COMPUTED_VALUE"""),"Collexo")</f>
        <v>Collexo</v>
      </c>
      <c r="U233" s="124" t="str">
        <f>IFERROR(__xludf.DUMMYFUNCTION("""COMPUTED_VALUE"""),"Success")</f>
        <v>Success</v>
      </c>
      <c r="V233" s="131">
        <f>IFERROR(__xludf.DUMMYFUNCTION("""COMPUTED_VALUE"""),46067.0)</f>
        <v>46067</v>
      </c>
      <c r="W233" s="124">
        <f>IFERROR(__xludf.DUMMYFUNCTION("""COMPUTED_VALUE"""),0.0)</f>
        <v>0</v>
      </c>
    </row>
    <row r="234">
      <c r="A234" s="124" t="str">
        <f t="shared" si="1"/>
        <v>bhartiprajapati4691@gmail.com</v>
      </c>
      <c r="B234" s="131">
        <f>IFERROR(__xludf.DUMMYFUNCTION("""COMPUTED_VALUE"""),46104.0)</f>
        <v>46104</v>
      </c>
      <c r="C234" s="124" t="str">
        <f>IFERROR(__xludf.DUMMYFUNCTION("""COMPUTED_VALUE"""),"Payment data from Collexo")</f>
        <v>Payment data from Collexo</v>
      </c>
      <c r="D234" s="124" t="str">
        <f>IFERROR(__xludf.DUMMYFUNCTION("""COMPUTED_VALUE"""),"Not Available")</f>
        <v>Not Available</v>
      </c>
      <c r="E234" s="124">
        <f>IFERROR(__xludf.DUMMYFUNCTION("""COMPUTED_VALUE"""),1500612.0)</f>
        <v>1500612</v>
      </c>
      <c r="F234" s="124">
        <f>IFERROR(__xludf.DUMMYFUNCTION("""COMPUTED_VALUE"""),129987.0)</f>
        <v>129987</v>
      </c>
      <c r="G234" s="124">
        <f>IFERROR(__xludf.DUMMYFUNCTION("""COMPUTED_VALUE"""),5000.0)</f>
        <v>5000</v>
      </c>
      <c r="H234" s="131">
        <f>IFERROR(__xludf.DUMMYFUNCTION("""COMPUTED_VALUE"""),46112.0)</f>
        <v>46112</v>
      </c>
      <c r="I234" s="124">
        <f>IFERROR(__xludf.DUMMYFUNCTION("""COMPUTED_VALUE"""),20000.0)</f>
        <v>20000</v>
      </c>
      <c r="J234" s="124">
        <f>IFERROR(__xludf.DUMMYFUNCTION("""COMPUTED_VALUE"""),25000.0)</f>
        <v>25000</v>
      </c>
      <c r="K234" s="124">
        <f>IFERROR(__xludf.DUMMYFUNCTION("""COMPUTED_VALUE"""),2.0)</f>
        <v>2</v>
      </c>
      <c r="L234" s="124">
        <f>IFERROR(__xludf.DUMMYFUNCTION("""COMPUTED_VALUE"""),686.0)</f>
        <v>686</v>
      </c>
      <c r="M234" s="124" t="str">
        <f>IFERROR(__xludf.DUMMYFUNCTION("""COMPUTED_VALUE"""),"Indore")</f>
        <v>Indore</v>
      </c>
      <c r="N234" s="124" t="str">
        <f>IFERROR(__xludf.DUMMYFUNCTION("""COMPUTED_VALUE"""),"bhartiprajapati4691@gmail.com")</f>
        <v>bhartiprajapati4691@gmail.com</v>
      </c>
      <c r="O234" s="124" t="str">
        <f>IFERROR(__xludf.DUMMYFUNCTION("""COMPUTED_VALUE"""),"Bharti Prajapati")</f>
        <v>Bharti Prajapati</v>
      </c>
      <c r="P234" s="124">
        <f>IFERROR(__xludf.DUMMYFUNCTION("""COMPUTED_VALUE"""),129987.0)</f>
        <v>129987</v>
      </c>
      <c r="Q234" s="124" t="str">
        <f>IFERROR(__xludf.DUMMYFUNCTION("""COMPUTED_VALUE"""),"madhya-pradesh-psc-gs-foundation-2027-p2i-offline-hindi-batch-e-ind")</f>
        <v>madhya-pradesh-psc-gs-foundation-2027-p2i-offline-hindi-batch-e-ind</v>
      </c>
      <c r="R234" s="124" t="str">
        <f>IFERROR(__xludf.DUMMYFUNCTION("""COMPUTED_VALUE"""),"State PCS")</f>
        <v>State PCS</v>
      </c>
      <c r="S234" s="124">
        <f>IFERROR(__xludf.DUMMYFUNCTION("""COMPUTED_VALUE"""),8.349217934E9)</f>
        <v>8349217934</v>
      </c>
      <c r="T234" s="124" t="str">
        <f>IFERROR(__xludf.DUMMYFUNCTION("""COMPUTED_VALUE"""),"Not Available")</f>
        <v>Not Available</v>
      </c>
      <c r="U234" s="124" t="str">
        <f>IFERROR(__xludf.DUMMYFUNCTION("""COMPUTED_VALUE"""),"Not Available")</f>
        <v>Not Available</v>
      </c>
      <c r="V234" s="124" t="str">
        <f>IFERROR(__xludf.DUMMYFUNCTION("""COMPUTED_VALUE"""),"Not Available")</f>
        <v>Not Available</v>
      </c>
      <c r="W234" s="124" t="str">
        <f>IFERROR(__xludf.DUMMYFUNCTION("""COMPUTED_VALUE"""),"Not Available")</f>
        <v>Not Available</v>
      </c>
    </row>
    <row r="235">
      <c r="A235" s="124" t="str">
        <f t="shared" si="1"/>
        <v>nagsoham31@gmail.com</v>
      </c>
      <c r="B235" s="131">
        <f>IFERROR(__xludf.DUMMYFUNCTION("""COMPUTED_VALUE"""),46105.0)</f>
        <v>46105</v>
      </c>
      <c r="C235" s="124" t="str">
        <f>IFERROR(__xludf.DUMMYFUNCTION("""COMPUTED_VALUE"""),"Payment data from Collexo")</f>
        <v>Payment data from Collexo</v>
      </c>
      <c r="D235" s="124" t="str">
        <f>IFERROR(__xludf.DUMMYFUNCTION("""COMPUTED_VALUE"""),"Not Available")</f>
        <v>Not Available</v>
      </c>
      <c r="E235" s="124">
        <f>IFERROR(__xludf.DUMMYFUNCTION("""COMPUTED_VALUE"""),1500609.0)</f>
        <v>1500609</v>
      </c>
      <c r="F235" s="124" t="str">
        <f>IFERROR(__xludf.DUMMYFUNCTION("""COMPUTED_VALUE"""),"16346_988_7")</f>
        <v>16346_988_7</v>
      </c>
      <c r="G235" s="124">
        <f>IFERROR(__xludf.DUMMYFUNCTION("""COMPUTED_VALUE"""),25000.0)</f>
        <v>25000</v>
      </c>
      <c r="H235" s="131">
        <f>IFERROR(__xludf.DUMMYFUNCTION("""COMPUTED_VALUE"""),46112.0)</f>
        <v>46112</v>
      </c>
      <c r="I235" s="124">
        <f>IFERROR(__xludf.DUMMYFUNCTION("""COMPUTED_VALUE"""),100000.0)</f>
        <v>100000</v>
      </c>
      <c r="J235" s="124">
        <f>IFERROR(__xludf.DUMMYFUNCTION("""COMPUTED_VALUE"""),125000.0)</f>
        <v>125000</v>
      </c>
      <c r="K235" s="124">
        <f>IFERROR(__xludf.DUMMYFUNCTION("""COMPUTED_VALUE"""),2.0)</f>
        <v>2</v>
      </c>
      <c r="L235" s="124">
        <f>IFERROR(__xludf.DUMMYFUNCTION("""COMPUTED_VALUE"""),709.0)</f>
        <v>709</v>
      </c>
      <c r="M235" s="124" t="str">
        <f>IFERROR(__xludf.DUMMYFUNCTION("""COMPUTED_VALUE"""),"New Delhi")</f>
        <v>New Delhi</v>
      </c>
      <c r="N235" s="124" t="str">
        <f>IFERROR(__xludf.DUMMYFUNCTION("""COMPUTED_VALUE"""),"nagsoham31@gmail.com")</f>
        <v>nagsoham31@gmail.com</v>
      </c>
      <c r="O235" s="124" t="str">
        <f>IFERROR(__xludf.DUMMYFUNCTION("""COMPUTED_VALUE"""),"Soham nag")</f>
        <v>Soham nag</v>
      </c>
      <c r="P235" s="124">
        <f>IFERROR(__xludf.DUMMYFUNCTION("""COMPUTED_VALUE"""),130022.0)</f>
        <v>130022</v>
      </c>
      <c r="Q235" s="124" t="str">
        <f>IFERROR(__xludf.DUMMYFUNCTION("""COMPUTED_VALUE"""),"upsc-gs-foundation-hinglish-target-2028-gsf-upsc-e05-orn")</f>
        <v>upsc-gs-foundation-hinglish-target-2028-gsf-upsc-e05-orn</v>
      </c>
      <c r="R235" s="124" t="str">
        <f>IFERROR(__xludf.DUMMYFUNCTION("""COMPUTED_VALUE"""),"GS Foundation Course")</f>
        <v>GS Foundation Course</v>
      </c>
      <c r="S235" s="124">
        <f>IFERROR(__xludf.DUMMYFUNCTION("""COMPUTED_VALUE"""),7.855045836E9)</f>
        <v>7855045836</v>
      </c>
      <c r="T235" s="124" t="str">
        <f>IFERROR(__xludf.DUMMYFUNCTION("""COMPUTED_VALUE"""),"Not Available")</f>
        <v>Not Available</v>
      </c>
      <c r="U235" s="124" t="str">
        <f>IFERROR(__xludf.DUMMYFUNCTION("""COMPUTED_VALUE"""),"Not Available")</f>
        <v>Not Available</v>
      </c>
      <c r="V235" s="124" t="str">
        <f>IFERROR(__xludf.DUMMYFUNCTION("""COMPUTED_VALUE"""),"Not Available")</f>
        <v>Not Available</v>
      </c>
      <c r="W235" s="124" t="str">
        <f>IFERROR(__xludf.DUMMYFUNCTION("""COMPUTED_VALUE"""),"Not Available")</f>
        <v>Not Available</v>
      </c>
    </row>
    <row r="236">
      <c r="A236" s="124" t="str">
        <f t="shared" si="1"/>
        <v>lakshayrana1406@gmail.com</v>
      </c>
      <c r="B236" s="131">
        <f>IFERROR(__xludf.DUMMYFUNCTION("""COMPUTED_VALUE"""),46072.0)</f>
        <v>46072</v>
      </c>
      <c r="C236" s="124" t="str">
        <f>IFERROR(__xludf.DUMMYFUNCTION("""COMPUTED_VALUE"""),"Payment data from Collexo")</f>
        <v>Payment data from Collexo</v>
      </c>
      <c r="D236" s="124" t="str">
        <f>IFERROR(__xludf.DUMMYFUNCTION("""COMPUTED_VALUE"""),"Not Available")</f>
        <v>Not Available</v>
      </c>
      <c r="E236" s="124">
        <f>IFERROR(__xludf.DUMMYFUNCTION("""COMPUTED_VALUE"""),1500609.0)</f>
        <v>1500609</v>
      </c>
      <c r="F236" s="124" t="str">
        <f>IFERROR(__xludf.DUMMYFUNCTION("""COMPUTED_VALUE"""),"6517_988_7")</f>
        <v>6517_988_7</v>
      </c>
      <c r="G236" s="124">
        <f>IFERROR(__xludf.DUMMYFUNCTION("""COMPUTED_VALUE"""),65000.0)</f>
        <v>65000</v>
      </c>
      <c r="H236" s="124" t="str">
        <f>IFERROR(__xludf.DUMMYFUNCTION("""COMPUTED_VALUE"""),"Not Available")</f>
        <v>Not Available</v>
      </c>
      <c r="I236" s="124">
        <f>IFERROR(__xludf.DUMMYFUNCTION("""COMPUTED_VALUE"""),0.0)</f>
        <v>0</v>
      </c>
      <c r="J236" s="124">
        <f>IFERROR(__xludf.DUMMYFUNCTION("""COMPUTED_VALUE"""),130000.0)</f>
        <v>130000</v>
      </c>
      <c r="K236" s="124">
        <f>IFERROR(__xludf.DUMMYFUNCTION("""COMPUTED_VALUE"""),3.0)</f>
        <v>3</v>
      </c>
      <c r="L236" s="124">
        <f>IFERROR(__xludf.DUMMYFUNCTION("""COMPUTED_VALUE"""),268.0)</f>
        <v>268</v>
      </c>
      <c r="M236" s="124" t="str">
        <f>IFERROR(__xludf.DUMMYFUNCTION("""COMPUTED_VALUE"""),"New Delhi")</f>
        <v>New Delhi</v>
      </c>
      <c r="N236" s="124" t="str">
        <f>IFERROR(__xludf.DUMMYFUNCTION("""COMPUTED_VALUE"""),"lakshayrana1406@gmail.com")</f>
        <v>lakshayrana1406@gmail.com</v>
      </c>
      <c r="O236" s="124" t="str">
        <f>IFERROR(__xludf.DUMMYFUNCTION("""COMPUTED_VALUE"""),"LAKSHAY")</f>
        <v>LAKSHAY</v>
      </c>
      <c r="P236" s="124">
        <f>IFERROR(__xludf.DUMMYFUNCTION("""COMPUTED_VALUE"""),123748.0)</f>
        <v>123748</v>
      </c>
      <c r="Q236" s="124" t="str">
        <f>IFERROR(__xludf.DUMMYFUNCTION("""COMPUTED_VALUE"""),"upsc-gs-foundation-hinglish-target-2027-gsf-upsc-e04-orn")</f>
        <v>upsc-gs-foundation-hinglish-target-2027-gsf-upsc-e04-orn</v>
      </c>
      <c r="R236" s="124" t="str">
        <f>IFERROR(__xludf.DUMMYFUNCTION("""COMPUTED_VALUE"""),"GS Foundation Course")</f>
        <v>GS Foundation Course</v>
      </c>
      <c r="S236" s="124">
        <f>IFERROR(__xludf.DUMMYFUNCTION("""COMPUTED_VALUE"""),8.920811162E9)</f>
        <v>8920811162</v>
      </c>
      <c r="T236" s="124" t="str">
        <f>IFERROR(__xludf.DUMMYFUNCTION("""COMPUTED_VALUE"""),"Collexo")</f>
        <v>Collexo</v>
      </c>
      <c r="U236" s="124" t="str">
        <f>IFERROR(__xludf.DUMMYFUNCTION("""COMPUTED_VALUE"""),"Success")</f>
        <v>Success</v>
      </c>
      <c r="V236" s="131">
        <f>IFERROR(__xludf.DUMMYFUNCTION("""COMPUTED_VALUE"""),46072.0)</f>
        <v>46072</v>
      </c>
      <c r="W236" s="124">
        <f>IFERROR(__xludf.DUMMYFUNCTION("""COMPUTED_VALUE"""),0.0)</f>
        <v>0</v>
      </c>
    </row>
    <row r="237">
      <c r="A237" s="124" t="str">
        <f t="shared" si="1"/>
        <v>masterabhisheksingh02@gmail.com</v>
      </c>
      <c r="B237" s="131">
        <f>IFERROR(__xludf.DUMMYFUNCTION("""COMPUTED_VALUE"""),46050.0)</f>
        <v>46050</v>
      </c>
      <c r="C237" s="124" t="str">
        <f>IFERROR(__xludf.DUMMYFUNCTION("""COMPUTED_VALUE"""),"Payment data from Collexo")</f>
        <v>Payment data from Collexo</v>
      </c>
      <c r="D237" s="124" t="str">
        <f>IFERROR(__xludf.DUMMYFUNCTION("""COMPUTED_VALUE"""),"Not Available")</f>
        <v>Not Available</v>
      </c>
      <c r="E237" s="124">
        <f>IFERROR(__xludf.DUMMYFUNCTION("""COMPUTED_VALUE"""),1500609.0)</f>
        <v>1500609</v>
      </c>
      <c r="F237" s="124" t="str">
        <f>IFERROR(__xludf.DUMMYFUNCTION("""COMPUTED_VALUE"""),"2751_988_7")</f>
        <v>2751_988_7</v>
      </c>
      <c r="G237" s="124">
        <f>IFERROR(__xludf.DUMMYFUNCTION("""COMPUTED_VALUE"""),5000.0)</f>
        <v>5000</v>
      </c>
      <c r="H237" s="131">
        <f>IFERROR(__xludf.DUMMYFUNCTION("""COMPUTED_VALUE"""),46053.0)</f>
        <v>46053</v>
      </c>
      <c r="I237" s="124">
        <f>IFERROR(__xludf.DUMMYFUNCTION("""COMPUTED_VALUE"""),125000.0)</f>
        <v>125000</v>
      </c>
      <c r="J237" s="124">
        <f>IFERROR(__xludf.DUMMYFUNCTION("""COMPUTED_VALUE"""),130000.0)</f>
        <v>130000</v>
      </c>
      <c r="K237" s="124">
        <f>IFERROR(__xludf.DUMMYFUNCTION("""COMPUTED_VALUE"""),2.0)</f>
        <v>2</v>
      </c>
      <c r="L237" s="124">
        <f>IFERROR(__xludf.DUMMYFUNCTION("""COMPUTED_VALUE"""),125.0)</f>
        <v>125</v>
      </c>
      <c r="M237" s="124" t="str">
        <f>IFERROR(__xludf.DUMMYFUNCTION("""COMPUTED_VALUE"""),"New Delhi")</f>
        <v>New Delhi</v>
      </c>
      <c r="N237" s="124" t="str">
        <f>IFERROR(__xludf.DUMMYFUNCTION("""COMPUTED_VALUE"""),"masterabhisheksingh02@gmail.com")</f>
        <v>masterabhisheksingh02@gmail.com</v>
      </c>
      <c r="O237" s="124" t="str">
        <f>IFERROR(__xludf.DUMMYFUNCTION("""COMPUTED_VALUE"""),"Abhishek singh")</f>
        <v>Abhishek singh</v>
      </c>
      <c r="P237" s="124">
        <f>IFERROR(__xludf.DUMMYFUNCTION("""COMPUTED_VALUE"""),111711.0)</f>
        <v>111711</v>
      </c>
      <c r="Q237" s="124" t="str">
        <f>IFERROR(__xludf.DUMMYFUNCTION("""COMPUTED_VALUE"""),"ncert-foundation-hinglish-target-2026-nce-upsc-e02-orn")</f>
        <v>ncert-foundation-hinglish-target-2026-nce-upsc-e02-orn</v>
      </c>
      <c r="R237" s="124" t="str">
        <f>IFERROR(__xludf.DUMMYFUNCTION("""COMPUTED_VALUE"""),"GS Foundation Course")</f>
        <v>GS Foundation Course</v>
      </c>
      <c r="S237" s="124">
        <f>IFERROR(__xludf.DUMMYFUNCTION("""COMPUTED_VALUE"""),8.700177368E9)</f>
        <v>8700177368</v>
      </c>
      <c r="T237" s="124" t="str">
        <f>IFERROR(__xludf.DUMMYFUNCTION("""COMPUTED_VALUE"""),"Collexo")</f>
        <v>Collexo</v>
      </c>
      <c r="U237" s="124" t="str">
        <f>IFERROR(__xludf.DUMMYFUNCTION("""COMPUTED_VALUE"""),"Success")</f>
        <v>Success</v>
      </c>
      <c r="V237" s="131">
        <f>IFERROR(__xludf.DUMMYFUNCTION("""COMPUTED_VALUE"""),46050.0)</f>
        <v>46050</v>
      </c>
      <c r="W237" s="124">
        <f>IFERROR(__xludf.DUMMYFUNCTION("""COMPUTED_VALUE"""),0.0)</f>
        <v>0</v>
      </c>
    </row>
    <row r="238">
      <c r="A238" s="124" t="str">
        <f t="shared" si="1"/>
        <v>Chaudharyalinusrat@gmail.com</v>
      </c>
      <c r="B238" s="131">
        <f>IFERROR(__xludf.DUMMYFUNCTION("""COMPUTED_VALUE"""),46065.0)</f>
        <v>46065</v>
      </c>
      <c r="C238" s="124" t="str">
        <f>IFERROR(__xludf.DUMMYFUNCTION("""COMPUTED_VALUE"""),"Payment data from Collexo")</f>
        <v>Payment data from Collexo</v>
      </c>
      <c r="D238" s="124" t="str">
        <f>IFERROR(__xludf.DUMMYFUNCTION("""COMPUTED_VALUE"""),"Not Available")</f>
        <v>Not Available</v>
      </c>
      <c r="E238" s="124">
        <f>IFERROR(__xludf.DUMMYFUNCTION("""COMPUTED_VALUE"""),1500610.0)</f>
        <v>1500610</v>
      </c>
      <c r="F238" s="124">
        <f>IFERROR(__xludf.DUMMYFUNCTION("""COMPUTED_VALUE"""),85306.0)</f>
        <v>85306</v>
      </c>
      <c r="G238" s="124">
        <f>IFERROR(__xludf.DUMMYFUNCTION("""COMPUTED_VALUE"""),3000.0)</f>
        <v>3000</v>
      </c>
      <c r="H238" s="131">
        <f>IFERROR(__xludf.DUMMYFUNCTION("""COMPUTED_VALUE"""),46093.0)</f>
        <v>46093</v>
      </c>
      <c r="I238" s="124">
        <f>IFERROR(__xludf.DUMMYFUNCTION("""COMPUTED_VALUE"""),15000.0)</f>
        <v>15000</v>
      </c>
      <c r="J238" s="124">
        <f>IFERROR(__xludf.DUMMYFUNCTION("""COMPUTED_VALUE"""),36000.0)</f>
        <v>36000</v>
      </c>
      <c r="K238" s="124">
        <f>IFERROR(__xludf.DUMMYFUNCTION("""COMPUTED_VALUE"""),3.0)</f>
        <v>3</v>
      </c>
      <c r="L238" s="124">
        <f>IFERROR(__xludf.DUMMYFUNCTION("""COMPUTED_VALUE"""),200.0)</f>
        <v>200</v>
      </c>
      <c r="M238" s="124" t="str">
        <f>IFERROR(__xludf.DUMMYFUNCTION("""COMPUTED_VALUE"""),"Lucknow")</f>
        <v>Lucknow</v>
      </c>
      <c r="N238" s="124" t="str">
        <f>IFERROR(__xludf.DUMMYFUNCTION("""COMPUTED_VALUE"""),"Chaudharyalinusrat@gmail.com")</f>
        <v>Chaudharyalinusrat@gmail.com</v>
      </c>
      <c r="O238" s="124" t="str">
        <f>IFERROR(__xludf.DUMMYFUNCTION("""COMPUTED_VALUE"""),"ali")</f>
        <v>ali</v>
      </c>
      <c r="P238" s="124">
        <f>IFERROR(__xludf.DUMMYFUNCTION("""COMPUTED_VALUE"""),85306.0)</f>
        <v>85306</v>
      </c>
      <c r="Q238" s="124" t="str">
        <f>IFERROR(__xludf.DUMMYFUNCTION("""COMPUTED_VALUE"""),"upsc-gs-foundation-hinglish-target-2027-gsf-upsc-e02-lko")</f>
        <v>upsc-gs-foundation-hinglish-target-2027-gsf-upsc-e02-lko</v>
      </c>
      <c r="R238" s="124" t="str">
        <f>IFERROR(__xludf.DUMMYFUNCTION("""COMPUTED_VALUE"""),"State PCS")</f>
        <v>State PCS</v>
      </c>
      <c r="S238" s="124">
        <f>IFERROR(__xludf.DUMMYFUNCTION("""COMPUTED_VALUE"""),9.119967771E9)</f>
        <v>9119967771</v>
      </c>
      <c r="T238" s="124" t="str">
        <f>IFERROR(__xludf.DUMMYFUNCTION("""COMPUTED_VALUE"""),"Not Available")</f>
        <v>Not Available</v>
      </c>
      <c r="U238" s="124" t="str">
        <f>IFERROR(__xludf.DUMMYFUNCTION("""COMPUTED_VALUE"""),"Not Available")</f>
        <v>Not Available</v>
      </c>
      <c r="V238" s="124" t="str">
        <f>IFERROR(__xludf.DUMMYFUNCTION("""COMPUTED_VALUE"""),"Not Available")</f>
        <v>Not Available</v>
      </c>
      <c r="W238" s="124" t="str">
        <f>IFERROR(__xludf.DUMMYFUNCTION("""COMPUTED_VALUE"""),"Not Available")</f>
        <v>Not Available</v>
      </c>
    </row>
    <row r="239">
      <c r="A239" s="124" t="str">
        <f t="shared" si="1"/>
        <v>shourypratap8@gmail.com</v>
      </c>
      <c r="B239" s="131">
        <f>IFERROR(__xludf.DUMMYFUNCTION("""COMPUTED_VALUE"""),46080.0)</f>
        <v>46080</v>
      </c>
      <c r="C239" s="124" t="str">
        <f>IFERROR(__xludf.DUMMYFUNCTION("""COMPUTED_VALUE"""),"Payment data from Collexo")</f>
        <v>Payment data from Collexo</v>
      </c>
      <c r="D239" s="124" t="str">
        <f>IFERROR(__xludf.DUMMYFUNCTION("""COMPUTED_VALUE"""),"Not Available")</f>
        <v>Not Available</v>
      </c>
      <c r="E239" s="124">
        <f>IFERROR(__xludf.DUMMYFUNCTION("""COMPUTED_VALUE"""),1500613.0)</f>
        <v>1500613</v>
      </c>
      <c r="F239" s="124">
        <f>IFERROR(__xludf.DUMMYFUNCTION("""COMPUTED_VALUE"""),124471.0)</f>
        <v>124471</v>
      </c>
      <c r="G239" s="124">
        <f>IFERROR(__xludf.DUMMYFUNCTION("""COMPUTED_VALUE"""),69647.0)</f>
        <v>69647</v>
      </c>
      <c r="H239" s="124" t="str">
        <f>IFERROR(__xludf.DUMMYFUNCTION("""COMPUTED_VALUE"""),"Not Available")</f>
        <v>Not Available</v>
      </c>
      <c r="I239" s="124">
        <f>IFERROR(__xludf.DUMMYFUNCTION("""COMPUTED_VALUE"""),0.0)</f>
        <v>0</v>
      </c>
      <c r="J239" s="124">
        <f>IFERROR(__xludf.DUMMYFUNCTION("""COMPUTED_VALUE"""),70647.0)</f>
        <v>70647</v>
      </c>
      <c r="K239" s="124">
        <f>IFERROR(__xludf.DUMMYFUNCTION("""COMPUTED_VALUE"""),2.0)</f>
        <v>2</v>
      </c>
      <c r="L239" s="124">
        <f>IFERROR(__xludf.DUMMYFUNCTION("""COMPUTED_VALUE"""),360.0)</f>
        <v>360</v>
      </c>
      <c r="M239" s="124" t="str">
        <f>IFERROR(__xludf.DUMMYFUNCTION("""COMPUTED_VALUE"""),"Prayagraj")</f>
        <v>Prayagraj</v>
      </c>
      <c r="N239" s="124" t="str">
        <f>IFERROR(__xludf.DUMMYFUNCTION("""COMPUTED_VALUE"""),"shourypratap8@gmail.com")</f>
        <v>shourypratap8@gmail.com</v>
      </c>
      <c r="O239" s="124" t="str">
        <f>IFERROR(__xludf.DUMMYFUNCTION("""COMPUTED_VALUE"""),"Shaurya")</f>
        <v>Shaurya</v>
      </c>
      <c r="P239" s="124">
        <f>IFERROR(__xludf.DUMMYFUNCTION("""COMPUTED_VALUE"""),124471.0)</f>
        <v>124471</v>
      </c>
      <c r="Q239" s="124" t="str">
        <f>IFERROR(__xludf.DUMMYFUNCTION("""COMPUTED_VALUE"""),"upsc-gs-foundation-hindi-target-2027-gsf-upsc-m02-pry")</f>
        <v>upsc-gs-foundation-hindi-target-2027-gsf-upsc-m02-pry</v>
      </c>
      <c r="R239" s="124" t="str">
        <f>IFERROR(__xludf.DUMMYFUNCTION("""COMPUTED_VALUE"""),"GS Foundation Course")</f>
        <v>GS Foundation Course</v>
      </c>
      <c r="S239" s="124">
        <f>IFERROR(__xludf.DUMMYFUNCTION("""COMPUTED_VALUE"""),9.120477442E9)</f>
        <v>9120477442</v>
      </c>
      <c r="T239" s="124" t="str">
        <f>IFERROR(__xludf.DUMMYFUNCTION("""COMPUTED_VALUE"""),"Not Available")</f>
        <v>Not Available</v>
      </c>
      <c r="U239" s="124" t="str">
        <f>IFERROR(__xludf.DUMMYFUNCTION("""COMPUTED_VALUE"""),"Not Available")</f>
        <v>Not Available</v>
      </c>
      <c r="V239" s="124" t="str">
        <f>IFERROR(__xludf.DUMMYFUNCTION("""COMPUTED_VALUE"""),"Not Available")</f>
        <v>Not Available</v>
      </c>
      <c r="W239" s="124" t="str">
        <f>IFERROR(__xludf.DUMMYFUNCTION("""COMPUTED_VALUE"""),"Not Available")</f>
        <v>Not Available</v>
      </c>
    </row>
    <row r="240">
      <c r="A240" s="124" t="str">
        <f t="shared" si="1"/>
        <v>masterabhisheksingh02@gmail.com</v>
      </c>
      <c r="B240" s="131">
        <f>IFERROR(__xludf.DUMMYFUNCTION("""COMPUTED_VALUE"""),46053.0)</f>
        <v>46053</v>
      </c>
      <c r="C240" s="124" t="str">
        <f>IFERROR(__xludf.DUMMYFUNCTION("""COMPUTED_VALUE"""),"Payment data from Collexo")</f>
        <v>Payment data from Collexo</v>
      </c>
      <c r="D240" s="124" t="str">
        <f>IFERROR(__xludf.DUMMYFUNCTION("""COMPUTED_VALUE"""),"Not Available")</f>
        <v>Not Available</v>
      </c>
      <c r="E240" s="124">
        <f>IFERROR(__xludf.DUMMYFUNCTION("""COMPUTED_VALUE"""),1500609.0)</f>
        <v>1500609</v>
      </c>
      <c r="F240" s="124" t="str">
        <f>IFERROR(__xludf.DUMMYFUNCTION("""COMPUTED_VALUE"""),"3281_988_7")</f>
        <v>3281_988_7</v>
      </c>
      <c r="G240" s="124">
        <f>IFERROR(__xludf.DUMMYFUNCTION("""COMPUTED_VALUE"""),115000.0)</f>
        <v>115000</v>
      </c>
      <c r="H240" s="124" t="str">
        <f>IFERROR(__xludf.DUMMYFUNCTION("""COMPUTED_VALUE"""),"Not Available")</f>
        <v>Not Available</v>
      </c>
      <c r="I240" s="124">
        <f>IFERROR(__xludf.DUMMYFUNCTION("""COMPUTED_VALUE"""),0.0)</f>
        <v>0</v>
      </c>
      <c r="J240" s="124">
        <f>IFERROR(__xludf.DUMMYFUNCTION("""COMPUTED_VALUE"""),120000.0)</f>
        <v>120000</v>
      </c>
      <c r="K240" s="124">
        <f>IFERROR(__xludf.DUMMYFUNCTION("""COMPUTED_VALUE"""),2.0)</f>
        <v>2</v>
      </c>
      <c r="L240" s="124">
        <f>IFERROR(__xludf.DUMMYFUNCTION("""COMPUTED_VALUE"""),146.0)</f>
        <v>146</v>
      </c>
      <c r="M240" s="124" t="str">
        <f>IFERROR(__xludf.DUMMYFUNCTION("""COMPUTED_VALUE"""),"New Delhi")</f>
        <v>New Delhi</v>
      </c>
      <c r="N240" s="124" t="str">
        <f>IFERROR(__xludf.DUMMYFUNCTION("""COMPUTED_VALUE"""),"masterabhisheksingh02@gmail.com")</f>
        <v>masterabhisheksingh02@gmail.com</v>
      </c>
      <c r="O240" s="124" t="str">
        <f>IFERROR(__xludf.DUMMYFUNCTION("""COMPUTED_VALUE"""),"Abhishek singh")</f>
        <v>Abhishek singh</v>
      </c>
      <c r="P240" s="124">
        <f>IFERROR(__xludf.DUMMYFUNCTION("""COMPUTED_VALUE"""),111711.0)</f>
        <v>111711</v>
      </c>
      <c r="Q240" s="124" t="str">
        <f>IFERROR(__xludf.DUMMYFUNCTION("""COMPUTED_VALUE"""),"ncert-foundation-hinglish-target-2026-nce-upsc-e02-orn")</f>
        <v>ncert-foundation-hinglish-target-2026-nce-upsc-e02-orn</v>
      </c>
      <c r="R240" s="124" t="str">
        <f>IFERROR(__xludf.DUMMYFUNCTION("""COMPUTED_VALUE"""),"GS Foundation Course")</f>
        <v>GS Foundation Course</v>
      </c>
      <c r="S240" s="124">
        <f>IFERROR(__xludf.DUMMYFUNCTION("""COMPUTED_VALUE"""),8.700177368E9)</f>
        <v>8700177368</v>
      </c>
      <c r="T240" s="124" t="str">
        <f>IFERROR(__xludf.DUMMYFUNCTION("""COMPUTED_VALUE"""),"Collexo")</f>
        <v>Collexo</v>
      </c>
      <c r="U240" s="124" t="str">
        <f>IFERROR(__xludf.DUMMYFUNCTION("""COMPUTED_VALUE"""),"Success")</f>
        <v>Success</v>
      </c>
      <c r="V240" s="131">
        <f>IFERROR(__xludf.DUMMYFUNCTION("""COMPUTED_VALUE"""),46053.0)</f>
        <v>46053</v>
      </c>
      <c r="W240" s="124">
        <f>IFERROR(__xludf.DUMMYFUNCTION("""COMPUTED_VALUE"""),0.0)</f>
        <v>0</v>
      </c>
    </row>
    <row r="241">
      <c r="A241" s="124" t="str">
        <f t="shared" si="1"/>
        <v>metier18@gmail.com</v>
      </c>
      <c r="B241" s="131">
        <f>IFERROR(__xludf.DUMMYFUNCTION("""COMPUTED_VALUE"""),46106.0)</f>
        <v>46106</v>
      </c>
      <c r="C241" s="124" t="str">
        <f>IFERROR(__xludf.DUMMYFUNCTION("""COMPUTED_VALUE"""),"Payment data from Collexo")</f>
        <v>Payment data from Collexo</v>
      </c>
      <c r="D241" s="124" t="str">
        <f>IFERROR(__xludf.DUMMYFUNCTION("""COMPUTED_VALUE"""),"Not Available")</f>
        <v>Not Available</v>
      </c>
      <c r="E241" s="124">
        <f>IFERROR(__xludf.DUMMYFUNCTION("""COMPUTED_VALUE"""),1500609.0)</f>
        <v>1500609</v>
      </c>
      <c r="F241" s="124" t="str">
        <f>IFERROR(__xludf.DUMMYFUNCTION("""COMPUTED_VALUE"""),"16521_988_7")</f>
        <v>16521_988_7</v>
      </c>
      <c r="G241" s="124">
        <f>IFERROR(__xludf.DUMMYFUNCTION("""COMPUTED_VALUE"""),5000.0)</f>
        <v>5000</v>
      </c>
      <c r="H241" s="131">
        <f>IFERROR(__xludf.DUMMYFUNCTION("""COMPUTED_VALUE"""),46112.0)</f>
        <v>46112</v>
      </c>
      <c r="I241" s="124">
        <f>IFERROR(__xludf.DUMMYFUNCTION("""COMPUTED_VALUE"""),50000.0)</f>
        <v>50000</v>
      </c>
      <c r="J241" s="124">
        <f>IFERROR(__xludf.DUMMYFUNCTION("""COMPUTED_VALUE"""),55000.0)</f>
        <v>55000</v>
      </c>
      <c r="K241" s="124">
        <f>IFERROR(__xludf.DUMMYFUNCTION("""COMPUTED_VALUE"""),2.0)</f>
        <v>2</v>
      </c>
      <c r="L241" s="124">
        <f>IFERROR(__xludf.DUMMYFUNCTION("""COMPUTED_VALUE"""),736.0)</f>
        <v>736</v>
      </c>
      <c r="M241" s="124" t="str">
        <f>IFERROR(__xludf.DUMMYFUNCTION("""COMPUTED_VALUE"""),"New Delhi")</f>
        <v>New Delhi</v>
      </c>
      <c r="N241" s="124" t="str">
        <f>IFERROR(__xludf.DUMMYFUNCTION("""COMPUTED_VALUE"""),"metier18@gmail.com")</f>
        <v>metier18@gmail.com</v>
      </c>
      <c r="O241" s="124" t="str">
        <f>IFERROR(__xludf.DUMMYFUNCTION("""COMPUTED_VALUE"""),"SHASHIKANT TIWARI")</f>
        <v>SHASHIKANT TIWARI</v>
      </c>
      <c r="P241" s="124">
        <f>IFERROR(__xludf.DUMMYFUNCTION("""COMPUTED_VALUE"""),133131.0)</f>
        <v>133131</v>
      </c>
      <c r="Q241" s="124" t="str">
        <f>IFERROR(__xludf.DUMMYFUNCTION("""COMPUTED_VALUE"""),"upsc-gs-foundation-hinglish-target-2027-gsf-upsc-e05-orn")</f>
        <v>upsc-gs-foundation-hinglish-target-2027-gsf-upsc-e05-orn</v>
      </c>
      <c r="R241" s="124" t="str">
        <f>IFERROR(__xludf.DUMMYFUNCTION("""COMPUTED_VALUE"""),"GS Foundation Course")</f>
        <v>GS Foundation Course</v>
      </c>
      <c r="S241" s="124">
        <f>IFERROR(__xludf.DUMMYFUNCTION("""COMPUTED_VALUE"""),9.664198337E9)</f>
        <v>9664198337</v>
      </c>
      <c r="T241" s="124" t="str">
        <f>IFERROR(__xludf.DUMMYFUNCTION("""COMPUTED_VALUE"""),"Collexo")</f>
        <v>Collexo</v>
      </c>
      <c r="U241" s="124" t="str">
        <f>IFERROR(__xludf.DUMMYFUNCTION("""COMPUTED_VALUE"""),"Success")</f>
        <v>Success</v>
      </c>
      <c r="V241" s="131">
        <f>IFERROR(__xludf.DUMMYFUNCTION("""COMPUTED_VALUE"""),46106.0)</f>
        <v>46106</v>
      </c>
      <c r="W241" s="124">
        <f>IFERROR(__xludf.DUMMYFUNCTION("""COMPUTED_VALUE"""),0.0)</f>
        <v>0</v>
      </c>
    </row>
    <row r="242">
      <c r="A242" s="124" t="str">
        <f t="shared" si="1"/>
        <v>kumarashutoshyadav4567@gmail.com</v>
      </c>
      <c r="B242" s="131">
        <f>IFERROR(__xludf.DUMMYFUNCTION("""COMPUTED_VALUE"""),46109.0)</f>
        <v>46109</v>
      </c>
      <c r="C242" s="124" t="str">
        <f>IFERROR(__xludf.DUMMYFUNCTION("""COMPUTED_VALUE"""),"Payment data from Collexo")</f>
        <v>Payment data from Collexo</v>
      </c>
      <c r="D242" s="124" t="str">
        <f>IFERROR(__xludf.DUMMYFUNCTION("""COMPUTED_VALUE"""),"Not Available")</f>
        <v>Not Available</v>
      </c>
      <c r="E242" s="124">
        <f>IFERROR(__xludf.DUMMYFUNCTION("""COMPUTED_VALUE"""),1500611.0)</f>
        <v>1500611</v>
      </c>
      <c r="F242" s="124">
        <f>IFERROR(__xludf.DUMMYFUNCTION("""COMPUTED_VALUE"""),139619.0)</f>
        <v>139619</v>
      </c>
      <c r="G242" s="124">
        <f>IFERROR(__xludf.DUMMYFUNCTION("""COMPUTED_VALUE"""),2000.0)</f>
        <v>2000</v>
      </c>
      <c r="H242" s="131">
        <f>IFERROR(__xludf.DUMMYFUNCTION("""COMPUTED_VALUE"""),46109.0)</f>
        <v>46109</v>
      </c>
      <c r="I242" s="124">
        <f>IFERROR(__xludf.DUMMYFUNCTION("""COMPUTED_VALUE"""),58000.0)</f>
        <v>58000</v>
      </c>
      <c r="J242" s="124">
        <f>IFERROR(__xludf.DUMMYFUNCTION("""COMPUTED_VALUE"""),60000.0)</f>
        <v>60000</v>
      </c>
      <c r="K242" s="124">
        <f>IFERROR(__xludf.DUMMYFUNCTION("""COMPUTED_VALUE"""),2.0)</f>
        <v>2</v>
      </c>
      <c r="L242" s="124">
        <f>IFERROR(__xludf.DUMMYFUNCTION("""COMPUTED_VALUE"""),814.0)</f>
        <v>814</v>
      </c>
      <c r="M242" s="124" t="str">
        <f>IFERROR(__xludf.DUMMYFUNCTION("""COMPUTED_VALUE"""),"Patna")</f>
        <v>Patna</v>
      </c>
      <c r="N242" s="124" t="str">
        <f>IFERROR(__xludf.DUMMYFUNCTION("""COMPUTED_VALUE"""),"kumarashutoshyadav4567@gmail.com")</f>
        <v>kumarashutoshyadav4567@gmail.com</v>
      </c>
      <c r="O242" s="124" t="str">
        <f>IFERROR(__xludf.DUMMYFUNCTION("""COMPUTED_VALUE"""),"Ashutosh")</f>
        <v>Ashutosh</v>
      </c>
      <c r="P242" s="124">
        <f>IFERROR(__xludf.DUMMYFUNCTION("""COMPUTED_VALUE"""),139619.0)</f>
        <v>139619</v>
      </c>
      <c r="Q242" s="124" t="str">
        <f>IFERROR(__xludf.DUMMYFUNCTION("""COMPUTED_VALUE"""),"upsc-gs-foundation-hinglish-target-2028-gsf-upsc-e03-pat")</f>
        <v>upsc-gs-foundation-hinglish-target-2028-gsf-upsc-e03-pat</v>
      </c>
      <c r="R242" s="124" t="str">
        <f>IFERROR(__xludf.DUMMYFUNCTION("""COMPUTED_VALUE"""),"GS Foundation Course")</f>
        <v>GS Foundation Course</v>
      </c>
      <c r="S242" s="124">
        <f>IFERROR(__xludf.DUMMYFUNCTION("""COMPUTED_VALUE"""),6.201407029E9)</f>
        <v>6201407029</v>
      </c>
      <c r="T242" s="124" t="str">
        <f>IFERROR(__xludf.DUMMYFUNCTION("""COMPUTED_VALUE"""),"Not Available")</f>
        <v>Not Available</v>
      </c>
      <c r="U242" s="124" t="str">
        <f>IFERROR(__xludf.DUMMYFUNCTION("""COMPUTED_VALUE"""),"Not Available")</f>
        <v>Not Available</v>
      </c>
      <c r="V242" s="124" t="str">
        <f>IFERROR(__xludf.DUMMYFUNCTION("""COMPUTED_VALUE"""),"Not Available")</f>
        <v>Not Available</v>
      </c>
      <c r="W242" s="124" t="str">
        <f>IFERROR(__xludf.DUMMYFUNCTION("""COMPUTED_VALUE"""),"Not Available")</f>
        <v>Not Available</v>
      </c>
    </row>
    <row r="243">
      <c r="A243" s="124" t="str">
        <f t="shared" si="1"/>
        <v>prajapatianand9999@gmail.com</v>
      </c>
      <c r="B243" s="131">
        <f>IFERROR(__xludf.DUMMYFUNCTION("""COMPUTED_VALUE"""),46101.0)</f>
        <v>46101</v>
      </c>
      <c r="C243" s="124" t="str">
        <f>IFERROR(__xludf.DUMMYFUNCTION("""COMPUTED_VALUE"""),"Payment data from Collexo")</f>
        <v>Payment data from Collexo</v>
      </c>
      <c r="D243" s="124" t="str">
        <f>IFERROR(__xludf.DUMMYFUNCTION("""COMPUTED_VALUE"""),"Not Available")</f>
        <v>Not Available</v>
      </c>
      <c r="E243" s="124">
        <f>IFERROR(__xludf.DUMMYFUNCTION("""COMPUTED_VALUE"""),1500613.0)</f>
        <v>1500613</v>
      </c>
      <c r="F243" s="124">
        <f>IFERROR(__xludf.DUMMYFUNCTION("""COMPUTED_VALUE"""),128654.0)</f>
        <v>128654</v>
      </c>
      <c r="G243" s="124">
        <f>IFERROR(__xludf.DUMMYFUNCTION("""COMPUTED_VALUE"""),1000.0)</f>
        <v>1000</v>
      </c>
      <c r="H243" s="131">
        <f>IFERROR(__xludf.DUMMYFUNCTION("""COMPUTED_VALUE"""),46102.0)</f>
        <v>46102</v>
      </c>
      <c r="I243" s="124">
        <f>IFERROR(__xludf.DUMMYFUNCTION("""COMPUTED_VALUE"""),40000.0)</f>
        <v>40000</v>
      </c>
      <c r="J243" s="124">
        <f>IFERROR(__xludf.DUMMYFUNCTION("""COMPUTED_VALUE"""),47000.0)</f>
        <v>47000</v>
      </c>
      <c r="K243" s="124">
        <f>IFERROR(__xludf.DUMMYFUNCTION("""COMPUTED_VALUE"""),4.0)</f>
        <v>4</v>
      </c>
      <c r="L243" s="124">
        <f>IFERROR(__xludf.DUMMYFUNCTION("""COMPUTED_VALUE"""),639.0)</f>
        <v>639</v>
      </c>
      <c r="M243" s="124" t="str">
        <f>IFERROR(__xludf.DUMMYFUNCTION("""COMPUTED_VALUE"""),"Prayagraj")</f>
        <v>Prayagraj</v>
      </c>
      <c r="N243" s="124" t="str">
        <f>IFERROR(__xludf.DUMMYFUNCTION("""COMPUTED_VALUE"""),"prajapatianand9999@gmail.com")</f>
        <v>prajapatianand9999@gmail.com</v>
      </c>
      <c r="O243" s="124" t="str">
        <f>IFERROR(__xludf.DUMMYFUNCTION("""COMPUTED_VALUE"""),"Anand Kumar Prajapati")</f>
        <v>Anand Kumar Prajapati</v>
      </c>
      <c r="P243" s="124">
        <f>IFERROR(__xludf.DUMMYFUNCTION("""COMPUTED_VALUE"""),128654.0)</f>
        <v>128654</v>
      </c>
      <c r="Q243" s="124" t="str">
        <f>IFERROR(__xludf.DUMMYFUNCTION("""COMPUTED_VALUE"""),"upsc-gs-foundation-hinglish-target-2027-gsf-upsc-e03-pry")</f>
        <v>upsc-gs-foundation-hinglish-target-2027-gsf-upsc-e03-pry</v>
      </c>
      <c r="R243" s="124" t="str">
        <f>IFERROR(__xludf.DUMMYFUNCTION("""COMPUTED_VALUE"""),"GS Foundation Course")</f>
        <v>GS Foundation Course</v>
      </c>
      <c r="S243" s="124">
        <f>IFERROR(__xludf.DUMMYFUNCTION("""COMPUTED_VALUE"""),8.299899506E9)</f>
        <v>8299899506</v>
      </c>
      <c r="T243" s="124" t="str">
        <f>IFERROR(__xludf.DUMMYFUNCTION("""COMPUTED_VALUE"""),"Not Available")</f>
        <v>Not Available</v>
      </c>
      <c r="U243" s="124" t="str">
        <f>IFERROR(__xludf.DUMMYFUNCTION("""COMPUTED_VALUE"""),"Not Available")</f>
        <v>Not Available</v>
      </c>
      <c r="V243" s="124" t="str">
        <f>IFERROR(__xludf.DUMMYFUNCTION("""COMPUTED_VALUE"""),"Not Available")</f>
        <v>Not Available</v>
      </c>
      <c r="W243" s="124" t="str">
        <f>IFERROR(__xludf.DUMMYFUNCTION("""COMPUTED_VALUE"""),"Not Available")</f>
        <v>Not Available</v>
      </c>
    </row>
    <row r="244">
      <c r="A244" s="124" t="str">
        <f t="shared" si="1"/>
        <v>nowaidbrma123@gmail.com</v>
      </c>
      <c r="B244" s="131">
        <f>IFERROR(__xludf.DUMMYFUNCTION("""COMPUTED_VALUE"""),46073.0)</f>
        <v>46073</v>
      </c>
      <c r="C244" s="124" t="str">
        <f>IFERROR(__xludf.DUMMYFUNCTION("""COMPUTED_VALUE"""),"Payment data from Collexo")</f>
        <v>Payment data from Collexo</v>
      </c>
      <c r="D244" s="124" t="str">
        <f>IFERROR(__xludf.DUMMYFUNCTION("""COMPUTED_VALUE"""),"Not Available")</f>
        <v>Not Available</v>
      </c>
      <c r="E244" s="124">
        <f>IFERROR(__xludf.DUMMYFUNCTION("""COMPUTED_VALUE"""),1500609.0)</f>
        <v>1500609</v>
      </c>
      <c r="F244" s="124" t="str">
        <f>IFERROR(__xludf.DUMMYFUNCTION("""COMPUTED_VALUE"""),"7731_988_7")</f>
        <v>7731_988_7</v>
      </c>
      <c r="G244" s="124">
        <f>IFERROR(__xludf.DUMMYFUNCTION("""COMPUTED_VALUE"""),19000.0)</f>
        <v>19000</v>
      </c>
      <c r="H244" s="131">
        <f>IFERROR(__xludf.DUMMYFUNCTION("""COMPUTED_VALUE"""),46081.0)</f>
        <v>46081</v>
      </c>
      <c r="I244" s="124">
        <f>IFERROR(__xludf.DUMMYFUNCTION("""COMPUTED_VALUE"""),96000.0)</f>
        <v>96000</v>
      </c>
      <c r="J244" s="124">
        <f>IFERROR(__xludf.DUMMYFUNCTION("""COMPUTED_VALUE"""),120000.0)</f>
        <v>120000</v>
      </c>
      <c r="K244" s="124">
        <f>IFERROR(__xludf.DUMMYFUNCTION("""COMPUTED_VALUE"""),3.0)</f>
        <v>3</v>
      </c>
      <c r="L244" s="124">
        <f>IFERROR(__xludf.DUMMYFUNCTION("""COMPUTED_VALUE"""),290.0)</f>
        <v>290</v>
      </c>
      <c r="M244" s="124" t="str">
        <f>IFERROR(__xludf.DUMMYFUNCTION("""COMPUTED_VALUE"""),"New Delhi")</f>
        <v>New Delhi</v>
      </c>
      <c r="N244" s="124" t="str">
        <f>IFERROR(__xludf.DUMMYFUNCTION("""COMPUTED_VALUE"""),"nowaidbrma123@gmail.com")</f>
        <v>nowaidbrma123@gmail.com</v>
      </c>
      <c r="O244" s="124" t="str">
        <f>IFERROR(__xludf.DUMMYFUNCTION("""COMPUTED_VALUE"""),"Nowai")</f>
        <v>Nowai</v>
      </c>
      <c r="P244" s="124">
        <f>IFERROR(__xludf.DUMMYFUNCTION("""COMPUTED_VALUE"""),123506.0)</f>
        <v>123506</v>
      </c>
      <c r="Q244" s="124" t="str">
        <f>IFERROR(__xludf.DUMMYFUNCTION("""COMPUTED_VALUE"""),"upsc-gs-foundation-hinglish-target-2027-gsf-upsc-m02-orn")</f>
        <v>upsc-gs-foundation-hinglish-target-2027-gsf-upsc-m02-orn</v>
      </c>
      <c r="R244" s="124" t="str">
        <f>IFERROR(__xludf.DUMMYFUNCTION("""COMPUTED_VALUE"""),"GS Foundation Course")</f>
        <v>GS Foundation Course</v>
      </c>
      <c r="S244" s="124">
        <f>IFERROR(__xludf.DUMMYFUNCTION("""COMPUTED_VALUE"""),9.366087291E9)</f>
        <v>9366087291</v>
      </c>
      <c r="T244" s="124" t="str">
        <f>IFERROR(__xludf.DUMMYFUNCTION("""COMPUTED_VALUE"""),"Collexo")</f>
        <v>Collexo</v>
      </c>
      <c r="U244" s="124" t="str">
        <f>IFERROR(__xludf.DUMMYFUNCTION("""COMPUTED_VALUE"""),"Success")</f>
        <v>Success</v>
      </c>
      <c r="V244" s="131">
        <f>IFERROR(__xludf.DUMMYFUNCTION("""COMPUTED_VALUE"""),46073.0)</f>
        <v>46073</v>
      </c>
      <c r="W244" s="124">
        <f>IFERROR(__xludf.DUMMYFUNCTION("""COMPUTED_VALUE"""),0.0)</f>
        <v>0</v>
      </c>
    </row>
    <row r="245">
      <c r="A245" s="124" t="str">
        <f t="shared" si="1"/>
        <v>tiger009vip@gmail.com</v>
      </c>
      <c r="B245" s="131">
        <f>IFERROR(__xludf.DUMMYFUNCTION("""COMPUTED_VALUE"""),46093.0)</f>
        <v>46093</v>
      </c>
      <c r="C245" s="124" t="str">
        <f>IFERROR(__xludf.DUMMYFUNCTION("""COMPUTED_VALUE"""),"Payment data from Collexo")</f>
        <v>Payment data from Collexo</v>
      </c>
      <c r="D245" s="124" t="str">
        <f>IFERROR(__xludf.DUMMYFUNCTION("""COMPUTED_VALUE"""),"Not Available")</f>
        <v>Not Available</v>
      </c>
      <c r="E245" s="124">
        <f>IFERROR(__xludf.DUMMYFUNCTION("""COMPUTED_VALUE"""),1500609.0)</f>
        <v>1500609</v>
      </c>
      <c r="F245" s="124" t="str">
        <f>IFERROR(__xludf.DUMMYFUNCTION("""COMPUTED_VALUE"""),"13856_988_7")</f>
        <v>13856_988_7</v>
      </c>
      <c r="G245" s="124">
        <f>IFERROR(__xludf.DUMMYFUNCTION("""COMPUTED_VALUE"""),100000.0)</f>
        <v>100000</v>
      </c>
      <c r="H245" s="124" t="str">
        <f>IFERROR(__xludf.DUMMYFUNCTION("""COMPUTED_VALUE"""),"Not Available")</f>
        <v>Not Available</v>
      </c>
      <c r="I245" s="124">
        <f>IFERROR(__xludf.DUMMYFUNCTION("""COMPUTED_VALUE"""),0.0)</f>
        <v>0</v>
      </c>
      <c r="J245" s="124">
        <f>IFERROR(__xludf.DUMMYFUNCTION("""COMPUTED_VALUE"""),110000.0)</f>
        <v>110000</v>
      </c>
      <c r="K245" s="124">
        <f>IFERROR(__xludf.DUMMYFUNCTION("""COMPUTED_VALUE"""),3.0)</f>
        <v>3</v>
      </c>
      <c r="L245" s="124">
        <f>IFERROR(__xludf.DUMMYFUNCTION("""COMPUTED_VALUE"""),513.0)</f>
        <v>513</v>
      </c>
      <c r="M245" s="124" t="str">
        <f>IFERROR(__xludf.DUMMYFUNCTION("""COMPUTED_VALUE"""),"New Delhi")</f>
        <v>New Delhi</v>
      </c>
      <c r="N245" s="124" t="str">
        <f>IFERROR(__xludf.DUMMYFUNCTION("""COMPUTED_VALUE"""),"tiger009vip@gmail.com")</f>
        <v>tiger009vip@gmail.com</v>
      </c>
      <c r="O245" s="124" t="str">
        <f>IFERROR(__xludf.DUMMYFUNCTION("""COMPUTED_VALUE"""),"Shivam")</f>
        <v>Shivam</v>
      </c>
      <c r="P245" s="124">
        <f>IFERROR(__xludf.DUMMYFUNCTION("""COMPUTED_VALUE"""),47683.0)</f>
        <v>47683</v>
      </c>
      <c r="Q245" s="124" t="str">
        <f>IFERROR(__xludf.DUMMYFUNCTION("""COMPUTED_VALUE"""),"upsc-gs-foundation-hinglish-target-2027-gsf-upsc-e04-orn")</f>
        <v>upsc-gs-foundation-hinglish-target-2027-gsf-upsc-e04-orn</v>
      </c>
      <c r="R245" s="124" t="str">
        <f>IFERROR(__xludf.DUMMYFUNCTION("""COMPUTED_VALUE"""),"GS Foundation Course")</f>
        <v>GS Foundation Course</v>
      </c>
      <c r="S245" s="124">
        <f>IFERROR(__xludf.DUMMYFUNCTION("""COMPUTED_VALUE"""),9.9588563E9)</f>
        <v>9958856300</v>
      </c>
      <c r="T245" s="124" t="str">
        <f>IFERROR(__xludf.DUMMYFUNCTION("""COMPUTED_VALUE"""),"Collexo")</f>
        <v>Collexo</v>
      </c>
      <c r="U245" s="124" t="str">
        <f>IFERROR(__xludf.DUMMYFUNCTION("""COMPUTED_VALUE"""),"Success")</f>
        <v>Success</v>
      </c>
      <c r="V245" s="131">
        <f>IFERROR(__xludf.DUMMYFUNCTION("""COMPUTED_VALUE"""),46093.0)</f>
        <v>46093</v>
      </c>
      <c r="W245" s="124">
        <f>IFERROR(__xludf.DUMMYFUNCTION("""COMPUTED_VALUE"""),0.0)</f>
        <v>0</v>
      </c>
    </row>
    <row r="246">
      <c r="A246" s="124" t="str">
        <f t="shared" si="1"/>
        <v>vijayprakash4549@gmail.com</v>
      </c>
      <c r="B246" s="131">
        <f>IFERROR(__xludf.DUMMYFUNCTION("""COMPUTED_VALUE"""),46102.0)</f>
        <v>46102</v>
      </c>
      <c r="C246" s="124" t="str">
        <f>IFERROR(__xludf.DUMMYFUNCTION("""COMPUTED_VALUE"""),"Payment data from Collexo")</f>
        <v>Payment data from Collexo</v>
      </c>
      <c r="D246" s="124" t="str">
        <f>IFERROR(__xludf.DUMMYFUNCTION("""COMPUTED_VALUE"""),"Not Available")</f>
        <v>Not Available</v>
      </c>
      <c r="E246" s="124">
        <f>IFERROR(__xludf.DUMMYFUNCTION("""COMPUTED_VALUE"""),1500609.0)</f>
        <v>1500609</v>
      </c>
      <c r="F246" s="124" t="str">
        <f>IFERROR(__xludf.DUMMYFUNCTION("""COMPUTED_VALUE"""),"15737_988_7")</f>
        <v>15737_988_7</v>
      </c>
      <c r="G246" s="124">
        <f>IFERROR(__xludf.DUMMYFUNCTION("""COMPUTED_VALUE"""),10000.0)</f>
        <v>10000</v>
      </c>
      <c r="H246" s="131">
        <f>IFERROR(__xludf.DUMMYFUNCTION("""COMPUTED_VALUE"""),46112.0)</f>
        <v>46112</v>
      </c>
      <c r="I246" s="124">
        <f>IFERROR(__xludf.DUMMYFUNCTION("""COMPUTED_VALUE"""),90000.0)</f>
        <v>90000</v>
      </c>
      <c r="J246" s="124">
        <f>IFERROR(__xludf.DUMMYFUNCTION("""COMPUTED_VALUE"""),100000.0)</f>
        <v>100000</v>
      </c>
      <c r="K246" s="124">
        <f>IFERROR(__xludf.DUMMYFUNCTION("""COMPUTED_VALUE"""),2.0)</f>
        <v>2</v>
      </c>
      <c r="L246" s="124">
        <f>IFERROR(__xludf.DUMMYFUNCTION("""COMPUTED_VALUE"""),662.0)</f>
        <v>662</v>
      </c>
      <c r="M246" s="124" t="str">
        <f>IFERROR(__xludf.DUMMYFUNCTION("""COMPUTED_VALUE"""),"New Delhi")</f>
        <v>New Delhi</v>
      </c>
      <c r="N246" s="124" t="str">
        <f>IFERROR(__xludf.DUMMYFUNCTION("""COMPUTED_VALUE"""),"vijayprakash4549@gmail.com")</f>
        <v>vijayprakash4549@gmail.com</v>
      </c>
      <c r="O246" s="124" t="str">
        <f>IFERROR(__xludf.DUMMYFUNCTION("""COMPUTED_VALUE"""),"Vijay")</f>
        <v>Vijay</v>
      </c>
      <c r="P246" s="124">
        <f>IFERROR(__xludf.DUMMYFUNCTION("""COMPUTED_VALUE"""),90540.0)</f>
        <v>90540</v>
      </c>
      <c r="Q246" s="124" t="str">
        <f>IFERROR(__xludf.DUMMYFUNCTION("""COMPUTED_VALUE"""),"upsc-gs-foundation-hinglish-target-2028-gsf-upsc-m05-orn")</f>
        <v>upsc-gs-foundation-hinglish-target-2028-gsf-upsc-m05-orn</v>
      </c>
      <c r="R246" s="124" t="str">
        <f>IFERROR(__xludf.DUMMYFUNCTION("""COMPUTED_VALUE"""),"GS Foundation Course")</f>
        <v>GS Foundation Course</v>
      </c>
      <c r="S246" s="124">
        <f>IFERROR(__xludf.DUMMYFUNCTION("""COMPUTED_VALUE"""),9.341693412E9)</f>
        <v>9341693412</v>
      </c>
      <c r="T246" s="124" t="str">
        <f>IFERROR(__xludf.DUMMYFUNCTION("""COMPUTED_VALUE"""),"Collexo")</f>
        <v>Collexo</v>
      </c>
      <c r="U246" s="124" t="str">
        <f>IFERROR(__xludf.DUMMYFUNCTION("""COMPUTED_VALUE"""),"Success")</f>
        <v>Success</v>
      </c>
      <c r="V246" s="131">
        <f>IFERROR(__xludf.DUMMYFUNCTION("""COMPUTED_VALUE"""),46102.0)</f>
        <v>46102</v>
      </c>
      <c r="W246" s="124">
        <f>IFERROR(__xludf.DUMMYFUNCTION("""COMPUTED_VALUE"""),0.0)</f>
        <v>0</v>
      </c>
    </row>
    <row r="247">
      <c r="A247" s="124" t="str">
        <f t="shared" si="1"/>
        <v>naincyofficial5@gmail.com</v>
      </c>
      <c r="B247" s="131">
        <f>IFERROR(__xludf.DUMMYFUNCTION("""COMPUTED_VALUE"""),46080.0)</f>
        <v>46080</v>
      </c>
      <c r="C247" s="124" t="str">
        <f>IFERROR(__xludf.DUMMYFUNCTION("""COMPUTED_VALUE"""),"Payment data from Collexo")</f>
        <v>Payment data from Collexo</v>
      </c>
      <c r="D247" s="124" t="str">
        <f>IFERROR(__xludf.DUMMYFUNCTION("""COMPUTED_VALUE"""),"Not Available")</f>
        <v>Not Available</v>
      </c>
      <c r="E247" s="124">
        <f>IFERROR(__xludf.DUMMYFUNCTION("""COMPUTED_VALUE"""),1500613.0)</f>
        <v>1500613</v>
      </c>
      <c r="F247" s="124">
        <f>IFERROR(__xludf.DUMMYFUNCTION("""COMPUTED_VALUE"""),123469.0)</f>
        <v>123469</v>
      </c>
      <c r="G247" s="124">
        <f>IFERROR(__xludf.DUMMYFUNCTION("""COMPUTED_VALUE"""),1481.0)</f>
        <v>1481</v>
      </c>
      <c r="H247" s="131">
        <f>IFERROR(__xludf.DUMMYFUNCTION("""COMPUTED_VALUE"""),46081.0)</f>
        <v>46081</v>
      </c>
      <c r="I247" s="124">
        <f>IFERROR(__xludf.DUMMYFUNCTION("""COMPUTED_VALUE"""),15519.0)</f>
        <v>15519</v>
      </c>
      <c r="J247" s="124">
        <f>IFERROR(__xludf.DUMMYFUNCTION("""COMPUTED_VALUE"""),19000.0)</f>
        <v>19000</v>
      </c>
      <c r="K247" s="124">
        <f>IFERROR(__xludf.DUMMYFUNCTION("""COMPUTED_VALUE"""),3.0)</f>
        <v>3</v>
      </c>
      <c r="L247" s="124">
        <f>IFERROR(__xludf.DUMMYFUNCTION("""COMPUTED_VALUE"""),367.0)</f>
        <v>367</v>
      </c>
      <c r="M247" s="124" t="str">
        <f>IFERROR(__xludf.DUMMYFUNCTION("""COMPUTED_VALUE"""),"Prayagraj")</f>
        <v>Prayagraj</v>
      </c>
      <c r="N247" s="124" t="str">
        <f>IFERROR(__xludf.DUMMYFUNCTION("""COMPUTED_VALUE"""),"naincyofficial5@gmail.com")</f>
        <v>naincyofficial5@gmail.com</v>
      </c>
      <c r="O247" s="124" t="str">
        <f>IFERROR(__xludf.DUMMYFUNCTION("""COMPUTED_VALUE"""),"Naincy Tripathi")</f>
        <v>Naincy Tripathi</v>
      </c>
      <c r="P247" s="124">
        <f>IFERROR(__xludf.DUMMYFUNCTION("""COMPUTED_VALUE"""),123469.0)</f>
        <v>123469</v>
      </c>
      <c r="Q247" s="124" t="str">
        <f>IFERROR(__xludf.DUMMYFUNCTION("""COMPUTED_VALUE"""),"samadhan-mentorship-program-pry")</f>
        <v>samadhan-mentorship-program-pry</v>
      </c>
      <c r="R247" s="124" t="str">
        <f>IFERROR(__xludf.DUMMYFUNCTION("""COMPUTED_VALUE"""),"Mentorship - Samadhan")</f>
        <v>Mentorship - Samadhan</v>
      </c>
      <c r="S247" s="124">
        <f>IFERROR(__xludf.DUMMYFUNCTION("""COMPUTED_VALUE"""),8.810926995E9)</f>
        <v>8810926995</v>
      </c>
      <c r="T247" s="124" t="str">
        <f>IFERROR(__xludf.DUMMYFUNCTION("""COMPUTED_VALUE"""),"Not Available")</f>
        <v>Not Available</v>
      </c>
      <c r="U247" s="124" t="str">
        <f>IFERROR(__xludf.DUMMYFUNCTION("""COMPUTED_VALUE"""),"Not Available")</f>
        <v>Not Available</v>
      </c>
      <c r="V247" s="124" t="str">
        <f>IFERROR(__xludf.DUMMYFUNCTION("""COMPUTED_VALUE"""),"Not Available")</f>
        <v>Not Available</v>
      </c>
      <c r="W247" s="124" t="str">
        <f>IFERROR(__xludf.DUMMYFUNCTION("""COMPUTED_VALUE"""),"Not Available")</f>
        <v>Not Available</v>
      </c>
    </row>
    <row r="248">
      <c r="A248" s="124" t="str">
        <f t="shared" si="1"/>
        <v>nowaidbrma123@gmail.com</v>
      </c>
      <c r="B248" s="131">
        <f>IFERROR(__xludf.DUMMYFUNCTION("""COMPUTED_VALUE"""),46074.0)</f>
        <v>46074</v>
      </c>
      <c r="C248" s="124" t="str">
        <f>IFERROR(__xludf.DUMMYFUNCTION("""COMPUTED_VALUE"""),"Payment data from Collexo")</f>
        <v>Payment data from Collexo</v>
      </c>
      <c r="D248" s="124" t="str">
        <f>IFERROR(__xludf.DUMMYFUNCTION("""COMPUTED_VALUE"""),"Not Available")</f>
        <v>Not Available</v>
      </c>
      <c r="E248" s="124">
        <f>IFERROR(__xludf.DUMMYFUNCTION("""COMPUTED_VALUE"""),1500609.0)</f>
        <v>1500609</v>
      </c>
      <c r="F248" s="124" t="str">
        <f>IFERROR(__xludf.DUMMYFUNCTION("""COMPUTED_VALUE"""),"7883_988_7")</f>
        <v>7883_988_7</v>
      </c>
      <c r="G248" s="124">
        <f>IFERROR(__xludf.DUMMYFUNCTION("""COMPUTED_VALUE"""),96000.0)</f>
        <v>96000</v>
      </c>
      <c r="H248" s="124" t="str">
        <f>IFERROR(__xludf.DUMMYFUNCTION("""COMPUTED_VALUE"""),"Not Available")</f>
        <v>Not Available</v>
      </c>
      <c r="I248" s="124">
        <f>IFERROR(__xludf.DUMMYFUNCTION("""COMPUTED_VALUE"""),0.0)</f>
        <v>0</v>
      </c>
      <c r="J248" s="124">
        <f>IFERROR(__xludf.DUMMYFUNCTION("""COMPUTED_VALUE"""),120000.0)</f>
        <v>120000</v>
      </c>
      <c r="K248" s="124">
        <f>IFERROR(__xludf.DUMMYFUNCTION("""COMPUTED_VALUE"""),3.0)</f>
        <v>3</v>
      </c>
      <c r="L248" s="124">
        <f>IFERROR(__xludf.DUMMYFUNCTION("""COMPUTED_VALUE"""),296.0)</f>
        <v>296</v>
      </c>
      <c r="M248" s="124" t="str">
        <f>IFERROR(__xludf.DUMMYFUNCTION("""COMPUTED_VALUE"""),"New Delhi")</f>
        <v>New Delhi</v>
      </c>
      <c r="N248" s="124" t="str">
        <f>IFERROR(__xludf.DUMMYFUNCTION("""COMPUTED_VALUE"""),"nowaidbrma123@gmail.com")</f>
        <v>nowaidbrma123@gmail.com</v>
      </c>
      <c r="O248" s="124" t="str">
        <f>IFERROR(__xludf.DUMMYFUNCTION("""COMPUTED_VALUE"""),"Nowai")</f>
        <v>Nowai</v>
      </c>
      <c r="P248" s="124">
        <f>IFERROR(__xludf.DUMMYFUNCTION("""COMPUTED_VALUE"""),123506.0)</f>
        <v>123506</v>
      </c>
      <c r="Q248" s="124" t="str">
        <f>IFERROR(__xludf.DUMMYFUNCTION("""COMPUTED_VALUE"""),"upsc-gs-foundation-hinglish-target-2027-gsf-upsc-m02-orn")</f>
        <v>upsc-gs-foundation-hinglish-target-2027-gsf-upsc-m02-orn</v>
      </c>
      <c r="R248" s="124" t="str">
        <f>IFERROR(__xludf.DUMMYFUNCTION("""COMPUTED_VALUE"""),"GS Foundation Course")</f>
        <v>GS Foundation Course</v>
      </c>
      <c r="S248" s="124">
        <f>IFERROR(__xludf.DUMMYFUNCTION("""COMPUTED_VALUE"""),9.366087291E9)</f>
        <v>9366087291</v>
      </c>
      <c r="T248" s="124" t="str">
        <f>IFERROR(__xludf.DUMMYFUNCTION("""COMPUTED_VALUE"""),"Collexo")</f>
        <v>Collexo</v>
      </c>
      <c r="U248" s="124" t="str">
        <f>IFERROR(__xludf.DUMMYFUNCTION("""COMPUTED_VALUE"""),"Success")</f>
        <v>Success</v>
      </c>
      <c r="V248" s="131">
        <f>IFERROR(__xludf.DUMMYFUNCTION("""COMPUTED_VALUE"""),46074.0)</f>
        <v>46074</v>
      </c>
      <c r="W248" s="124">
        <f>IFERROR(__xludf.DUMMYFUNCTION("""COMPUTED_VALUE"""),0.0)</f>
        <v>0</v>
      </c>
    </row>
    <row r="249">
      <c r="A249" s="124" t="str">
        <f t="shared" si="1"/>
        <v>lakshayrana1406@gmail.com</v>
      </c>
      <c r="B249" s="131">
        <f>IFERROR(__xludf.DUMMYFUNCTION("""COMPUTED_VALUE"""),46071.0)</f>
        <v>46071</v>
      </c>
      <c r="C249" s="124" t="str">
        <f>IFERROR(__xludf.DUMMYFUNCTION("""COMPUTED_VALUE"""),"Payment data from Collexo")</f>
        <v>Payment data from Collexo</v>
      </c>
      <c r="D249" s="124" t="str">
        <f>IFERROR(__xludf.DUMMYFUNCTION("""COMPUTED_VALUE"""),"Not Available")</f>
        <v>Not Available</v>
      </c>
      <c r="E249" s="124">
        <f>IFERROR(__xludf.DUMMYFUNCTION("""COMPUTED_VALUE"""),1500609.0)</f>
        <v>1500609</v>
      </c>
      <c r="F249" s="124" t="str">
        <f>IFERROR(__xludf.DUMMYFUNCTION("""COMPUTED_VALUE"""),"6340_988_7")</f>
        <v>6340_988_7</v>
      </c>
      <c r="G249" s="124">
        <f>IFERROR(__xludf.DUMMYFUNCTION("""COMPUTED_VALUE"""),5000.0)</f>
        <v>5000</v>
      </c>
      <c r="H249" s="131">
        <f>IFERROR(__xludf.DUMMYFUNCTION("""COMPUTED_VALUE"""),46081.0)</f>
        <v>46081</v>
      </c>
      <c r="I249" s="124">
        <f>IFERROR(__xludf.DUMMYFUNCTION("""COMPUTED_VALUE"""),125000.0)</f>
        <v>125000</v>
      </c>
      <c r="J249" s="124">
        <f>IFERROR(__xludf.DUMMYFUNCTION("""COMPUTED_VALUE"""),130000.0)</f>
        <v>130000</v>
      </c>
      <c r="K249" s="124">
        <f>IFERROR(__xludf.DUMMYFUNCTION("""COMPUTED_VALUE"""),2.0)</f>
        <v>2</v>
      </c>
      <c r="L249" s="124">
        <f>IFERROR(__xludf.DUMMYFUNCTION("""COMPUTED_VALUE"""),252.0)</f>
        <v>252</v>
      </c>
      <c r="M249" s="124" t="str">
        <f>IFERROR(__xludf.DUMMYFUNCTION("""COMPUTED_VALUE"""),"New Delhi")</f>
        <v>New Delhi</v>
      </c>
      <c r="N249" s="124" t="str">
        <f>IFERROR(__xludf.DUMMYFUNCTION("""COMPUTED_VALUE"""),"lakshayrana1406@gmail.com")</f>
        <v>lakshayrana1406@gmail.com</v>
      </c>
      <c r="O249" s="124" t="str">
        <f>IFERROR(__xludf.DUMMYFUNCTION("""COMPUTED_VALUE"""),"LAKSHAY")</f>
        <v>LAKSHAY</v>
      </c>
      <c r="P249" s="124">
        <f>IFERROR(__xludf.DUMMYFUNCTION("""COMPUTED_VALUE"""),123748.0)</f>
        <v>123748</v>
      </c>
      <c r="Q249" s="124" t="str">
        <f>IFERROR(__xludf.DUMMYFUNCTION("""COMPUTED_VALUE"""),"upsc-gs-foundation-hinglish-target-2027-gsf-upsc-e04-orn")</f>
        <v>upsc-gs-foundation-hinglish-target-2027-gsf-upsc-e04-orn</v>
      </c>
      <c r="R249" s="124" t="str">
        <f>IFERROR(__xludf.DUMMYFUNCTION("""COMPUTED_VALUE"""),"GS Foundation Course")</f>
        <v>GS Foundation Course</v>
      </c>
      <c r="S249" s="124">
        <f>IFERROR(__xludf.DUMMYFUNCTION("""COMPUTED_VALUE"""),8.920811162E9)</f>
        <v>8920811162</v>
      </c>
      <c r="T249" s="124" t="str">
        <f>IFERROR(__xludf.DUMMYFUNCTION("""COMPUTED_VALUE"""),"Collexo")</f>
        <v>Collexo</v>
      </c>
      <c r="U249" s="124" t="str">
        <f>IFERROR(__xludf.DUMMYFUNCTION("""COMPUTED_VALUE"""),"Success")</f>
        <v>Success</v>
      </c>
      <c r="V249" s="131">
        <f>IFERROR(__xludf.DUMMYFUNCTION("""COMPUTED_VALUE"""),46071.0)</f>
        <v>46071</v>
      </c>
      <c r="W249" s="124">
        <f>IFERROR(__xludf.DUMMYFUNCTION("""COMPUTED_VALUE"""),0.0)</f>
        <v>0</v>
      </c>
    </row>
    <row r="250">
      <c r="A250" s="124" t="str">
        <f t="shared" si="1"/>
        <v>hemantsingh203203@gmail.com</v>
      </c>
      <c r="B250" s="131">
        <f>IFERROR(__xludf.DUMMYFUNCTION("""COMPUTED_VALUE"""),46112.0)</f>
        <v>46112</v>
      </c>
      <c r="C250" s="124" t="str">
        <f>IFERROR(__xludf.DUMMYFUNCTION("""COMPUTED_VALUE"""),"Payment data from Collexo")</f>
        <v>Payment data from Collexo</v>
      </c>
      <c r="D250" s="124" t="str">
        <f>IFERROR(__xludf.DUMMYFUNCTION("""COMPUTED_VALUE"""),"Not Available")</f>
        <v>Not Available</v>
      </c>
      <c r="E250" s="124">
        <f>IFERROR(__xludf.DUMMYFUNCTION("""COMPUTED_VALUE"""),1500613.0)</f>
        <v>1500613</v>
      </c>
      <c r="F250" s="124">
        <f>IFERROR(__xludf.DUMMYFUNCTION("""COMPUTED_VALUE"""),133044.0)</f>
        <v>133044</v>
      </c>
      <c r="G250" s="124">
        <f>IFERROR(__xludf.DUMMYFUNCTION("""COMPUTED_VALUE"""),6000.0)</f>
        <v>6000</v>
      </c>
      <c r="H250" s="131">
        <f>IFERROR(__xludf.DUMMYFUNCTION("""COMPUTED_VALUE"""),46114.0)</f>
        <v>46114</v>
      </c>
      <c r="I250" s="124">
        <f>IFERROR(__xludf.DUMMYFUNCTION("""COMPUTED_VALUE"""),48000.0)</f>
        <v>48000</v>
      </c>
      <c r="J250" s="124">
        <f>IFERROR(__xludf.DUMMYFUNCTION("""COMPUTED_VALUE"""),54000.0)</f>
        <v>54000</v>
      </c>
      <c r="K250" s="124">
        <f>IFERROR(__xludf.DUMMYFUNCTION("""COMPUTED_VALUE"""),2.0)</f>
        <v>2</v>
      </c>
      <c r="L250" s="124">
        <f>IFERROR(__xludf.DUMMYFUNCTION("""COMPUTED_VALUE"""),875.0)</f>
        <v>875</v>
      </c>
      <c r="M250" s="124" t="str">
        <f>IFERROR(__xludf.DUMMYFUNCTION("""COMPUTED_VALUE"""),"Prayagraj")</f>
        <v>Prayagraj</v>
      </c>
      <c r="N250" s="124" t="str">
        <f>IFERROR(__xludf.DUMMYFUNCTION("""COMPUTED_VALUE"""),"hemantsingh203203@gmail.com")</f>
        <v>hemantsingh203203@gmail.com</v>
      </c>
      <c r="O250" s="124" t="str">
        <f>IFERROR(__xludf.DUMMYFUNCTION("""COMPUTED_VALUE"""),"Hemant Kumar Singh")</f>
        <v>Hemant Kumar Singh</v>
      </c>
      <c r="P250" s="124">
        <f>IFERROR(__xludf.DUMMYFUNCTION("""COMPUTED_VALUE"""),133044.0)</f>
        <v>133044</v>
      </c>
      <c r="Q250" s="124" t="str">
        <f>IFERROR(__xludf.DUMMYFUNCTION("""COMPUTED_VALUE"""),"upsc-gs-foundation-hindi-target-2027-gsf-upsc-m03-pry")</f>
        <v>upsc-gs-foundation-hindi-target-2027-gsf-upsc-m03-pry</v>
      </c>
      <c r="R250" s="124" t="str">
        <f>IFERROR(__xludf.DUMMYFUNCTION("""COMPUTED_VALUE"""),"State PCS")</f>
        <v>State PCS</v>
      </c>
      <c r="S250" s="124">
        <f>IFERROR(__xludf.DUMMYFUNCTION("""COMPUTED_VALUE"""),8.006029476E9)</f>
        <v>8006029476</v>
      </c>
      <c r="T250" s="124" t="str">
        <f>IFERROR(__xludf.DUMMYFUNCTION("""COMPUTED_VALUE"""),"Not Available")</f>
        <v>Not Available</v>
      </c>
      <c r="U250" s="124" t="str">
        <f>IFERROR(__xludf.DUMMYFUNCTION("""COMPUTED_VALUE"""),"Not Available")</f>
        <v>Not Available</v>
      </c>
      <c r="V250" s="124" t="str">
        <f>IFERROR(__xludf.DUMMYFUNCTION("""COMPUTED_VALUE"""),"Not Available")</f>
        <v>Not Available</v>
      </c>
      <c r="W250" s="124" t="str">
        <f>IFERROR(__xludf.DUMMYFUNCTION("""COMPUTED_VALUE"""),"Not Available")</f>
        <v>Not Available</v>
      </c>
    </row>
    <row r="251">
      <c r="A251" s="124" t="str">
        <f t="shared" si="1"/>
        <v>ayushkumarahirwar877@gmail.com</v>
      </c>
      <c r="B251" s="131">
        <f>IFERROR(__xludf.DUMMYFUNCTION("""COMPUTED_VALUE"""),46108.0)</f>
        <v>46108</v>
      </c>
      <c r="C251" s="124" t="str">
        <f>IFERROR(__xludf.DUMMYFUNCTION("""COMPUTED_VALUE"""),"Payment data from Collexo")</f>
        <v>Payment data from Collexo</v>
      </c>
      <c r="D251" s="124" t="str">
        <f>IFERROR(__xludf.DUMMYFUNCTION("""COMPUTED_VALUE"""),"Not Available")</f>
        <v>Not Available</v>
      </c>
      <c r="E251" s="124">
        <f>IFERROR(__xludf.DUMMYFUNCTION("""COMPUTED_VALUE"""),1500612.0)</f>
        <v>1500612</v>
      </c>
      <c r="F251" s="124">
        <f>IFERROR(__xludf.DUMMYFUNCTION("""COMPUTED_VALUE"""),132925.0)</f>
        <v>132925</v>
      </c>
      <c r="G251" s="124">
        <f>IFERROR(__xludf.DUMMYFUNCTION("""COMPUTED_VALUE"""),20000.0)</f>
        <v>20000</v>
      </c>
      <c r="H251" s="131">
        <f>IFERROR(__xludf.DUMMYFUNCTION("""COMPUTED_VALUE"""),46112.0)</f>
        <v>46112</v>
      </c>
      <c r="I251" s="124">
        <f>IFERROR(__xludf.DUMMYFUNCTION("""COMPUTED_VALUE"""),60000.0)</f>
        <v>60000</v>
      </c>
      <c r="J251" s="124">
        <f>IFERROR(__xludf.DUMMYFUNCTION("""COMPUTED_VALUE"""),80000.0)</f>
        <v>80000</v>
      </c>
      <c r="K251" s="124">
        <f>IFERROR(__xludf.DUMMYFUNCTION("""COMPUTED_VALUE"""),2.0)</f>
        <v>2</v>
      </c>
      <c r="L251" s="124">
        <f>IFERROR(__xludf.DUMMYFUNCTION("""COMPUTED_VALUE"""),774.0)</f>
        <v>774</v>
      </c>
      <c r="M251" s="124" t="str">
        <f>IFERROR(__xludf.DUMMYFUNCTION("""COMPUTED_VALUE"""),"Indore")</f>
        <v>Indore</v>
      </c>
      <c r="N251" s="124" t="str">
        <f>IFERROR(__xludf.DUMMYFUNCTION("""COMPUTED_VALUE"""),"ayushkumarahirwar877@gmail.com")</f>
        <v>ayushkumarahirwar877@gmail.com</v>
      </c>
      <c r="O251" s="124" t="str">
        <f>IFERROR(__xludf.DUMMYFUNCTION("""COMPUTED_VALUE"""),"Ayush kumar ahirwar")</f>
        <v>Ayush kumar ahirwar</v>
      </c>
      <c r="P251" s="124">
        <f>IFERROR(__xludf.DUMMYFUNCTION("""COMPUTED_VALUE"""),132925.0)</f>
        <v>132925</v>
      </c>
      <c r="Q251" s="124" t="str">
        <f>IFERROR(__xludf.DUMMYFUNCTION("""COMPUTED_VALUE"""),"mppsc-gs-foundation-hinglish-target-2028-gsf-mppsc-e02-ind")</f>
        <v>mppsc-gs-foundation-hinglish-target-2028-gsf-mppsc-e02-ind</v>
      </c>
      <c r="R251" s="124" t="str">
        <f>IFERROR(__xludf.DUMMYFUNCTION("""COMPUTED_VALUE"""),"State PCS")</f>
        <v>State PCS</v>
      </c>
      <c r="S251" s="124">
        <f>IFERROR(__xludf.DUMMYFUNCTION("""COMPUTED_VALUE"""),6.268467967E9)</f>
        <v>6268467967</v>
      </c>
      <c r="T251" s="124" t="str">
        <f>IFERROR(__xludf.DUMMYFUNCTION("""COMPUTED_VALUE"""),"Not Available")</f>
        <v>Not Available</v>
      </c>
      <c r="U251" s="124" t="str">
        <f>IFERROR(__xludf.DUMMYFUNCTION("""COMPUTED_VALUE"""),"Not Available")</f>
        <v>Not Available</v>
      </c>
      <c r="V251" s="124" t="str">
        <f>IFERROR(__xludf.DUMMYFUNCTION("""COMPUTED_VALUE"""),"Not Available")</f>
        <v>Not Available</v>
      </c>
      <c r="W251" s="124" t="str">
        <f>IFERROR(__xludf.DUMMYFUNCTION("""COMPUTED_VALUE"""),"Not Available")</f>
        <v>Not Available</v>
      </c>
    </row>
    <row r="252">
      <c r="A252" s="124" t="str">
        <f t="shared" si="1"/>
        <v>vijayprakash4549@gmail.com</v>
      </c>
      <c r="B252" s="131">
        <f>IFERROR(__xludf.DUMMYFUNCTION("""COMPUTED_VALUE"""),46112.0)</f>
        <v>46112</v>
      </c>
      <c r="C252" s="124" t="str">
        <f>IFERROR(__xludf.DUMMYFUNCTION("""COMPUTED_VALUE"""),"Payment data from Collexo")</f>
        <v>Payment data from Collexo</v>
      </c>
      <c r="D252" s="124" t="str">
        <f>IFERROR(__xludf.DUMMYFUNCTION("""COMPUTED_VALUE"""),"Not Available")</f>
        <v>Not Available</v>
      </c>
      <c r="E252" s="124">
        <f>IFERROR(__xludf.DUMMYFUNCTION("""COMPUTED_VALUE"""),1500609.0)</f>
        <v>1500609</v>
      </c>
      <c r="F252" s="124" t="str">
        <f>IFERROR(__xludf.DUMMYFUNCTION("""COMPUTED_VALUE"""),"17651_988_7")</f>
        <v>17651_988_7</v>
      </c>
      <c r="G252" s="124">
        <f>IFERROR(__xludf.DUMMYFUNCTION("""COMPUTED_VALUE"""),90000.0)</f>
        <v>90000</v>
      </c>
      <c r="H252" s="124" t="str">
        <f>IFERROR(__xludf.DUMMYFUNCTION("""COMPUTED_VALUE"""),"Not Available")</f>
        <v>Not Available</v>
      </c>
      <c r="I252" s="124">
        <f>IFERROR(__xludf.DUMMYFUNCTION("""COMPUTED_VALUE"""),0.0)</f>
        <v>0</v>
      </c>
      <c r="J252" s="124">
        <f>IFERROR(__xludf.DUMMYFUNCTION("""COMPUTED_VALUE"""),100000.0)</f>
        <v>100000</v>
      </c>
      <c r="K252" s="124">
        <f>IFERROR(__xludf.DUMMYFUNCTION("""COMPUTED_VALUE"""),2.0)</f>
        <v>2</v>
      </c>
      <c r="L252" s="124">
        <f>IFERROR(__xludf.DUMMYFUNCTION("""COMPUTED_VALUE"""),852.0)</f>
        <v>852</v>
      </c>
      <c r="M252" s="124" t="str">
        <f>IFERROR(__xludf.DUMMYFUNCTION("""COMPUTED_VALUE"""),"New Delhi")</f>
        <v>New Delhi</v>
      </c>
      <c r="N252" s="124" t="str">
        <f>IFERROR(__xludf.DUMMYFUNCTION("""COMPUTED_VALUE"""),"vijayprakash4549@gmail.com")</f>
        <v>vijayprakash4549@gmail.com</v>
      </c>
      <c r="O252" s="124" t="str">
        <f>IFERROR(__xludf.DUMMYFUNCTION("""COMPUTED_VALUE"""),"Vijay")</f>
        <v>Vijay</v>
      </c>
      <c r="P252" s="124">
        <f>IFERROR(__xludf.DUMMYFUNCTION("""COMPUTED_VALUE"""),90540.0)</f>
        <v>90540</v>
      </c>
      <c r="Q252" s="124" t="str">
        <f>IFERROR(__xludf.DUMMYFUNCTION("""COMPUTED_VALUE"""),"upsc-gs-foundation-hinglish-target-2028-gsf-upsc-m05-orn")</f>
        <v>upsc-gs-foundation-hinglish-target-2028-gsf-upsc-m05-orn</v>
      </c>
      <c r="R252" s="124" t="str">
        <f>IFERROR(__xludf.DUMMYFUNCTION("""COMPUTED_VALUE"""),"GS Foundation Course")</f>
        <v>GS Foundation Course</v>
      </c>
      <c r="S252" s="124">
        <f>IFERROR(__xludf.DUMMYFUNCTION("""COMPUTED_VALUE"""),9.341693412E9)</f>
        <v>9341693412</v>
      </c>
      <c r="T252" s="124" t="str">
        <f>IFERROR(__xludf.DUMMYFUNCTION("""COMPUTED_VALUE"""),"Collexo")</f>
        <v>Collexo</v>
      </c>
      <c r="U252" s="124" t="str">
        <f>IFERROR(__xludf.DUMMYFUNCTION("""COMPUTED_VALUE"""),"Success")</f>
        <v>Success</v>
      </c>
      <c r="V252" s="131">
        <f>IFERROR(__xludf.DUMMYFUNCTION("""COMPUTED_VALUE"""),46112.0)</f>
        <v>46112</v>
      </c>
      <c r="W252" s="124">
        <f>IFERROR(__xludf.DUMMYFUNCTION("""COMPUTED_VALUE"""),0.0)</f>
        <v>0</v>
      </c>
    </row>
    <row r="253">
      <c r="A253" s="124" t="str">
        <f t="shared" si="1"/>
        <v>lakshmikumari98168@gmail.com</v>
      </c>
      <c r="B253" s="131">
        <f>IFERROR(__xludf.DUMMYFUNCTION("""COMPUTED_VALUE"""),46051.0)</f>
        <v>46051</v>
      </c>
      <c r="C253" s="124" t="str">
        <f>IFERROR(__xludf.DUMMYFUNCTION("""COMPUTED_VALUE"""),"Payment data from Collexo")</f>
        <v>Payment data from Collexo</v>
      </c>
      <c r="D253" s="124" t="str">
        <f>IFERROR(__xludf.DUMMYFUNCTION("""COMPUTED_VALUE"""),"Not Available")</f>
        <v>Not Available</v>
      </c>
      <c r="E253" s="124">
        <f>IFERROR(__xludf.DUMMYFUNCTION("""COMPUTED_VALUE"""),1500609.0)</f>
        <v>1500609</v>
      </c>
      <c r="F253" s="124" t="str">
        <f>IFERROR(__xludf.DUMMYFUNCTION("""COMPUTED_VALUE"""),"2859_988_7")</f>
        <v>2859_988_7</v>
      </c>
      <c r="G253" s="124">
        <f>IFERROR(__xludf.DUMMYFUNCTION("""COMPUTED_VALUE"""),2000.0)</f>
        <v>2000</v>
      </c>
      <c r="H253" s="131">
        <f>IFERROR(__xludf.DUMMYFUNCTION("""COMPUTED_VALUE"""),46053.0)</f>
        <v>46053</v>
      </c>
      <c r="I253" s="124">
        <f>IFERROR(__xludf.DUMMYFUNCTION("""COMPUTED_VALUE"""),125000.0)</f>
        <v>125000</v>
      </c>
      <c r="J253" s="124">
        <f>IFERROR(__xludf.DUMMYFUNCTION("""COMPUTED_VALUE"""),130000.0)</f>
        <v>130000</v>
      </c>
      <c r="K253" s="124">
        <f>IFERROR(__xludf.DUMMYFUNCTION("""COMPUTED_VALUE"""),4.0)</f>
        <v>4</v>
      </c>
      <c r="L253" s="124">
        <f>IFERROR(__xludf.DUMMYFUNCTION("""COMPUTED_VALUE"""),126.0)</f>
        <v>126</v>
      </c>
      <c r="M253" s="124" t="str">
        <f>IFERROR(__xludf.DUMMYFUNCTION("""COMPUTED_VALUE"""),"New Delhi")</f>
        <v>New Delhi</v>
      </c>
      <c r="N253" s="124" t="str">
        <f>IFERROR(__xludf.DUMMYFUNCTION("""COMPUTED_VALUE"""),"lakshmikumari98168@gmail.com")</f>
        <v>lakshmikumari98168@gmail.com</v>
      </c>
      <c r="O253" s="124" t="str">
        <f>IFERROR(__xludf.DUMMYFUNCTION("""COMPUTED_VALUE"""),"lakshmi")</f>
        <v>lakshmi</v>
      </c>
      <c r="P253" s="124">
        <f>IFERROR(__xludf.DUMMYFUNCTION("""COMPUTED_VALUE"""),89028.0)</f>
        <v>89028</v>
      </c>
      <c r="Q253" s="124" t="str">
        <f>IFERROR(__xludf.DUMMYFUNCTION("""COMPUTED_VALUE"""),"ncert-foundation-hinglish-target-2026-nce-upsc-e02-orn")</f>
        <v>ncert-foundation-hinglish-target-2026-nce-upsc-e02-orn</v>
      </c>
      <c r="R253" s="124" t="str">
        <f>IFERROR(__xludf.DUMMYFUNCTION("""COMPUTED_VALUE"""),"GS Foundation Course")</f>
        <v>GS Foundation Course</v>
      </c>
      <c r="S253" s="124">
        <f>IFERROR(__xludf.DUMMYFUNCTION("""COMPUTED_VALUE"""),7.050309334E9)</f>
        <v>7050309334</v>
      </c>
      <c r="T253" s="124" t="str">
        <f>IFERROR(__xludf.DUMMYFUNCTION("""COMPUTED_VALUE"""),"Collexo")</f>
        <v>Collexo</v>
      </c>
      <c r="U253" s="124" t="str">
        <f>IFERROR(__xludf.DUMMYFUNCTION("""COMPUTED_VALUE"""),"Success")</f>
        <v>Success</v>
      </c>
      <c r="V253" s="131">
        <f>IFERROR(__xludf.DUMMYFUNCTION("""COMPUTED_VALUE"""),46051.0)</f>
        <v>46051</v>
      </c>
      <c r="W253" s="124">
        <f>IFERROR(__xludf.DUMMYFUNCTION("""COMPUTED_VALUE"""),0.0)</f>
        <v>0</v>
      </c>
    </row>
    <row r="254">
      <c r="A254" s="124" t="str">
        <f t="shared" si="1"/>
        <v>hraj42331@gmail.com</v>
      </c>
      <c r="B254" s="131">
        <f>IFERROR(__xludf.DUMMYFUNCTION("""COMPUTED_VALUE"""),46112.0)</f>
        <v>46112</v>
      </c>
      <c r="C254" s="124" t="str">
        <f>IFERROR(__xludf.DUMMYFUNCTION("""COMPUTED_VALUE"""),"Payment data from Collexo")</f>
        <v>Payment data from Collexo</v>
      </c>
      <c r="D254" s="124" t="str">
        <f>IFERROR(__xludf.DUMMYFUNCTION("""COMPUTED_VALUE"""),"Not Available")</f>
        <v>Not Available</v>
      </c>
      <c r="E254" s="124">
        <f>IFERROR(__xludf.DUMMYFUNCTION("""COMPUTED_VALUE"""),1500609.0)</f>
        <v>1500609</v>
      </c>
      <c r="F254" s="124" t="str">
        <f>IFERROR(__xludf.DUMMYFUNCTION("""COMPUTED_VALUE"""),"17653_988_7")</f>
        <v>17653_988_7</v>
      </c>
      <c r="G254" s="124">
        <f>IFERROR(__xludf.DUMMYFUNCTION("""COMPUTED_VALUE"""),104000.0)</f>
        <v>104000</v>
      </c>
      <c r="H254" s="124" t="str">
        <f>IFERROR(__xludf.DUMMYFUNCTION("""COMPUTED_VALUE"""),"Not Available")</f>
        <v>Not Available</v>
      </c>
      <c r="I254" s="124">
        <f>IFERROR(__xludf.DUMMYFUNCTION("""COMPUTED_VALUE"""),0.0)</f>
        <v>0</v>
      </c>
      <c r="J254" s="124">
        <f>IFERROR(__xludf.DUMMYFUNCTION("""COMPUTED_VALUE"""),130000.0)</f>
        <v>130000</v>
      </c>
      <c r="K254" s="124">
        <f>IFERROR(__xludf.DUMMYFUNCTION("""COMPUTED_VALUE"""),3.0)</f>
        <v>3</v>
      </c>
      <c r="L254" s="124">
        <f>IFERROR(__xludf.DUMMYFUNCTION("""COMPUTED_VALUE"""),854.0)</f>
        <v>854</v>
      </c>
      <c r="M254" s="124" t="str">
        <f>IFERROR(__xludf.DUMMYFUNCTION("""COMPUTED_VALUE"""),"New Delhi")</f>
        <v>New Delhi</v>
      </c>
      <c r="N254" s="124" t="str">
        <f>IFERROR(__xludf.DUMMYFUNCTION("""COMPUTED_VALUE"""),"hraj42331@gmail.com")</f>
        <v>hraj42331@gmail.com</v>
      </c>
      <c r="O254" s="124" t="str">
        <f>IFERROR(__xludf.DUMMYFUNCTION("""COMPUTED_VALUE"""),"Harsh raj")</f>
        <v>Harsh raj</v>
      </c>
      <c r="P254" s="124">
        <f>IFERROR(__xludf.DUMMYFUNCTION("""COMPUTED_VALUE"""),101903.0)</f>
        <v>101903</v>
      </c>
      <c r="Q254" s="124" t="str">
        <f>IFERROR(__xludf.DUMMYFUNCTION("""COMPUTED_VALUE"""),"upsc-gs-foundation-hinglish-target-2028-gsf-upsc-m05-orn")</f>
        <v>upsc-gs-foundation-hinglish-target-2028-gsf-upsc-m05-orn</v>
      </c>
      <c r="R254" s="124" t="str">
        <f>IFERROR(__xludf.DUMMYFUNCTION("""COMPUTED_VALUE"""),"GS Foundation Course")</f>
        <v>GS Foundation Course</v>
      </c>
      <c r="S254" s="124">
        <f>IFERROR(__xludf.DUMMYFUNCTION("""COMPUTED_VALUE"""),9.835624619E9)</f>
        <v>9835624619</v>
      </c>
      <c r="T254" s="124" t="str">
        <f>IFERROR(__xludf.DUMMYFUNCTION("""COMPUTED_VALUE"""),"Collexo")</f>
        <v>Collexo</v>
      </c>
      <c r="U254" s="124" t="str">
        <f>IFERROR(__xludf.DUMMYFUNCTION("""COMPUTED_VALUE"""),"Success")</f>
        <v>Success</v>
      </c>
      <c r="V254" s="131">
        <f>IFERROR(__xludf.DUMMYFUNCTION("""COMPUTED_VALUE"""),46112.0)</f>
        <v>46112</v>
      </c>
      <c r="W254" s="124">
        <f>IFERROR(__xludf.DUMMYFUNCTION("""COMPUTED_VALUE"""),0.0)</f>
        <v>0</v>
      </c>
    </row>
    <row r="255">
      <c r="A255" s="124" t="str">
        <f t="shared" si="1"/>
        <v>ayushkumarahirwar877@gmail.com</v>
      </c>
      <c r="B255" s="131">
        <f>IFERROR(__xludf.DUMMYFUNCTION("""COMPUTED_VALUE"""),46110.0)</f>
        <v>46110</v>
      </c>
      <c r="C255" s="124" t="str">
        <f>IFERROR(__xludf.DUMMYFUNCTION("""COMPUTED_VALUE"""),"Payment data from Collexo")</f>
        <v>Payment data from Collexo</v>
      </c>
      <c r="D255" s="124" t="str">
        <f>IFERROR(__xludf.DUMMYFUNCTION("""COMPUTED_VALUE"""),"Not Available")</f>
        <v>Not Available</v>
      </c>
      <c r="E255" s="124">
        <f>IFERROR(__xludf.DUMMYFUNCTION("""COMPUTED_VALUE"""),1500612.0)</f>
        <v>1500612</v>
      </c>
      <c r="F255" s="124">
        <f>IFERROR(__xludf.DUMMYFUNCTION("""COMPUTED_VALUE"""),132925.0)</f>
        <v>132925</v>
      </c>
      <c r="G255" s="124">
        <f>IFERROR(__xludf.DUMMYFUNCTION("""COMPUTED_VALUE"""),60000.0)</f>
        <v>60000</v>
      </c>
      <c r="H255" s="124" t="str">
        <f>IFERROR(__xludf.DUMMYFUNCTION("""COMPUTED_VALUE"""),"Not Available")</f>
        <v>Not Available</v>
      </c>
      <c r="I255" s="124">
        <f>IFERROR(__xludf.DUMMYFUNCTION("""COMPUTED_VALUE"""),0.0)</f>
        <v>0</v>
      </c>
      <c r="J255" s="124">
        <f>IFERROR(__xludf.DUMMYFUNCTION("""COMPUTED_VALUE"""),80000.0)</f>
        <v>80000</v>
      </c>
      <c r="K255" s="124">
        <f>IFERROR(__xludf.DUMMYFUNCTION("""COMPUTED_VALUE"""),2.0)</f>
        <v>2</v>
      </c>
      <c r="L255" s="124">
        <f>IFERROR(__xludf.DUMMYFUNCTION("""COMPUTED_VALUE"""),818.0)</f>
        <v>818</v>
      </c>
      <c r="M255" s="124" t="str">
        <f>IFERROR(__xludf.DUMMYFUNCTION("""COMPUTED_VALUE"""),"Indore")</f>
        <v>Indore</v>
      </c>
      <c r="N255" s="124" t="str">
        <f>IFERROR(__xludf.DUMMYFUNCTION("""COMPUTED_VALUE"""),"ayushkumarahirwar877@gmail.com")</f>
        <v>ayushkumarahirwar877@gmail.com</v>
      </c>
      <c r="O255" s="124" t="str">
        <f>IFERROR(__xludf.DUMMYFUNCTION("""COMPUTED_VALUE"""),"Ayush kumar ahirwar")</f>
        <v>Ayush kumar ahirwar</v>
      </c>
      <c r="P255" s="124">
        <f>IFERROR(__xludf.DUMMYFUNCTION("""COMPUTED_VALUE"""),132925.0)</f>
        <v>132925</v>
      </c>
      <c r="Q255" s="124" t="str">
        <f>IFERROR(__xludf.DUMMYFUNCTION("""COMPUTED_VALUE"""),"mppsc-gs-foundation-hinglish-target-2028-gsf-mppsc-e02-ind")</f>
        <v>mppsc-gs-foundation-hinglish-target-2028-gsf-mppsc-e02-ind</v>
      </c>
      <c r="R255" s="124" t="str">
        <f>IFERROR(__xludf.DUMMYFUNCTION("""COMPUTED_VALUE"""),"State PCS")</f>
        <v>State PCS</v>
      </c>
      <c r="S255" s="124">
        <f>IFERROR(__xludf.DUMMYFUNCTION("""COMPUTED_VALUE"""),6.268467967E9)</f>
        <v>6268467967</v>
      </c>
      <c r="T255" s="124" t="str">
        <f>IFERROR(__xludf.DUMMYFUNCTION("""COMPUTED_VALUE"""),"Not Available")</f>
        <v>Not Available</v>
      </c>
      <c r="U255" s="124" t="str">
        <f>IFERROR(__xludf.DUMMYFUNCTION("""COMPUTED_VALUE"""),"Not Available")</f>
        <v>Not Available</v>
      </c>
      <c r="V255" s="124" t="str">
        <f>IFERROR(__xludf.DUMMYFUNCTION("""COMPUTED_VALUE"""),"Not Available")</f>
        <v>Not Available</v>
      </c>
      <c r="W255" s="124" t="str">
        <f>IFERROR(__xludf.DUMMYFUNCTION("""COMPUTED_VALUE"""),"Not Available")</f>
        <v>Not Available</v>
      </c>
    </row>
    <row r="256">
      <c r="A256" s="124" t="str">
        <f t="shared" si="1"/>
        <v>smruthiranjan03@gmail.com</v>
      </c>
      <c r="B256" s="131">
        <f>IFERROR(__xludf.DUMMYFUNCTION("""COMPUTED_VALUE"""),46061.0)</f>
        <v>46061</v>
      </c>
      <c r="C256" s="124" t="str">
        <f>IFERROR(__xludf.DUMMYFUNCTION("""COMPUTED_VALUE"""),"Payment data from Collexo")</f>
        <v>Payment data from Collexo</v>
      </c>
      <c r="D256" s="124" t="str">
        <f>IFERROR(__xludf.DUMMYFUNCTION("""COMPUTED_VALUE"""),"Not Available")</f>
        <v>Not Available</v>
      </c>
      <c r="E256" s="124">
        <f>IFERROR(__xludf.DUMMYFUNCTION("""COMPUTED_VALUE"""),1500609.0)</f>
        <v>1500609</v>
      </c>
      <c r="F256" s="124" t="str">
        <f>IFERROR(__xludf.DUMMYFUNCTION("""COMPUTED_VALUE"""),"4274_988_7")</f>
        <v>4274_988_7</v>
      </c>
      <c r="G256" s="124">
        <f>IFERROR(__xludf.DUMMYFUNCTION("""COMPUTED_VALUE"""),22000.0)</f>
        <v>22000</v>
      </c>
      <c r="H256" s="124" t="str">
        <f>IFERROR(__xludf.DUMMYFUNCTION("""COMPUTED_VALUE"""),"Not Available")</f>
        <v>Not Available</v>
      </c>
      <c r="I256" s="124">
        <f>IFERROR(__xludf.DUMMYFUNCTION("""COMPUTED_VALUE"""),0.0)</f>
        <v>0</v>
      </c>
      <c r="J256" s="124">
        <f>IFERROR(__xludf.DUMMYFUNCTION("""COMPUTED_VALUE"""),135000.0)</f>
        <v>135000</v>
      </c>
      <c r="K256" s="124">
        <f>IFERROR(__xludf.DUMMYFUNCTION("""COMPUTED_VALUE"""),3.0)</f>
        <v>3</v>
      </c>
      <c r="L256" s="124">
        <f>IFERROR(__xludf.DUMMYFUNCTION("""COMPUTED_VALUE"""),181.0)</f>
        <v>181</v>
      </c>
      <c r="M256" s="124" t="str">
        <f>IFERROR(__xludf.DUMMYFUNCTION("""COMPUTED_VALUE"""),"New Delhi")</f>
        <v>New Delhi</v>
      </c>
      <c r="N256" s="124" t="str">
        <f>IFERROR(__xludf.DUMMYFUNCTION("""COMPUTED_VALUE"""),"smruthiranjan03@gmail.com")</f>
        <v>smruthiranjan03@gmail.com</v>
      </c>
      <c r="O256" s="124" t="str">
        <f>IFERROR(__xludf.DUMMYFUNCTION("""COMPUTED_VALUE"""),"Ranjan")</f>
        <v>Ranjan</v>
      </c>
      <c r="P256" s="124">
        <f>IFERROR(__xludf.DUMMYFUNCTION("""COMPUTED_VALUE"""),111679.0)</f>
        <v>111679</v>
      </c>
      <c r="Q256" s="124" t="str">
        <f>IFERROR(__xludf.DUMMYFUNCTION("""COMPUTED_VALUE"""),"ncert-foundation-hinglish-target-2026-nce-upsc-e02-orn")</f>
        <v>ncert-foundation-hinglish-target-2026-nce-upsc-e02-orn</v>
      </c>
      <c r="R256" s="124" t="str">
        <f>IFERROR(__xludf.DUMMYFUNCTION("""COMPUTED_VALUE"""),"GS Foundation Course")</f>
        <v>GS Foundation Course</v>
      </c>
      <c r="S256" s="124">
        <f>IFERROR(__xludf.DUMMYFUNCTION("""COMPUTED_VALUE"""),7.876496464E9)</f>
        <v>7876496464</v>
      </c>
      <c r="T256" s="124" t="str">
        <f>IFERROR(__xludf.DUMMYFUNCTION("""COMPUTED_VALUE"""),"Collexo")</f>
        <v>Collexo</v>
      </c>
      <c r="U256" s="124" t="str">
        <f>IFERROR(__xludf.DUMMYFUNCTION("""COMPUTED_VALUE"""),"Success")</f>
        <v>Success</v>
      </c>
      <c r="V256" s="131">
        <f>IFERROR(__xludf.DUMMYFUNCTION("""COMPUTED_VALUE"""),46061.0)</f>
        <v>46061</v>
      </c>
      <c r="W256" s="124">
        <f>IFERROR(__xludf.DUMMYFUNCTION("""COMPUTED_VALUE"""),0.0)</f>
        <v>0</v>
      </c>
    </row>
    <row r="257">
      <c r="A257" s="124" t="str">
        <f t="shared" si="1"/>
        <v>mdhaseena1004@gmail.com</v>
      </c>
      <c r="B257" s="131">
        <f>IFERROR(__xludf.DUMMYFUNCTION("""COMPUTED_VALUE"""),46106.0)</f>
        <v>46106</v>
      </c>
      <c r="C257" s="124" t="str">
        <f>IFERROR(__xludf.DUMMYFUNCTION("""COMPUTED_VALUE"""),"Payment data from Collexo")</f>
        <v>Payment data from Collexo</v>
      </c>
      <c r="D257" s="124" t="str">
        <f>IFERROR(__xludf.DUMMYFUNCTION("""COMPUTED_VALUE"""),"Not Available")</f>
        <v>Not Available</v>
      </c>
      <c r="E257" s="124">
        <f>IFERROR(__xludf.DUMMYFUNCTION("""COMPUTED_VALUE"""),1500609.0)</f>
        <v>1500609</v>
      </c>
      <c r="F257" s="124" t="str">
        <f>IFERROR(__xludf.DUMMYFUNCTION("""COMPUTED_VALUE"""),"16542_988_7")</f>
        <v>16542_988_7</v>
      </c>
      <c r="G257" s="124">
        <f>IFERROR(__xludf.DUMMYFUNCTION("""COMPUTED_VALUE"""),90000.0)</f>
        <v>90000</v>
      </c>
      <c r="H257" s="131">
        <f>IFERROR(__xludf.DUMMYFUNCTION("""COMPUTED_VALUE"""),46112.0)</f>
        <v>46112</v>
      </c>
      <c r="I257" s="124">
        <f>IFERROR(__xludf.DUMMYFUNCTION("""COMPUTED_VALUE"""),35000.0)</f>
        <v>35000</v>
      </c>
      <c r="J257" s="124">
        <f>IFERROR(__xludf.DUMMYFUNCTION("""COMPUTED_VALUE"""),135000.0)</f>
        <v>135000</v>
      </c>
      <c r="K257" s="124">
        <f>IFERROR(__xludf.DUMMYFUNCTION("""COMPUTED_VALUE"""),3.0)</f>
        <v>3</v>
      </c>
      <c r="L257" s="124">
        <f>IFERROR(__xludf.DUMMYFUNCTION("""COMPUTED_VALUE"""),740.0)</f>
        <v>740</v>
      </c>
      <c r="M257" s="124" t="str">
        <f>IFERROR(__xludf.DUMMYFUNCTION("""COMPUTED_VALUE"""),"New Delhi")</f>
        <v>New Delhi</v>
      </c>
      <c r="N257" s="124" t="str">
        <f>IFERROR(__xludf.DUMMYFUNCTION("""COMPUTED_VALUE"""),"mdhaseena1004@gmail.com")</f>
        <v>mdhaseena1004@gmail.com</v>
      </c>
      <c r="O257" s="124" t="str">
        <f>IFERROR(__xludf.DUMMYFUNCTION("""COMPUTED_VALUE"""),"Haseena")</f>
        <v>Haseena</v>
      </c>
      <c r="P257" s="124">
        <f>IFERROR(__xludf.DUMMYFUNCTION("""COMPUTED_VALUE"""),123766.0)</f>
        <v>123766</v>
      </c>
      <c r="Q257" s="124" t="str">
        <f>IFERROR(__xludf.DUMMYFUNCTION("""COMPUTED_VALUE"""),"upsc-gs-foundation-hinglish-target-2027-gsf-upsc-m04-orn")</f>
        <v>upsc-gs-foundation-hinglish-target-2027-gsf-upsc-m04-orn</v>
      </c>
      <c r="R257" s="124" t="str">
        <f>IFERROR(__xludf.DUMMYFUNCTION("""COMPUTED_VALUE"""),"GS Foundation Course")</f>
        <v>GS Foundation Course</v>
      </c>
      <c r="S257" s="124">
        <f>IFERROR(__xludf.DUMMYFUNCTION("""COMPUTED_VALUE"""),8.688883282E9)</f>
        <v>8688883282</v>
      </c>
      <c r="T257" s="124" t="str">
        <f>IFERROR(__xludf.DUMMYFUNCTION("""COMPUTED_VALUE"""),"Not Available")</f>
        <v>Not Available</v>
      </c>
      <c r="U257" s="124" t="str">
        <f>IFERROR(__xludf.DUMMYFUNCTION("""COMPUTED_VALUE"""),"Not Available")</f>
        <v>Not Available</v>
      </c>
      <c r="V257" s="124" t="str">
        <f>IFERROR(__xludf.DUMMYFUNCTION("""COMPUTED_VALUE"""),"Not Available")</f>
        <v>Not Available</v>
      </c>
      <c r="W257" s="124" t="str">
        <f>IFERROR(__xludf.DUMMYFUNCTION("""COMPUTED_VALUE"""),"Not Available")</f>
        <v>Not Available</v>
      </c>
    </row>
    <row r="258">
      <c r="A258" s="124" t="str">
        <f t="shared" si="1"/>
        <v>bhartiprajapati4691@gmail.com</v>
      </c>
      <c r="B258" s="131">
        <f>IFERROR(__xludf.DUMMYFUNCTION("""COMPUTED_VALUE"""),46102.0)</f>
        <v>46102</v>
      </c>
      <c r="C258" s="124" t="str">
        <f>IFERROR(__xludf.DUMMYFUNCTION("""COMPUTED_VALUE"""),"Payment data from Collexo")</f>
        <v>Payment data from Collexo</v>
      </c>
      <c r="D258" s="124" t="str">
        <f>IFERROR(__xludf.DUMMYFUNCTION("""COMPUTED_VALUE"""),"Not Available")</f>
        <v>Not Available</v>
      </c>
      <c r="E258" s="124">
        <f>IFERROR(__xludf.DUMMYFUNCTION("""COMPUTED_VALUE"""),1500612.0)</f>
        <v>1500612</v>
      </c>
      <c r="F258" s="124">
        <f>IFERROR(__xludf.DUMMYFUNCTION("""COMPUTED_VALUE"""),129987.0)</f>
        <v>129987</v>
      </c>
      <c r="G258" s="124">
        <f>IFERROR(__xludf.DUMMYFUNCTION("""COMPUTED_VALUE"""),5000.0)</f>
        <v>5000</v>
      </c>
      <c r="H258" s="131">
        <f>IFERROR(__xludf.DUMMYFUNCTION("""COMPUTED_VALUE"""),46112.0)</f>
        <v>46112</v>
      </c>
      <c r="I258" s="124">
        <f>IFERROR(__xludf.DUMMYFUNCTION("""COMPUTED_VALUE"""),20000.0)</f>
        <v>20000</v>
      </c>
      <c r="J258" s="124">
        <f>IFERROR(__xludf.DUMMYFUNCTION("""COMPUTED_VALUE"""),25000.0)</f>
        <v>25000</v>
      </c>
      <c r="K258" s="124">
        <f>IFERROR(__xludf.DUMMYFUNCTION("""COMPUTED_VALUE"""),2.0)</f>
        <v>2</v>
      </c>
      <c r="L258" s="124">
        <f>IFERROR(__xludf.DUMMYFUNCTION("""COMPUTED_VALUE"""),669.0)</f>
        <v>669</v>
      </c>
      <c r="M258" s="124" t="str">
        <f>IFERROR(__xludf.DUMMYFUNCTION("""COMPUTED_VALUE"""),"Indore")</f>
        <v>Indore</v>
      </c>
      <c r="N258" s="124" t="str">
        <f>IFERROR(__xludf.DUMMYFUNCTION("""COMPUTED_VALUE"""),"bhartiprajapati4691@gmail.com")</f>
        <v>bhartiprajapati4691@gmail.com</v>
      </c>
      <c r="O258" s="124" t="str">
        <f>IFERROR(__xludf.DUMMYFUNCTION("""COMPUTED_VALUE"""),"Bharti Prajapati")</f>
        <v>Bharti Prajapati</v>
      </c>
      <c r="P258" s="124">
        <f>IFERROR(__xludf.DUMMYFUNCTION("""COMPUTED_VALUE"""),129987.0)</f>
        <v>129987</v>
      </c>
      <c r="Q258" s="124" t="str">
        <f>IFERROR(__xludf.DUMMYFUNCTION("""COMPUTED_VALUE"""),"madhya-pradesh-psc-gs-foundation-2027-p2i-offline-hindi-batch-e-ind")</f>
        <v>madhya-pradesh-psc-gs-foundation-2027-p2i-offline-hindi-batch-e-ind</v>
      </c>
      <c r="R258" s="124" t="str">
        <f>IFERROR(__xludf.DUMMYFUNCTION("""COMPUTED_VALUE"""),"State PCS")</f>
        <v>State PCS</v>
      </c>
      <c r="S258" s="124">
        <f>IFERROR(__xludf.DUMMYFUNCTION("""COMPUTED_VALUE"""),8.349217934E9)</f>
        <v>8349217934</v>
      </c>
      <c r="T258" s="124" t="str">
        <f>IFERROR(__xludf.DUMMYFUNCTION("""COMPUTED_VALUE"""),"Not Available")</f>
        <v>Not Available</v>
      </c>
      <c r="U258" s="124" t="str">
        <f>IFERROR(__xludf.DUMMYFUNCTION("""COMPUTED_VALUE"""),"Not Available")</f>
        <v>Not Available</v>
      </c>
      <c r="V258" s="124" t="str">
        <f>IFERROR(__xludf.DUMMYFUNCTION("""COMPUTED_VALUE"""),"Not Available")</f>
        <v>Not Available</v>
      </c>
      <c r="W258" s="124" t="str">
        <f>IFERROR(__xludf.DUMMYFUNCTION("""COMPUTED_VALUE"""),"Not Available")</f>
        <v>Not Available</v>
      </c>
    </row>
    <row r="259">
      <c r="A259" s="124" t="str">
        <f t="shared" si="1"/>
        <v>lakshmikumari98168@gmail.com</v>
      </c>
      <c r="B259" s="131">
        <f>IFERROR(__xludf.DUMMYFUNCTION("""COMPUTED_VALUE"""),46046.0)</f>
        <v>46046</v>
      </c>
      <c r="C259" s="124" t="str">
        <f>IFERROR(__xludf.DUMMYFUNCTION("""COMPUTED_VALUE"""),"Payment data from Collexo")</f>
        <v>Payment data from Collexo</v>
      </c>
      <c r="D259" s="124" t="str">
        <f>IFERROR(__xludf.DUMMYFUNCTION("""COMPUTED_VALUE"""),"Not Available")</f>
        <v>Not Available</v>
      </c>
      <c r="E259" s="124">
        <f>IFERROR(__xludf.DUMMYFUNCTION("""COMPUTED_VALUE"""),1500609.0)</f>
        <v>1500609</v>
      </c>
      <c r="F259" s="124" t="str">
        <f>IFERROR(__xludf.DUMMYFUNCTION("""COMPUTED_VALUE"""),"2079_988_7")</f>
        <v>2079_988_7</v>
      </c>
      <c r="G259" s="124">
        <f>IFERROR(__xludf.DUMMYFUNCTION("""COMPUTED_VALUE"""),1000.0)</f>
        <v>1000</v>
      </c>
      <c r="H259" s="131">
        <f>IFERROR(__xludf.DUMMYFUNCTION("""COMPUTED_VALUE"""),46053.0)</f>
        <v>46053</v>
      </c>
      <c r="I259" s="124">
        <f>IFERROR(__xludf.DUMMYFUNCTION("""COMPUTED_VALUE"""),4000.0)</f>
        <v>4000</v>
      </c>
      <c r="J259" s="124">
        <f>IFERROR(__xludf.DUMMYFUNCTION("""COMPUTED_VALUE"""),130000.0)</f>
        <v>130000</v>
      </c>
      <c r="K259" s="124">
        <f>IFERROR(__xludf.DUMMYFUNCTION("""COMPUTED_VALUE"""),3.0)</f>
        <v>3</v>
      </c>
      <c r="L259" s="124">
        <f>IFERROR(__xludf.DUMMYFUNCTION("""COMPUTED_VALUE"""),107.0)</f>
        <v>107</v>
      </c>
      <c r="M259" s="124" t="str">
        <f>IFERROR(__xludf.DUMMYFUNCTION("""COMPUTED_VALUE"""),"New Delhi")</f>
        <v>New Delhi</v>
      </c>
      <c r="N259" s="124" t="str">
        <f>IFERROR(__xludf.DUMMYFUNCTION("""COMPUTED_VALUE"""),"lakshmikumari98168@gmail.com")</f>
        <v>lakshmikumari98168@gmail.com</v>
      </c>
      <c r="O259" s="124" t="str">
        <f>IFERROR(__xludf.DUMMYFUNCTION("""COMPUTED_VALUE"""),"lakshmi")</f>
        <v>lakshmi</v>
      </c>
      <c r="P259" s="124">
        <f>IFERROR(__xludf.DUMMYFUNCTION("""COMPUTED_VALUE"""),89028.0)</f>
        <v>89028</v>
      </c>
      <c r="Q259" s="124" t="str">
        <f>IFERROR(__xludf.DUMMYFUNCTION("""COMPUTED_VALUE"""),"ncert-foundation-hinglish-target-2026-nce-upsc-e02-orn")</f>
        <v>ncert-foundation-hinglish-target-2026-nce-upsc-e02-orn</v>
      </c>
      <c r="R259" s="124" t="str">
        <f>IFERROR(__xludf.DUMMYFUNCTION("""COMPUTED_VALUE"""),"GS Foundation Course")</f>
        <v>GS Foundation Course</v>
      </c>
      <c r="S259" s="124">
        <f>IFERROR(__xludf.DUMMYFUNCTION("""COMPUTED_VALUE"""),7.050309334E9)</f>
        <v>7050309334</v>
      </c>
      <c r="T259" s="124" t="str">
        <f>IFERROR(__xludf.DUMMYFUNCTION("""COMPUTED_VALUE"""),"Collexo")</f>
        <v>Collexo</v>
      </c>
      <c r="U259" s="124" t="str">
        <f>IFERROR(__xludf.DUMMYFUNCTION("""COMPUTED_VALUE"""),"Success")</f>
        <v>Success</v>
      </c>
      <c r="V259" s="131">
        <f>IFERROR(__xludf.DUMMYFUNCTION("""COMPUTED_VALUE"""),46046.0)</f>
        <v>46046</v>
      </c>
      <c r="W259" s="124">
        <f>IFERROR(__xludf.DUMMYFUNCTION("""COMPUTED_VALUE"""),0.0)</f>
        <v>0</v>
      </c>
    </row>
    <row r="260">
      <c r="A260" s="124" t="str">
        <f t="shared" si="1"/>
        <v>aditigulia9@gmail.com</v>
      </c>
      <c r="B260" s="131">
        <f>IFERROR(__xludf.DUMMYFUNCTION("""COMPUTED_VALUE"""),46096.0)</f>
        <v>46096</v>
      </c>
      <c r="C260" s="124" t="str">
        <f>IFERROR(__xludf.DUMMYFUNCTION("""COMPUTED_VALUE"""),"Payment data from Collexo")</f>
        <v>Payment data from Collexo</v>
      </c>
      <c r="D260" s="124" t="str">
        <f>IFERROR(__xludf.DUMMYFUNCTION("""COMPUTED_VALUE"""),"Not Available")</f>
        <v>Not Available</v>
      </c>
      <c r="E260" s="124">
        <f>IFERROR(__xludf.DUMMYFUNCTION("""COMPUTED_VALUE"""),1500609.0)</f>
        <v>1500609</v>
      </c>
      <c r="F260" s="124" t="str">
        <f>IFERROR(__xludf.DUMMYFUNCTION("""COMPUTED_VALUE"""),"14448_988_7")</f>
        <v>14448_988_7</v>
      </c>
      <c r="G260" s="124">
        <f>IFERROR(__xludf.DUMMYFUNCTION("""COMPUTED_VALUE"""),94286.0)</f>
        <v>94286</v>
      </c>
      <c r="H260" s="124" t="str">
        <f>IFERROR(__xludf.DUMMYFUNCTION("""COMPUTED_VALUE"""),"Not Available")</f>
        <v>Not Available</v>
      </c>
      <c r="I260" s="124">
        <f>IFERROR(__xludf.DUMMYFUNCTION("""COMPUTED_VALUE"""),0.0)</f>
        <v>0</v>
      </c>
      <c r="J260" s="124">
        <f>IFERROR(__xludf.DUMMYFUNCTION("""COMPUTED_VALUE"""),110000.0)</f>
        <v>110000</v>
      </c>
      <c r="K260" s="124">
        <f>IFERROR(__xludf.DUMMYFUNCTION("""COMPUTED_VALUE"""),3.0)</f>
        <v>3</v>
      </c>
      <c r="L260" s="124">
        <f>IFERROR(__xludf.DUMMYFUNCTION("""COMPUTED_VALUE"""),556.0)</f>
        <v>556</v>
      </c>
      <c r="M260" s="124" t="str">
        <f>IFERROR(__xludf.DUMMYFUNCTION("""COMPUTED_VALUE"""),"New Delhi")</f>
        <v>New Delhi</v>
      </c>
      <c r="N260" s="124" t="str">
        <f>IFERROR(__xludf.DUMMYFUNCTION("""COMPUTED_VALUE"""),"aditigulia9@gmail.com")</f>
        <v>aditigulia9@gmail.com</v>
      </c>
      <c r="O260" s="124" t="str">
        <f>IFERROR(__xludf.DUMMYFUNCTION("""COMPUTED_VALUE"""),"aditi gulia")</f>
        <v>aditi gulia</v>
      </c>
      <c r="P260" s="124">
        <f>IFERROR(__xludf.DUMMYFUNCTION("""COMPUTED_VALUE"""),127123.0)</f>
        <v>127123</v>
      </c>
      <c r="Q260" s="124" t="str">
        <f>IFERROR(__xludf.DUMMYFUNCTION("""COMPUTED_VALUE"""),"upsc-gs-foundation-hinglish-target-2027-gsf-upsc-e05-orn")</f>
        <v>upsc-gs-foundation-hinglish-target-2027-gsf-upsc-e05-orn</v>
      </c>
      <c r="R260" s="124" t="str">
        <f>IFERROR(__xludf.DUMMYFUNCTION("""COMPUTED_VALUE"""),"GS Foundation Course")</f>
        <v>GS Foundation Course</v>
      </c>
      <c r="S260" s="124">
        <f>IFERROR(__xludf.DUMMYFUNCTION("""COMPUTED_VALUE"""),7.827664144E9)</f>
        <v>7827664144</v>
      </c>
      <c r="T260" s="124" t="str">
        <f>IFERROR(__xludf.DUMMYFUNCTION("""COMPUTED_VALUE"""),"Collexo")</f>
        <v>Collexo</v>
      </c>
      <c r="U260" s="124" t="str">
        <f>IFERROR(__xludf.DUMMYFUNCTION("""COMPUTED_VALUE"""),"Success")</f>
        <v>Success</v>
      </c>
      <c r="V260" s="131">
        <f>IFERROR(__xludf.DUMMYFUNCTION("""COMPUTED_VALUE"""),46096.0)</f>
        <v>46096</v>
      </c>
      <c r="W260" s="124">
        <f>IFERROR(__xludf.DUMMYFUNCTION("""COMPUTED_VALUE"""),0.0)</f>
        <v>0</v>
      </c>
    </row>
    <row r="261">
      <c r="A261" s="124" t="str">
        <f t="shared" si="1"/>
        <v>vijayprakash4549@gmail.com</v>
      </c>
      <c r="B261" s="131">
        <f>IFERROR(__xludf.DUMMYFUNCTION("""COMPUTED_VALUE"""),46102.0)</f>
        <v>46102</v>
      </c>
      <c r="C261" s="124" t="str">
        <f>IFERROR(__xludf.DUMMYFUNCTION("""COMPUTED_VALUE"""),"Payment data from Collexo")</f>
        <v>Payment data from Collexo</v>
      </c>
      <c r="D261" s="124" t="str">
        <f>IFERROR(__xludf.DUMMYFUNCTION("""COMPUTED_VALUE"""),"Not Available")</f>
        <v>Not Available</v>
      </c>
      <c r="E261" s="124">
        <f>IFERROR(__xludf.DUMMYFUNCTION("""COMPUTED_VALUE"""),1500609.0)</f>
        <v>1500609</v>
      </c>
      <c r="F261" s="124" t="str">
        <f>IFERROR(__xludf.DUMMYFUNCTION("""COMPUTED_VALUE"""),"15739_988_7")</f>
        <v>15739_988_7</v>
      </c>
      <c r="G261" s="124">
        <f>IFERROR(__xludf.DUMMYFUNCTION("""COMPUTED_VALUE"""),1.0)</f>
        <v>1</v>
      </c>
      <c r="H261" s="124" t="str">
        <f>IFERROR(__xludf.DUMMYFUNCTION("""COMPUTED_VALUE"""),"Not Available")</f>
        <v>Not Available</v>
      </c>
      <c r="I261" s="124">
        <f>IFERROR(__xludf.DUMMYFUNCTION("""COMPUTED_VALUE"""),0.0)</f>
        <v>0</v>
      </c>
      <c r="J261" s="124">
        <f>IFERROR(__xludf.DUMMYFUNCTION("""COMPUTED_VALUE"""),1.0)</f>
        <v>1</v>
      </c>
      <c r="K261" s="124">
        <f>IFERROR(__xludf.DUMMYFUNCTION("""COMPUTED_VALUE"""),1.0)</f>
        <v>1</v>
      </c>
      <c r="L261" s="124">
        <f>IFERROR(__xludf.DUMMYFUNCTION("""COMPUTED_VALUE"""),663.0)</f>
        <v>663</v>
      </c>
      <c r="M261" s="124" t="str">
        <f>IFERROR(__xludf.DUMMYFUNCTION("""COMPUTED_VALUE"""),"New Delhi")</f>
        <v>New Delhi</v>
      </c>
      <c r="N261" s="124" t="str">
        <f>IFERROR(__xludf.DUMMYFUNCTION("""COMPUTED_VALUE"""),"vijayprakash4549@gmail.com")</f>
        <v>vijayprakash4549@gmail.com</v>
      </c>
      <c r="O261" s="124" t="str">
        <f>IFERROR(__xludf.DUMMYFUNCTION("""COMPUTED_VALUE"""),"Vijay")</f>
        <v>Vijay</v>
      </c>
      <c r="P261" s="124">
        <f>IFERROR(__xludf.DUMMYFUNCTION("""COMPUTED_VALUE"""),90540.0)</f>
        <v>90540</v>
      </c>
      <c r="Q261" s="124" t="str">
        <f>IFERROR(__xludf.DUMMYFUNCTION("""COMPUTED_VALUE"""),"upsc-gs-foundation-hinglish-target-2028-gsf-upsc-m05-orn")</f>
        <v>upsc-gs-foundation-hinglish-target-2028-gsf-upsc-m05-orn</v>
      </c>
      <c r="R261" s="124" t="str">
        <f>IFERROR(__xludf.DUMMYFUNCTION("""COMPUTED_VALUE"""),"GS Foundation Course")</f>
        <v>GS Foundation Course</v>
      </c>
      <c r="S261" s="124">
        <f>IFERROR(__xludf.DUMMYFUNCTION("""COMPUTED_VALUE"""),9.341693412E9)</f>
        <v>9341693412</v>
      </c>
      <c r="T261" s="124" t="str">
        <f>IFERROR(__xludf.DUMMYFUNCTION("""COMPUTED_VALUE"""),"Collexo")</f>
        <v>Collexo</v>
      </c>
      <c r="U261" s="124" t="str">
        <f>IFERROR(__xludf.DUMMYFUNCTION("""COMPUTED_VALUE"""),"Success")</f>
        <v>Success</v>
      </c>
      <c r="V261" s="131">
        <f>IFERROR(__xludf.DUMMYFUNCTION("""COMPUTED_VALUE"""),46102.0)</f>
        <v>46102</v>
      </c>
      <c r="W261" s="124">
        <f>IFERROR(__xludf.DUMMYFUNCTION("""COMPUTED_VALUE"""),0.0)</f>
        <v>0</v>
      </c>
    </row>
    <row r="262">
      <c r="A262" s="124" t="str">
        <f t="shared" si="1"/>
        <v>tiger009vip@gmail.com</v>
      </c>
      <c r="B262" s="131">
        <f>IFERROR(__xludf.DUMMYFUNCTION("""COMPUTED_VALUE"""),46091.0)</f>
        <v>46091</v>
      </c>
      <c r="C262" s="124" t="str">
        <f>IFERROR(__xludf.DUMMYFUNCTION("""COMPUTED_VALUE"""),"Payment data from Collexo")</f>
        <v>Payment data from Collexo</v>
      </c>
      <c r="D262" s="124" t="str">
        <f>IFERROR(__xludf.DUMMYFUNCTION("""COMPUTED_VALUE"""),"Not Available")</f>
        <v>Not Available</v>
      </c>
      <c r="E262" s="124">
        <f>IFERROR(__xludf.DUMMYFUNCTION("""COMPUTED_VALUE"""),1500609.0)</f>
        <v>1500609</v>
      </c>
      <c r="F262" s="124" t="str">
        <f>IFERROR(__xludf.DUMMYFUNCTION("""COMPUTED_VALUE"""),"13446_988_7")</f>
        <v>13446_988_7</v>
      </c>
      <c r="G262" s="124">
        <f>IFERROR(__xludf.DUMMYFUNCTION("""COMPUTED_VALUE"""),1.0)</f>
        <v>1</v>
      </c>
      <c r="H262" s="124" t="str">
        <f>IFERROR(__xludf.DUMMYFUNCTION("""COMPUTED_VALUE"""),"Not Available")</f>
        <v>Not Available</v>
      </c>
      <c r="I262" s="124">
        <f>IFERROR(__xludf.DUMMYFUNCTION("""COMPUTED_VALUE"""),0.0)</f>
        <v>0</v>
      </c>
      <c r="J262" s="124">
        <f>IFERROR(__xludf.DUMMYFUNCTION("""COMPUTED_VALUE"""),1.0)</f>
        <v>1</v>
      </c>
      <c r="K262" s="124">
        <f>IFERROR(__xludf.DUMMYFUNCTION("""COMPUTED_VALUE"""),1.0)</f>
        <v>1</v>
      </c>
      <c r="L262" s="124">
        <f>IFERROR(__xludf.DUMMYFUNCTION("""COMPUTED_VALUE"""),472.0)</f>
        <v>472</v>
      </c>
      <c r="M262" s="124" t="str">
        <f>IFERROR(__xludf.DUMMYFUNCTION("""COMPUTED_VALUE"""),"New Delhi")</f>
        <v>New Delhi</v>
      </c>
      <c r="N262" s="124" t="str">
        <f>IFERROR(__xludf.DUMMYFUNCTION("""COMPUTED_VALUE"""),"tiger009vip@gmail.com")</f>
        <v>tiger009vip@gmail.com</v>
      </c>
      <c r="O262" s="124" t="str">
        <f>IFERROR(__xludf.DUMMYFUNCTION("""COMPUTED_VALUE"""),"Shivam")</f>
        <v>Shivam</v>
      </c>
      <c r="P262" s="124">
        <f>IFERROR(__xludf.DUMMYFUNCTION("""COMPUTED_VALUE"""),47683.0)</f>
        <v>47683</v>
      </c>
      <c r="Q262" s="124" t="str">
        <f>IFERROR(__xludf.DUMMYFUNCTION("""COMPUTED_VALUE"""),"upsc-gs-foundation-hinglish-target-2027-gsf-upsc-e04-orn")</f>
        <v>upsc-gs-foundation-hinglish-target-2027-gsf-upsc-e04-orn</v>
      </c>
      <c r="R262" s="124" t="str">
        <f>IFERROR(__xludf.DUMMYFUNCTION("""COMPUTED_VALUE"""),"GS Foundation Course")</f>
        <v>GS Foundation Course</v>
      </c>
      <c r="S262" s="124">
        <f>IFERROR(__xludf.DUMMYFUNCTION("""COMPUTED_VALUE"""),9.9588563E9)</f>
        <v>9958856300</v>
      </c>
      <c r="T262" s="124" t="str">
        <f>IFERROR(__xludf.DUMMYFUNCTION("""COMPUTED_VALUE"""),"Collexo")</f>
        <v>Collexo</v>
      </c>
      <c r="U262" s="124" t="str">
        <f>IFERROR(__xludf.DUMMYFUNCTION("""COMPUTED_VALUE"""),"Success")</f>
        <v>Success</v>
      </c>
      <c r="V262" s="131">
        <f>IFERROR(__xludf.DUMMYFUNCTION("""COMPUTED_VALUE"""),46091.0)</f>
        <v>46091</v>
      </c>
      <c r="W262" s="124">
        <f>IFERROR(__xludf.DUMMYFUNCTION("""COMPUTED_VALUE"""),0.0)</f>
        <v>0</v>
      </c>
    </row>
    <row r="263">
      <c r="A263" s="124" t="str">
        <f t="shared" si="1"/>
        <v>aditigulia9@gmail.com</v>
      </c>
      <c r="B263" s="131">
        <f>IFERROR(__xludf.DUMMYFUNCTION("""COMPUTED_VALUE"""),46091.0)</f>
        <v>46091</v>
      </c>
      <c r="C263" s="124" t="str">
        <f>IFERROR(__xludf.DUMMYFUNCTION("""COMPUTED_VALUE"""),"Payment data from Collexo")</f>
        <v>Payment data from Collexo</v>
      </c>
      <c r="D263" s="124" t="str">
        <f>IFERROR(__xludf.DUMMYFUNCTION("""COMPUTED_VALUE"""),"Not Available")</f>
        <v>Not Available</v>
      </c>
      <c r="E263" s="124">
        <f>IFERROR(__xludf.DUMMYFUNCTION("""COMPUTED_VALUE"""),1500609.0)</f>
        <v>1500609</v>
      </c>
      <c r="F263" s="124" t="str">
        <f>IFERROR(__xludf.DUMMYFUNCTION("""COMPUTED_VALUE"""),"13434_988_7")</f>
        <v>13434_988_7</v>
      </c>
      <c r="G263" s="124">
        <f>IFERROR(__xludf.DUMMYFUNCTION("""COMPUTED_VALUE"""),1.0)</f>
        <v>1</v>
      </c>
      <c r="H263" s="124" t="str">
        <f>IFERROR(__xludf.DUMMYFUNCTION("""COMPUTED_VALUE"""),"Not Available")</f>
        <v>Not Available</v>
      </c>
      <c r="I263" s="124">
        <f>IFERROR(__xludf.DUMMYFUNCTION("""COMPUTED_VALUE"""),0.0)</f>
        <v>0</v>
      </c>
      <c r="J263" s="124">
        <f>IFERROR(__xludf.DUMMYFUNCTION("""COMPUTED_VALUE"""),1.0)</f>
        <v>1</v>
      </c>
      <c r="K263" s="124">
        <f>IFERROR(__xludf.DUMMYFUNCTION("""COMPUTED_VALUE"""),1.0)</f>
        <v>1</v>
      </c>
      <c r="L263" s="124">
        <f>IFERROR(__xludf.DUMMYFUNCTION("""COMPUTED_VALUE"""),465.0)</f>
        <v>465</v>
      </c>
      <c r="M263" s="124" t="str">
        <f>IFERROR(__xludf.DUMMYFUNCTION("""COMPUTED_VALUE"""),"New Delhi")</f>
        <v>New Delhi</v>
      </c>
      <c r="N263" s="124" t="str">
        <f>IFERROR(__xludf.DUMMYFUNCTION("""COMPUTED_VALUE"""),"aditigulia9@gmail.com")</f>
        <v>aditigulia9@gmail.com</v>
      </c>
      <c r="O263" s="124" t="str">
        <f>IFERROR(__xludf.DUMMYFUNCTION("""COMPUTED_VALUE"""),"aditi gulia")</f>
        <v>aditi gulia</v>
      </c>
      <c r="P263" s="124">
        <f>IFERROR(__xludf.DUMMYFUNCTION("""COMPUTED_VALUE"""),127123.0)</f>
        <v>127123</v>
      </c>
      <c r="Q263" s="124" t="str">
        <f>IFERROR(__xludf.DUMMYFUNCTION("""COMPUTED_VALUE"""),"upsc-gs-foundation-hinglish-target-2027-gsf-upsc-e05-orn")</f>
        <v>upsc-gs-foundation-hinglish-target-2027-gsf-upsc-e05-orn</v>
      </c>
      <c r="R263" s="124" t="str">
        <f>IFERROR(__xludf.DUMMYFUNCTION("""COMPUTED_VALUE"""),"GS Foundation Course")</f>
        <v>GS Foundation Course</v>
      </c>
      <c r="S263" s="124">
        <f>IFERROR(__xludf.DUMMYFUNCTION("""COMPUTED_VALUE"""),7.827664144E9)</f>
        <v>7827664144</v>
      </c>
      <c r="T263" s="124" t="str">
        <f>IFERROR(__xludf.DUMMYFUNCTION("""COMPUTED_VALUE"""),"Collexo")</f>
        <v>Collexo</v>
      </c>
      <c r="U263" s="124" t="str">
        <f>IFERROR(__xludf.DUMMYFUNCTION("""COMPUTED_VALUE"""),"Success")</f>
        <v>Success</v>
      </c>
      <c r="V263" s="131">
        <f>IFERROR(__xludf.DUMMYFUNCTION("""COMPUTED_VALUE"""),46091.0)</f>
        <v>46091</v>
      </c>
      <c r="W263" s="124">
        <f>IFERROR(__xludf.DUMMYFUNCTION("""COMPUTED_VALUE"""),0.0)</f>
        <v>0</v>
      </c>
    </row>
    <row r="264">
      <c r="A264" s="124" t="str">
        <f t="shared" si="1"/>
        <v>vibhutibharti5555@gmail.com</v>
      </c>
      <c r="B264" s="131">
        <f>IFERROR(__xludf.DUMMYFUNCTION("""COMPUTED_VALUE"""),46093.0)</f>
        <v>46093</v>
      </c>
      <c r="C264" s="124" t="str">
        <f>IFERROR(__xludf.DUMMYFUNCTION("""COMPUTED_VALUE"""),"Payment data from Collexo")</f>
        <v>Payment data from Collexo</v>
      </c>
      <c r="D264" s="124" t="str">
        <f>IFERROR(__xludf.DUMMYFUNCTION("""COMPUTED_VALUE"""),"Not Available")</f>
        <v>Not Available</v>
      </c>
      <c r="E264" s="124">
        <f>IFERROR(__xludf.DUMMYFUNCTION("""COMPUTED_VALUE"""),1500609.0)</f>
        <v>1500609</v>
      </c>
      <c r="F264" s="124" t="str">
        <f>IFERROR(__xludf.DUMMYFUNCTION("""COMPUTED_VALUE"""),"13849_988_7")</f>
        <v>13849_988_7</v>
      </c>
      <c r="G264" s="124">
        <f>IFERROR(__xludf.DUMMYFUNCTION("""COMPUTED_VALUE"""),120000.0)</f>
        <v>120000</v>
      </c>
      <c r="H264" s="124" t="str">
        <f>IFERROR(__xludf.DUMMYFUNCTION("""COMPUTED_VALUE"""),"Not Available")</f>
        <v>Not Available</v>
      </c>
      <c r="I264" s="124">
        <f>IFERROR(__xludf.DUMMYFUNCTION("""COMPUTED_VALUE"""),0.0)</f>
        <v>0</v>
      </c>
      <c r="J264" s="124">
        <f>IFERROR(__xludf.DUMMYFUNCTION("""COMPUTED_VALUE"""),125000.0)</f>
        <v>125000</v>
      </c>
      <c r="K264" s="124">
        <f>IFERROR(__xludf.DUMMYFUNCTION("""COMPUTED_VALUE"""),2.0)</f>
        <v>2</v>
      </c>
      <c r="L264" s="124">
        <f>IFERROR(__xludf.DUMMYFUNCTION("""COMPUTED_VALUE"""),512.0)</f>
        <v>512</v>
      </c>
      <c r="M264" s="124" t="str">
        <f>IFERROR(__xludf.DUMMYFUNCTION("""COMPUTED_VALUE"""),"New Delhi")</f>
        <v>New Delhi</v>
      </c>
      <c r="N264" s="124" t="str">
        <f>IFERROR(__xludf.DUMMYFUNCTION("""COMPUTED_VALUE"""),"vibhutibharti5555@gmail.com")</f>
        <v>vibhutibharti5555@gmail.com</v>
      </c>
      <c r="O264" s="124" t="str">
        <f>IFERROR(__xludf.DUMMYFUNCTION("""COMPUTED_VALUE"""),"vibhuti bharti")</f>
        <v>vibhuti bharti</v>
      </c>
      <c r="P264" s="124">
        <f>IFERROR(__xludf.DUMMYFUNCTION("""COMPUTED_VALUE"""),124546.0)</f>
        <v>124546</v>
      </c>
      <c r="Q264" s="124" t="str">
        <f>IFERROR(__xludf.DUMMYFUNCTION("""COMPUTED_VALUE"""),"upsc-gs-foundation-hinglish-target-2028-gsf-upsc-m05-orn")</f>
        <v>upsc-gs-foundation-hinglish-target-2028-gsf-upsc-m05-orn</v>
      </c>
      <c r="R264" s="124" t="str">
        <f>IFERROR(__xludf.DUMMYFUNCTION("""COMPUTED_VALUE"""),"GS Foundation Course")</f>
        <v>GS Foundation Course</v>
      </c>
      <c r="S264" s="124">
        <f>IFERROR(__xludf.DUMMYFUNCTION("""COMPUTED_VALUE"""),7.870378856E9)</f>
        <v>7870378856</v>
      </c>
      <c r="T264" s="124" t="str">
        <f>IFERROR(__xludf.DUMMYFUNCTION("""COMPUTED_VALUE"""),"Collexo")</f>
        <v>Collexo</v>
      </c>
      <c r="U264" s="124" t="str">
        <f>IFERROR(__xludf.DUMMYFUNCTION("""COMPUTED_VALUE"""),"Success")</f>
        <v>Success</v>
      </c>
      <c r="V264" s="131">
        <f>IFERROR(__xludf.DUMMYFUNCTION("""COMPUTED_VALUE"""),46093.0)</f>
        <v>46093</v>
      </c>
      <c r="W264" s="124">
        <f>IFERROR(__xludf.DUMMYFUNCTION("""COMPUTED_VALUE"""),0.0)</f>
        <v>0</v>
      </c>
    </row>
    <row r="265">
      <c r="A265" s="124" t="str">
        <f t="shared" si="1"/>
        <v>raghvendraraj8080@gmail.com</v>
      </c>
      <c r="B265" s="131">
        <f>IFERROR(__xludf.DUMMYFUNCTION("""COMPUTED_VALUE"""),46099.0)</f>
        <v>46099</v>
      </c>
      <c r="C265" s="124" t="str">
        <f>IFERROR(__xludf.DUMMYFUNCTION("""COMPUTED_VALUE"""),"Payment data from Collexo")</f>
        <v>Payment data from Collexo</v>
      </c>
      <c r="D265" s="124" t="str">
        <f>IFERROR(__xludf.DUMMYFUNCTION("""COMPUTED_VALUE"""),"Not Available")</f>
        <v>Not Available</v>
      </c>
      <c r="E265" s="124">
        <f>IFERROR(__xludf.DUMMYFUNCTION("""COMPUTED_VALUE"""),1500613.0)</f>
        <v>1500613</v>
      </c>
      <c r="F265" s="124">
        <f>IFERROR(__xludf.DUMMYFUNCTION("""COMPUTED_VALUE"""),127396.0)</f>
        <v>127396</v>
      </c>
      <c r="G265" s="124">
        <f>IFERROR(__xludf.DUMMYFUNCTION("""COMPUTED_VALUE"""),1000.0)</f>
        <v>1000</v>
      </c>
      <c r="H265" s="131">
        <f>IFERROR(__xludf.DUMMYFUNCTION("""COMPUTED_VALUE"""),46105.0)</f>
        <v>46105</v>
      </c>
      <c r="I265" s="124">
        <f>IFERROR(__xludf.DUMMYFUNCTION("""COMPUTED_VALUE"""),34000.0)</f>
        <v>34000</v>
      </c>
      <c r="J265" s="124">
        <f>IFERROR(__xludf.DUMMYFUNCTION("""COMPUTED_VALUE"""),35000.0)</f>
        <v>35000</v>
      </c>
      <c r="K265" s="124">
        <f>IFERROR(__xludf.DUMMYFUNCTION("""COMPUTED_VALUE"""),2.0)</f>
        <v>2</v>
      </c>
      <c r="L265" s="124">
        <f>IFERROR(__xludf.DUMMYFUNCTION("""COMPUTED_VALUE"""),590.0)</f>
        <v>590</v>
      </c>
      <c r="M265" s="124" t="str">
        <f>IFERROR(__xludf.DUMMYFUNCTION("""COMPUTED_VALUE"""),"Prayagraj")</f>
        <v>Prayagraj</v>
      </c>
      <c r="N265" s="124" t="str">
        <f>IFERROR(__xludf.DUMMYFUNCTION("""COMPUTED_VALUE"""),"raghvendraraj8080@gmail.com")</f>
        <v>raghvendraraj8080@gmail.com</v>
      </c>
      <c r="O265" s="124" t="str">
        <f>IFERROR(__xludf.DUMMYFUNCTION("""COMPUTED_VALUE"""),"brijendra")</f>
        <v>brijendra</v>
      </c>
      <c r="P265" s="124">
        <f>IFERROR(__xludf.DUMMYFUNCTION("""COMPUTED_VALUE"""),127396.0)</f>
        <v>127396</v>
      </c>
      <c r="Q265" s="124" t="str">
        <f>IFERROR(__xludf.DUMMYFUNCTION("""COMPUTED_VALUE"""),"upsc-gs-foundation-hindi-target-2027-gsf-upsc-m02-pry")</f>
        <v>upsc-gs-foundation-hindi-target-2027-gsf-upsc-m02-pry</v>
      </c>
      <c r="R265" s="124" t="str">
        <f>IFERROR(__xludf.DUMMYFUNCTION("""COMPUTED_VALUE"""),"State PCS")</f>
        <v>State PCS</v>
      </c>
      <c r="S265" s="124">
        <f>IFERROR(__xludf.DUMMYFUNCTION("""COMPUTED_VALUE"""),7.991888982E9)</f>
        <v>7991888982</v>
      </c>
      <c r="T265" s="124" t="str">
        <f>IFERROR(__xludf.DUMMYFUNCTION("""COMPUTED_VALUE"""),"Not Available")</f>
        <v>Not Available</v>
      </c>
      <c r="U265" s="124" t="str">
        <f>IFERROR(__xludf.DUMMYFUNCTION("""COMPUTED_VALUE"""),"Not Available")</f>
        <v>Not Available</v>
      </c>
      <c r="V265" s="124" t="str">
        <f>IFERROR(__xludf.DUMMYFUNCTION("""COMPUTED_VALUE"""),"Not Available")</f>
        <v>Not Available</v>
      </c>
      <c r="W265" s="124" t="str">
        <f>IFERROR(__xludf.DUMMYFUNCTION("""COMPUTED_VALUE"""),"Not Available")</f>
        <v>Not Available</v>
      </c>
    </row>
    <row r="266">
      <c r="A266" s="124" t="str">
        <f t="shared" si="1"/>
        <v>nagsoham31@gmail.com</v>
      </c>
      <c r="B266" s="131">
        <f>IFERROR(__xludf.DUMMYFUNCTION("""COMPUTED_VALUE"""),46105.0)</f>
        <v>46105</v>
      </c>
      <c r="C266" s="124" t="str">
        <f>IFERROR(__xludf.DUMMYFUNCTION("""COMPUTED_VALUE"""),"Payment data from Collexo")</f>
        <v>Payment data from Collexo</v>
      </c>
      <c r="D266" s="124" t="str">
        <f>IFERROR(__xludf.DUMMYFUNCTION("""COMPUTED_VALUE"""),"Not Available")</f>
        <v>Not Available</v>
      </c>
      <c r="E266" s="124">
        <f>IFERROR(__xludf.DUMMYFUNCTION("""COMPUTED_VALUE"""),1500609.0)</f>
        <v>1500609</v>
      </c>
      <c r="F266" s="124" t="str">
        <f>IFERROR(__xludf.DUMMYFUNCTION("""COMPUTED_VALUE"""),"16349_988_7")</f>
        <v>16349_988_7</v>
      </c>
      <c r="G266" s="124">
        <f>IFERROR(__xludf.DUMMYFUNCTION("""COMPUTED_VALUE"""),1.0)</f>
        <v>1</v>
      </c>
      <c r="H266" s="124" t="str">
        <f>IFERROR(__xludf.DUMMYFUNCTION("""COMPUTED_VALUE"""),"Not Available")</f>
        <v>Not Available</v>
      </c>
      <c r="I266" s="124">
        <f>IFERROR(__xludf.DUMMYFUNCTION("""COMPUTED_VALUE"""),0.0)</f>
        <v>0</v>
      </c>
      <c r="J266" s="124">
        <f>IFERROR(__xludf.DUMMYFUNCTION("""COMPUTED_VALUE"""),1.0)</f>
        <v>1</v>
      </c>
      <c r="K266" s="124">
        <f>IFERROR(__xludf.DUMMYFUNCTION("""COMPUTED_VALUE"""),1.0)</f>
        <v>1</v>
      </c>
      <c r="L266" s="124">
        <f>IFERROR(__xludf.DUMMYFUNCTION("""COMPUTED_VALUE"""),710.0)</f>
        <v>710</v>
      </c>
      <c r="M266" s="124" t="str">
        <f>IFERROR(__xludf.DUMMYFUNCTION("""COMPUTED_VALUE"""),"New Delhi")</f>
        <v>New Delhi</v>
      </c>
      <c r="N266" s="124" t="str">
        <f>IFERROR(__xludf.DUMMYFUNCTION("""COMPUTED_VALUE"""),"nagsoham31@gmail.com")</f>
        <v>nagsoham31@gmail.com</v>
      </c>
      <c r="O266" s="124" t="str">
        <f>IFERROR(__xludf.DUMMYFUNCTION("""COMPUTED_VALUE"""),"Soham nag")</f>
        <v>Soham nag</v>
      </c>
      <c r="P266" s="124">
        <f>IFERROR(__xludf.DUMMYFUNCTION("""COMPUTED_VALUE"""),130022.0)</f>
        <v>130022</v>
      </c>
      <c r="Q266" s="124" t="str">
        <f>IFERROR(__xludf.DUMMYFUNCTION("""COMPUTED_VALUE"""),"upsc-gs-foundation-hinglish-target-2028-gsf-upsc-e05-orn")</f>
        <v>upsc-gs-foundation-hinglish-target-2028-gsf-upsc-e05-orn</v>
      </c>
      <c r="R266" s="124" t="str">
        <f>IFERROR(__xludf.DUMMYFUNCTION("""COMPUTED_VALUE"""),"GS Foundation Course")</f>
        <v>GS Foundation Course</v>
      </c>
      <c r="S266" s="124">
        <f>IFERROR(__xludf.DUMMYFUNCTION("""COMPUTED_VALUE"""),7.855045836E9)</f>
        <v>7855045836</v>
      </c>
      <c r="T266" s="124" t="str">
        <f>IFERROR(__xludf.DUMMYFUNCTION("""COMPUTED_VALUE"""),"Collexo")</f>
        <v>Collexo</v>
      </c>
      <c r="U266" s="124" t="str">
        <f>IFERROR(__xludf.DUMMYFUNCTION("""COMPUTED_VALUE"""),"Success")</f>
        <v>Success</v>
      </c>
      <c r="V266" s="131">
        <f>IFERROR(__xludf.DUMMYFUNCTION("""COMPUTED_VALUE"""),46105.0)</f>
        <v>46105</v>
      </c>
      <c r="W266" s="124">
        <f>IFERROR(__xludf.DUMMYFUNCTION("""COMPUTED_VALUE"""),0.0)</f>
        <v>0</v>
      </c>
    </row>
    <row r="267">
      <c r="A267" s="124" t="str">
        <f t="shared" si="1"/>
        <v>Gyan94422@gmail.com</v>
      </c>
      <c r="B267" s="131">
        <f>IFERROR(__xludf.DUMMYFUNCTION("""COMPUTED_VALUE"""),46076.0)</f>
        <v>46076</v>
      </c>
      <c r="C267" s="124" t="str">
        <f>IFERROR(__xludf.DUMMYFUNCTION("""COMPUTED_VALUE"""),"Payment data from Collexo")</f>
        <v>Payment data from Collexo</v>
      </c>
      <c r="D267" s="124" t="str">
        <f>IFERROR(__xludf.DUMMYFUNCTION("""COMPUTED_VALUE"""),"Not Available")</f>
        <v>Not Available</v>
      </c>
      <c r="E267" s="124">
        <f>IFERROR(__xludf.DUMMYFUNCTION("""COMPUTED_VALUE"""),1500610.0)</f>
        <v>1500610</v>
      </c>
      <c r="F267" s="124">
        <f>IFERROR(__xludf.DUMMYFUNCTION("""COMPUTED_VALUE"""),124551.0)</f>
        <v>124551</v>
      </c>
      <c r="G267" s="124">
        <f>IFERROR(__xludf.DUMMYFUNCTION("""COMPUTED_VALUE"""),4516.0)</f>
        <v>4516</v>
      </c>
      <c r="H267" s="131">
        <f>IFERROR(__xludf.DUMMYFUNCTION("""COMPUTED_VALUE"""),46081.0)</f>
        <v>46081</v>
      </c>
      <c r="I267" s="124">
        <f>IFERROR(__xludf.DUMMYFUNCTION("""COMPUTED_VALUE"""),19484.0)</f>
        <v>19484</v>
      </c>
      <c r="J267" s="124">
        <f>IFERROR(__xludf.DUMMYFUNCTION("""COMPUTED_VALUE"""),24000.0)</f>
        <v>24000</v>
      </c>
      <c r="K267" s="124">
        <f>IFERROR(__xludf.DUMMYFUNCTION("""COMPUTED_VALUE"""),2.0)</f>
        <v>2</v>
      </c>
      <c r="L267" s="124">
        <f>IFERROR(__xludf.DUMMYFUNCTION("""COMPUTED_VALUE"""),318.0)</f>
        <v>318</v>
      </c>
      <c r="M267" s="124" t="str">
        <f>IFERROR(__xludf.DUMMYFUNCTION("""COMPUTED_VALUE"""),"Lucknow")</f>
        <v>Lucknow</v>
      </c>
      <c r="N267" s="124" t="str">
        <f>IFERROR(__xludf.DUMMYFUNCTION("""COMPUTED_VALUE"""),"Gyan94422@gmail.com")</f>
        <v>Gyan94422@gmail.com</v>
      </c>
      <c r="O267" s="124" t="str">
        <f>IFERROR(__xludf.DUMMYFUNCTION("""COMPUTED_VALUE"""),"Gyan Prakash")</f>
        <v>Gyan Prakash</v>
      </c>
      <c r="P267" s="124">
        <f>IFERROR(__xludf.DUMMYFUNCTION("""COMPUTED_VALUE"""),124551.0)</f>
        <v>124551</v>
      </c>
      <c r="Q267" s="124" t="str">
        <f>IFERROR(__xludf.DUMMYFUNCTION("""COMPUTED_VALUE"""),"upsc-gs-foundation-hindi-target-2027-gsf-upsc-m01-lko")</f>
        <v>upsc-gs-foundation-hindi-target-2027-gsf-upsc-m01-lko</v>
      </c>
      <c r="R267" s="124" t="str">
        <f>IFERROR(__xludf.DUMMYFUNCTION("""COMPUTED_VALUE"""),"State PCS")</f>
        <v>State PCS</v>
      </c>
      <c r="S267" s="124">
        <f>IFERROR(__xludf.DUMMYFUNCTION("""COMPUTED_VALUE"""),7.905231362E9)</f>
        <v>7905231362</v>
      </c>
      <c r="T267" s="124" t="str">
        <f>IFERROR(__xludf.DUMMYFUNCTION("""COMPUTED_VALUE"""),"Not Available")</f>
        <v>Not Available</v>
      </c>
      <c r="U267" s="124" t="str">
        <f>IFERROR(__xludf.DUMMYFUNCTION("""COMPUTED_VALUE"""),"Not Available")</f>
        <v>Not Available</v>
      </c>
      <c r="V267" s="124" t="str">
        <f>IFERROR(__xludf.DUMMYFUNCTION("""COMPUTED_VALUE"""),"Not Available")</f>
        <v>Not Available</v>
      </c>
      <c r="W267" s="124" t="str">
        <f>IFERROR(__xludf.DUMMYFUNCTION("""COMPUTED_VALUE"""),"Not Available")</f>
        <v>Not Available</v>
      </c>
    </row>
    <row r="268">
      <c r="A268" s="124" t="str">
        <f t="shared" si="1"/>
        <v>metier18@gmail.com</v>
      </c>
      <c r="B268" s="131">
        <f>IFERROR(__xludf.DUMMYFUNCTION("""COMPUTED_VALUE"""),46106.0)</f>
        <v>46106</v>
      </c>
      <c r="C268" s="124" t="str">
        <f>IFERROR(__xludf.DUMMYFUNCTION("""COMPUTED_VALUE"""),"Payment data from Collexo")</f>
        <v>Payment data from Collexo</v>
      </c>
      <c r="D268" s="124" t="str">
        <f>IFERROR(__xludf.DUMMYFUNCTION("""COMPUTED_VALUE"""),"Not Available")</f>
        <v>Not Available</v>
      </c>
      <c r="E268" s="124">
        <f>IFERROR(__xludf.DUMMYFUNCTION("""COMPUTED_VALUE"""),1500609.0)</f>
        <v>1500609</v>
      </c>
      <c r="F268" s="124" t="str">
        <f>IFERROR(__xludf.DUMMYFUNCTION("""COMPUTED_VALUE"""),"16519_988_7")</f>
        <v>16519_988_7</v>
      </c>
      <c r="G268" s="124">
        <f>IFERROR(__xludf.DUMMYFUNCTION("""COMPUTED_VALUE"""),1.0)</f>
        <v>1</v>
      </c>
      <c r="H268" s="124" t="str">
        <f>IFERROR(__xludf.DUMMYFUNCTION("""COMPUTED_VALUE"""),"Not Available")</f>
        <v>Not Available</v>
      </c>
      <c r="I268" s="124">
        <f>IFERROR(__xludf.DUMMYFUNCTION("""COMPUTED_VALUE"""),0.0)</f>
        <v>0</v>
      </c>
      <c r="J268" s="124">
        <f>IFERROR(__xludf.DUMMYFUNCTION("""COMPUTED_VALUE"""),1.0)</f>
        <v>1</v>
      </c>
      <c r="K268" s="124">
        <f>IFERROR(__xludf.DUMMYFUNCTION("""COMPUTED_VALUE"""),1.0)</f>
        <v>1</v>
      </c>
      <c r="L268" s="124">
        <f>IFERROR(__xludf.DUMMYFUNCTION("""COMPUTED_VALUE"""),735.0)</f>
        <v>735</v>
      </c>
      <c r="M268" s="124" t="str">
        <f>IFERROR(__xludf.DUMMYFUNCTION("""COMPUTED_VALUE"""),"New Delhi")</f>
        <v>New Delhi</v>
      </c>
      <c r="N268" s="124" t="str">
        <f>IFERROR(__xludf.DUMMYFUNCTION("""COMPUTED_VALUE"""),"metier18@gmail.com")</f>
        <v>metier18@gmail.com</v>
      </c>
      <c r="O268" s="124" t="str">
        <f>IFERROR(__xludf.DUMMYFUNCTION("""COMPUTED_VALUE"""),"SHASHIKANT TIWARI")</f>
        <v>SHASHIKANT TIWARI</v>
      </c>
      <c r="P268" s="124">
        <f>IFERROR(__xludf.DUMMYFUNCTION("""COMPUTED_VALUE"""),133131.0)</f>
        <v>133131</v>
      </c>
      <c r="Q268" s="124" t="str">
        <f>IFERROR(__xludf.DUMMYFUNCTION("""COMPUTED_VALUE"""),"upsc-gs-foundation-hinglish-target-2027-gsf-upsc-e05-orn")</f>
        <v>upsc-gs-foundation-hinglish-target-2027-gsf-upsc-e05-orn</v>
      </c>
      <c r="R268" s="124" t="str">
        <f>IFERROR(__xludf.DUMMYFUNCTION("""COMPUTED_VALUE"""),"GS Foundation Course")</f>
        <v>GS Foundation Course</v>
      </c>
      <c r="S268" s="124">
        <f>IFERROR(__xludf.DUMMYFUNCTION("""COMPUTED_VALUE"""),9.664198337E9)</f>
        <v>9664198337</v>
      </c>
      <c r="T268" s="124" t="str">
        <f>IFERROR(__xludf.DUMMYFUNCTION("""COMPUTED_VALUE"""),"Collexo")</f>
        <v>Collexo</v>
      </c>
      <c r="U268" s="124" t="str">
        <f>IFERROR(__xludf.DUMMYFUNCTION("""COMPUTED_VALUE"""),"Success")</f>
        <v>Success</v>
      </c>
      <c r="V268" s="131">
        <f>IFERROR(__xludf.DUMMYFUNCTION("""COMPUTED_VALUE"""),46106.0)</f>
        <v>46106</v>
      </c>
      <c r="W268" s="124">
        <f>IFERROR(__xludf.DUMMYFUNCTION("""COMPUTED_VALUE"""),0.0)</f>
        <v>0</v>
      </c>
    </row>
    <row r="269">
      <c r="A269" s="124" t="str">
        <f t="shared" si="1"/>
        <v>vinayaksingh1556698@gmail.com</v>
      </c>
      <c r="B269" s="131">
        <f>IFERROR(__xludf.DUMMYFUNCTION("""COMPUTED_VALUE"""),46061.0)</f>
        <v>46061</v>
      </c>
      <c r="C269" s="124" t="str">
        <f>IFERROR(__xludf.DUMMYFUNCTION("""COMPUTED_VALUE"""),"Payment data from Collexo")</f>
        <v>Payment data from Collexo</v>
      </c>
      <c r="D269" s="124" t="str">
        <f>IFERROR(__xludf.DUMMYFUNCTION("""COMPUTED_VALUE"""),"Not Available")</f>
        <v>Not Available</v>
      </c>
      <c r="E269" s="124">
        <f>IFERROR(__xludf.DUMMYFUNCTION("""COMPUTED_VALUE"""),1500609.0)</f>
        <v>1500609</v>
      </c>
      <c r="F269" s="124" t="str">
        <f>IFERROR(__xludf.DUMMYFUNCTION("""COMPUTED_VALUE"""),"4273_988_7")</f>
        <v>4273_988_7</v>
      </c>
      <c r="G269" s="124">
        <f>IFERROR(__xludf.DUMMYFUNCTION("""COMPUTED_VALUE"""),5000.0)</f>
        <v>5000</v>
      </c>
      <c r="H269" s="131">
        <f>IFERROR(__xludf.DUMMYFUNCTION("""COMPUTED_VALUE"""),46065.0)</f>
        <v>46065</v>
      </c>
      <c r="I269" s="124">
        <f>IFERROR(__xludf.DUMMYFUNCTION("""COMPUTED_VALUE"""),105000.0)</f>
        <v>105000</v>
      </c>
      <c r="J269" s="124">
        <f>IFERROR(__xludf.DUMMYFUNCTION("""COMPUTED_VALUE"""),110000.0)</f>
        <v>110000</v>
      </c>
      <c r="K269" s="124">
        <f>IFERROR(__xludf.DUMMYFUNCTION("""COMPUTED_VALUE"""),2.0)</f>
        <v>2</v>
      </c>
      <c r="L269" s="124">
        <f>IFERROR(__xludf.DUMMYFUNCTION("""COMPUTED_VALUE"""),180.0)</f>
        <v>180</v>
      </c>
      <c r="M269" s="124" t="str">
        <f>IFERROR(__xludf.DUMMYFUNCTION("""COMPUTED_VALUE"""),"New Delhi")</f>
        <v>New Delhi</v>
      </c>
      <c r="N269" s="124" t="str">
        <f>IFERROR(__xludf.DUMMYFUNCTION("""COMPUTED_VALUE"""),"vinayaksingh1556698@gmail.com")</f>
        <v>vinayaksingh1556698@gmail.com</v>
      </c>
      <c r="O269" s="124" t="str">
        <f>IFERROR(__xludf.DUMMYFUNCTION("""COMPUTED_VALUE"""),"Vinayak")</f>
        <v>Vinayak</v>
      </c>
      <c r="P269" s="124">
        <f>IFERROR(__xludf.DUMMYFUNCTION("""COMPUTED_VALUE"""),14775.0)</f>
        <v>14775</v>
      </c>
      <c r="Q269" s="124" t="str">
        <f>IFERROR(__xludf.DUMMYFUNCTION("""COMPUTED_VALUE"""),"upsc-gs-foundation-hinglish-target-2027-gsf-upsc-e04-orn")</f>
        <v>upsc-gs-foundation-hinglish-target-2027-gsf-upsc-e04-orn</v>
      </c>
      <c r="R269" s="124" t="str">
        <f>IFERROR(__xludf.DUMMYFUNCTION("""COMPUTED_VALUE"""),"GS Foundation Course")</f>
        <v>GS Foundation Course</v>
      </c>
      <c r="S269" s="124">
        <f>IFERROR(__xludf.DUMMYFUNCTION("""COMPUTED_VALUE"""),8.587970069E9)</f>
        <v>8587970069</v>
      </c>
      <c r="T269" s="124" t="str">
        <f>IFERROR(__xludf.DUMMYFUNCTION("""COMPUTED_VALUE"""),"Collexo")</f>
        <v>Collexo</v>
      </c>
      <c r="U269" s="124" t="str">
        <f>IFERROR(__xludf.DUMMYFUNCTION("""COMPUTED_VALUE"""),"Success")</f>
        <v>Success</v>
      </c>
      <c r="V269" s="131">
        <f>IFERROR(__xludf.DUMMYFUNCTION("""COMPUTED_VALUE"""),46061.0)</f>
        <v>46061</v>
      </c>
      <c r="W269" s="124">
        <f>IFERROR(__xludf.DUMMYFUNCTION("""COMPUTED_VALUE"""),0.0)</f>
        <v>0</v>
      </c>
    </row>
    <row r="270">
      <c r="A270" s="124" t="str">
        <f t="shared" si="1"/>
        <v>hridaykushwaha50@gmail.com</v>
      </c>
      <c r="B270" s="131">
        <f>IFERROR(__xludf.DUMMYFUNCTION("""COMPUTED_VALUE"""),46097.0)</f>
        <v>46097</v>
      </c>
      <c r="C270" s="124" t="str">
        <f>IFERROR(__xludf.DUMMYFUNCTION("""COMPUTED_VALUE"""),"Payment data from Collexo")</f>
        <v>Payment data from Collexo</v>
      </c>
      <c r="D270" s="124" t="str">
        <f>IFERROR(__xludf.DUMMYFUNCTION("""COMPUTED_VALUE"""),"Not Available")</f>
        <v>Not Available</v>
      </c>
      <c r="E270" s="124">
        <f>IFERROR(__xludf.DUMMYFUNCTION("""COMPUTED_VALUE"""),1500613.0)</f>
        <v>1500613</v>
      </c>
      <c r="F270" s="124">
        <f>IFERROR(__xludf.DUMMYFUNCTION("""COMPUTED_VALUE"""),127464.0)</f>
        <v>127464</v>
      </c>
      <c r="G270" s="124">
        <f>IFERROR(__xludf.DUMMYFUNCTION("""COMPUTED_VALUE"""),16481.0)</f>
        <v>16481</v>
      </c>
      <c r="H270" s="131">
        <f>IFERROR(__xludf.DUMMYFUNCTION("""COMPUTED_VALUE"""),46099.0)</f>
        <v>46099</v>
      </c>
      <c r="I270" s="124">
        <f>IFERROR(__xludf.DUMMYFUNCTION("""COMPUTED_VALUE"""),93519.0)</f>
        <v>93519</v>
      </c>
      <c r="J270" s="124">
        <f>IFERROR(__xludf.DUMMYFUNCTION("""COMPUTED_VALUE"""),110000.0)</f>
        <v>110000</v>
      </c>
      <c r="K270" s="124">
        <f>IFERROR(__xludf.DUMMYFUNCTION("""COMPUTED_VALUE"""),2.0)</f>
        <v>2</v>
      </c>
      <c r="L270" s="124">
        <f>IFERROR(__xludf.DUMMYFUNCTION("""COMPUTED_VALUE"""),560.0)</f>
        <v>560</v>
      </c>
      <c r="M270" s="124" t="str">
        <f>IFERROR(__xludf.DUMMYFUNCTION("""COMPUTED_VALUE"""),"Prayagraj")</f>
        <v>Prayagraj</v>
      </c>
      <c r="N270" s="124" t="str">
        <f>IFERROR(__xludf.DUMMYFUNCTION("""COMPUTED_VALUE"""),"hridaykushwaha50@gmail.com")</f>
        <v>hridaykushwaha50@gmail.com</v>
      </c>
      <c r="O270" s="124" t="str">
        <f>IFERROR(__xludf.DUMMYFUNCTION("""COMPUTED_VALUE"""),"Hriday Kushwaha")</f>
        <v>Hriday Kushwaha</v>
      </c>
      <c r="P270" s="124">
        <f>IFERROR(__xludf.DUMMYFUNCTION("""COMPUTED_VALUE"""),127464.0)</f>
        <v>127464</v>
      </c>
      <c r="Q270" s="124" t="str">
        <f>IFERROR(__xludf.DUMMYFUNCTION("""COMPUTED_VALUE"""),"upsc-gs-foundation-hinglish-target-2028-gsf-upsc-e03-pry")</f>
        <v>upsc-gs-foundation-hinglish-target-2028-gsf-upsc-e03-pry</v>
      </c>
      <c r="R270" s="124" t="str">
        <f>IFERROR(__xludf.DUMMYFUNCTION("""COMPUTED_VALUE"""),"GS Foundation Course")</f>
        <v>GS Foundation Course</v>
      </c>
      <c r="S270" s="124">
        <f>IFERROR(__xludf.DUMMYFUNCTION("""COMPUTED_VALUE"""),9.455289673E9)</f>
        <v>9455289673</v>
      </c>
      <c r="T270" s="124" t="str">
        <f>IFERROR(__xludf.DUMMYFUNCTION("""COMPUTED_VALUE"""),"Not Available")</f>
        <v>Not Available</v>
      </c>
      <c r="U270" s="124" t="str">
        <f>IFERROR(__xludf.DUMMYFUNCTION("""COMPUTED_VALUE"""),"Not Available")</f>
        <v>Not Available</v>
      </c>
      <c r="V270" s="124" t="str">
        <f>IFERROR(__xludf.DUMMYFUNCTION("""COMPUTED_VALUE"""),"Not Available")</f>
        <v>Not Available</v>
      </c>
      <c r="W270" s="124" t="str">
        <f>IFERROR(__xludf.DUMMYFUNCTION("""COMPUTED_VALUE"""),"Not Available")</f>
        <v>Not Available</v>
      </c>
    </row>
    <row r="271">
      <c r="A271" s="124" t="str">
        <f t="shared" si="1"/>
        <v>Gyan94422@gmail.com</v>
      </c>
      <c r="B271" s="131">
        <f>IFERROR(__xludf.DUMMYFUNCTION("""COMPUTED_VALUE"""),46077.0)</f>
        <v>46077</v>
      </c>
      <c r="C271" s="124" t="str">
        <f>IFERROR(__xludf.DUMMYFUNCTION("""COMPUTED_VALUE"""),"Payment data from Collexo")</f>
        <v>Payment data from Collexo</v>
      </c>
      <c r="D271" s="124" t="str">
        <f>IFERROR(__xludf.DUMMYFUNCTION("""COMPUTED_VALUE"""),"Not Available")</f>
        <v>Not Available</v>
      </c>
      <c r="E271" s="124">
        <f>IFERROR(__xludf.DUMMYFUNCTION("""COMPUTED_VALUE"""),1500610.0)</f>
        <v>1500610</v>
      </c>
      <c r="F271" s="124">
        <f>IFERROR(__xludf.DUMMYFUNCTION("""COMPUTED_VALUE"""),124551.0)</f>
        <v>124551</v>
      </c>
      <c r="G271" s="124">
        <f>IFERROR(__xludf.DUMMYFUNCTION("""COMPUTED_VALUE"""),19484.0)</f>
        <v>19484</v>
      </c>
      <c r="H271" s="124" t="str">
        <f>IFERROR(__xludf.DUMMYFUNCTION("""COMPUTED_VALUE"""),"Not Available")</f>
        <v>Not Available</v>
      </c>
      <c r="I271" s="124">
        <f>IFERROR(__xludf.DUMMYFUNCTION("""COMPUTED_VALUE"""),0.0)</f>
        <v>0</v>
      </c>
      <c r="J271" s="124">
        <f>IFERROR(__xludf.DUMMYFUNCTION("""COMPUTED_VALUE"""),24000.0)</f>
        <v>24000</v>
      </c>
      <c r="K271" s="124">
        <f>IFERROR(__xludf.DUMMYFUNCTION("""COMPUTED_VALUE"""),2.0)</f>
        <v>2</v>
      </c>
      <c r="L271" s="124">
        <f>IFERROR(__xludf.DUMMYFUNCTION("""COMPUTED_VALUE"""),329.0)</f>
        <v>329</v>
      </c>
      <c r="M271" s="124" t="str">
        <f>IFERROR(__xludf.DUMMYFUNCTION("""COMPUTED_VALUE"""),"Lucknow")</f>
        <v>Lucknow</v>
      </c>
      <c r="N271" s="124" t="str">
        <f>IFERROR(__xludf.DUMMYFUNCTION("""COMPUTED_VALUE"""),"Gyan94422@gmail.com")</f>
        <v>Gyan94422@gmail.com</v>
      </c>
      <c r="O271" s="124" t="str">
        <f>IFERROR(__xludf.DUMMYFUNCTION("""COMPUTED_VALUE"""),"Gyan Prakash")</f>
        <v>Gyan Prakash</v>
      </c>
      <c r="P271" s="124">
        <f>IFERROR(__xludf.DUMMYFUNCTION("""COMPUTED_VALUE"""),124551.0)</f>
        <v>124551</v>
      </c>
      <c r="Q271" s="124" t="str">
        <f>IFERROR(__xludf.DUMMYFUNCTION("""COMPUTED_VALUE"""),"upsc-gs-foundation-hindi-target-2027-gsf-upsc-m01-lko")</f>
        <v>upsc-gs-foundation-hindi-target-2027-gsf-upsc-m01-lko</v>
      </c>
      <c r="R271" s="124" t="str">
        <f>IFERROR(__xludf.DUMMYFUNCTION("""COMPUTED_VALUE"""),"State PCS")</f>
        <v>State PCS</v>
      </c>
      <c r="S271" s="124">
        <f>IFERROR(__xludf.DUMMYFUNCTION("""COMPUTED_VALUE"""),7.905231362E9)</f>
        <v>7905231362</v>
      </c>
      <c r="T271" s="124" t="str">
        <f>IFERROR(__xludf.DUMMYFUNCTION("""COMPUTED_VALUE"""),"Not Available")</f>
        <v>Not Available</v>
      </c>
      <c r="U271" s="124" t="str">
        <f>IFERROR(__xludf.DUMMYFUNCTION("""COMPUTED_VALUE"""),"Not Available")</f>
        <v>Not Available</v>
      </c>
      <c r="V271" s="124" t="str">
        <f>IFERROR(__xludf.DUMMYFUNCTION("""COMPUTED_VALUE"""),"Not Available")</f>
        <v>Not Available</v>
      </c>
      <c r="W271" s="124" t="str">
        <f>IFERROR(__xludf.DUMMYFUNCTION("""COMPUTED_VALUE"""),"Not Available")</f>
        <v>Not Available</v>
      </c>
    </row>
    <row r="272">
      <c r="A272" s="124" t="str">
        <f t="shared" si="1"/>
        <v>naincyofficial5@gmail.com</v>
      </c>
      <c r="B272" s="131">
        <f>IFERROR(__xludf.DUMMYFUNCTION("""COMPUTED_VALUE"""),46080.0)</f>
        <v>46080</v>
      </c>
      <c r="C272" s="124" t="str">
        <f>IFERROR(__xludf.DUMMYFUNCTION("""COMPUTED_VALUE"""),"Payment data from Collexo")</f>
        <v>Payment data from Collexo</v>
      </c>
      <c r="D272" s="124" t="str">
        <f>IFERROR(__xludf.DUMMYFUNCTION("""COMPUTED_VALUE"""),"Not Available")</f>
        <v>Not Available</v>
      </c>
      <c r="E272" s="124">
        <f>IFERROR(__xludf.DUMMYFUNCTION("""COMPUTED_VALUE"""),1500613.0)</f>
        <v>1500613</v>
      </c>
      <c r="F272" s="124">
        <f>IFERROR(__xludf.DUMMYFUNCTION("""COMPUTED_VALUE"""),123469.0)</f>
        <v>123469</v>
      </c>
      <c r="G272" s="124">
        <f>IFERROR(__xludf.DUMMYFUNCTION("""COMPUTED_VALUE"""),2000.0)</f>
        <v>2000</v>
      </c>
      <c r="H272" s="131">
        <f>IFERROR(__xludf.DUMMYFUNCTION("""COMPUTED_VALUE"""),46080.0)</f>
        <v>46080</v>
      </c>
      <c r="I272" s="124">
        <f>IFERROR(__xludf.DUMMYFUNCTION("""COMPUTED_VALUE"""),1481.0)</f>
        <v>1481</v>
      </c>
      <c r="J272" s="124">
        <f>IFERROR(__xludf.DUMMYFUNCTION("""COMPUTED_VALUE"""),19000.0)</f>
        <v>19000</v>
      </c>
      <c r="K272" s="124">
        <f>IFERROR(__xludf.DUMMYFUNCTION("""COMPUTED_VALUE"""),3.0)</f>
        <v>3</v>
      </c>
      <c r="L272" s="124">
        <f>IFERROR(__xludf.DUMMYFUNCTION("""COMPUTED_VALUE"""),366.0)</f>
        <v>366</v>
      </c>
      <c r="M272" s="124" t="str">
        <f>IFERROR(__xludf.DUMMYFUNCTION("""COMPUTED_VALUE"""),"Prayagraj")</f>
        <v>Prayagraj</v>
      </c>
      <c r="N272" s="124" t="str">
        <f>IFERROR(__xludf.DUMMYFUNCTION("""COMPUTED_VALUE"""),"naincyofficial5@gmail.com")</f>
        <v>naincyofficial5@gmail.com</v>
      </c>
      <c r="O272" s="124" t="str">
        <f>IFERROR(__xludf.DUMMYFUNCTION("""COMPUTED_VALUE"""),"Naincy Tripathi")</f>
        <v>Naincy Tripathi</v>
      </c>
      <c r="P272" s="124">
        <f>IFERROR(__xludf.DUMMYFUNCTION("""COMPUTED_VALUE"""),123469.0)</f>
        <v>123469</v>
      </c>
      <c r="Q272" s="124" t="str">
        <f>IFERROR(__xludf.DUMMYFUNCTION("""COMPUTED_VALUE"""),"samadhan-mentorship-program-pry")</f>
        <v>samadhan-mentorship-program-pry</v>
      </c>
      <c r="R272" s="124" t="str">
        <f>IFERROR(__xludf.DUMMYFUNCTION("""COMPUTED_VALUE"""),"Mentorship - Samadhan")</f>
        <v>Mentorship - Samadhan</v>
      </c>
      <c r="S272" s="124">
        <f>IFERROR(__xludf.DUMMYFUNCTION("""COMPUTED_VALUE"""),8.810926995E9)</f>
        <v>8810926995</v>
      </c>
      <c r="T272" s="124" t="str">
        <f>IFERROR(__xludf.DUMMYFUNCTION("""COMPUTED_VALUE"""),"Not Available")</f>
        <v>Not Available</v>
      </c>
      <c r="U272" s="124" t="str">
        <f>IFERROR(__xludf.DUMMYFUNCTION("""COMPUTED_VALUE"""),"Not Available")</f>
        <v>Not Available</v>
      </c>
      <c r="V272" s="124" t="str">
        <f>IFERROR(__xludf.DUMMYFUNCTION("""COMPUTED_VALUE"""),"Not Available")</f>
        <v>Not Available</v>
      </c>
      <c r="W272" s="124" t="str">
        <f>IFERROR(__xludf.DUMMYFUNCTION("""COMPUTED_VALUE"""),"Not Available")</f>
        <v>Not Available</v>
      </c>
    </row>
    <row r="273">
      <c r="A273" s="124" t="str">
        <f t="shared" si="1"/>
        <v>hraj42331@gmail.com</v>
      </c>
      <c r="B273" s="131">
        <f>IFERROR(__xludf.DUMMYFUNCTION("""COMPUTED_VALUE"""),46108.0)</f>
        <v>46108</v>
      </c>
      <c r="C273" s="124" t="str">
        <f>IFERROR(__xludf.DUMMYFUNCTION("""COMPUTED_VALUE"""),"Payment data from Collexo")</f>
        <v>Payment data from Collexo</v>
      </c>
      <c r="D273" s="124" t="str">
        <f>IFERROR(__xludf.DUMMYFUNCTION("""COMPUTED_VALUE"""),"Not Available")</f>
        <v>Not Available</v>
      </c>
      <c r="E273" s="124">
        <f>IFERROR(__xludf.DUMMYFUNCTION("""COMPUTED_VALUE"""),1500609.0)</f>
        <v>1500609</v>
      </c>
      <c r="F273" s="124" t="str">
        <f>IFERROR(__xludf.DUMMYFUNCTION("""COMPUTED_VALUE"""),"16967_988_7")</f>
        <v>16967_988_7</v>
      </c>
      <c r="G273" s="124">
        <f>IFERROR(__xludf.DUMMYFUNCTION("""COMPUTED_VALUE"""),16000.0)</f>
        <v>16000</v>
      </c>
      <c r="H273" s="131">
        <f>IFERROR(__xludf.DUMMYFUNCTION("""COMPUTED_VALUE"""),46112.0)</f>
        <v>46112</v>
      </c>
      <c r="I273" s="124">
        <f>IFERROR(__xludf.DUMMYFUNCTION("""COMPUTED_VALUE"""),104000.0)</f>
        <v>104000</v>
      </c>
      <c r="J273" s="124">
        <f>IFERROR(__xludf.DUMMYFUNCTION("""COMPUTED_VALUE"""),130000.0)</f>
        <v>130000</v>
      </c>
      <c r="K273" s="124">
        <f>IFERROR(__xludf.DUMMYFUNCTION("""COMPUTED_VALUE"""),3.0)</f>
        <v>3</v>
      </c>
      <c r="L273" s="124">
        <f>IFERROR(__xludf.DUMMYFUNCTION("""COMPUTED_VALUE"""),786.0)</f>
        <v>786</v>
      </c>
      <c r="M273" s="124" t="str">
        <f>IFERROR(__xludf.DUMMYFUNCTION("""COMPUTED_VALUE"""),"New Delhi")</f>
        <v>New Delhi</v>
      </c>
      <c r="N273" s="124" t="str">
        <f>IFERROR(__xludf.DUMMYFUNCTION("""COMPUTED_VALUE"""),"hraj42331@gmail.com")</f>
        <v>hraj42331@gmail.com</v>
      </c>
      <c r="O273" s="124" t="str">
        <f>IFERROR(__xludf.DUMMYFUNCTION("""COMPUTED_VALUE"""),"Harsh raj")</f>
        <v>Harsh raj</v>
      </c>
      <c r="P273" s="124">
        <f>IFERROR(__xludf.DUMMYFUNCTION("""COMPUTED_VALUE"""),101903.0)</f>
        <v>101903</v>
      </c>
      <c r="Q273" s="124" t="str">
        <f>IFERROR(__xludf.DUMMYFUNCTION("""COMPUTED_VALUE"""),"upsc-gs-foundation-hinglish-target-2028-gsf-upsc-m05-orn")</f>
        <v>upsc-gs-foundation-hinglish-target-2028-gsf-upsc-m05-orn</v>
      </c>
      <c r="R273" s="124" t="str">
        <f>IFERROR(__xludf.DUMMYFUNCTION("""COMPUTED_VALUE"""),"GS Foundation Course")</f>
        <v>GS Foundation Course</v>
      </c>
      <c r="S273" s="124">
        <f>IFERROR(__xludf.DUMMYFUNCTION("""COMPUTED_VALUE"""),9.835624619E9)</f>
        <v>9835624619</v>
      </c>
      <c r="T273" s="124" t="str">
        <f>IFERROR(__xludf.DUMMYFUNCTION("""COMPUTED_VALUE"""),"Collexo")</f>
        <v>Collexo</v>
      </c>
      <c r="U273" s="124" t="str">
        <f>IFERROR(__xludf.DUMMYFUNCTION("""COMPUTED_VALUE"""),"Success")</f>
        <v>Success</v>
      </c>
      <c r="V273" s="131">
        <f>IFERROR(__xludf.DUMMYFUNCTION("""COMPUTED_VALUE"""),46108.0)</f>
        <v>46108</v>
      </c>
      <c r="W273" s="124">
        <f>IFERROR(__xludf.DUMMYFUNCTION("""COMPUTED_VALUE"""),0.0)</f>
        <v>0</v>
      </c>
    </row>
    <row r="274">
      <c r="A274" s="124" t="str">
        <f t="shared" si="1"/>
        <v>lakshayrana1406@gmail.com</v>
      </c>
      <c r="B274" s="131">
        <f>IFERROR(__xludf.DUMMYFUNCTION("""COMPUTED_VALUE"""),46072.0)</f>
        <v>46072</v>
      </c>
      <c r="C274" s="124" t="str">
        <f>IFERROR(__xludf.DUMMYFUNCTION("""COMPUTED_VALUE"""),"Payment data from Collexo")</f>
        <v>Payment data from Collexo</v>
      </c>
      <c r="D274" s="124" t="str">
        <f>IFERROR(__xludf.DUMMYFUNCTION("""COMPUTED_VALUE"""),"Not Available")</f>
        <v>Not Available</v>
      </c>
      <c r="E274" s="124">
        <f>IFERROR(__xludf.DUMMYFUNCTION("""COMPUTED_VALUE"""),1500609.0)</f>
        <v>1500609</v>
      </c>
      <c r="F274" s="124" t="str">
        <f>IFERROR(__xludf.DUMMYFUNCTION("""COMPUTED_VALUE"""),"6514_988_7")</f>
        <v>6514_988_7</v>
      </c>
      <c r="G274" s="124">
        <f>IFERROR(__xludf.DUMMYFUNCTION("""COMPUTED_VALUE"""),60000.0)</f>
        <v>60000</v>
      </c>
      <c r="H274" s="131">
        <f>IFERROR(__xludf.DUMMYFUNCTION("""COMPUTED_VALUE"""),46074.0)</f>
        <v>46074</v>
      </c>
      <c r="I274" s="124">
        <f>IFERROR(__xludf.DUMMYFUNCTION("""COMPUTED_VALUE"""),65000.0)</f>
        <v>65000</v>
      </c>
      <c r="J274" s="124">
        <f>IFERROR(__xludf.DUMMYFUNCTION("""COMPUTED_VALUE"""),130000.0)</f>
        <v>130000</v>
      </c>
      <c r="K274" s="124">
        <f>IFERROR(__xludf.DUMMYFUNCTION("""COMPUTED_VALUE"""),3.0)</f>
        <v>3</v>
      </c>
      <c r="L274" s="124">
        <f>IFERROR(__xludf.DUMMYFUNCTION("""COMPUTED_VALUE"""),267.0)</f>
        <v>267</v>
      </c>
      <c r="M274" s="124" t="str">
        <f>IFERROR(__xludf.DUMMYFUNCTION("""COMPUTED_VALUE"""),"New Delhi")</f>
        <v>New Delhi</v>
      </c>
      <c r="N274" s="124" t="str">
        <f>IFERROR(__xludf.DUMMYFUNCTION("""COMPUTED_VALUE"""),"lakshayrana1406@gmail.com")</f>
        <v>lakshayrana1406@gmail.com</v>
      </c>
      <c r="O274" s="124" t="str">
        <f>IFERROR(__xludf.DUMMYFUNCTION("""COMPUTED_VALUE"""),"LAKSHAY")</f>
        <v>LAKSHAY</v>
      </c>
      <c r="P274" s="124">
        <f>IFERROR(__xludf.DUMMYFUNCTION("""COMPUTED_VALUE"""),123748.0)</f>
        <v>123748</v>
      </c>
      <c r="Q274" s="124" t="str">
        <f>IFERROR(__xludf.DUMMYFUNCTION("""COMPUTED_VALUE"""),"upsc-gs-foundation-hinglish-target-2027-gsf-upsc-e04-orn")</f>
        <v>upsc-gs-foundation-hinglish-target-2027-gsf-upsc-e04-orn</v>
      </c>
      <c r="R274" s="124" t="str">
        <f>IFERROR(__xludf.DUMMYFUNCTION("""COMPUTED_VALUE"""),"GS Foundation Course")</f>
        <v>GS Foundation Course</v>
      </c>
      <c r="S274" s="124">
        <f>IFERROR(__xludf.DUMMYFUNCTION("""COMPUTED_VALUE"""),8.920811162E9)</f>
        <v>8920811162</v>
      </c>
      <c r="T274" s="124" t="str">
        <f>IFERROR(__xludf.DUMMYFUNCTION("""COMPUTED_VALUE"""),"Collexo")</f>
        <v>Collexo</v>
      </c>
      <c r="U274" s="124" t="str">
        <f>IFERROR(__xludf.DUMMYFUNCTION("""COMPUTED_VALUE"""),"Success")</f>
        <v>Success</v>
      </c>
      <c r="V274" s="131">
        <f>IFERROR(__xludf.DUMMYFUNCTION("""COMPUTED_VALUE"""),46072.0)</f>
        <v>46072</v>
      </c>
      <c r="W274" s="124">
        <f>IFERROR(__xludf.DUMMYFUNCTION("""COMPUTED_VALUE"""),0.0)</f>
        <v>0</v>
      </c>
    </row>
    <row r="275">
      <c r="A275" s="124" t="str">
        <f t="shared" si="1"/>
        <v>galsinghsolanki40@gmail.com</v>
      </c>
      <c r="B275" s="131">
        <f>IFERROR(__xludf.DUMMYFUNCTION("""COMPUTED_VALUE"""),46069.0)</f>
        <v>46069</v>
      </c>
      <c r="C275" s="124" t="str">
        <f>IFERROR(__xludf.DUMMYFUNCTION("""COMPUTED_VALUE"""),"Payment data from Collexo")</f>
        <v>Payment data from Collexo</v>
      </c>
      <c r="D275" s="124" t="str">
        <f>IFERROR(__xludf.DUMMYFUNCTION("""COMPUTED_VALUE"""),"Not Available")</f>
        <v>Not Available</v>
      </c>
      <c r="E275" s="124">
        <f>IFERROR(__xludf.DUMMYFUNCTION("""COMPUTED_VALUE"""),1500612.0)</f>
        <v>1500612</v>
      </c>
      <c r="F275" s="124">
        <f>IFERROR(__xludf.DUMMYFUNCTION("""COMPUTED_VALUE"""),123689.0)</f>
        <v>123689</v>
      </c>
      <c r="G275" s="124">
        <f>IFERROR(__xludf.DUMMYFUNCTION("""COMPUTED_VALUE"""),1000.0)</f>
        <v>1000</v>
      </c>
      <c r="H275" s="131">
        <f>IFERROR(__xludf.DUMMYFUNCTION("""COMPUTED_VALUE"""),46081.0)</f>
        <v>46081</v>
      </c>
      <c r="I275" s="124">
        <f>IFERROR(__xludf.DUMMYFUNCTION("""COMPUTED_VALUE"""),59000.0)</f>
        <v>59000</v>
      </c>
      <c r="J275" s="124">
        <f>IFERROR(__xludf.DUMMYFUNCTION("""COMPUTED_VALUE"""),60000.0)</f>
        <v>60000</v>
      </c>
      <c r="K275" s="124">
        <f>IFERROR(__xludf.DUMMYFUNCTION("""COMPUTED_VALUE"""),2.0)</f>
        <v>2</v>
      </c>
      <c r="L275" s="124">
        <f>IFERROR(__xludf.DUMMYFUNCTION("""COMPUTED_VALUE"""),224.0)</f>
        <v>224</v>
      </c>
      <c r="M275" s="124" t="str">
        <f>IFERROR(__xludf.DUMMYFUNCTION("""COMPUTED_VALUE"""),"Indore")</f>
        <v>Indore</v>
      </c>
      <c r="N275" s="124" t="str">
        <f>IFERROR(__xludf.DUMMYFUNCTION("""COMPUTED_VALUE"""),"galsinghsolanki40@gmail.com")</f>
        <v>galsinghsolanki40@gmail.com</v>
      </c>
      <c r="O275" s="124" t="str">
        <f>IFERROR(__xludf.DUMMYFUNCTION("""COMPUTED_VALUE"""),"Galsingh Solanki")</f>
        <v>Galsingh Solanki</v>
      </c>
      <c r="P275" s="124">
        <f>IFERROR(__xludf.DUMMYFUNCTION("""COMPUTED_VALUE"""),123689.0)</f>
        <v>123689</v>
      </c>
      <c r="Q275" s="124" t="str">
        <f>IFERROR(__xludf.DUMMYFUNCTION("""COMPUTED_VALUE"""),"upsc-gs-foundation-hindi-target-2027-gsf-upsc-m02-ind")</f>
        <v>upsc-gs-foundation-hindi-target-2027-gsf-upsc-m02-ind</v>
      </c>
      <c r="R275" s="124" t="str">
        <f>IFERROR(__xludf.DUMMYFUNCTION("""COMPUTED_VALUE"""),"GS Foundation Course")</f>
        <v>GS Foundation Course</v>
      </c>
      <c r="S275" s="124">
        <f>IFERROR(__xludf.DUMMYFUNCTION("""COMPUTED_VALUE"""),9.179382549E9)</f>
        <v>9179382549</v>
      </c>
      <c r="T275" s="124" t="str">
        <f>IFERROR(__xludf.DUMMYFUNCTION("""COMPUTED_VALUE"""),"Not Available")</f>
        <v>Not Available</v>
      </c>
      <c r="U275" s="124" t="str">
        <f>IFERROR(__xludf.DUMMYFUNCTION("""COMPUTED_VALUE"""),"Not Available")</f>
        <v>Not Available</v>
      </c>
      <c r="V275" s="124" t="str">
        <f>IFERROR(__xludf.DUMMYFUNCTION("""COMPUTED_VALUE"""),"Not Available")</f>
        <v>Not Available</v>
      </c>
      <c r="W275" s="124" t="str">
        <f>IFERROR(__xludf.DUMMYFUNCTION("""COMPUTED_VALUE"""),"Not Available")</f>
        <v>Not Available</v>
      </c>
    </row>
    <row r="276">
      <c r="A276" s="124" t="str">
        <f t="shared" si="1"/>
        <v>rajkumar91296349@gmail.com</v>
      </c>
      <c r="B276" s="131">
        <f>IFERROR(__xludf.DUMMYFUNCTION("""COMPUTED_VALUE"""),46112.0)</f>
        <v>46112</v>
      </c>
      <c r="C276" s="124" t="str">
        <f>IFERROR(__xludf.DUMMYFUNCTION("""COMPUTED_VALUE"""),"Payment data from Collexo")</f>
        <v>Payment data from Collexo</v>
      </c>
      <c r="D276" s="124" t="str">
        <f>IFERROR(__xludf.DUMMYFUNCTION("""COMPUTED_VALUE"""),"Not Available")</f>
        <v>Not Available</v>
      </c>
      <c r="E276" s="124">
        <f>IFERROR(__xludf.DUMMYFUNCTION("""COMPUTED_VALUE"""),1500613.0)</f>
        <v>1500613</v>
      </c>
      <c r="F276" s="124">
        <f>IFERROR(__xludf.DUMMYFUNCTION("""COMPUTED_VALUE"""),139291.0)</f>
        <v>139291</v>
      </c>
      <c r="G276" s="124">
        <f>IFERROR(__xludf.DUMMYFUNCTION("""COMPUTED_VALUE"""),2000.0)</f>
        <v>2000</v>
      </c>
      <c r="H276" s="131">
        <f>IFERROR(__xludf.DUMMYFUNCTION("""COMPUTED_VALUE"""),46115.0)</f>
        <v>46115</v>
      </c>
      <c r="I276" s="124">
        <f>IFERROR(__xludf.DUMMYFUNCTION("""COMPUTED_VALUE"""),38000.0)</f>
        <v>38000</v>
      </c>
      <c r="J276" s="124">
        <f>IFERROR(__xludf.DUMMYFUNCTION("""COMPUTED_VALUE"""),40000.0)</f>
        <v>40000</v>
      </c>
      <c r="K276" s="124">
        <f>IFERROR(__xludf.DUMMYFUNCTION("""COMPUTED_VALUE"""),2.0)</f>
        <v>2</v>
      </c>
      <c r="L276" s="124">
        <f>IFERROR(__xludf.DUMMYFUNCTION("""COMPUTED_VALUE"""),864.0)</f>
        <v>864</v>
      </c>
      <c r="M276" s="124" t="str">
        <f>IFERROR(__xludf.DUMMYFUNCTION("""COMPUTED_VALUE"""),"Prayagraj")</f>
        <v>Prayagraj</v>
      </c>
      <c r="N276" s="124" t="str">
        <f>IFERROR(__xludf.DUMMYFUNCTION("""COMPUTED_VALUE"""),"rajkumar91296349@gmail.com")</f>
        <v>rajkumar91296349@gmail.com</v>
      </c>
      <c r="O276" s="124" t="str">
        <f>IFERROR(__xludf.DUMMYFUNCTION("""COMPUTED_VALUE"""),"Raj kumar")</f>
        <v>Raj kumar</v>
      </c>
      <c r="P276" s="124">
        <f>IFERROR(__xludf.DUMMYFUNCTION("""COMPUTED_VALUE"""),139291.0)</f>
        <v>139291</v>
      </c>
      <c r="Q276" s="124" t="str">
        <f>IFERROR(__xludf.DUMMYFUNCTION("""COMPUTED_VALUE"""),"upsc-gs-foundation-hindi-target-2027-gsf-upsc-m03-pry")</f>
        <v>upsc-gs-foundation-hindi-target-2027-gsf-upsc-m03-pry</v>
      </c>
      <c r="R276" s="124" t="str">
        <f>IFERROR(__xludf.DUMMYFUNCTION("""COMPUTED_VALUE"""),"GS Foundation Course")</f>
        <v>GS Foundation Course</v>
      </c>
      <c r="S276" s="124">
        <f>IFERROR(__xludf.DUMMYFUNCTION("""COMPUTED_VALUE"""),9.129634941E9)</f>
        <v>9129634941</v>
      </c>
      <c r="T276" s="124" t="str">
        <f>IFERROR(__xludf.DUMMYFUNCTION("""COMPUTED_VALUE"""),"Not Available")</f>
        <v>Not Available</v>
      </c>
      <c r="U276" s="124" t="str">
        <f>IFERROR(__xludf.DUMMYFUNCTION("""COMPUTED_VALUE"""),"Not Available")</f>
        <v>Not Available</v>
      </c>
      <c r="V276" s="124" t="str">
        <f>IFERROR(__xludf.DUMMYFUNCTION("""COMPUTED_VALUE"""),"Not Available")</f>
        <v>Not Available</v>
      </c>
      <c r="W276" s="124" t="str">
        <f>IFERROR(__xludf.DUMMYFUNCTION("""COMPUTED_VALUE"""),"Not Available")</f>
        <v>Not Available</v>
      </c>
    </row>
    <row r="277">
      <c r="A277" s="124" t="str">
        <f t="shared" si="1"/>
        <v>anushkachoubey56@gmail.com</v>
      </c>
      <c r="B277" s="131">
        <f>IFERROR(__xludf.DUMMYFUNCTION("""COMPUTED_VALUE"""),46099.0)</f>
        <v>46099</v>
      </c>
      <c r="C277" s="124" t="str">
        <f>IFERROR(__xludf.DUMMYFUNCTION("""COMPUTED_VALUE"""),"Payment data from Collexo")</f>
        <v>Payment data from Collexo</v>
      </c>
      <c r="D277" s="124" t="str">
        <f>IFERROR(__xludf.DUMMYFUNCTION("""COMPUTED_VALUE"""),"Not Available")</f>
        <v>Not Available</v>
      </c>
      <c r="E277" s="124">
        <f>IFERROR(__xludf.DUMMYFUNCTION("""COMPUTED_VALUE"""),1500613.0)</f>
        <v>1500613</v>
      </c>
      <c r="F277" s="124">
        <f>IFERROR(__xludf.DUMMYFUNCTION("""COMPUTED_VALUE"""),108436.0)</f>
        <v>108436</v>
      </c>
      <c r="G277" s="124">
        <f>IFERROR(__xludf.DUMMYFUNCTION("""COMPUTED_VALUE"""),35000.0)</f>
        <v>35000</v>
      </c>
      <c r="H277" s="124" t="str">
        <f>IFERROR(__xludf.DUMMYFUNCTION("""COMPUTED_VALUE"""),"Not Available")</f>
        <v>Not Available</v>
      </c>
      <c r="I277" s="124">
        <f>IFERROR(__xludf.DUMMYFUNCTION("""COMPUTED_VALUE"""),0.0)</f>
        <v>0</v>
      </c>
      <c r="J277" s="124">
        <f>IFERROR(__xludf.DUMMYFUNCTION("""COMPUTED_VALUE"""),35000.0)</f>
        <v>35000</v>
      </c>
      <c r="K277" s="124">
        <f>IFERROR(__xludf.DUMMYFUNCTION("""COMPUTED_VALUE"""),1.0)</f>
        <v>1</v>
      </c>
      <c r="L277" s="124">
        <f>IFERROR(__xludf.DUMMYFUNCTION("""COMPUTED_VALUE"""),591.0)</f>
        <v>591</v>
      </c>
      <c r="M277" s="124" t="str">
        <f>IFERROR(__xludf.DUMMYFUNCTION("""COMPUTED_VALUE"""),"Prayagraj")</f>
        <v>Prayagraj</v>
      </c>
      <c r="N277" s="124" t="str">
        <f>IFERROR(__xludf.DUMMYFUNCTION("""COMPUTED_VALUE"""),"anushkachoubey56@gmail.com")</f>
        <v>anushkachoubey56@gmail.com</v>
      </c>
      <c r="O277" s="124" t="str">
        <f>IFERROR(__xludf.DUMMYFUNCTION("""COMPUTED_VALUE"""),"Anushka")</f>
        <v>Anushka</v>
      </c>
      <c r="P277" s="124">
        <f>IFERROR(__xludf.DUMMYFUNCTION("""COMPUTED_VALUE"""),108436.0)</f>
        <v>108436</v>
      </c>
      <c r="Q277" s="124" t="str">
        <f>IFERROR(__xludf.DUMMYFUNCTION("""COMPUTED_VALUE"""),"upsc-gs-foundation-hinglish-target-2027-gsf-upsc-e03-pry")</f>
        <v>upsc-gs-foundation-hinglish-target-2027-gsf-upsc-e03-pry</v>
      </c>
      <c r="R277" s="124" t="str">
        <f>IFERROR(__xludf.DUMMYFUNCTION("""COMPUTED_VALUE"""),"GS Foundation Course")</f>
        <v>GS Foundation Course</v>
      </c>
      <c r="S277" s="124">
        <f>IFERROR(__xludf.DUMMYFUNCTION("""COMPUTED_VALUE"""),7.004606717E9)</f>
        <v>7004606717</v>
      </c>
      <c r="T277" s="124" t="str">
        <f>IFERROR(__xludf.DUMMYFUNCTION("""COMPUTED_VALUE"""),"Not Available")</f>
        <v>Not Available</v>
      </c>
      <c r="U277" s="124" t="str">
        <f>IFERROR(__xludf.DUMMYFUNCTION("""COMPUTED_VALUE"""),"Not Available")</f>
        <v>Not Available</v>
      </c>
      <c r="V277" s="124" t="str">
        <f>IFERROR(__xludf.DUMMYFUNCTION("""COMPUTED_VALUE"""),"Not Available")</f>
        <v>Not Available</v>
      </c>
      <c r="W277" s="124" t="str">
        <f>IFERROR(__xludf.DUMMYFUNCTION("""COMPUTED_VALUE"""),"Not Available")</f>
        <v>Not Available</v>
      </c>
    </row>
    <row r="278">
      <c r="A278" s="124" t="str">
        <f t="shared" si="1"/>
        <v>Chaudharyalinusrat@gmail.com</v>
      </c>
      <c r="B278" s="131">
        <f>IFERROR(__xludf.DUMMYFUNCTION("""COMPUTED_VALUE"""),46070.0)</f>
        <v>46070</v>
      </c>
      <c r="C278" s="124" t="str">
        <f>IFERROR(__xludf.DUMMYFUNCTION("""COMPUTED_VALUE"""),"Payment data from Collexo")</f>
        <v>Payment data from Collexo</v>
      </c>
      <c r="D278" s="124" t="str">
        <f>IFERROR(__xludf.DUMMYFUNCTION("""COMPUTED_VALUE"""),"Not Available")</f>
        <v>Not Available</v>
      </c>
      <c r="E278" s="124">
        <f>IFERROR(__xludf.DUMMYFUNCTION("""COMPUTED_VALUE"""),1500610.0)</f>
        <v>1500610</v>
      </c>
      <c r="F278" s="124">
        <f>IFERROR(__xludf.DUMMYFUNCTION("""COMPUTED_VALUE"""),85306.0)</f>
        <v>85306</v>
      </c>
      <c r="G278" s="124">
        <f>IFERROR(__xludf.DUMMYFUNCTION("""COMPUTED_VALUE"""),15000.0)</f>
        <v>15000</v>
      </c>
      <c r="H278" s="131">
        <f>IFERROR(__xludf.DUMMYFUNCTION("""COMPUTED_VALUE"""),46112.0)</f>
        <v>46112</v>
      </c>
      <c r="I278" s="124">
        <f>IFERROR(__xludf.DUMMYFUNCTION("""COMPUTED_VALUE"""),18000.0)</f>
        <v>18000</v>
      </c>
      <c r="J278" s="124">
        <f>IFERROR(__xludf.DUMMYFUNCTION("""COMPUTED_VALUE"""),36000.0)</f>
        <v>36000</v>
      </c>
      <c r="K278" s="124">
        <f>IFERROR(__xludf.DUMMYFUNCTION("""COMPUTED_VALUE"""),3.0)</f>
        <v>3</v>
      </c>
      <c r="L278" s="124">
        <f>IFERROR(__xludf.DUMMYFUNCTION("""COMPUTED_VALUE"""),243.0)</f>
        <v>243</v>
      </c>
      <c r="M278" s="124" t="str">
        <f>IFERROR(__xludf.DUMMYFUNCTION("""COMPUTED_VALUE"""),"Lucknow")</f>
        <v>Lucknow</v>
      </c>
      <c r="N278" s="124" t="str">
        <f>IFERROR(__xludf.DUMMYFUNCTION("""COMPUTED_VALUE"""),"Chaudharyalinusrat@gmail.com")</f>
        <v>Chaudharyalinusrat@gmail.com</v>
      </c>
      <c r="O278" s="124" t="str">
        <f>IFERROR(__xludf.DUMMYFUNCTION("""COMPUTED_VALUE"""),"ali")</f>
        <v>ali</v>
      </c>
      <c r="P278" s="124">
        <f>IFERROR(__xludf.DUMMYFUNCTION("""COMPUTED_VALUE"""),85306.0)</f>
        <v>85306</v>
      </c>
      <c r="Q278" s="124" t="str">
        <f>IFERROR(__xludf.DUMMYFUNCTION("""COMPUTED_VALUE"""),"upsc-gs-foundation-hinglish-target-2027-gsf-upsc-e02-lko")</f>
        <v>upsc-gs-foundation-hinglish-target-2027-gsf-upsc-e02-lko</v>
      </c>
      <c r="R278" s="124" t="str">
        <f>IFERROR(__xludf.DUMMYFUNCTION("""COMPUTED_VALUE"""),"State PCS")</f>
        <v>State PCS</v>
      </c>
      <c r="S278" s="124">
        <f>IFERROR(__xludf.DUMMYFUNCTION("""COMPUTED_VALUE"""),9.119967771E9)</f>
        <v>9119967771</v>
      </c>
      <c r="T278" s="124" t="str">
        <f>IFERROR(__xludf.DUMMYFUNCTION("""COMPUTED_VALUE"""),"Not Available")</f>
        <v>Not Available</v>
      </c>
      <c r="U278" s="124" t="str">
        <f>IFERROR(__xludf.DUMMYFUNCTION("""COMPUTED_VALUE"""),"Not Available")</f>
        <v>Not Available</v>
      </c>
      <c r="V278" s="124" t="str">
        <f>IFERROR(__xludf.DUMMYFUNCTION("""COMPUTED_VALUE"""),"Not Available")</f>
        <v>Not Available</v>
      </c>
      <c r="W278" s="124" t="str">
        <f>IFERROR(__xludf.DUMMYFUNCTION("""COMPUTED_VALUE"""),"Not Available")</f>
        <v>Not Available</v>
      </c>
    </row>
    <row r="279">
      <c r="A279" s="124" t="str">
        <f t="shared" si="1"/>
        <v>lakshayrana1406@gmail.com</v>
      </c>
      <c r="B279" s="131">
        <f>IFERROR(__xludf.DUMMYFUNCTION("""COMPUTED_VALUE"""),46073.0)</f>
        <v>46073</v>
      </c>
      <c r="C279" s="124" t="str">
        <f>IFERROR(__xludf.DUMMYFUNCTION("""COMPUTED_VALUE"""),"Payment data from Collexo")</f>
        <v>Payment data from Collexo</v>
      </c>
      <c r="D279" s="124" t="str">
        <f>IFERROR(__xludf.DUMMYFUNCTION("""COMPUTED_VALUE"""),"Not Available")</f>
        <v>Not Available</v>
      </c>
      <c r="E279" s="124">
        <f>IFERROR(__xludf.DUMMYFUNCTION("""COMPUTED_VALUE"""),1500609.0)</f>
        <v>1500609</v>
      </c>
      <c r="F279" s="124" t="str">
        <f>IFERROR(__xludf.DUMMYFUNCTION("""COMPUTED_VALUE"""),"7720_988_7")</f>
        <v>7720_988_7</v>
      </c>
      <c r="G279" s="124">
        <f>IFERROR(__xludf.DUMMYFUNCTION("""COMPUTED_VALUE"""),1.0)</f>
        <v>1</v>
      </c>
      <c r="H279" s="124" t="str">
        <f>IFERROR(__xludf.DUMMYFUNCTION("""COMPUTED_VALUE"""),"Not Available")</f>
        <v>Not Available</v>
      </c>
      <c r="I279" s="124">
        <f>IFERROR(__xludf.DUMMYFUNCTION("""COMPUTED_VALUE"""),0.0)</f>
        <v>0</v>
      </c>
      <c r="J279" s="124">
        <f>IFERROR(__xludf.DUMMYFUNCTION("""COMPUTED_VALUE"""),1.0)</f>
        <v>1</v>
      </c>
      <c r="K279" s="124">
        <f>IFERROR(__xludf.DUMMYFUNCTION("""COMPUTED_VALUE"""),1.0)</f>
        <v>1</v>
      </c>
      <c r="L279" s="124">
        <f>IFERROR(__xludf.DUMMYFUNCTION("""COMPUTED_VALUE"""),285.0)</f>
        <v>285</v>
      </c>
      <c r="M279" s="124" t="str">
        <f>IFERROR(__xludf.DUMMYFUNCTION("""COMPUTED_VALUE"""),"New Delhi")</f>
        <v>New Delhi</v>
      </c>
      <c r="N279" s="124" t="str">
        <f>IFERROR(__xludf.DUMMYFUNCTION("""COMPUTED_VALUE"""),"lakshayrana1406@gmail.com")</f>
        <v>lakshayrana1406@gmail.com</v>
      </c>
      <c r="O279" s="124" t="str">
        <f>IFERROR(__xludf.DUMMYFUNCTION("""COMPUTED_VALUE"""),"LAKSHAY")</f>
        <v>LAKSHAY</v>
      </c>
      <c r="P279" s="124">
        <f>IFERROR(__xludf.DUMMYFUNCTION("""COMPUTED_VALUE"""),123748.0)</f>
        <v>123748</v>
      </c>
      <c r="Q279" s="124" t="str">
        <f>IFERROR(__xludf.DUMMYFUNCTION("""COMPUTED_VALUE"""),"upsc-gs-foundation-hinglish-target-2027-gsf-upsc-e04-orn")</f>
        <v>upsc-gs-foundation-hinglish-target-2027-gsf-upsc-e04-orn</v>
      </c>
      <c r="R279" s="124" t="str">
        <f>IFERROR(__xludf.DUMMYFUNCTION("""COMPUTED_VALUE"""),"GS Foundation Course")</f>
        <v>GS Foundation Course</v>
      </c>
      <c r="S279" s="124">
        <f>IFERROR(__xludf.DUMMYFUNCTION("""COMPUTED_VALUE"""),8.920811162E9)</f>
        <v>8920811162</v>
      </c>
      <c r="T279" s="124" t="str">
        <f>IFERROR(__xludf.DUMMYFUNCTION("""COMPUTED_VALUE"""),"Collexo")</f>
        <v>Collexo</v>
      </c>
      <c r="U279" s="124" t="str">
        <f>IFERROR(__xludf.DUMMYFUNCTION("""COMPUTED_VALUE"""),"Success")</f>
        <v>Success</v>
      </c>
      <c r="V279" s="131">
        <f>IFERROR(__xludf.DUMMYFUNCTION("""COMPUTED_VALUE"""),46073.0)</f>
        <v>46073</v>
      </c>
      <c r="W279" s="124">
        <f>IFERROR(__xludf.DUMMYFUNCTION("""COMPUTED_VALUE"""),0.0)</f>
        <v>0</v>
      </c>
    </row>
    <row r="280">
      <c r="A280" s="124" t="str">
        <f t="shared" si="1"/>
        <v>aditigulia9@gmail.com</v>
      </c>
      <c r="B280" s="131">
        <f>IFERROR(__xludf.DUMMYFUNCTION("""COMPUTED_VALUE"""),46091.0)</f>
        <v>46091</v>
      </c>
      <c r="C280" s="124" t="str">
        <f>IFERROR(__xludf.DUMMYFUNCTION("""COMPUTED_VALUE"""),"Payment data from Collexo")</f>
        <v>Payment data from Collexo</v>
      </c>
      <c r="D280" s="124" t="str">
        <f>IFERROR(__xludf.DUMMYFUNCTION("""COMPUTED_VALUE"""),"Not Available")</f>
        <v>Not Available</v>
      </c>
      <c r="E280" s="124">
        <f>IFERROR(__xludf.DUMMYFUNCTION("""COMPUTED_VALUE"""),1500609.0)</f>
        <v>1500609</v>
      </c>
      <c r="F280" s="124" t="str">
        <f>IFERROR(__xludf.DUMMYFUNCTION("""COMPUTED_VALUE"""),"13432_988_7")</f>
        <v>13432_988_7</v>
      </c>
      <c r="G280" s="124">
        <f>IFERROR(__xludf.DUMMYFUNCTION("""COMPUTED_VALUE"""),5000.0)</f>
        <v>5000</v>
      </c>
      <c r="H280" s="131">
        <f>IFERROR(__xludf.DUMMYFUNCTION("""COMPUTED_VALUE"""),46092.0)</f>
        <v>46092</v>
      </c>
      <c r="I280" s="124">
        <f>IFERROR(__xludf.DUMMYFUNCTION("""COMPUTED_VALUE"""),10714.0)</f>
        <v>10714</v>
      </c>
      <c r="J280" s="124">
        <f>IFERROR(__xludf.DUMMYFUNCTION("""COMPUTED_VALUE"""),110000.0)</f>
        <v>110000</v>
      </c>
      <c r="K280" s="124">
        <f>IFERROR(__xludf.DUMMYFUNCTION("""COMPUTED_VALUE"""),3.0)</f>
        <v>3</v>
      </c>
      <c r="L280" s="124">
        <f>IFERROR(__xludf.DUMMYFUNCTION("""COMPUTED_VALUE"""),464.0)</f>
        <v>464</v>
      </c>
      <c r="M280" s="124" t="str">
        <f>IFERROR(__xludf.DUMMYFUNCTION("""COMPUTED_VALUE"""),"New Delhi")</f>
        <v>New Delhi</v>
      </c>
      <c r="N280" s="124" t="str">
        <f>IFERROR(__xludf.DUMMYFUNCTION("""COMPUTED_VALUE"""),"aditigulia9@gmail.com")</f>
        <v>aditigulia9@gmail.com</v>
      </c>
      <c r="O280" s="124" t="str">
        <f>IFERROR(__xludf.DUMMYFUNCTION("""COMPUTED_VALUE"""),"aditi gulia")</f>
        <v>aditi gulia</v>
      </c>
      <c r="P280" s="124">
        <f>IFERROR(__xludf.DUMMYFUNCTION("""COMPUTED_VALUE"""),127123.0)</f>
        <v>127123</v>
      </c>
      <c r="Q280" s="124" t="str">
        <f>IFERROR(__xludf.DUMMYFUNCTION("""COMPUTED_VALUE"""),"upsc-gs-foundation-hinglish-target-2027-gsf-upsc-e05-orn")</f>
        <v>upsc-gs-foundation-hinglish-target-2027-gsf-upsc-e05-orn</v>
      </c>
      <c r="R280" s="124" t="str">
        <f>IFERROR(__xludf.DUMMYFUNCTION("""COMPUTED_VALUE"""),"GS Foundation Course")</f>
        <v>GS Foundation Course</v>
      </c>
      <c r="S280" s="124">
        <f>IFERROR(__xludf.DUMMYFUNCTION("""COMPUTED_VALUE"""),7.827664144E9)</f>
        <v>7827664144</v>
      </c>
      <c r="T280" s="124" t="str">
        <f>IFERROR(__xludf.DUMMYFUNCTION("""COMPUTED_VALUE"""),"Not Available")</f>
        <v>Not Available</v>
      </c>
      <c r="U280" s="124" t="str">
        <f>IFERROR(__xludf.DUMMYFUNCTION("""COMPUTED_VALUE"""),"Not Available")</f>
        <v>Not Available</v>
      </c>
      <c r="V280" s="124" t="str">
        <f>IFERROR(__xludf.DUMMYFUNCTION("""COMPUTED_VALUE"""),"Not Available")</f>
        <v>Not Available</v>
      </c>
      <c r="W280" s="124" t="str">
        <f>IFERROR(__xludf.DUMMYFUNCTION("""COMPUTED_VALUE"""),"Not Available")</f>
        <v>Not Available</v>
      </c>
    </row>
    <row r="281">
      <c r="A281" s="124" t="str">
        <f t="shared" si="1"/>
        <v>prajapatianand9999@gmail.com</v>
      </c>
      <c r="B281" s="131">
        <f>IFERROR(__xludf.DUMMYFUNCTION("""COMPUTED_VALUE"""),46101.0)</f>
        <v>46101</v>
      </c>
      <c r="C281" s="124" t="str">
        <f>IFERROR(__xludf.DUMMYFUNCTION("""COMPUTED_VALUE"""),"Payment data from Collexo")</f>
        <v>Payment data from Collexo</v>
      </c>
      <c r="D281" s="124" t="str">
        <f>IFERROR(__xludf.DUMMYFUNCTION("""COMPUTED_VALUE"""),"Not Available")</f>
        <v>Not Available</v>
      </c>
      <c r="E281" s="124">
        <f>IFERROR(__xludf.DUMMYFUNCTION("""COMPUTED_VALUE"""),1500613.0)</f>
        <v>1500613</v>
      </c>
      <c r="F281" s="124">
        <f>IFERROR(__xludf.DUMMYFUNCTION("""COMPUTED_VALUE"""),128654.0)</f>
        <v>128654</v>
      </c>
      <c r="G281" s="124">
        <f>IFERROR(__xludf.DUMMYFUNCTION("""COMPUTED_VALUE"""),1000.0)</f>
        <v>1000</v>
      </c>
      <c r="H281" s="131">
        <f>IFERROR(__xludf.DUMMYFUNCTION("""COMPUTED_VALUE"""),46101.0)</f>
        <v>46101</v>
      </c>
      <c r="I281" s="124">
        <f>IFERROR(__xludf.DUMMYFUNCTION("""COMPUTED_VALUE"""),5000.0)</f>
        <v>5000</v>
      </c>
      <c r="J281" s="124">
        <f>IFERROR(__xludf.DUMMYFUNCTION("""COMPUTED_VALUE"""),47000.0)</f>
        <v>47000</v>
      </c>
      <c r="K281" s="124">
        <f>IFERROR(__xludf.DUMMYFUNCTION("""COMPUTED_VALUE"""),4.0)</f>
        <v>4</v>
      </c>
      <c r="L281" s="124">
        <f>IFERROR(__xludf.DUMMYFUNCTION("""COMPUTED_VALUE"""),637.0)</f>
        <v>637</v>
      </c>
      <c r="M281" s="124" t="str">
        <f>IFERROR(__xludf.DUMMYFUNCTION("""COMPUTED_VALUE"""),"Prayagraj")</f>
        <v>Prayagraj</v>
      </c>
      <c r="N281" s="124" t="str">
        <f>IFERROR(__xludf.DUMMYFUNCTION("""COMPUTED_VALUE"""),"prajapatianand9999@gmail.com")</f>
        <v>prajapatianand9999@gmail.com</v>
      </c>
      <c r="O281" s="124" t="str">
        <f>IFERROR(__xludf.DUMMYFUNCTION("""COMPUTED_VALUE"""),"Anand Kumar Prajapati")</f>
        <v>Anand Kumar Prajapati</v>
      </c>
      <c r="P281" s="124">
        <f>IFERROR(__xludf.DUMMYFUNCTION("""COMPUTED_VALUE"""),128654.0)</f>
        <v>128654</v>
      </c>
      <c r="Q281" s="124" t="str">
        <f>IFERROR(__xludf.DUMMYFUNCTION("""COMPUTED_VALUE"""),"upsc-gs-foundation-hinglish-target-2027-gsf-upsc-e03-pry")</f>
        <v>upsc-gs-foundation-hinglish-target-2027-gsf-upsc-e03-pry</v>
      </c>
      <c r="R281" s="124" t="str">
        <f>IFERROR(__xludf.DUMMYFUNCTION("""COMPUTED_VALUE"""),"GS Foundation Course")</f>
        <v>GS Foundation Course</v>
      </c>
      <c r="S281" s="124">
        <f>IFERROR(__xludf.DUMMYFUNCTION("""COMPUTED_VALUE"""),8.299899506E9)</f>
        <v>8299899506</v>
      </c>
      <c r="T281" s="124" t="str">
        <f>IFERROR(__xludf.DUMMYFUNCTION("""COMPUTED_VALUE"""),"Not Available")</f>
        <v>Not Available</v>
      </c>
      <c r="U281" s="124" t="str">
        <f>IFERROR(__xludf.DUMMYFUNCTION("""COMPUTED_VALUE"""),"Not Available")</f>
        <v>Not Available</v>
      </c>
      <c r="V281" s="124" t="str">
        <f>IFERROR(__xludf.DUMMYFUNCTION("""COMPUTED_VALUE"""),"Not Available")</f>
        <v>Not Available</v>
      </c>
      <c r="W281" s="124" t="str">
        <f>IFERROR(__xludf.DUMMYFUNCTION("""COMPUTED_VALUE"""),"Not Available")</f>
        <v>Not Available</v>
      </c>
    </row>
    <row r="282">
      <c r="A282" s="124" t="str">
        <f t="shared" si="1"/>
        <v>shourypratap8@gmail.com</v>
      </c>
      <c r="B282" s="131">
        <f>IFERROR(__xludf.DUMMYFUNCTION("""COMPUTED_VALUE"""),46079.0)</f>
        <v>46079</v>
      </c>
      <c r="C282" s="124" t="str">
        <f>IFERROR(__xludf.DUMMYFUNCTION("""COMPUTED_VALUE"""),"Payment data from Collexo")</f>
        <v>Payment data from Collexo</v>
      </c>
      <c r="D282" s="124" t="str">
        <f>IFERROR(__xludf.DUMMYFUNCTION("""COMPUTED_VALUE"""),"Not Available")</f>
        <v>Not Available</v>
      </c>
      <c r="E282" s="124">
        <f>IFERROR(__xludf.DUMMYFUNCTION("""COMPUTED_VALUE"""),1500613.0)</f>
        <v>1500613</v>
      </c>
      <c r="F282" s="124">
        <f>IFERROR(__xludf.DUMMYFUNCTION("""COMPUTED_VALUE"""),124471.0)</f>
        <v>124471</v>
      </c>
      <c r="G282" s="124">
        <f>IFERROR(__xludf.DUMMYFUNCTION("""COMPUTED_VALUE"""),1000.0)</f>
        <v>1000</v>
      </c>
      <c r="H282" s="131">
        <f>IFERROR(__xludf.DUMMYFUNCTION("""COMPUTED_VALUE"""),46081.0)</f>
        <v>46081</v>
      </c>
      <c r="I282" s="124">
        <f>IFERROR(__xludf.DUMMYFUNCTION("""COMPUTED_VALUE"""),69647.0)</f>
        <v>69647</v>
      </c>
      <c r="J282" s="124">
        <f>IFERROR(__xludf.DUMMYFUNCTION("""COMPUTED_VALUE"""),70647.0)</f>
        <v>70647</v>
      </c>
      <c r="K282" s="124">
        <f>IFERROR(__xludf.DUMMYFUNCTION("""COMPUTED_VALUE"""),2.0)</f>
        <v>2</v>
      </c>
      <c r="L282" s="124">
        <f>IFERROR(__xludf.DUMMYFUNCTION("""COMPUTED_VALUE"""),357.0)</f>
        <v>357</v>
      </c>
      <c r="M282" s="124" t="str">
        <f>IFERROR(__xludf.DUMMYFUNCTION("""COMPUTED_VALUE"""),"Prayagraj")</f>
        <v>Prayagraj</v>
      </c>
      <c r="N282" s="124" t="str">
        <f>IFERROR(__xludf.DUMMYFUNCTION("""COMPUTED_VALUE"""),"shourypratap8@gmail.com")</f>
        <v>shourypratap8@gmail.com</v>
      </c>
      <c r="O282" s="124" t="str">
        <f>IFERROR(__xludf.DUMMYFUNCTION("""COMPUTED_VALUE"""),"Shaurya")</f>
        <v>Shaurya</v>
      </c>
      <c r="P282" s="124">
        <f>IFERROR(__xludf.DUMMYFUNCTION("""COMPUTED_VALUE"""),124471.0)</f>
        <v>124471</v>
      </c>
      <c r="Q282" s="124" t="str">
        <f>IFERROR(__xludf.DUMMYFUNCTION("""COMPUTED_VALUE"""),"upsc-gs-foundation-hindi-target-2027-gsf-upsc-m02-pry")</f>
        <v>upsc-gs-foundation-hindi-target-2027-gsf-upsc-m02-pry</v>
      </c>
      <c r="R282" s="124" t="str">
        <f>IFERROR(__xludf.DUMMYFUNCTION("""COMPUTED_VALUE"""),"GS Foundation Course")</f>
        <v>GS Foundation Course</v>
      </c>
      <c r="S282" s="124">
        <f>IFERROR(__xludf.DUMMYFUNCTION("""COMPUTED_VALUE"""),9.120477442E9)</f>
        <v>9120477442</v>
      </c>
      <c r="T282" s="124" t="str">
        <f>IFERROR(__xludf.DUMMYFUNCTION("""COMPUTED_VALUE"""),"Not Available")</f>
        <v>Not Available</v>
      </c>
      <c r="U282" s="124" t="str">
        <f>IFERROR(__xludf.DUMMYFUNCTION("""COMPUTED_VALUE"""),"Not Available")</f>
        <v>Not Available</v>
      </c>
      <c r="V282" s="124" t="str">
        <f>IFERROR(__xludf.DUMMYFUNCTION("""COMPUTED_VALUE"""),"Not Available")</f>
        <v>Not Available</v>
      </c>
      <c r="W282" s="124" t="str">
        <f>IFERROR(__xludf.DUMMYFUNCTION("""COMPUTED_VALUE"""),"Not Available")</f>
        <v>Not Available</v>
      </c>
    </row>
    <row r="283">
      <c r="A283" s="124" t="str">
        <f t="shared" si="1"/>
        <v>metier18@gmail.com</v>
      </c>
      <c r="B283" s="131">
        <f>IFERROR(__xludf.DUMMYFUNCTION("""COMPUTED_VALUE"""),46106.0)</f>
        <v>46106</v>
      </c>
      <c r="C283" s="124" t="str">
        <f>IFERROR(__xludf.DUMMYFUNCTION("""COMPUTED_VALUE"""),"Payment data from Collexo")</f>
        <v>Payment data from Collexo</v>
      </c>
      <c r="D283" s="124" t="str">
        <f>IFERROR(__xludf.DUMMYFUNCTION("""COMPUTED_VALUE"""),"Not Available")</f>
        <v>Not Available</v>
      </c>
      <c r="E283" s="124">
        <f>IFERROR(__xludf.DUMMYFUNCTION("""COMPUTED_VALUE"""),1500609.0)</f>
        <v>1500609</v>
      </c>
      <c r="F283" s="124" t="str">
        <f>IFERROR(__xludf.DUMMYFUNCTION("""COMPUTED_VALUE"""),"16516_988_7")</f>
        <v>16516_988_7</v>
      </c>
      <c r="G283" s="124">
        <f>IFERROR(__xludf.DUMMYFUNCTION("""COMPUTED_VALUE"""),5000.0)</f>
        <v>5000</v>
      </c>
      <c r="H283" s="131">
        <f>IFERROR(__xludf.DUMMYFUNCTION("""COMPUTED_VALUE"""),46112.0)</f>
        <v>46112</v>
      </c>
      <c r="I283" s="124">
        <f>IFERROR(__xludf.DUMMYFUNCTION("""COMPUTED_VALUE"""),50000.0)</f>
        <v>50000</v>
      </c>
      <c r="J283" s="124">
        <f>IFERROR(__xludf.DUMMYFUNCTION("""COMPUTED_VALUE"""),55000.0)</f>
        <v>55000</v>
      </c>
      <c r="K283" s="124">
        <f>IFERROR(__xludf.DUMMYFUNCTION("""COMPUTED_VALUE"""),2.0)</f>
        <v>2</v>
      </c>
      <c r="L283" s="124">
        <f>IFERROR(__xludf.DUMMYFUNCTION("""COMPUTED_VALUE"""),734.0)</f>
        <v>734</v>
      </c>
      <c r="M283" s="124" t="str">
        <f>IFERROR(__xludf.DUMMYFUNCTION("""COMPUTED_VALUE"""),"New Delhi")</f>
        <v>New Delhi</v>
      </c>
      <c r="N283" s="124" t="str">
        <f>IFERROR(__xludf.DUMMYFUNCTION("""COMPUTED_VALUE"""),"metier18@gmail.com")</f>
        <v>metier18@gmail.com</v>
      </c>
      <c r="O283" s="124" t="str">
        <f>IFERROR(__xludf.DUMMYFUNCTION("""COMPUTED_VALUE"""),"SHASHIKANT TIWARI")</f>
        <v>SHASHIKANT TIWARI</v>
      </c>
      <c r="P283" s="124">
        <f>IFERROR(__xludf.DUMMYFUNCTION("""COMPUTED_VALUE"""),133131.0)</f>
        <v>133131</v>
      </c>
      <c r="Q283" s="124" t="str">
        <f>IFERROR(__xludf.DUMMYFUNCTION("""COMPUTED_VALUE"""),"upsc-gs-foundation-hinglish-target-2027-gsf-upsc-e05-orn")</f>
        <v>upsc-gs-foundation-hinglish-target-2027-gsf-upsc-e05-orn</v>
      </c>
      <c r="R283" s="124" t="str">
        <f>IFERROR(__xludf.DUMMYFUNCTION("""COMPUTED_VALUE"""),"GS Foundation Course")</f>
        <v>GS Foundation Course</v>
      </c>
      <c r="S283" s="124">
        <f>IFERROR(__xludf.DUMMYFUNCTION("""COMPUTED_VALUE"""),9.664198337E9)</f>
        <v>9664198337</v>
      </c>
      <c r="T283" s="124" t="str">
        <f>IFERROR(__xludf.DUMMYFUNCTION("""COMPUTED_VALUE"""),"Not Available")</f>
        <v>Not Available</v>
      </c>
      <c r="U283" s="124" t="str">
        <f>IFERROR(__xludf.DUMMYFUNCTION("""COMPUTED_VALUE"""),"Not Available")</f>
        <v>Not Available</v>
      </c>
      <c r="V283" s="124" t="str">
        <f>IFERROR(__xludf.DUMMYFUNCTION("""COMPUTED_VALUE"""),"Not Available")</f>
        <v>Not Available</v>
      </c>
      <c r="W283" s="124" t="str">
        <f>IFERROR(__xludf.DUMMYFUNCTION("""COMPUTED_VALUE"""),"Not Available")</f>
        <v>Not Available</v>
      </c>
    </row>
    <row r="284">
      <c r="A284" s="124" t="str">
        <f t="shared" si="1"/>
        <v>shivanikrishan123456@gmail.com</v>
      </c>
      <c r="B284" s="131">
        <f>IFERROR(__xludf.DUMMYFUNCTION("""COMPUTED_VALUE"""),46081.0)</f>
        <v>46081</v>
      </c>
      <c r="C284" s="124" t="str">
        <f>IFERROR(__xludf.DUMMYFUNCTION("""COMPUTED_VALUE"""),"Payment data from Collexo")</f>
        <v>Payment data from Collexo</v>
      </c>
      <c r="D284" s="124" t="str">
        <f>IFERROR(__xludf.DUMMYFUNCTION("""COMPUTED_VALUE"""),"Not Available")</f>
        <v>Not Available</v>
      </c>
      <c r="E284" s="124">
        <f>IFERROR(__xludf.DUMMYFUNCTION("""COMPUTED_VALUE"""),1500613.0)</f>
        <v>1500613</v>
      </c>
      <c r="F284" s="124">
        <f>IFERROR(__xludf.DUMMYFUNCTION("""COMPUTED_VALUE"""),125791.0)</f>
        <v>125791</v>
      </c>
      <c r="G284" s="124">
        <f>IFERROR(__xludf.DUMMYFUNCTION("""COMPUTED_VALUE"""),4338.0)</f>
        <v>4338</v>
      </c>
      <c r="H284" s="131">
        <f>IFERROR(__xludf.DUMMYFUNCTION("""COMPUTED_VALUE"""),46084.0)</f>
        <v>46084</v>
      </c>
      <c r="I284" s="124">
        <f>IFERROR(__xludf.DUMMYFUNCTION("""COMPUTED_VALUE"""),20662.0)</f>
        <v>20662</v>
      </c>
      <c r="J284" s="124">
        <f>IFERROR(__xludf.DUMMYFUNCTION("""COMPUTED_VALUE"""),25000.0)</f>
        <v>25000</v>
      </c>
      <c r="K284" s="124">
        <f>IFERROR(__xludf.DUMMYFUNCTION("""COMPUTED_VALUE"""),2.0)</f>
        <v>2</v>
      </c>
      <c r="L284" s="124">
        <f>IFERROR(__xludf.DUMMYFUNCTION("""COMPUTED_VALUE"""),393.0)</f>
        <v>393</v>
      </c>
      <c r="M284" s="124" t="str">
        <f>IFERROR(__xludf.DUMMYFUNCTION("""COMPUTED_VALUE"""),"Prayagraj")</f>
        <v>Prayagraj</v>
      </c>
      <c r="N284" s="124" t="str">
        <f>IFERROR(__xludf.DUMMYFUNCTION("""COMPUTED_VALUE"""),"shivanikrishan123456@gmail.com")</f>
        <v>shivanikrishan123456@gmail.com</v>
      </c>
      <c r="O284" s="124" t="str">
        <f>IFERROR(__xludf.DUMMYFUNCTION("""COMPUTED_VALUE"""),"Pooja Chaurasiya")</f>
        <v>Pooja Chaurasiya</v>
      </c>
      <c r="P284" s="124">
        <f>IFERROR(__xludf.DUMMYFUNCTION("""COMPUTED_VALUE"""),125791.0)</f>
        <v>125791</v>
      </c>
      <c r="Q284" s="124" t="str">
        <f>IFERROR(__xludf.DUMMYFUNCTION("""COMPUTED_VALUE"""),"samadhan-mentorship-program-pry")</f>
        <v>samadhan-mentorship-program-pry</v>
      </c>
      <c r="R284" s="124" t="str">
        <f>IFERROR(__xludf.DUMMYFUNCTION("""COMPUTED_VALUE"""),"Mentorship - Samadhan")</f>
        <v>Mentorship - Samadhan</v>
      </c>
      <c r="S284" s="124">
        <f>IFERROR(__xludf.DUMMYFUNCTION("""COMPUTED_VALUE"""),8.127426997E9)</f>
        <v>8127426997</v>
      </c>
      <c r="T284" s="124" t="str">
        <f>IFERROR(__xludf.DUMMYFUNCTION("""COMPUTED_VALUE"""),"Not Available")</f>
        <v>Not Available</v>
      </c>
      <c r="U284" s="124" t="str">
        <f>IFERROR(__xludf.DUMMYFUNCTION("""COMPUTED_VALUE"""),"Not Available")</f>
        <v>Not Available</v>
      </c>
      <c r="V284" s="124" t="str">
        <f>IFERROR(__xludf.DUMMYFUNCTION("""COMPUTED_VALUE"""),"Not Available")</f>
        <v>Not Available</v>
      </c>
      <c r="W284" s="124" t="str">
        <f>IFERROR(__xludf.DUMMYFUNCTION("""COMPUTED_VALUE"""),"Not Available")</f>
        <v>Not Available</v>
      </c>
    </row>
    <row r="285">
      <c r="A285" s="124" t="str">
        <f t="shared" si="1"/>
        <v>apoorvaydv4959@gmail.com</v>
      </c>
      <c r="B285" s="131">
        <f>IFERROR(__xludf.DUMMYFUNCTION("""COMPUTED_VALUE"""),46078.0)</f>
        <v>46078</v>
      </c>
      <c r="C285" s="124" t="str">
        <f>IFERROR(__xludf.DUMMYFUNCTION("""COMPUTED_VALUE"""),"Payment data from Collexo")</f>
        <v>Payment data from Collexo</v>
      </c>
      <c r="D285" s="124" t="str">
        <f>IFERROR(__xludf.DUMMYFUNCTION("""COMPUTED_VALUE"""),"Not Available")</f>
        <v>Not Available</v>
      </c>
      <c r="E285" s="124">
        <f>IFERROR(__xludf.DUMMYFUNCTION("""COMPUTED_VALUE"""),1500609.0)</f>
        <v>1500609</v>
      </c>
      <c r="F285" s="124" t="str">
        <f>IFERROR(__xludf.DUMMYFUNCTION("""COMPUTED_VALUE"""),"10913_988_7")</f>
        <v>10913_988_7</v>
      </c>
      <c r="G285" s="124">
        <f>IFERROR(__xludf.DUMMYFUNCTION("""COMPUTED_VALUE"""),60000.0)</f>
        <v>60000</v>
      </c>
      <c r="H285" s="124" t="str">
        <f>IFERROR(__xludf.DUMMYFUNCTION("""COMPUTED_VALUE"""),"Not Available")</f>
        <v>Not Available</v>
      </c>
      <c r="I285" s="124">
        <f>IFERROR(__xludf.DUMMYFUNCTION("""COMPUTED_VALUE"""),0.0)</f>
        <v>0</v>
      </c>
      <c r="J285" s="124">
        <f>IFERROR(__xludf.DUMMYFUNCTION("""COMPUTED_VALUE"""),100000.0)</f>
        <v>100000</v>
      </c>
      <c r="K285" s="124">
        <f>IFERROR(__xludf.DUMMYFUNCTION("""COMPUTED_VALUE"""),3.0)</f>
        <v>3</v>
      </c>
      <c r="L285" s="124">
        <f>IFERROR(__xludf.DUMMYFUNCTION("""COMPUTED_VALUE"""),334.0)</f>
        <v>334</v>
      </c>
      <c r="M285" s="124" t="str">
        <f>IFERROR(__xludf.DUMMYFUNCTION("""COMPUTED_VALUE"""),"New Delhi")</f>
        <v>New Delhi</v>
      </c>
      <c r="N285" s="124" t="str">
        <f>IFERROR(__xludf.DUMMYFUNCTION("""COMPUTED_VALUE"""),"apoorvaydv4959@gmail.com")</f>
        <v>apoorvaydv4959@gmail.com</v>
      </c>
      <c r="O285" s="124" t="str">
        <f>IFERROR(__xludf.DUMMYFUNCTION("""COMPUTED_VALUE"""),"Apoorva Yadav")</f>
        <v>Apoorva Yadav</v>
      </c>
      <c r="P285" s="124">
        <f>IFERROR(__xludf.DUMMYFUNCTION("""COMPUTED_VALUE"""),120320.0)</f>
        <v>120320</v>
      </c>
      <c r="Q285" s="124" t="str">
        <f>IFERROR(__xludf.DUMMYFUNCTION("""COMPUTED_VALUE"""),"upsc-gs-foundation-hinglish-target-2028-gsf-upsc-e03-orn")</f>
        <v>upsc-gs-foundation-hinglish-target-2028-gsf-upsc-e03-orn</v>
      </c>
      <c r="R285" s="124" t="str">
        <f>IFERROR(__xludf.DUMMYFUNCTION("""COMPUTED_VALUE"""),"GS Foundation Course")</f>
        <v>GS Foundation Course</v>
      </c>
      <c r="S285" s="124">
        <f>IFERROR(__xludf.DUMMYFUNCTION("""COMPUTED_VALUE"""),9.259496903E9)</f>
        <v>9259496903</v>
      </c>
      <c r="T285" s="124" t="str">
        <f>IFERROR(__xludf.DUMMYFUNCTION("""COMPUTED_VALUE"""),"Collexo")</f>
        <v>Collexo</v>
      </c>
      <c r="U285" s="124" t="str">
        <f>IFERROR(__xludf.DUMMYFUNCTION("""COMPUTED_VALUE"""),"Success")</f>
        <v>Success</v>
      </c>
      <c r="V285" s="131">
        <f>IFERROR(__xludf.DUMMYFUNCTION("""COMPUTED_VALUE"""),46078.0)</f>
        <v>46078</v>
      </c>
      <c r="W285" s="124">
        <f>IFERROR(__xludf.DUMMYFUNCTION("""COMPUTED_VALUE"""),0.0)</f>
        <v>0</v>
      </c>
    </row>
    <row r="286">
      <c r="A286" s="124" t="str">
        <f t="shared" si="1"/>
        <v>dipeekameda32.36@gmail.com</v>
      </c>
      <c r="B286" s="131">
        <f>IFERROR(__xludf.DUMMYFUNCTION("""COMPUTED_VALUE"""),46067.0)</f>
        <v>46067</v>
      </c>
      <c r="C286" s="124" t="str">
        <f>IFERROR(__xludf.DUMMYFUNCTION("""COMPUTED_VALUE"""),"Payment data from Collexo")</f>
        <v>Payment data from Collexo</v>
      </c>
      <c r="D286" s="124" t="str">
        <f>IFERROR(__xludf.DUMMYFUNCTION("""COMPUTED_VALUE"""),"Not Available")</f>
        <v>Not Available</v>
      </c>
      <c r="E286" s="124">
        <f>IFERROR(__xludf.DUMMYFUNCTION("""COMPUTED_VALUE"""),1500612.0)</f>
        <v>1500612</v>
      </c>
      <c r="F286" s="124">
        <f>IFERROR(__xludf.DUMMYFUNCTION("""COMPUTED_VALUE"""),23787.0)</f>
        <v>23787</v>
      </c>
      <c r="G286" s="124">
        <f>IFERROR(__xludf.DUMMYFUNCTION("""COMPUTED_VALUE"""),1000.0)</f>
        <v>1000</v>
      </c>
      <c r="H286" s="131">
        <f>IFERROR(__xludf.DUMMYFUNCTION("""COMPUTED_VALUE"""),46074.0)</f>
        <v>46074</v>
      </c>
      <c r="I286" s="124">
        <f>IFERROR(__xludf.DUMMYFUNCTION("""COMPUTED_VALUE"""),35000.0)</f>
        <v>35000</v>
      </c>
      <c r="J286" s="124">
        <f>IFERROR(__xludf.DUMMYFUNCTION("""COMPUTED_VALUE"""),36000.0)</f>
        <v>36000</v>
      </c>
      <c r="K286" s="124">
        <f>IFERROR(__xludf.DUMMYFUNCTION("""COMPUTED_VALUE"""),2.0)</f>
        <v>2</v>
      </c>
      <c r="L286" s="124">
        <f>IFERROR(__xludf.DUMMYFUNCTION("""COMPUTED_VALUE"""),207.0)</f>
        <v>207</v>
      </c>
      <c r="M286" s="124" t="str">
        <f>IFERROR(__xludf.DUMMYFUNCTION("""COMPUTED_VALUE"""),"Indore")</f>
        <v>Indore</v>
      </c>
      <c r="N286" s="124" t="str">
        <f>IFERROR(__xludf.DUMMYFUNCTION("""COMPUTED_VALUE"""),"dipeekameda32.36@gmail.com")</f>
        <v>dipeekameda32.36@gmail.com</v>
      </c>
      <c r="O286" s="124" t="str">
        <f>IFERROR(__xludf.DUMMYFUNCTION("""COMPUTED_VALUE"""),"DEEPIKA MEDA")</f>
        <v>DEEPIKA MEDA</v>
      </c>
      <c r="P286" s="124">
        <f>IFERROR(__xludf.DUMMYFUNCTION("""COMPUTED_VALUE"""),23787.0)</f>
        <v>23787</v>
      </c>
      <c r="Q286" s="124" t="str">
        <f>IFERROR(__xludf.DUMMYFUNCTION("""COMPUTED_VALUE"""),"upsc-gs-foundation-hinglish-target-2027-gsf-upsc-m02-ind")</f>
        <v>upsc-gs-foundation-hinglish-target-2027-gsf-upsc-m02-ind</v>
      </c>
      <c r="R286" s="124" t="str">
        <f>IFERROR(__xludf.DUMMYFUNCTION("""COMPUTED_VALUE"""),"GS Foundation Course")</f>
        <v>GS Foundation Course</v>
      </c>
      <c r="S286" s="124">
        <f>IFERROR(__xludf.DUMMYFUNCTION("""COMPUTED_VALUE"""),9.977913236E9)</f>
        <v>9977913236</v>
      </c>
      <c r="T286" s="124" t="str">
        <f>IFERROR(__xludf.DUMMYFUNCTION("""COMPUTED_VALUE"""),"Not Available")</f>
        <v>Not Available</v>
      </c>
      <c r="U286" s="124" t="str">
        <f>IFERROR(__xludf.DUMMYFUNCTION("""COMPUTED_VALUE"""),"Not Available")</f>
        <v>Not Available</v>
      </c>
      <c r="V286" s="124" t="str">
        <f>IFERROR(__xludf.DUMMYFUNCTION("""COMPUTED_VALUE"""),"Not Available")</f>
        <v>Not Available</v>
      </c>
      <c r="W286" s="124" t="str">
        <f>IFERROR(__xludf.DUMMYFUNCTION("""COMPUTED_VALUE"""),"Not Available")</f>
        <v>Not Available</v>
      </c>
    </row>
    <row r="287">
      <c r="A287" s="124" t="str">
        <f t="shared" si="1"/>
        <v>SunainaKumari@gmail.com</v>
      </c>
      <c r="B287" s="131">
        <f>IFERROR(__xludf.DUMMYFUNCTION("""COMPUTED_VALUE"""),46091.0)</f>
        <v>46091</v>
      </c>
      <c r="C287" s="124" t="str">
        <f>IFERROR(__xludf.DUMMYFUNCTION("""COMPUTED_VALUE"""),"Payment data from Collexo")</f>
        <v>Payment data from Collexo</v>
      </c>
      <c r="D287" s="124" t="str">
        <f>IFERROR(__xludf.DUMMYFUNCTION("""COMPUTED_VALUE"""),"Not Available")</f>
        <v>Not Available</v>
      </c>
      <c r="E287" s="124">
        <f>IFERROR(__xludf.DUMMYFUNCTION("""COMPUTED_VALUE"""),1500613.0)</f>
        <v>1500613</v>
      </c>
      <c r="F287" s="124">
        <f>IFERROR(__xludf.DUMMYFUNCTION("""COMPUTED_VALUE"""),126806.0)</f>
        <v>126806</v>
      </c>
      <c r="G287" s="124">
        <f>IFERROR(__xludf.DUMMYFUNCTION("""COMPUTED_VALUE"""),8600.0)</f>
        <v>8600</v>
      </c>
      <c r="H287" s="131">
        <f>IFERROR(__xludf.DUMMYFUNCTION("""COMPUTED_VALUE"""),46095.0)</f>
        <v>46095</v>
      </c>
      <c r="I287" s="124">
        <f>IFERROR(__xludf.DUMMYFUNCTION("""COMPUTED_VALUE"""),50400.0)</f>
        <v>50400</v>
      </c>
      <c r="J287" s="124">
        <f>IFERROR(__xludf.DUMMYFUNCTION("""COMPUTED_VALUE"""),59000.0)</f>
        <v>59000</v>
      </c>
      <c r="K287" s="124">
        <f>IFERROR(__xludf.DUMMYFUNCTION("""COMPUTED_VALUE"""),2.0)</f>
        <v>2</v>
      </c>
      <c r="L287" s="124">
        <f>IFERROR(__xludf.DUMMYFUNCTION("""COMPUTED_VALUE"""),461.0)</f>
        <v>461</v>
      </c>
      <c r="M287" s="124" t="str">
        <f>IFERROR(__xludf.DUMMYFUNCTION("""COMPUTED_VALUE"""),"Prayagraj")</f>
        <v>Prayagraj</v>
      </c>
      <c r="N287" s="124" t="str">
        <f>IFERROR(__xludf.DUMMYFUNCTION("""COMPUTED_VALUE"""),"SunainaKumari@gmail.com")</f>
        <v>SunainaKumari@gmail.com</v>
      </c>
      <c r="O287" s="124" t="str">
        <f>IFERROR(__xludf.DUMMYFUNCTION("""COMPUTED_VALUE"""),"Sunaina")</f>
        <v>Sunaina</v>
      </c>
      <c r="P287" s="124">
        <f>IFERROR(__xludf.DUMMYFUNCTION("""COMPUTED_VALUE"""),126806.0)</f>
        <v>126806</v>
      </c>
      <c r="Q287" s="124" t="str">
        <f>IFERROR(__xludf.DUMMYFUNCTION("""COMPUTED_VALUE"""),"upsc-gs-foundation-hindi-target-2027-gsf-upsc-m02-pry")</f>
        <v>upsc-gs-foundation-hindi-target-2027-gsf-upsc-m02-pry</v>
      </c>
      <c r="R287" s="124" t="str">
        <f>IFERROR(__xludf.DUMMYFUNCTION("""COMPUTED_VALUE"""),"GS Foundation Course")</f>
        <v>GS Foundation Course</v>
      </c>
      <c r="S287" s="124">
        <f>IFERROR(__xludf.DUMMYFUNCTION("""COMPUTED_VALUE"""),8.271204184E9)</f>
        <v>8271204184</v>
      </c>
      <c r="T287" s="124" t="str">
        <f>IFERROR(__xludf.DUMMYFUNCTION("""COMPUTED_VALUE"""),"Not Available")</f>
        <v>Not Available</v>
      </c>
      <c r="U287" s="124" t="str">
        <f>IFERROR(__xludf.DUMMYFUNCTION("""COMPUTED_VALUE"""),"Not Available")</f>
        <v>Not Available</v>
      </c>
      <c r="V287" s="124" t="str">
        <f>IFERROR(__xludf.DUMMYFUNCTION("""COMPUTED_VALUE"""),"Not Available")</f>
        <v>Not Available</v>
      </c>
      <c r="W287" s="124" t="str">
        <f>IFERROR(__xludf.DUMMYFUNCTION("""COMPUTED_VALUE"""),"Not Available")</f>
        <v>Not Available</v>
      </c>
    </row>
    <row r="288">
      <c r="A288" s="124" t="str">
        <f t="shared" si="1"/>
        <v>tripathishwetank5@gmail.com</v>
      </c>
      <c r="B288" s="131">
        <f>IFERROR(__xludf.DUMMYFUNCTION("""COMPUTED_VALUE"""),46068.0)</f>
        <v>46068</v>
      </c>
      <c r="C288" s="124" t="str">
        <f>IFERROR(__xludf.DUMMYFUNCTION("""COMPUTED_VALUE"""),"Payment data from Collexo")</f>
        <v>Payment data from Collexo</v>
      </c>
      <c r="D288" s="124" t="str">
        <f>IFERROR(__xludf.DUMMYFUNCTION("""COMPUTED_VALUE"""),"Not Available")</f>
        <v>Not Available</v>
      </c>
      <c r="E288" s="124">
        <f>IFERROR(__xludf.DUMMYFUNCTION("""COMPUTED_VALUE"""),1500613.0)</f>
        <v>1500613</v>
      </c>
      <c r="F288" s="124">
        <f>IFERROR(__xludf.DUMMYFUNCTION("""COMPUTED_VALUE"""),123024.0)</f>
        <v>123024</v>
      </c>
      <c r="G288" s="124">
        <f>IFERROR(__xludf.DUMMYFUNCTION("""COMPUTED_VALUE"""),2000.0)</f>
        <v>2000</v>
      </c>
      <c r="H288" s="131">
        <f>IFERROR(__xludf.DUMMYFUNCTION("""COMPUTED_VALUE"""),46068.0)</f>
        <v>46068</v>
      </c>
      <c r="I288" s="124">
        <f>IFERROR(__xludf.DUMMYFUNCTION("""COMPUTED_VALUE"""),43000.0)</f>
        <v>43000</v>
      </c>
      <c r="J288" s="124">
        <f>IFERROR(__xludf.DUMMYFUNCTION("""COMPUTED_VALUE"""),45000.0)</f>
        <v>45000</v>
      </c>
      <c r="K288" s="124">
        <f>IFERROR(__xludf.DUMMYFUNCTION("""COMPUTED_VALUE"""),2.0)</f>
        <v>2</v>
      </c>
      <c r="L288" s="124">
        <f>IFERROR(__xludf.DUMMYFUNCTION("""COMPUTED_VALUE"""),215.0)</f>
        <v>215</v>
      </c>
      <c r="M288" s="124" t="str">
        <f>IFERROR(__xludf.DUMMYFUNCTION("""COMPUTED_VALUE"""),"Prayagraj")</f>
        <v>Prayagraj</v>
      </c>
      <c r="N288" s="124" t="str">
        <f>IFERROR(__xludf.DUMMYFUNCTION("""COMPUTED_VALUE"""),"tripathishwetank5@gmail.com")</f>
        <v>tripathishwetank5@gmail.com</v>
      </c>
      <c r="O288" s="124" t="str">
        <f>IFERROR(__xludf.DUMMYFUNCTION("""COMPUTED_VALUE"""),"Shwetank Tripathi")</f>
        <v>Shwetank Tripathi</v>
      </c>
      <c r="P288" s="124">
        <f>IFERROR(__xludf.DUMMYFUNCTION("""COMPUTED_VALUE"""),123024.0)</f>
        <v>123024</v>
      </c>
      <c r="Q288" s="124" t="str">
        <f>IFERROR(__xludf.DUMMYFUNCTION("""COMPUTED_VALUE"""),"upsc-gs-foundation-hinglish-target-2027-gsf-upsc-e02-pry")</f>
        <v>upsc-gs-foundation-hinglish-target-2027-gsf-upsc-e02-pry</v>
      </c>
      <c r="R288" s="124" t="str">
        <f>IFERROR(__xludf.DUMMYFUNCTION("""COMPUTED_VALUE"""),"GS Foundation Course")</f>
        <v>GS Foundation Course</v>
      </c>
      <c r="S288" s="124">
        <f>IFERROR(__xludf.DUMMYFUNCTION("""COMPUTED_VALUE"""),9.219573776E9)</f>
        <v>9219573776</v>
      </c>
      <c r="T288" s="124" t="str">
        <f>IFERROR(__xludf.DUMMYFUNCTION("""COMPUTED_VALUE"""),"Not Available")</f>
        <v>Not Available</v>
      </c>
      <c r="U288" s="124" t="str">
        <f>IFERROR(__xludf.DUMMYFUNCTION("""COMPUTED_VALUE"""),"Not Available")</f>
        <v>Not Available</v>
      </c>
      <c r="V288" s="124" t="str">
        <f>IFERROR(__xludf.DUMMYFUNCTION("""COMPUTED_VALUE"""),"Not Available")</f>
        <v>Not Available</v>
      </c>
      <c r="W288" s="124" t="str">
        <f>IFERROR(__xludf.DUMMYFUNCTION("""COMPUTED_VALUE"""),"Not Available")</f>
        <v>Not Available</v>
      </c>
    </row>
    <row r="289">
      <c r="A289" s="124" t="str">
        <f t="shared" si="1"/>
        <v>Pihu.kashyappppp@gmail.com</v>
      </c>
      <c r="B289" s="131">
        <f>IFERROR(__xludf.DUMMYFUNCTION("""COMPUTED_VALUE"""),46090.0)</f>
        <v>46090</v>
      </c>
      <c r="C289" s="124" t="str">
        <f>IFERROR(__xludf.DUMMYFUNCTION("""COMPUTED_VALUE"""),"Payment data from Collexo")</f>
        <v>Payment data from Collexo</v>
      </c>
      <c r="D289" s="124" t="str">
        <f>IFERROR(__xludf.DUMMYFUNCTION("""COMPUTED_VALUE"""),"Not Available")</f>
        <v>Not Available</v>
      </c>
      <c r="E289" s="124">
        <f>IFERROR(__xludf.DUMMYFUNCTION("""COMPUTED_VALUE"""),1500609.0)</f>
        <v>1500609</v>
      </c>
      <c r="F289" s="124" t="str">
        <f>IFERROR(__xludf.DUMMYFUNCTION("""COMPUTED_VALUE"""),"13267_988_7")</f>
        <v>13267_988_7</v>
      </c>
      <c r="G289" s="124">
        <f>IFERROR(__xludf.DUMMYFUNCTION("""COMPUTED_VALUE"""),25000.0)</f>
        <v>25000</v>
      </c>
      <c r="H289" s="131">
        <f>IFERROR(__xludf.DUMMYFUNCTION("""COMPUTED_VALUE"""),46091.0)</f>
        <v>46091</v>
      </c>
      <c r="I289" s="124">
        <f>IFERROR(__xludf.DUMMYFUNCTION("""COMPUTED_VALUE"""),50000.0)</f>
        <v>50000</v>
      </c>
      <c r="J289" s="124">
        <f>IFERROR(__xludf.DUMMYFUNCTION("""COMPUTED_VALUE"""),135000.0)</f>
        <v>135000</v>
      </c>
      <c r="K289" s="124">
        <f>IFERROR(__xludf.DUMMYFUNCTION("""COMPUTED_VALUE"""),4.0)</f>
        <v>4</v>
      </c>
      <c r="L289" s="124">
        <f>IFERROR(__xludf.DUMMYFUNCTION("""COMPUTED_VALUE"""),455.0)</f>
        <v>455</v>
      </c>
      <c r="M289" s="124" t="str">
        <f>IFERROR(__xludf.DUMMYFUNCTION("""COMPUTED_VALUE"""),"New Delhi")</f>
        <v>New Delhi</v>
      </c>
      <c r="N289" s="124" t="str">
        <f>IFERROR(__xludf.DUMMYFUNCTION("""COMPUTED_VALUE"""),"Pihu.kashyappppp@gmail.com")</f>
        <v>Pihu.kashyappppp@gmail.com</v>
      </c>
      <c r="O289" s="124" t="str">
        <f>IFERROR(__xludf.DUMMYFUNCTION("""COMPUTED_VALUE"""),"Shalu Kumari")</f>
        <v>Shalu Kumari</v>
      </c>
      <c r="P289" s="124">
        <f>IFERROR(__xludf.DUMMYFUNCTION("""COMPUTED_VALUE"""),121548.0)</f>
        <v>121548</v>
      </c>
      <c r="Q289" s="124" t="str">
        <f>IFERROR(__xludf.DUMMYFUNCTION("""COMPUTED_VALUE"""),"upsc-gs-foundation-hinglish-target-2028-gsf-upsc-e03-orn")</f>
        <v>upsc-gs-foundation-hinglish-target-2028-gsf-upsc-e03-orn</v>
      </c>
      <c r="R289" s="124" t="str">
        <f>IFERROR(__xludf.DUMMYFUNCTION("""COMPUTED_VALUE"""),"GS Foundation Course")</f>
        <v>GS Foundation Course</v>
      </c>
      <c r="S289" s="124">
        <f>IFERROR(__xludf.DUMMYFUNCTION("""COMPUTED_VALUE"""),9.142599043E9)</f>
        <v>9142599043</v>
      </c>
      <c r="T289" s="124" t="str">
        <f>IFERROR(__xludf.DUMMYFUNCTION("""COMPUTED_VALUE"""),"Collexo")</f>
        <v>Collexo</v>
      </c>
      <c r="U289" s="124" t="str">
        <f>IFERROR(__xludf.DUMMYFUNCTION("""COMPUTED_VALUE"""),"Success")</f>
        <v>Success</v>
      </c>
      <c r="V289" s="131">
        <f>IFERROR(__xludf.DUMMYFUNCTION("""COMPUTED_VALUE"""),46090.0)</f>
        <v>46090</v>
      </c>
      <c r="W289" s="124">
        <f>IFERROR(__xludf.DUMMYFUNCTION("""COMPUTED_VALUE"""),0.0)</f>
        <v>0</v>
      </c>
    </row>
    <row r="290">
      <c r="A290" s="124" t="str">
        <f t="shared" si="1"/>
        <v>shriramc758@gmail.com</v>
      </c>
      <c r="B290" s="131">
        <f>IFERROR(__xludf.DUMMYFUNCTION("""COMPUTED_VALUE"""),46077.0)</f>
        <v>46077</v>
      </c>
      <c r="C290" s="124" t="str">
        <f>IFERROR(__xludf.DUMMYFUNCTION("""COMPUTED_VALUE"""),"Payment data from Collexo")</f>
        <v>Payment data from Collexo</v>
      </c>
      <c r="D290" s="124" t="str">
        <f>IFERROR(__xludf.DUMMYFUNCTION("""COMPUTED_VALUE"""),"Not Available")</f>
        <v>Not Available</v>
      </c>
      <c r="E290" s="124">
        <f>IFERROR(__xludf.DUMMYFUNCTION("""COMPUTED_VALUE"""),1500612.0)</f>
        <v>1500612</v>
      </c>
      <c r="F290" s="124">
        <f>IFERROR(__xludf.DUMMYFUNCTION("""COMPUTED_VALUE"""),124527.0)</f>
        <v>124527</v>
      </c>
      <c r="G290" s="124">
        <f>IFERROR(__xludf.DUMMYFUNCTION("""COMPUTED_VALUE"""),2000.0)</f>
        <v>2000</v>
      </c>
      <c r="H290" s="131">
        <f>IFERROR(__xludf.DUMMYFUNCTION("""COMPUTED_VALUE"""),46081.0)</f>
        <v>46081</v>
      </c>
      <c r="I290" s="124">
        <f>IFERROR(__xludf.DUMMYFUNCTION("""COMPUTED_VALUE"""),38000.0)</f>
        <v>38000</v>
      </c>
      <c r="J290" s="124">
        <f>IFERROR(__xludf.DUMMYFUNCTION("""COMPUTED_VALUE"""),40000.0)</f>
        <v>40000</v>
      </c>
      <c r="K290" s="124">
        <f>IFERROR(__xludf.DUMMYFUNCTION("""COMPUTED_VALUE"""),2.0)</f>
        <v>2</v>
      </c>
      <c r="L290" s="124">
        <f>IFERROR(__xludf.DUMMYFUNCTION("""COMPUTED_VALUE"""),323.0)</f>
        <v>323</v>
      </c>
      <c r="M290" s="124" t="str">
        <f>IFERROR(__xludf.DUMMYFUNCTION("""COMPUTED_VALUE"""),"Indore")</f>
        <v>Indore</v>
      </c>
      <c r="N290" s="124" t="str">
        <f>IFERROR(__xludf.DUMMYFUNCTION("""COMPUTED_VALUE"""),"shriramc758@gmail.com")</f>
        <v>shriramc758@gmail.com</v>
      </c>
      <c r="O290" s="124" t="str">
        <f>IFERROR(__xludf.DUMMYFUNCTION("""COMPUTED_VALUE"""),"Shreeram Chouhan")</f>
        <v>Shreeram Chouhan</v>
      </c>
      <c r="P290" s="124">
        <f>IFERROR(__xludf.DUMMYFUNCTION("""COMPUTED_VALUE"""),124527.0)</f>
        <v>124527</v>
      </c>
      <c r="Q290" s="124" t="str">
        <f>IFERROR(__xludf.DUMMYFUNCTION("""COMPUTED_VALUE"""),"madhya-pradesh-psc-gs-foundation-2027-p2i-offline-hindi-batch-2-e-ind")</f>
        <v>madhya-pradesh-psc-gs-foundation-2027-p2i-offline-hindi-batch-2-e-ind</v>
      </c>
      <c r="R290" s="124" t="str">
        <f>IFERROR(__xludf.DUMMYFUNCTION("""COMPUTED_VALUE"""),"State PCS")</f>
        <v>State PCS</v>
      </c>
      <c r="S290" s="124">
        <f>IFERROR(__xludf.DUMMYFUNCTION("""COMPUTED_VALUE"""),9.302269107E9)</f>
        <v>9302269107</v>
      </c>
      <c r="T290" s="124" t="str">
        <f>IFERROR(__xludf.DUMMYFUNCTION("""COMPUTED_VALUE"""),"Not Available")</f>
        <v>Not Available</v>
      </c>
      <c r="U290" s="124" t="str">
        <f>IFERROR(__xludf.DUMMYFUNCTION("""COMPUTED_VALUE"""),"Not Available")</f>
        <v>Not Available</v>
      </c>
      <c r="V290" s="124" t="str">
        <f>IFERROR(__xludf.DUMMYFUNCTION("""COMPUTED_VALUE"""),"Not Available")</f>
        <v>Not Available</v>
      </c>
      <c r="W290" s="124" t="str">
        <f>IFERROR(__xludf.DUMMYFUNCTION("""COMPUTED_VALUE"""),"Not Available")</f>
        <v>Not Available</v>
      </c>
    </row>
    <row r="291">
      <c r="A291" s="124" t="str">
        <f t="shared" si="1"/>
        <v>rakhisankhla799@gmail.com</v>
      </c>
      <c r="B291" s="131">
        <f>IFERROR(__xludf.DUMMYFUNCTION("""COMPUTED_VALUE"""),46046.0)</f>
        <v>46046</v>
      </c>
      <c r="C291" s="124" t="str">
        <f>IFERROR(__xludf.DUMMYFUNCTION("""COMPUTED_VALUE"""),"Payment data from Collexo")</f>
        <v>Payment data from Collexo</v>
      </c>
      <c r="D291" s="124" t="str">
        <f>IFERROR(__xludf.DUMMYFUNCTION("""COMPUTED_VALUE"""),"Not Available")</f>
        <v>Not Available</v>
      </c>
      <c r="E291" s="124">
        <f>IFERROR(__xludf.DUMMYFUNCTION("""COMPUTED_VALUE"""),1500609.0)</f>
        <v>1500609</v>
      </c>
      <c r="F291" s="124" t="str">
        <f>IFERROR(__xludf.DUMMYFUNCTION("""COMPUTED_VALUE"""),"2127_988_7")</f>
        <v>2127_988_7</v>
      </c>
      <c r="G291" s="124">
        <f>IFERROR(__xludf.DUMMYFUNCTION("""COMPUTED_VALUE"""),104000.0)</f>
        <v>104000</v>
      </c>
      <c r="H291" s="131">
        <f>IFERROR(__xludf.DUMMYFUNCTION("""COMPUTED_VALUE"""),46053.0)</f>
        <v>46053</v>
      </c>
      <c r="I291" s="124">
        <f>IFERROR(__xludf.DUMMYFUNCTION("""COMPUTED_VALUE"""),23000.0)</f>
        <v>23000</v>
      </c>
      <c r="J291" s="124">
        <f>IFERROR(__xludf.DUMMYFUNCTION("""COMPUTED_VALUE"""),130000.0)</f>
        <v>130000</v>
      </c>
      <c r="K291" s="124">
        <f>IFERROR(__xludf.DUMMYFUNCTION("""COMPUTED_VALUE"""),3.0)</f>
        <v>3</v>
      </c>
      <c r="L291" s="124">
        <f>IFERROR(__xludf.DUMMYFUNCTION("""COMPUTED_VALUE"""),110.0)</f>
        <v>110</v>
      </c>
      <c r="M291" s="124" t="str">
        <f>IFERROR(__xludf.DUMMYFUNCTION("""COMPUTED_VALUE"""),"New Delhi")</f>
        <v>New Delhi</v>
      </c>
      <c r="N291" s="124" t="str">
        <f>IFERROR(__xludf.DUMMYFUNCTION("""COMPUTED_VALUE"""),"rakhisankhla799@gmail.com")</f>
        <v>rakhisankhla799@gmail.com</v>
      </c>
      <c r="O291" s="124" t="str">
        <f>IFERROR(__xludf.DUMMYFUNCTION("""COMPUTED_VALUE"""),"Rakhi")</f>
        <v>Rakhi</v>
      </c>
      <c r="P291" s="124">
        <f>IFERROR(__xludf.DUMMYFUNCTION("""COMPUTED_VALUE"""),88470.0)</f>
        <v>88470</v>
      </c>
      <c r="Q291" s="124" t="str">
        <f>IFERROR(__xludf.DUMMYFUNCTION("""COMPUTED_VALUE"""),"ncert-foundation-hinglish-target-2026-nce-upsc-e02-orn")</f>
        <v>ncert-foundation-hinglish-target-2026-nce-upsc-e02-orn</v>
      </c>
      <c r="R291" s="124" t="str">
        <f>IFERROR(__xludf.DUMMYFUNCTION("""COMPUTED_VALUE"""),"GS Foundation Course")</f>
        <v>GS Foundation Course</v>
      </c>
      <c r="S291" s="124">
        <f>IFERROR(__xludf.DUMMYFUNCTION("""COMPUTED_VALUE"""),9.306516045E9)</f>
        <v>9306516045</v>
      </c>
      <c r="T291" s="124" t="str">
        <f>IFERROR(__xludf.DUMMYFUNCTION("""COMPUTED_VALUE"""),"Collexo")</f>
        <v>Collexo</v>
      </c>
      <c r="U291" s="124" t="str">
        <f>IFERROR(__xludf.DUMMYFUNCTION("""COMPUTED_VALUE"""),"Success")</f>
        <v>Success</v>
      </c>
      <c r="V291" s="131">
        <f>IFERROR(__xludf.DUMMYFUNCTION("""COMPUTED_VALUE"""),46046.0)</f>
        <v>46046</v>
      </c>
      <c r="W291" s="124">
        <f>IFERROR(__xludf.DUMMYFUNCTION("""COMPUTED_VALUE"""),0.0)</f>
        <v>0</v>
      </c>
    </row>
    <row r="292">
      <c r="A292" s="124" t="str">
        <f t="shared" si="1"/>
        <v>gurjarkhushi7963@gmail.com</v>
      </c>
      <c r="B292" s="131">
        <f>IFERROR(__xludf.DUMMYFUNCTION("""COMPUTED_VALUE"""),46100.0)</f>
        <v>46100</v>
      </c>
      <c r="C292" s="124" t="str">
        <f>IFERROR(__xludf.DUMMYFUNCTION("""COMPUTED_VALUE"""),"Payment data from Collexo")</f>
        <v>Payment data from Collexo</v>
      </c>
      <c r="D292" s="124" t="str">
        <f>IFERROR(__xludf.DUMMYFUNCTION("""COMPUTED_VALUE"""),"Not Available")</f>
        <v>Not Available</v>
      </c>
      <c r="E292" s="124">
        <f>IFERROR(__xludf.DUMMYFUNCTION("""COMPUTED_VALUE"""),1500612.0)</f>
        <v>1500612</v>
      </c>
      <c r="F292" s="124">
        <f>IFERROR(__xludf.DUMMYFUNCTION("""COMPUTED_VALUE"""),125792.0)</f>
        <v>125792</v>
      </c>
      <c r="G292" s="124">
        <f>IFERROR(__xludf.DUMMYFUNCTION("""COMPUTED_VALUE"""),75000.0)</f>
        <v>75000</v>
      </c>
      <c r="H292" s="124" t="str">
        <f>IFERROR(__xludf.DUMMYFUNCTION("""COMPUTED_VALUE"""),"Not Available")</f>
        <v>Not Available</v>
      </c>
      <c r="I292" s="124">
        <f>IFERROR(__xludf.DUMMYFUNCTION("""COMPUTED_VALUE"""),0.0)</f>
        <v>0</v>
      </c>
      <c r="J292" s="124">
        <f>IFERROR(__xludf.DUMMYFUNCTION("""COMPUTED_VALUE"""),80000.0)</f>
        <v>80000</v>
      </c>
      <c r="K292" s="124">
        <f>IFERROR(__xludf.DUMMYFUNCTION("""COMPUTED_VALUE"""),2.0)</f>
        <v>2</v>
      </c>
      <c r="L292" s="124">
        <f>IFERROR(__xludf.DUMMYFUNCTION("""COMPUTED_VALUE"""),612.0)</f>
        <v>612</v>
      </c>
      <c r="M292" s="124" t="str">
        <f>IFERROR(__xludf.DUMMYFUNCTION("""COMPUTED_VALUE"""),"Indore")</f>
        <v>Indore</v>
      </c>
      <c r="N292" s="124" t="str">
        <f>IFERROR(__xludf.DUMMYFUNCTION("""COMPUTED_VALUE"""),"gurjarkhushi7963@gmail.com")</f>
        <v>gurjarkhushi7963@gmail.com</v>
      </c>
      <c r="O292" s="124" t="str">
        <f>IFERROR(__xludf.DUMMYFUNCTION("""COMPUTED_VALUE"""),"Khushi gurjar")</f>
        <v>Khushi gurjar</v>
      </c>
      <c r="P292" s="124">
        <f>IFERROR(__xludf.DUMMYFUNCTION("""COMPUTED_VALUE"""),125792.0)</f>
        <v>125792</v>
      </c>
      <c r="Q292" s="124" t="str">
        <f>IFERROR(__xludf.DUMMYFUNCTION("""COMPUTED_VALUE"""),"mppsc-gs-foundation-hinglish-target-2028-gsf-mppsc-e02-ind")</f>
        <v>mppsc-gs-foundation-hinglish-target-2028-gsf-mppsc-e02-ind</v>
      </c>
      <c r="R292" s="124" t="str">
        <f>IFERROR(__xludf.DUMMYFUNCTION("""COMPUTED_VALUE"""),"State PCS")</f>
        <v>State PCS</v>
      </c>
      <c r="S292" s="124">
        <f>IFERROR(__xludf.DUMMYFUNCTION("""COMPUTED_VALUE"""),9.993926036E9)</f>
        <v>9993926036</v>
      </c>
      <c r="T292" s="124" t="str">
        <f>IFERROR(__xludf.DUMMYFUNCTION("""COMPUTED_VALUE"""),"Not Available")</f>
        <v>Not Available</v>
      </c>
      <c r="U292" s="124" t="str">
        <f>IFERROR(__xludf.DUMMYFUNCTION("""COMPUTED_VALUE"""),"Not Available")</f>
        <v>Not Available</v>
      </c>
      <c r="V292" s="124" t="str">
        <f>IFERROR(__xludf.DUMMYFUNCTION("""COMPUTED_VALUE"""),"Not Available")</f>
        <v>Not Available</v>
      </c>
      <c r="W292" s="124" t="str">
        <f>IFERROR(__xludf.DUMMYFUNCTION("""COMPUTED_VALUE"""),"Not Available")</f>
        <v>Not Available</v>
      </c>
    </row>
    <row r="293">
      <c r="A293" s="124" t="str">
        <f t="shared" si="1"/>
        <v>samarthsengar01@gmail.com</v>
      </c>
      <c r="B293" s="131">
        <f>IFERROR(__xludf.DUMMYFUNCTION("""COMPUTED_VALUE"""),46109.0)</f>
        <v>46109</v>
      </c>
      <c r="C293" s="124" t="str">
        <f>IFERROR(__xludf.DUMMYFUNCTION("""COMPUTED_VALUE"""),"Payment data from Collexo")</f>
        <v>Payment data from Collexo</v>
      </c>
      <c r="D293" s="124" t="str">
        <f>IFERROR(__xludf.DUMMYFUNCTION("""COMPUTED_VALUE"""),"Not Available")</f>
        <v>Not Available</v>
      </c>
      <c r="E293" s="124">
        <f>IFERROR(__xludf.DUMMYFUNCTION("""COMPUTED_VALUE"""),1500612.0)</f>
        <v>1500612</v>
      </c>
      <c r="F293" s="124">
        <f>IFERROR(__xludf.DUMMYFUNCTION("""COMPUTED_VALUE"""),133182.0)</f>
        <v>133182</v>
      </c>
      <c r="G293" s="124">
        <f>IFERROR(__xludf.DUMMYFUNCTION("""COMPUTED_VALUE"""),3000.0)</f>
        <v>3000</v>
      </c>
      <c r="H293" s="124" t="str">
        <f>IFERROR(__xludf.DUMMYFUNCTION("""COMPUTED_VALUE"""),"Not Available")</f>
        <v>Not Available</v>
      </c>
      <c r="I293" s="124">
        <f>IFERROR(__xludf.DUMMYFUNCTION("""COMPUTED_VALUE"""),0.0)</f>
        <v>0</v>
      </c>
      <c r="J293" s="124">
        <f>IFERROR(__xludf.DUMMYFUNCTION("""COMPUTED_VALUE"""),70000.0)</f>
        <v>70000</v>
      </c>
      <c r="K293" s="124">
        <f>IFERROR(__xludf.DUMMYFUNCTION("""COMPUTED_VALUE"""),3.0)</f>
        <v>3</v>
      </c>
      <c r="L293" s="124">
        <f>IFERROR(__xludf.DUMMYFUNCTION("""COMPUTED_VALUE"""),795.0)</f>
        <v>795</v>
      </c>
      <c r="M293" s="124" t="str">
        <f>IFERROR(__xludf.DUMMYFUNCTION("""COMPUTED_VALUE"""),"Indore")</f>
        <v>Indore</v>
      </c>
      <c r="N293" s="124" t="str">
        <f>IFERROR(__xludf.DUMMYFUNCTION("""COMPUTED_VALUE"""),"samarthsengar01@gmail.com")</f>
        <v>samarthsengar01@gmail.com</v>
      </c>
      <c r="O293" s="124" t="str">
        <f>IFERROR(__xludf.DUMMYFUNCTION("""COMPUTED_VALUE"""),"Shanu sengar")</f>
        <v>Shanu sengar</v>
      </c>
      <c r="P293" s="124">
        <f>IFERROR(__xludf.DUMMYFUNCTION("""COMPUTED_VALUE"""),133182.0)</f>
        <v>133182</v>
      </c>
      <c r="Q293" s="124" t="str">
        <f>IFERROR(__xludf.DUMMYFUNCTION("""COMPUTED_VALUE"""),"upsc-gs-foundation-hindi-target-2027-gsf-upsc-m03-ind")</f>
        <v>upsc-gs-foundation-hindi-target-2027-gsf-upsc-m03-ind</v>
      </c>
      <c r="R293" s="124" t="str">
        <f>IFERROR(__xludf.DUMMYFUNCTION("""COMPUTED_VALUE"""),"GS Foundation Course")</f>
        <v>GS Foundation Course</v>
      </c>
      <c r="S293" s="124">
        <f>IFERROR(__xludf.DUMMYFUNCTION("""COMPUTED_VALUE"""),8.770821292E9)</f>
        <v>8770821292</v>
      </c>
      <c r="T293" s="124" t="str">
        <f>IFERROR(__xludf.DUMMYFUNCTION("""COMPUTED_VALUE"""),"Not Available")</f>
        <v>Not Available</v>
      </c>
      <c r="U293" s="124" t="str">
        <f>IFERROR(__xludf.DUMMYFUNCTION("""COMPUTED_VALUE"""),"Not Available")</f>
        <v>Not Available</v>
      </c>
      <c r="V293" s="124" t="str">
        <f>IFERROR(__xludf.DUMMYFUNCTION("""COMPUTED_VALUE"""),"Not Available")</f>
        <v>Not Available</v>
      </c>
      <c r="W293" s="124" t="str">
        <f>IFERROR(__xludf.DUMMYFUNCTION("""COMPUTED_VALUE"""),"Not Available")</f>
        <v>Not Available</v>
      </c>
    </row>
    <row r="294">
      <c r="A294" s="124" t="str">
        <f t="shared" si="1"/>
        <v>33348swechchhapandey9c@gmail.com</v>
      </c>
      <c r="B294" s="131">
        <f>IFERROR(__xludf.DUMMYFUNCTION("""COMPUTED_VALUE"""),46099.0)</f>
        <v>46099</v>
      </c>
      <c r="C294" s="124" t="str">
        <f>IFERROR(__xludf.DUMMYFUNCTION("""COMPUTED_VALUE"""),"Payment data from Collexo")</f>
        <v>Payment data from Collexo</v>
      </c>
      <c r="D294" s="124" t="str">
        <f>IFERROR(__xludf.DUMMYFUNCTION("""COMPUTED_VALUE"""),"Not Available")</f>
        <v>Not Available</v>
      </c>
      <c r="E294" s="124">
        <f>IFERROR(__xludf.DUMMYFUNCTION("""COMPUTED_VALUE"""),1500613.0)</f>
        <v>1500613</v>
      </c>
      <c r="F294" s="124">
        <f>IFERROR(__xludf.DUMMYFUNCTION("""COMPUTED_VALUE"""),128771.0)</f>
        <v>128771</v>
      </c>
      <c r="G294" s="124">
        <f>IFERROR(__xludf.DUMMYFUNCTION("""COMPUTED_VALUE"""),1000.0)</f>
        <v>1000</v>
      </c>
      <c r="H294" s="131">
        <f>IFERROR(__xludf.DUMMYFUNCTION("""COMPUTED_VALUE"""),46099.0)</f>
        <v>46099</v>
      </c>
      <c r="I294" s="124">
        <f>IFERROR(__xludf.DUMMYFUNCTION("""COMPUTED_VALUE"""),64000.0)</f>
        <v>64000</v>
      </c>
      <c r="J294" s="124">
        <f>IFERROR(__xludf.DUMMYFUNCTION("""COMPUTED_VALUE"""),75000.0)</f>
        <v>75000</v>
      </c>
      <c r="K294" s="124">
        <f>IFERROR(__xludf.DUMMYFUNCTION("""COMPUTED_VALUE"""),3.0)</f>
        <v>3</v>
      </c>
      <c r="L294" s="124">
        <f>IFERROR(__xludf.DUMMYFUNCTION("""COMPUTED_VALUE"""),595.0)</f>
        <v>595</v>
      </c>
      <c r="M294" s="124" t="str">
        <f>IFERROR(__xludf.DUMMYFUNCTION("""COMPUTED_VALUE"""),"Prayagraj")</f>
        <v>Prayagraj</v>
      </c>
      <c r="N294" s="124" t="str">
        <f>IFERROR(__xludf.DUMMYFUNCTION("""COMPUTED_VALUE"""),"33348swechchhapandey9c@gmail.com")</f>
        <v>33348swechchhapandey9c@gmail.com</v>
      </c>
      <c r="O294" s="124" t="str">
        <f>IFERROR(__xludf.DUMMYFUNCTION("""COMPUTED_VALUE"""),"Swchchha pandey")</f>
        <v>Swchchha pandey</v>
      </c>
      <c r="P294" s="124">
        <f>IFERROR(__xludf.DUMMYFUNCTION("""COMPUTED_VALUE"""),128771.0)</f>
        <v>128771</v>
      </c>
      <c r="Q294" s="124" t="str">
        <f>IFERROR(__xludf.DUMMYFUNCTION("""COMPUTED_VALUE"""),"upsc-gs-foundation-hinglish-target-2028-gsf-upsc-e03-pry")</f>
        <v>upsc-gs-foundation-hinglish-target-2028-gsf-upsc-e03-pry</v>
      </c>
      <c r="R294" s="124" t="str">
        <f>IFERROR(__xludf.DUMMYFUNCTION("""COMPUTED_VALUE"""),"GS Foundation Course")</f>
        <v>GS Foundation Course</v>
      </c>
      <c r="S294" s="124">
        <f>IFERROR(__xludf.DUMMYFUNCTION("""COMPUTED_VALUE"""),9.118567877E9)</f>
        <v>9118567877</v>
      </c>
      <c r="T294" s="124" t="str">
        <f>IFERROR(__xludf.DUMMYFUNCTION("""COMPUTED_VALUE"""),"Not Available")</f>
        <v>Not Available</v>
      </c>
      <c r="U294" s="124" t="str">
        <f>IFERROR(__xludf.DUMMYFUNCTION("""COMPUTED_VALUE"""),"Not Available")</f>
        <v>Not Available</v>
      </c>
      <c r="V294" s="124" t="str">
        <f>IFERROR(__xludf.DUMMYFUNCTION("""COMPUTED_VALUE"""),"Not Available")</f>
        <v>Not Available</v>
      </c>
      <c r="W294" s="124" t="str">
        <f>IFERROR(__xludf.DUMMYFUNCTION("""COMPUTED_VALUE"""),"Not Available")</f>
        <v>Not Available</v>
      </c>
    </row>
    <row r="295">
      <c r="A295" s="124" t="str">
        <f t="shared" si="1"/>
        <v>armita1207s@gmail.com</v>
      </c>
      <c r="B295" s="131">
        <f>IFERROR(__xludf.DUMMYFUNCTION("""COMPUTED_VALUE"""),46052.0)</f>
        <v>46052</v>
      </c>
      <c r="C295" s="124" t="str">
        <f>IFERROR(__xludf.DUMMYFUNCTION("""COMPUTED_VALUE"""),"Payment data from Collexo")</f>
        <v>Payment data from Collexo</v>
      </c>
      <c r="D295" s="124" t="str">
        <f>IFERROR(__xludf.DUMMYFUNCTION("""COMPUTED_VALUE"""),"Not Available")</f>
        <v>Not Available</v>
      </c>
      <c r="E295" s="124">
        <f>IFERROR(__xludf.DUMMYFUNCTION("""COMPUTED_VALUE"""),1500609.0)</f>
        <v>1500609</v>
      </c>
      <c r="F295" s="124" t="str">
        <f>IFERROR(__xludf.DUMMYFUNCTION("""COMPUTED_VALUE"""),"3071_988_7")</f>
        <v>3071_988_7</v>
      </c>
      <c r="G295" s="124">
        <f>IFERROR(__xludf.DUMMYFUNCTION("""COMPUTED_VALUE"""),25000.0)</f>
        <v>25000</v>
      </c>
      <c r="H295" s="131">
        <f>IFERROR(__xludf.DUMMYFUNCTION("""COMPUTED_VALUE"""),46053.0)</f>
        <v>46053</v>
      </c>
      <c r="I295" s="124">
        <f>IFERROR(__xludf.DUMMYFUNCTION("""COMPUTED_VALUE"""),10000.0)</f>
        <v>10000</v>
      </c>
      <c r="J295" s="124">
        <f>IFERROR(__xludf.DUMMYFUNCTION("""COMPUTED_VALUE"""),150000.0)</f>
        <v>150000</v>
      </c>
      <c r="K295" s="124">
        <f>IFERROR(__xludf.DUMMYFUNCTION("""COMPUTED_VALUE"""),5.0)</f>
        <v>5</v>
      </c>
      <c r="L295" s="124">
        <f>IFERROR(__xludf.DUMMYFUNCTION("""COMPUTED_VALUE"""),134.0)</f>
        <v>134</v>
      </c>
      <c r="M295" s="124" t="str">
        <f>IFERROR(__xludf.DUMMYFUNCTION("""COMPUTED_VALUE"""),"New Delhi")</f>
        <v>New Delhi</v>
      </c>
      <c r="N295" s="124" t="str">
        <f>IFERROR(__xludf.DUMMYFUNCTION("""COMPUTED_VALUE"""),"armita1207s@gmail.com")</f>
        <v>armita1207s@gmail.com</v>
      </c>
      <c r="O295" s="124" t="str">
        <f>IFERROR(__xludf.DUMMYFUNCTION("""COMPUTED_VALUE"""),"Armita Singh")</f>
        <v>Armita Singh</v>
      </c>
      <c r="P295" s="124">
        <f>IFERROR(__xludf.DUMMYFUNCTION("""COMPUTED_VALUE"""),118701.0)</f>
        <v>118701</v>
      </c>
      <c r="Q295" s="124" t="str">
        <f>IFERROR(__xludf.DUMMYFUNCTION("""COMPUTED_VALUE"""),"NCERT Foundation Hinglish Target 2026 (NCE-UPSC-E02)-ORN")</f>
        <v>NCERT Foundation Hinglish Target 2026 (NCE-UPSC-E02)-ORN</v>
      </c>
      <c r="R295" s="124" t="str">
        <f>IFERROR(__xludf.DUMMYFUNCTION("""COMPUTED_VALUE"""),"GS Foundation Course")</f>
        <v>GS Foundation Course</v>
      </c>
      <c r="S295" s="124">
        <f>IFERROR(__xludf.DUMMYFUNCTION("""COMPUTED_VALUE"""),7.37914E9)</f>
        <v>7379140000</v>
      </c>
      <c r="T295" s="124" t="str">
        <f>IFERROR(__xludf.DUMMYFUNCTION("""COMPUTED_VALUE"""),"Collexo")</f>
        <v>Collexo</v>
      </c>
      <c r="U295" s="124" t="str">
        <f>IFERROR(__xludf.DUMMYFUNCTION("""COMPUTED_VALUE"""),"Success")</f>
        <v>Success</v>
      </c>
      <c r="V295" s="131">
        <f>IFERROR(__xludf.DUMMYFUNCTION("""COMPUTED_VALUE"""),46052.0)</f>
        <v>46052</v>
      </c>
      <c r="W295" s="124">
        <f>IFERROR(__xludf.DUMMYFUNCTION("""COMPUTED_VALUE"""),0.0)</f>
        <v>0</v>
      </c>
    </row>
    <row r="296">
      <c r="A296" s="124" t="str">
        <f t="shared" si="1"/>
        <v>dipeekameda32.36@gmail.com</v>
      </c>
      <c r="B296" s="131">
        <f>IFERROR(__xludf.DUMMYFUNCTION("""COMPUTED_VALUE"""),46068.0)</f>
        <v>46068</v>
      </c>
      <c r="C296" s="124" t="str">
        <f>IFERROR(__xludf.DUMMYFUNCTION("""COMPUTED_VALUE"""),"Payment data from Collexo")</f>
        <v>Payment data from Collexo</v>
      </c>
      <c r="D296" s="124" t="str">
        <f>IFERROR(__xludf.DUMMYFUNCTION("""COMPUTED_VALUE"""),"Not Available")</f>
        <v>Not Available</v>
      </c>
      <c r="E296" s="124">
        <f>IFERROR(__xludf.DUMMYFUNCTION("""COMPUTED_VALUE"""),1500612.0)</f>
        <v>1500612</v>
      </c>
      <c r="F296" s="124">
        <f>IFERROR(__xludf.DUMMYFUNCTION("""COMPUTED_VALUE"""),23787.0)</f>
        <v>23787</v>
      </c>
      <c r="G296" s="124">
        <f>IFERROR(__xludf.DUMMYFUNCTION("""COMPUTED_VALUE"""),35000.0)</f>
        <v>35000</v>
      </c>
      <c r="H296" s="124" t="str">
        <f>IFERROR(__xludf.DUMMYFUNCTION("""COMPUTED_VALUE"""),"Not Available")</f>
        <v>Not Available</v>
      </c>
      <c r="I296" s="124">
        <f>IFERROR(__xludf.DUMMYFUNCTION("""COMPUTED_VALUE"""),0.0)</f>
        <v>0</v>
      </c>
      <c r="J296" s="124">
        <f>IFERROR(__xludf.DUMMYFUNCTION("""COMPUTED_VALUE"""),36000.0)</f>
        <v>36000</v>
      </c>
      <c r="K296" s="124">
        <f>IFERROR(__xludf.DUMMYFUNCTION("""COMPUTED_VALUE"""),2.0)</f>
        <v>2</v>
      </c>
      <c r="L296" s="124">
        <f>IFERROR(__xludf.DUMMYFUNCTION("""COMPUTED_VALUE"""),220.0)</f>
        <v>220</v>
      </c>
      <c r="M296" s="124" t="str">
        <f>IFERROR(__xludf.DUMMYFUNCTION("""COMPUTED_VALUE"""),"Indore")</f>
        <v>Indore</v>
      </c>
      <c r="N296" s="124" t="str">
        <f>IFERROR(__xludf.DUMMYFUNCTION("""COMPUTED_VALUE"""),"dipeekameda32.36@gmail.com")</f>
        <v>dipeekameda32.36@gmail.com</v>
      </c>
      <c r="O296" s="124" t="str">
        <f>IFERROR(__xludf.DUMMYFUNCTION("""COMPUTED_VALUE"""),"DEEPIKA MEDA")</f>
        <v>DEEPIKA MEDA</v>
      </c>
      <c r="P296" s="124">
        <f>IFERROR(__xludf.DUMMYFUNCTION("""COMPUTED_VALUE"""),23787.0)</f>
        <v>23787</v>
      </c>
      <c r="Q296" s="124" t="str">
        <f>IFERROR(__xludf.DUMMYFUNCTION("""COMPUTED_VALUE"""),"upsc-gs-foundation-hinglish-target-2027-gsf-upsc-m02-ind")</f>
        <v>upsc-gs-foundation-hinglish-target-2027-gsf-upsc-m02-ind</v>
      </c>
      <c r="R296" s="124" t="str">
        <f>IFERROR(__xludf.DUMMYFUNCTION("""COMPUTED_VALUE"""),"GS Foundation Course")</f>
        <v>GS Foundation Course</v>
      </c>
      <c r="S296" s="124">
        <f>IFERROR(__xludf.DUMMYFUNCTION("""COMPUTED_VALUE"""),9.977913236E9)</f>
        <v>9977913236</v>
      </c>
      <c r="T296" s="124" t="str">
        <f>IFERROR(__xludf.DUMMYFUNCTION("""COMPUTED_VALUE"""),"Not Available")</f>
        <v>Not Available</v>
      </c>
      <c r="U296" s="124" t="str">
        <f>IFERROR(__xludf.DUMMYFUNCTION("""COMPUTED_VALUE"""),"Not Available")</f>
        <v>Not Available</v>
      </c>
      <c r="V296" s="124" t="str">
        <f>IFERROR(__xludf.DUMMYFUNCTION("""COMPUTED_VALUE"""),"Not Available")</f>
        <v>Not Available</v>
      </c>
      <c r="W296" s="124" t="str">
        <f>IFERROR(__xludf.DUMMYFUNCTION("""COMPUTED_VALUE"""),"Not Available")</f>
        <v>Not Available</v>
      </c>
    </row>
    <row r="297">
      <c r="A297" s="124" t="str">
        <f t="shared" si="1"/>
        <v>gurjarkhushi7963@gmail.com</v>
      </c>
      <c r="B297" s="131">
        <f>IFERROR(__xludf.DUMMYFUNCTION("""COMPUTED_VALUE"""),46099.0)</f>
        <v>46099</v>
      </c>
      <c r="C297" s="124" t="str">
        <f>IFERROR(__xludf.DUMMYFUNCTION("""COMPUTED_VALUE"""),"Payment data from Collexo")</f>
        <v>Payment data from Collexo</v>
      </c>
      <c r="D297" s="124" t="str">
        <f>IFERROR(__xludf.DUMMYFUNCTION("""COMPUTED_VALUE"""),"Not Available")</f>
        <v>Not Available</v>
      </c>
      <c r="E297" s="124">
        <f>IFERROR(__xludf.DUMMYFUNCTION("""COMPUTED_VALUE"""),1500612.0)</f>
        <v>1500612</v>
      </c>
      <c r="F297" s="124">
        <f>IFERROR(__xludf.DUMMYFUNCTION("""COMPUTED_VALUE"""),125792.0)</f>
        <v>125792</v>
      </c>
      <c r="G297" s="124">
        <f>IFERROR(__xludf.DUMMYFUNCTION("""COMPUTED_VALUE"""),5000.0)</f>
        <v>5000</v>
      </c>
      <c r="H297" s="131">
        <f>IFERROR(__xludf.DUMMYFUNCTION("""COMPUTED_VALUE"""),46112.0)</f>
        <v>46112</v>
      </c>
      <c r="I297" s="124">
        <f>IFERROR(__xludf.DUMMYFUNCTION("""COMPUTED_VALUE"""),75000.0)</f>
        <v>75000</v>
      </c>
      <c r="J297" s="124">
        <f>IFERROR(__xludf.DUMMYFUNCTION("""COMPUTED_VALUE"""),80000.0)</f>
        <v>80000</v>
      </c>
      <c r="K297" s="124">
        <f>IFERROR(__xludf.DUMMYFUNCTION("""COMPUTED_VALUE"""),2.0)</f>
        <v>2</v>
      </c>
      <c r="L297" s="124">
        <f>IFERROR(__xludf.DUMMYFUNCTION("""COMPUTED_VALUE"""),608.0)</f>
        <v>608</v>
      </c>
      <c r="M297" s="124" t="str">
        <f>IFERROR(__xludf.DUMMYFUNCTION("""COMPUTED_VALUE"""),"Indore")</f>
        <v>Indore</v>
      </c>
      <c r="N297" s="124" t="str">
        <f>IFERROR(__xludf.DUMMYFUNCTION("""COMPUTED_VALUE"""),"gurjarkhushi7963@gmail.com")</f>
        <v>gurjarkhushi7963@gmail.com</v>
      </c>
      <c r="O297" s="124" t="str">
        <f>IFERROR(__xludf.DUMMYFUNCTION("""COMPUTED_VALUE"""),"Khushi gurjar")</f>
        <v>Khushi gurjar</v>
      </c>
      <c r="P297" s="124">
        <f>IFERROR(__xludf.DUMMYFUNCTION("""COMPUTED_VALUE"""),125792.0)</f>
        <v>125792</v>
      </c>
      <c r="Q297" s="124" t="str">
        <f>IFERROR(__xludf.DUMMYFUNCTION("""COMPUTED_VALUE"""),"mppsc-gs-foundation-hinglish-target-2028-gsf-mppsc-e02-ind")</f>
        <v>mppsc-gs-foundation-hinglish-target-2028-gsf-mppsc-e02-ind</v>
      </c>
      <c r="R297" s="124" t="str">
        <f>IFERROR(__xludf.DUMMYFUNCTION("""COMPUTED_VALUE"""),"State PCS")</f>
        <v>State PCS</v>
      </c>
      <c r="S297" s="124">
        <f>IFERROR(__xludf.DUMMYFUNCTION("""COMPUTED_VALUE"""),9.993926036E9)</f>
        <v>9993926036</v>
      </c>
      <c r="T297" s="124" t="str">
        <f>IFERROR(__xludf.DUMMYFUNCTION("""COMPUTED_VALUE"""),"Not Available")</f>
        <v>Not Available</v>
      </c>
      <c r="U297" s="124" t="str">
        <f>IFERROR(__xludf.DUMMYFUNCTION("""COMPUTED_VALUE"""),"Not Available")</f>
        <v>Not Available</v>
      </c>
      <c r="V297" s="124" t="str">
        <f>IFERROR(__xludf.DUMMYFUNCTION("""COMPUTED_VALUE"""),"Not Available")</f>
        <v>Not Available</v>
      </c>
      <c r="W297" s="124" t="str">
        <f>IFERROR(__xludf.DUMMYFUNCTION("""COMPUTED_VALUE"""),"Not Available")</f>
        <v>Not Available</v>
      </c>
    </row>
    <row r="298">
      <c r="A298" s="124" t="str">
        <f t="shared" si="1"/>
        <v>salameambika9@gmail.com</v>
      </c>
      <c r="B298" s="131">
        <f>IFERROR(__xludf.DUMMYFUNCTION("""COMPUTED_VALUE"""),46101.0)</f>
        <v>46101</v>
      </c>
      <c r="C298" s="124" t="str">
        <f>IFERROR(__xludf.DUMMYFUNCTION("""COMPUTED_VALUE"""),"Payment data from Collexo")</f>
        <v>Payment data from Collexo</v>
      </c>
      <c r="D298" s="124" t="str">
        <f>IFERROR(__xludf.DUMMYFUNCTION("""COMPUTED_VALUE"""),"Not Available")</f>
        <v>Not Available</v>
      </c>
      <c r="E298" s="124">
        <f>IFERROR(__xludf.DUMMYFUNCTION("""COMPUTED_VALUE"""),1500612.0)</f>
        <v>1500612</v>
      </c>
      <c r="F298" s="124">
        <f>IFERROR(__xludf.DUMMYFUNCTION("""COMPUTED_VALUE"""),127052.0)</f>
        <v>127052</v>
      </c>
      <c r="G298" s="124">
        <f>IFERROR(__xludf.DUMMYFUNCTION("""COMPUTED_VALUE"""),37000.0)</f>
        <v>37000</v>
      </c>
      <c r="H298" s="131">
        <f>IFERROR(__xludf.DUMMYFUNCTION("""COMPUTED_VALUE"""),46112.0)</f>
        <v>46112</v>
      </c>
      <c r="I298" s="124">
        <f>IFERROR(__xludf.DUMMYFUNCTION("""COMPUTED_VALUE"""),60000.0)</f>
        <v>60000</v>
      </c>
      <c r="J298" s="124">
        <f>IFERROR(__xludf.DUMMYFUNCTION("""COMPUTED_VALUE"""),100000.0)</f>
        <v>100000</v>
      </c>
      <c r="K298" s="124">
        <f>IFERROR(__xludf.DUMMYFUNCTION("""COMPUTED_VALUE"""),3.0)</f>
        <v>3</v>
      </c>
      <c r="L298" s="124">
        <f>IFERROR(__xludf.DUMMYFUNCTION("""COMPUTED_VALUE"""),641.0)</f>
        <v>641</v>
      </c>
      <c r="M298" s="124" t="str">
        <f>IFERROR(__xludf.DUMMYFUNCTION("""COMPUTED_VALUE"""),"Indore")</f>
        <v>Indore</v>
      </c>
      <c r="N298" s="124" t="str">
        <f>IFERROR(__xludf.DUMMYFUNCTION("""COMPUTED_VALUE"""),"salameambika9@gmail.com")</f>
        <v>salameambika9@gmail.com</v>
      </c>
      <c r="O298" s="124" t="str">
        <f>IFERROR(__xludf.DUMMYFUNCTION("""COMPUTED_VALUE"""),"Ambika salame")</f>
        <v>Ambika salame</v>
      </c>
      <c r="P298" s="124">
        <f>IFERROR(__xludf.DUMMYFUNCTION("""COMPUTED_VALUE"""),127052.0)</f>
        <v>127052</v>
      </c>
      <c r="Q298" s="124" t="str">
        <f>IFERROR(__xludf.DUMMYFUNCTION("""COMPUTED_VALUE"""),"mppsc-gs-foundation-hinglish-target-2028-gsf-mppsc-e02-ind")</f>
        <v>mppsc-gs-foundation-hinglish-target-2028-gsf-mppsc-e02-ind</v>
      </c>
      <c r="R298" s="124" t="str">
        <f>IFERROR(__xludf.DUMMYFUNCTION("""COMPUTED_VALUE"""),"State PCS")</f>
        <v>State PCS</v>
      </c>
      <c r="S298" s="124">
        <f>IFERROR(__xludf.DUMMYFUNCTION("""COMPUTED_VALUE"""),8.450881453E9)</f>
        <v>8450881453</v>
      </c>
      <c r="T298" s="124" t="str">
        <f>IFERROR(__xludf.DUMMYFUNCTION("""COMPUTED_VALUE"""),"Not Available")</f>
        <v>Not Available</v>
      </c>
      <c r="U298" s="124" t="str">
        <f>IFERROR(__xludf.DUMMYFUNCTION("""COMPUTED_VALUE"""),"Not Available")</f>
        <v>Not Available</v>
      </c>
      <c r="V298" s="124" t="str">
        <f>IFERROR(__xludf.DUMMYFUNCTION("""COMPUTED_VALUE"""),"Not Available")</f>
        <v>Not Available</v>
      </c>
      <c r="W298" s="124" t="str">
        <f>IFERROR(__xludf.DUMMYFUNCTION("""COMPUTED_VALUE"""),"Not Available")</f>
        <v>Not Available</v>
      </c>
    </row>
    <row r="299">
      <c r="A299" s="124" t="str">
        <f t="shared" si="1"/>
        <v>vs8473676@gmail.com</v>
      </c>
      <c r="B299" s="131">
        <f>IFERROR(__xludf.DUMMYFUNCTION("""COMPUTED_VALUE"""),46095.0)</f>
        <v>46095</v>
      </c>
      <c r="C299" s="124" t="str">
        <f>IFERROR(__xludf.DUMMYFUNCTION("""COMPUTED_VALUE"""),"Payment data from Collexo")</f>
        <v>Payment data from Collexo</v>
      </c>
      <c r="D299" s="124" t="str">
        <f>IFERROR(__xludf.DUMMYFUNCTION("""COMPUTED_VALUE"""),"Not Available")</f>
        <v>Not Available</v>
      </c>
      <c r="E299" s="124">
        <f>IFERROR(__xludf.DUMMYFUNCTION("""COMPUTED_VALUE"""),1500613.0)</f>
        <v>1500613</v>
      </c>
      <c r="F299" s="124">
        <f>IFERROR(__xludf.DUMMYFUNCTION("""COMPUTED_VALUE"""),40218.0)</f>
        <v>40218</v>
      </c>
      <c r="G299" s="124">
        <f>IFERROR(__xludf.DUMMYFUNCTION("""COMPUTED_VALUE"""),40913.0)</f>
        <v>40913</v>
      </c>
      <c r="H299" s="124" t="str">
        <f>IFERROR(__xludf.DUMMYFUNCTION("""COMPUTED_VALUE"""),"Not Available")</f>
        <v>Not Available</v>
      </c>
      <c r="I299" s="124">
        <f>IFERROR(__xludf.DUMMYFUNCTION("""COMPUTED_VALUE"""),0.0)</f>
        <v>0</v>
      </c>
      <c r="J299" s="124">
        <f>IFERROR(__xludf.DUMMYFUNCTION("""COMPUTED_VALUE"""),49000.0)</f>
        <v>49000</v>
      </c>
      <c r="K299" s="124">
        <f>IFERROR(__xludf.DUMMYFUNCTION("""COMPUTED_VALUE"""),2.0)</f>
        <v>2</v>
      </c>
      <c r="L299" s="124">
        <f>IFERROR(__xludf.DUMMYFUNCTION("""COMPUTED_VALUE"""),541.0)</f>
        <v>541</v>
      </c>
      <c r="M299" s="124" t="str">
        <f>IFERROR(__xludf.DUMMYFUNCTION("""COMPUTED_VALUE"""),"Prayagraj")</f>
        <v>Prayagraj</v>
      </c>
      <c r="N299" s="124" t="str">
        <f>IFERROR(__xludf.DUMMYFUNCTION("""COMPUTED_VALUE"""),"vs8473676@gmail.com")</f>
        <v>vs8473676@gmail.com</v>
      </c>
      <c r="O299" s="124" t="str">
        <f>IFERROR(__xludf.DUMMYFUNCTION("""COMPUTED_VALUE"""),"Vikram singh")</f>
        <v>Vikram singh</v>
      </c>
      <c r="P299" s="124">
        <f>IFERROR(__xludf.DUMMYFUNCTION("""COMPUTED_VALUE"""),40218.0)</f>
        <v>40218</v>
      </c>
      <c r="Q299" s="124" t="str">
        <f>IFERROR(__xludf.DUMMYFUNCTION("""COMPUTED_VALUE"""),"UPSC GS Foundation Hinglish Target 2027 (GSF-UPSC-E03)-PRY")</f>
        <v>UPSC GS Foundation Hinglish Target 2027 (GSF-UPSC-E03)-PRY</v>
      </c>
      <c r="R299" s="124" t="str">
        <f>IFERROR(__xludf.DUMMYFUNCTION("""COMPUTED_VALUE"""),"GS Foundation Course")</f>
        <v>GS Foundation Course</v>
      </c>
      <c r="S299" s="124">
        <f>IFERROR(__xludf.DUMMYFUNCTION("""COMPUTED_VALUE"""),8.957695712E9)</f>
        <v>8957695712</v>
      </c>
      <c r="T299" s="124" t="str">
        <f>IFERROR(__xludf.DUMMYFUNCTION("""COMPUTED_VALUE"""),"Not Available")</f>
        <v>Not Available</v>
      </c>
      <c r="U299" s="124" t="str">
        <f>IFERROR(__xludf.DUMMYFUNCTION("""COMPUTED_VALUE"""),"Not Available")</f>
        <v>Not Available</v>
      </c>
      <c r="V299" s="124" t="str">
        <f>IFERROR(__xludf.DUMMYFUNCTION("""COMPUTED_VALUE"""),"Not Available")</f>
        <v>Not Available</v>
      </c>
      <c r="W299" s="124" t="str">
        <f>IFERROR(__xludf.DUMMYFUNCTION("""COMPUTED_VALUE"""),"Not Available")</f>
        <v>Not Available</v>
      </c>
    </row>
    <row r="300">
      <c r="A300" s="124" t="str">
        <f t="shared" si="1"/>
        <v>gautmisingh04@gmail.com</v>
      </c>
      <c r="B300" s="131">
        <f>IFERROR(__xludf.DUMMYFUNCTION("""COMPUTED_VALUE"""),46100.0)</f>
        <v>46100</v>
      </c>
      <c r="C300" s="124" t="str">
        <f>IFERROR(__xludf.DUMMYFUNCTION("""COMPUTED_VALUE"""),"Payment data from Collexo")</f>
        <v>Payment data from Collexo</v>
      </c>
      <c r="D300" s="124" t="str">
        <f>IFERROR(__xludf.DUMMYFUNCTION("""COMPUTED_VALUE"""),"Not Available")</f>
        <v>Not Available</v>
      </c>
      <c r="E300" s="124">
        <f>IFERROR(__xludf.DUMMYFUNCTION("""COMPUTED_VALUE"""),1500610.0)</f>
        <v>1500610</v>
      </c>
      <c r="F300" s="124">
        <f>IFERROR(__xludf.DUMMYFUNCTION("""COMPUTED_VALUE"""),129402.0)</f>
        <v>129402</v>
      </c>
      <c r="G300" s="124">
        <f>IFERROR(__xludf.DUMMYFUNCTION("""COMPUTED_VALUE"""),5000.0)</f>
        <v>5000</v>
      </c>
      <c r="H300" s="131">
        <f>IFERROR(__xludf.DUMMYFUNCTION("""COMPUTED_VALUE"""),46101.0)</f>
        <v>46101</v>
      </c>
      <c r="I300" s="124">
        <f>IFERROR(__xludf.DUMMYFUNCTION("""COMPUTED_VALUE"""),15000.0)</f>
        <v>15000</v>
      </c>
      <c r="J300" s="124">
        <f>IFERROR(__xludf.DUMMYFUNCTION("""COMPUTED_VALUE"""),23000.0)</f>
        <v>23000</v>
      </c>
      <c r="K300" s="124">
        <f>IFERROR(__xludf.DUMMYFUNCTION("""COMPUTED_VALUE"""),3.0)</f>
        <v>3</v>
      </c>
      <c r="L300" s="124">
        <f>IFERROR(__xludf.DUMMYFUNCTION("""COMPUTED_VALUE"""),632.0)</f>
        <v>632</v>
      </c>
      <c r="M300" s="124" t="str">
        <f>IFERROR(__xludf.DUMMYFUNCTION("""COMPUTED_VALUE"""),"Lucknow")</f>
        <v>Lucknow</v>
      </c>
      <c r="N300" s="124" t="str">
        <f>IFERROR(__xludf.DUMMYFUNCTION("""COMPUTED_VALUE"""),"gautmisingh04@gmail.com")</f>
        <v>gautmisingh04@gmail.com</v>
      </c>
      <c r="O300" s="124" t="str">
        <f>IFERROR(__xludf.DUMMYFUNCTION("""COMPUTED_VALUE"""),"Gautmi")</f>
        <v>Gautmi</v>
      </c>
      <c r="P300" s="124">
        <f>IFERROR(__xludf.DUMMYFUNCTION("""COMPUTED_VALUE"""),129402.0)</f>
        <v>129402</v>
      </c>
      <c r="Q300" s="124" t="str">
        <f>IFERROR(__xludf.DUMMYFUNCTION("""COMPUTED_VALUE"""),"Not Available")</f>
        <v>Not Available</v>
      </c>
      <c r="R300" s="124" t="str">
        <f>IFERROR(__xludf.DUMMYFUNCTION("""COMPUTED_VALUE"""),"GS Foundation Course")</f>
        <v>GS Foundation Course</v>
      </c>
      <c r="S300" s="124">
        <f>IFERROR(__xludf.DUMMYFUNCTION("""COMPUTED_VALUE"""),9.648302245E9)</f>
        <v>9648302245</v>
      </c>
      <c r="T300" s="124" t="str">
        <f>IFERROR(__xludf.DUMMYFUNCTION("""COMPUTED_VALUE"""),"Not Available")</f>
        <v>Not Available</v>
      </c>
      <c r="U300" s="124" t="str">
        <f>IFERROR(__xludf.DUMMYFUNCTION("""COMPUTED_VALUE"""),"Not Available")</f>
        <v>Not Available</v>
      </c>
      <c r="V300" s="124" t="str">
        <f>IFERROR(__xludf.DUMMYFUNCTION("""COMPUTED_VALUE"""),"Not Available")</f>
        <v>Not Available</v>
      </c>
      <c r="W300" s="124" t="str">
        <f>IFERROR(__xludf.DUMMYFUNCTION("""COMPUTED_VALUE"""),"Not Available")</f>
        <v>Not Available</v>
      </c>
    </row>
    <row r="301">
      <c r="A301" s="124" t="str">
        <f t="shared" si="1"/>
        <v>Pihu.kashyappppp@gmail.com</v>
      </c>
      <c r="B301" s="131">
        <f>IFERROR(__xludf.DUMMYFUNCTION("""COMPUTED_VALUE"""),46090.0)</f>
        <v>46090</v>
      </c>
      <c r="C301" s="124" t="str">
        <f>IFERROR(__xludf.DUMMYFUNCTION("""COMPUTED_VALUE"""),"Payment data from Collexo")</f>
        <v>Payment data from Collexo</v>
      </c>
      <c r="D301" s="124" t="str">
        <f>IFERROR(__xludf.DUMMYFUNCTION("""COMPUTED_VALUE"""),"Not Available")</f>
        <v>Not Available</v>
      </c>
      <c r="E301" s="124">
        <f>IFERROR(__xludf.DUMMYFUNCTION("""COMPUTED_VALUE"""),1500609.0)</f>
        <v>1500609</v>
      </c>
      <c r="F301" s="124" t="str">
        <f>IFERROR(__xludf.DUMMYFUNCTION("""COMPUTED_VALUE"""),"13269_988_7")</f>
        <v>13269_988_7</v>
      </c>
      <c r="G301" s="124">
        <f>IFERROR(__xludf.DUMMYFUNCTION("""COMPUTED_VALUE"""),50000.0)</f>
        <v>50000</v>
      </c>
      <c r="H301" s="131">
        <f>IFERROR(__xludf.DUMMYFUNCTION("""COMPUTED_VALUE"""),46112.0)</f>
        <v>46112</v>
      </c>
      <c r="I301" s="124">
        <f>IFERROR(__xludf.DUMMYFUNCTION("""COMPUTED_VALUE"""),26250.0)</f>
        <v>26250</v>
      </c>
      <c r="J301" s="124">
        <f>IFERROR(__xludf.DUMMYFUNCTION("""COMPUTED_VALUE"""),135000.0)</f>
        <v>135000</v>
      </c>
      <c r="K301" s="124">
        <f>IFERROR(__xludf.DUMMYFUNCTION("""COMPUTED_VALUE"""),4.0)</f>
        <v>4</v>
      </c>
      <c r="L301" s="124">
        <f>IFERROR(__xludf.DUMMYFUNCTION("""COMPUTED_VALUE"""),456.0)</f>
        <v>456</v>
      </c>
      <c r="M301" s="124" t="str">
        <f>IFERROR(__xludf.DUMMYFUNCTION("""COMPUTED_VALUE"""),"New Delhi")</f>
        <v>New Delhi</v>
      </c>
      <c r="N301" s="124" t="str">
        <f>IFERROR(__xludf.DUMMYFUNCTION("""COMPUTED_VALUE"""),"Pihu.kashyappppp@gmail.com")</f>
        <v>Pihu.kashyappppp@gmail.com</v>
      </c>
      <c r="O301" s="124" t="str">
        <f>IFERROR(__xludf.DUMMYFUNCTION("""COMPUTED_VALUE"""),"Shalu Kumari")</f>
        <v>Shalu Kumari</v>
      </c>
      <c r="P301" s="124">
        <f>IFERROR(__xludf.DUMMYFUNCTION("""COMPUTED_VALUE"""),121548.0)</f>
        <v>121548</v>
      </c>
      <c r="Q301" s="124" t="str">
        <f>IFERROR(__xludf.DUMMYFUNCTION("""COMPUTED_VALUE"""),"upsc-gs-foundation-hinglish-target-2028-gsf-upsc-e03-orn")</f>
        <v>upsc-gs-foundation-hinglish-target-2028-gsf-upsc-e03-orn</v>
      </c>
      <c r="R301" s="124" t="str">
        <f>IFERROR(__xludf.DUMMYFUNCTION("""COMPUTED_VALUE"""),"GS Foundation Course")</f>
        <v>GS Foundation Course</v>
      </c>
      <c r="S301" s="124">
        <f>IFERROR(__xludf.DUMMYFUNCTION("""COMPUTED_VALUE"""),9.142599043E9)</f>
        <v>9142599043</v>
      </c>
      <c r="T301" s="124" t="str">
        <f>IFERROR(__xludf.DUMMYFUNCTION("""COMPUTED_VALUE"""),"Collexo")</f>
        <v>Collexo</v>
      </c>
      <c r="U301" s="124" t="str">
        <f>IFERROR(__xludf.DUMMYFUNCTION("""COMPUTED_VALUE"""),"Success")</f>
        <v>Success</v>
      </c>
      <c r="V301" s="131">
        <f>IFERROR(__xludf.DUMMYFUNCTION("""COMPUTED_VALUE"""),46090.0)</f>
        <v>46090</v>
      </c>
      <c r="W301" s="124">
        <f>IFERROR(__xludf.DUMMYFUNCTION("""COMPUTED_VALUE"""),0.0)</f>
        <v>0</v>
      </c>
    </row>
    <row r="302">
      <c r="A302" s="124" t="str">
        <f t="shared" si="1"/>
        <v>vishakhasinghyadav00@gmail.com</v>
      </c>
      <c r="B302" s="131">
        <f>IFERROR(__xludf.DUMMYFUNCTION("""COMPUTED_VALUE"""),46081.0)</f>
        <v>46081</v>
      </c>
      <c r="C302" s="124" t="str">
        <f>IFERROR(__xludf.DUMMYFUNCTION("""COMPUTED_VALUE"""),"Payment data from Collexo")</f>
        <v>Payment data from Collexo</v>
      </c>
      <c r="D302" s="124" t="str">
        <f>IFERROR(__xludf.DUMMYFUNCTION("""COMPUTED_VALUE"""),"Not Available")</f>
        <v>Not Available</v>
      </c>
      <c r="E302" s="124">
        <f>IFERROR(__xludf.DUMMYFUNCTION("""COMPUTED_VALUE"""),1500613.0)</f>
        <v>1500613</v>
      </c>
      <c r="F302" s="124">
        <f>IFERROR(__xludf.DUMMYFUNCTION("""COMPUTED_VALUE"""),34503.0)</f>
        <v>34503</v>
      </c>
      <c r="G302" s="124">
        <f>IFERROR(__xludf.DUMMYFUNCTION("""COMPUTED_VALUE"""),5000.0)</f>
        <v>5000</v>
      </c>
      <c r="H302" s="131">
        <f>IFERROR(__xludf.DUMMYFUNCTION("""COMPUTED_VALUE"""),46096.0)</f>
        <v>46096</v>
      </c>
      <c r="I302" s="124">
        <f>IFERROR(__xludf.DUMMYFUNCTION("""COMPUTED_VALUE"""),50000.0)</f>
        <v>50000</v>
      </c>
      <c r="J302" s="124">
        <f>IFERROR(__xludf.DUMMYFUNCTION("""COMPUTED_VALUE"""),55000.0)</f>
        <v>55000</v>
      </c>
      <c r="K302" s="124">
        <f>IFERROR(__xludf.DUMMYFUNCTION("""COMPUTED_VALUE"""),2.0)</f>
        <v>2</v>
      </c>
      <c r="L302" s="124">
        <f>IFERROR(__xludf.DUMMYFUNCTION("""COMPUTED_VALUE"""),388.0)</f>
        <v>388</v>
      </c>
      <c r="M302" s="124" t="str">
        <f>IFERROR(__xludf.DUMMYFUNCTION("""COMPUTED_VALUE"""),"Prayagraj")</f>
        <v>Prayagraj</v>
      </c>
      <c r="N302" s="124" t="str">
        <f>IFERROR(__xludf.DUMMYFUNCTION("""COMPUTED_VALUE"""),"vishakhasinghyadav00@gmail.com")</f>
        <v>vishakhasinghyadav00@gmail.com</v>
      </c>
      <c r="O302" s="124" t="str">
        <f>IFERROR(__xludf.DUMMYFUNCTION("""COMPUTED_VALUE"""),"Vishakha Singh Yadav")</f>
        <v>Vishakha Singh Yadav</v>
      </c>
      <c r="P302" s="124">
        <f>IFERROR(__xludf.DUMMYFUNCTION("""COMPUTED_VALUE"""),34503.0)</f>
        <v>34503</v>
      </c>
      <c r="Q302" s="124" t="str">
        <f>IFERROR(__xludf.DUMMYFUNCTION("""COMPUTED_VALUE"""),"upsc-gs-foundation-hinglish-target-2028-gsf-upsc-e03-pry")</f>
        <v>upsc-gs-foundation-hinglish-target-2028-gsf-upsc-e03-pry</v>
      </c>
      <c r="R302" s="124" t="str">
        <f>IFERROR(__xludf.DUMMYFUNCTION("""COMPUTED_VALUE"""),"GS Foundation Course")</f>
        <v>GS Foundation Course</v>
      </c>
      <c r="S302" s="124">
        <f>IFERROR(__xludf.DUMMYFUNCTION("""COMPUTED_VALUE"""),7.309210289E9)</f>
        <v>7309210289</v>
      </c>
      <c r="T302" s="124" t="str">
        <f>IFERROR(__xludf.DUMMYFUNCTION("""COMPUTED_VALUE"""),"Not Available")</f>
        <v>Not Available</v>
      </c>
      <c r="U302" s="124" t="str">
        <f>IFERROR(__xludf.DUMMYFUNCTION("""COMPUTED_VALUE"""),"Not Available")</f>
        <v>Not Available</v>
      </c>
      <c r="V302" s="124" t="str">
        <f>IFERROR(__xludf.DUMMYFUNCTION("""COMPUTED_VALUE"""),"Not Available")</f>
        <v>Not Available</v>
      </c>
      <c r="W302" s="124" t="str">
        <f>IFERROR(__xludf.DUMMYFUNCTION("""COMPUTED_VALUE"""),"Not Available")</f>
        <v>Not Available</v>
      </c>
    </row>
    <row r="303">
      <c r="A303" s="124" t="str">
        <f t="shared" si="1"/>
        <v>33348swechchhapandey9c@gmail.com</v>
      </c>
      <c r="B303" s="131">
        <f>IFERROR(__xludf.DUMMYFUNCTION("""COMPUTED_VALUE"""),46107.0)</f>
        <v>46107</v>
      </c>
      <c r="C303" s="124" t="str">
        <f>IFERROR(__xludf.DUMMYFUNCTION("""COMPUTED_VALUE"""),"Payment data from Collexo")</f>
        <v>Payment data from Collexo</v>
      </c>
      <c r="D303" s="124" t="str">
        <f>IFERROR(__xludf.DUMMYFUNCTION("""COMPUTED_VALUE"""),"Not Available")</f>
        <v>Not Available</v>
      </c>
      <c r="E303" s="124">
        <f>IFERROR(__xludf.DUMMYFUNCTION("""COMPUTED_VALUE"""),1500613.0)</f>
        <v>1500613</v>
      </c>
      <c r="F303" s="124">
        <f>IFERROR(__xludf.DUMMYFUNCTION("""COMPUTED_VALUE"""),128771.0)</f>
        <v>128771</v>
      </c>
      <c r="G303" s="124">
        <f>IFERROR(__xludf.DUMMYFUNCTION("""COMPUTED_VALUE"""),10000.0)</f>
        <v>10000</v>
      </c>
      <c r="H303" s="124" t="str">
        <f>IFERROR(__xludf.DUMMYFUNCTION("""COMPUTED_VALUE"""),"Not Available")</f>
        <v>Not Available</v>
      </c>
      <c r="I303" s="124">
        <f>IFERROR(__xludf.DUMMYFUNCTION("""COMPUTED_VALUE"""),0.0)</f>
        <v>0</v>
      </c>
      <c r="J303" s="124">
        <f>IFERROR(__xludf.DUMMYFUNCTION("""COMPUTED_VALUE"""),75000.0)</f>
        <v>75000</v>
      </c>
      <c r="K303" s="124">
        <f>IFERROR(__xludf.DUMMYFUNCTION("""COMPUTED_VALUE"""),3.0)</f>
        <v>3</v>
      </c>
      <c r="L303" s="124">
        <f>IFERROR(__xludf.DUMMYFUNCTION("""COMPUTED_VALUE"""),759.0)</f>
        <v>759</v>
      </c>
      <c r="M303" s="124" t="str">
        <f>IFERROR(__xludf.DUMMYFUNCTION("""COMPUTED_VALUE"""),"Prayagraj")</f>
        <v>Prayagraj</v>
      </c>
      <c r="N303" s="124" t="str">
        <f>IFERROR(__xludf.DUMMYFUNCTION("""COMPUTED_VALUE"""),"33348swechchhapandey9c@gmail.com")</f>
        <v>33348swechchhapandey9c@gmail.com</v>
      </c>
      <c r="O303" s="124" t="str">
        <f>IFERROR(__xludf.DUMMYFUNCTION("""COMPUTED_VALUE"""),"Swchchha pandey")</f>
        <v>Swchchha pandey</v>
      </c>
      <c r="P303" s="124">
        <f>IFERROR(__xludf.DUMMYFUNCTION("""COMPUTED_VALUE"""),128771.0)</f>
        <v>128771</v>
      </c>
      <c r="Q303" s="124" t="str">
        <f>IFERROR(__xludf.DUMMYFUNCTION("""COMPUTED_VALUE"""),"upsc-gs-foundation-hinglish-target-2028-gsf-upsc-e03-pry")</f>
        <v>upsc-gs-foundation-hinglish-target-2028-gsf-upsc-e03-pry</v>
      </c>
      <c r="R303" s="124" t="str">
        <f>IFERROR(__xludf.DUMMYFUNCTION("""COMPUTED_VALUE"""),"GS Foundation Course")</f>
        <v>GS Foundation Course</v>
      </c>
      <c r="S303" s="124">
        <f>IFERROR(__xludf.DUMMYFUNCTION("""COMPUTED_VALUE"""),9.118567877E9)</f>
        <v>9118567877</v>
      </c>
      <c r="T303" s="124" t="str">
        <f>IFERROR(__xludf.DUMMYFUNCTION("""COMPUTED_VALUE"""),"Not Available")</f>
        <v>Not Available</v>
      </c>
      <c r="U303" s="124" t="str">
        <f>IFERROR(__xludf.DUMMYFUNCTION("""COMPUTED_VALUE"""),"Not Available")</f>
        <v>Not Available</v>
      </c>
      <c r="V303" s="124" t="str">
        <f>IFERROR(__xludf.DUMMYFUNCTION("""COMPUTED_VALUE"""),"Not Available")</f>
        <v>Not Available</v>
      </c>
      <c r="W303" s="124" t="str">
        <f>IFERROR(__xludf.DUMMYFUNCTION("""COMPUTED_VALUE"""),"Not Available")</f>
        <v>Not Available</v>
      </c>
    </row>
    <row r="304">
      <c r="A304" s="124" t="str">
        <f t="shared" si="1"/>
        <v>armita1207s@gmail.com</v>
      </c>
      <c r="B304" s="131">
        <f>IFERROR(__xludf.DUMMYFUNCTION("""COMPUTED_VALUE"""),46053.0)</f>
        <v>46053</v>
      </c>
      <c r="C304" s="124" t="str">
        <f>IFERROR(__xludf.DUMMYFUNCTION("""COMPUTED_VALUE"""),"Payment data from Collexo")</f>
        <v>Payment data from Collexo</v>
      </c>
      <c r="D304" s="124" t="str">
        <f>IFERROR(__xludf.DUMMYFUNCTION("""COMPUTED_VALUE"""),"Not Available")</f>
        <v>Not Available</v>
      </c>
      <c r="E304" s="124">
        <f>IFERROR(__xludf.DUMMYFUNCTION("""COMPUTED_VALUE"""),1500609.0)</f>
        <v>1500609</v>
      </c>
      <c r="F304" s="124" t="str">
        <f>IFERROR(__xludf.DUMMYFUNCTION("""COMPUTED_VALUE"""),"3195_988_7")</f>
        <v>3195_988_7</v>
      </c>
      <c r="G304" s="124">
        <f>IFERROR(__xludf.DUMMYFUNCTION("""COMPUTED_VALUE"""),50000.0)</f>
        <v>50000</v>
      </c>
      <c r="H304" s="124" t="str">
        <f>IFERROR(__xludf.DUMMYFUNCTION("""COMPUTED_VALUE"""),"Not Available")</f>
        <v>Not Available</v>
      </c>
      <c r="I304" s="124">
        <f>IFERROR(__xludf.DUMMYFUNCTION("""COMPUTED_VALUE"""),0.0)</f>
        <v>0</v>
      </c>
      <c r="J304" s="124">
        <f>IFERROR(__xludf.DUMMYFUNCTION("""COMPUTED_VALUE"""),150000.0)</f>
        <v>150000</v>
      </c>
      <c r="K304" s="124">
        <f>IFERROR(__xludf.DUMMYFUNCTION("""COMPUTED_VALUE"""),5.0)</f>
        <v>5</v>
      </c>
      <c r="L304" s="124">
        <f>IFERROR(__xludf.DUMMYFUNCTION("""COMPUTED_VALUE"""),140.0)</f>
        <v>140</v>
      </c>
      <c r="M304" s="124" t="str">
        <f>IFERROR(__xludf.DUMMYFUNCTION("""COMPUTED_VALUE"""),"New Delhi")</f>
        <v>New Delhi</v>
      </c>
      <c r="N304" s="124" t="str">
        <f>IFERROR(__xludf.DUMMYFUNCTION("""COMPUTED_VALUE"""),"armita1207s@gmail.com")</f>
        <v>armita1207s@gmail.com</v>
      </c>
      <c r="O304" s="124" t="str">
        <f>IFERROR(__xludf.DUMMYFUNCTION("""COMPUTED_VALUE"""),"Armita Singh")</f>
        <v>Armita Singh</v>
      </c>
      <c r="P304" s="124">
        <f>IFERROR(__xludf.DUMMYFUNCTION("""COMPUTED_VALUE"""),118701.0)</f>
        <v>118701</v>
      </c>
      <c r="Q304" s="124" t="str">
        <f>IFERROR(__xludf.DUMMYFUNCTION("""COMPUTED_VALUE"""),"NCERT Foundation Hinglish Target 2026 (NCE-UPSC-E02)-ORN")</f>
        <v>NCERT Foundation Hinglish Target 2026 (NCE-UPSC-E02)-ORN</v>
      </c>
      <c r="R304" s="124" t="str">
        <f>IFERROR(__xludf.DUMMYFUNCTION("""COMPUTED_VALUE"""),"GS Foundation Course")</f>
        <v>GS Foundation Course</v>
      </c>
      <c r="S304" s="124">
        <f>IFERROR(__xludf.DUMMYFUNCTION("""COMPUTED_VALUE"""),7.37914E9)</f>
        <v>7379140000</v>
      </c>
      <c r="T304" s="124" t="str">
        <f>IFERROR(__xludf.DUMMYFUNCTION("""COMPUTED_VALUE"""),"Collexo")</f>
        <v>Collexo</v>
      </c>
      <c r="U304" s="124" t="str">
        <f>IFERROR(__xludf.DUMMYFUNCTION("""COMPUTED_VALUE"""),"Success")</f>
        <v>Success</v>
      </c>
      <c r="V304" s="131">
        <f>IFERROR(__xludf.DUMMYFUNCTION("""COMPUTED_VALUE"""),46053.0)</f>
        <v>46053</v>
      </c>
      <c r="W304" s="124">
        <f>IFERROR(__xludf.DUMMYFUNCTION("""COMPUTED_VALUE"""),0.0)</f>
        <v>0</v>
      </c>
    </row>
    <row r="305">
      <c r="A305" s="124" t="str">
        <f t="shared" si="1"/>
        <v>abdularij2007@gmail.com</v>
      </c>
      <c r="B305" s="131">
        <f>IFERROR(__xludf.DUMMYFUNCTION("""COMPUTED_VALUE"""),46089.0)</f>
        <v>46089</v>
      </c>
      <c r="C305" s="124" t="str">
        <f>IFERROR(__xludf.DUMMYFUNCTION("""COMPUTED_VALUE"""),"Payment data from Collexo")</f>
        <v>Payment data from Collexo</v>
      </c>
      <c r="D305" s="124" t="str">
        <f>IFERROR(__xludf.DUMMYFUNCTION("""COMPUTED_VALUE"""),"Not Available")</f>
        <v>Not Available</v>
      </c>
      <c r="E305" s="124">
        <f>IFERROR(__xludf.DUMMYFUNCTION("""COMPUTED_VALUE"""),1500613.0)</f>
        <v>1500613</v>
      </c>
      <c r="F305" s="124">
        <f>IFERROR(__xludf.DUMMYFUNCTION("""COMPUTED_VALUE"""),110205.0)</f>
        <v>110205</v>
      </c>
      <c r="G305" s="124">
        <f>IFERROR(__xludf.DUMMYFUNCTION("""COMPUTED_VALUE"""),39000.0)</f>
        <v>39000</v>
      </c>
      <c r="H305" s="124" t="str">
        <f>IFERROR(__xludf.DUMMYFUNCTION("""COMPUTED_VALUE"""),"Not Available")</f>
        <v>Not Available</v>
      </c>
      <c r="I305" s="124">
        <f>IFERROR(__xludf.DUMMYFUNCTION("""COMPUTED_VALUE"""),0.0)</f>
        <v>0</v>
      </c>
      <c r="J305" s="124">
        <f>IFERROR(__xludf.DUMMYFUNCTION("""COMPUTED_VALUE"""),39000.0)</f>
        <v>39000</v>
      </c>
      <c r="K305" s="124">
        <f>IFERROR(__xludf.DUMMYFUNCTION("""COMPUTED_VALUE"""),1.0)</f>
        <v>1</v>
      </c>
      <c r="L305" s="124">
        <f>IFERROR(__xludf.DUMMYFUNCTION("""COMPUTED_VALUE"""),432.0)</f>
        <v>432</v>
      </c>
      <c r="M305" s="124" t="str">
        <f>IFERROR(__xludf.DUMMYFUNCTION("""COMPUTED_VALUE"""),"Prayagraj")</f>
        <v>Prayagraj</v>
      </c>
      <c r="N305" s="124" t="str">
        <f>IFERROR(__xludf.DUMMYFUNCTION("""COMPUTED_VALUE"""),"abdularij2007@gmail.com")</f>
        <v>abdularij2007@gmail.com</v>
      </c>
      <c r="O305" s="124" t="str">
        <f>IFERROR(__xludf.DUMMYFUNCTION("""COMPUTED_VALUE"""),"Abdul Arij")</f>
        <v>Abdul Arij</v>
      </c>
      <c r="P305" s="124">
        <f>IFERROR(__xludf.DUMMYFUNCTION("""COMPUTED_VALUE"""),110205.0)</f>
        <v>110205</v>
      </c>
      <c r="Q305" s="124" t="str">
        <f>IFERROR(__xludf.DUMMYFUNCTION("""COMPUTED_VALUE"""),"upsc-gs-foundation-hinglish-target-2027-gsf-upsc-e03-pry")</f>
        <v>upsc-gs-foundation-hinglish-target-2027-gsf-upsc-e03-pry</v>
      </c>
      <c r="R305" s="124" t="str">
        <f>IFERROR(__xludf.DUMMYFUNCTION("""COMPUTED_VALUE"""),"GS Foundation Course")</f>
        <v>GS Foundation Course</v>
      </c>
      <c r="S305" s="124">
        <f>IFERROR(__xludf.DUMMYFUNCTION("""COMPUTED_VALUE"""),8.429452813E9)</f>
        <v>8429452813</v>
      </c>
      <c r="T305" s="124" t="str">
        <f>IFERROR(__xludf.DUMMYFUNCTION("""COMPUTED_VALUE"""),"Not Available")</f>
        <v>Not Available</v>
      </c>
      <c r="U305" s="124" t="str">
        <f>IFERROR(__xludf.DUMMYFUNCTION("""COMPUTED_VALUE"""),"Not Available")</f>
        <v>Not Available</v>
      </c>
      <c r="V305" s="124" t="str">
        <f>IFERROR(__xludf.DUMMYFUNCTION("""COMPUTED_VALUE"""),"Not Available")</f>
        <v>Not Available</v>
      </c>
      <c r="W305" s="124" t="str">
        <f>IFERROR(__xludf.DUMMYFUNCTION("""COMPUTED_VALUE"""),"Not Available")</f>
        <v>Not Available</v>
      </c>
    </row>
    <row r="306">
      <c r="A306" s="124" t="str">
        <f t="shared" si="1"/>
        <v>anujbiswan03@gmail.com</v>
      </c>
      <c r="B306" s="131">
        <f>IFERROR(__xludf.DUMMYFUNCTION("""COMPUTED_VALUE"""),46104.0)</f>
        <v>46104</v>
      </c>
      <c r="C306" s="124" t="str">
        <f>IFERROR(__xludf.DUMMYFUNCTION("""COMPUTED_VALUE"""),"Payment data from Collexo")</f>
        <v>Payment data from Collexo</v>
      </c>
      <c r="D306" s="124" t="str">
        <f>IFERROR(__xludf.DUMMYFUNCTION("""COMPUTED_VALUE"""),"Not Available")</f>
        <v>Not Available</v>
      </c>
      <c r="E306" s="124">
        <f>IFERROR(__xludf.DUMMYFUNCTION("""COMPUTED_VALUE"""),1500610.0)</f>
        <v>1500610</v>
      </c>
      <c r="F306" s="124">
        <f>IFERROR(__xludf.DUMMYFUNCTION("""COMPUTED_VALUE"""),129636.0)</f>
        <v>129636</v>
      </c>
      <c r="G306" s="124">
        <f>IFERROR(__xludf.DUMMYFUNCTION("""COMPUTED_VALUE"""),10000.0)</f>
        <v>10000</v>
      </c>
      <c r="H306" s="131">
        <f>IFERROR(__xludf.DUMMYFUNCTION("""COMPUTED_VALUE"""),46142.0)</f>
        <v>46142</v>
      </c>
      <c r="I306" s="124">
        <f>IFERROR(__xludf.DUMMYFUNCTION("""COMPUTED_VALUE"""),10000.0)</f>
        <v>10000</v>
      </c>
      <c r="J306" s="124">
        <f>IFERROR(__xludf.DUMMYFUNCTION("""COMPUTED_VALUE"""),25000.0)</f>
        <v>25000</v>
      </c>
      <c r="K306" s="124">
        <f>IFERROR(__xludf.DUMMYFUNCTION("""COMPUTED_VALUE"""),3.0)</f>
        <v>3</v>
      </c>
      <c r="L306" s="124">
        <f>IFERROR(__xludf.DUMMYFUNCTION("""COMPUTED_VALUE"""),696.0)</f>
        <v>696</v>
      </c>
      <c r="M306" s="124" t="str">
        <f>IFERROR(__xludf.DUMMYFUNCTION("""COMPUTED_VALUE"""),"Lucknow")</f>
        <v>Lucknow</v>
      </c>
      <c r="N306" s="124" t="str">
        <f>IFERROR(__xludf.DUMMYFUNCTION("""COMPUTED_VALUE"""),"anujbiswan03@gmail.com")</f>
        <v>anujbiswan03@gmail.com</v>
      </c>
      <c r="O306" s="124" t="str">
        <f>IFERROR(__xludf.DUMMYFUNCTION("""COMPUTED_VALUE"""),"Anuj Kumar")</f>
        <v>Anuj Kumar</v>
      </c>
      <c r="P306" s="124">
        <f>IFERROR(__xludf.DUMMYFUNCTION("""COMPUTED_VALUE"""),129636.0)</f>
        <v>129636</v>
      </c>
      <c r="Q306" s="124" t="str">
        <f>IFERROR(__xludf.DUMMYFUNCTION("""COMPUTED_VALUE"""),"Not Available")</f>
        <v>Not Available</v>
      </c>
      <c r="R306" s="124" t="str">
        <f>IFERROR(__xludf.DUMMYFUNCTION("""COMPUTED_VALUE"""),"GS Foundation Course")</f>
        <v>GS Foundation Course</v>
      </c>
      <c r="S306" s="124">
        <f>IFERROR(__xludf.DUMMYFUNCTION("""COMPUTED_VALUE"""),8.127351647E9)</f>
        <v>8127351647</v>
      </c>
      <c r="T306" s="124" t="str">
        <f>IFERROR(__xludf.DUMMYFUNCTION("""COMPUTED_VALUE"""),"Not Available")</f>
        <v>Not Available</v>
      </c>
      <c r="U306" s="124" t="str">
        <f>IFERROR(__xludf.DUMMYFUNCTION("""COMPUTED_VALUE"""),"Not Available")</f>
        <v>Not Available</v>
      </c>
      <c r="V306" s="124" t="str">
        <f>IFERROR(__xludf.DUMMYFUNCTION("""COMPUTED_VALUE"""),"Not Available")</f>
        <v>Not Available</v>
      </c>
      <c r="W306" s="124" t="str">
        <f>IFERROR(__xludf.DUMMYFUNCTION("""COMPUTED_VALUE"""),"Not Available")</f>
        <v>Not Available</v>
      </c>
    </row>
    <row r="307">
      <c r="A307" s="124" t="str">
        <f t="shared" si="1"/>
        <v>priyamsoni210@gmail.com</v>
      </c>
      <c r="B307" s="131">
        <f>IFERROR(__xludf.DUMMYFUNCTION("""COMPUTED_VALUE"""),46102.0)</f>
        <v>46102</v>
      </c>
      <c r="C307" s="124" t="str">
        <f>IFERROR(__xludf.DUMMYFUNCTION("""COMPUTED_VALUE"""),"Payment data from Collexo")</f>
        <v>Payment data from Collexo</v>
      </c>
      <c r="D307" s="124" t="str">
        <f>IFERROR(__xludf.DUMMYFUNCTION("""COMPUTED_VALUE"""),"Not Available")</f>
        <v>Not Available</v>
      </c>
      <c r="E307" s="124">
        <f>IFERROR(__xludf.DUMMYFUNCTION("""COMPUTED_VALUE"""),1500609.0)</f>
        <v>1500609</v>
      </c>
      <c r="F307" s="124" t="str">
        <f>IFERROR(__xludf.DUMMYFUNCTION("""COMPUTED_VALUE"""),"15751_988_7")</f>
        <v>15751_988_7</v>
      </c>
      <c r="G307" s="124">
        <f>IFERROR(__xludf.DUMMYFUNCTION("""COMPUTED_VALUE"""),1.0)</f>
        <v>1</v>
      </c>
      <c r="H307" s="124" t="str">
        <f>IFERROR(__xludf.DUMMYFUNCTION("""COMPUTED_VALUE"""),"Not Available")</f>
        <v>Not Available</v>
      </c>
      <c r="I307" s="124">
        <f>IFERROR(__xludf.DUMMYFUNCTION("""COMPUTED_VALUE"""),0.0)</f>
        <v>0</v>
      </c>
      <c r="J307" s="124">
        <f>IFERROR(__xludf.DUMMYFUNCTION("""COMPUTED_VALUE"""),1.0)</f>
        <v>1</v>
      </c>
      <c r="K307" s="124">
        <f>IFERROR(__xludf.DUMMYFUNCTION("""COMPUTED_VALUE"""),1.0)</f>
        <v>1</v>
      </c>
      <c r="L307" s="124">
        <f>IFERROR(__xludf.DUMMYFUNCTION("""COMPUTED_VALUE"""),667.0)</f>
        <v>667</v>
      </c>
      <c r="M307" s="124" t="str">
        <f>IFERROR(__xludf.DUMMYFUNCTION("""COMPUTED_VALUE"""),"New Delhi")</f>
        <v>New Delhi</v>
      </c>
      <c r="N307" s="124" t="str">
        <f>IFERROR(__xludf.DUMMYFUNCTION("""COMPUTED_VALUE"""),"priyamsoni210@gmail.com")</f>
        <v>priyamsoni210@gmail.com</v>
      </c>
      <c r="O307" s="124" t="str">
        <f>IFERROR(__xludf.DUMMYFUNCTION("""COMPUTED_VALUE"""),"shyam soni")</f>
        <v>shyam soni</v>
      </c>
      <c r="P307" s="124">
        <f>IFERROR(__xludf.DUMMYFUNCTION("""COMPUTED_VALUE"""),129772.0)</f>
        <v>129772</v>
      </c>
      <c r="Q307" s="124" t="str">
        <f>IFERROR(__xludf.DUMMYFUNCTION("""COMPUTED_VALUE"""),"upsc-gs-foundation-hinglish-target-2028-gsf-upsc-e04-orn")</f>
        <v>upsc-gs-foundation-hinglish-target-2028-gsf-upsc-e04-orn</v>
      </c>
      <c r="R307" s="124" t="str">
        <f>IFERROR(__xludf.DUMMYFUNCTION("""COMPUTED_VALUE"""),"GS Foundation Course")</f>
        <v>GS Foundation Course</v>
      </c>
      <c r="S307" s="124">
        <f>IFERROR(__xludf.DUMMYFUNCTION("""COMPUTED_VALUE"""),8.736032381E9)</f>
        <v>8736032381</v>
      </c>
      <c r="T307" s="124" t="str">
        <f>IFERROR(__xludf.DUMMYFUNCTION("""COMPUTED_VALUE"""),"Collexo")</f>
        <v>Collexo</v>
      </c>
      <c r="U307" s="124" t="str">
        <f>IFERROR(__xludf.DUMMYFUNCTION("""COMPUTED_VALUE"""),"Success")</f>
        <v>Success</v>
      </c>
      <c r="V307" s="131">
        <f>IFERROR(__xludf.DUMMYFUNCTION("""COMPUTED_VALUE"""),46102.0)</f>
        <v>46102</v>
      </c>
      <c r="W307" s="124">
        <f>IFERROR(__xludf.DUMMYFUNCTION("""COMPUTED_VALUE"""),0.0)</f>
        <v>0</v>
      </c>
    </row>
    <row r="308">
      <c r="A308" s="124" t="str">
        <f t="shared" si="1"/>
        <v>priyamsoni210@gmail.com</v>
      </c>
      <c r="B308" s="131">
        <f>IFERROR(__xludf.DUMMYFUNCTION("""COMPUTED_VALUE"""),46102.0)</f>
        <v>46102</v>
      </c>
      <c r="C308" s="124" t="str">
        <f>IFERROR(__xludf.DUMMYFUNCTION("""COMPUTED_VALUE"""),"Payment data from Collexo")</f>
        <v>Payment data from Collexo</v>
      </c>
      <c r="D308" s="124" t="str">
        <f>IFERROR(__xludf.DUMMYFUNCTION("""COMPUTED_VALUE"""),"Not Available")</f>
        <v>Not Available</v>
      </c>
      <c r="E308" s="124">
        <f>IFERROR(__xludf.DUMMYFUNCTION("""COMPUTED_VALUE"""),1500609.0)</f>
        <v>1500609</v>
      </c>
      <c r="F308" s="124" t="str">
        <f>IFERROR(__xludf.DUMMYFUNCTION("""COMPUTED_VALUE"""),"15749_988_7")</f>
        <v>15749_988_7</v>
      </c>
      <c r="G308" s="124">
        <f>IFERROR(__xludf.DUMMYFUNCTION("""COMPUTED_VALUE"""),2000.0)</f>
        <v>2000</v>
      </c>
      <c r="H308" s="131">
        <f>IFERROR(__xludf.DUMMYFUNCTION("""COMPUTED_VALUE"""),46112.0)</f>
        <v>46112</v>
      </c>
      <c r="I308" s="124">
        <f>IFERROR(__xludf.DUMMYFUNCTION("""COMPUTED_VALUE"""),128000.0)</f>
        <v>128000</v>
      </c>
      <c r="J308" s="124">
        <f>IFERROR(__xludf.DUMMYFUNCTION("""COMPUTED_VALUE"""),130000.0)</f>
        <v>130000</v>
      </c>
      <c r="K308" s="124">
        <f>IFERROR(__xludf.DUMMYFUNCTION("""COMPUTED_VALUE"""),2.0)</f>
        <v>2</v>
      </c>
      <c r="L308" s="124">
        <f>IFERROR(__xludf.DUMMYFUNCTION("""COMPUTED_VALUE"""),666.0)</f>
        <v>666</v>
      </c>
      <c r="M308" s="124" t="str">
        <f>IFERROR(__xludf.DUMMYFUNCTION("""COMPUTED_VALUE"""),"New Delhi")</f>
        <v>New Delhi</v>
      </c>
      <c r="N308" s="124" t="str">
        <f>IFERROR(__xludf.DUMMYFUNCTION("""COMPUTED_VALUE"""),"priyamsoni210@gmail.com")</f>
        <v>priyamsoni210@gmail.com</v>
      </c>
      <c r="O308" s="124" t="str">
        <f>IFERROR(__xludf.DUMMYFUNCTION("""COMPUTED_VALUE"""),"shyam soni")</f>
        <v>shyam soni</v>
      </c>
      <c r="P308" s="124">
        <f>IFERROR(__xludf.DUMMYFUNCTION("""COMPUTED_VALUE"""),129772.0)</f>
        <v>129772</v>
      </c>
      <c r="Q308" s="124" t="str">
        <f>IFERROR(__xludf.DUMMYFUNCTION("""COMPUTED_VALUE"""),"upsc-gs-foundation-hinglish-target-2028-gsf-upsc-e04-orn")</f>
        <v>upsc-gs-foundation-hinglish-target-2028-gsf-upsc-e04-orn</v>
      </c>
      <c r="R308" s="124" t="str">
        <f>IFERROR(__xludf.DUMMYFUNCTION("""COMPUTED_VALUE"""),"GS Foundation Course")</f>
        <v>GS Foundation Course</v>
      </c>
      <c r="S308" s="124">
        <f>IFERROR(__xludf.DUMMYFUNCTION("""COMPUTED_VALUE"""),8.736032381E9)</f>
        <v>8736032381</v>
      </c>
      <c r="T308" s="124" t="str">
        <f>IFERROR(__xludf.DUMMYFUNCTION("""COMPUTED_VALUE"""),"Collexo")</f>
        <v>Collexo</v>
      </c>
      <c r="U308" s="124" t="str">
        <f>IFERROR(__xludf.DUMMYFUNCTION("""COMPUTED_VALUE"""),"Success")</f>
        <v>Success</v>
      </c>
      <c r="V308" s="131">
        <f>IFERROR(__xludf.DUMMYFUNCTION("""COMPUTED_VALUE"""),46102.0)</f>
        <v>46102</v>
      </c>
      <c r="W308" s="124">
        <f>IFERROR(__xludf.DUMMYFUNCTION("""COMPUTED_VALUE"""),0.0)</f>
        <v>0</v>
      </c>
    </row>
    <row r="309">
      <c r="A309" s="124" t="str">
        <f t="shared" si="1"/>
        <v>prateektiwarinps9800@gmail.com</v>
      </c>
      <c r="B309" s="131">
        <f>IFERROR(__xludf.DUMMYFUNCTION("""COMPUTED_VALUE"""),46078.0)</f>
        <v>46078</v>
      </c>
      <c r="C309" s="124" t="str">
        <f>IFERROR(__xludf.DUMMYFUNCTION("""COMPUTED_VALUE"""),"Payment data from Collexo")</f>
        <v>Payment data from Collexo</v>
      </c>
      <c r="D309" s="124" t="str">
        <f>IFERROR(__xludf.DUMMYFUNCTION("""COMPUTED_VALUE"""),"Not Available")</f>
        <v>Not Available</v>
      </c>
      <c r="E309" s="124">
        <f>IFERROR(__xludf.DUMMYFUNCTION("""COMPUTED_VALUE"""),1500610.0)</f>
        <v>1500610</v>
      </c>
      <c r="F309" s="124">
        <f>IFERROR(__xludf.DUMMYFUNCTION("""COMPUTED_VALUE"""),123677.0)</f>
        <v>123677</v>
      </c>
      <c r="G309" s="124">
        <f>IFERROR(__xludf.DUMMYFUNCTION("""COMPUTED_VALUE"""),46105.0)</f>
        <v>46105</v>
      </c>
      <c r="H309" s="124" t="str">
        <f>IFERROR(__xludf.DUMMYFUNCTION("""COMPUTED_VALUE"""),"Not Available")</f>
        <v>Not Available</v>
      </c>
      <c r="I309" s="124">
        <f>IFERROR(__xludf.DUMMYFUNCTION("""COMPUTED_VALUE"""),0.0)</f>
        <v>0</v>
      </c>
      <c r="J309" s="124">
        <f>IFERROR(__xludf.DUMMYFUNCTION("""COMPUTED_VALUE"""),55000.0)</f>
        <v>55000</v>
      </c>
      <c r="K309" s="124">
        <f>IFERROR(__xludf.DUMMYFUNCTION("""COMPUTED_VALUE"""),2.0)</f>
        <v>2</v>
      </c>
      <c r="L309" s="124">
        <f>IFERROR(__xludf.DUMMYFUNCTION("""COMPUTED_VALUE"""),338.0)</f>
        <v>338</v>
      </c>
      <c r="M309" s="124" t="str">
        <f>IFERROR(__xludf.DUMMYFUNCTION("""COMPUTED_VALUE"""),"Lucknow")</f>
        <v>Lucknow</v>
      </c>
      <c r="N309" s="124" t="str">
        <f>IFERROR(__xludf.DUMMYFUNCTION("""COMPUTED_VALUE"""),"prateektiwarinps9800@gmail.com")</f>
        <v>prateektiwarinps9800@gmail.com</v>
      </c>
      <c r="O309" s="124" t="str">
        <f>IFERROR(__xludf.DUMMYFUNCTION("""COMPUTED_VALUE"""),"Prateek Tiwari")</f>
        <v>Prateek Tiwari</v>
      </c>
      <c r="P309" s="124">
        <f>IFERROR(__xludf.DUMMYFUNCTION("""COMPUTED_VALUE"""),123677.0)</f>
        <v>123677</v>
      </c>
      <c r="Q309" s="124" t="str">
        <f>IFERROR(__xludf.DUMMYFUNCTION("""COMPUTED_VALUE"""),"upsc-gs-foundation-hindi-target-2028-gsf-upsc-m01-lko")</f>
        <v>upsc-gs-foundation-hindi-target-2028-gsf-upsc-m01-lko</v>
      </c>
      <c r="R309" s="124" t="str">
        <f>IFERROR(__xludf.DUMMYFUNCTION("""COMPUTED_VALUE"""),"GS Foundation Course")</f>
        <v>GS Foundation Course</v>
      </c>
      <c r="S309" s="124">
        <f>IFERROR(__xludf.DUMMYFUNCTION("""COMPUTED_VALUE"""),9.838283474E9)</f>
        <v>9838283474</v>
      </c>
      <c r="T309" s="124" t="str">
        <f>IFERROR(__xludf.DUMMYFUNCTION("""COMPUTED_VALUE"""),"Not Available")</f>
        <v>Not Available</v>
      </c>
      <c r="U309" s="124" t="str">
        <f>IFERROR(__xludf.DUMMYFUNCTION("""COMPUTED_VALUE"""),"Not Available")</f>
        <v>Not Available</v>
      </c>
      <c r="V309" s="124" t="str">
        <f>IFERROR(__xludf.DUMMYFUNCTION("""COMPUTED_VALUE"""),"Not Available")</f>
        <v>Not Available</v>
      </c>
      <c r="W309" s="124" t="str">
        <f>IFERROR(__xludf.DUMMYFUNCTION("""COMPUTED_VALUE"""),"Not Available")</f>
        <v>Not Available</v>
      </c>
    </row>
    <row r="310">
      <c r="A310" s="124" t="str">
        <f t="shared" si="1"/>
        <v>Pihu.kashyappppp@gmail.com</v>
      </c>
      <c r="B310" s="131">
        <f>IFERROR(__xludf.DUMMYFUNCTION("""COMPUTED_VALUE"""),46058.0)</f>
        <v>46058</v>
      </c>
      <c r="C310" s="124" t="str">
        <f>IFERROR(__xludf.DUMMYFUNCTION("""COMPUTED_VALUE"""),"Payment data from Collexo")</f>
        <v>Payment data from Collexo</v>
      </c>
      <c r="D310" s="124" t="str">
        <f>IFERROR(__xludf.DUMMYFUNCTION("""COMPUTED_VALUE"""),"Not Available")</f>
        <v>Not Available</v>
      </c>
      <c r="E310" s="124">
        <f>IFERROR(__xludf.DUMMYFUNCTION("""COMPUTED_VALUE"""),1500609.0)</f>
        <v>1500609</v>
      </c>
      <c r="F310" s="124" t="str">
        <f>IFERROR(__xludf.DUMMYFUNCTION("""COMPUTED_VALUE"""),"3914_988_7")</f>
        <v>3914_988_7</v>
      </c>
      <c r="G310" s="124">
        <f>IFERROR(__xludf.DUMMYFUNCTION("""COMPUTED_VALUE"""),33750.0)</f>
        <v>33750</v>
      </c>
      <c r="H310" s="131">
        <f>IFERROR(__xludf.DUMMYFUNCTION("""COMPUTED_VALUE"""),46063.0)</f>
        <v>46063</v>
      </c>
      <c r="I310" s="124">
        <f>IFERROR(__xludf.DUMMYFUNCTION("""COMPUTED_VALUE"""),101250.0)</f>
        <v>101250</v>
      </c>
      <c r="J310" s="124">
        <f>IFERROR(__xludf.DUMMYFUNCTION("""COMPUTED_VALUE"""),135000.0)</f>
        <v>135000</v>
      </c>
      <c r="K310" s="124">
        <f>IFERROR(__xludf.DUMMYFUNCTION("""COMPUTED_VALUE"""),2.0)</f>
        <v>2</v>
      </c>
      <c r="L310" s="124">
        <f>IFERROR(__xludf.DUMMYFUNCTION("""COMPUTED_VALUE"""),170.0)</f>
        <v>170</v>
      </c>
      <c r="M310" s="124" t="str">
        <f>IFERROR(__xludf.DUMMYFUNCTION("""COMPUTED_VALUE"""),"New Delhi")</f>
        <v>New Delhi</v>
      </c>
      <c r="N310" s="124" t="str">
        <f>IFERROR(__xludf.DUMMYFUNCTION("""COMPUTED_VALUE"""),"Pihu.kashyappppp@gmail.com")</f>
        <v>Pihu.kashyappppp@gmail.com</v>
      </c>
      <c r="O310" s="124" t="str">
        <f>IFERROR(__xludf.DUMMYFUNCTION("""COMPUTED_VALUE"""),"Shalu Kumari")</f>
        <v>Shalu Kumari</v>
      </c>
      <c r="P310" s="124">
        <f>IFERROR(__xludf.DUMMYFUNCTION("""COMPUTED_VALUE"""),121548.0)</f>
        <v>121548</v>
      </c>
      <c r="Q310" s="124" t="str">
        <f>IFERROR(__xludf.DUMMYFUNCTION("""COMPUTED_VALUE"""),"upsc-gs-foundation-hinglish-target-2028-gsf-upsc-e03-orn")</f>
        <v>upsc-gs-foundation-hinglish-target-2028-gsf-upsc-e03-orn</v>
      </c>
      <c r="R310" s="124" t="str">
        <f>IFERROR(__xludf.DUMMYFUNCTION("""COMPUTED_VALUE"""),"GS Foundation Course")</f>
        <v>GS Foundation Course</v>
      </c>
      <c r="S310" s="124">
        <f>IFERROR(__xludf.DUMMYFUNCTION("""COMPUTED_VALUE"""),9.142599043E9)</f>
        <v>9142599043</v>
      </c>
      <c r="T310" s="124" t="str">
        <f>IFERROR(__xludf.DUMMYFUNCTION("""COMPUTED_VALUE"""),"Collexo")</f>
        <v>Collexo</v>
      </c>
      <c r="U310" s="124" t="str">
        <f>IFERROR(__xludf.DUMMYFUNCTION("""COMPUTED_VALUE"""),"Success")</f>
        <v>Success</v>
      </c>
      <c r="V310" s="131">
        <f>IFERROR(__xludf.DUMMYFUNCTION("""COMPUTED_VALUE"""),46058.0)</f>
        <v>46058</v>
      </c>
      <c r="W310" s="124">
        <f>IFERROR(__xludf.DUMMYFUNCTION("""COMPUTED_VALUE"""),0.0)</f>
        <v>0</v>
      </c>
    </row>
    <row r="311">
      <c r="A311" s="124" t="str">
        <f t="shared" si="1"/>
        <v>samarthsengar01@gmail.com</v>
      </c>
      <c r="B311" s="131">
        <f>IFERROR(__xludf.DUMMYFUNCTION("""COMPUTED_VALUE"""),46110.0)</f>
        <v>46110</v>
      </c>
      <c r="C311" s="124" t="str">
        <f>IFERROR(__xludf.DUMMYFUNCTION("""COMPUTED_VALUE"""),"Payment data from Collexo")</f>
        <v>Payment data from Collexo</v>
      </c>
      <c r="D311" s="124" t="str">
        <f>IFERROR(__xludf.DUMMYFUNCTION("""COMPUTED_VALUE"""),"Not Available")</f>
        <v>Not Available</v>
      </c>
      <c r="E311" s="124">
        <f>IFERROR(__xludf.DUMMYFUNCTION("""COMPUTED_VALUE"""),1500612.0)</f>
        <v>1500612</v>
      </c>
      <c r="F311" s="124">
        <f>IFERROR(__xludf.DUMMYFUNCTION("""COMPUTED_VALUE"""),133182.0)</f>
        <v>133182</v>
      </c>
      <c r="G311" s="124">
        <f>IFERROR(__xludf.DUMMYFUNCTION("""COMPUTED_VALUE"""),65000.0)</f>
        <v>65000</v>
      </c>
      <c r="H311" s="131">
        <f>IFERROR(__xludf.DUMMYFUNCTION("""COMPUTED_VALUE"""),46109.0)</f>
        <v>46109</v>
      </c>
      <c r="I311" s="124">
        <f>IFERROR(__xludf.DUMMYFUNCTION("""COMPUTED_VALUE"""),3000.0)</f>
        <v>3000</v>
      </c>
      <c r="J311" s="124">
        <f>IFERROR(__xludf.DUMMYFUNCTION("""COMPUTED_VALUE"""),70000.0)</f>
        <v>70000</v>
      </c>
      <c r="K311" s="124">
        <f>IFERROR(__xludf.DUMMYFUNCTION("""COMPUTED_VALUE"""),3.0)</f>
        <v>3</v>
      </c>
      <c r="L311" s="124">
        <f>IFERROR(__xludf.DUMMYFUNCTION("""COMPUTED_VALUE"""),817.0)</f>
        <v>817</v>
      </c>
      <c r="M311" s="124" t="str">
        <f>IFERROR(__xludf.DUMMYFUNCTION("""COMPUTED_VALUE"""),"Indore")</f>
        <v>Indore</v>
      </c>
      <c r="N311" s="124" t="str">
        <f>IFERROR(__xludf.DUMMYFUNCTION("""COMPUTED_VALUE"""),"samarthsengar01@gmail.com")</f>
        <v>samarthsengar01@gmail.com</v>
      </c>
      <c r="O311" s="124" t="str">
        <f>IFERROR(__xludf.DUMMYFUNCTION("""COMPUTED_VALUE"""),"Shanu sengar")</f>
        <v>Shanu sengar</v>
      </c>
      <c r="P311" s="124">
        <f>IFERROR(__xludf.DUMMYFUNCTION("""COMPUTED_VALUE"""),133182.0)</f>
        <v>133182</v>
      </c>
      <c r="Q311" s="124" t="str">
        <f>IFERROR(__xludf.DUMMYFUNCTION("""COMPUTED_VALUE"""),"upsc-gs-foundation-hindi-target-2027-gsf-upsc-m03-ind")</f>
        <v>upsc-gs-foundation-hindi-target-2027-gsf-upsc-m03-ind</v>
      </c>
      <c r="R311" s="124" t="str">
        <f>IFERROR(__xludf.DUMMYFUNCTION("""COMPUTED_VALUE"""),"GS Foundation Course")</f>
        <v>GS Foundation Course</v>
      </c>
      <c r="S311" s="124">
        <f>IFERROR(__xludf.DUMMYFUNCTION("""COMPUTED_VALUE"""),8.770821292E9)</f>
        <v>8770821292</v>
      </c>
      <c r="T311" s="124" t="str">
        <f>IFERROR(__xludf.DUMMYFUNCTION("""COMPUTED_VALUE"""),"Not Available")</f>
        <v>Not Available</v>
      </c>
      <c r="U311" s="124" t="str">
        <f>IFERROR(__xludf.DUMMYFUNCTION("""COMPUTED_VALUE"""),"Not Available")</f>
        <v>Not Available</v>
      </c>
      <c r="V311" s="124" t="str">
        <f>IFERROR(__xludf.DUMMYFUNCTION("""COMPUTED_VALUE"""),"Not Available")</f>
        <v>Not Available</v>
      </c>
      <c r="W311" s="124" t="str">
        <f>IFERROR(__xludf.DUMMYFUNCTION("""COMPUTED_VALUE"""),"Not Available")</f>
        <v>Not Available</v>
      </c>
    </row>
    <row r="312">
      <c r="A312" s="124" t="str">
        <f t="shared" si="1"/>
        <v>varunpandey79@gmail.com</v>
      </c>
      <c r="B312" s="131">
        <f>IFERROR(__xludf.DUMMYFUNCTION("""COMPUTED_VALUE"""),46094.0)</f>
        <v>46094</v>
      </c>
      <c r="C312" s="124" t="str">
        <f>IFERROR(__xludf.DUMMYFUNCTION("""COMPUTED_VALUE"""),"Payment data from Collexo")</f>
        <v>Payment data from Collexo</v>
      </c>
      <c r="D312" s="124" t="str">
        <f>IFERROR(__xludf.DUMMYFUNCTION("""COMPUTED_VALUE"""),"Not Available")</f>
        <v>Not Available</v>
      </c>
      <c r="E312" s="124">
        <f>IFERROR(__xludf.DUMMYFUNCTION("""COMPUTED_VALUE"""),1500611.0)</f>
        <v>1500611</v>
      </c>
      <c r="F312" s="124">
        <f>IFERROR(__xludf.DUMMYFUNCTION("""COMPUTED_VALUE"""),125546.0)</f>
        <v>125546</v>
      </c>
      <c r="G312" s="124">
        <f>IFERROR(__xludf.DUMMYFUNCTION("""COMPUTED_VALUE"""),30000.0)</f>
        <v>30000</v>
      </c>
      <c r="H312" s="124" t="str">
        <f>IFERROR(__xludf.DUMMYFUNCTION("""COMPUTED_VALUE"""),"Not Available")</f>
        <v>Not Available</v>
      </c>
      <c r="I312" s="124">
        <f>IFERROR(__xludf.DUMMYFUNCTION("""COMPUTED_VALUE"""),0.0)</f>
        <v>0</v>
      </c>
      <c r="J312" s="124">
        <f>IFERROR(__xludf.DUMMYFUNCTION("""COMPUTED_VALUE"""),70000.0)</f>
        <v>70000</v>
      </c>
      <c r="K312" s="124">
        <f>IFERROR(__xludf.DUMMYFUNCTION("""COMPUTED_VALUE"""),2.0)</f>
        <v>2</v>
      </c>
      <c r="L312" s="124">
        <f>IFERROR(__xludf.DUMMYFUNCTION("""COMPUTED_VALUE"""),523.0)</f>
        <v>523</v>
      </c>
      <c r="M312" s="124" t="str">
        <f>IFERROR(__xludf.DUMMYFUNCTION("""COMPUTED_VALUE"""),"Patna")</f>
        <v>Patna</v>
      </c>
      <c r="N312" s="124" t="str">
        <f>IFERROR(__xludf.DUMMYFUNCTION("""COMPUTED_VALUE"""),"varunpandey79@gmail.com")</f>
        <v>varunpandey79@gmail.com</v>
      </c>
      <c r="O312" s="124" t="str">
        <f>IFERROR(__xludf.DUMMYFUNCTION("""COMPUTED_VALUE"""),"Varun")</f>
        <v>Varun</v>
      </c>
      <c r="P312" s="124">
        <f>IFERROR(__xludf.DUMMYFUNCTION("""COMPUTED_VALUE"""),125546.0)</f>
        <v>125546</v>
      </c>
      <c r="Q312" s="124" t="str">
        <f>IFERROR(__xludf.DUMMYFUNCTION("""COMPUTED_VALUE"""),"upsc-gs-foundation-hinglish-target-2027-gsf-upsc-e03-pat")</f>
        <v>upsc-gs-foundation-hinglish-target-2027-gsf-upsc-e03-pat</v>
      </c>
      <c r="R312" s="124" t="str">
        <f>IFERROR(__xludf.DUMMYFUNCTION("""COMPUTED_VALUE"""),"GS Foundation Course")</f>
        <v>GS Foundation Course</v>
      </c>
      <c r="S312" s="124">
        <f>IFERROR(__xludf.DUMMYFUNCTION("""COMPUTED_VALUE"""),7.632867917E9)</f>
        <v>7632867917</v>
      </c>
      <c r="T312" s="124" t="str">
        <f>IFERROR(__xludf.DUMMYFUNCTION("""COMPUTED_VALUE"""),"Not Available")</f>
        <v>Not Available</v>
      </c>
      <c r="U312" s="124" t="str">
        <f>IFERROR(__xludf.DUMMYFUNCTION("""COMPUTED_VALUE"""),"Not Available")</f>
        <v>Not Available</v>
      </c>
      <c r="V312" s="124" t="str">
        <f>IFERROR(__xludf.DUMMYFUNCTION("""COMPUTED_VALUE"""),"Not Available")</f>
        <v>Not Available</v>
      </c>
      <c r="W312" s="124" t="str">
        <f>IFERROR(__xludf.DUMMYFUNCTION("""COMPUTED_VALUE"""),"Not Available")</f>
        <v>Not Available</v>
      </c>
    </row>
    <row r="313">
      <c r="A313" s="124" t="str">
        <f t="shared" si="1"/>
        <v>shriramc758@gmail.com</v>
      </c>
      <c r="B313" s="131">
        <f>IFERROR(__xludf.DUMMYFUNCTION("""COMPUTED_VALUE"""),46080.0)</f>
        <v>46080</v>
      </c>
      <c r="C313" s="124" t="str">
        <f>IFERROR(__xludf.DUMMYFUNCTION("""COMPUTED_VALUE"""),"Payment data from Collexo")</f>
        <v>Payment data from Collexo</v>
      </c>
      <c r="D313" s="124" t="str">
        <f>IFERROR(__xludf.DUMMYFUNCTION("""COMPUTED_VALUE"""),"Not Available")</f>
        <v>Not Available</v>
      </c>
      <c r="E313" s="124">
        <f>IFERROR(__xludf.DUMMYFUNCTION("""COMPUTED_VALUE"""),1500612.0)</f>
        <v>1500612</v>
      </c>
      <c r="F313" s="124">
        <f>IFERROR(__xludf.DUMMYFUNCTION("""COMPUTED_VALUE"""),124527.0)</f>
        <v>124527</v>
      </c>
      <c r="G313" s="124">
        <f>IFERROR(__xludf.DUMMYFUNCTION("""COMPUTED_VALUE"""),3000.0)</f>
        <v>3000</v>
      </c>
      <c r="H313" s="131">
        <f>IFERROR(__xludf.DUMMYFUNCTION("""COMPUTED_VALUE"""),46081.0)</f>
        <v>46081</v>
      </c>
      <c r="I313" s="124">
        <f>IFERROR(__xludf.DUMMYFUNCTION("""COMPUTED_VALUE"""),35000.0)</f>
        <v>35000</v>
      </c>
      <c r="J313" s="124">
        <f>IFERROR(__xludf.DUMMYFUNCTION("""COMPUTED_VALUE"""),40000.0)</f>
        <v>40000</v>
      </c>
      <c r="K313" s="124">
        <f>IFERROR(__xludf.DUMMYFUNCTION("""COMPUTED_VALUE"""),3.0)</f>
        <v>3</v>
      </c>
      <c r="L313" s="124">
        <f>IFERROR(__xludf.DUMMYFUNCTION("""COMPUTED_VALUE"""),361.0)</f>
        <v>361</v>
      </c>
      <c r="M313" s="124" t="str">
        <f>IFERROR(__xludf.DUMMYFUNCTION("""COMPUTED_VALUE"""),"Indore")</f>
        <v>Indore</v>
      </c>
      <c r="N313" s="124" t="str">
        <f>IFERROR(__xludf.DUMMYFUNCTION("""COMPUTED_VALUE"""),"shriramc758@gmail.com")</f>
        <v>shriramc758@gmail.com</v>
      </c>
      <c r="O313" s="124" t="str">
        <f>IFERROR(__xludf.DUMMYFUNCTION("""COMPUTED_VALUE"""),"Shreeram Chouhan")</f>
        <v>Shreeram Chouhan</v>
      </c>
      <c r="P313" s="124">
        <f>IFERROR(__xludf.DUMMYFUNCTION("""COMPUTED_VALUE"""),124527.0)</f>
        <v>124527</v>
      </c>
      <c r="Q313" s="124" t="str">
        <f>IFERROR(__xludf.DUMMYFUNCTION("""COMPUTED_VALUE"""),"madhya-pradesh-psc-gs-foundation-2027-p2i-offline-hindi-batch-2-e-ind")</f>
        <v>madhya-pradesh-psc-gs-foundation-2027-p2i-offline-hindi-batch-2-e-ind</v>
      </c>
      <c r="R313" s="124" t="str">
        <f>IFERROR(__xludf.DUMMYFUNCTION("""COMPUTED_VALUE"""),"State PCS")</f>
        <v>State PCS</v>
      </c>
      <c r="S313" s="124">
        <f>IFERROR(__xludf.DUMMYFUNCTION("""COMPUTED_VALUE"""),9.302269107E9)</f>
        <v>9302269107</v>
      </c>
      <c r="T313" s="124" t="str">
        <f>IFERROR(__xludf.DUMMYFUNCTION("""COMPUTED_VALUE"""),"Not Available")</f>
        <v>Not Available</v>
      </c>
      <c r="U313" s="124" t="str">
        <f>IFERROR(__xludf.DUMMYFUNCTION("""COMPUTED_VALUE"""),"Not Available")</f>
        <v>Not Available</v>
      </c>
      <c r="V313" s="124" t="str">
        <f>IFERROR(__xludf.DUMMYFUNCTION("""COMPUTED_VALUE"""),"Not Available")</f>
        <v>Not Available</v>
      </c>
      <c r="W313" s="124" t="str">
        <f>IFERROR(__xludf.DUMMYFUNCTION("""COMPUTED_VALUE"""),"Not Available")</f>
        <v>Not Available</v>
      </c>
    </row>
    <row r="314">
      <c r="A314" s="124" t="str">
        <f t="shared" si="1"/>
        <v>vs8473676@gmail.com</v>
      </c>
      <c r="B314" s="131">
        <f>IFERROR(__xludf.DUMMYFUNCTION("""COMPUTED_VALUE"""),46108.0)</f>
        <v>46108</v>
      </c>
      <c r="C314" s="124" t="str">
        <f>IFERROR(__xludf.DUMMYFUNCTION("""COMPUTED_VALUE"""),"Payment data from Collexo")</f>
        <v>Payment data from Collexo</v>
      </c>
      <c r="D314" s="124" t="str">
        <f>IFERROR(__xludf.DUMMYFUNCTION("""COMPUTED_VALUE"""),"Not Available")</f>
        <v>Not Available</v>
      </c>
      <c r="E314" s="124">
        <f>IFERROR(__xludf.DUMMYFUNCTION("""COMPUTED_VALUE"""),1500613.0)</f>
        <v>1500613</v>
      </c>
      <c r="F314" s="124">
        <f>IFERROR(__xludf.DUMMYFUNCTION("""COMPUTED_VALUE"""),40218.0)</f>
        <v>40218</v>
      </c>
      <c r="G314" s="124">
        <f>IFERROR(__xludf.DUMMYFUNCTION("""COMPUTED_VALUE"""),1000.0)</f>
        <v>1000</v>
      </c>
      <c r="H314" s="124" t="str">
        <f>IFERROR(__xludf.DUMMYFUNCTION("""COMPUTED_VALUE"""),"Not Available")</f>
        <v>Not Available</v>
      </c>
      <c r="I314" s="124">
        <f>IFERROR(__xludf.DUMMYFUNCTION("""COMPUTED_VALUE"""),0.0)</f>
        <v>0</v>
      </c>
      <c r="J314" s="124">
        <f>IFERROR(__xludf.DUMMYFUNCTION("""COMPUTED_VALUE"""),49000.0)</f>
        <v>49000</v>
      </c>
      <c r="K314" s="124">
        <f>IFERROR(__xludf.DUMMYFUNCTION("""COMPUTED_VALUE"""),3.0)</f>
        <v>3</v>
      </c>
      <c r="L314" s="124">
        <f>IFERROR(__xludf.DUMMYFUNCTION("""COMPUTED_VALUE"""),780.0)</f>
        <v>780</v>
      </c>
      <c r="M314" s="124" t="str">
        <f>IFERROR(__xludf.DUMMYFUNCTION("""COMPUTED_VALUE"""),"Prayagraj")</f>
        <v>Prayagraj</v>
      </c>
      <c r="N314" s="124" t="str">
        <f>IFERROR(__xludf.DUMMYFUNCTION("""COMPUTED_VALUE"""),"vs8473676@gmail.com")</f>
        <v>vs8473676@gmail.com</v>
      </c>
      <c r="O314" s="124" t="str">
        <f>IFERROR(__xludf.DUMMYFUNCTION("""COMPUTED_VALUE"""),"Vikram singh")</f>
        <v>Vikram singh</v>
      </c>
      <c r="P314" s="124">
        <f>IFERROR(__xludf.DUMMYFUNCTION("""COMPUTED_VALUE"""),40218.0)</f>
        <v>40218</v>
      </c>
      <c r="Q314" s="124" t="str">
        <f>IFERROR(__xludf.DUMMYFUNCTION("""COMPUTED_VALUE"""),"UPSC GS Foundation Hinglish Target 2027 (GSF-UPSC-E03)-PRY")</f>
        <v>UPSC GS Foundation Hinglish Target 2027 (GSF-UPSC-E03)-PRY</v>
      </c>
      <c r="R314" s="124" t="str">
        <f>IFERROR(__xludf.DUMMYFUNCTION("""COMPUTED_VALUE"""),"GS Foundation Course")</f>
        <v>GS Foundation Course</v>
      </c>
      <c r="S314" s="124">
        <f>IFERROR(__xludf.DUMMYFUNCTION("""COMPUTED_VALUE"""),8.957695712E9)</f>
        <v>8957695712</v>
      </c>
      <c r="T314" s="124" t="str">
        <f>IFERROR(__xludf.DUMMYFUNCTION("""COMPUTED_VALUE"""),"Not Available")</f>
        <v>Not Available</v>
      </c>
      <c r="U314" s="124" t="str">
        <f>IFERROR(__xludf.DUMMYFUNCTION("""COMPUTED_VALUE"""),"Not Available")</f>
        <v>Not Available</v>
      </c>
      <c r="V314" s="124" t="str">
        <f>IFERROR(__xludf.DUMMYFUNCTION("""COMPUTED_VALUE"""),"Not Available")</f>
        <v>Not Available</v>
      </c>
      <c r="W314" s="124" t="str">
        <f>IFERROR(__xludf.DUMMYFUNCTION("""COMPUTED_VALUE"""),"Not Available")</f>
        <v>Not Available</v>
      </c>
    </row>
    <row r="315">
      <c r="A315" s="124" t="str">
        <f t="shared" si="1"/>
        <v>apoorvaydv4959@gmail.com</v>
      </c>
      <c r="B315" s="131">
        <f>IFERROR(__xludf.DUMMYFUNCTION("""COMPUTED_VALUE"""),46055.0)</f>
        <v>46055</v>
      </c>
      <c r="C315" s="124" t="str">
        <f>IFERROR(__xludf.DUMMYFUNCTION("""COMPUTED_VALUE"""),"Payment data from Collexo")</f>
        <v>Payment data from Collexo</v>
      </c>
      <c r="D315" s="124" t="str">
        <f>IFERROR(__xludf.DUMMYFUNCTION("""COMPUTED_VALUE"""),"Not Available")</f>
        <v>Not Available</v>
      </c>
      <c r="E315" s="124">
        <f>IFERROR(__xludf.DUMMYFUNCTION("""COMPUTED_VALUE"""),1500609.0)</f>
        <v>1500609</v>
      </c>
      <c r="F315" s="124" t="str">
        <f>IFERROR(__xludf.DUMMYFUNCTION("""COMPUTED_VALUE"""),"3579_988_7")</f>
        <v>3579_988_7</v>
      </c>
      <c r="G315" s="124">
        <f>IFERROR(__xludf.DUMMYFUNCTION("""COMPUTED_VALUE"""),10000.0)</f>
        <v>10000</v>
      </c>
      <c r="H315" s="131">
        <f>IFERROR(__xludf.DUMMYFUNCTION("""COMPUTED_VALUE"""),46056.0)</f>
        <v>46056</v>
      </c>
      <c r="I315" s="124">
        <f>IFERROR(__xludf.DUMMYFUNCTION("""COMPUTED_VALUE"""),90000.0)</f>
        <v>90000</v>
      </c>
      <c r="J315" s="124">
        <f>IFERROR(__xludf.DUMMYFUNCTION("""COMPUTED_VALUE"""),100000.0)</f>
        <v>100000</v>
      </c>
      <c r="K315" s="124">
        <f>IFERROR(__xludf.DUMMYFUNCTION("""COMPUTED_VALUE"""),2.0)</f>
        <v>2</v>
      </c>
      <c r="L315" s="124">
        <f>IFERROR(__xludf.DUMMYFUNCTION("""COMPUTED_VALUE"""),153.0)</f>
        <v>153</v>
      </c>
      <c r="M315" s="124" t="str">
        <f>IFERROR(__xludf.DUMMYFUNCTION("""COMPUTED_VALUE"""),"New Delhi")</f>
        <v>New Delhi</v>
      </c>
      <c r="N315" s="124" t="str">
        <f>IFERROR(__xludf.DUMMYFUNCTION("""COMPUTED_VALUE"""),"apoorvaydv4959@gmail.com")</f>
        <v>apoorvaydv4959@gmail.com</v>
      </c>
      <c r="O315" s="124" t="str">
        <f>IFERROR(__xludf.DUMMYFUNCTION("""COMPUTED_VALUE"""),"Apoorva Yadav")</f>
        <v>Apoorva Yadav</v>
      </c>
      <c r="P315" s="124">
        <f>IFERROR(__xludf.DUMMYFUNCTION("""COMPUTED_VALUE"""),120320.0)</f>
        <v>120320</v>
      </c>
      <c r="Q315" s="124" t="str">
        <f>IFERROR(__xludf.DUMMYFUNCTION("""COMPUTED_VALUE"""),"upsc-gs-foundation-hinglish-target-2028-gsf-upsc-e03-orn")</f>
        <v>upsc-gs-foundation-hinglish-target-2028-gsf-upsc-e03-orn</v>
      </c>
      <c r="R315" s="124" t="str">
        <f>IFERROR(__xludf.DUMMYFUNCTION("""COMPUTED_VALUE"""),"GS Foundation Course")</f>
        <v>GS Foundation Course</v>
      </c>
      <c r="S315" s="124">
        <f>IFERROR(__xludf.DUMMYFUNCTION("""COMPUTED_VALUE"""),9.259496903E9)</f>
        <v>9259496903</v>
      </c>
      <c r="T315" s="124" t="str">
        <f>IFERROR(__xludf.DUMMYFUNCTION("""COMPUTED_VALUE"""),"Collexo")</f>
        <v>Collexo</v>
      </c>
      <c r="U315" s="124" t="str">
        <f>IFERROR(__xludf.DUMMYFUNCTION("""COMPUTED_VALUE"""),"Success")</f>
        <v>Success</v>
      </c>
      <c r="V315" s="131">
        <f>IFERROR(__xludf.DUMMYFUNCTION("""COMPUTED_VALUE"""),46055.0)</f>
        <v>46055</v>
      </c>
      <c r="W315" s="124">
        <f>IFERROR(__xludf.DUMMYFUNCTION("""COMPUTED_VALUE"""),0.0)</f>
        <v>0</v>
      </c>
    </row>
    <row r="316">
      <c r="A316" s="124" t="str">
        <f t="shared" si="1"/>
        <v>armita1207s@gmail.com</v>
      </c>
      <c r="B316" s="131">
        <f>IFERROR(__xludf.DUMMYFUNCTION("""COMPUTED_VALUE"""),46052.0)</f>
        <v>46052</v>
      </c>
      <c r="C316" s="124" t="str">
        <f>IFERROR(__xludf.DUMMYFUNCTION("""COMPUTED_VALUE"""),"Payment data from Collexo")</f>
        <v>Payment data from Collexo</v>
      </c>
      <c r="D316" s="124" t="str">
        <f>IFERROR(__xludf.DUMMYFUNCTION("""COMPUTED_VALUE"""),"Not Available")</f>
        <v>Not Available</v>
      </c>
      <c r="E316" s="124">
        <f>IFERROR(__xludf.DUMMYFUNCTION("""COMPUTED_VALUE"""),1500609.0)</f>
        <v>1500609</v>
      </c>
      <c r="F316" s="124" t="str">
        <f>IFERROR(__xludf.DUMMYFUNCTION("""COMPUTED_VALUE"""),"3070_988_7")</f>
        <v>3070_988_7</v>
      </c>
      <c r="G316" s="124">
        <f>IFERROR(__xludf.DUMMYFUNCTION("""COMPUTED_VALUE"""),50000.0)</f>
        <v>50000</v>
      </c>
      <c r="H316" s="131">
        <f>IFERROR(__xludf.DUMMYFUNCTION("""COMPUTED_VALUE"""),46053.0)</f>
        <v>46053</v>
      </c>
      <c r="I316" s="124">
        <f>IFERROR(__xludf.DUMMYFUNCTION("""COMPUTED_VALUE"""),25000.0)</f>
        <v>25000</v>
      </c>
      <c r="J316" s="124">
        <f>IFERROR(__xludf.DUMMYFUNCTION("""COMPUTED_VALUE"""),150000.0)</f>
        <v>150000</v>
      </c>
      <c r="K316" s="124">
        <f>IFERROR(__xludf.DUMMYFUNCTION("""COMPUTED_VALUE"""),5.0)</f>
        <v>5</v>
      </c>
      <c r="L316" s="124">
        <f>IFERROR(__xludf.DUMMYFUNCTION("""COMPUTED_VALUE"""),133.0)</f>
        <v>133</v>
      </c>
      <c r="M316" s="124" t="str">
        <f>IFERROR(__xludf.DUMMYFUNCTION("""COMPUTED_VALUE"""),"New Delhi")</f>
        <v>New Delhi</v>
      </c>
      <c r="N316" s="124" t="str">
        <f>IFERROR(__xludf.DUMMYFUNCTION("""COMPUTED_VALUE"""),"armita1207s@gmail.com")</f>
        <v>armita1207s@gmail.com</v>
      </c>
      <c r="O316" s="124" t="str">
        <f>IFERROR(__xludf.DUMMYFUNCTION("""COMPUTED_VALUE"""),"Armita Singh")</f>
        <v>Armita Singh</v>
      </c>
      <c r="P316" s="124">
        <f>IFERROR(__xludf.DUMMYFUNCTION("""COMPUTED_VALUE"""),118701.0)</f>
        <v>118701</v>
      </c>
      <c r="Q316" s="124" t="str">
        <f>IFERROR(__xludf.DUMMYFUNCTION("""COMPUTED_VALUE"""),"NCERT Foundation Hinglish Target 2026 (NCE-UPSC-E02)-ORN")</f>
        <v>NCERT Foundation Hinglish Target 2026 (NCE-UPSC-E02)-ORN</v>
      </c>
      <c r="R316" s="124" t="str">
        <f>IFERROR(__xludf.DUMMYFUNCTION("""COMPUTED_VALUE"""),"GS Foundation Course")</f>
        <v>GS Foundation Course</v>
      </c>
      <c r="S316" s="124">
        <f>IFERROR(__xludf.DUMMYFUNCTION("""COMPUTED_VALUE"""),7.37914E9)</f>
        <v>7379140000</v>
      </c>
      <c r="T316" s="124" t="str">
        <f>IFERROR(__xludf.DUMMYFUNCTION("""COMPUTED_VALUE"""),"Collexo")</f>
        <v>Collexo</v>
      </c>
      <c r="U316" s="124" t="str">
        <f>IFERROR(__xludf.DUMMYFUNCTION("""COMPUTED_VALUE"""),"Success")</f>
        <v>Success</v>
      </c>
      <c r="V316" s="131">
        <f>IFERROR(__xludf.DUMMYFUNCTION("""COMPUTED_VALUE"""),46052.0)</f>
        <v>46052</v>
      </c>
      <c r="W316" s="124">
        <f>IFERROR(__xludf.DUMMYFUNCTION("""COMPUTED_VALUE"""),0.0)</f>
        <v>0</v>
      </c>
    </row>
    <row r="317">
      <c r="A317" s="124" t="str">
        <f t="shared" si="1"/>
        <v>apoorvaydv4959@gmail.com</v>
      </c>
      <c r="B317" s="131">
        <f>IFERROR(__xludf.DUMMYFUNCTION("""COMPUTED_VALUE"""),46058.0)</f>
        <v>46058</v>
      </c>
      <c r="C317" s="124" t="str">
        <f>IFERROR(__xludf.DUMMYFUNCTION("""COMPUTED_VALUE"""),"Payment data from Collexo")</f>
        <v>Payment data from Collexo</v>
      </c>
      <c r="D317" s="124" t="str">
        <f>IFERROR(__xludf.DUMMYFUNCTION("""COMPUTED_VALUE"""),"Not Available")</f>
        <v>Not Available</v>
      </c>
      <c r="E317" s="124">
        <f>IFERROR(__xludf.DUMMYFUNCTION("""COMPUTED_VALUE"""),1500609.0)</f>
        <v>1500609</v>
      </c>
      <c r="F317" s="124" t="str">
        <f>IFERROR(__xludf.DUMMYFUNCTION("""COMPUTED_VALUE"""),"3916_988_7")</f>
        <v>3916_988_7</v>
      </c>
      <c r="G317" s="124">
        <f>IFERROR(__xludf.DUMMYFUNCTION("""COMPUTED_VALUE"""),30000.0)</f>
        <v>30000</v>
      </c>
      <c r="H317" s="131">
        <f>IFERROR(__xludf.DUMMYFUNCTION("""COMPUTED_VALUE"""),46079.0)</f>
        <v>46079</v>
      </c>
      <c r="I317" s="124">
        <f>IFERROR(__xludf.DUMMYFUNCTION("""COMPUTED_VALUE"""),60000.0)</f>
        <v>60000</v>
      </c>
      <c r="J317" s="124">
        <f>IFERROR(__xludf.DUMMYFUNCTION("""COMPUTED_VALUE"""),100000.0)</f>
        <v>100000</v>
      </c>
      <c r="K317" s="124">
        <f>IFERROR(__xludf.DUMMYFUNCTION("""COMPUTED_VALUE"""),3.0)</f>
        <v>3</v>
      </c>
      <c r="L317" s="124">
        <f>IFERROR(__xludf.DUMMYFUNCTION("""COMPUTED_VALUE"""),172.0)</f>
        <v>172</v>
      </c>
      <c r="M317" s="124" t="str">
        <f>IFERROR(__xludf.DUMMYFUNCTION("""COMPUTED_VALUE"""),"New Delhi")</f>
        <v>New Delhi</v>
      </c>
      <c r="N317" s="124" t="str">
        <f>IFERROR(__xludf.DUMMYFUNCTION("""COMPUTED_VALUE"""),"apoorvaydv4959@gmail.com")</f>
        <v>apoorvaydv4959@gmail.com</v>
      </c>
      <c r="O317" s="124" t="str">
        <f>IFERROR(__xludf.DUMMYFUNCTION("""COMPUTED_VALUE"""),"Apoorva Yadav")</f>
        <v>Apoorva Yadav</v>
      </c>
      <c r="P317" s="124">
        <f>IFERROR(__xludf.DUMMYFUNCTION("""COMPUTED_VALUE"""),120320.0)</f>
        <v>120320</v>
      </c>
      <c r="Q317" s="124" t="str">
        <f>IFERROR(__xludf.DUMMYFUNCTION("""COMPUTED_VALUE"""),"upsc-gs-foundation-hinglish-target-2028-gsf-upsc-e03-orn")</f>
        <v>upsc-gs-foundation-hinglish-target-2028-gsf-upsc-e03-orn</v>
      </c>
      <c r="R317" s="124" t="str">
        <f>IFERROR(__xludf.DUMMYFUNCTION("""COMPUTED_VALUE"""),"GS Foundation Course")</f>
        <v>GS Foundation Course</v>
      </c>
      <c r="S317" s="124">
        <f>IFERROR(__xludf.DUMMYFUNCTION("""COMPUTED_VALUE"""),9.259496903E9)</f>
        <v>9259496903</v>
      </c>
      <c r="T317" s="124" t="str">
        <f>IFERROR(__xludf.DUMMYFUNCTION("""COMPUTED_VALUE"""),"Collexo")</f>
        <v>Collexo</v>
      </c>
      <c r="U317" s="124" t="str">
        <f>IFERROR(__xludf.DUMMYFUNCTION("""COMPUTED_VALUE"""),"Success")</f>
        <v>Success</v>
      </c>
      <c r="V317" s="131">
        <f>IFERROR(__xludf.DUMMYFUNCTION("""COMPUTED_VALUE"""),46058.0)</f>
        <v>46058</v>
      </c>
      <c r="W317" s="124">
        <f>IFERROR(__xludf.DUMMYFUNCTION("""COMPUTED_VALUE"""),0.0)</f>
        <v>0</v>
      </c>
    </row>
    <row r="318">
      <c r="A318" s="124" t="str">
        <f t="shared" si="1"/>
        <v>armita1207s@gmail.com</v>
      </c>
      <c r="B318" s="131">
        <f>IFERROR(__xludf.DUMMYFUNCTION("""COMPUTED_VALUE"""),46052.0)</f>
        <v>46052</v>
      </c>
      <c r="C318" s="124" t="str">
        <f>IFERROR(__xludf.DUMMYFUNCTION("""COMPUTED_VALUE"""),"Payment data from Collexo")</f>
        <v>Payment data from Collexo</v>
      </c>
      <c r="D318" s="124" t="str">
        <f>IFERROR(__xludf.DUMMYFUNCTION("""COMPUTED_VALUE"""),"Not Available")</f>
        <v>Not Available</v>
      </c>
      <c r="E318" s="124">
        <f>IFERROR(__xludf.DUMMYFUNCTION("""COMPUTED_VALUE"""),1500609.0)</f>
        <v>1500609</v>
      </c>
      <c r="F318" s="124" t="str">
        <f>IFERROR(__xludf.DUMMYFUNCTION("""COMPUTED_VALUE"""),"3073_988_7")</f>
        <v>3073_988_7</v>
      </c>
      <c r="G318" s="124">
        <f>IFERROR(__xludf.DUMMYFUNCTION("""COMPUTED_VALUE"""),10000.0)</f>
        <v>10000</v>
      </c>
      <c r="H318" s="131">
        <f>IFERROR(__xludf.DUMMYFUNCTION("""COMPUTED_VALUE"""),46053.0)</f>
        <v>46053</v>
      </c>
      <c r="I318" s="124">
        <f>IFERROR(__xludf.DUMMYFUNCTION("""COMPUTED_VALUE"""),15000.0)</f>
        <v>15000</v>
      </c>
      <c r="J318" s="124">
        <f>IFERROR(__xludf.DUMMYFUNCTION("""COMPUTED_VALUE"""),150000.0)</f>
        <v>150000</v>
      </c>
      <c r="K318" s="124">
        <f>IFERROR(__xludf.DUMMYFUNCTION("""COMPUTED_VALUE"""),5.0)</f>
        <v>5</v>
      </c>
      <c r="L318" s="124">
        <f>IFERROR(__xludf.DUMMYFUNCTION("""COMPUTED_VALUE"""),135.0)</f>
        <v>135</v>
      </c>
      <c r="M318" s="124" t="str">
        <f>IFERROR(__xludf.DUMMYFUNCTION("""COMPUTED_VALUE"""),"New Delhi")</f>
        <v>New Delhi</v>
      </c>
      <c r="N318" s="124" t="str">
        <f>IFERROR(__xludf.DUMMYFUNCTION("""COMPUTED_VALUE"""),"armita1207s@gmail.com")</f>
        <v>armita1207s@gmail.com</v>
      </c>
      <c r="O318" s="124" t="str">
        <f>IFERROR(__xludf.DUMMYFUNCTION("""COMPUTED_VALUE"""),"Armita Singh")</f>
        <v>Armita Singh</v>
      </c>
      <c r="P318" s="124">
        <f>IFERROR(__xludf.DUMMYFUNCTION("""COMPUTED_VALUE"""),118701.0)</f>
        <v>118701</v>
      </c>
      <c r="Q318" s="124" t="str">
        <f>IFERROR(__xludf.DUMMYFUNCTION("""COMPUTED_VALUE"""),"NCERT Foundation Hinglish Target 2026 (NCE-UPSC-E02)-ORN")</f>
        <v>NCERT Foundation Hinglish Target 2026 (NCE-UPSC-E02)-ORN</v>
      </c>
      <c r="R318" s="124" t="str">
        <f>IFERROR(__xludf.DUMMYFUNCTION("""COMPUTED_VALUE"""),"GS Foundation Course")</f>
        <v>GS Foundation Course</v>
      </c>
      <c r="S318" s="124">
        <f>IFERROR(__xludf.DUMMYFUNCTION("""COMPUTED_VALUE"""),7.37914E9)</f>
        <v>7379140000</v>
      </c>
      <c r="T318" s="124" t="str">
        <f>IFERROR(__xludf.DUMMYFUNCTION("""COMPUTED_VALUE"""),"Collexo")</f>
        <v>Collexo</v>
      </c>
      <c r="U318" s="124" t="str">
        <f>IFERROR(__xludf.DUMMYFUNCTION("""COMPUTED_VALUE"""),"Success")</f>
        <v>Success</v>
      </c>
      <c r="V318" s="131">
        <f>IFERROR(__xludf.DUMMYFUNCTION("""COMPUTED_VALUE"""),46052.0)</f>
        <v>46052</v>
      </c>
      <c r="W318" s="124">
        <f>IFERROR(__xludf.DUMMYFUNCTION("""COMPUTED_VALUE"""),0.0)</f>
        <v>0</v>
      </c>
    </row>
    <row r="319">
      <c r="A319" s="124" t="str">
        <f t="shared" si="1"/>
        <v>rakhisankhla799@gmail.com</v>
      </c>
      <c r="B319" s="131">
        <f>IFERROR(__xludf.DUMMYFUNCTION("""COMPUTED_VALUE"""),46044.0)</f>
        <v>46044</v>
      </c>
      <c r="C319" s="124" t="str">
        <f>IFERROR(__xludf.DUMMYFUNCTION("""COMPUTED_VALUE"""),"Payment data from Collexo")</f>
        <v>Payment data from Collexo</v>
      </c>
      <c r="D319" s="124" t="str">
        <f>IFERROR(__xludf.DUMMYFUNCTION("""COMPUTED_VALUE"""),"Not Available")</f>
        <v>Not Available</v>
      </c>
      <c r="E319" s="124">
        <f>IFERROR(__xludf.DUMMYFUNCTION("""COMPUTED_VALUE"""),1500609.0)</f>
        <v>1500609</v>
      </c>
      <c r="F319" s="124" t="str">
        <f>IFERROR(__xludf.DUMMYFUNCTION("""COMPUTED_VALUE"""),"1746_988_7")</f>
        <v>1746_988_7</v>
      </c>
      <c r="G319" s="124">
        <f>IFERROR(__xludf.DUMMYFUNCTION("""COMPUTED_VALUE"""),3000.0)</f>
        <v>3000</v>
      </c>
      <c r="H319" s="131">
        <f>IFERROR(__xludf.DUMMYFUNCTION("""COMPUTED_VALUE"""),46046.0)</f>
        <v>46046</v>
      </c>
      <c r="I319" s="124">
        <f>IFERROR(__xludf.DUMMYFUNCTION("""COMPUTED_VALUE"""),127000.0)</f>
        <v>127000</v>
      </c>
      <c r="J319" s="124">
        <f>IFERROR(__xludf.DUMMYFUNCTION("""COMPUTED_VALUE"""),130000.0)</f>
        <v>130000</v>
      </c>
      <c r="K319" s="124">
        <f>IFERROR(__xludf.DUMMYFUNCTION("""COMPUTED_VALUE"""),2.0)</f>
        <v>2</v>
      </c>
      <c r="L319" s="124">
        <f>IFERROR(__xludf.DUMMYFUNCTION("""COMPUTED_VALUE"""),102.0)</f>
        <v>102</v>
      </c>
      <c r="M319" s="124" t="str">
        <f>IFERROR(__xludf.DUMMYFUNCTION("""COMPUTED_VALUE"""),"New Delhi")</f>
        <v>New Delhi</v>
      </c>
      <c r="N319" s="124" t="str">
        <f>IFERROR(__xludf.DUMMYFUNCTION("""COMPUTED_VALUE"""),"rakhisankhla799@gmail.com")</f>
        <v>rakhisankhla799@gmail.com</v>
      </c>
      <c r="O319" s="124" t="str">
        <f>IFERROR(__xludf.DUMMYFUNCTION("""COMPUTED_VALUE"""),"Rakhi")</f>
        <v>Rakhi</v>
      </c>
      <c r="P319" s="124">
        <f>IFERROR(__xludf.DUMMYFUNCTION("""COMPUTED_VALUE"""),88470.0)</f>
        <v>88470</v>
      </c>
      <c r="Q319" s="124" t="str">
        <f>IFERROR(__xludf.DUMMYFUNCTION("""COMPUTED_VALUE"""),"ncert-foundation-hinglish-target-2026-nce-upsc-e02-orn")</f>
        <v>ncert-foundation-hinglish-target-2026-nce-upsc-e02-orn</v>
      </c>
      <c r="R319" s="124" t="str">
        <f>IFERROR(__xludf.DUMMYFUNCTION("""COMPUTED_VALUE"""),"GS Foundation Course")</f>
        <v>GS Foundation Course</v>
      </c>
      <c r="S319" s="124">
        <f>IFERROR(__xludf.DUMMYFUNCTION("""COMPUTED_VALUE"""),9.306516045E9)</f>
        <v>9306516045</v>
      </c>
      <c r="T319" s="124" t="str">
        <f>IFERROR(__xludf.DUMMYFUNCTION("""COMPUTED_VALUE"""),"Collexo")</f>
        <v>Collexo</v>
      </c>
      <c r="U319" s="124" t="str">
        <f>IFERROR(__xludf.DUMMYFUNCTION("""COMPUTED_VALUE"""),"Success")</f>
        <v>Success</v>
      </c>
      <c r="V319" s="131">
        <f>IFERROR(__xludf.DUMMYFUNCTION("""COMPUTED_VALUE"""),46044.0)</f>
        <v>46044</v>
      </c>
      <c r="W319" s="124">
        <f>IFERROR(__xludf.DUMMYFUNCTION("""COMPUTED_VALUE"""),0.0)</f>
        <v>0</v>
      </c>
    </row>
    <row r="320">
      <c r="A320" s="124" t="str">
        <f t="shared" si="1"/>
        <v>ankitpandeysln2018@gmail.com</v>
      </c>
      <c r="B320" s="131">
        <f>IFERROR(__xludf.DUMMYFUNCTION("""COMPUTED_VALUE"""),46099.0)</f>
        <v>46099</v>
      </c>
      <c r="C320" s="124" t="str">
        <f>IFERROR(__xludf.DUMMYFUNCTION("""COMPUTED_VALUE"""),"Payment data from Collexo")</f>
        <v>Payment data from Collexo</v>
      </c>
      <c r="D320" s="124" t="str">
        <f>IFERROR(__xludf.DUMMYFUNCTION("""COMPUTED_VALUE"""),"Not Available")</f>
        <v>Not Available</v>
      </c>
      <c r="E320" s="124">
        <f>IFERROR(__xludf.DUMMYFUNCTION("""COMPUTED_VALUE"""),1500613.0)</f>
        <v>1500613</v>
      </c>
      <c r="F320" s="124">
        <f>IFERROR(__xludf.DUMMYFUNCTION("""COMPUTED_VALUE"""),39501.0)</f>
        <v>39501</v>
      </c>
      <c r="G320" s="124">
        <f>IFERROR(__xludf.DUMMYFUNCTION("""COMPUTED_VALUE"""),22000.0)</f>
        <v>22000</v>
      </c>
      <c r="H320" s="124" t="str">
        <f>IFERROR(__xludf.DUMMYFUNCTION("""COMPUTED_VALUE"""),"Not Available")</f>
        <v>Not Available</v>
      </c>
      <c r="I320" s="124">
        <f>IFERROR(__xludf.DUMMYFUNCTION("""COMPUTED_VALUE"""),0.0)</f>
        <v>0</v>
      </c>
      <c r="J320" s="124">
        <f>IFERROR(__xludf.DUMMYFUNCTION("""COMPUTED_VALUE"""),22000.0)</f>
        <v>22000</v>
      </c>
      <c r="K320" s="124">
        <f>IFERROR(__xludf.DUMMYFUNCTION("""COMPUTED_VALUE"""),1.0)</f>
        <v>1</v>
      </c>
      <c r="L320" s="124">
        <f>IFERROR(__xludf.DUMMYFUNCTION("""COMPUTED_VALUE"""),599.0)</f>
        <v>599</v>
      </c>
      <c r="M320" s="124" t="str">
        <f>IFERROR(__xludf.DUMMYFUNCTION("""COMPUTED_VALUE"""),"Prayagraj")</f>
        <v>Prayagraj</v>
      </c>
      <c r="N320" s="124" t="str">
        <f>IFERROR(__xludf.DUMMYFUNCTION("""COMPUTED_VALUE"""),"ankitpandeysln2018@gmail.com")</f>
        <v>ankitpandeysln2018@gmail.com</v>
      </c>
      <c r="O320" s="124" t="str">
        <f>IFERROR(__xludf.DUMMYFUNCTION("""COMPUTED_VALUE"""),"Ankit pandey")</f>
        <v>Ankit pandey</v>
      </c>
      <c r="P320" s="124">
        <f>IFERROR(__xludf.DUMMYFUNCTION("""COMPUTED_VALUE"""),39501.0)</f>
        <v>39501</v>
      </c>
      <c r="Q320" s="124" t="str">
        <f>IFERROR(__xludf.DUMMYFUNCTION("""COMPUTED_VALUE"""),"samadhan-mentorship-program-pry")</f>
        <v>samadhan-mentorship-program-pry</v>
      </c>
      <c r="R320" s="124" t="str">
        <f>IFERROR(__xludf.DUMMYFUNCTION("""COMPUTED_VALUE"""),"Mentorship - Samadhan")</f>
        <v>Mentorship - Samadhan</v>
      </c>
      <c r="S320" s="124">
        <f>IFERROR(__xludf.DUMMYFUNCTION("""COMPUTED_VALUE"""),8.948404296E9)</f>
        <v>8948404296</v>
      </c>
      <c r="T320" s="124" t="str">
        <f>IFERROR(__xludf.DUMMYFUNCTION("""COMPUTED_VALUE"""),"Not Available")</f>
        <v>Not Available</v>
      </c>
      <c r="U320" s="124" t="str">
        <f>IFERROR(__xludf.DUMMYFUNCTION("""COMPUTED_VALUE"""),"Not Available")</f>
        <v>Not Available</v>
      </c>
      <c r="V320" s="124" t="str">
        <f>IFERROR(__xludf.DUMMYFUNCTION("""COMPUTED_VALUE"""),"Not Available")</f>
        <v>Not Available</v>
      </c>
      <c r="W320" s="124" t="str">
        <f>IFERROR(__xludf.DUMMYFUNCTION("""COMPUTED_VALUE"""),"Not Available")</f>
        <v>Not Available</v>
      </c>
    </row>
    <row r="321">
      <c r="A321" s="124" t="str">
        <f t="shared" si="1"/>
        <v>salameambika9@gmail.com</v>
      </c>
      <c r="B321" s="131">
        <f>IFERROR(__xludf.DUMMYFUNCTION("""COMPUTED_VALUE"""),46091.0)</f>
        <v>46091</v>
      </c>
      <c r="C321" s="124" t="str">
        <f>IFERROR(__xludf.DUMMYFUNCTION("""COMPUTED_VALUE"""),"Payment data from Collexo")</f>
        <v>Payment data from Collexo</v>
      </c>
      <c r="D321" s="124" t="str">
        <f>IFERROR(__xludf.DUMMYFUNCTION("""COMPUTED_VALUE"""),"Not Available")</f>
        <v>Not Available</v>
      </c>
      <c r="E321" s="124">
        <f>IFERROR(__xludf.DUMMYFUNCTION("""COMPUTED_VALUE"""),1500612.0)</f>
        <v>1500612</v>
      </c>
      <c r="F321" s="124">
        <f>IFERROR(__xludf.DUMMYFUNCTION("""COMPUTED_VALUE"""),127052.0)</f>
        <v>127052</v>
      </c>
      <c r="G321" s="124">
        <f>IFERROR(__xludf.DUMMYFUNCTION("""COMPUTED_VALUE"""),3000.0)</f>
        <v>3000</v>
      </c>
      <c r="H321" s="131">
        <f>IFERROR(__xludf.DUMMYFUNCTION("""COMPUTED_VALUE"""),46095.0)</f>
        <v>46095</v>
      </c>
      <c r="I321" s="124">
        <f>IFERROR(__xludf.DUMMYFUNCTION("""COMPUTED_VALUE"""),97000.0)</f>
        <v>97000</v>
      </c>
      <c r="J321" s="124">
        <f>IFERROR(__xludf.DUMMYFUNCTION("""COMPUTED_VALUE"""),100000.0)</f>
        <v>100000</v>
      </c>
      <c r="K321" s="124">
        <f>IFERROR(__xludf.DUMMYFUNCTION("""COMPUTED_VALUE"""),2.0)</f>
        <v>2</v>
      </c>
      <c r="L321" s="124">
        <f>IFERROR(__xludf.DUMMYFUNCTION("""COMPUTED_VALUE"""),463.0)</f>
        <v>463</v>
      </c>
      <c r="M321" s="124" t="str">
        <f>IFERROR(__xludf.DUMMYFUNCTION("""COMPUTED_VALUE"""),"Indore")</f>
        <v>Indore</v>
      </c>
      <c r="N321" s="124" t="str">
        <f>IFERROR(__xludf.DUMMYFUNCTION("""COMPUTED_VALUE"""),"salameambika9@gmail.com")</f>
        <v>salameambika9@gmail.com</v>
      </c>
      <c r="O321" s="124" t="str">
        <f>IFERROR(__xludf.DUMMYFUNCTION("""COMPUTED_VALUE"""),"Ambika salame")</f>
        <v>Ambika salame</v>
      </c>
      <c r="P321" s="124">
        <f>IFERROR(__xludf.DUMMYFUNCTION("""COMPUTED_VALUE"""),127052.0)</f>
        <v>127052</v>
      </c>
      <c r="Q321" s="124" t="str">
        <f>IFERROR(__xludf.DUMMYFUNCTION("""COMPUTED_VALUE"""),"mppsc-gs-foundation-hinglish-target-2028-gsf-mppsc-e02-ind")</f>
        <v>mppsc-gs-foundation-hinglish-target-2028-gsf-mppsc-e02-ind</v>
      </c>
      <c r="R321" s="124" t="str">
        <f>IFERROR(__xludf.DUMMYFUNCTION("""COMPUTED_VALUE"""),"State PCS")</f>
        <v>State PCS</v>
      </c>
      <c r="S321" s="124">
        <f>IFERROR(__xludf.DUMMYFUNCTION("""COMPUTED_VALUE"""),8.450881453E9)</f>
        <v>8450881453</v>
      </c>
      <c r="T321" s="124" t="str">
        <f>IFERROR(__xludf.DUMMYFUNCTION("""COMPUTED_VALUE"""),"Not Available")</f>
        <v>Not Available</v>
      </c>
      <c r="U321" s="124" t="str">
        <f>IFERROR(__xludf.DUMMYFUNCTION("""COMPUTED_VALUE"""),"Not Available")</f>
        <v>Not Available</v>
      </c>
      <c r="V321" s="124" t="str">
        <f>IFERROR(__xludf.DUMMYFUNCTION("""COMPUTED_VALUE"""),"Not Available")</f>
        <v>Not Available</v>
      </c>
      <c r="W321" s="124" t="str">
        <f>IFERROR(__xludf.DUMMYFUNCTION("""COMPUTED_VALUE"""),"Not Available")</f>
        <v>Not Available</v>
      </c>
    </row>
    <row r="322">
      <c r="A322" s="124" t="str">
        <f t="shared" si="1"/>
        <v>vs8473676@gmail.com</v>
      </c>
      <c r="B322" s="131">
        <f>IFERROR(__xludf.DUMMYFUNCTION("""COMPUTED_VALUE"""),46108.0)</f>
        <v>46108</v>
      </c>
      <c r="C322" s="124" t="str">
        <f>IFERROR(__xludf.DUMMYFUNCTION("""COMPUTED_VALUE"""),"Payment data from Collexo")</f>
        <v>Payment data from Collexo</v>
      </c>
      <c r="D322" s="124" t="str">
        <f>IFERROR(__xludf.DUMMYFUNCTION("""COMPUTED_VALUE"""),"Not Available")</f>
        <v>Not Available</v>
      </c>
      <c r="E322" s="124">
        <f>IFERROR(__xludf.DUMMYFUNCTION("""COMPUTED_VALUE"""),1500613.0)</f>
        <v>1500613</v>
      </c>
      <c r="F322" s="124">
        <f>IFERROR(__xludf.DUMMYFUNCTION("""COMPUTED_VALUE"""),40218.0)</f>
        <v>40218</v>
      </c>
      <c r="G322" s="124">
        <f>IFERROR(__xludf.DUMMYFUNCTION("""COMPUTED_VALUE"""),7087.0)</f>
        <v>7087</v>
      </c>
      <c r="H322" s="131">
        <f>IFERROR(__xludf.DUMMYFUNCTION("""COMPUTED_VALUE"""),46096.0)</f>
        <v>46096</v>
      </c>
      <c r="I322" s="124">
        <f>IFERROR(__xludf.DUMMYFUNCTION("""COMPUTED_VALUE"""),40913.0)</f>
        <v>40913</v>
      </c>
      <c r="J322" s="124">
        <f>IFERROR(__xludf.DUMMYFUNCTION("""COMPUTED_VALUE"""),49000.0)</f>
        <v>49000</v>
      </c>
      <c r="K322" s="124">
        <f>IFERROR(__xludf.DUMMYFUNCTION("""COMPUTED_VALUE"""),3.0)</f>
        <v>3</v>
      </c>
      <c r="L322" s="124">
        <f>IFERROR(__xludf.DUMMYFUNCTION("""COMPUTED_VALUE"""),781.0)</f>
        <v>781</v>
      </c>
      <c r="M322" s="124" t="str">
        <f>IFERROR(__xludf.DUMMYFUNCTION("""COMPUTED_VALUE"""),"Prayagraj")</f>
        <v>Prayagraj</v>
      </c>
      <c r="N322" s="124" t="str">
        <f>IFERROR(__xludf.DUMMYFUNCTION("""COMPUTED_VALUE"""),"vs8473676@gmail.com")</f>
        <v>vs8473676@gmail.com</v>
      </c>
      <c r="O322" s="124" t="str">
        <f>IFERROR(__xludf.DUMMYFUNCTION("""COMPUTED_VALUE"""),"Vikram singh")</f>
        <v>Vikram singh</v>
      </c>
      <c r="P322" s="124">
        <f>IFERROR(__xludf.DUMMYFUNCTION("""COMPUTED_VALUE"""),40218.0)</f>
        <v>40218</v>
      </c>
      <c r="Q322" s="124" t="str">
        <f>IFERROR(__xludf.DUMMYFUNCTION("""COMPUTED_VALUE"""),"UPSC GS Foundation Hinglish Target 2027 (GSF-UPSC-E03)-PRY")</f>
        <v>UPSC GS Foundation Hinglish Target 2027 (GSF-UPSC-E03)-PRY</v>
      </c>
      <c r="R322" s="124" t="str">
        <f>IFERROR(__xludf.DUMMYFUNCTION("""COMPUTED_VALUE"""),"GS Foundation Course")</f>
        <v>GS Foundation Course</v>
      </c>
      <c r="S322" s="124">
        <f>IFERROR(__xludf.DUMMYFUNCTION("""COMPUTED_VALUE"""),8.957695712E9)</f>
        <v>8957695712</v>
      </c>
      <c r="T322" s="124" t="str">
        <f>IFERROR(__xludf.DUMMYFUNCTION("""COMPUTED_VALUE"""),"Not Available")</f>
        <v>Not Available</v>
      </c>
      <c r="U322" s="124" t="str">
        <f>IFERROR(__xludf.DUMMYFUNCTION("""COMPUTED_VALUE"""),"Not Available")</f>
        <v>Not Available</v>
      </c>
      <c r="V322" s="124" t="str">
        <f>IFERROR(__xludf.DUMMYFUNCTION("""COMPUTED_VALUE"""),"Not Available")</f>
        <v>Not Available</v>
      </c>
      <c r="W322" s="124" t="str">
        <f>IFERROR(__xludf.DUMMYFUNCTION("""COMPUTED_VALUE"""),"Not Available")</f>
        <v>Not Available</v>
      </c>
    </row>
    <row r="323">
      <c r="A323" s="124" t="str">
        <f t="shared" si="1"/>
        <v>jjessicasingh1@gmail.com</v>
      </c>
      <c r="B323" s="131">
        <f>IFERROR(__xludf.DUMMYFUNCTION("""COMPUTED_VALUE"""),46104.0)</f>
        <v>46104</v>
      </c>
      <c r="C323" s="124" t="str">
        <f>IFERROR(__xludf.DUMMYFUNCTION("""COMPUTED_VALUE"""),"Payment data from Collexo")</f>
        <v>Payment data from Collexo</v>
      </c>
      <c r="D323" s="124" t="str">
        <f>IFERROR(__xludf.DUMMYFUNCTION("""COMPUTED_VALUE"""),"Not Available")</f>
        <v>Not Available</v>
      </c>
      <c r="E323" s="124">
        <f>IFERROR(__xludf.DUMMYFUNCTION("""COMPUTED_VALUE"""),1500611.0)</f>
        <v>1500611</v>
      </c>
      <c r="F323" s="124">
        <f>IFERROR(__xludf.DUMMYFUNCTION("""COMPUTED_VALUE"""),127568.0)</f>
        <v>127568</v>
      </c>
      <c r="G323" s="124">
        <f>IFERROR(__xludf.DUMMYFUNCTION("""COMPUTED_VALUE"""),10000.0)</f>
        <v>10000</v>
      </c>
      <c r="H323" s="131">
        <f>IFERROR(__xludf.DUMMYFUNCTION("""COMPUTED_VALUE"""),46104.0)</f>
        <v>46104</v>
      </c>
      <c r="I323" s="124">
        <f>IFERROR(__xludf.DUMMYFUNCTION("""COMPUTED_VALUE"""),70000.0)</f>
        <v>70000</v>
      </c>
      <c r="J323" s="124">
        <f>IFERROR(__xludf.DUMMYFUNCTION("""COMPUTED_VALUE"""),80000.0)</f>
        <v>80000</v>
      </c>
      <c r="K323" s="124">
        <f>IFERROR(__xludf.DUMMYFUNCTION("""COMPUTED_VALUE"""),2.0)</f>
        <v>2</v>
      </c>
      <c r="L323" s="124">
        <f>IFERROR(__xludf.DUMMYFUNCTION("""COMPUTED_VALUE"""),699.0)</f>
        <v>699</v>
      </c>
      <c r="M323" s="124" t="str">
        <f>IFERROR(__xludf.DUMMYFUNCTION("""COMPUTED_VALUE"""),"Patna")</f>
        <v>Patna</v>
      </c>
      <c r="N323" s="124" t="str">
        <f>IFERROR(__xludf.DUMMYFUNCTION("""COMPUTED_VALUE"""),"jjessicasingh1@gmail.com")</f>
        <v>jjessicasingh1@gmail.com</v>
      </c>
      <c r="O323" s="124" t="str">
        <f>IFERROR(__xludf.DUMMYFUNCTION("""COMPUTED_VALUE"""),"Jessica kumari")</f>
        <v>Jessica kumari</v>
      </c>
      <c r="P323" s="124">
        <f>IFERROR(__xludf.DUMMYFUNCTION("""COMPUTED_VALUE"""),127568.0)</f>
        <v>127568</v>
      </c>
      <c r="Q323" s="124" t="str">
        <f>IFERROR(__xludf.DUMMYFUNCTION("""COMPUTED_VALUE"""),"upsc-gs-foundation-hinglish-target-2028-gsf-upsc-e03-pat")</f>
        <v>upsc-gs-foundation-hinglish-target-2028-gsf-upsc-e03-pat</v>
      </c>
      <c r="R323" s="124" t="str">
        <f>IFERROR(__xludf.DUMMYFUNCTION("""COMPUTED_VALUE"""),"GS Foundation Course")</f>
        <v>GS Foundation Course</v>
      </c>
      <c r="S323" s="124">
        <f>IFERROR(__xludf.DUMMYFUNCTION("""COMPUTED_VALUE"""),9.288647058E9)</f>
        <v>9288647058</v>
      </c>
      <c r="T323" s="124" t="str">
        <f>IFERROR(__xludf.DUMMYFUNCTION("""COMPUTED_VALUE"""),"Not Available")</f>
        <v>Not Available</v>
      </c>
      <c r="U323" s="124" t="str">
        <f>IFERROR(__xludf.DUMMYFUNCTION("""COMPUTED_VALUE"""),"Not Available")</f>
        <v>Not Available</v>
      </c>
      <c r="V323" s="124" t="str">
        <f>IFERROR(__xludf.DUMMYFUNCTION("""COMPUTED_VALUE"""),"Not Available")</f>
        <v>Not Available</v>
      </c>
      <c r="W323" s="124" t="str">
        <f>IFERROR(__xludf.DUMMYFUNCTION("""COMPUTED_VALUE"""),"Not Available")</f>
        <v>Not Available</v>
      </c>
    </row>
    <row r="324">
      <c r="A324" s="124" t="str">
        <f t="shared" si="1"/>
        <v>sakshi04252218@gmail.com</v>
      </c>
      <c r="B324" s="131">
        <f>IFERROR(__xludf.DUMMYFUNCTION("""COMPUTED_VALUE"""),46070.0)</f>
        <v>46070</v>
      </c>
      <c r="C324" s="124" t="str">
        <f>IFERROR(__xludf.DUMMYFUNCTION("""COMPUTED_VALUE"""),"Payment data from Collexo")</f>
        <v>Payment data from Collexo</v>
      </c>
      <c r="D324" s="124" t="str">
        <f>IFERROR(__xludf.DUMMYFUNCTION("""COMPUTED_VALUE"""),"Not Available")</f>
        <v>Not Available</v>
      </c>
      <c r="E324" s="124">
        <f>IFERROR(__xludf.DUMMYFUNCTION("""COMPUTED_VALUE"""),1500609.0)</f>
        <v>1500609</v>
      </c>
      <c r="F324" s="124" t="str">
        <f>IFERROR(__xludf.DUMMYFUNCTION("""COMPUTED_VALUE"""),"5639_988_7")</f>
        <v>5639_988_7</v>
      </c>
      <c r="G324" s="124">
        <f>IFERROR(__xludf.DUMMYFUNCTION("""COMPUTED_VALUE"""),5000.0)</f>
        <v>5000</v>
      </c>
      <c r="H324" s="131">
        <f>IFERROR(__xludf.DUMMYFUNCTION("""COMPUTED_VALUE"""),46081.0)</f>
        <v>46081</v>
      </c>
      <c r="I324" s="124">
        <f>IFERROR(__xludf.DUMMYFUNCTION("""COMPUTED_VALUE"""),100000.0)</f>
        <v>100000</v>
      </c>
      <c r="J324" s="124">
        <f>IFERROR(__xludf.DUMMYFUNCTION("""COMPUTED_VALUE"""),105000.0)</f>
        <v>105000</v>
      </c>
      <c r="K324" s="124">
        <f>IFERROR(__xludf.DUMMYFUNCTION("""COMPUTED_VALUE"""),2.0)</f>
        <v>2</v>
      </c>
      <c r="L324" s="124">
        <f>IFERROR(__xludf.DUMMYFUNCTION("""COMPUTED_VALUE"""),245.0)</f>
        <v>245</v>
      </c>
      <c r="M324" s="124" t="str">
        <f>IFERROR(__xludf.DUMMYFUNCTION("""COMPUTED_VALUE"""),"New Delhi")</f>
        <v>New Delhi</v>
      </c>
      <c r="N324" s="124" t="str">
        <f>IFERROR(__xludf.DUMMYFUNCTION("""COMPUTED_VALUE"""),"sakshi04252218@gmail.com")</f>
        <v>sakshi04252218@gmail.com</v>
      </c>
      <c r="O324" s="124" t="str">
        <f>IFERROR(__xludf.DUMMYFUNCTION("""COMPUTED_VALUE"""),"Sakshi")</f>
        <v>Sakshi</v>
      </c>
      <c r="P324" s="124">
        <f>IFERROR(__xludf.DUMMYFUNCTION("""COMPUTED_VALUE"""),123762.0)</f>
        <v>123762</v>
      </c>
      <c r="Q324" s="124" t="str">
        <f>IFERROR(__xludf.DUMMYFUNCTION("""COMPUTED_VALUE"""),"upsc-gs-foundation-hinglish-target-2027-gsf-upsc-m02-orn")</f>
        <v>upsc-gs-foundation-hinglish-target-2027-gsf-upsc-m02-orn</v>
      </c>
      <c r="R324" s="124" t="str">
        <f>IFERROR(__xludf.DUMMYFUNCTION("""COMPUTED_VALUE"""),"GS Foundation Course")</f>
        <v>GS Foundation Course</v>
      </c>
      <c r="S324" s="124">
        <f>IFERROR(__xludf.DUMMYFUNCTION("""COMPUTED_VALUE"""),9.211665785E9)</f>
        <v>9211665785</v>
      </c>
      <c r="T324" s="124" t="str">
        <f>IFERROR(__xludf.DUMMYFUNCTION("""COMPUTED_VALUE"""),"Collexo")</f>
        <v>Collexo</v>
      </c>
      <c r="U324" s="124" t="str">
        <f>IFERROR(__xludf.DUMMYFUNCTION("""COMPUTED_VALUE"""),"Success")</f>
        <v>Success</v>
      </c>
      <c r="V324" s="131">
        <f>IFERROR(__xludf.DUMMYFUNCTION("""COMPUTED_VALUE"""),46070.0)</f>
        <v>46070</v>
      </c>
      <c r="W324" s="124">
        <f>IFERROR(__xludf.DUMMYFUNCTION("""COMPUTED_VALUE"""),0.0)</f>
        <v>0</v>
      </c>
    </row>
    <row r="325">
      <c r="A325" s="124" t="str">
        <f t="shared" si="1"/>
        <v>gautmisingh04@gmail.com</v>
      </c>
      <c r="B325" s="131">
        <f>IFERROR(__xludf.DUMMYFUNCTION("""COMPUTED_VALUE"""),46101.0)</f>
        <v>46101</v>
      </c>
      <c r="C325" s="124" t="str">
        <f>IFERROR(__xludf.DUMMYFUNCTION("""COMPUTED_VALUE"""),"Payment data from Collexo")</f>
        <v>Payment data from Collexo</v>
      </c>
      <c r="D325" s="124" t="str">
        <f>IFERROR(__xludf.DUMMYFUNCTION("""COMPUTED_VALUE"""),"Not Available")</f>
        <v>Not Available</v>
      </c>
      <c r="E325" s="124">
        <f>IFERROR(__xludf.DUMMYFUNCTION("""COMPUTED_VALUE"""),1500610.0)</f>
        <v>1500610</v>
      </c>
      <c r="F325" s="124">
        <f>IFERROR(__xludf.DUMMYFUNCTION("""COMPUTED_VALUE"""),129402.0)</f>
        <v>129402</v>
      </c>
      <c r="G325" s="124">
        <f>IFERROR(__xludf.DUMMYFUNCTION("""COMPUTED_VALUE"""),15000.0)</f>
        <v>15000</v>
      </c>
      <c r="H325" s="131">
        <f>IFERROR(__xludf.DUMMYFUNCTION("""COMPUTED_VALUE"""),46142.0)</f>
        <v>46142</v>
      </c>
      <c r="I325" s="124">
        <f>IFERROR(__xludf.DUMMYFUNCTION("""COMPUTED_VALUE"""),3000.0)</f>
        <v>3000</v>
      </c>
      <c r="J325" s="124">
        <f>IFERROR(__xludf.DUMMYFUNCTION("""COMPUTED_VALUE"""),23000.0)</f>
        <v>23000</v>
      </c>
      <c r="K325" s="124">
        <f>IFERROR(__xludf.DUMMYFUNCTION("""COMPUTED_VALUE"""),3.0)</f>
        <v>3</v>
      </c>
      <c r="L325" s="124">
        <f>IFERROR(__xludf.DUMMYFUNCTION("""COMPUTED_VALUE"""),636.0)</f>
        <v>636</v>
      </c>
      <c r="M325" s="124" t="str">
        <f>IFERROR(__xludf.DUMMYFUNCTION("""COMPUTED_VALUE"""),"Lucknow")</f>
        <v>Lucknow</v>
      </c>
      <c r="N325" s="124" t="str">
        <f>IFERROR(__xludf.DUMMYFUNCTION("""COMPUTED_VALUE"""),"gautmisingh04@gmail.com")</f>
        <v>gautmisingh04@gmail.com</v>
      </c>
      <c r="O325" s="124" t="str">
        <f>IFERROR(__xludf.DUMMYFUNCTION("""COMPUTED_VALUE"""),"Gautmi")</f>
        <v>Gautmi</v>
      </c>
      <c r="P325" s="124">
        <f>IFERROR(__xludf.DUMMYFUNCTION("""COMPUTED_VALUE"""),129402.0)</f>
        <v>129402</v>
      </c>
      <c r="Q325" s="124" t="str">
        <f>IFERROR(__xludf.DUMMYFUNCTION("""COMPUTED_VALUE"""),"Not Available")</f>
        <v>Not Available</v>
      </c>
      <c r="R325" s="124" t="str">
        <f>IFERROR(__xludf.DUMMYFUNCTION("""COMPUTED_VALUE"""),"GS Foundation Course")</f>
        <v>GS Foundation Course</v>
      </c>
      <c r="S325" s="124">
        <f>IFERROR(__xludf.DUMMYFUNCTION("""COMPUTED_VALUE"""),9.648302245E9)</f>
        <v>9648302245</v>
      </c>
      <c r="T325" s="124" t="str">
        <f>IFERROR(__xludf.DUMMYFUNCTION("""COMPUTED_VALUE"""),"Not Available")</f>
        <v>Not Available</v>
      </c>
      <c r="U325" s="124" t="str">
        <f>IFERROR(__xludf.DUMMYFUNCTION("""COMPUTED_VALUE"""),"Not Available")</f>
        <v>Not Available</v>
      </c>
      <c r="V325" s="124" t="str">
        <f>IFERROR(__xludf.DUMMYFUNCTION("""COMPUTED_VALUE"""),"Not Available")</f>
        <v>Not Available</v>
      </c>
      <c r="W325" s="124" t="str">
        <f>IFERROR(__xludf.DUMMYFUNCTION("""COMPUTED_VALUE"""),"Not Available")</f>
        <v>Not Available</v>
      </c>
    </row>
    <row r="326">
      <c r="A326" s="124" t="str">
        <f t="shared" si="1"/>
        <v>bhatiaabhinav964@gmail.com</v>
      </c>
      <c r="B326" s="131">
        <f>IFERROR(__xludf.DUMMYFUNCTION("""COMPUTED_VALUE"""),46070.0)</f>
        <v>46070</v>
      </c>
      <c r="C326" s="124" t="str">
        <f>IFERROR(__xludf.DUMMYFUNCTION("""COMPUTED_VALUE"""),"Payment data from Collexo")</f>
        <v>Payment data from Collexo</v>
      </c>
      <c r="D326" s="124" t="str">
        <f>IFERROR(__xludf.DUMMYFUNCTION("""COMPUTED_VALUE"""),"Not Available")</f>
        <v>Not Available</v>
      </c>
      <c r="E326" s="124">
        <f>IFERROR(__xludf.DUMMYFUNCTION("""COMPUTED_VALUE"""),1500609.0)</f>
        <v>1500609</v>
      </c>
      <c r="F326" s="124" t="str">
        <f>IFERROR(__xludf.DUMMYFUNCTION("""COMPUTED_VALUE"""),"5635_988_7")</f>
        <v>5635_988_7</v>
      </c>
      <c r="G326" s="124">
        <f>IFERROR(__xludf.DUMMYFUNCTION("""COMPUTED_VALUE"""),20000.0)</f>
        <v>20000</v>
      </c>
      <c r="H326" s="131">
        <f>IFERROR(__xludf.DUMMYFUNCTION("""COMPUTED_VALUE"""),46081.0)</f>
        <v>46081</v>
      </c>
      <c r="I326" s="124">
        <f>IFERROR(__xludf.DUMMYFUNCTION("""COMPUTED_VALUE"""),90000.0)</f>
        <v>90000</v>
      </c>
      <c r="J326" s="124">
        <f>IFERROR(__xludf.DUMMYFUNCTION("""COMPUTED_VALUE"""),110000.0)</f>
        <v>110000</v>
      </c>
      <c r="K326" s="124">
        <f>IFERROR(__xludf.DUMMYFUNCTION("""COMPUTED_VALUE"""),2.0)</f>
        <v>2</v>
      </c>
      <c r="L326" s="124">
        <f>IFERROR(__xludf.DUMMYFUNCTION("""COMPUTED_VALUE"""),244.0)</f>
        <v>244</v>
      </c>
      <c r="M326" s="124" t="str">
        <f>IFERROR(__xludf.DUMMYFUNCTION("""COMPUTED_VALUE"""),"New Delhi")</f>
        <v>New Delhi</v>
      </c>
      <c r="N326" s="124" t="str">
        <f>IFERROR(__xludf.DUMMYFUNCTION("""COMPUTED_VALUE"""),"bhatiaabhinav964@gmail.com")</f>
        <v>bhatiaabhinav964@gmail.com</v>
      </c>
      <c r="O326" s="124" t="str">
        <f>IFERROR(__xludf.DUMMYFUNCTION("""COMPUTED_VALUE"""),"Abhinav bhatia")</f>
        <v>Abhinav bhatia</v>
      </c>
      <c r="P326" s="124">
        <f>IFERROR(__xludf.DUMMYFUNCTION("""COMPUTED_VALUE"""),123744.0)</f>
        <v>123744</v>
      </c>
      <c r="Q326" s="124" t="str">
        <f>IFERROR(__xludf.DUMMYFUNCTION("""COMPUTED_VALUE"""),"upsc-gs-foundation-hinglish-target-2028-gsf-upsc-m04-orn")</f>
        <v>upsc-gs-foundation-hinglish-target-2028-gsf-upsc-m04-orn</v>
      </c>
      <c r="R326" s="124" t="str">
        <f>IFERROR(__xludf.DUMMYFUNCTION("""COMPUTED_VALUE"""),"GS Foundation Course")</f>
        <v>GS Foundation Course</v>
      </c>
      <c r="S326" s="124">
        <f>IFERROR(__xludf.DUMMYFUNCTION("""COMPUTED_VALUE"""),8.595966649E9)</f>
        <v>8595966649</v>
      </c>
      <c r="T326" s="124" t="str">
        <f>IFERROR(__xludf.DUMMYFUNCTION("""COMPUTED_VALUE"""),"Collexo")</f>
        <v>Collexo</v>
      </c>
      <c r="U326" s="124" t="str">
        <f>IFERROR(__xludf.DUMMYFUNCTION("""COMPUTED_VALUE"""),"Success")</f>
        <v>Success</v>
      </c>
      <c r="V326" s="131">
        <f>IFERROR(__xludf.DUMMYFUNCTION("""COMPUTED_VALUE"""),46070.0)</f>
        <v>46070</v>
      </c>
      <c r="W326" s="124">
        <f>IFERROR(__xludf.DUMMYFUNCTION("""COMPUTED_VALUE"""),0.0)</f>
        <v>0</v>
      </c>
    </row>
    <row r="327">
      <c r="A327" s="124" t="str">
        <f t="shared" si="1"/>
        <v>shivanikrishan123456@gmail.com</v>
      </c>
      <c r="B327" s="131">
        <f>IFERROR(__xludf.DUMMYFUNCTION("""COMPUTED_VALUE"""),46082.0)</f>
        <v>46082</v>
      </c>
      <c r="C327" s="124" t="str">
        <f>IFERROR(__xludf.DUMMYFUNCTION("""COMPUTED_VALUE"""),"Payment data from Collexo")</f>
        <v>Payment data from Collexo</v>
      </c>
      <c r="D327" s="124" t="str">
        <f>IFERROR(__xludf.DUMMYFUNCTION("""COMPUTED_VALUE"""),"Not Available")</f>
        <v>Not Available</v>
      </c>
      <c r="E327" s="124">
        <f>IFERROR(__xludf.DUMMYFUNCTION("""COMPUTED_VALUE"""),1500613.0)</f>
        <v>1500613</v>
      </c>
      <c r="F327" s="124">
        <f>IFERROR(__xludf.DUMMYFUNCTION("""COMPUTED_VALUE"""),125791.0)</f>
        <v>125791</v>
      </c>
      <c r="G327" s="124">
        <f>IFERROR(__xludf.DUMMYFUNCTION("""COMPUTED_VALUE"""),20662.0)</f>
        <v>20662</v>
      </c>
      <c r="H327" s="124" t="str">
        <f>IFERROR(__xludf.DUMMYFUNCTION("""COMPUTED_VALUE"""),"Not Available")</f>
        <v>Not Available</v>
      </c>
      <c r="I327" s="124">
        <f>IFERROR(__xludf.DUMMYFUNCTION("""COMPUTED_VALUE"""),0.0)</f>
        <v>0</v>
      </c>
      <c r="J327" s="124">
        <f>IFERROR(__xludf.DUMMYFUNCTION("""COMPUTED_VALUE"""),25000.0)</f>
        <v>25000</v>
      </c>
      <c r="K327" s="124">
        <f>IFERROR(__xludf.DUMMYFUNCTION("""COMPUTED_VALUE"""),2.0)</f>
        <v>2</v>
      </c>
      <c r="L327" s="124">
        <f>IFERROR(__xludf.DUMMYFUNCTION("""COMPUTED_VALUE"""),400.0)</f>
        <v>400</v>
      </c>
      <c r="M327" s="124" t="str">
        <f>IFERROR(__xludf.DUMMYFUNCTION("""COMPUTED_VALUE"""),"Prayagraj")</f>
        <v>Prayagraj</v>
      </c>
      <c r="N327" s="124" t="str">
        <f>IFERROR(__xludf.DUMMYFUNCTION("""COMPUTED_VALUE"""),"shivanikrishan123456@gmail.com")</f>
        <v>shivanikrishan123456@gmail.com</v>
      </c>
      <c r="O327" s="124" t="str">
        <f>IFERROR(__xludf.DUMMYFUNCTION("""COMPUTED_VALUE"""),"Pooja Chaurasiya")</f>
        <v>Pooja Chaurasiya</v>
      </c>
      <c r="P327" s="124">
        <f>IFERROR(__xludf.DUMMYFUNCTION("""COMPUTED_VALUE"""),125791.0)</f>
        <v>125791</v>
      </c>
      <c r="Q327" s="124" t="str">
        <f>IFERROR(__xludf.DUMMYFUNCTION("""COMPUTED_VALUE"""),"samadhan-mentorship-program-pry")</f>
        <v>samadhan-mentorship-program-pry</v>
      </c>
      <c r="R327" s="124" t="str">
        <f>IFERROR(__xludf.DUMMYFUNCTION("""COMPUTED_VALUE"""),"Mentorship - Samadhan")</f>
        <v>Mentorship - Samadhan</v>
      </c>
      <c r="S327" s="124">
        <f>IFERROR(__xludf.DUMMYFUNCTION("""COMPUTED_VALUE"""),8.127426997E9)</f>
        <v>8127426997</v>
      </c>
      <c r="T327" s="124" t="str">
        <f>IFERROR(__xludf.DUMMYFUNCTION("""COMPUTED_VALUE"""),"Not Available")</f>
        <v>Not Available</v>
      </c>
      <c r="U327" s="124" t="str">
        <f>IFERROR(__xludf.DUMMYFUNCTION("""COMPUTED_VALUE"""),"Not Available")</f>
        <v>Not Available</v>
      </c>
      <c r="V327" s="124" t="str">
        <f>IFERROR(__xludf.DUMMYFUNCTION("""COMPUTED_VALUE"""),"Not Available")</f>
        <v>Not Available</v>
      </c>
      <c r="W327" s="124" t="str">
        <f>IFERROR(__xludf.DUMMYFUNCTION("""COMPUTED_VALUE"""),"Not Available")</f>
        <v>Not Available</v>
      </c>
    </row>
    <row r="328">
      <c r="A328" s="124" t="str">
        <f t="shared" si="1"/>
        <v>armita1207s@gmail.com</v>
      </c>
      <c r="B328" s="131">
        <f>IFERROR(__xludf.DUMMYFUNCTION("""COMPUTED_VALUE"""),46052.0)</f>
        <v>46052</v>
      </c>
      <c r="C328" s="124" t="str">
        <f>IFERROR(__xludf.DUMMYFUNCTION("""COMPUTED_VALUE"""),"Payment data from Collexo")</f>
        <v>Payment data from Collexo</v>
      </c>
      <c r="D328" s="124" t="str">
        <f>IFERROR(__xludf.DUMMYFUNCTION("""COMPUTED_VALUE"""),"Not Available")</f>
        <v>Not Available</v>
      </c>
      <c r="E328" s="124">
        <f>IFERROR(__xludf.DUMMYFUNCTION("""COMPUTED_VALUE"""),1500609.0)</f>
        <v>1500609</v>
      </c>
      <c r="F328" s="124" t="str">
        <f>IFERROR(__xludf.DUMMYFUNCTION("""COMPUTED_VALUE"""),"3097_988_7")</f>
        <v>3097_988_7</v>
      </c>
      <c r="G328" s="124">
        <f>IFERROR(__xludf.DUMMYFUNCTION("""COMPUTED_VALUE"""),15000.0)</f>
        <v>15000</v>
      </c>
      <c r="H328" s="131">
        <f>IFERROR(__xludf.DUMMYFUNCTION("""COMPUTED_VALUE"""),46053.0)</f>
        <v>46053</v>
      </c>
      <c r="I328" s="124">
        <f>IFERROR(__xludf.DUMMYFUNCTION("""COMPUTED_VALUE"""),50000.0)</f>
        <v>50000</v>
      </c>
      <c r="J328" s="124">
        <f>IFERROR(__xludf.DUMMYFUNCTION("""COMPUTED_VALUE"""),150000.0)</f>
        <v>150000</v>
      </c>
      <c r="K328" s="124">
        <f>IFERROR(__xludf.DUMMYFUNCTION("""COMPUTED_VALUE"""),5.0)</f>
        <v>5</v>
      </c>
      <c r="L328" s="124">
        <f>IFERROR(__xludf.DUMMYFUNCTION("""COMPUTED_VALUE"""),136.0)</f>
        <v>136</v>
      </c>
      <c r="M328" s="124" t="str">
        <f>IFERROR(__xludf.DUMMYFUNCTION("""COMPUTED_VALUE"""),"New Delhi")</f>
        <v>New Delhi</v>
      </c>
      <c r="N328" s="124" t="str">
        <f>IFERROR(__xludf.DUMMYFUNCTION("""COMPUTED_VALUE"""),"armita1207s@gmail.com")</f>
        <v>armita1207s@gmail.com</v>
      </c>
      <c r="O328" s="124" t="str">
        <f>IFERROR(__xludf.DUMMYFUNCTION("""COMPUTED_VALUE"""),"Armita Singh")</f>
        <v>Armita Singh</v>
      </c>
      <c r="P328" s="124">
        <f>IFERROR(__xludf.DUMMYFUNCTION("""COMPUTED_VALUE"""),118701.0)</f>
        <v>118701</v>
      </c>
      <c r="Q328" s="124" t="str">
        <f>IFERROR(__xludf.DUMMYFUNCTION("""COMPUTED_VALUE"""),"NCERT Foundation Hinglish Target 2026 (NCE-UPSC-E02)-ORN")</f>
        <v>NCERT Foundation Hinglish Target 2026 (NCE-UPSC-E02)-ORN</v>
      </c>
      <c r="R328" s="124" t="str">
        <f>IFERROR(__xludf.DUMMYFUNCTION("""COMPUTED_VALUE"""),"GS Foundation Course")</f>
        <v>GS Foundation Course</v>
      </c>
      <c r="S328" s="124">
        <f>IFERROR(__xludf.DUMMYFUNCTION("""COMPUTED_VALUE"""),7.37914E9)</f>
        <v>7379140000</v>
      </c>
      <c r="T328" s="124" t="str">
        <f>IFERROR(__xludf.DUMMYFUNCTION("""COMPUTED_VALUE"""),"Collexo")</f>
        <v>Collexo</v>
      </c>
      <c r="U328" s="124" t="str">
        <f>IFERROR(__xludf.DUMMYFUNCTION("""COMPUTED_VALUE"""),"Success")</f>
        <v>Success</v>
      </c>
      <c r="V328" s="131">
        <f>IFERROR(__xludf.DUMMYFUNCTION("""COMPUTED_VALUE"""),46052.0)</f>
        <v>46052</v>
      </c>
      <c r="W328" s="124">
        <f>IFERROR(__xludf.DUMMYFUNCTION("""COMPUTED_VALUE"""),0.0)</f>
        <v>0</v>
      </c>
    </row>
    <row r="329">
      <c r="A329" s="124" t="str">
        <f t="shared" si="1"/>
        <v>AYANGADYADAV638@GMAIL.COM</v>
      </c>
      <c r="B329" s="131">
        <f>IFERROR(__xludf.DUMMYFUNCTION("""COMPUTED_VALUE"""),46073.0)</f>
        <v>46073</v>
      </c>
      <c r="C329" s="124" t="str">
        <f>IFERROR(__xludf.DUMMYFUNCTION("""COMPUTED_VALUE"""),"Payment data from Collexo")</f>
        <v>Payment data from Collexo</v>
      </c>
      <c r="D329" s="124" t="str">
        <f>IFERROR(__xludf.DUMMYFUNCTION("""COMPUTED_VALUE"""),"Not Available")</f>
        <v>Not Available</v>
      </c>
      <c r="E329" s="124">
        <f>IFERROR(__xludf.DUMMYFUNCTION("""COMPUTED_VALUE"""),1500613.0)</f>
        <v>1500613</v>
      </c>
      <c r="F329" s="124">
        <f>IFERROR(__xludf.DUMMYFUNCTION("""COMPUTED_VALUE"""),122866.0)</f>
        <v>122866</v>
      </c>
      <c r="G329" s="124">
        <f>IFERROR(__xludf.DUMMYFUNCTION("""COMPUTED_VALUE"""),5000.0)</f>
        <v>5000</v>
      </c>
      <c r="H329" s="131">
        <f>IFERROR(__xludf.DUMMYFUNCTION("""COMPUTED_VALUE"""),46073.0)</f>
        <v>46073</v>
      </c>
      <c r="I329" s="124">
        <f>IFERROR(__xludf.DUMMYFUNCTION("""COMPUTED_VALUE"""),20000.0)</f>
        <v>20000</v>
      </c>
      <c r="J329" s="124">
        <f>IFERROR(__xludf.DUMMYFUNCTION("""COMPUTED_VALUE"""),25000.0)</f>
        <v>25000</v>
      </c>
      <c r="K329" s="124">
        <f>IFERROR(__xludf.DUMMYFUNCTION("""COMPUTED_VALUE"""),2.0)</f>
        <v>2</v>
      </c>
      <c r="L329" s="124">
        <f>IFERROR(__xludf.DUMMYFUNCTION("""COMPUTED_VALUE"""),274.0)</f>
        <v>274</v>
      </c>
      <c r="M329" s="124" t="str">
        <f>IFERROR(__xludf.DUMMYFUNCTION("""COMPUTED_VALUE"""),"Prayagraj")</f>
        <v>Prayagraj</v>
      </c>
      <c r="N329" s="124" t="str">
        <f>IFERROR(__xludf.DUMMYFUNCTION("""COMPUTED_VALUE"""),"AYANGADYADAV638@GMAIL.COM")</f>
        <v>AYANGADYADAV638@GMAIL.COM</v>
      </c>
      <c r="O329" s="124" t="str">
        <f>IFERROR(__xludf.DUMMYFUNCTION("""COMPUTED_VALUE"""),"Angad YADAV")</f>
        <v>Angad YADAV</v>
      </c>
      <c r="P329" s="124">
        <f>IFERROR(__xludf.DUMMYFUNCTION("""COMPUTED_VALUE"""),122866.0)</f>
        <v>122866</v>
      </c>
      <c r="Q329" s="124" t="str">
        <f>IFERROR(__xludf.DUMMYFUNCTION("""COMPUTED_VALUE"""),"samadhan-mentorship-program-pry")</f>
        <v>samadhan-mentorship-program-pry</v>
      </c>
      <c r="R329" s="124" t="str">
        <f>IFERROR(__xludf.DUMMYFUNCTION("""COMPUTED_VALUE"""),"Mentorship - Samadhan")</f>
        <v>Mentorship - Samadhan</v>
      </c>
      <c r="S329" s="124">
        <f>IFERROR(__xludf.DUMMYFUNCTION("""COMPUTED_VALUE"""),6.388609078E9)</f>
        <v>6388609078</v>
      </c>
      <c r="T329" s="124" t="str">
        <f>IFERROR(__xludf.DUMMYFUNCTION("""COMPUTED_VALUE"""),"Not Available")</f>
        <v>Not Available</v>
      </c>
      <c r="U329" s="124" t="str">
        <f>IFERROR(__xludf.DUMMYFUNCTION("""COMPUTED_VALUE"""),"Not Available")</f>
        <v>Not Available</v>
      </c>
      <c r="V329" s="124" t="str">
        <f>IFERROR(__xludf.DUMMYFUNCTION("""COMPUTED_VALUE"""),"Not Available")</f>
        <v>Not Available</v>
      </c>
      <c r="W329" s="124" t="str">
        <f>IFERROR(__xludf.DUMMYFUNCTION("""COMPUTED_VALUE"""),"Not Available")</f>
        <v>Not Available</v>
      </c>
    </row>
    <row r="330">
      <c r="A330" s="124" t="str">
        <f t="shared" si="1"/>
        <v>vs8473676@gmail.com</v>
      </c>
      <c r="B330" s="131">
        <f>IFERROR(__xludf.DUMMYFUNCTION("""COMPUTED_VALUE"""),46095.0)</f>
        <v>46095</v>
      </c>
      <c r="C330" s="124" t="str">
        <f>IFERROR(__xludf.DUMMYFUNCTION("""COMPUTED_VALUE"""),"Payment data from Collexo")</f>
        <v>Payment data from Collexo</v>
      </c>
      <c r="D330" s="124" t="str">
        <f>IFERROR(__xludf.DUMMYFUNCTION("""COMPUTED_VALUE"""),"Not Available")</f>
        <v>Not Available</v>
      </c>
      <c r="E330" s="124">
        <f>IFERROR(__xludf.DUMMYFUNCTION("""COMPUTED_VALUE"""),1500613.0)</f>
        <v>1500613</v>
      </c>
      <c r="F330" s="124">
        <f>IFERROR(__xludf.DUMMYFUNCTION("""COMPUTED_VALUE"""),40218.0)</f>
        <v>40218</v>
      </c>
      <c r="G330" s="124">
        <f>IFERROR(__xludf.DUMMYFUNCTION("""COMPUTED_VALUE"""),8087.0)</f>
        <v>8087</v>
      </c>
      <c r="H330" s="131">
        <f>IFERROR(__xludf.DUMMYFUNCTION("""COMPUTED_VALUE"""),46096.0)</f>
        <v>46096</v>
      </c>
      <c r="I330" s="124">
        <f>IFERROR(__xludf.DUMMYFUNCTION("""COMPUTED_VALUE"""),40913.0)</f>
        <v>40913</v>
      </c>
      <c r="J330" s="124">
        <f>IFERROR(__xludf.DUMMYFUNCTION("""COMPUTED_VALUE"""),49000.0)</f>
        <v>49000</v>
      </c>
      <c r="K330" s="124">
        <f>IFERROR(__xludf.DUMMYFUNCTION("""COMPUTED_VALUE"""),2.0)</f>
        <v>2</v>
      </c>
      <c r="L330" s="124">
        <f>IFERROR(__xludf.DUMMYFUNCTION("""COMPUTED_VALUE"""),540.0)</f>
        <v>540</v>
      </c>
      <c r="M330" s="124" t="str">
        <f>IFERROR(__xludf.DUMMYFUNCTION("""COMPUTED_VALUE"""),"Prayagraj")</f>
        <v>Prayagraj</v>
      </c>
      <c r="N330" s="124" t="str">
        <f>IFERROR(__xludf.DUMMYFUNCTION("""COMPUTED_VALUE"""),"vs8473676@gmail.com")</f>
        <v>vs8473676@gmail.com</v>
      </c>
      <c r="O330" s="124" t="str">
        <f>IFERROR(__xludf.DUMMYFUNCTION("""COMPUTED_VALUE"""),"Vikram singh")</f>
        <v>Vikram singh</v>
      </c>
      <c r="P330" s="124">
        <f>IFERROR(__xludf.DUMMYFUNCTION("""COMPUTED_VALUE"""),40218.0)</f>
        <v>40218</v>
      </c>
      <c r="Q330" s="124" t="str">
        <f>IFERROR(__xludf.DUMMYFUNCTION("""COMPUTED_VALUE"""),"UPSC GS Foundation Hinglish Target 2027 (GSF-UPSC-E03)-PRY")</f>
        <v>UPSC GS Foundation Hinglish Target 2027 (GSF-UPSC-E03)-PRY</v>
      </c>
      <c r="R330" s="124" t="str">
        <f>IFERROR(__xludf.DUMMYFUNCTION("""COMPUTED_VALUE"""),"GS Foundation Course")</f>
        <v>GS Foundation Course</v>
      </c>
      <c r="S330" s="124">
        <f>IFERROR(__xludf.DUMMYFUNCTION("""COMPUTED_VALUE"""),8.957695712E9)</f>
        <v>8957695712</v>
      </c>
      <c r="T330" s="124" t="str">
        <f>IFERROR(__xludf.DUMMYFUNCTION("""COMPUTED_VALUE"""),"Not Available")</f>
        <v>Not Available</v>
      </c>
      <c r="U330" s="124" t="str">
        <f>IFERROR(__xludf.DUMMYFUNCTION("""COMPUTED_VALUE"""),"Not Available")</f>
        <v>Not Available</v>
      </c>
      <c r="V330" s="124" t="str">
        <f>IFERROR(__xludf.DUMMYFUNCTION("""COMPUTED_VALUE"""),"Not Available")</f>
        <v>Not Available</v>
      </c>
      <c r="W330" s="124" t="str">
        <f>IFERROR(__xludf.DUMMYFUNCTION("""COMPUTED_VALUE"""),"Not Available")</f>
        <v>Not Available</v>
      </c>
    </row>
    <row r="331">
      <c r="A331" s="124" t="str">
        <f t="shared" si="1"/>
        <v>bhatiaabhinav964@gmail.com</v>
      </c>
      <c r="B331" s="131">
        <f>IFERROR(__xludf.DUMMYFUNCTION("""COMPUTED_VALUE"""),46093.0)</f>
        <v>46093</v>
      </c>
      <c r="C331" s="124" t="str">
        <f>IFERROR(__xludf.DUMMYFUNCTION("""COMPUTED_VALUE"""),"Payment data from Collexo")</f>
        <v>Payment data from Collexo</v>
      </c>
      <c r="D331" s="124" t="str">
        <f>IFERROR(__xludf.DUMMYFUNCTION("""COMPUTED_VALUE"""),"Not Available")</f>
        <v>Not Available</v>
      </c>
      <c r="E331" s="124">
        <f>IFERROR(__xludf.DUMMYFUNCTION("""COMPUTED_VALUE"""),1500609.0)</f>
        <v>1500609</v>
      </c>
      <c r="F331" s="124" t="str">
        <f>IFERROR(__xludf.DUMMYFUNCTION("""COMPUTED_VALUE"""),"13848_988_7")</f>
        <v>13848_988_7</v>
      </c>
      <c r="G331" s="124">
        <f>IFERROR(__xludf.DUMMYFUNCTION("""COMPUTED_VALUE"""),90000.0)</f>
        <v>90000</v>
      </c>
      <c r="H331" s="124" t="str">
        <f>IFERROR(__xludf.DUMMYFUNCTION("""COMPUTED_VALUE"""),"Not Available")</f>
        <v>Not Available</v>
      </c>
      <c r="I331" s="124">
        <f>IFERROR(__xludf.DUMMYFUNCTION("""COMPUTED_VALUE"""),0.0)</f>
        <v>0</v>
      </c>
      <c r="J331" s="124">
        <f>IFERROR(__xludf.DUMMYFUNCTION("""COMPUTED_VALUE"""),110000.0)</f>
        <v>110000</v>
      </c>
      <c r="K331" s="124">
        <f>IFERROR(__xludf.DUMMYFUNCTION("""COMPUTED_VALUE"""),2.0)</f>
        <v>2</v>
      </c>
      <c r="L331" s="124">
        <f>IFERROR(__xludf.DUMMYFUNCTION("""COMPUTED_VALUE"""),511.0)</f>
        <v>511</v>
      </c>
      <c r="M331" s="124" t="str">
        <f>IFERROR(__xludf.DUMMYFUNCTION("""COMPUTED_VALUE"""),"New Delhi")</f>
        <v>New Delhi</v>
      </c>
      <c r="N331" s="124" t="str">
        <f>IFERROR(__xludf.DUMMYFUNCTION("""COMPUTED_VALUE"""),"bhatiaabhinav964@gmail.com")</f>
        <v>bhatiaabhinav964@gmail.com</v>
      </c>
      <c r="O331" s="124" t="str">
        <f>IFERROR(__xludf.DUMMYFUNCTION("""COMPUTED_VALUE"""),"Abhinav bhatia")</f>
        <v>Abhinav bhatia</v>
      </c>
      <c r="P331" s="124">
        <f>IFERROR(__xludf.DUMMYFUNCTION("""COMPUTED_VALUE"""),123744.0)</f>
        <v>123744</v>
      </c>
      <c r="Q331" s="124" t="str">
        <f>IFERROR(__xludf.DUMMYFUNCTION("""COMPUTED_VALUE"""),"upsc-gs-foundation-hinglish-target-2028-gsf-upsc-m04-orn")</f>
        <v>upsc-gs-foundation-hinglish-target-2028-gsf-upsc-m04-orn</v>
      </c>
      <c r="R331" s="124" t="str">
        <f>IFERROR(__xludf.DUMMYFUNCTION("""COMPUTED_VALUE"""),"GS Foundation Course")</f>
        <v>GS Foundation Course</v>
      </c>
      <c r="S331" s="124">
        <f>IFERROR(__xludf.DUMMYFUNCTION("""COMPUTED_VALUE"""),8.595966649E9)</f>
        <v>8595966649</v>
      </c>
      <c r="T331" s="124" t="str">
        <f>IFERROR(__xludf.DUMMYFUNCTION("""COMPUTED_VALUE"""),"Collexo")</f>
        <v>Collexo</v>
      </c>
      <c r="U331" s="124" t="str">
        <f>IFERROR(__xludf.DUMMYFUNCTION("""COMPUTED_VALUE"""),"Success")</f>
        <v>Success</v>
      </c>
      <c r="V331" s="131">
        <f>IFERROR(__xludf.DUMMYFUNCTION("""COMPUTED_VALUE"""),46093.0)</f>
        <v>46093</v>
      </c>
      <c r="W331" s="124">
        <f>IFERROR(__xludf.DUMMYFUNCTION("""COMPUTED_VALUE"""),0.0)</f>
        <v>0</v>
      </c>
    </row>
    <row r="332">
      <c r="A332" s="124" t="str">
        <f t="shared" si="1"/>
        <v>prateektiwarinps9800@gmail.com</v>
      </c>
      <c r="B332" s="131">
        <f>IFERROR(__xludf.DUMMYFUNCTION("""COMPUTED_VALUE"""),46069.0)</f>
        <v>46069</v>
      </c>
      <c r="C332" s="124" t="str">
        <f>IFERROR(__xludf.DUMMYFUNCTION("""COMPUTED_VALUE"""),"Payment data from Collexo")</f>
        <v>Payment data from Collexo</v>
      </c>
      <c r="D332" s="124" t="str">
        <f>IFERROR(__xludf.DUMMYFUNCTION("""COMPUTED_VALUE"""),"Not Available")</f>
        <v>Not Available</v>
      </c>
      <c r="E332" s="124">
        <f>IFERROR(__xludf.DUMMYFUNCTION("""COMPUTED_VALUE"""),1500610.0)</f>
        <v>1500610</v>
      </c>
      <c r="F332" s="124">
        <f>IFERROR(__xludf.DUMMYFUNCTION("""COMPUTED_VALUE"""),123677.0)</f>
        <v>123677</v>
      </c>
      <c r="G332" s="124">
        <f>IFERROR(__xludf.DUMMYFUNCTION("""COMPUTED_VALUE"""),8895.0)</f>
        <v>8895</v>
      </c>
      <c r="H332" s="131">
        <f>IFERROR(__xludf.DUMMYFUNCTION("""COMPUTED_VALUE"""),46077.0)</f>
        <v>46077</v>
      </c>
      <c r="I332" s="124">
        <f>IFERROR(__xludf.DUMMYFUNCTION("""COMPUTED_VALUE"""),46105.0)</f>
        <v>46105</v>
      </c>
      <c r="J332" s="124">
        <f>IFERROR(__xludf.DUMMYFUNCTION("""COMPUTED_VALUE"""),55000.0)</f>
        <v>55000</v>
      </c>
      <c r="K332" s="124">
        <f>IFERROR(__xludf.DUMMYFUNCTION("""COMPUTED_VALUE"""),2.0)</f>
        <v>2</v>
      </c>
      <c r="L332" s="124">
        <f>IFERROR(__xludf.DUMMYFUNCTION("""COMPUTED_VALUE"""),225.0)</f>
        <v>225</v>
      </c>
      <c r="M332" s="124" t="str">
        <f>IFERROR(__xludf.DUMMYFUNCTION("""COMPUTED_VALUE"""),"Lucknow")</f>
        <v>Lucknow</v>
      </c>
      <c r="N332" s="124" t="str">
        <f>IFERROR(__xludf.DUMMYFUNCTION("""COMPUTED_VALUE"""),"prateektiwarinps9800@gmail.com")</f>
        <v>prateektiwarinps9800@gmail.com</v>
      </c>
      <c r="O332" s="124" t="str">
        <f>IFERROR(__xludf.DUMMYFUNCTION("""COMPUTED_VALUE"""),"Prateek Tiwari")</f>
        <v>Prateek Tiwari</v>
      </c>
      <c r="P332" s="124">
        <f>IFERROR(__xludf.DUMMYFUNCTION("""COMPUTED_VALUE"""),123677.0)</f>
        <v>123677</v>
      </c>
      <c r="Q332" s="124" t="str">
        <f>IFERROR(__xludf.DUMMYFUNCTION("""COMPUTED_VALUE"""),"upsc-gs-foundation-hindi-target-2028-gsf-upsc-m01-lko")</f>
        <v>upsc-gs-foundation-hindi-target-2028-gsf-upsc-m01-lko</v>
      </c>
      <c r="R332" s="124" t="str">
        <f>IFERROR(__xludf.DUMMYFUNCTION("""COMPUTED_VALUE"""),"GS Foundation Course")</f>
        <v>GS Foundation Course</v>
      </c>
      <c r="S332" s="124">
        <f>IFERROR(__xludf.DUMMYFUNCTION("""COMPUTED_VALUE"""),9.838283474E9)</f>
        <v>9838283474</v>
      </c>
      <c r="T332" s="124" t="str">
        <f>IFERROR(__xludf.DUMMYFUNCTION("""COMPUTED_VALUE"""),"Not Available")</f>
        <v>Not Available</v>
      </c>
      <c r="U332" s="124" t="str">
        <f>IFERROR(__xludf.DUMMYFUNCTION("""COMPUTED_VALUE"""),"Not Available")</f>
        <v>Not Available</v>
      </c>
      <c r="V332" s="124" t="str">
        <f>IFERROR(__xludf.DUMMYFUNCTION("""COMPUTED_VALUE"""),"Not Available")</f>
        <v>Not Available</v>
      </c>
      <c r="W332" s="124" t="str">
        <f>IFERROR(__xludf.DUMMYFUNCTION("""COMPUTED_VALUE"""),"Not Available")</f>
        <v>Not Available</v>
      </c>
    </row>
    <row r="333">
      <c r="A333" s="124" t="str">
        <f t="shared" si="1"/>
        <v>salameambika9@gmail.com</v>
      </c>
      <c r="B333" s="131">
        <f>IFERROR(__xludf.DUMMYFUNCTION("""COMPUTED_VALUE"""),46109.0)</f>
        <v>46109</v>
      </c>
      <c r="C333" s="124" t="str">
        <f>IFERROR(__xludf.DUMMYFUNCTION("""COMPUTED_VALUE"""),"Payment data from Collexo")</f>
        <v>Payment data from Collexo</v>
      </c>
      <c r="D333" s="124" t="str">
        <f>IFERROR(__xludf.DUMMYFUNCTION("""COMPUTED_VALUE"""),"Not Available")</f>
        <v>Not Available</v>
      </c>
      <c r="E333" s="124">
        <f>IFERROR(__xludf.DUMMYFUNCTION("""COMPUTED_VALUE"""),1500612.0)</f>
        <v>1500612</v>
      </c>
      <c r="F333" s="124">
        <f>IFERROR(__xludf.DUMMYFUNCTION("""COMPUTED_VALUE"""),127052.0)</f>
        <v>127052</v>
      </c>
      <c r="G333" s="124">
        <f>IFERROR(__xludf.DUMMYFUNCTION("""COMPUTED_VALUE"""),60000.0)</f>
        <v>60000</v>
      </c>
      <c r="H333" s="124" t="str">
        <f>IFERROR(__xludf.DUMMYFUNCTION("""COMPUTED_VALUE"""),"Not Available")</f>
        <v>Not Available</v>
      </c>
      <c r="I333" s="124">
        <f>IFERROR(__xludf.DUMMYFUNCTION("""COMPUTED_VALUE"""),0.0)</f>
        <v>0</v>
      </c>
      <c r="J333" s="124">
        <f>IFERROR(__xludf.DUMMYFUNCTION("""COMPUTED_VALUE"""),100000.0)</f>
        <v>100000</v>
      </c>
      <c r="K333" s="124">
        <f>IFERROR(__xludf.DUMMYFUNCTION("""COMPUTED_VALUE"""),3.0)</f>
        <v>3</v>
      </c>
      <c r="L333" s="124">
        <f>IFERROR(__xludf.DUMMYFUNCTION("""COMPUTED_VALUE"""),794.0)</f>
        <v>794</v>
      </c>
      <c r="M333" s="124" t="str">
        <f>IFERROR(__xludf.DUMMYFUNCTION("""COMPUTED_VALUE"""),"Indore")</f>
        <v>Indore</v>
      </c>
      <c r="N333" s="124" t="str">
        <f>IFERROR(__xludf.DUMMYFUNCTION("""COMPUTED_VALUE"""),"salameambika9@gmail.com")</f>
        <v>salameambika9@gmail.com</v>
      </c>
      <c r="O333" s="124" t="str">
        <f>IFERROR(__xludf.DUMMYFUNCTION("""COMPUTED_VALUE"""),"Ambika salame")</f>
        <v>Ambika salame</v>
      </c>
      <c r="P333" s="124">
        <f>IFERROR(__xludf.DUMMYFUNCTION("""COMPUTED_VALUE"""),127052.0)</f>
        <v>127052</v>
      </c>
      <c r="Q333" s="124" t="str">
        <f>IFERROR(__xludf.DUMMYFUNCTION("""COMPUTED_VALUE"""),"mppsc-gs-foundation-hinglish-target-2028-gsf-mppsc-e02-ind")</f>
        <v>mppsc-gs-foundation-hinglish-target-2028-gsf-mppsc-e02-ind</v>
      </c>
      <c r="R333" s="124" t="str">
        <f>IFERROR(__xludf.DUMMYFUNCTION("""COMPUTED_VALUE"""),"State PCS")</f>
        <v>State PCS</v>
      </c>
      <c r="S333" s="124">
        <f>IFERROR(__xludf.DUMMYFUNCTION("""COMPUTED_VALUE"""),8.450881453E9)</f>
        <v>8450881453</v>
      </c>
      <c r="T333" s="124" t="str">
        <f>IFERROR(__xludf.DUMMYFUNCTION("""COMPUTED_VALUE"""),"Not Available")</f>
        <v>Not Available</v>
      </c>
      <c r="U333" s="124" t="str">
        <f>IFERROR(__xludf.DUMMYFUNCTION("""COMPUTED_VALUE"""),"Not Available")</f>
        <v>Not Available</v>
      </c>
      <c r="V333" s="124" t="str">
        <f>IFERROR(__xludf.DUMMYFUNCTION("""COMPUTED_VALUE"""),"Not Available")</f>
        <v>Not Available</v>
      </c>
      <c r="W333" s="124" t="str">
        <f>IFERROR(__xludf.DUMMYFUNCTION("""COMPUTED_VALUE"""),"Not Available")</f>
        <v>Not Available</v>
      </c>
    </row>
    <row r="334">
      <c r="A334" s="124" t="str">
        <f t="shared" si="1"/>
        <v>SunainaKumari@gmail.com</v>
      </c>
      <c r="B334" s="131">
        <f>IFERROR(__xludf.DUMMYFUNCTION("""COMPUTED_VALUE"""),46092.0)</f>
        <v>46092</v>
      </c>
      <c r="C334" s="124" t="str">
        <f>IFERROR(__xludf.DUMMYFUNCTION("""COMPUTED_VALUE"""),"Payment data from Collexo")</f>
        <v>Payment data from Collexo</v>
      </c>
      <c r="D334" s="124" t="str">
        <f>IFERROR(__xludf.DUMMYFUNCTION("""COMPUTED_VALUE"""),"Not Available")</f>
        <v>Not Available</v>
      </c>
      <c r="E334" s="124">
        <f>IFERROR(__xludf.DUMMYFUNCTION("""COMPUTED_VALUE"""),1500613.0)</f>
        <v>1500613</v>
      </c>
      <c r="F334" s="124">
        <f>IFERROR(__xludf.DUMMYFUNCTION("""COMPUTED_VALUE"""),126806.0)</f>
        <v>126806</v>
      </c>
      <c r="G334" s="124">
        <f>IFERROR(__xludf.DUMMYFUNCTION("""COMPUTED_VALUE"""),50400.0)</f>
        <v>50400</v>
      </c>
      <c r="H334" s="124" t="str">
        <f>IFERROR(__xludf.DUMMYFUNCTION("""COMPUTED_VALUE"""),"Not Available")</f>
        <v>Not Available</v>
      </c>
      <c r="I334" s="124">
        <f>IFERROR(__xludf.DUMMYFUNCTION("""COMPUTED_VALUE"""),0.0)</f>
        <v>0</v>
      </c>
      <c r="J334" s="124">
        <f>IFERROR(__xludf.DUMMYFUNCTION("""COMPUTED_VALUE"""),59000.0)</f>
        <v>59000</v>
      </c>
      <c r="K334" s="124">
        <f>IFERROR(__xludf.DUMMYFUNCTION("""COMPUTED_VALUE"""),2.0)</f>
        <v>2</v>
      </c>
      <c r="L334" s="124">
        <f>IFERROR(__xludf.DUMMYFUNCTION("""COMPUTED_VALUE"""),492.0)</f>
        <v>492</v>
      </c>
      <c r="M334" s="124" t="str">
        <f>IFERROR(__xludf.DUMMYFUNCTION("""COMPUTED_VALUE"""),"Prayagraj")</f>
        <v>Prayagraj</v>
      </c>
      <c r="N334" s="124" t="str">
        <f>IFERROR(__xludf.DUMMYFUNCTION("""COMPUTED_VALUE"""),"SunainaKumari@gmail.com")</f>
        <v>SunainaKumari@gmail.com</v>
      </c>
      <c r="O334" s="124" t="str">
        <f>IFERROR(__xludf.DUMMYFUNCTION("""COMPUTED_VALUE"""),"Sunaina")</f>
        <v>Sunaina</v>
      </c>
      <c r="P334" s="124">
        <f>IFERROR(__xludf.DUMMYFUNCTION("""COMPUTED_VALUE"""),126806.0)</f>
        <v>126806</v>
      </c>
      <c r="Q334" s="124" t="str">
        <f>IFERROR(__xludf.DUMMYFUNCTION("""COMPUTED_VALUE"""),"upsc-gs-foundation-hindi-target-2027-gsf-upsc-m02-pry")</f>
        <v>upsc-gs-foundation-hindi-target-2027-gsf-upsc-m02-pry</v>
      </c>
      <c r="R334" s="124" t="str">
        <f>IFERROR(__xludf.DUMMYFUNCTION("""COMPUTED_VALUE"""),"GS Foundation Course")</f>
        <v>GS Foundation Course</v>
      </c>
      <c r="S334" s="124">
        <f>IFERROR(__xludf.DUMMYFUNCTION("""COMPUTED_VALUE"""),8.271204184E9)</f>
        <v>8271204184</v>
      </c>
      <c r="T334" s="124" t="str">
        <f>IFERROR(__xludf.DUMMYFUNCTION("""COMPUTED_VALUE"""),"Not Available")</f>
        <v>Not Available</v>
      </c>
      <c r="U334" s="124" t="str">
        <f>IFERROR(__xludf.DUMMYFUNCTION("""COMPUTED_VALUE"""),"Not Available")</f>
        <v>Not Available</v>
      </c>
      <c r="V334" s="124" t="str">
        <f>IFERROR(__xludf.DUMMYFUNCTION("""COMPUTED_VALUE"""),"Not Available")</f>
        <v>Not Available</v>
      </c>
      <c r="W334" s="124" t="str">
        <f>IFERROR(__xludf.DUMMYFUNCTION("""COMPUTED_VALUE"""),"Not Available")</f>
        <v>Not Available</v>
      </c>
    </row>
    <row r="335">
      <c r="A335" s="124" t="str">
        <f t="shared" si="1"/>
        <v>jawaharuikey1671@gmail.com</v>
      </c>
      <c r="B335" s="131">
        <f>IFERROR(__xludf.DUMMYFUNCTION("""COMPUTED_VALUE"""),46077.0)</f>
        <v>46077</v>
      </c>
      <c r="C335" s="124" t="str">
        <f>IFERROR(__xludf.DUMMYFUNCTION("""COMPUTED_VALUE"""),"Payment data from Collexo")</f>
        <v>Payment data from Collexo</v>
      </c>
      <c r="D335" s="124" t="str">
        <f>IFERROR(__xludf.DUMMYFUNCTION("""COMPUTED_VALUE"""),"Not Available")</f>
        <v>Not Available</v>
      </c>
      <c r="E335" s="124">
        <f>IFERROR(__xludf.DUMMYFUNCTION("""COMPUTED_VALUE"""),1500612.0)</f>
        <v>1500612</v>
      </c>
      <c r="F335" s="124">
        <f>IFERROR(__xludf.DUMMYFUNCTION("""COMPUTED_VALUE"""),124604.0)</f>
        <v>124604</v>
      </c>
      <c r="G335" s="124">
        <f>IFERROR(__xludf.DUMMYFUNCTION("""COMPUTED_VALUE"""),2000.0)</f>
        <v>2000</v>
      </c>
      <c r="H335" s="131">
        <f>IFERROR(__xludf.DUMMYFUNCTION("""COMPUTED_VALUE"""),46081.0)</f>
        <v>46081</v>
      </c>
      <c r="I335" s="124">
        <f>IFERROR(__xludf.DUMMYFUNCTION("""COMPUTED_VALUE"""),128000.0)</f>
        <v>128000</v>
      </c>
      <c r="J335" s="124">
        <f>IFERROR(__xludf.DUMMYFUNCTION("""COMPUTED_VALUE"""),130000.0)</f>
        <v>130000</v>
      </c>
      <c r="K335" s="124">
        <f>IFERROR(__xludf.DUMMYFUNCTION("""COMPUTED_VALUE"""),2.0)</f>
        <v>2</v>
      </c>
      <c r="L335" s="124">
        <f>IFERROR(__xludf.DUMMYFUNCTION("""COMPUTED_VALUE"""),322.0)</f>
        <v>322</v>
      </c>
      <c r="M335" s="124" t="str">
        <f>IFERROR(__xludf.DUMMYFUNCTION("""COMPUTED_VALUE"""),"Indore")</f>
        <v>Indore</v>
      </c>
      <c r="N335" s="124" t="str">
        <f>IFERROR(__xludf.DUMMYFUNCTION("""COMPUTED_VALUE"""),"jawaharuikey1671@gmail.com")</f>
        <v>jawaharuikey1671@gmail.com</v>
      </c>
      <c r="O335" s="124" t="str">
        <f>IFERROR(__xludf.DUMMYFUNCTION("""COMPUTED_VALUE"""),"Meena uikey")</f>
        <v>Meena uikey</v>
      </c>
      <c r="P335" s="124">
        <f>IFERROR(__xludf.DUMMYFUNCTION("""COMPUTED_VALUE"""),124604.0)</f>
        <v>124604</v>
      </c>
      <c r="Q335" s="124" t="str">
        <f>IFERROR(__xludf.DUMMYFUNCTION("""COMPUTED_VALUE"""),"upsc-gs-foundation-hindi-target-2028-gsf-upsc-m02-ind")</f>
        <v>upsc-gs-foundation-hindi-target-2028-gsf-upsc-m02-ind</v>
      </c>
      <c r="R335" s="124" t="str">
        <f>IFERROR(__xludf.DUMMYFUNCTION("""COMPUTED_VALUE"""),"GS Foundation Course")</f>
        <v>GS Foundation Course</v>
      </c>
      <c r="S335" s="124">
        <f>IFERROR(__xludf.DUMMYFUNCTION("""COMPUTED_VALUE"""),9.098931351E9)</f>
        <v>9098931351</v>
      </c>
      <c r="T335" s="124" t="str">
        <f>IFERROR(__xludf.DUMMYFUNCTION("""COMPUTED_VALUE"""),"Not Available")</f>
        <v>Not Available</v>
      </c>
      <c r="U335" s="124" t="str">
        <f>IFERROR(__xludf.DUMMYFUNCTION("""COMPUTED_VALUE"""),"Not Available")</f>
        <v>Not Available</v>
      </c>
      <c r="V335" s="124" t="str">
        <f>IFERROR(__xludf.DUMMYFUNCTION("""COMPUTED_VALUE"""),"Not Available")</f>
        <v>Not Available</v>
      </c>
      <c r="W335" s="124" t="str">
        <f>IFERROR(__xludf.DUMMYFUNCTION("""COMPUTED_VALUE"""),"Not Available")</f>
        <v>Not Available</v>
      </c>
    </row>
    <row r="336">
      <c r="A336" s="124" t="str">
        <f t="shared" si="1"/>
        <v>shriramc758@gmail.com</v>
      </c>
      <c r="B336" s="131">
        <f>IFERROR(__xludf.DUMMYFUNCTION("""COMPUTED_VALUE"""),46080.0)</f>
        <v>46080</v>
      </c>
      <c r="C336" s="124" t="str">
        <f>IFERROR(__xludf.DUMMYFUNCTION("""COMPUTED_VALUE"""),"Payment data from Collexo")</f>
        <v>Payment data from Collexo</v>
      </c>
      <c r="D336" s="124" t="str">
        <f>IFERROR(__xludf.DUMMYFUNCTION("""COMPUTED_VALUE"""),"Not Available")</f>
        <v>Not Available</v>
      </c>
      <c r="E336" s="124">
        <f>IFERROR(__xludf.DUMMYFUNCTION("""COMPUTED_VALUE"""),1500612.0)</f>
        <v>1500612</v>
      </c>
      <c r="F336" s="124">
        <f>IFERROR(__xludf.DUMMYFUNCTION("""COMPUTED_VALUE"""),124527.0)</f>
        <v>124527</v>
      </c>
      <c r="G336" s="124">
        <f>IFERROR(__xludf.DUMMYFUNCTION("""COMPUTED_VALUE"""),35000.0)</f>
        <v>35000</v>
      </c>
      <c r="H336" s="124" t="str">
        <f>IFERROR(__xludf.DUMMYFUNCTION("""COMPUTED_VALUE"""),"Not Available")</f>
        <v>Not Available</v>
      </c>
      <c r="I336" s="124">
        <f>IFERROR(__xludf.DUMMYFUNCTION("""COMPUTED_VALUE"""),0.0)</f>
        <v>0</v>
      </c>
      <c r="J336" s="124">
        <f>IFERROR(__xludf.DUMMYFUNCTION("""COMPUTED_VALUE"""),40000.0)</f>
        <v>40000</v>
      </c>
      <c r="K336" s="124">
        <f>IFERROR(__xludf.DUMMYFUNCTION("""COMPUTED_VALUE"""),3.0)</f>
        <v>3</v>
      </c>
      <c r="L336" s="124">
        <f>IFERROR(__xludf.DUMMYFUNCTION("""COMPUTED_VALUE"""),362.0)</f>
        <v>362</v>
      </c>
      <c r="M336" s="124" t="str">
        <f>IFERROR(__xludf.DUMMYFUNCTION("""COMPUTED_VALUE"""),"Indore")</f>
        <v>Indore</v>
      </c>
      <c r="N336" s="124" t="str">
        <f>IFERROR(__xludf.DUMMYFUNCTION("""COMPUTED_VALUE"""),"shriramc758@gmail.com")</f>
        <v>shriramc758@gmail.com</v>
      </c>
      <c r="O336" s="124" t="str">
        <f>IFERROR(__xludf.DUMMYFUNCTION("""COMPUTED_VALUE"""),"Shreeram Chouhan")</f>
        <v>Shreeram Chouhan</v>
      </c>
      <c r="P336" s="124">
        <f>IFERROR(__xludf.DUMMYFUNCTION("""COMPUTED_VALUE"""),124527.0)</f>
        <v>124527</v>
      </c>
      <c r="Q336" s="124" t="str">
        <f>IFERROR(__xludf.DUMMYFUNCTION("""COMPUTED_VALUE"""),"madhya-pradesh-psc-gs-foundation-2027-p2i-offline-hindi-batch-2-e-ind")</f>
        <v>madhya-pradesh-psc-gs-foundation-2027-p2i-offline-hindi-batch-2-e-ind</v>
      </c>
      <c r="R336" s="124" t="str">
        <f>IFERROR(__xludf.DUMMYFUNCTION("""COMPUTED_VALUE"""),"State PCS")</f>
        <v>State PCS</v>
      </c>
      <c r="S336" s="124">
        <f>IFERROR(__xludf.DUMMYFUNCTION("""COMPUTED_VALUE"""),9.302269107E9)</f>
        <v>9302269107</v>
      </c>
      <c r="T336" s="124" t="str">
        <f>IFERROR(__xludf.DUMMYFUNCTION("""COMPUTED_VALUE"""),"Not Available")</f>
        <v>Not Available</v>
      </c>
      <c r="U336" s="124" t="str">
        <f>IFERROR(__xludf.DUMMYFUNCTION("""COMPUTED_VALUE"""),"Not Available")</f>
        <v>Not Available</v>
      </c>
      <c r="V336" s="124" t="str">
        <f>IFERROR(__xludf.DUMMYFUNCTION("""COMPUTED_VALUE"""),"Not Available")</f>
        <v>Not Available</v>
      </c>
      <c r="W336" s="124" t="str">
        <f>IFERROR(__xludf.DUMMYFUNCTION("""COMPUTED_VALUE"""),"Not Available")</f>
        <v>Not Available</v>
      </c>
    </row>
    <row r="337">
      <c r="A337" s="124" t="str">
        <f t="shared" si="1"/>
        <v>AYANGADYADAV638@GMAIL.COM</v>
      </c>
      <c r="B337" s="131">
        <f>IFERROR(__xludf.DUMMYFUNCTION("""COMPUTED_VALUE"""),46073.0)</f>
        <v>46073</v>
      </c>
      <c r="C337" s="124" t="str">
        <f>IFERROR(__xludf.DUMMYFUNCTION("""COMPUTED_VALUE"""),"Payment data from Collexo")</f>
        <v>Payment data from Collexo</v>
      </c>
      <c r="D337" s="124" t="str">
        <f>IFERROR(__xludf.DUMMYFUNCTION("""COMPUTED_VALUE"""),"Not Available")</f>
        <v>Not Available</v>
      </c>
      <c r="E337" s="124">
        <f>IFERROR(__xludf.DUMMYFUNCTION("""COMPUTED_VALUE"""),1500613.0)</f>
        <v>1500613</v>
      </c>
      <c r="F337" s="124">
        <f>IFERROR(__xludf.DUMMYFUNCTION("""COMPUTED_VALUE"""),122866.0)</f>
        <v>122866</v>
      </c>
      <c r="G337" s="124">
        <f>IFERROR(__xludf.DUMMYFUNCTION("""COMPUTED_VALUE"""),20000.0)</f>
        <v>20000</v>
      </c>
      <c r="H337" s="124" t="str">
        <f>IFERROR(__xludf.DUMMYFUNCTION("""COMPUTED_VALUE"""),"Not Available")</f>
        <v>Not Available</v>
      </c>
      <c r="I337" s="124">
        <f>IFERROR(__xludf.DUMMYFUNCTION("""COMPUTED_VALUE"""),0.0)</f>
        <v>0</v>
      </c>
      <c r="J337" s="124">
        <f>IFERROR(__xludf.DUMMYFUNCTION("""COMPUTED_VALUE"""),25000.0)</f>
        <v>25000</v>
      </c>
      <c r="K337" s="124">
        <f>IFERROR(__xludf.DUMMYFUNCTION("""COMPUTED_VALUE"""),2.0)</f>
        <v>2</v>
      </c>
      <c r="L337" s="124">
        <f>IFERROR(__xludf.DUMMYFUNCTION("""COMPUTED_VALUE"""),275.0)</f>
        <v>275</v>
      </c>
      <c r="M337" s="124" t="str">
        <f>IFERROR(__xludf.DUMMYFUNCTION("""COMPUTED_VALUE"""),"Prayagraj")</f>
        <v>Prayagraj</v>
      </c>
      <c r="N337" s="124" t="str">
        <f>IFERROR(__xludf.DUMMYFUNCTION("""COMPUTED_VALUE"""),"AYANGADYADAV638@GMAIL.COM")</f>
        <v>AYANGADYADAV638@GMAIL.COM</v>
      </c>
      <c r="O337" s="124" t="str">
        <f>IFERROR(__xludf.DUMMYFUNCTION("""COMPUTED_VALUE"""),"Angad YADAV")</f>
        <v>Angad YADAV</v>
      </c>
      <c r="P337" s="124">
        <f>IFERROR(__xludf.DUMMYFUNCTION("""COMPUTED_VALUE"""),122866.0)</f>
        <v>122866</v>
      </c>
      <c r="Q337" s="124" t="str">
        <f>IFERROR(__xludf.DUMMYFUNCTION("""COMPUTED_VALUE"""),"samadhan-mentorship-program-pry")</f>
        <v>samadhan-mentorship-program-pry</v>
      </c>
      <c r="R337" s="124" t="str">
        <f>IFERROR(__xludf.DUMMYFUNCTION("""COMPUTED_VALUE"""),"Mentorship - Samadhan")</f>
        <v>Mentorship - Samadhan</v>
      </c>
      <c r="S337" s="124">
        <f>IFERROR(__xludf.DUMMYFUNCTION("""COMPUTED_VALUE"""),6.388609078E9)</f>
        <v>6388609078</v>
      </c>
      <c r="T337" s="124" t="str">
        <f>IFERROR(__xludf.DUMMYFUNCTION("""COMPUTED_VALUE"""),"Not Available")</f>
        <v>Not Available</v>
      </c>
      <c r="U337" s="124" t="str">
        <f>IFERROR(__xludf.DUMMYFUNCTION("""COMPUTED_VALUE"""),"Not Available")</f>
        <v>Not Available</v>
      </c>
      <c r="V337" s="124" t="str">
        <f>IFERROR(__xludf.DUMMYFUNCTION("""COMPUTED_VALUE"""),"Not Available")</f>
        <v>Not Available</v>
      </c>
      <c r="W337" s="124" t="str">
        <f>IFERROR(__xludf.DUMMYFUNCTION("""COMPUTED_VALUE"""),"Not Available")</f>
        <v>Not Available</v>
      </c>
    </row>
    <row r="338">
      <c r="A338" s="124" t="str">
        <f t="shared" si="1"/>
        <v>vishalthavliya2@gmail.com</v>
      </c>
      <c r="B338" s="131">
        <f>IFERROR(__xludf.DUMMYFUNCTION("""COMPUTED_VALUE"""),46107.0)</f>
        <v>46107</v>
      </c>
      <c r="C338" s="124" t="str">
        <f>IFERROR(__xludf.DUMMYFUNCTION("""COMPUTED_VALUE"""),"Payment data from Collexo")</f>
        <v>Payment data from Collexo</v>
      </c>
      <c r="D338" s="124" t="str">
        <f>IFERROR(__xludf.DUMMYFUNCTION("""COMPUTED_VALUE"""),"Not Available")</f>
        <v>Not Available</v>
      </c>
      <c r="E338" s="124">
        <f>IFERROR(__xludf.DUMMYFUNCTION("""COMPUTED_VALUE"""),1500612.0)</f>
        <v>1500612</v>
      </c>
      <c r="F338" s="124">
        <f>IFERROR(__xludf.DUMMYFUNCTION("""COMPUTED_VALUE"""),133192.0)</f>
        <v>133192</v>
      </c>
      <c r="G338" s="124">
        <f>IFERROR(__xludf.DUMMYFUNCTION("""COMPUTED_VALUE"""),2000.0)</f>
        <v>2000</v>
      </c>
      <c r="H338" s="131">
        <f>IFERROR(__xludf.DUMMYFUNCTION("""COMPUTED_VALUE"""),46112.0)</f>
        <v>46112</v>
      </c>
      <c r="I338" s="124">
        <f>IFERROR(__xludf.DUMMYFUNCTION("""COMPUTED_VALUE"""),24000.0)</f>
        <v>24000</v>
      </c>
      <c r="J338" s="124">
        <f>IFERROR(__xludf.DUMMYFUNCTION("""COMPUTED_VALUE"""),26000.0)</f>
        <v>26000</v>
      </c>
      <c r="K338" s="124">
        <f>IFERROR(__xludf.DUMMYFUNCTION("""COMPUTED_VALUE"""),2.0)</f>
        <v>2</v>
      </c>
      <c r="L338" s="124">
        <f>IFERROR(__xludf.DUMMYFUNCTION("""COMPUTED_VALUE"""),757.0)</f>
        <v>757</v>
      </c>
      <c r="M338" s="124" t="str">
        <f>IFERROR(__xludf.DUMMYFUNCTION("""COMPUTED_VALUE"""),"Indore")</f>
        <v>Indore</v>
      </c>
      <c r="N338" s="124" t="str">
        <f>IFERROR(__xludf.DUMMYFUNCTION("""COMPUTED_VALUE"""),"vishalthavliya2@gmail.com")</f>
        <v>vishalthavliya2@gmail.com</v>
      </c>
      <c r="O338" s="124" t="str">
        <f>IFERROR(__xludf.DUMMYFUNCTION("""COMPUTED_VALUE"""),"Vishal thavliya")</f>
        <v>Vishal thavliya</v>
      </c>
      <c r="P338" s="124">
        <f>IFERROR(__xludf.DUMMYFUNCTION("""COMPUTED_VALUE"""),133192.0)</f>
        <v>133192</v>
      </c>
      <c r="Q338" s="124" t="str">
        <f>IFERROR(__xludf.DUMMYFUNCTION("""COMPUTED_VALUE"""),"mppsc-gs-foundation-hinglish-target-2027-gsf-mppsc-e02-ind")</f>
        <v>mppsc-gs-foundation-hinglish-target-2027-gsf-mppsc-e02-ind</v>
      </c>
      <c r="R338" s="124" t="str">
        <f>IFERROR(__xludf.DUMMYFUNCTION("""COMPUTED_VALUE"""),"State PCS")</f>
        <v>State PCS</v>
      </c>
      <c r="S338" s="124">
        <f>IFERROR(__xludf.DUMMYFUNCTION("""COMPUTED_VALUE"""),7.04942023E9)</f>
        <v>7049420230</v>
      </c>
      <c r="T338" s="124" t="str">
        <f>IFERROR(__xludf.DUMMYFUNCTION("""COMPUTED_VALUE"""),"Not Available")</f>
        <v>Not Available</v>
      </c>
      <c r="U338" s="124" t="str">
        <f>IFERROR(__xludf.DUMMYFUNCTION("""COMPUTED_VALUE"""),"Not Available")</f>
        <v>Not Available</v>
      </c>
      <c r="V338" s="124" t="str">
        <f>IFERROR(__xludf.DUMMYFUNCTION("""COMPUTED_VALUE"""),"Not Available")</f>
        <v>Not Available</v>
      </c>
      <c r="W338" s="124" t="str">
        <f>IFERROR(__xludf.DUMMYFUNCTION("""COMPUTED_VALUE"""),"Not Available")</f>
        <v>Not Available</v>
      </c>
    </row>
    <row r="339">
      <c r="A339" s="124" t="str">
        <f t="shared" si="1"/>
        <v>vishakhasinghyadav00@gmail.com</v>
      </c>
      <c r="B339" s="131">
        <f>IFERROR(__xludf.DUMMYFUNCTION("""COMPUTED_VALUE"""),46095.0)</f>
        <v>46095</v>
      </c>
      <c r="C339" s="124" t="str">
        <f>IFERROR(__xludf.DUMMYFUNCTION("""COMPUTED_VALUE"""),"Payment data from Collexo")</f>
        <v>Payment data from Collexo</v>
      </c>
      <c r="D339" s="124" t="str">
        <f>IFERROR(__xludf.DUMMYFUNCTION("""COMPUTED_VALUE"""),"Not Available")</f>
        <v>Not Available</v>
      </c>
      <c r="E339" s="124">
        <f>IFERROR(__xludf.DUMMYFUNCTION("""COMPUTED_VALUE"""),1500613.0)</f>
        <v>1500613</v>
      </c>
      <c r="F339" s="124">
        <f>IFERROR(__xludf.DUMMYFUNCTION("""COMPUTED_VALUE"""),34503.0)</f>
        <v>34503</v>
      </c>
      <c r="G339" s="124">
        <f>IFERROR(__xludf.DUMMYFUNCTION("""COMPUTED_VALUE"""),50000.0)</f>
        <v>50000</v>
      </c>
      <c r="H339" s="124" t="str">
        <f>IFERROR(__xludf.DUMMYFUNCTION("""COMPUTED_VALUE"""),"Not Available")</f>
        <v>Not Available</v>
      </c>
      <c r="I339" s="124">
        <f>IFERROR(__xludf.DUMMYFUNCTION("""COMPUTED_VALUE"""),0.0)</f>
        <v>0</v>
      </c>
      <c r="J339" s="124">
        <f>IFERROR(__xludf.DUMMYFUNCTION("""COMPUTED_VALUE"""),55000.0)</f>
        <v>55000</v>
      </c>
      <c r="K339" s="124">
        <f>IFERROR(__xludf.DUMMYFUNCTION("""COMPUTED_VALUE"""),2.0)</f>
        <v>2</v>
      </c>
      <c r="L339" s="124">
        <f>IFERROR(__xludf.DUMMYFUNCTION("""COMPUTED_VALUE"""),539.0)</f>
        <v>539</v>
      </c>
      <c r="M339" s="124" t="str">
        <f>IFERROR(__xludf.DUMMYFUNCTION("""COMPUTED_VALUE"""),"Prayagraj")</f>
        <v>Prayagraj</v>
      </c>
      <c r="N339" s="124" t="str">
        <f>IFERROR(__xludf.DUMMYFUNCTION("""COMPUTED_VALUE"""),"vishakhasinghyadav00@gmail.com")</f>
        <v>vishakhasinghyadav00@gmail.com</v>
      </c>
      <c r="O339" s="124" t="str">
        <f>IFERROR(__xludf.DUMMYFUNCTION("""COMPUTED_VALUE"""),"Vishakha Singh Yadav")</f>
        <v>Vishakha Singh Yadav</v>
      </c>
      <c r="P339" s="124">
        <f>IFERROR(__xludf.DUMMYFUNCTION("""COMPUTED_VALUE"""),34503.0)</f>
        <v>34503</v>
      </c>
      <c r="Q339" s="124" t="str">
        <f>IFERROR(__xludf.DUMMYFUNCTION("""COMPUTED_VALUE"""),"upsc-gs-foundation-hinglish-target-2028-gsf-upsc-e03-pry")</f>
        <v>upsc-gs-foundation-hinglish-target-2028-gsf-upsc-e03-pry</v>
      </c>
      <c r="R339" s="124" t="str">
        <f>IFERROR(__xludf.DUMMYFUNCTION("""COMPUTED_VALUE"""),"GS Foundation Course")</f>
        <v>GS Foundation Course</v>
      </c>
      <c r="S339" s="124">
        <f>IFERROR(__xludf.DUMMYFUNCTION("""COMPUTED_VALUE"""),7.309210289E9)</f>
        <v>7309210289</v>
      </c>
      <c r="T339" s="124" t="str">
        <f>IFERROR(__xludf.DUMMYFUNCTION("""COMPUTED_VALUE"""),"Not Available")</f>
        <v>Not Available</v>
      </c>
      <c r="U339" s="124" t="str">
        <f>IFERROR(__xludf.DUMMYFUNCTION("""COMPUTED_VALUE"""),"Not Available")</f>
        <v>Not Available</v>
      </c>
      <c r="V339" s="124" t="str">
        <f>IFERROR(__xludf.DUMMYFUNCTION("""COMPUTED_VALUE"""),"Not Available")</f>
        <v>Not Available</v>
      </c>
      <c r="W339" s="124" t="str">
        <f>IFERROR(__xludf.DUMMYFUNCTION("""COMPUTED_VALUE"""),"Not Available")</f>
        <v>Not Available</v>
      </c>
    </row>
    <row r="340">
      <c r="A340" s="124" t="str">
        <f t="shared" si="1"/>
        <v>sakshi04252218@gmail.com</v>
      </c>
      <c r="B340" s="131">
        <f>IFERROR(__xludf.DUMMYFUNCTION("""COMPUTED_VALUE"""),46077.0)</f>
        <v>46077</v>
      </c>
      <c r="C340" s="124" t="str">
        <f>IFERROR(__xludf.DUMMYFUNCTION("""COMPUTED_VALUE"""),"Payment data from Collexo")</f>
        <v>Payment data from Collexo</v>
      </c>
      <c r="D340" s="124" t="str">
        <f>IFERROR(__xludf.DUMMYFUNCTION("""COMPUTED_VALUE"""),"Not Available")</f>
        <v>Not Available</v>
      </c>
      <c r="E340" s="124">
        <f>IFERROR(__xludf.DUMMYFUNCTION("""COMPUTED_VALUE"""),1500609.0)</f>
        <v>1500609</v>
      </c>
      <c r="F340" s="124" t="str">
        <f>IFERROR(__xludf.DUMMYFUNCTION("""COMPUTED_VALUE"""),"10813_988_7")</f>
        <v>10813_988_7</v>
      </c>
      <c r="G340" s="124">
        <f>IFERROR(__xludf.DUMMYFUNCTION("""COMPUTED_VALUE"""),100000.0)</f>
        <v>100000</v>
      </c>
      <c r="H340" s="124" t="str">
        <f>IFERROR(__xludf.DUMMYFUNCTION("""COMPUTED_VALUE"""),"Not Available")</f>
        <v>Not Available</v>
      </c>
      <c r="I340" s="124">
        <f>IFERROR(__xludf.DUMMYFUNCTION("""COMPUTED_VALUE"""),0.0)</f>
        <v>0</v>
      </c>
      <c r="J340" s="124">
        <f>IFERROR(__xludf.DUMMYFUNCTION("""COMPUTED_VALUE"""),105000.0)</f>
        <v>105000</v>
      </c>
      <c r="K340" s="124">
        <f>IFERROR(__xludf.DUMMYFUNCTION("""COMPUTED_VALUE"""),2.0)</f>
        <v>2</v>
      </c>
      <c r="L340" s="124">
        <f>IFERROR(__xludf.DUMMYFUNCTION("""COMPUTED_VALUE"""),333.0)</f>
        <v>333</v>
      </c>
      <c r="M340" s="124" t="str">
        <f>IFERROR(__xludf.DUMMYFUNCTION("""COMPUTED_VALUE"""),"New Delhi")</f>
        <v>New Delhi</v>
      </c>
      <c r="N340" s="124" t="str">
        <f>IFERROR(__xludf.DUMMYFUNCTION("""COMPUTED_VALUE"""),"sakshi04252218@gmail.com")</f>
        <v>sakshi04252218@gmail.com</v>
      </c>
      <c r="O340" s="124" t="str">
        <f>IFERROR(__xludf.DUMMYFUNCTION("""COMPUTED_VALUE"""),"Sakshi")</f>
        <v>Sakshi</v>
      </c>
      <c r="P340" s="124">
        <f>IFERROR(__xludf.DUMMYFUNCTION("""COMPUTED_VALUE"""),123762.0)</f>
        <v>123762</v>
      </c>
      <c r="Q340" s="124" t="str">
        <f>IFERROR(__xludf.DUMMYFUNCTION("""COMPUTED_VALUE"""),"upsc-gs-foundation-hinglish-target-2027-gsf-upsc-m02-orn")</f>
        <v>upsc-gs-foundation-hinglish-target-2027-gsf-upsc-m02-orn</v>
      </c>
      <c r="R340" s="124" t="str">
        <f>IFERROR(__xludf.DUMMYFUNCTION("""COMPUTED_VALUE"""),"GS Foundation Course")</f>
        <v>GS Foundation Course</v>
      </c>
      <c r="S340" s="124">
        <f>IFERROR(__xludf.DUMMYFUNCTION("""COMPUTED_VALUE"""),9.211665785E9)</f>
        <v>9211665785</v>
      </c>
      <c r="T340" s="124" t="str">
        <f>IFERROR(__xludf.DUMMYFUNCTION("""COMPUTED_VALUE"""),"Collexo")</f>
        <v>Collexo</v>
      </c>
      <c r="U340" s="124" t="str">
        <f>IFERROR(__xludf.DUMMYFUNCTION("""COMPUTED_VALUE"""),"Success")</f>
        <v>Success</v>
      </c>
      <c r="V340" s="131">
        <f>IFERROR(__xludf.DUMMYFUNCTION("""COMPUTED_VALUE"""),46077.0)</f>
        <v>46077</v>
      </c>
      <c r="W340" s="124">
        <f>IFERROR(__xludf.DUMMYFUNCTION("""COMPUTED_VALUE"""),0.0)</f>
        <v>0</v>
      </c>
    </row>
    <row r="341">
      <c r="A341" s="124" t="str">
        <f t="shared" si="1"/>
        <v>jjessicasingh1@gmail.com</v>
      </c>
      <c r="B341" s="131">
        <f>IFERROR(__xludf.DUMMYFUNCTION("""COMPUTED_VALUE"""),46104.0)</f>
        <v>46104</v>
      </c>
      <c r="C341" s="124" t="str">
        <f>IFERROR(__xludf.DUMMYFUNCTION("""COMPUTED_VALUE"""),"Payment data from Collexo")</f>
        <v>Payment data from Collexo</v>
      </c>
      <c r="D341" s="124" t="str">
        <f>IFERROR(__xludf.DUMMYFUNCTION("""COMPUTED_VALUE"""),"Not Available")</f>
        <v>Not Available</v>
      </c>
      <c r="E341" s="124">
        <f>IFERROR(__xludf.DUMMYFUNCTION("""COMPUTED_VALUE"""),1500611.0)</f>
        <v>1500611</v>
      </c>
      <c r="F341" s="124">
        <f>IFERROR(__xludf.DUMMYFUNCTION("""COMPUTED_VALUE"""),127568.0)</f>
        <v>127568</v>
      </c>
      <c r="G341" s="124">
        <f>IFERROR(__xludf.DUMMYFUNCTION("""COMPUTED_VALUE"""),70000.0)</f>
        <v>70000</v>
      </c>
      <c r="H341" s="124" t="str">
        <f>IFERROR(__xludf.DUMMYFUNCTION("""COMPUTED_VALUE"""),"Not Available")</f>
        <v>Not Available</v>
      </c>
      <c r="I341" s="124">
        <f>IFERROR(__xludf.DUMMYFUNCTION("""COMPUTED_VALUE"""),0.0)</f>
        <v>0</v>
      </c>
      <c r="J341" s="124">
        <f>IFERROR(__xludf.DUMMYFUNCTION("""COMPUTED_VALUE"""),80000.0)</f>
        <v>80000</v>
      </c>
      <c r="K341" s="124">
        <f>IFERROR(__xludf.DUMMYFUNCTION("""COMPUTED_VALUE"""),2.0)</f>
        <v>2</v>
      </c>
      <c r="L341" s="124">
        <f>IFERROR(__xludf.DUMMYFUNCTION("""COMPUTED_VALUE"""),700.0)</f>
        <v>700</v>
      </c>
      <c r="M341" s="124" t="str">
        <f>IFERROR(__xludf.DUMMYFUNCTION("""COMPUTED_VALUE"""),"Patna")</f>
        <v>Patna</v>
      </c>
      <c r="N341" s="124" t="str">
        <f>IFERROR(__xludf.DUMMYFUNCTION("""COMPUTED_VALUE"""),"jjessicasingh1@gmail.com")</f>
        <v>jjessicasingh1@gmail.com</v>
      </c>
      <c r="O341" s="124" t="str">
        <f>IFERROR(__xludf.DUMMYFUNCTION("""COMPUTED_VALUE"""),"Jessica kumari")</f>
        <v>Jessica kumari</v>
      </c>
      <c r="P341" s="124">
        <f>IFERROR(__xludf.DUMMYFUNCTION("""COMPUTED_VALUE"""),127568.0)</f>
        <v>127568</v>
      </c>
      <c r="Q341" s="124" t="str">
        <f>IFERROR(__xludf.DUMMYFUNCTION("""COMPUTED_VALUE"""),"upsc-gs-foundation-hinglish-target-2028-gsf-upsc-e03-pat")</f>
        <v>upsc-gs-foundation-hinglish-target-2028-gsf-upsc-e03-pat</v>
      </c>
      <c r="R341" s="124" t="str">
        <f>IFERROR(__xludf.DUMMYFUNCTION("""COMPUTED_VALUE"""),"GS Foundation Course")</f>
        <v>GS Foundation Course</v>
      </c>
      <c r="S341" s="124">
        <f>IFERROR(__xludf.DUMMYFUNCTION("""COMPUTED_VALUE"""),9.288647058E9)</f>
        <v>9288647058</v>
      </c>
      <c r="T341" s="124" t="str">
        <f>IFERROR(__xludf.DUMMYFUNCTION("""COMPUTED_VALUE"""),"Not Available")</f>
        <v>Not Available</v>
      </c>
      <c r="U341" s="124" t="str">
        <f>IFERROR(__xludf.DUMMYFUNCTION("""COMPUTED_VALUE"""),"Not Available")</f>
        <v>Not Available</v>
      </c>
      <c r="V341" s="124" t="str">
        <f>IFERROR(__xludf.DUMMYFUNCTION("""COMPUTED_VALUE"""),"Not Available")</f>
        <v>Not Available</v>
      </c>
      <c r="W341" s="124" t="str">
        <f>IFERROR(__xludf.DUMMYFUNCTION("""COMPUTED_VALUE"""),"Not Available")</f>
        <v>Not Available</v>
      </c>
    </row>
    <row r="342">
      <c r="A342" s="124" t="str">
        <f t="shared" si="1"/>
        <v>rakhisankhla799@gmail.com</v>
      </c>
      <c r="B342" s="131">
        <f>IFERROR(__xludf.DUMMYFUNCTION("""COMPUTED_VALUE"""),46049.0)</f>
        <v>46049</v>
      </c>
      <c r="C342" s="124" t="str">
        <f>IFERROR(__xludf.DUMMYFUNCTION("""COMPUTED_VALUE"""),"Payment data from Collexo")</f>
        <v>Payment data from Collexo</v>
      </c>
      <c r="D342" s="124" t="str">
        <f>IFERROR(__xludf.DUMMYFUNCTION("""COMPUTED_VALUE"""),"Not Available")</f>
        <v>Not Available</v>
      </c>
      <c r="E342" s="124">
        <f>IFERROR(__xludf.DUMMYFUNCTION("""COMPUTED_VALUE"""),1500609.0)</f>
        <v>1500609</v>
      </c>
      <c r="F342" s="124" t="str">
        <f>IFERROR(__xludf.DUMMYFUNCTION("""COMPUTED_VALUE"""),"2550_988_7")</f>
        <v>2550_988_7</v>
      </c>
      <c r="G342" s="124">
        <f>IFERROR(__xludf.DUMMYFUNCTION("""COMPUTED_VALUE"""),23000.0)</f>
        <v>23000</v>
      </c>
      <c r="H342" s="124" t="str">
        <f>IFERROR(__xludf.DUMMYFUNCTION("""COMPUTED_VALUE"""),"Not Available")</f>
        <v>Not Available</v>
      </c>
      <c r="I342" s="124">
        <f>IFERROR(__xludf.DUMMYFUNCTION("""COMPUTED_VALUE"""),0.0)</f>
        <v>0</v>
      </c>
      <c r="J342" s="124">
        <f>IFERROR(__xludf.DUMMYFUNCTION("""COMPUTED_VALUE"""),130000.0)</f>
        <v>130000</v>
      </c>
      <c r="K342" s="124">
        <f>IFERROR(__xludf.DUMMYFUNCTION("""COMPUTED_VALUE"""),3.0)</f>
        <v>3</v>
      </c>
      <c r="L342" s="124">
        <f>IFERROR(__xludf.DUMMYFUNCTION("""COMPUTED_VALUE"""),115.0)</f>
        <v>115</v>
      </c>
      <c r="M342" s="124" t="str">
        <f>IFERROR(__xludf.DUMMYFUNCTION("""COMPUTED_VALUE"""),"New Delhi")</f>
        <v>New Delhi</v>
      </c>
      <c r="N342" s="124" t="str">
        <f>IFERROR(__xludf.DUMMYFUNCTION("""COMPUTED_VALUE"""),"rakhisankhla799@gmail.com")</f>
        <v>rakhisankhla799@gmail.com</v>
      </c>
      <c r="O342" s="124" t="str">
        <f>IFERROR(__xludf.DUMMYFUNCTION("""COMPUTED_VALUE"""),"Rakhi")</f>
        <v>Rakhi</v>
      </c>
      <c r="P342" s="124">
        <f>IFERROR(__xludf.DUMMYFUNCTION("""COMPUTED_VALUE"""),88470.0)</f>
        <v>88470</v>
      </c>
      <c r="Q342" s="124" t="str">
        <f>IFERROR(__xludf.DUMMYFUNCTION("""COMPUTED_VALUE"""),"ncert-foundation-hinglish-target-2026-nce-upsc-e02-orn")</f>
        <v>ncert-foundation-hinglish-target-2026-nce-upsc-e02-orn</v>
      </c>
      <c r="R342" s="124" t="str">
        <f>IFERROR(__xludf.DUMMYFUNCTION("""COMPUTED_VALUE"""),"GS Foundation Course")</f>
        <v>GS Foundation Course</v>
      </c>
      <c r="S342" s="124">
        <f>IFERROR(__xludf.DUMMYFUNCTION("""COMPUTED_VALUE"""),9.306516045E9)</f>
        <v>9306516045</v>
      </c>
      <c r="T342" s="124" t="str">
        <f>IFERROR(__xludf.DUMMYFUNCTION("""COMPUTED_VALUE"""),"Collexo")</f>
        <v>Collexo</v>
      </c>
      <c r="U342" s="124" t="str">
        <f>IFERROR(__xludf.DUMMYFUNCTION("""COMPUTED_VALUE"""),"Success")</f>
        <v>Success</v>
      </c>
      <c r="V342" s="131">
        <f>IFERROR(__xludf.DUMMYFUNCTION("""COMPUTED_VALUE"""),46049.0)</f>
        <v>46049</v>
      </c>
      <c r="W342" s="124">
        <f>IFERROR(__xludf.DUMMYFUNCTION("""COMPUTED_VALUE"""),0.0)</f>
        <v>0</v>
      </c>
    </row>
    <row r="343">
      <c r="A343" s="124" t="str">
        <f t="shared" si="1"/>
        <v>adityamodanwal56@gmail.com</v>
      </c>
      <c r="B343" s="131">
        <f>IFERROR(__xludf.DUMMYFUNCTION("""COMPUTED_VALUE"""),46097.0)</f>
        <v>46097</v>
      </c>
      <c r="C343" s="124" t="str">
        <f>IFERROR(__xludf.DUMMYFUNCTION("""COMPUTED_VALUE"""),"Payment data from Collexo")</f>
        <v>Payment data from Collexo</v>
      </c>
      <c r="D343" s="124" t="str">
        <f>IFERROR(__xludf.DUMMYFUNCTION("""COMPUTED_VALUE"""),"Not Available")</f>
        <v>Not Available</v>
      </c>
      <c r="E343" s="124">
        <f>IFERROR(__xludf.DUMMYFUNCTION("""COMPUTED_VALUE"""),1500613.0)</f>
        <v>1500613</v>
      </c>
      <c r="F343" s="124">
        <f>IFERROR(__xludf.DUMMYFUNCTION("""COMPUTED_VALUE"""),127601.0)</f>
        <v>127601</v>
      </c>
      <c r="G343" s="124">
        <f>IFERROR(__xludf.DUMMYFUNCTION("""COMPUTED_VALUE"""),1000.0)</f>
        <v>1000</v>
      </c>
      <c r="H343" s="131">
        <f>IFERROR(__xludf.DUMMYFUNCTION("""COMPUTED_VALUE"""),46099.0)</f>
        <v>46099</v>
      </c>
      <c r="I343" s="124">
        <f>IFERROR(__xludf.DUMMYFUNCTION("""COMPUTED_VALUE"""),53400.0)</f>
        <v>53400</v>
      </c>
      <c r="J343" s="124">
        <f>IFERROR(__xludf.DUMMYFUNCTION("""COMPUTED_VALUE"""),54400.0)</f>
        <v>54400</v>
      </c>
      <c r="K343" s="124">
        <f>IFERROR(__xludf.DUMMYFUNCTION("""COMPUTED_VALUE"""),2.0)</f>
        <v>2</v>
      </c>
      <c r="L343" s="124">
        <f>IFERROR(__xludf.DUMMYFUNCTION("""COMPUTED_VALUE"""),558.0)</f>
        <v>558</v>
      </c>
      <c r="M343" s="124" t="str">
        <f>IFERROR(__xludf.DUMMYFUNCTION("""COMPUTED_VALUE"""),"Prayagraj")</f>
        <v>Prayagraj</v>
      </c>
      <c r="N343" s="124" t="str">
        <f>IFERROR(__xludf.DUMMYFUNCTION("""COMPUTED_VALUE"""),"adityamodanwal56@gmail.com")</f>
        <v>adityamodanwal56@gmail.com</v>
      </c>
      <c r="O343" s="124" t="str">
        <f>IFERROR(__xludf.DUMMYFUNCTION("""COMPUTED_VALUE"""),"Aditya Modanwal")</f>
        <v>Aditya Modanwal</v>
      </c>
      <c r="P343" s="124">
        <f>IFERROR(__xludf.DUMMYFUNCTION("""COMPUTED_VALUE"""),127601.0)</f>
        <v>127601</v>
      </c>
      <c r="Q343" s="124" t="str">
        <f>IFERROR(__xludf.DUMMYFUNCTION("""COMPUTED_VALUE"""),"upsc-gs-foundation-hindi-target-2028-gsf-upsc-m02-pry")</f>
        <v>upsc-gs-foundation-hindi-target-2028-gsf-upsc-m02-pry</v>
      </c>
      <c r="R343" s="124" t="str">
        <f>IFERROR(__xludf.DUMMYFUNCTION("""COMPUTED_VALUE"""),"State PCS")</f>
        <v>State PCS</v>
      </c>
      <c r="S343" s="124">
        <f>IFERROR(__xludf.DUMMYFUNCTION("""COMPUTED_VALUE"""),7.607572412E9)</f>
        <v>7607572412</v>
      </c>
      <c r="T343" s="124" t="str">
        <f>IFERROR(__xludf.DUMMYFUNCTION("""COMPUTED_VALUE"""),"Not Available")</f>
        <v>Not Available</v>
      </c>
      <c r="U343" s="124" t="str">
        <f>IFERROR(__xludf.DUMMYFUNCTION("""COMPUTED_VALUE"""),"Not Available")</f>
        <v>Not Available</v>
      </c>
      <c r="V343" s="124" t="str">
        <f>IFERROR(__xludf.DUMMYFUNCTION("""COMPUTED_VALUE"""),"Not Available")</f>
        <v>Not Available</v>
      </c>
      <c r="W343" s="124" t="str">
        <f>IFERROR(__xludf.DUMMYFUNCTION("""COMPUTED_VALUE"""),"Not Available")</f>
        <v>Not Available</v>
      </c>
    </row>
    <row r="344">
      <c r="A344" s="124" t="str">
        <f t="shared" si="1"/>
        <v>33348swechchhapandey9c@gmail.com</v>
      </c>
      <c r="B344" s="131">
        <f>IFERROR(__xludf.DUMMYFUNCTION("""COMPUTED_VALUE"""),46098.0)</f>
        <v>46098</v>
      </c>
      <c r="C344" s="124" t="str">
        <f>IFERROR(__xludf.DUMMYFUNCTION("""COMPUTED_VALUE"""),"Payment data from Collexo")</f>
        <v>Payment data from Collexo</v>
      </c>
      <c r="D344" s="124" t="str">
        <f>IFERROR(__xludf.DUMMYFUNCTION("""COMPUTED_VALUE"""),"Not Available")</f>
        <v>Not Available</v>
      </c>
      <c r="E344" s="124">
        <f>IFERROR(__xludf.DUMMYFUNCTION("""COMPUTED_VALUE"""),1500613.0)</f>
        <v>1500613</v>
      </c>
      <c r="F344" s="124">
        <f>IFERROR(__xludf.DUMMYFUNCTION("""COMPUTED_VALUE"""),128771.0)</f>
        <v>128771</v>
      </c>
      <c r="G344" s="124">
        <f>IFERROR(__xludf.DUMMYFUNCTION("""COMPUTED_VALUE"""),64000.0)</f>
        <v>64000</v>
      </c>
      <c r="H344" s="131">
        <f>IFERROR(__xludf.DUMMYFUNCTION("""COMPUTED_VALUE"""),46104.0)</f>
        <v>46104</v>
      </c>
      <c r="I344" s="124">
        <f>IFERROR(__xludf.DUMMYFUNCTION("""COMPUTED_VALUE"""),10000.0)</f>
        <v>10000</v>
      </c>
      <c r="J344" s="124">
        <f>IFERROR(__xludf.DUMMYFUNCTION("""COMPUTED_VALUE"""),75000.0)</f>
        <v>75000</v>
      </c>
      <c r="K344" s="124">
        <f>IFERROR(__xludf.DUMMYFUNCTION("""COMPUTED_VALUE"""),3.0)</f>
        <v>3</v>
      </c>
      <c r="L344" s="124">
        <f>IFERROR(__xludf.DUMMYFUNCTION("""COMPUTED_VALUE"""),587.0)</f>
        <v>587</v>
      </c>
      <c r="M344" s="124" t="str">
        <f>IFERROR(__xludf.DUMMYFUNCTION("""COMPUTED_VALUE"""),"Prayagraj")</f>
        <v>Prayagraj</v>
      </c>
      <c r="N344" s="124" t="str">
        <f>IFERROR(__xludf.DUMMYFUNCTION("""COMPUTED_VALUE"""),"33348swechchhapandey9c@gmail.com")</f>
        <v>33348swechchhapandey9c@gmail.com</v>
      </c>
      <c r="O344" s="124" t="str">
        <f>IFERROR(__xludf.DUMMYFUNCTION("""COMPUTED_VALUE"""),"Swchchha pandey")</f>
        <v>Swchchha pandey</v>
      </c>
      <c r="P344" s="124">
        <f>IFERROR(__xludf.DUMMYFUNCTION("""COMPUTED_VALUE"""),128771.0)</f>
        <v>128771</v>
      </c>
      <c r="Q344" s="124" t="str">
        <f>IFERROR(__xludf.DUMMYFUNCTION("""COMPUTED_VALUE"""),"upsc-gs-foundation-hinglish-target-2028-gsf-upsc-e03-pry")</f>
        <v>upsc-gs-foundation-hinglish-target-2028-gsf-upsc-e03-pry</v>
      </c>
      <c r="R344" s="124" t="str">
        <f>IFERROR(__xludf.DUMMYFUNCTION("""COMPUTED_VALUE"""),"GS Foundation Course")</f>
        <v>GS Foundation Course</v>
      </c>
      <c r="S344" s="124">
        <f>IFERROR(__xludf.DUMMYFUNCTION("""COMPUTED_VALUE"""),9.118567877E9)</f>
        <v>9118567877</v>
      </c>
      <c r="T344" s="124" t="str">
        <f>IFERROR(__xludf.DUMMYFUNCTION("""COMPUTED_VALUE"""),"Not Available")</f>
        <v>Not Available</v>
      </c>
      <c r="U344" s="124" t="str">
        <f>IFERROR(__xludf.DUMMYFUNCTION("""COMPUTED_VALUE"""),"Not Available")</f>
        <v>Not Available</v>
      </c>
      <c r="V344" s="124" t="str">
        <f>IFERROR(__xludf.DUMMYFUNCTION("""COMPUTED_VALUE"""),"Not Available")</f>
        <v>Not Available</v>
      </c>
      <c r="W344" s="124" t="str">
        <f>IFERROR(__xludf.DUMMYFUNCTION("""COMPUTED_VALUE"""),"Not Available")</f>
        <v>Not Available</v>
      </c>
    </row>
    <row r="345">
      <c r="A345" s="124" t="str">
        <f t="shared" si="1"/>
        <v>varunpandey79@gmail.com</v>
      </c>
      <c r="B345" s="131">
        <f>IFERROR(__xludf.DUMMYFUNCTION("""COMPUTED_VALUE"""),46094.0)</f>
        <v>46094</v>
      </c>
      <c r="C345" s="124" t="str">
        <f>IFERROR(__xludf.DUMMYFUNCTION("""COMPUTED_VALUE"""),"Payment data from Collexo")</f>
        <v>Payment data from Collexo</v>
      </c>
      <c r="D345" s="124" t="str">
        <f>IFERROR(__xludf.DUMMYFUNCTION("""COMPUTED_VALUE"""),"Not Available")</f>
        <v>Not Available</v>
      </c>
      <c r="E345" s="124">
        <f>IFERROR(__xludf.DUMMYFUNCTION("""COMPUTED_VALUE"""),1500611.0)</f>
        <v>1500611</v>
      </c>
      <c r="F345" s="124">
        <f>IFERROR(__xludf.DUMMYFUNCTION("""COMPUTED_VALUE"""),125546.0)</f>
        <v>125546</v>
      </c>
      <c r="G345" s="124">
        <f>IFERROR(__xludf.DUMMYFUNCTION("""COMPUTED_VALUE"""),40000.0)</f>
        <v>40000</v>
      </c>
      <c r="H345" s="131">
        <f>IFERROR(__xludf.DUMMYFUNCTION("""COMPUTED_VALUE"""),46095.0)</f>
        <v>46095</v>
      </c>
      <c r="I345" s="124">
        <f>IFERROR(__xludf.DUMMYFUNCTION("""COMPUTED_VALUE"""),30000.0)</f>
        <v>30000</v>
      </c>
      <c r="J345" s="124">
        <f>IFERROR(__xludf.DUMMYFUNCTION("""COMPUTED_VALUE"""),70000.0)</f>
        <v>70000</v>
      </c>
      <c r="K345" s="124">
        <f>IFERROR(__xludf.DUMMYFUNCTION("""COMPUTED_VALUE"""),2.0)</f>
        <v>2</v>
      </c>
      <c r="L345" s="124">
        <f>IFERROR(__xludf.DUMMYFUNCTION("""COMPUTED_VALUE"""),522.0)</f>
        <v>522</v>
      </c>
      <c r="M345" s="124" t="str">
        <f>IFERROR(__xludf.DUMMYFUNCTION("""COMPUTED_VALUE"""),"Patna")</f>
        <v>Patna</v>
      </c>
      <c r="N345" s="124" t="str">
        <f>IFERROR(__xludf.DUMMYFUNCTION("""COMPUTED_VALUE"""),"varunpandey79@gmail.com")</f>
        <v>varunpandey79@gmail.com</v>
      </c>
      <c r="O345" s="124" t="str">
        <f>IFERROR(__xludf.DUMMYFUNCTION("""COMPUTED_VALUE"""),"Varun")</f>
        <v>Varun</v>
      </c>
      <c r="P345" s="124">
        <f>IFERROR(__xludf.DUMMYFUNCTION("""COMPUTED_VALUE"""),125546.0)</f>
        <v>125546</v>
      </c>
      <c r="Q345" s="124" t="str">
        <f>IFERROR(__xludf.DUMMYFUNCTION("""COMPUTED_VALUE"""),"upsc-gs-foundation-hinglish-target-2027-gsf-upsc-e03-pat")</f>
        <v>upsc-gs-foundation-hinglish-target-2027-gsf-upsc-e03-pat</v>
      </c>
      <c r="R345" s="124" t="str">
        <f>IFERROR(__xludf.DUMMYFUNCTION("""COMPUTED_VALUE"""),"GS Foundation Course")</f>
        <v>GS Foundation Course</v>
      </c>
      <c r="S345" s="124">
        <f>IFERROR(__xludf.DUMMYFUNCTION("""COMPUTED_VALUE"""),7.632867917E9)</f>
        <v>7632867917</v>
      </c>
      <c r="T345" s="124" t="str">
        <f>IFERROR(__xludf.DUMMYFUNCTION("""COMPUTED_VALUE"""),"Not Available")</f>
        <v>Not Available</v>
      </c>
      <c r="U345" s="124" t="str">
        <f>IFERROR(__xludf.DUMMYFUNCTION("""COMPUTED_VALUE"""),"Not Available")</f>
        <v>Not Available</v>
      </c>
      <c r="V345" s="124" t="str">
        <f>IFERROR(__xludf.DUMMYFUNCTION("""COMPUTED_VALUE"""),"Not Available")</f>
        <v>Not Available</v>
      </c>
      <c r="W345" s="124" t="str">
        <f>IFERROR(__xludf.DUMMYFUNCTION("""COMPUTED_VALUE"""),"Not Available")</f>
        <v>Not Available</v>
      </c>
    </row>
    <row r="346">
      <c r="A346" s="124" t="str">
        <f t="shared" si="1"/>
        <v>priyamsoni210@gmail.com</v>
      </c>
      <c r="B346" s="131">
        <f>IFERROR(__xludf.DUMMYFUNCTION("""COMPUTED_VALUE"""),46112.0)</f>
        <v>46112</v>
      </c>
      <c r="C346" s="124" t="str">
        <f>IFERROR(__xludf.DUMMYFUNCTION("""COMPUTED_VALUE"""),"Payment data from Collexo")</f>
        <v>Payment data from Collexo</v>
      </c>
      <c r="D346" s="124" t="str">
        <f>IFERROR(__xludf.DUMMYFUNCTION("""COMPUTED_VALUE"""),"Not Available")</f>
        <v>Not Available</v>
      </c>
      <c r="E346" s="124">
        <f>IFERROR(__xludf.DUMMYFUNCTION("""COMPUTED_VALUE"""),1500609.0)</f>
        <v>1500609</v>
      </c>
      <c r="F346" s="124" t="str">
        <f>IFERROR(__xludf.DUMMYFUNCTION("""COMPUTED_VALUE"""),"17652_988_7")</f>
        <v>17652_988_7</v>
      </c>
      <c r="G346" s="124">
        <f>IFERROR(__xludf.DUMMYFUNCTION("""COMPUTED_VALUE"""),128000.0)</f>
        <v>128000</v>
      </c>
      <c r="H346" s="124" t="str">
        <f>IFERROR(__xludf.DUMMYFUNCTION("""COMPUTED_VALUE"""),"Not Available")</f>
        <v>Not Available</v>
      </c>
      <c r="I346" s="124">
        <f>IFERROR(__xludf.DUMMYFUNCTION("""COMPUTED_VALUE"""),0.0)</f>
        <v>0</v>
      </c>
      <c r="J346" s="124">
        <f>IFERROR(__xludf.DUMMYFUNCTION("""COMPUTED_VALUE"""),130000.0)</f>
        <v>130000</v>
      </c>
      <c r="K346" s="124">
        <f>IFERROR(__xludf.DUMMYFUNCTION("""COMPUTED_VALUE"""),2.0)</f>
        <v>2</v>
      </c>
      <c r="L346" s="124">
        <f>IFERROR(__xludf.DUMMYFUNCTION("""COMPUTED_VALUE"""),853.0)</f>
        <v>853</v>
      </c>
      <c r="M346" s="124" t="str">
        <f>IFERROR(__xludf.DUMMYFUNCTION("""COMPUTED_VALUE"""),"New Delhi")</f>
        <v>New Delhi</v>
      </c>
      <c r="N346" s="124" t="str">
        <f>IFERROR(__xludf.DUMMYFUNCTION("""COMPUTED_VALUE"""),"priyamsoni210@gmail.com")</f>
        <v>priyamsoni210@gmail.com</v>
      </c>
      <c r="O346" s="124" t="str">
        <f>IFERROR(__xludf.DUMMYFUNCTION("""COMPUTED_VALUE"""),"shyam soni")</f>
        <v>shyam soni</v>
      </c>
      <c r="P346" s="124">
        <f>IFERROR(__xludf.DUMMYFUNCTION("""COMPUTED_VALUE"""),129772.0)</f>
        <v>129772</v>
      </c>
      <c r="Q346" s="124" t="str">
        <f>IFERROR(__xludf.DUMMYFUNCTION("""COMPUTED_VALUE"""),"upsc-gs-foundation-hinglish-target-2028-gsf-upsc-e04-orn")</f>
        <v>upsc-gs-foundation-hinglish-target-2028-gsf-upsc-e04-orn</v>
      </c>
      <c r="R346" s="124" t="str">
        <f>IFERROR(__xludf.DUMMYFUNCTION("""COMPUTED_VALUE"""),"GS Foundation Course")</f>
        <v>GS Foundation Course</v>
      </c>
      <c r="S346" s="124">
        <f>IFERROR(__xludf.DUMMYFUNCTION("""COMPUTED_VALUE"""),8.736032381E9)</f>
        <v>8736032381</v>
      </c>
      <c r="T346" s="124" t="str">
        <f>IFERROR(__xludf.DUMMYFUNCTION("""COMPUTED_VALUE"""),"Collexo")</f>
        <v>Collexo</v>
      </c>
      <c r="U346" s="124" t="str">
        <f>IFERROR(__xludf.DUMMYFUNCTION("""COMPUTED_VALUE"""),"Success")</f>
        <v>Success</v>
      </c>
      <c r="V346" s="131">
        <f>IFERROR(__xludf.DUMMYFUNCTION("""COMPUTED_VALUE"""),46112.0)</f>
        <v>46112</v>
      </c>
      <c r="W346" s="124">
        <f>IFERROR(__xludf.DUMMYFUNCTION("""COMPUTED_VALUE"""),0.0)</f>
        <v>0</v>
      </c>
    </row>
    <row r="347">
      <c r="A347" s="124" t="str">
        <f t="shared" si="1"/>
        <v>tripathishwetank5@gmail.com</v>
      </c>
      <c r="B347" s="131">
        <f>IFERROR(__xludf.DUMMYFUNCTION("""COMPUTED_VALUE"""),46068.0)</f>
        <v>46068</v>
      </c>
      <c r="C347" s="124" t="str">
        <f>IFERROR(__xludf.DUMMYFUNCTION("""COMPUTED_VALUE"""),"Payment data from Collexo")</f>
        <v>Payment data from Collexo</v>
      </c>
      <c r="D347" s="124" t="str">
        <f>IFERROR(__xludf.DUMMYFUNCTION("""COMPUTED_VALUE"""),"Not Available")</f>
        <v>Not Available</v>
      </c>
      <c r="E347" s="124">
        <f>IFERROR(__xludf.DUMMYFUNCTION("""COMPUTED_VALUE"""),1500613.0)</f>
        <v>1500613</v>
      </c>
      <c r="F347" s="124">
        <f>IFERROR(__xludf.DUMMYFUNCTION("""COMPUTED_VALUE"""),123024.0)</f>
        <v>123024</v>
      </c>
      <c r="G347" s="124">
        <f>IFERROR(__xludf.DUMMYFUNCTION("""COMPUTED_VALUE"""),43000.0)</f>
        <v>43000</v>
      </c>
      <c r="H347" s="124" t="str">
        <f>IFERROR(__xludf.DUMMYFUNCTION("""COMPUTED_VALUE"""),"Not Available")</f>
        <v>Not Available</v>
      </c>
      <c r="I347" s="124">
        <f>IFERROR(__xludf.DUMMYFUNCTION("""COMPUTED_VALUE"""),0.0)</f>
        <v>0</v>
      </c>
      <c r="J347" s="124">
        <f>IFERROR(__xludf.DUMMYFUNCTION("""COMPUTED_VALUE"""),45000.0)</f>
        <v>45000</v>
      </c>
      <c r="K347" s="124">
        <f>IFERROR(__xludf.DUMMYFUNCTION("""COMPUTED_VALUE"""),2.0)</f>
        <v>2</v>
      </c>
      <c r="L347" s="124">
        <f>IFERROR(__xludf.DUMMYFUNCTION("""COMPUTED_VALUE"""),216.0)</f>
        <v>216</v>
      </c>
      <c r="M347" s="124" t="str">
        <f>IFERROR(__xludf.DUMMYFUNCTION("""COMPUTED_VALUE"""),"Prayagraj")</f>
        <v>Prayagraj</v>
      </c>
      <c r="N347" s="124" t="str">
        <f>IFERROR(__xludf.DUMMYFUNCTION("""COMPUTED_VALUE"""),"tripathishwetank5@gmail.com")</f>
        <v>tripathishwetank5@gmail.com</v>
      </c>
      <c r="O347" s="124" t="str">
        <f>IFERROR(__xludf.DUMMYFUNCTION("""COMPUTED_VALUE"""),"Shwetank Tripathi")</f>
        <v>Shwetank Tripathi</v>
      </c>
      <c r="P347" s="124">
        <f>IFERROR(__xludf.DUMMYFUNCTION("""COMPUTED_VALUE"""),123024.0)</f>
        <v>123024</v>
      </c>
      <c r="Q347" s="124" t="str">
        <f>IFERROR(__xludf.DUMMYFUNCTION("""COMPUTED_VALUE"""),"upsc-gs-foundation-hinglish-target-2027-gsf-upsc-e02-pry")</f>
        <v>upsc-gs-foundation-hinglish-target-2027-gsf-upsc-e02-pry</v>
      </c>
      <c r="R347" s="124" t="str">
        <f>IFERROR(__xludf.DUMMYFUNCTION("""COMPUTED_VALUE"""),"GS Foundation Course")</f>
        <v>GS Foundation Course</v>
      </c>
      <c r="S347" s="124">
        <f>IFERROR(__xludf.DUMMYFUNCTION("""COMPUTED_VALUE"""),9.219573776E9)</f>
        <v>9219573776</v>
      </c>
      <c r="T347" s="124" t="str">
        <f>IFERROR(__xludf.DUMMYFUNCTION("""COMPUTED_VALUE"""),"Not Available")</f>
        <v>Not Available</v>
      </c>
      <c r="U347" s="124" t="str">
        <f>IFERROR(__xludf.DUMMYFUNCTION("""COMPUTED_VALUE"""),"Not Available")</f>
        <v>Not Available</v>
      </c>
      <c r="V347" s="124" t="str">
        <f>IFERROR(__xludf.DUMMYFUNCTION("""COMPUTED_VALUE"""),"Not Available")</f>
        <v>Not Available</v>
      </c>
      <c r="W347" s="124" t="str">
        <f>IFERROR(__xludf.DUMMYFUNCTION("""COMPUTED_VALUE"""),"Not Available")</f>
        <v>Not Available</v>
      </c>
    </row>
    <row r="348">
      <c r="A348" s="124" t="str">
        <f t="shared" si="1"/>
        <v>jjessicasingh1@gmail.com</v>
      </c>
      <c r="B348" s="131">
        <f>IFERROR(__xludf.DUMMYFUNCTION("""COMPUTED_VALUE"""),46104.0)</f>
        <v>46104</v>
      </c>
      <c r="C348" s="124" t="str">
        <f>IFERROR(__xludf.DUMMYFUNCTION("""COMPUTED_VALUE"""),"Payment data from Collexo")</f>
        <v>Payment data from Collexo</v>
      </c>
      <c r="D348" s="124" t="str">
        <f>IFERROR(__xludf.DUMMYFUNCTION("""COMPUTED_VALUE"""),"Not Available")</f>
        <v>Not Available</v>
      </c>
      <c r="E348" s="124">
        <f>IFERROR(__xludf.DUMMYFUNCTION("""COMPUTED_VALUE"""),1500611.0)</f>
        <v>1500611</v>
      </c>
      <c r="F348" s="124">
        <f>IFERROR(__xludf.DUMMYFUNCTION("""COMPUTED_VALUE"""),127568.0)</f>
        <v>127568</v>
      </c>
      <c r="G348" s="124">
        <f>IFERROR(__xludf.DUMMYFUNCTION("""COMPUTED_VALUE"""),70000.0)</f>
        <v>70000</v>
      </c>
      <c r="H348" s="124" t="str">
        <f>IFERROR(__xludf.DUMMYFUNCTION("""COMPUTED_VALUE"""),"Not Available")</f>
        <v>Not Available</v>
      </c>
      <c r="I348" s="124">
        <f>IFERROR(__xludf.DUMMYFUNCTION("""COMPUTED_VALUE"""),0.0)</f>
        <v>0</v>
      </c>
      <c r="J348" s="124">
        <f>IFERROR(__xludf.DUMMYFUNCTION("""COMPUTED_VALUE"""),80000.0)</f>
        <v>80000</v>
      </c>
      <c r="K348" s="124">
        <f>IFERROR(__xludf.DUMMYFUNCTION("""COMPUTED_VALUE"""),2.0)</f>
        <v>2</v>
      </c>
      <c r="L348" s="124">
        <f>IFERROR(__xludf.DUMMYFUNCTION("""COMPUTED_VALUE"""),701.0)</f>
        <v>701</v>
      </c>
      <c r="M348" s="124" t="str">
        <f>IFERROR(__xludf.DUMMYFUNCTION("""COMPUTED_VALUE"""),"Patna")</f>
        <v>Patna</v>
      </c>
      <c r="N348" s="124" t="str">
        <f>IFERROR(__xludf.DUMMYFUNCTION("""COMPUTED_VALUE"""),"jjessicasingh1@gmail.com")</f>
        <v>jjessicasingh1@gmail.com</v>
      </c>
      <c r="O348" s="124" t="str">
        <f>IFERROR(__xludf.DUMMYFUNCTION("""COMPUTED_VALUE"""),"Jessica kumari")</f>
        <v>Jessica kumari</v>
      </c>
      <c r="P348" s="124">
        <f>IFERROR(__xludf.DUMMYFUNCTION("""COMPUTED_VALUE"""),127568.0)</f>
        <v>127568</v>
      </c>
      <c r="Q348" s="124" t="str">
        <f>IFERROR(__xludf.DUMMYFUNCTION("""COMPUTED_VALUE"""),"upsc-gs-foundation-hinglish-target-2028-gsf-upsc-e03-pat")</f>
        <v>upsc-gs-foundation-hinglish-target-2028-gsf-upsc-e03-pat</v>
      </c>
      <c r="R348" s="124" t="str">
        <f>IFERROR(__xludf.DUMMYFUNCTION("""COMPUTED_VALUE"""),"GS Foundation Course")</f>
        <v>GS Foundation Course</v>
      </c>
      <c r="S348" s="124">
        <f>IFERROR(__xludf.DUMMYFUNCTION("""COMPUTED_VALUE"""),9.288647058E9)</f>
        <v>9288647058</v>
      </c>
      <c r="T348" s="124" t="str">
        <f>IFERROR(__xludf.DUMMYFUNCTION("""COMPUTED_VALUE"""),"Not Available")</f>
        <v>Not Available</v>
      </c>
      <c r="U348" s="124" t="str">
        <f>IFERROR(__xludf.DUMMYFUNCTION("""COMPUTED_VALUE"""),"Not Available")</f>
        <v>Not Available</v>
      </c>
      <c r="V348" s="124" t="str">
        <f>IFERROR(__xludf.DUMMYFUNCTION("""COMPUTED_VALUE"""),"Not Available")</f>
        <v>Not Available</v>
      </c>
      <c r="W348" s="124" t="str">
        <f>IFERROR(__xludf.DUMMYFUNCTION("""COMPUTED_VALUE"""),"Not Available")</f>
        <v>Not Available</v>
      </c>
    </row>
    <row r="349">
      <c r="A349" s="124" t="str">
        <f t="shared" si="1"/>
        <v>samarthsengar01@gmail.com</v>
      </c>
      <c r="B349" s="131">
        <f>IFERROR(__xludf.DUMMYFUNCTION("""COMPUTED_VALUE"""),46107.0)</f>
        <v>46107</v>
      </c>
      <c r="C349" s="124" t="str">
        <f>IFERROR(__xludf.DUMMYFUNCTION("""COMPUTED_VALUE"""),"Payment data from Collexo")</f>
        <v>Payment data from Collexo</v>
      </c>
      <c r="D349" s="124" t="str">
        <f>IFERROR(__xludf.DUMMYFUNCTION("""COMPUTED_VALUE"""),"Not Available")</f>
        <v>Not Available</v>
      </c>
      <c r="E349" s="124">
        <f>IFERROR(__xludf.DUMMYFUNCTION("""COMPUTED_VALUE"""),1500612.0)</f>
        <v>1500612</v>
      </c>
      <c r="F349" s="124">
        <f>IFERROR(__xludf.DUMMYFUNCTION("""COMPUTED_VALUE"""),133182.0)</f>
        <v>133182</v>
      </c>
      <c r="G349" s="124">
        <f>IFERROR(__xludf.DUMMYFUNCTION("""COMPUTED_VALUE"""),2000.0)</f>
        <v>2000</v>
      </c>
      <c r="H349" s="131">
        <f>IFERROR(__xludf.DUMMYFUNCTION("""COMPUTED_VALUE"""),46112.0)</f>
        <v>46112</v>
      </c>
      <c r="I349" s="124">
        <f>IFERROR(__xludf.DUMMYFUNCTION("""COMPUTED_VALUE"""),68000.0)</f>
        <v>68000</v>
      </c>
      <c r="J349" s="124">
        <f>IFERROR(__xludf.DUMMYFUNCTION("""COMPUTED_VALUE"""),70000.0)</f>
        <v>70000</v>
      </c>
      <c r="K349" s="124">
        <f>IFERROR(__xludf.DUMMYFUNCTION("""COMPUTED_VALUE"""),2.0)</f>
        <v>2</v>
      </c>
      <c r="L349" s="124">
        <f>IFERROR(__xludf.DUMMYFUNCTION("""COMPUTED_VALUE"""),758.0)</f>
        <v>758</v>
      </c>
      <c r="M349" s="124" t="str">
        <f>IFERROR(__xludf.DUMMYFUNCTION("""COMPUTED_VALUE"""),"Indore")</f>
        <v>Indore</v>
      </c>
      <c r="N349" s="124" t="str">
        <f>IFERROR(__xludf.DUMMYFUNCTION("""COMPUTED_VALUE"""),"samarthsengar01@gmail.com")</f>
        <v>samarthsengar01@gmail.com</v>
      </c>
      <c r="O349" s="124" t="str">
        <f>IFERROR(__xludf.DUMMYFUNCTION("""COMPUTED_VALUE"""),"Shanu sengar")</f>
        <v>Shanu sengar</v>
      </c>
      <c r="P349" s="124">
        <f>IFERROR(__xludf.DUMMYFUNCTION("""COMPUTED_VALUE"""),133182.0)</f>
        <v>133182</v>
      </c>
      <c r="Q349" s="124" t="str">
        <f>IFERROR(__xludf.DUMMYFUNCTION("""COMPUTED_VALUE"""),"upsc-gs-foundation-hindi-target-2027-gsf-upsc-m03-ind")</f>
        <v>upsc-gs-foundation-hindi-target-2027-gsf-upsc-m03-ind</v>
      </c>
      <c r="R349" s="124" t="str">
        <f>IFERROR(__xludf.DUMMYFUNCTION("""COMPUTED_VALUE"""),"GS Foundation Course")</f>
        <v>GS Foundation Course</v>
      </c>
      <c r="S349" s="124">
        <f>IFERROR(__xludf.DUMMYFUNCTION("""COMPUTED_VALUE"""),8.770821292E9)</f>
        <v>8770821292</v>
      </c>
      <c r="T349" s="124" t="str">
        <f>IFERROR(__xludf.DUMMYFUNCTION("""COMPUTED_VALUE"""),"Not Available")</f>
        <v>Not Available</v>
      </c>
      <c r="U349" s="124" t="str">
        <f>IFERROR(__xludf.DUMMYFUNCTION("""COMPUTED_VALUE"""),"Not Available")</f>
        <v>Not Available</v>
      </c>
      <c r="V349" s="124" t="str">
        <f>IFERROR(__xludf.DUMMYFUNCTION("""COMPUTED_VALUE"""),"Not Available")</f>
        <v>Not Available</v>
      </c>
      <c r="W349" s="124" t="str">
        <f>IFERROR(__xludf.DUMMYFUNCTION("""COMPUTED_VALUE"""),"Not Available")</f>
        <v>Not Available</v>
      </c>
    </row>
    <row r="350">
      <c r="A350" s="124" t="str">
        <f t="shared" si="1"/>
        <v>anujbiswan03@gmail.com</v>
      </c>
      <c r="B350" s="131">
        <f>IFERROR(__xludf.DUMMYFUNCTION("""COMPUTED_VALUE"""),46101.0)</f>
        <v>46101</v>
      </c>
      <c r="C350" s="124" t="str">
        <f>IFERROR(__xludf.DUMMYFUNCTION("""COMPUTED_VALUE"""),"Payment data from Collexo")</f>
        <v>Payment data from Collexo</v>
      </c>
      <c r="D350" s="124" t="str">
        <f>IFERROR(__xludf.DUMMYFUNCTION("""COMPUTED_VALUE"""),"Not Available")</f>
        <v>Not Available</v>
      </c>
      <c r="E350" s="124">
        <f>IFERROR(__xludf.DUMMYFUNCTION("""COMPUTED_VALUE"""),1500610.0)</f>
        <v>1500610</v>
      </c>
      <c r="F350" s="124">
        <f>IFERROR(__xludf.DUMMYFUNCTION("""COMPUTED_VALUE"""),129636.0)</f>
        <v>129636</v>
      </c>
      <c r="G350" s="124">
        <f>IFERROR(__xludf.DUMMYFUNCTION("""COMPUTED_VALUE"""),5000.0)</f>
        <v>5000</v>
      </c>
      <c r="H350" s="131">
        <f>IFERROR(__xludf.DUMMYFUNCTION("""COMPUTED_VALUE"""),46112.0)</f>
        <v>46112</v>
      </c>
      <c r="I350" s="124">
        <f>IFERROR(__xludf.DUMMYFUNCTION("""COMPUTED_VALUE"""),10000.0)</f>
        <v>10000</v>
      </c>
      <c r="J350" s="124">
        <f>IFERROR(__xludf.DUMMYFUNCTION("""COMPUTED_VALUE"""),25000.0)</f>
        <v>25000</v>
      </c>
      <c r="K350" s="124">
        <f>IFERROR(__xludf.DUMMYFUNCTION("""COMPUTED_VALUE"""),3.0)</f>
        <v>3</v>
      </c>
      <c r="L350" s="124">
        <f>IFERROR(__xludf.DUMMYFUNCTION("""COMPUTED_VALUE"""),652.0)</f>
        <v>652</v>
      </c>
      <c r="M350" s="124" t="str">
        <f>IFERROR(__xludf.DUMMYFUNCTION("""COMPUTED_VALUE"""),"Lucknow")</f>
        <v>Lucknow</v>
      </c>
      <c r="N350" s="124" t="str">
        <f>IFERROR(__xludf.DUMMYFUNCTION("""COMPUTED_VALUE"""),"anujbiswan03@gmail.com")</f>
        <v>anujbiswan03@gmail.com</v>
      </c>
      <c r="O350" s="124" t="str">
        <f>IFERROR(__xludf.DUMMYFUNCTION("""COMPUTED_VALUE"""),"Anuj Kumar")</f>
        <v>Anuj Kumar</v>
      </c>
      <c r="P350" s="124">
        <f>IFERROR(__xludf.DUMMYFUNCTION("""COMPUTED_VALUE"""),129636.0)</f>
        <v>129636</v>
      </c>
      <c r="Q350" s="124" t="str">
        <f>IFERROR(__xludf.DUMMYFUNCTION("""COMPUTED_VALUE"""),"Not Available")</f>
        <v>Not Available</v>
      </c>
      <c r="R350" s="124" t="str">
        <f>IFERROR(__xludf.DUMMYFUNCTION("""COMPUTED_VALUE"""),"GS Foundation Course")</f>
        <v>GS Foundation Course</v>
      </c>
      <c r="S350" s="124">
        <f>IFERROR(__xludf.DUMMYFUNCTION("""COMPUTED_VALUE"""),8.127351647E9)</f>
        <v>8127351647</v>
      </c>
      <c r="T350" s="124" t="str">
        <f>IFERROR(__xludf.DUMMYFUNCTION("""COMPUTED_VALUE"""),"Not Available")</f>
        <v>Not Available</v>
      </c>
      <c r="U350" s="124" t="str">
        <f>IFERROR(__xludf.DUMMYFUNCTION("""COMPUTED_VALUE"""),"Not Available")</f>
        <v>Not Available</v>
      </c>
      <c r="V350" s="124" t="str">
        <f>IFERROR(__xludf.DUMMYFUNCTION("""COMPUTED_VALUE"""),"Not Available")</f>
        <v>Not Available</v>
      </c>
      <c r="W350" s="124" t="str">
        <f>IFERROR(__xludf.DUMMYFUNCTION("""COMPUTED_VALUE"""),"Not Available")</f>
        <v>Not Available</v>
      </c>
    </row>
    <row r="351">
      <c r="A351" s="124" t="str">
        <f t="shared" si="1"/>
        <v>vishalthavliya2@gmail.com</v>
      </c>
      <c r="B351" s="131">
        <f>IFERROR(__xludf.DUMMYFUNCTION("""COMPUTED_VALUE"""),46108.0)</f>
        <v>46108</v>
      </c>
      <c r="C351" s="124" t="str">
        <f>IFERROR(__xludf.DUMMYFUNCTION("""COMPUTED_VALUE"""),"Payment data from Collexo")</f>
        <v>Payment data from Collexo</v>
      </c>
      <c r="D351" s="124" t="str">
        <f>IFERROR(__xludf.DUMMYFUNCTION("""COMPUTED_VALUE"""),"Not Available")</f>
        <v>Not Available</v>
      </c>
      <c r="E351" s="124">
        <f>IFERROR(__xludf.DUMMYFUNCTION("""COMPUTED_VALUE"""),1500612.0)</f>
        <v>1500612</v>
      </c>
      <c r="F351" s="124">
        <f>IFERROR(__xludf.DUMMYFUNCTION("""COMPUTED_VALUE"""),133192.0)</f>
        <v>133192</v>
      </c>
      <c r="G351" s="124">
        <f>IFERROR(__xludf.DUMMYFUNCTION("""COMPUTED_VALUE"""),24000.0)</f>
        <v>24000</v>
      </c>
      <c r="H351" s="124" t="str">
        <f>IFERROR(__xludf.DUMMYFUNCTION("""COMPUTED_VALUE"""),"Not Available")</f>
        <v>Not Available</v>
      </c>
      <c r="I351" s="124">
        <f>IFERROR(__xludf.DUMMYFUNCTION("""COMPUTED_VALUE"""),0.0)</f>
        <v>0</v>
      </c>
      <c r="J351" s="124">
        <f>IFERROR(__xludf.DUMMYFUNCTION("""COMPUTED_VALUE"""),26000.0)</f>
        <v>26000</v>
      </c>
      <c r="K351" s="124">
        <f>IFERROR(__xludf.DUMMYFUNCTION("""COMPUTED_VALUE"""),2.0)</f>
        <v>2</v>
      </c>
      <c r="L351" s="124">
        <f>IFERROR(__xludf.DUMMYFUNCTION("""COMPUTED_VALUE"""),775.0)</f>
        <v>775</v>
      </c>
      <c r="M351" s="124" t="str">
        <f>IFERROR(__xludf.DUMMYFUNCTION("""COMPUTED_VALUE"""),"Indore")</f>
        <v>Indore</v>
      </c>
      <c r="N351" s="124" t="str">
        <f>IFERROR(__xludf.DUMMYFUNCTION("""COMPUTED_VALUE"""),"vishalthavliya2@gmail.com")</f>
        <v>vishalthavliya2@gmail.com</v>
      </c>
      <c r="O351" s="124" t="str">
        <f>IFERROR(__xludf.DUMMYFUNCTION("""COMPUTED_VALUE"""),"Vishal thavliya")</f>
        <v>Vishal thavliya</v>
      </c>
      <c r="P351" s="124">
        <f>IFERROR(__xludf.DUMMYFUNCTION("""COMPUTED_VALUE"""),133192.0)</f>
        <v>133192</v>
      </c>
      <c r="Q351" s="124" t="str">
        <f>IFERROR(__xludf.DUMMYFUNCTION("""COMPUTED_VALUE"""),"mppsc-gs-foundation-hinglish-target-2027-gsf-mppsc-e02-ind")</f>
        <v>mppsc-gs-foundation-hinglish-target-2027-gsf-mppsc-e02-ind</v>
      </c>
      <c r="R351" s="124" t="str">
        <f>IFERROR(__xludf.DUMMYFUNCTION("""COMPUTED_VALUE"""),"State PCS")</f>
        <v>State PCS</v>
      </c>
      <c r="S351" s="124">
        <f>IFERROR(__xludf.DUMMYFUNCTION("""COMPUTED_VALUE"""),7.04942023E9)</f>
        <v>7049420230</v>
      </c>
      <c r="T351" s="124" t="str">
        <f>IFERROR(__xludf.DUMMYFUNCTION("""COMPUTED_VALUE"""),"Not Available")</f>
        <v>Not Available</v>
      </c>
      <c r="U351" s="124" t="str">
        <f>IFERROR(__xludf.DUMMYFUNCTION("""COMPUTED_VALUE"""),"Not Available")</f>
        <v>Not Available</v>
      </c>
      <c r="V351" s="124" t="str">
        <f>IFERROR(__xludf.DUMMYFUNCTION("""COMPUTED_VALUE"""),"Not Available")</f>
        <v>Not Available</v>
      </c>
      <c r="W351" s="124" t="str">
        <f>IFERROR(__xludf.DUMMYFUNCTION("""COMPUTED_VALUE"""),"Not Available")</f>
        <v>Not Available</v>
      </c>
    </row>
    <row r="352">
      <c r="A352" s="124" t="str">
        <f t="shared" si="1"/>
        <v>007gautamaryan@gmail.com</v>
      </c>
      <c r="B352" s="131">
        <f>IFERROR(__xludf.DUMMYFUNCTION("""COMPUTED_VALUE"""),46090.0)</f>
        <v>46090</v>
      </c>
      <c r="C352" s="124" t="str">
        <f>IFERROR(__xludf.DUMMYFUNCTION("""COMPUTED_VALUE"""),"Payment data from Collexo")</f>
        <v>Payment data from Collexo</v>
      </c>
      <c r="D352" s="124" t="str">
        <f>IFERROR(__xludf.DUMMYFUNCTION("""COMPUTED_VALUE"""),"Not Available")</f>
        <v>Not Available</v>
      </c>
      <c r="E352" s="124">
        <f>IFERROR(__xludf.DUMMYFUNCTION("""COMPUTED_VALUE"""),1500609.0)</f>
        <v>1500609</v>
      </c>
      <c r="F352" s="124" t="str">
        <f>IFERROR(__xludf.DUMMYFUNCTION("""COMPUTED_VALUE"""),"13271_988_7")</f>
        <v>13271_988_7</v>
      </c>
      <c r="G352" s="124">
        <f>IFERROR(__xludf.DUMMYFUNCTION("""COMPUTED_VALUE"""),1.0)</f>
        <v>1</v>
      </c>
      <c r="H352" s="124" t="str">
        <f>IFERROR(__xludf.DUMMYFUNCTION("""COMPUTED_VALUE"""),"Not Available")</f>
        <v>Not Available</v>
      </c>
      <c r="I352" s="124">
        <f>IFERROR(__xludf.DUMMYFUNCTION("""COMPUTED_VALUE"""),0.0)</f>
        <v>0</v>
      </c>
      <c r="J352" s="124">
        <f>IFERROR(__xludf.DUMMYFUNCTION("""COMPUTED_VALUE"""),1.0)</f>
        <v>1</v>
      </c>
      <c r="K352" s="124">
        <f>IFERROR(__xludf.DUMMYFUNCTION("""COMPUTED_VALUE"""),1.0)</f>
        <v>1</v>
      </c>
      <c r="L352" s="124">
        <f>IFERROR(__xludf.DUMMYFUNCTION("""COMPUTED_VALUE"""),458.0)</f>
        <v>458</v>
      </c>
      <c r="M352" s="124" t="str">
        <f>IFERROR(__xludf.DUMMYFUNCTION("""COMPUTED_VALUE"""),"New Delhi")</f>
        <v>New Delhi</v>
      </c>
      <c r="N352" s="124" t="str">
        <f>IFERROR(__xludf.DUMMYFUNCTION("""COMPUTED_VALUE"""),"007gautamaryan@gmail.com")</f>
        <v>007gautamaryan@gmail.com</v>
      </c>
      <c r="O352" s="124" t="str">
        <f>IFERROR(__xludf.DUMMYFUNCTION("""COMPUTED_VALUE"""),"Aryan Gautam")</f>
        <v>Aryan Gautam</v>
      </c>
      <c r="P352" s="124">
        <f>IFERROR(__xludf.DUMMYFUNCTION("""COMPUTED_VALUE"""),124994.0)</f>
        <v>124994</v>
      </c>
      <c r="Q352" s="124" t="str">
        <f>IFERROR(__xludf.DUMMYFUNCTION("""COMPUTED_VALUE"""),"upsc-gs-foundation-hinglish-target-2027-gsf-upsc-e05-orn")</f>
        <v>upsc-gs-foundation-hinglish-target-2027-gsf-upsc-e05-orn</v>
      </c>
      <c r="R352" s="124" t="str">
        <f>IFERROR(__xludf.DUMMYFUNCTION("""COMPUTED_VALUE"""),"GS Foundation Course")</f>
        <v>GS Foundation Course</v>
      </c>
      <c r="S352" s="124">
        <f>IFERROR(__xludf.DUMMYFUNCTION("""COMPUTED_VALUE"""),8.97996857E9)</f>
        <v>8979968570</v>
      </c>
      <c r="T352" s="124" t="str">
        <f>IFERROR(__xludf.DUMMYFUNCTION("""COMPUTED_VALUE"""),"Collexo")</f>
        <v>Collexo</v>
      </c>
      <c r="U352" s="124" t="str">
        <f>IFERROR(__xludf.DUMMYFUNCTION("""COMPUTED_VALUE"""),"Success")</f>
        <v>Success</v>
      </c>
      <c r="V352" s="131">
        <f>IFERROR(__xludf.DUMMYFUNCTION("""COMPUTED_VALUE"""),46090.0)</f>
        <v>46090</v>
      </c>
      <c r="W352" s="124">
        <f>IFERROR(__xludf.DUMMYFUNCTION("""COMPUTED_VALUE"""),0.0)</f>
        <v>0</v>
      </c>
    </row>
    <row r="353">
      <c r="A353" s="124" t="str">
        <f t="shared" si="1"/>
        <v>shreyanagar56@gmail.com</v>
      </c>
      <c r="B353" s="131">
        <f>IFERROR(__xludf.DUMMYFUNCTION("""COMPUTED_VALUE"""),46108.0)</f>
        <v>46108</v>
      </c>
      <c r="C353" s="124" t="str">
        <f>IFERROR(__xludf.DUMMYFUNCTION("""COMPUTED_VALUE"""),"Payment data from Collexo")</f>
        <v>Payment data from Collexo</v>
      </c>
      <c r="D353" s="124" t="str">
        <f>IFERROR(__xludf.DUMMYFUNCTION("""COMPUTED_VALUE"""),"Not Available")</f>
        <v>Not Available</v>
      </c>
      <c r="E353" s="124">
        <f>IFERROR(__xludf.DUMMYFUNCTION("""COMPUTED_VALUE"""),1500612.0)</f>
        <v>1500612</v>
      </c>
      <c r="F353" s="124">
        <f>IFERROR(__xludf.DUMMYFUNCTION("""COMPUTED_VALUE"""),133076.0)</f>
        <v>133076</v>
      </c>
      <c r="G353" s="124">
        <f>IFERROR(__xludf.DUMMYFUNCTION("""COMPUTED_VALUE"""),80000.0)</f>
        <v>80000</v>
      </c>
      <c r="H353" s="124" t="str">
        <f>IFERROR(__xludf.DUMMYFUNCTION("""COMPUTED_VALUE"""),"Not Available")</f>
        <v>Not Available</v>
      </c>
      <c r="I353" s="124">
        <f>IFERROR(__xludf.DUMMYFUNCTION("""COMPUTED_VALUE"""),0.0)</f>
        <v>0</v>
      </c>
      <c r="J353" s="124">
        <f>IFERROR(__xludf.DUMMYFUNCTION("""COMPUTED_VALUE"""),80000.0)</f>
        <v>80000</v>
      </c>
      <c r="K353" s="124">
        <f>IFERROR(__xludf.DUMMYFUNCTION("""COMPUTED_VALUE"""),1.0)</f>
        <v>1</v>
      </c>
      <c r="L353" s="124">
        <f>IFERROR(__xludf.DUMMYFUNCTION("""COMPUTED_VALUE"""),779.0)</f>
        <v>779</v>
      </c>
      <c r="M353" s="124" t="str">
        <f>IFERROR(__xludf.DUMMYFUNCTION("""COMPUTED_VALUE"""),"Indore")</f>
        <v>Indore</v>
      </c>
      <c r="N353" s="124" t="str">
        <f>IFERROR(__xludf.DUMMYFUNCTION("""COMPUTED_VALUE"""),"shreyanagar56@gmail.com")</f>
        <v>shreyanagar56@gmail.com</v>
      </c>
      <c r="O353" s="124" t="str">
        <f>IFERROR(__xludf.DUMMYFUNCTION("""COMPUTED_VALUE"""),"Shreya nagar")</f>
        <v>Shreya nagar</v>
      </c>
      <c r="P353" s="124">
        <f>IFERROR(__xludf.DUMMYFUNCTION("""COMPUTED_VALUE"""),133076.0)</f>
        <v>133076</v>
      </c>
      <c r="Q353" s="124" t="str">
        <f>IFERROR(__xludf.DUMMYFUNCTION("""COMPUTED_VALUE"""),"upsc-gs-foundation-hinglish-target-2028-gsf-upsc-m03-ind")</f>
        <v>upsc-gs-foundation-hinglish-target-2028-gsf-upsc-m03-ind</v>
      </c>
      <c r="R353" s="124" t="str">
        <f>IFERROR(__xludf.DUMMYFUNCTION("""COMPUTED_VALUE"""),"GS Foundation Course")</f>
        <v>GS Foundation Course</v>
      </c>
      <c r="S353" s="124">
        <f>IFERROR(__xludf.DUMMYFUNCTION("""COMPUTED_VALUE"""),6.26431921E9)</f>
        <v>6264319210</v>
      </c>
      <c r="T353" s="124" t="str">
        <f>IFERROR(__xludf.DUMMYFUNCTION("""COMPUTED_VALUE"""),"Not Available")</f>
        <v>Not Available</v>
      </c>
      <c r="U353" s="124" t="str">
        <f>IFERROR(__xludf.DUMMYFUNCTION("""COMPUTED_VALUE"""),"Not Available")</f>
        <v>Not Available</v>
      </c>
      <c r="V353" s="124" t="str">
        <f>IFERROR(__xludf.DUMMYFUNCTION("""COMPUTED_VALUE"""),"Not Available")</f>
        <v>Not Available</v>
      </c>
      <c r="W353" s="124" t="str">
        <f>IFERROR(__xludf.DUMMYFUNCTION("""COMPUTED_VALUE"""),"Not Available")</f>
        <v>Not Available</v>
      </c>
    </row>
    <row r="354">
      <c r="A354" s="124" t="str">
        <f t="shared" si="1"/>
        <v>ayushsrivastava556@gmail.com</v>
      </c>
      <c r="B354" s="131">
        <f>IFERROR(__xludf.DUMMYFUNCTION("""COMPUTED_VALUE"""),46091.0)</f>
        <v>46091</v>
      </c>
      <c r="C354" s="124" t="str">
        <f>IFERROR(__xludf.DUMMYFUNCTION("""COMPUTED_VALUE"""),"Payment data from Collexo")</f>
        <v>Payment data from Collexo</v>
      </c>
      <c r="D354" s="124" t="str">
        <f>IFERROR(__xludf.DUMMYFUNCTION("""COMPUTED_VALUE"""),"Not Available")</f>
        <v>Not Available</v>
      </c>
      <c r="E354" s="124">
        <f>IFERROR(__xludf.DUMMYFUNCTION("""COMPUTED_VALUE"""),1500613.0)</f>
        <v>1500613</v>
      </c>
      <c r="F354" s="124">
        <f>IFERROR(__xludf.DUMMYFUNCTION("""COMPUTED_VALUE"""),127147.0)</f>
        <v>127147</v>
      </c>
      <c r="G354" s="124">
        <f>IFERROR(__xludf.DUMMYFUNCTION("""COMPUTED_VALUE"""),5000.0)</f>
        <v>5000</v>
      </c>
      <c r="H354" s="131">
        <f>IFERROR(__xludf.DUMMYFUNCTION("""COMPUTED_VALUE"""),46093.0)</f>
        <v>46093</v>
      </c>
      <c r="I354" s="124">
        <f>IFERROR(__xludf.DUMMYFUNCTION("""COMPUTED_VALUE"""),38000.0)</f>
        <v>38000</v>
      </c>
      <c r="J354" s="124">
        <f>IFERROR(__xludf.DUMMYFUNCTION("""COMPUTED_VALUE"""),44000.0)</f>
        <v>44000</v>
      </c>
      <c r="K354" s="124">
        <f>IFERROR(__xludf.DUMMYFUNCTION("""COMPUTED_VALUE"""),3.0)</f>
        <v>3</v>
      </c>
      <c r="L354" s="124">
        <f>IFERROR(__xludf.DUMMYFUNCTION("""COMPUTED_VALUE"""),474.0)</f>
        <v>474</v>
      </c>
      <c r="M354" s="124" t="str">
        <f>IFERROR(__xludf.DUMMYFUNCTION("""COMPUTED_VALUE"""),"Prayagraj")</f>
        <v>Prayagraj</v>
      </c>
      <c r="N354" s="124" t="str">
        <f>IFERROR(__xludf.DUMMYFUNCTION("""COMPUTED_VALUE"""),"ayushsrivastava556@gmail.com")</f>
        <v>ayushsrivastava556@gmail.com</v>
      </c>
      <c r="O354" s="124" t="str">
        <f>IFERROR(__xludf.DUMMYFUNCTION("""COMPUTED_VALUE"""),"Ayush Prakash")</f>
        <v>Ayush Prakash</v>
      </c>
      <c r="P354" s="124">
        <f>IFERROR(__xludf.DUMMYFUNCTION("""COMPUTED_VALUE"""),127147.0)</f>
        <v>127147</v>
      </c>
      <c r="Q354" s="124" t="str">
        <f>IFERROR(__xludf.DUMMYFUNCTION("""COMPUTED_VALUE"""),"upsc-gs-foundation-hinglish-target-2027-gsf-upsc-e03-pry")</f>
        <v>upsc-gs-foundation-hinglish-target-2027-gsf-upsc-e03-pry</v>
      </c>
      <c r="R354" s="124" t="str">
        <f>IFERROR(__xludf.DUMMYFUNCTION("""COMPUTED_VALUE"""),"State PCS")</f>
        <v>State PCS</v>
      </c>
      <c r="S354" s="124">
        <f>IFERROR(__xludf.DUMMYFUNCTION("""COMPUTED_VALUE"""),9.648560889E9)</f>
        <v>9648560889</v>
      </c>
      <c r="T354" s="124" t="str">
        <f>IFERROR(__xludf.DUMMYFUNCTION("""COMPUTED_VALUE"""),"Not Available")</f>
        <v>Not Available</v>
      </c>
      <c r="U354" s="124" t="str">
        <f>IFERROR(__xludf.DUMMYFUNCTION("""COMPUTED_VALUE"""),"Not Available")</f>
        <v>Not Available</v>
      </c>
      <c r="V354" s="124" t="str">
        <f>IFERROR(__xludf.DUMMYFUNCTION("""COMPUTED_VALUE"""),"Not Available")</f>
        <v>Not Available</v>
      </c>
      <c r="W354" s="124" t="str">
        <f>IFERROR(__xludf.DUMMYFUNCTION("""COMPUTED_VALUE"""),"Not Available")</f>
        <v>Not Available</v>
      </c>
    </row>
    <row r="355">
      <c r="A355" s="124" t="str">
        <f t="shared" si="1"/>
        <v>jeetaryan20866@gmail.com</v>
      </c>
      <c r="B355" s="131">
        <f>IFERROR(__xludf.DUMMYFUNCTION("""COMPUTED_VALUE"""),46081.0)</f>
        <v>46081</v>
      </c>
      <c r="C355" s="124" t="str">
        <f>IFERROR(__xludf.DUMMYFUNCTION("""COMPUTED_VALUE"""),"Payment data from Collexo")</f>
        <v>Payment data from Collexo</v>
      </c>
      <c r="D355" s="124" t="str">
        <f>IFERROR(__xludf.DUMMYFUNCTION("""COMPUTED_VALUE"""),"Not Available")</f>
        <v>Not Available</v>
      </c>
      <c r="E355" s="124">
        <f>IFERROR(__xludf.DUMMYFUNCTION("""COMPUTED_VALUE"""),1500613.0)</f>
        <v>1500613</v>
      </c>
      <c r="F355" s="124">
        <f>IFERROR(__xludf.DUMMYFUNCTION("""COMPUTED_VALUE"""),124667.0)</f>
        <v>124667</v>
      </c>
      <c r="G355" s="124">
        <f>IFERROR(__xludf.DUMMYFUNCTION("""COMPUTED_VALUE"""),1000.0)</f>
        <v>1000</v>
      </c>
      <c r="H355" s="131">
        <f>IFERROR(__xludf.DUMMYFUNCTION("""COMPUTED_VALUE"""),46117.0)</f>
        <v>46117</v>
      </c>
      <c r="I355" s="124">
        <f>IFERROR(__xludf.DUMMYFUNCTION("""COMPUTED_VALUE"""),34000.0)</f>
        <v>34000</v>
      </c>
      <c r="J355" s="124">
        <f>IFERROR(__xludf.DUMMYFUNCTION("""COMPUTED_VALUE"""),35000.0)</f>
        <v>35000</v>
      </c>
      <c r="K355" s="124">
        <f>IFERROR(__xludf.DUMMYFUNCTION("""COMPUTED_VALUE"""),2.0)</f>
        <v>2</v>
      </c>
      <c r="L355" s="124">
        <f>IFERROR(__xludf.DUMMYFUNCTION("""COMPUTED_VALUE"""),394.0)</f>
        <v>394</v>
      </c>
      <c r="M355" s="124" t="str">
        <f>IFERROR(__xludf.DUMMYFUNCTION("""COMPUTED_VALUE"""),"Prayagraj")</f>
        <v>Prayagraj</v>
      </c>
      <c r="N355" s="124" t="str">
        <f>IFERROR(__xludf.DUMMYFUNCTION("""COMPUTED_VALUE"""),"jeetaryan20866@gmail.com")</f>
        <v>jeetaryan20866@gmail.com</v>
      </c>
      <c r="O355" s="124" t="str">
        <f>IFERROR(__xludf.DUMMYFUNCTION("""COMPUTED_VALUE"""),"Jagjeet Singh")</f>
        <v>Jagjeet Singh</v>
      </c>
      <c r="P355" s="124">
        <f>IFERROR(__xludf.DUMMYFUNCTION("""COMPUTED_VALUE"""),124667.0)</f>
        <v>124667</v>
      </c>
      <c r="Q355" s="124" t="str">
        <f>IFERROR(__xludf.DUMMYFUNCTION("""COMPUTED_VALUE"""),"upsc-gs-foundation-hinglish-target-2028-gsf-upsc-e03-pry")</f>
        <v>upsc-gs-foundation-hinglish-target-2028-gsf-upsc-e03-pry</v>
      </c>
      <c r="R355" s="124" t="str">
        <f>IFERROR(__xludf.DUMMYFUNCTION("""COMPUTED_VALUE"""),"GS Foundation Course")</f>
        <v>GS Foundation Course</v>
      </c>
      <c r="S355" s="124">
        <f>IFERROR(__xludf.DUMMYFUNCTION("""COMPUTED_VALUE"""),7.800324648E9)</f>
        <v>7800324648</v>
      </c>
      <c r="T355" s="124" t="str">
        <f>IFERROR(__xludf.DUMMYFUNCTION("""COMPUTED_VALUE"""),"Not Available")</f>
        <v>Not Available</v>
      </c>
      <c r="U355" s="124" t="str">
        <f>IFERROR(__xludf.DUMMYFUNCTION("""COMPUTED_VALUE"""),"Not Available")</f>
        <v>Not Available</v>
      </c>
      <c r="V355" s="124" t="str">
        <f>IFERROR(__xludf.DUMMYFUNCTION("""COMPUTED_VALUE"""),"Not Available")</f>
        <v>Not Available</v>
      </c>
      <c r="W355" s="124" t="str">
        <f>IFERROR(__xludf.DUMMYFUNCTION("""COMPUTED_VALUE"""),"Not Available")</f>
        <v>Not Available</v>
      </c>
    </row>
    <row r="356">
      <c r="A356" s="124" t="str">
        <f t="shared" si="1"/>
        <v>007gautamaryan@gmail.com</v>
      </c>
      <c r="B356" s="131">
        <f>IFERROR(__xludf.DUMMYFUNCTION("""COMPUTED_VALUE"""),46090.0)</f>
        <v>46090</v>
      </c>
      <c r="C356" s="124" t="str">
        <f>IFERROR(__xludf.DUMMYFUNCTION("""COMPUTED_VALUE"""),"Payment data from Collexo")</f>
        <v>Payment data from Collexo</v>
      </c>
      <c r="D356" s="124" t="str">
        <f>IFERROR(__xludf.DUMMYFUNCTION("""COMPUTED_VALUE"""),"Not Available")</f>
        <v>Not Available</v>
      </c>
      <c r="E356" s="124">
        <f>IFERROR(__xludf.DUMMYFUNCTION("""COMPUTED_VALUE"""),1500609.0)</f>
        <v>1500609</v>
      </c>
      <c r="F356" s="124" t="str">
        <f>IFERROR(__xludf.DUMMYFUNCTION("""COMPUTED_VALUE"""),"13270_988_7")</f>
        <v>13270_988_7</v>
      </c>
      <c r="G356" s="124">
        <f>IFERROR(__xludf.DUMMYFUNCTION("""COMPUTED_VALUE"""),10000.0)</f>
        <v>10000</v>
      </c>
      <c r="H356" s="131">
        <f>IFERROR(__xludf.DUMMYFUNCTION("""COMPUTED_VALUE"""),46112.0)</f>
        <v>46112</v>
      </c>
      <c r="I356" s="124">
        <f>IFERROR(__xludf.DUMMYFUNCTION("""COMPUTED_VALUE"""),100000.0)</f>
        <v>100000</v>
      </c>
      <c r="J356" s="124">
        <f>IFERROR(__xludf.DUMMYFUNCTION("""COMPUTED_VALUE"""),110000.0)</f>
        <v>110000</v>
      </c>
      <c r="K356" s="124">
        <f>IFERROR(__xludf.DUMMYFUNCTION("""COMPUTED_VALUE"""),2.0)</f>
        <v>2</v>
      </c>
      <c r="L356" s="124">
        <f>IFERROR(__xludf.DUMMYFUNCTION("""COMPUTED_VALUE"""),457.0)</f>
        <v>457</v>
      </c>
      <c r="M356" s="124" t="str">
        <f>IFERROR(__xludf.DUMMYFUNCTION("""COMPUTED_VALUE"""),"New Delhi")</f>
        <v>New Delhi</v>
      </c>
      <c r="N356" s="124" t="str">
        <f>IFERROR(__xludf.DUMMYFUNCTION("""COMPUTED_VALUE"""),"007gautamaryan@gmail.com")</f>
        <v>007gautamaryan@gmail.com</v>
      </c>
      <c r="O356" s="124" t="str">
        <f>IFERROR(__xludf.DUMMYFUNCTION("""COMPUTED_VALUE"""),"Aryan Gautam")</f>
        <v>Aryan Gautam</v>
      </c>
      <c r="P356" s="124">
        <f>IFERROR(__xludf.DUMMYFUNCTION("""COMPUTED_VALUE"""),124994.0)</f>
        <v>124994</v>
      </c>
      <c r="Q356" s="124" t="str">
        <f>IFERROR(__xludf.DUMMYFUNCTION("""COMPUTED_VALUE"""),"upsc-gs-foundation-hinglish-target-2027-gsf-upsc-e05-orn")</f>
        <v>upsc-gs-foundation-hinglish-target-2027-gsf-upsc-e05-orn</v>
      </c>
      <c r="R356" s="124" t="str">
        <f>IFERROR(__xludf.DUMMYFUNCTION("""COMPUTED_VALUE"""),"GS Foundation Course")</f>
        <v>GS Foundation Course</v>
      </c>
      <c r="S356" s="124">
        <f>IFERROR(__xludf.DUMMYFUNCTION("""COMPUTED_VALUE"""),8.97996857E9)</f>
        <v>8979968570</v>
      </c>
      <c r="T356" s="124" t="str">
        <f>IFERROR(__xludf.DUMMYFUNCTION("""COMPUTED_VALUE"""),"Collexo")</f>
        <v>Collexo</v>
      </c>
      <c r="U356" s="124" t="str">
        <f>IFERROR(__xludf.DUMMYFUNCTION("""COMPUTED_VALUE"""),"Success")</f>
        <v>Success</v>
      </c>
      <c r="V356" s="131">
        <f>IFERROR(__xludf.DUMMYFUNCTION("""COMPUTED_VALUE"""),46090.0)</f>
        <v>46090</v>
      </c>
      <c r="W356" s="124">
        <f>IFERROR(__xludf.DUMMYFUNCTION("""COMPUTED_VALUE"""),0.0)</f>
        <v>0</v>
      </c>
    </row>
    <row r="357">
      <c r="A357" s="124" t="str">
        <f t="shared" si="1"/>
        <v>buntyrathor007@gmail.com</v>
      </c>
      <c r="B357" s="131">
        <f>IFERROR(__xludf.DUMMYFUNCTION("""COMPUTED_VALUE"""),46049.0)</f>
        <v>46049</v>
      </c>
      <c r="C357" s="124" t="str">
        <f>IFERROR(__xludf.DUMMYFUNCTION("""COMPUTED_VALUE"""),"Payment data from Collexo")</f>
        <v>Payment data from Collexo</v>
      </c>
      <c r="D357" s="124" t="str">
        <f>IFERROR(__xludf.DUMMYFUNCTION("""COMPUTED_VALUE"""),"Not Available")</f>
        <v>Not Available</v>
      </c>
      <c r="E357" s="124">
        <f>IFERROR(__xludf.DUMMYFUNCTION("""COMPUTED_VALUE"""),1500609.0)</f>
        <v>1500609</v>
      </c>
      <c r="F357" s="124" t="str">
        <f>IFERROR(__xludf.DUMMYFUNCTION("""COMPUTED_VALUE"""),"2545_988_7")</f>
        <v>2545_988_7</v>
      </c>
      <c r="G357" s="124">
        <f>IFERROR(__xludf.DUMMYFUNCTION("""COMPUTED_VALUE"""),2000.0)</f>
        <v>2000</v>
      </c>
      <c r="H357" s="131">
        <f>IFERROR(__xludf.DUMMYFUNCTION("""COMPUTED_VALUE"""),46053.0)</f>
        <v>46053</v>
      </c>
      <c r="I357" s="124">
        <f>IFERROR(__xludf.DUMMYFUNCTION("""COMPUTED_VALUE"""),78000.0)</f>
        <v>78000</v>
      </c>
      <c r="J357" s="124">
        <f>IFERROR(__xludf.DUMMYFUNCTION("""COMPUTED_VALUE"""),80000.0)</f>
        <v>80000</v>
      </c>
      <c r="K357" s="124">
        <f>IFERROR(__xludf.DUMMYFUNCTION("""COMPUTED_VALUE"""),2.0)</f>
        <v>2</v>
      </c>
      <c r="L357" s="124">
        <f>IFERROR(__xludf.DUMMYFUNCTION("""COMPUTED_VALUE"""),113.0)</f>
        <v>113</v>
      </c>
      <c r="M357" s="124" t="str">
        <f>IFERROR(__xludf.DUMMYFUNCTION("""COMPUTED_VALUE"""),"New Delhi")</f>
        <v>New Delhi</v>
      </c>
      <c r="N357" s="124" t="str">
        <f>IFERROR(__xludf.DUMMYFUNCTION("""COMPUTED_VALUE"""),"buntyrathor007@gmail.com")</f>
        <v>buntyrathor007@gmail.com</v>
      </c>
      <c r="O357" s="124" t="str">
        <f>IFERROR(__xludf.DUMMYFUNCTION("""COMPUTED_VALUE"""),"Vishal")</f>
        <v>Vishal</v>
      </c>
      <c r="P357" s="124">
        <f>IFERROR(__xludf.DUMMYFUNCTION("""COMPUTED_VALUE"""),49436.0)</f>
        <v>49436</v>
      </c>
      <c r="Q357" s="124" t="str">
        <f>IFERROR(__xludf.DUMMYFUNCTION("""COMPUTED_VALUE"""),"ncert-foundation-hinglish-target-2026-nce-upsc-e02-orn")</f>
        <v>ncert-foundation-hinglish-target-2026-nce-upsc-e02-orn</v>
      </c>
      <c r="R357" s="124" t="str">
        <f>IFERROR(__xludf.DUMMYFUNCTION("""COMPUTED_VALUE"""),"GS Foundation Course")</f>
        <v>GS Foundation Course</v>
      </c>
      <c r="S357" s="124">
        <f>IFERROR(__xludf.DUMMYFUNCTION("""COMPUTED_VALUE"""),7.50548483E9)</f>
        <v>7505484830</v>
      </c>
      <c r="T357" s="124" t="str">
        <f>IFERROR(__xludf.DUMMYFUNCTION("""COMPUTED_VALUE"""),"Collexo")</f>
        <v>Collexo</v>
      </c>
      <c r="U357" s="124" t="str">
        <f>IFERROR(__xludf.DUMMYFUNCTION("""COMPUTED_VALUE"""),"Success")</f>
        <v>Success</v>
      </c>
      <c r="V357" s="131">
        <f>IFERROR(__xludf.DUMMYFUNCTION("""COMPUTED_VALUE"""),46049.0)</f>
        <v>46049</v>
      </c>
      <c r="W357" s="124">
        <f>IFERROR(__xludf.DUMMYFUNCTION("""COMPUTED_VALUE"""),0.0)</f>
        <v>0</v>
      </c>
    </row>
    <row r="358">
      <c r="A358" s="124" t="str">
        <f t="shared" si="1"/>
        <v>impreeti2005@gmail.com</v>
      </c>
      <c r="B358" s="131">
        <f>IFERROR(__xludf.DUMMYFUNCTION("""COMPUTED_VALUE"""),46093.0)</f>
        <v>46093</v>
      </c>
      <c r="C358" s="124" t="str">
        <f>IFERROR(__xludf.DUMMYFUNCTION("""COMPUTED_VALUE"""),"Payment data from Collexo")</f>
        <v>Payment data from Collexo</v>
      </c>
      <c r="D358" s="124" t="str">
        <f>IFERROR(__xludf.DUMMYFUNCTION("""COMPUTED_VALUE"""),"Not Available")</f>
        <v>Not Available</v>
      </c>
      <c r="E358" s="124">
        <f>IFERROR(__xludf.DUMMYFUNCTION("""COMPUTED_VALUE"""),1500613.0)</f>
        <v>1500613</v>
      </c>
      <c r="F358" s="124">
        <f>IFERROR(__xludf.DUMMYFUNCTION("""COMPUTED_VALUE"""),126139.0)</f>
        <v>126139</v>
      </c>
      <c r="G358" s="124">
        <f>IFERROR(__xludf.DUMMYFUNCTION("""COMPUTED_VALUE"""),69000.0)</f>
        <v>69000</v>
      </c>
      <c r="H358" s="124" t="str">
        <f>IFERROR(__xludf.DUMMYFUNCTION("""COMPUTED_VALUE"""),"Not Available")</f>
        <v>Not Available</v>
      </c>
      <c r="I358" s="124">
        <f>IFERROR(__xludf.DUMMYFUNCTION("""COMPUTED_VALUE"""),0.0)</f>
        <v>0</v>
      </c>
      <c r="J358" s="124">
        <f>IFERROR(__xludf.DUMMYFUNCTION("""COMPUTED_VALUE"""),69603.0)</f>
        <v>69603</v>
      </c>
      <c r="K358" s="124">
        <f>IFERROR(__xludf.DUMMYFUNCTION("""COMPUTED_VALUE"""),2.0)</f>
        <v>2</v>
      </c>
      <c r="L358" s="124">
        <f>IFERROR(__xludf.DUMMYFUNCTION("""COMPUTED_VALUE"""),507.0)</f>
        <v>507</v>
      </c>
      <c r="M358" s="124" t="str">
        <f>IFERROR(__xludf.DUMMYFUNCTION("""COMPUTED_VALUE"""),"Prayagraj")</f>
        <v>Prayagraj</v>
      </c>
      <c r="N358" s="124" t="str">
        <f>IFERROR(__xludf.DUMMYFUNCTION("""COMPUTED_VALUE"""),"impreeti2005@gmail.com")</f>
        <v>impreeti2005@gmail.com</v>
      </c>
      <c r="O358" s="124" t="str">
        <f>IFERROR(__xludf.DUMMYFUNCTION("""COMPUTED_VALUE"""),"Preeti kumari")</f>
        <v>Preeti kumari</v>
      </c>
      <c r="P358" s="124">
        <f>IFERROR(__xludf.DUMMYFUNCTION("""COMPUTED_VALUE"""),126139.0)</f>
        <v>126139</v>
      </c>
      <c r="Q358" s="124" t="str">
        <f>IFERROR(__xludf.DUMMYFUNCTION("""COMPUTED_VALUE"""),"upsc-gs-foundation-hinglish-target-2028-gsf-upsc-e03-pry")</f>
        <v>upsc-gs-foundation-hinglish-target-2028-gsf-upsc-e03-pry</v>
      </c>
      <c r="R358" s="124" t="str">
        <f>IFERROR(__xludf.DUMMYFUNCTION("""COMPUTED_VALUE"""),"GS Foundation Course")</f>
        <v>GS Foundation Course</v>
      </c>
      <c r="S358" s="124">
        <f>IFERROR(__xludf.DUMMYFUNCTION("""COMPUTED_VALUE"""),7.819863991E9)</f>
        <v>7819863991</v>
      </c>
      <c r="T358" s="124" t="str">
        <f>IFERROR(__xludf.DUMMYFUNCTION("""COMPUTED_VALUE"""),"Not Available")</f>
        <v>Not Available</v>
      </c>
      <c r="U358" s="124" t="str">
        <f>IFERROR(__xludf.DUMMYFUNCTION("""COMPUTED_VALUE"""),"Not Available")</f>
        <v>Not Available</v>
      </c>
      <c r="V358" s="124" t="str">
        <f>IFERROR(__xludf.DUMMYFUNCTION("""COMPUTED_VALUE"""),"Not Available")</f>
        <v>Not Available</v>
      </c>
      <c r="W358" s="124" t="str">
        <f>IFERROR(__xludf.DUMMYFUNCTION("""COMPUTED_VALUE"""),"Not Available")</f>
        <v>Not Available</v>
      </c>
    </row>
    <row r="359">
      <c r="A359" s="124" t="str">
        <f t="shared" si="1"/>
        <v>tarun9950214514@gmail.com</v>
      </c>
      <c r="B359" s="131">
        <f>IFERROR(__xludf.DUMMYFUNCTION("""COMPUTED_VALUE"""),46070.0)</f>
        <v>46070</v>
      </c>
      <c r="C359" s="124" t="str">
        <f>IFERROR(__xludf.DUMMYFUNCTION("""COMPUTED_VALUE"""),"Payment data from Collexo")</f>
        <v>Payment data from Collexo</v>
      </c>
      <c r="D359" s="124" t="str">
        <f>IFERROR(__xludf.DUMMYFUNCTION("""COMPUTED_VALUE"""),"Not Available")</f>
        <v>Not Available</v>
      </c>
      <c r="E359" s="124">
        <f>IFERROR(__xludf.DUMMYFUNCTION("""COMPUTED_VALUE"""),1500609.0)</f>
        <v>1500609</v>
      </c>
      <c r="F359" s="124" t="str">
        <f>IFERROR(__xludf.DUMMYFUNCTION("""COMPUTED_VALUE"""),"5647_988_7")</f>
        <v>5647_988_7</v>
      </c>
      <c r="G359" s="124">
        <f>IFERROR(__xludf.DUMMYFUNCTION("""COMPUTED_VALUE"""),16000.0)</f>
        <v>16000</v>
      </c>
      <c r="H359" s="131">
        <f>IFERROR(__xludf.DUMMYFUNCTION("""COMPUTED_VALUE"""),46081.0)</f>
        <v>46081</v>
      </c>
      <c r="I359" s="124">
        <f>IFERROR(__xludf.DUMMYFUNCTION("""COMPUTED_VALUE"""),72000.0)</f>
        <v>72000</v>
      </c>
      <c r="J359" s="124">
        <f>IFERROR(__xludf.DUMMYFUNCTION("""COMPUTED_VALUE"""),90000.0)</f>
        <v>90000</v>
      </c>
      <c r="K359" s="124">
        <f>IFERROR(__xludf.DUMMYFUNCTION("""COMPUTED_VALUE"""),3.0)</f>
        <v>3</v>
      </c>
      <c r="L359" s="124">
        <f>IFERROR(__xludf.DUMMYFUNCTION("""COMPUTED_VALUE"""),247.0)</f>
        <v>247</v>
      </c>
      <c r="M359" s="124" t="str">
        <f>IFERROR(__xludf.DUMMYFUNCTION("""COMPUTED_VALUE"""),"New Delhi")</f>
        <v>New Delhi</v>
      </c>
      <c r="N359" s="124" t="str">
        <f>IFERROR(__xludf.DUMMYFUNCTION("""COMPUTED_VALUE"""),"tarun9950214514@gmail.com")</f>
        <v>tarun9950214514@gmail.com</v>
      </c>
      <c r="O359" s="124" t="str">
        <f>IFERROR(__xludf.DUMMYFUNCTION("""COMPUTED_VALUE"""),"Tarun")</f>
        <v>Tarun</v>
      </c>
      <c r="P359" s="124">
        <f>IFERROR(__xludf.DUMMYFUNCTION("""COMPUTED_VALUE"""),88443.0)</f>
        <v>88443</v>
      </c>
      <c r="Q359" s="124" t="str">
        <f>IFERROR(__xludf.DUMMYFUNCTION("""COMPUTED_VALUE"""),"ncert-foundation-hinglish-target-2026-nce-upsc-e02-orn")</f>
        <v>ncert-foundation-hinglish-target-2026-nce-upsc-e02-orn</v>
      </c>
      <c r="R359" s="124" t="str">
        <f>IFERROR(__xludf.DUMMYFUNCTION("""COMPUTED_VALUE"""),"GS Foundation Course")</f>
        <v>GS Foundation Course</v>
      </c>
      <c r="S359" s="124">
        <f>IFERROR(__xludf.DUMMYFUNCTION("""COMPUTED_VALUE"""),9.950214514E9)</f>
        <v>9950214514</v>
      </c>
      <c r="T359" s="124" t="str">
        <f>IFERROR(__xludf.DUMMYFUNCTION("""COMPUTED_VALUE"""),"Collexo")</f>
        <v>Collexo</v>
      </c>
      <c r="U359" s="124" t="str">
        <f>IFERROR(__xludf.DUMMYFUNCTION("""COMPUTED_VALUE"""),"Success")</f>
        <v>Success</v>
      </c>
      <c r="V359" s="131">
        <f>IFERROR(__xludf.DUMMYFUNCTION("""COMPUTED_VALUE"""),46070.0)</f>
        <v>46070</v>
      </c>
      <c r="W359" s="124">
        <f>IFERROR(__xludf.DUMMYFUNCTION("""COMPUTED_VALUE"""),0.0)</f>
        <v>0</v>
      </c>
    </row>
    <row r="360">
      <c r="A360" s="124" t="str">
        <f t="shared" si="1"/>
        <v>aashi25march@gmail.com</v>
      </c>
      <c r="B360" s="131">
        <f>IFERROR(__xludf.DUMMYFUNCTION("""COMPUTED_VALUE"""),46062.0)</f>
        <v>46062</v>
      </c>
      <c r="C360" s="124" t="str">
        <f>IFERROR(__xludf.DUMMYFUNCTION("""COMPUTED_VALUE"""),"Payment data from Collexo")</f>
        <v>Payment data from Collexo</v>
      </c>
      <c r="D360" s="124" t="str">
        <f>IFERROR(__xludf.DUMMYFUNCTION("""COMPUTED_VALUE"""),"Not Available")</f>
        <v>Not Available</v>
      </c>
      <c r="E360" s="124">
        <f>IFERROR(__xludf.DUMMYFUNCTION("""COMPUTED_VALUE"""),1500609.0)</f>
        <v>1500609</v>
      </c>
      <c r="F360" s="124" t="str">
        <f>IFERROR(__xludf.DUMMYFUNCTION("""COMPUTED_VALUE"""),"4370_988_7")</f>
        <v>4370_988_7</v>
      </c>
      <c r="G360" s="124">
        <f>IFERROR(__xludf.DUMMYFUNCTION("""COMPUTED_VALUE"""),5000.0)</f>
        <v>5000</v>
      </c>
      <c r="H360" s="131">
        <f>IFERROR(__xludf.DUMMYFUNCTION("""COMPUTED_VALUE"""),46072.0)</f>
        <v>46072</v>
      </c>
      <c r="I360" s="124">
        <f>IFERROR(__xludf.DUMMYFUNCTION("""COMPUTED_VALUE"""),75000.0)</f>
        <v>75000</v>
      </c>
      <c r="J360" s="124">
        <f>IFERROR(__xludf.DUMMYFUNCTION("""COMPUTED_VALUE"""),80000.0)</f>
        <v>80000</v>
      </c>
      <c r="K360" s="124">
        <f>IFERROR(__xludf.DUMMYFUNCTION("""COMPUTED_VALUE"""),2.0)</f>
        <v>2</v>
      </c>
      <c r="L360" s="124">
        <f>IFERROR(__xludf.DUMMYFUNCTION("""COMPUTED_VALUE"""),185.0)</f>
        <v>185</v>
      </c>
      <c r="M360" s="124" t="str">
        <f>IFERROR(__xludf.DUMMYFUNCTION("""COMPUTED_VALUE"""),"New Delhi")</f>
        <v>New Delhi</v>
      </c>
      <c r="N360" s="124" t="str">
        <f>IFERROR(__xludf.DUMMYFUNCTION("""COMPUTED_VALUE"""),"aashi25march@gmail.com")</f>
        <v>aashi25march@gmail.com</v>
      </c>
      <c r="O360" s="124" t="str">
        <f>IFERROR(__xludf.DUMMYFUNCTION("""COMPUTED_VALUE"""),"Yougenderi")</f>
        <v>Yougenderi</v>
      </c>
      <c r="P360" s="124">
        <f>IFERROR(__xludf.DUMMYFUNCTION("""COMPUTED_VALUE"""),120716.0)</f>
        <v>120716</v>
      </c>
      <c r="Q360" s="124" t="str">
        <f>IFERROR(__xludf.DUMMYFUNCTION("""COMPUTED_VALUE"""),"upsc-gs-foundation-hinglish-target-2027-gsf-upsc-e04-orn")</f>
        <v>upsc-gs-foundation-hinglish-target-2027-gsf-upsc-e04-orn</v>
      </c>
      <c r="R360" s="124" t="str">
        <f>IFERROR(__xludf.DUMMYFUNCTION("""COMPUTED_VALUE"""),"GS Foundation Course")</f>
        <v>GS Foundation Course</v>
      </c>
      <c r="S360" s="124">
        <f>IFERROR(__xludf.DUMMYFUNCTION("""COMPUTED_VALUE"""),9.711642622E9)</f>
        <v>9711642622</v>
      </c>
      <c r="T360" s="124" t="str">
        <f>IFERROR(__xludf.DUMMYFUNCTION("""COMPUTED_VALUE"""),"Collexo")</f>
        <v>Collexo</v>
      </c>
      <c r="U360" s="124" t="str">
        <f>IFERROR(__xludf.DUMMYFUNCTION("""COMPUTED_VALUE"""),"Success")</f>
        <v>Success</v>
      </c>
      <c r="V360" s="131">
        <f>IFERROR(__xludf.DUMMYFUNCTION("""COMPUTED_VALUE"""),46062.0)</f>
        <v>46062</v>
      </c>
      <c r="W360" s="124">
        <f>IFERROR(__xludf.DUMMYFUNCTION("""COMPUTED_VALUE"""),0.0)</f>
        <v>0</v>
      </c>
    </row>
    <row r="361">
      <c r="A361" s="124" t="str">
        <f t="shared" si="1"/>
        <v>snghprithviraj631@gmail.com</v>
      </c>
      <c r="B361" s="131">
        <f>IFERROR(__xludf.DUMMYFUNCTION("""COMPUTED_VALUE"""),46069.0)</f>
        <v>46069</v>
      </c>
      <c r="C361" s="124" t="str">
        <f>IFERROR(__xludf.DUMMYFUNCTION("""COMPUTED_VALUE"""),"Payment data from Collexo")</f>
        <v>Payment data from Collexo</v>
      </c>
      <c r="D361" s="124" t="str">
        <f>IFERROR(__xludf.DUMMYFUNCTION("""COMPUTED_VALUE"""),"Not Available")</f>
        <v>Not Available</v>
      </c>
      <c r="E361" s="124">
        <f>IFERROR(__xludf.DUMMYFUNCTION("""COMPUTED_VALUE"""),1500609.0)</f>
        <v>1500609</v>
      </c>
      <c r="F361" s="124" t="str">
        <f>IFERROR(__xludf.DUMMYFUNCTION("""COMPUTED_VALUE"""),"5447_988_7")</f>
        <v>5447_988_7</v>
      </c>
      <c r="G361" s="124">
        <f>IFERROR(__xludf.DUMMYFUNCTION("""COMPUTED_VALUE"""),90000.0)</f>
        <v>90000</v>
      </c>
      <c r="H361" s="124" t="str">
        <f>IFERROR(__xludf.DUMMYFUNCTION("""COMPUTED_VALUE"""),"Not Available")</f>
        <v>Not Available</v>
      </c>
      <c r="I361" s="124">
        <f>IFERROR(__xludf.DUMMYFUNCTION("""COMPUTED_VALUE"""),0.0)</f>
        <v>0</v>
      </c>
      <c r="J361" s="124">
        <f>IFERROR(__xludf.DUMMYFUNCTION("""COMPUTED_VALUE"""),95000.0)</f>
        <v>95000</v>
      </c>
      <c r="K361" s="124">
        <f>IFERROR(__xludf.DUMMYFUNCTION("""COMPUTED_VALUE"""),2.0)</f>
        <v>2</v>
      </c>
      <c r="L361" s="124">
        <f>IFERROR(__xludf.DUMMYFUNCTION("""COMPUTED_VALUE"""),228.0)</f>
        <v>228</v>
      </c>
      <c r="M361" s="124" t="str">
        <f>IFERROR(__xludf.DUMMYFUNCTION("""COMPUTED_VALUE"""),"New Delhi")</f>
        <v>New Delhi</v>
      </c>
      <c r="N361" s="124" t="str">
        <f>IFERROR(__xludf.DUMMYFUNCTION("""COMPUTED_VALUE"""),"snghprithviraj631@gmail.com")</f>
        <v>snghprithviraj631@gmail.com</v>
      </c>
      <c r="O361" s="124" t="str">
        <f>IFERROR(__xludf.DUMMYFUNCTION("""COMPUTED_VALUE"""),"Prithviraj singh")</f>
        <v>Prithviraj singh</v>
      </c>
      <c r="P361" s="124">
        <f>IFERROR(__xludf.DUMMYFUNCTION("""COMPUTED_VALUE"""),82022.0)</f>
        <v>82022</v>
      </c>
      <c r="Q361" s="124" t="str">
        <f>IFERROR(__xludf.DUMMYFUNCTION("""COMPUTED_VALUE"""),"upsc-gs-foundation-hinglish-target-2028-gsf-upsc-m04-orn")</f>
        <v>upsc-gs-foundation-hinglish-target-2028-gsf-upsc-m04-orn</v>
      </c>
      <c r="R361" s="124" t="str">
        <f>IFERROR(__xludf.DUMMYFUNCTION("""COMPUTED_VALUE"""),"GS Foundation Course")</f>
        <v>GS Foundation Course</v>
      </c>
      <c r="S361" s="124">
        <f>IFERROR(__xludf.DUMMYFUNCTION("""COMPUTED_VALUE"""),9.929462273E9)</f>
        <v>9929462273</v>
      </c>
      <c r="T361" s="124" t="str">
        <f>IFERROR(__xludf.DUMMYFUNCTION("""COMPUTED_VALUE"""),"Collexo")</f>
        <v>Collexo</v>
      </c>
      <c r="U361" s="124" t="str">
        <f>IFERROR(__xludf.DUMMYFUNCTION("""COMPUTED_VALUE"""),"Success")</f>
        <v>Success</v>
      </c>
      <c r="V361" s="131">
        <f>IFERROR(__xludf.DUMMYFUNCTION("""COMPUTED_VALUE"""),46069.0)</f>
        <v>46069</v>
      </c>
      <c r="W361" s="124">
        <f>IFERROR(__xludf.DUMMYFUNCTION("""COMPUTED_VALUE"""),0.0)</f>
        <v>0</v>
      </c>
    </row>
    <row r="362">
      <c r="A362" s="124" t="str">
        <f t="shared" si="1"/>
        <v>jaykantsinha123@gmail.com</v>
      </c>
      <c r="B362" s="131">
        <f>IFERROR(__xludf.DUMMYFUNCTION("""COMPUTED_VALUE"""),46106.0)</f>
        <v>46106</v>
      </c>
      <c r="C362" s="124" t="str">
        <f>IFERROR(__xludf.DUMMYFUNCTION("""COMPUTED_VALUE"""),"Payment data from Collexo")</f>
        <v>Payment data from Collexo</v>
      </c>
      <c r="D362" s="124" t="str">
        <f>IFERROR(__xludf.DUMMYFUNCTION("""COMPUTED_VALUE"""),"Not Available")</f>
        <v>Not Available</v>
      </c>
      <c r="E362" s="124">
        <f>IFERROR(__xludf.DUMMYFUNCTION("""COMPUTED_VALUE"""),1500613.0)</f>
        <v>1500613</v>
      </c>
      <c r="F362" s="124">
        <f>IFERROR(__xludf.DUMMYFUNCTION("""COMPUTED_VALUE"""),130296.0)</f>
        <v>130296</v>
      </c>
      <c r="G362" s="124">
        <f>IFERROR(__xludf.DUMMYFUNCTION("""COMPUTED_VALUE"""),400.0)</f>
        <v>400</v>
      </c>
      <c r="H362" s="131">
        <f>IFERROR(__xludf.DUMMYFUNCTION("""COMPUTED_VALUE"""),46106.0)</f>
        <v>46106</v>
      </c>
      <c r="I362" s="124">
        <f>IFERROR(__xludf.DUMMYFUNCTION("""COMPUTED_VALUE"""),10000.0)</f>
        <v>10000</v>
      </c>
      <c r="J362" s="124">
        <f>IFERROR(__xludf.DUMMYFUNCTION("""COMPUTED_VALUE"""),25000.0)</f>
        <v>25000</v>
      </c>
      <c r="K362" s="124">
        <f>IFERROR(__xludf.DUMMYFUNCTION("""COMPUTED_VALUE"""),4.0)</f>
        <v>4</v>
      </c>
      <c r="L362" s="124">
        <f>IFERROR(__xludf.DUMMYFUNCTION("""COMPUTED_VALUE"""),730.0)</f>
        <v>730</v>
      </c>
      <c r="M362" s="124" t="str">
        <f>IFERROR(__xludf.DUMMYFUNCTION("""COMPUTED_VALUE"""),"Prayagraj")</f>
        <v>Prayagraj</v>
      </c>
      <c r="N362" s="124" t="str">
        <f>IFERROR(__xludf.DUMMYFUNCTION("""COMPUTED_VALUE"""),"jaykantsinha123@gmail.com")</f>
        <v>jaykantsinha123@gmail.com</v>
      </c>
      <c r="O362" s="124" t="str">
        <f>IFERROR(__xludf.DUMMYFUNCTION("""COMPUTED_VALUE"""),"Jaikant Sinha")</f>
        <v>Jaikant Sinha</v>
      </c>
      <c r="P362" s="124">
        <f>IFERROR(__xludf.DUMMYFUNCTION("""COMPUTED_VALUE"""),130296.0)</f>
        <v>130296</v>
      </c>
      <c r="Q362" s="124" t="str">
        <f>IFERROR(__xludf.DUMMYFUNCTION("""COMPUTED_VALUE"""),"upsc-gs-foundation-hinglish-target-2027-gsf-upsc-e03-pry")</f>
        <v>upsc-gs-foundation-hinglish-target-2027-gsf-upsc-e03-pry</v>
      </c>
      <c r="R362" s="124" t="str">
        <f>IFERROR(__xludf.DUMMYFUNCTION("""COMPUTED_VALUE"""),"GS Foundation Course")</f>
        <v>GS Foundation Course</v>
      </c>
      <c r="S362" s="124">
        <f>IFERROR(__xludf.DUMMYFUNCTION("""COMPUTED_VALUE"""),6.202156597E9)</f>
        <v>6202156597</v>
      </c>
      <c r="T362" s="124" t="str">
        <f>IFERROR(__xludf.DUMMYFUNCTION("""COMPUTED_VALUE"""),"Not Available")</f>
        <v>Not Available</v>
      </c>
      <c r="U362" s="124" t="str">
        <f>IFERROR(__xludf.DUMMYFUNCTION("""COMPUTED_VALUE"""),"Not Available")</f>
        <v>Not Available</v>
      </c>
      <c r="V362" s="124" t="str">
        <f>IFERROR(__xludf.DUMMYFUNCTION("""COMPUTED_VALUE"""),"Not Available")</f>
        <v>Not Available</v>
      </c>
      <c r="W362" s="124" t="str">
        <f>IFERROR(__xludf.DUMMYFUNCTION("""COMPUTED_VALUE"""),"Not Available")</f>
        <v>Not Available</v>
      </c>
    </row>
    <row r="363">
      <c r="A363" s="124" t="str">
        <f t="shared" si="1"/>
        <v>jupadhyaya058@gmail.com</v>
      </c>
      <c r="B363" s="131">
        <f>IFERROR(__xludf.DUMMYFUNCTION("""COMPUTED_VALUE"""),46100.0)</f>
        <v>46100</v>
      </c>
      <c r="C363" s="124" t="str">
        <f>IFERROR(__xludf.DUMMYFUNCTION("""COMPUTED_VALUE"""),"Payment data from Collexo")</f>
        <v>Payment data from Collexo</v>
      </c>
      <c r="D363" s="124" t="str">
        <f>IFERROR(__xludf.DUMMYFUNCTION("""COMPUTED_VALUE"""),"Not Available")</f>
        <v>Not Available</v>
      </c>
      <c r="E363" s="124">
        <f>IFERROR(__xludf.DUMMYFUNCTION("""COMPUTED_VALUE"""),1500609.0)</f>
        <v>1500609</v>
      </c>
      <c r="F363" s="124" t="str">
        <f>IFERROR(__xludf.DUMMYFUNCTION("""COMPUTED_VALUE"""),"15266_988_7")</f>
        <v>15266_988_7</v>
      </c>
      <c r="G363" s="124">
        <f>IFERROR(__xludf.DUMMYFUNCTION("""COMPUTED_VALUE"""),3000.0)</f>
        <v>3000</v>
      </c>
      <c r="H363" s="131">
        <f>IFERROR(__xludf.DUMMYFUNCTION("""COMPUTED_VALUE"""),46112.0)</f>
        <v>46112</v>
      </c>
      <c r="I363" s="124">
        <f>IFERROR(__xludf.DUMMYFUNCTION("""COMPUTED_VALUE"""),2000.0)</f>
        <v>2000</v>
      </c>
      <c r="J363" s="124">
        <f>IFERROR(__xludf.DUMMYFUNCTION("""COMPUTED_VALUE"""),110000.0)</f>
        <v>110000</v>
      </c>
      <c r="K363" s="124">
        <f>IFERROR(__xludf.DUMMYFUNCTION("""COMPUTED_VALUE"""),3.0)</f>
        <v>3</v>
      </c>
      <c r="L363" s="124">
        <f>IFERROR(__xludf.DUMMYFUNCTION("""COMPUTED_VALUE"""),614.0)</f>
        <v>614</v>
      </c>
      <c r="M363" s="124" t="str">
        <f>IFERROR(__xludf.DUMMYFUNCTION("""COMPUTED_VALUE"""),"New Delhi")</f>
        <v>New Delhi</v>
      </c>
      <c r="N363" s="124" t="str">
        <f>IFERROR(__xludf.DUMMYFUNCTION("""COMPUTED_VALUE"""),"jupadhyaya058@gmail.com")</f>
        <v>jupadhyaya058@gmail.com</v>
      </c>
      <c r="O363" s="124" t="str">
        <f>IFERROR(__xludf.DUMMYFUNCTION("""COMPUTED_VALUE"""),"shubhi upadhaya")</f>
        <v>shubhi upadhaya</v>
      </c>
      <c r="P363" s="124">
        <f>IFERROR(__xludf.DUMMYFUNCTION("""COMPUTED_VALUE"""),128549.0)</f>
        <v>128549</v>
      </c>
      <c r="Q363" s="124" t="str">
        <f>IFERROR(__xludf.DUMMYFUNCTION("""COMPUTED_VALUE"""),"upsc-gs-foundation-hinglish-target-2027-gsf-upsc-e02-orn")</f>
        <v>upsc-gs-foundation-hinglish-target-2027-gsf-upsc-e02-orn</v>
      </c>
      <c r="R363" s="124" t="str">
        <f>IFERROR(__xludf.DUMMYFUNCTION("""COMPUTED_VALUE"""),"GS Foundation Course")</f>
        <v>GS Foundation Course</v>
      </c>
      <c r="S363" s="124">
        <f>IFERROR(__xludf.DUMMYFUNCTION("""COMPUTED_VALUE"""),7.017304313E9)</f>
        <v>7017304313</v>
      </c>
      <c r="T363" s="124" t="str">
        <f>IFERROR(__xludf.DUMMYFUNCTION("""COMPUTED_VALUE"""),"Collexo")</f>
        <v>Collexo</v>
      </c>
      <c r="U363" s="124" t="str">
        <f>IFERROR(__xludf.DUMMYFUNCTION("""COMPUTED_VALUE"""),"Success")</f>
        <v>Success</v>
      </c>
      <c r="V363" s="131">
        <f>IFERROR(__xludf.DUMMYFUNCTION("""COMPUTED_VALUE"""),46100.0)</f>
        <v>46100</v>
      </c>
      <c r="W363" s="124">
        <f>IFERROR(__xludf.DUMMYFUNCTION("""COMPUTED_VALUE"""),0.0)</f>
        <v>0</v>
      </c>
    </row>
    <row r="364">
      <c r="A364" s="124" t="str">
        <f t="shared" si="1"/>
        <v>ujjwal.yadav.2414@gmail.com</v>
      </c>
      <c r="B364" s="131">
        <f>IFERROR(__xludf.DUMMYFUNCTION("""COMPUTED_VALUE"""),46071.0)</f>
        <v>46071</v>
      </c>
      <c r="C364" s="124" t="str">
        <f>IFERROR(__xludf.DUMMYFUNCTION("""COMPUTED_VALUE"""),"Payment data from Collexo")</f>
        <v>Payment data from Collexo</v>
      </c>
      <c r="D364" s="124" t="str">
        <f>IFERROR(__xludf.DUMMYFUNCTION("""COMPUTED_VALUE"""),"Not Available")</f>
        <v>Not Available</v>
      </c>
      <c r="E364" s="124">
        <f>IFERROR(__xludf.DUMMYFUNCTION("""COMPUTED_VALUE"""),1500609.0)</f>
        <v>1500609</v>
      </c>
      <c r="F364" s="124" t="str">
        <f>IFERROR(__xludf.DUMMYFUNCTION("""COMPUTED_VALUE"""),"6345_988_7")</f>
        <v>6345_988_7</v>
      </c>
      <c r="G364" s="124">
        <f>IFERROR(__xludf.DUMMYFUNCTION("""COMPUTED_VALUE"""),90000.0)</f>
        <v>90000</v>
      </c>
      <c r="H364" s="124" t="str">
        <f>IFERROR(__xludf.DUMMYFUNCTION("""COMPUTED_VALUE"""),"Not Available")</f>
        <v>Not Available</v>
      </c>
      <c r="I364" s="124">
        <f>IFERROR(__xludf.DUMMYFUNCTION("""COMPUTED_VALUE"""),0.0)</f>
        <v>0</v>
      </c>
      <c r="J364" s="124">
        <f>IFERROR(__xludf.DUMMYFUNCTION("""COMPUTED_VALUE"""),100000.0)</f>
        <v>100000</v>
      </c>
      <c r="K364" s="124">
        <f>IFERROR(__xludf.DUMMYFUNCTION("""COMPUTED_VALUE"""),2.0)</f>
        <v>2</v>
      </c>
      <c r="L364" s="124">
        <f>IFERROR(__xludf.DUMMYFUNCTION("""COMPUTED_VALUE"""),254.0)</f>
        <v>254</v>
      </c>
      <c r="M364" s="124" t="str">
        <f>IFERROR(__xludf.DUMMYFUNCTION("""COMPUTED_VALUE"""),"New Delhi")</f>
        <v>New Delhi</v>
      </c>
      <c r="N364" s="124" t="str">
        <f>IFERROR(__xludf.DUMMYFUNCTION("""COMPUTED_VALUE"""),"ujjwal.yadav.2414@gmail.com")</f>
        <v>ujjwal.yadav.2414@gmail.com</v>
      </c>
      <c r="O364" s="124" t="str">
        <f>IFERROR(__xludf.DUMMYFUNCTION("""COMPUTED_VALUE"""),"Ujjwal yadav")</f>
        <v>Ujjwal yadav</v>
      </c>
      <c r="P364" s="124">
        <f>IFERROR(__xludf.DUMMYFUNCTION("""COMPUTED_VALUE"""),55265.0)</f>
        <v>55265</v>
      </c>
      <c r="Q364" s="124" t="str">
        <f>IFERROR(__xludf.DUMMYFUNCTION("""COMPUTED_VALUE"""),"upsc-gs-foundation-hinglish-target-2027-gsf-upsc-m02-orn")</f>
        <v>upsc-gs-foundation-hinglish-target-2027-gsf-upsc-m02-orn</v>
      </c>
      <c r="R364" s="124" t="str">
        <f>IFERROR(__xludf.DUMMYFUNCTION("""COMPUTED_VALUE"""),"GS Foundation Course")</f>
        <v>GS Foundation Course</v>
      </c>
      <c r="S364" s="124">
        <f>IFERROR(__xludf.DUMMYFUNCTION("""COMPUTED_VALUE"""),8.607197965E9)</f>
        <v>8607197965</v>
      </c>
      <c r="T364" s="124" t="str">
        <f>IFERROR(__xludf.DUMMYFUNCTION("""COMPUTED_VALUE"""),"Collexo")</f>
        <v>Collexo</v>
      </c>
      <c r="U364" s="124" t="str">
        <f>IFERROR(__xludf.DUMMYFUNCTION("""COMPUTED_VALUE"""),"Success")</f>
        <v>Success</v>
      </c>
      <c r="V364" s="131">
        <f>IFERROR(__xludf.DUMMYFUNCTION("""COMPUTED_VALUE"""),46071.0)</f>
        <v>46071</v>
      </c>
      <c r="W364" s="124">
        <f>IFERROR(__xludf.DUMMYFUNCTION("""COMPUTED_VALUE"""),0.0)</f>
        <v>0</v>
      </c>
    </row>
    <row r="365">
      <c r="A365" s="124" t="str">
        <f t="shared" si="1"/>
        <v>akashvaidwan123@gmail.com</v>
      </c>
      <c r="B365" s="131">
        <f>IFERROR(__xludf.DUMMYFUNCTION("""COMPUTED_VALUE"""),46073.0)</f>
        <v>46073</v>
      </c>
      <c r="C365" s="124" t="str">
        <f>IFERROR(__xludf.DUMMYFUNCTION("""COMPUTED_VALUE"""),"Payment data from Collexo")</f>
        <v>Payment data from Collexo</v>
      </c>
      <c r="D365" s="124" t="str">
        <f>IFERROR(__xludf.DUMMYFUNCTION("""COMPUTED_VALUE"""),"Not Available")</f>
        <v>Not Available</v>
      </c>
      <c r="E365" s="124">
        <f>IFERROR(__xludf.DUMMYFUNCTION("""COMPUTED_VALUE"""),1500609.0)</f>
        <v>1500609</v>
      </c>
      <c r="F365" s="124" t="str">
        <f>IFERROR(__xludf.DUMMYFUNCTION("""COMPUTED_VALUE"""),"7728_988_7")</f>
        <v>7728_988_7</v>
      </c>
      <c r="G365" s="124">
        <f>IFERROR(__xludf.DUMMYFUNCTION("""COMPUTED_VALUE"""),1.0)</f>
        <v>1</v>
      </c>
      <c r="H365" s="124" t="str">
        <f>IFERROR(__xludf.DUMMYFUNCTION("""COMPUTED_VALUE"""),"Not Available")</f>
        <v>Not Available</v>
      </c>
      <c r="I365" s="124">
        <f>IFERROR(__xludf.DUMMYFUNCTION("""COMPUTED_VALUE"""),0.0)</f>
        <v>0</v>
      </c>
      <c r="J365" s="124">
        <f>IFERROR(__xludf.DUMMYFUNCTION("""COMPUTED_VALUE"""),1.0)</f>
        <v>1</v>
      </c>
      <c r="K365" s="124">
        <f>IFERROR(__xludf.DUMMYFUNCTION("""COMPUTED_VALUE"""),1.0)</f>
        <v>1</v>
      </c>
      <c r="L365" s="124">
        <f>IFERROR(__xludf.DUMMYFUNCTION("""COMPUTED_VALUE"""),288.0)</f>
        <v>288</v>
      </c>
      <c r="M365" s="124" t="str">
        <f>IFERROR(__xludf.DUMMYFUNCTION("""COMPUTED_VALUE"""),"New Delhi")</f>
        <v>New Delhi</v>
      </c>
      <c r="N365" s="124" t="str">
        <f>IFERROR(__xludf.DUMMYFUNCTION("""COMPUTED_VALUE"""),"akashvaidwan123@gmail.com")</f>
        <v>akashvaidwan123@gmail.com</v>
      </c>
      <c r="O365" s="124" t="str">
        <f>IFERROR(__xludf.DUMMYFUNCTION("""COMPUTED_VALUE"""),"Akash vaidwan")</f>
        <v>Akash vaidwan</v>
      </c>
      <c r="P365" s="124">
        <f>IFERROR(__xludf.DUMMYFUNCTION("""COMPUTED_VALUE"""),123718.0)</f>
        <v>123718</v>
      </c>
      <c r="Q365" s="124" t="str">
        <f>IFERROR(__xludf.DUMMYFUNCTION("""COMPUTED_VALUE"""),"upsc-gs-foundation-hinglish-target-2027-gsf-upsc-e04-orn")</f>
        <v>upsc-gs-foundation-hinglish-target-2027-gsf-upsc-e04-orn</v>
      </c>
      <c r="R365" s="124" t="str">
        <f>IFERROR(__xludf.DUMMYFUNCTION("""COMPUTED_VALUE"""),"GS Foundation Course")</f>
        <v>GS Foundation Course</v>
      </c>
      <c r="S365" s="124">
        <f>IFERROR(__xludf.DUMMYFUNCTION("""COMPUTED_VALUE"""),9.528831545E9)</f>
        <v>9528831545</v>
      </c>
      <c r="T365" s="124" t="str">
        <f>IFERROR(__xludf.DUMMYFUNCTION("""COMPUTED_VALUE"""),"Collexo")</f>
        <v>Collexo</v>
      </c>
      <c r="U365" s="124" t="str">
        <f>IFERROR(__xludf.DUMMYFUNCTION("""COMPUTED_VALUE"""),"Success")</f>
        <v>Success</v>
      </c>
      <c r="V365" s="131">
        <f>IFERROR(__xludf.DUMMYFUNCTION("""COMPUTED_VALUE"""),46073.0)</f>
        <v>46073</v>
      </c>
      <c r="W365" s="124">
        <f>IFERROR(__xludf.DUMMYFUNCTION("""COMPUTED_VALUE"""),0.0)</f>
        <v>0</v>
      </c>
    </row>
    <row r="366">
      <c r="A366" s="124" t="str">
        <f t="shared" si="1"/>
        <v>gauravsinghsiwan8800@gmail.com</v>
      </c>
      <c r="B366" s="131">
        <f>IFERROR(__xludf.DUMMYFUNCTION("""COMPUTED_VALUE"""),46112.0)</f>
        <v>46112</v>
      </c>
      <c r="C366" s="124" t="str">
        <f>IFERROR(__xludf.DUMMYFUNCTION("""COMPUTED_VALUE"""),"Payment data from Collexo")</f>
        <v>Payment data from Collexo</v>
      </c>
      <c r="D366" s="124" t="str">
        <f>IFERROR(__xludf.DUMMYFUNCTION("""COMPUTED_VALUE"""),"Not Available")</f>
        <v>Not Available</v>
      </c>
      <c r="E366" s="124">
        <f>IFERROR(__xludf.DUMMYFUNCTION("""COMPUTED_VALUE"""),1500611.0)</f>
        <v>1500611</v>
      </c>
      <c r="F366" s="124">
        <f>IFERROR(__xludf.DUMMYFUNCTION("""COMPUTED_VALUE"""),139596.0)</f>
        <v>139596</v>
      </c>
      <c r="G366" s="124">
        <f>IFERROR(__xludf.DUMMYFUNCTION("""COMPUTED_VALUE"""),25000.0)</f>
        <v>25000</v>
      </c>
      <c r="H366" s="131">
        <f>IFERROR(__xludf.DUMMYFUNCTION("""COMPUTED_VALUE"""),46112.0)</f>
        <v>46112</v>
      </c>
      <c r="I366" s="124">
        <f>IFERROR(__xludf.DUMMYFUNCTION("""COMPUTED_VALUE"""),15000.0)</f>
        <v>15000</v>
      </c>
      <c r="J366" s="124">
        <f>IFERROR(__xludf.DUMMYFUNCTION("""COMPUTED_VALUE"""),40000.0)</f>
        <v>40000</v>
      </c>
      <c r="K366" s="124">
        <f>IFERROR(__xludf.DUMMYFUNCTION("""COMPUTED_VALUE"""),2.0)</f>
        <v>2</v>
      </c>
      <c r="L366" s="124">
        <f>IFERROR(__xludf.DUMMYFUNCTION("""COMPUTED_VALUE"""),873.0)</f>
        <v>873</v>
      </c>
      <c r="M366" s="124" t="str">
        <f>IFERROR(__xludf.DUMMYFUNCTION("""COMPUTED_VALUE"""),"Patna")</f>
        <v>Patna</v>
      </c>
      <c r="N366" s="124" t="str">
        <f>IFERROR(__xludf.DUMMYFUNCTION("""COMPUTED_VALUE"""),"gauravsinghsiwan8800@gmail.com")</f>
        <v>gauravsinghsiwan8800@gmail.com</v>
      </c>
      <c r="O366" s="124" t="str">
        <f>IFERROR(__xludf.DUMMYFUNCTION("""COMPUTED_VALUE"""),"Aalok kumar")</f>
        <v>Aalok kumar</v>
      </c>
      <c r="P366" s="124">
        <f>IFERROR(__xludf.DUMMYFUNCTION("""COMPUTED_VALUE"""),139596.0)</f>
        <v>139596</v>
      </c>
      <c r="Q366" s="124" t="str">
        <f>IFERROR(__xludf.DUMMYFUNCTION("""COMPUTED_VALUE"""),"bpsc-gs-foundation-hinglish-target-2026-gsf-bpsc-m02-pat")</f>
        <v>bpsc-gs-foundation-hinglish-target-2026-gsf-bpsc-m02-pat</v>
      </c>
      <c r="R366" s="124" t="str">
        <f>IFERROR(__xludf.DUMMYFUNCTION("""COMPUTED_VALUE"""),"State PCS")</f>
        <v>State PCS</v>
      </c>
      <c r="S366" s="124">
        <f>IFERROR(__xludf.DUMMYFUNCTION("""COMPUTED_VALUE"""),9.939699505E9)</f>
        <v>9939699505</v>
      </c>
      <c r="T366" s="124" t="str">
        <f>IFERROR(__xludf.DUMMYFUNCTION("""COMPUTED_VALUE"""),"Not Available")</f>
        <v>Not Available</v>
      </c>
      <c r="U366" s="124" t="str">
        <f>IFERROR(__xludf.DUMMYFUNCTION("""COMPUTED_VALUE"""),"Not Available")</f>
        <v>Not Available</v>
      </c>
      <c r="V366" s="124" t="str">
        <f>IFERROR(__xludf.DUMMYFUNCTION("""COMPUTED_VALUE"""),"Not Available")</f>
        <v>Not Available</v>
      </c>
      <c r="W366" s="124" t="str">
        <f>IFERROR(__xludf.DUMMYFUNCTION("""COMPUTED_VALUE"""),"Not Available")</f>
        <v>Not Available</v>
      </c>
    </row>
    <row r="367">
      <c r="A367" s="124" t="str">
        <f t="shared" si="1"/>
        <v>goldyychaudharyy51@gmail.com</v>
      </c>
      <c r="B367" s="131">
        <f>IFERROR(__xludf.DUMMYFUNCTION("""COMPUTED_VALUE"""),46058.0)</f>
        <v>46058</v>
      </c>
      <c r="C367" s="124" t="str">
        <f>IFERROR(__xludf.DUMMYFUNCTION("""COMPUTED_VALUE"""),"Payment data from Collexo")</f>
        <v>Payment data from Collexo</v>
      </c>
      <c r="D367" s="124" t="str">
        <f>IFERROR(__xludf.DUMMYFUNCTION("""COMPUTED_VALUE"""),"Not Available")</f>
        <v>Not Available</v>
      </c>
      <c r="E367" s="124">
        <f>IFERROR(__xludf.DUMMYFUNCTION("""COMPUTED_VALUE"""),1500609.0)</f>
        <v>1500609</v>
      </c>
      <c r="F367" s="124" t="str">
        <f>IFERROR(__xludf.DUMMYFUNCTION("""COMPUTED_VALUE"""),"3909_988_7")</f>
        <v>3909_988_7</v>
      </c>
      <c r="G367" s="124">
        <f>IFERROR(__xludf.DUMMYFUNCTION("""COMPUTED_VALUE"""),25000.0)</f>
        <v>25000</v>
      </c>
      <c r="H367" s="124" t="str">
        <f>IFERROR(__xludf.DUMMYFUNCTION("""COMPUTED_VALUE"""),"Not Available")</f>
        <v>Not Available</v>
      </c>
      <c r="I367" s="124">
        <f>IFERROR(__xludf.DUMMYFUNCTION("""COMPUTED_VALUE"""),0.0)</f>
        <v>0</v>
      </c>
      <c r="J367" s="124">
        <f>IFERROR(__xludf.DUMMYFUNCTION("""COMPUTED_VALUE"""),135000.0)</f>
        <v>135000</v>
      </c>
      <c r="K367" s="124">
        <f>IFERROR(__xludf.DUMMYFUNCTION("""COMPUTED_VALUE"""),4.0)</f>
        <v>4</v>
      </c>
      <c r="L367" s="124">
        <f>IFERROR(__xludf.DUMMYFUNCTION("""COMPUTED_VALUE"""),167.0)</f>
        <v>167</v>
      </c>
      <c r="M367" s="124" t="str">
        <f>IFERROR(__xludf.DUMMYFUNCTION("""COMPUTED_VALUE"""),"New Delhi")</f>
        <v>New Delhi</v>
      </c>
      <c r="N367" s="124" t="str">
        <f>IFERROR(__xludf.DUMMYFUNCTION("""COMPUTED_VALUE"""),"goldyychaudharyy51@gmail.com")</f>
        <v>goldyychaudharyy51@gmail.com</v>
      </c>
      <c r="O367" s="124" t="str">
        <f>IFERROR(__xludf.DUMMYFUNCTION("""COMPUTED_VALUE"""),"Jaishal")</f>
        <v>Jaishal</v>
      </c>
      <c r="P367" s="124">
        <f>IFERROR(__xludf.DUMMYFUNCTION("""COMPUTED_VALUE"""),120250.0)</f>
        <v>120250</v>
      </c>
      <c r="Q367" s="124" t="str">
        <f>IFERROR(__xludf.DUMMYFUNCTION("""COMPUTED_VALUE"""),"ncert-foundation-hinglish-target-2026-nce-upsc-e02-orn")</f>
        <v>ncert-foundation-hinglish-target-2026-nce-upsc-e02-orn</v>
      </c>
      <c r="R367" s="124" t="str">
        <f>IFERROR(__xludf.DUMMYFUNCTION("""COMPUTED_VALUE"""),"GS Foundation Course")</f>
        <v>GS Foundation Course</v>
      </c>
      <c r="S367" s="124">
        <f>IFERROR(__xludf.DUMMYFUNCTION("""COMPUTED_VALUE"""),9.058402617E9)</f>
        <v>9058402617</v>
      </c>
      <c r="T367" s="124" t="str">
        <f>IFERROR(__xludf.DUMMYFUNCTION("""COMPUTED_VALUE"""),"Collexo")</f>
        <v>Collexo</v>
      </c>
      <c r="U367" s="124" t="str">
        <f>IFERROR(__xludf.DUMMYFUNCTION("""COMPUTED_VALUE"""),"Success")</f>
        <v>Success</v>
      </c>
      <c r="V367" s="131">
        <f>IFERROR(__xludf.DUMMYFUNCTION("""COMPUTED_VALUE"""),46058.0)</f>
        <v>46058</v>
      </c>
      <c r="W367" s="124">
        <f>IFERROR(__xludf.DUMMYFUNCTION("""COMPUTED_VALUE"""),0.0)</f>
        <v>0</v>
      </c>
    </row>
    <row r="368">
      <c r="A368" s="124" t="str">
        <f t="shared" si="1"/>
        <v>akashvaidwan123@gmail.com</v>
      </c>
      <c r="B368" s="131">
        <f>IFERROR(__xludf.DUMMYFUNCTION("""COMPUTED_VALUE"""),46075.0)</f>
        <v>46075</v>
      </c>
      <c r="C368" s="124" t="str">
        <f>IFERROR(__xludf.DUMMYFUNCTION("""COMPUTED_VALUE"""),"Payment data from Collexo")</f>
        <v>Payment data from Collexo</v>
      </c>
      <c r="D368" s="124" t="str">
        <f>IFERROR(__xludf.DUMMYFUNCTION("""COMPUTED_VALUE"""),"Not Available")</f>
        <v>Not Available</v>
      </c>
      <c r="E368" s="124">
        <f>IFERROR(__xludf.DUMMYFUNCTION("""COMPUTED_VALUE"""),1500609.0)</f>
        <v>1500609</v>
      </c>
      <c r="F368" s="124" t="str">
        <f>IFERROR(__xludf.DUMMYFUNCTION("""COMPUTED_VALUE"""),"8040_988_7")</f>
        <v>8040_988_7</v>
      </c>
      <c r="G368" s="124">
        <f>IFERROR(__xludf.DUMMYFUNCTION("""COMPUTED_VALUE"""),115000.0)</f>
        <v>115000</v>
      </c>
      <c r="H368" s="124" t="str">
        <f>IFERROR(__xludf.DUMMYFUNCTION("""COMPUTED_VALUE"""),"Not Available")</f>
        <v>Not Available</v>
      </c>
      <c r="I368" s="124">
        <f>IFERROR(__xludf.DUMMYFUNCTION("""COMPUTED_VALUE"""),0.0)</f>
        <v>0</v>
      </c>
      <c r="J368" s="124">
        <f>IFERROR(__xludf.DUMMYFUNCTION("""COMPUTED_VALUE"""),120000.0)</f>
        <v>120000</v>
      </c>
      <c r="K368" s="124">
        <f>IFERROR(__xludf.DUMMYFUNCTION("""COMPUTED_VALUE"""),3.0)</f>
        <v>3</v>
      </c>
      <c r="L368" s="124">
        <f>IFERROR(__xludf.DUMMYFUNCTION("""COMPUTED_VALUE"""),313.0)</f>
        <v>313</v>
      </c>
      <c r="M368" s="124" t="str">
        <f>IFERROR(__xludf.DUMMYFUNCTION("""COMPUTED_VALUE"""),"New Delhi")</f>
        <v>New Delhi</v>
      </c>
      <c r="N368" s="124" t="str">
        <f>IFERROR(__xludf.DUMMYFUNCTION("""COMPUTED_VALUE"""),"akashvaidwan123@gmail.com")</f>
        <v>akashvaidwan123@gmail.com</v>
      </c>
      <c r="O368" s="124" t="str">
        <f>IFERROR(__xludf.DUMMYFUNCTION("""COMPUTED_VALUE"""),"Akash vaidwan")</f>
        <v>Akash vaidwan</v>
      </c>
      <c r="P368" s="124">
        <f>IFERROR(__xludf.DUMMYFUNCTION("""COMPUTED_VALUE"""),123718.0)</f>
        <v>123718</v>
      </c>
      <c r="Q368" s="124" t="str">
        <f>IFERROR(__xludf.DUMMYFUNCTION("""COMPUTED_VALUE"""),"upsc-gs-foundation-hinglish-target-2027-gsf-upsc-e04-orn")</f>
        <v>upsc-gs-foundation-hinglish-target-2027-gsf-upsc-e04-orn</v>
      </c>
      <c r="R368" s="124" t="str">
        <f>IFERROR(__xludf.DUMMYFUNCTION("""COMPUTED_VALUE"""),"GS Foundation Course")</f>
        <v>GS Foundation Course</v>
      </c>
      <c r="S368" s="124">
        <f>IFERROR(__xludf.DUMMYFUNCTION("""COMPUTED_VALUE"""),9.528831545E9)</f>
        <v>9528831545</v>
      </c>
      <c r="T368" s="124" t="str">
        <f>IFERROR(__xludf.DUMMYFUNCTION("""COMPUTED_VALUE"""),"Collexo")</f>
        <v>Collexo</v>
      </c>
      <c r="U368" s="124" t="str">
        <f>IFERROR(__xludf.DUMMYFUNCTION("""COMPUTED_VALUE"""),"Success")</f>
        <v>Success</v>
      </c>
      <c r="V368" s="131">
        <f>IFERROR(__xludf.DUMMYFUNCTION("""COMPUTED_VALUE"""),46075.0)</f>
        <v>46075</v>
      </c>
      <c r="W368" s="124">
        <f>IFERROR(__xludf.DUMMYFUNCTION("""COMPUTED_VALUE"""),0.0)</f>
        <v>0</v>
      </c>
    </row>
    <row r="369">
      <c r="A369" s="124" t="str">
        <f t="shared" si="1"/>
        <v>gauravsinghsiwan8800@gmail.com</v>
      </c>
      <c r="B369" s="131">
        <f>IFERROR(__xludf.DUMMYFUNCTION("""COMPUTED_VALUE"""),46112.0)</f>
        <v>46112</v>
      </c>
      <c r="C369" s="124" t="str">
        <f>IFERROR(__xludf.DUMMYFUNCTION("""COMPUTED_VALUE"""),"Payment data from Collexo")</f>
        <v>Payment data from Collexo</v>
      </c>
      <c r="D369" s="124" t="str">
        <f>IFERROR(__xludf.DUMMYFUNCTION("""COMPUTED_VALUE"""),"Not Available")</f>
        <v>Not Available</v>
      </c>
      <c r="E369" s="124">
        <f>IFERROR(__xludf.DUMMYFUNCTION("""COMPUTED_VALUE"""),1500611.0)</f>
        <v>1500611</v>
      </c>
      <c r="F369" s="124">
        <f>IFERROR(__xludf.DUMMYFUNCTION("""COMPUTED_VALUE"""),139596.0)</f>
        <v>139596</v>
      </c>
      <c r="G369" s="124">
        <f>IFERROR(__xludf.DUMMYFUNCTION("""COMPUTED_VALUE"""),15000.0)</f>
        <v>15000</v>
      </c>
      <c r="H369" s="124" t="str">
        <f>IFERROR(__xludf.DUMMYFUNCTION("""COMPUTED_VALUE"""),"Not Available")</f>
        <v>Not Available</v>
      </c>
      <c r="I369" s="124">
        <f>IFERROR(__xludf.DUMMYFUNCTION("""COMPUTED_VALUE"""),0.0)</f>
        <v>0</v>
      </c>
      <c r="J369" s="124">
        <f>IFERROR(__xludf.DUMMYFUNCTION("""COMPUTED_VALUE"""),40000.0)</f>
        <v>40000</v>
      </c>
      <c r="K369" s="124">
        <f>IFERROR(__xludf.DUMMYFUNCTION("""COMPUTED_VALUE"""),2.0)</f>
        <v>2</v>
      </c>
      <c r="L369" s="124">
        <f>IFERROR(__xludf.DUMMYFUNCTION("""COMPUTED_VALUE"""),874.0)</f>
        <v>874</v>
      </c>
      <c r="M369" s="124" t="str">
        <f>IFERROR(__xludf.DUMMYFUNCTION("""COMPUTED_VALUE"""),"Patna")</f>
        <v>Patna</v>
      </c>
      <c r="N369" s="124" t="str">
        <f>IFERROR(__xludf.DUMMYFUNCTION("""COMPUTED_VALUE"""),"gauravsinghsiwan8800@gmail.com")</f>
        <v>gauravsinghsiwan8800@gmail.com</v>
      </c>
      <c r="O369" s="124" t="str">
        <f>IFERROR(__xludf.DUMMYFUNCTION("""COMPUTED_VALUE"""),"Aalok kumar")</f>
        <v>Aalok kumar</v>
      </c>
      <c r="P369" s="124">
        <f>IFERROR(__xludf.DUMMYFUNCTION("""COMPUTED_VALUE"""),139596.0)</f>
        <v>139596</v>
      </c>
      <c r="Q369" s="124" t="str">
        <f>IFERROR(__xludf.DUMMYFUNCTION("""COMPUTED_VALUE"""),"bpsc-gs-foundation-hinglish-target-2026-gsf-bpsc-m02-pat")</f>
        <v>bpsc-gs-foundation-hinglish-target-2026-gsf-bpsc-m02-pat</v>
      </c>
      <c r="R369" s="124" t="str">
        <f>IFERROR(__xludf.DUMMYFUNCTION("""COMPUTED_VALUE"""),"State PCS")</f>
        <v>State PCS</v>
      </c>
      <c r="S369" s="124">
        <f>IFERROR(__xludf.DUMMYFUNCTION("""COMPUTED_VALUE"""),9.939699505E9)</f>
        <v>9939699505</v>
      </c>
      <c r="T369" s="124" t="str">
        <f>IFERROR(__xludf.DUMMYFUNCTION("""COMPUTED_VALUE"""),"Not Available")</f>
        <v>Not Available</v>
      </c>
      <c r="U369" s="124" t="str">
        <f>IFERROR(__xludf.DUMMYFUNCTION("""COMPUTED_VALUE"""),"Not Available")</f>
        <v>Not Available</v>
      </c>
      <c r="V369" s="124" t="str">
        <f>IFERROR(__xludf.DUMMYFUNCTION("""COMPUTED_VALUE"""),"Not Available")</f>
        <v>Not Available</v>
      </c>
      <c r="W369" s="124" t="str">
        <f>IFERROR(__xludf.DUMMYFUNCTION("""COMPUTED_VALUE"""),"Not Available")</f>
        <v>Not Available</v>
      </c>
    </row>
    <row r="370">
      <c r="A370" s="124" t="str">
        <f t="shared" si="1"/>
        <v>ankitasingh21102003@gmail.com</v>
      </c>
      <c r="B370" s="131">
        <f>IFERROR(__xludf.DUMMYFUNCTION("""COMPUTED_VALUE"""),46081.0)</f>
        <v>46081</v>
      </c>
      <c r="C370" s="124" t="str">
        <f>IFERROR(__xludf.DUMMYFUNCTION("""COMPUTED_VALUE"""),"Payment data from Collexo")</f>
        <v>Payment data from Collexo</v>
      </c>
      <c r="D370" s="124" t="str">
        <f>IFERROR(__xludf.DUMMYFUNCTION("""COMPUTED_VALUE"""),"Not Available")</f>
        <v>Not Available</v>
      </c>
      <c r="E370" s="124">
        <f>IFERROR(__xludf.DUMMYFUNCTION("""COMPUTED_VALUE"""),1500613.0)</f>
        <v>1500613</v>
      </c>
      <c r="F370" s="124">
        <f>IFERROR(__xludf.DUMMYFUNCTION("""COMPUTED_VALUE"""),34853.0)</f>
        <v>34853</v>
      </c>
      <c r="G370" s="124">
        <f>IFERROR(__xludf.DUMMYFUNCTION("""COMPUTED_VALUE"""),1000.0)</f>
        <v>1000</v>
      </c>
      <c r="H370" s="131">
        <f>IFERROR(__xludf.DUMMYFUNCTION("""COMPUTED_VALUE"""),46081.0)</f>
        <v>46081</v>
      </c>
      <c r="I370" s="124">
        <f>IFERROR(__xludf.DUMMYFUNCTION("""COMPUTED_VALUE"""),59000.0)</f>
        <v>59000</v>
      </c>
      <c r="J370" s="124">
        <f>IFERROR(__xludf.DUMMYFUNCTION("""COMPUTED_VALUE"""),60000.0)</f>
        <v>60000</v>
      </c>
      <c r="K370" s="124">
        <f>IFERROR(__xludf.DUMMYFUNCTION("""COMPUTED_VALUE"""),2.0)</f>
        <v>2</v>
      </c>
      <c r="L370" s="124">
        <f>IFERROR(__xludf.DUMMYFUNCTION("""COMPUTED_VALUE"""),391.0)</f>
        <v>391</v>
      </c>
      <c r="M370" s="124" t="str">
        <f>IFERROR(__xludf.DUMMYFUNCTION("""COMPUTED_VALUE"""),"Prayagraj")</f>
        <v>Prayagraj</v>
      </c>
      <c r="N370" s="124" t="str">
        <f>IFERROR(__xludf.DUMMYFUNCTION("""COMPUTED_VALUE"""),"ankitasingh21102003@gmail.com")</f>
        <v>ankitasingh21102003@gmail.com</v>
      </c>
      <c r="O370" s="124" t="str">
        <f>IFERROR(__xludf.DUMMYFUNCTION("""COMPUTED_VALUE"""),"Ankita Singh")</f>
        <v>Ankita Singh</v>
      </c>
      <c r="P370" s="124">
        <f>IFERROR(__xludf.DUMMYFUNCTION("""COMPUTED_VALUE"""),34853.0)</f>
        <v>34853</v>
      </c>
      <c r="Q370" s="124" t="str">
        <f>IFERROR(__xludf.DUMMYFUNCTION("""COMPUTED_VALUE"""),"upsc-gs-foundation-hinglish-target-2028-gsf-upsc-e03-pry")</f>
        <v>upsc-gs-foundation-hinglish-target-2028-gsf-upsc-e03-pry</v>
      </c>
      <c r="R370" s="124" t="str">
        <f>IFERROR(__xludf.DUMMYFUNCTION("""COMPUTED_VALUE"""),"GS Foundation Course")</f>
        <v>GS Foundation Course</v>
      </c>
      <c r="S370" s="124">
        <f>IFERROR(__xludf.DUMMYFUNCTION("""COMPUTED_VALUE"""),9.670079789E9)</f>
        <v>9670079789</v>
      </c>
      <c r="T370" s="124" t="str">
        <f>IFERROR(__xludf.DUMMYFUNCTION("""COMPUTED_VALUE"""),"Not Available")</f>
        <v>Not Available</v>
      </c>
      <c r="U370" s="124" t="str">
        <f>IFERROR(__xludf.DUMMYFUNCTION("""COMPUTED_VALUE"""),"Not Available")</f>
        <v>Not Available</v>
      </c>
      <c r="V370" s="124" t="str">
        <f>IFERROR(__xludf.DUMMYFUNCTION("""COMPUTED_VALUE"""),"Not Available")</f>
        <v>Not Available</v>
      </c>
      <c r="W370" s="124" t="str">
        <f>IFERROR(__xludf.DUMMYFUNCTION("""COMPUTED_VALUE"""),"Not Available")</f>
        <v>Not Available</v>
      </c>
    </row>
    <row r="371">
      <c r="A371" s="124" t="str">
        <f t="shared" si="1"/>
        <v>komal.pandey8178@gmail.com</v>
      </c>
      <c r="B371" s="131">
        <f>IFERROR(__xludf.DUMMYFUNCTION("""COMPUTED_VALUE"""),46101.0)</f>
        <v>46101</v>
      </c>
      <c r="C371" s="124" t="str">
        <f>IFERROR(__xludf.DUMMYFUNCTION("""COMPUTED_VALUE"""),"Payment data from Collexo")</f>
        <v>Payment data from Collexo</v>
      </c>
      <c r="D371" s="124" t="str">
        <f>IFERROR(__xludf.DUMMYFUNCTION("""COMPUTED_VALUE"""),"Not Available")</f>
        <v>Not Available</v>
      </c>
      <c r="E371" s="124">
        <f>IFERROR(__xludf.DUMMYFUNCTION("""COMPUTED_VALUE"""),1500609.0)</f>
        <v>1500609</v>
      </c>
      <c r="F371" s="124" t="str">
        <f>IFERROR(__xludf.DUMMYFUNCTION("""COMPUTED_VALUE"""),"15566_988_7")</f>
        <v>15566_988_7</v>
      </c>
      <c r="G371" s="124">
        <f>IFERROR(__xludf.DUMMYFUNCTION("""COMPUTED_VALUE"""),2000.0)</f>
        <v>2000</v>
      </c>
      <c r="H371" s="131">
        <f>IFERROR(__xludf.DUMMYFUNCTION("""COMPUTED_VALUE"""),46112.0)</f>
        <v>46112</v>
      </c>
      <c r="I371" s="124">
        <f>IFERROR(__xludf.DUMMYFUNCTION("""COMPUTED_VALUE"""),138000.0)</f>
        <v>138000</v>
      </c>
      <c r="J371" s="124">
        <f>IFERROR(__xludf.DUMMYFUNCTION("""COMPUTED_VALUE"""),140000.0)</f>
        <v>140000</v>
      </c>
      <c r="K371" s="124">
        <f>IFERROR(__xludf.DUMMYFUNCTION("""COMPUTED_VALUE"""),2.0)</f>
        <v>2</v>
      </c>
      <c r="L371" s="124">
        <f>IFERROR(__xludf.DUMMYFUNCTION("""COMPUTED_VALUE"""),646.0)</f>
        <v>646</v>
      </c>
      <c r="M371" s="124" t="str">
        <f>IFERROR(__xludf.DUMMYFUNCTION("""COMPUTED_VALUE"""),"New Delhi")</f>
        <v>New Delhi</v>
      </c>
      <c r="N371" s="124" t="str">
        <f>IFERROR(__xludf.DUMMYFUNCTION("""COMPUTED_VALUE"""),"komal.pandey8178@gmail.com")</f>
        <v>komal.pandey8178@gmail.com</v>
      </c>
      <c r="O371" s="124" t="str">
        <f>IFERROR(__xludf.DUMMYFUNCTION("""COMPUTED_VALUE"""),"Komal")</f>
        <v>Komal</v>
      </c>
      <c r="P371" s="124">
        <f>IFERROR(__xludf.DUMMYFUNCTION("""COMPUTED_VALUE"""),129396.0)</f>
        <v>129396</v>
      </c>
      <c r="Q371" s="124" t="str">
        <f>IFERROR(__xludf.DUMMYFUNCTION("""COMPUTED_VALUE"""),"upsc-gs-foundation-hinglish-target-2028-gsf-upsc-e05-orn")</f>
        <v>upsc-gs-foundation-hinglish-target-2028-gsf-upsc-e05-orn</v>
      </c>
      <c r="R371" s="124" t="str">
        <f>IFERROR(__xludf.DUMMYFUNCTION("""COMPUTED_VALUE"""),"GS Foundation Course")</f>
        <v>GS Foundation Course</v>
      </c>
      <c r="S371" s="124">
        <f>IFERROR(__xludf.DUMMYFUNCTION("""COMPUTED_VALUE"""),8.882617101E9)</f>
        <v>8882617101</v>
      </c>
      <c r="T371" s="124" t="str">
        <f>IFERROR(__xludf.DUMMYFUNCTION("""COMPUTED_VALUE"""),"Collexo")</f>
        <v>Collexo</v>
      </c>
      <c r="U371" s="124" t="str">
        <f>IFERROR(__xludf.DUMMYFUNCTION("""COMPUTED_VALUE"""),"Success")</f>
        <v>Success</v>
      </c>
      <c r="V371" s="131">
        <f>IFERROR(__xludf.DUMMYFUNCTION("""COMPUTED_VALUE"""),46101.0)</f>
        <v>46101</v>
      </c>
      <c r="W371" s="124">
        <f>IFERROR(__xludf.DUMMYFUNCTION("""COMPUTED_VALUE"""),0.0)</f>
        <v>0</v>
      </c>
    </row>
    <row r="372">
      <c r="A372" s="124" t="str">
        <f t="shared" si="1"/>
        <v>jupadhyaya058@gmail.com</v>
      </c>
      <c r="B372" s="131">
        <f>IFERROR(__xludf.DUMMYFUNCTION("""COMPUTED_VALUE"""),46104.0)</f>
        <v>46104</v>
      </c>
      <c r="C372" s="124" t="str">
        <f>IFERROR(__xludf.DUMMYFUNCTION("""COMPUTED_VALUE"""),"Payment data from Collexo")</f>
        <v>Payment data from Collexo</v>
      </c>
      <c r="D372" s="124" t="str">
        <f>IFERROR(__xludf.DUMMYFUNCTION("""COMPUTED_VALUE"""),"Not Available")</f>
        <v>Not Available</v>
      </c>
      <c r="E372" s="124">
        <f>IFERROR(__xludf.DUMMYFUNCTION("""COMPUTED_VALUE"""),1500609.0)</f>
        <v>1500609</v>
      </c>
      <c r="F372" s="124" t="str">
        <f>IFERROR(__xludf.DUMMYFUNCTION("""COMPUTED_VALUE"""),"16132_988_7")</f>
        <v>16132_988_7</v>
      </c>
      <c r="G372" s="124">
        <f>IFERROR(__xludf.DUMMYFUNCTION("""COMPUTED_VALUE"""),105000.0)</f>
        <v>105000</v>
      </c>
      <c r="H372" s="124" t="str">
        <f>IFERROR(__xludf.DUMMYFUNCTION("""COMPUTED_VALUE"""),"Not Available")</f>
        <v>Not Available</v>
      </c>
      <c r="I372" s="124">
        <f>IFERROR(__xludf.DUMMYFUNCTION("""COMPUTED_VALUE"""),0.0)</f>
        <v>0</v>
      </c>
      <c r="J372" s="124">
        <f>IFERROR(__xludf.DUMMYFUNCTION("""COMPUTED_VALUE"""),110000.0)</f>
        <v>110000</v>
      </c>
      <c r="K372" s="124">
        <f>IFERROR(__xludf.DUMMYFUNCTION("""COMPUTED_VALUE"""),3.0)</f>
        <v>3</v>
      </c>
      <c r="L372" s="124">
        <f>IFERROR(__xludf.DUMMYFUNCTION("""COMPUTED_VALUE"""),698.0)</f>
        <v>698</v>
      </c>
      <c r="M372" s="124" t="str">
        <f>IFERROR(__xludf.DUMMYFUNCTION("""COMPUTED_VALUE"""),"New Delhi")</f>
        <v>New Delhi</v>
      </c>
      <c r="N372" s="124" t="str">
        <f>IFERROR(__xludf.DUMMYFUNCTION("""COMPUTED_VALUE"""),"jupadhyaya058@gmail.com")</f>
        <v>jupadhyaya058@gmail.com</v>
      </c>
      <c r="O372" s="124" t="str">
        <f>IFERROR(__xludf.DUMMYFUNCTION("""COMPUTED_VALUE"""),"shubhi upadhaya")</f>
        <v>shubhi upadhaya</v>
      </c>
      <c r="P372" s="124">
        <f>IFERROR(__xludf.DUMMYFUNCTION("""COMPUTED_VALUE"""),128549.0)</f>
        <v>128549</v>
      </c>
      <c r="Q372" s="124" t="str">
        <f>IFERROR(__xludf.DUMMYFUNCTION("""COMPUTED_VALUE"""),"upsc-gs-foundation-hinglish-target-2027-gsf-upsc-e02-orn")</f>
        <v>upsc-gs-foundation-hinglish-target-2027-gsf-upsc-e02-orn</v>
      </c>
      <c r="R372" s="124" t="str">
        <f>IFERROR(__xludf.DUMMYFUNCTION("""COMPUTED_VALUE"""),"GS Foundation Course")</f>
        <v>GS Foundation Course</v>
      </c>
      <c r="S372" s="124">
        <f>IFERROR(__xludf.DUMMYFUNCTION("""COMPUTED_VALUE"""),7.017304313E9)</f>
        <v>7017304313</v>
      </c>
      <c r="T372" s="124" t="str">
        <f>IFERROR(__xludf.DUMMYFUNCTION("""COMPUTED_VALUE"""),"Collexo")</f>
        <v>Collexo</v>
      </c>
      <c r="U372" s="124" t="str">
        <f>IFERROR(__xludf.DUMMYFUNCTION("""COMPUTED_VALUE"""),"Success")</f>
        <v>Success</v>
      </c>
      <c r="V372" s="131">
        <f>IFERROR(__xludf.DUMMYFUNCTION("""COMPUTED_VALUE"""),46104.0)</f>
        <v>46104</v>
      </c>
      <c r="W372" s="124">
        <f>IFERROR(__xludf.DUMMYFUNCTION("""COMPUTED_VALUE"""),0.0)</f>
        <v>0</v>
      </c>
    </row>
    <row r="373">
      <c r="A373" s="124" t="str">
        <f t="shared" si="1"/>
        <v>ankitasingh21102003@gmail.com</v>
      </c>
      <c r="B373" s="131">
        <f>IFERROR(__xludf.DUMMYFUNCTION("""COMPUTED_VALUE"""),46081.0)</f>
        <v>46081</v>
      </c>
      <c r="C373" s="124" t="str">
        <f>IFERROR(__xludf.DUMMYFUNCTION("""COMPUTED_VALUE"""),"Payment data from Collexo")</f>
        <v>Payment data from Collexo</v>
      </c>
      <c r="D373" s="124" t="str">
        <f>IFERROR(__xludf.DUMMYFUNCTION("""COMPUTED_VALUE"""),"Not Available")</f>
        <v>Not Available</v>
      </c>
      <c r="E373" s="124">
        <f>IFERROR(__xludf.DUMMYFUNCTION("""COMPUTED_VALUE"""),1500613.0)</f>
        <v>1500613</v>
      </c>
      <c r="F373" s="124">
        <f>IFERROR(__xludf.DUMMYFUNCTION("""COMPUTED_VALUE"""),34853.0)</f>
        <v>34853</v>
      </c>
      <c r="G373" s="124">
        <f>IFERROR(__xludf.DUMMYFUNCTION("""COMPUTED_VALUE"""),59000.0)</f>
        <v>59000</v>
      </c>
      <c r="H373" s="124" t="str">
        <f>IFERROR(__xludf.DUMMYFUNCTION("""COMPUTED_VALUE"""),"Not Available")</f>
        <v>Not Available</v>
      </c>
      <c r="I373" s="124">
        <f>IFERROR(__xludf.DUMMYFUNCTION("""COMPUTED_VALUE"""),0.0)</f>
        <v>0</v>
      </c>
      <c r="J373" s="124">
        <f>IFERROR(__xludf.DUMMYFUNCTION("""COMPUTED_VALUE"""),60000.0)</f>
        <v>60000</v>
      </c>
      <c r="K373" s="124">
        <f>IFERROR(__xludf.DUMMYFUNCTION("""COMPUTED_VALUE"""),2.0)</f>
        <v>2</v>
      </c>
      <c r="L373" s="124">
        <f>IFERROR(__xludf.DUMMYFUNCTION("""COMPUTED_VALUE"""),392.0)</f>
        <v>392</v>
      </c>
      <c r="M373" s="124" t="str">
        <f>IFERROR(__xludf.DUMMYFUNCTION("""COMPUTED_VALUE"""),"Prayagraj")</f>
        <v>Prayagraj</v>
      </c>
      <c r="N373" s="124" t="str">
        <f>IFERROR(__xludf.DUMMYFUNCTION("""COMPUTED_VALUE"""),"ankitasingh21102003@gmail.com")</f>
        <v>ankitasingh21102003@gmail.com</v>
      </c>
      <c r="O373" s="124" t="str">
        <f>IFERROR(__xludf.DUMMYFUNCTION("""COMPUTED_VALUE"""),"Ankita Singh")</f>
        <v>Ankita Singh</v>
      </c>
      <c r="P373" s="124">
        <f>IFERROR(__xludf.DUMMYFUNCTION("""COMPUTED_VALUE"""),34853.0)</f>
        <v>34853</v>
      </c>
      <c r="Q373" s="124" t="str">
        <f>IFERROR(__xludf.DUMMYFUNCTION("""COMPUTED_VALUE"""),"upsc-gs-foundation-hinglish-target-2028-gsf-upsc-e03-pry")</f>
        <v>upsc-gs-foundation-hinglish-target-2028-gsf-upsc-e03-pry</v>
      </c>
      <c r="R373" s="124" t="str">
        <f>IFERROR(__xludf.DUMMYFUNCTION("""COMPUTED_VALUE"""),"GS Foundation Course")</f>
        <v>GS Foundation Course</v>
      </c>
      <c r="S373" s="124">
        <f>IFERROR(__xludf.DUMMYFUNCTION("""COMPUTED_VALUE"""),9.670079789E9)</f>
        <v>9670079789</v>
      </c>
      <c r="T373" s="124" t="str">
        <f>IFERROR(__xludf.DUMMYFUNCTION("""COMPUTED_VALUE"""),"Not Available")</f>
        <v>Not Available</v>
      </c>
      <c r="U373" s="124" t="str">
        <f>IFERROR(__xludf.DUMMYFUNCTION("""COMPUTED_VALUE"""),"Not Available")</f>
        <v>Not Available</v>
      </c>
      <c r="V373" s="124" t="str">
        <f>IFERROR(__xludf.DUMMYFUNCTION("""COMPUTED_VALUE"""),"Not Available")</f>
        <v>Not Available</v>
      </c>
      <c r="W373" s="124" t="str">
        <f>IFERROR(__xludf.DUMMYFUNCTION("""COMPUTED_VALUE"""),"Not Available")</f>
        <v>Not Available</v>
      </c>
    </row>
    <row r="374">
      <c r="A374" s="124" t="str">
        <f t="shared" si="1"/>
        <v>deepakdhiman8004@gmail.com</v>
      </c>
      <c r="B374" s="131">
        <f>IFERROR(__xludf.DUMMYFUNCTION("""COMPUTED_VALUE"""),46066.0)</f>
        <v>46066</v>
      </c>
      <c r="C374" s="124" t="str">
        <f>IFERROR(__xludf.DUMMYFUNCTION("""COMPUTED_VALUE"""),"Payment data from Collexo")</f>
        <v>Payment data from Collexo</v>
      </c>
      <c r="D374" s="124" t="str">
        <f>IFERROR(__xludf.DUMMYFUNCTION("""COMPUTED_VALUE"""),"Not Available")</f>
        <v>Not Available</v>
      </c>
      <c r="E374" s="124">
        <f>IFERROR(__xludf.DUMMYFUNCTION("""COMPUTED_VALUE"""),1500609.0)</f>
        <v>1500609</v>
      </c>
      <c r="F374" s="124" t="str">
        <f>IFERROR(__xludf.DUMMYFUNCTION("""COMPUTED_VALUE"""),"4973_988_7")</f>
        <v>4973_988_7</v>
      </c>
      <c r="G374" s="124">
        <f>IFERROR(__xludf.DUMMYFUNCTION("""COMPUTED_VALUE"""),5000.0)</f>
        <v>5000</v>
      </c>
      <c r="H374" s="131">
        <f>IFERROR(__xludf.DUMMYFUNCTION("""COMPUTED_VALUE"""),46072.0)</f>
        <v>46072</v>
      </c>
      <c r="I374" s="124">
        <f>IFERROR(__xludf.DUMMYFUNCTION("""COMPUTED_VALUE"""),105000.0)</f>
        <v>105000</v>
      </c>
      <c r="J374" s="124">
        <f>IFERROR(__xludf.DUMMYFUNCTION("""COMPUTED_VALUE"""),110000.0)</f>
        <v>110000</v>
      </c>
      <c r="K374" s="124">
        <f>IFERROR(__xludf.DUMMYFUNCTION("""COMPUTED_VALUE"""),2.0)</f>
        <v>2</v>
      </c>
      <c r="L374" s="124">
        <f>IFERROR(__xludf.DUMMYFUNCTION("""COMPUTED_VALUE"""),201.0)</f>
        <v>201</v>
      </c>
      <c r="M374" s="124" t="str">
        <f>IFERROR(__xludf.DUMMYFUNCTION("""COMPUTED_VALUE"""),"New Delhi")</f>
        <v>New Delhi</v>
      </c>
      <c r="N374" s="124" t="str">
        <f>IFERROR(__xludf.DUMMYFUNCTION("""COMPUTED_VALUE"""),"deepakdhiman8004@gmail.com")</f>
        <v>deepakdhiman8004@gmail.com</v>
      </c>
      <c r="O374" s="124" t="str">
        <f>IFERROR(__xludf.DUMMYFUNCTION("""COMPUTED_VALUE"""),"Deepak Dhiman")</f>
        <v>Deepak Dhiman</v>
      </c>
      <c r="P374" s="124">
        <f>IFERROR(__xludf.DUMMYFUNCTION("""COMPUTED_VALUE"""),121381.0)</f>
        <v>121381</v>
      </c>
      <c r="Q374" s="124" t="str">
        <f>IFERROR(__xludf.DUMMYFUNCTION("""COMPUTED_VALUE"""),"upsc-gs-foundation-hinglish-target-2027-gsf-upsc-m04-orn")</f>
        <v>upsc-gs-foundation-hinglish-target-2027-gsf-upsc-m04-orn</v>
      </c>
      <c r="R374" s="124" t="str">
        <f>IFERROR(__xludf.DUMMYFUNCTION("""COMPUTED_VALUE"""),"GS Foundation Course")</f>
        <v>GS Foundation Course</v>
      </c>
      <c r="S374" s="124">
        <f>IFERROR(__xludf.DUMMYFUNCTION("""COMPUTED_VALUE"""),7.2061708E9)</f>
        <v>7206170800</v>
      </c>
      <c r="T374" s="124" t="str">
        <f>IFERROR(__xludf.DUMMYFUNCTION("""COMPUTED_VALUE"""),"Collexo")</f>
        <v>Collexo</v>
      </c>
      <c r="U374" s="124" t="str">
        <f>IFERROR(__xludf.DUMMYFUNCTION("""COMPUTED_VALUE"""),"Success")</f>
        <v>Success</v>
      </c>
      <c r="V374" s="131">
        <f>IFERROR(__xludf.DUMMYFUNCTION("""COMPUTED_VALUE"""),46066.0)</f>
        <v>46066</v>
      </c>
      <c r="W374" s="124">
        <f>IFERROR(__xludf.DUMMYFUNCTION("""COMPUTED_VALUE"""),0.0)</f>
        <v>0</v>
      </c>
    </row>
    <row r="375">
      <c r="A375" s="124" t="str">
        <f t="shared" si="1"/>
        <v>buntyrathor007@gmail.com</v>
      </c>
      <c r="B375" s="131">
        <f>IFERROR(__xludf.DUMMYFUNCTION("""COMPUTED_VALUE"""),46049.0)</f>
        <v>46049</v>
      </c>
      <c r="C375" s="124" t="str">
        <f>IFERROR(__xludf.DUMMYFUNCTION("""COMPUTED_VALUE"""),"Payment data from Collexo")</f>
        <v>Payment data from Collexo</v>
      </c>
      <c r="D375" s="124" t="str">
        <f>IFERROR(__xludf.DUMMYFUNCTION("""COMPUTED_VALUE"""),"Not Available")</f>
        <v>Not Available</v>
      </c>
      <c r="E375" s="124">
        <f>IFERROR(__xludf.DUMMYFUNCTION("""COMPUTED_VALUE"""),1500609.0)</f>
        <v>1500609</v>
      </c>
      <c r="F375" s="124" t="str">
        <f>IFERROR(__xludf.DUMMYFUNCTION("""COMPUTED_VALUE"""),"2548_988_7")</f>
        <v>2548_988_7</v>
      </c>
      <c r="G375" s="124">
        <f>IFERROR(__xludf.DUMMYFUNCTION("""COMPUTED_VALUE"""),2000.0)</f>
        <v>2000</v>
      </c>
      <c r="H375" s="131">
        <f>IFERROR(__xludf.DUMMYFUNCTION("""COMPUTED_VALUE"""),46053.0)</f>
        <v>46053</v>
      </c>
      <c r="I375" s="124">
        <f>IFERROR(__xludf.DUMMYFUNCTION("""COMPUTED_VALUE"""),78000.0)</f>
        <v>78000</v>
      </c>
      <c r="J375" s="124">
        <f>IFERROR(__xludf.DUMMYFUNCTION("""COMPUTED_VALUE"""),80000.0)</f>
        <v>80000</v>
      </c>
      <c r="K375" s="124">
        <f>IFERROR(__xludf.DUMMYFUNCTION("""COMPUTED_VALUE"""),2.0)</f>
        <v>2</v>
      </c>
      <c r="L375" s="124">
        <f>IFERROR(__xludf.DUMMYFUNCTION("""COMPUTED_VALUE"""),114.0)</f>
        <v>114</v>
      </c>
      <c r="M375" s="124" t="str">
        <f>IFERROR(__xludf.DUMMYFUNCTION("""COMPUTED_VALUE"""),"New Delhi")</f>
        <v>New Delhi</v>
      </c>
      <c r="N375" s="124" t="str">
        <f>IFERROR(__xludf.DUMMYFUNCTION("""COMPUTED_VALUE"""),"buntyrathor007@gmail.com")</f>
        <v>buntyrathor007@gmail.com</v>
      </c>
      <c r="O375" s="124" t="str">
        <f>IFERROR(__xludf.DUMMYFUNCTION("""COMPUTED_VALUE"""),"Vishal")</f>
        <v>Vishal</v>
      </c>
      <c r="P375" s="124">
        <f>IFERROR(__xludf.DUMMYFUNCTION("""COMPUTED_VALUE"""),49436.0)</f>
        <v>49436</v>
      </c>
      <c r="Q375" s="124" t="str">
        <f>IFERROR(__xludf.DUMMYFUNCTION("""COMPUTED_VALUE"""),"ncert-foundation-hinglish-target-2026-nce-upsc-e02-orn")</f>
        <v>ncert-foundation-hinglish-target-2026-nce-upsc-e02-orn</v>
      </c>
      <c r="R375" s="124" t="str">
        <f>IFERROR(__xludf.DUMMYFUNCTION("""COMPUTED_VALUE"""),"GS Foundation Course")</f>
        <v>GS Foundation Course</v>
      </c>
      <c r="S375" s="124">
        <f>IFERROR(__xludf.DUMMYFUNCTION("""COMPUTED_VALUE"""),7.50548483E9)</f>
        <v>7505484830</v>
      </c>
      <c r="T375" s="124" t="str">
        <f>IFERROR(__xludf.DUMMYFUNCTION("""COMPUTED_VALUE"""),"Collexo")</f>
        <v>Collexo</v>
      </c>
      <c r="U375" s="124" t="str">
        <f>IFERROR(__xludf.DUMMYFUNCTION("""COMPUTED_VALUE"""),"Success")</f>
        <v>Success</v>
      </c>
      <c r="V375" s="131">
        <f>IFERROR(__xludf.DUMMYFUNCTION("""COMPUTED_VALUE"""),46049.0)</f>
        <v>46049</v>
      </c>
      <c r="W375" s="124">
        <f>IFERROR(__xludf.DUMMYFUNCTION("""COMPUTED_VALUE"""),0.0)</f>
        <v>0</v>
      </c>
    </row>
    <row r="376">
      <c r="A376" s="124" t="str">
        <f t="shared" si="1"/>
        <v>snghprithviraj631@gmail.com</v>
      </c>
      <c r="B376" s="131">
        <f>IFERROR(__xludf.DUMMYFUNCTION("""COMPUTED_VALUE"""),46063.0)</f>
        <v>46063</v>
      </c>
      <c r="C376" s="124" t="str">
        <f>IFERROR(__xludf.DUMMYFUNCTION("""COMPUTED_VALUE"""),"Payment data from Collexo")</f>
        <v>Payment data from Collexo</v>
      </c>
      <c r="D376" s="124" t="str">
        <f>IFERROR(__xludf.DUMMYFUNCTION("""COMPUTED_VALUE"""),"Not Available")</f>
        <v>Not Available</v>
      </c>
      <c r="E376" s="124">
        <f>IFERROR(__xludf.DUMMYFUNCTION("""COMPUTED_VALUE"""),1500609.0)</f>
        <v>1500609</v>
      </c>
      <c r="F376" s="124" t="str">
        <f>IFERROR(__xludf.DUMMYFUNCTION("""COMPUTED_VALUE"""),"4548_988_7")</f>
        <v>4548_988_7</v>
      </c>
      <c r="G376" s="124">
        <f>IFERROR(__xludf.DUMMYFUNCTION("""COMPUTED_VALUE"""),5000.0)</f>
        <v>5000</v>
      </c>
      <c r="H376" s="131">
        <f>IFERROR(__xludf.DUMMYFUNCTION("""COMPUTED_VALUE"""),46066.0)</f>
        <v>46066</v>
      </c>
      <c r="I376" s="124">
        <f>IFERROR(__xludf.DUMMYFUNCTION("""COMPUTED_VALUE"""),90000.0)</f>
        <v>90000</v>
      </c>
      <c r="J376" s="124">
        <f>IFERROR(__xludf.DUMMYFUNCTION("""COMPUTED_VALUE"""),95000.0)</f>
        <v>95000</v>
      </c>
      <c r="K376" s="124">
        <f>IFERROR(__xludf.DUMMYFUNCTION("""COMPUTED_VALUE"""),2.0)</f>
        <v>2</v>
      </c>
      <c r="L376" s="124">
        <f>IFERROR(__xludf.DUMMYFUNCTION("""COMPUTED_VALUE"""),192.0)</f>
        <v>192</v>
      </c>
      <c r="M376" s="124" t="str">
        <f>IFERROR(__xludf.DUMMYFUNCTION("""COMPUTED_VALUE"""),"New Delhi")</f>
        <v>New Delhi</v>
      </c>
      <c r="N376" s="124" t="str">
        <f>IFERROR(__xludf.DUMMYFUNCTION("""COMPUTED_VALUE"""),"snghprithviraj631@gmail.com")</f>
        <v>snghprithviraj631@gmail.com</v>
      </c>
      <c r="O376" s="124" t="str">
        <f>IFERROR(__xludf.DUMMYFUNCTION("""COMPUTED_VALUE"""),"Prithviraj singh")</f>
        <v>Prithviraj singh</v>
      </c>
      <c r="P376" s="124">
        <f>IFERROR(__xludf.DUMMYFUNCTION("""COMPUTED_VALUE"""),82022.0)</f>
        <v>82022</v>
      </c>
      <c r="Q376" s="124" t="str">
        <f>IFERROR(__xludf.DUMMYFUNCTION("""COMPUTED_VALUE"""),"upsc-gs-foundation-hinglish-target-2028-gsf-upsc-m04-orn")</f>
        <v>upsc-gs-foundation-hinglish-target-2028-gsf-upsc-m04-orn</v>
      </c>
      <c r="R376" s="124" t="str">
        <f>IFERROR(__xludf.DUMMYFUNCTION("""COMPUTED_VALUE"""),"GS Foundation Course")</f>
        <v>GS Foundation Course</v>
      </c>
      <c r="S376" s="124">
        <f>IFERROR(__xludf.DUMMYFUNCTION("""COMPUTED_VALUE"""),9.929462273E9)</f>
        <v>9929462273</v>
      </c>
      <c r="T376" s="124" t="str">
        <f>IFERROR(__xludf.DUMMYFUNCTION("""COMPUTED_VALUE"""),"Collexo")</f>
        <v>Collexo</v>
      </c>
      <c r="U376" s="124" t="str">
        <f>IFERROR(__xludf.DUMMYFUNCTION("""COMPUTED_VALUE"""),"Success")</f>
        <v>Success</v>
      </c>
      <c r="V376" s="131">
        <f>IFERROR(__xludf.DUMMYFUNCTION("""COMPUTED_VALUE"""),46063.0)</f>
        <v>46063</v>
      </c>
      <c r="W376" s="124">
        <f>IFERROR(__xludf.DUMMYFUNCTION("""COMPUTED_VALUE"""),0.0)</f>
        <v>0</v>
      </c>
    </row>
    <row r="377">
      <c r="A377" s="124" t="str">
        <f t="shared" si="1"/>
        <v>komal.pandey8178@gmail.com</v>
      </c>
      <c r="B377" s="131">
        <f>IFERROR(__xludf.DUMMYFUNCTION("""COMPUTED_VALUE"""),46101.0)</f>
        <v>46101</v>
      </c>
      <c r="C377" s="124" t="str">
        <f>IFERROR(__xludf.DUMMYFUNCTION("""COMPUTED_VALUE"""),"Payment data from Collexo")</f>
        <v>Payment data from Collexo</v>
      </c>
      <c r="D377" s="124" t="str">
        <f>IFERROR(__xludf.DUMMYFUNCTION("""COMPUTED_VALUE"""),"Not Available")</f>
        <v>Not Available</v>
      </c>
      <c r="E377" s="124">
        <f>IFERROR(__xludf.DUMMYFUNCTION("""COMPUTED_VALUE"""),1500609.0)</f>
        <v>1500609</v>
      </c>
      <c r="F377" s="124" t="str">
        <f>IFERROR(__xludf.DUMMYFUNCTION("""COMPUTED_VALUE"""),"15567_988_7")</f>
        <v>15567_988_7</v>
      </c>
      <c r="G377" s="124">
        <f>IFERROR(__xludf.DUMMYFUNCTION("""COMPUTED_VALUE"""),1.0)</f>
        <v>1</v>
      </c>
      <c r="H377" s="124" t="str">
        <f>IFERROR(__xludf.DUMMYFUNCTION("""COMPUTED_VALUE"""),"Not Available")</f>
        <v>Not Available</v>
      </c>
      <c r="I377" s="124">
        <f>IFERROR(__xludf.DUMMYFUNCTION("""COMPUTED_VALUE"""),0.0)</f>
        <v>0</v>
      </c>
      <c r="J377" s="124">
        <f>IFERROR(__xludf.DUMMYFUNCTION("""COMPUTED_VALUE"""),1.0)</f>
        <v>1</v>
      </c>
      <c r="K377" s="124">
        <f>IFERROR(__xludf.DUMMYFUNCTION("""COMPUTED_VALUE"""),1.0)</f>
        <v>1</v>
      </c>
      <c r="L377" s="124">
        <f>IFERROR(__xludf.DUMMYFUNCTION("""COMPUTED_VALUE"""),647.0)</f>
        <v>647</v>
      </c>
      <c r="M377" s="124" t="str">
        <f>IFERROR(__xludf.DUMMYFUNCTION("""COMPUTED_VALUE"""),"New Delhi")</f>
        <v>New Delhi</v>
      </c>
      <c r="N377" s="124" t="str">
        <f>IFERROR(__xludf.DUMMYFUNCTION("""COMPUTED_VALUE"""),"komal.pandey8178@gmail.com")</f>
        <v>komal.pandey8178@gmail.com</v>
      </c>
      <c r="O377" s="124" t="str">
        <f>IFERROR(__xludf.DUMMYFUNCTION("""COMPUTED_VALUE"""),"Komal")</f>
        <v>Komal</v>
      </c>
      <c r="P377" s="124">
        <f>IFERROR(__xludf.DUMMYFUNCTION("""COMPUTED_VALUE"""),129396.0)</f>
        <v>129396</v>
      </c>
      <c r="Q377" s="124" t="str">
        <f>IFERROR(__xludf.DUMMYFUNCTION("""COMPUTED_VALUE"""),"upsc-gs-foundation-hinglish-target-2028-gsf-upsc-e05-orn")</f>
        <v>upsc-gs-foundation-hinglish-target-2028-gsf-upsc-e05-orn</v>
      </c>
      <c r="R377" s="124" t="str">
        <f>IFERROR(__xludf.DUMMYFUNCTION("""COMPUTED_VALUE"""),"GS Foundation Course")</f>
        <v>GS Foundation Course</v>
      </c>
      <c r="S377" s="124">
        <f>IFERROR(__xludf.DUMMYFUNCTION("""COMPUTED_VALUE"""),8.882617101E9)</f>
        <v>8882617101</v>
      </c>
      <c r="T377" s="124" t="str">
        <f>IFERROR(__xludf.DUMMYFUNCTION("""COMPUTED_VALUE"""),"Collexo")</f>
        <v>Collexo</v>
      </c>
      <c r="U377" s="124" t="str">
        <f>IFERROR(__xludf.DUMMYFUNCTION("""COMPUTED_VALUE"""),"Success")</f>
        <v>Success</v>
      </c>
      <c r="V377" s="131">
        <f>IFERROR(__xludf.DUMMYFUNCTION("""COMPUTED_VALUE"""),46101.0)</f>
        <v>46101</v>
      </c>
      <c r="W377" s="124">
        <f>IFERROR(__xludf.DUMMYFUNCTION("""COMPUTED_VALUE"""),0.0)</f>
        <v>0</v>
      </c>
    </row>
    <row r="378">
      <c r="A378" s="124" t="str">
        <f t="shared" si="1"/>
        <v>stopwastingtime770@gmail.com</v>
      </c>
      <c r="B378" s="131">
        <f>IFERROR(__xludf.DUMMYFUNCTION("""COMPUTED_VALUE"""),46094.0)</f>
        <v>46094</v>
      </c>
      <c r="C378" s="124" t="str">
        <f>IFERROR(__xludf.DUMMYFUNCTION("""COMPUTED_VALUE"""),"Payment data from Collexo")</f>
        <v>Payment data from Collexo</v>
      </c>
      <c r="D378" s="124" t="str">
        <f>IFERROR(__xludf.DUMMYFUNCTION("""COMPUTED_VALUE"""),"Not Available")</f>
        <v>Not Available</v>
      </c>
      <c r="E378" s="124">
        <f>IFERROR(__xludf.DUMMYFUNCTION("""COMPUTED_VALUE"""),1500610.0)</f>
        <v>1500610</v>
      </c>
      <c r="F378" s="124">
        <f>IFERROR(__xludf.DUMMYFUNCTION("""COMPUTED_VALUE"""),127415.0)</f>
        <v>127415</v>
      </c>
      <c r="G378" s="124">
        <f>IFERROR(__xludf.DUMMYFUNCTION("""COMPUTED_VALUE"""),45000.0)</f>
        <v>45000</v>
      </c>
      <c r="H378" s="124" t="str">
        <f>IFERROR(__xludf.DUMMYFUNCTION("""COMPUTED_VALUE"""),"Not Available")</f>
        <v>Not Available</v>
      </c>
      <c r="I378" s="124">
        <f>IFERROR(__xludf.DUMMYFUNCTION("""COMPUTED_VALUE"""),0.0)</f>
        <v>0</v>
      </c>
      <c r="J378" s="124">
        <f>IFERROR(__xludf.DUMMYFUNCTION("""COMPUTED_VALUE"""),55000.0)</f>
        <v>55000</v>
      </c>
      <c r="K378" s="124">
        <f>IFERROR(__xludf.DUMMYFUNCTION("""COMPUTED_VALUE"""),2.0)</f>
        <v>2</v>
      </c>
      <c r="L378" s="124">
        <f>IFERROR(__xludf.DUMMYFUNCTION("""COMPUTED_VALUE"""),527.0)</f>
        <v>527</v>
      </c>
      <c r="M378" s="124" t="str">
        <f>IFERROR(__xludf.DUMMYFUNCTION("""COMPUTED_VALUE"""),"Lucknow")</f>
        <v>Lucknow</v>
      </c>
      <c r="N378" s="124" t="str">
        <f>IFERROR(__xludf.DUMMYFUNCTION("""COMPUTED_VALUE"""),"stopwastingtime770@gmail.com")</f>
        <v>stopwastingtime770@gmail.com</v>
      </c>
      <c r="O378" s="124" t="str">
        <f>IFERROR(__xludf.DUMMYFUNCTION("""COMPUTED_VALUE"""),"Saumya Singh")</f>
        <v>Saumya Singh</v>
      </c>
      <c r="P378" s="124">
        <f>IFERROR(__xludf.DUMMYFUNCTION("""COMPUTED_VALUE"""),127415.0)</f>
        <v>127415</v>
      </c>
      <c r="Q378" s="124" t="str">
        <f>IFERROR(__xludf.DUMMYFUNCTION("""COMPUTED_VALUE"""),"Not Available")</f>
        <v>Not Available</v>
      </c>
      <c r="R378" s="124" t="str">
        <f>IFERROR(__xludf.DUMMYFUNCTION("""COMPUTED_VALUE"""),"GS Foundation Course")</f>
        <v>GS Foundation Course</v>
      </c>
      <c r="S378" s="124">
        <f>IFERROR(__xludf.DUMMYFUNCTION("""COMPUTED_VALUE"""),9.369889813E9)</f>
        <v>9369889813</v>
      </c>
      <c r="T378" s="124" t="str">
        <f>IFERROR(__xludf.DUMMYFUNCTION("""COMPUTED_VALUE"""),"Not Available")</f>
        <v>Not Available</v>
      </c>
      <c r="U378" s="124" t="str">
        <f>IFERROR(__xludf.DUMMYFUNCTION("""COMPUTED_VALUE"""),"Not Available")</f>
        <v>Not Available</v>
      </c>
      <c r="V378" s="124" t="str">
        <f>IFERROR(__xludf.DUMMYFUNCTION("""COMPUTED_VALUE"""),"Not Available")</f>
        <v>Not Available</v>
      </c>
      <c r="W378" s="124" t="str">
        <f>IFERROR(__xludf.DUMMYFUNCTION("""COMPUTED_VALUE"""),"Not Available")</f>
        <v>Not Available</v>
      </c>
    </row>
    <row r="379">
      <c r="A379" s="124" t="str">
        <f t="shared" si="1"/>
        <v>stopwastingtime770@gmail.com</v>
      </c>
      <c r="B379" s="131">
        <f>IFERROR(__xludf.DUMMYFUNCTION("""COMPUTED_VALUE"""),46093.0)</f>
        <v>46093</v>
      </c>
      <c r="C379" s="124" t="str">
        <f>IFERROR(__xludf.DUMMYFUNCTION("""COMPUTED_VALUE"""),"Payment data from Collexo")</f>
        <v>Payment data from Collexo</v>
      </c>
      <c r="D379" s="124" t="str">
        <f>IFERROR(__xludf.DUMMYFUNCTION("""COMPUTED_VALUE"""),"Not Available")</f>
        <v>Not Available</v>
      </c>
      <c r="E379" s="124">
        <f>IFERROR(__xludf.DUMMYFUNCTION("""COMPUTED_VALUE"""),1500610.0)</f>
        <v>1500610</v>
      </c>
      <c r="F379" s="124">
        <f>IFERROR(__xludf.DUMMYFUNCTION("""COMPUTED_VALUE"""),127415.0)</f>
        <v>127415</v>
      </c>
      <c r="G379" s="124">
        <f>IFERROR(__xludf.DUMMYFUNCTION("""COMPUTED_VALUE"""),10000.0)</f>
        <v>10000</v>
      </c>
      <c r="H379" s="131">
        <f>IFERROR(__xludf.DUMMYFUNCTION("""COMPUTED_VALUE"""),46105.0)</f>
        <v>46105</v>
      </c>
      <c r="I379" s="124">
        <f>IFERROR(__xludf.DUMMYFUNCTION("""COMPUTED_VALUE"""),45000.0)</f>
        <v>45000</v>
      </c>
      <c r="J379" s="124">
        <f>IFERROR(__xludf.DUMMYFUNCTION("""COMPUTED_VALUE"""),55000.0)</f>
        <v>55000</v>
      </c>
      <c r="K379" s="124">
        <f>IFERROR(__xludf.DUMMYFUNCTION("""COMPUTED_VALUE"""),2.0)</f>
        <v>2</v>
      </c>
      <c r="L379" s="124">
        <f>IFERROR(__xludf.DUMMYFUNCTION("""COMPUTED_VALUE"""),510.0)</f>
        <v>510</v>
      </c>
      <c r="M379" s="124" t="str">
        <f>IFERROR(__xludf.DUMMYFUNCTION("""COMPUTED_VALUE"""),"Lucknow")</f>
        <v>Lucknow</v>
      </c>
      <c r="N379" s="124" t="str">
        <f>IFERROR(__xludf.DUMMYFUNCTION("""COMPUTED_VALUE"""),"stopwastingtime770@gmail.com")</f>
        <v>stopwastingtime770@gmail.com</v>
      </c>
      <c r="O379" s="124" t="str">
        <f>IFERROR(__xludf.DUMMYFUNCTION("""COMPUTED_VALUE"""),"Saumya Singh")</f>
        <v>Saumya Singh</v>
      </c>
      <c r="P379" s="124">
        <f>IFERROR(__xludf.DUMMYFUNCTION("""COMPUTED_VALUE"""),127415.0)</f>
        <v>127415</v>
      </c>
      <c r="Q379" s="124" t="str">
        <f>IFERROR(__xludf.DUMMYFUNCTION("""COMPUTED_VALUE"""),"Not Available")</f>
        <v>Not Available</v>
      </c>
      <c r="R379" s="124" t="str">
        <f>IFERROR(__xludf.DUMMYFUNCTION("""COMPUTED_VALUE"""),"GS Foundation Course")</f>
        <v>GS Foundation Course</v>
      </c>
      <c r="S379" s="124">
        <f>IFERROR(__xludf.DUMMYFUNCTION("""COMPUTED_VALUE"""),9.369889813E9)</f>
        <v>9369889813</v>
      </c>
      <c r="T379" s="124" t="str">
        <f>IFERROR(__xludf.DUMMYFUNCTION("""COMPUTED_VALUE"""),"Not Available")</f>
        <v>Not Available</v>
      </c>
      <c r="U379" s="124" t="str">
        <f>IFERROR(__xludf.DUMMYFUNCTION("""COMPUTED_VALUE"""),"Not Available")</f>
        <v>Not Available</v>
      </c>
      <c r="V379" s="124" t="str">
        <f>IFERROR(__xludf.DUMMYFUNCTION("""COMPUTED_VALUE"""),"Not Available")</f>
        <v>Not Available</v>
      </c>
      <c r="W379" s="124" t="str">
        <f>IFERROR(__xludf.DUMMYFUNCTION("""COMPUTED_VALUE"""),"Not Available")</f>
        <v>Not Available</v>
      </c>
    </row>
    <row r="380">
      <c r="A380" s="124" t="str">
        <f t="shared" si="1"/>
        <v>akashvaidwan123@gmail.com</v>
      </c>
      <c r="B380" s="131">
        <f>IFERROR(__xludf.DUMMYFUNCTION("""COMPUTED_VALUE"""),46072.0)</f>
        <v>46072</v>
      </c>
      <c r="C380" s="124" t="str">
        <f>IFERROR(__xludf.DUMMYFUNCTION("""COMPUTED_VALUE"""),"Payment data from Collexo")</f>
        <v>Payment data from Collexo</v>
      </c>
      <c r="D380" s="124" t="str">
        <f>IFERROR(__xludf.DUMMYFUNCTION("""COMPUTED_VALUE"""),"Not Available")</f>
        <v>Not Available</v>
      </c>
      <c r="E380" s="124">
        <f>IFERROR(__xludf.DUMMYFUNCTION("""COMPUTED_VALUE"""),1500609.0)</f>
        <v>1500609</v>
      </c>
      <c r="F380" s="124" t="str">
        <f>IFERROR(__xludf.DUMMYFUNCTION("""COMPUTED_VALUE"""),"6532_988_7")</f>
        <v>6532_988_7</v>
      </c>
      <c r="G380" s="124">
        <f>IFERROR(__xludf.DUMMYFUNCTION("""COMPUTED_VALUE"""),2000.0)</f>
        <v>2000</v>
      </c>
      <c r="H380" s="131">
        <f>IFERROR(__xludf.DUMMYFUNCTION("""COMPUTED_VALUE"""),46081.0)</f>
        <v>46081</v>
      </c>
      <c r="I380" s="124">
        <f>IFERROR(__xludf.DUMMYFUNCTION("""COMPUTED_VALUE"""),123000.0)</f>
        <v>123000</v>
      </c>
      <c r="J380" s="124">
        <f>IFERROR(__xludf.DUMMYFUNCTION("""COMPUTED_VALUE"""),125000.0)</f>
        <v>125000</v>
      </c>
      <c r="K380" s="124">
        <f>IFERROR(__xludf.DUMMYFUNCTION("""COMPUTED_VALUE"""),2.0)</f>
        <v>2</v>
      </c>
      <c r="L380" s="124">
        <f>IFERROR(__xludf.DUMMYFUNCTION("""COMPUTED_VALUE"""),272.0)</f>
        <v>272</v>
      </c>
      <c r="M380" s="124" t="str">
        <f>IFERROR(__xludf.DUMMYFUNCTION("""COMPUTED_VALUE"""),"New Delhi")</f>
        <v>New Delhi</v>
      </c>
      <c r="N380" s="124" t="str">
        <f>IFERROR(__xludf.DUMMYFUNCTION("""COMPUTED_VALUE"""),"akashvaidwan123@gmail.com")</f>
        <v>akashvaidwan123@gmail.com</v>
      </c>
      <c r="O380" s="124" t="str">
        <f>IFERROR(__xludf.DUMMYFUNCTION("""COMPUTED_VALUE"""),"Akash vaidwan")</f>
        <v>Akash vaidwan</v>
      </c>
      <c r="P380" s="124">
        <f>IFERROR(__xludf.DUMMYFUNCTION("""COMPUTED_VALUE"""),123718.0)</f>
        <v>123718</v>
      </c>
      <c r="Q380" s="124" t="str">
        <f>IFERROR(__xludf.DUMMYFUNCTION("""COMPUTED_VALUE"""),"upsc-gs-foundation-hinglish-target-2027-gsf-upsc-e04-orn")</f>
        <v>upsc-gs-foundation-hinglish-target-2027-gsf-upsc-e04-orn</v>
      </c>
      <c r="R380" s="124" t="str">
        <f>IFERROR(__xludf.DUMMYFUNCTION("""COMPUTED_VALUE"""),"GS Foundation Course")</f>
        <v>GS Foundation Course</v>
      </c>
      <c r="S380" s="124">
        <f>IFERROR(__xludf.DUMMYFUNCTION("""COMPUTED_VALUE"""),9.528831545E9)</f>
        <v>9528831545</v>
      </c>
      <c r="T380" s="124" t="str">
        <f>IFERROR(__xludf.DUMMYFUNCTION("""COMPUTED_VALUE"""),"Collexo")</f>
        <v>Collexo</v>
      </c>
      <c r="U380" s="124" t="str">
        <f>IFERROR(__xludf.DUMMYFUNCTION("""COMPUTED_VALUE"""),"Success")</f>
        <v>Success</v>
      </c>
      <c r="V380" s="131">
        <f>IFERROR(__xludf.DUMMYFUNCTION("""COMPUTED_VALUE"""),46072.0)</f>
        <v>46072</v>
      </c>
      <c r="W380" s="124">
        <f>IFERROR(__xludf.DUMMYFUNCTION("""COMPUTED_VALUE"""),0.0)</f>
        <v>0</v>
      </c>
    </row>
    <row r="381">
      <c r="A381" s="124" t="str">
        <f t="shared" si="1"/>
        <v>ayushsrivastava556@gmail.com</v>
      </c>
      <c r="B381" s="131">
        <f>IFERROR(__xludf.DUMMYFUNCTION("""COMPUTED_VALUE"""),46092.0)</f>
        <v>46092</v>
      </c>
      <c r="C381" s="124" t="str">
        <f>IFERROR(__xludf.DUMMYFUNCTION("""COMPUTED_VALUE"""),"Payment data from Collexo")</f>
        <v>Payment data from Collexo</v>
      </c>
      <c r="D381" s="124" t="str">
        <f>IFERROR(__xludf.DUMMYFUNCTION("""COMPUTED_VALUE"""),"Not Available")</f>
        <v>Not Available</v>
      </c>
      <c r="E381" s="124">
        <f>IFERROR(__xludf.DUMMYFUNCTION("""COMPUTED_VALUE"""),1500613.0)</f>
        <v>1500613</v>
      </c>
      <c r="F381" s="124">
        <f>IFERROR(__xludf.DUMMYFUNCTION("""COMPUTED_VALUE"""),127147.0)</f>
        <v>127147</v>
      </c>
      <c r="G381" s="124">
        <f>IFERROR(__xludf.DUMMYFUNCTION("""COMPUTED_VALUE"""),38000.0)</f>
        <v>38000</v>
      </c>
      <c r="H381" s="124" t="str">
        <f>IFERROR(__xludf.DUMMYFUNCTION("""COMPUTED_VALUE"""),"Not Available")</f>
        <v>Not Available</v>
      </c>
      <c r="I381" s="124">
        <f>IFERROR(__xludf.DUMMYFUNCTION("""COMPUTED_VALUE"""),0.0)</f>
        <v>0</v>
      </c>
      <c r="J381" s="124">
        <f>IFERROR(__xludf.DUMMYFUNCTION("""COMPUTED_VALUE"""),44000.0)</f>
        <v>44000</v>
      </c>
      <c r="K381" s="124">
        <f>IFERROR(__xludf.DUMMYFUNCTION("""COMPUTED_VALUE"""),3.0)</f>
        <v>3</v>
      </c>
      <c r="L381" s="124">
        <f>IFERROR(__xludf.DUMMYFUNCTION("""COMPUTED_VALUE"""),495.0)</f>
        <v>495</v>
      </c>
      <c r="M381" s="124" t="str">
        <f>IFERROR(__xludf.DUMMYFUNCTION("""COMPUTED_VALUE"""),"Prayagraj")</f>
        <v>Prayagraj</v>
      </c>
      <c r="N381" s="124" t="str">
        <f>IFERROR(__xludf.DUMMYFUNCTION("""COMPUTED_VALUE"""),"ayushsrivastava556@gmail.com")</f>
        <v>ayushsrivastava556@gmail.com</v>
      </c>
      <c r="O381" s="124" t="str">
        <f>IFERROR(__xludf.DUMMYFUNCTION("""COMPUTED_VALUE"""),"Ayush Prakash")</f>
        <v>Ayush Prakash</v>
      </c>
      <c r="P381" s="124">
        <f>IFERROR(__xludf.DUMMYFUNCTION("""COMPUTED_VALUE"""),127147.0)</f>
        <v>127147</v>
      </c>
      <c r="Q381" s="124" t="str">
        <f>IFERROR(__xludf.DUMMYFUNCTION("""COMPUTED_VALUE"""),"upsc-gs-foundation-hinglish-target-2027-gsf-upsc-e03-pry")</f>
        <v>upsc-gs-foundation-hinglish-target-2027-gsf-upsc-e03-pry</v>
      </c>
      <c r="R381" s="124" t="str">
        <f>IFERROR(__xludf.DUMMYFUNCTION("""COMPUTED_VALUE"""),"State PCS")</f>
        <v>State PCS</v>
      </c>
      <c r="S381" s="124">
        <f>IFERROR(__xludf.DUMMYFUNCTION("""COMPUTED_VALUE"""),9.648560889E9)</f>
        <v>9648560889</v>
      </c>
      <c r="T381" s="124" t="str">
        <f>IFERROR(__xludf.DUMMYFUNCTION("""COMPUTED_VALUE"""),"Not Available")</f>
        <v>Not Available</v>
      </c>
      <c r="U381" s="124" t="str">
        <f>IFERROR(__xludf.DUMMYFUNCTION("""COMPUTED_VALUE"""),"Not Available")</f>
        <v>Not Available</v>
      </c>
      <c r="V381" s="124" t="str">
        <f>IFERROR(__xludf.DUMMYFUNCTION("""COMPUTED_VALUE"""),"Not Available")</f>
        <v>Not Available</v>
      </c>
      <c r="W381" s="124" t="str">
        <f>IFERROR(__xludf.DUMMYFUNCTION("""COMPUTED_VALUE"""),"Not Available")</f>
        <v>Not Available</v>
      </c>
    </row>
    <row r="382">
      <c r="A382" s="124" t="str">
        <f t="shared" si="1"/>
        <v>aditya2008du@gmail.com</v>
      </c>
      <c r="B382" s="131">
        <f>IFERROR(__xludf.DUMMYFUNCTION("""COMPUTED_VALUE"""),46094.0)</f>
        <v>46094</v>
      </c>
      <c r="C382" s="124" t="str">
        <f>IFERROR(__xludf.DUMMYFUNCTION("""COMPUTED_VALUE"""),"Payment data from Collexo")</f>
        <v>Payment data from Collexo</v>
      </c>
      <c r="D382" s="124" t="str">
        <f>IFERROR(__xludf.DUMMYFUNCTION("""COMPUTED_VALUE"""),"Not Available")</f>
        <v>Not Available</v>
      </c>
      <c r="E382" s="124">
        <f>IFERROR(__xludf.DUMMYFUNCTION("""COMPUTED_VALUE"""),1500609.0)</f>
        <v>1500609</v>
      </c>
      <c r="F382" s="124" t="str">
        <f>IFERROR(__xludf.DUMMYFUNCTION("""COMPUTED_VALUE"""),"13972_988_7")</f>
        <v>13972_988_7</v>
      </c>
      <c r="G382" s="124">
        <f>IFERROR(__xludf.DUMMYFUNCTION("""COMPUTED_VALUE"""),1.0)</f>
        <v>1</v>
      </c>
      <c r="H382" s="124" t="str">
        <f>IFERROR(__xludf.DUMMYFUNCTION("""COMPUTED_VALUE"""),"Not Available")</f>
        <v>Not Available</v>
      </c>
      <c r="I382" s="124">
        <f>IFERROR(__xludf.DUMMYFUNCTION("""COMPUTED_VALUE"""),0.0)</f>
        <v>0</v>
      </c>
      <c r="J382" s="124">
        <f>IFERROR(__xludf.DUMMYFUNCTION("""COMPUTED_VALUE"""),1.0)</f>
        <v>1</v>
      </c>
      <c r="K382" s="124">
        <f>IFERROR(__xludf.DUMMYFUNCTION("""COMPUTED_VALUE"""),1.0)</f>
        <v>1</v>
      </c>
      <c r="L382" s="124">
        <f>IFERROR(__xludf.DUMMYFUNCTION("""COMPUTED_VALUE"""),521.0)</f>
        <v>521</v>
      </c>
      <c r="M382" s="124" t="str">
        <f>IFERROR(__xludf.DUMMYFUNCTION("""COMPUTED_VALUE"""),"New Delhi")</f>
        <v>New Delhi</v>
      </c>
      <c r="N382" s="124" t="str">
        <f>IFERROR(__xludf.DUMMYFUNCTION("""COMPUTED_VALUE"""),"aditya2008du@gmail.com")</f>
        <v>aditya2008du@gmail.com</v>
      </c>
      <c r="O382" s="124" t="str">
        <f>IFERROR(__xludf.DUMMYFUNCTION("""COMPUTED_VALUE"""),"Aditya")</f>
        <v>Aditya</v>
      </c>
      <c r="P382" s="124">
        <f>IFERROR(__xludf.DUMMYFUNCTION("""COMPUTED_VALUE"""),127048.0)</f>
        <v>127048</v>
      </c>
      <c r="Q382" s="124" t="str">
        <f>IFERROR(__xludf.DUMMYFUNCTION("""COMPUTED_VALUE"""),"-")</f>
        <v>-</v>
      </c>
      <c r="R382" s="124" t="str">
        <f>IFERROR(__xludf.DUMMYFUNCTION("""COMPUTED_VALUE"""),"GS Foundation Course")</f>
        <v>GS Foundation Course</v>
      </c>
      <c r="S382" s="124">
        <f>IFERROR(__xludf.DUMMYFUNCTION("""COMPUTED_VALUE"""),7.568052526E9)</f>
        <v>7568052526</v>
      </c>
      <c r="T382" s="124" t="str">
        <f>IFERROR(__xludf.DUMMYFUNCTION("""COMPUTED_VALUE"""),"Collexo")</f>
        <v>Collexo</v>
      </c>
      <c r="U382" s="124" t="str">
        <f>IFERROR(__xludf.DUMMYFUNCTION("""COMPUTED_VALUE"""),"Success")</f>
        <v>Success</v>
      </c>
      <c r="V382" s="131">
        <f>IFERROR(__xludf.DUMMYFUNCTION("""COMPUTED_VALUE"""),46094.0)</f>
        <v>46094</v>
      </c>
      <c r="W382" s="124">
        <f>IFERROR(__xludf.DUMMYFUNCTION("""COMPUTED_VALUE"""),0.0)</f>
        <v>0</v>
      </c>
    </row>
    <row r="383">
      <c r="A383" s="124" t="str">
        <f t="shared" si="1"/>
        <v>rohitmore4300@gmail.com</v>
      </c>
      <c r="B383" s="131">
        <f>IFERROR(__xludf.DUMMYFUNCTION("""COMPUTED_VALUE"""),46087.0)</f>
        <v>46087</v>
      </c>
      <c r="C383" s="124" t="str">
        <f>IFERROR(__xludf.DUMMYFUNCTION("""COMPUTED_VALUE"""),"Payment data from Collexo")</f>
        <v>Payment data from Collexo</v>
      </c>
      <c r="D383" s="124" t="str">
        <f>IFERROR(__xludf.DUMMYFUNCTION("""COMPUTED_VALUE"""),"Not Available")</f>
        <v>Not Available</v>
      </c>
      <c r="E383" s="124">
        <f>IFERROR(__xludf.DUMMYFUNCTION("""COMPUTED_VALUE"""),1500612.0)</f>
        <v>1500612</v>
      </c>
      <c r="F383" s="124">
        <f>IFERROR(__xludf.DUMMYFUNCTION("""COMPUTED_VALUE"""),126147.0)</f>
        <v>126147</v>
      </c>
      <c r="G383" s="124">
        <f>IFERROR(__xludf.DUMMYFUNCTION("""COMPUTED_VALUE"""),5000.0)</f>
        <v>5000</v>
      </c>
      <c r="H383" s="131">
        <f>IFERROR(__xludf.DUMMYFUNCTION("""COMPUTED_VALUE"""),46142.0)</f>
        <v>46142</v>
      </c>
      <c r="I383" s="124">
        <f>IFERROR(__xludf.DUMMYFUNCTION("""COMPUTED_VALUE"""),40000.0)</f>
        <v>40000</v>
      </c>
      <c r="J383" s="124">
        <f>IFERROR(__xludf.DUMMYFUNCTION("""COMPUTED_VALUE"""),45000.0)</f>
        <v>45000</v>
      </c>
      <c r="K383" s="124">
        <f>IFERROR(__xludf.DUMMYFUNCTION("""COMPUTED_VALUE"""),2.0)</f>
        <v>2</v>
      </c>
      <c r="L383" s="124">
        <f>IFERROR(__xludf.DUMMYFUNCTION("""COMPUTED_VALUE"""),419.0)</f>
        <v>419</v>
      </c>
      <c r="M383" s="124" t="str">
        <f>IFERROR(__xludf.DUMMYFUNCTION("""COMPUTED_VALUE"""),"Indore")</f>
        <v>Indore</v>
      </c>
      <c r="N383" s="124" t="str">
        <f>IFERROR(__xludf.DUMMYFUNCTION("""COMPUTED_VALUE"""),"rohitmore4300@gmail.com")</f>
        <v>rohitmore4300@gmail.com</v>
      </c>
      <c r="O383" s="124" t="str">
        <f>IFERROR(__xludf.DUMMYFUNCTION("""COMPUTED_VALUE"""),"Rohit more")</f>
        <v>Rohit more</v>
      </c>
      <c r="P383" s="124">
        <f>IFERROR(__xludf.DUMMYFUNCTION("""COMPUTED_VALUE"""),126147.0)</f>
        <v>126147</v>
      </c>
      <c r="Q383" s="124" t="str">
        <f>IFERROR(__xludf.DUMMYFUNCTION("""COMPUTED_VALUE"""),"madhya-pradesh-psc-gs-foundation-2027-p2i-offline-hindi-batch-2-e-ind")</f>
        <v>madhya-pradesh-psc-gs-foundation-2027-p2i-offline-hindi-batch-2-e-ind</v>
      </c>
      <c r="R383" s="124" t="str">
        <f>IFERROR(__xludf.DUMMYFUNCTION("""COMPUTED_VALUE"""),"GS Foundation Course")</f>
        <v>GS Foundation Course</v>
      </c>
      <c r="S383" s="124">
        <f>IFERROR(__xludf.DUMMYFUNCTION("""COMPUTED_VALUE"""),7.8799943E9)</f>
        <v>7879994300</v>
      </c>
      <c r="T383" s="124" t="str">
        <f>IFERROR(__xludf.DUMMYFUNCTION("""COMPUTED_VALUE"""),"Not Available")</f>
        <v>Not Available</v>
      </c>
      <c r="U383" s="124" t="str">
        <f>IFERROR(__xludf.DUMMYFUNCTION("""COMPUTED_VALUE"""),"Not Available")</f>
        <v>Not Available</v>
      </c>
      <c r="V383" s="124" t="str">
        <f>IFERROR(__xludf.DUMMYFUNCTION("""COMPUTED_VALUE"""),"Not Available")</f>
        <v>Not Available</v>
      </c>
      <c r="W383" s="124" t="str">
        <f>IFERROR(__xludf.DUMMYFUNCTION("""COMPUTED_VALUE"""),"Not Available")</f>
        <v>Not Available</v>
      </c>
    </row>
    <row r="384">
      <c r="A384" s="124" t="str">
        <f t="shared" si="1"/>
        <v>tarun9950214514@gmail.com</v>
      </c>
      <c r="B384" s="131">
        <f>IFERROR(__xludf.DUMMYFUNCTION("""COMPUTED_VALUE"""),46053.0)</f>
        <v>46053</v>
      </c>
      <c r="C384" s="124" t="str">
        <f>IFERROR(__xludf.DUMMYFUNCTION("""COMPUTED_VALUE"""),"Payment data from Collexo")</f>
        <v>Payment data from Collexo</v>
      </c>
      <c r="D384" s="124" t="str">
        <f>IFERROR(__xludf.DUMMYFUNCTION("""COMPUTED_VALUE"""),"Not Available")</f>
        <v>Not Available</v>
      </c>
      <c r="E384" s="124">
        <f>IFERROR(__xludf.DUMMYFUNCTION("""COMPUTED_VALUE"""),1500609.0)</f>
        <v>1500609</v>
      </c>
      <c r="F384" s="124" t="str">
        <f>IFERROR(__xludf.DUMMYFUNCTION("""COMPUTED_VALUE"""),"3289_988_7")</f>
        <v>3289_988_7</v>
      </c>
      <c r="G384" s="124">
        <f>IFERROR(__xludf.DUMMYFUNCTION("""COMPUTED_VALUE"""),2000.0)</f>
        <v>2000</v>
      </c>
      <c r="H384" s="131">
        <f>IFERROR(__xludf.DUMMYFUNCTION("""COMPUTED_VALUE"""),46059.0)</f>
        <v>46059</v>
      </c>
      <c r="I384" s="124">
        <f>IFERROR(__xludf.DUMMYFUNCTION("""COMPUTED_VALUE"""),88000.0)</f>
        <v>88000</v>
      </c>
      <c r="J384" s="124">
        <f>IFERROR(__xludf.DUMMYFUNCTION("""COMPUTED_VALUE"""),90000.0)</f>
        <v>90000</v>
      </c>
      <c r="K384" s="124">
        <f>IFERROR(__xludf.DUMMYFUNCTION("""COMPUTED_VALUE"""),2.0)</f>
        <v>2</v>
      </c>
      <c r="L384" s="124">
        <f>IFERROR(__xludf.DUMMYFUNCTION("""COMPUTED_VALUE"""),147.0)</f>
        <v>147</v>
      </c>
      <c r="M384" s="124" t="str">
        <f>IFERROR(__xludf.DUMMYFUNCTION("""COMPUTED_VALUE"""),"New Delhi")</f>
        <v>New Delhi</v>
      </c>
      <c r="N384" s="124" t="str">
        <f>IFERROR(__xludf.DUMMYFUNCTION("""COMPUTED_VALUE"""),"tarun9950214514@gmail.com")</f>
        <v>tarun9950214514@gmail.com</v>
      </c>
      <c r="O384" s="124" t="str">
        <f>IFERROR(__xludf.DUMMYFUNCTION("""COMPUTED_VALUE"""),"Tarun")</f>
        <v>Tarun</v>
      </c>
      <c r="P384" s="124">
        <f>IFERROR(__xludf.DUMMYFUNCTION("""COMPUTED_VALUE"""),88443.0)</f>
        <v>88443</v>
      </c>
      <c r="Q384" s="124" t="str">
        <f>IFERROR(__xludf.DUMMYFUNCTION("""COMPUTED_VALUE"""),"ncert-foundation-hinglish-target-2026-nce-upsc-e02-orn")</f>
        <v>ncert-foundation-hinglish-target-2026-nce-upsc-e02-orn</v>
      </c>
      <c r="R384" s="124" t="str">
        <f>IFERROR(__xludf.DUMMYFUNCTION("""COMPUTED_VALUE"""),"GS Foundation Course")</f>
        <v>GS Foundation Course</v>
      </c>
      <c r="S384" s="124">
        <f>IFERROR(__xludf.DUMMYFUNCTION("""COMPUTED_VALUE"""),9.950214514E9)</f>
        <v>9950214514</v>
      </c>
      <c r="T384" s="124" t="str">
        <f>IFERROR(__xludf.DUMMYFUNCTION("""COMPUTED_VALUE"""),"Collexo")</f>
        <v>Collexo</v>
      </c>
      <c r="U384" s="124" t="str">
        <f>IFERROR(__xludf.DUMMYFUNCTION("""COMPUTED_VALUE"""),"Success")</f>
        <v>Success</v>
      </c>
      <c r="V384" s="131">
        <f>IFERROR(__xludf.DUMMYFUNCTION("""COMPUTED_VALUE"""),46053.0)</f>
        <v>46053</v>
      </c>
      <c r="W384" s="124">
        <f>IFERROR(__xludf.DUMMYFUNCTION("""COMPUTED_VALUE"""),0.0)</f>
        <v>0</v>
      </c>
    </row>
    <row r="385">
      <c r="A385" s="124" t="str">
        <f t="shared" si="1"/>
        <v>kumarprince33899@gmail.com</v>
      </c>
      <c r="B385" s="131">
        <f>IFERROR(__xludf.DUMMYFUNCTION("""COMPUTED_VALUE"""),46106.0)</f>
        <v>46106</v>
      </c>
      <c r="C385" s="124" t="str">
        <f>IFERROR(__xludf.DUMMYFUNCTION("""COMPUTED_VALUE"""),"Payment data from Collexo")</f>
        <v>Payment data from Collexo</v>
      </c>
      <c r="D385" s="124" t="str">
        <f>IFERROR(__xludf.DUMMYFUNCTION("""COMPUTED_VALUE"""),"Not Available")</f>
        <v>Not Available</v>
      </c>
      <c r="E385" s="124">
        <f>IFERROR(__xludf.DUMMYFUNCTION("""COMPUTED_VALUE"""),1500609.0)</f>
        <v>1500609</v>
      </c>
      <c r="F385" s="124" t="str">
        <f>IFERROR(__xludf.DUMMYFUNCTION("""COMPUTED_VALUE"""),"16491_988_7")</f>
        <v>16491_988_7</v>
      </c>
      <c r="G385" s="124">
        <f>IFERROR(__xludf.DUMMYFUNCTION("""COMPUTED_VALUE"""),5000.0)</f>
        <v>5000</v>
      </c>
      <c r="H385" s="131">
        <f>IFERROR(__xludf.DUMMYFUNCTION("""COMPUTED_VALUE"""),46112.0)</f>
        <v>46112</v>
      </c>
      <c r="I385" s="124">
        <f>IFERROR(__xludf.DUMMYFUNCTION("""COMPUTED_VALUE"""),115000.0)</f>
        <v>115000</v>
      </c>
      <c r="J385" s="124">
        <f>IFERROR(__xludf.DUMMYFUNCTION("""COMPUTED_VALUE"""),120000.0)</f>
        <v>120000</v>
      </c>
      <c r="K385" s="124">
        <f>IFERROR(__xludf.DUMMYFUNCTION("""COMPUTED_VALUE"""),2.0)</f>
        <v>2</v>
      </c>
      <c r="L385" s="124">
        <f>IFERROR(__xludf.DUMMYFUNCTION("""COMPUTED_VALUE"""),725.0)</f>
        <v>725</v>
      </c>
      <c r="M385" s="124" t="str">
        <f>IFERROR(__xludf.DUMMYFUNCTION("""COMPUTED_VALUE"""),"New Delhi")</f>
        <v>New Delhi</v>
      </c>
      <c r="N385" s="124" t="str">
        <f>IFERROR(__xludf.DUMMYFUNCTION("""COMPUTED_VALUE"""),"kumarprince33899@gmail.com")</f>
        <v>kumarprince33899@gmail.com</v>
      </c>
      <c r="O385" s="124" t="str">
        <f>IFERROR(__xludf.DUMMYFUNCTION("""COMPUTED_VALUE"""),"Prince")</f>
        <v>Prince</v>
      </c>
      <c r="P385" s="124">
        <f>IFERROR(__xludf.DUMMYFUNCTION("""COMPUTED_VALUE"""),128986.0)</f>
        <v>128986</v>
      </c>
      <c r="Q385" s="124" t="str">
        <f>IFERROR(__xludf.DUMMYFUNCTION("""COMPUTED_VALUE"""),"upsc-gs-foundation-hinglish-target-2028-gsf-upsc-e05-orn")</f>
        <v>upsc-gs-foundation-hinglish-target-2028-gsf-upsc-e05-orn</v>
      </c>
      <c r="R385" s="124" t="str">
        <f>IFERROR(__xludf.DUMMYFUNCTION("""COMPUTED_VALUE"""),"GS Foundation Course")</f>
        <v>GS Foundation Course</v>
      </c>
      <c r="S385" s="124">
        <f>IFERROR(__xludf.DUMMYFUNCTION("""COMPUTED_VALUE"""),6.20306984E9)</f>
        <v>6203069840</v>
      </c>
      <c r="T385" s="124" t="str">
        <f>IFERROR(__xludf.DUMMYFUNCTION("""COMPUTED_VALUE"""),"Not Available")</f>
        <v>Not Available</v>
      </c>
      <c r="U385" s="124" t="str">
        <f>IFERROR(__xludf.DUMMYFUNCTION("""COMPUTED_VALUE"""),"Not Available")</f>
        <v>Not Available</v>
      </c>
      <c r="V385" s="124" t="str">
        <f>IFERROR(__xludf.DUMMYFUNCTION("""COMPUTED_VALUE"""),"Not Available")</f>
        <v>Not Available</v>
      </c>
      <c r="W385" s="124" t="str">
        <f>IFERROR(__xludf.DUMMYFUNCTION("""COMPUTED_VALUE"""),"Not Available")</f>
        <v>Not Available</v>
      </c>
    </row>
    <row r="386">
      <c r="A386" s="124" t="str">
        <f t="shared" si="1"/>
        <v>aashi25march@gmail.com</v>
      </c>
      <c r="B386" s="131">
        <f>IFERROR(__xludf.DUMMYFUNCTION("""COMPUTED_VALUE"""),46081.0)</f>
        <v>46081</v>
      </c>
      <c r="C386" s="124" t="str">
        <f>IFERROR(__xludf.DUMMYFUNCTION("""COMPUTED_VALUE"""),"Payment data from Collexo")</f>
        <v>Payment data from Collexo</v>
      </c>
      <c r="D386" s="124" t="str">
        <f>IFERROR(__xludf.DUMMYFUNCTION("""COMPUTED_VALUE"""),"Not Available")</f>
        <v>Not Available</v>
      </c>
      <c r="E386" s="124">
        <f>IFERROR(__xludf.DUMMYFUNCTION("""COMPUTED_VALUE"""),1500609.0)</f>
        <v>1500609</v>
      </c>
      <c r="F386" s="124" t="str">
        <f>IFERROR(__xludf.DUMMYFUNCTION("""COMPUTED_VALUE"""),"11515_988_7")</f>
        <v>11515_988_7</v>
      </c>
      <c r="G386" s="124">
        <f>IFERROR(__xludf.DUMMYFUNCTION("""COMPUTED_VALUE"""),1.0)</f>
        <v>1</v>
      </c>
      <c r="H386" s="124" t="str">
        <f>IFERROR(__xludf.DUMMYFUNCTION("""COMPUTED_VALUE"""),"Not Available")</f>
        <v>Not Available</v>
      </c>
      <c r="I386" s="124">
        <f>IFERROR(__xludf.DUMMYFUNCTION("""COMPUTED_VALUE"""),0.0)</f>
        <v>0</v>
      </c>
      <c r="J386" s="124">
        <f>IFERROR(__xludf.DUMMYFUNCTION("""COMPUTED_VALUE"""),1.0)</f>
        <v>1</v>
      </c>
      <c r="K386" s="124">
        <f>IFERROR(__xludf.DUMMYFUNCTION("""COMPUTED_VALUE"""),1.0)</f>
        <v>1</v>
      </c>
      <c r="L386" s="124">
        <f>IFERROR(__xludf.DUMMYFUNCTION("""COMPUTED_VALUE"""),372.0)</f>
        <v>372</v>
      </c>
      <c r="M386" s="124" t="str">
        <f>IFERROR(__xludf.DUMMYFUNCTION("""COMPUTED_VALUE"""),"New Delhi")</f>
        <v>New Delhi</v>
      </c>
      <c r="N386" s="124" t="str">
        <f>IFERROR(__xludf.DUMMYFUNCTION("""COMPUTED_VALUE"""),"aashi25march@gmail.com")</f>
        <v>aashi25march@gmail.com</v>
      </c>
      <c r="O386" s="124" t="str">
        <f>IFERROR(__xludf.DUMMYFUNCTION("""COMPUTED_VALUE"""),"Yougenderi")</f>
        <v>Yougenderi</v>
      </c>
      <c r="P386" s="124">
        <f>IFERROR(__xludf.DUMMYFUNCTION("""COMPUTED_VALUE"""),120716.0)</f>
        <v>120716</v>
      </c>
      <c r="Q386" s="124" t="str">
        <f>IFERROR(__xludf.DUMMYFUNCTION("""COMPUTED_VALUE"""),"upsc-gs-foundation-hinglish-target-2027-gsf-upsc-e04-orn")</f>
        <v>upsc-gs-foundation-hinglish-target-2027-gsf-upsc-e04-orn</v>
      </c>
      <c r="R386" s="124" t="str">
        <f>IFERROR(__xludf.DUMMYFUNCTION("""COMPUTED_VALUE"""),"GS Foundation Course")</f>
        <v>GS Foundation Course</v>
      </c>
      <c r="S386" s="124">
        <f>IFERROR(__xludf.DUMMYFUNCTION("""COMPUTED_VALUE"""),9.711642622E9)</f>
        <v>9711642622</v>
      </c>
      <c r="T386" s="124" t="str">
        <f>IFERROR(__xludf.DUMMYFUNCTION("""COMPUTED_VALUE"""),"Collexo")</f>
        <v>Collexo</v>
      </c>
      <c r="U386" s="124" t="str">
        <f>IFERROR(__xludf.DUMMYFUNCTION("""COMPUTED_VALUE"""),"Success")</f>
        <v>Success</v>
      </c>
      <c r="V386" s="131">
        <f>IFERROR(__xludf.DUMMYFUNCTION("""COMPUTED_VALUE"""),46081.0)</f>
        <v>46081</v>
      </c>
      <c r="W386" s="124">
        <f>IFERROR(__xludf.DUMMYFUNCTION("""COMPUTED_VALUE"""),0.0)</f>
        <v>0</v>
      </c>
    </row>
    <row r="387">
      <c r="A387" s="124" t="str">
        <f t="shared" si="1"/>
        <v>007gautamaryan@gmail.com</v>
      </c>
      <c r="B387" s="131">
        <f>IFERROR(__xludf.DUMMYFUNCTION("""COMPUTED_VALUE"""),46095.0)</f>
        <v>46095</v>
      </c>
      <c r="C387" s="124" t="str">
        <f>IFERROR(__xludf.DUMMYFUNCTION("""COMPUTED_VALUE"""),"Payment data from Collexo")</f>
        <v>Payment data from Collexo</v>
      </c>
      <c r="D387" s="124" t="str">
        <f>IFERROR(__xludf.DUMMYFUNCTION("""COMPUTED_VALUE"""),"Not Available")</f>
        <v>Not Available</v>
      </c>
      <c r="E387" s="124">
        <f>IFERROR(__xludf.DUMMYFUNCTION("""COMPUTED_VALUE"""),1500609.0)</f>
        <v>1500609</v>
      </c>
      <c r="F387" s="124" t="str">
        <f>IFERROR(__xludf.DUMMYFUNCTION("""COMPUTED_VALUE"""),"14273_988_7")</f>
        <v>14273_988_7</v>
      </c>
      <c r="G387" s="124">
        <f>IFERROR(__xludf.DUMMYFUNCTION("""COMPUTED_VALUE"""),88000.0)</f>
        <v>88000</v>
      </c>
      <c r="H387" s="124" t="str">
        <f>IFERROR(__xludf.DUMMYFUNCTION("""COMPUTED_VALUE"""),"Not Available")</f>
        <v>Not Available</v>
      </c>
      <c r="I387" s="124">
        <f>IFERROR(__xludf.DUMMYFUNCTION("""COMPUTED_VALUE"""),0.0)</f>
        <v>0</v>
      </c>
      <c r="J387" s="124">
        <f>IFERROR(__xludf.DUMMYFUNCTION("""COMPUTED_VALUE"""),110000.0)</f>
        <v>110000</v>
      </c>
      <c r="K387" s="124">
        <f>IFERROR(__xludf.DUMMYFUNCTION("""COMPUTED_VALUE"""),3.0)</f>
        <v>3</v>
      </c>
      <c r="L387" s="124">
        <f>IFERROR(__xludf.DUMMYFUNCTION("""COMPUTED_VALUE"""),548.0)</f>
        <v>548</v>
      </c>
      <c r="M387" s="124" t="str">
        <f>IFERROR(__xludf.DUMMYFUNCTION("""COMPUTED_VALUE"""),"New Delhi")</f>
        <v>New Delhi</v>
      </c>
      <c r="N387" s="124" t="str">
        <f>IFERROR(__xludf.DUMMYFUNCTION("""COMPUTED_VALUE"""),"007gautamaryan@gmail.com")</f>
        <v>007gautamaryan@gmail.com</v>
      </c>
      <c r="O387" s="124" t="str">
        <f>IFERROR(__xludf.DUMMYFUNCTION("""COMPUTED_VALUE"""),"Aryan Gautam")</f>
        <v>Aryan Gautam</v>
      </c>
      <c r="P387" s="124">
        <f>IFERROR(__xludf.DUMMYFUNCTION("""COMPUTED_VALUE"""),124994.0)</f>
        <v>124994</v>
      </c>
      <c r="Q387" s="124" t="str">
        <f>IFERROR(__xludf.DUMMYFUNCTION("""COMPUTED_VALUE"""),"upsc-gs-foundation-hinglish-target-2027-gsf-upsc-e05-orn")</f>
        <v>upsc-gs-foundation-hinglish-target-2027-gsf-upsc-e05-orn</v>
      </c>
      <c r="R387" s="124" t="str">
        <f>IFERROR(__xludf.DUMMYFUNCTION("""COMPUTED_VALUE"""),"GS Foundation Course")</f>
        <v>GS Foundation Course</v>
      </c>
      <c r="S387" s="124">
        <f>IFERROR(__xludf.DUMMYFUNCTION("""COMPUTED_VALUE"""),8.97996857E9)</f>
        <v>8979968570</v>
      </c>
      <c r="T387" s="124" t="str">
        <f>IFERROR(__xludf.DUMMYFUNCTION("""COMPUTED_VALUE"""),"Collexo")</f>
        <v>Collexo</v>
      </c>
      <c r="U387" s="124" t="str">
        <f>IFERROR(__xludf.DUMMYFUNCTION("""COMPUTED_VALUE"""),"Success")</f>
        <v>Success</v>
      </c>
      <c r="V387" s="131">
        <f>IFERROR(__xludf.DUMMYFUNCTION("""COMPUTED_VALUE"""),46095.0)</f>
        <v>46095</v>
      </c>
      <c r="W387" s="124">
        <f>IFERROR(__xludf.DUMMYFUNCTION("""COMPUTED_VALUE"""),0.0)</f>
        <v>0</v>
      </c>
    </row>
    <row r="388">
      <c r="A388" s="124" t="str">
        <f t="shared" si="1"/>
        <v>jupadhyaya058@gmail.com</v>
      </c>
      <c r="B388" s="131">
        <f>IFERROR(__xludf.DUMMYFUNCTION("""COMPUTED_VALUE"""),46098.0)</f>
        <v>46098</v>
      </c>
      <c r="C388" s="124" t="str">
        <f>IFERROR(__xludf.DUMMYFUNCTION("""COMPUTED_VALUE"""),"Payment data from Collexo")</f>
        <v>Payment data from Collexo</v>
      </c>
      <c r="D388" s="124" t="str">
        <f>IFERROR(__xludf.DUMMYFUNCTION("""COMPUTED_VALUE"""),"Not Available")</f>
        <v>Not Available</v>
      </c>
      <c r="E388" s="124">
        <f>IFERROR(__xludf.DUMMYFUNCTION("""COMPUTED_VALUE"""),1500609.0)</f>
        <v>1500609</v>
      </c>
      <c r="F388" s="124" t="str">
        <f>IFERROR(__xludf.DUMMYFUNCTION("""COMPUTED_VALUE"""),"14724_988_7")</f>
        <v>14724_988_7</v>
      </c>
      <c r="G388" s="124">
        <f>IFERROR(__xludf.DUMMYFUNCTION("""COMPUTED_VALUE"""),3000.0)</f>
        <v>3000</v>
      </c>
      <c r="H388" s="131">
        <f>IFERROR(__xludf.DUMMYFUNCTION("""COMPUTED_VALUE"""),46112.0)</f>
        <v>46112</v>
      </c>
      <c r="I388" s="124">
        <f>IFERROR(__xludf.DUMMYFUNCTION("""COMPUTED_VALUE"""),107000.0)</f>
        <v>107000</v>
      </c>
      <c r="J388" s="124">
        <f>IFERROR(__xludf.DUMMYFUNCTION("""COMPUTED_VALUE"""),110000.0)</f>
        <v>110000</v>
      </c>
      <c r="K388" s="124">
        <f>IFERROR(__xludf.DUMMYFUNCTION("""COMPUTED_VALUE"""),2.0)</f>
        <v>2</v>
      </c>
      <c r="L388" s="124">
        <f>IFERROR(__xludf.DUMMYFUNCTION("""COMPUTED_VALUE"""),573.0)</f>
        <v>573</v>
      </c>
      <c r="M388" s="124" t="str">
        <f>IFERROR(__xludf.DUMMYFUNCTION("""COMPUTED_VALUE"""),"New Delhi")</f>
        <v>New Delhi</v>
      </c>
      <c r="N388" s="124" t="str">
        <f>IFERROR(__xludf.DUMMYFUNCTION("""COMPUTED_VALUE"""),"jupadhyaya058@gmail.com")</f>
        <v>jupadhyaya058@gmail.com</v>
      </c>
      <c r="O388" s="124" t="str">
        <f>IFERROR(__xludf.DUMMYFUNCTION("""COMPUTED_VALUE"""),"shubhi upadhaya")</f>
        <v>shubhi upadhaya</v>
      </c>
      <c r="P388" s="124">
        <f>IFERROR(__xludf.DUMMYFUNCTION("""COMPUTED_VALUE"""),128549.0)</f>
        <v>128549</v>
      </c>
      <c r="Q388" s="124" t="str">
        <f>IFERROR(__xludf.DUMMYFUNCTION("""COMPUTED_VALUE"""),"upsc-gs-foundation-hinglish-target-2027-gsf-upsc-e02-orn")</f>
        <v>upsc-gs-foundation-hinglish-target-2027-gsf-upsc-e02-orn</v>
      </c>
      <c r="R388" s="124" t="str">
        <f>IFERROR(__xludf.DUMMYFUNCTION("""COMPUTED_VALUE"""),"GS Foundation Course")</f>
        <v>GS Foundation Course</v>
      </c>
      <c r="S388" s="124">
        <f>IFERROR(__xludf.DUMMYFUNCTION("""COMPUTED_VALUE"""),7.017304313E9)</f>
        <v>7017304313</v>
      </c>
      <c r="T388" s="124" t="str">
        <f>IFERROR(__xludf.DUMMYFUNCTION("""COMPUTED_VALUE"""),"Not Available")</f>
        <v>Not Available</v>
      </c>
      <c r="U388" s="124" t="str">
        <f>IFERROR(__xludf.DUMMYFUNCTION("""COMPUTED_VALUE"""),"Not Available")</f>
        <v>Not Available</v>
      </c>
      <c r="V388" s="124" t="str">
        <f>IFERROR(__xludf.DUMMYFUNCTION("""COMPUTED_VALUE"""),"Not Available")</f>
        <v>Not Available</v>
      </c>
      <c r="W388" s="124" t="str">
        <f>IFERROR(__xludf.DUMMYFUNCTION("""COMPUTED_VALUE"""),"Not Available")</f>
        <v>Not Available</v>
      </c>
    </row>
    <row r="389">
      <c r="A389" s="124" t="str">
        <f t="shared" si="1"/>
        <v>jupadhyaya058@gmail.com</v>
      </c>
      <c r="B389" s="131">
        <f>IFERROR(__xludf.DUMMYFUNCTION("""COMPUTED_VALUE"""),46100.0)</f>
        <v>46100</v>
      </c>
      <c r="C389" s="124" t="str">
        <f>IFERROR(__xludf.DUMMYFUNCTION("""COMPUTED_VALUE"""),"Payment data from Collexo")</f>
        <v>Payment data from Collexo</v>
      </c>
      <c r="D389" s="124" t="str">
        <f>IFERROR(__xludf.DUMMYFUNCTION("""COMPUTED_VALUE"""),"Not Available")</f>
        <v>Not Available</v>
      </c>
      <c r="E389" s="124">
        <f>IFERROR(__xludf.DUMMYFUNCTION("""COMPUTED_VALUE"""),1500609.0)</f>
        <v>1500609</v>
      </c>
      <c r="F389" s="124" t="str">
        <f>IFERROR(__xludf.DUMMYFUNCTION("""COMPUTED_VALUE"""),"15264_988_7")</f>
        <v>15264_988_7</v>
      </c>
      <c r="G389" s="124">
        <f>IFERROR(__xludf.DUMMYFUNCTION("""COMPUTED_VALUE"""),2000.0)</f>
        <v>2000</v>
      </c>
      <c r="H389" s="131">
        <f>IFERROR(__xludf.DUMMYFUNCTION("""COMPUTED_VALUE"""),46112.0)</f>
        <v>46112</v>
      </c>
      <c r="I389" s="124">
        <f>IFERROR(__xludf.DUMMYFUNCTION("""COMPUTED_VALUE"""),105000.0)</f>
        <v>105000</v>
      </c>
      <c r="J389" s="124">
        <f>IFERROR(__xludf.DUMMYFUNCTION("""COMPUTED_VALUE"""),110000.0)</f>
        <v>110000</v>
      </c>
      <c r="K389" s="124">
        <f>IFERROR(__xludf.DUMMYFUNCTION("""COMPUTED_VALUE"""),3.0)</f>
        <v>3</v>
      </c>
      <c r="L389" s="124">
        <f>IFERROR(__xludf.DUMMYFUNCTION("""COMPUTED_VALUE"""),613.0)</f>
        <v>613</v>
      </c>
      <c r="M389" s="124" t="str">
        <f>IFERROR(__xludf.DUMMYFUNCTION("""COMPUTED_VALUE"""),"New Delhi")</f>
        <v>New Delhi</v>
      </c>
      <c r="N389" s="124" t="str">
        <f>IFERROR(__xludf.DUMMYFUNCTION("""COMPUTED_VALUE"""),"jupadhyaya058@gmail.com")</f>
        <v>jupadhyaya058@gmail.com</v>
      </c>
      <c r="O389" s="124" t="str">
        <f>IFERROR(__xludf.DUMMYFUNCTION("""COMPUTED_VALUE"""),"shubhi upadhaya")</f>
        <v>shubhi upadhaya</v>
      </c>
      <c r="P389" s="124">
        <f>IFERROR(__xludf.DUMMYFUNCTION("""COMPUTED_VALUE"""),128549.0)</f>
        <v>128549</v>
      </c>
      <c r="Q389" s="124" t="str">
        <f>IFERROR(__xludf.DUMMYFUNCTION("""COMPUTED_VALUE"""),"upsc-gs-foundation-hinglish-target-2027-gsf-upsc-e02-orn")</f>
        <v>upsc-gs-foundation-hinglish-target-2027-gsf-upsc-e02-orn</v>
      </c>
      <c r="R389" s="124" t="str">
        <f>IFERROR(__xludf.DUMMYFUNCTION("""COMPUTED_VALUE"""),"GS Foundation Course")</f>
        <v>GS Foundation Course</v>
      </c>
      <c r="S389" s="124">
        <f>IFERROR(__xludf.DUMMYFUNCTION("""COMPUTED_VALUE"""),7.017304313E9)</f>
        <v>7017304313</v>
      </c>
      <c r="T389" s="124" t="str">
        <f>IFERROR(__xludf.DUMMYFUNCTION("""COMPUTED_VALUE"""),"Collexo")</f>
        <v>Collexo</v>
      </c>
      <c r="U389" s="124" t="str">
        <f>IFERROR(__xludf.DUMMYFUNCTION("""COMPUTED_VALUE"""),"Success")</f>
        <v>Success</v>
      </c>
      <c r="V389" s="131">
        <f>IFERROR(__xludf.DUMMYFUNCTION("""COMPUTED_VALUE"""),46100.0)</f>
        <v>46100</v>
      </c>
      <c r="W389" s="124">
        <f>IFERROR(__xludf.DUMMYFUNCTION("""COMPUTED_VALUE"""),0.0)</f>
        <v>0</v>
      </c>
    </row>
    <row r="390">
      <c r="A390" s="124" t="str">
        <f t="shared" si="1"/>
        <v>nisharaj3432@gmail.com</v>
      </c>
      <c r="B390" s="131">
        <f>IFERROR(__xludf.DUMMYFUNCTION("""COMPUTED_VALUE"""),46098.0)</f>
        <v>46098</v>
      </c>
      <c r="C390" s="124" t="str">
        <f>IFERROR(__xludf.DUMMYFUNCTION("""COMPUTED_VALUE"""),"Payment data from Collexo")</f>
        <v>Payment data from Collexo</v>
      </c>
      <c r="D390" s="124" t="str">
        <f>IFERROR(__xludf.DUMMYFUNCTION("""COMPUTED_VALUE"""),"Not Available")</f>
        <v>Not Available</v>
      </c>
      <c r="E390" s="124">
        <f>IFERROR(__xludf.DUMMYFUNCTION("""COMPUTED_VALUE"""),1500611.0)</f>
        <v>1500611</v>
      </c>
      <c r="F390" s="124">
        <f>IFERROR(__xludf.DUMMYFUNCTION("""COMPUTED_VALUE"""),127085.0)</f>
        <v>127085</v>
      </c>
      <c r="G390" s="124">
        <f>IFERROR(__xludf.DUMMYFUNCTION("""COMPUTED_VALUE"""),35000.0)</f>
        <v>35000</v>
      </c>
      <c r="H390" s="124" t="str">
        <f>IFERROR(__xludf.DUMMYFUNCTION("""COMPUTED_VALUE"""),"Not Available")</f>
        <v>Not Available</v>
      </c>
      <c r="I390" s="124">
        <f>IFERROR(__xludf.DUMMYFUNCTION("""COMPUTED_VALUE"""),0.0)</f>
        <v>0</v>
      </c>
      <c r="J390" s="124">
        <f>IFERROR(__xludf.DUMMYFUNCTION("""COMPUTED_VALUE"""),40000.0)</f>
        <v>40000</v>
      </c>
      <c r="K390" s="124">
        <f>IFERROR(__xludf.DUMMYFUNCTION("""COMPUTED_VALUE"""),2.0)</f>
        <v>2</v>
      </c>
      <c r="L390" s="124">
        <f>IFERROR(__xludf.DUMMYFUNCTION("""COMPUTED_VALUE"""),577.0)</f>
        <v>577</v>
      </c>
      <c r="M390" s="124" t="str">
        <f>IFERROR(__xludf.DUMMYFUNCTION("""COMPUTED_VALUE"""),"Patna")</f>
        <v>Patna</v>
      </c>
      <c r="N390" s="124" t="str">
        <f>IFERROR(__xludf.DUMMYFUNCTION("""COMPUTED_VALUE"""),"nisharaj3432@gmail.com")</f>
        <v>nisharaj3432@gmail.com</v>
      </c>
      <c r="O390" s="124" t="str">
        <f>IFERROR(__xludf.DUMMYFUNCTION("""COMPUTED_VALUE"""),"Nisha Raj")</f>
        <v>Nisha Raj</v>
      </c>
      <c r="P390" s="124">
        <f>IFERROR(__xludf.DUMMYFUNCTION("""COMPUTED_VALUE"""),127085.0)</f>
        <v>127085</v>
      </c>
      <c r="Q390" s="124" t="str">
        <f>IFERROR(__xludf.DUMMYFUNCTION("""COMPUTED_VALUE"""),"bpsc-gs-foundation-hinglish-target-2026-gsf-bpsc-m02-pat")</f>
        <v>bpsc-gs-foundation-hinglish-target-2026-gsf-bpsc-m02-pat</v>
      </c>
      <c r="R390" s="124" t="str">
        <f>IFERROR(__xludf.DUMMYFUNCTION("""COMPUTED_VALUE"""),"State PCS")</f>
        <v>State PCS</v>
      </c>
      <c r="S390" s="124">
        <f>IFERROR(__xludf.DUMMYFUNCTION("""COMPUTED_VALUE"""),9.102624944E9)</f>
        <v>9102624944</v>
      </c>
      <c r="T390" s="124" t="str">
        <f>IFERROR(__xludf.DUMMYFUNCTION("""COMPUTED_VALUE"""),"Not Available")</f>
        <v>Not Available</v>
      </c>
      <c r="U390" s="124" t="str">
        <f>IFERROR(__xludf.DUMMYFUNCTION("""COMPUTED_VALUE"""),"Not Available")</f>
        <v>Not Available</v>
      </c>
      <c r="V390" s="124" t="str">
        <f>IFERROR(__xludf.DUMMYFUNCTION("""COMPUTED_VALUE"""),"Not Available")</f>
        <v>Not Available</v>
      </c>
      <c r="W390" s="124" t="str">
        <f>IFERROR(__xludf.DUMMYFUNCTION("""COMPUTED_VALUE"""),"Not Available")</f>
        <v>Not Available</v>
      </c>
    </row>
    <row r="391">
      <c r="A391" s="124" t="str">
        <f t="shared" si="1"/>
        <v>impreeti2005@gmail.com</v>
      </c>
      <c r="B391" s="131">
        <f>IFERROR(__xludf.DUMMYFUNCTION("""COMPUTED_VALUE"""),46091.0)</f>
        <v>46091</v>
      </c>
      <c r="C391" s="124" t="str">
        <f>IFERROR(__xludf.DUMMYFUNCTION("""COMPUTED_VALUE"""),"Payment data from Collexo")</f>
        <v>Payment data from Collexo</v>
      </c>
      <c r="D391" s="124" t="str">
        <f>IFERROR(__xludf.DUMMYFUNCTION("""COMPUTED_VALUE"""),"Not Available")</f>
        <v>Not Available</v>
      </c>
      <c r="E391" s="124">
        <f>IFERROR(__xludf.DUMMYFUNCTION("""COMPUTED_VALUE"""),1500613.0)</f>
        <v>1500613</v>
      </c>
      <c r="F391" s="124">
        <f>IFERROR(__xludf.DUMMYFUNCTION("""COMPUTED_VALUE"""),126139.0)</f>
        <v>126139</v>
      </c>
      <c r="G391" s="124">
        <f>IFERROR(__xludf.DUMMYFUNCTION("""COMPUTED_VALUE"""),603.0)</f>
        <v>603</v>
      </c>
      <c r="H391" s="131">
        <f>IFERROR(__xludf.DUMMYFUNCTION("""COMPUTED_VALUE"""),46093.0)</f>
        <v>46093</v>
      </c>
      <c r="I391" s="124">
        <f>IFERROR(__xludf.DUMMYFUNCTION("""COMPUTED_VALUE"""),69000.0)</f>
        <v>69000</v>
      </c>
      <c r="J391" s="124">
        <f>IFERROR(__xludf.DUMMYFUNCTION("""COMPUTED_VALUE"""),69603.0)</f>
        <v>69603</v>
      </c>
      <c r="K391" s="124">
        <f>IFERROR(__xludf.DUMMYFUNCTION("""COMPUTED_VALUE"""),2.0)</f>
        <v>2</v>
      </c>
      <c r="L391" s="124">
        <f>IFERROR(__xludf.DUMMYFUNCTION("""COMPUTED_VALUE"""),477.0)</f>
        <v>477</v>
      </c>
      <c r="M391" s="124" t="str">
        <f>IFERROR(__xludf.DUMMYFUNCTION("""COMPUTED_VALUE"""),"Prayagraj")</f>
        <v>Prayagraj</v>
      </c>
      <c r="N391" s="124" t="str">
        <f>IFERROR(__xludf.DUMMYFUNCTION("""COMPUTED_VALUE"""),"impreeti2005@gmail.com")</f>
        <v>impreeti2005@gmail.com</v>
      </c>
      <c r="O391" s="124" t="str">
        <f>IFERROR(__xludf.DUMMYFUNCTION("""COMPUTED_VALUE"""),"Preeti kumari")</f>
        <v>Preeti kumari</v>
      </c>
      <c r="P391" s="124">
        <f>IFERROR(__xludf.DUMMYFUNCTION("""COMPUTED_VALUE"""),126139.0)</f>
        <v>126139</v>
      </c>
      <c r="Q391" s="124" t="str">
        <f>IFERROR(__xludf.DUMMYFUNCTION("""COMPUTED_VALUE"""),"upsc-gs-foundation-hinglish-target-2028-gsf-upsc-e03-pry")</f>
        <v>upsc-gs-foundation-hinglish-target-2028-gsf-upsc-e03-pry</v>
      </c>
      <c r="R391" s="124" t="str">
        <f>IFERROR(__xludf.DUMMYFUNCTION("""COMPUTED_VALUE"""),"GS Foundation Course")</f>
        <v>GS Foundation Course</v>
      </c>
      <c r="S391" s="124">
        <f>IFERROR(__xludf.DUMMYFUNCTION("""COMPUTED_VALUE"""),7.819863991E9)</f>
        <v>7819863991</v>
      </c>
      <c r="T391" s="124" t="str">
        <f>IFERROR(__xludf.DUMMYFUNCTION("""COMPUTED_VALUE"""),"Not Available")</f>
        <v>Not Available</v>
      </c>
      <c r="U391" s="124" t="str">
        <f>IFERROR(__xludf.DUMMYFUNCTION("""COMPUTED_VALUE"""),"Not Available")</f>
        <v>Not Available</v>
      </c>
      <c r="V391" s="124" t="str">
        <f>IFERROR(__xludf.DUMMYFUNCTION("""COMPUTED_VALUE"""),"Not Available")</f>
        <v>Not Available</v>
      </c>
      <c r="W391" s="124" t="str">
        <f>IFERROR(__xludf.DUMMYFUNCTION("""COMPUTED_VALUE"""),"Not Available")</f>
        <v>Not Available</v>
      </c>
    </row>
    <row r="392">
      <c r="A392" s="124" t="str">
        <f t="shared" si="1"/>
        <v>jupadhyaya058@gmail.com</v>
      </c>
      <c r="B392" s="131">
        <f>IFERROR(__xludf.DUMMYFUNCTION("""COMPUTED_VALUE"""),46098.0)</f>
        <v>46098</v>
      </c>
      <c r="C392" s="124" t="str">
        <f>IFERROR(__xludf.DUMMYFUNCTION("""COMPUTED_VALUE"""),"Payment data from Collexo")</f>
        <v>Payment data from Collexo</v>
      </c>
      <c r="D392" s="124" t="str">
        <f>IFERROR(__xludf.DUMMYFUNCTION("""COMPUTED_VALUE"""),"Not Available")</f>
        <v>Not Available</v>
      </c>
      <c r="E392" s="124">
        <f>IFERROR(__xludf.DUMMYFUNCTION("""COMPUTED_VALUE"""),1500609.0)</f>
        <v>1500609</v>
      </c>
      <c r="F392" s="124" t="str">
        <f>IFERROR(__xludf.DUMMYFUNCTION("""COMPUTED_VALUE"""),"14850_988_7")</f>
        <v>14850_988_7</v>
      </c>
      <c r="G392" s="124">
        <f>IFERROR(__xludf.DUMMYFUNCTION("""COMPUTED_VALUE"""),3000.0)</f>
        <v>3000</v>
      </c>
      <c r="H392" s="131">
        <f>IFERROR(__xludf.DUMMYFUNCTION("""COMPUTED_VALUE"""),46112.0)</f>
        <v>46112</v>
      </c>
      <c r="I392" s="124">
        <f>IFERROR(__xludf.DUMMYFUNCTION("""COMPUTED_VALUE"""),107000.0)</f>
        <v>107000</v>
      </c>
      <c r="J392" s="124">
        <f>IFERROR(__xludf.DUMMYFUNCTION("""COMPUTED_VALUE"""),110000.0)</f>
        <v>110000</v>
      </c>
      <c r="K392" s="124">
        <f>IFERROR(__xludf.DUMMYFUNCTION("""COMPUTED_VALUE"""),2.0)</f>
        <v>2</v>
      </c>
      <c r="L392" s="124">
        <f>IFERROR(__xludf.DUMMYFUNCTION("""COMPUTED_VALUE"""),581.0)</f>
        <v>581</v>
      </c>
      <c r="M392" s="124" t="str">
        <f>IFERROR(__xludf.DUMMYFUNCTION("""COMPUTED_VALUE"""),"New Delhi")</f>
        <v>New Delhi</v>
      </c>
      <c r="N392" s="124" t="str">
        <f>IFERROR(__xludf.DUMMYFUNCTION("""COMPUTED_VALUE"""),"jupadhyaya058@gmail.com")</f>
        <v>jupadhyaya058@gmail.com</v>
      </c>
      <c r="O392" s="124" t="str">
        <f>IFERROR(__xludf.DUMMYFUNCTION("""COMPUTED_VALUE"""),"shubhi upadhaya")</f>
        <v>shubhi upadhaya</v>
      </c>
      <c r="P392" s="124">
        <f>IFERROR(__xludf.DUMMYFUNCTION("""COMPUTED_VALUE"""),128549.0)</f>
        <v>128549</v>
      </c>
      <c r="Q392" s="124" t="str">
        <f>IFERROR(__xludf.DUMMYFUNCTION("""COMPUTED_VALUE"""),"upsc-gs-foundation-hinglish-target-2027-gsf-upsc-e02-orn")</f>
        <v>upsc-gs-foundation-hinglish-target-2027-gsf-upsc-e02-orn</v>
      </c>
      <c r="R392" s="124" t="str">
        <f>IFERROR(__xludf.DUMMYFUNCTION("""COMPUTED_VALUE"""),"GS Foundation Course")</f>
        <v>GS Foundation Course</v>
      </c>
      <c r="S392" s="124">
        <f>IFERROR(__xludf.DUMMYFUNCTION("""COMPUTED_VALUE"""),7.017304313E9)</f>
        <v>7017304313</v>
      </c>
      <c r="T392" s="124" t="str">
        <f>IFERROR(__xludf.DUMMYFUNCTION("""COMPUTED_VALUE"""),"Not Available")</f>
        <v>Not Available</v>
      </c>
      <c r="U392" s="124" t="str">
        <f>IFERROR(__xludf.DUMMYFUNCTION("""COMPUTED_VALUE"""),"Not Available")</f>
        <v>Not Available</v>
      </c>
      <c r="V392" s="124" t="str">
        <f>IFERROR(__xludf.DUMMYFUNCTION("""COMPUTED_VALUE"""),"Not Available")</f>
        <v>Not Available</v>
      </c>
      <c r="W392" s="124" t="str">
        <f>IFERROR(__xludf.DUMMYFUNCTION("""COMPUTED_VALUE"""),"Not Available")</f>
        <v>Not Available</v>
      </c>
    </row>
    <row r="393">
      <c r="A393" s="124" t="str">
        <f t="shared" si="1"/>
        <v>aashi25march@gmail.com</v>
      </c>
      <c r="B393" s="131">
        <f>IFERROR(__xludf.DUMMYFUNCTION("""COMPUTED_VALUE"""),46111.0)</f>
        <v>46111</v>
      </c>
      <c r="C393" s="124" t="str">
        <f>IFERROR(__xludf.DUMMYFUNCTION("""COMPUTED_VALUE"""),"Payment data from Collexo")</f>
        <v>Payment data from Collexo</v>
      </c>
      <c r="D393" s="124" t="str">
        <f>IFERROR(__xludf.DUMMYFUNCTION("""COMPUTED_VALUE"""),"Not Available")</f>
        <v>Not Available</v>
      </c>
      <c r="E393" s="124">
        <f>IFERROR(__xludf.DUMMYFUNCTION("""COMPUTED_VALUE"""),1500609.0)</f>
        <v>1500609</v>
      </c>
      <c r="F393" s="124" t="str">
        <f>IFERROR(__xludf.DUMMYFUNCTION("""COMPUTED_VALUE"""),"17463_988_7")</f>
        <v>17463_988_7</v>
      </c>
      <c r="G393" s="124">
        <f>IFERROR(__xludf.DUMMYFUNCTION("""COMPUTED_VALUE"""),45000.0)</f>
        <v>45000</v>
      </c>
      <c r="H393" s="131">
        <f>IFERROR(__xludf.DUMMYFUNCTION("""COMPUTED_VALUE"""),46112.0)</f>
        <v>46112</v>
      </c>
      <c r="I393" s="124">
        <f>IFERROR(__xludf.DUMMYFUNCTION("""COMPUTED_VALUE"""),30000.0)</f>
        <v>30000</v>
      </c>
      <c r="J393" s="124">
        <f>IFERROR(__xludf.DUMMYFUNCTION("""COMPUTED_VALUE"""),80000.0)</f>
        <v>80000</v>
      </c>
      <c r="K393" s="124">
        <f>IFERROR(__xludf.DUMMYFUNCTION("""COMPUTED_VALUE"""),3.0)</f>
        <v>3</v>
      </c>
      <c r="L393" s="124">
        <f>IFERROR(__xludf.DUMMYFUNCTION("""COMPUTED_VALUE"""),842.0)</f>
        <v>842</v>
      </c>
      <c r="M393" s="124" t="str">
        <f>IFERROR(__xludf.DUMMYFUNCTION("""COMPUTED_VALUE"""),"New Delhi")</f>
        <v>New Delhi</v>
      </c>
      <c r="N393" s="124" t="str">
        <f>IFERROR(__xludf.DUMMYFUNCTION("""COMPUTED_VALUE"""),"aashi25march@gmail.com")</f>
        <v>aashi25march@gmail.com</v>
      </c>
      <c r="O393" s="124" t="str">
        <f>IFERROR(__xludf.DUMMYFUNCTION("""COMPUTED_VALUE"""),"Yougenderi")</f>
        <v>Yougenderi</v>
      </c>
      <c r="P393" s="124">
        <f>IFERROR(__xludf.DUMMYFUNCTION("""COMPUTED_VALUE"""),120716.0)</f>
        <v>120716</v>
      </c>
      <c r="Q393" s="124" t="str">
        <f>IFERROR(__xludf.DUMMYFUNCTION("""COMPUTED_VALUE"""),"upsc-gs-foundation-hinglish-target-2027-gsf-upsc-e04-orn")</f>
        <v>upsc-gs-foundation-hinglish-target-2027-gsf-upsc-e04-orn</v>
      </c>
      <c r="R393" s="124" t="str">
        <f>IFERROR(__xludf.DUMMYFUNCTION("""COMPUTED_VALUE"""),"GS Foundation Course")</f>
        <v>GS Foundation Course</v>
      </c>
      <c r="S393" s="124">
        <f>IFERROR(__xludf.DUMMYFUNCTION("""COMPUTED_VALUE"""),9.711642622E9)</f>
        <v>9711642622</v>
      </c>
      <c r="T393" s="124" t="str">
        <f>IFERROR(__xludf.DUMMYFUNCTION("""COMPUTED_VALUE"""),"Collexo")</f>
        <v>Collexo</v>
      </c>
      <c r="U393" s="124" t="str">
        <f>IFERROR(__xludf.DUMMYFUNCTION("""COMPUTED_VALUE"""),"Success")</f>
        <v>Success</v>
      </c>
      <c r="V393" s="131">
        <f>IFERROR(__xludf.DUMMYFUNCTION("""COMPUTED_VALUE"""),46111.0)</f>
        <v>46111</v>
      </c>
      <c r="W393" s="124">
        <f>IFERROR(__xludf.DUMMYFUNCTION("""COMPUTED_VALUE"""),0.0)</f>
        <v>0</v>
      </c>
    </row>
    <row r="394">
      <c r="A394" s="124" t="str">
        <f t="shared" si="1"/>
        <v>divyanshdubey1605@gmail.com</v>
      </c>
      <c r="B394" s="131">
        <f>IFERROR(__xludf.DUMMYFUNCTION("""COMPUTED_VALUE"""),46109.0)</f>
        <v>46109</v>
      </c>
      <c r="C394" s="124" t="str">
        <f>IFERROR(__xludf.DUMMYFUNCTION("""COMPUTED_VALUE"""),"Payment data from Collexo")</f>
        <v>Payment data from Collexo</v>
      </c>
      <c r="D394" s="124" t="str">
        <f>IFERROR(__xludf.DUMMYFUNCTION("""COMPUTED_VALUE"""),"Not Available")</f>
        <v>Not Available</v>
      </c>
      <c r="E394" s="124">
        <f>IFERROR(__xludf.DUMMYFUNCTION("""COMPUTED_VALUE"""),1500609.0)</f>
        <v>1500609</v>
      </c>
      <c r="F394" s="124" t="str">
        <f>IFERROR(__xludf.DUMMYFUNCTION("""COMPUTED_VALUE"""),"17141_988_7")</f>
        <v>17141_988_7</v>
      </c>
      <c r="G394" s="124">
        <f>IFERROR(__xludf.DUMMYFUNCTION("""COMPUTED_VALUE"""),5000.0)</f>
        <v>5000</v>
      </c>
      <c r="H394" s="131">
        <f>IFERROR(__xludf.DUMMYFUNCTION("""COMPUTED_VALUE"""),46112.0)</f>
        <v>46112</v>
      </c>
      <c r="I394" s="124">
        <f>IFERROR(__xludf.DUMMYFUNCTION("""COMPUTED_VALUE"""),80000.0)</f>
        <v>80000</v>
      </c>
      <c r="J394" s="124">
        <f>IFERROR(__xludf.DUMMYFUNCTION("""COMPUTED_VALUE"""),85000.0)</f>
        <v>85000</v>
      </c>
      <c r="K394" s="124">
        <f>IFERROR(__xludf.DUMMYFUNCTION("""COMPUTED_VALUE"""),2.0)</f>
        <v>2</v>
      </c>
      <c r="L394" s="124">
        <f>IFERROR(__xludf.DUMMYFUNCTION("""COMPUTED_VALUE"""),800.0)</f>
        <v>800</v>
      </c>
      <c r="M394" s="124" t="str">
        <f>IFERROR(__xludf.DUMMYFUNCTION("""COMPUTED_VALUE"""),"New Delhi")</f>
        <v>New Delhi</v>
      </c>
      <c r="N394" s="124" t="str">
        <f>IFERROR(__xludf.DUMMYFUNCTION("""COMPUTED_VALUE"""),"divyanshdubey1605@gmail.com")</f>
        <v>divyanshdubey1605@gmail.com</v>
      </c>
      <c r="O394" s="124" t="str">
        <f>IFERROR(__xludf.DUMMYFUNCTION("""COMPUTED_VALUE"""),"Divyansh Dubey")</f>
        <v>Divyansh Dubey</v>
      </c>
      <c r="P394" s="124">
        <f>IFERROR(__xludf.DUMMYFUNCTION("""COMPUTED_VALUE"""),55940.0)</f>
        <v>55940</v>
      </c>
      <c r="Q394" s="124" t="str">
        <f>IFERROR(__xludf.DUMMYFUNCTION("""COMPUTED_VALUE"""),"upsc-gs-foundation-hinglish-target-2027-gsf-upsc-m04-orn")</f>
        <v>upsc-gs-foundation-hinglish-target-2027-gsf-upsc-m04-orn</v>
      </c>
      <c r="R394" s="124" t="str">
        <f>IFERROR(__xludf.DUMMYFUNCTION("""COMPUTED_VALUE"""),"GS Foundation Course")</f>
        <v>GS Foundation Course</v>
      </c>
      <c r="S394" s="124">
        <f>IFERROR(__xludf.DUMMYFUNCTION("""COMPUTED_VALUE"""),8.989620722E9)</f>
        <v>8989620722</v>
      </c>
      <c r="T394" s="124" t="str">
        <f>IFERROR(__xludf.DUMMYFUNCTION("""COMPUTED_VALUE"""),"Collexo")</f>
        <v>Collexo</v>
      </c>
      <c r="U394" s="124" t="str">
        <f>IFERROR(__xludf.DUMMYFUNCTION("""COMPUTED_VALUE"""),"Success")</f>
        <v>Success</v>
      </c>
      <c r="V394" s="131">
        <f>IFERROR(__xludf.DUMMYFUNCTION("""COMPUTED_VALUE"""),46109.0)</f>
        <v>46109</v>
      </c>
      <c r="W394" s="124">
        <f>IFERROR(__xludf.DUMMYFUNCTION("""COMPUTED_VALUE"""),0.0)</f>
        <v>0</v>
      </c>
    </row>
    <row r="395">
      <c r="A395" s="124" t="str">
        <f t="shared" si="1"/>
        <v>ujjwal.yadav.2414@gmail.com</v>
      </c>
      <c r="B395" s="131">
        <f>IFERROR(__xludf.DUMMYFUNCTION("""COMPUTED_VALUE"""),46069.0)</f>
        <v>46069</v>
      </c>
      <c r="C395" s="124" t="str">
        <f>IFERROR(__xludf.DUMMYFUNCTION("""COMPUTED_VALUE"""),"Payment data from Collexo")</f>
        <v>Payment data from Collexo</v>
      </c>
      <c r="D395" s="124" t="str">
        <f>IFERROR(__xludf.DUMMYFUNCTION("""COMPUTED_VALUE"""),"Not Available")</f>
        <v>Not Available</v>
      </c>
      <c r="E395" s="124">
        <f>IFERROR(__xludf.DUMMYFUNCTION("""COMPUTED_VALUE"""),1500609.0)</f>
        <v>1500609</v>
      </c>
      <c r="F395" s="124" t="str">
        <f>IFERROR(__xludf.DUMMYFUNCTION("""COMPUTED_VALUE"""),"5455_988_7")</f>
        <v>5455_988_7</v>
      </c>
      <c r="G395" s="124">
        <f>IFERROR(__xludf.DUMMYFUNCTION("""COMPUTED_VALUE"""),10000.0)</f>
        <v>10000</v>
      </c>
      <c r="H395" s="131">
        <f>IFERROR(__xludf.DUMMYFUNCTION("""COMPUTED_VALUE"""),46081.0)</f>
        <v>46081</v>
      </c>
      <c r="I395" s="124">
        <f>IFERROR(__xludf.DUMMYFUNCTION("""COMPUTED_VALUE"""),90000.0)</f>
        <v>90000</v>
      </c>
      <c r="J395" s="124">
        <f>IFERROR(__xludf.DUMMYFUNCTION("""COMPUTED_VALUE"""),100000.0)</f>
        <v>100000</v>
      </c>
      <c r="K395" s="124">
        <f>IFERROR(__xludf.DUMMYFUNCTION("""COMPUTED_VALUE"""),2.0)</f>
        <v>2</v>
      </c>
      <c r="L395" s="124">
        <f>IFERROR(__xludf.DUMMYFUNCTION("""COMPUTED_VALUE"""),233.0)</f>
        <v>233</v>
      </c>
      <c r="M395" s="124" t="str">
        <f>IFERROR(__xludf.DUMMYFUNCTION("""COMPUTED_VALUE"""),"New Delhi")</f>
        <v>New Delhi</v>
      </c>
      <c r="N395" s="124" t="str">
        <f>IFERROR(__xludf.DUMMYFUNCTION("""COMPUTED_VALUE"""),"ujjwal.yadav.2414@gmail.com")</f>
        <v>ujjwal.yadav.2414@gmail.com</v>
      </c>
      <c r="O395" s="124" t="str">
        <f>IFERROR(__xludf.DUMMYFUNCTION("""COMPUTED_VALUE"""),"Ujjwal yadav")</f>
        <v>Ujjwal yadav</v>
      </c>
      <c r="P395" s="124">
        <f>IFERROR(__xludf.DUMMYFUNCTION("""COMPUTED_VALUE"""),55265.0)</f>
        <v>55265</v>
      </c>
      <c r="Q395" s="124" t="str">
        <f>IFERROR(__xludf.DUMMYFUNCTION("""COMPUTED_VALUE"""),"upsc-gs-foundation-hinglish-target-2027-gsf-upsc-m02-orn")</f>
        <v>upsc-gs-foundation-hinglish-target-2027-gsf-upsc-m02-orn</v>
      </c>
      <c r="R395" s="124" t="str">
        <f>IFERROR(__xludf.DUMMYFUNCTION("""COMPUTED_VALUE"""),"GS Foundation Course")</f>
        <v>GS Foundation Course</v>
      </c>
      <c r="S395" s="124">
        <f>IFERROR(__xludf.DUMMYFUNCTION("""COMPUTED_VALUE"""),8.607197965E9)</f>
        <v>8607197965</v>
      </c>
      <c r="T395" s="124" t="str">
        <f>IFERROR(__xludf.DUMMYFUNCTION("""COMPUTED_VALUE"""),"Collexo")</f>
        <v>Collexo</v>
      </c>
      <c r="U395" s="124" t="str">
        <f>IFERROR(__xludf.DUMMYFUNCTION("""COMPUTED_VALUE"""),"Success")</f>
        <v>Success</v>
      </c>
      <c r="V395" s="131">
        <f>IFERROR(__xludf.DUMMYFUNCTION("""COMPUTED_VALUE"""),46069.0)</f>
        <v>46069</v>
      </c>
      <c r="W395" s="124">
        <f>IFERROR(__xludf.DUMMYFUNCTION("""COMPUTED_VALUE"""),0.0)</f>
        <v>0</v>
      </c>
    </row>
    <row r="396">
      <c r="A396" s="124" t="str">
        <f t="shared" si="1"/>
        <v>jupadhyaya058@gmail.com</v>
      </c>
      <c r="B396" s="131">
        <f>IFERROR(__xludf.DUMMYFUNCTION("""COMPUTED_VALUE"""),46098.0)</f>
        <v>46098</v>
      </c>
      <c r="C396" s="124" t="str">
        <f>IFERROR(__xludf.DUMMYFUNCTION("""COMPUTED_VALUE"""),"Payment data from Collexo")</f>
        <v>Payment data from Collexo</v>
      </c>
      <c r="D396" s="124" t="str">
        <f>IFERROR(__xludf.DUMMYFUNCTION("""COMPUTED_VALUE"""),"Not Available")</f>
        <v>Not Available</v>
      </c>
      <c r="E396" s="124">
        <f>IFERROR(__xludf.DUMMYFUNCTION("""COMPUTED_VALUE"""),1500609.0)</f>
        <v>1500609</v>
      </c>
      <c r="F396" s="124" t="str">
        <f>IFERROR(__xludf.DUMMYFUNCTION("""COMPUTED_VALUE"""),"14725_988_7")</f>
        <v>14725_988_7</v>
      </c>
      <c r="G396" s="124">
        <f>IFERROR(__xludf.DUMMYFUNCTION("""COMPUTED_VALUE"""),1.0)</f>
        <v>1</v>
      </c>
      <c r="H396" s="124" t="str">
        <f>IFERROR(__xludf.DUMMYFUNCTION("""COMPUTED_VALUE"""),"Not Available")</f>
        <v>Not Available</v>
      </c>
      <c r="I396" s="124">
        <f>IFERROR(__xludf.DUMMYFUNCTION("""COMPUTED_VALUE"""),0.0)</f>
        <v>0</v>
      </c>
      <c r="J396" s="124">
        <f>IFERROR(__xludf.DUMMYFUNCTION("""COMPUTED_VALUE"""),1.0)</f>
        <v>1</v>
      </c>
      <c r="K396" s="124">
        <f>IFERROR(__xludf.DUMMYFUNCTION("""COMPUTED_VALUE"""),1.0)</f>
        <v>1</v>
      </c>
      <c r="L396" s="124">
        <f>IFERROR(__xludf.DUMMYFUNCTION("""COMPUTED_VALUE"""),574.0)</f>
        <v>574</v>
      </c>
      <c r="M396" s="124" t="str">
        <f>IFERROR(__xludf.DUMMYFUNCTION("""COMPUTED_VALUE"""),"New Delhi")</f>
        <v>New Delhi</v>
      </c>
      <c r="N396" s="124" t="str">
        <f>IFERROR(__xludf.DUMMYFUNCTION("""COMPUTED_VALUE"""),"jupadhyaya058@gmail.com")</f>
        <v>jupadhyaya058@gmail.com</v>
      </c>
      <c r="O396" s="124" t="str">
        <f>IFERROR(__xludf.DUMMYFUNCTION("""COMPUTED_VALUE"""),"shubhi upadhaya")</f>
        <v>shubhi upadhaya</v>
      </c>
      <c r="P396" s="124">
        <f>IFERROR(__xludf.DUMMYFUNCTION("""COMPUTED_VALUE"""),128549.0)</f>
        <v>128549</v>
      </c>
      <c r="Q396" s="124" t="str">
        <f>IFERROR(__xludf.DUMMYFUNCTION("""COMPUTED_VALUE"""),"upsc-gs-foundation-hinglish-target-2027-gsf-upsc-e02-orn")</f>
        <v>upsc-gs-foundation-hinglish-target-2027-gsf-upsc-e02-orn</v>
      </c>
      <c r="R396" s="124" t="str">
        <f>IFERROR(__xludf.DUMMYFUNCTION("""COMPUTED_VALUE"""),"GS Foundation Course")</f>
        <v>GS Foundation Course</v>
      </c>
      <c r="S396" s="124">
        <f>IFERROR(__xludf.DUMMYFUNCTION("""COMPUTED_VALUE"""),7.017304313E9)</f>
        <v>7017304313</v>
      </c>
      <c r="T396" s="124" t="str">
        <f>IFERROR(__xludf.DUMMYFUNCTION("""COMPUTED_VALUE"""),"Not Available")</f>
        <v>Not Available</v>
      </c>
      <c r="U396" s="124" t="str">
        <f>IFERROR(__xludf.DUMMYFUNCTION("""COMPUTED_VALUE"""),"Not Available")</f>
        <v>Not Available</v>
      </c>
      <c r="V396" s="124" t="str">
        <f>IFERROR(__xludf.DUMMYFUNCTION("""COMPUTED_VALUE"""),"Not Available")</f>
        <v>Not Available</v>
      </c>
      <c r="W396" s="124" t="str">
        <f>IFERROR(__xludf.DUMMYFUNCTION("""COMPUTED_VALUE"""),"Not Available")</f>
        <v>Not Available</v>
      </c>
    </row>
    <row r="397">
      <c r="A397" s="124" t="str">
        <f t="shared" si="1"/>
        <v>divyanshdubey1605@gmail.com</v>
      </c>
      <c r="B397" s="131">
        <f>IFERROR(__xludf.DUMMYFUNCTION("""COMPUTED_VALUE"""),46109.0)</f>
        <v>46109</v>
      </c>
      <c r="C397" s="124" t="str">
        <f>IFERROR(__xludf.DUMMYFUNCTION("""COMPUTED_VALUE"""),"Payment data from Collexo")</f>
        <v>Payment data from Collexo</v>
      </c>
      <c r="D397" s="124" t="str">
        <f>IFERROR(__xludf.DUMMYFUNCTION("""COMPUTED_VALUE"""),"Not Available")</f>
        <v>Not Available</v>
      </c>
      <c r="E397" s="124">
        <f>IFERROR(__xludf.DUMMYFUNCTION("""COMPUTED_VALUE"""),1500609.0)</f>
        <v>1500609</v>
      </c>
      <c r="F397" s="124" t="str">
        <f>IFERROR(__xludf.DUMMYFUNCTION("""COMPUTED_VALUE"""),"17142_988_7")</f>
        <v>17142_988_7</v>
      </c>
      <c r="G397" s="124">
        <f>IFERROR(__xludf.DUMMYFUNCTION("""COMPUTED_VALUE"""),1.0)</f>
        <v>1</v>
      </c>
      <c r="H397" s="124" t="str">
        <f>IFERROR(__xludf.DUMMYFUNCTION("""COMPUTED_VALUE"""),"Not Available")</f>
        <v>Not Available</v>
      </c>
      <c r="I397" s="124">
        <f>IFERROR(__xludf.DUMMYFUNCTION("""COMPUTED_VALUE"""),0.0)</f>
        <v>0</v>
      </c>
      <c r="J397" s="124">
        <f>IFERROR(__xludf.DUMMYFUNCTION("""COMPUTED_VALUE"""),1.0)</f>
        <v>1</v>
      </c>
      <c r="K397" s="124">
        <f>IFERROR(__xludf.DUMMYFUNCTION("""COMPUTED_VALUE"""),1.0)</f>
        <v>1</v>
      </c>
      <c r="L397" s="124">
        <f>IFERROR(__xludf.DUMMYFUNCTION("""COMPUTED_VALUE"""),801.0)</f>
        <v>801</v>
      </c>
      <c r="M397" s="124" t="str">
        <f>IFERROR(__xludf.DUMMYFUNCTION("""COMPUTED_VALUE"""),"New Delhi")</f>
        <v>New Delhi</v>
      </c>
      <c r="N397" s="124" t="str">
        <f>IFERROR(__xludf.DUMMYFUNCTION("""COMPUTED_VALUE"""),"divyanshdubey1605@gmail.com")</f>
        <v>divyanshdubey1605@gmail.com</v>
      </c>
      <c r="O397" s="124" t="str">
        <f>IFERROR(__xludf.DUMMYFUNCTION("""COMPUTED_VALUE"""),"Divyansh Dubey")</f>
        <v>Divyansh Dubey</v>
      </c>
      <c r="P397" s="124">
        <f>IFERROR(__xludf.DUMMYFUNCTION("""COMPUTED_VALUE"""),55940.0)</f>
        <v>55940</v>
      </c>
      <c r="Q397" s="124" t="str">
        <f>IFERROR(__xludf.DUMMYFUNCTION("""COMPUTED_VALUE"""),"upsc-gs-foundation-hinglish-target-2027-gsf-upsc-m04-orn")</f>
        <v>upsc-gs-foundation-hinglish-target-2027-gsf-upsc-m04-orn</v>
      </c>
      <c r="R397" s="124" t="str">
        <f>IFERROR(__xludf.DUMMYFUNCTION("""COMPUTED_VALUE"""),"GS Foundation Course")</f>
        <v>GS Foundation Course</v>
      </c>
      <c r="S397" s="124">
        <f>IFERROR(__xludf.DUMMYFUNCTION("""COMPUTED_VALUE"""),8.989620722E9)</f>
        <v>8989620722</v>
      </c>
      <c r="T397" s="124" t="str">
        <f>IFERROR(__xludf.DUMMYFUNCTION("""COMPUTED_VALUE"""),"Collexo")</f>
        <v>Collexo</v>
      </c>
      <c r="U397" s="124" t="str">
        <f>IFERROR(__xludf.DUMMYFUNCTION("""COMPUTED_VALUE"""),"Success")</f>
        <v>Success</v>
      </c>
      <c r="V397" s="131">
        <f>IFERROR(__xludf.DUMMYFUNCTION("""COMPUTED_VALUE"""),46109.0)</f>
        <v>46109</v>
      </c>
      <c r="W397" s="124">
        <f>IFERROR(__xludf.DUMMYFUNCTION("""COMPUTED_VALUE"""),0.0)</f>
        <v>0</v>
      </c>
    </row>
    <row r="398">
      <c r="A398" s="124" t="str">
        <f t="shared" si="1"/>
        <v>princessbrd7@gmail.com</v>
      </c>
      <c r="B398" s="131">
        <f>IFERROR(__xludf.DUMMYFUNCTION("""COMPUTED_VALUE"""),46106.0)</f>
        <v>46106</v>
      </c>
      <c r="C398" s="124" t="str">
        <f>IFERROR(__xludf.DUMMYFUNCTION("""COMPUTED_VALUE"""),"Payment data from Collexo")</f>
        <v>Payment data from Collexo</v>
      </c>
      <c r="D398" s="124" t="str">
        <f>IFERROR(__xludf.DUMMYFUNCTION("""COMPUTED_VALUE"""),"Not Available")</f>
        <v>Not Available</v>
      </c>
      <c r="E398" s="124">
        <f>IFERROR(__xludf.DUMMYFUNCTION("""COMPUTED_VALUE"""),1500612.0)</f>
        <v>1500612</v>
      </c>
      <c r="F398" s="124">
        <f>IFERROR(__xludf.DUMMYFUNCTION("""COMPUTED_VALUE"""),128177.0)</f>
        <v>128177</v>
      </c>
      <c r="G398" s="124">
        <f>IFERROR(__xludf.DUMMYFUNCTION("""COMPUTED_VALUE"""),108000.0)</f>
        <v>108000</v>
      </c>
      <c r="H398" s="124" t="str">
        <f>IFERROR(__xludf.DUMMYFUNCTION("""COMPUTED_VALUE"""),"Not Available")</f>
        <v>Not Available</v>
      </c>
      <c r="I398" s="124">
        <f>IFERROR(__xludf.DUMMYFUNCTION("""COMPUTED_VALUE"""),0.0)</f>
        <v>0</v>
      </c>
      <c r="J398" s="124">
        <f>IFERROR(__xludf.DUMMYFUNCTION("""COMPUTED_VALUE"""),120000.0)</f>
        <v>120000</v>
      </c>
      <c r="K398" s="124">
        <f>IFERROR(__xludf.DUMMYFUNCTION("""COMPUTED_VALUE"""),3.0)</f>
        <v>3</v>
      </c>
      <c r="L398" s="124">
        <f>IFERROR(__xludf.DUMMYFUNCTION("""COMPUTED_VALUE"""),721.0)</f>
        <v>721</v>
      </c>
      <c r="M398" s="124" t="str">
        <f>IFERROR(__xludf.DUMMYFUNCTION("""COMPUTED_VALUE"""),"Indore")</f>
        <v>Indore</v>
      </c>
      <c r="N398" s="124" t="str">
        <f>IFERROR(__xludf.DUMMYFUNCTION("""COMPUTED_VALUE"""),"princessbrd7@gmail.com")</f>
        <v>princessbrd7@gmail.com</v>
      </c>
      <c r="O398" s="124" t="str">
        <f>IFERROR(__xludf.DUMMYFUNCTION("""COMPUTED_VALUE"""),"Princess Barode")</f>
        <v>Princess Barode</v>
      </c>
      <c r="P398" s="124">
        <f>IFERROR(__xludf.DUMMYFUNCTION("""COMPUTED_VALUE"""),128177.0)</f>
        <v>128177</v>
      </c>
      <c r="Q398" s="124" t="str">
        <f>IFERROR(__xludf.DUMMYFUNCTION("""COMPUTED_VALUE"""),"upsc-gs-foundation-hinglish-target-2028-gsf-upsc-m03-ind")</f>
        <v>upsc-gs-foundation-hinglish-target-2028-gsf-upsc-m03-ind</v>
      </c>
      <c r="R398" s="124" t="str">
        <f>IFERROR(__xludf.DUMMYFUNCTION("""COMPUTED_VALUE"""),"GS Foundation Course")</f>
        <v>GS Foundation Course</v>
      </c>
      <c r="S398" s="124">
        <f>IFERROR(__xludf.DUMMYFUNCTION("""COMPUTED_VALUE"""),8.839168968E9)</f>
        <v>8839168968</v>
      </c>
      <c r="T398" s="124" t="str">
        <f>IFERROR(__xludf.DUMMYFUNCTION("""COMPUTED_VALUE"""),"Not Available")</f>
        <v>Not Available</v>
      </c>
      <c r="U398" s="124" t="str">
        <f>IFERROR(__xludf.DUMMYFUNCTION("""COMPUTED_VALUE"""),"Not Available")</f>
        <v>Not Available</v>
      </c>
      <c r="V398" s="124" t="str">
        <f>IFERROR(__xludf.DUMMYFUNCTION("""COMPUTED_VALUE"""),"Not Available")</f>
        <v>Not Available</v>
      </c>
      <c r="W398" s="124" t="str">
        <f>IFERROR(__xludf.DUMMYFUNCTION("""COMPUTED_VALUE"""),"Not Available")</f>
        <v>Not Available</v>
      </c>
    </row>
    <row r="399">
      <c r="A399" s="124" t="str">
        <f t="shared" si="1"/>
        <v>aditya2008du@gmail.com</v>
      </c>
      <c r="B399" s="131">
        <f>IFERROR(__xludf.DUMMYFUNCTION("""COMPUTED_VALUE"""),46095.0)</f>
        <v>46095</v>
      </c>
      <c r="C399" s="124" t="str">
        <f>IFERROR(__xludf.DUMMYFUNCTION("""COMPUTED_VALUE"""),"Payment data from Collexo")</f>
        <v>Payment data from Collexo</v>
      </c>
      <c r="D399" s="124" t="str">
        <f>IFERROR(__xludf.DUMMYFUNCTION("""COMPUTED_VALUE"""),"Not Available")</f>
        <v>Not Available</v>
      </c>
      <c r="E399" s="124">
        <f>IFERROR(__xludf.DUMMYFUNCTION("""COMPUTED_VALUE"""),1500609.0)</f>
        <v>1500609</v>
      </c>
      <c r="F399" s="124" t="str">
        <f>IFERROR(__xludf.DUMMYFUNCTION("""COMPUTED_VALUE"""),"14269_988_7")</f>
        <v>14269_988_7</v>
      </c>
      <c r="G399" s="124">
        <f>IFERROR(__xludf.DUMMYFUNCTION("""COMPUTED_VALUE"""),1.0)</f>
        <v>1</v>
      </c>
      <c r="H399" s="124" t="str">
        <f>IFERROR(__xludf.DUMMYFUNCTION("""COMPUTED_VALUE"""),"Not Available")</f>
        <v>Not Available</v>
      </c>
      <c r="I399" s="124">
        <f>IFERROR(__xludf.DUMMYFUNCTION("""COMPUTED_VALUE"""),0.0)</f>
        <v>0</v>
      </c>
      <c r="J399" s="124">
        <f>IFERROR(__xludf.DUMMYFUNCTION("""COMPUTED_VALUE"""),1.0)</f>
        <v>1</v>
      </c>
      <c r="K399" s="124">
        <f>IFERROR(__xludf.DUMMYFUNCTION("""COMPUTED_VALUE"""),1.0)</f>
        <v>1</v>
      </c>
      <c r="L399" s="124">
        <f>IFERROR(__xludf.DUMMYFUNCTION("""COMPUTED_VALUE"""),546.0)</f>
        <v>546</v>
      </c>
      <c r="M399" s="124" t="str">
        <f>IFERROR(__xludf.DUMMYFUNCTION("""COMPUTED_VALUE"""),"New Delhi")</f>
        <v>New Delhi</v>
      </c>
      <c r="N399" s="124" t="str">
        <f>IFERROR(__xludf.DUMMYFUNCTION("""COMPUTED_VALUE"""),"aditya2008du@gmail.com")</f>
        <v>aditya2008du@gmail.com</v>
      </c>
      <c r="O399" s="124" t="str">
        <f>IFERROR(__xludf.DUMMYFUNCTION("""COMPUTED_VALUE"""),"Aditya")</f>
        <v>Aditya</v>
      </c>
      <c r="P399" s="124">
        <f>IFERROR(__xludf.DUMMYFUNCTION("""COMPUTED_VALUE"""),127048.0)</f>
        <v>127048</v>
      </c>
      <c r="Q399" s="124" t="str">
        <f>IFERROR(__xludf.DUMMYFUNCTION("""COMPUTED_VALUE"""),"-")</f>
        <v>-</v>
      </c>
      <c r="R399" s="124" t="str">
        <f>IFERROR(__xludf.DUMMYFUNCTION("""COMPUTED_VALUE"""),"GS Foundation Course")</f>
        <v>GS Foundation Course</v>
      </c>
      <c r="S399" s="124">
        <f>IFERROR(__xludf.DUMMYFUNCTION("""COMPUTED_VALUE"""),7.568052526E9)</f>
        <v>7568052526</v>
      </c>
      <c r="T399" s="124" t="str">
        <f>IFERROR(__xludf.DUMMYFUNCTION("""COMPUTED_VALUE"""),"Collexo")</f>
        <v>Collexo</v>
      </c>
      <c r="U399" s="124" t="str">
        <f>IFERROR(__xludf.DUMMYFUNCTION("""COMPUTED_VALUE"""),"Success")</f>
        <v>Success</v>
      </c>
      <c r="V399" s="131">
        <f>IFERROR(__xludf.DUMMYFUNCTION("""COMPUTED_VALUE"""),46095.0)</f>
        <v>46095</v>
      </c>
      <c r="W399" s="124">
        <f>IFERROR(__xludf.DUMMYFUNCTION("""COMPUTED_VALUE"""),0.0)</f>
        <v>0</v>
      </c>
    </row>
    <row r="400">
      <c r="A400" s="124" t="str">
        <f t="shared" si="1"/>
        <v>aditya2008du@gmail.com</v>
      </c>
      <c r="B400" s="131">
        <f>IFERROR(__xludf.DUMMYFUNCTION("""COMPUTED_VALUE"""),46106.0)</f>
        <v>46106</v>
      </c>
      <c r="C400" s="124" t="str">
        <f>IFERROR(__xludf.DUMMYFUNCTION("""COMPUTED_VALUE"""),"Payment data from Collexo")</f>
        <v>Payment data from Collexo</v>
      </c>
      <c r="D400" s="124" t="str">
        <f>IFERROR(__xludf.DUMMYFUNCTION("""COMPUTED_VALUE"""),"Not Available")</f>
        <v>Not Available</v>
      </c>
      <c r="E400" s="124">
        <f>IFERROR(__xludf.DUMMYFUNCTION("""COMPUTED_VALUE"""),1500609.0)</f>
        <v>1500609</v>
      </c>
      <c r="F400" s="124" t="str">
        <f>IFERROR(__xludf.DUMMYFUNCTION("""COMPUTED_VALUE"""),"16490_988_7")</f>
        <v>16490_988_7</v>
      </c>
      <c r="G400" s="124">
        <f>IFERROR(__xludf.DUMMYFUNCTION("""COMPUTED_VALUE"""),40000.0)</f>
        <v>40000</v>
      </c>
      <c r="H400" s="131">
        <f>IFERROR(__xludf.DUMMYFUNCTION("""COMPUTED_VALUE"""),46112.0)</f>
        <v>46112</v>
      </c>
      <c r="I400" s="124">
        <f>IFERROR(__xludf.DUMMYFUNCTION("""COMPUTED_VALUE"""),80000.0)</f>
        <v>80000</v>
      </c>
      <c r="J400" s="124">
        <f>IFERROR(__xludf.DUMMYFUNCTION("""COMPUTED_VALUE"""),130000.0)</f>
        <v>130000</v>
      </c>
      <c r="K400" s="124">
        <f>IFERROR(__xludf.DUMMYFUNCTION("""COMPUTED_VALUE"""),3.0)</f>
        <v>3</v>
      </c>
      <c r="L400" s="124">
        <f>IFERROR(__xludf.DUMMYFUNCTION("""COMPUTED_VALUE"""),724.0)</f>
        <v>724</v>
      </c>
      <c r="M400" s="124" t="str">
        <f>IFERROR(__xludf.DUMMYFUNCTION("""COMPUTED_VALUE"""),"New Delhi")</f>
        <v>New Delhi</v>
      </c>
      <c r="N400" s="124" t="str">
        <f>IFERROR(__xludf.DUMMYFUNCTION("""COMPUTED_VALUE"""),"aditya2008du@gmail.com")</f>
        <v>aditya2008du@gmail.com</v>
      </c>
      <c r="O400" s="124" t="str">
        <f>IFERROR(__xludf.DUMMYFUNCTION("""COMPUTED_VALUE"""),"Aditya")</f>
        <v>Aditya</v>
      </c>
      <c r="P400" s="124">
        <f>IFERROR(__xludf.DUMMYFUNCTION("""COMPUTED_VALUE"""),127048.0)</f>
        <v>127048</v>
      </c>
      <c r="Q400" s="124" t="str">
        <f>IFERROR(__xludf.DUMMYFUNCTION("""COMPUTED_VALUE"""),"-")</f>
        <v>-</v>
      </c>
      <c r="R400" s="124" t="str">
        <f>IFERROR(__xludf.DUMMYFUNCTION("""COMPUTED_VALUE"""),"GS Foundation Course")</f>
        <v>GS Foundation Course</v>
      </c>
      <c r="S400" s="124">
        <f>IFERROR(__xludf.DUMMYFUNCTION("""COMPUTED_VALUE"""),7.568052526E9)</f>
        <v>7568052526</v>
      </c>
      <c r="T400" s="124" t="str">
        <f>IFERROR(__xludf.DUMMYFUNCTION("""COMPUTED_VALUE"""),"Collexo")</f>
        <v>Collexo</v>
      </c>
      <c r="U400" s="124" t="str">
        <f>IFERROR(__xludf.DUMMYFUNCTION("""COMPUTED_VALUE"""),"Success")</f>
        <v>Success</v>
      </c>
      <c r="V400" s="131">
        <f>IFERROR(__xludf.DUMMYFUNCTION("""COMPUTED_VALUE"""),46106.0)</f>
        <v>46106</v>
      </c>
      <c r="W400" s="124">
        <f>IFERROR(__xludf.DUMMYFUNCTION("""COMPUTED_VALUE"""),0.0)</f>
        <v>0</v>
      </c>
    </row>
    <row r="401">
      <c r="A401" s="124" t="str">
        <f t="shared" si="1"/>
        <v>goldyychaudharyy51@gmail.com</v>
      </c>
      <c r="B401" s="131">
        <f>IFERROR(__xludf.DUMMYFUNCTION("""COMPUTED_VALUE"""),46054.0)</f>
        <v>46054</v>
      </c>
      <c r="C401" s="124" t="str">
        <f>IFERROR(__xludf.DUMMYFUNCTION("""COMPUTED_VALUE"""),"Payment data from Collexo")</f>
        <v>Payment data from Collexo</v>
      </c>
      <c r="D401" s="124" t="str">
        <f>IFERROR(__xludf.DUMMYFUNCTION("""COMPUTED_VALUE"""),"Not Available")</f>
        <v>Not Available</v>
      </c>
      <c r="E401" s="124">
        <f>IFERROR(__xludf.DUMMYFUNCTION("""COMPUTED_VALUE"""),1500609.0)</f>
        <v>1500609</v>
      </c>
      <c r="F401" s="124" t="str">
        <f>IFERROR(__xludf.DUMMYFUNCTION("""COMPUTED_VALUE"""),"3453_988_7")</f>
        <v>3453_988_7</v>
      </c>
      <c r="G401" s="124">
        <f>IFERROR(__xludf.DUMMYFUNCTION("""COMPUTED_VALUE"""),5000.0)</f>
        <v>5000</v>
      </c>
      <c r="H401" s="131">
        <f>IFERROR(__xludf.DUMMYFUNCTION("""COMPUTED_VALUE"""),46058.0)</f>
        <v>46058</v>
      </c>
      <c r="I401" s="124">
        <f>IFERROR(__xludf.DUMMYFUNCTION("""COMPUTED_VALUE"""),130000.0)</f>
        <v>130000</v>
      </c>
      <c r="J401" s="124">
        <f>IFERROR(__xludf.DUMMYFUNCTION("""COMPUTED_VALUE"""),135000.0)</f>
        <v>135000</v>
      </c>
      <c r="K401" s="124">
        <f>IFERROR(__xludf.DUMMYFUNCTION("""COMPUTED_VALUE"""),2.0)</f>
        <v>2</v>
      </c>
      <c r="L401" s="124">
        <f>IFERROR(__xludf.DUMMYFUNCTION("""COMPUTED_VALUE"""),150.0)</f>
        <v>150</v>
      </c>
      <c r="M401" s="124" t="str">
        <f>IFERROR(__xludf.DUMMYFUNCTION("""COMPUTED_VALUE"""),"New Delhi")</f>
        <v>New Delhi</v>
      </c>
      <c r="N401" s="124" t="str">
        <f>IFERROR(__xludf.DUMMYFUNCTION("""COMPUTED_VALUE"""),"goldyychaudharyy51@gmail.com")</f>
        <v>goldyychaudharyy51@gmail.com</v>
      </c>
      <c r="O401" s="124" t="str">
        <f>IFERROR(__xludf.DUMMYFUNCTION("""COMPUTED_VALUE"""),"Jaishal")</f>
        <v>Jaishal</v>
      </c>
      <c r="P401" s="124">
        <f>IFERROR(__xludf.DUMMYFUNCTION("""COMPUTED_VALUE"""),120250.0)</f>
        <v>120250</v>
      </c>
      <c r="Q401" s="124" t="str">
        <f>IFERROR(__xludf.DUMMYFUNCTION("""COMPUTED_VALUE"""),"ncert-foundation-hinglish-target-2026-nce-upsc-e02-orn")</f>
        <v>ncert-foundation-hinglish-target-2026-nce-upsc-e02-orn</v>
      </c>
      <c r="R401" s="124" t="str">
        <f>IFERROR(__xludf.DUMMYFUNCTION("""COMPUTED_VALUE"""),"GS Foundation Course")</f>
        <v>GS Foundation Course</v>
      </c>
      <c r="S401" s="124">
        <f>IFERROR(__xludf.DUMMYFUNCTION("""COMPUTED_VALUE"""),9.058402617E9)</f>
        <v>9058402617</v>
      </c>
      <c r="T401" s="124" t="str">
        <f>IFERROR(__xludf.DUMMYFUNCTION("""COMPUTED_VALUE"""),"Collexo")</f>
        <v>Collexo</v>
      </c>
      <c r="U401" s="124" t="str">
        <f>IFERROR(__xludf.DUMMYFUNCTION("""COMPUTED_VALUE"""),"Success")</f>
        <v>Success</v>
      </c>
      <c r="V401" s="131">
        <f>IFERROR(__xludf.DUMMYFUNCTION("""COMPUTED_VALUE"""),46054.0)</f>
        <v>46054</v>
      </c>
      <c r="W401" s="124">
        <f>IFERROR(__xludf.DUMMYFUNCTION("""COMPUTED_VALUE"""),0.0)</f>
        <v>0</v>
      </c>
    </row>
    <row r="402">
      <c r="A402" s="124" t="str">
        <f t="shared" si="1"/>
        <v>nisharaj3432@gmail.com</v>
      </c>
      <c r="B402" s="131">
        <f>IFERROR(__xludf.DUMMYFUNCTION("""COMPUTED_VALUE"""),46094.0)</f>
        <v>46094</v>
      </c>
      <c r="C402" s="124" t="str">
        <f>IFERROR(__xludf.DUMMYFUNCTION("""COMPUTED_VALUE"""),"Payment data from Collexo")</f>
        <v>Payment data from Collexo</v>
      </c>
      <c r="D402" s="124" t="str">
        <f>IFERROR(__xludf.DUMMYFUNCTION("""COMPUTED_VALUE"""),"Not Available")</f>
        <v>Not Available</v>
      </c>
      <c r="E402" s="124">
        <f>IFERROR(__xludf.DUMMYFUNCTION("""COMPUTED_VALUE"""),1500611.0)</f>
        <v>1500611</v>
      </c>
      <c r="F402" s="124">
        <f>IFERROR(__xludf.DUMMYFUNCTION("""COMPUTED_VALUE"""),127085.0)</f>
        <v>127085</v>
      </c>
      <c r="G402" s="124">
        <f>IFERROR(__xludf.DUMMYFUNCTION("""COMPUTED_VALUE"""),5000.0)</f>
        <v>5000</v>
      </c>
      <c r="H402" s="131">
        <f>IFERROR(__xludf.DUMMYFUNCTION("""COMPUTED_VALUE"""),46096.0)</f>
        <v>46096</v>
      </c>
      <c r="I402" s="124">
        <f>IFERROR(__xludf.DUMMYFUNCTION("""COMPUTED_VALUE"""),35000.0)</f>
        <v>35000</v>
      </c>
      <c r="J402" s="124">
        <f>IFERROR(__xludf.DUMMYFUNCTION("""COMPUTED_VALUE"""),40000.0)</f>
        <v>40000</v>
      </c>
      <c r="K402" s="124">
        <f>IFERROR(__xludf.DUMMYFUNCTION("""COMPUTED_VALUE"""),2.0)</f>
        <v>2</v>
      </c>
      <c r="L402" s="124">
        <f>IFERROR(__xludf.DUMMYFUNCTION("""COMPUTED_VALUE"""),528.0)</f>
        <v>528</v>
      </c>
      <c r="M402" s="124" t="str">
        <f>IFERROR(__xludf.DUMMYFUNCTION("""COMPUTED_VALUE"""),"Patna")</f>
        <v>Patna</v>
      </c>
      <c r="N402" s="124" t="str">
        <f>IFERROR(__xludf.DUMMYFUNCTION("""COMPUTED_VALUE"""),"nisharaj3432@gmail.com")</f>
        <v>nisharaj3432@gmail.com</v>
      </c>
      <c r="O402" s="124" t="str">
        <f>IFERROR(__xludf.DUMMYFUNCTION("""COMPUTED_VALUE"""),"Nisha Raj")</f>
        <v>Nisha Raj</v>
      </c>
      <c r="P402" s="124">
        <f>IFERROR(__xludf.DUMMYFUNCTION("""COMPUTED_VALUE"""),127085.0)</f>
        <v>127085</v>
      </c>
      <c r="Q402" s="124" t="str">
        <f>IFERROR(__xludf.DUMMYFUNCTION("""COMPUTED_VALUE"""),"bpsc-gs-foundation-hinglish-target-2026-gsf-bpsc-m02-pat")</f>
        <v>bpsc-gs-foundation-hinglish-target-2026-gsf-bpsc-m02-pat</v>
      </c>
      <c r="R402" s="124" t="str">
        <f>IFERROR(__xludf.DUMMYFUNCTION("""COMPUTED_VALUE"""),"State PCS")</f>
        <v>State PCS</v>
      </c>
      <c r="S402" s="124">
        <f>IFERROR(__xludf.DUMMYFUNCTION("""COMPUTED_VALUE"""),9.102624944E9)</f>
        <v>9102624944</v>
      </c>
      <c r="T402" s="124" t="str">
        <f>IFERROR(__xludf.DUMMYFUNCTION("""COMPUTED_VALUE"""),"Not Available")</f>
        <v>Not Available</v>
      </c>
      <c r="U402" s="124" t="str">
        <f>IFERROR(__xludf.DUMMYFUNCTION("""COMPUTED_VALUE"""),"Not Available")</f>
        <v>Not Available</v>
      </c>
      <c r="V402" s="124" t="str">
        <f>IFERROR(__xludf.DUMMYFUNCTION("""COMPUTED_VALUE"""),"Not Available")</f>
        <v>Not Available</v>
      </c>
      <c r="W402" s="124" t="str">
        <f>IFERROR(__xludf.DUMMYFUNCTION("""COMPUTED_VALUE"""),"Not Available")</f>
        <v>Not Available</v>
      </c>
    </row>
    <row r="403">
      <c r="A403" s="124" t="str">
        <f t="shared" si="1"/>
        <v>noorsharma0410@gmail.com</v>
      </c>
      <c r="B403" s="131">
        <f>IFERROR(__xludf.DUMMYFUNCTION("""COMPUTED_VALUE"""),46069.0)</f>
        <v>46069</v>
      </c>
      <c r="C403" s="124" t="str">
        <f>IFERROR(__xludf.DUMMYFUNCTION("""COMPUTED_VALUE"""),"Payment data from Collexo")</f>
        <v>Payment data from Collexo</v>
      </c>
      <c r="D403" s="124" t="str">
        <f>IFERROR(__xludf.DUMMYFUNCTION("""COMPUTED_VALUE"""),"Not Available")</f>
        <v>Not Available</v>
      </c>
      <c r="E403" s="124">
        <f>IFERROR(__xludf.DUMMYFUNCTION("""COMPUTED_VALUE"""),1500609.0)</f>
        <v>1500609</v>
      </c>
      <c r="F403" s="124" t="str">
        <f>IFERROR(__xludf.DUMMYFUNCTION("""COMPUTED_VALUE"""),"5450_988_7")</f>
        <v>5450_988_7</v>
      </c>
      <c r="G403" s="124">
        <f>IFERROR(__xludf.DUMMYFUNCTION("""COMPUTED_VALUE"""),5000.0)</f>
        <v>5000</v>
      </c>
      <c r="H403" s="131">
        <f>IFERROR(__xludf.DUMMYFUNCTION("""COMPUTED_VALUE"""),46081.0)</f>
        <v>46081</v>
      </c>
      <c r="I403" s="124">
        <f>IFERROR(__xludf.DUMMYFUNCTION("""COMPUTED_VALUE"""),95000.0)</f>
        <v>95000</v>
      </c>
      <c r="J403" s="124">
        <f>IFERROR(__xludf.DUMMYFUNCTION("""COMPUTED_VALUE"""),100000.0)</f>
        <v>100000</v>
      </c>
      <c r="K403" s="124">
        <f>IFERROR(__xludf.DUMMYFUNCTION("""COMPUTED_VALUE"""),2.0)</f>
        <v>2</v>
      </c>
      <c r="L403" s="124">
        <f>IFERROR(__xludf.DUMMYFUNCTION("""COMPUTED_VALUE"""),229.0)</f>
        <v>229</v>
      </c>
      <c r="M403" s="124" t="str">
        <f>IFERROR(__xludf.DUMMYFUNCTION("""COMPUTED_VALUE"""),"New Delhi")</f>
        <v>New Delhi</v>
      </c>
      <c r="N403" s="124" t="str">
        <f>IFERROR(__xludf.DUMMYFUNCTION("""COMPUTED_VALUE"""),"noorsharma0410@gmail.com")</f>
        <v>noorsharma0410@gmail.com</v>
      </c>
      <c r="O403" s="124" t="str">
        <f>IFERROR(__xludf.DUMMYFUNCTION("""COMPUTED_VALUE"""),"Noor Sharma")</f>
        <v>Noor Sharma</v>
      </c>
      <c r="P403" s="124">
        <f>IFERROR(__xludf.DUMMYFUNCTION("""COMPUTED_VALUE"""),123559.0)</f>
        <v>123559</v>
      </c>
      <c r="Q403" s="124" t="str">
        <f>IFERROR(__xludf.DUMMYFUNCTION("""COMPUTED_VALUE"""),"upsc-gs-foundation-hinglish-target-2027-gsf-upsc-m02-orn")</f>
        <v>upsc-gs-foundation-hinglish-target-2027-gsf-upsc-m02-orn</v>
      </c>
      <c r="R403" s="124" t="str">
        <f>IFERROR(__xludf.DUMMYFUNCTION("""COMPUTED_VALUE"""),"GS Foundation Course")</f>
        <v>GS Foundation Course</v>
      </c>
      <c r="S403" s="124">
        <f>IFERROR(__xludf.DUMMYFUNCTION("""COMPUTED_VALUE"""),9.773766951E9)</f>
        <v>9773766951</v>
      </c>
      <c r="T403" s="124" t="str">
        <f>IFERROR(__xludf.DUMMYFUNCTION("""COMPUTED_VALUE"""),"Collexo")</f>
        <v>Collexo</v>
      </c>
      <c r="U403" s="124" t="str">
        <f>IFERROR(__xludf.DUMMYFUNCTION("""COMPUTED_VALUE"""),"Success")</f>
        <v>Success</v>
      </c>
      <c r="V403" s="131">
        <f>IFERROR(__xludf.DUMMYFUNCTION("""COMPUTED_VALUE"""),46069.0)</f>
        <v>46069</v>
      </c>
      <c r="W403" s="124">
        <f>IFERROR(__xludf.DUMMYFUNCTION("""COMPUTED_VALUE"""),0.0)</f>
        <v>0</v>
      </c>
    </row>
    <row r="404">
      <c r="A404" s="124" t="str">
        <f t="shared" si="1"/>
        <v>jeetaryan20866@gmail.com</v>
      </c>
      <c r="B404" s="131">
        <f>IFERROR(__xludf.DUMMYFUNCTION("""COMPUTED_VALUE"""),46109.0)</f>
        <v>46109</v>
      </c>
      <c r="C404" s="124" t="str">
        <f>IFERROR(__xludf.DUMMYFUNCTION("""COMPUTED_VALUE"""),"Payment data from Collexo")</f>
        <v>Payment data from Collexo</v>
      </c>
      <c r="D404" s="124" t="str">
        <f>IFERROR(__xludf.DUMMYFUNCTION("""COMPUTED_VALUE"""),"Not Available")</f>
        <v>Not Available</v>
      </c>
      <c r="E404" s="124">
        <f>IFERROR(__xludf.DUMMYFUNCTION("""COMPUTED_VALUE"""),1500613.0)</f>
        <v>1500613</v>
      </c>
      <c r="F404" s="124">
        <f>IFERROR(__xludf.DUMMYFUNCTION("""COMPUTED_VALUE"""),124667.0)</f>
        <v>124667</v>
      </c>
      <c r="G404" s="124">
        <f>IFERROR(__xludf.DUMMYFUNCTION("""COMPUTED_VALUE"""),34000.0)</f>
        <v>34000</v>
      </c>
      <c r="H404" s="124" t="str">
        <f>IFERROR(__xludf.DUMMYFUNCTION("""COMPUTED_VALUE"""),"Not Available")</f>
        <v>Not Available</v>
      </c>
      <c r="I404" s="124">
        <f>IFERROR(__xludf.DUMMYFUNCTION("""COMPUTED_VALUE"""),0.0)</f>
        <v>0</v>
      </c>
      <c r="J404" s="124">
        <f>IFERROR(__xludf.DUMMYFUNCTION("""COMPUTED_VALUE"""),35000.0)</f>
        <v>35000</v>
      </c>
      <c r="K404" s="124">
        <f>IFERROR(__xludf.DUMMYFUNCTION("""COMPUTED_VALUE"""),2.0)</f>
        <v>2</v>
      </c>
      <c r="L404" s="124">
        <f>IFERROR(__xludf.DUMMYFUNCTION("""COMPUTED_VALUE"""),806.0)</f>
        <v>806</v>
      </c>
      <c r="M404" s="124" t="str">
        <f>IFERROR(__xludf.DUMMYFUNCTION("""COMPUTED_VALUE"""),"Prayagraj")</f>
        <v>Prayagraj</v>
      </c>
      <c r="N404" s="124" t="str">
        <f>IFERROR(__xludf.DUMMYFUNCTION("""COMPUTED_VALUE"""),"jeetaryan20866@gmail.com")</f>
        <v>jeetaryan20866@gmail.com</v>
      </c>
      <c r="O404" s="124" t="str">
        <f>IFERROR(__xludf.DUMMYFUNCTION("""COMPUTED_VALUE"""),"Jagjeet Singh")</f>
        <v>Jagjeet Singh</v>
      </c>
      <c r="P404" s="124">
        <f>IFERROR(__xludf.DUMMYFUNCTION("""COMPUTED_VALUE"""),124667.0)</f>
        <v>124667</v>
      </c>
      <c r="Q404" s="124" t="str">
        <f>IFERROR(__xludf.DUMMYFUNCTION("""COMPUTED_VALUE"""),"upsc-gs-foundation-hinglish-target-2028-gsf-upsc-e03-pry")</f>
        <v>upsc-gs-foundation-hinglish-target-2028-gsf-upsc-e03-pry</v>
      </c>
      <c r="R404" s="124" t="str">
        <f>IFERROR(__xludf.DUMMYFUNCTION("""COMPUTED_VALUE"""),"GS Foundation Course")</f>
        <v>GS Foundation Course</v>
      </c>
      <c r="S404" s="124">
        <f>IFERROR(__xludf.DUMMYFUNCTION("""COMPUTED_VALUE"""),7.800324648E9)</f>
        <v>7800324648</v>
      </c>
      <c r="T404" s="124" t="str">
        <f>IFERROR(__xludf.DUMMYFUNCTION("""COMPUTED_VALUE"""),"Not Available")</f>
        <v>Not Available</v>
      </c>
      <c r="U404" s="124" t="str">
        <f>IFERROR(__xludf.DUMMYFUNCTION("""COMPUTED_VALUE"""),"Not Available")</f>
        <v>Not Available</v>
      </c>
      <c r="V404" s="124" t="str">
        <f>IFERROR(__xludf.DUMMYFUNCTION("""COMPUTED_VALUE"""),"Not Available")</f>
        <v>Not Available</v>
      </c>
      <c r="W404" s="124" t="str">
        <f>IFERROR(__xludf.DUMMYFUNCTION("""COMPUTED_VALUE"""),"Not Available")</f>
        <v>Not Available</v>
      </c>
    </row>
    <row r="405">
      <c r="A405" s="124" t="str">
        <f t="shared" si="1"/>
        <v>goldyychaudharyy51@gmail.com</v>
      </c>
      <c r="B405" s="131">
        <f>IFERROR(__xludf.DUMMYFUNCTION("""COMPUTED_VALUE"""),46056.0)</f>
        <v>46056</v>
      </c>
      <c r="C405" s="124" t="str">
        <f>IFERROR(__xludf.DUMMYFUNCTION("""COMPUTED_VALUE"""),"Payment data from Collexo")</f>
        <v>Payment data from Collexo</v>
      </c>
      <c r="D405" s="124" t="str">
        <f>IFERROR(__xludf.DUMMYFUNCTION("""COMPUTED_VALUE"""),"Not Available")</f>
        <v>Not Available</v>
      </c>
      <c r="E405" s="124">
        <f>IFERROR(__xludf.DUMMYFUNCTION("""COMPUTED_VALUE"""),1500609.0)</f>
        <v>1500609</v>
      </c>
      <c r="F405" s="124" t="str">
        <f>IFERROR(__xludf.DUMMYFUNCTION("""COMPUTED_VALUE"""),"3710_988_7")</f>
        <v>3710_988_7</v>
      </c>
      <c r="G405" s="124">
        <f>IFERROR(__xludf.DUMMYFUNCTION("""COMPUTED_VALUE"""),95000.0)</f>
        <v>95000</v>
      </c>
      <c r="H405" s="131">
        <f>IFERROR(__xludf.DUMMYFUNCTION("""COMPUTED_VALUE"""),46058.0)</f>
        <v>46058</v>
      </c>
      <c r="I405" s="124">
        <f>IFERROR(__xludf.DUMMYFUNCTION("""COMPUTED_VALUE"""),25000.0)</f>
        <v>25000</v>
      </c>
      <c r="J405" s="124">
        <f>IFERROR(__xludf.DUMMYFUNCTION("""COMPUTED_VALUE"""),135000.0)</f>
        <v>135000</v>
      </c>
      <c r="K405" s="124">
        <f>IFERROR(__xludf.DUMMYFUNCTION("""COMPUTED_VALUE"""),4.0)</f>
        <v>4</v>
      </c>
      <c r="L405" s="124">
        <f>IFERROR(__xludf.DUMMYFUNCTION("""COMPUTED_VALUE"""),162.0)</f>
        <v>162</v>
      </c>
      <c r="M405" s="124" t="str">
        <f>IFERROR(__xludf.DUMMYFUNCTION("""COMPUTED_VALUE"""),"New Delhi")</f>
        <v>New Delhi</v>
      </c>
      <c r="N405" s="124" t="str">
        <f>IFERROR(__xludf.DUMMYFUNCTION("""COMPUTED_VALUE"""),"goldyychaudharyy51@gmail.com")</f>
        <v>goldyychaudharyy51@gmail.com</v>
      </c>
      <c r="O405" s="124" t="str">
        <f>IFERROR(__xludf.DUMMYFUNCTION("""COMPUTED_VALUE"""),"Jaishal")</f>
        <v>Jaishal</v>
      </c>
      <c r="P405" s="124">
        <f>IFERROR(__xludf.DUMMYFUNCTION("""COMPUTED_VALUE"""),120250.0)</f>
        <v>120250</v>
      </c>
      <c r="Q405" s="124" t="str">
        <f>IFERROR(__xludf.DUMMYFUNCTION("""COMPUTED_VALUE"""),"ncert-foundation-hinglish-target-2026-nce-upsc-e02-orn")</f>
        <v>ncert-foundation-hinglish-target-2026-nce-upsc-e02-orn</v>
      </c>
      <c r="R405" s="124" t="str">
        <f>IFERROR(__xludf.DUMMYFUNCTION("""COMPUTED_VALUE"""),"GS Foundation Course")</f>
        <v>GS Foundation Course</v>
      </c>
      <c r="S405" s="124">
        <f>IFERROR(__xludf.DUMMYFUNCTION("""COMPUTED_VALUE"""),9.058402617E9)</f>
        <v>9058402617</v>
      </c>
      <c r="T405" s="124" t="str">
        <f>IFERROR(__xludf.DUMMYFUNCTION("""COMPUTED_VALUE"""),"Collexo")</f>
        <v>Collexo</v>
      </c>
      <c r="U405" s="124" t="str">
        <f>IFERROR(__xludf.DUMMYFUNCTION("""COMPUTED_VALUE"""),"Success")</f>
        <v>Success</v>
      </c>
      <c r="V405" s="131">
        <f>IFERROR(__xludf.DUMMYFUNCTION("""COMPUTED_VALUE"""),46056.0)</f>
        <v>46056</v>
      </c>
      <c r="W405" s="124">
        <f>IFERROR(__xludf.DUMMYFUNCTION("""COMPUTED_VALUE"""),0.0)</f>
        <v>0</v>
      </c>
    </row>
    <row r="406">
      <c r="A406" s="124" t="str">
        <f t="shared" si="1"/>
        <v>divyanshdubey1605@gmail.com</v>
      </c>
      <c r="B406" s="131">
        <f>IFERROR(__xludf.DUMMYFUNCTION("""COMPUTED_VALUE"""),46111.0)</f>
        <v>46111</v>
      </c>
      <c r="C406" s="124" t="str">
        <f>IFERROR(__xludf.DUMMYFUNCTION("""COMPUTED_VALUE"""),"Payment data from Collexo")</f>
        <v>Payment data from Collexo</v>
      </c>
      <c r="D406" s="124" t="str">
        <f>IFERROR(__xludf.DUMMYFUNCTION("""COMPUTED_VALUE"""),"Not Available")</f>
        <v>Not Available</v>
      </c>
      <c r="E406" s="124">
        <f>IFERROR(__xludf.DUMMYFUNCTION("""COMPUTED_VALUE"""),1500609.0)</f>
        <v>1500609</v>
      </c>
      <c r="F406" s="124" t="str">
        <f>IFERROR(__xludf.DUMMYFUNCTION("""COMPUTED_VALUE"""),"17466_988_7")</f>
        <v>17466_988_7</v>
      </c>
      <c r="G406" s="124">
        <f>IFERROR(__xludf.DUMMYFUNCTION("""COMPUTED_VALUE"""),75000.0)</f>
        <v>75000</v>
      </c>
      <c r="H406" s="124" t="str">
        <f>IFERROR(__xludf.DUMMYFUNCTION("""COMPUTED_VALUE"""),"Not Available")</f>
        <v>Not Available</v>
      </c>
      <c r="I406" s="124">
        <f>IFERROR(__xludf.DUMMYFUNCTION("""COMPUTED_VALUE"""),0.0)</f>
        <v>0</v>
      </c>
      <c r="J406" s="124">
        <f>IFERROR(__xludf.DUMMYFUNCTION("""COMPUTED_VALUE"""),80000.0)</f>
        <v>80000</v>
      </c>
      <c r="K406" s="124">
        <f>IFERROR(__xludf.DUMMYFUNCTION("""COMPUTED_VALUE"""),2.0)</f>
        <v>2</v>
      </c>
      <c r="L406" s="124">
        <f>IFERROR(__xludf.DUMMYFUNCTION("""COMPUTED_VALUE"""),844.0)</f>
        <v>844</v>
      </c>
      <c r="M406" s="124" t="str">
        <f>IFERROR(__xludf.DUMMYFUNCTION("""COMPUTED_VALUE"""),"New Delhi")</f>
        <v>New Delhi</v>
      </c>
      <c r="N406" s="124" t="str">
        <f>IFERROR(__xludf.DUMMYFUNCTION("""COMPUTED_VALUE"""),"divyanshdubey1605@gmail.com")</f>
        <v>divyanshdubey1605@gmail.com</v>
      </c>
      <c r="O406" s="124" t="str">
        <f>IFERROR(__xludf.DUMMYFUNCTION("""COMPUTED_VALUE"""),"Divyansh Dubey")</f>
        <v>Divyansh Dubey</v>
      </c>
      <c r="P406" s="124">
        <f>IFERROR(__xludf.DUMMYFUNCTION("""COMPUTED_VALUE"""),55940.0)</f>
        <v>55940</v>
      </c>
      <c r="Q406" s="124" t="str">
        <f>IFERROR(__xludf.DUMMYFUNCTION("""COMPUTED_VALUE"""),"upsc-gs-foundation-hinglish-target-2027-gsf-upsc-m04-orn")</f>
        <v>upsc-gs-foundation-hinglish-target-2027-gsf-upsc-m04-orn</v>
      </c>
      <c r="R406" s="124" t="str">
        <f>IFERROR(__xludf.DUMMYFUNCTION("""COMPUTED_VALUE"""),"GS Foundation Course")</f>
        <v>GS Foundation Course</v>
      </c>
      <c r="S406" s="124">
        <f>IFERROR(__xludf.DUMMYFUNCTION("""COMPUTED_VALUE"""),8.989620722E9)</f>
        <v>8989620722</v>
      </c>
      <c r="T406" s="124" t="str">
        <f>IFERROR(__xludf.DUMMYFUNCTION("""COMPUTED_VALUE"""),"Collexo")</f>
        <v>Collexo</v>
      </c>
      <c r="U406" s="124" t="str">
        <f>IFERROR(__xludf.DUMMYFUNCTION("""COMPUTED_VALUE"""),"Success")</f>
        <v>Success</v>
      </c>
      <c r="V406" s="131">
        <f>IFERROR(__xludf.DUMMYFUNCTION("""COMPUTED_VALUE"""),46111.0)</f>
        <v>46111</v>
      </c>
      <c r="W406" s="124">
        <f>IFERROR(__xludf.DUMMYFUNCTION("""COMPUTED_VALUE"""),0.0)</f>
        <v>0</v>
      </c>
    </row>
    <row r="407">
      <c r="A407" s="124" t="str">
        <f t="shared" si="1"/>
        <v>ujjwal.yadav.2414@gmail.com</v>
      </c>
      <c r="B407" s="131">
        <f>IFERROR(__xludf.DUMMYFUNCTION("""COMPUTED_VALUE"""),46072.0)</f>
        <v>46072</v>
      </c>
      <c r="C407" s="124" t="str">
        <f>IFERROR(__xludf.DUMMYFUNCTION("""COMPUTED_VALUE"""),"Payment data from Collexo")</f>
        <v>Payment data from Collexo</v>
      </c>
      <c r="D407" s="124" t="str">
        <f>IFERROR(__xludf.DUMMYFUNCTION("""COMPUTED_VALUE"""),"Not Available")</f>
        <v>Not Available</v>
      </c>
      <c r="E407" s="124">
        <f>IFERROR(__xludf.DUMMYFUNCTION("""COMPUTED_VALUE"""),1500609.0)</f>
        <v>1500609</v>
      </c>
      <c r="F407" s="124" t="str">
        <f>IFERROR(__xludf.DUMMYFUNCTION("""COMPUTED_VALUE"""),"6480_988_7")</f>
        <v>6480_988_7</v>
      </c>
      <c r="G407" s="124">
        <f>IFERROR(__xludf.DUMMYFUNCTION("""COMPUTED_VALUE"""),1.0)</f>
        <v>1</v>
      </c>
      <c r="H407" s="124" t="str">
        <f>IFERROR(__xludf.DUMMYFUNCTION("""COMPUTED_VALUE"""),"Not Available")</f>
        <v>Not Available</v>
      </c>
      <c r="I407" s="124">
        <f>IFERROR(__xludf.DUMMYFUNCTION("""COMPUTED_VALUE"""),0.0)</f>
        <v>0</v>
      </c>
      <c r="J407" s="124">
        <f>IFERROR(__xludf.DUMMYFUNCTION("""COMPUTED_VALUE"""),1.0)</f>
        <v>1</v>
      </c>
      <c r="K407" s="124">
        <f>IFERROR(__xludf.DUMMYFUNCTION("""COMPUTED_VALUE"""),1.0)</f>
        <v>1</v>
      </c>
      <c r="L407" s="124">
        <f>IFERROR(__xludf.DUMMYFUNCTION("""COMPUTED_VALUE"""),265.0)</f>
        <v>265</v>
      </c>
      <c r="M407" s="124" t="str">
        <f>IFERROR(__xludf.DUMMYFUNCTION("""COMPUTED_VALUE"""),"New Delhi")</f>
        <v>New Delhi</v>
      </c>
      <c r="N407" s="124" t="str">
        <f>IFERROR(__xludf.DUMMYFUNCTION("""COMPUTED_VALUE"""),"ujjwal.yadav.2414@gmail.com")</f>
        <v>ujjwal.yadav.2414@gmail.com</v>
      </c>
      <c r="O407" s="124" t="str">
        <f>IFERROR(__xludf.DUMMYFUNCTION("""COMPUTED_VALUE"""),"Ujjwal yadav")</f>
        <v>Ujjwal yadav</v>
      </c>
      <c r="P407" s="124">
        <f>IFERROR(__xludf.DUMMYFUNCTION("""COMPUTED_VALUE"""),55265.0)</f>
        <v>55265</v>
      </c>
      <c r="Q407" s="124" t="str">
        <f>IFERROR(__xludf.DUMMYFUNCTION("""COMPUTED_VALUE"""),"upsc-gs-foundation-hinglish-target-2027-gsf-upsc-m02-orn")</f>
        <v>upsc-gs-foundation-hinglish-target-2027-gsf-upsc-m02-orn</v>
      </c>
      <c r="R407" s="124" t="str">
        <f>IFERROR(__xludf.DUMMYFUNCTION("""COMPUTED_VALUE"""),"GS Foundation Course")</f>
        <v>GS Foundation Course</v>
      </c>
      <c r="S407" s="124">
        <f>IFERROR(__xludf.DUMMYFUNCTION("""COMPUTED_VALUE"""),8.607197965E9)</f>
        <v>8607197965</v>
      </c>
      <c r="T407" s="124" t="str">
        <f>IFERROR(__xludf.DUMMYFUNCTION("""COMPUTED_VALUE"""),"Collexo")</f>
        <v>Collexo</v>
      </c>
      <c r="U407" s="124" t="str">
        <f>IFERROR(__xludf.DUMMYFUNCTION("""COMPUTED_VALUE"""),"Success")</f>
        <v>Success</v>
      </c>
      <c r="V407" s="131">
        <f>IFERROR(__xludf.DUMMYFUNCTION("""COMPUTED_VALUE"""),46072.0)</f>
        <v>46072</v>
      </c>
      <c r="W407" s="124">
        <f>IFERROR(__xludf.DUMMYFUNCTION("""COMPUTED_VALUE"""),0.0)</f>
        <v>0</v>
      </c>
    </row>
    <row r="408">
      <c r="A408" s="124" t="str">
        <f t="shared" si="1"/>
        <v>jaykantsinha123@gmail.com</v>
      </c>
      <c r="B408" s="131">
        <f>IFERROR(__xludf.DUMMYFUNCTION("""COMPUTED_VALUE"""),46106.0)</f>
        <v>46106</v>
      </c>
      <c r="C408" s="124" t="str">
        <f>IFERROR(__xludf.DUMMYFUNCTION("""COMPUTED_VALUE"""),"Payment data from Collexo")</f>
        <v>Payment data from Collexo</v>
      </c>
      <c r="D408" s="124" t="str">
        <f>IFERROR(__xludf.DUMMYFUNCTION("""COMPUTED_VALUE"""),"Not Available")</f>
        <v>Not Available</v>
      </c>
      <c r="E408" s="124">
        <f>IFERROR(__xludf.DUMMYFUNCTION("""COMPUTED_VALUE"""),1500613.0)</f>
        <v>1500613</v>
      </c>
      <c r="F408" s="124">
        <f>IFERROR(__xludf.DUMMYFUNCTION("""COMPUTED_VALUE"""),130296.0)</f>
        <v>130296</v>
      </c>
      <c r="G408" s="124">
        <f>IFERROR(__xludf.DUMMYFUNCTION("""COMPUTED_VALUE"""),600.0)</f>
        <v>600</v>
      </c>
      <c r="H408" s="131">
        <f>IFERROR(__xludf.DUMMYFUNCTION("""COMPUTED_VALUE"""),46106.0)</f>
        <v>46106</v>
      </c>
      <c r="I408" s="124">
        <f>IFERROR(__xludf.DUMMYFUNCTION("""COMPUTED_VALUE"""),400.0)</f>
        <v>400</v>
      </c>
      <c r="J408" s="124">
        <f>IFERROR(__xludf.DUMMYFUNCTION("""COMPUTED_VALUE"""),25000.0)</f>
        <v>25000</v>
      </c>
      <c r="K408" s="124">
        <f>IFERROR(__xludf.DUMMYFUNCTION("""COMPUTED_VALUE"""),4.0)</f>
        <v>4</v>
      </c>
      <c r="L408" s="124">
        <f>IFERROR(__xludf.DUMMYFUNCTION("""COMPUTED_VALUE"""),729.0)</f>
        <v>729</v>
      </c>
      <c r="M408" s="124" t="str">
        <f>IFERROR(__xludf.DUMMYFUNCTION("""COMPUTED_VALUE"""),"Prayagraj")</f>
        <v>Prayagraj</v>
      </c>
      <c r="N408" s="124" t="str">
        <f>IFERROR(__xludf.DUMMYFUNCTION("""COMPUTED_VALUE"""),"jaykantsinha123@gmail.com")</f>
        <v>jaykantsinha123@gmail.com</v>
      </c>
      <c r="O408" s="124" t="str">
        <f>IFERROR(__xludf.DUMMYFUNCTION("""COMPUTED_VALUE"""),"Jaikant Sinha")</f>
        <v>Jaikant Sinha</v>
      </c>
      <c r="P408" s="124">
        <f>IFERROR(__xludf.DUMMYFUNCTION("""COMPUTED_VALUE"""),130296.0)</f>
        <v>130296</v>
      </c>
      <c r="Q408" s="124" t="str">
        <f>IFERROR(__xludf.DUMMYFUNCTION("""COMPUTED_VALUE"""),"upsc-gs-foundation-hinglish-target-2027-gsf-upsc-e03-pry")</f>
        <v>upsc-gs-foundation-hinglish-target-2027-gsf-upsc-e03-pry</v>
      </c>
      <c r="R408" s="124" t="str">
        <f>IFERROR(__xludf.DUMMYFUNCTION("""COMPUTED_VALUE"""),"GS Foundation Course")</f>
        <v>GS Foundation Course</v>
      </c>
      <c r="S408" s="124">
        <f>IFERROR(__xludf.DUMMYFUNCTION("""COMPUTED_VALUE"""),6.202156597E9)</f>
        <v>6202156597</v>
      </c>
      <c r="T408" s="124" t="str">
        <f>IFERROR(__xludf.DUMMYFUNCTION("""COMPUTED_VALUE"""),"Not Available")</f>
        <v>Not Available</v>
      </c>
      <c r="U408" s="124" t="str">
        <f>IFERROR(__xludf.DUMMYFUNCTION("""COMPUTED_VALUE"""),"Not Available")</f>
        <v>Not Available</v>
      </c>
      <c r="V408" s="124" t="str">
        <f>IFERROR(__xludf.DUMMYFUNCTION("""COMPUTED_VALUE"""),"Not Available")</f>
        <v>Not Available</v>
      </c>
      <c r="W408" s="124" t="str">
        <f>IFERROR(__xludf.DUMMYFUNCTION("""COMPUTED_VALUE"""),"Not Available")</f>
        <v>Not Available</v>
      </c>
    </row>
    <row r="409">
      <c r="A409" s="124" t="str">
        <f t="shared" si="1"/>
        <v>tengchangdshira@gmail.com</v>
      </c>
      <c r="B409" s="131">
        <f>IFERROR(__xludf.DUMMYFUNCTION("""COMPUTED_VALUE"""),46111.0)</f>
        <v>46111</v>
      </c>
      <c r="C409" s="124" t="str">
        <f>IFERROR(__xludf.DUMMYFUNCTION("""COMPUTED_VALUE"""),"Payment data from Collexo")</f>
        <v>Payment data from Collexo</v>
      </c>
      <c r="D409" s="124" t="str">
        <f>IFERROR(__xludf.DUMMYFUNCTION("""COMPUTED_VALUE"""),"Not Available")</f>
        <v>Not Available</v>
      </c>
      <c r="E409" s="124">
        <f>IFERROR(__xludf.DUMMYFUNCTION("""COMPUTED_VALUE"""),1500609.0)</f>
        <v>1500609</v>
      </c>
      <c r="F409" s="124" t="str">
        <f>IFERROR(__xludf.DUMMYFUNCTION("""COMPUTED_VALUE"""),"17446_988_7")</f>
        <v>17446_988_7</v>
      </c>
      <c r="G409" s="124">
        <f>IFERROR(__xludf.DUMMYFUNCTION("""COMPUTED_VALUE"""),1.0)</f>
        <v>1</v>
      </c>
      <c r="H409" s="124" t="str">
        <f>IFERROR(__xludf.DUMMYFUNCTION("""COMPUTED_VALUE"""),"Not Available")</f>
        <v>Not Available</v>
      </c>
      <c r="I409" s="124">
        <f>IFERROR(__xludf.DUMMYFUNCTION("""COMPUTED_VALUE"""),0.0)</f>
        <v>0</v>
      </c>
      <c r="J409" s="124">
        <f>IFERROR(__xludf.DUMMYFUNCTION("""COMPUTED_VALUE"""),1.0)</f>
        <v>1</v>
      </c>
      <c r="K409" s="124">
        <f>IFERROR(__xludf.DUMMYFUNCTION("""COMPUTED_VALUE"""),1.0)</f>
        <v>1</v>
      </c>
      <c r="L409" s="124">
        <f>IFERROR(__xludf.DUMMYFUNCTION("""COMPUTED_VALUE"""),835.0)</f>
        <v>835</v>
      </c>
      <c r="M409" s="124" t="str">
        <f>IFERROR(__xludf.DUMMYFUNCTION("""COMPUTED_VALUE"""),"New Delhi")</f>
        <v>New Delhi</v>
      </c>
      <c r="N409" s="124" t="str">
        <f>IFERROR(__xludf.DUMMYFUNCTION("""COMPUTED_VALUE"""),"tengchangdshira@gmail.com")</f>
        <v>tengchangdshira@gmail.com</v>
      </c>
      <c r="O409" s="124" t="str">
        <f>IFERROR(__xludf.DUMMYFUNCTION("""COMPUTED_VALUE"""),"Tengchang D Shira")</f>
        <v>Tengchang D Shira</v>
      </c>
      <c r="P409" s="124">
        <f>IFERROR(__xludf.DUMMYFUNCTION("""COMPUTED_VALUE"""),83112.0)</f>
        <v>83112</v>
      </c>
      <c r="Q409" s="124" t="str">
        <f>IFERROR(__xludf.DUMMYFUNCTION("""COMPUTED_VALUE"""),"ncert-foundation-hinglish-target-2026-nce-upsc-e02-orn")</f>
        <v>ncert-foundation-hinglish-target-2026-nce-upsc-e02-orn</v>
      </c>
      <c r="R409" s="124" t="str">
        <f>IFERROR(__xludf.DUMMYFUNCTION("""COMPUTED_VALUE"""),"GS Foundation Course")</f>
        <v>GS Foundation Course</v>
      </c>
      <c r="S409" s="124">
        <f>IFERROR(__xludf.DUMMYFUNCTION("""COMPUTED_VALUE"""),9.365264661E9)</f>
        <v>9365264661</v>
      </c>
      <c r="T409" s="124" t="str">
        <f>IFERROR(__xludf.DUMMYFUNCTION("""COMPUTED_VALUE"""),"Collexo")</f>
        <v>Collexo</v>
      </c>
      <c r="U409" s="124" t="str">
        <f>IFERROR(__xludf.DUMMYFUNCTION("""COMPUTED_VALUE"""),"Success")</f>
        <v>Success</v>
      </c>
      <c r="V409" s="131">
        <f>IFERROR(__xludf.DUMMYFUNCTION("""COMPUTED_VALUE"""),46111.0)</f>
        <v>46111</v>
      </c>
      <c r="W409" s="124">
        <f>IFERROR(__xludf.DUMMYFUNCTION("""COMPUTED_VALUE"""),0.0)</f>
        <v>0</v>
      </c>
    </row>
    <row r="410">
      <c r="A410" s="124" t="str">
        <f t="shared" si="1"/>
        <v>singhhrijul@gmail.com</v>
      </c>
      <c r="B410" s="131">
        <f>IFERROR(__xludf.DUMMYFUNCTION("""COMPUTED_VALUE"""),46073.0)</f>
        <v>46073</v>
      </c>
      <c r="C410" s="124" t="str">
        <f>IFERROR(__xludf.DUMMYFUNCTION("""COMPUTED_VALUE"""),"Payment data from Collexo")</f>
        <v>Payment data from Collexo</v>
      </c>
      <c r="D410" s="124" t="str">
        <f>IFERROR(__xludf.DUMMYFUNCTION("""COMPUTED_VALUE"""),"Not Available")</f>
        <v>Not Available</v>
      </c>
      <c r="E410" s="124">
        <f>IFERROR(__xludf.DUMMYFUNCTION("""COMPUTED_VALUE"""),1500613.0)</f>
        <v>1500613</v>
      </c>
      <c r="F410" s="124">
        <f>IFERROR(__xludf.DUMMYFUNCTION("""COMPUTED_VALUE"""),80996.0)</f>
        <v>80996</v>
      </c>
      <c r="G410" s="124">
        <f>IFERROR(__xludf.DUMMYFUNCTION("""COMPUTED_VALUE"""),45000.0)</f>
        <v>45000</v>
      </c>
      <c r="H410" s="131">
        <f>IFERROR(__xludf.DUMMYFUNCTION("""COMPUTED_VALUE"""),46073.0)</f>
        <v>46073</v>
      </c>
      <c r="I410" s="124">
        <f>IFERROR(__xludf.DUMMYFUNCTION("""COMPUTED_VALUE"""),30000.0)</f>
        <v>30000</v>
      </c>
      <c r="J410" s="124">
        <f>IFERROR(__xludf.DUMMYFUNCTION("""COMPUTED_VALUE"""),75000.0)</f>
        <v>75000</v>
      </c>
      <c r="K410" s="124">
        <f>IFERROR(__xludf.DUMMYFUNCTION("""COMPUTED_VALUE"""),2.0)</f>
        <v>2</v>
      </c>
      <c r="L410" s="124">
        <f>IFERROR(__xludf.DUMMYFUNCTION("""COMPUTED_VALUE"""),279.0)</f>
        <v>279</v>
      </c>
      <c r="M410" s="124" t="str">
        <f>IFERROR(__xludf.DUMMYFUNCTION("""COMPUTED_VALUE"""),"Prayagraj")</f>
        <v>Prayagraj</v>
      </c>
      <c r="N410" s="124" t="str">
        <f>IFERROR(__xludf.DUMMYFUNCTION("""COMPUTED_VALUE"""),"singhhrijul@gmail.com")</f>
        <v>singhhrijul@gmail.com</v>
      </c>
      <c r="O410" s="124" t="str">
        <f>IFERROR(__xludf.DUMMYFUNCTION("""COMPUTED_VALUE"""),"Rijul")</f>
        <v>Rijul</v>
      </c>
      <c r="P410" s="124">
        <f>IFERROR(__xludf.DUMMYFUNCTION("""COMPUTED_VALUE"""),80996.0)</f>
        <v>80996</v>
      </c>
      <c r="Q410" s="124" t="str">
        <f>IFERROR(__xludf.DUMMYFUNCTION("""COMPUTED_VALUE"""),"upsc-gs-foundation-hinglish-target-2028-gsf-upsc-e03-pry")</f>
        <v>upsc-gs-foundation-hinglish-target-2028-gsf-upsc-e03-pry</v>
      </c>
      <c r="R410" s="124" t="str">
        <f>IFERROR(__xludf.DUMMYFUNCTION("""COMPUTED_VALUE"""),"GS Foundation Course")</f>
        <v>GS Foundation Course</v>
      </c>
      <c r="S410" s="124">
        <f>IFERROR(__xludf.DUMMYFUNCTION("""COMPUTED_VALUE"""),9.415454975E9)</f>
        <v>9415454975</v>
      </c>
      <c r="T410" s="124" t="str">
        <f>IFERROR(__xludf.DUMMYFUNCTION("""COMPUTED_VALUE"""),"Not Available")</f>
        <v>Not Available</v>
      </c>
      <c r="U410" s="124" t="str">
        <f>IFERROR(__xludf.DUMMYFUNCTION("""COMPUTED_VALUE"""),"Not Available")</f>
        <v>Not Available</v>
      </c>
      <c r="V410" s="124" t="str">
        <f>IFERROR(__xludf.DUMMYFUNCTION("""COMPUTED_VALUE"""),"Not Available")</f>
        <v>Not Available</v>
      </c>
      <c r="W410" s="124" t="str">
        <f>IFERROR(__xludf.DUMMYFUNCTION("""COMPUTED_VALUE"""),"Not Available")</f>
        <v>Not Available</v>
      </c>
    </row>
    <row r="411">
      <c r="A411" s="124" t="str">
        <f t="shared" si="1"/>
        <v>kumarprince33899@gmail.com</v>
      </c>
      <c r="B411" s="131">
        <f>IFERROR(__xludf.DUMMYFUNCTION("""COMPUTED_VALUE"""),46106.0)</f>
        <v>46106</v>
      </c>
      <c r="C411" s="124" t="str">
        <f>IFERROR(__xludf.DUMMYFUNCTION("""COMPUTED_VALUE"""),"Payment data from Collexo")</f>
        <v>Payment data from Collexo</v>
      </c>
      <c r="D411" s="124" t="str">
        <f>IFERROR(__xludf.DUMMYFUNCTION("""COMPUTED_VALUE"""),"Not Available")</f>
        <v>Not Available</v>
      </c>
      <c r="E411" s="124">
        <f>IFERROR(__xludf.DUMMYFUNCTION("""COMPUTED_VALUE"""),1500609.0)</f>
        <v>1500609</v>
      </c>
      <c r="F411" s="124" t="str">
        <f>IFERROR(__xludf.DUMMYFUNCTION("""COMPUTED_VALUE"""),"16494_988_7")</f>
        <v>16494_988_7</v>
      </c>
      <c r="G411" s="124">
        <f>IFERROR(__xludf.DUMMYFUNCTION("""COMPUTED_VALUE"""),1.0)</f>
        <v>1</v>
      </c>
      <c r="H411" s="124" t="str">
        <f>IFERROR(__xludf.DUMMYFUNCTION("""COMPUTED_VALUE"""),"Not Available")</f>
        <v>Not Available</v>
      </c>
      <c r="I411" s="124">
        <f>IFERROR(__xludf.DUMMYFUNCTION("""COMPUTED_VALUE"""),0.0)</f>
        <v>0</v>
      </c>
      <c r="J411" s="124">
        <f>IFERROR(__xludf.DUMMYFUNCTION("""COMPUTED_VALUE"""),1.0)</f>
        <v>1</v>
      </c>
      <c r="K411" s="124">
        <f>IFERROR(__xludf.DUMMYFUNCTION("""COMPUTED_VALUE"""),1.0)</f>
        <v>1</v>
      </c>
      <c r="L411" s="124">
        <f>IFERROR(__xludf.DUMMYFUNCTION("""COMPUTED_VALUE"""),726.0)</f>
        <v>726</v>
      </c>
      <c r="M411" s="124" t="str">
        <f>IFERROR(__xludf.DUMMYFUNCTION("""COMPUTED_VALUE"""),"New Delhi")</f>
        <v>New Delhi</v>
      </c>
      <c r="N411" s="124" t="str">
        <f>IFERROR(__xludf.DUMMYFUNCTION("""COMPUTED_VALUE"""),"kumarprince33899@gmail.com")</f>
        <v>kumarprince33899@gmail.com</v>
      </c>
      <c r="O411" s="124" t="str">
        <f>IFERROR(__xludf.DUMMYFUNCTION("""COMPUTED_VALUE"""),"Prince")</f>
        <v>Prince</v>
      </c>
      <c r="P411" s="124">
        <f>IFERROR(__xludf.DUMMYFUNCTION("""COMPUTED_VALUE"""),128986.0)</f>
        <v>128986</v>
      </c>
      <c r="Q411" s="124" t="str">
        <f>IFERROR(__xludf.DUMMYFUNCTION("""COMPUTED_VALUE"""),"upsc-gs-foundation-hinglish-target-2028-gsf-upsc-e05-orn")</f>
        <v>upsc-gs-foundation-hinglish-target-2028-gsf-upsc-e05-orn</v>
      </c>
      <c r="R411" s="124" t="str">
        <f>IFERROR(__xludf.DUMMYFUNCTION("""COMPUTED_VALUE"""),"GS Foundation Course")</f>
        <v>GS Foundation Course</v>
      </c>
      <c r="S411" s="124">
        <f>IFERROR(__xludf.DUMMYFUNCTION("""COMPUTED_VALUE"""),6.20306984E9)</f>
        <v>6203069840</v>
      </c>
      <c r="T411" s="124" t="str">
        <f>IFERROR(__xludf.DUMMYFUNCTION("""COMPUTED_VALUE"""),"Collexo")</f>
        <v>Collexo</v>
      </c>
      <c r="U411" s="124" t="str">
        <f>IFERROR(__xludf.DUMMYFUNCTION("""COMPUTED_VALUE"""),"Success")</f>
        <v>Success</v>
      </c>
      <c r="V411" s="131">
        <f>IFERROR(__xludf.DUMMYFUNCTION("""COMPUTED_VALUE"""),46106.0)</f>
        <v>46106</v>
      </c>
      <c r="W411" s="124">
        <f>IFERROR(__xludf.DUMMYFUNCTION("""COMPUTED_VALUE"""),0.0)</f>
        <v>0</v>
      </c>
    </row>
    <row r="412">
      <c r="A412" s="124" t="str">
        <f t="shared" si="1"/>
        <v>akashvaidwan123@gmail.com</v>
      </c>
      <c r="B412" s="131">
        <f>IFERROR(__xludf.DUMMYFUNCTION("""COMPUTED_VALUE"""),46073.0)</f>
        <v>46073</v>
      </c>
      <c r="C412" s="124" t="str">
        <f>IFERROR(__xludf.DUMMYFUNCTION("""COMPUTED_VALUE"""),"Payment data from Collexo")</f>
        <v>Payment data from Collexo</v>
      </c>
      <c r="D412" s="124" t="str">
        <f>IFERROR(__xludf.DUMMYFUNCTION("""COMPUTED_VALUE"""),"Not Available")</f>
        <v>Not Available</v>
      </c>
      <c r="E412" s="124">
        <f>IFERROR(__xludf.DUMMYFUNCTION("""COMPUTED_VALUE"""),1500609.0)</f>
        <v>1500609</v>
      </c>
      <c r="F412" s="124" t="str">
        <f>IFERROR(__xludf.DUMMYFUNCTION("""COMPUTED_VALUE"""),"7730_988_7")</f>
        <v>7730_988_7</v>
      </c>
      <c r="G412" s="124">
        <f>IFERROR(__xludf.DUMMYFUNCTION("""COMPUTED_VALUE"""),3000.0)</f>
        <v>3000</v>
      </c>
      <c r="H412" s="131">
        <f>IFERROR(__xludf.DUMMYFUNCTION("""COMPUTED_VALUE"""),46081.0)</f>
        <v>46081</v>
      </c>
      <c r="I412" s="124">
        <f>IFERROR(__xludf.DUMMYFUNCTION("""COMPUTED_VALUE"""),115000.0)</f>
        <v>115000</v>
      </c>
      <c r="J412" s="124">
        <f>IFERROR(__xludf.DUMMYFUNCTION("""COMPUTED_VALUE"""),120000.0)</f>
        <v>120000</v>
      </c>
      <c r="K412" s="124">
        <f>IFERROR(__xludf.DUMMYFUNCTION("""COMPUTED_VALUE"""),3.0)</f>
        <v>3</v>
      </c>
      <c r="L412" s="124">
        <f>IFERROR(__xludf.DUMMYFUNCTION("""COMPUTED_VALUE"""),289.0)</f>
        <v>289</v>
      </c>
      <c r="M412" s="124" t="str">
        <f>IFERROR(__xludf.DUMMYFUNCTION("""COMPUTED_VALUE"""),"New Delhi")</f>
        <v>New Delhi</v>
      </c>
      <c r="N412" s="124" t="str">
        <f>IFERROR(__xludf.DUMMYFUNCTION("""COMPUTED_VALUE"""),"akashvaidwan123@gmail.com")</f>
        <v>akashvaidwan123@gmail.com</v>
      </c>
      <c r="O412" s="124" t="str">
        <f>IFERROR(__xludf.DUMMYFUNCTION("""COMPUTED_VALUE"""),"Akash vaidwan")</f>
        <v>Akash vaidwan</v>
      </c>
      <c r="P412" s="124">
        <f>IFERROR(__xludf.DUMMYFUNCTION("""COMPUTED_VALUE"""),123718.0)</f>
        <v>123718</v>
      </c>
      <c r="Q412" s="124" t="str">
        <f>IFERROR(__xludf.DUMMYFUNCTION("""COMPUTED_VALUE"""),"upsc-gs-foundation-hinglish-target-2027-gsf-upsc-e04-orn")</f>
        <v>upsc-gs-foundation-hinglish-target-2027-gsf-upsc-e04-orn</v>
      </c>
      <c r="R412" s="124" t="str">
        <f>IFERROR(__xludf.DUMMYFUNCTION("""COMPUTED_VALUE"""),"GS Foundation Course")</f>
        <v>GS Foundation Course</v>
      </c>
      <c r="S412" s="124">
        <f>IFERROR(__xludf.DUMMYFUNCTION("""COMPUTED_VALUE"""),9.528831545E9)</f>
        <v>9528831545</v>
      </c>
      <c r="T412" s="124" t="str">
        <f>IFERROR(__xludf.DUMMYFUNCTION("""COMPUTED_VALUE"""),"Collexo")</f>
        <v>Collexo</v>
      </c>
      <c r="U412" s="124" t="str">
        <f>IFERROR(__xludf.DUMMYFUNCTION("""COMPUTED_VALUE"""),"Success")</f>
        <v>Success</v>
      </c>
      <c r="V412" s="131">
        <f>IFERROR(__xludf.DUMMYFUNCTION("""COMPUTED_VALUE"""),46073.0)</f>
        <v>46073</v>
      </c>
      <c r="W412" s="124">
        <f>IFERROR(__xludf.DUMMYFUNCTION("""COMPUTED_VALUE"""),0.0)</f>
        <v>0</v>
      </c>
    </row>
    <row r="413">
      <c r="A413" s="124" t="str">
        <f t="shared" si="1"/>
        <v>aditya2008du@gmail.com</v>
      </c>
      <c r="B413" s="131">
        <f>IFERROR(__xludf.DUMMYFUNCTION("""COMPUTED_VALUE"""),46106.0)</f>
        <v>46106</v>
      </c>
      <c r="C413" s="124" t="str">
        <f>IFERROR(__xludf.DUMMYFUNCTION("""COMPUTED_VALUE"""),"Payment data from Collexo")</f>
        <v>Payment data from Collexo</v>
      </c>
      <c r="D413" s="124" t="str">
        <f>IFERROR(__xludf.DUMMYFUNCTION("""COMPUTED_VALUE"""),"Not Available")</f>
        <v>Not Available</v>
      </c>
      <c r="E413" s="124">
        <f>IFERROR(__xludf.DUMMYFUNCTION("""COMPUTED_VALUE"""),1500609.0)</f>
        <v>1500609</v>
      </c>
      <c r="F413" s="124" t="str">
        <f>IFERROR(__xludf.DUMMYFUNCTION("""COMPUTED_VALUE"""),"16487_988_7")</f>
        <v>16487_988_7</v>
      </c>
      <c r="G413" s="124">
        <f>IFERROR(__xludf.DUMMYFUNCTION("""COMPUTED_VALUE"""),120000.0)</f>
        <v>120000</v>
      </c>
      <c r="H413" s="124" t="str">
        <f>IFERROR(__xludf.DUMMYFUNCTION("""COMPUTED_VALUE"""),"Not Available")</f>
        <v>Not Available</v>
      </c>
      <c r="I413" s="124">
        <f>IFERROR(__xludf.DUMMYFUNCTION("""COMPUTED_VALUE"""),0.0)</f>
        <v>0</v>
      </c>
      <c r="J413" s="124">
        <f>IFERROR(__xludf.DUMMYFUNCTION("""COMPUTED_VALUE"""),130000.0)</f>
        <v>130000</v>
      </c>
      <c r="K413" s="124">
        <f>IFERROR(__xludf.DUMMYFUNCTION("""COMPUTED_VALUE"""),2.0)</f>
        <v>2</v>
      </c>
      <c r="L413" s="124">
        <f>IFERROR(__xludf.DUMMYFUNCTION("""COMPUTED_VALUE"""),723.0)</f>
        <v>723</v>
      </c>
      <c r="M413" s="124" t="str">
        <f>IFERROR(__xludf.DUMMYFUNCTION("""COMPUTED_VALUE"""),"New Delhi")</f>
        <v>New Delhi</v>
      </c>
      <c r="N413" s="124" t="str">
        <f>IFERROR(__xludf.DUMMYFUNCTION("""COMPUTED_VALUE"""),"aditya2008du@gmail.com")</f>
        <v>aditya2008du@gmail.com</v>
      </c>
      <c r="O413" s="124" t="str">
        <f>IFERROR(__xludf.DUMMYFUNCTION("""COMPUTED_VALUE"""),"Aditya")</f>
        <v>Aditya</v>
      </c>
      <c r="P413" s="124">
        <f>IFERROR(__xludf.DUMMYFUNCTION("""COMPUTED_VALUE"""),127048.0)</f>
        <v>127048</v>
      </c>
      <c r="Q413" s="124" t="str">
        <f>IFERROR(__xludf.DUMMYFUNCTION("""COMPUTED_VALUE"""),"-")</f>
        <v>-</v>
      </c>
      <c r="R413" s="124" t="str">
        <f>IFERROR(__xludf.DUMMYFUNCTION("""COMPUTED_VALUE"""),"GS Foundation Course")</f>
        <v>GS Foundation Course</v>
      </c>
      <c r="S413" s="124">
        <f>IFERROR(__xludf.DUMMYFUNCTION("""COMPUTED_VALUE"""),7.568052526E9)</f>
        <v>7568052526</v>
      </c>
      <c r="T413" s="124" t="str">
        <f>IFERROR(__xludf.DUMMYFUNCTION("""COMPUTED_VALUE"""),"Collexo")</f>
        <v>Collexo</v>
      </c>
      <c r="U413" s="124" t="str">
        <f>IFERROR(__xludf.DUMMYFUNCTION("""COMPUTED_VALUE"""),"Success")</f>
        <v>Success</v>
      </c>
      <c r="V413" s="131">
        <f>IFERROR(__xludf.DUMMYFUNCTION("""COMPUTED_VALUE"""),46106.0)</f>
        <v>46106</v>
      </c>
      <c r="W413" s="124">
        <f>IFERROR(__xludf.DUMMYFUNCTION("""COMPUTED_VALUE"""),0.0)</f>
        <v>0</v>
      </c>
    </row>
    <row r="414">
      <c r="A414" s="124" t="str">
        <f t="shared" si="1"/>
        <v>tengchangdshira@gmail.com</v>
      </c>
      <c r="B414" s="131">
        <f>IFERROR(__xludf.DUMMYFUNCTION("""COMPUTED_VALUE"""),46049.0)</f>
        <v>46049</v>
      </c>
      <c r="C414" s="124" t="str">
        <f>IFERROR(__xludf.DUMMYFUNCTION("""COMPUTED_VALUE"""),"Payment data from Collexo")</f>
        <v>Payment data from Collexo</v>
      </c>
      <c r="D414" s="124" t="str">
        <f>IFERROR(__xludf.DUMMYFUNCTION("""COMPUTED_VALUE"""),"Not Available")</f>
        <v>Not Available</v>
      </c>
      <c r="E414" s="124">
        <f>IFERROR(__xludf.DUMMYFUNCTION("""COMPUTED_VALUE"""),1500609.0)</f>
        <v>1500609</v>
      </c>
      <c r="F414" s="124" t="str">
        <f>IFERROR(__xludf.DUMMYFUNCTION("""COMPUTED_VALUE"""),"2554_988_7")</f>
        <v>2554_988_7</v>
      </c>
      <c r="G414" s="124">
        <f>IFERROR(__xludf.DUMMYFUNCTION("""COMPUTED_VALUE"""),5000.0)</f>
        <v>5000</v>
      </c>
      <c r="H414" s="131">
        <f>IFERROR(__xludf.DUMMYFUNCTION("""COMPUTED_VALUE"""),46053.0)</f>
        <v>46053</v>
      </c>
      <c r="I414" s="124">
        <f>IFERROR(__xludf.DUMMYFUNCTION("""COMPUTED_VALUE"""),100000.0)</f>
        <v>100000</v>
      </c>
      <c r="J414" s="124">
        <f>IFERROR(__xludf.DUMMYFUNCTION("""COMPUTED_VALUE"""),125000.0)</f>
        <v>125000</v>
      </c>
      <c r="K414" s="124">
        <f>IFERROR(__xludf.DUMMYFUNCTION("""COMPUTED_VALUE"""),3.0)</f>
        <v>3</v>
      </c>
      <c r="L414" s="124">
        <f>IFERROR(__xludf.DUMMYFUNCTION("""COMPUTED_VALUE"""),116.0)</f>
        <v>116</v>
      </c>
      <c r="M414" s="124" t="str">
        <f>IFERROR(__xludf.DUMMYFUNCTION("""COMPUTED_VALUE"""),"New Delhi")</f>
        <v>New Delhi</v>
      </c>
      <c r="N414" s="124" t="str">
        <f>IFERROR(__xludf.DUMMYFUNCTION("""COMPUTED_VALUE"""),"tengchangdshira@gmail.com")</f>
        <v>tengchangdshira@gmail.com</v>
      </c>
      <c r="O414" s="124" t="str">
        <f>IFERROR(__xludf.DUMMYFUNCTION("""COMPUTED_VALUE"""),"Tengchang D Shira")</f>
        <v>Tengchang D Shira</v>
      </c>
      <c r="P414" s="124">
        <f>IFERROR(__xludf.DUMMYFUNCTION("""COMPUTED_VALUE"""),83112.0)</f>
        <v>83112</v>
      </c>
      <c r="Q414" s="124" t="str">
        <f>IFERROR(__xludf.DUMMYFUNCTION("""COMPUTED_VALUE"""),"ncert-foundation-hinglish-target-2026-nce-upsc-e02-orn")</f>
        <v>ncert-foundation-hinglish-target-2026-nce-upsc-e02-orn</v>
      </c>
      <c r="R414" s="124" t="str">
        <f>IFERROR(__xludf.DUMMYFUNCTION("""COMPUTED_VALUE"""),"GS Foundation Course")</f>
        <v>GS Foundation Course</v>
      </c>
      <c r="S414" s="124">
        <f>IFERROR(__xludf.DUMMYFUNCTION("""COMPUTED_VALUE"""),9.365264661E9)</f>
        <v>9365264661</v>
      </c>
      <c r="T414" s="124" t="str">
        <f>IFERROR(__xludf.DUMMYFUNCTION("""COMPUTED_VALUE"""),"Collexo")</f>
        <v>Collexo</v>
      </c>
      <c r="U414" s="124" t="str">
        <f>IFERROR(__xludf.DUMMYFUNCTION("""COMPUTED_VALUE"""),"Success")</f>
        <v>Success</v>
      </c>
      <c r="V414" s="131">
        <f>IFERROR(__xludf.DUMMYFUNCTION("""COMPUTED_VALUE"""),46049.0)</f>
        <v>46049</v>
      </c>
      <c r="W414" s="124">
        <f>IFERROR(__xludf.DUMMYFUNCTION("""COMPUTED_VALUE"""),0.0)</f>
        <v>0</v>
      </c>
    </row>
    <row r="415">
      <c r="A415" s="124" t="str">
        <f t="shared" si="1"/>
        <v>tengchangdshira@gmail.com</v>
      </c>
      <c r="B415" s="131">
        <f>IFERROR(__xludf.DUMMYFUNCTION("""COMPUTED_VALUE"""),46052.0)</f>
        <v>46052</v>
      </c>
      <c r="C415" s="124" t="str">
        <f>IFERROR(__xludf.DUMMYFUNCTION("""COMPUTED_VALUE"""),"Payment data from Collexo")</f>
        <v>Payment data from Collexo</v>
      </c>
      <c r="D415" s="124" t="str">
        <f>IFERROR(__xludf.DUMMYFUNCTION("""COMPUTED_VALUE"""),"Not Available")</f>
        <v>Not Available</v>
      </c>
      <c r="E415" s="124">
        <f>IFERROR(__xludf.DUMMYFUNCTION("""COMPUTED_VALUE"""),1500609.0)</f>
        <v>1500609</v>
      </c>
      <c r="F415" s="124" t="str">
        <f>IFERROR(__xludf.DUMMYFUNCTION("""COMPUTED_VALUE"""),"3101_988_7")</f>
        <v>3101_988_7</v>
      </c>
      <c r="G415" s="124">
        <f>IFERROR(__xludf.DUMMYFUNCTION("""COMPUTED_VALUE"""),100000.0)</f>
        <v>100000</v>
      </c>
      <c r="H415" s="131">
        <f>IFERROR(__xludf.DUMMYFUNCTION("""COMPUTED_VALUE"""),46063.0)</f>
        <v>46063</v>
      </c>
      <c r="I415" s="124">
        <f>IFERROR(__xludf.DUMMYFUNCTION("""COMPUTED_VALUE"""),20000.0)</f>
        <v>20000</v>
      </c>
      <c r="J415" s="124">
        <f>IFERROR(__xludf.DUMMYFUNCTION("""COMPUTED_VALUE"""),125000.0)</f>
        <v>125000</v>
      </c>
      <c r="K415" s="124">
        <f>IFERROR(__xludf.DUMMYFUNCTION("""COMPUTED_VALUE"""),3.0)</f>
        <v>3</v>
      </c>
      <c r="L415" s="124">
        <f>IFERROR(__xludf.DUMMYFUNCTION("""COMPUTED_VALUE"""),137.0)</f>
        <v>137</v>
      </c>
      <c r="M415" s="124" t="str">
        <f>IFERROR(__xludf.DUMMYFUNCTION("""COMPUTED_VALUE"""),"New Delhi")</f>
        <v>New Delhi</v>
      </c>
      <c r="N415" s="124" t="str">
        <f>IFERROR(__xludf.DUMMYFUNCTION("""COMPUTED_VALUE"""),"tengchangdshira@gmail.com")</f>
        <v>tengchangdshira@gmail.com</v>
      </c>
      <c r="O415" s="124" t="str">
        <f>IFERROR(__xludf.DUMMYFUNCTION("""COMPUTED_VALUE"""),"Tengchang D Shira")</f>
        <v>Tengchang D Shira</v>
      </c>
      <c r="P415" s="124">
        <f>IFERROR(__xludf.DUMMYFUNCTION("""COMPUTED_VALUE"""),83112.0)</f>
        <v>83112</v>
      </c>
      <c r="Q415" s="124" t="str">
        <f>IFERROR(__xludf.DUMMYFUNCTION("""COMPUTED_VALUE"""),"ncert-foundation-hinglish-target-2026-nce-upsc-e02-orn")</f>
        <v>ncert-foundation-hinglish-target-2026-nce-upsc-e02-orn</v>
      </c>
      <c r="R415" s="124" t="str">
        <f>IFERROR(__xludf.DUMMYFUNCTION("""COMPUTED_VALUE"""),"GS Foundation Course")</f>
        <v>GS Foundation Course</v>
      </c>
      <c r="S415" s="124">
        <f>IFERROR(__xludf.DUMMYFUNCTION("""COMPUTED_VALUE"""),9.365264661E9)</f>
        <v>9365264661</v>
      </c>
      <c r="T415" s="124" t="str">
        <f>IFERROR(__xludf.DUMMYFUNCTION("""COMPUTED_VALUE"""),"Collexo")</f>
        <v>Collexo</v>
      </c>
      <c r="U415" s="124" t="str">
        <f>IFERROR(__xludf.DUMMYFUNCTION("""COMPUTED_VALUE"""),"Success")</f>
        <v>Success</v>
      </c>
      <c r="V415" s="131">
        <f>IFERROR(__xludf.DUMMYFUNCTION("""COMPUTED_VALUE"""),46052.0)</f>
        <v>46052</v>
      </c>
      <c r="W415" s="124">
        <f>IFERROR(__xludf.DUMMYFUNCTION("""COMPUTED_VALUE"""),0.0)</f>
        <v>0</v>
      </c>
    </row>
    <row r="416">
      <c r="A416" s="124" t="str">
        <f t="shared" si="1"/>
        <v>noorsharma0410@gmail.com</v>
      </c>
      <c r="B416" s="131">
        <f>IFERROR(__xludf.DUMMYFUNCTION("""COMPUTED_VALUE"""),46078.0)</f>
        <v>46078</v>
      </c>
      <c r="C416" s="124" t="str">
        <f>IFERROR(__xludf.DUMMYFUNCTION("""COMPUTED_VALUE"""),"Payment data from Collexo")</f>
        <v>Payment data from Collexo</v>
      </c>
      <c r="D416" s="124" t="str">
        <f>IFERROR(__xludf.DUMMYFUNCTION("""COMPUTED_VALUE"""),"Not Available")</f>
        <v>Not Available</v>
      </c>
      <c r="E416" s="124">
        <f>IFERROR(__xludf.DUMMYFUNCTION("""COMPUTED_VALUE"""),1500609.0)</f>
        <v>1500609</v>
      </c>
      <c r="F416" s="124" t="str">
        <f>IFERROR(__xludf.DUMMYFUNCTION("""COMPUTED_VALUE"""),"11001_988_7")</f>
        <v>11001_988_7</v>
      </c>
      <c r="G416" s="124">
        <f>IFERROR(__xludf.DUMMYFUNCTION("""COMPUTED_VALUE"""),95000.0)</f>
        <v>95000</v>
      </c>
      <c r="H416" s="124" t="str">
        <f>IFERROR(__xludf.DUMMYFUNCTION("""COMPUTED_VALUE"""),"Not Available")</f>
        <v>Not Available</v>
      </c>
      <c r="I416" s="124">
        <f>IFERROR(__xludf.DUMMYFUNCTION("""COMPUTED_VALUE"""),0.0)</f>
        <v>0</v>
      </c>
      <c r="J416" s="124">
        <f>IFERROR(__xludf.DUMMYFUNCTION("""COMPUTED_VALUE"""),100000.0)</f>
        <v>100000</v>
      </c>
      <c r="K416" s="124">
        <f>IFERROR(__xludf.DUMMYFUNCTION("""COMPUTED_VALUE"""),2.0)</f>
        <v>2</v>
      </c>
      <c r="L416" s="124">
        <f>IFERROR(__xludf.DUMMYFUNCTION("""COMPUTED_VALUE"""),342.0)</f>
        <v>342</v>
      </c>
      <c r="M416" s="124" t="str">
        <f>IFERROR(__xludf.DUMMYFUNCTION("""COMPUTED_VALUE"""),"New Delhi")</f>
        <v>New Delhi</v>
      </c>
      <c r="N416" s="124" t="str">
        <f>IFERROR(__xludf.DUMMYFUNCTION("""COMPUTED_VALUE"""),"noorsharma0410@gmail.com")</f>
        <v>noorsharma0410@gmail.com</v>
      </c>
      <c r="O416" s="124" t="str">
        <f>IFERROR(__xludf.DUMMYFUNCTION("""COMPUTED_VALUE"""),"Noor Sharma")</f>
        <v>Noor Sharma</v>
      </c>
      <c r="P416" s="124">
        <f>IFERROR(__xludf.DUMMYFUNCTION("""COMPUTED_VALUE"""),123559.0)</f>
        <v>123559</v>
      </c>
      <c r="Q416" s="124" t="str">
        <f>IFERROR(__xludf.DUMMYFUNCTION("""COMPUTED_VALUE"""),"upsc-gs-foundation-hinglish-target-2027-gsf-upsc-m02-orn")</f>
        <v>upsc-gs-foundation-hinglish-target-2027-gsf-upsc-m02-orn</v>
      </c>
      <c r="R416" s="124" t="str">
        <f>IFERROR(__xludf.DUMMYFUNCTION("""COMPUTED_VALUE"""),"GS Foundation Course")</f>
        <v>GS Foundation Course</v>
      </c>
      <c r="S416" s="124">
        <f>IFERROR(__xludf.DUMMYFUNCTION("""COMPUTED_VALUE"""),9.773766951E9)</f>
        <v>9773766951</v>
      </c>
      <c r="T416" s="124" t="str">
        <f>IFERROR(__xludf.DUMMYFUNCTION("""COMPUTED_VALUE"""),"Collexo")</f>
        <v>Collexo</v>
      </c>
      <c r="U416" s="124" t="str">
        <f>IFERROR(__xludf.DUMMYFUNCTION("""COMPUTED_VALUE"""),"Success")</f>
        <v>Success</v>
      </c>
      <c r="V416" s="131">
        <f>IFERROR(__xludf.DUMMYFUNCTION("""COMPUTED_VALUE"""),46078.0)</f>
        <v>46078</v>
      </c>
      <c r="W416" s="124">
        <f>IFERROR(__xludf.DUMMYFUNCTION("""COMPUTED_VALUE"""),0.0)</f>
        <v>0</v>
      </c>
    </row>
    <row r="417">
      <c r="A417" s="124" t="str">
        <f t="shared" si="1"/>
        <v>aditya2008du@gmail.com</v>
      </c>
      <c r="B417" s="131">
        <f>IFERROR(__xludf.DUMMYFUNCTION("""COMPUTED_VALUE"""),46094.0)</f>
        <v>46094</v>
      </c>
      <c r="C417" s="124" t="str">
        <f>IFERROR(__xludf.DUMMYFUNCTION("""COMPUTED_VALUE"""),"Payment data from Collexo")</f>
        <v>Payment data from Collexo</v>
      </c>
      <c r="D417" s="124" t="str">
        <f>IFERROR(__xludf.DUMMYFUNCTION("""COMPUTED_VALUE"""),"Not Available")</f>
        <v>Not Available</v>
      </c>
      <c r="E417" s="124">
        <f>IFERROR(__xludf.DUMMYFUNCTION("""COMPUTED_VALUE"""),1500609.0)</f>
        <v>1500609</v>
      </c>
      <c r="F417" s="124" t="str">
        <f>IFERROR(__xludf.DUMMYFUNCTION("""COMPUTED_VALUE"""),"13971_988_7")</f>
        <v>13971_988_7</v>
      </c>
      <c r="G417" s="124">
        <f>IFERROR(__xludf.DUMMYFUNCTION("""COMPUTED_VALUE"""),10000.0)</f>
        <v>10000</v>
      </c>
      <c r="H417" s="131">
        <f>IFERROR(__xludf.DUMMYFUNCTION("""COMPUTED_VALUE"""),46112.0)</f>
        <v>46112</v>
      </c>
      <c r="I417" s="124">
        <f>IFERROR(__xludf.DUMMYFUNCTION("""COMPUTED_VALUE"""),120000.0)</f>
        <v>120000</v>
      </c>
      <c r="J417" s="124">
        <f>IFERROR(__xludf.DUMMYFUNCTION("""COMPUTED_VALUE"""),130000.0)</f>
        <v>130000</v>
      </c>
      <c r="K417" s="124">
        <f>IFERROR(__xludf.DUMMYFUNCTION("""COMPUTED_VALUE"""),2.0)</f>
        <v>2</v>
      </c>
      <c r="L417" s="124">
        <f>IFERROR(__xludf.DUMMYFUNCTION("""COMPUTED_VALUE"""),520.0)</f>
        <v>520</v>
      </c>
      <c r="M417" s="124" t="str">
        <f>IFERROR(__xludf.DUMMYFUNCTION("""COMPUTED_VALUE"""),"New Delhi")</f>
        <v>New Delhi</v>
      </c>
      <c r="N417" s="124" t="str">
        <f>IFERROR(__xludf.DUMMYFUNCTION("""COMPUTED_VALUE"""),"aditya2008du@gmail.com")</f>
        <v>aditya2008du@gmail.com</v>
      </c>
      <c r="O417" s="124" t="str">
        <f>IFERROR(__xludf.DUMMYFUNCTION("""COMPUTED_VALUE"""),"Aditya")</f>
        <v>Aditya</v>
      </c>
      <c r="P417" s="124">
        <f>IFERROR(__xludf.DUMMYFUNCTION("""COMPUTED_VALUE"""),127048.0)</f>
        <v>127048</v>
      </c>
      <c r="Q417" s="124" t="str">
        <f>IFERROR(__xludf.DUMMYFUNCTION("""COMPUTED_VALUE"""),"-")</f>
        <v>-</v>
      </c>
      <c r="R417" s="124" t="str">
        <f>IFERROR(__xludf.DUMMYFUNCTION("""COMPUTED_VALUE"""),"GS Foundation Course")</f>
        <v>GS Foundation Course</v>
      </c>
      <c r="S417" s="124">
        <f>IFERROR(__xludf.DUMMYFUNCTION("""COMPUTED_VALUE"""),7.568052526E9)</f>
        <v>7568052526</v>
      </c>
      <c r="T417" s="124" t="str">
        <f>IFERROR(__xludf.DUMMYFUNCTION("""COMPUTED_VALUE"""),"Collexo")</f>
        <v>Collexo</v>
      </c>
      <c r="U417" s="124" t="str">
        <f>IFERROR(__xludf.DUMMYFUNCTION("""COMPUTED_VALUE"""),"Success")</f>
        <v>Success</v>
      </c>
      <c r="V417" s="131">
        <f>IFERROR(__xludf.DUMMYFUNCTION("""COMPUTED_VALUE"""),46094.0)</f>
        <v>46094</v>
      </c>
      <c r="W417" s="124">
        <f>IFERROR(__xludf.DUMMYFUNCTION("""COMPUTED_VALUE"""),0.0)</f>
        <v>0</v>
      </c>
    </row>
    <row r="418">
      <c r="A418" s="124" t="str">
        <f t="shared" si="1"/>
        <v>007gautamaryan@gmail.com</v>
      </c>
      <c r="B418" s="131">
        <f>IFERROR(__xludf.DUMMYFUNCTION("""COMPUTED_VALUE"""),46091.0)</f>
        <v>46091</v>
      </c>
      <c r="C418" s="124" t="str">
        <f>IFERROR(__xludf.DUMMYFUNCTION("""COMPUTED_VALUE"""),"Payment data from Collexo")</f>
        <v>Payment data from Collexo</v>
      </c>
      <c r="D418" s="124" t="str">
        <f>IFERROR(__xludf.DUMMYFUNCTION("""COMPUTED_VALUE"""),"Not Available")</f>
        <v>Not Available</v>
      </c>
      <c r="E418" s="124">
        <f>IFERROR(__xludf.DUMMYFUNCTION("""COMPUTED_VALUE"""),1500609.0)</f>
        <v>1500609</v>
      </c>
      <c r="F418" s="124" t="str">
        <f>IFERROR(__xludf.DUMMYFUNCTION("""COMPUTED_VALUE"""),"13437_988_7")</f>
        <v>13437_988_7</v>
      </c>
      <c r="G418" s="124">
        <f>IFERROR(__xludf.DUMMYFUNCTION("""COMPUTED_VALUE"""),12000.0)</f>
        <v>12000</v>
      </c>
      <c r="H418" s="131">
        <f>IFERROR(__xludf.DUMMYFUNCTION("""COMPUTED_VALUE"""),46105.0)</f>
        <v>46105</v>
      </c>
      <c r="I418" s="124">
        <f>IFERROR(__xludf.DUMMYFUNCTION("""COMPUTED_VALUE"""),88000.0)</f>
        <v>88000</v>
      </c>
      <c r="J418" s="124">
        <f>IFERROR(__xludf.DUMMYFUNCTION("""COMPUTED_VALUE"""),110000.0)</f>
        <v>110000</v>
      </c>
      <c r="K418" s="124">
        <f>IFERROR(__xludf.DUMMYFUNCTION("""COMPUTED_VALUE"""),3.0)</f>
        <v>3</v>
      </c>
      <c r="L418" s="124">
        <f>IFERROR(__xludf.DUMMYFUNCTION("""COMPUTED_VALUE"""),466.0)</f>
        <v>466</v>
      </c>
      <c r="M418" s="124" t="str">
        <f>IFERROR(__xludf.DUMMYFUNCTION("""COMPUTED_VALUE"""),"New Delhi")</f>
        <v>New Delhi</v>
      </c>
      <c r="N418" s="124" t="str">
        <f>IFERROR(__xludf.DUMMYFUNCTION("""COMPUTED_VALUE"""),"007gautamaryan@gmail.com")</f>
        <v>007gautamaryan@gmail.com</v>
      </c>
      <c r="O418" s="124" t="str">
        <f>IFERROR(__xludf.DUMMYFUNCTION("""COMPUTED_VALUE"""),"Aryan Gautam")</f>
        <v>Aryan Gautam</v>
      </c>
      <c r="P418" s="124">
        <f>IFERROR(__xludf.DUMMYFUNCTION("""COMPUTED_VALUE"""),124994.0)</f>
        <v>124994</v>
      </c>
      <c r="Q418" s="124" t="str">
        <f>IFERROR(__xludf.DUMMYFUNCTION("""COMPUTED_VALUE"""),"upsc-gs-foundation-hinglish-target-2027-gsf-upsc-e05-orn")</f>
        <v>upsc-gs-foundation-hinglish-target-2027-gsf-upsc-e05-orn</v>
      </c>
      <c r="R418" s="124" t="str">
        <f>IFERROR(__xludf.DUMMYFUNCTION("""COMPUTED_VALUE"""),"GS Foundation Course")</f>
        <v>GS Foundation Course</v>
      </c>
      <c r="S418" s="124">
        <f>IFERROR(__xludf.DUMMYFUNCTION("""COMPUTED_VALUE"""),8.97996857E9)</f>
        <v>8979968570</v>
      </c>
      <c r="T418" s="124" t="str">
        <f>IFERROR(__xludf.DUMMYFUNCTION("""COMPUTED_VALUE"""),"Collexo")</f>
        <v>Collexo</v>
      </c>
      <c r="U418" s="124" t="str">
        <f>IFERROR(__xludf.DUMMYFUNCTION("""COMPUTED_VALUE"""),"Success")</f>
        <v>Success</v>
      </c>
      <c r="V418" s="131">
        <f>IFERROR(__xludf.DUMMYFUNCTION("""COMPUTED_VALUE"""),46091.0)</f>
        <v>46091</v>
      </c>
      <c r="W418" s="124">
        <f>IFERROR(__xludf.DUMMYFUNCTION("""COMPUTED_VALUE"""),0.0)</f>
        <v>0</v>
      </c>
    </row>
    <row r="419">
      <c r="A419" s="124" t="str">
        <f t="shared" si="1"/>
        <v>aayuugoswami@gmail.com</v>
      </c>
      <c r="B419" s="131">
        <f>IFERROR(__xludf.DUMMYFUNCTION("""COMPUTED_VALUE"""),46064.0)</f>
        <v>46064</v>
      </c>
      <c r="C419" s="124" t="str">
        <f>IFERROR(__xludf.DUMMYFUNCTION("""COMPUTED_VALUE"""),"Payment data from Collexo")</f>
        <v>Payment data from Collexo</v>
      </c>
      <c r="D419" s="124" t="str">
        <f>IFERROR(__xludf.DUMMYFUNCTION("""COMPUTED_VALUE"""),"Not Available")</f>
        <v>Not Available</v>
      </c>
      <c r="E419" s="124">
        <f>IFERROR(__xludf.DUMMYFUNCTION("""COMPUTED_VALUE"""),1500610.0)</f>
        <v>1500610</v>
      </c>
      <c r="F419" s="124">
        <f>IFERROR(__xludf.DUMMYFUNCTION("""COMPUTED_VALUE"""),122948.0)</f>
        <v>122948</v>
      </c>
      <c r="G419" s="124">
        <f>IFERROR(__xludf.DUMMYFUNCTION("""COMPUTED_VALUE"""),30000.0)</f>
        <v>30000</v>
      </c>
      <c r="H419" s="124" t="str">
        <f>IFERROR(__xludf.DUMMYFUNCTION("""COMPUTED_VALUE"""),"Not Available")</f>
        <v>Not Available</v>
      </c>
      <c r="I419" s="124">
        <f>IFERROR(__xludf.DUMMYFUNCTION("""COMPUTED_VALUE"""),0.0)</f>
        <v>0</v>
      </c>
      <c r="J419" s="124">
        <f>IFERROR(__xludf.DUMMYFUNCTION("""COMPUTED_VALUE"""),30000.0)</f>
        <v>30000</v>
      </c>
      <c r="K419" s="124">
        <f>IFERROR(__xludf.DUMMYFUNCTION("""COMPUTED_VALUE"""),1.0)</f>
        <v>1</v>
      </c>
      <c r="L419" s="124">
        <f>IFERROR(__xludf.DUMMYFUNCTION("""COMPUTED_VALUE"""),195.0)</f>
        <v>195</v>
      </c>
      <c r="M419" s="124" t="str">
        <f>IFERROR(__xludf.DUMMYFUNCTION("""COMPUTED_VALUE"""),"Lucknow")</f>
        <v>Lucknow</v>
      </c>
      <c r="N419" s="124" t="str">
        <f>IFERROR(__xludf.DUMMYFUNCTION("""COMPUTED_VALUE"""),"aayuugoswami@gmail.com")</f>
        <v>aayuugoswami@gmail.com</v>
      </c>
      <c r="O419" s="124" t="str">
        <f>IFERROR(__xludf.DUMMYFUNCTION("""COMPUTED_VALUE"""),"Ayushi Giri")</f>
        <v>Ayushi Giri</v>
      </c>
      <c r="P419" s="124">
        <f>IFERROR(__xludf.DUMMYFUNCTION("""COMPUTED_VALUE"""),122948.0)</f>
        <v>122948</v>
      </c>
      <c r="Q419" s="124" t="str">
        <f>IFERROR(__xludf.DUMMYFUNCTION("""COMPUTED_VALUE"""),"upsc-gs-foundation-hinglish-target-2028-lko-gsf-upsc-e01")</f>
        <v>upsc-gs-foundation-hinglish-target-2028-lko-gsf-upsc-e01</v>
      </c>
      <c r="R419" s="124" t="str">
        <f>IFERROR(__xludf.DUMMYFUNCTION("""COMPUTED_VALUE"""),"GS Foundation Course")</f>
        <v>GS Foundation Course</v>
      </c>
      <c r="S419" s="124">
        <f>IFERROR(__xludf.DUMMYFUNCTION("""COMPUTED_VALUE"""),8.4708649E9)</f>
        <v>8470864900</v>
      </c>
      <c r="T419" s="124" t="str">
        <f>IFERROR(__xludf.DUMMYFUNCTION("""COMPUTED_VALUE"""),"Not Available")</f>
        <v>Not Available</v>
      </c>
      <c r="U419" s="124" t="str">
        <f>IFERROR(__xludf.DUMMYFUNCTION("""COMPUTED_VALUE"""),"Not Available")</f>
        <v>Not Available</v>
      </c>
      <c r="V419" s="124" t="str">
        <f>IFERROR(__xludf.DUMMYFUNCTION("""COMPUTED_VALUE"""),"Not Available")</f>
        <v>Not Available</v>
      </c>
      <c r="W419" s="124" t="str">
        <f>IFERROR(__xludf.DUMMYFUNCTION("""COMPUTED_VALUE"""),"Not Available")</f>
        <v>Not Available</v>
      </c>
    </row>
    <row r="420">
      <c r="A420" s="124" t="str">
        <f t="shared" si="1"/>
        <v>jaykantsinha123@gmail.com</v>
      </c>
      <c r="B420" s="131">
        <f>IFERROR(__xludf.DUMMYFUNCTION("""COMPUTED_VALUE"""),46106.0)</f>
        <v>46106</v>
      </c>
      <c r="C420" s="124" t="str">
        <f>IFERROR(__xludf.DUMMYFUNCTION("""COMPUTED_VALUE"""),"Payment data from Collexo")</f>
        <v>Payment data from Collexo</v>
      </c>
      <c r="D420" s="124" t="str">
        <f>IFERROR(__xludf.DUMMYFUNCTION("""COMPUTED_VALUE"""),"Not Available")</f>
        <v>Not Available</v>
      </c>
      <c r="E420" s="124">
        <f>IFERROR(__xludf.DUMMYFUNCTION("""COMPUTED_VALUE"""),1500613.0)</f>
        <v>1500613</v>
      </c>
      <c r="F420" s="124">
        <f>IFERROR(__xludf.DUMMYFUNCTION("""COMPUTED_VALUE"""),130296.0)</f>
        <v>130296</v>
      </c>
      <c r="G420" s="124">
        <f>IFERROR(__xludf.DUMMYFUNCTION("""COMPUTED_VALUE"""),10000.0)</f>
        <v>10000</v>
      </c>
      <c r="H420" s="131">
        <f>IFERROR(__xludf.DUMMYFUNCTION("""COMPUTED_VALUE"""),46115.0)</f>
        <v>46115</v>
      </c>
      <c r="I420" s="124">
        <f>IFERROR(__xludf.DUMMYFUNCTION("""COMPUTED_VALUE"""),14000.0)</f>
        <v>14000</v>
      </c>
      <c r="J420" s="124">
        <f>IFERROR(__xludf.DUMMYFUNCTION("""COMPUTED_VALUE"""),25000.0)</f>
        <v>25000</v>
      </c>
      <c r="K420" s="124">
        <f>IFERROR(__xludf.DUMMYFUNCTION("""COMPUTED_VALUE"""),4.0)</f>
        <v>4</v>
      </c>
      <c r="L420" s="124">
        <f>IFERROR(__xludf.DUMMYFUNCTION("""COMPUTED_VALUE"""),731.0)</f>
        <v>731</v>
      </c>
      <c r="M420" s="124" t="str">
        <f>IFERROR(__xludf.DUMMYFUNCTION("""COMPUTED_VALUE"""),"Prayagraj")</f>
        <v>Prayagraj</v>
      </c>
      <c r="N420" s="124" t="str">
        <f>IFERROR(__xludf.DUMMYFUNCTION("""COMPUTED_VALUE"""),"jaykantsinha123@gmail.com")</f>
        <v>jaykantsinha123@gmail.com</v>
      </c>
      <c r="O420" s="124" t="str">
        <f>IFERROR(__xludf.DUMMYFUNCTION("""COMPUTED_VALUE"""),"Jaikant Sinha")</f>
        <v>Jaikant Sinha</v>
      </c>
      <c r="P420" s="124">
        <f>IFERROR(__xludf.DUMMYFUNCTION("""COMPUTED_VALUE"""),130296.0)</f>
        <v>130296</v>
      </c>
      <c r="Q420" s="124" t="str">
        <f>IFERROR(__xludf.DUMMYFUNCTION("""COMPUTED_VALUE"""),"upsc-gs-foundation-hinglish-target-2027-gsf-upsc-e03-pry")</f>
        <v>upsc-gs-foundation-hinglish-target-2027-gsf-upsc-e03-pry</v>
      </c>
      <c r="R420" s="124" t="str">
        <f>IFERROR(__xludf.DUMMYFUNCTION("""COMPUTED_VALUE"""),"GS Foundation Course")</f>
        <v>GS Foundation Course</v>
      </c>
      <c r="S420" s="124">
        <f>IFERROR(__xludf.DUMMYFUNCTION("""COMPUTED_VALUE"""),6.202156597E9)</f>
        <v>6202156597</v>
      </c>
      <c r="T420" s="124" t="str">
        <f>IFERROR(__xludf.DUMMYFUNCTION("""COMPUTED_VALUE"""),"Not Available")</f>
        <v>Not Available</v>
      </c>
      <c r="U420" s="124" t="str">
        <f>IFERROR(__xludf.DUMMYFUNCTION("""COMPUTED_VALUE"""),"Not Available")</f>
        <v>Not Available</v>
      </c>
      <c r="V420" s="124" t="str">
        <f>IFERROR(__xludf.DUMMYFUNCTION("""COMPUTED_VALUE"""),"Not Available")</f>
        <v>Not Available</v>
      </c>
      <c r="W420" s="124" t="str">
        <f>IFERROR(__xludf.DUMMYFUNCTION("""COMPUTED_VALUE"""),"Not Available")</f>
        <v>Not Available</v>
      </c>
    </row>
    <row r="421">
      <c r="A421" s="124" t="str">
        <f t="shared" si="1"/>
        <v>singhhrijul@gmail.com</v>
      </c>
      <c r="B421" s="131">
        <f>IFERROR(__xludf.DUMMYFUNCTION("""COMPUTED_VALUE"""),46073.0)</f>
        <v>46073</v>
      </c>
      <c r="C421" s="124" t="str">
        <f>IFERROR(__xludf.DUMMYFUNCTION("""COMPUTED_VALUE"""),"Payment data from Collexo")</f>
        <v>Payment data from Collexo</v>
      </c>
      <c r="D421" s="124" t="str">
        <f>IFERROR(__xludf.DUMMYFUNCTION("""COMPUTED_VALUE"""),"Not Available")</f>
        <v>Not Available</v>
      </c>
      <c r="E421" s="124">
        <f>IFERROR(__xludf.DUMMYFUNCTION("""COMPUTED_VALUE"""),1500613.0)</f>
        <v>1500613</v>
      </c>
      <c r="F421" s="124">
        <f>IFERROR(__xludf.DUMMYFUNCTION("""COMPUTED_VALUE"""),80996.0)</f>
        <v>80996</v>
      </c>
      <c r="G421" s="124">
        <f>IFERROR(__xludf.DUMMYFUNCTION("""COMPUTED_VALUE"""),30000.0)</f>
        <v>30000</v>
      </c>
      <c r="H421" s="124" t="str">
        <f>IFERROR(__xludf.DUMMYFUNCTION("""COMPUTED_VALUE"""),"Not Available")</f>
        <v>Not Available</v>
      </c>
      <c r="I421" s="124">
        <f>IFERROR(__xludf.DUMMYFUNCTION("""COMPUTED_VALUE"""),0.0)</f>
        <v>0</v>
      </c>
      <c r="J421" s="124">
        <f>IFERROR(__xludf.DUMMYFUNCTION("""COMPUTED_VALUE"""),75000.0)</f>
        <v>75000</v>
      </c>
      <c r="K421" s="124">
        <f>IFERROR(__xludf.DUMMYFUNCTION("""COMPUTED_VALUE"""),2.0)</f>
        <v>2</v>
      </c>
      <c r="L421" s="124">
        <f>IFERROR(__xludf.DUMMYFUNCTION("""COMPUTED_VALUE"""),280.0)</f>
        <v>280</v>
      </c>
      <c r="M421" s="124" t="str">
        <f>IFERROR(__xludf.DUMMYFUNCTION("""COMPUTED_VALUE"""),"Prayagraj")</f>
        <v>Prayagraj</v>
      </c>
      <c r="N421" s="124" t="str">
        <f>IFERROR(__xludf.DUMMYFUNCTION("""COMPUTED_VALUE"""),"singhhrijul@gmail.com")</f>
        <v>singhhrijul@gmail.com</v>
      </c>
      <c r="O421" s="124" t="str">
        <f>IFERROR(__xludf.DUMMYFUNCTION("""COMPUTED_VALUE"""),"Rijul")</f>
        <v>Rijul</v>
      </c>
      <c r="P421" s="124">
        <f>IFERROR(__xludf.DUMMYFUNCTION("""COMPUTED_VALUE"""),80996.0)</f>
        <v>80996</v>
      </c>
      <c r="Q421" s="124" t="str">
        <f>IFERROR(__xludf.DUMMYFUNCTION("""COMPUTED_VALUE"""),"upsc-gs-foundation-hinglish-target-2028-gsf-upsc-e03-pry")</f>
        <v>upsc-gs-foundation-hinglish-target-2028-gsf-upsc-e03-pry</v>
      </c>
      <c r="R421" s="124" t="str">
        <f>IFERROR(__xludf.DUMMYFUNCTION("""COMPUTED_VALUE"""),"GS Foundation Course")</f>
        <v>GS Foundation Course</v>
      </c>
      <c r="S421" s="124">
        <f>IFERROR(__xludf.DUMMYFUNCTION("""COMPUTED_VALUE"""),9.415454975E9)</f>
        <v>9415454975</v>
      </c>
      <c r="T421" s="124" t="str">
        <f>IFERROR(__xludf.DUMMYFUNCTION("""COMPUTED_VALUE"""),"Not Available")</f>
        <v>Not Available</v>
      </c>
      <c r="U421" s="124" t="str">
        <f>IFERROR(__xludf.DUMMYFUNCTION("""COMPUTED_VALUE"""),"Not Available")</f>
        <v>Not Available</v>
      </c>
      <c r="V421" s="124" t="str">
        <f>IFERROR(__xludf.DUMMYFUNCTION("""COMPUTED_VALUE"""),"Not Available")</f>
        <v>Not Available</v>
      </c>
      <c r="W421" s="124" t="str">
        <f>IFERROR(__xludf.DUMMYFUNCTION("""COMPUTED_VALUE"""),"Not Available")</f>
        <v>Not Available</v>
      </c>
    </row>
    <row r="422">
      <c r="A422" s="124" t="str">
        <f t="shared" si="1"/>
        <v>princessbrd7@gmail.com</v>
      </c>
      <c r="B422" s="131">
        <f>IFERROR(__xludf.DUMMYFUNCTION("""COMPUTED_VALUE"""),46104.0)</f>
        <v>46104</v>
      </c>
      <c r="C422" s="124" t="str">
        <f>IFERROR(__xludf.DUMMYFUNCTION("""COMPUTED_VALUE"""),"Payment data from Collexo")</f>
        <v>Payment data from Collexo</v>
      </c>
      <c r="D422" s="124" t="str">
        <f>IFERROR(__xludf.DUMMYFUNCTION("""COMPUTED_VALUE"""),"Not Available")</f>
        <v>Not Available</v>
      </c>
      <c r="E422" s="124">
        <f>IFERROR(__xludf.DUMMYFUNCTION("""COMPUTED_VALUE"""),1500612.0)</f>
        <v>1500612</v>
      </c>
      <c r="F422" s="124">
        <f>IFERROR(__xludf.DUMMYFUNCTION("""COMPUTED_VALUE"""),128177.0)</f>
        <v>128177</v>
      </c>
      <c r="G422" s="124">
        <f>IFERROR(__xludf.DUMMYFUNCTION("""COMPUTED_VALUE"""),2000.0)</f>
        <v>2000</v>
      </c>
      <c r="H422" s="131">
        <f>IFERROR(__xludf.DUMMYFUNCTION("""COMPUTED_VALUE"""),46112.0)</f>
        <v>46112</v>
      </c>
      <c r="I422" s="124">
        <f>IFERROR(__xludf.DUMMYFUNCTION("""COMPUTED_VALUE"""),108000.0)</f>
        <v>108000</v>
      </c>
      <c r="J422" s="124">
        <f>IFERROR(__xludf.DUMMYFUNCTION("""COMPUTED_VALUE"""),120000.0)</f>
        <v>120000</v>
      </c>
      <c r="K422" s="124">
        <f>IFERROR(__xludf.DUMMYFUNCTION("""COMPUTED_VALUE"""),3.0)</f>
        <v>3</v>
      </c>
      <c r="L422" s="124">
        <f>IFERROR(__xludf.DUMMYFUNCTION("""COMPUTED_VALUE"""),685.0)</f>
        <v>685</v>
      </c>
      <c r="M422" s="124" t="str">
        <f>IFERROR(__xludf.DUMMYFUNCTION("""COMPUTED_VALUE"""),"Indore")</f>
        <v>Indore</v>
      </c>
      <c r="N422" s="124" t="str">
        <f>IFERROR(__xludf.DUMMYFUNCTION("""COMPUTED_VALUE"""),"princessbrd7@gmail.com")</f>
        <v>princessbrd7@gmail.com</v>
      </c>
      <c r="O422" s="124" t="str">
        <f>IFERROR(__xludf.DUMMYFUNCTION("""COMPUTED_VALUE"""),"Princess Barode")</f>
        <v>Princess Barode</v>
      </c>
      <c r="P422" s="124">
        <f>IFERROR(__xludf.DUMMYFUNCTION("""COMPUTED_VALUE"""),128177.0)</f>
        <v>128177</v>
      </c>
      <c r="Q422" s="124" t="str">
        <f>IFERROR(__xludf.DUMMYFUNCTION("""COMPUTED_VALUE"""),"upsc-gs-foundation-hinglish-target-2028-gsf-upsc-m03-ind")</f>
        <v>upsc-gs-foundation-hinglish-target-2028-gsf-upsc-m03-ind</v>
      </c>
      <c r="R422" s="124" t="str">
        <f>IFERROR(__xludf.DUMMYFUNCTION("""COMPUTED_VALUE"""),"GS Foundation Course")</f>
        <v>GS Foundation Course</v>
      </c>
      <c r="S422" s="124">
        <f>IFERROR(__xludf.DUMMYFUNCTION("""COMPUTED_VALUE"""),8.839168968E9)</f>
        <v>8839168968</v>
      </c>
      <c r="T422" s="124" t="str">
        <f>IFERROR(__xludf.DUMMYFUNCTION("""COMPUTED_VALUE"""),"Not Available")</f>
        <v>Not Available</v>
      </c>
      <c r="U422" s="124" t="str">
        <f>IFERROR(__xludf.DUMMYFUNCTION("""COMPUTED_VALUE"""),"Not Available")</f>
        <v>Not Available</v>
      </c>
      <c r="V422" s="124" t="str">
        <f>IFERROR(__xludf.DUMMYFUNCTION("""COMPUTED_VALUE"""),"Not Available")</f>
        <v>Not Available</v>
      </c>
      <c r="W422" s="124" t="str">
        <f>IFERROR(__xludf.DUMMYFUNCTION("""COMPUTED_VALUE"""),"Not Available")</f>
        <v>Not Available</v>
      </c>
    </row>
    <row r="423">
      <c r="A423" s="124" t="str">
        <f t="shared" si="1"/>
        <v>ayushsrivastava556@gmail.com</v>
      </c>
      <c r="B423" s="131">
        <f>IFERROR(__xludf.DUMMYFUNCTION("""COMPUTED_VALUE"""),46091.0)</f>
        <v>46091</v>
      </c>
      <c r="C423" s="124" t="str">
        <f>IFERROR(__xludf.DUMMYFUNCTION("""COMPUTED_VALUE"""),"Payment data from Collexo")</f>
        <v>Payment data from Collexo</v>
      </c>
      <c r="D423" s="124" t="str">
        <f>IFERROR(__xludf.DUMMYFUNCTION("""COMPUTED_VALUE"""),"Not Available")</f>
        <v>Not Available</v>
      </c>
      <c r="E423" s="124">
        <f>IFERROR(__xludf.DUMMYFUNCTION("""COMPUTED_VALUE"""),1500613.0)</f>
        <v>1500613</v>
      </c>
      <c r="F423" s="124">
        <f>IFERROR(__xludf.DUMMYFUNCTION("""COMPUTED_VALUE"""),127147.0)</f>
        <v>127147</v>
      </c>
      <c r="G423" s="124">
        <f>IFERROR(__xludf.DUMMYFUNCTION("""COMPUTED_VALUE"""),1000.0)</f>
        <v>1000</v>
      </c>
      <c r="H423" s="131">
        <f>IFERROR(__xludf.DUMMYFUNCTION("""COMPUTED_VALUE"""),46092.0)</f>
        <v>46092</v>
      </c>
      <c r="I423" s="124">
        <f>IFERROR(__xludf.DUMMYFUNCTION("""COMPUTED_VALUE"""),5000.0)</f>
        <v>5000</v>
      </c>
      <c r="J423" s="124">
        <f>IFERROR(__xludf.DUMMYFUNCTION("""COMPUTED_VALUE"""),44000.0)</f>
        <v>44000</v>
      </c>
      <c r="K423" s="124">
        <f>IFERROR(__xludf.DUMMYFUNCTION("""COMPUTED_VALUE"""),3.0)</f>
        <v>3</v>
      </c>
      <c r="L423" s="124">
        <f>IFERROR(__xludf.DUMMYFUNCTION("""COMPUTED_VALUE"""),473.0)</f>
        <v>473</v>
      </c>
      <c r="M423" s="124" t="str">
        <f>IFERROR(__xludf.DUMMYFUNCTION("""COMPUTED_VALUE"""),"Prayagraj")</f>
        <v>Prayagraj</v>
      </c>
      <c r="N423" s="124" t="str">
        <f>IFERROR(__xludf.DUMMYFUNCTION("""COMPUTED_VALUE"""),"ayushsrivastava556@gmail.com")</f>
        <v>ayushsrivastava556@gmail.com</v>
      </c>
      <c r="O423" s="124" t="str">
        <f>IFERROR(__xludf.DUMMYFUNCTION("""COMPUTED_VALUE"""),"Ayush Prakash")</f>
        <v>Ayush Prakash</v>
      </c>
      <c r="P423" s="124">
        <f>IFERROR(__xludf.DUMMYFUNCTION("""COMPUTED_VALUE"""),127147.0)</f>
        <v>127147</v>
      </c>
      <c r="Q423" s="124" t="str">
        <f>IFERROR(__xludf.DUMMYFUNCTION("""COMPUTED_VALUE"""),"upsc-gs-foundation-hinglish-target-2027-gsf-upsc-e03-pry")</f>
        <v>upsc-gs-foundation-hinglish-target-2027-gsf-upsc-e03-pry</v>
      </c>
      <c r="R423" s="124" t="str">
        <f>IFERROR(__xludf.DUMMYFUNCTION("""COMPUTED_VALUE"""),"State PCS")</f>
        <v>State PCS</v>
      </c>
      <c r="S423" s="124">
        <f>IFERROR(__xludf.DUMMYFUNCTION("""COMPUTED_VALUE"""),9.648560889E9)</f>
        <v>9648560889</v>
      </c>
      <c r="T423" s="124" t="str">
        <f>IFERROR(__xludf.DUMMYFUNCTION("""COMPUTED_VALUE"""),"Not Available")</f>
        <v>Not Available</v>
      </c>
      <c r="U423" s="124" t="str">
        <f>IFERROR(__xludf.DUMMYFUNCTION("""COMPUTED_VALUE"""),"Not Available")</f>
        <v>Not Available</v>
      </c>
      <c r="V423" s="124" t="str">
        <f>IFERROR(__xludf.DUMMYFUNCTION("""COMPUTED_VALUE"""),"Not Available")</f>
        <v>Not Available</v>
      </c>
      <c r="W423" s="124" t="str">
        <f>IFERROR(__xludf.DUMMYFUNCTION("""COMPUTED_VALUE"""),"Not Available")</f>
        <v>Not Available</v>
      </c>
    </row>
    <row r="424">
      <c r="A424" s="124" t="str">
        <f t="shared" si="1"/>
        <v>princessbrd7@gmail.com</v>
      </c>
      <c r="B424" s="131">
        <f>IFERROR(__xludf.DUMMYFUNCTION("""COMPUTED_VALUE"""),46099.0)</f>
        <v>46099</v>
      </c>
      <c r="C424" s="124" t="str">
        <f>IFERROR(__xludf.DUMMYFUNCTION("""COMPUTED_VALUE"""),"Payment data from Collexo")</f>
        <v>Payment data from Collexo</v>
      </c>
      <c r="D424" s="124" t="str">
        <f>IFERROR(__xludf.DUMMYFUNCTION("""COMPUTED_VALUE"""),"Not Available")</f>
        <v>Not Available</v>
      </c>
      <c r="E424" s="124">
        <f>IFERROR(__xludf.DUMMYFUNCTION("""COMPUTED_VALUE"""),1500612.0)</f>
        <v>1500612</v>
      </c>
      <c r="F424" s="124">
        <f>IFERROR(__xludf.DUMMYFUNCTION("""COMPUTED_VALUE"""),128177.0)</f>
        <v>128177</v>
      </c>
      <c r="G424" s="124">
        <f>IFERROR(__xludf.DUMMYFUNCTION("""COMPUTED_VALUE"""),10000.0)</f>
        <v>10000</v>
      </c>
      <c r="H424" s="131">
        <f>IFERROR(__xludf.DUMMYFUNCTION("""COMPUTED_VALUE"""),46112.0)</f>
        <v>46112</v>
      </c>
      <c r="I424" s="124">
        <f>IFERROR(__xludf.DUMMYFUNCTION("""COMPUTED_VALUE"""),110000.0)</f>
        <v>110000</v>
      </c>
      <c r="J424" s="124">
        <f>IFERROR(__xludf.DUMMYFUNCTION("""COMPUTED_VALUE"""),120000.0)</f>
        <v>120000</v>
      </c>
      <c r="K424" s="124">
        <f>IFERROR(__xludf.DUMMYFUNCTION("""COMPUTED_VALUE"""),2.0)</f>
        <v>2</v>
      </c>
      <c r="L424" s="124">
        <f>IFERROR(__xludf.DUMMYFUNCTION("""COMPUTED_VALUE"""),596.0)</f>
        <v>596</v>
      </c>
      <c r="M424" s="124" t="str">
        <f>IFERROR(__xludf.DUMMYFUNCTION("""COMPUTED_VALUE"""),"Indore")</f>
        <v>Indore</v>
      </c>
      <c r="N424" s="124" t="str">
        <f>IFERROR(__xludf.DUMMYFUNCTION("""COMPUTED_VALUE"""),"princessbrd7@gmail.com")</f>
        <v>princessbrd7@gmail.com</v>
      </c>
      <c r="O424" s="124" t="str">
        <f>IFERROR(__xludf.DUMMYFUNCTION("""COMPUTED_VALUE"""),"Princess Barode")</f>
        <v>Princess Barode</v>
      </c>
      <c r="P424" s="124">
        <f>IFERROR(__xludf.DUMMYFUNCTION("""COMPUTED_VALUE"""),128177.0)</f>
        <v>128177</v>
      </c>
      <c r="Q424" s="124" t="str">
        <f>IFERROR(__xludf.DUMMYFUNCTION("""COMPUTED_VALUE"""),"upsc-gs-foundation-hinglish-target-2028-gsf-upsc-m03-ind")</f>
        <v>upsc-gs-foundation-hinglish-target-2028-gsf-upsc-m03-ind</v>
      </c>
      <c r="R424" s="124" t="str">
        <f>IFERROR(__xludf.DUMMYFUNCTION("""COMPUTED_VALUE"""),"GS Foundation Course")</f>
        <v>GS Foundation Course</v>
      </c>
      <c r="S424" s="124">
        <f>IFERROR(__xludf.DUMMYFUNCTION("""COMPUTED_VALUE"""),8.839168968E9)</f>
        <v>8839168968</v>
      </c>
      <c r="T424" s="124" t="str">
        <f>IFERROR(__xludf.DUMMYFUNCTION("""COMPUTED_VALUE"""),"Not Available")</f>
        <v>Not Available</v>
      </c>
      <c r="U424" s="124" t="str">
        <f>IFERROR(__xludf.DUMMYFUNCTION("""COMPUTED_VALUE"""),"Not Available")</f>
        <v>Not Available</v>
      </c>
      <c r="V424" s="124" t="str">
        <f>IFERROR(__xludf.DUMMYFUNCTION("""COMPUTED_VALUE"""),"Not Available")</f>
        <v>Not Available</v>
      </c>
      <c r="W424" s="124" t="str">
        <f>IFERROR(__xludf.DUMMYFUNCTION("""COMPUTED_VALUE"""),"Not Available")</f>
        <v>Not Available</v>
      </c>
    </row>
    <row r="425">
      <c r="A425" s="124" t="str">
        <f t="shared" si="1"/>
        <v>tarun9950214514@gmail.com</v>
      </c>
      <c r="B425" s="131">
        <f>IFERROR(__xludf.DUMMYFUNCTION("""COMPUTED_VALUE"""),46074.0)</f>
        <v>46074</v>
      </c>
      <c r="C425" s="124" t="str">
        <f>IFERROR(__xludf.DUMMYFUNCTION("""COMPUTED_VALUE"""),"Payment data from Collexo")</f>
        <v>Payment data from Collexo</v>
      </c>
      <c r="D425" s="124" t="str">
        <f>IFERROR(__xludf.DUMMYFUNCTION("""COMPUTED_VALUE"""),"Not Available")</f>
        <v>Not Available</v>
      </c>
      <c r="E425" s="124">
        <f>IFERROR(__xludf.DUMMYFUNCTION("""COMPUTED_VALUE"""),1500609.0)</f>
        <v>1500609</v>
      </c>
      <c r="F425" s="124" t="str">
        <f>IFERROR(__xludf.DUMMYFUNCTION("""COMPUTED_VALUE"""),"7884_988_7")</f>
        <v>7884_988_7</v>
      </c>
      <c r="G425" s="124">
        <f>IFERROR(__xludf.DUMMYFUNCTION("""COMPUTED_VALUE"""),72000.0)</f>
        <v>72000</v>
      </c>
      <c r="H425" s="124" t="str">
        <f>IFERROR(__xludf.DUMMYFUNCTION("""COMPUTED_VALUE"""),"Not Available")</f>
        <v>Not Available</v>
      </c>
      <c r="I425" s="124">
        <f>IFERROR(__xludf.DUMMYFUNCTION("""COMPUTED_VALUE"""),0.0)</f>
        <v>0</v>
      </c>
      <c r="J425" s="124">
        <f>IFERROR(__xludf.DUMMYFUNCTION("""COMPUTED_VALUE"""),90000.0)</f>
        <v>90000</v>
      </c>
      <c r="K425" s="124">
        <f>IFERROR(__xludf.DUMMYFUNCTION("""COMPUTED_VALUE"""),3.0)</f>
        <v>3</v>
      </c>
      <c r="L425" s="124">
        <f>IFERROR(__xludf.DUMMYFUNCTION("""COMPUTED_VALUE"""),297.0)</f>
        <v>297</v>
      </c>
      <c r="M425" s="124" t="str">
        <f>IFERROR(__xludf.DUMMYFUNCTION("""COMPUTED_VALUE"""),"New Delhi")</f>
        <v>New Delhi</v>
      </c>
      <c r="N425" s="124" t="str">
        <f>IFERROR(__xludf.DUMMYFUNCTION("""COMPUTED_VALUE"""),"tarun9950214514@gmail.com")</f>
        <v>tarun9950214514@gmail.com</v>
      </c>
      <c r="O425" s="124" t="str">
        <f>IFERROR(__xludf.DUMMYFUNCTION("""COMPUTED_VALUE"""),"Tarun")</f>
        <v>Tarun</v>
      </c>
      <c r="P425" s="124">
        <f>IFERROR(__xludf.DUMMYFUNCTION("""COMPUTED_VALUE"""),88443.0)</f>
        <v>88443</v>
      </c>
      <c r="Q425" s="124" t="str">
        <f>IFERROR(__xludf.DUMMYFUNCTION("""COMPUTED_VALUE"""),"ncert-foundation-hinglish-target-2026-nce-upsc-e02-orn")</f>
        <v>ncert-foundation-hinglish-target-2026-nce-upsc-e02-orn</v>
      </c>
      <c r="R425" s="124" t="str">
        <f>IFERROR(__xludf.DUMMYFUNCTION("""COMPUTED_VALUE"""),"GS Foundation Course")</f>
        <v>GS Foundation Course</v>
      </c>
      <c r="S425" s="124">
        <f>IFERROR(__xludf.DUMMYFUNCTION("""COMPUTED_VALUE"""),9.950214514E9)</f>
        <v>9950214514</v>
      </c>
      <c r="T425" s="124" t="str">
        <f>IFERROR(__xludf.DUMMYFUNCTION("""COMPUTED_VALUE"""),"Collexo")</f>
        <v>Collexo</v>
      </c>
      <c r="U425" s="124" t="str">
        <f>IFERROR(__xludf.DUMMYFUNCTION("""COMPUTED_VALUE"""),"Success")</f>
        <v>Success</v>
      </c>
      <c r="V425" s="131">
        <f>IFERROR(__xludf.DUMMYFUNCTION("""COMPUTED_VALUE"""),46074.0)</f>
        <v>46074</v>
      </c>
      <c r="W425" s="124">
        <f>IFERROR(__xludf.DUMMYFUNCTION("""COMPUTED_VALUE"""),0.0)</f>
        <v>0</v>
      </c>
    </row>
    <row r="426">
      <c r="A426" s="124" t="str">
        <f t="shared" si="1"/>
        <v>goldyychaudharyy51@gmail.com</v>
      </c>
      <c r="B426" s="131">
        <f>IFERROR(__xludf.DUMMYFUNCTION("""COMPUTED_VALUE"""),46055.0)</f>
        <v>46055</v>
      </c>
      <c r="C426" s="124" t="str">
        <f>IFERROR(__xludf.DUMMYFUNCTION("""COMPUTED_VALUE"""),"Payment data from Collexo")</f>
        <v>Payment data from Collexo</v>
      </c>
      <c r="D426" s="124" t="str">
        <f>IFERROR(__xludf.DUMMYFUNCTION("""COMPUTED_VALUE"""),"Not Available")</f>
        <v>Not Available</v>
      </c>
      <c r="E426" s="124">
        <f>IFERROR(__xludf.DUMMYFUNCTION("""COMPUTED_VALUE"""),1500609.0)</f>
        <v>1500609</v>
      </c>
      <c r="F426" s="124" t="str">
        <f>IFERROR(__xludf.DUMMYFUNCTION("""COMPUTED_VALUE"""),"3528_988_7")</f>
        <v>3528_988_7</v>
      </c>
      <c r="G426" s="124">
        <f>IFERROR(__xludf.DUMMYFUNCTION("""COMPUTED_VALUE"""),10000.0)</f>
        <v>10000</v>
      </c>
      <c r="H426" s="131">
        <f>IFERROR(__xludf.DUMMYFUNCTION("""COMPUTED_VALUE"""),46057.0)</f>
        <v>46057</v>
      </c>
      <c r="I426" s="124">
        <f>IFERROR(__xludf.DUMMYFUNCTION("""COMPUTED_VALUE"""),120000.0)</f>
        <v>120000</v>
      </c>
      <c r="J426" s="124">
        <f>IFERROR(__xludf.DUMMYFUNCTION("""COMPUTED_VALUE"""),135000.0)</f>
        <v>135000</v>
      </c>
      <c r="K426" s="124">
        <f>IFERROR(__xludf.DUMMYFUNCTION("""COMPUTED_VALUE"""),3.0)</f>
        <v>3</v>
      </c>
      <c r="L426" s="124">
        <f>IFERROR(__xludf.DUMMYFUNCTION("""COMPUTED_VALUE"""),152.0)</f>
        <v>152</v>
      </c>
      <c r="M426" s="124" t="str">
        <f>IFERROR(__xludf.DUMMYFUNCTION("""COMPUTED_VALUE"""),"New Delhi")</f>
        <v>New Delhi</v>
      </c>
      <c r="N426" s="124" t="str">
        <f>IFERROR(__xludf.DUMMYFUNCTION("""COMPUTED_VALUE"""),"goldyychaudharyy51@gmail.com")</f>
        <v>goldyychaudharyy51@gmail.com</v>
      </c>
      <c r="O426" s="124" t="str">
        <f>IFERROR(__xludf.DUMMYFUNCTION("""COMPUTED_VALUE"""),"Jaishal")</f>
        <v>Jaishal</v>
      </c>
      <c r="P426" s="124">
        <f>IFERROR(__xludf.DUMMYFUNCTION("""COMPUTED_VALUE"""),120250.0)</f>
        <v>120250</v>
      </c>
      <c r="Q426" s="124" t="str">
        <f>IFERROR(__xludf.DUMMYFUNCTION("""COMPUTED_VALUE"""),"ncert-foundation-hinglish-target-2026-nce-upsc-e02-orn")</f>
        <v>ncert-foundation-hinglish-target-2026-nce-upsc-e02-orn</v>
      </c>
      <c r="R426" s="124" t="str">
        <f>IFERROR(__xludf.DUMMYFUNCTION("""COMPUTED_VALUE"""),"GS Foundation Course")</f>
        <v>GS Foundation Course</v>
      </c>
      <c r="S426" s="124">
        <f>IFERROR(__xludf.DUMMYFUNCTION("""COMPUTED_VALUE"""),9.058402617E9)</f>
        <v>9058402617</v>
      </c>
      <c r="T426" s="124" t="str">
        <f>IFERROR(__xludf.DUMMYFUNCTION("""COMPUTED_VALUE"""),"Collexo")</f>
        <v>Collexo</v>
      </c>
      <c r="U426" s="124" t="str">
        <f>IFERROR(__xludf.DUMMYFUNCTION("""COMPUTED_VALUE"""),"Success")</f>
        <v>Success</v>
      </c>
      <c r="V426" s="131">
        <f>IFERROR(__xludf.DUMMYFUNCTION("""COMPUTED_VALUE"""),46055.0)</f>
        <v>46055</v>
      </c>
      <c r="W426" s="124">
        <f>IFERROR(__xludf.DUMMYFUNCTION("""COMPUTED_VALUE"""),0.0)</f>
        <v>0</v>
      </c>
    </row>
    <row r="427">
      <c r="A427" s="124" t="str">
        <f t="shared" si="1"/>
        <v>tengchangdshira@gmail.com</v>
      </c>
      <c r="B427" s="131">
        <f>IFERROR(__xludf.DUMMYFUNCTION("""COMPUTED_VALUE"""),46067.0)</f>
        <v>46067</v>
      </c>
      <c r="C427" s="124" t="str">
        <f>IFERROR(__xludf.DUMMYFUNCTION("""COMPUTED_VALUE"""),"Payment data from Collexo")</f>
        <v>Payment data from Collexo</v>
      </c>
      <c r="D427" s="124" t="str">
        <f>IFERROR(__xludf.DUMMYFUNCTION("""COMPUTED_VALUE"""),"Not Available")</f>
        <v>Not Available</v>
      </c>
      <c r="E427" s="124">
        <f>IFERROR(__xludf.DUMMYFUNCTION("""COMPUTED_VALUE"""),1500609.0)</f>
        <v>1500609</v>
      </c>
      <c r="F427" s="124" t="str">
        <f>IFERROR(__xludf.DUMMYFUNCTION("""COMPUTED_VALUE"""),"5141_988_7")</f>
        <v>5141_988_7</v>
      </c>
      <c r="G427" s="124">
        <f>IFERROR(__xludf.DUMMYFUNCTION("""COMPUTED_VALUE"""),20000.0)</f>
        <v>20000</v>
      </c>
      <c r="H427" s="124" t="str">
        <f>IFERROR(__xludf.DUMMYFUNCTION("""COMPUTED_VALUE"""),"Not Available")</f>
        <v>Not Available</v>
      </c>
      <c r="I427" s="124">
        <f>IFERROR(__xludf.DUMMYFUNCTION("""COMPUTED_VALUE"""),0.0)</f>
        <v>0</v>
      </c>
      <c r="J427" s="124">
        <f>IFERROR(__xludf.DUMMYFUNCTION("""COMPUTED_VALUE"""),125000.0)</f>
        <v>125000</v>
      </c>
      <c r="K427" s="124">
        <f>IFERROR(__xludf.DUMMYFUNCTION("""COMPUTED_VALUE"""),3.0)</f>
        <v>3</v>
      </c>
      <c r="L427" s="124">
        <f>IFERROR(__xludf.DUMMYFUNCTION("""COMPUTED_VALUE"""),208.0)</f>
        <v>208</v>
      </c>
      <c r="M427" s="124" t="str">
        <f>IFERROR(__xludf.DUMMYFUNCTION("""COMPUTED_VALUE"""),"New Delhi")</f>
        <v>New Delhi</v>
      </c>
      <c r="N427" s="124" t="str">
        <f>IFERROR(__xludf.DUMMYFUNCTION("""COMPUTED_VALUE"""),"tengchangdshira@gmail.com")</f>
        <v>tengchangdshira@gmail.com</v>
      </c>
      <c r="O427" s="124" t="str">
        <f>IFERROR(__xludf.DUMMYFUNCTION("""COMPUTED_VALUE"""),"Tengchang D Shira")</f>
        <v>Tengchang D Shira</v>
      </c>
      <c r="P427" s="124">
        <f>IFERROR(__xludf.DUMMYFUNCTION("""COMPUTED_VALUE"""),83112.0)</f>
        <v>83112</v>
      </c>
      <c r="Q427" s="124" t="str">
        <f>IFERROR(__xludf.DUMMYFUNCTION("""COMPUTED_VALUE"""),"ncert-foundation-hinglish-target-2026-nce-upsc-e02-orn")</f>
        <v>ncert-foundation-hinglish-target-2026-nce-upsc-e02-orn</v>
      </c>
      <c r="R427" s="124" t="str">
        <f>IFERROR(__xludf.DUMMYFUNCTION("""COMPUTED_VALUE"""),"GS Foundation Course")</f>
        <v>GS Foundation Course</v>
      </c>
      <c r="S427" s="124">
        <f>IFERROR(__xludf.DUMMYFUNCTION("""COMPUTED_VALUE"""),9.365264661E9)</f>
        <v>9365264661</v>
      </c>
      <c r="T427" s="124" t="str">
        <f>IFERROR(__xludf.DUMMYFUNCTION("""COMPUTED_VALUE"""),"Collexo")</f>
        <v>Collexo</v>
      </c>
      <c r="U427" s="124" t="str">
        <f>IFERROR(__xludf.DUMMYFUNCTION("""COMPUTED_VALUE"""),"Success")</f>
        <v>Success</v>
      </c>
      <c r="V427" s="131">
        <f>IFERROR(__xludf.DUMMYFUNCTION("""COMPUTED_VALUE"""),46067.0)</f>
        <v>46067</v>
      </c>
      <c r="W427" s="124">
        <f>IFERROR(__xludf.DUMMYFUNCTION("""COMPUTED_VALUE"""),0.0)</f>
        <v>0</v>
      </c>
    </row>
    <row r="428">
      <c r="A428" s="124" t="str">
        <f t="shared" si="1"/>
        <v>sudha.rani12627272@gmail.com</v>
      </c>
      <c r="B428" s="131">
        <f>IFERROR(__xludf.DUMMYFUNCTION("""COMPUTED_VALUE"""),46095.0)</f>
        <v>46095</v>
      </c>
      <c r="C428" s="124" t="str">
        <f>IFERROR(__xludf.DUMMYFUNCTION("""COMPUTED_VALUE"""),"Payment data from Collexo")</f>
        <v>Payment data from Collexo</v>
      </c>
      <c r="D428" s="124" t="str">
        <f>IFERROR(__xludf.DUMMYFUNCTION("""COMPUTED_VALUE"""),"Not Available")</f>
        <v>Not Available</v>
      </c>
      <c r="E428" s="124">
        <f>IFERROR(__xludf.DUMMYFUNCTION("""COMPUTED_VALUE"""),1500610.0)</f>
        <v>1500610</v>
      </c>
      <c r="F428" s="124">
        <f>IFERROR(__xludf.DUMMYFUNCTION("""COMPUTED_VALUE"""),127537.0)</f>
        <v>127537</v>
      </c>
      <c r="G428" s="124">
        <f>IFERROR(__xludf.DUMMYFUNCTION("""COMPUTED_VALUE"""),2000.0)</f>
        <v>2000</v>
      </c>
      <c r="H428" s="131">
        <f>IFERROR(__xludf.DUMMYFUNCTION("""COMPUTED_VALUE"""),46112.0)</f>
        <v>46112</v>
      </c>
      <c r="I428" s="124">
        <f>IFERROR(__xludf.DUMMYFUNCTION("""COMPUTED_VALUE"""),53000.0)</f>
        <v>53000</v>
      </c>
      <c r="J428" s="124">
        <f>IFERROR(__xludf.DUMMYFUNCTION("""COMPUTED_VALUE"""),55000.0)</f>
        <v>55000</v>
      </c>
      <c r="K428" s="124">
        <f>IFERROR(__xludf.DUMMYFUNCTION("""COMPUTED_VALUE"""),2.0)</f>
        <v>2</v>
      </c>
      <c r="L428" s="124">
        <f>IFERROR(__xludf.DUMMYFUNCTION("""COMPUTED_VALUE"""),545.0)</f>
        <v>545</v>
      </c>
      <c r="M428" s="124" t="str">
        <f>IFERROR(__xludf.DUMMYFUNCTION("""COMPUTED_VALUE"""),"Lucknow")</f>
        <v>Lucknow</v>
      </c>
      <c r="N428" s="124" t="str">
        <f>IFERROR(__xludf.DUMMYFUNCTION("""COMPUTED_VALUE"""),"sudha.rani12627272@gmail.com")</f>
        <v>sudha.rani12627272@gmail.com</v>
      </c>
      <c r="O428" s="124" t="str">
        <f>IFERROR(__xludf.DUMMYFUNCTION("""COMPUTED_VALUE"""),"Prem Pratap")</f>
        <v>Prem Pratap</v>
      </c>
      <c r="P428" s="124">
        <f>IFERROR(__xludf.DUMMYFUNCTION("""COMPUTED_VALUE"""),127537.0)</f>
        <v>127537</v>
      </c>
      <c r="Q428" s="124" t="str">
        <f>IFERROR(__xludf.DUMMYFUNCTION("""COMPUTED_VALUE"""),"Not Available")</f>
        <v>Not Available</v>
      </c>
      <c r="R428" s="124" t="str">
        <f>IFERROR(__xludf.DUMMYFUNCTION("""COMPUTED_VALUE"""),"GS Foundation Course")</f>
        <v>GS Foundation Course</v>
      </c>
      <c r="S428" s="124">
        <f>IFERROR(__xludf.DUMMYFUNCTION("""COMPUTED_VALUE"""),8.595802989E9)</f>
        <v>8595802989</v>
      </c>
      <c r="T428" s="124" t="str">
        <f>IFERROR(__xludf.DUMMYFUNCTION("""COMPUTED_VALUE"""),"Not Available")</f>
        <v>Not Available</v>
      </c>
      <c r="U428" s="124" t="str">
        <f>IFERROR(__xludf.DUMMYFUNCTION("""COMPUTED_VALUE"""),"Not Available")</f>
        <v>Not Available</v>
      </c>
      <c r="V428" s="124" t="str">
        <f>IFERROR(__xludf.DUMMYFUNCTION("""COMPUTED_VALUE"""),"Not Available")</f>
        <v>Not Available</v>
      </c>
      <c r="W428" s="124" t="str">
        <f>IFERROR(__xludf.DUMMYFUNCTION("""COMPUTED_VALUE"""),"Not Available")</f>
        <v>Not Available</v>
      </c>
    </row>
    <row r="429">
      <c r="A429" s="124" t="str">
        <f t="shared" si="1"/>
        <v>vaibhavyadav10052005@gmail.com</v>
      </c>
      <c r="B429" s="131">
        <f>IFERROR(__xludf.DUMMYFUNCTION("""COMPUTED_VALUE"""),46098.0)</f>
        <v>46098</v>
      </c>
      <c r="C429" s="124" t="str">
        <f>IFERROR(__xludf.DUMMYFUNCTION("""COMPUTED_VALUE"""),"Payment data from Collexo")</f>
        <v>Payment data from Collexo</v>
      </c>
      <c r="D429" s="124" t="str">
        <f>IFERROR(__xludf.DUMMYFUNCTION("""COMPUTED_VALUE"""),"Not Available")</f>
        <v>Not Available</v>
      </c>
      <c r="E429" s="124">
        <f>IFERROR(__xludf.DUMMYFUNCTION("""COMPUTED_VALUE"""),1500609.0)</f>
        <v>1500609</v>
      </c>
      <c r="F429" s="124" t="str">
        <f>IFERROR(__xludf.DUMMYFUNCTION("""COMPUTED_VALUE"""),"14840_988_7")</f>
        <v>14840_988_7</v>
      </c>
      <c r="G429" s="124">
        <f>IFERROR(__xludf.DUMMYFUNCTION("""COMPUTED_VALUE"""),112000.0)</f>
        <v>112000</v>
      </c>
      <c r="H429" s="124" t="str">
        <f>IFERROR(__xludf.DUMMYFUNCTION("""COMPUTED_VALUE"""),"Not Available")</f>
        <v>Not Available</v>
      </c>
      <c r="I429" s="124">
        <f>IFERROR(__xludf.DUMMYFUNCTION("""COMPUTED_VALUE"""),0.0)</f>
        <v>0</v>
      </c>
      <c r="J429" s="124">
        <f>IFERROR(__xludf.DUMMYFUNCTION("""COMPUTED_VALUE"""),117000.0)</f>
        <v>117000</v>
      </c>
      <c r="K429" s="124">
        <f>IFERROR(__xludf.DUMMYFUNCTION("""COMPUTED_VALUE"""),2.0)</f>
        <v>2</v>
      </c>
      <c r="L429" s="124">
        <f>IFERROR(__xludf.DUMMYFUNCTION("""COMPUTED_VALUE"""),579.0)</f>
        <v>579</v>
      </c>
      <c r="M429" s="124" t="str">
        <f>IFERROR(__xludf.DUMMYFUNCTION("""COMPUTED_VALUE"""),"New Delhi")</f>
        <v>New Delhi</v>
      </c>
      <c r="N429" s="124" t="str">
        <f>IFERROR(__xludf.DUMMYFUNCTION("""COMPUTED_VALUE"""),"vaibhavyadav10052005@gmail.com")</f>
        <v>vaibhavyadav10052005@gmail.com</v>
      </c>
      <c r="O429" s="124" t="str">
        <f>IFERROR(__xludf.DUMMYFUNCTION("""COMPUTED_VALUE"""),"Vaibhav Pratap")</f>
        <v>Vaibhav Pratap</v>
      </c>
      <c r="P429" s="124">
        <f>IFERROR(__xludf.DUMMYFUNCTION("""COMPUTED_VALUE"""),127391.0)</f>
        <v>127391</v>
      </c>
      <c r="Q429" s="124" t="str">
        <f>IFERROR(__xludf.DUMMYFUNCTION("""COMPUTED_VALUE"""),"upsc-gs-foundation-hinglish-target-2027-gsf-upsc-m04-orn")</f>
        <v>upsc-gs-foundation-hinglish-target-2027-gsf-upsc-m04-orn</v>
      </c>
      <c r="R429" s="124" t="str">
        <f>IFERROR(__xludf.DUMMYFUNCTION("""COMPUTED_VALUE"""),"GS Foundation Course")</f>
        <v>GS Foundation Course</v>
      </c>
      <c r="S429" s="124">
        <f>IFERROR(__xludf.DUMMYFUNCTION("""COMPUTED_VALUE"""),9.258372595E9)</f>
        <v>9258372595</v>
      </c>
      <c r="T429" s="124" t="str">
        <f>IFERROR(__xludf.DUMMYFUNCTION("""COMPUTED_VALUE"""),"Collexo")</f>
        <v>Collexo</v>
      </c>
      <c r="U429" s="124" t="str">
        <f>IFERROR(__xludf.DUMMYFUNCTION("""COMPUTED_VALUE"""),"Success")</f>
        <v>Success</v>
      </c>
      <c r="V429" s="131">
        <f>IFERROR(__xludf.DUMMYFUNCTION("""COMPUTED_VALUE"""),46098.0)</f>
        <v>46098</v>
      </c>
      <c r="W429" s="124">
        <f>IFERROR(__xludf.DUMMYFUNCTION("""COMPUTED_VALUE"""),0.0)</f>
        <v>0</v>
      </c>
    </row>
    <row r="430">
      <c r="A430" s="124" t="str">
        <f t="shared" si="1"/>
        <v>pratishtharasaily@gmail.com</v>
      </c>
      <c r="B430" s="131">
        <f>IFERROR(__xludf.DUMMYFUNCTION("""COMPUTED_VALUE"""),46056.0)</f>
        <v>46056</v>
      </c>
      <c r="C430" s="124" t="str">
        <f>IFERROR(__xludf.DUMMYFUNCTION("""COMPUTED_VALUE"""),"Payment data from Collexo")</f>
        <v>Payment data from Collexo</v>
      </c>
      <c r="D430" s="124" t="str">
        <f>IFERROR(__xludf.DUMMYFUNCTION("""COMPUTED_VALUE"""),"Not Available")</f>
        <v>Not Available</v>
      </c>
      <c r="E430" s="124">
        <f>IFERROR(__xludf.DUMMYFUNCTION("""COMPUTED_VALUE"""),1500609.0)</f>
        <v>1500609</v>
      </c>
      <c r="F430" s="124" t="str">
        <f>IFERROR(__xludf.DUMMYFUNCTION("""COMPUTED_VALUE"""),"3666_988_7")</f>
        <v>3666_988_7</v>
      </c>
      <c r="G430" s="124">
        <f>IFERROR(__xludf.DUMMYFUNCTION("""COMPUTED_VALUE"""),22000.0)</f>
        <v>22000</v>
      </c>
      <c r="H430" s="131">
        <f>IFERROR(__xludf.DUMMYFUNCTION("""COMPUTED_VALUE"""),46057.0)</f>
        <v>46057</v>
      </c>
      <c r="I430" s="124">
        <f>IFERROR(__xludf.DUMMYFUNCTION("""COMPUTED_VALUE"""),108000.0)</f>
        <v>108000</v>
      </c>
      <c r="J430" s="124">
        <f>IFERROR(__xludf.DUMMYFUNCTION("""COMPUTED_VALUE"""),135000.0)</f>
        <v>135000</v>
      </c>
      <c r="K430" s="124">
        <f>IFERROR(__xludf.DUMMYFUNCTION("""COMPUTED_VALUE"""),3.0)</f>
        <v>3</v>
      </c>
      <c r="L430" s="124">
        <f>IFERROR(__xludf.DUMMYFUNCTION("""COMPUTED_VALUE"""),159.0)</f>
        <v>159</v>
      </c>
      <c r="M430" s="124" t="str">
        <f>IFERROR(__xludf.DUMMYFUNCTION("""COMPUTED_VALUE"""),"New Delhi")</f>
        <v>New Delhi</v>
      </c>
      <c r="N430" s="124" t="str">
        <f>IFERROR(__xludf.DUMMYFUNCTION("""COMPUTED_VALUE"""),"pratishtharasaily@gmail.com")</f>
        <v>pratishtharasaily@gmail.com</v>
      </c>
      <c r="O430" s="124" t="str">
        <f>IFERROR(__xludf.DUMMYFUNCTION("""COMPUTED_VALUE"""),"Pratishta")</f>
        <v>Pratishta</v>
      </c>
      <c r="P430" s="124">
        <f>IFERROR(__xludf.DUMMYFUNCTION("""COMPUTED_VALUE"""),120008.0)</f>
        <v>120008</v>
      </c>
      <c r="Q430" s="124" t="str">
        <f>IFERROR(__xludf.DUMMYFUNCTION("""COMPUTED_VALUE"""),"ncert-foundation-hinglish-target-2026-nce-upsc-e02-orn")</f>
        <v>ncert-foundation-hinglish-target-2026-nce-upsc-e02-orn</v>
      </c>
      <c r="R430" s="124" t="str">
        <f>IFERROR(__xludf.DUMMYFUNCTION("""COMPUTED_VALUE"""),"GS Foundation Course")</f>
        <v>GS Foundation Course</v>
      </c>
      <c r="S430" s="124">
        <f>IFERROR(__xludf.DUMMYFUNCTION("""COMPUTED_VALUE"""),9.735172604E9)</f>
        <v>9735172604</v>
      </c>
      <c r="T430" s="124" t="str">
        <f>IFERROR(__xludf.DUMMYFUNCTION("""COMPUTED_VALUE"""),"Collexo")</f>
        <v>Collexo</v>
      </c>
      <c r="U430" s="124" t="str">
        <f>IFERROR(__xludf.DUMMYFUNCTION("""COMPUTED_VALUE"""),"Success")</f>
        <v>Success</v>
      </c>
      <c r="V430" s="131">
        <f>IFERROR(__xludf.DUMMYFUNCTION("""COMPUTED_VALUE"""),46056.0)</f>
        <v>46056</v>
      </c>
      <c r="W430" s="124">
        <f>IFERROR(__xludf.DUMMYFUNCTION("""COMPUTED_VALUE"""),0.0)</f>
        <v>0</v>
      </c>
    </row>
    <row r="431">
      <c r="A431" s="124" t="str">
        <f t="shared" si="1"/>
        <v>muskanverma9450@gmail.com</v>
      </c>
      <c r="B431" s="131">
        <f>IFERROR(__xludf.DUMMYFUNCTION("""COMPUTED_VALUE"""),46107.0)</f>
        <v>46107</v>
      </c>
      <c r="C431" s="124" t="str">
        <f>IFERROR(__xludf.DUMMYFUNCTION("""COMPUTED_VALUE"""),"Payment data from Collexo")</f>
        <v>Payment data from Collexo</v>
      </c>
      <c r="D431" s="124" t="str">
        <f>IFERROR(__xludf.DUMMYFUNCTION("""COMPUTED_VALUE"""),"Not Available")</f>
        <v>Not Available</v>
      </c>
      <c r="E431" s="124">
        <f>IFERROR(__xludf.DUMMYFUNCTION("""COMPUTED_VALUE"""),1500613.0)</f>
        <v>1500613</v>
      </c>
      <c r="F431" s="124">
        <f>IFERROR(__xludf.DUMMYFUNCTION("""COMPUTED_VALUE"""),14117.0)</f>
        <v>14117</v>
      </c>
      <c r="G431" s="124">
        <f>IFERROR(__xludf.DUMMYFUNCTION("""COMPUTED_VALUE"""),31000.0)</f>
        <v>31000</v>
      </c>
      <c r="H431" s="124" t="str">
        <f>IFERROR(__xludf.DUMMYFUNCTION("""COMPUTED_VALUE"""),"Not Available")</f>
        <v>Not Available</v>
      </c>
      <c r="I431" s="124">
        <f>IFERROR(__xludf.DUMMYFUNCTION("""COMPUTED_VALUE"""),0.0)</f>
        <v>0</v>
      </c>
      <c r="J431" s="124">
        <f>IFERROR(__xludf.DUMMYFUNCTION("""COMPUTED_VALUE"""),32000.0)</f>
        <v>32000</v>
      </c>
      <c r="K431" s="124">
        <f>IFERROR(__xludf.DUMMYFUNCTION("""COMPUTED_VALUE"""),2.0)</f>
        <v>2</v>
      </c>
      <c r="L431" s="124">
        <f>IFERROR(__xludf.DUMMYFUNCTION("""COMPUTED_VALUE"""),766.0)</f>
        <v>766</v>
      </c>
      <c r="M431" s="124" t="str">
        <f>IFERROR(__xludf.DUMMYFUNCTION("""COMPUTED_VALUE"""),"Prayagraj")</f>
        <v>Prayagraj</v>
      </c>
      <c r="N431" s="124" t="str">
        <f>IFERROR(__xludf.DUMMYFUNCTION("""COMPUTED_VALUE"""),"muskanverma9450@gmail.com")</f>
        <v>muskanverma9450@gmail.com</v>
      </c>
      <c r="O431" s="124" t="str">
        <f>IFERROR(__xludf.DUMMYFUNCTION("""COMPUTED_VALUE"""),"Priyanka")</f>
        <v>Priyanka</v>
      </c>
      <c r="P431" s="124">
        <f>IFERROR(__xludf.DUMMYFUNCTION("""COMPUTED_VALUE"""),14117.0)</f>
        <v>14117</v>
      </c>
      <c r="Q431" s="124" t="str">
        <f>IFERROR(__xludf.DUMMYFUNCTION("""COMPUTED_VALUE"""),"upsc-gs-foundation-hindi-target-2027-gsf-upsc-m02-pry")</f>
        <v>upsc-gs-foundation-hindi-target-2027-gsf-upsc-m02-pry</v>
      </c>
      <c r="R431" s="124" t="str">
        <f>IFERROR(__xludf.DUMMYFUNCTION("""COMPUTED_VALUE"""),"GS Foundation Course")</f>
        <v>GS Foundation Course</v>
      </c>
      <c r="S431" s="124">
        <f>IFERROR(__xludf.DUMMYFUNCTION("""COMPUTED_VALUE"""),8.31800046E9)</f>
        <v>8318000460</v>
      </c>
      <c r="T431" s="124" t="str">
        <f>IFERROR(__xludf.DUMMYFUNCTION("""COMPUTED_VALUE"""),"Not Available")</f>
        <v>Not Available</v>
      </c>
      <c r="U431" s="124" t="str">
        <f>IFERROR(__xludf.DUMMYFUNCTION("""COMPUTED_VALUE"""),"Not Available")</f>
        <v>Not Available</v>
      </c>
      <c r="V431" s="124" t="str">
        <f>IFERROR(__xludf.DUMMYFUNCTION("""COMPUTED_VALUE"""),"Not Available")</f>
        <v>Not Available</v>
      </c>
      <c r="W431" s="124" t="str">
        <f>IFERROR(__xludf.DUMMYFUNCTION("""COMPUTED_VALUE"""),"Not Available")</f>
        <v>Not Available</v>
      </c>
    </row>
    <row r="432">
      <c r="A432" s="124" t="str">
        <f t="shared" si="1"/>
        <v>Avinashkumarsoniias@gmail.com</v>
      </c>
      <c r="B432" s="131">
        <f>IFERROR(__xludf.DUMMYFUNCTION("""COMPUTED_VALUE"""),46074.0)</f>
        <v>46074</v>
      </c>
      <c r="C432" s="124" t="str">
        <f>IFERROR(__xludf.DUMMYFUNCTION("""COMPUTED_VALUE"""),"Payment data from Collexo")</f>
        <v>Payment data from Collexo</v>
      </c>
      <c r="D432" s="124" t="str">
        <f>IFERROR(__xludf.DUMMYFUNCTION("""COMPUTED_VALUE"""),"Not Available")</f>
        <v>Not Available</v>
      </c>
      <c r="E432" s="124">
        <f>IFERROR(__xludf.DUMMYFUNCTION("""COMPUTED_VALUE"""),1500610.0)</f>
        <v>1500610</v>
      </c>
      <c r="F432" s="124">
        <f>IFERROR(__xludf.DUMMYFUNCTION("""COMPUTED_VALUE"""),73731.0)</f>
        <v>73731</v>
      </c>
      <c r="G432" s="124">
        <f>IFERROR(__xludf.DUMMYFUNCTION("""COMPUTED_VALUE"""),10000.0)</f>
        <v>10000</v>
      </c>
      <c r="H432" s="131">
        <f>IFERROR(__xludf.DUMMYFUNCTION("""COMPUTED_VALUE"""),46133.0)</f>
        <v>46133</v>
      </c>
      <c r="I432" s="124">
        <f>IFERROR(__xludf.DUMMYFUNCTION("""COMPUTED_VALUE"""),9000.0)</f>
        <v>9000</v>
      </c>
      <c r="J432" s="124">
        <f>IFERROR(__xludf.DUMMYFUNCTION("""COMPUTED_VALUE"""),28000.0)</f>
        <v>28000</v>
      </c>
      <c r="K432" s="124">
        <f>IFERROR(__xludf.DUMMYFUNCTION("""COMPUTED_VALUE"""),3.0)</f>
        <v>3</v>
      </c>
      <c r="L432" s="124">
        <f>IFERROR(__xludf.DUMMYFUNCTION("""COMPUTED_VALUE"""),295.0)</f>
        <v>295</v>
      </c>
      <c r="M432" s="124" t="str">
        <f>IFERROR(__xludf.DUMMYFUNCTION("""COMPUTED_VALUE"""),"Lucknow")</f>
        <v>Lucknow</v>
      </c>
      <c r="N432" s="124" t="str">
        <f>IFERROR(__xludf.DUMMYFUNCTION("""COMPUTED_VALUE"""),"Avinashkumarsoniias@gmail.com")</f>
        <v>Avinashkumarsoniias@gmail.com</v>
      </c>
      <c r="O432" s="124" t="str">
        <f>IFERROR(__xludf.DUMMYFUNCTION("""COMPUTED_VALUE"""),"Ashwani Singh")</f>
        <v>Ashwani Singh</v>
      </c>
      <c r="P432" s="124">
        <f>IFERROR(__xludf.DUMMYFUNCTION("""COMPUTED_VALUE"""),73731.0)</f>
        <v>73731</v>
      </c>
      <c r="Q432" s="124" t="str">
        <f>IFERROR(__xludf.DUMMYFUNCTION("""COMPUTED_VALUE"""),"upsc-gs-foundation-hindi-target-2027-gsf-upsc-m01-lko")</f>
        <v>upsc-gs-foundation-hindi-target-2027-gsf-upsc-m01-lko</v>
      </c>
      <c r="R432" s="124" t="str">
        <f>IFERROR(__xludf.DUMMYFUNCTION("""COMPUTED_VALUE"""),"GS Foundation Course")</f>
        <v>GS Foundation Course</v>
      </c>
      <c r="S432" s="124">
        <f>IFERROR(__xludf.DUMMYFUNCTION("""COMPUTED_VALUE"""),9.21993223E9)</f>
        <v>9219932230</v>
      </c>
      <c r="T432" s="124" t="str">
        <f>IFERROR(__xludf.DUMMYFUNCTION("""COMPUTED_VALUE"""),"Not Available")</f>
        <v>Not Available</v>
      </c>
      <c r="U432" s="124" t="str">
        <f>IFERROR(__xludf.DUMMYFUNCTION("""COMPUTED_VALUE"""),"Not Available")</f>
        <v>Not Available</v>
      </c>
      <c r="V432" s="124" t="str">
        <f>IFERROR(__xludf.DUMMYFUNCTION("""COMPUTED_VALUE"""),"Not Available")</f>
        <v>Not Available</v>
      </c>
      <c r="W432" s="124" t="str">
        <f>IFERROR(__xludf.DUMMYFUNCTION("""COMPUTED_VALUE"""),"Not Available")</f>
        <v>Not Available</v>
      </c>
    </row>
    <row r="433">
      <c r="A433" s="124" t="str">
        <f t="shared" si="1"/>
        <v>sindoor2020@gmail.com</v>
      </c>
      <c r="B433" s="131">
        <f>IFERROR(__xludf.DUMMYFUNCTION("""COMPUTED_VALUE"""),46067.0)</f>
        <v>46067</v>
      </c>
      <c r="C433" s="124" t="str">
        <f>IFERROR(__xludf.DUMMYFUNCTION("""COMPUTED_VALUE"""),"Payment data from Collexo")</f>
        <v>Payment data from Collexo</v>
      </c>
      <c r="D433" s="124" t="str">
        <f>IFERROR(__xludf.DUMMYFUNCTION("""COMPUTED_VALUE"""),"Not Available")</f>
        <v>Not Available</v>
      </c>
      <c r="E433" s="124">
        <f>IFERROR(__xludf.DUMMYFUNCTION("""COMPUTED_VALUE"""),1500609.0)</f>
        <v>1500609</v>
      </c>
      <c r="F433" s="124" t="str">
        <f>IFERROR(__xludf.DUMMYFUNCTION("""COMPUTED_VALUE"""),"5186_988_7")</f>
        <v>5186_988_7</v>
      </c>
      <c r="G433" s="124">
        <f>IFERROR(__xludf.DUMMYFUNCTION("""COMPUTED_VALUE"""),55000.0)</f>
        <v>55000</v>
      </c>
      <c r="H433" s="131">
        <f>IFERROR(__xludf.DUMMYFUNCTION("""COMPUTED_VALUE"""),46072.0)</f>
        <v>46072</v>
      </c>
      <c r="I433" s="124">
        <f>IFERROR(__xludf.DUMMYFUNCTION("""COMPUTED_VALUE"""),50000.0)</f>
        <v>50000</v>
      </c>
      <c r="J433" s="124">
        <f>IFERROR(__xludf.DUMMYFUNCTION("""COMPUTED_VALUE"""),115000.0)</f>
        <v>115000</v>
      </c>
      <c r="K433" s="124">
        <f>IFERROR(__xludf.DUMMYFUNCTION("""COMPUTED_VALUE"""),3.0)</f>
        <v>3</v>
      </c>
      <c r="L433" s="124">
        <f>IFERROR(__xludf.DUMMYFUNCTION("""COMPUTED_VALUE"""),213.0)</f>
        <v>213</v>
      </c>
      <c r="M433" s="124" t="str">
        <f>IFERROR(__xludf.DUMMYFUNCTION("""COMPUTED_VALUE"""),"New Delhi")</f>
        <v>New Delhi</v>
      </c>
      <c r="N433" s="124" t="str">
        <f>IFERROR(__xludf.DUMMYFUNCTION("""COMPUTED_VALUE"""),"sindoor2020@gmail.com")</f>
        <v>sindoor2020@gmail.com</v>
      </c>
      <c r="O433" s="124" t="str">
        <f>IFERROR(__xludf.DUMMYFUNCTION("""COMPUTED_VALUE"""),"Deepmala")</f>
        <v>Deepmala</v>
      </c>
      <c r="P433" s="124">
        <f>IFERROR(__xludf.DUMMYFUNCTION("""COMPUTED_VALUE"""),78888.0)</f>
        <v>78888</v>
      </c>
      <c r="Q433" s="124" t="str">
        <f>IFERROR(__xludf.DUMMYFUNCTION("""COMPUTED_VALUE"""),"upsc-gs-foundation-hinglish-target-2027-gsf-upsc-m02-orn")</f>
        <v>upsc-gs-foundation-hinglish-target-2027-gsf-upsc-m02-orn</v>
      </c>
      <c r="R433" s="124" t="str">
        <f>IFERROR(__xludf.DUMMYFUNCTION("""COMPUTED_VALUE"""),"GS Foundation Course")</f>
        <v>GS Foundation Course</v>
      </c>
      <c r="S433" s="124">
        <f>IFERROR(__xludf.DUMMYFUNCTION("""COMPUTED_VALUE"""),8.308052456E9)</f>
        <v>8308052456</v>
      </c>
      <c r="T433" s="124" t="str">
        <f>IFERROR(__xludf.DUMMYFUNCTION("""COMPUTED_VALUE"""),"Collexo")</f>
        <v>Collexo</v>
      </c>
      <c r="U433" s="124" t="str">
        <f>IFERROR(__xludf.DUMMYFUNCTION("""COMPUTED_VALUE"""),"Success")</f>
        <v>Success</v>
      </c>
      <c r="V433" s="131">
        <f>IFERROR(__xludf.DUMMYFUNCTION("""COMPUTED_VALUE"""),46067.0)</f>
        <v>46067</v>
      </c>
      <c r="W433" s="124">
        <f>IFERROR(__xludf.DUMMYFUNCTION("""COMPUTED_VALUE"""),0.0)</f>
        <v>0</v>
      </c>
    </row>
    <row r="434">
      <c r="A434" s="124" t="str">
        <f t="shared" si="1"/>
        <v>chhavi01040@gmail.com</v>
      </c>
      <c r="B434" s="131">
        <f>IFERROR(__xludf.DUMMYFUNCTION("""COMPUTED_VALUE"""),46106.0)</f>
        <v>46106</v>
      </c>
      <c r="C434" s="124" t="str">
        <f>IFERROR(__xludf.DUMMYFUNCTION("""COMPUTED_VALUE"""),"Payment data from Collexo")</f>
        <v>Payment data from Collexo</v>
      </c>
      <c r="D434" s="124" t="str">
        <f>IFERROR(__xludf.DUMMYFUNCTION("""COMPUTED_VALUE"""),"Not Available")</f>
        <v>Not Available</v>
      </c>
      <c r="E434" s="124">
        <f>IFERROR(__xludf.DUMMYFUNCTION("""COMPUTED_VALUE"""),1500609.0)</f>
        <v>1500609</v>
      </c>
      <c r="F434" s="124" t="str">
        <f>IFERROR(__xludf.DUMMYFUNCTION("""COMPUTED_VALUE"""),"16514_988_7")</f>
        <v>16514_988_7</v>
      </c>
      <c r="G434" s="124">
        <f>IFERROR(__xludf.DUMMYFUNCTION("""COMPUTED_VALUE"""),5000.0)</f>
        <v>5000</v>
      </c>
      <c r="H434" s="131">
        <f>IFERROR(__xludf.DUMMYFUNCTION("""COMPUTED_VALUE"""),46112.0)</f>
        <v>46112</v>
      </c>
      <c r="I434" s="124">
        <f>IFERROR(__xludf.DUMMYFUNCTION("""COMPUTED_VALUE"""),135000.0)</f>
        <v>135000</v>
      </c>
      <c r="J434" s="124">
        <f>IFERROR(__xludf.DUMMYFUNCTION("""COMPUTED_VALUE"""),140000.0)</f>
        <v>140000</v>
      </c>
      <c r="K434" s="124">
        <f>IFERROR(__xludf.DUMMYFUNCTION("""COMPUTED_VALUE"""),2.0)</f>
        <v>2</v>
      </c>
      <c r="L434" s="124">
        <f>IFERROR(__xludf.DUMMYFUNCTION("""COMPUTED_VALUE"""),733.0)</f>
        <v>733</v>
      </c>
      <c r="M434" s="124" t="str">
        <f>IFERROR(__xludf.DUMMYFUNCTION("""COMPUTED_VALUE"""),"New Delhi")</f>
        <v>New Delhi</v>
      </c>
      <c r="N434" s="124" t="str">
        <f>IFERROR(__xludf.DUMMYFUNCTION("""COMPUTED_VALUE"""),"chhavi01040@gmail.com")</f>
        <v>chhavi01040@gmail.com</v>
      </c>
      <c r="O434" s="124" t="str">
        <f>IFERROR(__xludf.DUMMYFUNCTION("""COMPUTED_VALUE"""),"Chhavi Rani")</f>
        <v>Chhavi Rani</v>
      </c>
      <c r="P434" s="124">
        <f>IFERROR(__xludf.DUMMYFUNCTION("""COMPUTED_VALUE"""),127683.0)</f>
        <v>127683</v>
      </c>
      <c r="Q434" s="124" t="str">
        <f>IFERROR(__xludf.DUMMYFUNCTION("""COMPUTED_VALUE"""),"upsc-gs-foundation-hinglish-target-2028-gsf-upsc-m04-orn")</f>
        <v>upsc-gs-foundation-hinglish-target-2028-gsf-upsc-m04-orn</v>
      </c>
      <c r="R434" s="124" t="str">
        <f>IFERROR(__xludf.DUMMYFUNCTION("""COMPUTED_VALUE"""),"GS Foundation Course")</f>
        <v>GS Foundation Course</v>
      </c>
      <c r="S434" s="124">
        <f>IFERROR(__xludf.DUMMYFUNCTION("""COMPUTED_VALUE"""),6.388540075E9)</f>
        <v>6388540075</v>
      </c>
      <c r="T434" s="124" t="str">
        <f>IFERROR(__xludf.DUMMYFUNCTION("""COMPUTED_VALUE"""),"Collexo")</f>
        <v>Collexo</v>
      </c>
      <c r="U434" s="124" t="str">
        <f>IFERROR(__xludf.DUMMYFUNCTION("""COMPUTED_VALUE"""),"Success")</f>
        <v>Success</v>
      </c>
      <c r="V434" s="131">
        <f>IFERROR(__xludf.DUMMYFUNCTION("""COMPUTED_VALUE"""),46106.0)</f>
        <v>46106</v>
      </c>
      <c r="W434" s="124">
        <f>IFERROR(__xludf.DUMMYFUNCTION("""COMPUTED_VALUE"""),0.0)</f>
        <v>0</v>
      </c>
    </row>
    <row r="435">
      <c r="A435" s="124" t="str">
        <f t="shared" si="1"/>
        <v>pratishtharasaily@gmail.com</v>
      </c>
      <c r="B435" s="131">
        <f>IFERROR(__xludf.DUMMYFUNCTION("""COMPUTED_VALUE"""),46052.0)</f>
        <v>46052</v>
      </c>
      <c r="C435" s="124" t="str">
        <f>IFERROR(__xludf.DUMMYFUNCTION("""COMPUTED_VALUE"""),"Payment data from Collexo")</f>
        <v>Payment data from Collexo</v>
      </c>
      <c r="D435" s="124" t="str">
        <f>IFERROR(__xludf.DUMMYFUNCTION("""COMPUTED_VALUE"""),"Not Available")</f>
        <v>Not Available</v>
      </c>
      <c r="E435" s="124">
        <f>IFERROR(__xludf.DUMMYFUNCTION("""COMPUTED_VALUE"""),1500609.0)</f>
        <v>1500609</v>
      </c>
      <c r="F435" s="124" t="str">
        <f>IFERROR(__xludf.DUMMYFUNCTION("""COMPUTED_VALUE"""),"3068_988_7")</f>
        <v>3068_988_7</v>
      </c>
      <c r="G435" s="124">
        <f>IFERROR(__xludf.DUMMYFUNCTION("""COMPUTED_VALUE"""),5000.0)</f>
        <v>5000</v>
      </c>
      <c r="H435" s="131">
        <f>IFERROR(__xludf.DUMMYFUNCTION("""COMPUTED_VALUE"""),46053.0)</f>
        <v>46053</v>
      </c>
      <c r="I435" s="124">
        <f>IFERROR(__xludf.DUMMYFUNCTION("""COMPUTED_VALUE"""),130000.0)</f>
        <v>130000</v>
      </c>
      <c r="J435" s="124">
        <f>IFERROR(__xludf.DUMMYFUNCTION("""COMPUTED_VALUE"""),135000.0)</f>
        <v>135000</v>
      </c>
      <c r="K435" s="124">
        <f>IFERROR(__xludf.DUMMYFUNCTION("""COMPUTED_VALUE"""),2.0)</f>
        <v>2</v>
      </c>
      <c r="L435" s="124">
        <f>IFERROR(__xludf.DUMMYFUNCTION("""COMPUTED_VALUE"""),132.0)</f>
        <v>132</v>
      </c>
      <c r="M435" s="124" t="str">
        <f>IFERROR(__xludf.DUMMYFUNCTION("""COMPUTED_VALUE"""),"New Delhi")</f>
        <v>New Delhi</v>
      </c>
      <c r="N435" s="124" t="str">
        <f>IFERROR(__xludf.DUMMYFUNCTION("""COMPUTED_VALUE"""),"pratishtharasaily@gmail.com")</f>
        <v>pratishtharasaily@gmail.com</v>
      </c>
      <c r="O435" s="124" t="str">
        <f>IFERROR(__xludf.DUMMYFUNCTION("""COMPUTED_VALUE"""),"Pratishta")</f>
        <v>Pratishta</v>
      </c>
      <c r="P435" s="124">
        <f>IFERROR(__xludf.DUMMYFUNCTION("""COMPUTED_VALUE"""),120008.0)</f>
        <v>120008</v>
      </c>
      <c r="Q435" s="124" t="str">
        <f>IFERROR(__xludf.DUMMYFUNCTION("""COMPUTED_VALUE"""),"ncert-foundation-hinglish-target-2026-nce-upsc-e02-orn")</f>
        <v>ncert-foundation-hinglish-target-2026-nce-upsc-e02-orn</v>
      </c>
      <c r="R435" s="124" t="str">
        <f>IFERROR(__xludf.DUMMYFUNCTION("""COMPUTED_VALUE"""),"GS Foundation Course")</f>
        <v>GS Foundation Course</v>
      </c>
      <c r="S435" s="124">
        <f>IFERROR(__xludf.DUMMYFUNCTION("""COMPUTED_VALUE"""),9.735172604E9)</f>
        <v>9735172604</v>
      </c>
      <c r="T435" s="124" t="str">
        <f>IFERROR(__xludf.DUMMYFUNCTION("""COMPUTED_VALUE"""),"Collexo")</f>
        <v>Collexo</v>
      </c>
      <c r="U435" s="124" t="str">
        <f>IFERROR(__xludf.DUMMYFUNCTION("""COMPUTED_VALUE"""),"Success")</f>
        <v>Success</v>
      </c>
      <c r="V435" s="131">
        <f>IFERROR(__xludf.DUMMYFUNCTION("""COMPUTED_VALUE"""),46052.0)</f>
        <v>46052</v>
      </c>
      <c r="W435" s="124">
        <f>IFERROR(__xludf.DUMMYFUNCTION("""COMPUTED_VALUE"""),0.0)</f>
        <v>0</v>
      </c>
    </row>
    <row r="436">
      <c r="A436" s="124" t="str">
        <f t="shared" si="1"/>
        <v>robinsinghjee@gmail.com</v>
      </c>
      <c r="B436" s="131">
        <f>IFERROR(__xludf.DUMMYFUNCTION("""COMPUTED_VALUE"""),46093.0)</f>
        <v>46093</v>
      </c>
      <c r="C436" s="124" t="str">
        <f>IFERROR(__xludf.DUMMYFUNCTION("""COMPUTED_VALUE"""),"Payment data from Collexo")</f>
        <v>Payment data from Collexo</v>
      </c>
      <c r="D436" s="124" t="str">
        <f>IFERROR(__xludf.DUMMYFUNCTION("""COMPUTED_VALUE"""),"Not Available")</f>
        <v>Not Available</v>
      </c>
      <c r="E436" s="124">
        <f>IFERROR(__xludf.DUMMYFUNCTION("""COMPUTED_VALUE"""),1500609.0)</f>
        <v>1500609</v>
      </c>
      <c r="F436" s="124" t="str">
        <f>IFERROR(__xludf.DUMMYFUNCTION("""COMPUTED_VALUE"""),"13706_988_7")</f>
        <v>13706_988_7</v>
      </c>
      <c r="G436" s="124">
        <f>IFERROR(__xludf.DUMMYFUNCTION("""COMPUTED_VALUE"""),1.0)</f>
        <v>1</v>
      </c>
      <c r="H436" s="124" t="str">
        <f>IFERROR(__xludf.DUMMYFUNCTION("""COMPUTED_VALUE"""),"Not Available")</f>
        <v>Not Available</v>
      </c>
      <c r="I436" s="124">
        <f>IFERROR(__xludf.DUMMYFUNCTION("""COMPUTED_VALUE"""),0.0)</f>
        <v>0</v>
      </c>
      <c r="J436" s="124">
        <f>IFERROR(__xludf.DUMMYFUNCTION("""COMPUTED_VALUE"""),1.0)</f>
        <v>1</v>
      </c>
      <c r="K436" s="124">
        <f>IFERROR(__xludf.DUMMYFUNCTION("""COMPUTED_VALUE"""),1.0)</f>
        <v>1</v>
      </c>
      <c r="L436" s="124">
        <f>IFERROR(__xludf.DUMMYFUNCTION("""COMPUTED_VALUE"""),498.0)</f>
        <v>498</v>
      </c>
      <c r="M436" s="124" t="str">
        <f>IFERROR(__xludf.DUMMYFUNCTION("""COMPUTED_VALUE"""),"New Delhi")</f>
        <v>New Delhi</v>
      </c>
      <c r="N436" s="124" t="str">
        <f>IFERROR(__xludf.DUMMYFUNCTION("""COMPUTED_VALUE"""),"robinsinghjee@gmail.com")</f>
        <v>robinsinghjee@gmail.com</v>
      </c>
      <c r="O436" s="124" t="str">
        <f>IFERROR(__xludf.DUMMYFUNCTION("""COMPUTED_VALUE"""),"Aditya")</f>
        <v>Aditya</v>
      </c>
      <c r="P436" s="124">
        <f>IFERROR(__xludf.DUMMYFUNCTION("""COMPUTED_VALUE"""),119859.0)</f>
        <v>119859</v>
      </c>
      <c r="Q436" s="124" t="str">
        <f>IFERROR(__xludf.DUMMYFUNCTION("""COMPUTED_VALUE"""),"upsc-gs-foundation-hinglish-target-2028-gsf-upsc-m05-orn")</f>
        <v>upsc-gs-foundation-hinglish-target-2028-gsf-upsc-m05-orn</v>
      </c>
      <c r="R436" s="124" t="str">
        <f>IFERROR(__xludf.DUMMYFUNCTION("""COMPUTED_VALUE"""),"GS Foundation Course")</f>
        <v>GS Foundation Course</v>
      </c>
      <c r="S436" s="124">
        <f>IFERROR(__xludf.DUMMYFUNCTION("""COMPUTED_VALUE"""),9.279238076E9)</f>
        <v>9279238076</v>
      </c>
      <c r="T436" s="124" t="str">
        <f>IFERROR(__xludf.DUMMYFUNCTION("""COMPUTED_VALUE"""),"Collexo")</f>
        <v>Collexo</v>
      </c>
      <c r="U436" s="124" t="str">
        <f>IFERROR(__xludf.DUMMYFUNCTION("""COMPUTED_VALUE"""),"Success")</f>
        <v>Success</v>
      </c>
      <c r="V436" s="131">
        <f>IFERROR(__xludf.DUMMYFUNCTION("""COMPUTED_VALUE"""),46093.0)</f>
        <v>46093</v>
      </c>
      <c r="W436" s="124">
        <f>IFERROR(__xludf.DUMMYFUNCTION("""COMPUTED_VALUE"""),0.0)</f>
        <v>0</v>
      </c>
    </row>
    <row r="437">
      <c r="A437" s="124" t="str">
        <f t="shared" si="1"/>
        <v>acmachandan24@gmail.com</v>
      </c>
      <c r="B437" s="131">
        <f>IFERROR(__xludf.DUMMYFUNCTION("""COMPUTED_VALUE"""),46088.0)</f>
        <v>46088</v>
      </c>
      <c r="C437" s="124" t="str">
        <f>IFERROR(__xludf.DUMMYFUNCTION("""COMPUTED_VALUE"""),"Payment data from Collexo")</f>
        <v>Payment data from Collexo</v>
      </c>
      <c r="D437" s="124" t="str">
        <f>IFERROR(__xludf.DUMMYFUNCTION("""COMPUTED_VALUE"""),"Not Available")</f>
        <v>Not Available</v>
      </c>
      <c r="E437" s="124">
        <f>IFERROR(__xludf.DUMMYFUNCTION("""COMPUTED_VALUE"""),1500610.0)</f>
        <v>1500610</v>
      </c>
      <c r="F437" s="124">
        <f>IFERROR(__xludf.DUMMYFUNCTION("""COMPUTED_VALUE"""),126090.0)</f>
        <v>126090</v>
      </c>
      <c r="G437" s="124">
        <f>IFERROR(__xludf.DUMMYFUNCTION("""COMPUTED_VALUE"""),6037.0)</f>
        <v>6037</v>
      </c>
      <c r="H437" s="131">
        <f>IFERROR(__xludf.DUMMYFUNCTION("""COMPUTED_VALUE"""),46091.0)</f>
        <v>46091</v>
      </c>
      <c r="I437" s="124">
        <f>IFERROR(__xludf.DUMMYFUNCTION("""COMPUTED_VALUE"""),18963.0)</f>
        <v>18963</v>
      </c>
      <c r="J437" s="124">
        <f>IFERROR(__xludf.DUMMYFUNCTION("""COMPUTED_VALUE"""),25000.0)</f>
        <v>25000</v>
      </c>
      <c r="K437" s="124">
        <f>IFERROR(__xludf.DUMMYFUNCTION("""COMPUTED_VALUE"""),2.0)</f>
        <v>2</v>
      </c>
      <c r="L437" s="124">
        <f>IFERROR(__xludf.DUMMYFUNCTION("""COMPUTED_VALUE"""),428.0)</f>
        <v>428</v>
      </c>
      <c r="M437" s="124" t="str">
        <f>IFERROR(__xludf.DUMMYFUNCTION("""COMPUTED_VALUE"""),"Lucknow")</f>
        <v>Lucknow</v>
      </c>
      <c r="N437" s="124" t="str">
        <f>IFERROR(__xludf.DUMMYFUNCTION("""COMPUTED_VALUE"""),"acmachandan24@gmail.com")</f>
        <v>acmachandan24@gmail.com</v>
      </c>
      <c r="O437" s="124" t="str">
        <f>IFERROR(__xludf.DUMMYFUNCTION("""COMPUTED_VALUE"""),"Chandan")</f>
        <v>Chandan</v>
      </c>
      <c r="P437" s="124">
        <f>IFERROR(__xludf.DUMMYFUNCTION("""COMPUTED_VALUE"""),126090.0)</f>
        <v>126090</v>
      </c>
      <c r="Q437" s="124" t="str">
        <f>IFERROR(__xludf.DUMMYFUNCTION("""COMPUTED_VALUE"""),"upsc-gs-foundation-hindi-target-2027-gsf-upsc-m01-lko")</f>
        <v>upsc-gs-foundation-hindi-target-2027-gsf-upsc-m01-lko</v>
      </c>
      <c r="R437" s="124" t="str">
        <f>IFERROR(__xludf.DUMMYFUNCTION("""COMPUTED_VALUE"""),"GS Foundation Course")</f>
        <v>GS Foundation Course</v>
      </c>
      <c r="S437" s="124">
        <f>IFERROR(__xludf.DUMMYFUNCTION("""COMPUTED_VALUE"""),9.648810043E9)</f>
        <v>9648810043</v>
      </c>
      <c r="T437" s="124" t="str">
        <f>IFERROR(__xludf.DUMMYFUNCTION("""COMPUTED_VALUE"""),"Not Available")</f>
        <v>Not Available</v>
      </c>
      <c r="U437" s="124" t="str">
        <f>IFERROR(__xludf.DUMMYFUNCTION("""COMPUTED_VALUE"""),"Not Available")</f>
        <v>Not Available</v>
      </c>
      <c r="V437" s="124" t="str">
        <f>IFERROR(__xludf.DUMMYFUNCTION("""COMPUTED_VALUE"""),"Not Available")</f>
        <v>Not Available</v>
      </c>
      <c r="W437" s="124" t="str">
        <f>IFERROR(__xludf.DUMMYFUNCTION("""COMPUTED_VALUE"""),"Not Available")</f>
        <v>Not Available</v>
      </c>
    </row>
    <row r="438">
      <c r="A438" s="124" t="str">
        <f t="shared" si="1"/>
        <v>advgautamsingh1kbc@gmail.com</v>
      </c>
      <c r="B438" s="131">
        <f>IFERROR(__xludf.DUMMYFUNCTION("""COMPUTED_VALUE"""),46081.0)</f>
        <v>46081</v>
      </c>
      <c r="C438" s="124" t="str">
        <f>IFERROR(__xludf.DUMMYFUNCTION("""COMPUTED_VALUE"""),"Payment data from Collexo")</f>
        <v>Payment data from Collexo</v>
      </c>
      <c r="D438" s="124" t="str">
        <f>IFERROR(__xludf.DUMMYFUNCTION("""COMPUTED_VALUE"""),"Not Available")</f>
        <v>Not Available</v>
      </c>
      <c r="E438" s="124">
        <f>IFERROR(__xludf.DUMMYFUNCTION("""COMPUTED_VALUE"""),1500613.0)</f>
        <v>1500613</v>
      </c>
      <c r="F438" s="124">
        <f>IFERROR(__xludf.DUMMYFUNCTION("""COMPUTED_VALUE"""),125547.0)</f>
        <v>125547</v>
      </c>
      <c r="G438" s="124">
        <f>IFERROR(__xludf.DUMMYFUNCTION("""COMPUTED_VALUE"""),38000.0)</f>
        <v>38000</v>
      </c>
      <c r="H438" s="124" t="str">
        <f>IFERROR(__xludf.DUMMYFUNCTION("""COMPUTED_VALUE"""),"Not Available")</f>
        <v>Not Available</v>
      </c>
      <c r="I438" s="124">
        <f>IFERROR(__xludf.DUMMYFUNCTION("""COMPUTED_VALUE"""),0.0)</f>
        <v>0</v>
      </c>
      <c r="J438" s="124">
        <f>IFERROR(__xludf.DUMMYFUNCTION("""COMPUTED_VALUE"""),40000.0)</f>
        <v>40000</v>
      </c>
      <c r="K438" s="124">
        <f>IFERROR(__xludf.DUMMYFUNCTION("""COMPUTED_VALUE"""),2.0)</f>
        <v>2</v>
      </c>
      <c r="L438" s="124">
        <f>IFERROR(__xludf.DUMMYFUNCTION("""COMPUTED_VALUE"""),390.0)</f>
        <v>390</v>
      </c>
      <c r="M438" s="124" t="str">
        <f>IFERROR(__xludf.DUMMYFUNCTION("""COMPUTED_VALUE"""),"Prayagraj")</f>
        <v>Prayagraj</v>
      </c>
      <c r="N438" s="124" t="str">
        <f>IFERROR(__xludf.DUMMYFUNCTION("""COMPUTED_VALUE"""),"advgautamsingh1kbc@gmail.com")</f>
        <v>advgautamsingh1kbc@gmail.com</v>
      </c>
      <c r="O438" s="124" t="str">
        <f>IFERROR(__xludf.DUMMYFUNCTION("""COMPUTED_VALUE"""),"Gautam Singh")</f>
        <v>Gautam Singh</v>
      </c>
      <c r="P438" s="124">
        <f>IFERROR(__xludf.DUMMYFUNCTION("""COMPUTED_VALUE"""),125547.0)</f>
        <v>125547</v>
      </c>
      <c r="Q438" s="124" t="str">
        <f>IFERROR(__xludf.DUMMYFUNCTION("""COMPUTED_VALUE"""),"upsc-gs-foundation-hindi-target-2027-gsf-upsc-m02-pry")</f>
        <v>upsc-gs-foundation-hindi-target-2027-gsf-upsc-m02-pry</v>
      </c>
      <c r="R438" s="124" t="str">
        <f>IFERROR(__xludf.DUMMYFUNCTION("""COMPUTED_VALUE"""),"GS Foundation Course")</f>
        <v>GS Foundation Course</v>
      </c>
      <c r="S438" s="124">
        <f>IFERROR(__xludf.DUMMYFUNCTION("""COMPUTED_VALUE"""),9.651624387E9)</f>
        <v>9651624387</v>
      </c>
      <c r="T438" s="124" t="str">
        <f>IFERROR(__xludf.DUMMYFUNCTION("""COMPUTED_VALUE"""),"Not Available")</f>
        <v>Not Available</v>
      </c>
      <c r="U438" s="124" t="str">
        <f>IFERROR(__xludf.DUMMYFUNCTION("""COMPUTED_VALUE"""),"Not Available")</f>
        <v>Not Available</v>
      </c>
      <c r="V438" s="124" t="str">
        <f>IFERROR(__xludf.DUMMYFUNCTION("""COMPUTED_VALUE"""),"Not Available")</f>
        <v>Not Available</v>
      </c>
      <c r="W438" s="124" t="str">
        <f>IFERROR(__xludf.DUMMYFUNCTION("""COMPUTED_VALUE"""),"Not Available")</f>
        <v>Not Available</v>
      </c>
    </row>
    <row r="439">
      <c r="A439" s="124" t="str">
        <f t="shared" si="1"/>
        <v>sushilmaurya7379@gmail.com</v>
      </c>
      <c r="B439" s="131">
        <f>IFERROR(__xludf.DUMMYFUNCTION("""COMPUTED_VALUE"""),46078.0)</f>
        <v>46078</v>
      </c>
      <c r="C439" s="124" t="str">
        <f>IFERROR(__xludf.DUMMYFUNCTION("""COMPUTED_VALUE"""),"Payment data from Collexo")</f>
        <v>Payment data from Collexo</v>
      </c>
      <c r="D439" s="124" t="str">
        <f>IFERROR(__xludf.DUMMYFUNCTION("""COMPUTED_VALUE"""),"Not Available")</f>
        <v>Not Available</v>
      </c>
      <c r="E439" s="124">
        <f>IFERROR(__xludf.DUMMYFUNCTION("""COMPUTED_VALUE"""),1500613.0)</f>
        <v>1500613</v>
      </c>
      <c r="F439" s="124">
        <f>IFERROR(__xludf.DUMMYFUNCTION("""COMPUTED_VALUE"""),119791.0)</f>
        <v>119791</v>
      </c>
      <c r="G439" s="124">
        <f>IFERROR(__xludf.DUMMYFUNCTION("""COMPUTED_VALUE"""),8572.0)</f>
        <v>8572</v>
      </c>
      <c r="H439" s="131">
        <f>IFERROR(__xludf.DUMMYFUNCTION("""COMPUTED_VALUE"""),46080.0)</f>
        <v>46080</v>
      </c>
      <c r="I439" s="124">
        <f>IFERROR(__xludf.DUMMYFUNCTION("""COMPUTED_VALUE"""),51428.0)</f>
        <v>51428</v>
      </c>
      <c r="J439" s="124">
        <f>IFERROR(__xludf.DUMMYFUNCTION("""COMPUTED_VALUE"""),60000.0)</f>
        <v>60000</v>
      </c>
      <c r="K439" s="124">
        <f>IFERROR(__xludf.DUMMYFUNCTION("""COMPUTED_VALUE"""),2.0)</f>
        <v>2</v>
      </c>
      <c r="L439" s="124">
        <f>IFERROR(__xludf.DUMMYFUNCTION("""COMPUTED_VALUE"""),343.0)</f>
        <v>343</v>
      </c>
      <c r="M439" s="124" t="str">
        <f>IFERROR(__xludf.DUMMYFUNCTION("""COMPUTED_VALUE"""),"Prayagraj")</f>
        <v>Prayagraj</v>
      </c>
      <c r="N439" s="124" t="str">
        <f>IFERROR(__xludf.DUMMYFUNCTION("""COMPUTED_VALUE"""),"sushilmaurya7379@gmail.com")</f>
        <v>sushilmaurya7379@gmail.com</v>
      </c>
      <c r="O439" s="124" t="str">
        <f>IFERROR(__xludf.DUMMYFUNCTION("""COMPUTED_VALUE"""),"Sushil Maurya")</f>
        <v>Sushil Maurya</v>
      </c>
      <c r="P439" s="124">
        <f>IFERROR(__xludf.DUMMYFUNCTION("""COMPUTED_VALUE"""),119791.0)</f>
        <v>119791</v>
      </c>
      <c r="Q439" s="124" t="str">
        <f>IFERROR(__xludf.DUMMYFUNCTION("""COMPUTED_VALUE"""),"upsc-gs-foundation-hindi-target-2027-gsf-upsc-m02-pry")</f>
        <v>upsc-gs-foundation-hindi-target-2027-gsf-upsc-m02-pry</v>
      </c>
      <c r="R439" s="124" t="str">
        <f>IFERROR(__xludf.DUMMYFUNCTION("""COMPUTED_VALUE"""),"GS Foundation Course")</f>
        <v>GS Foundation Course</v>
      </c>
      <c r="S439" s="124">
        <f>IFERROR(__xludf.DUMMYFUNCTION("""COMPUTED_VALUE"""),8.11261028E9)</f>
        <v>8112610280</v>
      </c>
      <c r="T439" s="124" t="str">
        <f>IFERROR(__xludf.DUMMYFUNCTION("""COMPUTED_VALUE"""),"Not Available")</f>
        <v>Not Available</v>
      </c>
      <c r="U439" s="124" t="str">
        <f>IFERROR(__xludf.DUMMYFUNCTION("""COMPUTED_VALUE"""),"Not Available")</f>
        <v>Not Available</v>
      </c>
      <c r="V439" s="124" t="str">
        <f>IFERROR(__xludf.DUMMYFUNCTION("""COMPUTED_VALUE"""),"Not Available")</f>
        <v>Not Available</v>
      </c>
      <c r="W439" s="124" t="str">
        <f>IFERROR(__xludf.DUMMYFUNCTION("""COMPUTED_VALUE"""),"Not Available")</f>
        <v>Not Available</v>
      </c>
    </row>
    <row r="440">
      <c r="A440" s="124" t="str">
        <f t="shared" si="1"/>
        <v>vaibhavyadav10052005@gmail.com</v>
      </c>
      <c r="B440" s="131">
        <f>IFERROR(__xludf.DUMMYFUNCTION("""COMPUTED_VALUE"""),46094.0)</f>
        <v>46094</v>
      </c>
      <c r="C440" s="124" t="str">
        <f>IFERROR(__xludf.DUMMYFUNCTION("""COMPUTED_VALUE"""),"Payment data from Collexo")</f>
        <v>Payment data from Collexo</v>
      </c>
      <c r="D440" s="124" t="str">
        <f>IFERROR(__xludf.DUMMYFUNCTION("""COMPUTED_VALUE"""),"Not Available")</f>
        <v>Not Available</v>
      </c>
      <c r="E440" s="124">
        <f>IFERROR(__xludf.DUMMYFUNCTION("""COMPUTED_VALUE"""),1500609.0)</f>
        <v>1500609</v>
      </c>
      <c r="F440" s="124" t="str">
        <f>IFERROR(__xludf.DUMMYFUNCTION("""COMPUTED_VALUE"""),"14065_988_7")</f>
        <v>14065_988_7</v>
      </c>
      <c r="G440" s="124">
        <f>IFERROR(__xludf.DUMMYFUNCTION("""COMPUTED_VALUE"""),1.0)</f>
        <v>1</v>
      </c>
      <c r="H440" s="124" t="str">
        <f>IFERROR(__xludf.DUMMYFUNCTION("""COMPUTED_VALUE"""),"Not Available")</f>
        <v>Not Available</v>
      </c>
      <c r="I440" s="124">
        <f>IFERROR(__xludf.DUMMYFUNCTION("""COMPUTED_VALUE"""),0.0)</f>
        <v>0</v>
      </c>
      <c r="J440" s="124">
        <f>IFERROR(__xludf.DUMMYFUNCTION("""COMPUTED_VALUE"""),1.0)</f>
        <v>1</v>
      </c>
      <c r="K440" s="124">
        <f>IFERROR(__xludf.DUMMYFUNCTION("""COMPUTED_VALUE"""),1.0)</f>
        <v>1</v>
      </c>
      <c r="L440" s="124">
        <f>IFERROR(__xludf.DUMMYFUNCTION("""COMPUTED_VALUE"""),530.0)</f>
        <v>530</v>
      </c>
      <c r="M440" s="124" t="str">
        <f>IFERROR(__xludf.DUMMYFUNCTION("""COMPUTED_VALUE"""),"New Delhi")</f>
        <v>New Delhi</v>
      </c>
      <c r="N440" s="124" t="str">
        <f>IFERROR(__xludf.DUMMYFUNCTION("""COMPUTED_VALUE"""),"vaibhavyadav10052005@gmail.com")</f>
        <v>vaibhavyadav10052005@gmail.com</v>
      </c>
      <c r="O440" s="124" t="str">
        <f>IFERROR(__xludf.DUMMYFUNCTION("""COMPUTED_VALUE"""),"Vaibhav Pratap")</f>
        <v>Vaibhav Pratap</v>
      </c>
      <c r="P440" s="124">
        <f>IFERROR(__xludf.DUMMYFUNCTION("""COMPUTED_VALUE"""),127391.0)</f>
        <v>127391</v>
      </c>
      <c r="Q440" s="124" t="str">
        <f>IFERROR(__xludf.DUMMYFUNCTION("""COMPUTED_VALUE"""),"upsc-gs-foundation-hinglish-target-2027-gsf-upsc-m04-orn")</f>
        <v>upsc-gs-foundation-hinglish-target-2027-gsf-upsc-m04-orn</v>
      </c>
      <c r="R440" s="124" t="str">
        <f>IFERROR(__xludf.DUMMYFUNCTION("""COMPUTED_VALUE"""),"GS Foundation Course")</f>
        <v>GS Foundation Course</v>
      </c>
      <c r="S440" s="124">
        <f>IFERROR(__xludf.DUMMYFUNCTION("""COMPUTED_VALUE"""),9.258372595E9)</f>
        <v>9258372595</v>
      </c>
      <c r="T440" s="124" t="str">
        <f>IFERROR(__xludf.DUMMYFUNCTION("""COMPUTED_VALUE"""),"Collexo")</f>
        <v>Collexo</v>
      </c>
      <c r="U440" s="124" t="str">
        <f>IFERROR(__xludf.DUMMYFUNCTION("""COMPUTED_VALUE"""),"Success")</f>
        <v>Success</v>
      </c>
      <c r="V440" s="131">
        <f>IFERROR(__xludf.DUMMYFUNCTION("""COMPUTED_VALUE"""),46094.0)</f>
        <v>46094</v>
      </c>
      <c r="W440" s="124">
        <f>IFERROR(__xludf.DUMMYFUNCTION("""COMPUTED_VALUE"""),0.0)</f>
        <v>0</v>
      </c>
    </row>
    <row r="441">
      <c r="A441" s="124" t="str">
        <f t="shared" si="1"/>
        <v>nitish3671@gmail.com</v>
      </c>
      <c r="B441" s="131">
        <f>IFERROR(__xludf.DUMMYFUNCTION("""COMPUTED_VALUE"""),46081.0)</f>
        <v>46081</v>
      </c>
      <c r="C441" s="124" t="str">
        <f>IFERROR(__xludf.DUMMYFUNCTION("""COMPUTED_VALUE"""),"Payment data from Collexo")</f>
        <v>Payment data from Collexo</v>
      </c>
      <c r="D441" s="124" t="str">
        <f>IFERROR(__xludf.DUMMYFUNCTION("""COMPUTED_VALUE"""),"Not Available")</f>
        <v>Not Available</v>
      </c>
      <c r="E441" s="124">
        <f>IFERROR(__xludf.DUMMYFUNCTION("""COMPUTED_VALUE"""),1500611.0)</f>
        <v>1500611</v>
      </c>
      <c r="F441" s="124">
        <f>IFERROR(__xludf.DUMMYFUNCTION("""COMPUTED_VALUE"""),124837.0)</f>
        <v>124837</v>
      </c>
      <c r="G441" s="124">
        <f>IFERROR(__xludf.DUMMYFUNCTION("""COMPUTED_VALUE"""),2000.0)</f>
        <v>2000</v>
      </c>
      <c r="H441" s="131">
        <f>IFERROR(__xludf.DUMMYFUNCTION("""COMPUTED_VALUE"""),46081.0)</f>
        <v>46081</v>
      </c>
      <c r="I441" s="124">
        <f>IFERROR(__xludf.DUMMYFUNCTION("""COMPUTED_VALUE"""),33000.0)</f>
        <v>33000</v>
      </c>
      <c r="J441" s="124">
        <f>IFERROR(__xludf.DUMMYFUNCTION("""COMPUTED_VALUE"""),35000.0)</f>
        <v>35000</v>
      </c>
      <c r="K441" s="124">
        <f>IFERROR(__xludf.DUMMYFUNCTION("""COMPUTED_VALUE"""),2.0)</f>
        <v>2</v>
      </c>
      <c r="L441" s="124">
        <f>IFERROR(__xludf.DUMMYFUNCTION("""COMPUTED_VALUE"""),374.0)</f>
        <v>374</v>
      </c>
      <c r="M441" s="124" t="str">
        <f>IFERROR(__xludf.DUMMYFUNCTION("""COMPUTED_VALUE"""),"Patna")</f>
        <v>Patna</v>
      </c>
      <c r="N441" s="124" t="str">
        <f>IFERROR(__xludf.DUMMYFUNCTION("""COMPUTED_VALUE"""),"nitish3671@gmail.com")</f>
        <v>nitish3671@gmail.com</v>
      </c>
      <c r="O441" s="124" t="str">
        <f>IFERROR(__xludf.DUMMYFUNCTION("""COMPUTED_VALUE"""),"Nitish kumar")</f>
        <v>Nitish kumar</v>
      </c>
      <c r="P441" s="124">
        <f>IFERROR(__xludf.DUMMYFUNCTION("""COMPUTED_VALUE"""),124837.0)</f>
        <v>124837</v>
      </c>
      <c r="Q441" s="124" t="str">
        <f>IFERROR(__xludf.DUMMYFUNCTION("""COMPUTED_VALUE"""),"bpsc-gs-foundation-hinglish-target-2026-gsf-bpsc-e02-pat")</f>
        <v>bpsc-gs-foundation-hinglish-target-2026-gsf-bpsc-e02-pat</v>
      </c>
      <c r="R441" s="124" t="str">
        <f>IFERROR(__xludf.DUMMYFUNCTION("""COMPUTED_VALUE"""),"State PCS")</f>
        <v>State PCS</v>
      </c>
      <c r="S441" s="124">
        <f>IFERROR(__xludf.DUMMYFUNCTION("""COMPUTED_VALUE"""),8.529763971E9)</f>
        <v>8529763971</v>
      </c>
      <c r="T441" s="124" t="str">
        <f>IFERROR(__xludf.DUMMYFUNCTION("""COMPUTED_VALUE"""),"Not Available")</f>
        <v>Not Available</v>
      </c>
      <c r="U441" s="124" t="str">
        <f>IFERROR(__xludf.DUMMYFUNCTION("""COMPUTED_VALUE"""),"Not Available")</f>
        <v>Not Available</v>
      </c>
      <c r="V441" s="124" t="str">
        <f>IFERROR(__xludf.DUMMYFUNCTION("""COMPUTED_VALUE"""),"Not Available")</f>
        <v>Not Available</v>
      </c>
      <c r="W441" s="124" t="str">
        <f>IFERROR(__xludf.DUMMYFUNCTION("""COMPUTED_VALUE"""),"Not Available")</f>
        <v>Not Available</v>
      </c>
    </row>
    <row r="442">
      <c r="A442" s="124" t="str">
        <f t="shared" si="1"/>
        <v>nandmishra2211@gmail.com</v>
      </c>
      <c r="B442" s="131">
        <f>IFERROR(__xludf.DUMMYFUNCTION("""COMPUTED_VALUE"""),46108.0)</f>
        <v>46108</v>
      </c>
      <c r="C442" s="124" t="str">
        <f>IFERROR(__xludf.DUMMYFUNCTION("""COMPUTED_VALUE"""),"Payment data from Collexo")</f>
        <v>Payment data from Collexo</v>
      </c>
      <c r="D442" s="124" t="str">
        <f>IFERROR(__xludf.DUMMYFUNCTION("""COMPUTED_VALUE"""),"Not Available")</f>
        <v>Not Available</v>
      </c>
      <c r="E442" s="124">
        <f>IFERROR(__xludf.DUMMYFUNCTION("""COMPUTED_VALUE"""),1500613.0)</f>
        <v>1500613</v>
      </c>
      <c r="F442" s="124">
        <f>IFERROR(__xludf.DUMMYFUNCTION("""COMPUTED_VALUE"""),130672.0)</f>
        <v>130672</v>
      </c>
      <c r="G442" s="124">
        <f>IFERROR(__xludf.DUMMYFUNCTION("""COMPUTED_VALUE"""),20999.0)</f>
        <v>20999</v>
      </c>
      <c r="H442" s="124" t="str">
        <f>IFERROR(__xludf.DUMMYFUNCTION("""COMPUTED_VALUE"""),"Not Available")</f>
        <v>Not Available</v>
      </c>
      <c r="I442" s="124">
        <f>IFERROR(__xludf.DUMMYFUNCTION("""COMPUTED_VALUE"""),0.0)</f>
        <v>0</v>
      </c>
      <c r="J442" s="124">
        <f>IFERROR(__xludf.DUMMYFUNCTION("""COMPUTED_VALUE"""),20999.0)</f>
        <v>20999</v>
      </c>
      <c r="K442" s="124">
        <f>IFERROR(__xludf.DUMMYFUNCTION("""COMPUTED_VALUE"""),1.0)</f>
        <v>1</v>
      </c>
      <c r="L442" s="124">
        <f>IFERROR(__xludf.DUMMYFUNCTION("""COMPUTED_VALUE"""),787.0)</f>
        <v>787</v>
      </c>
      <c r="M442" s="124" t="str">
        <f>IFERROR(__xludf.DUMMYFUNCTION("""COMPUTED_VALUE"""),"Prayagraj")</f>
        <v>Prayagraj</v>
      </c>
      <c r="N442" s="124" t="str">
        <f>IFERROR(__xludf.DUMMYFUNCTION("""COMPUTED_VALUE"""),"nandmishra2211@gmail.com")</f>
        <v>nandmishra2211@gmail.com</v>
      </c>
      <c r="O442" s="124" t="str">
        <f>IFERROR(__xludf.DUMMYFUNCTION("""COMPUTED_VALUE"""),"B.N Mishra")</f>
        <v>B.N Mishra</v>
      </c>
      <c r="P442" s="124">
        <f>IFERROR(__xludf.DUMMYFUNCTION("""COMPUTED_VALUE"""),130672.0)</f>
        <v>130672</v>
      </c>
      <c r="Q442" s="124" t="str">
        <f>IFERROR(__xludf.DUMMYFUNCTION("""COMPUTED_VALUE"""),"samadhan-mentorship-program-pry")</f>
        <v>samadhan-mentorship-program-pry</v>
      </c>
      <c r="R442" s="124" t="str">
        <f>IFERROR(__xludf.DUMMYFUNCTION("""COMPUTED_VALUE"""),"Mentorship - Samadhan")</f>
        <v>Mentorship - Samadhan</v>
      </c>
      <c r="S442" s="124">
        <f>IFERROR(__xludf.DUMMYFUNCTION("""COMPUTED_VALUE"""),9.654053406E9)</f>
        <v>9654053406</v>
      </c>
      <c r="T442" s="124" t="str">
        <f>IFERROR(__xludf.DUMMYFUNCTION("""COMPUTED_VALUE"""),"Not Available")</f>
        <v>Not Available</v>
      </c>
      <c r="U442" s="124" t="str">
        <f>IFERROR(__xludf.DUMMYFUNCTION("""COMPUTED_VALUE"""),"Not Available")</f>
        <v>Not Available</v>
      </c>
      <c r="V442" s="124" t="str">
        <f>IFERROR(__xludf.DUMMYFUNCTION("""COMPUTED_VALUE"""),"Not Available")</f>
        <v>Not Available</v>
      </c>
      <c r="W442" s="124" t="str">
        <f>IFERROR(__xludf.DUMMYFUNCTION("""COMPUTED_VALUE"""),"Not Available")</f>
        <v>Not Available</v>
      </c>
    </row>
    <row r="443">
      <c r="A443" s="124" t="str">
        <f t="shared" si="1"/>
        <v>sudha.rani12627272@gmail.com</v>
      </c>
      <c r="B443" s="131">
        <f>IFERROR(__xludf.DUMMYFUNCTION("""COMPUTED_VALUE"""),46106.0)</f>
        <v>46106</v>
      </c>
      <c r="C443" s="124" t="str">
        <f>IFERROR(__xludf.DUMMYFUNCTION("""COMPUTED_VALUE"""),"Payment data from Collexo")</f>
        <v>Payment data from Collexo</v>
      </c>
      <c r="D443" s="124" t="str">
        <f>IFERROR(__xludf.DUMMYFUNCTION("""COMPUTED_VALUE"""),"Not Available")</f>
        <v>Not Available</v>
      </c>
      <c r="E443" s="124">
        <f>IFERROR(__xludf.DUMMYFUNCTION("""COMPUTED_VALUE"""),1500610.0)</f>
        <v>1500610</v>
      </c>
      <c r="F443" s="124">
        <f>IFERROR(__xludf.DUMMYFUNCTION("""COMPUTED_VALUE"""),127537.0)</f>
        <v>127537</v>
      </c>
      <c r="G443" s="124">
        <f>IFERROR(__xludf.DUMMYFUNCTION("""COMPUTED_VALUE"""),30000.0)</f>
        <v>30000</v>
      </c>
      <c r="H443" s="131">
        <f>IFERROR(__xludf.DUMMYFUNCTION("""COMPUTED_VALUE"""),46142.0)</f>
        <v>46142</v>
      </c>
      <c r="I443" s="124">
        <f>IFERROR(__xludf.DUMMYFUNCTION("""COMPUTED_VALUE"""),23000.0)</f>
        <v>23000</v>
      </c>
      <c r="J443" s="124">
        <f>IFERROR(__xludf.DUMMYFUNCTION("""COMPUTED_VALUE"""),55000.0)</f>
        <v>55000</v>
      </c>
      <c r="K443" s="124">
        <f>IFERROR(__xludf.DUMMYFUNCTION("""COMPUTED_VALUE"""),3.0)</f>
        <v>3</v>
      </c>
      <c r="L443" s="124">
        <f>IFERROR(__xludf.DUMMYFUNCTION("""COMPUTED_VALUE"""),751.0)</f>
        <v>751</v>
      </c>
      <c r="M443" s="124" t="str">
        <f>IFERROR(__xludf.DUMMYFUNCTION("""COMPUTED_VALUE"""),"Lucknow")</f>
        <v>Lucknow</v>
      </c>
      <c r="N443" s="124" t="str">
        <f>IFERROR(__xludf.DUMMYFUNCTION("""COMPUTED_VALUE"""),"sudha.rani12627272@gmail.com")</f>
        <v>sudha.rani12627272@gmail.com</v>
      </c>
      <c r="O443" s="124" t="str">
        <f>IFERROR(__xludf.DUMMYFUNCTION("""COMPUTED_VALUE"""),"Prem Pratap")</f>
        <v>Prem Pratap</v>
      </c>
      <c r="P443" s="124">
        <f>IFERROR(__xludf.DUMMYFUNCTION("""COMPUTED_VALUE"""),127537.0)</f>
        <v>127537</v>
      </c>
      <c r="Q443" s="124" t="str">
        <f>IFERROR(__xludf.DUMMYFUNCTION("""COMPUTED_VALUE"""),"Not Available")</f>
        <v>Not Available</v>
      </c>
      <c r="R443" s="124" t="str">
        <f>IFERROR(__xludf.DUMMYFUNCTION("""COMPUTED_VALUE"""),"GS Foundation Course")</f>
        <v>GS Foundation Course</v>
      </c>
      <c r="S443" s="124">
        <f>IFERROR(__xludf.DUMMYFUNCTION("""COMPUTED_VALUE"""),8.595802989E9)</f>
        <v>8595802989</v>
      </c>
      <c r="T443" s="124" t="str">
        <f>IFERROR(__xludf.DUMMYFUNCTION("""COMPUTED_VALUE"""),"Not Available")</f>
        <v>Not Available</v>
      </c>
      <c r="U443" s="124" t="str">
        <f>IFERROR(__xludf.DUMMYFUNCTION("""COMPUTED_VALUE"""),"Not Available")</f>
        <v>Not Available</v>
      </c>
      <c r="V443" s="124" t="str">
        <f>IFERROR(__xludf.DUMMYFUNCTION("""COMPUTED_VALUE"""),"Not Available")</f>
        <v>Not Available</v>
      </c>
      <c r="W443" s="124" t="str">
        <f>IFERROR(__xludf.DUMMYFUNCTION("""COMPUTED_VALUE"""),"Not Available")</f>
        <v>Not Available</v>
      </c>
    </row>
    <row r="444">
      <c r="A444" s="124" t="str">
        <f t="shared" si="1"/>
        <v>sindoor2020@gmail.com</v>
      </c>
      <c r="B444" s="131">
        <f>IFERROR(__xludf.DUMMYFUNCTION("""COMPUTED_VALUE"""),46080.0)</f>
        <v>46080</v>
      </c>
      <c r="C444" s="124" t="str">
        <f>IFERROR(__xludf.DUMMYFUNCTION("""COMPUTED_VALUE"""),"Payment data from Collexo")</f>
        <v>Payment data from Collexo</v>
      </c>
      <c r="D444" s="124" t="str">
        <f>IFERROR(__xludf.DUMMYFUNCTION("""COMPUTED_VALUE"""),"Not Available")</f>
        <v>Not Available</v>
      </c>
      <c r="E444" s="124">
        <f>IFERROR(__xludf.DUMMYFUNCTION("""COMPUTED_VALUE"""),1500609.0)</f>
        <v>1500609</v>
      </c>
      <c r="F444" s="124" t="str">
        <f>IFERROR(__xludf.DUMMYFUNCTION("""COMPUTED_VALUE"""),"11430_988_7")</f>
        <v>11430_988_7</v>
      </c>
      <c r="G444" s="124">
        <f>IFERROR(__xludf.DUMMYFUNCTION("""COMPUTED_VALUE"""),50000.0)</f>
        <v>50000</v>
      </c>
      <c r="H444" s="124" t="str">
        <f>IFERROR(__xludf.DUMMYFUNCTION("""COMPUTED_VALUE"""),"Not Available")</f>
        <v>Not Available</v>
      </c>
      <c r="I444" s="124">
        <f>IFERROR(__xludf.DUMMYFUNCTION("""COMPUTED_VALUE"""),0.0)</f>
        <v>0</v>
      </c>
      <c r="J444" s="124">
        <f>IFERROR(__xludf.DUMMYFUNCTION("""COMPUTED_VALUE"""),115000.0)</f>
        <v>115000</v>
      </c>
      <c r="K444" s="124">
        <f>IFERROR(__xludf.DUMMYFUNCTION("""COMPUTED_VALUE"""),3.0)</f>
        <v>3</v>
      </c>
      <c r="L444" s="124">
        <f>IFERROR(__xludf.DUMMYFUNCTION("""COMPUTED_VALUE"""),370.0)</f>
        <v>370</v>
      </c>
      <c r="M444" s="124" t="str">
        <f>IFERROR(__xludf.DUMMYFUNCTION("""COMPUTED_VALUE"""),"New Delhi")</f>
        <v>New Delhi</v>
      </c>
      <c r="N444" s="124" t="str">
        <f>IFERROR(__xludf.DUMMYFUNCTION("""COMPUTED_VALUE"""),"sindoor2020@gmail.com")</f>
        <v>sindoor2020@gmail.com</v>
      </c>
      <c r="O444" s="124" t="str">
        <f>IFERROR(__xludf.DUMMYFUNCTION("""COMPUTED_VALUE"""),"Deepmala")</f>
        <v>Deepmala</v>
      </c>
      <c r="P444" s="124">
        <f>IFERROR(__xludf.DUMMYFUNCTION("""COMPUTED_VALUE"""),78888.0)</f>
        <v>78888</v>
      </c>
      <c r="Q444" s="124" t="str">
        <f>IFERROR(__xludf.DUMMYFUNCTION("""COMPUTED_VALUE"""),"upsc-gs-foundation-hinglish-target-2027-gsf-upsc-m02-orn")</f>
        <v>upsc-gs-foundation-hinglish-target-2027-gsf-upsc-m02-orn</v>
      </c>
      <c r="R444" s="124" t="str">
        <f>IFERROR(__xludf.DUMMYFUNCTION("""COMPUTED_VALUE"""),"GS Foundation Course")</f>
        <v>GS Foundation Course</v>
      </c>
      <c r="S444" s="124">
        <f>IFERROR(__xludf.DUMMYFUNCTION("""COMPUTED_VALUE"""),8.308052456E9)</f>
        <v>8308052456</v>
      </c>
      <c r="T444" s="124" t="str">
        <f>IFERROR(__xludf.DUMMYFUNCTION("""COMPUTED_VALUE"""),"Collexo")</f>
        <v>Collexo</v>
      </c>
      <c r="U444" s="124" t="str">
        <f>IFERROR(__xludf.DUMMYFUNCTION("""COMPUTED_VALUE"""),"Success")</f>
        <v>Success</v>
      </c>
      <c r="V444" s="131">
        <f>IFERROR(__xludf.DUMMYFUNCTION("""COMPUTED_VALUE"""),46080.0)</f>
        <v>46080</v>
      </c>
      <c r="W444" s="124">
        <f>IFERROR(__xludf.DUMMYFUNCTION("""COMPUTED_VALUE"""),0.0)</f>
        <v>0</v>
      </c>
    </row>
    <row r="445">
      <c r="A445" s="124" t="str">
        <f t="shared" si="1"/>
        <v>sushilmaurya7379@gmail.com</v>
      </c>
      <c r="B445" s="131">
        <f>IFERROR(__xludf.DUMMYFUNCTION("""COMPUTED_VALUE"""),46079.0)</f>
        <v>46079</v>
      </c>
      <c r="C445" s="124" t="str">
        <f>IFERROR(__xludf.DUMMYFUNCTION("""COMPUTED_VALUE"""),"Payment data from Collexo")</f>
        <v>Payment data from Collexo</v>
      </c>
      <c r="D445" s="124" t="str">
        <f>IFERROR(__xludf.DUMMYFUNCTION("""COMPUTED_VALUE"""),"Not Available")</f>
        <v>Not Available</v>
      </c>
      <c r="E445" s="124">
        <f>IFERROR(__xludf.DUMMYFUNCTION("""COMPUTED_VALUE"""),1500613.0)</f>
        <v>1500613</v>
      </c>
      <c r="F445" s="124">
        <f>IFERROR(__xludf.DUMMYFUNCTION("""COMPUTED_VALUE"""),119791.0)</f>
        <v>119791</v>
      </c>
      <c r="G445" s="124">
        <f>IFERROR(__xludf.DUMMYFUNCTION("""COMPUTED_VALUE"""),51428.0)</f>
        <v>51428</v>
      </c>
      <c r="H445" s="124" t="str">
        <f>IFERROR(__xludf.DUMMYFUNCTION("""COMPUTED_VALUE"""),"Not Available")</f>
        <v>Not Available</v>
      </c>
      <c r="I445" s="124">
        <f>IFERROR(__xludf.DUMMYFUNCTION("""COMPUTED_VALUE"""),0.0)</f>
        <v>0</v>
      </c>
      <c r="J445" s="124">
        <f>IFERROR(__xludf.DUMMYFUNCTION("""COMPUTED_VALUE"""),60000.0)</f>
        <v>60000</v>
      </c>
      <c r="K445" s="124">
        <f>IFERROR(__xludf.DUMMYFUNCTION("""COMPUTED_VALUE"""),2.0)</f>
        <v>2</v>
      </c>
      <c r="L445" s="124">
        <f>IFERROR(__xludf.DUMMYFUNCTION("""COMPUTED_VALUE"""),348.0)</f>
        <v>348</v>
      </c>
      <c r="M445" s="124" t="str">
        <f>IFERROR(__xludf.DUMMYFUNCTION("""COMPUTED_VALUE"""),"Prayagraj")</f>
        <v>Prayagraj</v>
      </c>
      <c r="N445" s="124" t="str">
        <f>IFERROR(__xludf.DUMMYFUNCTION("""COMPUTED_VALUE"""),"sushilmaurya7379@gmail.com")</f>
        <v>sushilmaurya7379@gmail.com</v>
      </c>
      <c r="O445" s="124" t="str">
        <f>IFERROR(__xludf.DUMMYFUNCTION("""COMPUTED_VALUE"""),"Sushil Maurya")</f>
        <v>Sushil Maurya</v>
      </c>
      <c r="P445" s="124">
        <f>IFERROR(__xludf.DUMMYFUNCTION("""COMPUTED_VALUE"""),119791.0)</f>
        <v>119791</v>
      </c>
      <c r="Q445" s="124" t="str">
        <f>IFERROR(__xludf.DUMMYFUNCTION("""COMPUTED_VALUE"""),"upsc-gs-foundation-hindi-target-2027-gsf-upsc-m02-pry")</f>
        <v>upsc-gs-foundation-hindi-target-2027-gsf-upsc-m02-pry</v>
      </c>
      <c r="R445" s="124" t="str">
        <f>IFERROR(__xludf.DUMMYFUNCTION("""COMPUTED_VALUE"""),"GS Foundation Course")</f>
        <v>GS Foundation Course</v>
      </c>
      <c r="S445" s="124">
        <f>IFERROR(__xludf.DUMMYFUNCTION("""COMPUTED_VALUE"""),8.11261028E9)</f>
        <v>8112610280</v>
      </c>
      <c r="T445" s="124" t="str">
        <f>IFERROR(__xludf.DUMMYFUNCTION("""COMPUTED_VALUE"""),"Not Available")</f>
        <v>Not Available</v>
      </c>
      <c r="U445" s="124" t="str">
        <f>IFERROR(__xludf.DUMMYFUNCTION("""COMPUTED_VALUE"""),"Not Available")</f>
        <v>Not Available</v>
      </c>
      <c r="V445" s="124" t="str">
        <f>IFERROR(__xludf.DUMMYFUNCTION("""COMPUTED_VALUE"""),"Not Available")</f>
        <v>Not Available</v>
      </c>
      <c r="W445" s="124" t="str">
        <f>IFERROR(__xludf.DUMMYFUNCTION("""COMPUTED_VALUE"""),"Not Available")</f>
        <v>Not Available</v>
      </c>
    </row>
    <row r="446">
      <c r="A446" s="124" t="str">
        <f t="shared" si="1"/>
        <v>vaibhavyadav10052005@gmail.com</v>
      </c>
      <c r="B446" s="131">
        <f>IFERROR(__xludf.DUMMYFUNCTION("""COMPUTED_VALUE"""),46094.0)</f>
        <v>46094</v>
      </c>
      <c r="C446" s="124" t="str">
        <f>IFERROR(__xludf.DUMMYFUNCTION("""COMPUTED_VALUE"""),"Payment data from Collexo")</f>
        <v>Payment data from Collexo</v>
      </c>
      <c r="D446" s="124" t="str">
        <f>IFERROR(__xludf.DUMMYFUNCTION("""COMPUTED_VALUE"""),"Not Available")</f>
        <v>Not Available</v>
      </c>
      <c r="E446" s="124">
        <f>IFERROR(__xludf.DUMMYFUNCTION("""COMPUTED_VALUE"""),1500609.0)</f>
        <v>1500609</v>
      </c>
      <c r="F446" s="124" t="str">
        <f>IFERROR(__xludf.DUMMYFUNCTION("""COMPUTED_VALUE"""),"14064_988_7")</f>
        <v>14064_988_7</v>
      </c>
      <c r="G446" s="124">
        <f>IFERROR(__xludf.DUMMYFUNCTION("""COMPUTED_VALUE"""),5000.0)</f>
        <v>5000</v>
      </c>
      <c r="H446" s="131">
        <f>IFERROR(__xludf.DUMMYFUNCTION("""COMPUTED_VALUE"""),46112.0)</f>
        <v>46112</v>
      </c>
      <c r="I446" s="124">
        <f>IFERROR(__xludf.DUMMYFUNCTION("""COMPUTED_VALUE"""),112000.0)</f>
        <v>112000</v>
      </c>
      <c r="J446" s="124">
        <f>IFERROR(__xludf.DUMMYFUNCTION("""COMPUTED_VALUE"""),117000.0)</f>
        <v>117000</v>
      </c>
      <c r="K446" s="124">
        <f>IFERROR(__xludf.DUMMYFUNCTION("""COMPUTED_VALUE"""),2.0)</f>
        <v>2</v>
      </c>
      <c r="L446" s="124">
        <f>IFERROR(__xludf.DUMMYFUNCTION("""COMPUTED_VALUE"""),529.0)</f>
        <v>529</v>
      </c>
      <c r="M446" s="124" t="str">
        <f>IFERROR(__xludf.DUMMYFUNCTION("""COMPUTED_VALUE"""),"New Delhi")</f>
        <v>New Delhi</v>
      </c>
      <c r="N446" s="124" t="str">
        <f>IFERROR(__xludf.DUMMYFUNCTION("""COMPUTED_VALUE"""),"vaibhavyadav10052005@gmail.com")</f>
        <v>vaibhavyadav10052005@gmail.com</v>
      </c>
      <c r="O446" s="124" t="str">
        <f>IFERROR(__xludf.DUMMYFUNCTION("""COMPUTED_VALUE"""),"Vaibhav Pratap")</f>
        <v>Vaibhav Pratap</v>
      </c>
      <c r="P446" s="124">
        <f>IFERROR(__xludf.DUMMYFUNCTION("""COMPUTED_VALUE"""),127391.0)</f>
        <v>127391</v>
      </c>
      <c r="Q446" s="124" t="str">
        <f>IFERROR(__xludf.DUMMYFUNCTION("""COMPUTED_VALUE"""),"upsc-gs-foundation-hinglish-target-2027-gsf-upsc-m04-orn")</f>
        <v>upsc-gs-foundation-hinglish-target-2027-gsf-upsc-m04-orn</v>
      </c>
      <c r="R446" s="124" t="str">
        <f>IFERROR(__xludf.DUMMYFUNCTION("""COMPUTED_VALUE"""),"GS Foundation Course")</f>
        <v>GS Foundation Course</v>
      </c>
      <c r="S446" s="124">
        <f>IFERROR(__xludf.DUMMYFUNCTION("""COMPUTED_VALUE"""),9.258372595E9)</f>
        <v>9258372595</v>
      </c>
      <c r="T446" s="124" t="str">
        <f>IFERROR(__xludf.DUMMYFUNCTION("""COMPUTED_VALUE"""),"Collexo")</f>
        <v>Collexo</v>
      </c>
      <c r="U446" s="124" t="str">
        <f>IFERROR(__xludf.DUMMYFUNCTION("""COMPUTED_VALUE"""),"Success")</f>
        <v>Success</v>
      </c>
      <c r="V446" s="131">
        <f>IFERROR(__xludf.DUMMYFUNCTION("""COMPUTED_VALUE"""),46094.0)</f>
        <v>46094</v>
      </c>
      <c r="W446" s="124">
        <f>IFERROR(__xludf.DUMMYFUNCTION("""COMPUTED_VALUE"""),0.0)</f>
        <v>0</v>
      </c>
    </row>
    <row r="447">
      <c r="A447" s="124" t="str">
        <f t="shared" si="1"/>
        <v>shuklarunak19@gmail.com</v>
      </c>
      <c r="B447" s="131">
        <f>IFERROR(__xludf.DUMMYFUNCTION("""COMPUTED_VALUE"""),46104.0)</f>
        <v>46104</v>
      </c>
      <c r="C447" s="124" t="str">
        <f>IFERROR(__xludf.DUMMYFUNCTION("""COMPUTED_VALUE"""),"Payment data from Collexo")</f>
        <v>Payment data from Collexo</v>
      </c>
      <c r="D447" s="124" t="str">
        <f>IFERROR(__xludf.DUMMYFUNCTION("""COMPUTED_VALUE"""),"Not Available")</f>
        <v>Not Available</v>
      </c>
      <c r="E447" s="124">
        <f>IFERROR(__xludf.DUMMYFUNCTION("""COMPUTED_VALUE"""),1500609.0)</f>
        <v>1500609</v>
      </c>
      <c r="F447" s="124" t="str">
        <f>IFERROR(__xludf.DUMMYFUNCTION("""COMPUTED_VALUE"""),"16003_988_7")</f>
        <v>16003_988_7</v>
      </c>
      <c r="G447" s="124">
        <f>IFERROR(__xludf.DUMMYFUNCTION("""COMPUTED_VALUE"""),95000.0)</f>
        <v>95000</v>
      </c>
      <c r="H447" s="124" t="str">
        <f>IFERROR(__xludf.DUMMYFUNCTION("""COMPUTED_VALUE"""),"Not Available")</f>
        <v>Not Available</v>
      </c>
      <c r="I447" s="124">
        <f>IFERROR(__xludf.DUMMYFUNCTION("""COMPUTED_VALUE"""),0.0)</f>
        <v>0</v>
      </c>
      <c r="J447" s="124">
        <f>IFERROR(__xludf.DUMMYFUNCTION("""COMPUTED_VALUE"""),100000.0)</f>
        <v>100000</v>
      </c>
      <c r="K447" s="124">
        <f>IFERROR(__xludf.DUMMYFUNCTION("""COMPUTED_VALUE"""),3.0)</f>
        <v>3</v>
      </c>
      <c r="L447" s="124">
        <f>IFERROR(__xludf.DUMMYFUNCTION("""COMPUTED_VALUE"""),682.0)</f>
        <v>682</v>
      </c>
      <c r="M447" s="124" t="str">
        <f>IFERROR(__xludf.DUMMYFUNCTION("""COMPUTED_VALUE"""),"New Delhi")</f>
        <v>New Delhi</v>
      </c>
      <c r="N447" s="124" t="str">
        <f>IFERROR(__xludf.DUMMYFUNCTION("""COMPUTED_VALUE"""),"shuklarunak19@gmail.com")</f>
        <v>shuklarunak19@gmail.com</v>
      </c>
      <c r="O447" s="124" t="str">
        <f>IFERROR(__xludf.DUMMYFUNCTION("""COMPUTED_VALUE"""),"Ronak")</f>
        <v>Ronak</v>
      </c>
      <c r="P447" s="124">
        <f>IFERROR(__xludf.DUMMYFUNCTION("""COMPUTED_VALUE"""),124438.0)</f>
        <v>124438</v>
      </c>
      <c r="Q447" s="124" t="str">
        <f>IFERROR(__xludf.DUMMYFUNCTION("""COMPUTED_VALUE"""),"6576 - UPSC GS Foundation Hinglish Target 2027 February (M) - ORN")</f>
        <v>6576 - UPSC GS Foundation Hinglish Target 2027 February (M) - ORN</v>
      </c>
      <c r="R447" s="124" t="str">
        <f>IFERROR(__xludf.DUMMYFUNCTION("""COMPUTED_VALUE"""),"GS Foundation Course")</f>
        <v>GS Foundation Course</v>
      </c>
      <c r="S447" s="124">
        <f>IFERROR(__xludf.DUMMYFUNCTION("""COMPUTED_VALUE"""),9.968253533E9)</f>
        <v>9968253533</v>
      </c>
      <c r="T447" s="124" t="str">
        <f>IFERROR(__xludf.DUMMYFUNCTION("""COMPUTED_VALUE"""),"Collexo")</f>
        <v>Collexo</v>
      </c>
      <c r="U447" s="124" t="str">
        <f>IFERROR(__xludf.DUMMYFUNCTION("""COMPUTED_VALUE"""),"Success")</f>
        <v>Success</v>
      </c>
      <c r="V447" s="131">
        <f>IFERROR(__xludf.DUMMYFUNCTION("""COMPUTED_VALUE"""),46104.0)</f>
        <v>46104</v>
      </c>
      <c r="W447" s="124">
        <f>IFERROR(__xludf.DUMMYFUNCTION("""COMPUTED_VALUE"""),0.0)</f>
        <v>0</v>
      </c>
    </row>
    <row r="448">
      <c r="A448" s="124" t="str">
        <f t="shared" si="1"/>
        <v>ks4172665@gmail.com</v>
      </c>
      <c r="B448" s="131">
        <f>IFERROR(__xludf.DUMMYFUNCTION("""COMPUTED_VALUE"""),46081.0)</f>
        <v>46081</v>
      </c>
      <c r="C448" s="124" t="str">
        <f>IFERROR(__xludf.DUMMYFUNCTION("""COMPUTED_VALUE"""),"Payment data from Collexo")</f>
        <v>Payment data from Collexo</v>
      </c>
      <c r="D448" s="124" t="str">
        <f>IFERROR(__xludf.DUMMYFUNCTION("""COMPUTED_VALUE"""),"Not Available")</f>
        <v>Not Available</v>
      </c>
      <c r="E448" s="124">
        <f>IFERROR(__xludf.DUMMYFUNCTION("""COMPUTED_VALUE"""),1500612.0)</f>
        <v>1500612</v>
      </c>
      <c r="F448" s="124">
        <f>IFERROR(__xludf.DUMMYFUNCTION("""COMPUTED_VALUE"""),89082.0)</f>
        <v>89082</v>
      </c>
      <c r="G448" s="124">
        <f>IFERROR(__xludf.DUMMYFUNCTION("""COMPUTED_VALUE"""),44000.0)</f>
        <v>44000</v>
      </c>
      <c r="H448" s="124" t="str">
        <f>IFERROR(__xludf.DUMMYFUNCTION("""COMPUTED_VALUE"""),"Not Available")</f>
        <v>Not Available</v>
      </c>
      <c r="I448" s="124">
        <f>IFERROR(__xludf.DUMMYFUNCTION("""COMPUTED_VALUE"""),0.0)</f>
        <v>0</v>
      </c>
      <c r="J448" s="124">
        <f>IFERROR(__xludf.DUMMYFUNCTION("""COMPUTED_VALUE"""),45000.0)</f>
        <v>45000</v>
      </c>
      <c r="K448" s="124">
        <f>IFERROR(__xludf.DUMMYFUNCTION("""COMPUTED_VALUE"""),2.0)</f>
        <v>2</v>
      </c>
      <c r="L448" s="124">
        <f>IFERROR(__xludf.DUMMYFUNCTION("""COMPUTED_VALUE"""),376.0)</f>
        <v>376</v>
      </c>
      <c r="M448" s="124" t="str">
        <f>IFERROR(__xludf.DUMMYFUNCTION("""COMPUTED_VALUE"""),"Indore")</f>
        <v>Indore</v>
      </c>
      <c r="N448" s="124" t="str">
        <f>IFERROR(__xludf.DUMMYFUNCTION("""COMPUTED_VALUE"""),"ks4172665@gmail.com")</f>
        <v>ks4172665@gmail.com</v>
      </c>
      <c r="O448" s="124" t="str">
        <f>IFERROR(__xludf.DUMMYFUNCTION("""COMPUTED_VALUE"""),"Krishnapal Sisodiya")</f>
        <v>Krishnapal Sisodiya</v>
      </c>
      <c r="P448" s="124">
        <f>IFERROR(__xludf.DUMMYFUNCTION("""COMPUTED_VALUE"""),89082.0)</f>
        <v>89082</v>
      </c>
      <c r="Q448" s="124" t="str">
        <f>IFERROR(__xludf.DUMMYFUNCTION("""COMPUTED_VALUE"""),"upsc-gs-foundation-hindi-target-2028-gsf-upsc-m02-ind")</f>
        <v>upsc-gs-foundation-hindi-target-2028-gsf-upsc-m02-ind</v>
      </c>
      <c r="R448" s="124" t="str">
        <f>IFERROR(__xludf.DUMMYFUNCTION("""COMPUTED_VALUE"""),"GS Foundation Course")</f>
        <v>GS Foundation Course</v>
      </c>
      <c r="S448" s="124">
        <f>IFERROR(__xludf.DUMMYFUNCTION("""COMPUTED_VALUE"""),6.260648487E9)</f>
        <v>6260648487</v>
      </c>
      <c r="T448" s="124" t="str">
        <f>IFERROR(__xludf.DUMMYFUNCTION("""COMPUTED_VALUE"""),"Not Available")</f>
        <v>Not Available</v>
      </c>
      <c r="U448" s="124" t="str">
        <f>IFERROR(__xludf.DUMMYFUNCTION("""COMPUTED_VALUE"""),"Not Available")</f>
        <v>Not Available</v>
      </c>
      <c r="V448" s="124" t="str">
        <f>IFERROR(__xludf.DUMMYFUNCTION("""COMPUTED_VALUE"""),"Not Available")</f>
        <v>Not Available</v>
      </c>
      <c r="W448" s="124" t="str">
        <f>IFERROR(__xludf.DUMMYFUNCTION("""COMPUTED_VALUE"""),"Not Available")</f>
        <v>Not Available</v>
      </c>
    </row>
    <row r="449">
      <c r="A449" s="124" t="str">
        <f t="shared" si="1"/>
        <v>shuklarunak19@gmail.com</v>
      </c>
      <c r="B449" s="131">
        <f>IFERROR(__xludf.DUMMYFUNCTION("""COMPUTED_VALUE"""),46075.0)</f>
        <v>46075</v>
      </c>
      <c r="C449" s="124" t="str">
        <f>IFERROR(__xludf.DUMMYFUNCTION("""COMPUTED_VALUE"""),"Payment data from Collexo")</f>
        <v>Payment data from Collexo</v>
      </c>
      <c r="D449" s="124" t="str">
        <f>IFERROR(__xludf.DUMMYFUNCTION("""COMPUTED_VALUE"""),"Not Available")</f>
        <v>Not Available</v>
      </c>
      <c r="E449" s="124">
        <f>IFERROR(__xludf.DUMMYFUNCTION("""COMPUTED_VALUE"""),1500609.0)</f>
        <v>1500609</v>
      </c>
      <c r="F449" s="124" t="str">
        <f>IFERROR(__xludf.DUMMYFUNCTION("""COMPUTED_VALUE"""),"8035_988_7")</f>
        <v>8035_988_7</v>
      </c>
      <c r="G449" s="124">
        <f>IFERROR(__xludf.DUMMYFUNCTION("""COMPUTED_VALUE"""),4000.0)</f>
        <v>4000</v>
      </c>
      <c r="H449" s="131">
        <f>IFERROR(__xludf.DUMMYFUNCTION("""COMPUTED_VALUE"""),46081.0)</f>
        <v>46081</v>
      </c>
      <c r="I449" s="124">
        <f>IFERROR(__xludf.DUMMYFUNCTION("""COMPUTED_VALUE"""),95000.0)</f>
        <v>95000</v>
      </c>
      <c r="J449" s="124">
        <f>IFERROR(__xludf.DUMMYFUNCTION("""COMPUTED_VALUE"""),100000.0)</f>
        <v>100000</v>
      </c>
      <c r="K449" s="124">
        <f>IFERROR(__xludf.DUMMYFUNCTION("""COMPUTED_VALUE"""),3.0)</f>
        <v>3</v>
      </c>
      <c r="L449" s="124">
        <f>IFERROR(__xludf.DUMMYFUNCTION("""COMPUTED_VALUE"""),309.0)</f>
        <v>309</v>
      </c>
      <c r="M449" s="124" t="str">
        <f>IFERROR(__xludf.DUMMYFUNCTION("""COMPUTED_VALUE"""),"New Delhi")</f>
        <v>New Delhi</v>
      </c>
      <c r="N449" s="124" t="str">
        <f>IFERROR(__xludf.DUMMYFUNCTION("""COMPUTED_VALUE"""),"shuklarunak19@gmail.com")</f>
        <v>shuklarunak19@gmail.com</v>
      </c>
      <c r="O449" s="124" t="str">
        <f>IFERROR(__xludf.DUMMYFUNCTION("""COMPUTED_VALUE"""),"Ronak")</f>
        <v>Ronak</v>
      </c>
      <c r="P449" s="124">
        <f>IFERROR(__xludf.DUMMYFUNCTION("""COMPUTED_VALUE"""),124438.0)</f>
        <v>124438</v>
      </c>
      <c r="Q449" s="124" t="str">
        <f>IFERROR(__xludf.DUMMYFUNCTION("""COMPUTED_VALUE"""),"6576 - UPSC GS Foundation Hinglish Target 2027 February (M) - ORN")</f>
        <v>6576 - UPSC GS Foundation Hinglish Target 2027 February (M) - ORN</v>
      </c>
      <c r="R449" s="124" t="str">
        <f>IFERROR(__xludf.DUMMYFUNCTION("""COMPUTED_VALUE"""),"GS Foundation Course")</f>
        <v>GS Foundation Course</v>
      </c>
      <c r="S449" s="124">
        <f>IFERROR(__xludf.DUMMYFUNCTION("""COMPUTED_VALUE"""),9.968253533E9)</f>
        <v>9968253533</v>
      </c>
      <c r="T449" s="124" t="str">
        <f>IFERROR(__xludf.DUMMYFUNCTION("""COMPUTED_VALUE"""),"Collexo")</f>
        <v>Collexo</v>
      </c>
      <c r="U449" s="124" t="str">
        <f>IFERROR(__xludf.DUMMYFUNCTION("""COMPUTED_VALUE"""),"Success")</f>
        <v>Success</v>
      </c>
      <c r="V449" s="131">
        <f>IFERROR(__xludf.DUMMYFUNCTION("""COMPUTED_VALUE"""),46075.0)</f>
        <v>46075</v>
      </c>
      <c r="W449" s="124">
        <f>IFERROR(__xludf.DUMMYFUNCTION("""COMPUTED_VALUE"""),0.0)</f>
        <v>0</v>
      </c>
    </row>
    <row r="450">
      <c r="A450" s="124" t="str">
        <f t="shared" si="1"/>
        <v>muskanverma9450@gmail.com</v>
      </c>
      <c r="B450" s="131">
        <f>IFERROR(__xludf.DUMMYFUNCTION("""COMPUTED_VALUE"""),46087.0)</f>
        <v>46087</v>
      </c>
      <c r="C450" s="124" t="str">
        <f>IFERROR(__xludf.DUMMYFUNCTION("""COMPUTED_VALUE"""),"Payment data from Collexo")</f>
        <v>Payment data from Collexo</v>
      </c>
      <c r="D450" s="124" t="str">
        <f>IFERROR(__xludf.DUMMYFUNCTION("""COMPUTED_VALUE"""),"Not Available")</f>
        <v>Not Available</v>
      </c>
      <c r="E450" s="124">
        <f>IFERROR(__xludf.DUMMYFUNCTION("""COMPUTED_VALUE"""),1500613.0)</f>
        <v>1500613</v>
      </c>
      <c r="F450" s="124">
        <f>IFERROR(__xludf.DUMMYFUNCTION("""COMPUTED_VALUE"""),14117.0)</f>
        <v>14117</v>
      </c>
      <c r="G450" s="124">
        <f>IFERROR(__xludf.DUMMYFUNCTION("""COMPUTED_VALUE"""),1000.0)</f>
        <v>1000</v>
      </c>
      <c r="H450" s="131">
        <f>IFERROR(__xludf.DUMMYFUNCTION("""COMPUTED_VALUE"""),46090.0)</f>
        <v>46090</v>
      </c>
      <c r="I450" s="124">
        <f>IFERROR(__xludf.DUMMYFUNCTION("""COMPUTED_VALUE"""),34000.0)</f>
        <v>34000</v>
      </c>
      <c r="J450" s="124">
        <f>IFERROR(__xludf.DUMMYFUNCTION("""COMPUTED_VALUE"""),35000.0)</f>
        <v>35000</v>
      </c>
      <c r="K450" s="124">
        <f>IFERROR(__xludf.DUMMYFUNCTION("""COMPUTED_VALUE"""),2.0)</f>
        <v>2</v>
      </c>
      <c r="L450" s="124">
        <f>IFERROR(__xludf.DUMMYFUNCTION("""COMPUTED_VALUE"""),421.0)</f>
        <v>421</v>
      </c>
      <c r="M450" s="124" t="str">
        <f>IFERROR(__xludf.DUMMYFUNCTION("""COMPUTED_VALUE"""),"Prayagraj")</f>
        <v>Prayagraj</v>
      </c>
      <c r="N450" s="124" t="str">
        <f>IFERROR(__xludf.DUMMYFUNCTION("""COMPUTED_VALUE"""),"muskanverma9450@gmail.com")</f>
        <v>muskanverma9450@gmail.com</v>
      </c>
      <c r="O450" s="124" t="str">
        <f>IFERROR(__xludf.DUMMYFUNCTION("""COMPUTED_VALUE"""),"Priyanka")</f>
        <v>Priyanka</v>
      </c>
      <c r="P450" s="124">
        <f>IFERROR(__xludf.DUMMYFUNCTION("""COMPUTED_VALUE"""),14117.0)</f>
        <v>14117</v>
      </c>
      <c r="Q450" s="124" t="str">
        <f>IFERROR(__xludf.DUMMYFUNCTION("""COMPUTED_VALUE"""),"upsc-gs-foundation-hindi-target-2027-gsf-upsc-m02-pry")</f>
        <v>upsc-gs-foundation-hindi-target-2027-gsf-upsc-m02-pry</v>
      </c>
      <c r="R450" s="124" t="str">
        <f>IFERROR(__xludf.DUMMYFUNCTION("""COMPUTED_VALUE"""),"GS Foundation Course")</f>
        <v>GS Foundation Course</v>
      </c>
      <c r="S450" s="124">
        <f>IFERROR(__xludf.DUMMYFUNCTION("""COMPUTED_VALUE"""),8.31800046E9)</f>
        <v>8318000460</v>
      </c>
      <c r="T450" s="124" t="str">
        <f>IFERROR(__xludf.DUMMYFUNCTION("""COMPUTED_VALUE"""),"Not Available")</f>
        <v>Not Available</v>
      </c>
      <c r="U450" s="124" t="str">
        <f>IFERROR(__xludf.DUMMYFUNCTION("""COMPUTED_VALUE"""),"Not Available")</f>
        <v>Not Available</v>
      </c>
      <c r="V450" s="124" t="str">
        <f>IFERROR(__xludf.DUMMYFUNCTION("""COMPUTED_VALUE"""),"Not Available")</f>
        <v>Not Available</v>
      </c>
      <c r="W450" s="124" t="str">
        <f>IFERROR(__xludf.DUMMYFUNCTION("""COMPUTED_VALUE"""),"Not Available")</f>
        <v>Not Available</v>
      </c>
    </row>
    <row r="451">
      <c r="A451" s="124" t="str">
        <f t="shared" si="1"/>
        <v>nisharajakgurniya.2007@gmail.com</v>
      </c>
      <c r="B451" s="131">
        <f>IFERROR(__xludf.DUMMYFUNCTION("""COMPUTED_VALUE"""),46075.0)</f>
        <v>46075</v>
      </c>
      <c r="C451" s="124" t="str">
        <f>IFERROR(__xludf.DUMMYFUNCTION("""COMPUTED_VALUE"""),"Payment data from Collexo")</f>
        <v>Payment data from Collexo</v>
      </c>
      <c r="D451" s="124" t="str">
        <f>IFERROR(__xludf.DUMMYFUNCTION("""COMPUTED_VALUE"""),"Not Available")</f>
        <v>Not Available</v>
      </c>
      <c r="E451" s="124">
        <f>IFERROR(__xludf.DUMMYFUNCTION("""COMPUTED_VALUE"""),1500611.0)</f>
        <v>1500611</v>
      </c>
      <c r="F451" s="124">
        <f>IFERROR(__xludf.DUMMYFUNCTION("""COMPUTED_VALUE"""),124156.0)</f>
        <v>124156</v>
      </c>
      <c r="G451" s="124">
        <f>IFERROR(__xludf.DUMMYFUNCTION("""COMPUTED_VALUE"""),6767.0)</f>
        <v>6767</v>
      </c>
      <c r="H451" s="131">
        <f>IFERROR(__xludf.DUMMYFUNCTION("""COMPUTED_VALUE"""),46079.0)</f>
        <v>46079</v>
      </c>
      <c r="I451" s="124">
        <f>IFERROR(__xludf.DUMMYFUNCTION("""COMPUTED_VALUE"""),72000.0)</f>
        <v>72000</v>
      </c>
      <c r="J451" s="124">
        <f>IFERROR(__xludf.DUMMYFUNCTION("""COMPUTED_VALUE"""),80767.0)</f>
        <v>80767</v>
      </c>
      <c r="K451" s="124">
        <f>IFERROR(__xludf.DUMMYFUNCTION("""COMPUTED_VALUE"""),3.0)</f>
        <v>3</v>
      </c>
      <c r="L451" s="124">
        <f>IFERROR(__xludf.DUMMYFUNCTION("""COMPUTED_VALUE"""),303.0)</f>
        <v>303</v>
      </c>
      <c r="M451" s="124" t="str">
        <f>IFERROR(__xludf.DUMMYFUNCTION("""COMPUTED_VALUE"""),"Patna")</f>
        <v>Patna</v>
      </c>
      <c r="N451" s="124" t="str">
        <f>IFERROR(__xludf.DUMMYFUNCTION("""COMPUTED_VALUE"""),"nisharajakgurniya.2007@gmail.com")</f>
        <v>nisharajakgurniya.2007@gmail.com</v>
      </c>
      <c r="O451" s="124" t="str">
        <f>IFERROR(__xludf.DUMMYFUNCTION("""COMPUTED_VALUE"""),"Nisha Rajak")</f>
        <v>Nisha Rajak</v>
      </c>
      <c r="P451" s="124">
        <f>IFERROR(__xludf.DUMMYFUNCTION("""COMPUTED_VALUE"""),124156.0)</f>
        <v>124156</v>
      </c>
      <c r="Q451" s="124" t="str">
        <f>IFERROR(__xludf.DUMMYFUNCTION("""COMPUTED_VALUE"""),"upsc-gs-foundation-hinglish-target-2027-gsf-upsc-e02-pat")</f>
        <v>upsc-gs-foundation-hinglish-target-2027-gsf-upsc-e02-pat</v>
      </c>
      <c r="R451" s="124" t="str">
        <f>IFERROR(__xludf.DUMMYFUNCTION("""COMPUTED_VALUE"""),"GS Foundation Course")</f>
        <v>GS Foundation Course</v>
      </c>
      <c r="S451" s="124">
        <f>IFERROR(__xludf.DUMMYFUNCTION("""COMPUTED_VALUE"""),9.674337086E9)</f>
        <v>9674337086</v>
      </c>
      <c r="T451" s="124" t="str">
        <f>IFERROR(__xludf.DUMMYFUNCTION("""COMPUTED_VALUE"""),"Not Available")</f>
        <v>Not Available</v>
      </c>
      <c r="U451" s="124" t="str">
        <f>IFERROR(__xludf.DUMMYFUNCTION("""COMPUTED_VALUE"""),"Not Available")</f>
        <v>Not Available</v>
      </c>
      <c r="V451" s="124" t="str">
        <f>IFERROR(__xludf.DUMMYFUNCTION("""COMPUTED_VALUE"""),"Not Available")</f>
        <v>Not Available</v>
      </c>
      <c r="W451" s="124" t="str">
        <f>IFERROR(__xludf.DUMMYFUNCTION("""COMPUTED_VALUE"""),"Not Available")</f>
        <v>Not Available</v>
      </c>
    </row>
    <row r="452">
      <c r="A452" s="124" t="str">
        <f t="shared" si="1"/>
        <v>chhavi01040@gmail.com</v>
      </c>
      <c r="B452" s="131">
        <f>IFERROR(__xludf.DUMMYFUNCTION("""COMPUTED_VALUE"""),46106.0)</f>
        <v>46106</v>
      </c>
      <c r="C452" s="124" t="str">
        <f>IFERROR(__xludf.DUMMYFUNCTION("""COMPUTED_VALUE"""),"Payment data from Collexo")</f>
        <v>Payment data from Collexo</v>
      </c>
      <c r="D452" s="124" t="str">
        <f>IFERROR(__xludf.DUMMYFUNCTION("""COMPUTED_VALUE"""),"Not Available")</f>
        <v>Not Available</v>
      </c>
      <c r="E452" s="124">
        <f>IFERROR(__xludf.DUMMYFUNCTION("""COMPUTED_VALUE"""),1500609.0)</f>
        <v>1500609</v>
      </c>
      <c r="F452" s="124" t="str">
        <f>IFERROR(__xludf.DUMMYFUNCTION("""COMPUTED_VALUE"""),"16511_988_7")</f>
        <v>16511_988_7</v>
      </c>
      <c r="G452" s="124">
        <f>IFERROR(__xludf.DUMMYFUNCTION("""COMPUTED_VALUE"""),1.0)</f>
        <v>1</v>
      </c>
      <c r="H452" s="124" t="str">
        <f>IFERROR(__xludf.DUMMYFUNCTION("""COMPUTED_VALUE"""),"Not Available")</f>
        <v>Not Available</v>
      </c>
      <c r="I452" s="124">
        <f>IFERROR(__xludf.DUMMYFUNCTION("""COMPUTED_VALUE"""),0.0)</f>
        <v>0</v>
      </c>
      <c r="J452" s="124">
        <f>IFERROR(__xludf.DUMMYFUNCTION("""COMPUTED_VALUE"""),1.0)</f>
        <v>1</v>
      </c>
      <c r="K452" s="124">
        <f>IFERROR(__xludf.DUMMYFUNCTION("""COMPUTED_VALUE"""),1.0)</f>
        <v>1</v>
      </c>
      <c r="L452" s="124">
        <f>IFERROR(__xludf.DUMMYFUNCTION("""COMPUTED_VALUE"""),732.0)</f>
        <v>732</v>
      </c>
      <c r="M452" s="124" t="str">
        <f>IFERROR(__xludf.DUMMYFUNCTION("""COMPUTED_VALUE"""),"New Delhi")</f>
        <v>New Delhi</v>
      </c>
      <c r="N452" s="124" t="str">
        <f>IFERROR(__xludf.DUMMYFUNCTION("""COMPUTED_VALUE"""),"chhavi01040@gmail.com")</f>
        <v>chhavi01040@gmail.com</v>
      </c>
      <c r="O452" s="124" t="str">
        <f>IFERROR(__xludf.DUMMYFUNCTION("""COMPUTED_VALUE"""),"Chhavi Rani")</f>
        <v>Chhavi Rani</v>
      </c>
      <c r="P452" s="124">
        <f>IFERROR(__xludf.DUMMYFUNCTION("""COMPUTED_VALUE"""),127683.0)</f>
        <v>127683</v>
      </c>
      <c r="Q452" s="124" t="str">
        <f>IFERROR(__xludf.DUMMYFUNCTION("""COMPUTED_VALUE"""),"upsc-gs-foundation-hinglish-target-2028-gsf-upsc-m04-orn")</f>
        <v>upsc-gs-foundation-hinglish-target-2028-gsf-upsc-m04-orn</v>
      </c>
      <c r="R452" s="124" t="str">
        <f>IFERROR(__xludf.DUMMYFUNCTION("""COMPUTED_VALUE"""),"GS Foundation Course")</f>
        <v>GS Foundation Course</v>
      </c>
      <c r="S452" s="124">
        <f>IFERROR(__xludf.DUMMYFUNCTION("""COMPUTED_VALUE"""),6.388540075E9)</f>
        <v>6388540075</v>
      </c>
      <c r="T452" s="124" t="str">
        <f>IFERROR(__xludf.DUMMYFUNCTION("""COMPUTED_VALUE"""),"Collexo")</f>
        <v>Collexo</v>
      </c>
      <c r="U452" s="124" t="str">
        <f>IFERROR(__xludf.DUMMYFUNCTION("""COMPUTED_VALUE"""),"Success")</f>
        <v>Success</v>
      </c>
      <c r="V452" s="131">
        <f>IFERROR(__xludf.DUMMYFUNCTION("""COMPUTED_VALUE"""),46106.0)</f>
        <v>46106</v>
      </c>
      <c r="W452" s="124">
        <f>IFERROR(__xludf.DUMMYFUNCTION("""COMPUTED_VALUE"""),0.0)</f>
        <v>0</v>
      </c>
    </row>
    <row r="453">
      <c r="A453" s="124" t="str">
        <f t="shared" si="1"/>
        <v>ks4172665@gmail.com</v>
      </c>
      <c r="B453" s="131">
        <f>IFERROR(__xludf.DUMMYFUNCTION("""COMPUTED_VALUE"""),46069.0)</f>
        <v>46069</v>
      </c>
      <c r="C453" s="124" t="str">
        <f>IFERROR(__xludf.DUMMYFUNCTION("""COMPUTED_VALUE"""),"Payment data from Collexo")</f>
        <v>Payment data from Collexo</v>
      </c>
      <c r="D453" s="124" t="str">
        <f>IFERROR(__xludf.DUMMYFUNCTION("""COMPUTED_VALUE"""),"Not Available")</f>
        <v>Not Available</v>
      </c>
      <c r="E453" s="124">
        <f>IFERROR(__xludf.DUMMYFUNCTION("""COMPUTED_VALUE"""),1500612.0)</f>
        <v>1500612</v>
      </c>
      <c r="F453" s="124">
        <f>IFERROR(__xludf.DUMMYFUNCTION("""COMPUTED_VALUE"""),89082.0)</f>
        <v>89082</v>
      </c>
      <c r="G453" s="124">
        <f>IFERROR(__xludf.DUMMYFUNCTION("""COMPUTED_VALUE"""),1000.0)</f>
        <v>1000</v>
      </c>
      <c r="H453" s="131">
        <f>IFERROR(__xludf.DUMMYFUNCTION("""COMPUTED_VALUE"""),46081.0)</f>
        <v>46081</v>
      </c>
      <c r="I453" s="124">
        <f>IFERROR(__xludf.DUMMYFUNCTION("""COMPUTED_VALUE"""),49000.0)</f>
        <v>49000</v>
      </c>
      <c r="J453" s="124">
        <f>IFERROR(__xludf.DUMMYFUNCTION("""COMPUTED_VALUE"""),50000.0)</f>
        <v>50000</v>
      </c>
      <c r="K453" s="124">
        <f>IFERROR(__xludf.DUMMYFUNCTION("""COMPUTED_VALUE"""),2.0)</f>
        <v>2</v>
      </c>
      <c r="L453" s="124">
        <f>IFERROR(__xludf.DUMMYFUNCTION("""COMPUTED_VALUE"""),234.0)</f>
        <v>234</v>
      </c>
      <c r="M453" s="124" t="str">
        <f>IFERROR(__xludf.DUMMYFUNCTION("""COMPUTED_VALUE"""),"Indore")</f>
        <v>Indore</v>
      </c>
      <c r="N453" s="124" t="str">
        <f>IFERROR(__xludf.DUMMYFUNCTION("""COMPUTED_VALUE"""),"ks4172665@gmail.com")</f>
        <v>ks4172665@gmail.com</v>
      </c>
      <c r="O453" s="124" t="str">
        <f>IFERROR(__xludf.DUMMYFUNCTION("""COMPUTED_VALUE"""),"Krishnapal Sisodiya")</f>
        <v>Krishnapal Sisodiya</v>
      </c>
      <c r="P453" s="124">
        <f>IFERROR(__xludf.DUMMYFUNCTION("""COMPUTED_VALUE"""),89082.0)</f>
        <v>89082</v>
      </c>
      <c r="Q453" s="124" t="str">
        <f>IFERROR(__xludf.DUMMYFUNCTION("""COMPUTED_VALUE"""),"upsc-gs-foundation-hindi-target-2028-gsf-upsc-m02-ind")</f>
        <v>upsc-gs-foundation-hindi-target-2028-gsf-upsc-m02-ind</v>
      </c>
      <c r="R453" s="124" t="str">
        <f>IFERROR(__xludf.DUMMYFUNCTION("""COMPUTED_VALUE"""),"GS Foundation Course")</f>
        <v>GS Foundation Course</v>
      </c>
      <c r="S453" s="124">
        <f>IFERROR(__xludf.DUMMYFUNCTION("""COMPUTED_VALUE"""),6.260648487E9)</f>
        <v>6260648487</v>
      </c>
      <c r="T453" s="124" t="str">
        <f>IFERROR(__xludf.DUMMYFUNCTION("""COMPUTED_VALUE"""),"Not Available")</f>
        <v>Not Available</v>
      </c>
      <c r="U453" s="124" t="str">
        <f>IFERROR(__xludf.DUMMYFUNCTION("""COMPUTED_VALUE"""),"Not Available")</f>
        <v>Not Available</v>
      </c>
      <c r="V453" s="124" t="str">
        <f>IFERROR(__xludf.DUMMYFUNCTION("""COMPUTED_VALUE"""),"Not Available")</f>
        <v>Not Available</v>
      </c>
      <c r="W453" s="124" t="str">
        <f>IFERROR(__xludf.DUMMYFUNCTION("""COMPUTED_VALUE"""),"Not Available")</f>
        <v>Not Available</v>
      </c>
    </row>
    <row r="454">
      <c r="A454" s="124" t="str">
        <f t="shared" si="1"/>
        <v>kisansingh4840@gmail.com</v>
      </c>
      <c r="B454" s="131">
        <f>IFERROR(__xludf.DUMMYFUNCTION("""COMPUTED_VALUE"""),46104.0)</f>
        <v>46104</v>
      </c>
      <c r="C454" s="124" t="str">
        <f>IFERROR(__xludf.DUMMYFUNCTION("""COMPUTED_VALUE"""),"Payment data from Collexo")</f>
        <v>Payment data from Collexo</v>
      </c>
      <c r="D454" s="124" t="str">
        <f>IFERROR(__xludf.DUMMYFUNCTION("""COMPUTED_VALUE"""),"Not Available")</f>
        <v>Not Available</v>
      </c>
      <c r="E454" s="124">
        <f>IFERROR(__xludf.DUMMYFUNCTION("""COMPUTED_VALUE"""),1500613.0)</f>
        <v>1500613</v>
      </c>
      <c r="F454" s="124">
        <f>IFERROR(__xludf.DUMMYFUNCTION("""COMPUTED_VALUE"""),109390.0)</f>
        <v>109390</v>
      </c>
      <c r="G454" s="124">
        <f>IFERROR(__xludf.DUMMYFUNCTION("""COMPUTED_VALUE"""),5000.0)</f>
        <v>5000</v>
      </c>
      <c r="H454" s="131">
        <f>IFERROR(__xludf.DUMMYFUNCTION("""COMPUTED_VALUE"""),46123.0)</f>
        <v>46123</v>
      </c>
      <c r="I454" s="124">
        <f>IFERROR(__xludf.DUMMYFUNCTION("""COMPUTED_VALUE"""),17000.0)</f>
        <v>17000</v>
      </c>
      <c r="J454" s="124">
        <f>IFERROR(__xludf.DUMMYFUNCTION("""COMPUTED_VALUE"""),22000.0)</f>
        <v>22000</v>
      </c>
      <c r="K454" s="124">
        <f>IFERROR(__xludf.DUMMYFUNCTION("""COMPUTED_VALUE"""),2.0)</f>
        <v>2</v>
      </c>
      <c r="L454" s="124">
        <f>IFERROR(__xludf.DUMMYFUNCTION("""COMPUTED_VALUE"""),691.0)</f>
        <v>691</v>
      </c>
      <c r="M454" s="124" t="str">
        <f>IFERROR(__xludf.DUMMYFUNCTION("""COMPUTED_VALUE"""),"Prayagraj")</f>
        <v>Prayagraj</v>
      </c>
      <c r="N454" s="124" t="str">
        <f>IFERROR(__xludf.DUMMYFUNCTION("""COMPUTED_VALUE"""),"kisansingh4840@gmail.com")</f>
        <v>kisansingh4840@gmail.com</v>
      </c>
      <c r="O454" s="124" t="str">
        <f>IFERROR(__xludf.DUMMYFUNCTION("""COMPUTED_VALUE"""),"Shashwat Singh")</f>
        <v>Shashwat Singh</v>
      </c>
      <c r="P454" s="124">
        <f>IFERROR(__xludf.DUMMYFUNCTION("""COMPUTED_VALUE"""),109390.0)</f>
        <v>109390</v>
      </c>
      <c r="Q454" s="124" t="str">
        <f>IFERROR(__xludf.DUMMYFUNCTION("""COMPUTED_VALUE"""),"samadhan-mentorship-program-pry")</f>
        <v>samadhan-mentorship-program-pry</v>
      </c>
      <c r="R454" s="124" t="str">
        <f>IFERROR(__xludf.DUMMYFUNCTION("""COMPUTED_VALUE"""),"Mentorship - Samadhan")</f>
        <v>Mentorship - Samadhan</v>
      </c>
      <c r="S454" s="124">
        <f>IFERROR(__xludf.DUMMYFUNCTION("""COMPUTED_VALUE"""),7.307786815E9)</f>
        <v>7307786815</v>
      </c>
      <c r="T454" s="124" t="str">
        <f>IFERROR(__xludf.DUMMYFUNCTION("""COMPUTED_VALUE"""),"Not Available")</f>
        <v>Not Available</v>
      </c>
      <c r="U454" s="124" t="str">
        <f>IFERROR(__xludf.DUMMYFUNCTION("""COMPUTED_VALUE"""),"Not Available")</f>
        <v>Not Available</v>
      </c>
      <c r="V454" s="124" t="str">
        <f>IFERROR(__xludf.DUMMYFUNCTION("""COMPUTED_VALUE"""),"Not Available")</f>
        <v>Not Available</v>
      </c>
      <c r="W454" s="124" t="str">
        <f>IFERROR(__xludf.DUMMYFUNCTION("""COMPUTED_VALUE"""),"Not Available")</f>
        <v>Not Available</v>
      </c>
    </row>
    <row r="455">
      <c r="A455" s="124" t="str">
        <f t="shared" si="1"/>
        <v>nisharajakgurniya.2007@gmail.com</v>
      </c>
      <c r="B455" s="131">
        <f>IFERROR(__xludf.DUMMYFUNCTION("""COMPUTED_VALUE"""),46077.0)</f>
        <v>46077</v>
      </c>
      <c r="C455" s="124" t="str">
        <f>IFERROR(__xludf.DUMMYFUNCTION("""COMPUTED_VALUE"""),"Payment data from Collexo")</f>
        <v>Payment data from Collexo</v>
      </c>
      <c r="D455" s="124" t="str">
        <f>IFERROR(__xludf.DUMMYFUNCTION("""COMPUTED_VALUE"""),"Not Available")</f>
        <v>Not Available</v>
      </c>
      <c r="E455" s="124">
        <f>IFERROR(__xludf.DUMMYFUNCTION("""COMPUTED_VALUE"""),1500611.0)</f>
        <v>1500611</v>
      </c>
      <c r="F455" s="124">
        <f>IFERROR(__xludf.DUMMYFUNCTION("""COMPUTED_VALUE"""),124156.0)</f>
        <v>124156</v>
      </c>
      <c r="G455" s="124">
        <f>IFERROR(__xludf.DUMMYFUNCTION("""COMPUTED_VALUE"""),72000.0)</f>
        <v>72000</v>
      </c>
      <c r="H455" s="124" t="str">
        <f>IFERROR(__xludf.DUMMYFUNCTION("""COMPUTED_VALUE"""),"Not Available")</f>
        <v>Not Available</v>
      </c>
      <c r="I455" s="124">
        <f>IFERROR(__xludf.DUMMYFUNCTION("""COMPUTED_VALUE"""),0.0)</f>
        <v>0</v>
      </c>
      <c r="J455" s="124">
        <f>IFERROR(__xludf.DUMMYFUNCTION("""COMPUTED_VALUE"""),80767.0)</f>
        <v>80767</v>
      </c>
      <c r="K455" s="124">
        <f>IFERROR(__xludf.DUMMYFUNCTION("""COMPUTED_VALUE"""),3.0)</f>
        <v>3</v>
      </c>
      <c r="L455" s="124">
        <f>IFERROR(__xludf.DUMMYFUNCTION("""COMPUTED_VALUE"""),331.0)</f>
        <v>331</v>
      </c>
      <c r="M455" s="124" t="str">
        <f>IFERROR(__xludf.DUMMYFUNCTION("""COMPUTED_VALUE"""),"Patna")</f>
        <v>Patna</v>
      </c>
      <c r="N455" s="124" t="str">
        <f>IFERROR(__xludf.DUMMYFUNCTION("""COMPUTED_VALUE"""),"nisharajakgurniya.2007@gmail.com")</f>
        <v>nisharajakgurniya.2007@gmail.com</v>
      </c>
      <c r="O455" s="124" t="str">
        <f>IFERROR(__xludf.DUMMYFUNCTION("""COMPUTED_VALUE"""),"Nisha Rajak")</f>
        <v>Nisha Rajak</v>
      </c>
      <c r="P455" s="124">
        <f>IFERROR(__xludf.DUMMYFUNCTION("""COMPUTED_VALUE"""),124156.0)</f>
        <v>124156</v>
      </c>
      <c r="Q455" s="124" t="str">
        <f>IFERROR(__xludf.DUMMYFUNCTION("""COMPUTED_VALUE"""),"upsc-gs-foundation-hinglish-target-2027-gsf-upsc-e02-pat")</f>
        <v>upsc-gs-foundation-hinglish-target-2027-gsf-upsc-e02-pat</v>
      </c>
      <c r="R455" s="124" t="str">
        <f>IFERROR(__xludf.DUMMYFUNCTION("""COMPUTED_VALUE"""),"GS Foundation Course")</f>
        <v>GS Foundation Course</v>
      </c>
      <c r="S455" s="124">
        <f>IFERROR(__xludf.DUMMYFUNCTION("""COMPUTED_VALUE"""),9.674337086E9)</f>
        <v>9674337086</v>
      </c>
      <c r="T455" s="124" t="str">
        <f>IFERROR(__xludf.DUMMYFUNCTION("""COMPUTED_VALUE"""),"Not Available")</f>
        <v>Not Available</v>
      </c>
      <c r="U455" s="124" t="str">
        <f>IFERROR(__xludf.DUMMYFUNCTION("""COMPUTED_VALUE"""),"Not Available")</f>
        <v>Not Available</v>
      </c>
      <c r="V455" s="124" t="str">
        <f>IFERROR(__xludf.DUMMYFUNCTION("""COMPUTED_VALUE"""),"Not Available")</f>
        <v>Not Available</v>
      </c>
      <c r="W455" s="124" t="str">
        <f>IFERROR(__xludf.DUMMYFUNCTION("""COMPUTED_VALUE"""),"Not Available")</f>
        <v>Not Available</v>
      </c>
    </row>
    <row r="456">
      <c r="A456" s="124" t="str">
        <f t="shared" si="1"/>
        <v>robinsinghjee@gmail.com</v>
      </c>
      <c r="B456" s="131">
        <f>IFERROR(__xludf.DUMMYFUNCTION("""COMPUTED_VALUE"""),46093.0)</f>
        <v>46093</v>
      </c>
      <c r="C456" s="124" t="str">
        <f>IFERROR(__xludf.DUMMYFUNCTION("""COMPUTED_VALUE"""),"Payment data from Collexo")</f>
        <v>Payment data from Collexo</v>
      </c>
      <c r="D456" s="124" t="str">
        <f>IFERROR(__xludf.DUMMYFUNCTION("""COMPUTED_VALUE"""),"Not Available")</f>
        <v>Not Available</v>
      </c>
      <c r="E456" s="124">
        <f>IFERROR(__xludf.DUMMYFUNCTION("""COMPUTED_VALUE"""),1500609.0)</f>
        <v>1500609</v>
      </c>
      <c r="F456" s="124" t="str">
        <f>IFERROR(__xludf.DUMMYFUNCTION("""COMPUTED_VALUE"""),"13881_988_7")</f>
        <v>13881_988_7</v>
      </c>
      <c r="G456" s="124">
        <f>IFERROR(__xludf.DUMMYFUNCTION("""COMPUTED_VALUE"""),19000.0)</f>
        <v>19000</v>
      </c>
      <c r="H456" s="131">
        <f>IFERROR(__xludf.DUMMYFUNCTION("""COMPUTED_VALUE"""),46105.0)</f>
        <v>46105</v>
      </c>
      <c r="I456" s="124">
        <f>IFERROR(__xludf.DUMMYFUNCTION("""COMPUTED_VALUE"""),101750.0)</f>
        <v>101750</v>
      </c>
      <c r="J456" s="124">
        <f>IFERROR(__xludf.DUMMYFUNCTION("""COMPUTED_VALUE"""),135000.0)</f>
        <v>135000</v>
      </c>
      <c r="K456" s="124">
        <f>IFERROR(__xludf.DUMMYFUNCTION("""COMPUTED_VALUE"""),3.0)</f>
        <v>3</v>
      </c>
      <c r="L456" s="124">
        <f>IFERROR(__xludf.DUMMYFUNCTION("""COMPUTED_VALUE"""),519.0)</f>
        <v>519</v>
      </c>
      <c r="M456" s="124" t="str">
        <f>IFERROR(__xludf.DUMMYFUNCTION("""COMPUTED_VALUE"""),"New Delhi")</f>
        <v>New Delhi</v>
      </c>
      <c r="N456" s="124" t="str">
        <f>IFERROR(__xludf.DUMMYFUNCTION("""COMPUTED_VALUE"""),"robinsinghjee@gmail.com")</f>
        <v>robinsinghjee@gmail.com</v>
      </c>
      <c r="O456" s="124" t="str">
        <f>IFERROR(__xludf.DUMMYFUNCTION("""COMPUTED_VALUE"""),"Aditya")</f>
        <v>Aditya</v>
      </c>
      <c r="P456" s="124">
        <f>IFERROR(__xludf.DUMMYFUNCTION("""COMPUTED_VALUE"""),119859.0)</f>
        <v>119859</v>
      </c>
      <c r="Q456" s="124" t="str">
        <f>IFERROR(__xludf.DUMMYFUNCTION("""COMPUTED_VALUE"""),"upsc-gs-foundation-hinglish-target-2028-gsf-upsc-m05-orn")</f>
        <v>upsc-gs-foundation-hinglish-target-2028-gsf-upsc-m05-orn</v>
      </c>
      <c r="R456" s="124" t="str">
        <f>IFERROR(__xludf.DUMMYFUNCTION("""COMPUTED_VALUE"""),"GS Foundation Course")</f>
        <v>GS Foundation Course</v>
      </c>
      <c r="S456" s="124">
        <f>IFERROR(__xludf.DUMMYFUNCTION("""COMPUTED_VALUE"""),9.279238076E9)</f>
        <v>9279238076</v>
      </c>
      <c r="T456" s="124" t="str">
        <f>IFERROR(__xludf.DUMMYFUNCTION("""COMPUTED_VALUE"""),"Collexo")</f>
        <v>Collexo</v>
      </c>
      <c r="U456" s="124" t="str">
        <f>IFERROR(__xludf.DUMMYFUNCTION("""COMPUTED_VALUE"""),"Success")</f>
        <v>Success</v>
      </c>
      <c r="V456" s="131">
        <f>IFERROR(__xludf.DUMMYFUNCTION("""COMPUTED_VALUE"""),46093.0)</f>
        <v>46093</v>
      </c>
      <c r="W456" s="124">
        <f>IFERROR(__xludf.DUMMYFUNCTION("""COMPUTED_VALUE"""),0.0)</f>
        <v>0</v>
      </c>
    </row>
    <row r="457">
      <c r="A457" s="124" t="str">
        <f t="shared" si="1"/>
        <v>shuklarunak19@gmail.com</v>
      </c>
      <c r="B457" s="131">
        <f>IFERROR(__xludf.DUMMYFUNCTION("""COMPUTED_VALUE"""),46075.0)</f>
        <v>46075</v>
      </c>
      <c r="C457" s="124" t="str">
        <f>IFERROR(__xludf.DUMMYFUNCTION("""COMPUTED_VALUE"""),"Payment data from Collexo")</f>
        <v>Payment data from Collexo</v>
      </c>
      <c r="D457" s="124" t="str">
        <f>IFERROR(__xludf.DUMMYFUNCTION("""COMPUTED_VALUE"""),"Not Available")</f>
        <v>Not Available</v>
      </c>
      <c r="E457" s="124">
        <f>IFERROR(__xludf.DUMMYFUNCTION("""COMPUTED_VALUE"""),1500609.0)</f>
        <v>1500609</v>
      </c>
      <c r="F457" s="124" t="str">
        <f>IFERROR(__xludf.DUMMYFUNCTION("""COMPUTED_VALUE"""),"8034_988_7")</f>
        <v>8034_988_7</v>
      </c>
      <c r="G457" s="124">
        <f>IFERROR(__xludf.DUMMYFUNCTION("""COMPUTED_VALUE"""),1000.0)</f>
        <v>1000</v>
      </c>
      <c r="H457" s="131">
        <f>IFERROR(__xludf.DUMMYFUNCTION("""COMPUTED_VALUE"""),46081.0)</f>
        <v>46081</v>
      </c>
      <c r="I457" s="124">
        <f>IFERROR(__xludf.DUMMYFUNCTION("""COMPUTED_VALUE"""),4000.0)</f>
        <v>4000</v>
      </c>
      <c r="J457" s="124">
        <f>IFERROR(__xludf.DUMMYFUNCTION("""COMPUTED_VALUE"""),100000.0)</f>
        <v>100000</v>
      </c>
      <c r="K457" s="124">
        <f>IFERROR(__xludf.DUMMYFUNCTION("""COMPUTED_VALUE"""),3.0)</f>
        <v>3</v>
      </c>
      <c r="L457" s="124">
        <f>IFERROR(__xludf.DUMMYFUNCTION("""COMPUTED_VALUE"""),308.0)</f>
        <v>308</v>
      </c>
      <c r="M457" s="124" t="str">
        <f>IFERROR(__xludf.DUMMYFUNCTION("""COMPUTED_VALUE"""),"New Delhi")</f>
        <v>New Delhi</v>
      </c>
      <c r="N457" s="124" t="str">
        <f>IFERROR(__xludf.DUMMYFUNCTION("""COMPUTED_VALUE"""),"shuklarunak19@gmail.com")</f>
        <v>shuklarunak19@gmail.com</v>
      </c>
      <c r="O457" s="124" t="str">
        <f>IFERROR(__xludf.DUMMYFUNCTION("""COMPUTED_VALUE"""),"Ronak")</f>
        <v>Ronak</v>
      </c>
      <c r="P457" s="124">
        <f>IFERROR(__xludf.DUMMYFUNCTION("""COMPUTED_VALUE"""),124438.0)</f>
        <v>124438</v>
      </c>
      <c r="Q457" s="124" t="str">
        <f>IFERROR(__xludf.DUMMYFUNCTION("""COMPUTED_VALUE"""),"6576 - UPSC GS Foundation Hinglish Target 2027 February (M) - ORN")</f>
        <v>6576 - UPSC GS Foundation Hinglish Target 2027 February (M) - ORN</v>
      </c>
      <c r="R457" s="124" t="str">
        <f>IFERROR(__xludf.DUMMYFUNCTION("""COMPUTED_VALUE"""),"GS Foundation Course")</f>
        <v>GS Foundation Course</v>
      </c>
      <c r="S457" s="124">
        <f>IFERROR(__xludf.DUMMYFUNCTION("""COMPUTED_VALUE"""),9.968253533E9)</f>
        <v>9968253533</v>
      </c>
      <c r="T457" s="124" t="str">
        <f>IFERROR(__xludf.DUMMYFUNCTION("""COMPUTED_VALUE"""),"Collexo")</f>
        <v>Collexo</v>
      </c>
      <c r="U457" s="124" t="str">
        <f>IFERROR(__xludf.DUMMYFUNCTION("""COMPUTED_VALUE"""),"Success")</f>
        <v>Success</v>
      </c>
      <c r="V457" s="131">
        <f>IFERROR(__xludf.DUMMYFUNCTION("""COMPUTED_VALUE"""),46075.0)</f>
        <v>46075</v>
      </c>
      <c r="W457" s="124">
        <f>IFERROR(__xludf.DUMMYFUNCTION("""COMPUTED_VALUE"""),0.0)</f>
        <v>0</v>
      </c>
    </row>
    <row r="458">
      <c r="A458" s="124" t="str">
        <f t="shared" si="1"/>
        <v>robinsinghjee@gmail.com</v>
      </c>
      <c r="B458" s="131">
        <f>IFERROR(__xludf.DUMMYFUNCTION("""COMPUTED_VALUE"""),46092.0)</f>
        <v>46092</v>
      </c>
      <c r="C458" s="124" t="str">
        <f>IFERROR(__xludf.DUMMYFUNCTION("""COMPUTED_VALUE"""),"Payment data from Collexo")</f>
        <v>Payment data from Collexo</v>
      </c>
      <c r="D458" s="124" t="str">
        <f>IFERROR(__xludf.DUMMYFUNCTION("""COMPUTED_VALUE"""),"Not Available")</f>
        <v>Not Available</v>
      </c>
      <c r="E458" s="124">
        <f>IFERROR(__xludf.DUMMYFUNCTION("""COMPUTED_VALUE"""),1500609.0)</f>
        <v>1500609</v>
      </c>
      <c r="F458" s="124" t="str">
        <f>IFERROR(__xludf.DUMMYFUNCTION("""COMPUTED_VALUE"""),"13634_988_7")</f>
        <v>13634_988_7</v>
      </c>
      <c r="G458" s="124">
        <f>IFERROR(__xludf.DUMMYFUNCTION("""COMPUTED_VALUE"""),1.0)</f>
        <v>1</v>
      </c>
      <c r="H458" s="124" t="str">
        <f>IFERROR(__xludf.DUMMYFUNCTION("""COMPUTED_VALUE"""),"Not Available")</f>
        <v>Not Available</v>
      </c>
      <c r="I458" s="124">
        <f>IFERROR(__xludf.DUMMYFUNCTION("""COMPUTED_VALUE"""),0.0)</f>
        <v>0</v>
      </c>
      <c r="J458" s="124">
        <f>IFERROR(__xludf.DUMMYFUNCTION("""COMPUTED_VALUE"""),1.0)</f>
        <v>1</v>
      </c>
      <c r="K458" s="124">
        <f>IFERROR(__xludf.DUMMYFUNCTION("""COMPUTED_VALUE"""),1.0)</f>
        <v>1</v>
      </c>
      <c r="L458" s="124">
        <f>IFERROR(__xludf.DUMMYFUNCTION("""COMPUTED_VALUE"""),487.0)</f>
        <v>487</v>
      </c>
      <c r="M458" s="124" t="str">
        <f>IFERROR(__xludf.DUMMYFUNCTION("""COMPUTED_VALUE"""),"New Delhi")</f>
        <v>New Delhi</v>
      </c>
      <c r="N458" s="124" t="str">
        <f>IFERROR(__xludf.DUMMYFUNCTION("""COMPUTED_VALUE"""),"robinsinghjee@gmail.com")</f>
        <v>robinsinghjee@gmail.com</v>
      </c>
      <c r="O458" s="124" t="str">
        <f>IFERROR(__xludf.DUMMYFUNCTION("""COMPUTED_VALUE"""),"Aditya")</f>
        <v>Aditya</v>
      </c>
      <c r="P458" s="124">
        <f>IFERROR(__xludf.DUMMYFUNCTION("""COMPUTED_VALUE"""),119859.0)</f>
        <v>119859</v>
      </c>
      <c r="Q458" s="124" t="str">
        <f>IFERROR(__xludf.DUMMYFUNCTION("""COMPUTED_VALUE"""),"upsc-gs-foundation-hinglish-target-2028-gsf-upsc-m05-orn")</f>
        <v>upsc-gs-foundation-hinglish-target-2028-gsf-upsc-m05-orn</v>
      </c>
      <c r="R458" s="124" t="str">
        <f>IFERROR(__xludf.DUMMYFUNCTION("""COMPUTED_VALUE"""),"GS Foundation Course")</f>
        <v>GS Foundation Course</v>
      </c>
      <c r="S458" s="124">
        <f>IFERROR(__xludf.DUMMYFUNCTION("""COMPUTED_VALUE"""),9.279238076E9)</f>
        <v>9279238076</v>
      </c>
      <c r="T458" s="124" t="str">
        <f>IFERROR(__xludf.DUMMYFUNCTION("""COMPUTED_VALUE"""),"Collexo")</f>
        <v>Collexo</v>
      </c>
      <c r="U458" s="124" t="str">
        <f>IFERROR(__xludf.DUMMYFUNCTION("""COMPUTED_VALUE"""),"Success")</f>
        <v>Success</v>
      </c>
      <c r="V458" s="131">
        <f>IFERROR(__xludf.DUMMYFUNCTION("""COMPUTED_VALUE"""),46092.0)</f>
        <v>46092</v>
      </c>
      <c r="W458" s="124">
        <f>IFERROR(__xludf.DUMMYFUNCTION("""COMPUTED_VALUE"""),0.0)</f>
        <v>0</v>
      </c>
    </row>
    <row r="459">
      <c r="A459" s="124" t="str">
        <f t="shared" si="1"/>
        <v>Tanmay8508@gmail.com</v>
      </c>
      <c r="B459" s="131">
        <f>IFERROR(__xludf.DUMMYFUNCTION("""COMPUTED_VALUE"""),46099.0)</f>
        <v>46099</v>
      </c>
      <c r="C459" s="124" t="str">
        <f>IFERROR(__xludf.DUMMYFUNCTION("""COMPUTED_VALUE"""),"Payment data from Collexo")</f>
        <v>Payment data from Collexo</v>
      </c>
      <c r="D459" s="124" t="str">
        <f>IFERROR(__xludf.DUMMYFUNCTION("""COMPUTED_VALUE"""),"Not Available")</f>
        <v>Not Available</v>
      </c>
      <c r="E459" s="124">
        <f>IFERROR(__xludf.DUMMYFUNCTION("""COMPUTED_VALUE"""),1500609.0)</f>
        <v>1500609</v>
      </c>
      <c r="F459" s="124" t="str">
        <f>IFERROR(__xludf.DUMMYFUNCTION("""COMPUTED_VALUE"""),"15111_988_7")</f>
        <v>15111_988_7</v>
      </c>
      <c r="G459" s="124">
        <f>IFERROR(__xludf.DUMMYFUNCTION("""COMPUTED_VALUE"""),26320.0)</f>
        <v>26320</v>
      </c>
      <c r="H459" s="131">
        <f>IFERROR(__xludf.DUMMYFUNCTION("""COMPUTED_VALUE"""),46112.0)</f>
        <v>46112</v>
      </c>
      <c r="I459" s="124">
        <f>IFERROR(__xludf.DUMMYFUNCTION("""COMPUTED_VALUE"""),103680.0)</f>
        <v>103680</v>
      </c>
      <c r="J459" s="124">
        <f>IFERROR(__xludf.DUMMYFUNCTION("""COMPUTED_VALUE"""),140000.0)</f>
        <v>140000</v>
      </c>
      <c r="K459" s="124">
        <f>IFERROR(__xludf.DUMMYFUNCTION("""COMPUTED_VALUE"""),3.0)</f>
        <v>3</v>
      </c>
      <c r="L459" s="124">
        <f>IFERROR(__xludf.DUMMYFUNCTION("""COMPUTED_VALUE"""),606.0)</f>
        <v>606</v>
      </c>
      <c r="M459" s="124" t="str">
        <f>IFERROR(__xludf.DUMMYFUNCTION("""COMPUTED_VALUE"""),"New Delhi")</f>
        <v>New Delhi</v>
      </c>
      <c r="N459" s="124" t="str">
        <f>IFERROR(__xludf.DUMMYFUNCTION("""COMPUTED_VALUE"""),"Tanmay8508@gmail.com")</f>
        <v>Tanmay8508@gmail.com</v>
      </c>
      <c r="O459" s="124" t="str">
        <f>IFERROR(__xludf.DUMMYFUNCTION("""COMPUTED_VALUE"""),"Tanmay Shanker")</f>
        <v>Tanmay Shanker</v>
      </c>
      <c r="P459" s="124">
        <f>IFERROR(__xludf.DUMMYFUNCTION("""COMPUTED_VALUE"""),124242.0)</f>
        <v>124242</v>
      </c>
      <c r="Q459" s="124" t="str">
        <f>IFERROR(__xludf.DUMMYFUNCTION("""COMPUTED_VALUE"""),"upsc-gs-foundation-hinglish-target-2028-gsf-upsc-m05-orn")</f>
        <v>upsc-gs-foundation-hinglish-target-2028-gsf-upsc-m05-orn</v>
      </c>
      <c r="R459" s="124" t="str">
        <f>IFERROR(__xludf.DUMMYFUNCTION("""COMPUTED_VALUE"""),"GS Foundation Course")</f>
        <v>GS Foundation Course</v>
      </c>
      <c r="S459" s="124">
        <f>IFERROR(__xludf.DUMMYFUNCTION("""COMPUTED_VALUE"""),8.233763689E9)</f>
        <v>8233763689</v>
      </c>
      <c r="T459" s="124" t="str">
        <f>IFERROR(__xludf.DUMMYFUNCTION("""COMPUTED_VALUE"""),"Collexo")</f>
        <v>Collexo</v>
      </c>
      <c r="U459" s="124" t="str">
        <f>IFERROR(__xludf.DUMMYFUNCTION("""COMPUTED_VALUE"""),"Success")</f>
        <v>Success</v>
      </c>
      <c r="V459" s="131">
        <f>IFERROR(__xludf.DUMMYFUNCTION("""COMPUTED_VALUE"""),46099.0)</f>
        <v>46099</v>
      </c>
      <c r="W459" s="124">
        <f>IFERROR(__xludf.DUMMYFUNCTION("""COMPUTED_VALUE"""),0.0)</f>
        <v>0</v>
      </c>
    </row>
    <row r="460">
      <c r="A460" s="124" t="str">
        <f t="shared" si="1"/>
        <v>vivkyyadav33855@gmail.com</v>
      </c>
      <c r="B460" s="131">
        <f>IFERROR(__xludf.DUMMYFUNCTION("""COMPUTED_VALUE"""),46104.0)</f>
        <v>46104</v>
      </c>
      <c r="C460" s="124" t="str">
        <f>IFERROR(__xludf.DUMMYFUNCTION("""COMPUTED_VALUE"""),"Payment data from Collexo")</f>
        <v>Payment data from Collexo</v>
      </c>
      <c r="D460" s="124" t="str">
        <f>IFERROR(__xludf.DUMMYFUNCTION("""COMPUTED_VALUE"""),"Not Available")</f>
        <v>Not Available</v>
      </c>
      <c r="E460" s="124">
        <f>IFERROR(__xludf.DUMMYFUNCTION("""COMPUTED_VALUE"""),1500613.0)</f>
        <v>1500613</v>
      </c>
      <c r="F460" s="124">
        <f>IFERROR(__xludf.DUMMYFUNCTION("""COMPUTED_VALUE"""),130348.0)</f>
        <v>130348</v>
      </c>
      <c r="G460" s="124">
        <f>IFERROR(__xludf.DUMMYFUNCTION("""COMPUTED_VALUE"""),5000.0)</f>
        <v>5000</v>
      </c>
      <c r="H460" s="131">
        <f>IFERROR(__xludf.DUMMYFUNCTION("""COMPUTED_VALUE"""),46117.0)</f>
        <v>46117</v>
      </c>
      <c r="I460" s="124">
        <f>IFERROR(__xludf.DUMMYFUNCTION("""COMPUTED_VALUE"""),17000.0)</f>
        <v>17000</v>
      </c>
      <c r="J460" s="124">
        <f>IFERROR(__xludf.DUMMYFUNCTION("""COMPUTED_VALUE"""),22000.0)</f>
        <v>22000</v>
      </c>
      <c r="K460" s="124">
        <f>IFERROR(__xludf.DUMMYFUNCTION("""COMPUTED_VALUE"""),2.0)</f>
        <v>2</v>
      </c>
      <c r="L460" s="124">
        <f>IFERROR(__xludf.DUMMYFUNCTION("""COMPUTED_VALUE"""),695.0)</f>
        <v>695</v>
      </c>
      <c r="M460" s="124" t="str">
        <f>IFERROR(__xludf.DUMMYFUNCTION("""COMPUTED_VALUE"""),"Prayagraj")</f>
        <v>Prayagraj</v>
      </c>
      <c r="N460" s="124" t="str">
        <f>IFERROR(__xludf.DUMMYFUNCTION("""COMPUTED_VALUE"""),"vivkyyadav33855@gmail.com")</f>
        <v>vivkyyadav33855@gmail.com</v>
      </c>
      <c r="O460" s="124" t="str">
        <f>IFERROR(__xludf.DUMMYFUNCTION("""COMPUTED_VALUE"""),"Vicky yadav")</f>
        <v>Vicky yadav</v>
      </c>
      <c r="P460" s="124">
        <f>IFERROR(__xludf.DUMMYFUNCTION("""COMPUTED_VALUE"""),130348.0)</f>
        <v>130348</v>
      </c>
      <c r="Q460" s="124" t="str">
        <f>IFERROR(__xludf.DUMMYFUNCTION("""COMPUTED_VALUE"""),"samadhan-mentorship-program-pry")</f>
        <v>samadhan-mentorship-program-pry</v>
      </c>
      <c r="R460" s="124" t="str">
        <f>IFERROR(__xludf.DUMMYFUNCTION("""COMPUTED_VALUE"""),"Mentorship - Samadhan")</f>
        <v>Mentorship - Samadhan</v>
      </c>
      <c r="S460" s="124">
        <f>IFERROR(__xludf.DUMMYFUNCTION("""COMPUTED_VALUE"""),9.55575693E9)</f>
        <v>9555756930</v>
      </c>
      <c r="T460" s="124" t="str">
        <f>IFERROR(__xludf.DUMMYFUNCTION("""COMPUTED_VALUE"""),"Not Available")</f>
        <v>Not Available</v>
      </c>
      <c r="U460" s="124" t="str">
        <f>IFERROR(__xludf.DUMMYFUNCTION("""COMPUTED_VALUE"""),"Not Available")</f>
        <v>Not Available</v>
      </c>
      <c r="V460" s="124" t="str">
        <f>IFERROR(__xludf.DUMMYFUNCTION("""COMPUTED_VALUE"""),"Not Available")</f>
        <v>Not Available</v>
      </c>
      <c r="W460" s="124" t="str">
        <f>IFERROR(__xludf.DUMMYFUNCTION("""COMPUTED_VALUE"""),"Not Available")</f>
        <v>Not Available</v>
      </c>
    </row>
    <row r="461">
      <c r="A461" s="124" t="str">
        <f t="shared" si="1"/>
        <v>rakshandabusiness3@gmail.com</v>
      </c>
      <c r="B461" s="131">
        <f>IFERROR(__xludf.DUMMYFUNCTION("""COMPUTED_VALUE"""),46062.0)</f>
        <v>46062</v>
      </c>
      <c r="C461" s="124" t="str">
        <f>IFERROR(__xludf.DUMMYFUNCTION("""COMPUTED_VALUE"""),"Payment data from Collexo")</f>
        <v>Payment data from Collexo</v>
      </c>
      <c r="D461" s="124" t="str">
        <f>IFERROR(__xludf.DUMMYFUNCTION("""COMPUTED_VALUE"""),"Not Available")</f>
        <v>Not Available</v>
      </c>
      <c r="E461" s="124">
        <f>IFERROR(__xludf.DUMMYFUNCTION("""COMPUTED_VALUE"""),1500609.0)</f>
        <v>1500609</v>
      </c>
      <c r="F461" s="124" t="str">
        <f>IFERROR(__xludf.DUMMYFUNCTION("""COMPUTED_VALUE"""),"4371_988_7")</f>
        <v>4371_988_7</v>
      </c>
      <c r="G461" s="124">
        <f>IFERROR(__xludf.DUMMYFUNCTION("""COMPUTED_VALUE"""),5000.0)</f>
        <v>5000</v>
      </c>
      <c r="H461" s="131">
        <f>IFERROR(__xludf.DUMMYFUNCTION("""COMPUTED_VALUE"""),46073.0)</f>
        <v>46073</v>
      </c>
      <c r="I461" s="124">
        <f>IFERROR(__xludf.DUMMYFUNCTION("""COMPUTED_VALUE"""),110000.0)</f>
        <v>110000</v>
      </c>
      <c r="J461" s="124">
        <f>IFERROR(__xludf.DUMMYFUNCTION("""COMPUTED_VALUE"""),115000.0)</f>
        <v>115000</v>
      </c>
      <c r="K461" s="124">
        <f>IFERROR(__xludf.DUMMYFUNCTION("""COMPUTED_VALUE"""),2.0)</f>
        <v>2</v>
      </c>
      <c r="L461" s="124">
        <f>IFERROR(__xludf.DUMMYFUNCTION("""COMPUTED_VALUE"""),186.0)</f>
        <v>186</v>
      </c>
      <c r="M461" s="124" t="str">
        <f>IFERROR(__xludf.DUMMYFUNCTION("""COMPUTED_VALUE"""),"New Delhi")</f>
        <v>New Delhi</v>
      </c>
      <c r="N461" s="124" t="str">
        <f>IFERROR(__xludf.DUMMYFUNCTION("""COMPUTED_VALUE"""),"rakshandabusiness3@gmail.com")</f>
        <v>rakshandabusiness3@gmail.com</v>
      </c>
      <c r="O461" s="124" t="str">
        <f>IFERROR(__xludf.DUMMYFUNCTION("""COMPUTED_VALUE"""),"Rakshanda dinesh Gedam")</f>
        <v>Rakshanda dinesh Gedam</v>
      </c>
      <c r="P461" s="124">
        <f>IFERROR(__xludf.DUMMYFUNCTION("""COMPUTED_VALUE"""),120067.0)</f>
        <v>120067</v>
      </c>
      <c r="Q461" s="124" t="str">
        <f>IFERROR(__xludf.DUMMYFUNCTION("""COMPUTED_VALUE"""),"upsc-gs-foundation-hinglish-target-2027-gsf-upsc-e01-orn")</f>
        <v>upsc-gs-foundation-hinglish-target-2027-gsf-upsc-e01-orn</v>
      </c>
      <c r="R461" s="124" t="str">
        <f>IFERROR(__xludf.DUMMYFUNCTION("""COMPUTED_VALUE"""),"GS Foundation Course")</f>
        <v>GS Foundation Course</v>
      </c>
      <c r="S461" s="124">
        <f>IFERROR(__xludf.DUMMYFUNCTION("""COMPUTED_VALUE"""),7.506300561E9)</f>
        <v>7506300561</v>
      </c>
      <c r="T461" s="124" t="str">
        <f>IFERROR(__xludf.DUMMYFUNCTION("""COMPUTED_VALUE"""),"Collexo")</f>
        <v>Collexo</v>
      </c>
      <c r="U461" s="124" t="str">
        <f>IFERROR(__xludf.DUMMYFUNCTION("""COMPUTED_VALUE"""),"Success")</f>
        <v>Success</v>
      </c>
      <c r="V461" s="131">
        <f>IFERROR(__xludf.DUMMYFUNCTION("""COMPUTED_VALUE"""),46062.0)</f>
        <v>46062</v>
      </c>
      <c r="W461" s="124">
        <f>IFERROR(__xludf.DUMMYFUNCTION("""COMPUTED_VALUE"""),0.0)</f>
        <v>0</v>
      </c>
    </row>
    <row r="462">
      <c r="A462" s="124" t="str">
        <f t="shared" si="1"/>
        <v>Tanmay8508@gmail.com</v>
      </c>
      <c r="B462" s="131">
        <f>IFERROR(__xludf.DUMMYFUNCTION("""COMPUTED_VALUE"""),46078.0)</f>
        <v>46078</v>
      </c>
      <c r="C462" s="124" t="str">
        <f>IFERROR(__xludf.DUMMYFUNCTION("""COMPUTED_VALUE"""),"Payment data from Collexo")</f>
        <v>Payment data from Collexo</v>
      </c>
      <c r="D462" s="124" t="str">
        <f>IFERROR(__xludf.DUMMYFUNCTION("""COMPUTED_VALUE"""),"Not Available")</f>
        <v>Not Available</v>
      </c>
      <c r="E462" s="124">
        <f>IFERROR(__xludf.DUMMYFUNCTION("""COMPUTED_VALUE"""),1500609.0)</f>
        <v>1500609</v>
      </c>
      <c r="F462" s="124" t="str">
        <f>IFERROR(__xludf.DUMMYFUNCTION("""COMPUTED_VALUE"""),"10996_988_7")</f>
        <v>10996_988_7</v>
      </c>
      <c r="G462" s="124">
        <f>IFERROR(__xludf.DUMMYFUNCTION("""COMPUTED_VALUE"""),1.0)</f>
        <v>1</v>
      </c>
      <c r="H462" s="124" t="str">
        <f>IFERROR(__xludf.DUMMYFUNCTION("""COMPUTED_VALUE"""),"Not Available")</f>
        <v>Not Available</v>
      </c>
      <c r="I462" s="124">
        <f>IFERROR(__xludf.DUMMYFUNCTION("""COMPUTED_VALUE"""),0.0)</f>
        <v>0</v>
      </c>
      <c r="J462" s="124">
        <f>IFERROR(__xludf.DUMMYFUNCTION("""COMPUTED_VALUE"""),1.0)</f>
        <v>1</v>
      </c>
      <c r="K462" s="124">
        <f>IFERROR(__xludf.DUMMYFUNCTION("""COMPUTED_VALUE"""),1.0)</f>
        <v>1</v>
      </c>
      <c r="L462" s="124">
        <f>IFERROR(__xludf.DUMMYFUNCTION("""COMPUTED_VALUE"""),341.0)</f>
        <v>341</v>
      </c>
      <c r="M462" s="124" t="str">
        <f>IFERROR(__xludf.DUMMYFUNCTION("""COMPUTED_VALUE"""),"New Delhi")</f>
        <v>New Delhi</v>
      </c>
      <c r="N462" s="124" t="str">
        <f>IFERROR(__xludf.DUMMYFUNCTION("""COMPUTED_VALUE"""),"Tanmay8508@gmail.com")</f>
        <v>Tanmay8508@gmail.com</v>
      </c>
      <c r="O462" s="124" t="str">
        <f>IFERROR(__xludf.DUMMYFUNCTION("""COMPUTED_VALUE"""),"Tanmay Shanker")</f>
        <v>Tanmay Shanker</v>
      </c>
      <c r="P462" s="124">
        <f>IFERROR(__xludf.DUMMYFUNCTION("""COMPUTED_VALUE"""),124242.0)</f>
        <v>124242</v>
      </c>
      <c r="Q462" s="124" t="str">
        <f>IFERROR(__xludf.DUMMYFUNCTION("""COMPUTED_VALUE"""),"upsc-gs-foundation-hinglish-target-2028-gsf-upsc-m05-orn")</f>
        <v>upsc-gs-foundation-hinglish-target-2028-gsf-upsc-m05-orn</v>
      </c>
      <c r="R462" s="124" t="str">
        <f>IFERROR(__xludf.DUMMYFUNCTION("""COMPUTED_VALUE"""),"GS Foundation Course")</f>
        <v>GS Foundation Course</v>
      </c>
      <c r="S462" s="124">
        <f>IFERROR(__xludf.DUMMYFUNCTION("""COMPUTED_VALUE"""),8.233763689E9)</f>
        <v>8233763689</v>
      </c>
      <c r="T462" s="124" t="str">
        <f>IFERROR(__xludf.DUMMYFUNCTION("""COMPUTED_VALUE"""),"Collexo")</f>
        <v>Collexo</v>
      </c>
      <c r="U462" s="124" t="str">
        <f>IFERROR(__xludf.DUMMYFUNCTION("""COMPUTED_VALUE"""),"Success")</f>
        <v>Success</v>
      </c>
      <c r="V462" s="131">
        <f>IFERROR(__xludf.DUMMYFUNCTION("""COMPUTED_VALUE"""),46078.0)</f>
        <v>46078</v>
      </c>
      <c r="W462" s="124">
        <f>IFERROR(__xludf.DUMMYFUNCTION("""COMPUTED_VALUE"""),0.0)</f>
        <v>0</v>
      </c>
    </row>
    <row r="463">
      <c r="A463" s="124" t="str">
        <f t="shared" si="1"/>
        <v>princesschoudhary847@gmail.com</v>
      </c>
      <c r="B463" s="131">
        <f>IFERROR(__xludf.DUMMYFUNCTION("""COMPUTED_VALUE"""),46081.0)</f>
        <v>46081</v>
      </c>
      <c r="C463" s="124" t="str">
        <f>IFERROR(__xludf.DUMMYFUNCTION("""COMPUTED_VALUE"""),"Payment data from Collexo")</f>
        <v>Payment data from Collexo</v>
      </c>
      <c r="D463" s="124" t="str">
        <f>IFERROR(__xludf.DUMMYFUNCTION("""COMPUTED_VALUE"""),"Not Available")</f>
        <v>Not Available</v>
      </c>
      <c r="E463" s="124">
        <f>IFERROR(__xludf.DUMMYFUNCTION("""COMPUTED_VALUE"""),1500611.0)</f>
        <v>1500611</v>
      </c>
      <c r="F463" s="124">
        <f>IFERROR(__xludf.DUMMYFUNCTION("""COMPUTED_VALUE"""),125024.0)</f>
        <v>125024</v>
      </c>
      <c r="G463" s="124">
        <f>IFERROR(__xludf.DUMMYFUNCTION("""COMPUTED_VALUE"""),1767.0)</f>
        <v>1767</v>
      </c>
      <c r="H463" s="131">
        <f>IFERROR(__xludf.DUMMYFUNCTION("""COMPUTED_VALUE"""),46081.0)</f>
        <v>46081</v>
      </c>
      <c r="I463" s="124">
        <f>IFERROR(__xludf.DUMMYFUNCTION("""COMPUTED_VALUE"""),36000.0)</f>
        <v>36000</v>
      </c>
      <c r="J463" s="124">
        <f>IFERROR(__xludf.DUMMYFUNCTION("""COMPUTED_VALUE"""),40767.0)</f>
        <v>40767</v>
      </c>
      <c r="K463" s="124">
        <f>IFERROR(__xludf.DUMMYFUNCTION("""COMPUTED_VALUE"""),3.0)</f>
        <v>3</v>
      </c>
      <c r="L463" s="124">
        <f>IFERROR(__xludf.DUMMYFUNCTION("""COMPUTED_VALUE"""),386.0)</f>
        <v>386</v>
      </c>
      <c r="M463" s="124" t="str">
        <f>IFERROR(__xludf.DUMMYFUNCTION("""COMPUTED_VALUE"""),"Patna")</f>
        <v>Patna</v>
      </c>
      <c r="N463" s="124" t="str">
        <f>IFERROR(__xludf.DUMMYFUNCTION("""COMPUTED_VALUE"""),"princesschoudhary847@gmail.com")</f>
        <v>princesschoudhary847@gmail.com</v>
      </c>
      <c r="O463" s="124" t="str">
        <f>IFERROR(__xludf.DUMMYFUNCTION("""COMPUTED_VALUE"""),"PRINCESS CHOUDHARY")</f>
        <v>PRINCESS CHOUDHARY</v>
      </c>
      <c r="P463" s="124">
        <f>IFERROR(__xludf.DUMMYFUNCTION("""COMPUTED_VALUE"""),125024.0)</f>
        <v>125024</v>
      </c>
      <c r="Q463" s="124" t="str">
        <f>IFERROR(__xludf.DUMMYFUNCTION("""COMPUTED_VALUE"""),"bpsc-gs-foundation-hinglish-target-2026-gsf-bpsc-e02-pat")</f>
        <v>bpsc-gs-foundation-hinglish-target-2026-gsf-bpsc-e02-pat</v>
      </c>
      <c r="R463" s="124" t="str">
        <f>IFERROR(__xludf.DUMMYFUNCTION("""COMPUTED_VALUE"""),"State PCS")</f>
        <v>State PCS</v>
      </c>
      <c r="S463" s="124">
        <f>IFERROR(__xludf.DUMMYFUNCTION("""COMPUTED_VALUE"""),8.21038795E9)</f>
        <v>8210387950</v>
      </c>
      <c r="T463" s="124" t="str">
        <f>IFERROR(__xludf.DUMMYFUNCTION("""COMPUTED_VALUE"""),"Not Available")</f>
        <v>Not Available</v>
      </c>
      <c r="U463" s="124" t="str">
        <f>IFERROR(__xludf.DUMMYFUNCTION("""COMPUTED_VALUE"""),"Not Available")</f>
        <v>Not Available</v>
      </c>
      <c r="V463" s="124" t="str">
        <f>IFERROR(__xludf.DUMMYFUNCTION("""COMPUTED_VALUE"""),"Not Available")</f>
        <v>Not Available</v>
      </c>
      <c r="W463" s="124" t="str">
        <f>IFERROR(__xludf.DUMMYFUNCTION("""COMPUTED_VALUE"""),"Not Available")</f>
        <v>Not Available</v>
      </c>
    </row>
    <row r="464">
      <c r="A464" s="124" t="str">
        <f t="shared" si="1"/>
        <v>advgautamsingh1kbc@gmail.com</v>
      </c>
      <c r="B464" s="131">
        <f>IFERROR(__xludf.DUMMYFUNCTION("""COMPUTED_VALUE"""),46081.0)</f>
        <v>46081</v>
      </c>
      <c r="C464" s="124" t="str">
        <f>IFERROR(__xludf.DUMMYFUNCTION("""COMPUTED_VALUE"""),"Payment data from Collexo")</f>
        <v>Payment data from Collexo</v>
      </c>
      <c r="D464" s="124" t="str">
        <f>IFERROR(__xludf.DUMMYFUNCTION("""COMPUTED_VALUE"""),"Not Available")</f>
        <v>Not Available</v>
      </c>
      <c r="E464" s="124">
        <f>IFERROR(__xludf.DUMMYFUNCTION("""COMPUTED_VALUE"""),1500613.0)</f>
        <v>1500613</v>
      </c>
      <c r="F464" s="124">
        <f>IFERROR(__xludf.DUMMYFUNCTION("""COMPUTED_VALUE"""),125547.0)</f>
        <v>125547</v>
      </c>
      <c r="G464" s="124">
        <f>IFERROR(__xludf.DUMMYFUNCTION("""COMPUTED_VALUE"""),2000.0)</f>
        <v>2000</v>
      </c>
      <c r="H464" s="131">
        <f>IFERROR(__xludf.DUMMYFUNCTION("""COMPUTED_VALUE"""),46081.0)</f>
        <v>46081</v>
      </c>
      <c r="I464" s="124">
        <f>IFERROR(__xludf.DUMMYFUNCTION("""COMPUTED_VALUE"""),38000.0)</f>
        <v>38000</v>
      </c>
      <c r="J464" s="124">
        <f>IFERROR(__xludf.DUMMYFUNCTION("""COMPUTED_VALUE"""),40000.0)</f>
        <v>40000</v>
      </c>
      <c r="K464" s="124">
        <f>IFERROR(__xludf.DUMMYFUNCTION("""COMPUTED_VALUE"""),2.0)</f>
        <v>2</v>
      </c>
      <c r="L464" s="124">
        <f>IFERROR(__xludf.DUMMYFUNCTION("""COMPUTED_VALUE"""),389.0)</f>
        <v>389</v>
      </c>
      <c r="M464" s="124" t="str">
        <f>IFERROR(__xludf.DUMMYFUNCTION("""COMPUTED_VALUE"""),"Prayagraj")</f>
        <v>Prayagraj</v>
      </c>
      <c r="N464" s="124" t="str">
        <f>IFERROR(__xludf.DUMMYFUNCTION("""COMPUTED_VALUE"""),"advgautamsingh1kbc@gmail.com")</f>
        <v>advgautamsingh1kbc@gmail.com</v>
      </c>
      <c r="O464" s="124" t="str">
        <f>IFERROR(__xludf.DUMMYFUNCTION("""COMPUTED_VALUE"""),"Gautam Singh")</f>
        <v>Gautam Singh</v>
      </c>
      <c r="P464" s="124">
        <f>IFERROR(__xludf.DUMMYFUNCTION("""COMPUTED_VALUE"""),125547.0)</f>
        <v>125547</v>
      </c>
      <c r="Q464" s="124" t="str">
        <f>IFERROR(__xludf.DUMMYFUNCTION("""COMPUTED_VALUE"""),"upsc-gs-foundation-hindi-target-2027-gsf-upsc-m02-pry")</f>
        <v>upsc-gs-foundation-hindi-target-2027-gsf-upsc-m02-pry</v>
      </c>
      <c r="R464" s="124" t="str">
        <f>IFERROR(__xludf.DUMMYFUNCTION("""COMPUTED_VALUE"""),"GS Foundation Course")</f>
        <v>GS Foundation Course</v>
      </c>
      <c r="S464" s="124">
        <f>IFERROR(__xludf.DUMMYFUNCTION("""COMPUTED_VALUE"""),9.651624387E9)</f>
        <v>9651624387</v>
      </c>
      <c r="T464" s="124" t="str">
        <f>IFERROR(__xludf.DUMMYFUNCTION("""COMPUTED_VALUE"""),"Not Available")</f>
        <v>Not Available</v>
      </c>
      <c r="U464" s="124" t="str">
        <f>IFERROR(__xludf.DUMMYFUNCTION("""COMPUTED_VALUE"""),"Not Available")</f>
        <v>Not Available</v>
      </c>
      <c r="V464" s="124" t="str">
        <f>IFERROR(__xludf.DUMMYFUNCTION("""COMPUTED_VALUE"""),"Not Available")</f>
        <v>Not Available</v>
      </c>
      <c r="W464" s="124" t="str">
        <f>IFERROR(__xludf.DUMMYFUNCTION("""COMPUTED_VALUE"""),"Not Available")</f>
        <v>Not Available</v>
      </c>
    </row>
    <row r="465">
      <c r="A465" s="124" t="str">
        <f t="shared" si="1"/>
        <v>muskanverma9450@gmail.com</v>
      </c>
      <c r="B465" s="131">
        <f>IFERROR(__xludf.DUMMYFUNCTION("""COMPUTED_VALUE"""),46100.0)</f>
        <v>46100</v>
      </c>
      <c r="C465" s="124" t="str">
        <f>IFERROR(__xludf.DUMMYFUNCTION("""COMPUTED_VALUE"""),"Payment data from Collexo")</f>
        <v>Payment data from Collexo</v>
      </c>
      <c r="D465" s="124" t="str">
        <f>IFERROR(__xludf.DUMMYFUNCTION("""COMPUTED_VALUE"""),"Not Available")</f>
        <v>Not Available</v>
      </c>
      <c r="E465" s="124">
        <f>IFERROR(__xludf.DUMMYFUNCTION("""COMPUTED_VALUE"""),1500613.0)</f>
        <v>1500613</v>
      </c>
      <c r="F465" s="124">
        <f>IFERROR(__xludf.DUMMYFUNCTION("""COMPUTED_VALUE"""),14117.0)</f>
        <v>14117</v>
      </c>
      <c r="G465" s="124">
        <f>IFERROR(__xludf.DUMMYFUNCTION("""COMPUTED_VALUE"""),34000.0)</f>
        <v>34000</v>
      </c>
      <c r="H465" s="124" t="str">
        <f>IFERROR(__xludf.DUMMYFUNCTION("""COMPUTED_VALUE"""),"Not Available")</f>
        <v>Not Available</v>
      </c>
      <c r="I465" s="124">
        <f>IFERROR(__xludf.DUMMYFUNCTION("""COMPUTED_VALUE"""),0.0)</f>
        <v>0</v>
      </c>
      <c r="J465" s="124">
        <f>IFERROR(__xludf.DUMMYFUNCTION("""COMPUTED_VALUE"""),35000.0)</f>
        <v>35000</v>
      </c>
      <c r="K465" s="124">
        <f>IFERROR(__xludf.DUMMYFUNCTION("""COMPUTED_VALUE"""),2.0)</f>
        <v>2</v>
      </c>
      <c r="L465" s="124">
        <f>IFERROR(__xludf.DUMMYFUNCTION("""COMPUTED_VALUE"""),615.0)</f>
        <v>615</v>
      </c>
      <c r="M465" s="124" t="str">
        <f>IFERROR(__xludf.DUMMYFUNCTION("""COMPUTED_VALUE"""),"Prayagraj")</f>
        <v>Prayagraj</v>
      </c>
      <c r="N465" s="124" t="str">
        <f>IFERROR(__xludf.DUMMYFUNCTION("""COMPUTED_VALUE"""),"muskanverma9450@gmail.com")</f>
        <v>muskanverma9450@gmail.com</v>
      </c>
      <c r="O465" s="124" t="str">
        <f>IFERROR(__xludf.DUMMYFUNCTION("""COMPUTED_VALUE"""),"Priyanka")</f>
        <v>Priyanka</v>
      </c>
      <c r="P465" s="124">
        <f>IFERROR(__xludf.DUMMYFUNCTION("""COMPUTED_VALUE"""),14117.0)</f>
        <v>14117</v>
      </c>
      <c r="Q465" s="124" t="str">
        <f>IFERROR(__xludf.DUMMYFUNCTION("""COMPUTED_VALUE"""),"upsc-gs-foundation-hindi-target-2027-gsf-upsc-m02-pry")</f>
        <v>upsc-gs-foundation-hindi-target-2027-gsf-upsc-m02-pry</v>
      </c>
      <c r="R465" s="124" t="str">
        <f>IFERROR(__xludf.DUMMYFUNCTION("""COMPUTED_VALUE"""),"GS Foundation Course")</f>
        <v>GS Foundation Course</v>
      </c>
      <c r="S465" s="124">
        <f>IFERROR(__xludf.DUMMYFUNCTION("""COMPUTED_VALUE"""),8.31800046E9)</f>
        <v>8318000460</v>
      </c>
      <c r="T465" s="124" t="str">
        <f>IFERROR(__xludf.DUMMYFUNCTION("""COMPUTED_VALUE"""),"Not Available")</f>
        <v>Not Available</v>
      </c>
      <c r="U465" s="124" t="str">
        <f>IFERROR(__xludf.DUMMYFUNCTION("""COMPUTED_VALUE"""),"Not Available")</f>
        <v>Not Available</v>
      </c>
      <c r="V465" s="124" t="str">
        <f>IFERROR(__xludf.DUMMYFUNCTION("""COMPUTED_VALUE"""),"Not Available")</f>
        <v>Not Available</v>
      </c>
      <c r="W465" s="124" t="str">
        <f>IFERROR(__xludf.DUMMYFUNCTION("""COMPUTED_VALUE"""),"Not Available")</f>
        <v>Not Available</v>
      </c>
    </row>
    <row r="466">
      <c r="A466" s="124" t="str">
        <f t="shared" si="1"/>
        <v>chhavi01040@gmail.com</v>
      </c>
      <c r="B466" s="131">
        <f>IFERROR(__xludf.DUMMYFUNCTION("""COMPUTED_VALUE"""),46106.0)</f>
        <v>46106</v>
      </c>
      <c r="C466" s="124" t="str">
        <f>IFERROR(__xludf.DUMMYFUNCTION("""COMPUTED_VALUE"""),"Payment data from Collexo")</f>
        <v>Payment data from Collexo</v>
      </c>
      <c r="D466" s="124" t="str">
        <f>IFERROR(__xludf.DUMMYFUNCTION("""COMPUTED_VALUE"""),"Not Available")</f>
        <v>Not Available</v>
      </c>
      <c r="E466" s="124">
        <f>IFERROR(__xludf.DUMMYFUNCTION("""COMPUTED_VALUE"""),1500609.0)</f>
        <v>1500609</v>
      </c>
      <c r="F466" s="124" t="str">
        <f>IFERROR(__xludf.DUMMYFUNCTION("""COMPUTED_VALUE"""),"16506_988_7")</f>
        <v>16506_988_7</v>
      </c>
      <c r="G466" s="124">
        <f>IFERROR(__xludf.DUMMYFUNCTION("""COMPUTED_VALUE"""),5000.0)</f>
        <v>5000</v>
      </c>
      <c r="H466" s="131">
        <f>IFERROR(__xludf.DUMMYFUNCTION("""COMPUTED_VALUE"""),46112.0)</f>
        <v>46112</v>
      </c>
      <c r="I466" s="124">
        <f>IFERROR(__xludf.DUMMYFUNCTION("""COMPUTED_VALUE"""),135000.0)</f>
        <v>135000</v>
      </c>
      <c r="J466" s="124">
        <f>IFERROR(__xludf.DUMMYFUNCTION("""COMPUTED_VALUE"""),140000.0)</f>
        <v>140000</v>
      </c>
      <c r="K466" s="124">
        <f>IFERROR(__xludf.DUMMYFUNCTION("""COMPUTED_VALUE"""),2.0)</f>
        <v>2</v>
      </c>
      <c r="L466" s="124">
        <f>IFERROR(__xludf.DUMMYFUNCTION("""COMPUTED_VALUE"""),728.0)</f>
        <v>728</v>
      </c>
      <c r="M466" s="124" t="str">
        <f>IFERROR(__xludf.DUMMYFUNCTION("""COMPUTED_VALUE"""),"New Delhi")</f>
        <v>New Delhi</v>
      </c>
      <c r="N466" s="124" t="str">
        <f>IFERROR(__xludf.DUMMYFUNCTION("""COMPUTED_VALUE"""),"chhavi01040@gmail.com")</f>
        <v>chhavi01040@gmail.com</v>
      </c>
      <c r="O466" s="124" t="str">
        <f>IFERROR(__xludf.DUMMYFUNCTION("""COMPUTED_VALUE"""),"Chhavi Rani")</f>
        <v>Chhavi Rani</v>
      </c>
      <c r="P466" s="124">
        <f>IFERROR(__xludf.DUMMYFUNCTION("""COMPUTED_VALUE"""),127683.0)</f>
        <v>127683</v>
      </c>
      <c r="Q466" s="124" t="str">
        <f>IFERROR(__xludf.DUMMYFUNCTION("""COMPUTED_VALUE"""),"upsc-gs-foundation-hinglish-target-2028-gsf-upsc-m04-orn")</f>
        <v>upsc-gs-foundation-hinglish-target-2028-gsf-upsc-m04-orn</v>
      </c>
      <c r="R466" s="124" t="str">
        <f>IFERROR(__xludf.DUMMYFUNCTION("""COMPUTED_VALUE"""),"GS Foundation Course")</f>
        <v>GS Foundation Course</v>
      </c>
      <c r="S466" s="124">
        <f>IFERROR(__xludf.DUMMYFUNCTION("""COMPUTED_VALUE"""),6.388540075E9)</f>
        <v>6388540075</v>
      </c>
      <c r="T466" s="124" t="str">
        <f>IFERROR(__xludf.DUMMYFUNCTION("""COMPUTED_VALUE"""),"Not Available")</f>
        <v>Not Available</v>
      </c>
      <c r="U466" s="124" t="str">
        <f>IFERROR(__xludf.DUMMYFUNCTION("""COMPUTED_VALUE"""),"Not Available")</f>
        <v>Not Available</v>
      </c>
      <c r="V466" s="124" t="str">
        <f>IFERROR(__xludf.DUMMYFUNCTION("""COMPUTED_VALUE"""),"Not Available")</f>
        <v>Not Available</v>
      </c>
      <c r="W466" s="124" t="str">
        <f>IFERROR(__xludf.DUMMYFUNCTION("""COMPUTED_VALUE"""),"Not Available")</f>
        <v>Not Available</v>
      </c>
    </row>
    <row r="467">
      <c r="A467" s="124" t="str">
        <f t="shared" si="1"/>
        <v>pratishtharasaily@gmail.com</v>
      </c>
      <c r="B467" s="131">
        <f>IFERROR(__xludf.DUMMYFUNCTION("""COMPUTED_VALUE"""),46056.0)</f>
        <v>46056</v>
      </c>
      <c r="C467" s="124" t="str">
        <f>IFERROR(__xludf.DUMMYFUNCTION("""COMPUTED_VALUE"""),"Payment data from Collexo")</f>
        <v>Payment data from Collexo</v>
      </c>
      <c r="D467" s="124" t="str">
        <f>IFERROR(__xludf.DUMMYFUNCTION("""COMPUTED_VALUE"""),"Not Available")</f>
        <v>Not Available</v>
      </c>
      <c r="E467" s="124">
        <f>IFERROR(__xludf.DUMMYFUNCTION("""COMPUTED_VALUE"""),1500609.0)</f>
        <v>1500609</v>
      </c>
      <c r="F467" s="124" t="str">
        <f>IFERROR(__xludf.DUMMYFUNCTION("""COMPUTED_VALUE"""),"3667_988_7")</f>
        <v>3667_988_7</v>
      </c>
      <c r="G467" s="124">
        <f>IFERROR(__xludf.DUMMYFUNCTION("""COMPUTED_VALUE"""),108000.0)</f>
        <v>108000</v>
      </c>
      <c r="H467" s="124" t="str">
        <f>IFERROR(__xludf.DUMMYFUNCTION("""COMPUTED_VALUE"""),"Not Available")</f>
        <v>Not Available</v>
      </c>
      <c r="I467" s="124">
        <f>IFERROR(__xludf.DUMMYFUNCTION("""COMPUTED_VALUE"""),0.0)</f>
        <v>0</v>
      </c>
      <c r="J467" s="124">
        <f>IFERROR(__xludf.DUMMYFUNCTION("""COMPUTED_VALUE"""),135000.0)</f>
        <v>135000</v>
      </c>
      <c r="K467" s="124">
        <f>IFERROR(__xludf.DUMMYFUNCTION("""COMPUTED_VALUE"""),3.0)</f>
        <v>3</v>
      </c>
      <c r="L467" s="124">
        <f>IFERROR(__xludf.DUMMYFUNCTION("""COMPUTED_VALUE"""),160.0)</f>
        <v>160</v>
      </c>
      <c r="M467" s="124" t="str">
        <f>IFERROR(__xludf.DUMMYFUNCTION("""COMPUTED_VALUE"""),"New Delhi")</f>
        <v>New Delhi</v>
      </c>
      <c r="N467" s="124" t="str">
        <f>IFERROR(__xludf.DUMMYFUNCTION("""COMPUTED_VALUE"""),"pratishtharasaily@gmail.com")</f>
        <v>pratishtharasaily@gmail.com</v>
      </c>
      <c r="O467" s="124" t="str">
        <f>IFERROR(__xludf.DUMMYFUNCTION("""COMPUTED_VALUE"""),"Pratishta")</f>
        <v>Pratishta</v>
      </c>
      <c r="P467" s="124">
        <f>IFERROR(__xludf.DUMMYFUNCTION("""COMPUTED_VALUE"""),120008.0)</f>
        <v>120008</v>
      </c>
      <c r="Q467" s="124" t="str">
        <f>IFERROR(__xludf.DUMMYFUNCTION("""COMPUTED_VALUE"""),"ncert-foundation-hinglish-target-2026-nce-upsc-e02-orn")</f>
        <v>ncert-foundation-hinglish-target-2026-nce-upsc-e02-orn</v>
      </c>
      <c r="R467" s="124" t="str">
        <f>IFERROR(__xludf.DUMMYFUNCTION("""COMPUTED_VALUE"""),"GS Foundation Course")</f>
        <v>GS Foundation Course</v>
      </c>
      <c r="S467" s="124">
        <f>IFERROR(__xludf.DUMMYFUNCTION("""COMPUTED_VALUE"""),9.735172604E9)</f>
        <v>9735172604</v>
      </c>
      <c r="T467" s="124" t="str">
        <f>IFERROR(__xludf.DUMMYFUNCTION("""COMPUTED_VALUE"""),"Collexo")</f>
        <v>Collexo</v>
      </c>
      <c r="U467" s="124" t="str">
        <f>IFERROR(__xludf.DUMMYFUNCTION("""COMPUTED_VALUE"""),"Success")</f>
        <v>Success</v>
      </c>
      <c r="V467" s="131">
        <f>IFERROR(__xludf.DUMMYFUNCTION("""COMPUTED_VALUE"""),46056.0)</f>
        <v>46056</v>
      </c>
      <c r="W467" s="124">
        <f>IFERROR(__xludf.DUMMYFUNCTION("""COMPUTED_VALUE"""),0.0)</f>
        <v>0</v>
      </c>
    </row>
    <row r="468">
      <c r="A468" s="124" t="str">
        <f t="shared" si="1"/>
        <v>patidarreena291@gmail.com</v>
      </c>
      <c r="B468" s="131">
        <f>IFERROR(__xludf.DUMMYFUNCTION("""COMPUTED_VALUE"""),46071.0)</f>
        <v>46071</v>
      </c>
      <c r="C468" s="124" t="str">
        <f>IFERROR(__xludf.DUMMYFUNCTION("""COMPUTED_VALUE"""),"Payment data from Collexo")</f>
        <v>Payment data from Collexo</v>
      </c>
      <c r="D468" s="124" t="str">
        <f>IFERROR(__xludf.DUMMYFUNCTION("""COMPUTED_VALUE"""),"Not Available")</f>
        <v>Not Available</v>
      </c>
      <c r="E468" s="124">
        <f>IFERROR(__xludf.DUMMYFUNCTION("""COMPUTED_VALUE"""),1500612.0)</f>
        <v>1500612</v>
      </c>
      <c r="F468" s="124">
        <f>IFERROR(__xludf.DUMMYFUNCTION("""COMPUTED_VALUE"""),81523.0)</f>
        <v>81523</v>
      </c>
      <c r="G468" s="124">
        <f>IFERROR(__xludf.DUMMYFUNCTION("""COMPUTED_VALUE"""),2000.0)</f>
        <v>2000</v>
      </c>
      <c r="H468" s="131">
        <f>IFERROR(__xludf.DUMMYFUNCTION("""COMPUTED_VALUE"""),46081.0)</f>
        <v>46081</v>
      </c>
      <c r="I468" s="124">
        <f>IFERROR(__xludf.DUMMYFUNCTION("""COMPUTED_VALUE"""),48000.0)</f>
        <v>48000</v>
      </c>
      <c r="J468" s="124">
        <f>IFERROR(__xludf.DUMMYFUNCTION("""COMPUTED_VALUE"""),50000.0)</f>
        <v>50000</v>
      </c>
      <c r="K468" s="124">
        <f>IFERROR(__xludf.DUMMYFUNCTION("""COMPUTED_VALUE"""),2.0)</f>
        <v>2</v>
      </c>
      <c r="L468" s="124">
        <f>IFERROR(__xludf.DUMMYFUNCTION("""COMPUTED_VALUE"""),248.0)</f>
        <v>248</v>
      </c>
      <c r="M468" s="124" t="str">
        <f>IFERROR(__xludf.DUMMYFUNCTION("""COMPUTED_VALUE"""),"Indore")</f>
        <v>Indore</v>
      </c>
      <c r="N468" s="124" t="str">
        <f>IFERROR(__xludf.DUMMYFUNCTION("""COMPUTED_VALUE"""),"patidarreena291@gmail.com")</f>
        <v>patidarreena291@gmail.com</v>
      </c>
      <c r="O468" s="124" t="str">
        <f>IFERROR(__xludf.DUMMYFUNCTION("""COMPUTED_VALUE"""),"Reena patidar")</f>
        <v>Reena patidar</v>
      </c>
      <c r="P468" s="124">
        <f>IFERROR(__xludf.DUMMYFUNCTION("""COMPUTED_VALUE"""),81523.0)</f>
        <v>81523</v>
      </c>
      <c r="Q468" s="124" t="str">
        <f>IFERROR(__xludf.DUMMYFUNCTION("""COMPUTED_VALUE"""),"madhya-pradesh-psc-gs-foundation-2027-p2i-offline-hindi-batch-2-e-ind")</f>
        <v>madhya-pradesh-psc-gs-foundation-2027-p2i-offline-hindi-batch-2-e-ind</v>
      </c>
      <c r="R468" s="124" t="str">
        <f>IFERROR(__xludf.DUMMYFUNCTION("""COMPUTED_VALUE"""),"State PCS")</f>
        <v>State PCS</v>
      </c>
      <c r="S468" s="124">
        <f>IFERROR(__xludf.DUMMYFUNCTION("""COMPUTED_VALUE"""),9.109581143E9)</f>
        <v>9109581143</v>
      </c>
      <c r="T468" s="124" t="str">
        <f>IFERROR(__xludf.DUMMYFUNCTION("""COMPUTED_VALUE"""),"Not Available")</f>
        <v>Not Available</v>
      </c>
      <c r="U468" s="124" t="str">
        <f>IFERROR(__xludf.DUMMYFUNCTION("""COMPUTED_VALUE"""),"Not Available")</f>
        <v>Not Available</v>
      </c>
      <c r="V468" s="124" t="str">
        <f>IFERROR(__xludf.DUMMYFUNCTION("""COMPUTED_VALUE"""),"Not Available")</f>
        <v>Not Available</v>
      </c>
      <c r="W468" s="124" t="str">
        <f>IFERROR(__xludf.DUMMYFUNCTION("""COMPUTED_VALUE"""),"Not Available")</f>
        <v>Not Available</v>
      </c>
    </row>
    <row r="469">
      <c r="A469" s="124" t="str">
        <f t="shared" si="1"/>
        <v>robinsinghjee@gmail.com</v>
      </c>
      <c r="B469" s="131">
        <f>IFERROR(__xludf.DUMMYFUNCTION("""COMPUTED_VALUE"""),46092.0)</f>
        <v>46092</v>
      </c>
      <c r="C469" s="124" t="str">
        <f>IFERROR(__xludf.DUMMYFUNCTION("""COMPUTED_VALUE"""),"Payment data from Collexo")</f>
        <v>Payment data from Collexo</v>
      </c>
      <c r="D469" s="124" t="str">
        <f>IFERROR(__xludf.DUMMYFUNCTION("""COMPUTED_VALUE"""),"Not Available")</f>
        <v>Not Available</v>
      </c>
      <c r="E469" s="124">
        <f>IFERROR(__xludf.DUMMYFUNCTION("""COMPUTED_VALUE"""),1500609.0)</f>
        <v>1500609</v>
      </c>
      <c r="F469" s="124" t="str">
        <f>IFERROR(__xludf.DUMMYFUNCTION("""COMPUTED_VALUE"""),"13630_988_7")</f>
        <v>13630_988_7</v>
      </c>
      <c r="G469" s="124">
        <f>IFERROR(__xludf.DUMMYFUNCTION("""COMPUTED_VALUE"""),14250.0)</f>
        <v>14250</v>
      </c>
      <c r="H469" s="131">
        <f>IFERROR(__xludf.DUMMYFUNCTION("""COMPUTED_VALUE"""),46112.0)</f>
        <v>46112</v>
      </c>
      <c r="I469" s="124">
        <f>IFERROR(__xludf.DUMMYFUNCTION("""COMPUTED_VALUE"""),120750.0)</f>
        <v>120750</v>
      </c>
      <c r="J469" s="124">
        <f>IFERROR(__xludf.DUMMYFUNCTION("""COMPUTED_VALUE"""),135000.0)</f>
        <v>135000</v>
      </c>
      <c r="K469" s="124">
        <f>IFERROR(__xludf.DUMMYFUNCTION("""COMPUTED_VALUE"""),2.0)</f>
        <v>2</v>
      </c>
      <c r="L469" s="124">
        <f>IFERROR(__xludf.DUMMYFUNCTION("""COMPUTED_VALUE"""),486.0)</f>
        <v>486</v>
      </c>
      <c r="M469" s="124" t="str">
        <f>IFERROR(__xludf.DUMMYFUNCTION("""COMPUTED_VALUE"""),"New Delhi")</f>
        <v>New Delhi</v>
      </c>
      <c r="N469" s="124" t="str">
        <f>IFERROR(__xludf.DUMMYFUNCTION("""COMPUTED_VALUE"""),"robinsinghjee@gmail.com")</f>
        <v>robinsinghjee@gmail.com</v>
      </c>
      <c r="O469" s="124" t="str">
        <f>IFERROR(__xludf.DUMMYFUNCTION("""COMPUTED_VALUE"""),"Aditya")</f>
        <v>Aditya</v>
      </c>
      <c r="P469" s="124">
        <f>IFERROR(__xludf.DUMMYFUNCTION("""COMPUTED_VALUE"""),119859.0)</f>
        <v>119859</v>
      </c>
      <c r="Q469" s="124" t="str">
        <f>IFERROR(__xludf.DUMMYFUNCTION("""COMPUTED_VALUE"""),"upsc-gs-foundation-hinglish-target-2028-gsf-upsc-m05-orn")</f>
        <v>upsc-gs-foundation-hinglish-target-2028-gsf-upsc-m05-orn</v>
      </c>
      <c r="R469" s="124" t="str">
        <f>IFERROR(__xludf.DUMMYFUNCTION("""COMPUTED_VALUE"""),"GS Foundation Course")</f>
        <v>GS Foundation Course</v>
      </c>
      <c r="S469" s="124">
        <f>IFERROR(__xludf.DUMMYFUNCTION("""COMPUTED_VALUE"""),9.279238076E9)</f>
        <v>9279238076</v>
      </c>
      <c r="T469" s="124" t="str">
        <f>IFERROR(__xludf.DUMMYFUNCTION("""COMPUTED_VALUE"""),"Collexo")</f>
        <v>Collexo</v>
      </c>
      <c r="U469" s="124" t="str">
        <f>IFERROR(__xludf.DUMMYFUNCTION("""COMPUTED_VALUE"""),"Success")</f>
        <v>Success</v>
      </c>
      <c r="V469" s="131">
        <f>IFERROR(__xludf.DUMMYFUNCTION("""COMPUTED_VALUE"""),46092.0)</f>
        <v>46092</v>
      </c>
      <c r="W469" s="124">
        <f>IFERROR(__xludf.DUMMYFUNCTION("""COMPUTED_VALUE"""),0.0)</f>
        <v>0</v>
      </c>
    </row>
    <row r="470">
      <c r="A470" s="124" t="str">
        <f t="shared" si="1"/>
        <v>princesschoudhary847@gmail.com</v>
      </c>
      <c r="B470" s="131">
        <f>IFERROR(__xludf.DUMMYFUNCTION("""COMPUTED_VALUE"""),46081.0)</f>
        <v>46081</v>
      </c>
      <c r="C470" s="124" t="str">
        <f>IFERROR(__xludf.DUMMYFUNCTION("""COMPUTED_VALUE"""),"Payment data from Collexo")</f>
        <v>Payment data from Collexo</v>
      </c>
      <c r="D470" s="124" t="str">
        <f>IFERROR(__xludf.DUMMYFUNCTION("""COMPUTED_VALUE"""),"Not Available")</f>
        <v>Not Available</v>
      </c>
      <c r="E470" s="124">
        <f>IFERROR(__xludf.DUMMYFUNCTION("""COMPUTED_VALUE"""),1500611.0)</f>
        <v>1500611</v>
      </c>
      <c r="F470" s="124">
        <f>IFERROR(__xludf.DUMMYFUNCTION("""COMPUTED_VALUE"""),125024.0)</f>
        <v>125024</v>
      </c>
      <c r="G470" s="124">
        <f>IFERROR(__xludf.DUMMYFUNCTION("""COMPUTED_VALUE"""),36000.0)</f>
        <v>36000</v>
      </c>
      <c r="H470" s="124" t="str">
        <f>IFERROR(__xludf.DUMMYFUNCTION("""COMPUTED_VALUE"""),"Not Available")</f>
        <v>Not Available</v>
      </c>
      <c r="I470" s="124">
        <f>IFERROR(__xludf.DUMMYFUNCTION("""COMPUTED_VALUE"""),0.0)</f>
        <v>0</v>
      </c>
      <c r="J470" s="124">
        <f>IFERROR(__xludf.DUMMYFUNCTION("""COMPUTED_VALUE"""),40767.0)</f>
        <v>40767</v>
      </c>
      <c r="K470" s="124">
        <f>IFERROR(__xludf.DUMMYFUNCTION("""COMPUTED_VALUE"""),3.0)</f>
        <v>3</v>
      </c>
      <c r="L470" s="124">
        <f>IFERROR(__xludf.DUMMYFUNCTION("""COMPUTED_VALUE"""),387.0)</f>
        <v>387</v>
      </c>
      <c r="M470" s="124" t="str">
        <f>IFERROR(__xludf.DUMMYFUNCTION("""COMPUTED_VALUE"""),"Patna")</f>
        <v>Patna</v>
      </c>
      <c r="N470" s="124" t="str">
        <f>IFERROR(__xludf.DUMMYFUNCTION("""COMPUTED_VALUE"""),"princesschoudhary847@gmail.com")</f>
        <v>princesschoudhary847@gmail.com</v>
      </c>
      <c r="O470" s="124" t="str">
        <f>IFERROR(__xludf.DUMMYFUNCTION("""COMPUTED_VALUE"""),"PRINCESS CHOUDHARY")</f>
        <v>PRINCESS CHOUDHARY</v>
      </c>
      <c r="P470" s="124">
        <f>IFERROR(__xludf.DUMMYFUNCTION("""COMPUTED_VALUE"""),125024.0)</f>
        <v>125024</v>
      </c>
      <c r="Q470" s="124" t="str">
        <f>IFERROR(__xludf.DUMMYFUNCTION("""COMPUTED_VALUE"""),"bpsc-gs-foundation-hinglish-target-2026-gsf-bpsc-e02-pat")</f>
        <v>bpsc-gs-foundation-hinglish-target-2026-gsf-bpsc-e02-pat</v>
      </c>
      <c r="R470" s="124" t="str">
        <f>IFERROR(__xludf.DUMMYFUNCTION("""COMPUTED_VALUE"""),"State PCS")</f>
        <v>State PCS</v>
      </c>
      <c r="S470" s="124">
        <f>IFERROR(__xludf.DUMMYFUNCTION("""COMPUTED_VALUE"""),8.21038795E9)</f>
        <v>8210387950</v>
      </c>
      <c r="T470" s="124" t="str">
        <f>IFERROR(__xludf.DUMMYFUNCTION("""COMPUTED_VALUE"""),"Not Available")</f>
        <v>Not Available</v>
      </c>
      <c r="U470" s="124" t="str">
        <f>IFERROR(__xludf.DUMMYFUNCTION("""COMPUTED_VALUE"""),"Not Available")</f>
        <v>Not Available</v>
      </c>
      <c r="V470" s="124" t="str">
        <f>IFERROR(__xludf.DUMMYFUNCTION("""COMPUTED_VALUE"""),"Not Available")</f>
        <v>Not Available</v>
      </c>
      <c r="W470" s="124" t="str">
        <f>IFERROR(__xludf.DUMMYFUNCTION("""COMPUTED_VALUE"""),"Not Available")</f>
        <v>Not Available</v>
      </c>
    </row>
    <row r="471">
      <c r="A471" s="124" t="str">
        <f t="shared" si="1"/>
        <v>nitish3671@gmail.com</v>
      </c>
      <c r="B471" s="131">
        <f>IFERROR(__xludf.DUMMYFUNCTION("""COMPUTED_VALUE"""),46081.0)</f>
        <v>46081</v>
      </c>
      <c r="C471" s="124" t="str">
        <f>IFERROR(__xludf.DUMMYFUNCTION("""COMPUTED_VALUE"""),"Payment data from Collexo")</f>
        <v>Payment data from Collexo</v>
      </c>
      <c r="D471" s="124" t="str">
        <f>IFERROR(__xludf.DUMMYFUNCTION("""COMPUTED_VALUE"""),"Not Available")</f>
        <v>Not Available</v>
      </c>
      <c r="E471" s="124">
        <f>IFERROR(__xludf.DUMMYFUNCTION("""COMPUTED_VALUE"""),1500611.0)</f>
        <v>1500611</v>
      </c>
      <c r="F471" s="124">
        <f>IFERROR(__xludf.DUMMYFUNCTION("""COMPUTED_VALUE"""),124837.0)</f>
        <v>124837</v>
      </c>
      <c r="G471" s="124">
        <f>IFERROR(__xludf.DUMMYFUNCTION("""COMPUTED_VALUE"""),33000.0)</f>
        <v>33000</v>
      </c>
      <c r="H471" s="124" t="str">
        <f>IFERROR(__xludf.DUMMYFUNCTION("""COMPUTED_VALUE"""),"Not Available")</f>
        <v>Not Available</v>
      </c>
      <c r="I471" s="124">
        <f>IFERROR(__xludf.DUMMYFUNCTION("""COMPUTED_VALUE"""),0.0)</f>
        <v>0</v>
      </c>
      <c r="J471" s="124">
        <f>IFERROR(__xludf.DUMMYFUNCTION("""COMPUTED_VALUE"""),35000.0)</f>
        <v>35000</v>
      </c>
      <c r="K471" s="124">
        <f>IFERROR(__xludf.DUMMYFUNCTION("""COMPUTED_VALUE"""),2.0)</f>
        <v>2</v>
      </c>
      <c r="L471" s="124">
        <f>IFERROR(__xludf.DUMMYFUNCTION("""COMPUTED_VALUE"""),375.0)</f>
        <v>375</v>
      </c>
      <c r="M471" s="124" t="str">
        <f>IFERROR(__xludf.DUMMYFUNCTION("""COMPUTED_VALUE"""),"Patna")</f>
        <v>Patna</v>
      </c>
      <c r="N471" s="124" t="str">
        <f>IFERROR(__xludf.DUMMYFUNCTION("""COMPUTED_VALUE"""),"nitish3671@gmail.com")</f>
        <v>nitish3671@gmail.com</v>
      </c>
      <c r="O471" s="124" t="str">
        <f>IFERROR(__xludf.DUMMYFUNCTION("""COMPUTED_VALUE"""),"Nitish kumar")</f>
        <v>Nitish kumar</v>
      </c>
      <c r="P471" s="124">
        <f>IFERROR(__xludf.DUMMYFUNCTION("""COMPUTED_VALUE"""),124837.0)</f>
        <v>124837</v>
      </c>
      <c r="Q471" s="124" t="str">
        <f>IFERROR(__xludf.DUMMYFUNCTION("""COMPUTED_VALUE"""),"bpsc-gs-foundation-hinglish-target-2026-gsf-bpsc-e02-pat")</f>
        <v>bpsc-gs-foundation-hinglish-target-2026-gsf-bpsc-e02-pat</v>
      </c>
      <c r="R471" s="124" t="str">
        <f>IFERROR(__xludf.DUMMYFUNCTION("""COMPUTED_VALUE"""),"State PCS")</f>
        <v>State PCS</v>
      </c>
      <c r="S471" s="124">
        <f>IFERROR(__xludf.DUMMYFUNCTION("""COMPUTED_VALUE"""),8.529763971E9)</f>
        <v>8529763971</v>
      </c>
      <c r="T471" s="124" t="str">
        <f>IFERROR(__xludf.DUMMYFUNCTION("""COMPUTED_VALUE"""),"Not Available")</f>
        <v>Not Available</v>
      </c>
      <c r="U471" s="124" t="str">
        <f>IFERROR(__xludf.DUMMYFUNCTION("""COMPUTED_VALUE"""),"Not Available")</f>
        <v>Not Available</v>
      </c>
      <c r="V471" s="124" t="str">
        <f>IFERROR(__xludf.DUMMYFUNCTION("""COMPUTED_VALUE"""),"Not Available")</f>
        <v>Not Available</v>
      </c>
      <c r="W471" s="124" t="str">
        <f>IFERROR(__xludf.DUMMYFUNCTION("""COMPUTED_VALUE"""),"Not Available")</f>
        <v>Not Available</v>
      </c>
    </row>
    <row r="472">
      <c r="A472" s="124" t="str">
        <f t="shared" si="1"/>
        <v>princesschoudhary847@gmail.com</v>
      </c>
      <c r="B472" s="131">
        <f>IFERROR(__xludf.DUMMYFUNCTION("""COMPUTED_VALUE"""),46081.0)</f>
        <v>46081</v>
      </c>
      <c r="C472" s="124" t="str">
        <f>IFERROR(__xludf.DUMMYFUNCTION("""COMPUTED_VALUE"""),"Payment data from Collexo")</f>
        <v>Payment data from Collexo</v>
      </c>
      <c r="D472" s="124" t="str">
        <f>IFERROR(__xludf.DUMMYFUNCTION("""COMPUTED_VALUE"""),"Not Available")</f>
        <v>Not Available</v>
      </c>
      <c r="E472" s="124">
        <f>IFERROR(__xludf.DUMMYFUNCTION("""COMPUTED_VALUE"""),1500611.0)</f>
        <v>1500611</v>
      </c>
      <c r="F472" s="124">
        <f>IFERROR(__xludf.DUMMYFUNCTION("""COMPUTED_VALUE"""),125024.0)</f>
        <v>125024</v>
      </c>
      <c r="G472" s="124">
        <f>IFERROR(__xludf.DUMMYFUNCTION("""COMPUTED_VALUE"""),3000.0)</f>
        <v>3000</v>
      </c>
      <c r="H472" s="131">
        <f>IFERROR(__xludf.DUMMYFUNCTION("""COMPUTED_VALUE"""),46081.0)</f>
        <v>46081</v>
      </c>
      <c r="I472" s="124">
        <f>IFERROR(__xludf.DUMMYFUNCTION("""COMPUTED_VALUE"""),1767.0)</f>
        <v>1767</v>
      </c>
      <c r="J472" s="124">
        <f>IFERROR(__xludf.DUMMYFUNCTION("""COMPUTED_VALUE"""),40767.0)</f>
        <v>40767</v>
      </c>
      <c r="K472" s="124">
        <f>IFERROR(__xludf.DUMMYFUNCTION("""COMPUTED_VALUE"""),3.0)</f>
        <v>3</v>
      </c>
      <c r="L472" s="124">
        <f>IFERROR(__xludf.DUMMYFUNCTION("""COMPUTED_VALUE"""),385.0)</f>
        <v>385</v>
      </c>
      <c r="M472" s="124" t="str">
        <f>IFERROR(__xludf.DUMMYFUNCTION("""COMPUTED_VALUE"""),"Patna")</f>
        <v>Patna</v>
      </c>
      <c r="N472" s="124" t="str">
        <f>IFERROR(__xludf.DUMMYFUNCTION("""COMPUTED_VALUE"""),"princesschoudhary847@gmail.com")</f>
        <v>princesschoudhary847@gmail.com</v>
      </c>
      <c r="O472" s="124" t="str">
        <f>IFERROR(__xludf.DUMMYFUNCTION("""COMPUTED_VALUE"""),"PRINCESS CHOUDHARY")</f>
        <v>PRINCESS CHOUDHARY</v>
      </c>
      <c r="P472" s="124">
        <f>IFERROR(__xludf.DUMMYFUNCTION("""COMPUTED_VALUE"""),125024.0)</f>
        <v>125024</v>
      </c>
      <c r="Q472" s="124" t="str">
        <f>IFERROR(__xludf.DUMMYFUNCTION("""COMPUTED_VALUE"""),"bpsc-gs-foundation-hinglish-target-2026-gsf-bpsc-e02-pat")</f>
        <v>bpsc-gs-foundation-hinglish-target-2026-gsf-bpsc-e02-pat</v>
      </c>
      <c r="R472" s="124" t="str">
        <f>IFERROR(__xludf.DUMMYFUNCTION("""COMPUTED_VALUE"""),"State PCS")</f>
        <v>State PCS</v>
      </c>
      <c r="S472" s="124">
        <f>IFERROR(__xludf.DUMMYFUNCTION("""COMPUTED_VALUE"""),8.21038795E9)</f>
        <v>8210387950</v>
      </c>
      <c r="T472" s="124" t="str">
        <f>IFERROR(__xludf.DUMMYFUNCTION("""COMPUTED_VALUE"""),"Not Available")</f>
        <v>Not Available</v>
      </c>
      <c r="U472" s="124" t="str">
        <f>IFERROR(__xludf.DUMMYFUNCTION("""COMPUTED_VALUE"""),"Not Available")</f>
        <v>Not Available</v>
      </c>
      <c r="V472" s="124" t="str">
        <f>IFERROR(__xludf.DUMMYFUNCTION("""COMPUTED_VALUE"""),"Not Available")</f>
        <v>Not Available</v>
      </c>
      <c r="W472" s="124" t="str">
        <f>IFERROR(__xludf.DUMMYFUNCTION("""COMPUTED_VALUE"""),"Not Available")</f>
        <v>Not Available</v>
      </c>
    </row>
    <row r="473">
      <c r="A473" s="124" t="str">
        <f t="shared" si="1"/>
        <v>Tanmay8508@gmail.com</v>
      </c>
      <c r="B473" s="131">
        <f>IFERROR(__xludf.DUMMYFUNCTION("""COMPUTED_VALUE"""),46099.0)</f>
        <v>46099</v>
      </c>
      <c r="C473" s="124" t="str">
        <f>IFERROR(__xludf.DUMMYFUNCTION("""COMPUTED_VALUE"""),"Payment data from Collexo")</f>
        <v>Payment data from Collexo</v>
      </c>
      <c r="D473" s="124" t="str">
        <f>IFERROR(__xludf.DUMMYFUNCTION("""COMPUTED_VALUE"""),"Not Available")</f>
        <v>Not Available</v>
      </c>
      <c r="E473" s="124">
        <f>IFERROR(__xludf.DUMMYFUNCTION("""COMPUTED_VALUE"""),1500609.0)</f>
        <v>1500609</v>
      </c>
      <c r="F473" s="124" t="str">
        <f>IFERROR(__xludf.DUMMYFUNCTION("""COMPUTED_VALUE"""),"15113_988_7")</f>
        <v>15113_988_7</v>
      </c>
      <c r="G473" s="124">
        <f>IFERROR(__xludf.DUMMYFUNCTION("""COMPUTED_VALUE"""),103680.0)</f>
        <v>103680</v>
      </c>
      <c r="H473" s="124" t="str">
        <f>IFERROR(__xludf.DUMMYFUNCTION("""COMPUTED_VALUE"""),"Not Available")</f>
        <v>Not Available</v>
      </c>
      <c r="I473" s="124">
        <f>IFERROR(__xludf.DUMMYFUNCTION("""COMPUTED_VALUE"""),0.0)</f>
        <v>0</v>
      </c>
      <c r="J473" s="124">
        <f>IFERROR(__xludf.DUMMYFUNCTION("""COMPUTED_VALUE"""),140000.0)</f>
        <v>140000</v>
      </c>
      <c r="K473" s="124">
        <f>IFERROR(__xludf.DUMMYFUNCTION("""COMPUTED_VALUE"""),3.0)</f>
        <v>3</v>
      </c>
      <c r="L473" s="124">
        <f>IFERROR(__xludf.DUMMYFUNCTION("""COMPUTED_VALUE"""),607.0)</f>
        <v>607</v>
      </c>
      <c r="M473" s="124" t="str">
        <f>IFERROR(__xludf.DUMMYFUNCTION("""COMPUTED_VALUE"""),"New Delhi")</f>
        <v>New Delhi</v>
      </c>
      <c r="N473" s="124" t="str">
        <f>IFERROR(__xludf.DUMMYFUNCTION("""COMPUTED_VALUE"""),"Tanmay8508@gmail.com")</f>
        <v>Tanmay8508@gmail.com</v>
      </c>
      <c r="O473" s="124" t="str">
        <f>IFERROR(__xludf.DUMMYFUNCTION("""COMPUTED_VALUE"""),"Tanmay Shanker")</f>
        <v>Tanmay Shanker</v>
      </c>
      <c r="P473" s="124">
        <f>IFERROR(__xludf.DUMMYFUNCTION("""COMPUTED_VALUE"""),124242.0)</f>
        <v>124242</v>
      </c>
      <c r="Q473" s="124" t="str">
        <f>IFERROR(__xludf.DUMMYFUNCTION("""COMPUTED_VALUE"""),"upsc-gs-foundation-hinglish-target-2028-gsf-upsc-m05-orn")</f>
        <v>upsc-gs-foundation-hinglish-target-2028-gsf-upsc-m05-orn</v>
      </c>
      <c r="R473" s="124" t="str">
        <f>IFERROR(__xludf.DUMMYFUNCTION("""COMPUTED_VALUE"""),"GS Foundation Course")</f>
        <v>GS Foundation Course</v>
      </c>
      <c r="S473" s="124">
        <f>IFERROR(__xludf.DUMMYFUNCTION("""COMPUTED_VALUE"""),8.233763689E9)</f>
        <v>8233763689</v>
      </c>
      <c r="T473" s="124" t="str">
        <f>IFERROR(__xludf.DUMMYFUNCTION("""COMPUTED_VALUE"""),"Collexo")</f>
        <v>Collexo</v>
      </c>
      <c r="U473" s="124" t="str">
        <f>IFERROR(__xludf.DUMMYFUNCTION("""COMPUTED_VALUE"""),"Success")</f>
        <v>Success</v>
      </c>
      <c r="V473" s="131">
        <f>IFERROR(__xludf.DUMMYFUNCTION("""COMPUTED_VALUE"""),46099.0)</f>
        <v>46099</v>
      </c>
      <c r="W473" s="124">
        <f>IFERROR(__xludf.DUMMYFUNCTION("""COMPUTED_VALUE"""),0.0)</f>
        <v>0</v>
      </c>
    </row>
    <row r="474">
      <c r="A474" s="124" t="str">
        <f t="shared" si="1"/>
        <v>robinsinghjee@gmail.com</v>
      </c>
      <c r="B474" s="131">
        <f>IFERROR(__xludf.DUMMYFUNCTION("""COMPUTED_VALUE"""),46093.0)</f>
        <v>46093</v>
      </c>
      <c r="C474" s="124" t="str">
        <f>IFERROR(__xludf.DUMMYFUNCTION("""COMPUTED_VALUE"""),"Payment data from Collexo")</f>
        <v>Payment data from Collexo</v>
      </c>
      <c r="D474" s="124" t="str">
        <f>IFERROR(__xludf.DUMMYFUNCTION("""COMPUTED_VALUE"""),"Not Available")</f>
        <v>Not Available</v>
      </c>
      <c r="E474" s="124">
        <f>IFERROR(__xludf.DUMMYFUNCTION("""COMPUTED_VALUE"""),1500609.0)</f>
        <v>1500609</v>
      </c>
      <c r="F474" s="124" t="str">
        <f>IFERROR(__xludf.DUMMYFUNCTION("""COMPUTED_VALUE"""),"13881_988_7")</f>
        <v>13881_988_7</v>
      </c>
      <c r="G474" s="124">
        <f>IFERROR(__xludf.DUMMYFUNCTION("""COMPUTED_VALUE"""),19000.0)</f>
        <v>19000</v>
      </c>
      <c r="H474" s="131">
        <f>IFERROR(__xludf.DUMMYFUNCTION("""COMPUTED_VALUE"""),46105.0)</f>
        <v>46105</v>
      </c>
      <c r="I474" s="124">
        <f>IFERROR(__xludf.DUMMYFUNCTION("""COMPUTED_VALUE"""),101750.0)</f>
        <v>101750</v>
      </c>
      <c r="J474" s="124">
        <f>IFERROR(__xludf.DUMMYFUNCTION("""COMPUTED_VALUE"""),135000.0)</f>
        <v>135000</v>
      </c>
      <c r="K474" s="124">
        <f>IFERROR(__xludf.DUMMYFUNCTION("""COMPUTED_VALUE"""),3.0)</f>
        <v>3</v>
      </c>
      <c r="L474" s="124">
        <f>IFERROR(__xludf.DUMMYFUNCTION("""COMPUTED_VALUE"""),518.0)</f>
        <v>518</v>
      </c>
      <c r="M474" s="124" t="str">
        <f>IFERROR(__xludf.DUMMYFUNCTION("""COMPUTED_VALUE"""),"New Delhi")</f>
        <v>New Delhi</v>
      </c>
      <c r="N474" s="124" t="str">
        <f>IFERROR(__xludf.DUMMYFUNCTION("""COMPUTED_VALUE"""),"robinsinghjee@gmail.com")</f>
        <v>robinsinghjee@gmail.com</v>
      </c>
      <c r="O474" s="124" t="str">
        <f>IFERROR(__xludf.DUMMYFUNCTION("""COMPUTED_VALUE"""),"Aditya")</f>
        <v>Aditya</v>
      </c>
      <c r="P474" s="124">
        <f>IFERROR(__xludf.DUMMYFUNCTION("""COMPUTED_VALUE"""),119859.0)</f>
        <v>119859</v>
      </c>
      <c r="Q474" s="124" t="str">
        <f>IFERROR(__xludf.DUMMYFUNCTION("""COMPUTED_VALUE"""),"upsc-gs-foundation-hinglish-target-2028-gsf-upsc-m05-orn")</f>
        <v>upsc-gs-foundation-hinglish-target-2028-gsf-upsc-m05-orn</v>
      </c>
      <c r="R474" s="124" t="str">
        <f>IFERROR(__xludf.DUMMYFUNCTION("""COMPUTED_VALUE"""),"GS Foundation Course")</f>
        <v>GS Foundation Course</v>
      </c>
      <c r="S474" s="124">
        <f>IFERROR(__xludf.DUMMYFUNCTION("""COMPUTED_VALUE"""),9.279238076E9)</f>
        <v>9279238076</v>
      </c>
      <c r="T474" s="124" t="str">
        <f>IFERROR(__xludf.DUMMYFUNCTION("""COMPUTED_VALUE"""),"Collexo")</f>
        <v>Collexo</v>
      </c>
      <c r="U474" s="124" t="str">
        <f>IFERROR(__xludf.DUMMYFUNCTION("""COMPUTED_VALUE"""),"Success")</f>
        <v>Success</v>
      </c>
      <c r="V474" s="131">
        <f>IFERROR(__xludf.DUMMYFUNCTION("""COMPUTED_VALUE"""),46093.0)</f>
        <v>46093</v>
      </c>
      <c r="W474" s="124">
        <f>IFERROR(__xludf.DUMMYFUNCTION("""COMPUTED_VALUE"""),0.0)</f>
        <v>0</v>
      </c>
    </row>
    <row r="475">
      <c r="A475" s="124" t="str">
        <f t="shared" si="1"/>
        <v>sachinkushwah3256@gmail.com</v>
      </c>
      <c r="B475" s="131">
        <f>IFERROR(__xludf.DUMMYFUNCTION("""COMPUTED_VALUE"""),46102.0)</f>
        <v>46102</v>
      </c>
      <c r="C475" s="124" t="str">
        <f>IFERROR(__xludf.DUMMYFUNCTION("""COMPUTED_VALUE"""),"Payment data from Collexo")</f>
        <v>Payment data from Collexo</v>
      </c>
      <c r="D475" s="124" t="str">
        <f>IFERROR(__xludf.DUMMYFUNCTION("""COMPUTED_VALUE"""),"Not Available")</f>
        <v>Not Available</v>
      </c>
      <c r="E475" s="124">
        <f>IFERROR(__xludf.DUMMYFUNCTION("""COMPUTED_VALUE"""),1500613.0)</f>
        <v>1500613</v>
      </c>
      <c r="F475" s="124">
        <f>IFERROR(__xludf.DUMMYFUNCTION("""COMPUTED_VALUE"""),129775.0)</f>
        <v>129775</v>
      </c>
      <c r="G475" s="124">
        <f>IFERROR(__xludf.DUMMYFUNCTION("""COMPUTED_VALUE"""),55000.0)</f>
        <v>55000</v>
      </c>
      <c r="H475" s="124" t="str">
        <f>IFERROR(__xludf.DUMMYFUNCTION("""COMPUTED_VALUE"""),"Not Available")</f>
        <v>Not Available</v>
      </c>
      <c r="I475" s="124">
        <f>IFERROR(__xludf.DUMMYFUNCTION("""COMPUTED_VALUE"""),0.0)</f>
        <v>0</v>
      </c>
      <c r="J475" s="124">
        <f>IFERROR(__xludf.DUMMYFUNCTION("""COMPUTED_VALUE"""),55000.0)</f>
        <v>55000</v>
      </c>
      <c r="K475" s="124">
        <f>IFERROR(__xludf.DUMMYFUNCTION("""COMPUTED_VALUE"""),1.0)</f>
        <v>1</v>
      </c>
      <c r="L475" s="124">
        <f>IFERROR(__xludf.DUMMYFUNCTION("""COMPUTED_VALUE"""),664.0)</f>
        <v>664</v>
      </c>
      <c r="M475" s="124" t="str">
        <f>IFERROR(__xludf.DUMMYFUNCTION("""COMPUTED_VALUE"""),"Prayagraj")</f>
        <v>Prayagraj</v>
      </c>
      <c r="N475" s="124" t="str">
        <f>IFERROR(__xludf.DUMMYFUNCTION("""COMPUTED_VALUE"""),"sachinkushwah3256@gmail.com")</f>
        <v>sachinkushwah3256@gmail.com</v>
      </c>
      <c r="O475" s="124" t="str">
        <f>IFERROR(__xludf.DUMMYFUNCTION("""COMPUTED_VALUE"""),"Sachin")</f>
        <v>Sachin</v>
      </c>
      <c r="P475" s="124">
        <f>IFERROR(__xludf.DUMMYFUNCTION("""COMPUTED_VALUE"""),129775.0)</f>
        <v>129775</v>
      </c>
      <c r="Q475" s="124" t="str">
        <f>IFERROR(__xludf.DUMMYFUNCTION("""COMPUTED_VALUE"""),"upsc-gs-foundation-hindi-target-2027-gsf-upsc-m02-pry")</f>
        <v>upsc-gs-foundation-hindi-target-2027-gsf-upsc-m02-pry</v>
      </c>
      <c r="R475" s="124" t="str">
        <f>IFERROR(__xludf.DUMMYFUNCTION("""COMPUTED_VALUE"""),"State PCS")</f>
        <v>State PCS</v>
      </c>
      <c r="S475" s="124">
        <f>IFERROR(__xludf.DUMMYFUNCTION("""COMPUTED_VALUE"""),7.820045097E9)</f>
        <v>7820045097</v>
      </c>
      <c r="T475" s="124" t="str">
        <f>IFERROR(__xludf.DUMMYFUNCTION("""COMPUTED_VALUE"""),"Not Available")</f>
        <v>Not Available</v>
      </c>
      <c r="U475" s="124" t="str">
        <f>IFERROR(__xludf.DUMMYFUNCTION("""COMPUTED_VALUE"""),"Not Available")</f>
        <v>Not Available</v>
      </c>
      <c r="V475" s="124" t="str">
        <f>IFERROR(__xludf.DUMMYFUNCTION("""COMPUTED_VALUE"""),"Not Available")</f>
        <v>Not Available</v>
      </c>
      <c r="W475" s="124" t="str">
        <f>IFERROR(__xludf.DUMMYFUNCTION("""COMPUTED_VALUE"""),"Not Available")</f>
        <v>Not Available</v>
      </c>
    </row>
    <row r="476">
      <c r="A476" s="124" t="str">
        <f t="shared" si="1"/>
        <v>Tanmay8508@gmail.com</v>
      </c>
      <c r="B476" s="131">
        <f>IFERROR(__xludf.DUMMYFUNCTION("""COMPUTED_VALUE"""),46078.0)</f>
        <v>46078</v>
      </c>
      <c r="C476" s="124" t="str">
        <f>IFERROR(__xludf.DUMMYFUNCTION("""COMPUTED_VALUE"""),"Payment data from Collexo")</f>
        <v>Payment data from Collexo</v>
      </c>
      <c r="D476" s="124" t="str">
        <f>IFERROR(__xludf.DUMMYFUNCTION("""COMPUTED_VALUE"""),"Not Available")</f>
        <v>Not Available</v>
      </c>
      <c r="E476" s="124">
        <f>IFERROR(__xludf.DUMMYFUNCTION("""COMPUTED_VALUE"""),1500609.0)</f>
        <v>1500609</v>
      </c>
      <c r="F476" s="124" t="str">
        <f>IFERROR(__xludf.DUMMYFUNCTION("""COMPUTED_VALUE"""),"10994_988_7")</f>
        <v>10994_988_7</v>
      </c>
      <c r="G476" s="124">
        <f>IFERROR(__xludf.DUMMYFUNCTION("""COMPUTED_VALUE"""),10000.0)</f>
        <v>10000</v>
      </c>
      <c r="H476" s="131">
        <f>IFERROR(__xludf.DUMMYFUNCTION("""COMPUTED_VALUE"""),46081.0)</f>
        <v>46081</v>
      </c>
      <c r="I476" s="124">
        <f>IFERROR(__xludf.DUMMYFUNCTION("""COMPUTED_VALUE"""),130000.0)</f>
        <v>130000</v>
      </c>
      <c r="J476" s="124">
        <f>IFERROR(__xludf.DUMMYFUNCTION("""COMPUTED_VALUE"""),140000.0)</f>
        <v>140000</v>
      </c>
      <c r="K476" s="124">
        <f>IFERROR(__xludf.DUMMYFUNCTION("""COMPUTED_VALUE"""),2.0)</f>
        <v>2</v>
      </c>
      <c r="L476" s="124">
        <f>IFERROR(__xludf.DUMMYFUNCTION("""COMPUTED_VALUE"""),340.0)</f>
        <v>340</v>
      </c>
      <c r="M476" s="124" t="str">
        <f>IFERROR(__xludf.DUMMYFUNCTION("""COMPUTED_VALUE"""),"New Delhi")</f>
        <v>New Delhi</v>
      </c>
      <c r="N476" s="124" t="str">
        <f>IFERROR(__xludf.DUMMYFUNCTION("""COMPUTED_VALUE"""),"Tanmay8508@gmail.com")</f>
        <v>Tanmay8508@gmail.com</v>
      </c>
      <c r="O476" s="124" t="str">
        <f>IFERROR(__xludf.DUMMYFUNCTION("""COMPUTED_VALUE"""),"Tanmay Shanker")</f>
        <v>Tanmay Shanker</v>
      </c>
      <c r="P476" s="124">
        <f>IFERROR(__xludf.DUMMYFUNCTION("""COMPUTED_VALUE"""),124242.0)</f>
        <v>124242</v>
      </c>
      <c r="Q476" s="124" t="str">
        <f>IFERROR(__xludf.DUMMYFUNCTION("""COMPUTED_VALUE"""),"upsc-gs-foundation-hinglish-target-2028-gsf-upsc-m05-orn")</f>
        <v>upsc-gs-foundation-hinglish-target-2028-gsf-upsc-m05-orn</v>
      </c>
      <c r="R476" s="124" t="str">
        <f>IFERROR(__xludf.DUMMYFUNCTION("""COMPUTED_VALUE"""),"GS Foundation Course")</f>
        <v>GS Foundation Course</v>
      </c>
      <c r="S476" s="124">
        <f>IFERROR(__xludf.DUMMYFUNCTION("""COMPUTED_VALUE"""),8.233763689E9)</f>
        <v>8233763689</v>
      </c>
      <c r="T476" s="124" t="str">
        <f>IFERROR(__xludf.DUMMYFUNCTION("""COMPUTED_VALUE"""),"Collexo")</f>
        <v>Collexo</v>
      </c>
      <c r="U476" s="124" t="str">
        <f>IFERROR(__xludf.DUMMYFUNCTION("""COMPUTED_VALUE"""),"Success")</f>
        <v>Success</v>
      </c>
      <c r="V476" s="131">
        <f>IFERROR(__xludf.DUMMYFUNCTION("""COMPUTED_VALUE"""),46078.0)</f>
        <v>46078</v>
      </c>
      <c r="W476" s="124">
        <f>IFERROR(__xludf.DUMMYFUNCTION("""COMPUTED_VALUE"""),0.0)</f>
        <v>0</v>
      </c>
    </row>
    <row r="477">
      <c r="A477" s="124" t="str">
        <f t="shared" si="1"/>
        <v>onlineneha123321@gmail.com</v>
      </c>
      <c r="B477" s="131">
        <f>IFERROR(__xludf.DUMMYFUNCTION("""COMPUTED_VALUE"""),46101.0)</f>
        <v>46101</v>
      </c>
      <c r="C477" s="124" t="str">
        <f>IFERROR(__xludf.DUMMYFUNCTION("""COMPUTED_VALUE"""),"Payment data from Collexo")</f>
        <v>Payment data from Collexo</v>
      </c>
      <c r="D477" s="124" t="str">
        <f>IFERROR(__xludf.DUMMYFUNCTION("""COMPUTED_VALUE"""),"Not Available")</f>
        <v>Not Available</v>
      </c>
      <c r="E477" s="124">
        <f>IFERROR(__xludf.DUMMYFUNCTION("""COMPUTED_VALUE"""),1500610.0)</f>
        <v>1500610</v>
      </c>
      <c r="F477" s="124">
        <f>IFERROR(__xludf.DUMMYFUNCTION("""COMPUTED_VALUE"""),128981.0)</f>
        <v>128981</v>
      </c>
      <c r="G477" s="124">
        <f>IFERROR(__xludf.DUMMYFUNCTION("""COMPUTED_VALUE"""),28000.0)</f>
        <v>28000</v>
      </c>
      <c r="H477" s="131">
        <f>IFERROR(__xludf.DUMMYFUNCTION("""COMPUTED_VALUE"""),46142.0)</f>
        <v>46142</v>
      </c>
      <c r="I477" s="124">
        <f>IFERROR(__xludf.DUMMYFUNCTION("""COMPUTED_VALUE"""),27000.0)</f>
        <v>27000</v>
      </c>
      <c r="J477" s="124">
        <f>IFERROR(__xludf.DUMMYFUNCTION("""COMPUTED_VALUE"""),55000.0)</f>
        <v>55000</v>
      </c>
      <c r="K477" s="124">
        <f>IFERROR(__xludf.DUMMYFUNCTION("""COMPUTED_VALUE"""),2.0)</f>
        <v>2</v>
      </c>
      <c r="L477" s="124">
        <f>IFERROR(__xludf.DUMMYFUNCTION("""COMPUTED_VALUE"""),642.0)</f>
        <v>642</v>
      </c>
      <c r="M477" s="124" t="str">
        <f>IFERROR(__xludf.DUMMYFUNCTION("""COMPUTED_VALUE"""),"Lucknow")</f>
        <v>Lucknow</v>
      </c>
      <c r="N477" s="124" t="str">
        <f>IFERROR(__xludf.DUMMYFUNCTION("""COMPUTED_VALUE"""),"onlineneha123321@gmail.com")</f>
        <v>onlineneha123321@gmail.com</v>
      </c>
      <c r="O477" s="124" t="str">
        <f>IFERROR(__xludf.DUMMYFUNCTION("""COMPUTED_VALUE"""),"Neha Kumari")</f>
        <v>Neha Kumari</v>
      </c>
      <c r="P477" s="124">
        <f>IFERROR(__xludf.DUMMYFUNCTION("""COMPUTED_VALUE"""),128981.0)</f>
        <v>128981</v>
      </c>
      <c r="Q477" s="124" t="str">
        <f>IFERROR(__xludf.DUMMYFUNCTION("""COMPUTED_VALUE"""),"Not Available")</f>
        <v>Not Available</v>
      </c>
      <c r="R477" s="124" t="str">
        <f>IFERROR(__xludf.DUMMYFUNCTION("""COMPUTED_VALUE"""),"GS Foundation Course")</f>
        <v>GS Foundation Course</v>
      </c>
      <c r="S477" s="124">
        <f>IFERROR(__xludf.DUMMYFUNCTION("""COMPUTED_VALUE"""),9.007225824E9)</f>
        <v>9007225824</v>
      </c>
      <c r="T477" s="124" t="str">
        <f>IFERROR(__xludf.DUMMYFUNCTION("""COMPUTED_VALUE"""),"Not Available")</f>
        <v>Not Available</v>
      </c>
      <c r="U477" s="124" t="str">
        <f>IFERROR(__xludf.DUMMYFUNCTION("""COMPUTED_VALUE"""),"Not Available")</f>
        <v>Not Available</v>
      </c>
      <c r="V477" s="124" t="str">
        <f>IFERROR(__xludf.DUMMYFUNCTION("""COMPUTED_VALUE"""),"Not Available")</f>
        <v>Not Available</v>
      </c>
      <c r="W477" s="124" t="str">
        <f>IFERROR(__xludf.DUMMYFUNCTION("""COMPUTED_VALUE"""),"Not Available")</f>
        <v>Not Available</v>
      </c>
    </row>
    <row r="478">
      <c r="A478" s="124" t="str">
        <f t="shared" si="1"/>
        <v>pihukr2007@gmail.com</v>
      </c>
      <c r="B478" s="131">
        <f>IFERROR(__xludf.DUMMYFUNCTION("""COMPUTED_VALUE"""),46111.0)</f>
        <v>46111</v>
      </c>
      <c r="C478" s="124" t="str">
        <f>IFERROR(__xludf.DUMMYFUNCTION("""COMPUTED_VALUE"""),"Payment data from Collexo")</f>
        <v>Payment data from Collexo</v>
      </c>
      <c r="D478" s="124" t="str">
        <f>IFERROR(__xludf.DUMMYFUNCTION("""COMPUTED_VALUE"""),"Not Available")</f>
        <v>Not Available</v>
      </c>
      <c r="E478" s="124">
        <f>IFERROR(__xludf.DUMMYFUNCTION("""COMPUTED_VALUE"""),1500611.0)</f>
        <v>1500611</v>
      </c>
      <c r="F478" s="124">
        <f>IFERROR(__xludf.DUMMYFUNCTION("""COMPUTED_VALUE"""),139949.0)</f>
        <v>139949</v>
      </c>
      <c r="G478" s="124">
        <f>IFERROR(__xludf.DUMMYFUNCTION("""COMPUTED_VALUE"""),8500.0)</f>
        <v>8500</v>
      </c>
      <c r="H478" s="131">
        <f>IFERROR(__xludf.DUMMYFUNCTION("""COMPUTED_VALUE"""),46114.0)</f>
        <v>46114</v>
      </c>
      <c r="I478" s="124">
        <f>IFERROR(__xludf.DUMMYFUNCTION("""COMPUTED_VALUE"""),76500.0)</f>
        <v>76500</v>
      </c>
      <c r="J478" s="124">
        <f>IFERROR(__xludf.DUMMYFUNCTION("""COMPUTED_VALUE"""),85000.0)</f>
        <v>85000</v>
      </c>
      <c r="K478" s="124">
        <f>IFERROR(__xludf.DUMMYFUNCTION("""COMPUTED_VALUE"""),2.0)</f>
        <v>2</v>
      </c>
      <c r="L478" s="124">
        <f>IFERROR(__xludf.DUMMYFUNCTION("""COMPUTED_VALUE"""),851.0)</f>
        <v>851</v>
      </c>
      <c r="M478" s="124" t="str">
        <f>IFERROR(__xludf.DUMMYFUNCTION("""COMPUTED_VALUE"""),"Patna")</f>
        <v>Patna</v>
      </c>
      <c r="N478" s="124" t="str">
        <f>IFERROR(__xludf.DUMMYFUNCTION("""COMPUTED_VALUE"""),"pihukr2007@gmail.com")</f>
        <v>pihukr2007@gmail.com</v>
      </c>
      <c r="O478" s="124" t="str">
        <f>IFERROR(__xludf.DUMMYFUNCTION("""COMPUTED_VALUE"""),"Pihu Kumari")</f>
        <v>Pihu Kumari</v>
      </c>
      <c r="P478" s="124">
        <f>IFERROR(__xludf.DUMMYFUNCTION("""COMPUTED_VALUE"""),139949.0)</f>
        <v>139949</v>
      </c>
      <c r="Q478" s="124" t="str">
        <f>IFERROR(__xludf.DUMMYFUNCTION("""COMPUTED_VALUE"""),"upsc-gs-foundation-hinglish-target-2028-gsf-upsc-e03-pat")</f>
        <v>upsc-gs-foundation-hinglish-target-2028-gsf-upsc-e03-pat</v>
      </c>
      <c r="R478" s="124" t="str">
        <f>IFERROR(__xludf.DUMMYFUNCTION("""COMPUTED_VALUE"""),"GS Foundation Course")</f>
        <v>GS Foundation Course</v>
      </c>
      <c r="S478" s="124">
        <f>IFERROR(__xludf.DUMMYFUNCTION("""COMPUTED_VALUE"""),9.155491641E9)</f>
        <v>9155491641</v>
      </c>
      <c r="T478" s="124" t="str">
        <f>IFERROR(__xludf.DUMMYFUNCTION("""COMPUTED_VALUE"""),"Not Available")</f>
        <v>Not Available</v>
      </c>
      <c r="U478" s="124" t="str">
        <f>IFERROR(__xludf.DUMMYFUNCTION("""COMPUTED_VALUE"""),"Not Available")</f>
        <v>Not Available</v>
      </c>
      <c r="V478" s="124" t="str">
        <f>IFERROR(__xludf.DUMMYFUNCTION("""COMPUTED_VALUE"""),"Not Available")</f>
        <v>Not Available</v>
      </c>
      <c r="W478" s="124" t="str">
        <f>IFERROR(__xludf.DUMMYFUNCTION("""COMPUTED_VALUE"""),"Not Available")</f>
        <v>Not Available</v>
      </c>
    </row>
    <row r="479">
      <c r="A479" s="124" t="str">
        <f t="shared" si="1"/>
        <v>chhavi01040@gmail.com</v>
      </c>
      <c r="B479" s="131">
        <f>IFERROR(__xludf.DUMMYFUNCTION("""COMPUTED_VALUE"""),46109.0)</f>
        <v>46109</v>
      </c>
      <c r="C479" s="124" t="str">
        <f>IFERROR(__xludf.DUMMYFUNCTION("""COMPUTED_VALUE"""),"Payment data from Collexo")</f>
        <v>Payment data from Collexo</v>
      </c>
      <c r="D479" s="124" t="str">
        <f>IFERROR(__xludf.DUMMYFUNCTION("""COMPUTED_VALUE"""),"Not Available")</f>
        <v>Not Available</v>
      </c>
      <c r="E479" s="124">
        <f>IFERROR(__xludf.DUMMYFUNCTION("""COMPUTED_VALUE"""),1500609.0)</f>
        <v>1500609</v>
      </c>
      <c r="F479" s="124" t="str">
        <f>IFERROR(__xludf.DUMMYFUNCTION("""COMPUTED_VALUE"""),"17166_988_7")</f>
        <v>17166_988_7</v>
      </c>
      <c r="G479" s="124">
        <f>IFERROR(__xludf.DUMMYFUNCTION("""COMPUTED_VALUE"""),135000.0)</f>
        <v>135000</v>
      </c>
      <c r="H479" s="124" t="str">
        <f>IFERROR(__xludf.DUMMYFUNCTION("""COMPUTED_VALUE"""),"Not Available")</f>
        <v>Not Available</v>
      </c>
      <c r="I479" s="124">
        <f>IFERROR(__xludf.DUMMYFUNCTION("""COMPUTED_VALUE"""),0.0)</f>
        <v>0</v>
      </c>
      <c r="J479" s="124">
        <f>IFERROR(__xludf.DUMMYFUNCTION("""COMPUTED_VALUE"""),140000.0)</f>
        <v>140000</v>
      </c>
      <c r="K479" s="124">
        <f>IFERROR(__xludf.DUMMYFUNCTION("""COMPUTED_VALUE"""),2.0)</f>
        <v>2</v>
      </c>
      <c r="L479" s="124">
        <f>IFERROR(__xludf.DUMMYFUNCTION("""COMPUTED_VALUE"""),811.0)</f>
        <v>811</v>
      </c>
      <c r="M479" s="124" t="str">
        <f>IFERROR(__xludf.DUMMYFUNCTION("""COMPUTED_VALUE"""),"New Delhi")</f>
        <v>New Delhi</v>
      </c>
      <c r="N479" s="124" t="str">
        <f>IFERROR(__xludf.DUMMYFUNCTION("""COMPUTED_VALUE"""),"chhavi01040@gmail.com")</f>
        <v>chhavi01040@gmail.com</v>
      </c>
      <c r="O479" s="124" t="str">
        <f>IFERROR(__xludf.DUMMYFUNCTION("""COMPUTED_VALUE"""),"Chhavi Rani")</f>
        <v>Chhavi Rani</v>
      </c>
      <c r="P479" s="124">
        <f>IFERROR(__xludf.DUMMYFUNCTION("""COMPUTED_VALUE"""),127683.0)</f>
        <v>127683</v>
      </c>
      <c r="Q479" s="124" t="str">
        <f>IFERROR(__xludf.DUMMYFUNCTION("""COMPUTED_VALUE"""),"upsc-gs-foundation-hinglish-target-2028-gsf-upsc-m04-orn")</f>
        <v>upsc-gs-foundation-hinglish-target-2028-gsf-upsc-m04-orn</v>
      </c>
      <c r="R479" s="124" t="str">
        <f>IFERROR(__xludf.DUMMYFUNCTION("""COMPUTED_VALUE"""),"GS Foundation Course")</f>
        <v>GS Foundation Course</v>
      </c>
      <c r="S479" s="124">
        <f>IFERROR(__xludf.DUMMYFUNCTION("""COMPUTED_VALUE"""),6.388540075E9)</f>
        <v>6388540075</v>
      </c>
      <c r="T479" s="124" t="str">
        <f>IFERROR(__xludf.DUMMYFUNCTION("""COMPUTED_VALUE"""),"Collexo")</f>
        <v>Collexo</v>
      </c>
      <c r="U479" s="124" t="str">
        <f>IFERROR(__xludf.DUMMYFUNCTION("""COMPUTED_VALUE"""),"Success")</f>
        <v>Success</v>
      </c>
      <c r="V479" s="131">
        <f>IFERROR(__xludf.DUMMYFUNCTION("""COMPUTED_VALUE"""),46109.0)</f>
        <v>46109</v>
      </c>
      <c r="W479" s="124">
        <f>IFERROR(__xludf.DUMMYFUNCTION("""COMPUTED_VALUE"""),0.0)</f>
        <v>0</v>
      </c>
    </row>
    <row r="480">
      <c r="A480" s="124" t="str">
        <f t="shared" si="1"/>
        <v>acmachandan24@gmail.com</v>
      </c>
      <c r="B480" s="131">
        <f>IFERROR(__xludf.DUMMYFUNCTION("""COMPUTED_VALUE"""),46089.0)</f>
        <v>46089</v>
      </c>
      <c r="C480" s="124" t="str">
        <f>IFERROR(__xludf.DUMMYFUNCTION("""COMPUTED_VALUE"""),"Payment data from Collexo")</f>
        <v>Payment data from Collexo</v>
      </c>
      <c r="D480" s="124" t="str">
        <f>IFERROR(__xludf.DUMMYFUNCTION("""COMPUTED_VALUE"""),"Not Available")</f>
        <v>Not Available</v>
      </c>
      <c r="E480" s="124">
        <f>IFERROR(__xludf.DUMMYFUNCTION("""COMPUTED_VALUE"""),1500610.0)</f>
        <v>1500610</v>
      </c>
      <c r="F480" s="124">
        <f>IFERROR(__xludf.DUMMYFUNCTION("""COMPUTED_VALUE"""),126090.0)</f>
        <v>126090</v>
      </c>
      <c r="G480" s="124">
        <f>IFERROR(__xludf.DUMMYFUNCTION("""COMPUTED_VALUE"""),18963.0)</f>
        <v>18963</v>
      </c>
      <c r="H480" s="124" t="str">
        <f>IFERROR(__xludf.DUMMYFUNCTION("""COMPUTED_VALUE"""),"Not Available")</f>
        <v>Not Available</v>
      </c>
      <c r="I480" s="124">
        <f>IFERROR(__xludf.DUMMYFUNCTION("""COMPUTED_VALUE"""),0.0)</f>
        <v>0</v>
      </c>
      <c r="J480" s="124">
        <f>IFERROR(__xludf.DUMMYFUNCTION("""COMPUTED_VALUE"""),25000.0)</f>
        <v>25000</v>
      </c>
      <c r="K480" s="124">
        <f>IFERROR(__xludf.DUMMYFUNCTION("""COMPUTED_VALUE"""),2.0)</f>
        <v>2</v>
      </c>
      <c r="L480" s="124">
        <f>IFERROR(__xludf.DUMMYFUNCTION("""COMPUTED_VALUE"""),443.0)</f>
        <v>443</v>
      </c>
      <c r="M480" s="124" t="str">
        <f>IFERROR(__xludf.DUMMYFUNCTION("""COMPUTED_VALUE"""),"Lucknow")</f>
        <v>Lucknow</v>
      </c>
      <c r="N480" s="124" t="str">
        <f>IFERROR(__xludf.DUMMYFUNCTION("""COMPUTED_VALUE"""),"acmachandan24@gmail.com")</f>
        <v>acmachandan24@gmail.com</v>
      </c>
      <c r="O480" s="124" t="str">
        <f>IFERROR(__xludf.DUMMYFUNCTION("""COMPUTED_VALUE"""),"Chandan")</f>
        <v>Chandan</v>
      </c>
      <c r="P480" s="124">
        <f>IFERROR(__xludf.DUMMYFUNCTION("""COMPUTED_VALUE"""),126090.0)</f>
        <v>126090</v>
      </c>
      <c r="Q480" s="124" t="str">
        <f>IFERROR(__xludf.DUMMYFUNCTION("""COMPUTED_VALUE"""),"upsc-gs-foundation-hindi-target-2027-gsf-upsc-m01-lko")</f>
        <v>upsc-gs-foundation-hindi-target-2027-gsf-upsc-m01-lko</v>
      </c>
      <c r="R480" s="124" t="str">
        <f>IFERROR(__xludf.DUMMYFUNCTION("""COMPUTED_VALUE"""),"GS Foundation Course")</f>
        <v>GS Foundation Course</v>
      </c>
      <c r="S480" s="124">
        <f>IFERROR(__xludf.DUMMYFUNCTION("""COMPUTED_VALUE"""),9.648810043E9)</f>
        <v>9648810043</v>
      </c>
      <c r="T480" s="124" t="str">
        <f>IFERROR(__xludf.DUMMYFUNCTION("""COMPUTED_VALUE"""),"Not Available")</f>
        <v>Not Available</v>
      </c>
      <c r="U480" s="124" t="str">
        <f>IFERROR(__xludf.DUMMYFUNCTION("""COMPUTED_VALUE"""),"Not Available")</f>
        <v>Not Available</v>
      </c>
      <c r="V480" s="124" t="str">
        <f>IFERROR(__xludf.DUMMYFUNCTION("""COMPUTED_VALUE"""),"Not Available")</f>
        <v>Not Available</v>
      </c>
      <c r="W480" s="124" t="str">
        <f>IFERROR(__xludf.DUMMYFUNCTION("""COMPUTED_VALUE"""),"Not Available")</f>
        <v>Not Available</v>
      </c>
    </row>
    <row r="481">
      <c r="A481" s="124" t="str">
        <f t="shared" si="1"/>
        <v>pratishtharasaily@gmail.com</v>
      </c>
      <c r="B481" s="131">
        <f>IFERROR(__xludf.DUMMYFUNCTION("""COMPUTED_VALUE"""),46053.0)</f>
        <v>46053</v>
      </c>
      <c r="C481" s="124" t="str">
        <f>IFERROR(__xludf.DUMMYFUNCTION("""COMPUTED_VALUE"""),"Payment data from Collexo")</f>
        <v>Payment data from Collexo</v>
      </c>
      <c r="D481" s="124" t="str">
        <f>IFERROR(__xludf.DUMMYFUNCTION("""COMPUTED_VALUE"""),"Not Available")</f>
        <v>Not Available</v>
      </c>
      <c r="E481" s="124">
        <f>IFERROR(__xludf.DUMMYFUNCTION("""COMPUTED_VALUE"""),1500609.0)</f>
        <v>1500609</v>
      </c>
      <c r="F481" s="124" t="str">
        <f>IFERROR(__xludf.DUMMYFUNCTION("""COMPUTED_VALUE"""),"3261_988_7")</f>
        <v>3261_988_7</v>
      </c>
      <c r="G481" s="124">
        <f>IFERROR(__xludf.DUMMYFUNCTION("""COMPUTED_VALUE"""),130000.0)</f>
        <v>130000</v>
      </c>
      <c r="H481" s="124" t="str">
        <f>IFERROR(__xludf.DUMMYFUNCTION("""COMPUTED_VALUE"""),"Not Available")</f>
        <v>Not Available</v>
      </c>
      <c r="I481" s="124">
        <f>IFERROR(__xludf.DUMMYFUNCTION("""COMPUTED_VALUE"""),0.0)</f>
        <v>0</v>
      </c>
      <c r="J481" s="124">
        <f>IFERROR(__xludf.DUMMYFUNCTION("""COMPUTED_VALUE"""),135000.0)</f>
        <v>135000</v>
      </c>
      <c r="K481" s="124">
        <f>IFERROR(__xludf.DUMMYFUNCTION("""COMPUTED_VALUE"""),2.0)</f>
        <v>2</v>
      </c>
      <c r="L481" s="124">
        <f>IFERROR(__xludf.DUMMYFUNCTION("""COMPUTED_VALUE"""),144.0)</f>
        <v>144</v>
      </c>
      <c r="M481" s="124" t="str">
        <f>IFERROR(__xludf.DUMMYFUNCTION("""COMPUTED_VALUE"""),"New Delhi")</f>
        <v>New Delhi</v>
      </c>
      <c r="N481" s="124" t="str">
        <f>IFERROR(__xludf.DUMMYFUNCTION("""COMPUTED_VALUE"""),"pratishtharasaily@gmail.com")</f>
        <v>pratishtharasaily@gmail.com</v>
      </c>
      <c r="O481" s="124" t="str">
        <f>IFERROR(__xludf.DUMMYFUNCTION("""COMPUTED_VALUE"""),"Pratishta")</f>
        <v>Pratishta</v>
      </c>
      <c r="P481" s="124">
        <f>IFERROR(__xludf.DUMMYFUNCTION("""COMPUTED_VALUE"""),120008.0)</f>
        <v>120008</v>
      </c>
      <c r="Q481" s="124" t="str">
        <f>IFERROR(__xludf.DUMMYFUNCTION("""COMPUTED_VALUE"""),"ncert-foundation-hinglish-target-2026-nce-upsc-e02-orn")</f>
        <v>ncert-foundation-hinglish-target-2026-nce-upsc-e02-orn</v>
      </c>
      <c r="R481" s="124" t="str">
        <f>IFERROR(__xludf.DUMMYFUNCTION("""COMPUTED_VALUE"""),"GS Foundation Course")</f>
        <v>GS Foundation Course</v>
      </c>
      <c r="S481" s="124">
        <f>IFERROR(__xludf.DUMMYFUNCTION("""COMPUTED_VALUE"""),9.735172604E9)</f>
        <v>9735172604</v>
      </c>
      <c r="T481" s="124" t="str">
        <f>IFERROR(__xludf.DUMMYFUNCTION("""COMPUTED_VALUE"""),"Collexo")</f>
        <v>Collexo</v>
      </c>
      <c r="U481" s="124" t="str">
        <f>IFERROR(__xludf.DUMMYFUNCTION("""COMPUTED_VALUE"""),"Success")</f>
        <v>Success</v>
      </c>
      <c r="V481" s="131">
        <f>IFERROR(__xludf.DUMMYFUNCTION("""COMPUTED_VALUE"""),46053.0)</f>
        <v>46053</v>
      </c>
      <c r="W481" s="124">
        <f>IFERROR(__xludf.DUMMYFUNCTION("""COMPUTED_VALUE"""),0.0)</f>
        <v>0</v>
      </c>
    </row>
    <row r="482">
      <c r="A482" s="124" t="str">
        <f t="shared" si="1"/>
        <v>shuklarunak19@gmail.com</v>
      </c>
      <c r="B482" s="131">
        <f>IFERROR(__xludf.DUMMYFUNCTION("""COMPUTED_VALUE"""),46075.0)</f>
        <v>46075</v>
      </c>
      <c r="C482" s="124" t="str">
        <f>IFERROR(__xludf.DUMMYFUNCTION("""COMPUTED_VALUE"""),"Payment data from Collexo")</f>
        <v>Payment data from Collexo</v>
      </c>
      <c r="D482" s="124" t="str">
        <f>IFERROR(__xludf.DUMMYFUNCTION("""COMPUTED_VALUE"""),"Not Available")</f>
        <v>Not Available</v>
      </c>
      <c r="E482" s="124">
        <f>IFERROR(__xludf.DUMMYFUNCTION("""COMPUTED_VALUE"""),1500609.0)</f>
        <v>1500609</v>
      </c>
      <c r="F482" s="124" t="str">
        <f>IFERROR(__xludf.DUMMYFUNCTION("""COMPUTED_VALUE"""),"8037_988_7")</f>
        <v>8037_988_7</v>
      </c>
      <c r="G482" s="124">
        <f>IFERROR(__xludf.DUMMYFUNCTION("""COMPUTED_VALUE"""),1.0)</f>
        <v>1</v>
      </c>
      <c r="H482" s="124" t="str">
        <f>IFERROR(__xludf.DUMMYFUNCTION("""COMPUTED_VALUE"""),"Not Available")</f>
        <v>Not Available</v>
      </c>
      <c r="I482" s="124">
        <f>IFERROR(__xludf.DUMMYFUNCTION("""COMPUTED_VALUE"""),0.0)</f>
        <v>0</v>
      </c>
      <c r="J482" s="124">
        <f>IFERROR(__xludf.DUMMYFUNCTION("""COMPUTED_VALUE"""),1.0)</f>
        <v>1</v>
      </c>
      <c r="K482" s="124">
        <f>IFERROR(__xludf.DUMMYFUNCTION("""COMPUTED_VALUE"""),1.0)</f>
        <v>1</v>
      </c>
      <c r="L482" s="124">
        <f>IFERROR(__xludf.DUMMYFUNCTION("""COMPUTED_VALUE"""),311.0)</f>
        <v>311</v>
      </c>
      <c r="M482" s="124" t="str">
        <f>IFERROR(__xludf.DUMMYFUNCTION("""COMPUTED_VALUE"""),"New Delhi")</f>
        <v>New Delhi</v>
      </c>
      <c r="N482" s="124" t="str">
        <f>IFERROR(__xludf.DUMMYFUNCTION("""COMPUTED_VALUE"""),"shuklarunak19@gmail.com")</f>
        <v>shuklarunak19@gmail.com</v>
      </c>
      <c r="O482" s="124" t="str">
        <f>IFERROR(__xludf.DUMMYFUNCTION("""COMPUTED_VALUE"""),"Ronak")</f>
        <v>Ronak</v>
      </c>
      <c r="P482" s="124">
        <f>IFERROR(__xludf.DUMMYFUNCTION("""COMPUTED_VALUE"""),124438.0)</f>
        <v>124438</v>
      </c>
      <c r="Q482" s="124" t="str">
        <f>IFERROR(__xludf.DUMMYFUNCTION("""COMPUTED_VALUE"""),"6576 - UPSC GS Foundation Hinglish Target 2027 February (M) - ORN")</f>
        <v>6576 - UPSC GS Foundation Hinglish Target 2027 February (M) - ORN</v>
      </c>
      <c r="R482" s="124" t="str">
        <f>IFERROR(__xludf.DUMMYFUNCTION("""COMPUTED_VALUE"""),"GS Foundation Course")</f>
        <v>GS Foundation Course</v>
      </c>
      <c r="S482" s="124">
        <f>IFERROR(__xludf.DUMMYFUNCTION("""COMPUTED_VALUE"""),9.968253533E9)</f>
        <v>9968253533</v>
      </c>
      <c r="T482" s="124" t="str">
        <f>IFERROR(__xludf.DUMMYFUNCTION("""COMPUTED_VALUE"""),"Collexo")</f>
        <v>Collexo</v>
      </c>
      <c r="U482" s="124" t="str">
        <f>IFERROR(__xludf.DUMMYFUNCTION("""COMPUTED_VALUE"""),"Success")</f>
        <v>Success</v>
      </c>
      <c r="V482" s="131">
        <f>IFERROR(__xludf.DUMMYFUNCTION("""COMPUTED_VALUE"""),46075.0)</f>
        <v>46075</v>
      </c>
      <c r="W482" s="124">
        <f>IFERROR(__xludf.DUMMYFUNCTION("""COMPUTED_VALUE"""),0.0)</f>
        <v>0</v>
      </c>
    </row>
    <row r="483">
      <c r="A483" s="124" t="str">
        <f t="shared" si="1"/>
        <v>robinsinghjee@gmail.com</v>
      </c>
      <c r="B483" s="131">
        <f>IFERROR(__xludf.DUMMYFUNCTION("""COMPUTED_VALUE"""),46102.0)</f>
        <v>46102</v>
      </c>
      <c r="C483" s="124" t="str">
        <f>IFERROR(__xludf.DUMMYFUNCTION("""COMPUTED_VALUE"""),"Payment data from Collexo")</f>
        <v>Payment data from Collexo</v>
      </c>
      <c r="D483" s="124" t="str">
        <f>IFERROR(__xludf.DUMMYFUNCTION("""COMPUTED_VALUE"""),"Not Available")</f>
        <v>Not Available</v>
      </c>
      <c r="E483" s="124">
        <f>IFERROR(__xludf.DUMMYFUNCTION("""COMPUTED_VALUE"""),1500609.0)</f>
        <v>1500609</v>
      </c>
      <c r="F483" s="124" t="str">
        <f>IFERROR(__xludf.DUMMYFUNCTION("""COMPUTED_VALUE"""),"15756_988_7")</f>
        <v>15756_988_7</v>
      </c>
      <c r="G483" s="124">
        <f>IFERROR(__xludf.DUMMYFUNCTION("""COMPUTED_VALUE"""),101750.0)</f>
        <v>101750</v>
      </c>
      <c r="H483" s="124" t="str">
        <f>IFERROR(__xludf.DUMMYFUNCTION("""COMPUTED_VALUE"""),"Not Available")</f>
        <v>Not Available</v>
      </c>
      <c r="I483" s="124">
        <f>IFERROR(__xludf.DUMMYFUNCTION("""COMPUTED_VALUE"""),0.0)</f>
        <v>0</v>
      </c>
      <c r="J483" s="124">
        <f>IFERROR(__xludf.DUMMYFUNCTION("""COMPUTED_VALUE"""),135000.0)</f>
        <v>135000</v>
      </c>
      <c r="K483" s="124">
        <f>IFERROR(__xludf.DUMMYFUNCTION("""COMPUTED_VALUE"""),3.0)</f>
        <v>3</v>
      </c>
      <c r="L483" s="124">
        <f>IFERROR(__xludf.DUMMYFUNCTION("""COMPUTED_VALUE"""),668.0)</f>
        <v>668</v>
      </c>
      <c r="M483" s="124" t="str">
        <f>IFERROR(__xludf.DUMMYFUNCTION("""COMPUTED_VALUE"""),"New Delhi")</f>
        <v>New Delhi</v>
      </c>
      <c r="N483" s="124" t="str">
        <f>IFERROR(__xludf.DUMMYFUNCTION("""COMPUTED_VALUE"""),"robinsinghjee@gmail.com")</f>
        <v>robinsinghjee@gmail.com</v>
      </c>
      <c r="O483" s="124" t="str">
        <f>IFERROR(__xludf.DUMMYFUNCTION("""COMPUTED_VALUE"""),"Aditya")</f>
        <v>Aditya</v>
      </c>
      <c r="P483" s="124">
        <f>IFERROR(__xludf.DUMMYFUNCTION("""COMPUTED_VALUE"""),119859.0)</f>
        <v>119859</v>
      </c>
      <c r="Q483" s="124" t="str">
        <f>IFERROR(__xludf.DUMMYFUNCTION("""COMPUTED_VALUE"""),"upsc-gs-foundation-hinglish-target-2028-gsf-upsc-m05-orn")</f>
        <v>upsc-gs-foundation-hinglish-target-2028-gsf-upsc-m05-orn</v>
      </c>
      <c r="R483" s="124" t="str">
        <f>IFERROR(__xludf.DUMMYFUNCTION("""COMPUTED_VALUE"""),"GS Foundation Course")</f>
        <v>GS Foundation Course</v>
      </c>
      <c r="S483" s="124">
        <f>IFERROR(__xludf.DUMMYFUNCTION("""COMPUTED_VALUE"""),9.279238076E9)</f>
        <v>9279238076</v>
      </c>
      <c r="T483" s="124" t="str">
        <f>IFERROR(__xludf.DUMMYFUNCTION("""COMPUTED_VALUE"""),"Collexo")</f>
        <v>Collexo</v>
      </c>
      <c r="U483" s="124" t="str">
        <f>IFERROR(__xludf.DUMMYFUNCTION("""COMPUTED_VALUE"""),"Success")</f>
        <v>Success</v>
      </c>
      <c r="V483" s="131">
        <f>IFERROR(__xludf.DUMMYFUNCTION("""COMPUTED_VALUE"""),46102.0)</f>
        <v>46102</v>
      </c>
      <c r="W483" s="124">
        <f>IFERROR(__xludf.DUMMYFUNCTION("""COMPUTED_VALUE"""),0.0)</f>
        <v>0</v>
      </c>
    </row>
    <row r="484">
      <c r="A484" s="124" t="str">
        <f t="shared" si="1"/>
        <v>nisharajakgurniya.2007@gmail.com</v>
      </c>
      <c r="B484" s="131">
        <f>IFERROR(__xludf.DUMMYFUNCTION("""COMPUTED_VALUE"""),46075.0)</f>
        <v>46075</v>
      </c>
      <c r="C484" s="124" t="str">
        <f>IFERROR(__xludf.DUMMYFUNCTION("""COMPUTED_VALUE"""),"Payment data from Collexo")</f>
        <v>Payment data from Collexo</v>
      </c>
      <c r="D484" s="124" t="str">
        <f>IFERROR(__xludf.DUMMYFUNCTION("""COMPUTED_VALUE"""),"Not Available")</f>
        <v>Not Available</v>
      </c>
      <c r="E484" s="124">
        <f>IFERROR(__xludf.DUMMYFUNCTION("""COMPUTED_VALUE"""),1500611.0)</f>
        <v>1500611</v>
      </c>
      <c r="F484" s="124">
        <f>IFERROR(__xludf.DUMMYFUNCTION("""COMPUTED_VALUE"""),124156.0)</f>
        <v>124156</v>
      </c>
      <c r="G484" s="124">
        <f>IFERROR(__xludf.DUMMYFUNCTION("""COMPUTED_VALUE"""),2000.0)</f>
        <v>2000</v>
      </c>
      <c r="H484" s="131">
        <f>IFERROR(__xludf.DUMMYFUNCTION("""COMPUTED_VALUE"""),46081.0)</f>
        <v>46081</v>
      </c>
      <c r="I484" s="124">
        <f>IFERROR(__xludf.DUMMYFUNCTION("""COMPUTED_VALUE"""),6767.0)</f>
        <v>6767</v>
      </c>
      <c r="J484" s="124">
        <f>IFERROR(__xludf.DUMMYFUNCTION("""COMPUTED_VALUE"""),80767.0)</f>
        <v>80767</v>
      </c>
      <c r="K484" s="124">
        <f>IFERROR(__xludf.DUMMYFUNCTION("""COMPUTED_VALUE"""),3.0)</f>
        <v>3</v>
      </c>
      <c r="L484" s="124">
        <f>IFERROR(__xludf.DUMMYFUNCTION("""COMPUTED_VALUE"""),302.0)</f>
        <v>302</v>
      </c>
      <c r="M484" s="124" t="str">
        <f>IFERROR(__xludf.DUMMYFUNCTION("""COMPUTED_VALUE"""),"Patna")</f>
        <v>Patna</v>
      </c>
      <c r="N484" s="124" t="str">
        <f>IFERROR(__xludf.DUMMYFUNCTION("""COMPUTED_VALUE"""),"nisharajakgurniya.2007@gmail.com")</f>
        <v>nisharajakgurniya.2007@gmail.com</v>
      </c>
      <c r="O484" s="124" t="str">
        <f>IFERROR(__xludf.DUMMYFUNCTION("""COMPUTED_VALUE"""),"Nisha Rajak")</f>
        <v>Nisha Rajak</v>
      </c>
      <c r="P484" s="124">
        <f>IFERROR(__xludf.DUMMYFUNCTION("""COMPUTED_VALUE"""),124156.0)</f>
        <v>124156</v>
      </c>
      <c r="Q484" s="124" t="str">
        <f>IFERROR(__xludf.DUMMYFUNCTION("""COMPUTED_VALUE"""),"upsc-gs-foundation-hinglish-target-2027-gsf-upsc-e02-pat")</f>
        <v>upsc-gs-foundation-hinglish-target-2027-gsf-upsc-e02-pat</v>
      </c>
      <c r="R484" s="124" t="str">
        <f>IFERROR(__xludf.DUMMYFUNCTION("""COMPUTED_VALUE"""),"GS Foundation Course")</f>
        <v>GS Foundation Course</v>
      </c>
      <c r="S484" s="124">
        <f>IFERROR(__xludf.DUMMYFUNCTION("""COMPUTED_VALUE"""),9.674337086E9)</f>
        <v>9674337086</v>
      </c>
      <c r="T484" s="124" t="str">
        <f>IFERROR(__xludf.DUMMYFUNCTION("""COMPUTED_VALUE"""),"Not Available")</f>
        <v>Not Available</v>
      </c>
      <c r="U484" s="124" t="str">
        <f>IFERROR(__xludf.DUMMYFUNCTION("""COMPUTED_VALUE"""),"Not Available")</f>
        <v>Not Available</v>
      </c>
      <c r="V484" s="124" t="str">
        <f>IFERROR(__xludf.DUMMYFUNCTION("""COMPUTED_VALUE"""),"Not Available")</f>
        <v>Not Available</v>
      </c>
      <c r="W484" s="124" t="str">
        <f>IFERROR(__xludf.DUMMYFUNCTION("""COMPUTED_VALUE"""),"Not Available")</f>
        <v>Not Available</v>
      </c>
    </row>
    <row r="485">
      <c r="A485" s="124" t="str">
        <f t="shared" si="1"/>
        <v>chinthamavaneesh1704@gmail.com</v>
      </c>
      <c r="B485" s="131">
        <f>IFERROR(__xludf.DUMMYFUNCTION("""COMPUTED_VALUE"""),46090.0)</f>
        <v>46090</v>
      </c>
      <c r="C485" s="124" t="str">
        <f>IFERROR(__xludf.DUMMYFUNCTION("""COMPUTED_VALUE"""),"Payment data from Collexo")</f>
        <v>Payment data from Collexo</v>
      </c>
      <c r="D485" s="124" t="str">
        <f>IFERROR(__xludf.DUMMYFUNCTION("""COMPUTED_VALUE"""),"Not Available")</f>
        <v>Not Available</v>
      </c>
      <c r="E485" s="124">
        <f>IFERROR(__xludf.DUMMYFUNCTION("""COMPUTED_VALUE"""),1500609.0)</f>
        <v>1500609</v>
      </c>
      <c r="F485" s="124" t="str">
        <f>IFERROR(__xludf.DUMMYFUNCTION("""COMPUTED_VALUE"""),"13266_988_7")</f>
        <v>13266_988_7</v>
      </c>
      <c r="G485" s="124">
        <f>IFERROR(__xludf.DUMMYFUNCTION("""COMPUTED_VALUE"""),1.0)</f>
        <v>1</v>
      </c>
      <c r="H485" s="124" t="str">
        <f>IFERROR(__xludf.DUMMYFUNCTION("""COMPUTED_VALUE"""),"Not Available")</f>
        <v>Not Available</v>
      </c>
      <c r="I485" s="124">
        <f>IFERROR(__xludf.DUMMYFUNCTION("""COMPUTED_VALUE"""),0.0)</f>
        <v>0</v>
      </c>
      <c r="J485" s="124">
        <f>IFERROR(__xludf.DUMMYFUNCTION("""COMPUTED_VALUE"""),1.0)</f>
        <v>1</v>
      </c>
      <c r="K485" s="124">
        <f>IFERROR(__xludf.DUMMYFUNCTION("""COMPUTED_VALUE"""),1.0)</f>
        <v>1</v>
      </c>
      <c r="L485" s="124">
        <f>IFERROR(__xludf.DUMMYFUNCTION("""COMPUTED_VALUE"""),453.0)</f>
        <v>453</v>
      </c>
      <c r="M485" s="124" t="str">
        <f>IFERROR(__xludf.DUMMYFUNCTION("""COMPUTED_VALUE"""),"New Delhi")</f>
        <v>New Delhi</v>
      </c>
      <c r="N485" s="124" t="str">
        <f>IFERROR(__xludf.DUMMYFUNCTION("""COMPUTED_VALUE"""),"chinthamavaneesh1704@gmail.com")</f>
        <v>chinthamavaneesh1704@gmail.com</v>
      </c>
      <c r="O485" s="124" t="str">
        <f>IFERROR(__xludf.DUMMYFUNCTION("""COMPUTED_VALUE"""),"Chintham Avaneesh")</f>
        <v>Chintham Avaneesh</v>
      </c>
      <c r="P485" s="124">
        <f>IFERROR(__xludf.DUMMYFUNCTION("""COMPUTED_VALUE"""),126202.0)</f>
        <v>126202</v>
      </c>
      <c r="Q485" s="124" t="str">
        <f>IFERROR(__xludf.DUMMYFUNCTION("""COMPUTED_VALUE"""),"upsc-gs-foundation-hinglish-target-2027-gsf-upsc-e05-orn")</f>
        <v>upsc-gs-foundation-hinglish-target-2027-gsf-upsc-e05-orn</v>
      </c>
      <c r="R485" s="124" t="str">
        <f>IFERROR(__xludf.DUMMYFUNCTION("""COMPUTED_VALUE"""),"GS Foundation Course")</f>
        <v>GS Foundation Course</v>
      </c>
      <c r="S485" s="124">
        <f>IFERROR(__xludf.DUMMYFUNCTION("""COMPUTED_VALUE"""),6.302647716E9)</f>
        <v>6302647716</v>
      </c>
      <c r="T485" s="124" t="str">
        <f>IFERROR(__xludf.DUMMYFUNCTION("""COMPUTED_VALUE"""),"Collexo")</f>
        <v>Collexo</v>
      </c>
      <c r="U485" s="124" t="str">
        <f>IFERROR(__xludf.DUMMYFUNCTION("""COMPUTED_VALUE"""),"Success")</f>
        <v>Success</v>
      </c>
      <c r="V485" s="131">
        <f>IFERROR(__xludf.DUMMYFUNCTION("""COMPUTED_VALUE"""),46090.0)</f>
        <v>46090</v>
      </c>
      <c r="W485" s="124">
        <f>IFERROR(__xludf.DUMMYFUNCTION("""COMPUTED_VALUE"""),0.0)</f>
        <v>0</v>
      </c>
    </row>
    <row r="486">
      <c r="A486" s="124" t="str">
        <f t="shared" si="1"/>
        <v>swarnaavula2@gmail.com</v>
      </c>
      <c r="B486" s="131">
        <f>IFERROR(__xludf.DUMMYFUNCTION("""COMPUTED_VALUE"""),46080.0)</f>
        <v>46080</v>
      </c>
      <c r="C486" s="124" t="str">
        <f>IFERROR(__xludf.DUMMYFUNCTION("""COMPUTED_VALUE"""),"Payment data from Collexo")</f>
        <v>Payment data from Collexo</v>
      </c>
      <c r="D486" s="124" t="str">
        <f>IFERROR(__xludf.DUMMYFUNCTION("""COMPUTED_VALUE"""),"Not Available")</f>
        <v>Not Available</v>
      </c>
      <c r="E486" s="124">
        <f>IFERROR(__xludf.DUMMYFUNCTION("""COMPUTED_VALUE"""),1500609.0)</f>
        <v>1500609</v>
      </c>
      <c r="F486" s="124" t="str">
        <f>IFERROR(__xludf.DUMMYFUNCTION("""COMPUTED_VALUE"""),"11429_988_7")</f>
        <v>11429_988_7</v>
      </c>
      <c r="G486" s="124">
        <f>IFERROR(__xludf.DUMMYFUNCTION("""COMPUTED_VALUE"""),56250.0)</f>
        <v>56250</v>
      </c>
      <c r="H486" s="124" t="str">
        <f>IFERROR(__xludf.DUMMYFUNCTION("""COMPUTED_VALUE"""),"Not Available")</f>
        <v>Not Available</v>
      </c>
      <c r="I486" s="124">
        <f>IFERROR(__xludf.DUMMYFUNCTION("""COMPUTED_VALUE"""),0.0)</f>
        <v>0</v>
      </c>
      <c r="J486" s="124">
        <f>IFERROR(__xludf.DUMMYFUNCTION("""COMPUTED_VALUE"""),75000.0)</f>
        <v>75000</v>
      </c>
      <c r="K486" s="124">
        <f>IFERROR(__xludf.DUMMYFUNCTION("""COMPUTED_VALUE"""),3.0)</f>
        <v>3</v>
      </c>
      <c r="L486" s="124">
        <f>IFERROR(__xludf.DUMMYFUNCTION("""COMPUTED_VALUE"""),369.0)</f>
        <v>369</v>
      </c>
      <c r="M486" s="124" t="str">
        <f>IFERROR(__xludf.DUMMYFUNCTION("""COMPUTED_VALUE"""),"New Delhi")</f>
        <v>New Delhi</v>
      </c>
      <c r="N486" s="124" t="str">
        <f>IFERROR(__xludf.DUMMYFUNCTION("""COMPUTED_VALUE"""),"swarnaavula2@gmail.com")</f>
        <v>swarnaavula2@gmail.com</v>
      </c>
      <c r="O486" s="124" t="str">
        <f>IFERROR(__xludf.DUMMYFUNCTION("""COMPUTED_VALUE"""),"Swarna Kumari")</f>
        <v>Swarna Kumari</v>
      </c>
      <c r="P486" s="124">
        <f>IFERROR(__xludf.DUMMYFUNCTION("""COMPUTED_VALUE"""),121594.0)</f>
        <v>121594</v>
      </c>
      <c r="Q486" s="124" t="str">
        <f>IFERROR(__xludf.DUMMYFUNCTION("""COMPUTED_VALUE"""),"Not Available")</f>
        <v>Not Available</v>
      </c>
      <c r="R486" s="124" t="str">
        <f>IFERROR(__xludf.DUMMYFUNCTION("""COMPUTED_VALUE"""),"GS Foundation Course")</f>
        <v>GS Foundation Course</v>
      </c>
      <c r="S486" s="124">
        <f>IFERROR(__xludf.DUMMYFUNCTION("""COMPUTED_VALUE"""),7.569056642E9)</f>
        <v>7569056642</v>
      </c>
      <c r="T486" s="124" t="str">
        <f>IFERROR(__xludf.DUMMYFUNCTION("""COMPUTED_VALUE"""),"Collexo")</f>
        <v>Collexo</v>
      </c>
      <c r="U486" s="124" t="str">
        <f>IFERROR(__xludf.DUMMYFUNCTION("""COMPUTED_VALUE"""),"Success")</f>
        <v>Success</v>
      </c>
      <c r="V486" s="131">
        <f>IFERROR(__xludf.DUMMYFUNCTION("""COMPUTED_VALUE"""),46080.0)</f>
        <v>46080</v>
      </c>
      <c r="W486" s="124">
        <f>IFERROR(__xludf.DUMMYFUNCTION("""COMPUTED_VALUE"""),0.0)</f>
        <v>0</v>
      </c>
    </row>
    <row r="487">
      <c r="A487" s="124" t="str">
        <f t="shared" si="1"/>
        <v>shreyakushwaha0105@gmail.com</v>
      </c>
      <c r="B487" s="131">
        <f>IFERROR(__xludf.DUMMYFUNCTION("""COMPUTED_VALUE"""),46102.0)</f>
        <v>46102</v>
      </c>
      <c r="C487" s="124" t="str">
        <f>IFERROR(__xludf.DUMMYFUNCTION("""COMPUTED_VALUE"""),"Payment data from Collexo")</f>
        <v>Payment data from Collexo</v>
      </c>
      <c r="D487" s="124" t="str">
        <f>IFERROR(__xludf.DUMMYFUNCTION("""COMPUTED_VALUE"""),"Not Available")</f>
        <v>Not Available</v>
      </c>
      <c r="E487" s="124">
        <f>IFERROR(__xludf.DUMMYFUNCTION("""COMPUTED_VALUE"""),1500613.0)</f>
        <v>1500613</v>
      </c>
      <c r="F487" s="124">
        <f>IFERROR(__xludf.DUMMYFUNCTION("""COMPUTED_VALUE"""),129598.0)</f>
        <v>129598</v>
      </c>
      <c r="G487" s="124">
        <f>IFERROR(__xludf.DUMMYFUNCTION("""COMPUTED_VALUE"""),5000.0)</f>
        <v>5000</v>
      </c>
      <c r="H487" s="131">
        <f>IFERROR(__xludf.DUMMYFUNCTION("""COMPUTED_VALUE"""),46106.0)</f>
        <v>46106</v>
      </c>
      <c r="I487" s="124">
        <f>IFERROR(__xludf.DUMMYFUNCTION("""COMPUTED_VALUE"""),20000.0)</f>
        <v>20000</v>
      </c>
      <c r="J487" s="124">
        <f>IFERROR(__xludf.DUMMYFUNCTION("""COMPUTED_VALUE"""),25000.0)</f>
        <v>25000</v>
      </c>
      <c r="K487" s="124">
        <f>IFERROR(__xludf.DUMMYFUNCTION("""COMPUTED_VALUE"""),2.0)</f>
        <v>2</v>
      </c>
      <c r="L487" s="124">
        <f>IFERROR(__xludf.DUMMYFUNCTION("""COMPUTED_VALUE"""),665.0)</f>
        <v>665</v>
      </c>
      <c r="M487" s="124" t="str">
        <f>IFERROR(__xludf.DUMMYFUNCTION("""COMPUTED_VALUE"""),"Prayagraj")</f>
        <v>Prayagraj</v>
      </c>
      <c r="N487" s="124" t="str">
        <f>IFERROR(__xludf.DUMMYFUNCTION("""COMPUTED_VALUE"""),"shreyakushwaha0105@gmail.com")</f>
        <v>shreyakushwaha0105@gmail.com</v>
      </c>
      <c r="O487" s="124" t="str">
        <f>IFERROR(__xludf.DUMMYFUNCTION("""COMPUTED_VALUE"""),"Shreya Kushwaha")</f>
        <v>Shreya Kushwaha</v>
      </c>
      <c r="P487" s="124">
        <f>IFERROR(__xludf.DUMMYFUNCTION("""COMPUTED_VALUE"""),129598.0)</f>
        <v>129598</v>
      </c>
      <c r="Q487" s="124" t="str">
        <f>IFERROR(__xludf.DUMMYFUNCTION("""COMPUTED_VALUE"""),"samadhan-mentorship-program-pry")</f>
        <v>samadhan-mentorship-program-pry</v>
      </c>
      <c r="R487" s="124" t="str">
        <f>IFERROR(__xludf.DUMMYFUNCTION("""COMPUTED_VALUE"""),"Mentorship - Samadhan")</f>
        <v>Mentorship - Samadhan</v>
      </c>
      <c r="S487" s="124">
        <f>IFERROR(__xludf.DUMMYFUNCTION("""COMPUTED_VALUE"""),7.905052194E9)</f>
        <v>7905052194</v>
      </c>
      <c r="T487" s="124" t="str">
        <f>IFERROR(__xludf.DUMMYFUNCTION("""COMPUTED_VALUE"""),"Not Available")</f>
        <v>Not Available</v>
      </c>
      <c r="U487" s="124" t="str">
        <f>IFERROR(__xludf.DUMMYFUNCTION("""COMPUTED_VALUE"""),"Not Available")</f>
        <v>Not Available</v>
      </c>
      <c r="V487" s="124" t="str">
        <f>IFERROR(__xludf.DUMMYFUNCTION("""COMPUTED_VALUE"""),"Not Available")</f>
        <v>Not Available</v>
      </c>
      <c r="W487" s="124" t="str">
        <f>IFERROR(__xludf.DUMMYFUNCTION("""COMPUTED_VALUE"""),"Not Available")</f>
        <v>Not Available</v>
      </c>
    </row>
    <row r="488">
      <c r="A488" s="124" t="str">
        <f t="shared" si="1"/>
        <v>zuhaibgujjar69@gmai.com</v>
      </c>
      <c r="B488" s="131">
        <f>IFERROR(__xludf.DUMMYFUNCTION("""COMPUTED_VALUE"""),46089.0)</f>
        <v>46089</v>
      </c>
      <c r="C488" s="124" t="str">
        <f>IFERROR(__xludf.DUMMYFUNCTION("""COMPUTED_VALUE"""),"Payment data from Collexo")</f>
        <v>Payment data from Collexo</v>
      </c>
      <c r="D488" s="124" t="str">
        <f>IFERROR(__xludf.DUMMYFUNCTION("""COMPUTED_VALUE"""),"Not Available")</f>
        <v>Not Available</v>
      </c>
      <c r="E488" s="124">
        <f>IFERROR(__xludf.DUMMYFUNCTION("""COMPUTED_VALUE"""),1500613.0)</f>
        <v>1500613</v>
      </c>
      <c r="F488" s="124">
        <f>IFERROR(__xludf.DUMMYFUNCTION("""COMPUTED_VALUE"""),39462.0)</f>
        <v>39462</v>
      </c>
      <c r="G488" s="124">
        <f>IFERROR(__xludf.DUMMYFUNCTION("""COMPUTED_VALUE"""),8000.0)</f>
        <v>8000</v>
      </c>
      <c r="H488" s="131">
        <f>IFERROR(__xludf.DUMMYFUNCTION("""COMPUTED_VALUE"""),46091.0)</f>
        <v>46091</v>
      </c>
      <c r="I488" s="124">
        <f>IFERROR(__xludf.DUMMYFUNCTION("""COMPUTED_VALUE"""),45000.0)</f>
        <v>45000</v>
      </c>
      <c r="J488" s="124">
        <f>IFERROR(__xludf.DUMMYFUNCTION("""COMPUTED_VALUE"""),55000.0)</f>
        <v>55000</v>
      </c>
      <c r="K488" s="124">
        <f>IFERROR(__xludf.DUMMYFUNCTION("""COMPUTED_VALUE"""),3.0)</f>
        <v>3</v>
      </c>
      <c r="L488" s="124">
        <f>IFERROR(__xludf.DUMMYFUNCTION("""COMPUTED_VALUE"""),442.0)</f>
        <v>442</v>
      </c>
      <c r="M488" s="124" t="str">
        <f>IFERROR(__xludf.DUMMYFUNCTION("""COMPUTED_VALUE"""),"Prayagraj")</f>
        <v>Prayagraj</v>
      </c>
      <c r="N488" s="124" t="str">
        <f>IFERROR(__xludf.DUMMYFUNCTION("""COMPUTED_VALUE"""),"zuhaibgujjar69@gmai.com")</f>
        <v>zuhaibgujjar69@gmai.com</v>
      </c>
      <c r="O488" s="124" t="str">
        <f>IFERROR(__xludf.DUMMYFUNCTION("""COMPUTED_VALUE"""),"Zuhaib")</f>
        <v>Zuhaib</v>
      </c>
      <c r="P488" s="124">
        <f>IFERROR(__xludf.DUMMYFUNCTION("""COMPUTED_VALUE"""),39462.0)</f>
        <v>39462</v>
      </c>
      <c r="Q488" s="124" t="str">
        <f>IFERROR(__xludf.DUMMYFUNCTION("""COMPUTED_VALUE"""),"upsc-gs-foundation-hindi-target-2027-gsf-upsc-m02-pry")</f>
        <v>upsc-gs-foundation-hindi-target-2027-gsf-upsc-m02-pry</v>
      </c>
      <c r="R488" s="124" t="str">
        <f>IFERROR(__xludf.DUMMYFUNCTION("""COMPUTED_VALUE"""),"GS Foundation Course")</f>
        <v>GS Foundation Course</v>
      </c>
      <c r="S488" s="124">
        <f>IFERROR(__xludf.DUMMYFUNCTION("""COMPUTED_VALUE"""),9.79546101E9)</f>
        <v>9795461010</v>
      </c>
      <c r="T488" s="124" t="str">
        <f>IFERROR(__xludf.DUMMYFUNCTION("""COMPUTED_VALUE"""),"Not Available")</f>
        <v>Not Available</v>
      </c>
      <c r="U488" s="124" t="str">
        <f>IFERROR(__xludf.DUMMYFUNCTION("""COMPUTED_VALUE"""),"Not Available")</f>
        <v>Not Available</v>
      </c>
      <c r="V488" s="124" t="str">
        <f>IFERROR(__xludf.DUMMYFUNCTION("""COMPUTED_VALUE"""),"Not Available")</f>
        <v>Not Available</v>
      </c>
      <c r="W488" s="124" t="str">
        <f>IFERROR(__xludf.DUMMYFUNCTION("""COMPUTED_VALUE"""),"Not Available")</f>
        <v>Not Available</v>
      </c>
    </row>
    <row r="489">
      <c r="A489" s="124" t="str">
        <f t="shared" si="1"/>
        <v>chinthamavaneesh1704@gmail.com</v>
      </c>
      <c r="B489" s="131">
        <f>IFERROR(__xludf.DUMMYFUNCTION("""COMPUTED_VALUE"""),46090.0)</f>
        <v>46090</v>
      </c>
      <c r="C489" s="124" t="str">
        <f>IFERROR(__xludf.DUMMYFUNCTION("""COMPUTED_VALUE"""),"Payment data from Collexo")</f>
        <v>Payment data from Collexo</v>
      </c>
      <c r="D489" s="124" t="str">
        <f>IFERROR(__xludf.DUMMYFUNCTION("""COMPUTED_VALUE"""),"Not Available")</f>
        <v>Not Available</v>
      </c>
      <c r="E489" s="124">
        <f>IFERROR(__xludf.DUMMYFUNCTION("""COMPUTED_VALUE"""),1500609.0)</f>
        <v>1500609</v>
      </c>
      <c r="F489" s="124" t="str">
        <f>IFERROR(__xludf.DUMMYFUNCTION("""COMPUTED_VALUE"""),"13264_988_7")</f>
        <v>13264_988_7</v>
      </c>
      <c r="G489" s="124">
        <f>IFERROR(__xludf.DUMMYFUNCTION("""COMPUTED_VALUE"""),2000.0)</f>
        <v>2000</v>
      </c>
      <c r="H489" s="131">
        <f>IFERROR(__xludf.DUMMYFUNCTION("""COMPUTED_VALUE"""),46112.0)</f>
        <v>46112</v>
      </c>
      <c r="I489" s="124">
        <f>IFERROR(__xludf.DUMMYFUNCTION("""COMPUTED_VALUE"""),113000.0)</f>
        <v>113000</v>
      </c>
      <c r="J489" s="124">
        <f>IFERROR(__xludf.DUMMYFUNCTION("""COMPUTED_VALUE"""),115000.0)</f>
        <v>115000</v>
      </c>
      <c r="K489" s="124">
        <f>IFERROR(__xludf.DUMMYFUNCTION("""COMPUTED_VALUE"""),2.0)</f>
        <v>2</v>
      </c>
      <c r="L489" s="124">
        <f>IFERROR(__xludf.DUMMYFUNCTION("""COMPUTED_VALUE"""),451.0)</f>
        <v>451</v>
      </c>
      <c r="M489" s="124" t="str">
        <f>IFERROR(__xludf.DUMMYFUNCTION("""COMPUTED_VALUE"""),"New Delhi")</f>
        <v>New Delhi</v>
      </c>
      <c r="N489" s="124" t="str">
        <f>IFERROR(__xludf.DUMMYFUNCTION("""COMPUTED_VALUE"""),"chinthamavaneesh1704@gmail.com")</f>
        <v>chinthamavaneesh1704@gmail.com</v>
      </c>
      <c r="O489" s="124" t="str">
        <f>IFERROR(__xludf.DUMMYFUNCTION("""COMPUTED_VALUE"""),"Chintham Avaneesh")</f>
        <v>Chintham Avaneesh</v>
      </c>
      <c r="P489" s="124">
        <f>IFERROR(__xludf.DUMMYFUNCTION("""COMPUTED_VALUE"""),126202.0)</f>
        <v>126202</v>
      </c>
      <c r="Q489" s="124" t="str">
        <f>IFERROR(__xludf.DUMMYFUNCTION("""COMPUTED_VALUE"""),"upsc-gs-foundation-hinglish-target-2027-gsf-upsc-e05-orn")</f>
        <v>upsc-gs-foundation-hinglish-target-2027-gsf-upsc-e05-orn</v>
      </c>
      <c r="R489" s="124" t="str">
        <f>IFERROR(__xludf.DUMMYFUNCTION("""COMPUTED_VALUE"""),"GS Foundation Course")</f>
        <v>GS Foundation Course</v>
      </c>
      <c r="S489" s="124">
        <f>IFERROR(__xludf.DUMMYFUNCTION("""COMPUTED_VALUE"""),6.302647716E9)</f>
        <v>6302647716</v>
      </c>
      <c r="T489" s="124" t="str">
        <f>IFERROR(__xludf.DUMMYFUNCTION("""COMPUTED_VALUE"""),"Collexo")</f>
        <v>Collexo</v>
      </c>
      <c r="U489" s="124" t="str">
        <f>IFERROR(__xludf.DUMMYFUNCTION("""COMPUTED_VALUE"""),"Success")</f>
        <v>Success</v>
      </c>
      <c r="V489" s="131">
        <f>IFERROR(__xludf.DUMMYFUNCTION("""COMPUTED_VALUE"""),46090.0)</f>
        <v>46090</v>
      </c>
      <c r="W489" s="124">
        <f>IFERROR(__xludf.DUMMYFUNCTION("""COMPUTED_VALUE"""),0.0)</f>
        <v>0</v>
      </c>
    </row>
    <row r="490">
      <c r="A490" s="124" t="str">
        <f t="shared" si="1"/>
        <v>tdhkrishnagupta11@gmail.com</v>
      </c>
      <c r="B490" s="131">
        <f>IFERROR(__xludf.DUMMYFUNCTION("""COMPUTED_VALUE"""),46104.0)</f>
        <v>46104</v>
      </c>
      <c r="C490" s="124" t="str">
        <f>IFERROR(__xludf.DUMMYFUNCTION("""COMPUTED_VALUE"""),"Payment data from Collexo")</f>
        <v>Payment data from Collexo</v>
      </c>
      <c r="D490" s="124" t="str">
        <f>IFERROR(__xludf.DUMMYFUNCTION("""COMPUTED_VALUE"""),"Not Available")</f>
        <v>Not Available</v>
      </c>
      <c r="E490" s="124">
        <f>IFERROR(__xludf.DUMMYFUNCTION("""COMPUTED_VALUE"""),1500610.0)</f>
        <v>1500610</v>
      </c>
      <c r="F490" s="124">
        <f>IFERROR(__xludf.DUMMYFUNCTION("""COMPUTED_VALUE"""),130049.0)</f>
        <v>130049</v>
      </c>
      <c r="G490" s="124">
        <f>IFERROR(__xludf.DUMMYFUNCTION("""COMPUTED_VALUE"""),2000.0)</f>
        <v>2000</v>
      </c>
      <c r="H490" s="131">
        <f>IFERROR(__xludf.DUMMYFUNCTION("""COMPUTED_VALUE"""),46104.0)</f>
        <v>46104</v>
      </c>
      <c r="I490" s="124">
        <f>IFERROR(__xludf.DUMMYFUNCTION("""COMPUTED_VALUE"""),1000.0)</f>
        <v>1000</v>
      </c>
      <c r="J490" s="124">
        <f>IFERROR(__xludf.DUMMYFUNCTION("""COMPUTED_VALUE"""),50000.0)</f>
        <v>50000</v>
      </c>
      <c r="K490" s="124">
        <f>IFERROR(__xludf.DUMMYFUNCTION("""COMPUTED_VALUE"""),4.0)</f>
        <v>4</v>
      </c>
      <c r="L490" s="124">
        <f>IFERROR(__xludf.DUMMYFUNCTION("""COMPUTED_VALUE"""),693.0)</f>
        <v>693</v>
      </c>
      <c r="M490" s="124" t="str">
        <f>IFERROR(__xludf.DUMMYFUNCTION("""COMPUTED_VALUE"""),"Lucknow")</f>
        <v>Lucknow</v>
      </c>
      <c r="N490" s="124" t="str">
        <f>IFERROR(__xludf.DUMMYFUNCTION("""COMPUTED_VALUE"""),"tdhkrishnagupta11@gmail.com")</f>
        <v>tdhkrishnagupta11@gmail.com</v>
      </c>
      <c r="O490" s="124" t="str">
        <f>IFERROR(__xludf.DUMMYFUNCTION("""COMPUTED_VALUE"""),"Krishna")</f>
        <v>Krishna</v>
      </c>
      <c r="P490" s="124">
        <f>IFERROR(__xludf.DUMMYFUNCTION("""COMPUTED_VALUE"""),130049.0)</f>
        <v>130049</v>
      </c>
      <c r="Q490" s="124" t="str">
        <f>IFERROR(__xludf.DUMMYFUNCTION("""COMPUTED_VALUE"""),"Not Available")</f>
        <v>Not Available</v>
      </c>
      <c r="R490" s="124" t="str">
        <f>IFERROR(__xludf.DUMMYFUNCTION("""COMPUTED_VALUE"""),"GS Foundation Course")</f>
        <v>GS Foundation Course</v>
      </c>
      <c r="S490" s="124">
        <f>IFERROR(__xludf.DUMMYFUNCTION("""COMPUTED_VALUE"""),7.991314106E9)</f>
        <v>7991314106</v>
      </c>
      <c r="T490" s="124" t="str">
        <f>IFERROR(__xludf.DUMMYFUNCTION("""COMPUTED_VALUE"""),"Not Available")</f>
        <v>Not Available</v>
      </c>
      <c r="U490" s="124" t="str">
        <f>IFERROR(__xludf.DUMMYFUNCTION("""COMPUTED_VALUE"""),"Not Available")</f>
        <v>Not Available</v>
      </c>
      <c r="V490" s="124" t="str">
        <f>IFERROR(__xludf.DUMMYFUNCTION("""COMPUTED_VALUE"""),"Not Available")</f>
        <v>Not Available</v>
      </c>
      <c r="W490" s="124" t="str">
        <f>IFERROR(__xludf.DUMMYFUNCTION("""COMPUTED_VALUE"""),"Not Available")</f>
        <v>Not Available</v>
      </c>
    </row>
    <row r="491">
      <c r="A491" s="124" t="str">
        <f t="shared" si="1"/>
        <v>vivekkajla168@gmail.com</v>
      </c>
      <c r="B491" s="131">
        <f>IFERROR(__xludf.DUMMYFUNCTION("""COMPUTED_VALUE"""),46106.0)</f>
        <v>46106</v>
      </c>
      <c r="C491" s="124" t="str">
        <f>IFERROR(__xludf.DUMMYFUNCTION("""COMPUTED_VALUE"""),"Payment data from Collexo")</f>
        <v>Payment data from Collexo</v>
      </c>
      <c r="D491" s="124" t="str">
        <f>IFERROR(__xludf.DUMMYFUNCTION("""COMPUTED_VALUE"""),"Not Available")</f>
        <v>Not Available</v>
      </c>
      <c r="E491" s="124">
        <f>IFERROR(__xludf.DUMMYFUNCTION("""COMPUTED_VALUE"""),1500609.0)</f>
        <v>1500609</v>
      </c>
      <c r="F491" s="124" t="str">
        <f>IFERROR(__xludf.DUMMYFUNCTION("""COMPUTED_VALUE"""),"16567_988_7")</f>
        <v>16567_988_7</v>
      </c>
      <c r="G491" s="124">
        <f>IFERROR(__xludf.DUMMYFUNCTION("""COMPUTED_VALUE"""),5000.0)</f>
        <v>5000</v>
      </c>
      <c r="H491" s="131">
        <f>IFERROR(__xludf.DUMMYFUNCTION("""COMPUTED_VALUE"""),46112.0)</f>
        <v>46112</v>
      </c>
      <c r="I491" s="124">
        <f>IFERROR(__xludf.DUMMYFUNCTION("""COMPUTED_VALUE"""),120000.0)</f>
        <v>120000</v>
      </c>
      <c r="J491" s="124">
        <f>IFERROR(__xludf.DUMMYFUNCTION("""COMPUTED_VALUE"""),125000.0)</f>
        <v>125000</v>
      </c>
      <c r="K491" s="124">
        <f>IFERROR(__xludf.DUMMYFUNCTION("""COMPUTED_VALUE"""),2.0)</f>
        <v>2</v>
      </c>
      <c r="L491" s="124">
        <f>IFERROR(__xludf.DUMMYFUNCTION("""COMPUTED_VALUE"""),749.0)</f>
        <v>749</v>
      </c>
      <c r="M491" s="124" t="str">
        <f>IFERROR(__xludf.DUMMYFUNCTION("""COMPUTED_VALUE"""),"New Delhi")</f>
        <v>New Delhi</v>
      </c>
      <c r="N491" s="124" t="str">
        <f>IFERROR(__xludf.DUMMYFUNCTION("""COMPUTED_VALUE"""),"vivekkajla168@gmail.com")</f>
        <v>vivekkajla168@gmail.com</v>
      </c>
      <c r="O491" s="124" t="str">
        <f>IFERROR(__xludf.DUMMYFUNCTION("""COMPUTED_VALUE"""),"VIVEK KAJLA")</f>
        <v>VIVEK KAJLA</v>
      </c>
      <c r="P491" s="124">
        <f>IFERROR(__xludf.DUMMYFUNCTION("""COMPUTED_VALUE"""),133189.0)</f>
        <v>133189</v>
      </c>
      <c r="Q491" s="124" t="str">
        <f>IFERROR(__xludf.DUMMYFUNCTION("""COMPUTED_VALUE"""),"upsc-gs-foundation-hinglish-target-2028-gsf-upsc-m05-orn")</f>
        <v>upsc-gs-foundation-hinglish-target-2028-gsf-upsc-m05-orn</v>
      </c>
      <c r="R491" s="124" t="str">
        <f>IFERROR(__xludf.DUMMYFUNCTION("""COMPUTED_VALUE"""),"GS Foundation Course")</f>
        <v>GS Foundation Course</v>
      </c>
      <c r="S491" s="124">
        <f>IFERROR(__xludf.DUMMYFUNCTION("""COMPUTED_VALUE"""),9.351151508E9)</f>
        <v>9351151508</v>
      </c>
      <c r="T491" s="124" t="str">
        <f>IFERROR(__xludf.DUMMYFUNCTION("""COMPUTED_VALUE"""),"Collexo")</f>
        <v>Collexo</v>
      </c>
      <c r="U491" s="124" t="str">
        <f>IFERROR(__xludf.DUMMYFUNCTION("""COMPUTED_VALUE"""),"Success")</f>
        <v>Success</v>
      </c>
      <c r="V491" s="131">
        <f>IFERROR(__xludf.DUMMYFUNCTION("""COMPUTED_VALUE"""),46106.0)</f>
        <v>46106</v>
      </c>
      <c r="W491" s="124">
        <f>IFERROR(__xludf.DUMMYFUNCTION("""COMPUTED_VALUE"""),0.0)</f>
        <v>0</v>
      </c>
    </row>
    <row r="492">
      <c r="A492" s="124" t="str">
        <f t="shared" si="1"/>
        <v>Kashyapshreyansh53@gmail.com</v>
      </c>
      <c r="B492" s="131">
        <f>IFERROR(__xludf.DUMMYFUNCTION("""COMPUTED_VALUE"""),46108.0)</f>
        <v>46108</v>
      </c>
      <c r="C492" s="124" t="str">
        <f>IFERROR(__xludf.DUMMYFUNCTION("""COMPUTED_VALUE"""),"Payment data from Collexo")</f>
        <v>Payment data from Collexo</v>
      </c>
      <c r="D492" s="124" t="str">
        <f>IFERROR(__xludf.DUMMYFUNCTION("""COMPUTED_VALUE"""),"Not Available")</f>
        <v>Not Available</v>
      </c>
      <c r="E492" s="124">
        <f>IFERROR(__xludf.DUMMYFUNCTION("""COMPUTED_VALUE"""),1500609.0)</f>
        <v>1500609</v>
      </c>
      <c r="F492" s="124" t="str">
        <f>IFERROR(__xludf.DUMMYFUNCTION("""COMPUTED_VALUE"""),"16986_988_7")</f>
        <v>16986_988_7</v>
      </c>
      <c r="G492" s="124">
        <f>IFERROR(__xludf.DUMMYFUNCTION("""COMPUTED_VALUE"""),105000.0)</f>
        <v>105000</v>
      </c>
      <c r="H492" s="124" t="str">
        <f>IFERROR(__xludf.DUMMYFUNCTION("""COMPUTED_VALUE"""),"Not Available")</f>
        <v>Not Available</v>
      </c>
      <c r="I492" s="124">
        <f>IFERROR(__xludf.DUMMYFUNCTION("""COMPUTED_VALUE"""),0.0)</f>
        <v>0</v>
      </c>
      <c r="J492" s="124">
        <f>IFERROR(__xludf.DUMMYFUNCTION("""COMPUTED_VALUE"""),110000.0)</f>
        <v>110000</v>
      </c>
      <c r="K492" s="124">
        <f>IFERROR(__xludf.DUMMYFUNCTION("""COMPUTED_VALUE"""),2.0)</f>
        <v>2</v>
      </c>
      <c r="L492" s="124">
        <f>IFERROR(__xludf.DUMMYFUNCTION("""COMPUTED_VALUE"""),788.0)</f>
        <v>788</v>
      </c>
      <c r="M492" s="124" t="str">
        <f>IFERROR(__xludf.DUMMYFUNCTION("""COMPUTED_VALUE"""),"New Delhi")</f>
        <v>New Delhi</v>
      </c>
      <c r="N492" s="124" t="str">
        <f>IFERROR(__xludf.DUMMYFUNCTION("""COMPUTED_VALUE"""),"Kashyapshreyansh53@gmail.com")</f>
        <v>Kashyapshreyansh53@gmail.com</v>
      </c>
      <c r="O492" s="124" t="str">
        <f>IFERROR(__xludf.DUMMYFUNCTION("""COMPUTED_VALUE"""),"Shreyansh")</f>
        <v>Shreyansh</v>
      </c>
      <c r="P492" s="124">
        <f>IFERROR(__xludf.DUMMYFUNCTION("""COMPUTED_VALUE"""),127553.0)</f>
        <v>127553</v>
      </c>
      <c r="Q492" s="124" t="str">
        <f>IFERROR(__xludf.DUMMYFUNCTION("""COMPUTED_VALUE"""),"UPSC GS Foundation Hinglish Target 2027 (GSF-UPSC-E05)-ORN")</f>
        <v>UPSC GS Foundation Hinglish Target 2027 (GSF-UPSC-E05)-ORN</v>
      </c>
      <c r="R492" s="124" t="str">
        <f>IFERROR(__xludf.DUMMYFUNCTION("""COMPUTED_VALUE"""),"GS Foundation Course")</f>
        <v>GS Foundation Course</v>
      </c>
      <c r="S492" s="124">
        <f>IFERROR(__xludf.DUMMYFUNCTION("""COMPUTED_VALUE"""),9.910810797E9)</f>
        <v>9910810797</v>
      </c>
      <c r="T492" s="124" t="str">
        <f>IFERROR(__xludf.DUMMYFUNCTION("""COMPUTED_VALUE"""),"Collexo")</f>
        <v>Collexo</v>
      </c>
      <c r="U492" s="124" t="str">
        <f>IFERROR(__xludf.DUMMYFUNCTION("""COMPUTED_VALUE"""),"Success")</f>
        <v>Success</v>
      </c>
      <c r="V492" s="131">
        <f>IFERROR(__xludf.DUMMYFUNCTION("""COMPUTED_VALUE"""),46108.0)</f>
        <v>46108</v>
      </c>
      <c r="W492" s="124">
        <f>IFERROR(__xludf.DUMMYFUNCTION("""COMPUTED_VALUE"""),0.0)</f>
        <v>0</v>
      </c>
    </row>
    <row r="493">
      <c r="A493" s="124" t="str">
        <f t="shared" si="1"/>
        <v>sdpatel9839@gmail.com</v>
      </c>
      <c r="B493" s="131">
        <f>IFERROR(__xludf.DUMMYFUNCTION("""COMPUTED_VALUE"""),46094.0)</f>
        <v>46094</v>
      </c>
      <c r="C493" s="124" t="str">
        <f>IFERROR(__xludf.DUMMYFUNCTION("""COMPUTED_VALUE"""),"Payment data from Collexo")</f>
        <v>Payment data from Collexo</v>
      </c>
      <c r="D493" s="124" t="str">
        <f>IFERROR(__xludf.DUMMYFUNCTION("""COMPUTED_VALUE"""),"Not Available")</f>
        <v>Not Available</v>
      </c>
      <c r="E493" s="124">
        <f>IFERROR(__xludf.DUMMYFUNCTION("""COMPUTED_VALUE"""),1500613.0)</f>
        <v>1500613</v>
      </c>
      <c r="F493" s="124">
        <f>IFERROR(__xludf.DUMMYFUNCTION("""COMPUTED_VALUE"""),127287.0)</f>
        <v>127287</v>
      </c>
      <c r="G493" s="124">
        <f>IFERROR(__xludf.DUMMYFUNCTION("""COMPUTED_VALUE"""),1600.0)</f>
        <v>1600</v>
      </c>
      <c r="H493" s="131">
        <f>IFERROR(__xludf.DUMMYFUNCTION("""COMPUTED_VALUE"""),46094.0)</f>
        <v>46094</v>
      </c>
      <c r="I493" s="124">
        <f>IFERROR(__xludf.DUMMYFUNCTION("""COMPUTED_VALUE"""),50000.0)</f>
        <v>50000</v>
      </c>
      <c r="J493" s="124">
        <f>IFERROR(__xludf.DUMMYFUNCTION("""COMPUTED_VALUE"""),51600.0)</f>
        <v>51600</v>
      </c>
      <c r="K493" s="124">
        <f>IFERROR(__xludf.DUMMYFUNCTION("""COMPUTED_VALUE"""),2.0)</f>
        <v>2</v>
      </c>
      <c r="L493" s="124">
        <f>IFERROR(__xludf.DUMMYFUNCTION("""COMPUTED_VALUE"""),524.0)</f>
        <v>524</v>
      </c>
      <c r="M493" s="124" t="str">
        <f>IFERROR(__xludf.DUMMYFUNCTION("""COMPUTED_VALUE"""),"Prayagraj")</f>
        <v>Prayagraj</v>
      </c>
      <c r="N493" s="124" t="str">
        <f>IFERROR(__xludf.DUMMYFUNCTION("""COMPUTED_VALUE"""),"sdpatel9839@gmail.com")</f>
        <v>sdpatel9839@gmail.com</v>
      </c>
      <c r="O493" s="124" t="str">
        <f>IFERROR(__xludf.DUMMYFUNCTION("""COMPUTED_VALUE"""),"Shivani Patel")</f>
        <v>Shivani Patel</v>
      </c>
      <c r="P493" s="124">
        <f>IFERROR(__xludf.DUMMYFUNCTION("""COMPUTED_VALUE"""),127287.0)</f>
        <v>127287</v>
      </c>
      <c r="Q493" s="124" t="str">
        <f>IFERROR(__xludf.DUMMYFUNCTION("""COMPUTED_VALUE"""),"upsc-gs-foundation-hinglish-target-2027-gsf-upsc-e03-pry")</f>
        <v>upsc-gs-foundation-hinglish-target-2027-gsf-upsc-e03-pry</v>
      </c>
      <c r="R493" s="124" t="str">
        <f>IFERROR(__xludf.DUMMYFUNCTION("""COMPUTED_VALUE"""),"GS Foundation Course")</f>
        <v>GS Foundation Course</v>
      </c>
      <c r="S493" s="124">
        <f>IFERROR(__xludf.DUMMYFUNCTION("""COMPUTED_VALUE"""),8.299542739E9)</f>
        <v>8299542739</v>
      </c>
      <c r="T493" s="124" t="str">
        <f>IFERROR(__xludf.DUMMYFUNCTION("""COMPUTED_VALUE"""),"Not Available")</f>
        <v>Not Available</v>
      </c>
      <c r="U493" s="124" t="str">
        <f>IFERROR(__xludf.DUMMYFUNCTION("""COMPUTED_VALUE"""),"Not Available")</f>
        <v>Not Available</v>
      </c>
      <c r="V493" s="124" t="str">
        <f>IFERROR(__xludf.DUMMYFUNCTION("""COMPUTED_VALUE"""),"Not Available")</f>
        <v>Not Available</v>
      </c>
      <c r="W493" s="124" t="str">
        <f>IFERROR(__xludf.DUMMYFUNCTION("""COMPUTED_VALUE"""),"Not Available")</f>
        <v>Not Available</v>
      </c>
    </row>
    <row r="494">
      <c r="A494" s="124" t="str">
        <f t="shared" si="1"/>
        <v>rimjhim238@gmail.com</v>
      </c>
      <c r="B494" s="131">
        <f>IFERROR(__xludf.DUMMYFUNCTION("""COMPUTED_VALUE"""),46108.0)</f>
        <v>46108</v>
      </c>
      <c r="C494" s="124" t="str">
        <f>IFERROR(__xludf.DUMMYFUNCTION("""COMPUTED_VALUE"""),"Payment data from Collexo")</f>
        <v>Payment data from Collexo</v>
      </c>
      <c r="D494" s="124" t="str">
        <f>IFERROR(__xludf.DUMMYFUNCTION("""COMPUTED_VALUE"""),"Not Available")</f>
        <v>Not Available</v>
      </c>
      <c r="E494" s="124">
        <f>IFERROR(__xludf.DUMMYFUNCTION("""COMPUTED_VALUE"""),1500609.0)</f>
        <v>1500609</v>
      </c>
      <c r="F494" s="124" t="str">
        <f>IFERROR(__xludf.DUMMYFUNCTION("""COMPUTED_VALUE"""),"16914_988_7")</f>
        <v>16914_988_7</v>
      </c>
      <c r="G494" s="124">
        <f>IFERROR(__xludf.DUMMYFUNCTION("""COMPUTED_VALUE"""),2000.0)</f>
        <v>2000</v>
      </c>
      <c r="H494" s="131">
        <f>IFERROR(__xludf.DUMMYFUNCTION("""COMPUTED_VALUE"""),46112.0)</f>
        <v>46112</v>
      </c>
      <c r="I494" s="124">
        <f>IFERROR(__xludf.DUMMYFUNCTION("""COMPUTED_VALUE"""),72000.0)</f>
        <v>72000</v>
      </c>
      <c r="J494" s="124">
        <f>IFERROR(__xludf.DUMMYFUNCTION("""COMPUTED_VALUE"""),74000.0)</f>
        <v>74000</v>
      </c>
      <c r="K494" s="124">
        <f>IFERROR(__xludf.DUMMYFUNCTION("""COMPUTED_VALUE"""),2.0)</f>
        <v>2</v>
      </c>
      <c r="L494" s="124">
        <f>IFERROR(__xludf.DUMMYFUNCTION("""COMPUTED_VALUE"""),777.0)</f>
        <v>777</v>
      </c>
      <c r="M494" s="124" t="str">
        <f>IFERROR(__xludf.DUMMYFUNCTION("""COMPUTED_VALUE"""),"New Delhi")</f>
        <v>New Delhi</v>
      </c>
      <c r="N494" s="124" t="str">
        <f>IFERROR(__xludf.DUMMYFUNCTION("""COMPUTED_VALUE"""),"rimjhim238@gmail.com")</f>
        <v>rimjhim238@gmail.com</v>
      </c>
      <c r="O494" s="124" t="str">
        <f>IFERROR(__xludf.DUMMYFUNCTION("""COMPUTED_VALUE"""),"Rimjhim")</f>
        <v>Rimjhim</v>
      </c>
      <c r="P494" s="124">
        <f>IFERROR(__xludf.DUMMYFUNCTION("""COMPUTED_VALUE"""),33525.0)</f>
        <v>33525</v>
      </c>
      <c r="Q494" s="124" t="str">
        <f>IFERROR(__xludf.DUMMYFUNCTION("""COMPUTED_VALUE"""),"upsc-gs-foundation-hinglish-target-2027-gsf-upsc-e03-orn")</f>
        <v>upsc-gs-foundation-hinglish-target-2027-gsf-upsc-e03-orn</v>
      </c>
      <c r="R494" s="124" t="str">
        <f>IFERROR(__xludf.DUMMYFUNCTION("""COMPUTED_VALUE"""),"GS Foundation Course")</f>
        <v>GS Foundation Course</v>
      </c>
      <c r="S494" s="124">
        <f>IFERROR(__xludf.DUMMYFUNCTION("""COMPUTED_VALUE"""),6.202290735E9)</f>
        <v>6202290735</v>
      </c>
      <c r="T494" s="124" t="str">
        <f>IFERROR(__xludf.DUMMYFUNCTION("""COMPUTED_VALUE"""),"Collexo")</f>
        <v>Collexo</v>
      </c>
      <c r="U494" s="124" t="str">
        <f>IFERROR(__xludf.DUMMYFUNCTION("""COMPUTED_VALUE"""),"Success")</f>
        <v>Success</v>
      </c>
      <c r="V494" s="131">
        <f>IFERROR(__xludf.DUMMYFUNCTION("""COMPUTED_VALUE"""),46108.0)</f>
        <v>46108</v>
      </c>
      <c r="W494" s="124">
        <f>IFERROR(__xludf.DUMMYFUNCTION("""COMPUTED_VALUE"""),0.0)</f>
        <v>0</v>
      </c>
    </row>
    <row r="495">
      <c r="A495" s="124" t="str">
        <f t="shared" si="1"/>
        <v>bajajbajaj2006@gmail.com</v>
      </c>
      <c r="B495" s="131">
        <f>IFERROR(__xludf.DUMMYFUNCTION("""COMPUTED_VALUE"""),46066.0)</f>
        <v>46066</v>
      </c>
      <c r="C495" s="124" t="str">
        <f>IFERROR(__xludf.DUMMYFUNCTION("""COMPUTED_VALUE"""),"Payment data from Collexo")</f>
        <v>Payment data from Collexo</v>
      </c>
      <c r="D495" s="124" t="str">
        <f>IFERROR(__xludf.DUMMYFUNCTION("""COMPUTED_VALUE"""),"Not Available")</f>
        <v>Not Available</v>
      </c>
      <c r="E495" s="124">
        <f>IFERROR(__xludf.DUMMYFUNCTION("""COMPUTED_VALUE"""),1500609.0)</f>
        <v>1500609</v>
      </c>
      <c r="F495" s="124" t="str">
        <f>IFERROR(__xludf.DUMMYFUNCTION("""COMPUTED_VALUE"""),"5032_988_7")</f>
        <v>5032_988_7</v>
      </c>
      <c r="G495" s="124">
        <f>IFERROR(__xludf.DUMMYFUNCTION("""COMPUTED_VALUE"""),2500.0)</f>
        <v>2500</v>
      </c>
      <c r="H495" s="131">
        <f>IFERROR(__xludf.DUMMYFUNCTION("""COMPUTED_VALUE"""),46067.0)</f>
        <v>46067</v>
      </c>
      <c r="I495" s="124">
        <f>IFERROR(__xludf.DUMMYFUNCTION("""COMPUTED_VALUE"""),2500.0)</f>
        <v>2500</v>
      </c>
      <c r="J495" s="124">
        <f>IFERROR(__xludf.DUMMYFUNCTION("""COMPUTED_VALUE"""),80000.0)</f>
        <v>80000</v>
      </c>
      <c r="K495" s="124">
        <f>IFERROR(__xludf.DUMMYFUNCTION("""COMPUTED_VALUE"""),3.0)</f>
        <v>3</v>
      </c>
      <c r="L495" s="124">
        <f>IFERROR(__xludf.DUMMYFUNCTION("""COMPUTED_VALUE"""),202.0)</f>
        <v>202</v>
      </c>
      <c r="M495" s="124" t="str">
        <f>IFERROR(__xludf.DUMMYFUNCTION("""COMPUTED_VALUE"""),"New Delhi")</f>
        <v>New Delhi</v>
      </c>
      <c r="N495" s="124" t="str">
        <f>IFERROR(__xludf.DUMMYFUNCTION("""COMPUTED_VALUE"""),"bajajbajaj2006@gmail.com")</f>
        <v>bajajbajaj2006@gmail.com</v>
      </c>
      <c r="O495" s="124" t="str">
        <f>IFERROR(__xludf.DUMMYFUNCTION("""COMPUTED_VALUE"""),"Vansh")</f>
        <v>Vansh</v>
      </c>
      <c r="P495" s="124">
        <f>IFERROR(__xludf.DUMMYFUNCTION("""COMPUTED_VALUE"""),122668.0)</f>
        <v>122668</v>
      </c>
      <c r="Q495" s="124" t="str">
        <f>IFERROR(__xludf.DUMMYFUNCTION("""COMPUTED_VALUE"""),"upsc-gs-foundation-hinglish-target-2027-gsf-upsc-m03-orn")</f>
        <v>upsc-gs-foundation-hinglish-target-2027-gsf-upsc-m03-orn</v>
      </c>
      <c r="R495" s="124" t="str">
        <f>IFERROR(__xludf.DUMMYFUNCTION("""COMPUTED_VALUE"""),"GS Foundation Course")</f>
        <v>GS Foundation Course</v>
      </c>
      <c r="S495" s="124">
        <f>IFERROR(__xludf.DUMMYFUNCTION("""COMPUTED_VALUE"""),9.041700006E9)</f>
        <v>9041700006</v>
      </c>
      <c r="T495" s="124" t="str">
        <f>IFERROR(__xludf.DUMMYFUNCTION("""COMPUTED_VALUE"""),"Collexo")</f>
        <v>Collexo</v>
      </c>
      <c r="U495" s="124" t="str">
        <f>IFERROR(__xludf.DUMMYFUNCTION("""COMPUTED_VALUE"""),"Success")</f>
        <v>Success</v>
      </c>
      <c r="V495" s="131">
        <f>IFERROR(__xludf.DUMMYFUNCTION("""COMPUTED_VALUE"""),46066.0)</f>
        <v>46066</v>
      </c>
      <c r="W495" s="124">
        <f>IFERROR(__xludf.DUMMYFUNCTION("""COMPUTED_VALUE"""),0.0)</f>
        <v>0</v>
      </c>
    </row>
    <row r="496">
      <c r="A496" s="124" t="str">
        <f t="shared" si="1"/>
        <v>anshukuntal41@gmail.com</v>
      </c>
      <c r="B496" s="131">
        <f>IFERROR(__xludf.DUMMYFUNCTION("""COMPUTED_VALUE"""),46075.0)</f>
        <v>46075</v>
      </c>
      <c r="C496" s="124" t="str">
        <f>IFERROR(__xludf.DUMMYFUNCTION("""COMPUTED_VALUE"""),"Payment data from Collexo")</f>
        <v>Payment data from Collexo</v>
      </c>
      <c r="D496" s="124" t="str">
        <f>IFERROR(__xludf.DUMMYFUNCTION("""COMPUTED_VALUE"""),"Not Available")</f>
        <v>Not Available</v>
      </c>
      <c r="E496" s="124">
        <f>IFERROR(__xludf.DUMMYFUNCTION("""COMPUTED_VALUE"""),1500613.0)</f>
        <v>1500613</v>
      </c>
      <c r="F496" s="124">
        <f>IFERROR(__xludf.DUMMYFUNCTION("""COMPUTED_VALUE"""),123430.0)</f>
        <v>123430</v>
      </c>
      <c r="G496" s="124">
        <f>IFERROR(__xludf.DUMMYFUNCTION("""COMPUTED_VALUE"""),2000.0)</f>
        <v>2000</v>
      </c>
      <c r="H496" s="131">
        <f>IFERROR(__xludf.DUMMYFUNCTION("""COMPUTED_VALUE"""),46075.0)</f>
        <v>46075</v>
      </c>
      <c r="I496" s="124">
        <f>IFERROR(__xludf.DUMMYFUNCTION("""COMPUTED_VALUE"""),1000.0)</f>
        <v>1000</v>
      </c>
      <c r="J496" s="124">
        <f>IFERROR(__xludf.DUMMYFUNCTION("""COMPUTED_VALUE"""),50478.0)</f>
        <v>50478</v>
      </c>
      <c r="K496" s="124">
        <f>IFERROR(__xludf.DUMMYFUNCTION("""COMPUTED_VALUE"""),3.0)</f>
        <v>3</v>
      </c>
      <c r="L496" s="124">
        <f>IFERROR(__xludf.DUMMYFUNCTION("""COMPUTED_VALUE"""),300.0)</f>
        <v>300</v>
      </c>
      <c r="M496" s="124" t="str">
        <f>IFERROR(__xludf.DUMMYFUNCTION("""COMPUTED_VALUE"""),"Prayagraj")</f>
        <v>Prayagraj</v>
      </c>
      <c r="N496" s="124" t="str">
        <f>IFERROR(__xludf.DUMMYFUNCTION("""COMPUTED_VALUE"""),"anshukuntal41@gmail.com")</f>
        <v>anshukuntal41@gmail.com</v>
      </c>
      <c r="O496" s="124" t="str">
        <f>IFERROR(__xludf.DUMMYFUNCTION("""COMPUTED_VALUE"""),"Anshu")</f>
        <v>Anshu</v>
      </c>
      <c r="P496" s="124">
        <f>IFERROR(__xludf.DUMMYFUNCTION("""COMPUTED_VALUE"""),123430.0)</f>
        <v>123430</v>
      </c>
      <c r="Q496" s="124" t="str">
        <f>IFERROR(__xludf.DUMMYFUNCTION("""COMPUTED_VALUE"""),"super-100-gs-foundation-2026-p2i-offline-august-english-batch-pry")</f>
        <v>super-100-gs-foundation-2026-p2i-offline-august-english-batch-pry</v>
      </c>
      <c r="R496" s="124" t="str">
        <f>IFERROR(__xludf.DUMMYFUNCTION("""COMPUTED_VALUE"""),"GS Foundation Course")</f>
        <v>GS Foundation Course</v>
      </c>
      <c r="S496" s="124">
        <f>IFERROR(__xludf.DUMMYFUNCTION("""COMPUTED_VALUE"""),6.386802316E9)</f>
        <v>6386802316</v>
      </c>
      <c r="T496" s="124" t="str">
        <f>IFERROR(__xludf.DUMMYFUNCTION("""COMPUTED_VALUE"""),"Not Available")</f>
        <v>Not Available</v>
      </c>
      <c r="U496" s="124" t="str">
        <f>IFERROR(__xludf.DUMMYFUNCTION("""COMPUTED_VALUE"""),"Not Available")</f>
        <v>Not Available</v>
      </c>
      <c r="V496" s="124" t="str">
        <f>IFERROR(__xludf.DUMMYFUNCTION("""COMPUTED_VALUE"""),"Not Available")</f>
        <v>Not Available</v>
      </c>
      <c r="W496" s="124" t="str">
        <f>IFERROR(__xludf.DUMMYFUNCTION("""COMPUTED_VALUE"""),"Not Available")</f>
        <v>Not Available</v>
      </c>
    </row>
    <row r="497">
      <c r="A497" s="124" t="str">
        <f t="shared" si="1"/>
        <v>shivangisingh5902@gmail.com</v>
      </c>
      <c r="B497" s="131">
        <f>IFERROR(__xludf.DUMMYFUNCTION("""COMPUTED_VALUE"""),46110.0)</f>
        <v>46110</v>
      </c>
      <c r="C497" s="124" t="str">
        <f>IFERROR(__xludf.DUMMYFUNCTION("""COMPUTED_VALUE"""),"Payment data from Collexo")</f>
        <v>Payment data from Collexo</v>
      </c>
      <c r="D497" s="124" t="str">
        <f>IFERROR(__xludf.DUMMYFUNCTION("""COMPUTED_VALUE"""),"Not Available")</f>
        <v>Not Available</v>
      </c>
      <c r="E497" s="124">
        <f>IFERROR(__xludf.DUMMYFUNCTION("""COMPUTED_VALUE"""),1500610.0)</f>
        <v>1500610</v>
      </c>
      <c r="F497" s="124">
        <f>IFERROR(__xludf.DUMMYFUNCTION("""COMPUTED_VALUE"""),139606.0)</f>
        <v>139606</v>
      </c>
      <c r="G497" s="124">
        <f>IFERROR(__xludf.DUMMYFUNCTION("""COMPUTED_VALUE"""),38000.0)</f>
        <v>38000</v>
      </c>
      <c r="H497" s="124" t="str">
        <f>IFERROR(__xludf.DUMMYFUNCTION("""COMPUTED_VALUE"""),"Not Available")</f>
        <v>Not Available</v>
      </c>
      <c r="I497" s="124">
        <f>IFERROR(__xludf.DUMMYFUNCTION("""COMPUTED_VALUE"""),0.0)</f>
        <v>0</v>
      </c>
      <c r="J497" s="124">
        <f>IFERROR(__xludf.DUMMYFUNCTION("""COMPUTED_VALUE"""),38000.0)</f>
        <v>38000</v>
      </c>
      <c r="K497" s="124">
        <f>IFERROR(__xludf.DUMMYFUNCTION("""COMPUTED_VALUE"""),1.0)</f>
        <v>1</v>
      </c>
      <c r="L497" s="124">
        <f>IFERROR(__xludf.DUMMYFUNCTION("""COMPUTED_VALUE"""),819.0)</f>
        <v>819</v>
      </c>
      <c r="M497" s="124" t="str">
        <f>IFERROR(__xludf.DUMMYFUNCTION("""COMPUTED_VALUE"""),"Lucknow")</f>
        <v>Lucknow</v>
      </c>
      <c r="N497" s="124" t="str">
        <f>IFERROR(__xludf.DUMMYFUNCTION("""COMPUTED_VALUE"""),"shivangisingh5902@gmail.com")</f>
        <v>shivangisingh5902@gmail.com</v>
      </c>
      <c r="O497" s="124" t="str">
        <f>IFERROR(__xludf.DUMMYFUNCTION("""COMPUTED_VALUE"""),"Shivangi singh")</f>
        <v>Shivangi singh</v>
      </c>
      <c r="P497" s="124">
        <f>IFERROR(__xludf.DUMMYFUNCTION("""COMPUTED_VALUE"""),139606.0)</f>
        <v>139606</v>
      </c>
      <c r="Q497" s="124" t="str">
        <f>IFERROR(__xludf.DUMMYFUNCTION("""COMPUTED_VALUE"""),"upsc-gs-foundation-hinglish-target-2028-lko-gsf-upsc-e01")</f>
        <v>upsc-gs-foundation-hinglish-target-2028-lko-gsf-upsc-e01</v>
      </c>
      <c r="R497" s="124" t="str">
        <f>IFERROR(__xludf.DUMMYFUNCTION("""COMPUTED_VALUE"""),"GS Foundation Course")</f>
        <v>GS Foundation Course</v>
      </c>
      <c r="S497" s="124">
        <f>IFERROR(__xludf.DUMMYFUNCTION("""COMPUTED_VALUE"""),7.98549047E9)</f>
        <v>7985490470</v>
      </c>
      <c r="T497" s="124" t="str">
        <f>IFERROR(__xludf.DUMMYFUNCTION("""COMPUTED_VALUE"""),"Not Available")</f>
        <v>Not Available</v>
      </c>
      <c r="U497" s="124" t="str">
        <f>IFERROR(__xludf.DUMMYFUNCTION("""COMPUTED_VALUE"""),"Not Available")</f>
        <v>Not Available</v>
      </c>
      <c r="V497" s="124" t="str">
        <f>IFERROR(__xludf.DUMMYFUNCTION("""COMPUTED_VALUE"""),"Not Available")</f>
        <v>Not Available</v>
      </c>
      <c r="W497" s="124" t="str">
        <f>IFERROR(__xludf.DUMMYFUNCTION("""COMPUTED_VALUE"""),"Not Available")</f>
        <v>Not Available</v>
      </c>
    </row>
    <row r="498">
      <c r="A498" s="124" t="str">
        <f t="shared" si="1"/>
        <v>tdhkrishnagupta11@gmail.com</v>
      </c>
      <c r="B498" s="131">
        <f>IFERROR(__xludf.DUMMYFUNCTION("""COMPUTED_VALUE"""),46107.0)</f>
        <v>46107</v>
      </c>
      <c r="C498" s="124" t="str">
        <f>IFERROR(__xludf.DUMMYFUNCTION("""COMPUTED_VALUE"""),"Payment data from Collexo")</f>
        <v>Payment data from Collexo</v>
      </c>
      <c r="D498" s="124" t="str">
        <f>IFERROR(__xludf.DUMMYFUNCTION("""COMPUTED_VALUE"""),"Not Available")</f>
        <v>Not Available</v>
      </c>
      <c r="E498" s="124">
        <f>IFERROR(__xludf.DUMMYFUNCTION("""COMPUTED_VALUE"""),1500610.0)</f>
        <v>1500610</v>
      </c>
      <c r="F498" s="124">
        <f>IFERROR(__xludf.DUMMYFUNCTION("""COMPUTED_VALUE"""),130049.0)</f>
        <v>130049</v>
      </c>
      <c r="G498" s="124">
        <f>IFERROR(__xludf.DUMMYFUNCTION("""COMPUTED_VALUE"""),43913.0)</f>
        <v>43913</v>
      </c>
      <c r="H498" s="124" t="str">
        <f>IFERROR(__xludf.DUMMYFUNCTION("""COMPUTED_VALUE"""),"Not Available")</f>
        <v>Not Available</v>
      </c>
      <c r="I498" s="124">
        <f>IFERROR(__xludf.DUMMYFUNCTION("""COMPUTED_VALUE"""),0.0)</f>
        <v>0</v>
      </c>
      <c r="J498" s="124">
        <f>IFERROR(__xludf.DUMMYFUNCTION("""COMPUTED_VALUE"""),50000.0)</f>
        <v>50000</v>
      </c>
      <c r="K498" s="124">
        <f>IFERROR(__xludf.DUMMYFUNCTION("""COMPUTED_VALUE"""),5.0)</f>
        <v>5</v>
      </c>
      <c r="L498" s="124">
        <f>IFERROR(__xludf.DUMMYFUNCTION("""COMPUTED_VALUE"""),765.0)</f>
        <v>765</v>
      </c>
      <c r="M498" s="124" t="str">
        <f>IFERROR(__xludf.DUMMYFUNCTION("""COMPUTED_VALUE"""),"Lucknow")</f>
        <v>Lucknow</v>
      </c>
      <c r="N498" s="124" t="str">
        <f>IFERROR(__xludf.DUMMYFUNCTION("""COMPUTED_VALUE"""),"tdhkrishnagupta11@gmail.com")</f>
        <v>tdhkrishnagupta11@gmail.com</v>
      </c>
      <c r="O498" s="124" t="str">
        <f>IFERROR(__xludf.DUMMYFUNCTION("""COMPUTED_VALUE"""),"Krishna")</f>
        <v>Krishna</v>
      </c>
      <c r="P498" s="124">
        <f>IFERROR(__xludf.DUMMYFUNCTION("""COMPUTED_VALUE"""),130049.0)</f>
        <v>130049</v>
      </c>
      <c r="Q498" s="124" t="str">
        <f>IFERROR(__xludf.DUMMYFUNCTION("""COMPUTED_VALUE"""),"Not Available")</f>
        <v>Not Available</v>
      </c>
      <c r="R498" s="124" t="str">
        <f>IFERROR(__xludf.DUMMYFUNCTION("""COMPUTED_VALUE"""),"GS Foundation Course")</f>
        <v>GS Foundation Course</v>
      </c>
      <c r="S498" s="124">
        <f>IFERROR(__xludf.DUMMYFUNCTION("""COMPUTED_VALUE"""),7.991314106E9)</f>
        <v>7991314106</v>
      </c>
      <c r="T498" s="124" t="str">
        <f>IFERROR(__xludf.DUMMYFUNCTION("""COMPUTED_VALUE"""),"Not Available")</f>
        <v>Not Available</v>
      </c>
      <c r="U498" s="124" t="str">
        <f>IFERROR(__xludf.DUMMYFUNCTION("""COMPUTED_VALUE"""),"Not Available")</f>
        <v>Not Available</v>
      </c>
      <c r="V498" s="124" t="str">
        <f>IFERROR(__xludf.DUMMYFUNCTION("""COMPUTED_VALUE"""),"Not Available")</f>
        <v>Not Available</v>
      </c>
      <c r="W498" s="124" t="str">
        <f>IFERROR(__xludf.DUMMYFUNCTION("""COMPUTED_VALUE"""),"Not Available")</f>
        <v>Not Available</v>
      </c>
    </row>
    <row r="499">
      <c r="A499" s="124" t="str">
        <f t="shared" si="1"/>
        <v>armankujur987@gmail.com</v>
      </c>
      <c r="B499" s="131">
        <f>IFERROR(__xludf.DUMMYFUNCTION("""COMPUTED_VALUE"""),46111.0)</f>
        <v>46111</v>
      </c>
      <c r="C499" s="124" t="str">
        <f>IFERROR(__xludf.DUMMYFUNCTION("""COMPUTED_VALUE"""),"Payment data from Collexo")</f>
        <v>Payment data from Collexo</v>
      </c>
      <c r="D499" s="124" t="str">
        <f>IFERROR(__xludf.DUMMYFUNCTION("""COMPUTED_VALUE"""),"Not Available")</f>
        <v>Not Available</v>
      </c>
      <c r="E499" s="124">
        <f>IFERROR(__xludf.DUMMYFUNCTION("""COMPUTED_VALUE"""),1500609.0)</f>
        <v>1500609</v>
      </c>
      <c r="F499" s="124" t="str">
        <f>IFERROR(__xludf.DUMMYFUNCTION("""COMPUTED_VALUE"""),"17445_988_7")</f>
        <v>17445_988_7</v>
      </c>
      <c r="G499" s="124">
        <f>IFERROR(__xludf.DUMMYFUNCTION("""COMPUTED_VALUE"""),48000.0)</f>
        <v>48000</v>
      </c>
      <c r="H499" s="124" t="str">
        <f>IFERROR(__xludf.DUMMYFUNCTION("""COMPUTED_VALUE"""),"Not Available")</f>
        <v>Not Available</v>
      </c>
      <c r="I499" s="124">
        <f>IFERROR(__xludf.DUMMYFUNCTION("""COMPUTED_VALUE"""),0.0)</f>
        <v>0</v>
      </c>
      <c r="J499" s="124">
        <f>IFERROR(__xludf.DUMMYFUNCTION("""COMPUTED_VALUE"""),150000.0)</f>
        <v>150000</v>
      </c>
      <c r="K499" s="124">
        <f>IFERROR(__xludf.DUMMYFUNCTION("""COMPUTED_VALUE"""),3.0)</f>
        <v>3</v>
      </c>
      <c r="L499" s="124">
        <f>IFERROR(__xludf.DUMMYFUNCTION("""COMPUTED_VALUE"""),834.0)</f>
        <v>834</v>
      </c>
      <c r="M499" s="124" t="str">
        <f>IFERROR(__xludf.DUMMYFUNCTION("""COMPUTED_VALUE"""),"New Delhi")</f>
        <v>New Delhi</v>
      </c>
      <c r="N499" s="124" t="str">
        <f>IFERROR(__xludf.DUMMYFUNCTION("""COMPUTED_VALUE"""),"armankujur987@gmail.com")</f>
        <v>armankujur987@gmail.com</v>
      </c>
      <c r="O499" s="124" t="str">
        <f>IFERROR(__xludf.DUMMYFUNCTION("""COMPUTED_VALUE"""),"Arman kujur")</f>
        <v>Arman kujur</v>
      </c>
      <c r="P499" s="124">
        <f>IFERROR(__xludf.DUMMYFUNCTION("""COMPUTED_VALUE"""),133103.0)</f>
        <v>133103</v>
      </c>
      <c r="Q499" s="124" t="str">
        <f>IFERROR(__xludf.DUMMYFUNCTION("""COMPUTED_VALUE"""),"upsc-gs-foundation-hinglish-target-2028-gsf-upsc-e04-orn")</f>
        <v>upsc-gs-foundation-hinglish-target-2028-gsf-upsc-e04-orn</v>
      </c>
      <c r="R499" s="124" t="str">
        <f>IFERROR(__xludf.DUMMYFUNCTION("""COMPUTED_VALUE"""),"GS Foundation Course")</f>
        <v>GS Foundation Course</v>
      </c>
      <c r="S499" s="124">
        <f>IFERROR(__xludf.DUMMYFUNCTION("""COMPUTED_VALUE"""),8.653960948E9)</f>
        <v>8653960948</v>
      </c>
      <c r="T499" s="124" t="str">
        <f>IFERROR(__xludf.DUMMYFUNCTION("""COMPUTED_VALUE"""),"Collexo")</f>
        <v>Collexo</v>
      </c>
      <c r="U499" s="124" t="str">
        <f>IFERROR(__xludf.DUMMYFUNCTION("""COMPUTED_VALUE"""),"Success")</f>
        <v>Success</v>
      </c>
      <c r="V499" s="131">
        <f>IFERROR(__xludf.DUMMYFUNCTION("""COMPUTED_VALUE"""),46111.0)</f>
        <v>46111</v>
      </c>
      <c r="W499" s="124">
        <f>IFERROR(__xludf.DUMMYFUNCTION("""COMPUTED_VALUE"""),0.0)</f>
        <v>0</v>
      </c>
    </row>
    <row r="500">
      <c r="A500" s="124" t="str">
        <f t="shared" si="1"/>
        <v>bhalseayush777@gmail.com</v>
      </c>
      <c r="B500" s="131">
        <f>IFERROR(__xludf.DUMMYFUNCTION("""COMPUTED_VALUE"""),46069.0)</f>
        <v>46069</v>
      </c>
      <c r="C500" s="124" t="str">
        <f>IFERROR(__xludf.DUMMYFUNCTION("""COMPUTED_VALUE"""),"Payment data from Collexo")</f>
        <v>Payment data from Collexo</v>
      </c>
      <c r="D500" s="124" t="str">
        <f>IFERROR(__xludf.DUMMYFUNCTION("""COMPUTED_VALUE"""),"Not Available")</f>
        <v>Not Available</v>
      </c>
      <c r="E500" s="124">
        <f>IFERROR(__xludf.DUMMYFUNCTION("""COMPUTED_VALUE"""),1500612.0)</f>
        <v>1500612</v>
      </c>
      <c r="F500" s="124">
        <f>IFERROR(__xludf.DUMMYFUNCTION("""COMPUTED_VALUE"""),122781.0)</f>
        <v>122781</v>
      </c>
      <c r="G500" s="124">
        <f>IFERROR(__xludf.DUMMYFUNCTION("""COMPUTED_VALUE"""),1000.0)</f>
        <v>1000</v>
      </c>
      <c r="H500" s="131">
        <f>IFERROR(__xludf.DUMMYFUNCTION("""COMPUTED_VALUE"""),46072.0)</f>
        <v>46072</v>
      </c>
      <c r="I500" s="124">
        <f>IFERROR(__xludf.DUMMYFUNCTION("""COMPUTED_VALUE"""),39000.0)</f>
        <v>39000</v>
      </c>
      <c r="J500" s="124">
        <f>IFERROR(__xludf.DUMMYFUNCTION("""COMPUTED_VALUE"""),40000.0)</f>
        <v>40000</v>
      </c>
      <c r="K500" s="124">
        <f>IFERROR(__xludf.DUMMYFUNCTION("""COMPUTED_VALUE"""),2.0)</f>
        <v>2</v>
      </c>
      <c r="L500" s="124">
        <f>IFERROR(__xludf.DUMMYFUNCTION("""COMPUTED_VALUE"""),235.0)</f>
        <v>235</v>
      </c>
      <c r="M500" s="124" t="str">
        <f>IFERROR(__xludf.DUMMYFUNCTION("""COMPUTED_VALUE"""),"Indore")</f>
        <v>Indore</v>
      </c>
      <c r="N500" s="124" t="str">
        <f>IFERROR(__xludf.DUMMYFUNCTION("""COMPUTED_VALUE"""),"bhalseayush777@gmail.com")</f>
        <v>bhalseayush777@gmail.com</v>
      </c>
      <c r="O500" s="124" t="str">
        <f>IFERROR(__xludf.DUMMYFUNCTION("""COMPUTED_VALUE"""),"Aayush bhalse")</f>
        <v>Aayush bhalse</v>
      </c>
      <c r="P500" s="124">
        <f>IFERROR(__xludf.DUMMYFUNCTION("""COMPUTED_VALUE"""),122781.0)</f>
        <v>122781</v>
      </c>
      <c r="Q500" s="124" t="str">
        <f>IFERROR(__xludf.DUMMYFUNCTION("""COMPUTED_VALUE"""),"mppsc-gs-foundation-hinglish-target-2027-gsf-mppsc-e02-ind")</f>
        <v>mppsc-gs-foundation-hinglish-target-2027-gsf-mppsc-e02-ind</v>
      </c>
      <c r="R500" s="124" t="str">
        <f>IFERROR(__xludf.DUMMYFUNCTION("""COMPUTED_VALUE"""),"State PCS")</f>
        <v>State PCS</v>
      </c>
      <c r="S500" s="124">
        <f>IFERROR(__xludf.DUMMYFUNCTION("""COMPUTED_VALUE"""),9.617487982E9)</f>
        <v>9617487982</v>
      </c>
      <c r="T500" s="124" t="str">
        <f>IFERROR(__xludf.DUMMYFUNCTION("""COMPUTED_VALUE"""),"Not Available")</f>
        <v>Not Available</v>
      </c>
      <c r="U500" s="124" t="str">
        <f>IFERROR(__xludf.DUMMYFUNCTION("""COMPUTED_VALUE"""),"Not Available")</f>
        <v>Not Available</v>
      </c>
      <c r="V500" s="124" t="str">
        <f>IFERROR(__xludf.DUMMYFUNCTION("""COMPUTED_VALUE"""),"Not Available")</f>
        <v>Not Available</v>
      </c>
      <c r="W500" s="124" t="str">
        <f>IFERROR(__xludf.DUMMYFUNCTION("""COMPUTED_VALUE"""),"Not Available")</f>
        <v>Not Available</v>
      </c>
    </row>
    <row r="501">
      <c r="A501" s="124" t="str">
        <f t="shared" si="1"/>
        <v>vivekkajla168@gmail.com</v>
      </c>
      <c r="B501" s="131">
        <f>IFERROR(__xludf.DUMMYFUNCTION("""COMPUTED_VALUE"""),46106.0)</f>
        <v>46106</v>
      </c>
      <c r="C501" s="124" t="str">
        <f>IFERROR(__xludf.DUMMYFUNCTION("""COMPUTED_VALUE"""),"Payment data from Collexo")</f>
        <v>Payment data from Collexo</v>
      </c>
      <c r="D501" s="124" t="str">
        <f>IFERROR(__xludf.DUMMYFUNCTION("""COMPUTED_VALUE"""),"Not Available")</f>
        <v>Not Available</v>
      </c>
      <c r="E501" s="124">
        <f>IFERROR(__xludf.DUMMYFUNCTION("""COMPUTED_VALUE"""),1500609.0)</f>
        <v>1500609</v>
      </c>
      <c r="F501" s="124" t="str">
        <f>IFERROR(__xludf.DUMMYFUNCTION("""COMPUTED_VALUE"""),"16562_988_7")</f>
        <v>16562_988_7</v>
      </c>
      <c r="G501" s="124">
        <f>IFERROR(__xludf.DUMMYFUNCTION("""COMPUTED_VALUE"""),5000.0)</f>
        <v>5000</v>
      </c>
      <c r="H501" s="131">
        <f>IFERROR(__xludf.DUMMYFUNCTION("""COMPUTED_VALUE"""),46112.0)</f>
        <v>46112</v>
      </c>
      <c r="I501" s="124">
        <f>IFERROR(__xludf.DUMMYFUNCTION("""COMPUTED_VALUE"""),120000.0)</f>
        <v>120000</v>
      </c>
      <c r="J501" s="124">
        <f>IFERROR(__xludf.DUMMYFUNCTION("""COMPUTED_VALUE"""),125000.0)</f>
        <v>125000</v>
      </c>
      <c r="K501" s="124">
        <f>IFERROR(__xludf.DUMMYFUNCTION("""COMPUTED_VALUE"""),2.0)</f>
        <v>2</v>
      </c>
      <c r="L501" s="124">
        <f>IFERROR(__xludf.DUMMYFUNCTION("""COMPUTED_VALUE"""),745.0)</f>
        <v>745</v>
      </c>
      <c r="M501" s="124" t="str">
        <f>IFERROR(__xludf.DUMMYFUNCTION("""COMPUTED_VALUE"""),"New Delhi")</f>
        <v>New Delhi</v>
      </c>
      <c r="N501" s="124" t="str">
        <f>IFERROR(__xludf.DUMMYFUNCTION("""COMPUTED_VALUE"""),"vivekkajla168@gmail.com")</f>
        <v>vivekkajla168@gmail.com</v>
      </c>
      <c r="O501" s="124" t="str">
        <f>IFERROR(__xludf.DUMMYFUNCTION("""COMPUTED_VALUE"""),"VIVEK KAJLA")</f>
        <v>VIVEK KAJLA</v>
      </c>
      <c r="P501" s="124">
        <f>IFERROR(__xludf.DUMMYFUNCTION("""COMPUTED_VALUE"""),133189.0)</f>
        <v>133189</v>
      </c>
      <c r="Q501" s="124" t="str">
        <f>IFERROR(__xludf.DUMMYFUNCTION("""COMPUTED_VALUE"""),"upsc-gs-foundation-hinglish-target-2028-gsf-upsc-m05-orn")</f>
        <v>upsc-gs-foundation-hinglish-target-2028-gsf-upsc-m05-orn</v>
      </c>
      <c r="R501" s="124" t="str">
        <f>IFERROR(__xludf.DUMMYFUNCTION("""COMPUTED_VALUE"""),"GS Foundation Course")</f>
        <v>GS Foundation Course</v>
      </c>
      <c r="S501" s="124">
        <f>IFERROR(__xludf.DUMMYFUNCTION("""COMPUTED_VALUE"""),9.351151508E9)</f>
        <v>9351151508</v>
      </c>
      <c r="T501" s="124" t="str">
        <f>IFERROR(__xludf.DUMMYFUNCTION("""COMPUTED_VALUE"""),"Not Available")</f>
        <v>Not Available</v>
      </c>
      <c r="U501" s="124" t="str">
        <f>IFERROR(__xludf.DUMMYFUNCTION("""COMPUTED_VALUE"""),"Not Available")</f>
        <v>Not Available</v>
      </c>
      <c r="V501" s="124" t="str">
        <f>IFERROR(__xludf.DUMMYFUNCTION("""COMPUTED_VALUE"""),"Not Available")</f>
        <v>Not Available</v>
      </c>
      <c r="W501" s="124" t="str">
        <f>IFERROR(__xludf.DUMMYFUNCTION("""COMPUTED_VALUE"""),"Not Available")</f>
        <v>Not Available</v>
      </c>
    </row>
    <row r="502">
      <c r="A502" s="124" t="str">
        <f t="shared" si="1"/>
        <v>nehayv.4888@gmail.com</v>
      </c>
      <c r="B502" s="131">
        <f>IFERROR(__xludf.DUMMYFUNCTION("""COMPUTED_VALUE"""),46072.0)</f>
        <v>46072</v>
      </c>
      <c r="C502" s="124" t="str">
        <f>IFERROR(__xludf.DUMMYFUNCTION("""COMPUTED_VALUE"""),"Payment data from Collexo")</f>
        <v>Payment data from Collexo</v>
      </c>
      <c r="D502" s="124" t="str">
        <f>IFERROR(__xludf.DUMMYFUNCTION("""COMPUTED_VALUE"""),"Not Available")</f>
        <v>Not Available</v>
      </c>
      <c r="E502" s="124">
        <f>IFERROR(__xludf.DUMMYFUNCTION("""COMPUTED_VALUE"""),1500612.0)</f>
        <v>1500612</v>
      </c>
      <c r="F502" s="124">
        <f>IFERROR(__xludf.DUMMYFUNCTION("""COMPUTED_VALUE"""),124163.0)</f>
        <v>124163</v>
      </c>
      <c r="G502" s="124">
        <f>IFERROR(__xludf.DUMMYFUNCTION("""COMPUTED_VALUE"""),5000.0)</f>
        <v>5000</v>
      </c>
      <c r="H502" s="131">
        <f>IFERROR(__xludf.DUMMYFUNCTION("""COMPUTED_VALUE"""),46081.0)</f>
        <v>46081</v>
      </c>
      <c r="I502" s="124">
        <f>IFERROR(__xludf.DUMMYFUNCTION("""COMPUTED_VALUE"""),95000.0)</f>
        <v>95000</v>
      </c>
      <c r="J502" s="124">
        <f>IFERROR(__xludf.DUMMYFUNCTION("""COMPUTED_VALUE"""),100000.0)</f>
        <v>100000</v>
      </c>
      <c r="K502" s="124">
        <f>IFERROR(__xludf.DUMMYFUNCTION("""COMPUTED_VALUE"""),2.0)</f>
        <v>2</v>
      </c>
      <c r="L502" s="124">
        <f>IFERROR(__xludf.DUMMYFUNCTION("""COMPUTED_VALUE"""),256.0)</f>
        <v>256</v>
      </c>
      <c r="M502" s="124" t="str">
        <f>IFERROR(__xludf.DUMMYFUNCTION("""COMPUTED_VALUE"""),"Indore")</f>
        <v>Indore</v>
      </c>
      <c r="N502" s="124" t="str">
        <f>IFERROR(__xludf.DUMMYFUNCTION("""COMPUTED_VALUE"""),"nehayv.4888@gmail.com")</f>
        <v>nehayv.4888@gmail.com</v>
      </c>
      <c r="O502" s="124" t="str">
        <f>IFERROR(__xludf.DUMMYFUNCTION("""COMPUTED_VALUE"""),"Neha Yadav")</f>
        <v>Neha Yadav</v>
      </c>
      <c r="P502" s="124">
        <f>IFERROR(__xludf.DUMMYFUNCTION("""COMPUTED_VALUE"""),124163.0)</f>
        <v>124163</v>
      </c>
      <c r="Q502" s="124" t="str">
        <f>IFERROR(__xludf.DUMMYFUNCTION("""COMPUTED_VALUE"""),"upsc-gs-foundation-hinglish-target-2028-gsf-upsc-m01-ind")</f>
        <v>upsc-gs-foundation-hinglish-target-2028-gsf-upsc-m01-ind</v>
      </c>
      <c r="R502" s="124" t="str">
        <f>IFERROR(__xludf.DUMMYFUNCTION("""COMPUTED_VALUE"""),"GS Foundation Course")</f>
        <v>GS Foundation Course</v>
      </c>
      <c r="S502" s="124">
        <f>IFERROR(__xludf.DUMMYFUNCTION("""COMPUTED_VALUE"""),9.203848288E9)</f>
        <v>9203848288</v>
      </c>
      <c r="T502" s="124" t="str">
        <f>IFERROR(__xludf.DUMMYFUNCTION("""COMPUTED_VALUE"""),"Not Available")</f>
        <v>Not Available</v>
      </c>
      <c r="U502" s="124" t="str">
        <f>IFERROR(__xludf.DUMMYFUNCTION("""COMPUTED_VALUE"""),"Not Available")</f>
        <v>Not Available</v>
      </c>
      <c r="V502" s="124" t="str">
        <f>IFERROR(__xludf.DUMMYFUNCTION("""COMPUTED_VALUE"""),"Not Available")</f>
        <v>Not Available</v>
      </c>
      <c r="W502" s="124" t="str">
        <f>IFERROR(__xludf.DUMMYFUNCTION("""COMPUTED_VALUE"""),"Not Available")</f>
        <v>Not Available</v>
      </c>
    </row>
    <row r="503">
      <c r="A503" s="124" t="str">
        <f t="shared" si="1"/>
        <v>Kashyapshreyansh53@gmail.com</v>
      </c>
      <c r="B503" s="131">
        <f>IFERROR(__xludf.DUMMYFUNCTION("""COMPUTED_VALUE"""),46101.0)</f>
        <v>46101</v>
      </c>
      <c r="C503" s="124" t="str">
        <f>IFERROR(__xludf.DUMMYFUNCTION("""COMPUTED_VALUE"""),"Payment data from Collexo")</f>
        <v>Payment data from Collexo</v>
      </c>
      <c r="D503" s="124" t="str">
        <f>IFERROR(__xludf.DUMMYFUNCTION("""COMPUTED_VALUE"""),"Not Available")</f>
        <v>Not Available</v>
      </c>
      <c r="E503" s="124">
        <f>IFERROR(__xludf.DUMMYFUNCTION("""COMPUTED_VALUE"""),1500609.0)</f>
        <v>1500609</v>
      </c>
      <c r="F503" s="124" t="str">
        <f>IFERROR(__xludf.DUMMYFUNCTION("""COMPUTED_VALUE"""),"15569_988_7")</f>
        <v>15569_988_7</v>
      </c>
      <c r="G503" s="124">
        <f>IFERROR(__xludf.DUMMYFUNCTION("""COMPUTED_VALUE"""),5000.0)</f>
        <v>5000</v>
      </c>
      <c r="H503" s="131">
        <f>IFERROR(__xludf.DUMMYFUNCTION("""COMPUTED_VALUE"""),46104.0)</f>
        <v>46104</v>
      </c>
      <c r="I503" s="124">
        <f>IFERROR(__xludf.DUMMYFUNCTION("""COMPUTED_VALUE"""),105000.0)</f>
        <v>105000</v>
      </c>
      <c r="J503" s="124">
        <f>IFERROR(__xludf.DUMMYFUNCTION("""COMPUTED_VALUE"""),110000.0)</f>
        <v>110000</v>
      </c>
      <c r="K503" s="124">
        <f>IFERROR(__xludf.DUMMYFUNCTION("""COMPUTED_VALUE"""),2.0)</f>
        <v>2</v>
      </c>
      <c r="L503" s="124">
        <f>IFERROR(__xludf.DUMMYFUNCTION("""COMPUTED_VALUE"""),648.0)</f>
        <v>648</v>
      </c>
      <c r="M503" s="124" t="str">
        <f>IFERROR(__xludf.DUMMYFUNCTION("""COMPUTED_VALUE"""),"New Delhi")</f>
        <v>New Delhi</v>
      </c>
      <c r="N503" s="124" t="str">
        <f>IFERROR(__xludf.DUMMYFUNCTION("""COMPUTED_VALUE"""),"Kashyapshreyansh53@gmail.com")</f>
        <v>Kashyapshreyansh53@gmail.com</v>
      </c>
      <c r="O503" s="124" t="str">
        <f>IFERROR(__xludf.DUMMYFUNCTION("""COMPUTED_VALUE"""),"Shreyansh")</f>
        <v>Shreyansh</v>
      </c>
      <c r="P503" s="124">
        <f>IFERROR(__xludf.DUMMYFUNCTION("""COMPUTED_VALUE"""),127553.0)</f>
        <v>127553</v>
      </c>
      <c r="Q503" s="124" t="str">
        <f>IFERROR(__xludf.DUMMYFUNCTION("""COMPUTED_VALUE"""),"UPSC GS Foundation Hinglish Target 2027 (GSF-UPSC-E05)-ORN")</f>
        <v>UPSC GS Foundation Hinglish Target 2027 (GSF-UPSC-E05)-ORN</v>
      </c>
      <c r="R503" s="124" t="str">
        <f>IFERROR(__xludf.DUMMYFUNCTION("""COMPUTED_VALUE"""),"GS Foundation Course")</f>
        <v>GS Foundation Course</v>
      </c>
      <c r="S503" s="124">
        <f>IFERROR(__xludf.DUMMYFUNCTION("""COMPUTED_VALUE"""),9.910810797E9)</f>
        <v>9910810797</v>
      </c>
      <c r="T503" s="124" t="str">
        <f>IFERROR(__xludf.DUMMYFUNCTION("""COMPUTED_VALUE"""),"Collexo")</f>
        <v>Collexo</v>
      </c>
      <c r="U503" s="124" t="str">
        <f>IFERROR(__xludf.DUMMYFUNCTION("""COMPUTED_VALUE"""),"Success")</f>
        <v>Success</v>
      </c>
      <c r="V503" s="131">
        <f>IFERROR(__xludf.DUMMYFUNCTION("""COMPUTED_VALUE"""),46101.0)</f>
        <v>46101</v>
      </c>
      <c r="W503" s="124">
        <f>IFERROR(__xludf.DUMMYFUNCTION("""COMPUTED_VALUE"""),0.0)</f>
        <v>0</v>
      </c>
    </row>
    <row r="504">
      <c r="A504" s="124" t="str">
        <f t="shared" si="1"/>
        <v>sdpatel9839@gmail.com</v>
      </c>
      <c r="B504" s="131">
        <f>IFERROR(__xludf.DUMMYFUNCTION("""COMPUTED_VALUE"""),46094.0)</f>
        <v>46094</v>
      </c>
      <c r="C504" s="124" t="str">
        <f>IFERROR(__xludf.DUMMYFUNCTION("""COMPUTED_VALUE"""),"Payment data from Collexo")</f>
        <v>Payment data from Collexo</v>
      </c>
      <c r="D504" s="124" t="str">
        <f>IFERROR(__xludf.DUMMYFUNCTION("""COMPUTED_VALUE"""),"Not Available")</f>
        <v>Not Available</v>
      </c>
      <c r="E504" s="124">
        <f>IFERROR(__xludf.DUMMYFUNCTION("""COMPUTED_VALUE"""),1500613.0)</f>
        <v>1500613</v>
      </c>
      <c r="F504" s="124">
        <f>IFERROR(__xludf.DUMMYFUNCTION("""COMPUTED_VALUE"""),127287.0)</f>
        <v>127287</v>
      </c>
      <c r="G504" s="124">
        <f>IFERROR(__xludf.DUMMYFUNCTION("""COMPUTED_VALUE"""),50000.0)</f>
        <v>50000</v>
      </c>
      <c r="H504" s="124" t="str">
        <f>IFERROR(__xludf.DUMMYFUNCTION("""COMPUTED_VALUE"""),"Not Available")</f>
        <v>Not Available</v>
      </c>
      <c r="I504" s="124">
        <f>IFERROR(__xludf.DUMMYFUNCTION("""COMPUTED_VALUE"""),0.0)</f>
        <v>0</v>
      </c>
      <c r="J504" s="124">
        <f>IFERROR(__xludf.DUMMYFUNCTION("""COMPUTED_VALUE"""),51600.0)</f>
        <v>51600</v>
      </c>
      <c r="K504" s="124">
        <f>IFERROR(__xludf.DUMMYFUNCTION("""COMPUTED_VALUE"""),2.0)</f>
        <v>2</v>
      </c>
      <c r="L504" s="124">
        <f>IFERROR(__xludf.DUMMYFUNCTION("""COMPUTED_VALUE"""),525.0)</f>
        <v>525</v>
      </c>
      <c r="M504" s="124" t="str">
        <f>IFERROR(__xludf.DUMMYFUNCTION("""COMPUTED_VALUE"""),"Prayagraj")</f>
        <v>Prayagraj</v>
      </c>
      <c r="N504" s="124" t="str">
        <f>IFERROR(__xludf.DUMMYFUNCTION("""COMPUTED_VALUE"""),"sdpatel9839@gmail.com")</f>
        <v>sdpatel9839@gmail.com</v>
      </c>
      <c r="O504" s="124" t="str">
        <f>IFERROR(__xludf.DUMMYFUNCTION("""COMPUTED_VALUE"""),"Shivani Patel")</f>
        <v>Shivani Patel</v>
      </c>
      <c r="P504" s="124">
        <f>IFERROR(__xludf.DUMMYFUNCTION("""COMPUTED_VALUE"""),127287.0)</f>
        <v>127287</v>
      </c>
      <c r="Q504" s="124" t="str">
        <f>IFERROR(__xludf.DUMMYFUNCTION("""COMPUTED_VALUE"""),"upsc-gs-foundation-hinglish-target-2027-gsf-upsc-e03-pry")</f>
        <v>upsc-gs-foundation-hinglish-target-2027-gsf-upsc-e03-pry</v>
      </c>
      <c r="R504" s="124" t="str">
        <f>IFERROR(__xludf.DUMMYFUNCTION("""COMPUTED_VALUE"""),"GS Foundation Course")</f>
        <v>GS Foundation Course</v>
      </c>
      <c r="S504" s="124">
        <f>IFERROR(__xludf.DUMMYFUNCTION("""COMPUTED_VALUE"""),8.299542739E9)</f>
        <v>8299542739</v>
      </c>
      <c r="T504" s="124" t="str">
        <f>IFERROR(__xludf.DUMMYFUNCTION("""COMPUTED_VALUE"""),"Not Available")</f>
        <v>Not Available</v>
      </c>
      <c r="U504" s="124" t="str">
        <f>IFERROR(__xludf.DUMMYFUNCTION("""COMPUTED_VALUE"""),"Not Available")</f>
        <v>Not Available</v>
      </c>
      <c r="V504" s="124" t="str">
        <f>IFERROR(__xludf.DUMMYFUNCTION("""COMPUTED_VALUE"""),"Not Available")</f>
        <v>Not Available</v>
      </c>
      <c r="W504" s="124" t="str">
        <f>IFERROR(__xludf.DUMMYFUNCTION("""COMPUTED_VALUE"""),"Not Available")</f>
        <v>Not Available</v>
      </c>
    </row>
    <row r="505">
      <c r="A505" s="124" t="str">
        <f t="shared" si="1"/>
        <v>bajajbajaj2006@gmail.com</v>
      </c>
      <c r="B505" s="131">
        <f>IFERROR(__xludf.DUMMYFUNCTION("""COMPUTED_VALUE"""),46066.0)</f>
        <v>46066</v>
      </c>
      <c r="C505" s="124" t="str">
        <f>IFERROR(__xludf.DUMMYFUNCTION("""COMPUTED_VALUE"""),"Payment data from Collexo")</f>
        <v>Payment data from Collexo</v>
      </c>
      <c r="D505" s="124" t="str">
        <f>IFERROR(__xludf.DUMMYFUNCTION("""COMPUTED_VALUE"""),"Not Available")</f>
        <v>Not Available</v>
      </c>
      <c r="E505" s="124">
        <f>IFERROR(__xludf.DUMMYFUNCTION("""COMPUTED_VALUE"""),1500609.0)</f>
        <v>1500609</v>
      </c>
      <c r="F505" s="124" t="str">
        <f>IFERROR(__xludf.DUMMYFUNCTION("""COMPUTED_VALUE"""),"5034_988_7")</f>
        <v>5034_988_7</v>
      </c>
      <c r="G505" s="124">
        <f>IFERROR(__xludf.DUMMYFUNCTION("""COMPUTED_VALUE"""),2500.0)</f>
        <v>2500</v>
      </c>
      <c r="H505" s="131">
        <f>IFERROR(__xludf.DUMMYFUNCTION("""COMPUTED_VALUE"""),46081.0)</f>
        <v>46081</v>
      </c>
      <c r="I505" s="124">
        <f>IFERROR(__xludf.DUMMYFUNCTION("""COMPUTED_VALUE"""),75000.0)</f>
        <v>75000</v>
      </c>
      <c r="J505" s="124">
        <f>IFERROR(__xludf.DUMMYFUNCTION("""COMPUTED_VALUE"""),80000.0)</f>
        <v>80000</v>
      </c>
      <c r="K505" s="124">
        <f>IFERROR(__xludf.DUMMYFUNCTION("""COMPUTED_VALUE"""),3.0)</f>
        <v>3</v>
      </c>
      <c r="L505" s="124">
        <f>IFERROR(__xludf.DUMMYFUNCTION("""COMPUTED_VALUE"""),203.0)</f>
        <v>203</v>
      </c>
      <c r="M505" s="124" t="str">
        <f>IFERROR(__xludf.DUMMYFUNCTION("""COMPUTED_VALUE"""),"New Delhi")</f>
        <v>New Delhi</v>
      </c>
      <c r="N505" s="124" t="str">
        <f>IFERROR(__xludf.DUMMYFUNCTION("""COMPUTED_VALUE"""),"bajajbajaj2006@gmail.com")</f>
        <v>bajajbajaj2006@gmail.com</v>
      </c>
      <c r="O505" s="124" t="str">
        <f>IFERROR(__xludf.DUMMYFUNCTION("""COMPUTED_VALUE"""),"Vansh")</f>
        <v>Vansh</v>
      </c>
      <c r="P505" s="124">
        <f>IFERROR(__xludf.DUMMYFUNCTION("""COMPUTED_VALUE"""),122668.0)</f>
        <v>122668</v>
      </c>
      <c r="Q505" s="124" t="str">
        <f>IFERROR(__xludf.DUMMYFUNCTION("""COMPUTED_VALUE"""),"upsc-gs-foundation-hinglish-target-2027-gsf-upsc-m03-orn")</f>
        <v>upsc-gs-foundation-hinglish-target-2027-gsf-upsc-m03-orn</v>
      </c>
      <c r="R505" s="124" t="str">
        <f>IFERROR(__xludf.DUMMYFUNCTION("""COMPUTED_VALUE"""),"GS Foundation Course")</f>
        <v>GS Foundation Course</v>
      </c>
      <c r="S505" s="124">
        <f>IFERROR(__xludf.DUMMYFUNCTION("""COMPUTED_VALUE"""),9.041700006E9)</f>
        <v>9041700006</v>
      </c>
      <c r="T505" s="124" t="str">
        <f>IFERROR(__xludf.DUMMYFUNCTION("""COMPUTED_VALUE"""),"Collexo")</f>
        <v>Collexo</v>
      </c>
      <c r="U505" s="124" t="str">
        <f>IFERROR(__xludf.DUMMYFUNCTION("""COMPUTED_VALUE"""),"Success")</f>
        <v>Success</v>
      </c>
      <c r="V505" s="131">
        <f>IFERROR(__xludf.DUMMYFUNCTION("""COMPUTED_VALUE"""),46066.0)</f>
        <v>46066</v>
      </c>
      <c r="W505" s="124">
        <f>IFERROR(__xludf.DUMMYFUNCTION("""COMPUTED_VALUE"""),0.0)</f>
        <v>0</v>
      </c>
    </row>
    <row r="506">
      <c r="A506" s="124" t="str">
        <f t="shared" si="1"/>
        <v>yashrajs9700@gmail.com</v>
      </c>
      <c r="B506" s="131">
        <f>IFERROR(__xludf.DUMMYFUNCTION("""COMPUTED_VALUE"""),46100.0)</f>
        <v>46100</v>
      </c>
      <c r="C506" s="124" t="str">
        <f>IFERROR(__xludf.DUMMYFUNCTION("""COMPUTED_VALUE"""),"Payment data from Collexo")</f>
        <v>Payment data from Collexo</v>
      </c>
      <c r="D506" s="124" t="str">
        <f>IFERROR(__xludf.DUMMYFUNCTION("""COMPUTED_VALUE"""),"Not Available")</f>
        <v>Not Available</v>
      </c>
      <c r="E506" s="124">
        <f>IFERROR(__xludf.DUMMYFUNCTION("""COMPUTED_VALUE"""),1500609.0)</f>
        <v>1500609</v>
      </c>
      <c r="F506" s="124" t="str">
        <f>IFERROR(__xludf.DUMMYFUNCTION("""COMPUTED_VALUE"""),"15313_988_7")</f>
        <v>15313_988_7</v>
      </c>
      <c r="G506" s="124">
        <f>IFERROR(__xludf.DUMMYFUNCTION("""COMPUTED_VALUE"""),92000.0)</f>
        <v>92000</v>
      </c>
      <c r="H506" s="124" t="str">
        <f>IFERROR(__xludf.DUMMYFUNCTION("""COMPUTED_VALUE"""),"Not Available")</f>
        <v>Not Available</v>
      </c>
      <c r="I506" s="124">
        <f>IFERROR(__xludf.DUMMYFUNCTION("""COMPUTED_VALUE"""),0.0)</f>
        <v>0</v>
      </c>
      <c r="J506" s="124">
        <f>IFERROR(__xludf.DUMMYFUNCTION("""COMPUTED_VALUE"""),92000.0)</f>
        <v>92000</v>
      </c>
      <c r="K506" s="124">
        <f>IFERROR(__xludf.DUMMYFUNCTION("""COMPUTED_VALUE"""),1.0)</f>
        <v>1</v>
      </c>
      <c r="L506" s="124">
        <f>IFERROR(__xludf.DUMMYFUNCTION("""COMPUTED_VALUE"""),620.0)</f>
        <v>620</v>
      </c>
      <c r="M506" s="124" t="str">
        <f>IFERROR(__xludf.DUMMYFUNCTION("""COMPUTED_VALUE"""),"New Delhi")</f>
        <v>New Delhi</v>
      </c>
      <c r="N506" s="124" t="str">
        <f>IFERROR(__xludf.DUMMYFUNCTION("""COMPUTED_VALUE"""),"yashrajs9700@gmail.com")</f>
        <v>yashrajs9700@gmail.com</v>
      </c>
      <c r="O506" s="124" t="str">
        <f>IFERROR(__xludf.DUMMYFUNCTION("""COMPUTED_VALUE"""),"yash Siriya")</f>
        <v>yash Siriya</v>
      </c>
      <c r="P506" s="124">
        <f>IFERROR(__xludf.DUMMYFUNCTION("""COMPUTED_VALUE"""),28816.0)</f>
        <v>28816</v>
      </c>
      <c r="Q506" s="124" t="str">
        <f>IFERROR(__xludf.DUMMYFUNCTION("""COMPUTED_VALUE"""),"upsc-gs-foundation-hinglish-target-2028-gsf-upsc-e05-orn")</f>
        <v>upsc-gs-foundation-hinglish-target-2028-gsf-upsc-e05-orn</v>
      </c>
      <c r="R506" s="124" t="str">
        <f>IFERROR(__xludf.DUMMYFUNCTION("""COMPUTED_VALUE"""),"GS Foundation Course")</f>
        <v>GS Foundation Course</v>
      </c>
      <c r="S506" s="124">
        <f>IFERROR(__xludf.DUMMYFUNCTION("""COMPUTED_VALUE"""),7.024125255E9)</f>
        <v>7024125255</v>
      </c>
      <c r="T506" s="124" t="str">
        <f>IFERROR(__xludf.DUMMYFUNCTION("""COMPUTED_VALUE"""),"Not Available")</f>
        <v>Not Available</v>
      </c>
      <c r="U506" s="124" t="str">
        <f>IFERROR(__xludf.DUMMYFUNCTION("""COMPUTED_VALUE"""),"Not Available")</f>
        <v>Not Available</v>
      </c>
      <c r="V506" s="124" t="str">
        <f>IFERROR(__xludf.DUMMYFUNCTION("""COMPUTED_VALUE"""),"Not Available")</f>
        <v>Not Available</v>
      </c>
      <c r="W506" s="124" t="str">
        <f>IFERROR(__xludf.DUMMYFUNCTION("""COMPUTED_VALUE"""),"Not Available")</f>
        <v>Not Available</v>
      </c>
    </row>
    <row r="507">
      <c r="A507" s="124" t="str">
        <f t="shared" si="1"/>
        <v>shiki_mig25@gmail.com</v>
      </c>
      <c r="B507" s="131">
        <f>IFERROR(__xludf.DUMMYFUNCTION("""COMPUTED_VALUE"""),46097.0)</f>
        <v>46097</v>
      </c>
      <c r="C507" s="124" t="str">
        <f>IFERROR(__xludf.DUMMYFUNCTION("""COMPUTED_VALUE"""),"Payment data from Collexo")</f>
        <v>Payment data from Collexo</v>
      </c>
      <c r="D507" s="124" t="str">
        <f>IFERROR(__xludf.DUMMYFUNCTION("""COMPUTED_VALUE"""),"Not Available")</f>
        <v>Not Available</v>
      </c>
      <c r="E507" s="124">
        <f>IFERROR(__xludf.DUMMYFUNCTION("""COMPUTED_VALUE"""),1500609.0)</f>
        <v>1500609</v>
      </c>
      <c r="F507" s="124" t="str">
        <f>IFERROR(__xludf.DUMMYFUNCTION("""COMPUTED_VALUE"""),"14575_988_7")</f>
        <v>14575_988_7</v>
      </c>
      <c r="G507" s="124">
        <f>IFERROR(__xludf.DUMMYFUNCTION("""COMPUTED_VALUE"""),1.0)</f>
        <v>1</v>
      </c>
      <c r="H507" s="124" t="str">
        <f>IFERROR(__xludf.DUMMYFUNCTION("""COMPUTED_VALUE"""),"Not Available")</f>
        <v>Not Available</v>
      </c>
      <c r="I507" s="124">
        <f>IFERROR(__xludf.DUMMYFUNCTION("""COMPUTED_VALUE"""),0.0)</f>
        <v>0</v>
      </c>
      <c r="J507" s="124">
        <f>IFERROR(__xludf.DUMMYFUNCTION("""COMPUTED_VALUE"""),1.0)</f>
        <v>1</v>
      </c>
      <c r="K507" s="124">
        <f>IFERROR(__xludf.DUMMYFUNCTION("""COMPUTED_VALUE"""),1.0)</f>
        <v>1</v>
      </c>
      <c r="L507" s="124">
        <f>IFERROR(__xludf.DUMMYFUNCTION("""COMPUTED_VALUE"""),562.0)</f>
        <v>562</v>
      </c>
      <c r="M507" s="124" t="str">
        <f>IFERROR(__xludf.DUMMYFUNCTION("""COMPUTED_VALUE"""),"New Delhi")</f>
        <v>New Delhi</v>
      </c>
      <c r="N507" s="124" t="str">
        <f>IFERROR(__xludf.DUMMYFUNCTION("""COMPUTED_VALUE"""),"shiki_mig25@gmail.com")</f>
        <v>shiki_mig25@gmail.com</v>
      </c>
      <c r="O507" s="124" t="str">
        <f>IFERROR(__xludf.DUMMYFUNCTION("""COMPUTED_VALUE"""),"Shrikant")</f>
        <v>Shrikant</v>
      </c>
      <c r="P507" s="124">
        <f>IFERROR(__xludf.DUMMYFUNCTION("""COMPUTED_VALUE"""),81939.0)</f>
        <v>81939</v>
      </c>
      <c r="Q507" s="124" t="str">
        <f>IFERROR(__xludf.DUMMYFUNCTION("""COMPUTED_VALUE"""),"ncert-foundation-hinglish-target-2026-nce-upsc-e01-orn")</f>
        <v>ncert-foundation-hinglish-target-2026-nce-upsc-e01-orn</v>
      </c>
      <c r="R507" s="124" t="str">
        <f>IFERROR(__xludf.DUMMYFUNCTION("""COMPUTED_VALUE"""),"GS Foundation Course")</f>
        <v>GS Foundation Course</v>
      </c>
      <c r="S507" s="124">
        <f>IFERROR(__xludf.DUMMYFUNCTION("""COMPUTED_VALUE"""),9.643355612E9)</f>
        <v>9643355612</v>
      </c>
      <c r="T507" s="124" t="str">
        <f>IFERROR(__xludf.DUMMYFUNCTION("""COMPUTED_VALUE"""),"Collexo")</f>
        <v>Collexo</v>
      </c>
      <c r="U507" s="124" t="str">
        <f>IFERROR(__xludf.DUMMYFUNCTION("""COMPUTED_VALUE"""),"Success")</f>
        <v>Success</v>
      </c>
      <c r="V507" s="131">
        <f>IFERROR(__xludf.DUMMYFUNCTION("""COMPUTED_VALUE"""),46097.0)</f>
        <v>46097</v>
      </c>
      <c r="W507" s="124">
        <f>IFERROR(__xludf.DUMMYFUNCTION("""COMPUTED_VALUE"""),0.0)</f>
        <v>0</v>
      </c>
    </row>
    <row r="508">
      <c r="A508" s="124" t="str">
        <f t="shared" si="1"/>
        <v>shivam70265@gmail.com</v>
      </c>
      <c r="B508" s="131">
        <f>IFERROR(__xludf.DUMMYFUNCTION("""COMPUTED_VALUE"""),46110.0)</f>
        <v>46110</v>
      </c>
      <c r="C508" s="124" t="str">
        <f>IFERROR(__xludf.DUMMYFUNCTION("""COMPUTED_VALUE"""),"Payment data from Collexo")</f>
        <v>Payment data from Collexo</v>
      </c>
      <c r="D508" s="124" t="str">
        <f>IFERROR(__xludf.DUMMYFUNCTION("""COMPUTED_VALUE"""),"Not Available")</f>
        <v>Not Available</v>
      </c>
      <c r="E508" s="124">
        <f>IFERROR(__xludf.DUMMYFUNCTION("""COMPUTED_VALUE"""),1500613.0)</f>
        <v>1500613</v>
      </c>
      <c r="F508" s="124">
        <f>IFERROR(__xludf.DUMMYFUNCTION("""COMPUTED_VALUE"""),134614.0)</f>
        <v>134614</v>
      </c>
      <c r="G508" s="124">
        <f>IFERROR(__xludf.DUMMYFUNCTION("""COMPUTED_VALUE"""),4500.0)</f>
        <v>4500</v>
      </c>
      <c r="H508" s="131">
        <f>IFERROR(__xludf.DUMMYFUNCTION("""COMPUTED_VALUE"""),46112.0)</f>
        <v>46112</v>
      </c>
      <c r="I508" s="124">
        <f>IFERROR(__xludf.DUMMYFUNCTION("""COMPUTED_VALUE"""),50000.0)</f>
        <v>50000</v>
      </c>
      <c r="J508" s="124">
        <f>IFERROR(__xludf.DUMMYFUNCTION("""COMPUTED_VALUE"""),55000.0)</f>
        <v>55000</v>
      </c>
      <c r="K508" s="124">
        <f>IFERROR(__xludf.DUMMYFUNCTION("""COMPUTED_VALUE"""),3.0)</f>
        <v>3</v>
      </c>
      <c r="L508" s="124">
        <f>IFERROR(__xludf.DUMMYFUNCTION("""COMPUTED_VALUE"""),823.0)</f>
        <v>823</v>
      </c>
      <c r="M508" s="124" t="str">
        <f>IFERROR(__xludf.DUMMYFUNCTION("""COMPUTED_VALUE"""),"Prayagraj")</f>
        <v>Prayagraj</v>
      </c>
      <c r="N508" s="124" t="str">
        <f>IFERROR(__xludf.DUMMYFUNCTION("""COMPUTED_VALUE"""),"shivam70265@gmail.com")</f>
        <v>shivam70265@gmail.com</v>
      </c>
      <c r="O508" s="124" t="str">
        <f>IFERROR(__xludf.DUMMYFUNCTION("""COMPUTED_VALUE"""),"Ayush Bhartiya")</f>
        <v>Ayush Bhartiya</v>
      </c>
      <c r="P508" s="124">
        <f>IFERROR(__xludf.DUMMYFUNCTION("""COMPUTED_VALUE"""),134614.0)</f>
        <v>134614</v>
      </c>
      <c r="Q508" s="124" t="str">
        <f>IFERROR(__xludf.DUMMYFUNCTION("""COMPUTED_VALUE"""),"upsc-gs-foundation-hindi-target-2027-gsf-upsc-m03-pry")</f>
        <v>upsc-gs-foundation-hindi-target-2027-gsf-upsc-m03-pry</v>
      </c>
      <c r="R508" s="124" t="str">
        <f>IFERROR(__xludf.DUMMYFUNCTION("""COMPUTED_VALUE"""),"State PCS")</f>
        <v>State PCS</v>
      </c>
      <c r="S508" s="124">
        <f>IFERROR(__xludf.DUMMYFUNCTION("""COMPUTED_VALUE"""),7.522843157E9)</f>
        <v>7522843157</v>
      </c>
      <c r="T508" s="124" t="str">
        <f>IFERROR(__xludf.DUMMYFUNCTION("""COMPUTED_VALUE"""),"Not Available")</f>
        <v>Not Available</v>
      </c>
      <c r="U508" s="124" t="str">
        <f>IFERROR(__xludf.DUMMYFUNCTION("""COMPUTED_VALUE"""),"Not Available")</f>
        <v>Not Available</v>
      </c>
      <c r="V508" s="124" t="str">
        <f>IFERROR(__xludf.DUMMYFUNCTION("""COMPUTED_VALUE"""),"Not Available")</f>
        <v>Not Available</v>
      </c>
      <c r="W508" s="124" t="str">
        <f>IFERROR(__xludf.DUMMYFUNCTION("""COMPUTED_VALUE"""),"Not Available")</f>
        <v>Not Available</v>
      </c>
    </row>
    <row r="509">
      <c r="A509" s="124" t="str">
        <f t="shared" si="1"/>
        <v>priyankakaimur1@gmail.com</v>
      </c>
      <c r="B509" s="131">
        <f>IFERROR(__xludf.DUMMYFUNCTION("""COMPUTED_VALUE"""),46111.0)</f>
        <v>46111</v>
      </c>
      <c r="C509" s="124" t="str">
        <f>IFERROR(__xludf.DUMMYFUNCTION("""COMPUTED_VALUE"""),"Payment data from Collexo")</f>
        <v>Payment data from Collexo</v>
      </c>
      <c r="D509" s="124" t="str">
        <f>IFERROR(__xludf.DUMMYFUNCTION("""COMPUTED_VALUE"""),"Not Available")</f>
        <v>Not Available</v>
      </c>
      <c r="E509" s="124">
        <f>IFERROR(__xludf.DUMMYFUNCTION("""COMPUTED_VALUE"""),1500611.0)</f>
        <v>1500611</v>
      </c>
      <c r="F509" s="124">
        <f>IFERROR(__xludf.DUMMYFUNCTION("""COMPUTED_VALUE"""),139866.0)</f>
        <v>139866</v>
      </c>
      <c r="G509" s="124">
        <f>IFERROR(__xludf.DUMMYFUNCTION("""COMPUTED_VALUE"""),35000.0)</f>
        <v>35000</v>
      </c>
      <c r="H509" s="124" t="str">
        <f>IFERROR(__xludf.DUMMYFUNCTION("""COMPUTED_VALUE"""),"Not Available")</f>
        <v>Not Available</v>
      </c>
      <c r="I509" s="124">
        <f>IFERROR(__xludf.DUMMYFUNCTION("""COMPUTED_VALUE"""),0.0)</f>
        <v>0</v>
      </c>
      <c r="J509" s="124">
        <f>IFERROR(__xludf.DUMMYFUNCTION("""COMPUTED_VALUE"""),45000.0)</f>
        <v>45000</v>
      </c>
      <c r="K509" s="124">
        <f>IFERROR(__xludf.DUMMYFUNCTION("""COMPUTED_VALUE"""),2.0)</f>
        <v>2</v>
      </c>
      <c r="L509" s="124">
        <f>IFERROR(__xludf.DUMMYFUNCTION("""COMPUTED_VALUE"""),829.0)</f>
        <v>829</v>
      </c>
      <c r="M509" s="124" t="str">
        <f>IFERROR(__xludf.DUMMYFUNCTION("""COMPUTED_VALUE"""),"Patna")</f>
        <v>Patna</v>
      </c>
      <c r="N509" s="124" t="str">
        <f>IFERROR(__xludf.DUMMYFUNCTION("""COMPUTED_VALUE"""),"priyankakaimur1@gmail.com")</f>
        <v>priyankakaimur1@gmail.com</v>
      </c>
      <c r="O509" s="124" t="str">
        <f>IFERROR(__xludf.DUMMYFUNCTION("""COMPUTED_VALUE"""),"Priyanka Gupta")</f>
        <v>Priyanka Gupta</v>
      </c>
      <c r="P509" s="124">
        <f>IFERROR(__xludf.DUMMYFUNCTION("""COMPUTED_VALUE"""),139866.0)</f>
        <v>139866</v>
      </c>
      <c r="Q509" s="124" t="str">
        <f>IFERROR(__xludf.DUMMYFUNCTION("""COMPUTED_VALUE"""),"bpsc-gs-foundation-hinglish-target-2026-gsf-bpsc-m02-pat")</f>
        <v>bpsc-gs-foundation-hinglish-target-2026-gsf-bpsc-m02-pat</v>
      </c>
      <c r="R509" s="124" t="str">
        <f>IFERROR(__xludf.DUMMYFUNCTION("""COMPUTED_VALUE"""),"State PCS")</f>
        <v>State PCS</v>
      </c>
      <c r="S509" s="124">
        <f>IFERROR(__xludf.DUMMYFUNCTION("""COMPUTED_VALUE"""),8.986373158E9)</f>
        <v>8986373158</v>
      </c>
      <c r="T509" s="124" t="str">
        <f>IFERROR(__xludf.DUMMYFUNCTION("""COMPUTED_VALUE"""),"Not Available")</f>
        <v>Not Available</v>
      </c>
      <c r="U509" s="124" t="str">
        <f>IFERROR(__xludf.DUMMYFUNCTION("""COMPUTED_VALUE"""),"Not Available")</f>
        <v>Not Available</v>
      </c>
      <c r="V509" s="124" t="str">
        <f>IFERROR(__xludf.DUMMYFUNCTION("""COMPUTED_VALUE"""),"Not Available")</f>
        <v>Not Available</v>
      </c>
      <c r="W509" s="124" t="str">
        <f>IFERROR(__xludf.DUMMYFUNCTION("""COMPUTED_VALUE"""),"Not Available")</f>
        <v>Not Available</v>
      </c>
    </row>
    <row r="510">
      <c r="A510" s="124" t="str">
        <f t="shared" si="1"/>
        <v>aqsaq9805@gmail.com</v>
      </c>
      <c r="B510" s="131">
        <f>IFERROR(__xludf.DUMMYFUNCTION("""COMPUTED_VALUE"""),46095.0)</f>
        <v>46095</v>
      </c>
      <c r="C510" s="124" t="str">
        <f>IFERROR(__xludf.DUMMYFUNCTION("""COMPUTED_VALUE"""),"Payment data from Collexo")</f>
        <v>Payment data from Collexo</v>
      </c>
      <c r="D510" s="124" t="str">
        <f>IFERROR(__xludf.DUMMYFUNCTION("""COMPUTED_VALUE"""),"Not Available")</f>
        <v>Not Available</v>
      </c>
      <c r="E510" s="124">
        <f>IFERROR(__xludf.DUMMYFUNCTION("""COMPUTED_VALUE"""),1500612.0)</f>
        <v>1500612</v>
      </c>
      <c r="F510" s="124">
        <f>IFERROR(__xludf.DUMMYFUNCTION("""COMPUTED_VALUE"""),127515.0)</f>
        <v>127515</v>
      </c>
      <c r="G510" s="124">
        <f>IFERROR(__xludf.DUMMYFUNCTION("""COMPUTED_VALUE"""),1000.0)</f>
        <v>1000</v>
      </c>
      <c r="H510" s="131">
        <f>IFERROR(__xludf.DUMMYFUNCTION("""COMPUTED_VALUE"""),46112.0)</f>
        <v>46112</v>
      </c>
      <c r="I510" s="124">
        <f>IFERROR(__xludf.DUMMYFUNCTION("""COMPUTED_VALUE"""),99000.0)</f>
        <v>99000</v>
      </c>
      <c r="J510" s="124">
        <f>IFERROR(__xludf.DUMMYFUNCTION("""COMPUTED_VALUE"""),100000.0)</f>
        <v>100000</v>
      </c>
      <c r="K510" s="124">
        <f>IFERROR(__xludf.DUMMYFUNCTION("""COMPUTED_VALUE"""),2.0)</f>
        <v>2</v>
      </c>
      <c r="L510" s="124">
        <f>IFERROR(__xludf.DUMMYFUNCTION("""COMPUTED_VALUE"""),536.0)</f>
        <v>536</v>
      </c>
      <c r="M510" s="124" t="str">
        <f>IFERROR(__xludf.DUMMYFUNCTION("""COMPUTED_VALUE"""),"Indore")</f>
        <v>Indore</v>
      </c>
      <c r="N510" s="124" t="str">
        <f>IFERROR(__xludf.DUMMYFUNCTION("""COMPUTED_VALUE"""),"aqsaq9805@gmail.com")</f>
        <v>aqsaq9805@gmail.com</v>
      </c>
      <c r="O510" s="124" t="str">
        <f>IFERROR(__xludf.DUMMYFUNCTION("""COMPUTED_VALUE"""),"Aqsha Qureshi")</f>
        <v>Aqsha Qureshi</v>
      </c>
      <c r="P510" s="124">
        <f>IFERROR(__xludf.DUMMYFUNCTION("""COMPUTED_VALUE"""),127515.0)</f>
        <v>127515</v>
      </c>
      <c r="Q510" s="124" t="str">
        <f>IFERROR(__xludf.DUMMYFUNCTION("""COMPUTED_VALUE"""),"upsc-gs-foundation-hinglish-target-2028-gsf-upsc-m03-ind")</f>
        <v>upsc-gs-foundation-hinglish-target-2028-gsf-upsc-m03-ind</v>
      </c>
      <c r="R510" s="124" t="str">
        <f>IFERROR(__xludf.DUMMYFUNCTION("""COMPUTED_VALUE"""),"GS Foundation Course")</f>
        <v>GS Foundation Course</v>
      </c>
      <c r="S510" s="124">
        <f>IFERROR(__xludf.DUMMYFUNCTION("""COMPUTED_VALUE"""),9.009263135E9)</f>
        <v>9009263135</v>
      </c>
      <c r="T510" s="124" t="str">
        <f>IFERROR(__xludf.DUMMYFUNCTION("""COMPUTED_VALUE"""),"Not Available")</f>
        <v>Not Available</v>
      </c>
      <c r="U510" s="124" t="str">
        <f>IFERROR(__xludf.DUMMYFUNCTION("""COMPUTED_VALUE"""),"Not Available")</f>
        <v>Not Available</v>
      </c>
      <c r="V510" s="124" t="str">
        <f>IFERROR(__xludf.DUMMYFUNCTION("""COMPUTED_VALUE"""),"Not Available")</f>
        <v>Not Available</v>
      </c>
      <c r="W510" s="124" t="str">
        <f>IFERROR(__xludf.DUMMYFUNCTION("""COMPUTED_VALUE"""),"Not Available")</f>
        <v>Not Available</v>
      </c>
    </row>
    <row r="511">
      <c r="A511" s="124" t="str">
        <f t="shared" si="1"/>
        <v>manishmaurya1772@gmail.com</v>
      </c>
      <c r="B511" s="131">
        <f>IFERROR(__xludf.DUMMYFUNCTION("""COMPUTED_VALUE"""),46064.0)</f>
        <v>46064</v>
      </c>
      <c r="C511" s="124" t="str">
        <f>IFERROR(__xludf.DUMMYFUNCTION("""COMPUTED_VALUE"""),"Payment data from Collexo")</f>
        <v>Payment data from Collexo</v>
      </c>
      <c r="D511" s="124" t="str">
        <f>IFERROR(__xludf.DUMMYFUNCTION("""COMPUTED_VALUE"""),"Not Available")</f>
        <v>Not Available</v>
      </c>
      <c r="E511" s="124">
        <f>IFERROR(__xludf.DUMMYFUNCTION("""COMPUTED_VALUE"""),1500610.0)</f>
        <v>1500610</v>
      </c>
      <c r="F511" s="124">
        <f>IFERROR(__xludf.DUMMYFUNCTION("""COMPUTED_VALUE"""),55009.0)</f>
        <v>55009</v>
      </c>
      <c r="G511" s="124">
        <f>IFERROR(__xludf.DUMMYFUNCTION("""COMPUTED_VALUE"""),25000.0)</f>
        <v>25000</v>
      </c>
      <c r="H511" s="131">
        <f>IFERROR(__xludf.DUMMYFUNCTION("""COMPUTED_VALUE"""),46101.0)</f>
        <v>46101</v>
      </c>
      <c r="I511" s="124">
        <f>IFERROR(__xludf.DUMMYFUNCTION("""COMPUTED_VALUE"""),15000.0)</f>
        <v>15000</v>
      </c>
      <c r="J511" s="124">
        <f>IFERROR(__xludf.DUMMYFUNCTION("""COMPUTED_VALUE"""),40000.0)</f>
        <v>40000</v>
      </c>
      <c r="K511" s="124">
        <f>IFERROR(__xludf.DUMMYFUNCTION("""COMPUTED_VALUE"""),2.0)</f>
        <v>2</v>
      </c>
      <c r="L511" s="124">
        <f>IFERROR(__xludf.DUMMYFUNCTION("""COMPUTED_VALUE"""),194.0)</f>
        <v>194</v>
      </c>
      <c r="M511" s="124" t="str">
        <f>IFERROR(__xludf.DUMMYFUNCTION("""COMPUTED_VALUE"""),"Lucknow")</f>
        <v>Lucknow</v>
      </c>
      <c r="N511" s="124" t="str">
        <f>IFERROR(__xludf.DUMMYFUNCTION("""COMPUTED_VALUE"""),"manishmaurya1772@gmail.com")</f>
        <v>manishmaurya1772@gmail.com</v>
      </c>
      <c r="O511" s="124" t="str">
        <f>IFERROR(__xludf.DUMMYFUNCTION("""COMPUTED_VALUE"""),"Manish Maurya")</f>
        <v>Manish Maurya</v>
      </c>
      <c r="P511" s="124">
        <f>IFERROR(__xludf.DUMMYFUNCTION("""COMPUTED_VALUE"""),55009.0)</f>
        <v>55009</v>
      </c>
      <c r="Q511" s="124" t="str">
        <f>IFERROR(__xludf.DUMMYFUNCTION("""COMPUTED_VALUE"""),"upsc-gs-foundation-hinglish-target-2028-lko-gsf-upsc-e01")</f>
        <v>upsc-gs-foundation-hinglish-target-2028-lko-gsf-upsc-e01</v>
      </c>
      <c r="R511" s="124" t="str">
        <f>IFERROR(__xludf.DUMMYFUNCTION("""COMPUTED_VALUE"""),"GS Foundation Course")</f>
        <v>GS Foundation Course</v>
      </c>
      <c r="S511" s="124">
        <f>IFERROR(__xludf.DUMMYFUNCTION("""COMPUTED_VALUE"""),9.554347509E9)</f>
        <v>9554347509</v>
      </c>
      <c r="T511" s="124" t="str">
        <f>IFERROR(__xludf.DUMMYFUNCTION("""COMPUTED_VALUE"""),"Not Available")</f>
        <v>Not Available</v>
      </c>
      <c r="U511" s="124" t="str">
        <f>IFERROR(__xludf.DUMMYFUNCTION("""COMPUTED_VALUE"""),"Not Available")</f>
        <v>Not Available</v>
      </c>
      <c r="V511" s="124" t="str">
        <f>IFERROR(__xludf.DUMMYFUNCTION("""COMPUTED_VALUE"""),"Not Available")</f>
        <v>Not Available</v>
      </c>
      <c r="W511" s="124" t="str">
        <f>IFERROR(__xludf.DUMMYFUNCTION("""COMPUTED_VALUE"""),"Not Available")</f>
        <v>Not Available</v>
      </c>
    </row>
    <row r="512">
      <c r="A512" s="124" t="str">
        <f t="shared" si="1"/>
        <v>srinathnishad6@gmail.com</v>
      </c>
      <c r="B512" s="131">
        <f>IFERROR(__xludf.DUMMYFUNCTION("""COMPUTED_VALUE"""),46112.0)</f>
        <v>46112</v>
      </c>
      <c r="C512" s="124" t="str">
        <f>IFERROR(__xludf.DUMMYFUNCTION("""COMPUTED_VALUE"""),"Payment data from Collexo")</f>
        <v>Payment data from Collexo</v>
      </c>
      <c r="D512" s="124" t="str">
        <f>IFERROR(__xludf.DUMMYFUNCTION("""COMPUTED_VALUE"""),"Not Available")</f>
        <v>Not Available</v>
      </c>
      <c r="E512" s="124">
        <f>IFERROR(__xludf.DUMMYFUNCTION("""COMPUTED_VALUE"""),1500613.0)</f>
        <v>1500613</v>
      </c>
      <c r="F512" s="124">
        <f>IFERROR(__xludf.DUMMYFUNCTION("""COMPUTED_VALUE"""),139932.0)</f>
        <v>139932</v>
      </c>
      <c r="G512" s="124">
        <f>IFERROR(__xludf.DUMMYFUNCTION("""COMPUTED_VALUE"""),5000.0)</f>
        <v>5000</v>
      </c>
      <c r="H512" s="131">
        <f>IFERROR(__xludf.DUMMYFUNCTION("""COMPUTED_VALUE"""),46116.0)</f>
        <v>46116</v>
      </c>
      <c r="I512" s="124">
        <f>IFERROR(__xludf.DUMMYFUNCTION("""COMPUTED_VALUE"""),80500.0)</f>
        <v>80500</v>
      </c>
      <c r="J512" s="124">
        <f>IFERROR(__xludf.DUMMYFUNCTION("""COMPUTED_VALUE"""),85500.0)</f>
        <v>85500</v>
      </c>
      <c r="K512" s="124">
        <f>IFERROR(__xludf.DUMMYFUNCTION("""COMPUTED_VALUE"""),2.0)</f>
        <v>2</v>
      </c>
      <c r="L512" s="124">
        <f>IFERROR(__xludf.DUMMYFUNCTION("""COMPUTED_VALUE"""),872.0)</f>
        <v>872</v>
      </c>
      <c r="M512" s="124" t="str">
        <f>IFERROR(__xludf.DUMMYFUNCTION("""COMPUTED_VALUE"""),"Prayagraj")</f>
        <v>Prayagraj</v>
      </c>
      <c r="N512" s="124" t="str">
        <f>IFERROR(__xludf.DUMMYFUNCTION("""COMPUTED_VALUE"""),"srinathnishad6@gmail.com")</f>
        <v>srinathnishad6@gmail.com</v>
      </c>
      <c r="O512" s="124" t="str">
        <f>IFERROR(__xludf.DUMMYFUNCTION("""COMPUTED_VALUE"""),"Shri Nath Nishad")</f>
        <v>Shri Nath Nishad</v>
      </c>
      <c r="P512" s="124">
        <f>IFERROR(__xludf.DUMMYFUNCTION("""COMPUTED_VALUE"""),139932.0)</f>
        <v>139932</v>
      </c>
      <c r="Q512" s="124" t="str">
        <f>IFERROR(__xludf.DUMMYFUNCTION("""COMPUTED_VALUE"""),"upsc-gs-foundation-hinglish-target-2027-gsf-upsc-e03-pry")</f>
        <v>upsc-gs-foundation-hinglish-target-2027-gsf-upsc-e03-pry</v>
      </c>
      <c r="R512" s="124" t="str">
        <f>IFERROR(__xludf.DUMMYFUNCTION("""COMPUTED_VALUE"""),"GS Foundation Course")</f>
        <v>GS Foundation Course</v>
      </c>
      <c r="S512" s="124">
        <f>IFERROR(__xludf.DUMMYFUNCTION("""COMPUTED_VALUE"""),9.72168862E9)</f>
        <v>9721688620</v>
      </c>
      <c r="T512" s="124" t="str">
        <f>IFERROR(__xludf.DUMMYFUNCTION("""COMPUTED_VALUE"""),"Not Available")</f>
        <v>Not Available</v>
      </c>
      <c r="U512" s="124" t="str">
        <f>IFERROR(__xludf.DUMMYFUNCTION("""COMPUTED_VALUE"""),"Not Available")</f>
        <v>Not Available</v>
      </c>
      <c r="V512" s="124" t="str">
        <f>IFERROR(__xludf.DUMMYFUNCTION("""COMPUTED_VALUE"""),"Not Available")</f>
        <v>Not Available</v>
      </c>
      <c r="W512" s="124" t="str">
        <f>IFERROR(__xludf.DUMMYFUNCTION("""COMPUTED_VALUE"""),"Not Available")</f>
        <v>Not Available</v>
      </c>
    </row>
    <row r="513">
      <c r="A513" s="124" t="str">
        <f t="shared" si="1"/>
        <v>dg8010003@gmail.com</v>
      </c>
      <c r="B513" s="131">
        <f>IFERROR(__xludf.DUMMYFUNCTION("""COMPUTED_VALUE"""),46111.0)</f>
        <v>46111</v>
      </c>
      <c r="C513" s="124" t="str">
        <f>IFERROR(__xludf.DUMMYFUNCTION("""COMPUTED_VALUE"""),"Payment data from Collexo")</f>
        <v>Payment data from Collexo</v>
      </c>
      <c r="D513" s="124" t="str">
        <f>IFERROR(__xludf.DUMMYFUNCTION("""COMPUTED_VALUE"""),"Not Available")</f>
        <v>Not Available</v>
      </c>
      <c r="E513" s="124">
        <f>IFERROR(__xludf.DUMMYFUNCTION("""COMPUTED_VALUE"""),1500609.0)</f>
        <v>1500609</v>
      </c>
      <c r="F513" s="124" t="str">
        <f>IFERROR(__xludf.DUMMYFUNCTION("""COMPUTED_VALUE"""),"17451_988_7")</f>
        <v>17451_988_7</v>
      </c>
      <c r="G513" s="124">
        <f>IFERROR(__xludf.DUMMYFUNCTION("""COMPUTED_VALUE"""),5000.0)</f>
        <v>5000</v>
      </c>
      <c r="H513" s="131">
        <f>IFERROR(__xludf.DUMMYFUNCTION("""COMPUTED_VALUE"""),46112.0)</f>
        <v>46112</v>
      </c>
      <c r="I513" s="124">
        <f>IFERROR(__xludf.DUMMYFUNCTION("""COMPUTED_VALUE"""),70000.0)</f>
        <v>70000</v>
      </c>
      <c r="J513" s="124">
        <f>IFERROR(__xludf.DUMMYFUNCTION("""COMPUTED_VALUE"""),75000.0)</f>
        <v>75000</v>
      </c>
      <c r="K513" s="124">
        <f>IFERROR(__xludf.DUMMYFUNCTION("""COMPUTED_VALUE"""),2.0)</f>
        <v>2</v>
      </c>
      <c r="L513" s="124">
        <f>IFERROR(__xludf.DUMMYFUNCTION("""COMPUTED_VALUE"""),836.0)</f>
        <v>836</v>
      </c>
      <c r="M513" s="124" t="str">
        <f>IFERROR(__xludf.DUMMYFUNCTION("""COMPUTED_VALUE"""),"New Delhi")</f>
        <v>New Delhi</v>
      </c>
      <c r="N513" s="124" t="str">
        <f>IFERROR(__xludf.DUMMYFUNCTION("""COMPUTED_VALUE"""),"dg8010003@gmail.com")</f>
        <v>dg8010003@gmail.com</v>
      </c>
      <c r="O513" s="124" t="str">
        <f>IFERROR(__xludf.DUMMYFUNCTION("""COMPUTED_VALUE"""),"DEEPAK KUMAR GUPTA")</f>
        <v>DEEPAK KUMAR GUPTA</v>
      </c>
      <c r="P513" s="124">
        <f>IFERROR(__xludf.DUMMYFUNCTION("""COMPUTED_VALUE"""),126617.0)</f>
        <v>126617</v>
      </c>
      <c r="Q513" s="124" t="str">
        <f>IFERROR(__xludf.DUMMYFUNCTION("""COMPUTED_VALUE"""),".")</f>
        <v>.</v>
      </c>
      <c r="R513" s="124" t="str">
        <f>IFERROR(__xludf.DUMMYFUNCTION("""COMPUTED_VALUE"""),"GS Foundation Course")</f>
        <v>GS Foundation Course</v>
      </c>
      <c r="S513" s="124">
        <f>IFERROR(__xludf.DUMMYFUNCTION("""COMPUTED_VALUE"""),7.302726844E9)</f>
        <v>7302726844</v>
      </c>
      <c r="T513" s="124" t="str">
        <f>IFERROR(__xludf.DUMMYFUNCTION("""COMPUTED_VALUE"""),"Collexo")</f>
        <v>Collexo</v>
      </c>
      <c r="U513" s="124" t="str">
        <f>IFERROR(__xludf.DUMMYFUNCTION("""COMPUTED_VALUE"""),"Success")</f>
        <v>Success</v>
      </c>
      <c r="V513" s="131">
        <f>IFERROR(__xludf.DUMMYFUNCTION("""COMPUTED_VALUE"""),46111.0)</f>
        <v>46111</v>
      </c>
      <c r="W513" s="124">
        <f>IFERROR(__xludf.DUMMYFUNCTION("""COMPUTED_VALUE"""),0.0)</f>
        <v>0</v>
      </c>
    </row>
    <row r="514">
      <c r="A514" s="124" t="str">
        <f t="shared" si="1"/>
        <v>vivekkajla168@gmail.com</v>
      </c>
      <c r="B514" s="131">
        <f>IFERROR(__xludf.DUMMYFUNCTION("""COMPUTED_VALUE"""),46109.0)</f>
        <v>46109</v>
      </c>
      <c r="C514" s="124" t="str">
        <f>IFERROR(__xludf.DUMMYFUNCTION("""COMPUTED_VALUE"""),"Payment data from Collexo")</f>
        <v>Payment data from Collexo</v>
      </c>
      <c r="D514" s="124" t="str">
        <f>IFERROR(__xludf.DUMMYFUNCTION("""COMPUTED_VALUE"""),"Not Available")</f>
        <v>Not Available</v>
      </c>
      <c r="E514" s="124">
        <f>IFERROR(__xludf.DUMMYFUNCTION("""COMPUTED_VALUE"""),1500609.0)</f>
        <v>1500609</v>
      </c>
      <c r="F514" s="124" t="str">
        <f>IFERROR(__xludf.DUMMYFUNCTION("""COMPUTED_VALUE"""),"17163_988_7")</f>
        <v>17163_988_7</v>
      </c>
      <c r="G514" s="124">
        <f>IFERROR(__xludf.DUMMYFUNCTION("""COMPUTED_VALUE"""),30000.0)</f>
        <v>30000</v>
      </c>
      <c r="H514" s="131">
        <f>IFERROR(__xludf.DUMMYFUNCTION("""COMPUTED_VALUE"""),46112.0)</f>
        <v>46112</v>
      </c>
      <c r="I514" s="124">
        <f>IFERROR(__xludf.DUMMYFUNCTION("""COMPUTED_VALUE"""),30000.0)</f>
        <v>30000</v>
      </c>
      <c r="J514" s="124">
        <f>IFERROR(__xludf.DUMMYFUNCTION("""COMPUTED_VALUE"""),125000.0)</f>
        <v>125000</v>
      </c>
      <c r="K514" s="124">
        <f>IFERROR(__xludf.DUMMYFUNCTION("""COMPUTED_VALUE"""),4.0)</f>
        <v>4</v>
      </c>
      <c r="L514" s="124">
        <f>IFERROR(__xludf.DUMMYFUNCTION("""COMPUTED_VALUE"""),809.0)</f>
        <v>809</v>
      </c>
      <c r="M514" s="124" t="str">
        <f>IFERROR(__xludf.DUMMYFUNCTION("""COMPUTED_VALUE"""),"New Delhi")</f>
        <v>New Delhi</v>
      </c>
      <c r="N514" s="124" t="str">
        <f>IFERROR(__xludf.DUMMYFUNCTION("""COMPUTED_VALUE"""),"vivekkajla168@gmail.com")</f>
        <v>vivekkajla168@gmail.com</v>
      </c>
      <c r="O514" s="124" t="str">
        <f>IFERROR(__xludf.DUMMYFUNCTION("""COMPUTED_VALUE"""),"VIVEK KAJLA")</f>
        <v>VIVEK KAJLA</v>
      </c>
      <c r="P514" s="124">
        <f>IFERROR(__xludf.DUMMYFUNCTION("""COMPUTED_VALUE"""),133189.0)</f>
        <v>133189</v>
      </c>
      <c r="Q514" s="124" t="str">
        <f>IFERROR(__xludf.DUMMYFUNCTION("""COMPUTED_VALUE"""),"upsc-gs-foundation-hinglish-target-2028-gsf-upsc-m05-orn")</f>
        <v>upsc-gs-foundation-hinglish-target-2028-gsf-upsc-m05-orn</v>
      </c>
      <c r="R514" s="124" t="str">
        <f>IFERROR(__xludf.DUMMYFUNCTION("""COMPUTED_VALUE"""),"GS Foundation Course")</f>
        <v>GS Foundation Course</v>
      </c>
      <c r="S514" s="124">
        <f>IFERROR(__xludf.DUMMYFUNCTION("""COMPUTED_VALUE"""),9.351151508E9)</f>
        <v>9351151508</v>
      </c>
      <c r="T514" s="124" t="str">
        <f>IFERROR(__xludf.DUMMYFUNCTION("""COMPUTED_VALUE"""),"Collexo")</f>
        <v>Collexo</v>
      </c>
      <c r="U514" s="124" t="str">
        <f>IFERROR(__xludf.DUMMYFUNCTION("""COMPUTED_VALUE"""),"Success")</f>
        <v>Success</v>
      </c>
      <c r="V514" s="131">
        <f>IFERROR(__xludf.DUMMYFUNCTION("""COMPUTED_VALUE"""),46109.0)</f>
        <v>46109</v>
      </c>
      <c r="W514" s="124">
        <f>IFERROR(__xludf.DUMMYFUNCTION("""COMPUTED_VALUE"""),0.0)</f>
        <v>0</v>
      </c>
    </row>
    <row r="515">
      <c r="A515" s="124" t="str">
        <f t="shared" si="1"/>
        <v>aradhyaagrawal79872@gmail.com</v>
      </c>
      <c r="B515" s="131">
        <f>IFERROR(__xludf.DUMMYFUNCTION("""COMPUTED_VALUE"""),46104.0)</f>
        <v>46104</v>
      </c>
      <c r="C515" s="124" t="str">
        <f>IFERROR(__xludf.DUMMYFUNCTION("""COMPUTED_VALUE"""),"Payment data from Collexo")</f>
        <v>Payment data from Collexo</v>
      </c>
      <c r="D515" s="124" t="str">
        <f>IFERROR(__xludf.DUMMYFUNCTION("""COMPUTED_VALUE"""),"Not Available")</f>
        <v>Not Available</v>
      </c>
      <c r="E515" s="124">
        <f>IFERROR(__xludf.DUMMYFUNCTION("""COMPUTED_VALUE"""),1500610.0)</f>
        <v>1500610</v>
      </c>
      <c r="F515" s="124">
        <f>IFERROR(__xludf.DUMMYFUNCTION("""COMPUTED_VALUE"""),127632.0)</f>
        <v>127632</v>
      </c>
      <c r="G515" s="124">
        <f>IFERROR(__xludf.DUMMYFUNCTION("""COMPUTED_VALUE"""),3944.0)</f>
        <v>3944</v>
      </c>
      <c r="H515" s="131">
        <f>IFERROR(__xludf.DUMMYFUNCTION("""COMPUTED_VALUE"""),46112.0)</f>
        <v>46112</v>
      </c>
      <c r="I515" s="124">
        <f>IFERROR(__xludf.DUMMYFUNCTION("""COMPUTED_VALUE"""),46056.0)</f>
        <v>46056</v>
      </c>
      <c r="J515" s="124">
        <f>IFERROR(__xludf.DUMMYFUNCTION("""COMPUTED_VALUE"""),55000.0)</f>
        <v>55000</v>
      </c>
      <c r="K515" s="124">
        <f>IFERROR(__xludf.DUMMYFUNCTION("""COMPUTED_VALUE"""),3.0)</f>
        <v>3</v>
      </c>
      <c r="L515" s="124">
        <f>IFERROR(__xludf.DUMMYFUNCTION("""COMPUTED_VALUE"""),697.0)</f>
        <v>697</v>
      </c>
      <c r="M515" s="124" t="str">
        <f>IFERROR(__xludf.DUMMYFUNCTION("""COMPUTED_VALUE"""),"Lucknow")</f>
        <v>Lucknow</v>
      </c>
      <c r="N515" s="124" t="str">
        <f>IFERROR(__xludf.DUMMYFUNCTION("""COMPUTED_VALUE"""),"aradhyaagrawal79872@gmail.com")</f>
        <v>aradhyaagrawal79872@gmail.com</v>
      </c>
      <c r="O515" s="124" t="str">
        <f>IFERROR(__xludf.DUMMYFUNCTION("""COMPUTED_VALUE"""),"Aradhya Agarwal")</f>
        <v>Aradhya Agarwal</v>
      </c>
      <c r="P515" s="124">
        <f>IFERROR(__xludf.DUMMYFUNCTION("""COMPUTED_VALUE"""),127632.0)</f>
        <v>127632</v>
      </c>
      <c r="Q515" s="124" t="str">
        <f>IFERROR(__xludf.DUMMYFUNCTION("""COMPUTED_VALUE"""),"Not Available")</f>
        <v>Not Available</v>
      </c>
      <c r="R515" s="124" t="str">
        <f>IFERROR(__xludf.DUMMYFUNCTION("""COMPUTED_VALUE"""),"GS Foundation Course")</f>
        <v>GS Foundation Course</v>
      </c>
      <c r="S515" s="124">
        <f>IFERROR(__xludf.DUMMYFUNCTION("""COMPUTED_VALUE"""),8.318484017E9)</f>
        <v>8318484017</v>
      </c>
      <c r="T515" s="124" t="str">
        <f>IFERROR(__xludf.DUMMYFUNCTION("""COMPUTED_VALUE"""),"Not Available")</f>
        <v>Not Available</v>
      </c>
      <c r="U515" s="124" t="str">
        <f>IFERROR(__xludf.DUMMYFUNCTION("""COMPUTED_VALUE"""),"Not Available")</f>
        <v>Not Available</v>
      </c>
      <c r="V515" s="124" t="str">
        <f>IFERROR(__xludf.DUMMYFUNCTION("""COMPUTED_VALUE"""),"Not Available")</f>
        <v>Not Available</v>
      </c>
      <c r="W515" s="124" t="str">
        <f>IFERROR(__xludf.DUMMYFUNCTION("""COMPUTED_VALUE"""),"Not Available")</f>
        <v>Not Available</v>
      </c>
    </row>
    <row r="516">
      <c r="A516" s="124" t="str">
        <f t="shared" si="1"/>
        <v>swetakushwah58@gmail.com</v>
      </c>
      <c r="B516" s="131">
        <f>IFERROR(__xludf.DUMMYFUNCTION("""COMPUTED_VALUE"""),46067.0)</f>
        <v>46067</v>
      </c>
      <c r="C516" s="124" t="str">
        <f>IFERROR(__xludf.DUMMYFUNCTION("""COMPUTED_VALUE"""),"Payment data from Collexo")</f>
        <v>Payment data from Collexo</v>
      </c>
      <c r="D516" s="124" t="str">
        <f>IFERROR(__xludf.DUMMYFUNCTION("""COMPUTED_VALUE"""),"Not Available")</f>
        <v>Not Available</v>
      </c>
      <c r="E516" s="124">
        <f>IFERROR(__xludf.DUMMYFUNCTION("""COMPUTED_VALUE"""),1500609.0)</f>
        <v>1500609</v>
      </c>
      <c r="F516" s="124" t="str">
        <f>IFERROR(__xludf.DUMMYFUNCTION("""COMPUTED_VALUE"""),"5198_988_7")</f>
        <v>5198_988_7</v>
      </c>
      <c r="G516" s="124">
        <f>IFERROR(__xludf.DUMMYFUNCTION("""COMPUTED_VALUE"""),100000.0)</f>
        <v>100000</v>
      </c>
      <c r="H516" s="124" t="str">
        <f>IFERROR(__xludf.DUMMYFUNCTION("""COMPUTED_VALUE"""),"Not Available")</f>
        <v>Not Available</v>
      </c>
      <c r="I516" s="124">
        <f>IFERROR(__xludf.DUMMYFUNCTION("""COMPUTED_VALUE"""),0.0)</f>
        <v>0</v>
      </c>
      <c r="J516" s="124">
        <f>IFERROR(__xludf.DUMMYFUNCTION("""COMPUTED_VALUE"""),110000.0)</f>
        <v>110000</v>
      </c>
      <c r="K516" s="124">
        <f>IFERROR(__xludf.DUMMYFUNCTION("""COMPUTED_VALUE"""),2.0)</f>
        <v>2</v>
      </c>
      <c r="L516" s="124">
        <f>IFERROR(__xludf.DUMMYFUNCTION("""COMPUTED_VALUE"""),214.0)</f>
        <v>214</v>
      </c>
      <c r="M516" s="124" t="str">
        <f>IFERROR(__xludf.DUMMYFUNCTION("""COMPUTED_VALUE"""),"New Delhi")</f>
        <v>New Delhi</v>
      </c>
      <c r="N516" s="124" t="str">
        <f>IFERROR(__xludf.DUMMYFUNCTION("""COMPUTED_VALUE"""),"swetakushwah58@gmail.com")</f>
        <v>swetakushwah58@gmail.com</v>
      </c>
      <c r="O516" s="124" t="str">
        <f>IFERROR(__xludf.DUMMYFUNCTION("""COMPUTED_VALUE"""),"Shweta")</f>
        <v>Shweta</v>
      </c>
      <c r="P516" s="124">
        <f>IFERROR(__xludf.DUMMYFUNCTION("""COMPUTED_VALUE"""),122256.0)</f>
        <v>122256</v>
      </c>
      <c r="Q516" s="124" t="str">
        <f>IFERROR(__xludf.DUMMYFUNCTION("""COMPUTED_VALUE"""),"upsc-gs-foundation-hinglish-target-2027-gsf-upsc-m02-orn")</f>
        <v>upsc-gs-foundation-hinglish-target-2027-gsf-upsc-m02-orn</v>
      </c>
      <c r="R516" s="124" t="str">
        <f>IFERROR(__xludf.DUMMYFUNCTION("""COMPUTED_VALUE"""),"GS Foundation Course")</f>
        <v>GS Foundation Course</v>
      </c>
      <c r="S516" s="124">
        <f>IFERROR(__xludf.DUMMYFUNCTION("""COMPUTED_VALUE"""),9.301271286E9)</f>
        <v>9301271286</v>
      </c>
      <c r="T516" s="124" t="str">
        <f>IFERROR(__xludf.DUMMYFUNCTION("""COMPUTED_VALUE"""),"Collexo")</f>
        <v>Collexo</v>
      </c>
      <c r="U516" s="124" t="str">
        <f>IFERROR(__xludf.DUMMYFUNCTION("""COMPUTED_VALUE"""),"Success")</f>
        <v>Success</v>
      </c>
      <c r="V516" s="131">
        <f>IFERROR(__xludf.DUMMYFUNCTION("""COMPUTED_VALUE"""),46067.0)</f>
        <v>46067</v>
      </c>
      <c r="W516" s="124">
        <f>IFERROR(__xludf.DUMMYFUNCTION("""COMPUTED_VALUE"""),0.0)</f>
        <v>0</v>
      </c>
    </row>
    <row r="517">
      <c r="A517" s="124" t="str">
        <f t="shared" si="1"/>
        <v>rimjhim238@gmail.com</v>
      </c>
      <c r="B517" s="131">
        <f>IFERROR(__xludf.DUMMYFUNCTION("""COMPUTED_VALUE"""),46111.0)</f>
        <v>46111</v>
      </c>
      <c r="C517" s="124" t="str">
        <f>IFERROR(__xludf.DUMMYFUNCTION("""COMPUTED_VALUE"""),"Payment data from Collexo")</f>
        <v>Payment data from Collexo</v>
      </c>
      <c r="D517" s="124" t="str">
        <f>IFERROR(__xludf.DUMMYFUNCTION("""COMPUTED_VALUE"""),"Not Available")</f>
        <v>Not Available</v>
      </c>
      <c r="E517" s="124">
        <f>IFERROR(__xludf.DUMMYFUNCTION("""COMPUTED_VALUE"""),1500609.0)</f>
        <v>1500609</v>
      </c>
      <c r="F517" s="124" t="str">
        <f>IFERROR(__xludf.DUMMYFUNCTION("""COMPUTED_VALUE"""),"17435_988_7")</f>
        <v>17435_988_7</v>
      </c>
      <c r="G517" s="124">
        <f>IFERROR(__xludf.DUMMYFUNCTION("""COMPUTED_VALUE"""),3000.0)</f>
        <v>3000</v>
      </c>
      <c r="H517" s="131">
        <f>IFERROR(__xludf.DUMMYFUNCTION("""COMPUTED_VALUE"""),46112.0)</f>
        <v>46112</v>
      </c>
      <c r="I517" s="124">
        <f>IFERROR(__xludf.DUMMYFUNCTION("""COMPUTED_VALUE"""),69000.0)</f>
        <v>69000</v>
      </c>
      <c r="J517" s="124">
        <f>IFERROR(__xludf.DUMMYFUNCTION("""COMPUTED_VALUE"""),74000.0)</f>
        <v>74000</v>
      </c>
      <c r="K517" s="124">
        <f>IFERROR(__xludf.DUMMYFUNCTION("""COMPUTED_VALUE"""),3.0)</f>
        <v>3</v>
      </c>
      <c r="L517" s="124">
        <f>IFERROR(__xludf.DUMMYFUNCTION("""COMPUTED_VALUE"""),833.0)</f>
        <v>833</v>
      </c>
      <c r="M517" s="124" t="str">
        <f>IFERROR(__xludf.DUMMYFUNCTION("""COMPUTED_VALUE"""),"New Delhi")</f>
        <v>New Delhi</v>
      </c>
      <c r="N517" s="124" t="str">
        <f>IFERROR(__xludf.DUMMYFUNCTION("""COMPUTED_VALUE"""),"rimjhim238@gmail.com")</f>
        <v>rimjhim238@gmail.com</v>
      </c>
      <c r="O517" s="124" t="str">
        <f>IFERROR(__xludf.DUMMYFUNCTION("""COMPUTED_VALUE"""),"Rimjhim")</f>
        <v>Rimjhim</v>
      </c>
      <c r="P517" s="124">
        <f>IFERROR(__xludf.DUMMYFUNCTION("""COMPUTED_VALUE"""),33525.0)</f>
        <v>33525</v>
      </c>
      <c r="Q517" s="124" t="str">
        <f>IFERROR(__xludf.DUMMYFUNCTION("""COMPUTED_VALUE"""),"upsc-gs-foundation-hinglish-target-2027-gsf-upsc-e03-orn")</f>
        <v>upsc-gs-foundation-hinglish-target-2027-gsf-upsc-e03-orn</v>
      </c>
      <c r="R517" s="124" t="str">
        <f>IFERROR(__xludf.DUMMYFUNCTION("""COMPUTED_VALUE"""),"GS Foundation Course")</f>
        <v>GS Foundation Course</v>
      </c>
      <c r="S517" s="124">
        <f>IFERROR(__xludf.DUMMYFUNCTION("""COMPUTED_VALUE"""),6.202290735E9)</f>
        <v>6202290735</v>
      </c>
      <c r="T517" s="124" t="str">
        <f>IFERROR(__xludf.DUMMYFUNCTION("""COMPUTED_VALUE"""),"Collexo")</f>
        <v>Collexo</v>
      </c>
      <c r="U517" s="124" t="str">
        <f>IFERROR(__xludf.DUMMYFUNCTION("""COMPUTED_VALUE"""),"Success")</f>
        <v>Success</v>
      </c>
      <c r="V517" s="131">
        <f>IFERROR(__xludf.DUMMYFUNCTION("""COMPUTED_VALUE"""),46111.0)</f>
        <v>46111</v>
      </c>
      <c r="W517" s="124">
        <f>IFERROR(__xludf.DUMMYFUNCTION("""COMPUTED_VALUE"""),0.0)</f>
        <v>0</v>
      </c>
    </row>
    <row r="518">
      <c r="A518" s="124" t="str">
        <f t="shared" si="1"/>
        <v>nayaknivedita2@gmail.com</v>
      </c>
      <c r="B518" s="131">
        <f>IFERROR(__xludf.DUMMYFUNCTION("""COMPUTED_VALUE"""),46070.0)</f>
        <v>46070</v>
      </c>
      <c r="C518" s="124" t="str">
        <f>IFERROR(__xludf.DUMMYFUNCTION("""COMPUTED_VALUE"""),"Payment data from Collexo")</f>
        <v>Payment data from Collexo</v>
      </c>
      <c r="D518" s="124" t="str">
        <f>IFERROR(__xludf.DUMMYFUNCTION("""COMPUTED_VALUE"""),"Not Available")</f>
        <v>Not Available</v>
      </c>
      <c r="E518" s="124">
        <f>IFERROR(__xludf.DUMMYFUNCTION("""COMPUTED_VALUE"""),1500610.0)</f>
        <v>1500610</v>
      </c>
      <c r="F518" s="124">
        <f>IFERROR(__xludf.DUMMYFUNCTION("""COMPUTED_VALUE"""),123500.0)</f>
        <v>123500</v>
      </c>
      <c r="G518" s="124">
        <f>IFERROR(__xludf.DUMMYFUNCTION("""COMPUTED_VALUE"""),40000.0)</f>
        <v>40000</v>
      </c>
      <c r="H518" s="124" t="str">
        <f>IFERROR(__xludf.DUMMYFUNCTION("""COMPUTED_VALUE"""),"Not Available")</f>
        <v>Not Available</v>
      </c>
      <c r="I518" s="124">
        <f>IFERROR(__xludf.DUMMYFUNCTION("""COMPUTED_VALUE"""),0.0)</f>
        <v>0</v>
      </c>
      <c r="J518" s="124">
        <f>IFERROR(__xludf.DUMMYFUNCTION("""COMPUTED_VALUE"""),40000.0)</f>
        <v>40000</v>
      </c>
      <c r="K518" s="124">
        <f>IFERROR(__xludf.DUMMYFUNCTION("""COMPUTED_VALUE"""),1.0)</f>
        <v>1</v>
      </c>
      <c r="L518" s="124">
        <f>IFERROR(__xludf.DUMMYFUNCTION("""COMPUTED_VALUE"""),236.0)</f>
        <v>236</v>
      </c>
      <c r="M518" s="124" t="str">
        <f>IFERROR(__xludf.DUMMYFUNCTION("""COMPUTED_VALUE"""),"Lucknow")</f>
        <v>Lucknow</v>
      </c>
      <c r="N518" s="124" t="str">
        <f>IFERROR(__xludf.DUMMYFUNCTION("""COMPUTED_VALUE"""),"nayaknivedita2@gmail.com")</f>
        <v>nayaknivedita2@gmail.com</v>
      </c>
      <c r="O518" s="124" t="str">
        <f>IFERROR(__xludf.DUMMYFUNCTION("""COMPUTED_VALUE"""),"nivedita nayak")</f>
        <v>nivedita nayak</v>
      </c>
      <c r="P518" s="124">
        <f>IFERROR(__xludf.DUMMYFUNCTION("""COMPUTED_VALUE"""),123500.0)</f>
        <v>123500</v>
      </c>
      <c r="Q518" s="124" t="str">
        <f>IFERROR(__xludf.DUMMYFUNCTION("""COMPUTED_VALUE"""),"upsc-gs-foundation-hinglish-target-2028-gsf-upsc-e02-lko")</f>
        <v>upsc-gs-foundation-hinglish-target-2028-gsf-upsc-e02-lko</v>
      </c>
      <c r="R518" s="124" t="str">
        <f>IFERROR(__xludf.DUMMYFUNCTION("""COMPUTED_VALUE"""),"State PCS")</f>
        <v>State PCS</v>
      </c>
      <c r="S518" s="124">
        <f>IFERROR(__xludf.DUMMYFUNCTION("""COMPUTED_VALUE"""),8.29911854E9)</f>
        <v>8299118540</v>
      </c>
      <c r="T518" s="124" t="str">
        <f>IFERROR(__xludf.DUMMYFUNCTION("""COMPUTED_VALUE"""),"Not Available")</f>
        <v>Not Available</v>
      </c>
      <c r="U518" s="124" t="str">
        <f>IFERROR(__xludf.DUMMYFUNCTION("""COMPUTED_VALUE"""),"Not Available")</f>
        <v>Not Available</v>
      </c>
      <c r="V518" s="124" t="str">
        <f>IFERROR(__xludf.DUMMYFUNCTION("""COMPUTED_VALUE"""),"Not Available")</f>
        <v>Not Available</v>
      </c>
      <c r="W518" s="124" t="str">
        <f>IFERROR(__xludf.DUMMYFUNCTION("""COMPUTED_VALUE"""),"Not Available")</f>
        <v>Not Available</v>
      </c>
    </row>
    <row r="519">
      <c r="A519" s="124" t="str">
        <f t="shared" si="1"/>
        <v>swarnaavula2@gmail.com</v>
      </c>
      <c r="B519" s="131">
        <f>IFERROR(__xludf.DUMMYFUNCTION("""COMPUTED_VALUE"""),46079.0)</f>
        <v>46079</v>
      </c>
      <c r="C519" s="124" t="str">
        <f>IFERROR(__xludf.DUMMYFUNCTION("""COMPUTED_VALUE"""),"Payment data from Collexo")</f>
        <v>Payment data from Collexo</v>
      </c>
      <c r="D519" s="124" t="str">
        <f>IFERROR(__xludf.DUMMYFUNCTION("""COMPUTED_VALUE"""),"Not Available")</f>
        <v>Not Available</v>
      </c>
      <c r="E519" s="124">
        <f>IFERROR(__xludf.DUMMYFUNCTION("""COMPUTED_VALUE"""),1500609.0)</f>
        <v>1500609</v>
      </c>
      <c r="F519" s="124" t="str">
        <f>IFERROR(__xludf.DUMMYFUNCTION("""COMPUTED_VALUE"""),"11196_988_7")</f>
        <v>11196_988_7</v>
      </c>
      <c r="G519" s="124">
        <f>IFERROR(__xludf.DUMMYFUNCTION("""COMPUTED_VALUE"""),10000.0)</f>
        <v>10000</v>
      </c>
      <c r="H519" s="131">
        <f>IFERROR(__xludf.DUMMYFUNCTION("""COMPUTED_VALUE"""),46081.0)</f>
        <v>46081</v>
      </c>
      <c r="I519" s="124">
        <f>IFERROR(__xludf.DUMMYFUNCTION("""COMPUTED_VALUE"""),8750.0)</f>
        <v>8750</v>
      </c>
      <c r="J519" s="124">
        <f>IFERROR(__xludf.DUMMYFUNCTION("""COMPUTED_VALUE"""),75000.0)</f>
        <v>75000</v>
      </c>
      <c r="K519" s="124">
        <f>IFERROR(__xludf.DUMMYFUNCTION("""COMPUTED_VALUE"""),3.0)</f>
        <v>3</v>
      </c>
      <c r="L519" s="124">
        <f>IFERROR(__xludf.DUMMYFUNCTION("""COMPUTED_VALUE"""),345.0)</f>
        <v>345</v>
      </c>
      <c r="M519" s="124" t="str">
        <f>IFERROR(__xludf.DUMMYFUNCTION("""COMPUTED_VALUE"""),"New Delhi")</f>
        <v>New Delhi</v>
      </c>
      <c r="N519" s="124" t="str">
        <f>IFERROR(__xludf.DUMMYFUNCTION("""COMPUTED_VALUE"""),"swarnaavula2@gmail.com")</f>
        <v>swarnaavula2@gmail.com</v>
      </c>
      <c r="O519" s="124" t="str">
        <f>IFERROR(__xludf.DUMMYFUNCTION("""COMPUTED_VALUE"""),"Swarna Kumari")</f>
        <v>Swarna Kumari</v>
      </c>
      <c r="P519" s="124">
        <f>IFERROR(__xludf.DUMMYFUNCTION("""COMPUTED_VALUE"""),121594.0)</f>
        <v>121594</v>
      </c>
      <c r="Q519" s="124" t="str">
        <f>IFERROR(__xludf.DUMMYFUNCTION("""COMPUTED_VALUE"""),"Not Available")</f>
        <v>Not Available</v>
      </c>
      <c r="R519" s="124" t="str">
        <f>IFERROR(__xludf.DUMMYFUNCTION("""COMPUTED_VALUE"""),"GS Foundation Course")</f>
        <v>GS Foundation Course</v>
      </c>
      <c r="S519" s="124">
        <f>IFERROR(__xludf.DUMMYFUNCTION("""COMPUTED_VALUE"""),7.569056642E9)</f>
        <v>7569056642</v>
      </c>
      <c r="T519" s="124" t="str">
        <f>IFERROR(__xludf.DUMMYFUNCTION("""COMPUTED_VALUE"""),"Collexo")</f>
        <v>Collexo</v>
      </c>
      <c r="U519" s="124" t="str">
        <f>IFERROR(__xludf.DUMMYFUNCTION("""COMPUTED_VALUE"""),"Success")</f>
        <v>Success</v>
      </c>
      <c r="V519" s="131">
        <f>IFERROR(__xludf.DUMMYFUNCTION("""COMPUTED_VALUE"""),46079.0)</f>
        <v>46079</v>
      </c>
      <c r="W519" s="124">
        <f>IFERROR(__xludf.DUMMYFUNCTION("""COMPUTED_VALUE"""),0.0)</f>
        <v>0</v>
      </c>
    </row>
    <row r="520">
      <c r="A520" s="124" t="str">
        <f t="shared" si="1"/>
        <v>Kashyapshreyansh53@gmail.com</v>
      </c>
      <c r="B520" s="131">
        <f>IFERROR(__xludf.DUMMYFUNCTION("""COMPUTED_VALUE"""),46101.0)</f>
        <v>46101</v>
      </c>
      <c r="C520" s="124" t="str">
        <f>IFERROR(__xludf.DUMMYFUNCTION("""COMPUTED_VALUE"""),"Payment data from Collexo")</f>
        <v>Payment data from Collexo</v>
      </c>
      <c r="D520" s="124" t="str">
        <f>IFERROR(__xludf.DUMMYFUNCTION("""COMPUTED_VALUE"""),"Not Available")</f>
        <v>Not Available</v>
      </c>
      <c r="E520" s="124">
        <f>IFERROR(__xludf.DUMMYFUNCTION("""COMPUTED_VALUE"""),1500609.0)</f>
        <v>1500609</v>
      </c>
      <c r="F520" s="124" t="str">
        <f>IFERROR(__xludf.DUMMYFUNCTION("""COMPUTED_VALUE"""),"15570_988_7")</f>
        <v>15570_988_7</v>
      </c>
      <c r="G520" s="124">
        <f>IFERROR(__xludf.DUMMYFUNCTION("""COMPUTED_VALUE"""),1.0)</f>
        <v>1</v>
      </c>
      <c r="H520" s="124" t="str">
        <f>IFERROR(__xludf.DUMMYFUNCTION("""COMPUTED_VALUE"""),"Not Available")</f>
        <v>Not Available</v>
      </c>
      <c r="I520" s="124">
        <f>IFERROR(__xludf.DUMMYFUNCTION("""COMPUTED_VALUE"""),0.0)</f>
        <v>0</v>
      </c>
      <c r="J520" s="124">
        <f>IFERROR(__xludf.DUMMYFUNCTION("""COMPUTED_VALUE"""),1.0)</f>
        <v>1</v>
      </c>
      <c r="K520" s="124">
        <f>IFERROR(__xludf.DUMMYFUNCTION("""COMPUTED_VALUE"""),1.0)</f>
        <v>1</v>
      </c>
      <c r="L520" s="124">
        <f>IFERROR(__xludf.DUMMYFUNCTION("""COMPUTED_VALUE"""),649.0)</f>
        <v>649</v>
      </c>
      <c r="M520" s="124" t="str">
        <f>IFERROR(__xludf.DUMMYFUNCTION("""COMPUTED_VALUE"""),"New Delhi")</f>
        <v>New Delhi</v>
      </c>
      <c r="N520" s="124" t="str">
        <f>IFERROR(__xludf.DUMMYFUNCTION("""COMPUTED_VALUE"""),"Kashyapshreyansh53@gmail.com")</f>
        <v>Kashyapshreyansh53@gmail.com</v>
      </c>
      <c r="O520" s="124" t="str">
        <f>IFERROR(__xludf.DUMMYFUNCTION("""COMPUTED_VALUE"""),"Shreyansh")</f>
        <v>Shreyansh</v>
      </c>
      <c r="P520" s="124">
        <f>IFERROR(__xludf.DUMMYFUNCTION("""COMPUTED_VALUE"""),127553.0)</f>
        <v>127553</v>
      </c>
      <c r="Q520" s="124" t="str">
        <f>IFERROR(__xludf.DUMMYFUNCTION("""COMPUTED_VALUE"""),"UPSC GS Foundation Hinglish Target 2027 (GSF-UPSC-E05)-ORN")</f>
        <v>UPSC GS Foundation Hinglish Target 2027 (GSF-UPSC-E05)-ORN</v>
      </c>
      <c r="R520" s="124" t="str">
        <f>IFERROR(__xludf.DUMMYFUNCTION("""COMPUTED_VALUE"""),"GS Foundation Course")</f>
        <v>GS Foundation Course</v>
      </c>
      <c r="S520" s="124">
        <f>IFERROR(__xludf.DUMMYFUNCTION("""COMPUTED_VALUE"""),9.910810797E9)</f>
        <v>9910810797</v>
      </c>
      <c r="T520" s="124" t="str">
        <f>IFERROR(__xludf.DUMMYFUNCTION("""COMPUTED_VALUE"""),"Collexo")</f>
        <v>Collexo</v>
      </c>
      <c r="U520" s="124" t="str">
        <f>IFERROR(__xludf.DUMMYFUNCTION("""COMPUTED_VALUE"""),"Success")</f>
        <v>Success</v>
      </c>
      <c r="V520" s="131">
        <f>IFERROR(__xludf.DUMMYFUNCTION("""COMPUTED_VALUE"""),46101.0)</f>
        <v>46101</v>
      </c>
      <c r="W520" s="124">
        <f>IFERROR(__xludf.DUMMYFUNCTION("""COMPUTED_VALUE"""),0.0)</f>
        <v>0</v>
      </c>
    </row>
    <row r="521">
      <c r="A521" s="124" t="str">
        <f t="shared" si="1"/>
        <v>shreyaharwai35@gmail.com</v>
      </c>
      <c r="B521" s="131">
        <f>IFERROR(__xludf.DUMMYFUNCTION("""COMPUTED_VALUE"""),46091.0)</f>
        <v>46091</v>
      </c>
      <c r="C521" s="124" t="str">
        <f>IFERROR(__xludf.DUMMYFUNCTION("""COMPUTED_VALUE"""),"Payment data from Collexo")</f>
        <v>Payment data from Collexo</v>
      </c>
      <c r="D521" s="124" t="str">
        <f>IFERROR(__xludf.DUMMYFUNCTION("""COMPUTED_VALUE"""),"Not Available")</f>
        <v>Not Available</v>
      </c>
      <c r="E521" s="124">
        <f>IFERROR(__xludf.DUMMYFUNCTION("""COMPUTED_VALUE"""),1500613.0)</f>
        <v>1500613</v>
      </c>
      <c r="F521" s="124">
        <f>IFERROR(__xludf.DUMMYFUNCTION("""COMPUTED_VALUE"""),126890.0)</f>
        <v>126890</v>
      </c>
      <c r="G521" s="124">
        <f>IFERROR(__xludf.DUMMYFUNCTION("""COMPUTED_VALUE"""),1000.0)</f>
        <v>1000</v>
      </c>
      <c r="H521" s="131">
        <f>IFERROR(__xludf.DUMMYFUNCTION("""COMPUTED_VALUE"""),46093.0)</f>
        <v>46093</v>
      </c>
      <c r="I521" s="124">
        <f>IFERROR(__xludf.DUMMYFUNCTION("""COMPUTED_VALUE"""),79000.0)</f>
        <v>79000</v>
      </c>
      <c r="J521" s="124">
        <f>IFERROR(__xludf.DUMMYFUNCTION("""COMPUTED_VALUE"""),80000.0)</f>
        <v>80000</v>
      </c>
      <c r="K521" s="124">
        <f>IFERROR(__xludf.DUMMYFUNCTION("""COMPUTED_VALUE"""),2.0)</f>
        <v>2</v>
      </c>
      <c r="L521" s="124">
        <f>IFERROR(__xludf.DUMMYFUNCTION("""COMPUTED_VALUE"""),475.0)</f>
        <v>475</v>
      </c>
      <c r="M521" s="124" t="str">
        <f>IFERROR(__xludf.DUMMYFUNCTION("""COMPUTED_VALUE"""),"Prayagraj")</f>
        <v>Prayagraj</v>
      </c>
      <c r="N521" s="124" t="str">
        <f>IFERROR(__xludf.DUMMYFUNCTION("""COMPUTED_VALUE"""),"shreyaharwai35@gmail.com")</f>
        <v>shreyaharwai35@gmail.com</v>
      </c>
      <c r="O521" s="124" t="str">
        <f>IFERROR(__xludf.DUMMYFUNCTION("""COMPUTED_VALUE"""),"Shreya modanwal")</f>
        <v>Shreya modanwal</v>
      </c>
      <c r="P521" s="124">
        <f>IFERROR(__xludf.DUMMYFUNCTION("""COMPUTED_VALUE"""),126890.0)</f>
        <v>126890</v>
      </c>
      <c r="Q521" s="124" t="str">
        <f>IFERROR(__xludf.DUMMYFUNCTION("""COMPUTED_VALUE"""),"upsc-gs-foundation-hinglish-target-2027-gsf-upsc-e03-pry")</f>
        <v>upsc-gs-foundation-hinglish-target-2027-gsf-upsc-e03-pry</v>
      </c>
      <c r="R521" s="124" t="str">
        <f>IFERROR(__xludf.DUMMYFUNCTION("""COMPUTED_VALUE"""),"GS Foundation Course")</f>
        <v>GS Foundation Course</v>
      </c>
      <c r="S521" s="124">
        <f>IFERROR(__xludf.DUMMYFUNCTION("""COMPUTED_VALUE"""),9.170552086E9)</f>
        <v>9170552086</v>
      </c>
      <c r="T521" s="124" t="str">
        <f>IFERROR(__xludf.DUMMYFUNCTION("""COMPUTED_VALUE"""),"Not Available")</f>
        <v>Not Available</v>
      </c>
      <c r="U521" s="124" t="str">
        <f>IFERROR(__xludf.DUMMYFUNCTION("""COMPUTED_VALUE"""),"Not Available")</f>
        <v>Not Available</v>
      </c>
      <c r="V521" s="124" t="str">
        <f>IFERROR(__xludf.DUMMYFUNCTION("""COMPUTED_VALUE"""),"Not Available")</f>
        <v>Not Available</v>
      </c>
      <c r="W521" s="124" t="str">
        <f>IFERROR(__xludf.DUMMYFUNCTION("""COMPUTED_VALUE"""),"Not Available")</f>
        <v>Not Available</v>
      </c>
    </row>
    <row r="522">
      <c r="A522" s="124" t="str">
        <f t="shared" si="1"/>
        <v>komalvishwakarma383@gmail.com</v>
      </c>
      <c r="B522" s="131">
        <f>IFERROR(__xludf.DUMMYFUNCTION("""COMPUTED_VALUE"""),46095.0)</f>
        <v>46095</v>
      </c>
      <c r="C522" s="124" t="str">
        <f>IFERROR(__xludf.DUMMYFUNCTION("""COMPUTED_VALUE"""),"Payment data from Collexo")</f>
        <v>Payment data from Collexo</v>
      </c>
      <c r="D522" s="124" t="str">
        <f>IFERROR(__xludf.DUMMYFUNCTION("""COMPUTED_VALUE"""),"Not Available")</f>
        <v>Not Available</v>
      </c>
      <c r="E522" s="124">
        <f>IFERROR(__xludf.DUMMYFUNCTION("""COMPUTED_VALUE"""),1500612.0)</f>
        <v>1500612</v>
      </c>
      <c r="F522" s="124">
        <f>IFERROR(__xludf.DUMMYFUNCTION("""COMPUTED_VALUE"""),127668.0)</f>
        <v>127668</v>
      </c>
      <c r="G522" s="124">
        <f>IFERROR(__xludf.DUMMYFUNCTION("""COMPUTED_VALUE"""),1000.0)</f>
        <v>1000</v>
      </c>
      <c r="H522" s="131">
        <f>IFERROR(__xludf.DUMMYFUNCTION("""COMPUTED_VALUE"""),46112.0)</f>
        <v>46112</v>
      </c>
      <c r="I522" s="124">
        <f>IFERROR(__xludf.DUMMYFUNCTION("""COMPUTED_VALUE"""),89000.0)</f>
        <v>89000</v>
      </c>
      <c r="J522" s="124">
        <f>IFERROR(__xludf.DUMMYFUNCTION("""COMPUTED_VALUE"""),90000.0)</f>
        <v>90000</v>
      </c>
      <c r="K522" s="124">
        <f>IFERROR(__xludf.DUMMYFUNCTION("""COMPUTED_VALUE"""),2.0)</f>
        <v>2</v>
      </c>
      <c r="L522" s="124">
        <f>IFERROR(__xludf.DUMMYFUNCTION("""COMPUTED_VALUE"""),549.0)</f>
        <v>549</v>
      </c>
      <c r="M522" s="124" t="str">
        <f>IFERROR(__xludf.DUMMYFUNCTION("""COMPUTED_VALUE"""),"Indore")</f>
        <v>Indore</v>
      </c>
      <c r="N522" s="124" t="str">
        <f>IFERROR(__xludf.DUMMYFUNCTION("""COMPUTED_VALUE"""),"komalvishwakarma383@gmail.com")</f>
        <v>komalvishwakarma383@gmail.com</v>
      </c>
      <c r="O522" s="124" t="str">
        <f>IFERROR(__xludf.DUMMYFUNCTION("""COMPUTED_VALUE"""),"Komal Vishwakarma")</f>
        <v>Komal Vishwakarma</v>
      </c>
      <c r="P522" s="124">
        <f>IFERROR(__xludf.DUMMYFUNCTION("""COMPUTED_VALUE"""),127668.0)</f>
        <v>127668</v>
      </c>
      <c r="Q522" s="124" t="str">
        <f>IFERROR(__xludf.DUMMYFUNCTION("""COMPUTED_VALUE"""),"upsc-gs-foundation-hindi-target-2028-gsf-upsc-m03-ind")</f>
        <v>upsc-gs-foundation-hindi-target-2028-gsf-upsc-m03-ind</v>
      </c>
      <c r="R522" s="124" t="str">
        <f>IFERROR(__xludf.DUMMYFUNCTION("""COMPUTED_VALUE"""),"GS Foundation Course")</f>
        <v>GS Foundation Course</v>
      </c>
      <c r="S522" s="124">
        <f>IFERROR(__xludf.DUMMYFUNCTION("""COMPUTED_VALUE"""),7.697874912E9)</f>
        <v>7697874912</v>
      </c>
      <c r="T522" s="124" t="str">
        <f>IFERROR(__xludf.DUMMYFUNCTION("""COMPUTED_VALUE"""),"Not Available")</f>
        <v>Not Available</v>
      </c>
      <c r="U522" s="124" t="str">
        <f>IFERROR(__xludf.DUMMYFUNCTION("""COMPUTED_VALUE"""),"Not Available")</f>
        <v>Not Available</v>
      </c>
      <c r="V522" s="124" t="str">
        <f>IFERROR(__xludf.DUMMYFUNCTION("""COMPUTED_VALUE"""),"Not Available")</f>
        <v>Not Available</v>
      </c>
      <c r="W522" s="124" t="str">
        <f>IFERROR(__xludf.DUMMYFUNCTION("""COMPUTED_VALUE"""),"Not Available")</f>
        <v>Not Available</v>
      </c>
    </row>
    <row r="523">
      <c r="A523" s="124" t="str">
        <f t="shared" si="1"/>
        <v>yashrajs9700@gmail.com</v>
      </c>
      <c r="B523" s="131">
        <f>IFERROR(__xludf.DUMMYFUNCTION("""COMPUTED_VALUE"""),46100.0)</f>
        <v>46100</v>
      </c>
      <c r="C523" s="124" t="str">
        <f>IFERROR(__xludf.DUMMYFUNCTION("""COMPUTED_VALUE"""),"Payment data from Collexo")</f>
        <v>Payment data from Collexo</v>
      </c>
      <c r="D523" s="124" t="str">
        <f>IFERROR(__xludf.DUMMYFUNCTION("""COMPUTED_VALUE"""),"Not Available")</f>
        <v>Not Available</v>
      </c>
      <c r="E523" s="124">
        <f>IFERROR(__xludf.DUMMYFUNCTION("""COMPUTED_VALUE"""),1500609.0)</f>
        <v>1500609</v>
      </c>
      <c r="F523" s="124" t="str">
        <f>IFERROR(__xludf.DUMMYFUNCTION("""COMPUTED_VALUE"""),"15316_988_7")</f>
        <v>15316_988_7</v>
      </c>
      <c r="G523" s="124">
        <f>IFERROR(__xludf.DUMMYFUNCTION("""COMPUTED_VALUE"""),1.0)</f>
        <v>1</v>
      </c>
      <c r="H523" s="124" t="str">
        <f>IFERROR(__xludf.DUMMYFUNCTION("""COMPUTED_VALUE"""),"Not Available")</f>
        <v>Not Available</v>
      </c>
      <c r="I523" s="124">
        <f>IFERROR(__xludf.DUMMYFUNCTION("""COMPUTED_VALUE"""),0.0)</f>
        <v>0</v>
      </c>
      <c r="J523" s="124">
        <f>IFERROR(__xludf.DUMMYFUNCTION("""COMPUTED_VALUE"""),1.0)</f>
        <v>1</v>
      </c>
      <c r="K523" s="124">
        <f>IFERROR(__xludf.DUMMYFUNCTION("""COMPUTED_VALUE"""),1.0)</f>
        <v>1</v>
      </c>
      <c r="L523" s="124">
        <f>IFERROR(__xludf.DUMMYFUNCTION("""COMPUTED_VALUE"""),621.0)</f>
        <v>621</v>
      </c>
      <c r="M523" s="124" t="str">
        <f>IFERROR(__xludf.DUMMYFUNCTION("""COMPUTED_VALUE"""),"New Delhi")</f>
        <v>New Delhi</v>
      </c>
      <c r="N523" s="124" t="str">
        <f>IFERROR(__xludf.DUMMYFUNCTION("""COMPUTED_VALUE"""),"yashrajs9700@gmail.com")</f>
        <v>yashrajs9700@gmail.com</v>
      </c>
      <c r="O523" s="124" t="str">
        <f>IFERROR(__xludf.DUMMYFUNCTION("""COMPUTED_VALUE"""),"yash Siriya")</f>
        <v>yash Siriya</v>
      </c>
      <c r="P523" s="124">
        <f>IFERROR(__xludf.DUMMYFUNCTION("""COMPUTED_VALUE"""),28816.0)</f>
        <v>28816</v>
      </c>
      <c r="Q523" s="124" t="str">
        <f>IFERROR(__xludf.DUMMYFUNCTION("""COMPUTED_VALUE"""),"upsc-gs-foundation-hinglish-target-2028-gsf-upsc-e05-orn")</f>
        <v>upsc-gs-foundation-hinglish-target-2028-gsf-upsc-e05-orn</v>
      </c>
      <c r="R523" s="124" t="str">
        <f>IFERROR(__xludf.DUMMYFUNCTION("""COMPUTED_VALUE"""),"GS Foundation Course")</f>
        <v>GS Foundation Course</v>
      </c>
      <c r="S523" s="124">
        <f>IFERROR(__xludf.DUMMYFUNCTION("""COMPUTED_VALUE"""),7.024125255E9)</f>
        <v>7024125255</v>
      </c>
      <c r="T523" s="124" t="str">
        <f>IFERROR(__xludf.DUMMYFUNCTION("""COMPUTED_VALUE"""),"Collexo")</f>
        <v>Collexo</v>
      </c>
      <c r="U523" s="124" t="str">
        <f>IFERROR(__xludf.DUMMYFUNCTION("""COMPUTED_VALUE"""),"Success")</f>
        <v>Success</v>
      </c>
      <c r="V523" s="131">
        <f>IFERROR(__xludf.DUMMYFUNCTION("""COMPUTED_VALUE"""),46100.0)</f>
        <v>46100</v>
      </c>
      <c r="W523" s="124">
        <f>IFERROR(__xludf.DUMMYFUNCTION("""COMPUTED_VALUE"""),0.0)</f>
        <v>0</v>
      </c>
    </row>
    <row r="524">
      <c r="A524" s="124" t="str">
        <f t="shared" si="1"/>
        <v>nehayv.4888@gmail.com</v>
      </c>
      <c r="B524" s="131">
        <f>IFERROR(__xludf.DUMMYFUNCTION("""COMPUTED_VALUE"""),46074.0)</f>
        <v>46074</v>
      </c>
      <c r="C524" s="124" t="str">
        <f>IFERROR(__xludf.DUMMYFUNCTION("""COMPUTED_VALUE"""),"Payment data from Collexo")</f>
        <v>Payment data from Collexo</v>
      </c>
      <c r="D524" s="124" t="str">
        <f>IFERROR(__xludf.DUMMYFUNCTION("""COMPUTED_VALUE"""),"Not Available")</f>
        <v>Not Available</v>
      </c>
      <c r="E524" s="124">
        <f>IFERROR(__xludf.DUMMYFUNCTION("""COMPUTED_VALUE"""),1500612.0)</f>
        <v>1500612</v>
      </c>
      <c r="F524" s="124">
        <f>IFERROR(__xludf.DUMMYFUNCTION("""COMPUTED_VALUE"""),124163.0)</f>
        <v>124163</v>
      </c>
      <c r="G524" s="124">
        <f>IFERROR(__xludf.DUMMYFUNCTION("""COMPUTED_VALUE"""),95000.0)</f>
        <v>95000</v>
      </c>
      <c r="H524" s="124" t="str">
        <f>IFERROR(__xludf.DUMMYFUNCTION("""COMPUTED_VALUE"""),"Not Available")</f>
        <v>Not Available</v>
      </c>
      <c r="I524" s="124">
        <f>IFERROR(__xludf.DUMMYFUNCTION("""COMPUTED_VALUE"""),0.0)</f>
        <v>0</v>
      </c>
      <c r="J524" s="124">
        <f>IFERROR(__xludf.DUMMYFUNCTION("""COMPUTED_VALUE"""),100000.0)</f>
        <v>100000</v>
      </c>
      <c r="K524" s="124">
        <f>IFERROR(__xludf.DUMMYFUNCTION("""COMPUTED_VALUE"""),2.0)</f>
        <v>2</v>
      </c>
      <c r="L524" s="124">
        <f>IFERROR(__xludf.DUMMYFUNCTION("""COMPUTED_VALUE"""),294.0)</f>
        <v>294</v>
      </c>
      <c r="M524" s="124" t="str">
        <f>IFERROR(__xludf.DUMMYFUNCTION("""COMPUTED_VALUE"""),"Indore")</f>
        <v>Indore</v>
      </c>
      <c r="N524" s="124" t="str">
        <f>IFERROR(__xludf.DUMMYFUNCTION("""COMPUTED_VALUE"""),"nehayv.4888@gmail.com")</f>
        <v>nehayv.4888@gmail.com</v>
      </c>
      <c r="O524" s="124" t="str">
        <f>IFERROR(__xludf.DUMMYFUNCTION("""COMPUTED_VALUE"""),"Neha Yadav")</f>
        <v>Neha Yadav</v>
      </c>
      <c r="P524" s="124">
        <f>IFERROR(__xludf.DUMMYFUNCTION("""COMPUTED_VALUE"""),124163.0)</f>
        <v>124163</v>
      </c>
      <c r="Q524" s="124" t="str">
        <f>IFERROR(__xludf.DUMMYFUNCTION("""COMPUTED_VALUE"""),"upsc-gs-foundation-hinglish-target-2028-gsf-upsc-m01-ind")</f>
        <v>upsc-gs-foundation-hinglish-target-2028-gsf-upsc-m01-ind</v>
      </c>
      <c r="R524" s="124" t="str">
        <f>IFERROR(__xludf.DUMMYFUNCTION("""COMPUTED_VALUE"""),"GS Foundation Course")</f>
        <v>GS Foundation Course</v>
      </c>
      <c r="S524" s="124">
        <f>IFERROR(__xludf.DUMMYFUNCTION("""COMPUTED_VALUE"""),9.203848288E9)</f>
        <v>9203848288</v>
      </c>
      <c r="T524" s="124" t="str">
        <f>IFERROR(__xludf.DUMMYFUNCTION("""COMPUTED_VALUE"""),"Not Available")</f>
        <v>Not Available</v>
      </c>
      <c r="U524" s="124" t="str">
        <f>IFERROR(__xludf.DUMMYFUNCTION("""COMPUTED_VALUE"""),"Not Available")</f>
        <v>Not Available</v>
      </c>
      <c r="V524" s="124" t="str">
        <f>IFERROR(__xludf.DUMMYFUNCTION("""COMPUTED_VALUE"""),"Not Available")</f>
        <v>Not Available</v>
      </c>
      <c r="W524" s="124" t="str">
        <f>IFERROR(__xludf.DUMMYFUNCTION("""COMPUTED_VALUE"""),"Not Available")</f>
        <v>Not Available</v>
      </c>
    </row>
    <row r="525">
      <c r="A525" s="124" t="str">
        <f t="shared" si="1"/>
        <v>armankujur987@gmail.com</v>
      </c>
      <c r="B525" s="131">
        <f>IFERROR(__xludf.DUMMYFUNCTION("""COMPUTED_VALUE"""),46106.0)</f>
        <v>46106</v>
      </c>
      <c r="C525" s="124" t="str">
        <f>IFERROR(__xludf.DUMMYFUNCTION("""COMPUTED_VALUE"""),"Payment data from Collexo")</f>
        <v>Payment data from Collexo</v>
      </c>
      <c r="D525" s="124" t="str">
        <f>IFERROR(__xludf.DUMMYFUNCTION("""COMPUTED_VALUE"""),"Not Available")</f>
        <v>Not Available</v>
      </c>
      <c r="E525" s="124">
        <f>IFERROR(__xludf.DUMMYFUNCTION("""COMPUTED_VALUE"""),1500609.0)</f>
        <v>1500609</v>
      </c>
      <c r="F525" s="124" t="str">
        <f>IFERROR(__xludf.DUMMYFUNCTION("""COMPUTED_VALUE"""),"16457_988_7")</f>
        <v>16457_988_7</v>
      </c>
      <c r="G525" s="124">
        <f>IFERROR(__xludf.DUMMYFUNCTION("""COMPUTED_VALUE"""),2000.0)</f>
        <v>2000</v>
      </c>
      <c r="H525" s="131">
        <f>IFERROR(__xludf.DUMMYFUNCTION("""COMPUTED_VALUE"""),46112.0)</f>
        <v>46112</v>
      </c>
      <c r="I525" s="124">
        <f>IFERROR(__xludf.DUMMYFUNCTION("""COMPUTED_VALUE"""),148000.0)</f>
        <v>148000</v>
      </c>
      <c r="J525" s="124">
        <f>IFERROR(__xludf.DUMMYFUNCTION("""COMPUTED_VALUE"""),150000.0)</f>
        <v>150000</v>
      </c>
      <c r="K525" s="124">
        <f>IFERROR(__xludf.DUMMYFUNCTION("""COMPUTED_VALUE"""),2.0)</f>
        <v>2</v>
      </c>
      <c r="L525" s="124">
        <f>IFERROR(__xludf.DUMMYFUNCTION("""COMPUTED_VALUE"""),719.0)</f>
        <v>719</v>
      </c>
      <c r="M525" s="124" t="str">
        <f>IFERROR(__xludf.DUMMYFUNCTION("""COMPUTED_VALUE"""),"New Delhi")</f>
        <v>New Delhi</v>
      </c>
      <c r="N525" s="124" t="str">
        <f>IFERROR(__xludf.DUMMYFUNCTION("""COMPUTED_VALUE"""),"armankujur987@gmail.com")</f>
        <v>armankujur987@gmail.com</v>
      </c>
      <c r="O525" s="124" t="str">
        <f>IFERROR(__xludf.DUMMYFUNCTION("""COMPUTED_VALUE"""),"Arman kujur")</f>
        <v>Arman kujur</v>
      </c>
      <c r="P525" s="124">
        <f>IFERROR(__xludf.DUMMYFUNCTION("""COMPUTED_VALUE"""),133103.0)</f>
        <v>133103</v>
      </c>
      <c r="Q525" s="124" t="str">
        <f>IFERROR(__xludf.DUMMYFUNCTION("""COMPUTED_VALUE"""),"upsc-gs-foundation-hinglish-target-2028-gsf-upsc-e04-orn")</f>
        <v>upsc-gs-foundation-hinglish-target-2028-gsf-upsc-e04-orn</v>
      </c>
      <c r="R525" s="124" t="str">
        <f>IFERROR(__xludf.DUMMYFUNCTION("""COMPUTED_VALUE"""),"GS Foundation Course")</f>
        <v>GS Foundation Course</v>
      </c>
      <c r="S525" s="124">
        <f>IFERROR(__xludf.DUMMYFUNCTION("""COMPUTED_VALUE"""),8.653960948E9)</f>
        <v>8653960948</v>
      </c>
      <c r="T525" s="124" t="str">
        <f>IFERROR(__xludf.DUMMYFUNCTION("""COMPUTED_VALUE"""),"Collexo")</f>
        <v>Collexo</v>
      </c>
      <c r="U525" s="124" t="str">
        <f>IFERROR(__xludf.DUMMYFUNCTION("""COMPUTED_VALUE"""),"Success")</f>
        <v>Success</v>
      </c>
      <c r="V525" s="131">
        <f>IFERROR(__xludf.DUMMYFUNCTION("""COMPUTED_VALUE"""),46106.0)</f>
        <v>46106</v>
      </c>
      <c r="W525" s="124">
        <f>IFERROR(__xludf.DUMMYFUNCTION("""COMPUTED_VALUE"""),0.0)</f>
        <v>0</v>
      </c>
    </row>
    <row r="526">
      <c r="A526" s="124" t="str">
        <f t="shared" si="1"/>
        <v>aradhyaagrawal79872@gmail.com</v>
      </c>
      <c r="B526" s="131">
        <f>IFERROR(__xludf.DUMMYFUNCTION("""COMPUTED_VALUE"""),46106.0)</f>
        <v>46106</v>
      </c>
      <c r="C526" s="124" t="str">
        <f>IFERROR(__xludf.DUMMYFUNCTION("""COMPUTED_VALUE"""),"Payment data from Collexo")</f>
        <v>Payment data from Collexo</v>
      </c>
      <c r="D526" s="124" t="str">
        <f>IFERROR(__xludf.DUMMYFUNCTION("""COMPUTED_VALUE"""),"Not Available")</f>
        <v>Not Available</v>
      </c>
      <c r="E526" s="124">
        <f>IFERROR(__xludf.DUMMYFUNCTION("""COMPUTED_VALUE"""),1500610.0)</f>
        <v>1500610</v>
      </c>
      <c r="F526" s="124">
        <f>IFERROR(__xludf.DUMMYFUNCTION("""COMPUTED_VALUE"""),127632.0)</f>
        <v>127632</v>
      </c>
      <c r="G526" s="124">
        <f>IFERROR(__xludf.DUMMYFUNCTION("""COMPUTED_VALUE"""),46056.0)</f>
        <v>46056</v>
      </c>
      <c r="H526" s="124" t="str">
        <f>IFERROR(__xludf.DUMMYFUNCTION("""COMPUTED_VALUE"""),"Not Available")</f>
        <v>Not Available</v>
      </c>
      <c r="I526" s="124">
        <f>IFERROR(__xludf.DUMMYFUNCTION("""COMPUTED_VALUE"""),0.0)</f>
        <v>0</v>
      </c>
      <c r="J526" s="124">
        <f>IFERROR(__xludf.DUMMYFUNCTION("""COMPUTED_VALUE"""),55000.0)</f>
        <v>55000</v>
      </c>
      <c r="K526" s="124">
        <f>IFERROR(__xludf.DUMMYFUNCTION("""COMPUTED_VALUE"""),3.0)</f>
        <v>3</v>
      </c>
      <c r="L526" s="124">
        <f>IFERROR(__xludf.DUMMYFUNCTION("""COMPUTED_VALUE"""),752.0)</f>
        <v>752</v>
      </c>
      <c r="M526" s="124" t="str">
        <f>IFERROR(__xludf.DUMMYFUNCTION("""COMPUTED_VALUE"""),"Lucknow")</f>
        <v>Lucknow</v>
      </c>
      <c r="N526" s="124" t="str">
        <f>IFERROR(__xludf.DUMMYFUNCTION("""COMPUTED_VALUE"""),"aradhyaagrawal79872@gmail.com")</f>
        <v>aradhyaagrawal79872@gmail.com</v>
      </c>
      <c r="O526" s="124" t="str">
        <f>IFERROR(__xludf.DUMMYFUNCTION("""COMPUTED_VALUE"""),"Aradhya Agarwal")</f>
        <v>Aradhya Agarwal</v>
      </c>
      <c r="P526" s="124">
        <f>IFERROR(__xludf.DUMMYFUNCTION("""COMPUTED_VALUE"""),127632.0)</f>
        <v>127632</v>
      </c>
      <c r="Q526" s="124" t="str">
        <f>IFERROR(__xludf.DUMMYFUNCTION("""COMPUTED_VALUE"""),"Not Available")</f>
        <v>Not Available</v>
      </c>
      <c r="R526" s="124" t="str">
        <f>IFERROR(__xludf.DUMMYFUNCTION("""COMPUTED_VALUE"""),"GS Foundation Course")</f>
        <v>GS Foundation Course</v>
      </c>
      <c r="S526" s="124">
        <f>IFERROR(__xludf.DUMMYFUNCTION("""COMPUTED_VALUE"""),8.318484017E9)</f>
        <v>8318484017</v>
      </c>
      <c r="T526" s="124" t="str">
        <f>IFERROR(__xludf.DUMMYFUNCTION("""COMPUTED_VALUE"""),"Not Available")</f>
        <v>Not Available</v>
      </c>
      <c r="U526" s="124" t="str">
        <f>IFERROR(__xludf.DUMMYFUNCTION("""COMPUTED_VALUE"""),"Not Available")</f>
        <v>Not Available</v>
      </c>
      <c r="V526" s="124" t="str">
        <f>IFERROR(__xludf.DUMMYFUNCTION("""COMPUTED_VALUE"""),"Not Available")</f>
        <v>Not Available</v>
      </c>
      <c r="W526" s="124" t="str">
        <f>IFERROR(__xludf.DUMMYFUNCTION("""COMPUTED_VALUE"""),"Not Available")</f>
        <v>Not Available</v>
      </c>
    </row>
    <row r="527">
      <c r="A527" s="124" t="str">
        <f t="shared" si="1"/>
        <v>swarnaavula2@gmail.com</v>
      </c>
      <c r="B527" s="131">
        <f>IFERROR(__xludf.DUMMYFUNCTION("""COMPUTED_VALUE"""),46079.0)</f>
        <v>46079</v>
      </c>
      <c r="C527" s="124" t="str">
        <f>IFERROR(__xludf.DUMMYFUNCTION("""COMPUTED_VALUE"""),"Payment data from Collexo")</f>
        <v>Payment data from Collexo</v>
      </c>
      <c r="D527" s="124" t="str">
        <f>IFERROR(__xludf.DUMMYFUNCTION("""COMPUTED_VALUE"""),"Not Available")</f>
        <v>Not Available</v>
      </c>
      <c r="E527" s="124">
        <f>IFERROR(__xludf.DUMMYFUNCTION("""COMPUTED_VALUE"""),1500609.0)</f>
        <v>1500609</v>
      </c>
      <c r="F527" s="124" t="str">
        <f>IFERROR(__xludf.DUMMYFUNCTION("""COMPUTED_VALUE"""),"11199_988_7")</f>
        <v>11199_988_7</v>
      </c>
      <c r="G527" s="124">
        <f>IFERROR(__xludf.DUMMYFUNCTION("""COMPUTED_VALUE"""),1.0)</f>
        <v>1</v>
      </c>
      <c r="H527" s="124" t="str">
        <f>IFERROR(__xludf.DUMMYFUNCTION("""COMPUTED_VALUE"""),"Not Available")</f>
        <v>Not Available</v>
      </c>
      <c r="I527" s="124">
        <f>IFERROR(__xludf.DUMMYFUNCTION("""COMPUTED_VALUE"""),0.0)</f>
        <v>0</v>
      </c>
      <c r="J527" s="124">
        <f>IFERROR(__xludf.DUMMYFUNCTION("""COMPUTED_VALUE"""),1.0)</f>
        <v>1</v>
      </c>
      <c r="K527" s="124">
        <f>IFERROR(__xludf.DUMMYFUNCTION("""COMPUTED_VALUE"""),1.0)</f>
        <v>1</v>
      </c>
      <c r="L527" s="124">
        <f>IFERROR(__xludf.DUMMYFUNCTION("""COMPUTED_VALUE"""),347.0)</f>
        <v>347</v>
      </c>
      <c r="M527" s="124" t="str">
        <f>IFERROR(__xludf.DUMMYFUNCTION("""COMPUTED_VALUE"""),"New Delhi")</f>
        <v>New Delhi</v>
      </c>
      <c r="N527" s="124" t="str">
        <f>IFERROR(__xludf.DUMMYFUNCTION("""COMPUTED_VALUE"""),"swarnaavula2@gmail.com")</f>
        <v>swarnaavula2@gmail.com</v>
      </c>
      <c r="O527" s="124" t="str">
        <f>IFERROR(__xludf.DUMMYFUNCTION("""COMPUTED_VALUE"""),"Swarna Kumari")</f>
        <v>Swarna Kumari</v>
      </c>
      <c r="P527" s="124">
        <f>IFERROR(__xludf.DUMMYFUNCTION("""COMPUTED_VALUE"""),121594.0)</f>
        <v>121594</v>
      </c>
      <c r="Q527" s="124" t="str">
        <f>IFERROR(__xludf.DUMMYFUNCTION("""COMPUTED_VALUE"""),"Not Available")</f>
        <v>Not Available</v>
      </c>
      <c r="R527" s="124" t="str">
        <f>IFERROR(__xludf.DUMMYFUNCTION("""COMPUTED_VALUE"""),"GS Foundation Course")</f>
        <v>GS Foundation Course</v>
      </c>
      <c r="S527" s="124">
        <f>IFERROR(__xludf.DUMMYFUNCTION("""COMPUTED_VALUE"""),7.569056642E9)</f>
        <v>7569056642</v>
      </c>
      <c r="T527" s="124" t="str">
        <f>IFERROR(__xludf.DUMMYFUNCTION("""COMPUTED_VALUE"""),"Collexo")</f>
        <v>Collexo</v>
      </c>
      <c r="U527" s="124" t="str">
        <f>IFERROR(__xludf.DUMMYFUNCTION("""COMPUTED_VALUE"""),"Success")</f>
        <v>Success</v>
      </c>
      <c r="V527" s="131">
        <f>IFERROR(__xludf.DUMMYFUNCTION("""COMPUTED_VALUE"""),46079.0)</f>
        <v>46079</v>
      </c>
      <c r="W527" s="124">
        <f>IFERROR(__xludf.DUMMYFUNCTION("""COMPUTED_VALUE"""),0.0)</f>
        <v>0</v>
      </c>
    </row>
    <row r="528">
      <c r="A528" s="124" t="str">
        <f t="shared" si="1"/>
        <v>bhalseayush777@gmail.com</v>
      </c>
      <c r="B528" s="131">
        <f>IFERROR(__xludf.DUMMYFUNCTION("""COMPUTED_VALUE"""),46070.0)</f>
        <v>46070</v>
      </c>
      <c r="C528" s="124" t="str">
        <f>IFERROR(__xludf.DUMMYFUNCTION("""COMPUTED_VALUE"""),"Payment data from Collexo")</f>
        <v>Payment data from Collexo</v>
      </c>
      <c r="D528" s="124" t="str">
        <f>IFERROR(__xludf.DUMMYFUNCTION("""COMPUTED_VALUE"""),"Not Available")</f>
        <v>Not Available</v>
      </c>
      <c r="E528" s="124">
        <f>IFERROR(__xludf.DUMMYFUNCTION("""COMPUTED_VALUE"""),1500612.0)</f>
        <v>1500612</v>
      </c>
      <c r="F528" s="124">
        <f>IFERROR(__xludf.DUMMYFUNCTION("""COMPUTED_VALUE"""),122781.0)</f>
        <v>122781</v>
      </c>
      <c r="G528" s="124">
        <f>IFERROR(__xludf.DUMMYFUNCTION("""COMPUTED_VALUE"""),39000.0)</f>
        <v>39000</v>
      </c>
      <c r="H528" s="124" t="str">
        <f>IFERROR(__xludf.DUMMYFUNCTION("""COMPUTED_VALUE"""),"Not Available")</f>
        <v>Not Available</v>
      </c>
      <c r="I528" s="124">
        <f>IFERROR(__xludf.DUMMYFUNCTION("""COMPUTED_VALUE"""),0.0)</f>
        <v>0</v>
      </c>
      <c r="J528" s="124">
        <f>IFERROR(__xludf.DUMMYFUNCTION("""COMPUTED_VALUE"""),40000.0)</f>
        <v>40000</v>
      </c>
      <c r="K528" s="124">
        <f>IFERROR(__xludf.DUMMYFUNCTION("""COMPUTED_VALUE"""),2.0)</f>
        <v>2</v>
      </c>
      <c r="L528" s="124">
        <f>IFERROR(__xludf.DUMMYFUNCTION("""COMPUTED_VALUE"""),241.0)</f>
        <v>241</v>
      </c>
      <c r="M528" s="124" t="str">
        <f>IFERROR(__xludf.DUMMYFUNCTION("""COMPUTED_VALUE"""),"Indore")</f>
        <v>Indore</v>
      </c>
      <c r="N528" s="124" t="str">
        <f>IFERROR(__xludf.DUMMYFUNCTION("""COMPUTED_VALUE"""),"bhalseayush777@gmail.com")</f>
        <v>bhalseayush777@gmail.com</v>
      </c>
      <c r="O528" s="124" t="str">
        <f>IFERROR(__xludf.DUMMYFUNCTION("""COMPUTED_VALUE"""),"Aayush bhalse")</f>
        <v>Aayush bhalse</v>
      </c>
      <c r="P528" s="124">
        <f>IFERROR(__xludf.DUMMYFUNCTION("""COMPUTED_VALUE"""),122781.0)</f>
        <v>122781</v>
      </c>
      <c r="Q528" s="124" t="str">
        <f>IFERROR(__xludf.DUMMYFUNCTION("""COMPUTED_VALUE"""),"mppsc-gs-foundation-hinglish-target-2027-gsf-mppsc-e02-ind")</f>
        <v>mppsc-gs-foundation-hinglish-target-2027-gsf-mppsc-e02-ind</v>
      </c>
      <c r="R528" s="124" t="str">
        <f>IFERROR(__xludf.DUMMYFUNCTION("""COMPUTED_VALUE"""),"State PCS")</f>
        <v>State PCS</v>
      </c>
      <c r="S528" s="124">
        <f>IFERROR(__xludf.DUMMYFUNCTION("""COMPUTED_VALUE"""),9.617487982E9)</f>
        <v>9617487982</v>
      </c>
      <c r="T528" s="124" t="str">
        <f>IFERROR(__xludf.DUMMYFUNCTION("""COMPUTED_VALUE"""),"Not Available")</f>
        <v>Not Available</v>
      </c>
      <c r="U528" s="124" t="str">
        <f>IFERROR(__xludf.DUMMYFUNCTION("""COMPUTED_VALUE"""),"Not Available")</f>
        <v>Not Available</v>
      </c>
      <c r="V528" s="124" t="str">
        <f>IFERROR(__xludf.DUMMYFUNCTION("""COMPUTED_VALUE"""),"Not Available")</f>
        <v>Not Available</v>
      </c>
      <c r="W528" s="124" t="str">
        <f>IFERROR(__xludf.DUMMYFUNCTION("""COMPUTED_VALUE"""),"Not Available")</f>
        <v>Not Available</v>
      </c>
    </row>
    <row r="529">
      <c r="A529" s="124" t="str">
        <f t="shared" si="1"/>
        <v>shreyakushwaha0105@gmail.com</v>
      </c>
      <c r="B529" s="131">
        <f>IFERROR(__xludf.DUMMYFUNCTION("""COMPUTED_VALUE"""),46103.0)</f>
        <v>46103</v>
      </c>
      <c r="C529" s="124" t="str">
        <f>IFERROR(__xludf.DUMMYFUNCTION("""COMPUTED_VALUE"""),"Payment data from Collexo")</f>
        <v>Payment data from Collexo</v>
      </c>
      <c r="D529" s="124" t="str">
        <f>IFERROR(__xludf.DUMMYFUNCTION("""COMPUTED_VALUE"""),"Not Available")</f>
        <v>Not Available</v>
      </c>
      <c r="E529" s="124">
        <f>IFERROR(__xludf.DUMMYFUNCTION("""COMPUTED_VALUE"""),1500613.0)</f>
        <v>1500613</v>
      </c>
      <c r="F529" s="124">
        <f>IFERROR(__xludf.DUMMYFUNCTION("""COMPUTED_VALUE"""),129598.0)</f>
        <v>129598</v>
      </c>
      <c r="G529" s="124">
        <f>IFERROR(__xludf.DUMMYFUNCTION("""COMPUTED_VALUE"""),20000.0)</f>
        <v>20000</v>
      </c>
      <c r="H529" s="124" t="str">
        <f>IFERROR(__xludf.DUMMYFUNCTION("""COMPUTED_VALUE"""),"Not Available")</f>
        <v>Not Available</v>
      </c>
      <c r="I529" s="124">
        <f>IFERROR(__xludf.DUMMYFUNCTION("""COMPUTED_VALUE"""),0.0)</f>
        <v>0</v>
      </c>
      <c r="J529" s="124">
        <f>IFERROR(__xludf.DUMMYFUNCTION("""COMPUTED_VALUE"""),25000.0)</f>
        <v>25000</v>
      </c>
      <c r="K529" s="124">
        <f>IFERROR(__xludf.DUMMYFUNCTION("""COMPUTED_VALUE"""),2.0)</f>
        <v>2</v>
      </c>
      <c r="L529" s="124">
        <f>IFERROR(__xludf.DUMMYFUNCTION("""COMPUTED_VALUE"""),673.0)</f>
        <v>673</v>
      </c>
      <c r="M529" s="124" t="str">
        <f>IFERROR(__xludf.DUMMYFUNCTION("""COMPUTED_VALUE"""),"Prayagraj")</f>
        <v>Prayagraj</v>
      </c>
      <c r="N529" s="124" t="str">
        <f>IFERROR(__xludf.DUMMYFUNCTION("""COMPUTED_VALUE"""),"shreyakushwaha0105@gmail.com")</f>
        <v>shreyakushwaha0105@gmail.com</v>
      </c>
      <c r="O529" s="124" t="str">
        <f>IFERROR(__xludf.DUMMYFUNCTION("""COMPUTED_VALUE"""),"Shreya Kushwaha")</f>
        <v>Shreya Kushwaha</v>
      </c>
      <c r="P529" s="124">
        <f>IFERROR(__xludf.DUMMYFUNCTION("""COMPUTED_VALUE"""),129598.0)</f>
        <v>129598</v>
      </c>
      <c r="Q529" s="124" t="str">
        <f>IFERROR(__xludf.DUMMYFUNCTION("""COMPUTED_VALUE"""),"samadhan-mentorship-program-pry")</f>
        <v>samadhan-mentorship-program-pry</v>
      </c>
      <c r="R529" s="124" t="str">
        <f>IFERROR(__xludf.DUMMYFUNCTION("""COMPUTED_VALUE"""),"Mentorship - Samadhan")</f>
        <v>Mentorship - Samadhan</v>
      </c>
      <c r="S529" s="124">
        <f>IFERROR(__xludf.DUMMYFUNCTION("""COMPUTED_VALUE"""),7.905052194E9)</f>
        <v>7905052194</v>
      </c>
      <c r="T529" s="124" t="str">
        <f>IFERROR(__xludf.DUMMYFUNCTION("""COMPUTED_VALUE"""),"Not Available")</f>
        <v>Not Available</v>
      </c>
      <c r="U529" s="124" t="str">
        <f>IFERROR(__xludf.DUMMYFUNCTION("""COMPUTED_VALUE"""),"Not Available")</f>
        <v>Not Available</v>
      </c>
      <c r="V529" s="124" t="str">
        <f>IFERROR(__xludf.DUMMYFUNCTION("""COMPUTED_VALUE"""),"Not Available")</f>
        <v>Not Available</v>
      </c>
      <c r="W529" s="124" t="str">
        <f>IFERROR(__xludf.DUMMYFUNCTION("""COMPUTED_VALUE"""),"Not Available")</f>
        <v>Not Available</v>
      </c>
    </row>
    <row r="530">
      <c r="A530" s="124" t="str">
        <f t="shared" si="1"/>
        <v>shiki_mig25@gmail.com</v>
      </c>
      <c r="B530" s="131">
        <f>IFERROR(__xludf.DUMMYFUNCTION("""COMPUTED_VALUE"""),46076.0)</f>
        <v>46076</v>
      </c>
      <c r="C530" s="124" t="str">
        <f>IFERROR(__xludf.DUMMYFUNCTION("""COMPUTED_VALUE"""),"Payment data from Collexo")</f>
        <v>Payment data from Collexo</v>
      </c>
      <c r="D530" s="124" t="str">
        <f>IFERROR(__xludf.DUMMYFUNCTION("""COMPUTED_VALUE"""),"Not Available")</f>
        <v>Not Available</v>
      </c>
      <c r="E530" s="124">
        <f>IFERROR(__xludf.DUMMYFUNCTION("""COMPUTED_VALUE"""),1500609.0)</f>
        <v>1500609</v>
      </c>
      <c r="F530" s="124" t="str">
        <f>IFERROR(__xludf.DUMMYFUNCTION("""COMPUTED_VALUE"""),"9064_988_7")</f>
        <v>9064_988_7</v>
      </c>
      <c r="G530" s="124">
        <f>IFERROR(__xludf.DUMMYFUNCTION("""COMPUTED_VALUE"""),1.0)</f>
        <v>1</v>
      </c>
      <c r="H530" s="124" t="str">
        <f>IFERROR(__xludf.DUMMYFUNCTION("""COMPUTED_VALUE"""),"Not Available")</f>
        <v>Not Available</v>
      </c>
      <c r="I530" s="124">
        <f>IFERROR(__xludf.DUMMYFUNCTION("""COMPUTED_VALUE"""),0.0)</f>
        <v>0</v>
      </c>
      <c r="J530" s="124">
        <f>IFERROR(__xludf.DUMMYFUNCTION("""COMPUTED_VALUE"""),1.0)</f>
        <v>1</v>
      </c>
      <c r="K530" s="124">
        <f>IFERROR(__xludf.DUMMYFUNCTION("""COMPUTED_VALUE"""),1.0)</f>
        <v>1</v>
      </c>
      <c r="L530" s="124">
        <f>IFERROR(__xludf.DUMMYFUNCTION("""COMPUTED_VALUE"""),315.0)</f>
        <v>315</v>
      </c>
      <c r="M530" s="124" t="str">
        <f>IFERROR(__xludf.DUMMYFUNCTION("""COMPUTED_VALUE"""),"New Delhi")</f>
        <v>New Delhi</v>
      </c>
      <c r="N530" s="124" t="str">
        <f>IFERROR(__xludf.DUMMYFUNCTION("""COMPUTED_VALUE"""),"shiki_mig25@gmail.com")</f>
        <v>shiki_mig25@gmail.com</v>
      </c>
      <c r="O530" s="124" t="str">
        <f>IFERROR(__xludf.DUMMYFUNCTION("""COMPUTED_VALUE"""),"Shrikant")</f>
        <v>Shrikant</v>
      </c>
      <c r="P530" s="124">
        <f>IFERROR(__xludf.DUMMYFUNCTION("""COMPUTED_VALUE"""),81939.0)</f>
        <v>81939</v>
      </c>
      <c r="Q530" s="124" t="str">
        <f>IFERROR(__xludf.DUMMYFUNCTION("""COMPUTED_VALUE"""),"ncert-foundation-hinglish-target-2026-nce-upsc-e01-orn")</f>
        <v>ncert-foundation-hinglish-target-2026-nce-upsc-e01-orn</v>
      </c>
      <c r="R530" s="124" t="str">
        <f>IFERROR(__xludf.DUMMYFUNCTION("""COMPUTED_VALUE"""),"GS Foundation Course")</f>
        <v>GS Foundation Course</v>
      </c>
      <c r="S530" s="124">
        <f>IFERROR(__xludf.DUMMYFUNCTION("""COMPUTED_VALUE"""),9.643355612E9)</f>
        <v>9643355612</v>
      </c>
      <c r="T530" s="124" t="str">
        <f>IFERROR(__xludf.DUMMYFUNCTION("""COMPUTED_VALUE"""),"Collexo")</f>
        <v>Collexo</v>
      </c>
      <c r="U530" s="124" t="str">
        <f>IFERROR(__xludf.DUMMYFUNCTION("""COMPUTED_VALUE"""),"Success")</f>
        <v>Success</v>
      </c>
      <c r="V530" s="131">
        <f>IFERROR(__xludf.DUMMYFUNCTION("""COMPUTED_VALUE"""),46076.0)</f>
        <v>46076</v>
      </c>
      <c r="W530" s="124">
        <f>IFERROR(__xludf.DUMMYFUNCTION("""COMPUTED_VALUE"""),0.0)</f>
        <v>0</v>
      </c>
    </row>
    <row r="531">
      <c r="A531" s="124" t="str">
        <f t="shared" si="1"/>
        <v>hansdaboy12@gmail.com</v>
      </c>
      <c r="B531" s="131">
        <f>IFERROR(__xludf.DUMMYFUNCTION("""COMPUTED_VALUE"""),46069.0)</f>
        <v>46069</v>
      </c>
      <c r="C531" s="124" t="str">
        <f>IFERROR(__xludf.DUMMYFUNCTION("""COMPUTED_VALUE"""),"Payment data from Collexo")</f>
        <v>Payment data from Collexo</v>
      </c>
      <c r="D531" s="124" t="str">
        <f>IFERROR(__xludf.DUMMYFUNCTION("""COMPUTED_VALUE"""),"Not Available")</f>
        <v>Not Available</v>
      </c>
      <c r="E531" s="124">
        <f>IFERROR(__xludf.DUMMYFUNCTION("""COMPUTED_VALUE"""),1500609.0)</f>
        <v>1500609</v>
      </c>
      <c r="F531" s="124" t="str">
        <f>IFERROR(__xludf.DUMMYFUNCTION("""COMPUTED_VALUE"""),"5452_988_7")</f>
        <v>5452_988_7</v>
      </c>
      <c r="G531" s="124">
        <f>IFERROR(__xludf.DUMMYFUNCTION("""COMPUTED_VALUE"""),25000.0)</f>
        <v>25000</v>
      </c>
      <c r="H531" s="131">
        <f>IFERROR(__xludf.DUMMYFUNCTION("""COMPUTED_VALUE"""),46070.0)</f>
        <v>46070</v>
      </c>
      <c r="I531" s="124">
        <f>IFERROR(__xludf.DUMMYFUNCTION("""COMPUTED_VALUE"""),3000.0)</f>
        <v>3000</v>
      </c>
      <c r="J531" s="124">
        <f>IFERROR(__xludf.DUMMYFUNCTION("""COMPUTED_VALUE"""),140000.0)</f>
        <v>140000</v>
      </c>
      <c r="K531" s="124">
        <f>IFERROR(__xludf.DUMMYFUNCTION("""COMPUTED_VALUE"""),3.0)</f>
        <v>3</v>
      </c>
      <c r="L531" s="124">
        <f>IFERROR(__xludf.DUMMYFUNCTION("""COMPUTED_VALUE"""),230.0)</f>
        <v>230</v>
      </c>
      <c r="M531" s="124" t="str">
        <f>IFERROR(__xludf.DUMMYFUNCTION("""COMPUTED_VALUE"""),"New Delhi")</f>
        <v>New Delhi</v>
      </c>
      <c r="N531" s="124" t="str">
        <f>IFERROR(__xludf.DUMMYFUNCTION("""COMPUTED_VALUE"""),"hansdaboy12@gmail.com")</f>
        <v>hansdaboy12@gmail.com</v>
      </c>
      <c r="O531" s="124" t="str">
        <f>IFERROR(__xludf.DUMMYFUNCTION("""COMPUTED_VALUE"""),"Akhir")</f>
        <v>Akhir</v>
      </c>
      <c r="P531" s="124">
        <f>IFERROR(__xludf.DUMMYFUNCTION("""COMPUTED_VALUE"""),123722.0)</f>
        <v>123722</v>
      </c>
      <c r="Q531" s="124" t="str">
        <f>IFERROR(__xludf.DUMMYFUNCTION("""COMPUTED_VALUE"""),"upsc-gs-foundation-hinglish-target-2028-gsf-upsc-m04-orn")</f>
        <v>upsc-gs-foundation-hinglish-target-2028-gsf-upsc-m04-orn</v>
      </c>
      <c r="R531" s="124" t="str">
        <f>IFERROR(__xludf.DUMMYFUNCTION("""COMPUTED_VALUE"""),"GS Foundation Course")</f>
        <v>GS Foundation Course</v>
      </c>
      <c r="S531" s="124">
        <f>IFERROR(__xludf.DUMMYFUNCTION("""COMPUTED_VALUE"""),8.609073477E9)</f>
        <v>8609073477</v>
      </c>
      <c r="T531" s="124" t="str">
        <f>IFERROR(__xludf.DUMMYFUNCTION("""COMPUTED_VALUE"""),"Collexo")</f>
        <v>Collexo</v>
      </c>
      <c r="U531" s="124" t="str">
        <f>IFERROR(__xludf.DUMMYFUNCTION("""COMPUTED_VALUE"""),"Success")</f>
        <v>Success</v>
      </c>
      <c r="V531" s="131">
        <f>IFERROR(__xludf.DUMMYFUNCTION("""COMPUTED_VALUE"""),46069.0)</f>
        <v>46069</v>
      </c>
      <c r="W531" s="124">
        <f>IFERROR(__xludf.DUMMYFUNCTION("""COMPUTED_VALUE"""),0.0)</f>
        <v>0</v>
      </c>
    </row>
    <row r="532">
      <c r="A532" s="124" t="str">
        <f t="shared" si="1"/>
        <v>neha1174622@gmail.com</v>
      </c>
      <c r="B532" s="131">
        <f>IFERROR(__xludf.DUMMYFUNCTION("""COMPUTED_VALUE"""),46112.0)</f>
        <v>46112</v>
      </c>
      <c r="C532" s="124" t="str">
        <f>IFERROR(__xludf.DUMMYFUNCTION("""COMPUTED_VALUE"""),"Payment data from Collexo")</f>
        <v>Payment data from Collexo</v>
      </c>
      <c r="D532" s="124" t="str">
        <f>IFERROR(__xludf.DUMMYFUNCTION("""COMPUTED_VALUE"""),"Not Available")</f>
        <v>Not Available</v>
      </c>
      <c r="E532" s="124">
        <f>IFERROR(__xludf.DUMMYFUNCTION("""COMPUTED_VALUE"""),1500612.0)</f>
        <v>1500612</v>
      </c>
      <c r="F532" s="124">
        <f>IFERROR(__xludf.DUMMYFUNCTION("""COMPUTED_VALUE"""),134669.0)</f>
        <v>134669</v>
      </c>
      <c r="G532" s="124">
        <f>IFERROR(__xludf.DUMMYFUNCTION("""COMPUTED_VALUE"""),20000.0)</f>
        <v>20000</v>
      </c>
      <c r="H532" s="124" t="str">
        <f>IFERROR(__xludf.DUMMYFUNCTION("""COMPUTED_VALUE"""),"Not Available")</f>
        <v>Not Available</v>
      </c>
      <c r="I532" s="124">
        <f>IFERROR(__xludf.DUMMYFUNCTION("""COMPUTED_VALUE"""),0.0)</f>
        <v>0</v>
      </c>
      <c r="J532" s="124">
        <f>IFERROR(__xludf.DUMMYFUNCTION("""COMPUTED_VALUE"""),50000.0)</f>
        <v>50000</v>
      </c>
      <c r="K532" s="124">
        <f>IFERROR(__xludf.DUMMYFUNCTION("""COMPUTED_VALUE"""),2.0)</f>
        <v>2</v>
      </c>
      <c r="L532" s="124">
        <f>IFERROR(__xludf.DUMMYFUNCTION("""COMPUTED_VALUE"""),878.0)</f>
        <v>878</v>
      </c>
      <c r="M532" s="124" t="str">
        <f>IFERROR(__xludf.DUMMYFUNCTION("""COMPUTED_VALUE"""),"Indore")</f>
        <v>Indore</v>
      </c>
      <c r="N532" s="124" t="str">
        <f>IFERROR(__xludf.DUMMYFUNCTION("""COMPUTED_VALUE"""),"neha1174622@gmail.com")</f>
        <v>neha1174622@gmail.com</v>
      </c>
      <c r="O532" s="124" t="str">
        <f>IFERROR(__xludf.DUMMYFUNCTION("""COMPUTED_VALUE"""),"Neha Singh")</f>
        <v>Neha Singh</v>
      </c>
      <c r="P532" s="124">
        <f>IFERROR(__xludf.DUMMYFUNCTION("""COMPUTED_VALUE"""),134669.0)</f>
        <v>134669</v>
      </c>
      <c r="Q532" s="124" t="str">
        <f>IFERROR(__xludf.DUMMYFUNCTION("""COMPUTED_VALUE"""),"mppsc-gs-foundation-hinglish-target-2027-gsf-mppsc-e02-ind")</f>
        <v>mppsc-gs-foundation-hinglish-target-2027-gsf-mppsc-e02-ind</v>
      </c>
      <c r="R532" s="124" t="str">
        <f>IFERROR(__xludf.DUMMYFUNCTION("""COMPUTED_VALUE"""),"State PCS")</f>
        <v>State PCS</v>
      </c>
      <c r="S532" s="124">
        <f>IFERROR(__xludf.DUMMYFUNCTION("""COMPUTED_VALUE"""),8.236844284E9)</f>
        <v>8236844284</v>
      </c>
      <c r="T532" s="124" t="str">
        <f>IFERROR(__xludf.DUMMYFUNCTION("""COMPUTED_VALUE"""),"Not Available")</f>
        <v>Not Available</v>
      </c>
      <c r="U532" s="124" t="str">
        <f>IFERROR(__xludf.DUMMYFUNCTION("""COMPUTED_VALUE"""),"Not Available")</f>
        <v>Not Available</v>
      </c>
      <c r="V532" s="124" t="str">
        <f>IFERROR(__xludf.DUMMYFUNCTION("""COMPUTED_VALUE"""),"Not Available")</f>
        <v>Not Available</v>
      </c>
      <c r="W532" s="124" t="str">
        <f>IFERROR(__xludf.DUMMYFUNCTION("""COMPUTED_VALUE"""),"Not Available")</f>
        <v>Not Available</v>
      </c>
    </row>
    <row r="533">
      <c r="A533" s="124" t="str">
        <f t="shared" si="1"/>
        <v>vivekkajla168@gmail.com</v>
      </c>
      <c r="B533" s="131">
        <f>IFERROR(__xludf.DUMMYFUNCTION("""COMPUTED_VALUE"""),46109.0)</f>
        <v>46109</v>
      </c>
      <c r="C533" s="124" t="str">
        <f>IFERROR(__xludf.DUMMYFUNCTION("""COMPUTED_VALUE"""),"Payment data from Collexo")</f>
        <v>Payment data from Collexo</v>
      </c>
      <c r="D533" s="124" t="str">
        <f>IFERROR(__xludf.DUMMYFUNCTION("""COMPUTED_VALUE"""),"Not Available")</f>
        <v>Not Available</v>
      </c>
      <c r="E533" s="124">
        <f>IFERROR(__xludf.DUMMYFUNCTION("""COMPUTED_VALUE"""),1500609.0)</f>
        <v>1500609</v>
      </c>
      <c r="F533" s="124" t="str">
        <f>IFERROR(__xludf.DUMMYFUNCTION("""COMPUTED_VALUE"""),"17164_988_7")</f>
        <v>17164_988_7</v>
      </c>
      <c r="G533" s="124">
        <f>IFERROR(__xludf.DUMMYFUNCTION("""COMPUTED_VALUE"""),30000.0)</f>
        <v>30000</v>
      </c>
      <c r="H533" s="131">
        <f>IFERROR(__xludf.DUMMYFUNCTION("""COMPUTED_VALUE"""),46112.0)</f>
        <v>46112</v>
      </c>
      <c r="I533" s="124">
        <f>IFERROR(__xludf.DUMMYFUNCTION("""COMPUTED_VALUE"""),60000.0)</f>
        <v>60000</v>
      </c>
      <c r="J533" s="124">
        <f>IFERROR(__xludf.DUMMYFUNCTION("""COMPUTED_VALUE"""),125000.0)</f>
        <v>125000</v>
      </c>
      <c r="K533" s="124">
        <f>IFERROR(__xludf.DUMMYFUNCTION("""COMPUTED_VALUE"""),4.0)</f>
        <v>4</v>
      </c>
      <c r="L533" s="124">
        <f>IFERROR(__xludf.DUMMYFUNCTION("""COMPUTED_VALUE"""),810.0)</f>
        <v>810</v>
      </c>
      <c r="M533" s="124" t="str">
        <f>IFERROR(__xludf.DUMMYFUNCTION("""COMPUTED_VALUE"""),"New Delhi")</f>
        <v>New Delhi</v>
      </c>
      <c r="N533" s="124" t="str">
        <f>IFERROR(__xludf.DUMMYFUNCTION("""COMPUTED_VALUE"""),"vivekkajla168@gmail.com")</f>
        <v>vivekkajla168@gmail.com</v>
      </c>
      <c r="O533" s="124" t="str">
        <f>IFERROR(__xludf.DUMMYFUNCTION("""COMPUTED_VALUE"""),"VIVEK KAJLA")</f>
        <v>VIVEK KAJLA</v>
      </c>
      <c r="P533" s="124">
        <f>IFERROR(__xludf.DUMMYFUNCTION("""COMPUTED_VALUE"""),133189.0)</f>
        <v>133189</v>
      </c>
      <c r="Q533" s="124" t="str">
        <f>IFERROR(__xludf.DUMMYFUNCTION("""COMPUTED_VALUE"""),"upsc-gs-foundation-hinglish-target-2028-gsf-upsc-m05-orn")</f>
        <v>upsc-gs-foundation-hinglish-target-2028-gsf-upsc-m05-orn</v>
      </c>
      <c r="R533" s="124" t="str">
        <f>IFERROR(__xludf.DUMMYFUNCTION("""COMPUTED_VALUE"""),"GS Foundation Course")</f>
        <v>GS Foundation Course</v>
      </c>
      <c r="S533" s="124">
        <f>IFERROR(__xludf.DUMMYFUNCTION("""COMPUTED_VALUE"""),9.351151508E9)</f>
        <v>9351151508</v>
      </c>
      <c r="T533" s="124" t="str">
        <f>IFERROR(__xludf.DUMMYFUNCTION("""COMPUTED_VALUE"""),"Collexo")</f>
        <v>Collexo</v>
      </c>
      <c r="U533" s="124" t="str">
        <f>IFERROR(__xludf.DUMMYFUNCTION("""COMPUTED_VALUE"""),"Success")</f>
        <v>Success</v>
      </c>
      <c r="V533" s="131">
        <f>IFERROR(__xludf.DUMMYFUNCTION("""COMPUTED_VALUE"""),46109.0)</f>
        <v>46109</v>
      </c>
      <c r="W533" s="124">
        <f>IFERROR(__xludf.DUMMYFUNCTION("""COMPUTED_VALUE"""),0.0)</f>
        <v>0</v>
      </c>
    </row>
    <row r="534">
      <c r="A534" s="124" t="str">
        <f t="shared" si="1"/>
        <v>23kartiksinghal@gmail.com</v>
      </c>
      <c r="B534" s="131">
        <f>IFERROR(__xludf.DUMMYFUNCTION("""COMPUTED_VALUE"""),46096.0)</f>
        <v>46096</v>
      </c>
      <c r="C534" s="124" t="str">
        <f>IFERROR(__xludf.DUMMYFUNCTION("""COMPUTED_VALUE"""),"Payment data from Collexo")</f>
        <v>Payment data from Collexo</v>
      </c>
      <c r="D534" s="124" t="str">
        <f>IFERROR(__xludf.DUMMYFUNCTION("""COMPUTED_VALUE"""),"Not Available")</f>
        <v>Not Available</v>
      </c>
      <c r="E534" s="124">
        <f>IFERROR(__xludf.DUMMYFUNCTION("""COMPUTED_VALUE"""),1500609.0)</f>
        <v>1500609</v>
      </c>
      <c r="F534" s="124" t="str">
        <f>IFERROR(__xludf.DUMMYFUNCTION("""COMPUTED_VALUE"""),"14442_988_7")</f>
        <v>14442_988_7</v>
      </c>
      <c r="G534" s="124">
        <f>IFERROR(__xludf.DUMMYFUNCTION("""COMPUTED_VALUE"""),1.0)</f>
        <v>1</v>
      </c>
      <c r="H534" s="124" t="str">
        <f>IFERROR(__xludf.DUMMYFUNCTION("""COMPUTED_VALUE"""),"Not Available")</f>
        <v>Not Available</v>
      </c>
      <c r="I534" s="124">
        <f>IFERROR(__xludf.DUMMYFUNCTION("""COMPUTED_VALUE"""),0.0)</f>
        <v>0</v>
      </c>
      <c r="J534" s="124">
        <f>IFERROR(__xludf.DUMMYFUNCTION("""COMPUTED_VALUE"""),1.0)</f>
        <v>1</v>
      </c>
      <c r="K534" s="124">
        <f>IFERROR(__xludf.DUMMYFUNCTION("""COMPUTED_VALUE"""),1.0)</f>
        <v>1</v>
      </c>
      <c r="L534" s="124">
        <f>IFERROR(__xludf.DUMMYFUNCTION("""COMPUTED_VALUE"""),555.0)</f>
        <v>555</v>
      </c>
      <c r="M534" s="124" t="str">
        <f>IFERROR(__xludf.DUMMYFUNCTION("""COMPUTED_VALUE"""),"New Delhi")</f>
        <v>New Delhi</v>
      </c>
      <c r="N534" s="124" t="str">
        <f>IFERROR(__xludf.DUMMYFUNCTION("""COMPUTED_VALUE"""),"23kartiksinghal@gmail.com")</f>
        <v>23kartiksinghal@gmail.com</v>
      </c>
      <c r="O534" s="124" t="str">
        <f>IFERROR(__xludf.DUMMYFUNCTION("""COMPUTED_VALUE"""),"Kartik Singh")</f>
        <v>Kartik Singh</v>
      </c>
      <c r="P534" s="124">
        <f>IFERROR(__xludf.DUMMYFUNCTION("""COMPUTED_VALUE"""),81903.0)</f>
        <v>81903</v>
      </c>
      <c r="Q534" s="124" t="str">
        <f>IFERROR(__xludf.DUMMYFUNCTION("""COMPUTED_VALUE"""),"upsc-gs-foundation-hinglish-target-2027-gsf-upsc-e03-orn")</f>
        <v>upsc-gs-foundation-hinglish-target-2027-gsf-upsc-e03-orn</v>
      </c>
      <c r="R534" s="124" t="str">
        <f>IFERROR(__xludf.DUMMYFUNCTION("""COMPUTED_VALUE"""),"GS Foundation Course")</f>
        <v>GS Foundation Course</v>
      </c>
      <c r="S534" s="124">
        <f>IFERROR(__xludf.DUMMYFUNCTION("""COMPUTED_VALUE"""),9.71108374E9)</f>
        <v>9711083740</v>
      </c>
      <c r="T534" s="124" t="str">
        <f>IFERROR(__xludf.DUMMYFUNCTION("""COMPUTED_VALUE"""),"Collexo")</f>
        <v>Collexo</v>
      </c>
      <c r="U534" s="124" t="str">
        <f>IFERROR(__xludf.DUMMYFUNCTION("""COMPUTED_VALUE"""),"Success")</f>
        <v>Success</v>
      </c>
      <c r="V534" s="131">
        <f>IFERROR(__xludf.DUMMYFUNCTION("""COMPUTED_VALUE"""),46096.0)</f>
        <v>46096</v>
      </c>
      <c r="W534" s="124">
        <f>IFERROR(__xludf.DUMMYFUNCTION("""COMPUTED_VALUE"""),0.0)</f>
        <v>0</v>
      </c>
    </row>
    <row r="535">
      <c r="A535" s="124" t="str">
        <f t="shared" si="1"/>
        <v>anshukuntal41@gmail.com</v>
      </c>
      <c r="B535" s="131">
        <f>IFERROR(__xludf.DUMMYFUNCTION("""COMPUTED_VALUE"""),46075.0)</f>
        <v>46075</v>
      </c>
      <c r="C535" s="124" t="str">
        <f>IFERROR(__xludf.DUMMYFUNCTION("""COMPUTED_VALUE"""),"Payment data from Collexo")</f>
        <v>Payment data from Collexo</v>
      </c>
      <c r="D535" s="124" t="str">
        <f>IFERROR(__xludf.DUMMYFUNCTION("""COMPUTED_VALUE"""),"Not Available")</f>
        <v>Not Available</v>
      </c>
      <c r="E535" s="124">
        <f>IFERROR(__xludf.DUMMYFUNCTION("""COMPUTED_VALUE"""),1500613.0)</f>
        <v>1500613</v>
      </c>
      <c r="F535" s="124">
        <f>IFERROR(__xludf.DUMMYFUNCTION("""COMPUTED_VALUE"""),123430.0)</f>
        <v>123430</v>
      </c>
      <c r="G535" s="124">
        <f>IFERROR(__xludf.DUMMYFUNCTION("""COMPUTED_VALUE"""),1000.0)</f>
        <v>1000</v>
      </c>
      <c r="H535" s="131">
        <f>IFERROR(__xludf.DUMMYFUNCTION("""COMPUTED_VALUE"""),46122.0)</f>
        <v>46122</v>
      </c>
      <c r="I535" s="124">
        <f>IFERROR(__xludf.DUMMYFUNCTION("""COMPUTED_VALUE"""),47478.0)</f>
        <v>47478</v>
      </c>
      <c r="J535" s="124">
        <f>IFERROR(__xludf.DUMMYFUNCTION("""COMPUTED_VALUE"""),50478.0)</f>
        <v>50478</v>
      </c>
      <c r="K535" s="124">
        <f>IFERROR(__xludf.DUMMYFUNCTION("""COMPUTED_VALUE"""),3.0)</f>
        <v>3</v>
      </c>
      <c r="L535" s="124">
        <f>IFERROR(__xludf.DUMMYFUNCTION("""COMPUTED_VALUE"""),301.0)</f>
        <v>301</v>
      </c>
      <c r="M535" s="124" t="str">
        <f>IFERROR(__xludf.DUMMYFUNCTION("""COMPUTED_VALUE"""),"Prayagraj")</f>
        <v>Prayagraj</v>
      </c>
      <c r="N535" s="124" t="str">
        <f>IFERROR(__xludf.DUMMYFUNCTION("""COMPUTED_VALUE"""),"anshukuntal41@gmail.com")</f>
        <v>anshukuntal41@gmail.com</v>
      </c>
      <c r="O535" s="124" t="str">
        <f>IFERROR(__xludf.DUMMYFUNCTION("""COMPUTED_VALUE"""),"Anshu")</f>
        <v>Anshu</v>
      </c>
      <c r="P535" s="124">
        <f>IFERROR(__xludf.DUMMYFUNCTION("""COMPUTED_VALUE"""),123430.0)</f>
        <v>123430</v>
      </c>
      <c r="Q535" s="124" t="str">
        <f>IFERROR(__xludf.DUMMYFUNCTION("""COMPUTED_VALUE"""),"super-100-gs-foundation-2026-p2i-offline-august-english-batch-pry")</f>
        <v>super-100-gs-foundation-2026-p2i-offline-august-english-batch-pry</v>
      </c>
      <c r="R535" s="124" t="str">
        <f>IFERROR(__xludf.DUMMYFUNCTION("""COMPUTED_VALUE"""),"GS Foundation Course")</f>
        <v>GS Foundation Course</v>
      </c>
      <c r="S535" s="124">
        <f>IFERROR(__xludf.DUMMYFUNCTION("""COMPUTED_VALUE"""),6.386802316E9)</f>
        <v>6386802316</v>
      </c>
      <c r="T535" s="124" t="str">
        <f>IFERROR(__xludf.DUMMYFUNCTION("""COMPUTED_VALUE"""),"Not Available")</f>
        <v>Not Available</v>
      </c>
      <c r="U535" s="124" t="str">
        <f>IFERROR(__xludf.DUMMYFUNCTION("""COMPUTED_VALUE"""),"Not Available")</f>
        <v>Not Available</v>
      </c>
      <c r="V535" s="124" t="str">
        <f>IFERROR(__xludf.DUMMYFUNCTION("""COMPUTED_VALUE"""),"Not Available")</f>
        <v>Not Available</v>
      </c>
      <c r="W535" s="124" t="str">
        <f>IFERROR(__xludf.DUMMYFUNCTION("""COMPUTED_VALUE"""),"Not Available")</f>
        <v>Not Available</v>
      </c>
    </row>
    <row r="536">
      <c r="A536" s="124" t="str">
        <f t="shared" si="1"/>
        <v>hansdaboy12@gmail.com</v>
      </c>
      <c r="B536" s="131">
        <f>IFERROR(__xludf.DUMMYFUNCTION("""COMPUTED_VALUE"""),46072.0)</f>
        <v>46072</v>
      </c>
      <c r="C536" s="124" t="str">
        <f>IFERROR(__xludf.DUMMYFUNCTION("""COMPUTED_VALUE"""),"Payment data from Collexo")</f>
        <v>Payment data from Collexo</v>
      </c>
      <c r="D536" s="124" t="str">
        <f>IFERROR(__xludf.DUMMYFUNCTION("""COMPUTED_VALUE"""),"Not Available")</f>
        <v>Not Available</v>
      </c>
      <c r="E536" s="124">
        <f>IFERROR(__xludf.DUMMYFUNCTION("""COMPUTED_VALUE"""),1500609.0)</f>
        <v>1500609</v>
      </c>
      <c r="F536" s="124" t="str">
        <f>IFERROR(__xludf.DUMMYFUNCTION("""COMPUTED_VALUE"""),"6535_988_7")</f>
        <v>6535_988_7</v>
      </c>
      <c r="G536" s="124">
        <f>IFERROR(__xludf.DUMMYFUNCTION("""COMPUTED_VALUE"""),112000.0)</f>
        <v>112000</v>
      </c>
      <c r="H536" s="124" t="str">
        <f>IFERROR(__xludf.DUMMYFUNCTION("""COMPUTED_VALUE"""),"Not Available")</f>
        <v>Not Available</v>
      </c>
      <c r="I536" s="124">
        <f>IFERROR(__xludf.DUMMYFUNCTION("""COMPUTED_VALUE"""),0.0)</f>
        <v>0</v>
      </c>
      <c r="J536" s="124">
        <f>IFERROR(__xludf.DUMMYFUNCTION("""COMPUTED_VALUE"""),140000.0)</f>
        <v>140000</v>
      </c>
      <c r="K536" s="124">
        <f>IFERROR(__xludf.DUMMYFUNCTION("""COMPUTED_VALUE"""),3.0)</f>
        <v>3</v>
      </c>
      <c r="L536" s="124">
        <f>IFERROR(__xludf.DUMMYFUNCTION("""COMPUTED_VALUE"""),273.0)</f>
        <v>273</v>
      </c>
      <c r="M536" s="124" t="str">
        <f>IFERROR(__xludf.DUMMYFUNCTION("""COMPUTED_VALUE"""),"New Delhi")</f>
        <v>New Delhi</v>
      </c>
      <c r="N536" s="124" t="str">
        <f>IFERROR(__xludf.DUMMYFUNCTION("""COMPUTED_VALUE"""),"hansdaboy12@gmail.com")</f>
        <v>hansdaboy12@gmail.com</v>
      </c>
      <c r="O536" s="124" t="str">
        <f>IFERROR(__xludf.DUMMYFUNCTION("""COMPUTED_VALUE"""),"Akhir")</f>
        <v>Akhir</v>
      </c>
      <c r="P536" s="124">
        <f>IFERROR(__xludf.DUMMYFUNCTION("""COMPUTED_VALUE"""),123722.0)</f>
        <v>123722</v>
      </c>
      <c r="Q536" s="124" t="str">
        <f>IFERROR(__xludf.DUMMYFUNCTION("""COMPUTED_VALUE"""),"upsc-gs-foundation-hinglish-target-2028-gsf-upsc-m04-orn")</f>
        <v>upsc-gs-foundation-hinglish-target-2028-gsf-upsc-m04-orn</v>
      </c>
      <c r="R536" s="124" t="str">
        <f>IFERROR(__xludf.DUMMYFUNCTION("""COMPUTED_VALUE"""),"GS Foundation Course")</f>
        <v>GS Foundation Course</v>
      </c>
      <c r="S536" s="124">
        <f>IFERROR(__xludf.DUMMYFUNCTION("""COMPUTED_VALUE"""),8.609073477E9)</f>
        <v>8609073477</v>
      </c>
      <c r="T536" s="124" t="str">
        <f>IFERROR(__xludf.DUMMYFUNCTION("""COMPUTED_VALUE"""),"Collexo")</f>
        <v>Collexo</v>
      </c>
      <c r="U536" s="124" t="str">
        <f>IFERROR(__xludf.DUMMYFUNCTION("""COMPUTED_VALUE"""),"Success")</f>
        <v>Success</v>
      </c>
      <c r="V536" s="131">
        <f>IFERROR(__xludf.DUMMYFUNCTION("""COMPUTED_VALUE"""),46072.0)</f>
        <v>46072</v>
      </c>
      <c r="W536" s="124">
        <f>IFERROR(__xludf.DUMMYFUNCTION("""COMPUTED_VALUE"""),0.0)</f>
        <v>0</v>
      </c>
    </row>
    <row r="537">
      <c r="A537" s="124" t="str">
        <f t="shared" si="1"/>
        <v>armankujur987@gmail.com</v>
      </c>
      <c r="B537" s="131">
        <f>IFERROR(__xludf.DUMMYFUNCTION("""COMPUTED_VALUE"""),46106.0)</f>
        <v>46106</v>
      </c>
      <c r="C537" s="124" t="str">
        <f>IFERROR(__xludf.DUMMYFUNCTION("""COMPUTED_VALUE"""),"Payment data from Collexo")</f>
        <v>Payment data from Collexo</v>
      </c>
      <c r="D537" s="124" t="str">
        <f>IFERROR(__xludf.DUMMYFUNCTION("""COMPUTED_VALUE"""),"Not Available")</f>
        <v>Not Available</v>
      </c>
      <c r="E537" s="124">
        <f>IFERROR(__xludf.DUMMYFUNCTION("""COMPUTED_VALUE"""),1500609.0)</f>
        <v>1500609</v>
      </c>
      <c r="F537" s="124" t="str">
        <f>IFERROR(__xludf.DUMMYFUNCTION("""COMPUTED_VALUE"""),"16453_988_7")</f>
        <v>16453_988_7</v>
      </c>
      <c r="G537" s="124">
        <f>IFERROR(__xludf.DUMMYFUNCTION("""COMPUTED_VALUE"""),2000.0)</f>
        <v>2000</v>
      </c>
      <c r="H537" s="131">
        <f>IFERROR(__xludf.DUMMYFUNCTION("""COMPUTED_VALUE"""),46112.0)</f>
        <v>46112</v>
      </c>
      <c r="I537" s="124">
        <f>IFERROR(__xludf.DUMMYFUNCTION("""COMPUTED_VALUE"""),148000.0)</f>
        <v>148000</v>
      </c>
      <c r="J537" s="124">
        <f>IFERROR(__xludf.DUMMYFUNCTION("""COMPUTED_VALUE"""),150000.0)</f>
        <v>150000</v>
      </c>
      <c r="K537" s="124">
        <f>IFERROR(__xludf.DUMMYFUNCTION("""COMPUTED_VALUE"""),2.0)</f>
        <v>2</v>
      </c>
      <c r="L537" s="124">
        <f>IFERROR(__xludf.DUMMYFUNCTION("""COMPUTED_VALUE"""),718.0)</f>
        <v>718</v>
      </c>
      <c r="M537" s="124" t="str">
        <f>IFERROR(__xludf.DUMMYFUNCTION("""COMPUTED_VALUE"""),"New Delhi")</f>
        <v>New Delhi</v>
      </c>
      <c r="N537" s="124" t="str">
        <f>IFERROR(__xludf.DUMMYFUNCTION("""COMPUTED_VALUE"""),"armankujur987@gmail.com")</f>
        <v>armankujur987@gmail.com</v>
      </c>
      <c r="O537" s="124" t="str">
        <f>IFERROR(__xludf.DUMMYFUNCTION("""COMPUTED_VALUE"""),"Arman kujur")</f>
        <v>Arman kujur</v>
      </c>
      <c r="P537" s="124">
        <f>IFERROR(__xludf.DUMMYFUNCTION("""COMPUTED_VALUE"""),133103.0)</f>
        <v>133103</v>
      </c>
      <c r="Q537" s="124" t="str">
        <f>IFERROR(__xludf.DUMMYFUNCTION("""COMPUTED_VALUE"""),"upsc-gs-foundation-hinglish-target-2028-gsf-upsc-e04-orn")</f>
        <v>upsc-gs-foundation-hinglish-target-2028-gsf-upsc-e04-orn</v>
      </c>
      <c r="R537" s="124" t="str">
        <f>IFERROR(__xludf.DUMMYFUNCTION("""COMPUTED_VALUE"""),"GS Foundation Course")</f>
        <v>GS Foundation Course</v>
      </c>
      <c r="S537" s="124">
        <f>IFERROR(__xludf.DUMMYFUNCTION("""COMPUTED_VALUE"""),8.653960948E9)</f>
        <v>8653960948</v>
      </c>
      <c r="T537" s="124" t="str">
        <f>IFERROR(__xludf.DUMMYFUNCTION("""COMPUTED_VALUE"""),"Collexo")</f>
        <v>Collexo</v>
      </c>
      <c r="U537" s="124" t="str">
        <f>IFERROR(__xludf.DUMMYFUNCTION("""COMPUTED_VALUE"""),"Success")</f>
        <v>Success</v>
      </c>
      <c r="V537" s="131">
        <f>IFERROR(__xludf.DUMMYFUNCTION("""COMPUTED_VALUE"""),46106.0)</f>
        <v>46106</v>
      </c>
      <c r="W537" s="124">
        <f>IFERROR(__xludf.DUMMYFUNCTION("""COMPUTED_VALUE"""),0.0)</f>
        <v>0</v>
      </c>
    </row>
    <row r="538">
      <c r="A538" s="124" t="str">
        <f t="shared" si="1"/>
        <v>swetakushwah58@gmail.com</v>
      </c>
      <c r="B538" s="131">
        <f>IFERROR(__xludf.DUMMYFUNCTION("""COMPUTED_VALUE"""),46060.0)</f>
        <v>46060</v>
      </c>
      <c r="C538" s="124" t="str">
        <f>IFERROR(__xludf.DUMMYFUNCTION("""COMPUTED_VALUE"""),"Payment data from Collexo")</f>
        <v>Payment data from Collexo</v>
      </c>
      <c r="D538" s="124" t="str">
        <f>IFERROR(__xludf.DUMMYFUNCTION("""COMPUTED_VALUE"""),"Not Available")</f>
        <v>Not Available</v>
      </c>
      <c r="E538" s="124">
        <f>IFERROR(__xludf.DUMMYFUNCTION("""COMPUTED_VALUE"""),1500609.0)</f>
        <v>1500609</v>
      </c>
      <c r="F538" s="124" t="str">
        <f>IFERROR(__xludf.DUMMYFUNCTION("""COMPUTED_VALUE"""),"4141_988_7")</f>
        <v>4141_988_7</v>
      </c>
      <c r="G538" s="124">
        <f>IFERROR(__xludf.DUMMYFUNCTION("""COMPUTED_VALUE"""),10000.0)</f>
        <v>10000</v>
      </c>
      <c r="H538" s="131">
        <f>IFERROR(__xludf.DUMMYFUNCTION("""COMPUTED_VALUE"""),46065.0)</f>
        <v>46065</v>
      </c>
      <c r="I538" s="124">
        <f>IFERROR(__xludf.DUMMYFUNCTION("""COMPUTED_VALUE"""),100000.0)</f>
        <v>100000</v>
      </c>
      <c r="J538" s="124">
        <f>IFERROR(__xludf.DUMMYFUNCTION("""COMPUTED_VALUE"""),110000.0)</f>
        <v>110000</v>
      </c>
      <c r="K538" s="124">
        <f>IFERROR(__xludf.DUMMYFUNCTION("""COMPUTED_VALUE"""),2.0)</f>
        <v>2</v>
      </c>
      <c r="L538" s="124">
        <f>IFERROR(__xludf.DUMMYFUNCTION("""COMPUTED_VALUE"""),175.0)</f>
        <v>175</v>
      </c>
      <c r="M538" s="124" t="str">
        <f>IFERROR(__xludf.DUMMYFUNCTION("""COMPUTED_VALUE"""),"New Delhi")</f>
        <v>New Delhi</v>
      </c>
      <c r="N538" s="124" t="str">
        <f>IFERROR(__xludf.DUMMYFUNCTION("""COMPUTED_VALUE"""),"swetakushwah58@gmail.com")</f>
        <v>swetakushwah58@gmail.com</v>
      </c>
      <c r="O538" s="124" t="str">
        <f>IFERROR(__xludf.DUMMYFUNCTION("""COMPUTED_VALUE"""),"Shweta")</f>
        <v>Shweta</v>
      </c>
      <c r="P538" s="124">
        <f>IFERROR(__xludf.DUMMYFUNCTION("""COMPUTED_VALUE"""),122256.0)</f>
        <v>122256</v>
      </c>
      <c r="Q538" s="124" t="str">
        <f>IFERROR(__xludf.DUMMYFUNCTION("""COMPUTED_VALUE"""),"upsc-gs-foundation-hinglish-target-2027-gsf-upsc-m02-orn")</f>
        <v>upsc-gs-foundation-hinglish-target-2027-gsf-upsc-m02-orn</v>
      </c>
      <c r="R538" s="124" t="str">
        <f>IFERROR(__xludf.DUMMYFUNCTION("""COMPUTED_VALUE"""),"GS Foundation Course")</f>
        <v>GS Foundation Course</v>
      </c>
      <c r="S538" s="124">
        <f>IFERROR(__xludf.DUMMYFUNCTION("""COMPUTED_VALUE"""),9.301271286E9)</f>
        <v>9301271286</v>
      </c>
      <c r="T538" s="124" t="str">
        <f>IFERROR(__xludf.DUMMYFUNCTION("""COMPUTED_VALUE"""),"Collexo")</f>
        <v>Collexo</v>
      </c>
      <c r="U538" s="124" t="str">
        <f>IFERROR(__xludf.DUMMYFUNCTION("""COMPUTED_VALUE"""),"Success")</f>
        <v>Success</v>
      </c>
      <c r="V538" s="131">
        <f>IFERROR(__xludf.DUMMYFUNCTION("""COMPUTED_VALUE"""),46060.0)</f>
        <v>46060</v>
      </c>
      <c r="W538" s="124">
        <f>IFERROR(__xludf.DUMMYFUNCTION("""COMPUTED_VALUE"""),0.0)</f>
        <v>0</v>
      </c>
    </row>
    <row r="539">
      <c r="A539" s="124" t="str">
        <f t="shared" si="1"/>
        <v>priyankakaimur1@gmail.com</v>
      </c>
      <c r="B539" s="131">
        <f>IFERROR(__xludf.DUMMYFUNCTION("""COMPUTED_VALUE"""),46111.0)</f>
        <v>46111</v>
      </c>
      <c r="C539" s="124" t="str">
        <f>IFERROR(__xludf.DUMMYFUNCTION("""COMPUTED_VALUE"""),"Payment data from Collexo")</f>
        <v>Payment data from Collexo</v>
      </c>
      <c r="D539" s="124" t="str">
        <f>IFERROR(__xludf.DUMMYFUNCTION("""COMPUTED_VALUE"""),"Not Available")</f>
        <v>Not Available</v>
      </c>
      <c r="E539" s="124">
        <f>IFERROR(__xludf.DUMMYFUNCTION("""COMPUTED_VALUE"""),1500611.0)</f>
        <v>1500611</v>
      </c>
      <c r="F539" s="124">
        <f>IFERROR(__xludf.DUMMYFUNCTION("""COMPUTED_VALUE"""),139866.0)</f>
        <v>139866</v>
      </c>
      <c r="G539" s="124">
        <f>IFERROR(__xludf.DUMMYFUNCTION("""COMPUTED_VALUE"""),10000.0)</f>
        <v>10000</v>
      </c>
      <c r="H539" s="131">
        <f>IFERROR(__xludf.DUMMYFUNCTION("""COMPUTED_VALUE"""),46111.0)</f>
        <v>46111</v>
      </c>
      <c r="I539" s="124">
        <f>IFERROR(__xludf.DUMMYFUNCTION("""COMPUTED_VALUE"""),35000.0)</f>
        <v>35000</v>
      </c>
      <c r="J539" s="124">
        <f>IFERROR(__xludf.DUMMYFUNCTION("""COMPUTED_VALUE"""),45000.0)</f>
        <v>45000</v>
      </c>
      <c r="K539" s="124">
        <f>IFERROR(__xludf.DUMMYFUNCTION("""COMPUTED_VALUE"""),2.0)</f>
        <v>2</v>
      </c>
      <c r="L539" s="124">
        <f>IFERROR(__xludf.DUMMYFUNCTION("""COMPUTED_VALUE"""),828.0)</f>
        <v>828</v>
      </c>
      <c r="M539" s="124" t="str">
        <f>IFERROR(__xludf.DUMMYFUNCTION("""COMPUTED_VALUE"""),"Patna")</f>
        <v>Patna</v>
      </c>
      <c r="N539" s="124" t="str">
        <f>IFERROR(__xludf.DUMMYFUNCTION("""COMPUTED_VALUE"""),"priyankakaimur1@gmail.com")</f>
        <v>priyankakaimur1@gmail.com</v>
      </c>
      <c r="O539" s="124" t="str">
        <f>IFERROR(__xludf.DUMMYFUNCTION("""COMPUTED_VALUE"""),"Priyanka Gupta")</f>
        <v>Priyanka Gupta</v>
      </c>
      <c r="P539" s="124">
        <f>IFERROR(__xludf.DUMMYFUNCTION("""COMPUTED_VALUE"""),139866.0)</f>
        <v>139866</v>
      </c>
      <c r="Q539" s="124" t="str">
        <f>IFERROR(__xludf.DUMMYFUNCTION("""COMPUTED_VALUE"""),"bpsc-gs-foundation-hinglish-target-2026-gsf-bpsc-m02-pat")</f>
        <v>bpsc-gs-foundation-hinglish-target-2026-gsf-bpsc-m02-pat</v>
      </c>
      <c r="R539" s="124" t="str">
        <f>IFERROR(__xludf.DUMMYFUNCTION("""COMPUTED_VALUE"""),"State PCS")</f>
        <v>State PCS</v>
      </c>
      <c r="S539" s="124">
        <f>IFERROR(__xludf.DUMMYFUNCTION("""COMPUTED_VALUE"""),8.986373158E9)</f>
        <v>8986373158</v>
      </c>
      <c r="T539" s="124" t="str">
        <f>IFERROR(__xludf.DUMMYFUNCTION("""COMPUTED_VALUE"""),"Not Available")</f>
        <v>Not Available</v>
      </c>
      <c r="U539" s="124" t="str">
        <f>IFERROR(__xludf.DUMMYFUNCTION("""COMPUTED_VALUE"""),"Not Available")</f>
        <v>Not Available</v>
      </c>
      <c r="V539" s="124" t="str">
        <f>IFERROR(__xludf.DUMMYFUNCTION("""COMPUTED_VALUE"""),"Not Available")</f>
        <v>Not Available</v>
      </c>
      <c r="W539" s="124" t="str">
        <f>IFERROR(__xludf.DUMMYFUNCTION("""COMPUTED_VALUE"""),"Not Available")</f>
        <v>Not Available</v>
      </c>
    </row>
    <row r="540">
      <c r="A540" s="124" t="str">
        <f t="shared" si="1"/>
        <v>shiki_mig25@gmail.com</v>
      </c>
      <c r="B540" s="131">
        <f>IFERROR(__xludf.DUMMYFUNCTION("""COMPUTED_VALUE"""),46097.0)</f>
        <v>46097</v>
      </c>
      <c r="C540" s="124" t="str">
        <f>IFERROR(__xludf.DUMMYFUNCTION("""COMPUTED_VALUE"""),"Payment data from Collexo")</f>
        <v>Payment data from Collexo</v>
      </c>
      <c r="D540" s="124" t="str">
        <f>IFERROR(__xludf.DUMMYFUNCTION("""COMPUTED_VALUE"""),"Not Available")</f>
        <v>Not Available</v>
      </c>
      <c r="E540" s="124">
        <f>IFERROR(__xludf.DUMMYFUNCTION("""COMPUTED_VALUE"""),1500609.0)</f>
        <v>1500609</v>
      </c>
      <c r="F540" s="124" t="str">
        <f>IFERROR(__xludf.DUMMYFUNCTION("""COMPUTED_VALUE"""),"14578_988_7")</f>
        <v>14578_988_7</v>
      </c>
      <c r="G540" s="124">
        <f>IFERROR(__xludf.DUMMYFUNCTION("""COMPUTED_VALUE"""),1.0)</f>
        <v>1</v>
      </c>
      <c r="H540" s="124" t="str">
        <f>IFERROR(__xludf.DUMMYFUNCTION("""COMPUTED_VALUE"""),"Not Available")</f>
        <v>Not Available</v>
      </c>
      <c r="I540" s="124">
        <f>IFERROR(__xludf.DUMMYFUNCTION("""COMPUTED_VALUE"""),0.0)</f>
        <v>0</v>
      </c>
      <c r="J540" s="124">
        <f>IFERROR(__xludf.DUMMYFUNCTION("""COMPUTED_VALUE"""),1.0)</f>
        <v>1</v>
      </c>
      <c r="K540" s="124">
        <f>IFERROR(__xludf.DUMMYFUNCTION("""COMPUTED_VALUE"""),1.0)</f>
        <v>1</v>
      </c>
      <c r="L540" s="124">
        <f>IFERROR(__xludf.DUMMYFUNCTION("""COMPUTED_VALUE"""),563.0)</f>
        <v>563</v>
      </c>
      <c r="M540" s="124" t="str">
        <f>IFERROR(__xludf.DUMMYFUNCTION("""COMPUTED_VALUE"""),"New Delhi")</f>
        <v>New Delhi</v>
      </c>
      <c r="N540" s="124" t="str">
        <f>IFERROR(__xludf.DUMMYFUNCTION("""COMPUTED_VALUE"""),"shiki_mig25@gmail.com")</f>
        <v>shiki_mig25@gmail.com</v>
      </c>
      <c r="O540" s="124" t="str">
        <f>IFERROR(__xludf.DUMMYFUNCTION("""COMPUTED_VALUE"""),"Shrikant")</f>
        <v>Shrikant</v>
      </c>
      <c r="P540" s="124">
        <f>IFERROR(__xludf.DUMMYFUNCTION("""COMPUTED_VALUE"""),81939.0)</f>
        <v>81939</v>
      </c>
      <c r="Q540" s="124" t="str">
        <f>IFERROR(__xludf.DUMMYFUNCTION("""COMPUTED_VALUE"""),"ncert-foundation-hinglish-target-2026-nce-upsc-e01-orn")</f>
        <v>ncert-foundation-hinglish-target-2026-nce-upsc-e01-orn</v>
      </c>
      <c r="R540" s="124" t="str">
        <f>IFERROR(__xludf.DUMMYFUNCTION("""COMPUTED_VALUE"""),"GS Foundation Course")</f>
        <v>GS Foundation Course</v>
      </c>
      <c r="S540" s="124">
        <f>IFERROR(__xludf.DUMMYFUNCTION("""COMPUTED_VALUE"""),9.643355612E9)</f>
        <v>9643355612</v>
      </c>
      <c r="T540" s="124" t="str">
        <f>IFERROR(__xludf.DUMMYFUNCTION("""COMPUTED_VALUE"""),"Collexo")</f>
        <v>Collexo</v>
      </c>
      <c r="U540" s="124" t="str">
        <f>IFERROR(__xludf.DUMMYFUNCTION("""COMPUTED_VALUE"""),"Success")</f>
        <v>Success</v>
      </c>
      <c r="V540" s="131">
        <f>IFERROR(__xludf.DUMMYFUNCTION("""COMPUTED_VALUE"""),46097.0)</f>
        <v>46097</v>
      </c>
      <c r="W540" s="124">
        <f>IFERROR(__xludf.DUMMYFUNCTION("""COMPUTED_VALUE"""),0.0)</f>
        <v>0</v>
      </c>
    </row>
    <row r="541">
      <c r="A541" s="124" t="str">
        <f t="shared" si="1"/>
        <v>tdhkrishnagupta11@gmail.com</v>
      </c>
      <c r="B541" s="131">
        <f>IFERROR(__xludf.DUMMYFUNCTION("""COMPUTED_VALUE"""),46104.0)</f>
        <v>46104</v>
      </c>
      <c r="C541" s="124" t="str">
        <f>IFERROR(__xludf.DUMMYFUNCTION("""COMPUTED_VALUE"""),"Payment data from Collexo")</f>
        <v>Payment data from Collexo</v>
      </c>
      <c r="D541" s="124" t="str">
        <f>IFERROR(__xludf.DUMMYFUNCTION("""COMPUTED_VALUE"""),"Not Available")</f>
        <v>Not Available</v>
      </c>
      <c r="E541" s="124">
        <f>IFERROR(__xludf.DUMMYFUNCTION("""COMPUTED_VALUE"""),1500610.0)</f>
        <v>1500610</v>
      </c>
      <c r="F541" s="124">
        <f>IFERROR(__xludf.DUMMYFUNCTION("""COMPUTED_VALUE"""),130049.0)</f>
        <v>130049</v>
      </c>
      <c r="G541" s="124">
        <f>IFERROR(__xludf.DUMMYFUNCTION("""COMPUTED_VALUE"""),1000.0)</f>
        <v>1000</v>
      </c>
      <c r="H541" s="131">
        <f>IFERROR(__xludf.DUMMYFUNCTION("""COMPUTED_VALUE"""),46112.0)</f>
        <v>46112</v>
      </c>
      <c r="I541" s="124">
        <f>IFERROR(__xludf.DUMMYFUNCTION("""COMPUTED_VALUE"""),45000.0)</f>
        <v>45000</v>
      </c>
      <c r="J541" s="124">
        <f>IFERROR(__xludf.DUMMYFUNCTION("""COMPUTED_VALUE"""),50000.0)</f>
        <v>50000</v>
      </c>
      <c r="K541" s="124">
        <f>IFERROR(__xludf.DUMMYFUNCTION("""COMPUTED_VALUE"""),4.0)</f>
        <v>4</v>
      </c>
      <c r="L541" s="124">
        <f>IFERROR(__xludf.DUMMYFUNCTION("""COMPUTED_VALUE"""),694.0)</f>
        <v>694</v>
      </c>
      <c r="M541" s="124" t="str">
        <f>IFERROR(__xludf.DUMMYFUNCTION("""COMPUTED_VALUE"""),"Lucknow")</f>
        <v>Lucknow</v>
      </c>
      <c r="N541" s="124" t="str">
        <f>IFERROR(__xludf.DUMMYFUNCTION("""COMPUTED_VALUE"""),"tdhkrishnagupta11@gmail.com")</f>
        <v>tdhkrishnagupta11@gmail.com</v>
      </c>
      <c r="O541" s="124" t="str">
        <f>IFERROR(__xludf.DUMMYFUNCTION("""COMPUTED_VALUE"""),"Krishna")</f>
        <v>Krishna</v>
      </c>
      <c r="P541" s="124">
        <f>IFERROR(__xludf.DUMMYFUNCTION("""COMPUTED_VALUE"""),130049.0)</f>
        <v>130049</v>
      </c>
      <c r="Q541" s="124" t="str">
        <f>IFERROR(__xludf.DUMMYFUNCTION("""COMPUTED_VALUE"""),"Not Available")</f>
        <v>Not Available</v>
      </c>
      <c r="R541" s="124" t="str">
        <f>IFERROR(__xludf.DUMMYFUNCTION("""COMPUTED_VALUE"""),"GS Foundation Course")</f>
        <v>GS Foundation Course</v>
      </c>
      <c r="S541" s="124">
        <f>IFERROR(__xludf.DUMMYFUNCTION("""COMPUTED_VALUE"""),7.991314106E9)</f>
        <v>7991314106</v>
      </c>
      <c r="T541" s="124" t="str">
        <f>IFERROR(__xludf.DUMMYFUNCTION("""COMPUTED_VALUE"""),"Not Available")</f>
        <v>Not Available</v>
      </c>
      <c r="U541" s="124" t="str">
        <f>IFERROR(__xludf.DUMMYFUNCTION("""COMPUTED_VALUE"""),"Not Available")</f>
        <v>Not Available</v>
      </c>
      <c r="V541" s="124" t="str">
        <f>IFERROR(__xludf.DUMMYFUNCTION("""COMPUTED_VALUE"""),"Not Available")</f>
        <v>Not Available</v>
      </c>
      <c r="W541" s="124" t="str">
        <f>IFERROR(__xludf.DUMMYFUNCTION("""COMPUTED_VALUE"""),"Not Available")</f>
        <v>Not Available</v>
      </c>
    </row>
    <row r="542">
      <c r="A542" s="124" t="str">
        <f t="shared" si="1"/>
        <v>hansdaboy12@gmail.com</v>
      </c>
      <c r="B542" s="131">
        <f>IFERROR(__xludf.DUMMYFUNCTION("""COMPUTED_VALUE"""),46069.0)</f>
        <v>46069</v>
      </c>
      <c r="C542" s="124" t="str">
        <f>IFERROR(__xludf.DUMMYFUNCTION("""COMPUTED_VALUE"""),"Payment data from Collexo")</f>
        <v>Payment data from Collexo</v>
      </c>
      <c r="D542" s="124" t="str">
        <f>IFERROR(__xludf.DUMMYFUNCTION("""COMPUTED_VALUE"""),"Not Available")</f>
        <v>Not Available</v>
      </c>
      <c r="E542" s="124">
        <f>IFERROR(__xludf.DUMMYFUNCTION("""COMPUTED_VALUE"""),1500609.0)</f>
        <v>1500609</v>
      </c>
      <c r="F542" s="124" t="str">
        <f>IFERROR(__xludf.DUMMYFUNCTION("""COMPUTED_VALUE"""),"5453_988_7")</f>
        <v>5453_988_7</v>
      </c>
      <c r="G542" s="124">
        <f>IFERROR(__xludf.DUMMYFUNCTION("""COMPUTED_VALUE"""),3000.0)</f>
        <v>3000</v>
      </c>
      <c r="H542" s="131">
        <f>IFERROR(__xludf.DUMMYFUNCTION("""COMPUTED_VALUE"""),46081.0)</f>
        <v>46081</v>
      </c>
      <c r="I542" s="124">
        <f>IFERROR(__xludf.DUMMYFUNCTION("""COMPUTED_VALUE"""),112000.0)</f>
        <v>112000</v>
      </c>
      <c r="J542" s="124">
        <f>IFERROR(__xludf.DUMMYFUNCTION("""COMPUTED_VALUE"""),140000.0)</f>
        <v>140000</v>
      </c>
      <c r="K542" s="124">
        <f>IFERROR(__xludf.DUMMYFUNCTION("""COMPUTED_VALUE"""),3.0)</f>
        <v>3</v>
      </c>
      <c r="L542" s="124">
        <f>IFERROR(__xludf.DUMMYFUNCTION("""COMPUTED_VALUE"""),231.0)</f>
        <v>231</v>
      </c>
      <c r="M542" s="124" t="str">
        <f>IFERROR(__xludf.DUMMYFUNCTION("""COMPUTED_VALUE"""),"New Delhi")</f>
        <v>New Delhi</v>
      </c>
      <c r="N542" s="124" t="str">
        <f>IFERROR(__xludf.DUMMYFUNCTION("""COMPUTED_VALUE"""),"hansdaboy12@gmail.com")</f>
        <v>hansdaboy12@gmail.com</v>
      </c>
      <c r="O542" s="124" t="str">
        <f>IFERROR(__xludf.DUMMYFUNCTION("""COMPUTED_VALUE"""),"Akhir")</f>
        <v>Akhir</v>
      </c>
      <c r="P542" s="124">
        <f>IFERROR(__xludf.DUMMYFUNCTION("""COMPUTED_VALUE"""),123722.0)</f>
        <v>123722</v>
      </c>
      <c r="Q542" s="124" t="str">
        <f>IFERROR(__xludf.DUMMYFUNCTION("""COMPUTED_VALUE"""),"upsc-gs-foundation-hinglish-target-2028-gsf-upsc-m04-orn")</f>
        <v>upsc-gs-foundation-hinglish-target-2028-gsf-upsc-m04-orn</v>
      </c>
      <c r="R542" s="124" t="str">
        <f>IFERROR(__xludf.DUMMYFUNCTION("""COMPUTED_VALUE"""),"GS Foundation Course")</f>
        <v>GS Foundation Course</v>
      </c>
      <c r="S542" s="124">
        <f>IFERROR(__xludf.DUMMYFUNCTION("""COMPUTED_VALUE"""),8.609073477E9)</f>
        <v>8609073477</v>
      </c>
      <c r="T542" s="124" t="str">
        <f>IFERROR(__xludf.DUMMYFUNCTION("""COMPUTED_VALUE"""),"Collexo")</f>
        <v>Collexo</v>
      </c>
      <c r="U542" s="124" t="str">
        <f>IFERROR(__xludf.DUMMYFUNCTION("""COMPUTED_VALUE"""),"Success")</f>
        <v>Success</v>
      </c>
      <c r="V542" s="131">
        <f>IFERROR(__xludf.DUMMYFUNCTION("""COMPUTED_VALUE"""),46069.0)</f>
        <v>46069</v>
      </c>
      <c r="W542" s="124">
        <f>IFERROR(__xludf.DUMMYFUNCTION("""COMPUTED_VALUE"""),0.0)</f>
        <v>0</v>
      </c>
    </row>
    <row r="543">
      <c r="A543" s="124" t="str">
        <f t="shared" si="1"/>
        <v>vivekkajla168@gmail.com</v>
      </c>
      <c r="B543" s="131">
        <f>IFERROR(__xludf.DUMMYFUNCTION("""COMPUTED_VALUE"""),46106.0)</f>
        <v>46106</v>
      </c>
      <c r="C543" s="124" t="str">
        <f>IFERROR(__xludf.DUMMYFUNCTION("""COMPUTED_VALUE"""),"Payment data from Collexo")</f>
        <v>Payment data from Collexo</v>
      </c>
      <c r="D543" s="124" t="str">
        <f>IFERROR(__xludf.DUMMYFUNCTION("""COMPUTED_VALUE"""),"Not Available")</f>
        <v>Not Available</v>
      </c>
      <c r="E543" s="124">
        <f>IFERROR(__xludf.DUMMYFUNCTION("""COMPUTED_VALUE"""),1500609.0)</f>
        <v>1500609</v>
      </c>
      <c r="F543" s="124" t="str">
        <f>IFERROR(__xludf.DUMMYFUNCTION("""COMPUTED_VALUE"""),"16570_988_7")</f>
        <v>16570_988_7</v>
      </c>
      <c r="G543" s="124">
        <f>IFERROR(__xludf.DUMMYFUNCTION("""COMPUTED_VALUE"""),1.0)</f>
        <v>1</v>
      </c>
      <c r="H543" s="124" t="str">
        <f>IFERROR(__xludf.DUMMYFUNCTION("""COMPUTED_VALUE"""),"Not Available")</f>
        <v>Not Available</v>
      </c>
      <c r="I543" s="124">
        <f>IFERROR(__xludf.DUMMYFUNCTION("""COMPUTED_VALUE"""),0.0)</f>
        <v>0</v>
      </c>
      <c r="J543" s="124">
        <f>IFERROR(__xludf.DUMMYFUNCTION("""COMPUTED_VALUE"""),1.0)</f>
        <v>1</v>
      </c>
      <c r="K543" s="124">
        <f>IFERROR(__xludf.DUMMYFUNCTION("""COMPUTED_VALUE"""),1.0)</f>
        <v>1</v>
      </c>
      <c r="L543" s="124">
        <f>IFERROR(__xludf.DUMMYFUNCTION("""COMPUTED_VALUE"""),750.0)</f>
        <v>750</v>
      </c>
      <c r="M543" s="124" t="str">
        <f>IFERROR(__xludf.DUMMYFUNCTION("""COMPUTED_VALUE"""),"New Delhi")</f>
        <v>New Delhi</v>
      </c>
      <c r="N543" s="124" t="str">
        <f>IFERROR(__xludf.DUMMYFUNCTION("""COMPUTED_VALUE"""),"vivekkajla168@gmail.com")</f>
        <v>vivekkajla168@gmail.com</v>
      </c>
      <c r="O543" s="124" t="str">
        <f>IFERROR(__xludf.DUMMYFUNCTION("""COMPUTED_VALUE"""),"VIVEK KAJLA")</f>
        <v>VIVEK KAJLA</v>
      </c>
      <c r="P543" s="124">
        <f>IFERROR(__xludf.DUMMYFUNCTION("""COMPUTED_VALUE"""),133189.0)</f>
        <v>133189</v>
      </c>
      <c r="Q543" s="124" t="str">
        <f>IFERROR(__xludf.DUMMYFUNCTION("""COMPUTED_VALUE"""),"upsc-gs-foundation-hinglish-target-2028-gsf-upsc-m05-orn")</f>
        <v>upsc-gs-foundation-hinglish-target-2028-gsf-upsc-m05-orn</v>
      </c>
      <c r="R543" s="124" t="str">
        <f>IFERROR(__xludf.DUMMYFUNCTION("""COMPUTED_VALUE"""),"GS Foundation Course")</f>
        <v>GS Foundation Course</v>
      </c>
      <c r="S543" s="124">
        <f>IFERROR(__xludf.DUMMYFUNCTION("""COMPUTED_VALUE"""),9.351151508E9)</f>
        <v>9351151508</v>
      </c>
      <c r="T543" s="124" t="str">
        <f>IFERROR(__xludf.DUMMYFUNCTION("""COMPUTED_VALUE"""),"Collexo")</f>
        <v>Collexo</v>
      </c>
      <c r="U543" s="124" t="str">
        <f>IFERROR(__xludf.DUMMYFUNCTION("""COMPUTED_VALUE"""),"Success")</f>
        <v>Success</v>
      </c>
      <c r="V543" s="131">
        <f>IFERROR(__xludf.DUMMYFUNCTION("""COMPUTED_VALUE"""),46106.0)</f>
        <v>46106</v>
      </c>
      <c r="W543" s="124">
        <f>IFERROR(__xludf.DUMMYFUNCTION("""COMPUTED_VALUE"""),0.0)</f>
        <v>0</v>
      </c>
    </row>
    <row r="544">
      <c r="A544" s="124" t="str">
        <f t="shared" si="1"/>
        <v>23kartiksinghal@gmail.com</v>
      </c>
      <c r="B544" s="131">
        <f>IFERROR(__xludf.DUMMYFUNCTION("""COMPUTED_VALUE"""),46098.0)</f>
        <v>46098</v>
      </c>
      <c r="C544" s="124" t="str">
        <f>IFERROR(__xludf.DUMMYFUNCTION("""COMPUTED_VALUE"""),"Payment data from Collexo")</f>
        <v>Payment data from Collexo</v>
      </c>
      <c r="D544" s="124" t="str">
        <f>IFERROR(__xludf.DUMMYFUNCTION("""COMPUTED_VALUE"""),"Not Available")</f>
        <v>Not Available</v>
      </c>
      <c r="E544" s="124">
        <f>IFERROR(__xludf.DUMMYFUNCTION("""COMPUTED_VALUE"""),1500609.0)</f>
        <v>1500609</v>
      </c>
      <c r="F544" s="124" t="str">
        <f>IFERROR(__xludf.DUMMYFUNCTION("""COMPUTED_VALUE"""),"14843_988_7")</f>
        <v>14843_988_7</v>
      </c>
      <c r="G544" s="124">
        <f>IFERROR(__xludf.DUMMYFUNCTION("""COMPUTED_VALUE"""),87680.0)</f>
        <v>87680</v>
      </c>
      <c r="H544" s="124" t="str">
        <f>IFERROR(__xludf.DUMMYFUNCTION("""COMPUTED_VALUE"""),"Not Available")</f>
        <v>Not Available</v>
      </c>
      <c r="I544" s="124">
        <f>IFERROR(__xludf.DUMMYFUNCTION("""COMPUTED_VALUE"""),0.0)</f>
        <v>0</v>
      </c>
      <c r="J544" s="124">
        <f>IFERROR(__xludf.DUMMYFUNCTION("""COMPUTED_VALUE"""),110000.0)</f>
        <v>110000</v>
      </c>
      <c r="K544" s="124">
        <f>IFERROR(__xludf.DUMMYFUNCTION("""COMPUTED_VALUE"""),3.0)</f>
        <v>3</v>
      </c>
      <c r="L544" s="124">
        <f>IFERROR(__xludf.DUMMYFUNCTION("""COMPUTED_VALUE"""),580.0)</f>
        <v>580</v>
      </c>
      <c r="M544" s="124" t="str">
        <f>IFERROR(__xludf.DUMMYFUNCTION("""COMPUTED_VALUE"""),"New Delhi")</f>
        <v>New Delhi</v>
      </c>
      <c r="N544" s="124" t="str">
        <f>IFERROR(__xludf.DUMMYFUNCTION("""COMPUTED_VALUE"""),"23kartiksinghal@gmail.com")</f>
        <v>23kartiksinghal@gmail.com</v>
      </c>
      <c r="O544" s="124" t="str">
        <f>IFERROR(__xludf.DUMMYFUNCTION("""COMPUTED_VALUE"""),"Kartik Singh")</f>
        <v>Kartik Singh</v>
      </c>
      <c r="P544" s="124">
        <f>IFERROR(__xludf.DUMMYFUNCTION("""COMPUTED_VALUE"""),81903.0)</f>
        <v>81903</v>
      </c>
      <c r="Q544" s="124" t="str">
        <f>IFERROR(__xludf.DUMMYFUNCTION("""COMPUTED_VALUE"""),"upsc-gs-foundation-hinglish-target-2027-gsf-upsc-e03-orn")</f>
        <v>upsc-gs-foundation-hinglish-target-2027-gsf-upsc-e03-orn</v>
      </c>
      <c r="R544" s="124" t="str">
        <f>IFERROR(__xludf.DUMMYFUNCTION("""COMPUTED_VALUE"""),"GS Foundation Course")</f>
        <v>GS Foundation Course</v>
      </c>
      <c r="S544" s="124">
        <f>IFERROR(__xludf.DUMMYFUNCTION("""COMPUTED_VALUE"""),9.71108374E9)</f>
        <v>9711083740</v>
      </c>
      <c r="T544" s="124" t="str">
        <f>IFERROR(__xludf.DUMMYFUNCTION("""COMPUTED_VALUE"""),"Collexo")</f>
        <v>Collexo</v>
      </c>
      <c r="U544" s="124" t="str">
        <f>IFERROR(__xludf.DUMMYFUNCTION("""COMPUTED_VALUE"""),"Success")</f>
        <v>Success</v>
      </c>
      <c r="V544" s="131">
        <f>IFERROR(__xludf.DUMMYFUNCTION("""COMPUTED_VALUE"""),46098.0)</f>
        <v>46098</v>
      </c>
      <c r="W544" s="124">
        <f>IFERROR(__xludf.DUMMYFUNCTION("""COMPUTED_VALUE"""),0.0)</f>
        <v>0</v>
      </c>
    </row>
    <row r="545">
      <c r="A545" s="124" t="str">
        <f t="shared" si="1"/>
        <v>armankujur987@gmail.com</v>
      </c>
      <c r="B545" s="131">
        <f>IFERROR(__xludf.DUMMYFUNCTION("""COMPUTED_VALUE"""),46106.0)</f>
        <v>46106</v>
      </c>
      <c r="C545" s="124" t="str">
        <f>IFERROR(__xludf.DUMMYFUNCTION("""COMPUTED_VALUE"""),"Payment data from Collexo")</f>
        <v>Payment data from Collexo</v>
      </c>
      <c r="D545" s="124" t="str">
        <f>IFERROR(__xludf.DUMMYFUNCTION("""COMPUTED_VALUE"""),"Not Available")</f>
        <v>Not Available</v>
      </c>
      <c r="E545" s="124">
        <f>IFERROR(__xludf.DUMMYFUNCTION("""COMPUTED_VALUE"""),1500609.0)</f>
        <v>1500609</v>
      </c>
      <c r="F545" s="124" t="str">
        <f>IFERROR(__xludf.DUMMYFUNCTION("""COMPUTED_VALUE"""),"16447_988_7")</f>
        <v>16447_988_7</v>
      </c>
      <c r="G545" s="124">
        <f>IFERROR(__xludf.DUMMYFUNCTION("""COMPUTED_VALUE"""),2000.0)</f>
        <v>2000</v>
      </c>
      <c r="H545" s="131">
        <f>IFERROR(__xludf.DUMMYFUNCTION("""COMPUTED_VALUE"""),46112.0)</f>
        <v>46112</v>
      </c>
      <c r="I545" s="124">
        <f>IFERROR(__xludf.DUMMYFUNCTION("""COMPUTED_VALUE"""),148000.0)</f>
        <v>148000</v>
      </c>
      <c r="J545" s="124">
        <f>IFERROR(__xludf.DUMMYFUNCTION("""COMPUTED_VALUE"""),150000.0)</f>
        <v>150000</v>
      </c>
      <c r="K545" s="124">
        <f>IFERROR(__xludf.DUMMYFUNCTION("""COMPUTED_VALUE"""),2.0)</f>
        <v>2</v>
      </c>
      <c r="L545" s="124">
        <f>IFERROR(__xludf.DUMMYFUNCTION("""COMPUTED_VALUE"""),716.0)</f>
        <v>716</v>
      </c>
      <c r="M545" s="124" t="str">
        <f>IFERROR(__xludf.DUMMYFUNCTION("""COMPUTED_VALUE"""),"New Delhi")</f>
        <v>New Delhi</v>
      </c>
      <c r="N545" s="124" t="str">
        <f>IFERROR(__xludf.DUMMYFUNCTION("""COMPUTED_VALUE"""),"armankujur987@gmail.com")</f>
        <v>armankujur987@gmail.com</v>
      </c>
      <c r="O545" s="124" t="str">
        <f>IFERROR(__xludf.DUMMYFUNCTION("""COMPUTED_VALUE"""),"Arman kujur")</f>
        <v>Arman kujur</v>
      </c>
      <c r="P545" s="124">
        <f>IFERROR(__xludf.DUMMYFUNCTION("""COMPUTED_VALUE"""),133103.0)</f>
        <v>133103</v>
      </c>
      <c r="Q545" s="124" t="str">
        <f>IFERROR(__xludf.DUMMYFUNCTION("""COMPUTED_VALUE"""),"upsc-gs-foundation-hinglish-target-2028-gsf-upsc-e04-orn")</f>
        <v>upsc-gs-foundation-hinglish-target-2028-gsf-upsc-e04-orn</v>
      </c>
      <c r="R545" s="124" t="str">
        <f>IFERROR(__xludf.DUMMYFUNCTION("""COMPUTED_VALUE"""),"GS Foundation Course")</f>
        <v>GS Foundation Course</v>
      </c>
      <c r="S545" s="124">
        <f>IFERROR(__xludf.DUMMYFUNCTION("""COMPUTED_VALUE"""),8.653960948E9)</f>
        <v>8653960948</v>
      </c>
      <c r="T545" s="124" t="str">
        <f>IFERROR(__xludf.DUMMYFUNCTION("""COMPUTED_VALUE"""),"Not Available")</f>
        <v>Not Available</v>
      </c>
      <c r="U545" s="124" t="str">
        <f>IFERROR(__xludf.DUMMYFUNCTION("""COMPUTED_VALUE"""),"Not Available")</f>
        <v>Not Available</v>
      </c>
      <c r="V545" s="124" t="str">
        <f>IFERROR(__xludf.DUMMYFUNCTION("""COMPUTED_VALUE"""),"Not Available")</f>
        <v>Not Available</v>
      </c>
      <c r="W545" s="124" t="str">
        <f>IFERROR(__xludf.DUMMYFUNCTION("""COMPUTED_VALUE"""),"Not Available")</f>
        <v>Not Available</v>
      </c>
    </row>
    <row r="546">
      <c r="A546" s="124" t="str">
        <f t="shared" si="1"/>
        <v>armankujur987@gmail.com</v>
      </c>
      <c r="B546" s="131">
        <f>IFERROR(__xludf.DUMMYFUNCTION("""COMPUTED_VALUE"""),46110.0)</f>
        <v>46110</v>
      </c>
      <c r="C546" s="124" t="str">
        <f>IFERROR(__xludf.DUMMYFUNCTION("""COMPUTED_VALUE"""),"Payment data from Collexo")</f>
        <v>Payment data from Collexo</v>
      </c>
      <c r="D546" s="124" t="str">
        <f>IFERROR(__xludf.DUMMYFUNCTION("""COMPUTED_VALUE"""),"Not Available")</f>
        <v>Not Available</v>
      </c>
      <c r="E546" s="124">
        <f>IFERROR(__xludf.DUMMYFUNCTION("""COMPUTED_VALUE"""),1500609.0)</f>
        <v>1500609</v>
      </c>
      <c r="F546" s="124" t="str">
        <f>IFERROR(__xludf.DUMMYFUNCTION("""COMPUTED_VALUE"""),"17303_988_7")</f>
        <v>17303_988_7</v>
      </c>
      <c r="G546" s="124">
        <f>IFERROR(__xludf.DUMMYFUNCTION("""COMPUTED_VALUE"""),100000.0)</f>
        <v>100000</v>
      </c>
      <c r="H546" s="131">
        <f>IFERROR(__xludf.DUMMYFUNCTION("""COMPUTED_VALUE"""),46112.0)</f>
        <v>46112</v>
      </c>
      <c r="I546" s="124">
        <f>IFERROR(__xludf.DUMMYFUNCTION("""COMPUTED_VALUE"""),48000.0)</f>
        <v>48000</v>
      </c>
      <c r="J546" s="124">
        <f>IFERROR(__xludf.DUMMYFUNCTION("""COMPUTED_VALUE"""),150000.0)</f>
        <v>150000</v>
      </c>
      <c r="K546" s="124">
        <f>IFERROR(__xludf.DUMMYFUNCTION("""COMPUTED_VALUE"""),3.0)</f>
        <v>3</v>
      </c>
      <c r="L546" s="124">
        <f>IFERROR(__xludf.DUMMYFUNCTION("""COMPUTED_VALUE"""),825.0)</f>
        <v>825</v>
      </c>
      <c r="M546" s="124" t="str">
        <f>IFERROR(__xludf.DUMMYFUNCTION("""COMPUTED_VALUE"""),"New Delhi")</f>
        <v>New Delhi</v>
      </c>
      <c r="N546" s="124" t="str">
        <f>IFERROR(__xludf.DUMMYFUNCTION("""COMPUTED_VALUE"""),"armankujur987@gmail.com")</f>
        <v>armankujur987@gmail.com</v>
      </c>
      <c r="O546" s="124" t="str">
        <f>IFERROR(__xludf.DUMMYFUNCTION("""COMPUTED_VALUE"""),"Arman kujur")</f>
        <v>Arman kujur</v>
      </c>
      <c r="P546" s="124">
        <f>IFERROR(__xludf.DUMMYFUNCTION("""COMPUTED_VALUE"""),133103.0)</f>
        <v>133103</v>
      </c>
      <c r="Q546" s="124" t="str">
        <f>IFERROR(__xludf.DUMMYFUNCTION("""COMPUTED_VALUE"""),"upsc-gs-foundation-hinglish-target-2028-gsf-upsc-e04-orn")</f>
        <v>upsc-gs-foundation-hinglish-target-2028-gsf-upsc-e04-orn</v>
      </c>
      <c r="R546" s="124" t="str">
        <f>IFERROR(__xludf.DUMMYFUNCTION("""COMPUTED_VALUE"""),"GS Foundation Course")</f>
        <v>GS Foundation Course</v>
      </c>
      <c r="S546" s="124">
        <f>IFERROR(__xludf.DUMMYFUNCTION("""COMPUTED_VALUE"""),8.653960948E9)</f>
        <v>8653960948</v>
      </c>
      <c r="T546" s="124" t="str">
        <f>IFERROR(__xludf.DUMMYFUNCTION("""COMPUTED_VALUE"""),"Collexo")</f>
        <v>Collexo</v>
      </c>
      <c r="U546" s="124" t="str">
        <f>IFERROR(__xludf.DUMMYFUNCTION("""COMPUTED_VALUE"""),"Success")</f>
        <v>Success</v>
      </c>
      <c r="V546" s="131">
        <f>IFERROR(__xludf.DUMMYFUNCTION("""COMPUTED_VALUE"""),46110.0)</f>
        <v>46110</v>
      </c>
      <c r="W546" s="124">
        <f>IFERROR(__xludf.DUMMYFUNCTION("""COMPUTED_VALUE"""),0.0)</f>
        <v>0</v>
      </c>
    </row>
    <row r="547">
      <c r="A547" s="124" t="str">
        <f t="shared" si="1"/>
        <v>princesinghrajawat200@gmail.com</v>
      </c>
      <c r="B547" s="131">
        <f>IFERROR(__xludf.DUMMYFUNCTION("""COMPUTED_VALUE"""),46090.0)</f>
        <v>46090</v>
      </c>
      <c r="C547" s="124" t="str">
        <f>IFERROR(__xludf.DUMMYFUNCTION("""COMPUTED_VALUE"""),"Payment data from Collexo")</f>
        <v>Payment data from Collexo</v>
      </c>
      <c r="D547" s="124" t="str">
        <f>IFERROR(__xludf.DUMMYFUNCTION("""COMPUTED_VALUE"""),"Not Available")</f>
        <v>Not Available</v>
      </c>
      <c r="E547" s="124">
        <f>IFERROR(__xludf.DUMMYFUNCTION("""COMPUTED_VALUE"""),1500612.0)</f>
        <v>1500612</v>
      </c>
      <c r="F547" s="124">
        <f>IFERROR(__xludf.DUMMYFUNCTION("""COMPUTED_VALUE"""),125785.0)</f>
        <v>125785</v>
      </c>
      <c r="G547" s="124">
        <f>IFERROR(__xludf.DUMMYFUNCTION("""COMPUTED_VALUE"""),37000.0)</f>
        <v>37000</v>
      </c>
      <c r="H547" s="124" t="str">
        <f>IFERROR(__xludf.DUMMYFUNCTION("""COMPUTED_VALUE"""),"Not Available")</f>
        <v>Not Available</v>
      </c>
      <c r="I547" s="124">
        <f>IFERROR(__xludf.DUMMYFUNCTION("""COMPUTED_VALUE"""),0.0)</f>
        <v>0</v>
      </c>
      <c r="J547" s="124">
        <f>IFERROR(__xludf.DUMMYFUNCTION("""COMPUTED_VALUE"""),39000.0)</f>
        <v>39000</v>
      </c>
      <c r="K547" s="124">
        <f>IFERROR(__xludf.DUMMYFUNCTION("""COMPUTED_VALUE"""),2.0)</f>
        <v>2</v>
      </c>
      <c r="L547" s="124">
        <f>IFERROR(__xludf.DUMMYFUNCTION("""COMPUTED_VALUE"""),449.0)</f>
        <v>449</v>
      </c>
      <c r="M547" s="124" t="str">
        <f>IFERROR(__xludf.DUMMYFUNCTION("""COMPUTED_VALUE"""),"Indore")</f>
        <v>Indore</v>
      </c>
      <c r="N547" s="124" t="str">
        <f>IFERROR(__xludf.DUMMYFUNCTION("""COMPUTED_VALUE"""),"princesinghrajawat200@gmail.com")</f>
        <v>princesinghrajawat200@gmail.com</v>
      </c>
      <c r="O547" s="124" t="str">
        <f>IFERROR(__xludf.DUMMYFUNCTION("""COMPUTED_VALUE"""),"Prince singh rajawat")</f>
        <v>Prince singh rajawat</v>
      </c>
      <c r="P547" s="124">
        <f>IFERROR(__xludf.DUMMYFUNCTION("""COMPUTED_VALUE"""),125785.0)</f>
        <v>125785</v>
      </c>
      <c r="Q547" s="124" t="str">
        <f>IFERROR(__xludf.DUMMYFUNCTION("""COMPUTED_VALUE"""),"madhya-pradesh-psc-gs-foundation-2027-p2i-offline-hindi-batch-2-e-ind")</f>
        <v>madhya-pradesh-psc-gs-foundation-2027-p2i-offline-hindi-batch-2-e-ind</v>
      </c>
      <c r="R547" s="124" t="str">
        <f>IFERROR(__xludf.DUMMYFUNCTION("""COMPUTED_VALUE"""),"GS Foundation Course")</f>
        <v>GS Foundation Course</v>
      </c>
      <c r="S547" s="124">
        <f>IFERROR(__xludf.DUMMYFUNCTION("""COMPUTED_VALUE"""),7.747849792E9)</f>
        <v>7747849792</v>
      </c>
      <c r="T547" s="124" t="str">
        <f>IFERROR(__xludf.DUMMYFUNCTION("""COMPUTED_VALUE"""),"Not Available")</f>
        <v>Not Available</v>
      </c>
      <c r="U547" s="124" t="str">
        <f>IFERROR(__xludf.DUMMYFUNCTION("""COMPUTED_VALUE"""),"Not Available")</f>
        <v>Not Available</v>
      </c>
      <c r="V547" s="124" t="str">
        <f>IFERROR(__xludf.DUMMYFUNCTION("""COMPUTED_VALUE"""),"Not Available")</f>
        <v>Not Available</v>
      </c>
      <c r="W547" s="124" t="str">
        <f>IFERROR(__xludf.DUMMYFUNCTION("""COMPUTED_VALUE"""),"Not Available")</f>
        <v>Not Available</v>
      </c>
    </row>
    <row r="548">
      <c r="A548" s="124" t="str">
        <f t="shared" si="1"/>
        <v>23kartiksinghal@gmail.com</v>
      </c>
      <c r="B548" s="131">
        <f>IFERROR(__xludf.DUMMYFUNCTION("""COMPUTED_VALUE"""),46096.0)</f>
        <v>46096</v>
      </c>
      <c r="C548" s="124" t="str">
        <f>IFERROR(__xludf.DUMMYFUNCTION("""COMPUTED_VALUE"""),"Payment data from Collexo")</f>
        <v>Payment data from Collexo</v>
      </c>
      <c r="D548" s="124" t="str">
        <f>IFERROR(__xludf.DUMMYFUNCTION("""COMPUTED_VALUE"""),"Not Available")</f>
        <v>Not Available</v>
      </c>
      <c r="E548" s="124">
        <f>IFERROR(__xludf.DUMMYFUNCTION("""COMPUTED_VALUE"""),1500609.0)</f>
        <v>1500609</v>
      </c>
      <c r="F548" s="124" t="str">
        <f>IFERROR(__xludf.DUMMYFUNCTION("""COMPUTED_VALUE"""),"14440_988_7")</f>
        <v>14440_988_7</v>
      </c>
      <c r="G548" s="124">
        <f>IFERROR(__xludf.DUMMYFUNCTION("""COMPUTED_VALUE"""),320.0)</f>
        <v>320</v>
      </c>
      <c r="H548" s="131">
        <f>IFERROR(__xludf.DUMMYFUNCTION("""COMPUTED_VALUE"""),46112.0)</f>
        <v>46112</v>
      </c>
      <c r="I548" s="124">
        <f>IFERROR(__xludf.DUMMYFUNCTION("""COMPUTED_VALUE"""),87680.0)</f>
        <v>87680</v>
      </c>
      <c r="J548" s="124">
        <f>IFERROR(__xludf.DUMMYFUNCTION("""COMPUTED_VALUE"""),110000.0)</f>
        <v>110000</v>
      </c>
      <c r="K548" s="124">
        <f>IFERROR(__xludf.DUMMYFUNCTION("""COMPUTED_VALUE"""),3.0)</f>
        <v>3</v>
      </c>
      <c r="L548" s="124">
        <f>IFERROR(__xludf.DUMMYFUNCTION("""COMPUTED_VALUE"""),554.0)</f>
        <v>554</v>
      </c>
      <c r="M548" s="124" t="str">
        <f>IFERROR(__xludf.DUMMYFUNCTION("""COMPUTED_VALUE"""),"New Delhi")</f>
        <v>New Delhi</v>
      </c>
      <c r="N548" s="124" t="str">
        <f>IFERROR(__xludf.DUMMYFUNCTION("""COMPUTED_VALUE"""),"23kartiksinghal@gmail.com")</f>
        <v>23kartiksinghal@gmail.com</v>
      </c>
      <c r="O548" s="124" t="str">
        <f>IFERROR(__xludf.DUMMYFUNCTION("""COMPUTED_VALUE"""),"Kartik Singh")</f>
        <v>Kartik Singh</v>
      </c>
      <c r="P548" s="124">
        <f>IFERROR(__xludf.DUMMYFUNCTION("""COMPUTED_VALUE"""),81903.0)</f>
        <v>81903</v>
      </c>
      <c r="Q548" s="124" t="str">
        <f>IFERROR(__xludf.DUMMYFUNCTION("""COMPUTED_VALUE"""),"upsc-gs-foundation-hinglish-target-2027-gsf-upsc-e03-orn")</f>
        <v>upsc-gs-foundation-hinglish-target-2027-gsf-upsc-e03-orn</v>
      </c>
      <c r="R548" s="124" t="str">
        <f>IFERROR(__xludf.DUMMYFUNCTION("""COMPUTED_VALUE"""),"GS Foundation Course")</f>
        <v>GS Foundation Course</v>
      </c>
      <c r="S548" s="124">
        <f>IFERROR(__xludf.DUMMYFUNCTION("""COMPUTED_VALUE"""),9.71108374E9)</f>
        <v>9711083740</v>
      </c>
      <c r="T548" s="124" t="str">
        <f>IFERROR(__xludf.DUMMYFUNCTION("""COMPUTED_VALUE"""),"Collexo")</f>
        <v>Collexo</v>
      </c>
      <c r="U548" s="124" t="str">
        <f>IFERROR(__xludf.DUMMYFUNCTION("""COMPUTED_VALUE"""),"Success")</f>
        <v>Success</v>
      </c>
      <c r="V548" s="131">
        <f>IFERROR(__xludf.DUMMYFUNCTION("""COMPUTED_VALUE"""),46096.0)</f>
        <v>46096</v>
      </c>
      <c r="W548" s="124">
        <f>IFERROR(__xludf.DUMMYFUNCTION("""COMPUTED_VALUE"""),0.0)</f>
        <v>0</v>
      </c>
    </row>
    <row r="549">
      <c r="A549" s="124" t="str">
        <f t="shared" si="1"/>
        <v>shiki_mig25@gmail.com</v>
      </c>
      <c r="B549" s="131">
        <f>IFERROR(__xludf.DUMMYFUNCTION("""COMPUTED_VALUE"""),46072.0)</f>
        <v>46072</v>
      </c>
      <c r="C549" s="124" t="str">
        <f>IFERROR(__xludf.DUMMYFUNCTION("""COMPUTED_VALUE"""),"Payment data from Collexo")</f>
        <v>Payment data from Collexo</v>
      </c>
      <c r="D549" s="124" t="str">
        <f>IFERROR(__xludf.DUMMYFUNCTION("""COMPUTED_VALUE"""),"Not Available")</f>
        <v>Not Available</v>
      </c>
      <c r="E549" s="124">
        <f>IFERROR(__xludf.DUMMYFUNCTION("""COMPUTED_VALUE"""),1500609.0)</f>
        <v>1500609</v>
      </c>
      <c r="F549" s="124" t="str">
        <f>IFERROR(__xludf.DUMMYFUNCTION("""COMPUTED_VALUE"""),"6402_988_7")</f>
        <v>6402_988_7</v>
      </c>
      <c r="G549" s="124">
        <f>IFERROR(__xludf.DUMMYFUNCTION("""COMPUTED_VALUE"""),1.0)</f>
        <v>1</v>
      </c>
      <c r="H549" s="124" t="str">
        <f>IFERROR(__xludf.DUMMYFUNCTION("""COMPUTED_VALUE"""),"Not Available")</f>
        <v>Not Available</v>
      </c>
      <c r="I549" s="124">
        <f>IFERROR(__xludf.DUMMYFUNCTION("""COMPUTED_VALUE"""),0.0)</f>
        <v>0</v>
      </c>
      <c r="J549" s="124">
        <f>IFERROR(__xludf.DUMMYFUNCTION("""COMPUTED_VALUE"""),1.0)</f>
        <v>1</v>
      </c>
      <c r="K549" s="124">
        <f>IFERROR(__xludf.DUMMYFUNCTION("""COMPUTED_VALUE"""),1.0)</f>
        <v>1</v>
      </c>
      <c r="L549" s="124">
        <f>IFERROR(__xludf.DUMMYFUNCTION("""COMPUTED_VALUE"""),255.0)</f>
        <v>255</v>
      </c>
      <c r="M549" s="124" t="str">
        <f>IFERROR(__xludf.DUMMYFUNCTION("""COMPUTED_VALUE"""),"New Delhi")</f>
        <v>New Delhi</v>
      </c>
      <c r="N549" s="124" t="str">
        <f>IFERROR(__xludf.DUMMYFUNCTION("""COMPUTED_VALUE"""),"shiki_mig25@gmail.com")</f>
        <v>shiki_mig25@gmail.com</v>
      </c>
      <c r="O549" s="124" t="str">
        <f>IFERROR(__xludf.DUMMYFUNCTION("""COMPUTED_VALUE"""),"Shrikant")</f>
        <v>Shrikant</v>
      </c>
      <c r="P549" s="124">
        <f>IFERROR(__xludf.DUMMYFUNCTION("""COMPUTED_VALUE"""),81939.0)</f>
        <v>81939</v>
      </c>
      <c r="Q549" s="124" t="str">
        <f>IFERROR(__xludf.DUMMYFUNCTION("""COMPUTED_VALUE"""),"ncert-foundation-hinglish-target-2026-nce-upsc-e01-orn")</f>
        <v>ncert-foundation-hinglish-target-2026-nce-upsc-e01-orn</v>
      </c>
      <c r="R549" s="124" t="str">
        <f>IFERROR(__xludf.DUMMYFUNCTION("""COMPUTED_VALUE"""),"GS Foundation Course")</f>
        <v>GS Foundation Course</v>
      </c>
      <c r="S549" s="124">
        <f>IFERROR(__xludf.DUMMYFUNCTION("""COMPUTED_VALUE"""),9.643355612E9)</f>
        <v>9643355612</v>
      </c>
      <c r="T549" s="124" t="str">
        <f>IFERROR(__xludf.DUMMYFUNCTION("""COMPUTED_VALUE"""),"Collexo")</f>
        <v>Collexo</v>
      </c>
      <c r="U549" s="124" t="str">
        <f>IFERROR(__xludf.DUMMYFUNCTION("""COMPUTED_VALUE"""),"Success")</f>
        <v>Success</v>
      </c>
      <c r="V549" s="131">
        <f>IFERROR(__xludf.DUMMYFUNCTION("""COMPUTED_VALUE"""),46072.0)</f>
        <v>46072</v>
      </c>
      <c r="W549" s="124">
        <f>IFERROR(__xludf.DUMMYFUNCTION("""COMPUTED_VALUE"""),0.0)</f>
        <v>0</v>
      </c>
    </row>
    <row r="550">
      <c r="A550" s="124" t="str">
        <f t="shared" si="1"/>
        <v>amitchakraborty2801@gmail.com</v>
      </c>
      <c r="B550" s="131">
        <f>IFERROR(__xludf.DUMMYFUNCTION("""COMPUTED_VALUE"""),46098.0)</f>
        <v>46098</v>
      </c>
      <c r="C550" s="124" t="str">
        <f>IFERROR(__xludf.DUMMYFUNCTION("""COMPUTED_VALUE"""),"Payment data from Collexo")</f>
        <v>Payment data from Collexo</v>
      </c>
      <c r="D550" s="124" t="str">
        <f>IFERROR(__xludf.DUMMYFUNCTION("""COMPUTED_VALUE"""),"Not Available")</f>
        <v>Not Available</v>
      </c>
      <c r="E550" s="124">
        <f>IFERROR(__xludf.DUMMYFUNCTION("""COMPUTED_VALUE"""),1500610.0)</f>
        <v>1500610</v>
      </c>
      <c r="F550" s="124">
        <f>IFERROR(__xludf.DUMMYFUNCTION("""COMPUTED_VALUE"""),128775.0)</f>
        <v>128775</v>
      </c>
      <c r="G550" s="124">
        <f>IFERROR(__xludf.DUMMYFUNCTION("""COMPUTED_VALUE"""),25000.0)</f>
        <v>25000</v>
      </c>
      <c r="H550" s="124" t="str">
        <f>IFERROR(__xludf.DUMMYFUNCTION("""COMPUTED_VALUE"""),"Not Available")</f>
        <v>Not Available</v>
      </c>
      <c r="I550" s="124">
        <f>IFERROR(__xludf.DUMMYFUNCTION("""COMPUTED_VALUE"""),0.0)</f>
        <v>0</v>
      </c>
      <c r="J550" s="124">
        <f>IFERROR(__xludf.DUMMYFUNCTION("""COMPUTED_VALUE"""),25000.0)</f>
        <v>25000</v>
      </c>
      <c r="K550" s="124">
        <f>IFERROR(__xludf.DUMMYFUNCTION("""COMPUTED_VALUE"""),1.0)</f>
        <v>1</v>
      </c>
      <c r="L550" s="124">
        <f>IFERROR(__xludf.DUMMYFUNCTION("""COMPUTED_VALUE"""),582.0)</f>
        <v>582</v>
      </c>
      <c r="M550" s="124" t="str">
        <f>IFERROR(__xludf.DUMMYFUNCTION("""COMPUTED_VALUE"""),"Lucknow")</f>
        <v>Lucknow</v>
      </c>
      <c r="N550" s="124" t="str">
        <f>IFERROR(__xludf.DUMMYFUNCTION("""COMPUTED_VALUE"""),"amitchakraborty2801@gmail.com")</f>
        <v>amitchakraborty2801@gmail.com</v>
      </c>
      <c r="O550" s="124" t="str">
        <f>IFERROR(__xludf.DUMMYFUNCTION("""COMPUTED_VALUE"""),"Amit")</f>
        <v>Amit</v>
      </c>
      <c r="P550" s="124">
        <f>IFERROR(__xludf.DUMMYFUNCTION("""COMPUTED_VALUE"""),128775.0)</f>
        <v>128775</v>
      </c>
      <c r="Q550" s="124" t="str">
        <f>IFERROR(__xludf.DUMMYFUNCTION("""COMPUTED_VALUE"""),"Not Available")</f>
        <v>Not Available</v>
      </c>
      <c r="R550" s="124" t="str">
        <f>IFERROR(__xludf.DUMMYFUNCTION("""COMPUTED_VALUE"""),"GS Foundation Course")</f>
        <v>GS Foundation Course</v>
      </c>
      <c r="S550" s="124">
        <f>IFERROR(__xludf.DUMMYFUNCTION("""COMPUTED_VALUE"""),9.348009702E9)</f>
        <v>9348009702</v>
      </c>
      <c r="T550" s="124" t="str">
        <f>IFERROR(__xludf.DUMMYFUNCTION("""COMPUTED_VALUE"""),"Not Available")</f>
        <v>Not Available</v>
      </c>
      <c r="U550" s="124" t="str">
        <f>IFERROR(__xludf.DUMMYFUNCTION("""COMPUTED_VALUE"""),"Not Available")</f>
        <v>Not Available</v>
      </c>
      <c r="V550" s="124" t="str">
        <f>IFERROR(__xludf.DUMMYFUNCTION("""COMPUTED_VALUE"""),"Not Available")</f>
        <v>Not Available</v>
      </c>
      <c r="W550" s="124" t="str">
        <f>IFERROR(__xludf.DUMMYFUNCTION("""COMPUTED_VALUE"""),"Not Available")</f>
        <v>Not Available</v>
      </c>
    </row>
    <row r="551">
      <c r="A551" s="124" t="str">
        <f t="shared" si="1"/>
        <v>aradhyaagrawal79872@gmail.com</v>
      </c>
      <c r="B551" s="131">
        <f>IFERROR(__xludf.DUMMYFUNCTION("""COMPUTED_VALUE"""),46097.0)</f>
        <v>46097</v>
      </c>
      <c r="C551" s="124" t="str">
        <f>IFERROR(__xludf.DUMMYFUNCTION("""COMPUTED_VALUE"""),"Payment data from Collexo")</f>
        <v>Payment data from Collexo</v>
      </c>
      <c r="D551" s="124" t="str">
        <f>IFERROR(__xludf.DUMMYFUNCTION("""COMPUTED_VALUE"""),"Not Available")</f>
        <v>Not Available</v>
      </c>
      <c r="E551" s="124">
        <f>IFERROR(__xludf.DUMMYFUNCTION("""COMPUTED_VALUE"""),1500610.0)</f>
        <v>1500610</v>
      </c>
      <c r="F551" s="124">
        <f>IFERROR(__xludf.DUMMYFUNCTION("""COMPUTED_VALUE"""),127632.0)</f>
        <v>127632</v>
      </c>
      <c r="G551" s="124">
        <f>IFERROR(__xludf.DUMMYFUNCTION("""COMPUTED_VALUE"""),5000.0)</f>
        <v>5000</v>
      </c>
      <c r="H551" s="131">
        <f>IFERROR(__xludf.DUMMYFUNCTION("""COMPUTED_VALUE"""),46112.0)</f>
        <v>46112</v>
      </c>
      <c r="I551" s="124">
        <f>IFERROR(__xludf.DUMMYFUNCTION("""COMPUTED_VALUE"""),50000.0)</f>
        <v>50000</v>
      </c>
      <c r="J551" s="124">
        <f>IFERROR(__xludf.DUMMYFUNCTION("""COMPUTED_VALUE"""),55000.0)</f>
        <v>55000</v>
      </c>
      <c r="K551" s="124">
        <f>IFERROR(__xludf.DUMMYFUNCTION("""COMPUTED_VALUE"""),2.0)</f>
        <v>2</v>
      </c>
      <c r="L551" s="124">
        <f>IFERROR(__xludf.DUMMYFUNCTION("""COMPUTED_VALUE"""),566.0)</f>
        <v>566</v>
      </c>
      <c r="M551" s="124" t="str">
        <f>IFERROR(__xludf.DUMMYFUNCTION("""COMPUTED_VALUE"""),"Lucknow")</f>
        <v>Lucknow</v>
      </c>
      <c r="N551" s="124" t="str">
        <f>IFERROR(__xludf.DUMMYFUNCTION("""COMPUTED_VALUE"""),"aradhyaagrawal79872@gmail.com")</f>
        <v>aradhyaagrawal79872@gmail.com</v>
      </c>
      <c r="O551" s="124" t="str">
        <f>IFERROR(__xludf.DUMMYFUNCTION("""COMPUTED_VALUE"""),"Aradhya Agarwal")</f>
        <v>Aradhya Agarwal</v>
      </c>
      <c r="P551" s="124">
        <f>IFERROR(__xludf.DUMMYFUNCTION("""COMPUTED_VALUE"""),127632.0)</f>
        <v>127632</v>
      </c>
      <c r="Q551" s="124" t="str">
        <f>IFERROR(__xludf.DUMMYFUNCTION("""COMPUTED_VALUE"""),"Not Available")</f>
        <v>Not Available</v>
      </c>
      <c r="R551" s="124" t="str">
        <f>IFERROR(__xludf.DUMMYFUNCTION("""COMPUTED_VALUE"""),"GS Foundation Course")</f>
        <v>GS Foundation Course</v>
      </c>
      <c r="S551" s="124">
        <f>IFERROR(__xludf.DUMMYFUNCTION("""COMPUTED_VALUE"""),8.318484017E9)</f>
        <v>8318484017</v>
      </c>
      <c r="T551" s="124" t="str">
        <f>IFERROR(__xludf.DUMMYFUNCTION("""COMPUTED_VALUE"""),"Not Available")</f>
        <v>Not Available</v>
      </c>
      <c r="U551" s="124" t="str">
        <f>IFERROR(__xludf.DUMMYFUNCTION("""COMPUTED_VALUE"""),"Not Available")</f>
        <v>Not Available</v>
      </c>
      <c r="V551" s="124" t="str">
        <f>IFERROR(__xludf.DUMMYFUNCTION("""COMPUTED_VALUE"""),"Not Available")</f>
        <v>Not Available</v>
      </c>
      <c r="W551" s="124" t="str">
        <f>IFERROR(__xludf.DUMMYFUNCTION("""COMPUTED_VALUE"""),"Not Available")</f>
        <v>Not Available</v>
      </c>
    </row>
    <row r="552">
      <c r="A552" s="124" t="str">
        <f t="shared" si="1"/>
        <v>chinthamavaneesh1704@gmail.com</v>
      </c>
      <c r="B552" s="131">
        <f>IFERROR(__xludf.DUMMYFUNCTION("""COMPUTED_VALUE"""),46090.0)</f>
        <v>46090</v>
      </c>
      <c r="C552" s="124" t="str">
        <f>IFERROR(__xludf.DUMMYFUNCTION("""COMPUTED_VALUE"""),"Payment data from Collexo")</f>
        <v>Payment data from Collexo</v>
      </c>
      <c r="D552" s="124" t="str">
        <f>IFERROR(__xludf.DUMMYFUNCTION("""COMPUTED_VALUE"""),"Not Available")</f>
        <v>Not Available</v>
      </c>
      <c r="E552" s="124">
        <f>IFERROR(__xludf.DUMMYFUNCTION("""COMPUTED_VALUE"""),1500609.0)</f>
        <v>1500609</v>
      </c>
      <c r="F552" s="124" t="str">
        <f>IFERROR(__xludf.DUMMYFUNCTION("""COMPUTED_VALUE"""),"13265_988_7")</f>
        <v>13265_988_7</v>
      </c>
      <c r="G552" s="124">
        <f>IFERROR(__xludf.DUMMYFUNCTION("""COMPUTED_VALUE"""),1.0)</f>
        <v>1</v>
      </c>
      <c r="H552" s="124" t="str">
        <f>IFERROR(__xludf.DUMMYFUNCTION("""COMPUTED_VALUE"""),"Not Available")</f>
        <v>Not Available</v>
      </c>
      <c r="I552" s="124">
        <f>IFERROR(__xludf.DUMMYFUNCTION("""COMPUTED_VALUE"""),0.0)</f>
        <v>0</v>
      </c>
      <c r="J552" s="124">
        <f>IFERROR(__xludf.DUMMYFUNCTION("""COMPUTED_VALUE"""),1.0)</f>
        <v>1</v>
      </c>
      <c r="K552" s="124">
        <f>IFERROR(__xludf.DUMMYFUNCTION("""COMPUTED_VALUE"""),1.0)</f>
        <v>1</v>
      </c>
      <c r="L552" s="124">
        <f>IFERROR(__xludf.DUMMYFUNCTION("""COMPUTED_VALUE"""),452.0)</f>
        <v>452</v>
      </c>
      <c r="M552" s="124" t="str">
        <f>IFERROR(__xludf.DUMMYFUNCTION("""COMPUTED_VALUE"""),"New Delhi")</f>
        <v>New Delhi</v>
      </c>
      <c r="N552" s="124" t="str">
        <f>IFERROR(__xludf.DUMMYFUNCTION("""COMPUTED_VALUE"""),"chinthamavaneesh1704@gmail.com")</f>
        <v>chinthamavaneesh1704@gmail.com</v>
      </c>
      <c r="O552" s="124" t="str">
        <f>IFERROR(__xludf.DUMMYFUNCTION("""COMPUTED_VALUE"""),"Chintham Avaneesh")</f>
        <v>Chintham Avaneesh</v>
      </c>
      <c r="P552" s="124">
        <f>IFERROR(__xludf.DUMMYFUNCTION("""COMPUTED_VALUE"""),126202.0)</f>
        <v>126202</v>
      </c>
      <c r="Q552" s="124" t="str">
        <f>IFERROR(__xludf.DUMMYFUNCTION("""COMPUTED_VALUE"""),"upsc-gs-foundation-hinglish-target-2027-gsf-upsc-e05-orn")</f>
        <v>upsc-gs-foundation-hinglish-target-2027-gsf-upsc-e05-orn</v>
      </c>
      <c r="R552" s="124" t="str">
        <f>IFERROR(__xludf.DUMMYFUNCTION("""COMPUTED_VALUE"""),"GS Foundation Course")</f>
        <v>GS Foundation Course</v>
      </c>
      <c r="S552" s="124">
        <f>IFERROR(__xludf.DUMMYFUNCTION("""COMPUTED_VALUE"""),6.302647716E9)</f>
        <v>6302647716</v>
      </c>
      <c r="T552" s="124" t="str">
        <f>IFERROR(__xludf.DUMMYFUNCTION("""COMPUTED_VALUE"""),"Collexo")</f>
        <v>Collexo</v>
      </c>
      <c r="U552" s="124" t="str">
        <f>IFERROR(__xludf.DUMMYFUNCTION("""COMPUTED_VALUE"""),"Success")</f>
        <v>Success</v>
      </c>
      <c r="V552" s="131">
        <f>IFERROR(__xludf.DUMMYFUNCTION("""COMPUTED_VALUE"""),46090.0)</f>
        <v>46090</v>
      </c>
      <c r="W552" s="124">
        <f>IFERROR(__xludf.DUMMYFUNCTION("""COMPUTED_VALUE"""),0.0)</f>
        <v>0</v>
      </c>
    </row>
    <row r="553">
      <c r="A553" s="124" t="str">
        <f t="shared" si="1"/>
        <v>tdhkrishnagupta11@gmail.com</v>
      </c>
      <c r="B553" s="131">
        <f>IFERROR(__xludf.DUMMYFUNCTION("""COMPUTED_VALUE"""),46104.0)</f>
        <v>46104</v>
      </c>
      <c r="C553" s="124" t="str">
        <f>IFERROR(__xludf.DUMMYFUNCTION("""COMPUTED_VALUE"""),"Payment data from Collexo")</f>
        <v>Payment data from Collexo</v>
      </c>
      <c r="D553" s="124" t="str">
        <f>IFERROR(__xludf.DUMMYFUNCTION("""COMPUTED_VALUE"""),"Not Available")</f>
        <v>Not Available</v>
      </c>
      <c r="E553" s="124">
        <f>IFERROR(__xludf.DUMMYFUNCTION("""COMPUTED_VALUE"""),1500610.0)</f>
        <v>1500610</v>
      </c>
      <c r="F553" s="124">
        <f>IFERROR(__xludf.DUMMYFUNCTION("""COMPUTED_VALUE"""),130049.0)</f>
        <v>130049</v>
      </c>
      <c r="G553" s="124">
        <f>IFERROR(__xludf.DUMMYFUNCTION("""COMPUTED_VALUE"""),2000.0)</f>
        <v>2000</v>
      </c>
      <c r="H553" s="131">
        <f>IFERROR(__xludf.DUMMYFUNCTION("""COMPUTED_VALUE"""),46104.0)</f>
        <v>46104</v>
      </c>
      <c r="I553" s="124">
        <f>IFERROR(__xludf.DUMMYFUNCTION("""COMPUTED_VALUE"""),2000.0)</f>
        <v>2000</v>
      </c>
      <c r="J553" s="124">
        <f>IFERROR(__xludf.DUMMYFUNCTION("""COMPUTED_VALUE"""),50000.0)</f>
        <v>50000</v>
      </c>
      <c r="K553" s="124">
        <f>IFERROR(__xludf.DUMMYFUNCTION("""COMPUTED_VALUE"""),4.0)</f>
        <v>4</v>
      </c>
      <c r="L553" s="124">
        <f>IFERROR(__xludf.DUMMYFUNCTION("""COMPUTED_VALUE"""),692.0)</f>
        <v>692</v>
      </c>
      <c r="M553" s="124" t="str">
        <f>IFERROR(__xludf.DUMMYFUNCTION("""COMPUTED_VALUE"""),"Lucknow")</f>
        <v>Lucknow</v>
      </c>
      <c r="N553" s="124" t="str">
        <f>IFERROR(__xludf.DUMMYFUNCTION("""COMPUTED_VALUE"""),"tdhkrishnagupta11@gmail.com")</f>
        <v>tdhkrishnagupta11@gmail.com</v>
      </c>
      <c r="O553" s="124" t="str">
        <f>IFERROR(__xludf.DUMMYFUNCTION("""COMPUTED_VALUE"""),"Krishna")</f>
        <v>Krishna</v>
      </c>
      <c r="P553" s="124">
        <f>IFERROR(__xludf.DUMMYFUNCTION("""COMPUTED_VALUE"""),130049.0)</f>
        <v>130049</v>
      </c>
      <c r="Q553" s="124" t="str">
        <f>IFERROR(__xludf.DUMMYFUNCTION("""COMPUTED_VALUE"""),"Not Available")</f>
        <v>Not Available</v>
      </c>
      <c r="R553" s="124" t="str">
        <f>IFERROR(__xludf.DUMMYFUNCTION("""COMPUTED_VALUE"""),"GS Foundation Course")</f>
        <v>GS Foundation Course</v>
      </c>
      <c r="S553" s="124">
        <f>IFERROR(__xludf.DUMMYFUNCTION("""COMPUTED_VALUE"""),7.991314106E9)</f>
        <v>7991314106</v>
      </c>
      <c r="T553" s="124" t="str">
        <f>IFERROR(__xludf.DUMMYFUNCTION("""COMPUTED_VALUE"""),"Not Available")</f>
        <v>Not Available</v>
      </c>
      <c r="U553" s="124" t="str">
        <f>IFERROR(__xludf.DUMMYFUNCTION("""COMPUTED_VALUE"""),"Not Available")</f>
        <v>Not Available</v>
      </c>
      <c r="V553" s="124" t="str">
        <f>IFERROR(__xludf.DUMMYFUNCTION("""COMPUTED_VALUE"""),"Not Available")</f>
        <v>Not Available</v>
      </c>
      <c r="W553" s="124" t="str">
        <f>IFERROR(__xludf.DUMMYFUNCTION("""COMPUTED_VALUE"""),"Not Available")</f>
        <v>Not Available</v>
      </c>
    </row>
    <row r="554">
      <c r="A554" s="124" t="str">
        <f t="shared" si="1"/>
        <v>armankujur987@gmail.com</v>
      </c>
      <c r="B554" s="131">
        <f>IFERROR(__xludf.DUMMYFUNCTION("""COMPUTED_VALUE"""),46106.0)</f>
        <v>46106</v>
      </c>
      <c r="C554" s="124" t="str">
        <f>IFERROR(__xludf.DUMMYFUNCTION("""COMPUTED_VALUE"""),"Payment data from Collexo")</f>
        <v>Payment data from Collexo</v>
      </c>
      <c r="D554" s="124" t="str">
        <f>IFERROR(__xludf.DUMMYFUNCTION("""COMPUTED_VALUE"""),"Not Available")</f>
        <v>Not Available</v>
      </c>
      <c r="E554" s="124">
        <f>IFERROR(__xludf.DUMMYFUNCTION("""COMPUTED_VALUE"""),1500609.0)</f>
        <v>1500609</v>
      </c>
      <c r="F554" s="124" t="str">
        <f>IFERROR(__xludf.DUMMYFUNCTION("""COMPUTED_VALUE"""),"16450_988_7")</f>
        <v>16450_988_7</v>
      </c>
      <c r="G554" s="124">
        <f>IFERROR(__xludf.DUMMYFUNCTION("""COMPUTED_VALUE"""),1.0)</f>
        <v>1</v>
      </c>
      <c r="H554" s="124" t="str">
        <f>IFERROR(__xludf.DUMMYFUNCTION("""COMPUTED_VALUE"""),"Not Available")</f>
        <v>Not Available</v>
      </c>
      <c r="I554" s="124">
        <f>IFERROR(__xludf.DUMMYFUNCTION("""COMPUTED_VALUE"""),0.0)</f>
        <v>0</v>
      </c>
      <c r="J554" s="124">
        <f>IFERROR(__xludf.DUMMYFUNCTION("""COMPUTED_VALUE"""),1.0)</f>
        <v>1</v>
      </c>
      <c r="K554" s="124">
        <f>IFERROR(__xludf.DUMMYFUNCTION("""COMPUTED_VALUE"""),1.0)</f>
        <v>1</v>
      </c>
      <c r="L554" s="124">
        <f>IFERROR(__xludf.DUMMYFUNCTION("""COMPUTED_VALUE"""),717.0)</f>
        <v>717</v>
      </c>
      <c r="M554" s="124" t="str">
        <f>IFERROR(__xludf.DUMMYFUNCTION("""COMPUTED_VALUE"""),"New Delhi")</f>
        <v>New Delhi</v>
      </c>
      <c r="N554" s="124" t="str">
        <f>IFERROR(__xludf.DUMMYFUNCTION("""COMPUTED_VALUE"""),"armankujur987@gmail.com")</f>
        <v>armankujur987@gmail.com</v>
      </c>
      <c r="O554" s="124" t="str">
        <f>IFERROR(__xludf.DUMMYFUNCTION("""COMPUTED_VALUE"""),"Arman kujur")</f>
        <v>Arman kujur</v>
      </c>
      <c r="P554" s="124">
        <f>IFERROR(__xludf.DUMMYFUNCTION("""COMPUTED_VALUE"""),133103.0)</f>
        <v>133103</v>
      </c>
      <c r="Q554" s="124" t="str">
        <f>IFERROR(__xludf.DUMMYFUNCTION("""COMPUTED_VALUE"""),"upsc-gs-foundation-hinglish-target-2028-gsf-upsc-e04-orn")</f>
        <v>upsc-gs-foundation-hinglish-target-2028-gsf-upsc-e04-orn</v>
      </c>
      <c r="R554" s="124" t="str">
        <f>IFERROR(__xludf.DUMMYFUNCTION("""COMPUTED_VALUE"""),"GS Foundation Course")</f>
        <v>GS Foundation Course</v>
      </c>
      <c r="S554" s="124">
        <f>IFERROR(__xludf.DUMMYFUNCTION("""COMPUTED_VALUE"""),8.653960948E9)</f>
        <v>8653960948</v>
      </c>
      <c r="T554" s="124" t="str">
        <f>IFERROR(__xludf.DUMMYFUNCTION("""COMPUTED_VALUE"""),"Collexo")</f>
        <v>Collexo</v>
      </c>
      <c r="U554" s="124" t="str">
        <f>IFERROR(__xludf.DUMMYFUNCTION("""COMPUTED_VALUE"""),"Success")</f>
        <v>Success</v>
      </c>
      <c r="V554" s="131">
        <f>IFERROR(__xludf.DUMMYFUNCTION("""COMPUTED_VALUE"""),46106.0)</f>
        <v>46106</v>
      </c>
      <c r="W554" s="124">
        <f>IFERROR(__xludf.DUMMYFUNCTION("""COMPUTED_VALUE"""),0.0)</f>
        <v>0</v>
      </c>
    </row>
    <row r="555">
      <c r="A555" s="124" t="str">
        <f t="shared" si="1"/>
        <v>vivekkajla168@gmail.com</v>
      </c>
      <c r="B555" s="131">
        <f>IFERROR(__xludf.DUMMYFUNCTION("""COMPUTED_VALUE"""),46106.0)</f>
        <v>46106</v>
      </c>
      <c r="C555" s="124" t="str">
        <f>IFERROR(__xludf.DUMMYFUNCTION("""COMPUTED_VALUE"""),"Payment data from Collexo")</f>
        <v>Payment data from Collexo</v>
      </c>
      <c r="D555" s="124" t="str">
        <f>IFERROR(__xludf.DUMMYFUNCTION("""COMPUTED_VALUE"""),"Not Available")</f>
        <v>Not Available</v>
      </c>
      <c r="E555" s="124">
        <f>IFERROR(__xludf.DUMMYFUNCTION("""COMPUTED_VALUE"""),1500609.0)</f>
        <v>1500609</v>
      </c>
      <c r="F555" s="124" t="str">
        <f>IFERROR(__xludf.DUMMYFUNCTION("""COMPUTED_VALUE"""),"16563_988_7")</f>
        <v>16563_988_7</v>
      </c>
      <c r="G555" s="124">
        <f>IFERROR(__xludf.DUMMYFUNCTION("""COMPUTED_VALUE"""),5000.0)</f>
        <v>5000</v>
      </c>
      <c r="H555" s="131">
        <f>IFERROR(__xludf.DUMMYFUNCTION("""COMPUTED_VALUE"""),46112.0)</f>
        <v>46112</v>
      </c>
      <c r="I555" s="124">
        <f>IFERROR(__xludf.DUMMYFUNCTION("""COMPUTED_VALUE"""),120000.0)</f>
        <v>120000</v>
      </c>
      <c r="J555" s="124">
        <f>IFERROR(__xludf.DUMMYFUNCTION("""COMPUTED_VALUE"""),125000.0)</f>
        <v>125000</v>
      </c>
      <c r="K555" s="124">
        <f>IFERROR(__xludf.DUMMYFUNCTION("""COMPUTED_VALUE"""),2.0)</f>
        <v>2</v>
      </c>
      <c r="L555" s="124">
        <f>IFERROR(__xludf.DUMMYFUNCTION("""COMPUTED_VALUE"""),746.0)</f>
        <v>746</v>
      </c>
      <c r="M555" s="124" t="str">
        <f>IFERROR(__xludf.DUMMYFUNCTION("""COMPUTED_VALUE"""),"New Delhi")</f>
        <v>New Delhi</v>
      </c>
      <c r="N555" s="124" t="str">
        <f>IFERROR(__xludf.DUMMYFUNCTION("""COMPUTED_VALUE"""),"vivekkajla168@gmail.com")</f>
        <v>vivekkajla168@gmail.com</v>
      </c>
      <c r="O555" s="124" t="str">
        <f>IFERROR(__xludf.DUMMYFUNCTION("""COMPUTED_VALUE"""),"VIVEK KAJLA")</f>
        <v>VIVEK KAJLA</v>
      </c>
      <c r="P555" s="124">
        <f>IFERROR(__xludf.DUMMYFUNCTION("""COMPUTED_VALUE"""),133189.0)</f>
        <v>133189</v>
      </c>
      <c r="Q555" s="124" t="str">
        <f>IFERROR(__xludf.DUMMYFUNCTION("""COMPUTED_VALUE"""),"upsc-gs-foundation-hinglish-target-2028-gsf-upsc-m05-orn")</f>
        <v>upsc-gs-foundation-hinglish-target-2028-gsf-upsc-m05-orn</v>
      </c>
      <c r="R555" s="124" t="str">
        <f>IFERROR(__xludf.DUMMYFUNCTION("""COMPUTED_VALUE"""),"GS Foundation Course")</f>
        <v>GS Foundation Course</v>
      </c>
      <c r="S555" s="124">
        <f>IFERROR(__xludf.DUMMYFUNCTION("""COMPUTED_VALUE"""),9.351151508E9)</f>
        <v>9351151508</v>
      </c>
      <c r="T555" s="124" t="str">
        <f>IFERROR(__xludf.DUMMYFUNCTION("""COMPUTED_VALUE"""),"Not Available")</f>
        <v>Not Available</v>
      </c>
      <c r="U555" s="124" t="str">
        <f>IFERROR(__xludf.DUMMYFUNCTION("""COMPUTED_VALUE"""),"Not Available")</f>
        <v>Not Available</v>
      </c>
      <c r="V555" s="124" t="str">
        <f>IFERROR(__xludf.DUMMYFUNCTION("""COMPUTED_VALUE"""),"Not Available")</f>
        <v>Not Available</v>
      </c>
      <c r="W555" s="124" t="str">
        <f>IFERROR(__xludf.DUMMYFUNCTION("""COMPUTED_VALUE"""),"Not Available")</f>
        <v>Not Available</v>
      </c>
    </row>
    <row r="556">
      <c r="A556" s="124" t="str">
        <f t="shared" si="1"/>
        <v>khushimaurya8473@gmail.com</v>
      </c>
      <c r="B556" s="131">
        <f>IFERROR(__xludf.DUMMYFUNCTION("""COMPUTED_VALUE"""),46106.0)</f>
        <v>46106</v>
      </c>
      <c r="C556" s="124" t="str">
        <f>IFERROR(__xludf.DUMMYFUNCTION("""COMPUTED_VALUE"""),"Payment data from Collexo")</f>
        <v>Payment data from Collexo</v>
      </c>
      <c r="D556" s="124" t="str">
        <f>IFERROR(__xludf.DUMMYFUNCTION("""COMPUTED_VALUE"""),"Not Available")</f>
        <v>Not Available</v>
      </c>
      <c r="E556" s="124">
        <f>IFERROR(__xludf.DUMMYFUNCTION("""COMPUTED_VALUE"""),1500613.0)</f>
        <v>1500613</v>
      </c>
      <c r="F556" s="124">
        <f>IFERROR(__xludf.DUMMYFUNCTION("""COMPUTED_VALUE"""),125111.0)</f>
        <v>125111</v>
      </c>
      <c r="G556" s="124">
        <f>IFERROR(__xludf.DUMMYFUNCTION("""COMPUTED_VALUE"""),1000.0)</f>
        <v>1000</v>
      </c>
      <c r="H556" s="131">
        <f>IFERROR(__xludf.DUMMYFUNCTION("""COMPUTED_VALUE"""),46115.0)</f>
        <v>46115</v>
      </c>
      <c r="I556" s="124">
        <f>IFERROR(__xludf.DUMMYFUNCTION("""COMPUTED_VALUE"""),61000.0)</f>
        <v>61000</v>
      </c>
      <c r="J556" s="124">
        <f>IFERROR(__xludf.DUMMYFUNCTION("""COMPUTED_VALUE"""),62000.0)</f>
        <v>62000</v>
      </c>
      <c r="K556" s="124">
        <f>IFERROR(__xludf.DUMMYFUNCTION("""COMPUTED_VALUE"""),2.0)</f>
        <v>2</v>
      </c>
      <c r="L556" s="124">
        <f>IFERROR(__xludf.DUMMYFUNCTION("""COMPUTED_VALUE"""),737.0)</f>
        <v>737</v>
      </c>
      <c r="M556" s="124" t="str">
        <f>IFERROR(__xludf.DUMMYFUNCTION("""COMPUTED_VALUE"""),"Prayagraj")</f>
        <v>Prayagraj</v>
      </c>
      <c r="N556" s="124" t="str">
        <f>IFERROR(__xludf.DUMMYFUNCTION("""COMPUTED_VALUE"""),"khushimaurya8473@gmail.com")</f>
        <v>khushimaurya8473@gmail.com</v>
      </c>
      <c r="O556" s="124" t="str">
        <f>IFERROR(__xludf.DUMMYFUNCTION("""COMPUTED_VALUE"""),"Khushi Maurya")</f>
        <v>Khushi Maurya</v>
      </c>
      <c r="P556" s="124">
        <f>IFERROR(__xludf.DUMMYFUNCTION("""COMPUTED_VALUE"""),125111.0)</f>
        <v>125111</v>
      </c>
      <c r="Q556" s="124" t="str">
        <f>IFERROR(__xludf.DUMMYFUNCTION("""COMPUTED_VALUE"""),"upsc-gs-foundation-hindi-target-2027-gsf-upsc-m03-pry")</f>
        <v>upsc-gs-foundation-hindi-target-2027-gsf-upsc-m03-pry</v>
      </c>
      <c r="R556" s="124" t="str">
        <f>IFERROR(__xludf.DUMMYFUNCTION("""COMPUTED_VALUE"""),"GS Foundation Course")</f>
        <v>GS Foundation Course</v>
      </c>
      <c r="S556" s="124">
        <f>IFERROR(__xludf.DUMMYFUNCTION("""COMPUTED_VALUE"""),8.417846306E9)</f>
        <v>8417846306</v>
      </c>
      <c r="T556" s="124" t="str">
        <f>IFERROR(__xludf.DUMMYFUNCTION("""COMPUTED_VALUE"""),"Not Available")</f>
        <v>Not Available</v>
      </c>
      <c r="U556" s="124" t="str">
        <f>IFERROR(__xludf.DUMMYFUNCTION("""COMPUTED_VALUE"""),"Not Available")</f>
        <v>Not Available</v>
      </c>
      <c r="V556" s="124" t="str">
        <f>IFERROR(__xludf.DUMMYFUNCTION("""COMPUTED_VALUE"""),"Not Available")</f>
        <v>Not Available</v>
      </c>
      <c r="W556" s="124" t="str">
        <f>IFERROR(__xludf.DUMMYFUNCTION("""COMPUTED_VALUE"""),"Not Available")</f>
        <v>Not Available</v>
      </c>
    </row>
    <row r="557">
      <c r="A557" s="124" t="str">
        <f t="shared" si="1"/>
        <v>dg8010003@gmail.com</v>
      </c>
      <c r="B557" s="131">
        <f>IFERROR(__xludf.DUMMYFUNCTION("""COMPUTED_VALUE"""),46111.0)</f>
        <v>46111</v>
      </c>
      <c r="C557" s="124" t="str">
        <f>IFERROR(__xludf.DUMMYFUNCTION("""COMPUTED_VALUE"""),"Payment data from Collexo")</f>
        <v>Payment data from Collexo</v>
      </c>
      <c r="D557" s="124" t="str">
        <f>IFERROR(__xludf.DUMMYFUNCTION("""COMPUTED_VALUE"""),"Not Available")</f>
        <v>Not Available</v>
      </c>
      <c r="E557" s="124">
        <f>IFERROR(__xludf.DUMMYFUNCTION("""COMPUTED_VALUE"""),1500609.0)</f>
        <v>1500609</v>
      </c>
      <c r="F557" s="124" t="str">
        <f>IFERROR(__xludf.DUMMYFUNCTION("""COMPUTED_VALUE"""),"17453_988_7")</f>
        <v>17453_988_7</v>
      </c>
      <c r="G557" s="124">
        <f>IFERROR(__xludf.DUMMYFUNCTION("""COMPUTED_VALUE"""),1.0)</f>
        <v>1</v>
      </c>
      <c r="H557" s="124" t="str">
        <f>IFERROR(__xludf.DUMMYFUNCTION("""COMPUTED_VALUE"""),"Not Available")</f>
        <v>Not Available</v>
      </c>
      <c r="I557" s="124">
        <f>IFERROR(__xludf.DUMMYFUNCTION("""COMPUTED_VALUE"""),0.0)</f>
        <v>0</v>
      </c>
      <c r="J557" s="124">
        <f>IFERROR(__xludf.DUMMYFUNCTION("""COMPUTED_VALUE"""),1.0)</f>
        <v>1</v>
      </c>
      <c r="K557" s="124">
        <f>IFERROR(__xludf.DUMMYFUNCTION("""COMPUTED_VALUE"""),1.0)</f>
        <v>1</v>
      </c>
      <c r="L557" s="124">
        <f>IFERROR(__xludf.DUMMYFUNCTION("""COMPUTED_VALUE"""),837.0)</f>
        <v>837</v>
      </c>
      <c r="M557" s="124" t="str">
        <f>IFERROR(__xludf.DUMMYFUNCTION("""COMPUTED_VALUE"""),"New Delhi")</f>
        <v>New Delhi</v>
      </c>
      <c r="N557" s="124" t="str">
        <f>IFERROR(__xludf.DUMMYFUNCTION("""COMPUTED_VALUE"""),"dg8010003@gmail.com")</f>
        <v>dg8010003@gmail.com</v>
      </c>
      <c r="O557" s="124" t="str">
        <f>IFERROR(__xludf.DUMMYFUNCTION("""COMPUTED_VALUE"""),"DEEPAK KUMAR GUPTA")</f>
        <v>DEEPAK KUMAR GUPTA</v>
      </c>
      <c r="P557" s="124">
        <f>IFERROR(__xludf.DUMMYFUNCTION("""COMPUTED_VALUE"""),126617.0)</f>
        <v>126617</v>
      </c>
      <c r="Q557" s="124" t="str">
        <f>IFERROR(__xludf.DUMMYFUNCTION("""COMPUTED_VALUE"""),".")</f>
        <v>.</v>
      </c>
      <c r="R557" s="124" t="str">
        <f>IFERROR(__xludf.DUMMYFUNCTION("""COMPUTED_VALUE"""),"GS Foundation Course")</f>
        <v>GS Foundation Course</v>
      </c>
      <c r="S557" s="124">
        <f>IFERROR(__xludf.DUMMYFUNCTION("""COMPUTED_VALUE"""),7.302726844E9)</f>
        <v>7302726844</v>
      </c>
      <c r="T557" s="124" t="str">
        <f>IFERROR(__xludf.DUMMYFUNCTION("""COMPUTED_VALUE"""),"Collexo")</f>
        <v>Collexo</v>
      </c>
      <c r="U557" s="124" t="str">
        <f>IFERROR(__xludf.DUMMYFUNCTION("""COMPUTED_VALUE"""),"Success")</f>
        <v>Success</v>
      </c>
      <c r="V557" s="131">
        <f>IFERROR(__xludf.DUMMYFUNCTION("""COMPUTED_VALUE"""),46111.0)</f>
        <v>46111</v>
      </c>
      <c r="W557" s="124">
        <f>IFERROR(__xludf.DUMMYFUNCTION("""COMPUTED_VALUE"""),0.0)</f>
        <v>0</v>
      </c>
    </row>
    <row r="558">
      <c r="A558" s="124" t="str">
        <f t="shared" si="1"/>
        <v>anshukuntal41@gmail.com</v>
      </c>
      <c r="B558" s="131">
        <f>IFERROR(__xludf.DUMMYFUNCTION("""COMPUTED_VALUE"""),46103.0)</f>
        <v>46103</v>
      </c>
      <c r="C558" s="124" t="str">
        <f>IFERROR(__xludf.DUMMYFUNCTION("""COMPUTED_VALUE"""),"Payment data from Collexo")</f>
        <v>Payment data from Collexo</v>
      </c>
      <c r="D558" s="124" t="str">
        <f>IFERROR(__xludf.DUMMYFUNCTION("""COMPUTED_VALUE"""),"Not Available")</f>
        <v>Not Available</v>
      </c>
      <c r="E558" s="124">
        <f>IFERROR(__xludf.DUMMYFUNCTION("""COMPUTED_VALUE"""),1500613.0)</f>
        <v>1500613</v>
      </c>
      <c r="F558" s="124">
        <f>IFERROR(__xludf.DUMMYFUNCTION("""COMPUTED_VALUE"""),123430.0)</f>
        <v>123430</v>
      </c>
      <c r="G558" s="124">
        <f>IFERROR(__xludf.DUMMYFUNCTION("""COMPUTED_VALUE"""),47478.0)</f>
        <v>47478</v>
      </c>
      <c r="H558" s="124" t="str">
        <f>IFERROR(__xludf.DUMMYFUNCTION("""COMPUTED_VALUE"""),"Not Available")</f>
        <v>Not Available</v>
      </c>
      <c r="I558" s="124">
        <f>IFERROR(__xludf.DUMMYFUNCTION("""COMPUTED_VALUE"""),0.0)</f>
        <v>0</v>
      </c>
      <c r="J558" s="124">
        <f>IFERROR(__xludf.DUMMYFUNCTION("""COMPUTED_VALUE"""),50478.0)</f>
        <v>50478</v>
      </c>
      <c r="K558" s="124">
        <f>IFERROR(__xludf.DUMMYFUNCTION("""COMPUTED_VALUE"""),3.0)</f>
        <v>3</v>
      </c>
      <c r="L558" s="124">
        <f>IFERROR(__xludf.DUMMYFUNCTION("""COMPUTED_VALUE"""),672.0)</f>
        <v>672</v>
      </c>
      <c r="M558" s="124" t="str">
        <f>IFERROR(__xludf.DUMMYFUNCTION("""COMPUTED_VALUE"""),"Prayagraj")</f>
        <v>Prayagraj</v>
      </c>
      <c r="N558" s="124" t="str">
        <f>IFERROR(__xludf.DUMMYFUNCTION("""COMPUTED_VALUE"""),"anshukuntal41@gmail.com")</f>
        <v>anshukuntal41@gmail.com</v>
      </c>
      <c r="O558" s="124" t="str">
        <f>IFERROR(__xludf.DUMMYFUNCTION("""COMPUTED_VALUE"""),"Anshu")</f>
        <v>Anshu</v>
      </c>
      <c r="P558" s="124">
        <f>IFERROR(__xludf.DUMMYFUNCTION("""COMPUTED_VALUE"""),123430.0)</f>
        <v>123430</v>
      </c>
      <c r="Q558" s="124" t="str">
        <f>IFERROR(__xludf.DUMMYFUNCTION("""COMPUTED_VALUE"""),"super-100-gs-foundation-2026-p2i-offline-august-english-batch-pry")</f>
        <v>super-100-gs-foundation-2026-p2i-offline-august-english-batch-pry</v>
      </c>
      <c r="R558" s="124" t="str">
        <f>IFERROR(__xludf.DUMMYFUNCTION("""COMPUTED_VALUE"""),"GS Foundation Course")</f>
        <v>GS Foundation Course</v>
      </c>
      <c r="S558" s="124">
        <f>IFERROR(__xludf.DUMMYFUNCTION("""COMPUTED_VALUE"""),6.386802316E9)</f>
        <v>6386802316</v>
      </c>
      <c r="T558" s="124" t="str">
        <f>IFERROR(__xludf.DUMMYFUNCTION("""COMPUTED_VALUE"""),"Not Available")</f>
        <v>Not Available</v>
      </c>
      <c r="U558" s="124" t="str">
        <f>IFERROR(__xludf.DUMMYFUNCTION("""COMPUTED_VALUE"""),"Not Available")</f>
        <v>Not Available</v>
      </c>
      <c r="V558" s="124" t="str">
        <f>IFERROR(__xludf.DUMMYFUNCTION("""COMPUTED_VALUE"""),"Not Available")</f>
        <v>Not Available</v>
      </c>
      <c r="W558" s="124" t="str">
        <f>IFERROR(__xludf.DUMMYFUNCTION("""COMPUTED_VALUE"""),"Not Available")</f>
        <v>Not Available</v>
      </c>
    </row>
    <row r="559">
      <c r="A559" s="124" t="str">
        <f t="shared" si="1"/>
        <v>zuhaibgujjar69@gmai.com</v>
      </c>
      <c r="B559" s="131">
        <f>IFERROR(__xludf.DUMMYFUNCTION("""COMPUTED_VALUE"""),46089.0)</f>
        <v>46089</v>
      </c>
      <c r="C559" s="124" t="str">
        <f>IFERROR(__xludf.DUMMYFUNCTION("""COMPUTED_VALUE"""),"Payment data from Collexo")</f>
        <v>Payment data from Collexo</v>
      </c>
      <c r="D559" s="124" t="str">
        <f>IFERROR(__xludf.DUMMYFUNCTION("""COMPUTED_VALUE"""),"Not Available")</f>
        <v>Not Available</v>
      </c>
      <c r="E559" s="124">
        <f>IFERROR(__xludf.DUMMYFUNCTION("""COMPUTED_VALUE"""),1500613.0)</f>
        <v>1500613</v>
      </c>
      <c r="F559" s="124">
        <f>IFERROR(__xludf.DUMMYFUNCTION("""COMPUTED_VALUE"""),39462.0)</f>
        <v>39462</v>
      </c>
      <c r="G559" s="124">
        <f>IFERROR(__xludf.DUMMYFUNCTION("""COMPUTED_VALUE"""),2000.0)</f>
        <v>2000</v>
      </c>
      <c r="H559" s="131">
        <f>IFERROR(__xludf.DUMMYFUNCTION("""COMPUTED_VALUE"""),46089.0)</f>
        <v>46089</v>
      </c>
      <c r="I559" s="124">
        <f>IFERROR(__xludf.DUMMYFUNCTION("""COMPUTED_VALUE"""),8000.0)</f>
        <v>8000</v>
      </c>
      <c r="J559" s="124">
        <f>IFERROR(__xludf.DUMMYFUNCTION("""COMPUTED_VALUE"""),55000.0)</f>
        <v>55000</v>
      </c>
      <c r="K559" s="124">
        <f>IFERROR(__xludf.DUMMYFUNCTION("""COMPUTED_VALUE"""),3.0)</f>
        <v>3</v>
      </c>
      <c r="L559" s="124">
        <f>IFERROR(__xludf.DUMMYFUNCTION("""COMPUTED_VALUE"""),441.0)</f>
        <v>441</v>
      </c>
      <c r="M559" s="124" t="str">
        <f>IFERROR(__xludf.DUMMYFUNCTION("""COMPUTED_VALUE"""),"Prayagraj")</f>
        <v>Prayagraj</v>
      </c>
      <c r="N559" s="124" t="str">
        <f>IFERROR(__xludf.DUMMYFUNCTION("""COMPUTED_VALUE"""),"zuhaibgujjar69@gmai.com")</f>
        <v>zuhaibgujjar69@gmai.com</v>
      </c>
      <c r="O559" s="124" t="str">
        <f>IFERROR(__xludf.DUMMYFUNCTION("""COMPUTED_VALUE"""),"Zuhaib")</f>
        <v>Zuhaib</v>
      </c>
      <c r="P559" s="124">
        <f>IFERROR(__xludf.DUMMYFUNCTION("""COMPUTED_VALUE"""),39462.0)</f>
        <v>39462</v>
      </c>
      <c r="Q559" s="124" t="str">
        <f>IFERROR(__xludf.DUMMYFUNCTION("""COMPUTED_VALUE"""),"upsc-gs-foundation-hindi-target-2027-gsf-upsc-m02-pry")</f>
        <v>upsc-gs-foundation-hindi-target-2027-gsf-upsc-m02-pry</v>
      </c>
      <c r="R559" s="124" t="str">
        <f>IFERROR(__xludf.DUMMYFUNCTION("""COMPUTED_VALUE"""),"GS Foundation Course")</f>
        <v>GS Foundation Course</v>
      </c>
      <c r="S559" s="124">
        <f>IFERROR(__xludf.DUMMYFUNCTION("""COMPUTED_VALUE"""),9.79546101E9)</f>
        <v>9795461010</v>
      </c>
      <c r="T559" s="124" t="str">
        <f>IFERROR(__xludf.DUMMYFUNCTION("""COMPUTED_VALUE"""),"Not Available")</f>
        <v>Not Available</v>
      </c>
      <c r="U559" s="124" t="str">
        <f>IFERROR(__xludf.DUMMYFUNCTION("""COMPUTED_VALUE"""),"Not Available")</f>
        <v>Not Available</v>
      </c>
      <c r="V559" s="124" t="str">
        <f>IFERROR(__xludf.DUMMYFUNCTION("""COMPUTED_VALUE"""),"Not Available")</f>
        <v>Not Available</v>
      </c>
      <c r="W559" s="124" t="str">
        <f>IFERROR(__xludf.DUMMYFUNCTION("""COMPUTED_VALUE"""),"Not Available")</f>
        <v>Not Available</v>
      </c>
    </row>
    <row r="560">
      <c r="A560" s="124" t="str">
        <f t="shared" si="1"/>
        <v>shivam70265@gmail.com</v>
      </c>
      <c r="B560" s="131">
        <f>IFERROR(__xludf.DUMMYFUNCTION("""COMPUTED_VALUE"""),46110.0)</f>
        <v>46110</v>
      </c>
      <c r="C560" s="124" t="str">
        <f>IFERROR(__xludf.DUMMYFUNCTION("""COMPUTED_VALUE"""),"Payment data from Collexo")</f>
        <v>Payment data from Collexo</v>
      </c>
      <c r="D560" s="124" t="str">
        <f>IFERROR(__xludf.DUMMYFUNCTION("""COMPUTED_VALUE"""),"Not Available")</f>
        <v>Not Available</v>
      </c>
      <c r="E560" s="124">
        <f>IFERROR(__xludf.DUMMYFUNCTION("""COMPUTED_VALUE"""),1500613.0)</f>
        <v>1500613</v>
      </c>
      <c r="F560" s="124">
        <f>IFERROR(__xludf.DUMMYFUNCTION("""COMPUTED_VALUE"""),134614.0)</f>
        <v>134614</v>
      </c>
      <c r="G560" s="124">
        <f>IFERROR(__xludf.DUMMYFUNCTION("""COMPUTED_VALUE"""),500.0)</f>
        <v>500</v>
      </c>
      <c r="H560" s="131">
        <f>IFERROR(__xludf.DUMMYFUNCTION("""COMPUTED_VALUE"""),46110.0)</f>
        <v>46110</v>
      </c>
      <c r="I560" s="124">
        <f>IFERROR(__xludf.DUMMYFUNCTION("""COMPUTED_VALUE"""),4500.0)</f>
        <v>4500</v>
      </c>
      <c r="J560" s="124">
        <f>IFERROR(__xludf.DUMMYFUNCTION("""COMPUTED_VALUE"""),55000.0)</f>
        <v>55000</v>
      </c>
      <c r="K560" s="124">
        <f>IFERROR(__xludf.DUMMYFUNCTION("""COMPUTED_VALUE"""),3.0)</f>
        <v>3</v>
      </c>
      <c r="L560" s="124">
        <f>IFERROR(__xludf.DUMMYFUNCTION("""COMPUTED_VALUE"""),822.0)</f>
        <v>822</v>
      </c>
      <c r="M560" s="124" t="str">
        <f>IFERROR(__xludf.DUMMYFUNCTION("""COMPUTED_VALUE"""),"Prayagraj")</f>
        <v>Prayagraj</v>
      </c>
      <c r="N560" s="124" t="str">
        <f>IFERROR(__xludf.DUMMYFUNCTION("""COMPUTED_VALUE"""),"shivam70265@gmail.com")</f>
        <v>shivam70265@gmail.com</v>
      </c>
      <c r="O560" s="124" t="str">
        <f>IFERROR(__xludf.DUMMYFUNCTION("""COMPUTED_VALUE"""),"Ayush Bhartiya")</f>
        <v>Ayush Bhartiya</v>
      </c>
      <c r="P560" s="124">
        <f>IFERROR(__xludf.DUMMYFUNCTION("""COMPUTED_VALUE"""),134614.0)</f>
        <v>134614</v>
      </c>
      <c r="Q560" s="124" t="str">
        <f>IFERROR(__xludf.DUMMYFUNCTION("""COMPUTED_VALUE"""),"upsc-gs-foundation-hindi-target-2027-gsf-upsc-m03-pry")</f>
        <v>upsc-gs-foundation-hindi-target-2027-gsf-upsc-m03-pry</v>
      </c>
      <c r="R560" s="124" t="str">
        <f>IFERROR(__xludf.DUMMYFUNCTION("""COMPUTED_VALUE"""),"State PCS")</f>
        <v>State PCS</v>
      </c>
      <c r="S560" s="124">
        <f>IFERROR(__xludf.DUMMYFUNCTION("""COMPUTED_VALUE"""),7.522843157E9)</f>
        <v>7522843157</v>
      </c>
      <c r="T560" s="124" t="str">
        <f>IFERROR(__xludf.DUMMYFUNCTION("""COMPUTED_VALUE"""),"Not Available")</f>
        <v>Not Available</v>
      </c>
      <c r="U560" s="124" t="str">
        <f>IFERROR(__xludf.DUMMYFUNCTION("""COMPUTED_VALUE"""),"Not Available")</f>
        <v>Not Available</v>
      </c>
      <c r="V560" s="124" t="str">
        <f>IFERROR(__xludf.DUMMYFUNCTION("""COMPUTED_VALUE"""),"Not Available")</f>
        <v>Not Available</v>
      </c>
      <c r="W560" s="124" t="str">
        <f>IFERROR(__xludf.DUMMYFUNCTION("""COMPUTED_VALUE"""),"Not Available")</f>
        <v>Not Available</v>
      </c>
    </row>
    <row r="561">
      <c r="A561" s="124" t="str">
        <f t="shared" si="1"/>
        <v>Varunbarman2003@gmail.com</v>
      </c>
      <c r="B561" s="131">
        <f>IFERROR(__xludf.DUMMYFUNCTION("""COMPUTED_VALUE"""),46081.0)</f>
        <v>46081</v>
      </c>
      <c r="C561" s="124" t="str">
        <f>IFERROR(__xludf.DUMMYFUNCTION("""COMPUTED_VALUE"""),"Payment data from Collexo")</f>
        <v>Payment data from Collexo</v>
      </c>
      <c r="D561" s="124" t="str">
        <f>IFERROR(__xludf.DUMMYFUNCTION("""COMPUTED_VALUE"""),"Not Available")</f>
        <v>Not Available</v>
      </c>
      <c r="E561" s="124">
        <f>IFERROR(__xludf.DUMMYFUNCTION("""COMPUTED_VALUE"""),1500611.0)</f>
        <v>1500611</v>
      </c>
      <c r="F561" s="124">
        <f>IFERROR(__xludf.DUMMYFUNCTION("""COMPUTED_VALUE"""),124175.0)</f>
        <v>124175</v>
      </c>
      <c r="G561" s="124">
        <f>IFERROR(__xludf.DUMMYFUNCTION("""COMPUTED_VALUE"""),3500.0)</f>
        <v>3500</v>
      </c>
      <c r="H561" s="131">
        <f>IFERROR(__xludf.DUMMYFUNCTION("""COMPUTED_VALUE"""),46081.0)</f>
        <v>46081</v>
      </c>
      <c r="I561" s="124">
        <f>IFERROR(__xludf.DUMMYFUNCTION("""COMPUTED_VALUE"""),31500.0)</f>
        <v>31500</v>
      </c>
      <c r="J561" s="124">
        <f>IFERROR(__xludf.DUMMYFUNCTION("""COMPUTED_VALUE"""),35000.0)</f>
        <v>35000</v>
      </c>
      <c r="K561" s="124">
        <f>IFERROR(__xludf.DUMMYFUNCTION("""COMPUTED_VALUE"""),2.0)</f>
        <v>2</v>
      </c>
      <c r="L561" s="124">
        <f>IFERROR(__xludf.DUMMYFUNCTION("""COMPUTED_VALUE"""),379.0)</f>
        <v>379</v>
      </c>
      <c r="M561" s="124" t="str">
        <f>IFERROR(__xludf.DUMMYFUNCTION("""COMPUTED_VALUE"""),"Patna")</f>
        <v>Patna</v>
      </c>
      <c r="N561" s="124" t="str">
        <f>IFERROR(__xludf.DUMMYFUNCTION("""COMPUTED_VALUE"""),"Varunbarman2003@gmail.com")</f>
        <v>Varunbarman2003@gmail.com</v>
      </c>
      <c r="O561" s="124" t="str">
        <f>IFERROR(__xludf.DUMMYFUNCTION("""COMPUTED_VALUE"""),"Varun Sudhanshu")</f>
        <v>Varun Sudhanshu</v>
      </c>
      <c r="P561" s="124">
        <f>IFERROR(__xludf.DUMMYFUNCTION("""COMPUTED_VALUE"""),124175.0)</f>
        <v>124175</v>
      </c>
      <c r="Q561" s="124" t="str">
        <f>IFERROR(__xludf.DUMMYFUNCTION("""COMPUTED_VALUE"""),"bpsc-gs-foundation-hinglish-target-2026-gsf-bpsc-e02-pat")</f>
        <v>bpsc-gs-foundation-hinglish-target-2026-gsf-bpsc-e02-pat</v>
      </c>
      <c r="R561" s="124" t="str">
        <f>IFERROR(__xludf.DUMMYFUNCTION("""COMPUTED_VALUE"""),"State PCS")</f>
        <v>State PCS</v>
      </c>
      <c r="S561" s="124">
        <f>IFERROR(__xludf.DUMMYFUNCTION("""COMPUTED_VALUE"""),6.287066779E9)</f>
        <v>6287066779</v>
      </c>
      <c r="T561" s="124" t="str">
        <f>IFERROR(__xludf.DUMMYFUNCTION("""COMPUTED_VALUE"""),"Not Available")</f>
        <v>Not Available</v>
      </c>
      <c r="U561" s="124" t="str">
        <f>IFERROR(__xludf.DUMMYFUNCTION("""COMPUTED_VALUE"""),"Not Available")</f>
        <v>Not Available</v>
      </c>
      <c r="V561" s="124" t="str">
        <f>IFERROR(__xludf.DUMMYFUNCTION("""COMPUTED_VALUE"""),"Not Available")</f>
        <v>Not Available</v>
      </c>
      <c r="W561" s="124" t="str">
        <f>IFERROR(__xludf.DUMMYFUNCTION("""COMPUTED_VALUE"""),"Not Available")</f>
        <v>Not Available</v>
      </c>
    </row>
    <row r="562">
      <c r="A562" s="124" t="str">
        <f t="shared" si="1"/>
        <v>zuhaibgujjar69@gmai.com</v>
      </c>
      <c r="B562" s="131">
        <f>IFERROR(__xludf.DUMMYFUNCTION("""COMPUTED_VALUE"""),46093.0)</f>
        <v>46093</v>
      </c>
      <c r="C562" s="124" t="str">
        <f>IFERROR(__xludf.DUMMYFUNCTION("""COMPUTED_VALUE"""),"Payment data from Collexo")</f>
        <v>Payment data from Collexo</v>
      </c>
      <c r="D562" s="124" t="str">
        <f>IFERROR(__xludf.DUMMYFUNCTION("""COMPUTED_VALUE"""),"Not Available")</f>
        <v>Not Available</v>
      </c>
      <c r="E562" s="124">
        <f>IFERROR(__xludf.DUMMYFUNCTION("""COMPUTED_VALUE"""),1500613.0)</f>
        <v>1500613</v>
      </c>
      <c r="F562" s="124">
        <f>IFERROR(__xludf.DUMMYFUNCTION("""COMPUTED_VALUE"""),39462.0)</f>
        <v>39462</v>
      </c>
      <c r="G562" s="124">
        <f>IFERROR(__xludf.DUMMYFUNCTION("""COMPUTED_VALUE"""),45000.0)</f>
        <v>45000</v>
      </c>
      <c r="H562" s="124" t="str">
        <f>IFERROR(__xludf.DUMMYFUNCTION("""COMPUTED_VALUE"""),"Not Available")</f>
        <v>Not Available</v>
      </c>
      <c r="I562" s="124">
        <f>IFERROR(__xludf.DUMMYFUNCTION("""COMPUTED_VALUE"""),0.0)</f>
        <v>0</v>
      </c>
      <c r="J562" s="124">
        <f>IFERROR(__xludf.DUMMYFUNCTION("""COMPUTED_VALUE"""),55000.0)</f>
        <v>55000</v>
      </c>
      <c r="K562" s="124">
        <f>IFERROR(__xludf.DUMMYFUNCTION("""COMPUTED_VALUE"""),3.0)</f>
        <v>3</v>
      </c>
      <c r="L562" s="124">
        <f>IFERROR(__xludf.DUMMYFUNCTION("""COMPUTED_VALUE"""),508.0)</f>
        <v>508</v>
      </c>
      <c r="M562" s="124" t="str">
        <f>IFERROR(__xludf.DUMMYFUNCTION("""COMPUTED_VALUE"""),"Prayagraj")</f>
        <v>Prayagraj</v>
      </c>
      <c r="N562" s="124" t="str">
        <f>IFERROR(__xludf.DUMMYFUNCTION("""COMPUTED_VALUE"""),"zuhaibgujjar69@gmai.com")</f>
        <v>zuhaibgujjar69@gmai.com</v>
      </c>
      <c r="O562" s="124" t="str">
        <f>IFERROR(__xludf.DUMMYFUNCTION("""COMPUTED_VALUE"""),"Zuhaib")</f>
        <v>Zuhaib</v>
      </c>
      <c r="P562" s="124">
        <f>IFERROR(__xludf.DUMMYFUNCTION("""COMPUTED_VALUE"""),39462.0)</f>
        <v>39462</v>
      </c>
      <c r="Q562" s="124" t="str">
        <f>IFERROR(__xludf.DUMMYFUNCTION("""COMPUTED_VALUE"""),"upsc-gs-foundation-hindi-target-2027-gsf-upsc-m02-pry")</f>
        <v>upsc-gs-foundation-hindi-target-2027-gsf-upsc-m02-pry</v>
      </c>
      <c r="R562" s="124" t="str">
        <f>IFERROR(__xludf.DUMMYFUNCTION("""COMPUTED_VALUE"""),"GS Foundation Course")</f>
        <v>GS Foundation Course</v>
      </c>
      <c r="S562" s="124">
        <f>IFERROR(__xludf.DUMMYFUNCTION("""COMPUTED_VALUE"""),9.79546101E9)</f>
        <v>9795461010</v>
      </c>
      <c r="T562" s="124" t="str">
        <f>IFERROR(__xludf.DUMMYFUNCTION("""COMPUTED_VALUE"""),"Not Available")</f>
        <v>Not Available</v>
      </c>
      <c r="U562" s="124" t="str">
        <f>IFERROR(__xludf.DUMMYFUNCTION("""COMPUTED_VALUE"""),"Not Available")</f>
        <v>Not Available</v>
      </c>
      <c r="V562" s="124" t="str">
        <f>IFERROR(__xludf.DUMMYFUNCTION("""COMPUTED_VALUE"""),"Not Available")</f>
        <v>Not Available</v>
      </c>
      <c r="W562" s="124" t="str">
        <f>IFERROR(__xludf.DUMMYFUNCTION("""COMPUTED_VALUE"""),"Not Available")</f>
        <v>Not Available</v>
      </c>
    </row>
    <row r="563">
      <c r="A563" s="124" t="str">
        <f t="shared" si="1"/>
        <v>tdhkrishnagupta11@gmail.com</v>
      </c>
      <c r="B563" s="131">
        <f>IFERROR(__xludf.DUMMYFUNCTION("""COMPUTED_VALUE"""),46106.0)</f>
        <v>46106</v>
      </c>
      <c r="C563" s="124" t="str">
        <f>IFERROR(__xludf.DUMMYFUNCTION("""COMPUTED_VALUE"""),"Payment data from Collexo")</f>
        <v>Payment data from Collexo</v>
      </c>
      <c r="D563" s="124" t="str">
        <f>IFERROR(__xludf.DUMMYFUNCTION("""COMPUTED_VALUE"""),"Not Available")</f>
        <v>Not Available</v>
      </c>
      <c r="E563" s="124">
        <f>IFERROR(__xludf.DUMMYFUNCTION("""COMPUTED_VALUE"""),1500610.0)</f>
        <v>1500610</v>
      </c>
      <c r="F563" s="124">
        <f>IFERROR(__xludf.DUMMYFUNCTION("""COMPUTED_VALUE"""),130049.0)</f>
        <v>130049</v>
      </c>
      <c r="G563" s="124">
        <f>IFERROR(__xludf.DUMMYFUNCTION("""COMPUTED_VALUE"""),1087.0)</f>
        <v>1087</v>
      </c>
      <c r="H563" s="131">
        <f>IFERROR(__xludf.DUMMYFUNCTION("""COMPUTED_VALUE"""),46107.0)</f>
        <v>46107</v>
      </c>
      <c r="I563" s="124">
        <f>IFERROR(__xludf.DUMMYFUNCTION("""COMPUTED_VALUE"""),43913.0)</f>
        <v>43913</v>
      </c>
      <c r="J563" s="124">
        <f>IFERROR(__xludf.DUMMYFUNCTION("""COMPUTED_VALUE"""),50000.0)</f>
        <v>50000</v>
      </c>
      <c r="K563" s="124">
        <f>IFERROR(__xludf.DUMMYFUNCTION("""COMPUTED_VALUE"""),5.0)</f>
        <v>5</v>
      </c>
      <c r="L563" s="124">
        <f>IFERROR(__xludf.DUMMYFUNCTION("""COMPUTED_VALUE"""),748.0)</f>
        <v>748</v>
      </c>
      <c r="M563" s="124" t="str">
        <f>IFERROR(__xludf.DUMMYFUNCTION("""COMPUTED_VALUE"""),"Lucknow")</f>
        <v>Lucknow</v>
      </c>
      <c r="N563" s="124" t="str">
        <f>IFERROR(__xludf.DUMMYFUNCTION("""COMPUTED_VALUE"""),"tdhkrishnagupta11@gmail.com")</f>
        <v>tdhkrishnagupta11@gmail.com</v>
      </c>
      <c r="O563" s="124" t="str">
        <f>IFERROR(__xludf.DUMMYFUNCTION("""COMPUTED_VALUE"""),"Krishna")</f>
        <v>Krishna</v>
      </c>
      <c r="P563" s="124">
        <f>IFERROR(__xludf.DUMMYFUNCTION("""COMPUTED_VALUE"""),130049.0)</f>
        <v>130049</v>
      </c>
      <c r="Q563" s="124" t="str">
        <f>IFERROR(__xludf.DUMMYFUNCTION("""COMPUTED_VALUE"""),"Not Available")</f>
        <v>Not Available</v>
      </c>
      <c r="R563" s="124" t="str">
        <f>IFERROR(__xludf.DUMMYFUNCTION("""COMPUTED_VALUE"""),"GS Foundation Course")</f>
        <v>GS Foundation Course</v>
      </c>
      <c r="S563" s="124">
        <f>IFERROR(__xludf.DUMMYFUNCTION("""COMPUTED_VALUE"""),7.991314106E9)</f>
        <v>7991314106</v>
      </c>
      <c r="T563" s="124" t="str">
        <f>IFERROR(__xludf.DUMMYFUNCTION("""COMPUTED_VALUE"""),"Not Available")</f>
        <v>Not Available</v>
      </c>
      <c r="U563" s="124" t="str">
        <f>IFERROR(__xludf.DUMMYFUNCTION("""COMPUTED_VALUE"""),"Not Available")</f>
        <v>Not Available</v>
      </c>
      <c r="V563" s="124" t="str">
        <f>IFERROR(__xludf.DUMMYFUNCTION("""COMPUTED_VALUE"""),"Not Available")</f>
        <v>Not Available</v>
      </c>
      <c r="W563" s="124" t="str">
        <f>IFERROR(__xludf.DUMMYFUNCTION("""COMPUTED_VALUE"""),"Not Available")</f>
        <v>Not Available</v>
      </c>
    </row>
    <row r="564">
      <c r="A564" s="124" t="str">
        <f t="shared" si="1"/>
        <v>Varunbarman2003@gmail.com</v>
      </c>
      <c r="B564" s="131">
        <f>IFERROR(__xludf.DUMMYFUNCTION("""COMPUTED_VALUE"""),46081.0)</f>
        <v>46081</v>
      </c>
      <c r="C564" s="124" t="str">
        <f>IFERROR(__xludf.DUMMYFUNCTION("""COMPUTED_VALUE"""),"Payment data from Collexo")</f>
        <v>Payment data from Collexo</v>
      </c>
      <c r="D564" s="124" t="str">
        <f>IFERROR(__xludf.DUMMYFUNCTION("""COMPUTED_VALUE"""),"Not Available")</f>
        <v>Not Available</v>
      </c>
      <c r="E564" s="124">
        <f>IFERROR(__xludf.DUMMYFUNCTION("""COMPUTED_VALUE"""),1500611.0)</f>
        <v>1500611</v>
      </c>
      <c r="F564" s="124">
        <f>IFERROR(__xludf.DUMMYFUNCTION("""COMPUTED_VALUE"""),124175.0)</f>
        <v>124175</v>
      </c>
      <c r="G564" s="124">
        <f>IFERROR(__xludf.DUMMYFUNCTION("""COMPUTED_VALUE"""),31500.0)</f>
        <v>31500</v>
      </c>
      <c r="H564" s="124" t="str">
        <f>IFERROR(__xludf.DUMMYFUNCTION("""COMPUTED_VALUE"""),"Not Available")</f>
        <v>Not Available</v>
      </c>
      <c r="I564" s="124">
        <f>IFERROR(__xludf.DUMMYFUNCTION("""COMPUTED_VALUE"""),0.0)</f>
        <v>0</v>
      </c>
      <c r="J564" s="124">
        <f>IFERROR(__xludf.DUMMYFUNCTION("""COMPUTED_VALUE"""),35000.0)</f>
        <v>35000</v>
      </c>
      <c r="K564" s="124">
        <f>IFERROR(__xludf.DUMMYFUNCTION("""COMPUTED_VALUE"""),2.0)</f>
        <v>2</v>
      </c>
      <c r="L564" s="124">
        <f>IFERROR(__xludf.DUMMYFUNCTION("""COMPUTED_VALUE"""),382.0)</f>
        <v>382</v>
      </c>
      <c r="M564" s="124" t="str">
        <f>IFERROR(__xludf.DUMMYFUNCTION("""COMPUTED_VALUE"""),"Patna")</f>
        <v>Patna</v>
      </c>
      <c r="N564" s="124" t="str">
        <f>IFERROR(__xludf.DUMMYFUNCTION("""COMPUTED_VALUE"""),"Varunbarman2003@gmail.com")</f>
        <v>Varunbarman2003@gmail.com</v>
      </c>
      <c r="O564" s="124" t="str">
        <f>IFERROR(__xludf.DUMMYFUNCTION("""COMPUTED_VALUE"""),"Varun Sudhanshu")</f>
        <v>Varun Sudhanshu</v>
      </c>
      <c r="P564" s="124">
        <f>IFERROR(__xludf.DUMMYFUNCTION("""COMPUTED_VALUE"""),124175.0)</f>
        <v>124175</v>
      </c>
      <c r="Q564" s="124" t="str">
        <f>IFERROR(__xludf.DUMMYFUNCTION("""COMPUTED_VALUE"""),"bpsc-gs-foundation-hinglish-target-2026-gsf-bpsc-e02-pat")</f>
        <v>bpsc-gs-foundation-hinglish-target-2026-gsf-bpsc-e02-pat</v>
      </c>
      <c r="R564" s="124" t="str">
        <f>IFERROR(__xludf.DUMMYFUNCTION("""COMPUTED_VALUE"""),"State PCS")</f>
        <v>State PCS</v>
      </c>
      <c r="S564" s="124">
        <f>IFERROR(__xludf.DUMMYFUNCTION("""COMPUTED_VALUE"""),6.287066779E9)</f>
        <v>6287066779</v>
      </c>
      <c r="T564" s="124" t="str">
        <f>IFERROR(__xludf.DUMMYFUNCTION("""COMPUTED_VALUE"""),"Not Available")</f>
        <v>Not Available</v>
      </c>
      <c r="U564" s="124" t="str">
        <f>IFERROR(__xludf.DUMMYFUNCTION("""COMPUTED_VALUE"""),"Not Available")</f>
        <v>Not Available</v>
      </c>
      <c r="V564" s="124" t="str">
        <f>IFERROR(__xludf.DUMMYFUNCTION("""COMPUTED_VALUE"""),"Not Available")</f>
        <v>Not Available</v>
      </c>
      <c r="W564" s="124" t="str">
        <f>IFERROR(__xludf.DUMMYFUNCTION("""COMPUTED_VALUE"""),"Not Available")</f>
        <v>Not Available</v>
      </c>
    </row>
    <row r="565">
      <c r="A565" s="124" t="str">
        <f t="shared" si="1"/>
        <v>jbsonkar143@gmail.com</v>
      </c>
      <c r="B565" s="131">
        <f>IFERROR(__xludf.DUMMYFUNCTION("""COMPUTED_VALUE"""),46109.0)</f>
        <v>46109</v>
      </c>
      <c r="C565" s="124" t="str">
        <f>IFERROR(__xludf.DUMMYFUNCTION("""COMPUTED_VALUE"""),"Payment data from Collexo")</f>
        <v>Payment data from Collexo</v>
      </c>
      <c r="D565" s="124" t="str">
        <f>IFERROR(__xludf.DUMMYFUNCTION("""COMPUTED_VALUE"""),"Not Available")</f>
        <v>Not Available</v>
      </c>
      <c r="E565" s="124">
        <f>IFERROR(__xludf.DUMMYFUNCTION("""COMPUTED_VALUE"""),1500613.0)</f>
        <v>1500613</v>
      </c>
      <c r="F565" s="124">
        <f>IFERROR(__xludf.DUMMYFUNCTION("""COMPUTED_VALUE"""),127120.0)</f>
        <v>127120</v>
      </c>
      <c r="G565" s="124">
        <f>IFERROR(__xludf.DUMMYFUNCTION("""COMPUTED_VALUE"""),1000.0)</f>
        <v>1000</v>
      </c>
      <c r="H565" s="131">
        <f>IFERROR(__xludf.DUMMYFUNCTION("""COMPUTED_VALUE"""),46111.0)</f>
        <v>46111</v>
      </c>
      <c r="I565" s="124">
        <f>IFERROR(__xludf.DUMMYFUNCTION("""COMPUTED_VALUE"""),74000.0)</f>
        <v>74000</v>
      </c>
      <c r="J565" s="124">
        <f>IFERROR(__xludf.DUMMYFUNCTION("""COMPUTED_VALUE"""),75000.0)</f>
        <v>75000</v>
      </c>
      <c r="K565" s="124">
        <f>IFERROR(__xludf.DUMMYFUNCTION("""COMPUTED_VALUE"""),2.0)</f>
        <v>2</v>
      </c>
      <c r="L565" s="124">
        <f>IFERROR(__xludf.DUMMYFUNCTION("""COMPUTED_VALUE"""),799.0)</f>
        <v>799</v>
      </c>
      <c r="M565" s="124" t="str">
        <f>IFERROR(__xludf.DUMMYFUNCTION("""COMPUTED_VALUE"""),"Prayagraj")</f>
        <v>Prayagraj</v>
      </c>
      <c r="N565" s="124" t="str">
        <f>IFERROR(__xludf.DUMMYFUNCTION("""COMPUTED_VALUE"""),"jbsonkar143@gmail.com")</f>
        <v>jbsonkar143@gmail.com</v>
      </c>
      <c r="O565" s="124" t="str">
        <f>IFERROR(__xludf.DUMMYFUNCTION("""COMPUTED_VALUE"""),"Jang Bahadur")</f>
        <v>Jang Bahadur</v>
      </c>
      <c r="P565" s="124">
        <f>IFERROR(__xludf.DUMMYFUNCTION("""COMPUTED_VALUE"""),127120.0)</f>
        <v>127120</v>
      </c>
      <c r="Q565" s="124" t="str">
        <f>IFERROR(__xludf.DUMMYFUNCTION("""COMPUTED_VALUE"""),"upsc-gs-foundation-hindi-target-2027-gsf-upsc-m03-pry")</f>
        <v>upsc-gs-foundation-hindi-target-2027-gsf-upsc-m03-pry</v>
      </c>
      <c r="R565" s="124" t="str">
        <f>IFERROR(__xludf.DUMMYFUNCTION("""COMPUTED_VALUE"""),"GS Foundation Course")</f>
        <v>GS Foundation Course</v>
      </c>
      <c r="S565" s="124">
        <f>IFERROR(__xludf.DUMMYFUNCTION("""COMPUTED_VALUE"""),9.129826595E9)</f>
        <v>9129826595</v>
      </c>
      <c r="T565" s="124" t="str">
        <f>IFERROR(__xludf.DUMMYFUNCTION("""COMPUTED_VALUE"""),"Not Available")</f>
        <v>Not Available</v>
      </c>
      <c r="U565" s="124" t="str">
        <f>IFERROR(__xludf.DUMMYFUNCTION("""COMPUTED_VALUE"""),"Not Available")</f>
        <v>Not Available</v>
      </c>
      <c r="V565" s="124" t="str">
        <f>IFERROR(__xludf.DUMMYFUNCTION("""COMPUTED_VALUE"""),"Not Available")</f>
        <v>Not Available</v>
      </c>
      <c r="W565" s="124" t="str">
        <f>IFERROR(__xludf.DUMMYFUNCTION("""COMPUTED_VALUE"""),"Not Available")</f>
        <v>Not Available</v>
      </c>
    </row>
    <row r="566">
      <c r="A566" s="124" t="str">
        <f t="shared" si="1"/>
        <v>rimjhim238@gmail.com</v>
      </c>
      <c r="B566" s="131">
        <f>IFERROR(__xludf.DUMMYFUNCTION("""COMPUTED_VALUE"""),46108.0)</f>
        <v>46108</v>
      </c>
      <c r="C566" s="124" t="str">
        <f>IFERROR(__xludf.DUMMYFUNCTION("""COMPUTED_VALUE"""),"Payment data from Collexo")</f>
        <v>Payment data from Collexo</v>
      </c>
      <c r="D566" s="124" t="str">
        <f>IFERROR(__xludf.DUMMYFUNCTION("""COMPUTED_VALUE"""),"Not Available")</f>
        <v>Not Available</v>
      </c>
      <c r="E566" s="124">
        <f>IFERROR(__xludf.DUMMYFUNCTION("""COMPUTED_VALUE"""),1500609.0)</f>
        <v>1500609</v>
      </c>
      <c r="F566" s="124" t="str">
        <f>IFERROR(__xludf.DUMMYFUNCTION("""COMPUTED_VALUE"""),"16915_988_7")</f>
        <v>16915_988_7</v>
      </c>
      <c r="G566" s="124">
        <f>IFERROR(__xludf.DUMMYFUNCTION("""COMPUTED_VALUE"""),1.0)</f>
        <v>1</v>
      </c>
      <c r="H566" s="124" t="str">
        <f>IFERROR(__xludf.DUMMYFUNCTION("""COMPUTED_VALUE"""),"Not Available")</f>
        <v>Not Available</v>
      </c>
      <c r="I566" s="124">
        <f>IFERROR(__xludf.DUMMYFUNCTION("""COMPUTED_VALUE"""),0.0)</f>
        <v>0</v>
      </c>
      <c r="J566" s="124">
        <f>IFERROR(__xludf.DUMMYFUNCTION("""COMPUTED_VALUE"""),1.0)</f>
        <v>1</v>
      </c>
      <c r="K566" s="124">
        <f>IFERROR(__xludf.DUMMYFUNCTION("""COMPUTED_VALUE"""),1.0)</f>
        <v>1</v>
      </c>
      <c r="L566" s="124">
        <f>IFERROR(__xludf.DUMMYFUNCTION("""COMPUTED_VALUE"""),778.0)</f>
        <v>778</v>
      </c>
      <c r="M566" s="124" t="str">
        <f>IFERROR(__xludf.DUMMYFUNCTION("""COMPUTED_VALUE"""),"New Delhi")</f>
        <v>New Delhi</v>
      </c>
      <c r="N566" s="124" t="str">
        <f>IFERROR(__xludf.DUMMYFUNCTION("""COMPUTED_VALUE"""),"rimjhim238@gmail.com")</f>
        <v>rimjhim238@gmail.com</v>
      </c>
      <c r="O566" s="124" t="str">
        <f>IFERROR(__xludf.DUMMYFUNCTION("""COMPUTED_VALUE"""),"Rimjhim")</f>
        <v>Rimjhim</v>
      </c>
      <c r="P566" s="124">
        <f>IFERROR(__xludf.DUMMYFUNCTION("""COMPUTED_VALUE"""),33525.0)</f>
        <v>33525</v>
      </c>
      <c r="Q566" s="124" t="str">
        <f>IFERROR(__xludf.DUMMYFUNCTION("""COMPUTED_VALUE"""),"upsc-gs-foundation-hinglish-target-2027-gsf-upsc-e03-orn")</f>
        <v>upsc-gs-foundation-hinglish-target-2027-gsf-upsc-e03-orn</v>
      </c>
      <c r="R566" s="124" t="str">
        <f>IFERROR(__xludf.DUMMYFUNCTION("""COMPUTED_VALUE"""),"GS Foundation Course")</f>
        <v>GS Foundation Course</v>
      </c>
      <c r="S566" s="124">
        <f>IFERROR(__xludf.DUMMYFUNCTION("""COMPUTED_VALUE"""),6.202290735E9)</f>
        <v>6202290735</v>
      </c>
      <c r="T566" s="124" t="str">
        <f>IFERROR(__xludf.DUMMYFUNCTION("""COMPUTED_VALUE"""),"Collexo")</f>
        <v>Collexo</v>
      </c>
      <c r="U566" s="124" t="str">
        <f>IFERROR(__xludf.DUMMYFUNCTION("""COMPUTED_VALUE"""),"Success")</f>
        <v>Success</v>
      </c>
      <c r="V566" s="131">
        <f>IFERROR(__xludf.DUMMYFUNCTION("""COMPUTED_VALUE"""),46108.0)</f>
        <v>46108</v>
      </c>
      <c r="W566" s="124">
        <f>IFERROR(__xludf.DUMMYFUNCTION("""COMPUTED_VALUE"""),0.0)</f>
        <v>0</v>
      </c>
    </row>
    <row r="567">
      <c r="A567" s="124" t="str">
        <f t="shared" si="1"/>
        <v>kishankumarsaroj528@gmail.com</v>
      </c>
      <c r="B567" s="131">
        <f>IFERROR(__xludf.DUMMYFUNCTION("""COMPUTED_VALUE"""),46095.0)</f>
        <v>46095</v>
      </c>
      <c r="C567" s="124" t="str">
        <f>IFERROR(__xludf.DUMMYFUNCTION("""COMPUTED_VALUE"""),"Payment data from Collexo")</f>
        <v>Payment data from Collexo</v>
      </c>
      <c r="D567" s="124" t="str">
        <f>IFERROR(__xludf.DUMMYFUNCTION("""COMPUTED_VALUE"""),"Not Available")</f>
        <v>Not Available</v>
      </c>
      <c r="E567" s="124">
        <f>IFERROR(__xludf.DUMMYFUNCTION("""COMPUTED_VALUE"""),1500613.0)</f>
        <v>1500613</v>
      </c>
      <c r="F567" s="124">
        <f>IFERROR(__xludf.DUMMYFUNCTION("""COMPUTED_VALUE"""),127016.0)</f>
        <v>127016</v>
      </c>
      <c r="G567" s="124">
        <f>IFERROR(__xludf.DUMMYFUNCTION("""COMPUTED_VALUE"""),65000.0)</f>
        <v>65000</v>
      </c>
      <c r="H567" s="124" t="str">
        <f>IFERROR(__xludf.DUMMYFUNCTION("""COMPUTED_VALUE"""),"Not Available")</f>
        <v>Not Available</v>
      </c>
      <c r="I567" s="124">
        <f>IFERROR(__xludf.DUMMYFUNCTION("""COMPUTED_VALUE"""),0.0)</f>
        <v>0</v>
      </c>
      <c r="J567" s="124">
        <f>IFERROR(__xludf.DUMMYFUNCTION("""COMPUTED_VALUE"""),65000.0)</f>
        <v>65000</v>
      </c>
      <c r="K567" s="124">
        <f>IFERROR(__xludf.DUMMYFUNCTION("""COMPUTED_VALUE"""),1.0)</f>
        <v>1</v>
      </c>
      <c r="L567" s="124">
        <f>IFERROR(__xludf.DUMMYFUNCTION("""COMPUTED_VALUE"""),538.0)</f>
        <v>538</v>
      </c>
      <c r="M567" s="124" t="str">
        <f>IFERROR(__xludf.DUMMYFUNCTION("""COMPUTED_VALUE"""),"Prayagraj")</f>
        <v>Prayagraj</v>
      </c>
      <c r="N567" s="124" t="str">
        <f>IFERROR(__xludf.DUMMYFUNCTION("""COMPUTED_VALUE"""),"kishankumarsaroj528@gmail.com")</f>
        <v>kishankumarsaroj528@gmail.com</v>
      </c>
      <c r="O567" s="124" t="str">
        <f>IFERROR(__xludf.DUMMYFUNCTION("""COMPUTED_VALUE"""),"Kishan Kumarsaroj")</f>
        <v>Kishan Kumarsaroj</v>
      </c>
      <c r="P567" s="124">
        <f>IFERROR(__xludf.DUMMYFUNCTION("""COMPUTED_VALUE"""),127016.0)</f>
        <v>127016</v>
      </c>
      <c r="Q567" s="124" t="str">
        <f>IFERROR(__xludf.DUMMYFUNCTION("""COMPUTED_VALUE"""),"upsc-gs-foundation-hindi-target-2028-gsf-upsc-m02-pry")</f>
        <v>upsc-gs-foundation-hindi-target-2028-gsf-upsc-m02-pry</v>
      </c>
      <c r="R567" s="124" t="str">
        <f>IFERROR(__xludf.DUMMYFUNCTION("""COMPUTED_VALUE"""),"GS Foundation Course")</f>
        <v>GS Foundation Course</v>
      </c>
      <c r="S567" s="124">
        <f>IFERROR(__xludf.DUMMYFUNCTION("""COMPUTED_VALUE"""),7.234804724E9)</f>
        <v>7234804724</v>
      </c>
      <c r="T567" s="124" t="str">
        <f>IFERROR(__xludf.DUMMYFUNCTION("""COMPUTED_VALUE"""),"Not Available")</f>
        <v>Not Available</v>
      </c>
      <c r="U567" s="124" t="str">
        <f>IFERROR(__xludf.DUMMYFUNCTION("""COMPUTED_VALUE"""),"Not Available")</f>
        <v>Not Available</v>
      </c>
      <c r="V567" s="124" t="str">
        <f>IFERROR(__xludf.DUMMYFUNCTION("""COMPUTED_VALUE"""),"Not Available")</f>
        <v>Not Available</v>
      </c>
      <c r="W567" s="124" t="str">
        <f>IFERROR(__xludf.DUMMYFUNCTION("""COMPUTED_VALUE"""),"Not Available")</f>
        <v>Not Available</v>
      </c>
    </row>
    <row r="568">
      <c r="A568" s="124" t="str">
        <f t="shared" si="1"/>
        <v>shreyaharwai35@gmail.com</v>
      </c>
      <c r="B568" s="131">
        <f>IFERROR(__xludf.DUMMYFUNCTION("""COMPUTED_VALUE"""),46092.0)</f>
        <v>46092</v>
      </c>
      <c r="C568" s="124" t="str">
        <f>IFERROR(__xludf.DUMMYFUNCTION("""COMPUTED_VALUE"""),"Payment data from Collexo")</f>
        <v>Payment data from Collexo</v>
      </c>
      <c r="D568" s="124" t="str">
        <f>IFERROR(__xludf.DUMMYFUNCTION("""COMPUTED_VALUE"""),"Not Available")</f>
        <v>Not Available</v>
      </c>
      <c r="E568" s="124">
        <f>IFERROR(__xludf.DUMMYFUNCTION("""COMPUTED_VALUE"""),1500613.0)</f>
        <v>1500613</v>
      </c>
      <c r="F568" s="124">
        <f>IFERROR(__xludf.DUMMYFUNCTION("""COMPUTED_VALUE"""),126890.0)</f>
        <v>126890</v>
      </c>
      <c r="G568" s="124">
        <f>IFERROR(__xludf.DUMMYFUNCTION("""COMPUTED_VALUE"""),79000.0)</f>
        <v>79000</v>
      </c>
      <c r="H568" s="124" t="str">
        <f>IFERROR(__xludf.DUMMYFUNCTION("""COMPUTED_VALUE"""),"Not Available")</f>
        <v>Not Available</v>
      </c>
      <c r="I568" s="124">
        <f>IFERROR(__xludf.DUMMYFUNCTION("""COMPUTED_VALUE"""),0.0)</f>
        <v>0</v>
      </c>
      <c r="J568" s="124">
        <f>IFERROR(__xludf.DUMMYFUNCTION("""COMPUTED_VALUE"""),80000.0)</f>
        <v>80000</v>
      </c>
      <c r="K568" s="124">
        <f>IFERROR(__xludf.DUMMYFUNCTION("""COMPUTED_VALUE"""),2.0)</f>
        <v>2</v>
      </c>
      <c r="L568" s="124">
        <f>IFERROR(__xludf.DUMMYFUNCTION("""COMPUTED_VALUE"""),497.0)</f>
        <v>497</v>
      </c>
      <c r="M568" s="124" t="str">
        <f>IFERROR(__xludf.DUMMYFUNCTION("""COMPUTED_VALUE"""),"Prayagraj")</f>
        <v>Prayagraj</v>
      </c>
      <c r="N568" s="124" t="str">
        <f>IFERROR(__xludf.DUMMYFUNCTION("""COMPUTED_VALUE"""),"shreyaharwai35@gmail.com")</f>
        <v>shreyaharwai35@gmail.com</v>
      </c>
      <c r="O568" s="124" t="str">
        <f>IFERROR(__xludf.DUMMYFUNCTION("""COMPUTED_VALUE"""),"Shreya modanwal")</f>
        <v>Shreya modanwal</v>
      </c>
      <c r="P568" s="124">
        <f>IFERROR(__xludf.DUMMYFUNCTION("""COMPUTED_VALUE"""),126890.0)</f>
        <v>126890</v>
      </c>
      <c r="Q568" s="124" t="str">
        <f>IFERROR(__xludf.DUMMYFUNCTION("""COMPUTED_VALUE"""),"upsc-gs-foundation-hinglish-target-2027-gsf-upsc-e03-pry")</f>
        <v>upsc-gs-foundation-hinglish-target-2027-gsf-upsc-e03-pry</v>
      </c>
      <c r="R568" s="124" t="str">
        <f>IFERROR(__xludf.DUMMYFUNCTION("""COMPUTED_VALUE"""),"GS Foundation Course")</f>
        <v>GS Foundation Course</v>
      </c>
      <c r="S568" s="124">
        <f>IFERROR(__xludf.DUMMYFUNCTION("""COMPUTED_VALUE"""),9.170552086E9)</f>
        <v>9170552086</v>
      </c>
      <c r="T568" s="124" t="str">
        <f>IFERROR(__xludf.DUMMYFUNCTION("""COMPUTED_VALUE"""),"Not Available")</f>
        <v>Not Available</v>
      </c>
      <c r="U568" s="124" t="str">
        <f>IFERROR(__xludf.DUMMYFUNCTION("""COMPUTED_VALUE"""),"Not Available")</f>
        <v>Not Available</v>
      </c>
      <c r="V568" s="124" t="str">
        <f>IFERROR(__xludf.DUMMYFUNCTION("""COMPUTED_VALUE"""),"Not Available")</f>
        <v>Not Available</v>
      </c>
      <c r="W568" s="124" t="str">
        <f>IFERROR(__xludf.DUMMYFUNCTION("""COMPUTED_VALUE"""),"Not Available")</f>
        <v>Not Available</v>
      </c>
    </row>
    <row r="569">
      <c r="A569" s="124" t="str">
        <f t="shared" si="1"/>
        <v>neha1174622@gmail.com</v>
      </c>
      <c r="B569" s="131">
        <f>IFERROR(__xludf.DUMMYFUNCTION("""COMPUTED_VALUE"""),46112.0)</f>
        <v>46112</v>
      </c>
      <c r="C569" s="124" t="str">
        <f>IFERROR(__xludf.DUMMYFUNCTION("""COMPUTED_VALUE"""),"Payment data from Collexo")</f>
        <v>Payment data from Collexo</v>
      </c>
      <c r="D569" s="124" t="str">
        <f>IFERROR(__xludf.DUMMYFUNCTION("""COMPUTED_VALUE"""),"Not Available")</f>
        <v>Not Available</v>
      </c>
      <c r="E569" s="124">
        <f>IFERROR(__xludf.DUMMYFUNCTION("""COMPUTED_VALUE"""),1500612.0)</f>
        <v>1500612</v>
      </c>
      <c r="F569" s="124">
        <f>IFERROR(__xludf.DUMMYFUNCTION("""COMPUTED_VALUE"""),134669.0)</f>
        <v>134669</v>
      </c>
      <c r="G569" s="124">
        <f>IFERROR(__xludf.DUMMYFUNCTION("""COMPUTED_VALUE"""),30000.0)</f>
        <v>30000</v>
      </c>
      <c r="H569" s="131">
        <f>IFERROR(__xludf.DUMMYFUNCTION("""COMPUTED_VALUE"""),46118.0)</f>
        <v>46118</v>
      </c>
      <c r="I569" s="124">
        <f>IFERROR(__xludf.DUMMYFUNCTION("""COMPUTED_VALUE"""),20000.0)</f>
        <v>20000</v>
      </c>
      <c r="J569" s="124">
        <f>IFERROR(__xludf.DUMMYFUNCTION("""COMPUTED_VALUE"""),50000.0)</f>
        <v>50000</v>
      </c>
      <c r="K569" s="124">
        <f>IFERROR(__xludf.DUMMYFUNCTION("""COMPUTED_VALUE"""),2.0)</f>
        <v>2</v>
      </c>
      <c r="L569" s="124">
        <f>IFERROR(__xludf.DUMMYFUNCTION("""COMPUTED_VALUE"""),855.0)</f>
        <v>855</v>
      </c>
      <c r="M569" s="124" t="str">
        <f>IFERROR(__xludf.DUMMYFUNCTION("""COMPUTED_VALUE"""),"Indore")</f>
        <v>Indore</v>
      </c>
      <c r="N569" s="124" t="str">
        <f>IFERROR(__xludf.DUMMYFUNCTION("""COMPUTED_VALUE"""),"neha1174622@gmail.com")</f>
        <v>neha1174622@gmail.com</v>
      </c>
      <c r="O569" s="124" t="str">
        <f>IFERROR(__xludf.DUMMYFUNCTION("""COMPUTED_VALUE"""),"Neha Singh")</f>
        <v>Neha Singh</v>
      </c>
      <c r="P569" s="124">
        <f>IFERROR(__xludf.DUMMYFUNCTION("""COMPUTED_VALUE"""),134669.0)</f>
        <v>134669</v>
      </c>
      <c r="Q569" s="124" t="str">
        <f>IFERROR(__xludf.DUMMYFUNCTION("""COMPUTED_VALUE"""),"mppsc-gs-foundation-hinglish-target-2027-gsf-mppsc-e02-ind")</f>
        <v>mppsc-gs-foundation-hinglish-target-2027-gsf-mppsc-e02-ind</v>
      </c>
      <c r="R569" s="124" t="str">
        <f>IFERROR(__xludf.DUMMYFUNCTION("""COMPUTED_VALUE"""),"State PCS")</f>
        <v>State PCS</v>
      </c>
      <c r="S569" s="124">
        <f>IFERROR(__xludf.DUMMYFUNCTION("""COMPUTED_VALUE"""),8.236844284E9)</f>
        <v>8236844284</v>
      </c>
      <c r="T569" s="124" t="str">
        <f>IFERROR(__xludf.DUMMYFUNCTION("""COMPUTED_VALUE"""),"Not Available")</f>
        <v>Not Available</v>
      </c>
      <c r="U569" s="124" t="str">
        <f>IFERROR(__xludf.DUMMYFUNCTION("""COMPUTED_VALUE"""),"Not Available")</f>
        <v>Not Available</v>
      </c>
      <c r="V569" s="124" t="str">
        <f>IFERROR(__xludf.DUMMYFUNCTION("""COMPUTED_VALUE"""),"Not Available")</f>
        <v>Not Available</v>
      </c>
      <c r="W569" s="124" t="str">
        <f>IFERROR(__xludf.DUMMYFUNCTION("""COMPUTED_VALUE"""),"Not Available")</f>
        <v>Not Available</v>
      </c>
    </row>
    <row r="570">
      <c r="A570" s="124" t="str">
        <f t="shared" si="1"/>
        <v>manishmaurya1772@gmail.com</v>
      </c>
      <c r="B570" s="131">
        <f>IFERROR(__xludf.DUMMYFUNCTION("""COMPUTED_VALUE"""),46112.0)</f>
        <v>46112</v>
      </c>
      <c r="C570" s="124" t="str">
        <f>IFERROR(__xludf.DUMMYFUNCTION("""COMPUTED_VALUE"""),"Payment data from Collexo")</f>
        <v>Payment data from Collexo</v>
      </c>
      <c r="D570" s="124" t="str">
        <f>IFERROR(__xludf.DUMMYFUNCTION("""COMPUTED_VALUE"""),"Not Available")</f>
        <v>Not Available</v>
      </c>
      <c r="E570" s="124">
        <f>IFERROR(__xludf.DUMMYFUNCTION("""COMPUTED_VALUE"""),1500610.0)</f>
        <v>1500610</v>
      </c>
      <c r="F570" s="124">
        <f>IFERROR(__xludf.DUMMYFUNCTION("""COMPUTED_VALUE"""),55009.0)</f>
        <v>55009</v>
      </c>
      <c r="G570" s="124">
        <f>IFERROR(__xludf.DUMMYFUNCTION("""COMPUTED_VALUE"""),15000.0)</f>
        <v>15000</v>
      </c>
      <c r="H570" s="124" t="str">
        <f>IFERROR(__xludf.DUMMYFUNCTION("""COMPUTED_VALUE"""),"Not Available")</f>
        <v>Not Available</v>
      </c>
      <c r="I570" s="124">
        <f>IFERROR(__xludf.DUMMYFUNCTION("""COMPUTED_VALUE"""),0.0)</f>
        <v>0</v>
      </c>
      <c r="J570" s="124">
        <f>IFERROR(__xludf.DUMMYFUNCTION("""COMPUTED_VALUE"""),40000.0)</f>
        <v>40000</v>
      </c>
      <c r="K570" s="124">
        <f>IFERROR(__xludf.DUMMYFUNCTION("""COMPUTED_VALUE"""),2.0)</f>
        <v>2</v>
      </c>
      <c r="L570" s="124">
        <f>IFERROR(__xludf.DUMMYFUNCTION("""COMPUTED_VALUE"""),858.0)</f>
        <v>858</v>
      </c>
      <c r="M570" s="124" t="str">
        <f>IFERROR(__xludf.DUMMYFUNCTION("""COMPUTED_VALUE"""),"Lucknow")</f>
        <v>Lucknow</v>
      </c>
      <c r="N570" s="124" t="str">
        <f>IFERROR(__xludf.DUMMYFUNCTION("""COMPUTED_VALUE"""),"manishmaurya1772@gmail.com")</f>
        <v>manishmaurya1772@gmail.com</v>
      </c>
      <c r="O570" s="124" t="str">
        <f>IFERROR(__xludf.DUMMYFUNCTION("""COMPUTED_VALUE"""),"Manish Maurya")</f>
        <v>Manish Maurya</v>
      </c>
      <c r="P570" s="124">
        <f>IFERROR(__xludf.DUMMYFUNCTION("""COMPUTED_VALUE"""),55009.0)</f>
        <v>55009</v>
      </c>
      <c r="Q570" s="124" t="str">
        <f>IFERROR(__xludf.DUMMYFUNCTION("""COMPUTED_VALUE"""),"upsc-gs-foundation-hinglish-target-2028-lko-gsf-upsc-e01")</f>
        <v>upsc-gs-foundation-hinglish-target-2028-lko-gsf-upsc-e01</v>
      </c>
      <c r="R570" s="124" t="str">
        <f>IFERROR(__xludf.DUMMYFUNCTION("""COMPUTED_VALUE"""),"GS Foundation Course")</f>
        <v>GS Foundation Course</v>
      </c>
      <c r="S570" s="124">
        <f>IFERROR(__xludf.DUMMYFUNCTION("""COMPUTED_VALUE"""),9.554347509E9)</f>
        <v>9554347509</v>
      </c>
      <c r="T570" s="124" t="str">
        <f>IFERROR(__xludf.DUMMYFUNCTION("""COMPUTED_VALUE"""),"Not Available")</f>
        <v>Not Available</v>
      </c>
      <c r="U570" s="124" t="str">
        <f>IFERROR(__xludf.DUMMYFUNCTION("""COMPUTED_VALUE"""),"Not Available")</f>
        <v>Not Available</v>
      </c>
      <c r="V570" s="124" t="str">
        <f>IFERROR(__xludf.DUMMYFUNCTION("""COMPUTED_VALUE"""),"Not Available")</f>
        <v>Not Available</v>
      </c>
      <c r="W570" s="124" t="str">
        <f>IFERROR(__xludf.DUMMYFUNCTION("""COMPUTED_VALUE"""),"Not Available")</f>
        <v>Not Available</v>
      </c>
    </row>
    <row r="571">
      <c r="A571" s="124" t="str">
        <f t="shared" si="1"/>
        <v>swarnaavula2@gmail.com</v>
      </c>
      <c r="B571" s="131">
        <f>IFERROR(__xludf.DUMMYFUNCTION("""COMPUTED_VALUE"""),46079.0)</f>
        <v>46079</v>
      </c>
      <c r="C571" s="124" t="str">
        <f>IFERROR(__xludf.DUMMYFUNCTION("""COMPUTED_VALUE"""),"Payment data from Collexo")</f>
        <v>Payment data from Collexo</v>
      </c>
      <c r="D571" s="124" t="str">
        <f>IFERROR(__xludf.DUMMYFUNCTION("""COMPUTED_VALUE"""),"Not Available")</f>
        <v>Not Available</v>
      </c>
      <c r="E571" s="124">
        <f>IFERROR(__xludf.DUMMYFUNCTION("""COMPUTED_VALUE"""),1500609.0)</f>
        <v>1500609</v>
      </c>
      <c r="F571" s="124" t="str">
        <f>IFERROR(__xludf.DUMMYFUNCTION("""COMPUTED_VALUE"""),"11197_988_7")</f>
        <v>11197_988_7</v>
      </c>
      <c r="G571" s="124">
        <f>IFERROR(__xludf.DUMMYFUNCTION("""COMPUTED_VALUE"""),8750.0)</f>
        <v>8750</v>
      </c>
      <c r="H571" s="131">
        <f>IFERROR(__xludf.DUMMYFUNCTION("""COMPUTED_VALUE"""),46081.0)</f>
        <v>46081</v>
      </c>
      <c r="I571" s="124">
        <f>IFERROR(__xludf.DUMMYFUNCTION("""COMPUTED_VALUE"""),56250.0)</f>
        <v>56250</v>
      </c>
      <c r="J571" s="124">
        <f>IFERROR(__xludf.DUMMYFUNCTION("""COMPUTED_VALUE"""),75000.0)</f>
        <v>75000</v>
      </c>
      <c r="K571" s="124">
        <f>IFERROR(__xludf.DUMMYFUNCTION("""COMPUTED_VALUE"""),3.0)</f>
        <v>3</v>
      </c>
      <c r="L571" s="124">
        <f>IFERROR(__xludf.DUMMYFUNCTION("""COMPUTED_VALUE"""),346.0)</f>
        <v>346</v>
      </c>
      <c r="M571" s="124" t="str">
        <f>IFERROR(__xludf.DUMMYFUNCTION("""COMPUTED_VALUE"""),"New Delhi")</f>
        <v>New Delhi</v>
      </c>
      <c r="N571" s="124" t="str">
        <f>IFERROR(__xludf.DUMMYFUNCTION("""COMPUTED_VALUE"""),"swarnaavula2@gmail.com")</f>
        <v>swarnaavula2@gmail.com</v>
      </c>
      <c r="O571" s="124" t="str">
        <f>IFERROR(__xludf.DUMMYFUNCTION("""COMPUTED_VALUE"""),"Swarna Kumari")</f>
        <v>Swarna Kumari</v>
      </c>
      <c r="P571" s="124">
        <f>IFERROR(__xludf.DUMMYFUNCTION("""COMPUTED_VALUE"""),121594.0)</f>
        <v>121594</v>
      </c>
      <c r="Q571" s="124" t="str">
        <f>IFERROR(__xludf.DUMMYFUNCTION("""COMPUTED_VALUE"""),"Not Available")</f>
        <v>Not Available</v>
      </c>
      <c r="R571" s="124" t="str">
        <f>IFERROR(__xludf.DUMMYFUNCTION("""COMPUTED_VALUE"""),"GS Foundation Course")</f>
        <v>GS Foundation Course</v>
      </c>
      <c r="S571" s="124">
        <f>IFERROR(__xludf.DUMMYFUNCTION("""COMPUTED_VALUE"""),7.569056642E9)</f>
        <v>7569056642</v>
      </c>
      <c r="T571" s="124" t="str">
        <f>IFERROR(__xludf.DUMMYFUNCTION("""COMPUTED_VALUE"""),"Collexo")</f>
        <v>Collexo</v>
      </c>
      <c r="U571" s="124" t="str">
        <f>IFERROR(__xludf.DUMMYFUNCTION("""COMPUTED_VALUE"""),"Success")</f>
        <v>Success</v>
      </c>
      <c r="V571" s="131">
        <f>IFERROR(__xludf.DUMMYFUNCTION("""COMPUTED_VALUE"""),46079.0)</f>
        <v>46079</v>
      </c>
      <c r="W571" s="124">
        <f>IFERROR(__xludf.DUMMYFUNCTION("""COMPUTED_VALUE"""),0.0)</f>
        <v>0</v>
      </c>
    </row>
    <row r="572">
      <c r="A572" s="124" t="str">
        <f t="shared" si="1"/>
        <v>ritiktiwa1999@gmail.com</v>
      </c>
      <c r="B572" s="131">
        <f>IFERROR(__xludf.DUMMYFUNCTION("""COMPUTED_VALUE"""),46048.0)</f>
        <v>46048</v>
      </c>
      <c r="C572" s="124" t="str">
        <f>IFERROR(__xludf.DUMMYFUNCTION("""COMPUTED_VALUE"""),"Payment data from Collexo")</f>
        <v>Payment data from Collexo</v>
      </c>
      <c r="D572" s="124" t="str">
        <f>IFERROR(__xludf.DUMMYFUNCTION("""COMPUTED_VALUE"""),"Not Available")</f>
        <v>Not Available</v>
      </c>
      <c r="E572" s="124">
        <f>IFERROR(__xludf.DUMMYFUNCTION("""COMPUTED_VALUE"""),1500609.0)</f>
        <v>1500609</v>
      </c>
      <c r="F572" s="124" t="str">
        <f>IFERROR(__xludf.DUMMYFUNCTION("""COMPUTED_VALUE"""),"2449_988_7")</f>
        <v>2449_988_7</v>
      </c>
      <c r="G572" s="124">
        <f>IFERROR(__xludf.DUMMYFUNCTION("""COMPUTED_VALUE"""),130000.0)</f>
        <v>130000</v>
      </c>
      <c r="H572" s="124" t="str">
        <f>IFERROR(__xludf.DUMMYFUNCTION("""COMPUTED_VALUE"""),"Not Available")</f>
        <v>Not Available</v>
      </c>
      <c r="I572" s="124">
        <f>IFERROR(__xludf.DUMMYFUNCTION("""COMPUTED_VALUE"""),0.0)</f>
        <v>0</v>
      </c>
      <c r="J572" s="124">
        <f>IFERROR(__xludf.DUMMYFUNCTION("""COMPUTED_VALUE"""),140000.0)</f>
        <v>140000</v>
      </c>
      <c r="K572" s="124">
        <f>IFERROR(__xludf.DUMMYFUNCTION("""COMPUTED_VALUE"""),2.0)</f>
        <v>2</v>
      </c>
      <c r="L572" s="124">
        <f>IFERROR(__xludf.DUMMYFUNCTION("""COMPUTED_VALUE"""),112.0)</f>
        <v>112</v>
      </c>
      <c r="M572" s="124" t="str">
        <f>IFERROR(__xludf.DUMMYFUNCTION("""COMPUTED_VALUE"""),"New Delhi")</f>
        <v>New Delhi</v>
      </c>
      <c r="N572" s="124" t="str">
        <f>IFERROR(__xludf.DUMMYFUNCTION("""COMPUTED_VALUE"""),"ritiktiwa1999@gmail.com")</f>
        <v>ritiktiwa1999@gmail.com</v>
      </c>
      <c r="O572" s="124" t="str">
        <f>IFERROR(__xludf.DUMMYFUNCTION("""COMPUTED_VALUE"""),"Ritik Tiwari")</f>
        <v>Ritik Tiwari</v>
      </c>
      <c r="P572" s="124">
        <f>IFERROR(__xludf.DUMMYFUNCTION("""COMPUTED_VALUE"""),87913.0)</f>
        <v>87913</v>
      </c>
      <c r="Q572" s="124" t="str">
        <f>IFERROR(__xludf.DUMMYFUNCTION("""COMPUTED_VALUE"""),"ncert-foundation-hinglish-target-2026-nce-upsc-e01-orn")</f>
        <v>ncert-foundation-hinglish-target-2026-nce-upsc-e01-orn</v>
      </c>
      <c r="R572" s="124" t="str">
        <f>IFERROR(__xludf.DUMMYFUNCTION("""COMPUTED_VALUE"""),"GS Foundation Course")</f>
        <v>GS Foundation Course</v>
      </c>
      <c r="S572" s="124">
        <f>IFERROR(__xludf.DUMMYFUNCTION("""COMPUTED_VALUE"""),8.318771184E9)</f>
        <v>8318771184</v>
      </c>
      <c r="T572" s="124" t="str">
        <f>IFERROR(__xludf.DUMMYFUNCTION("""COMPUTED_VALUE"""),"Collexo")</f>
        <v>Collexo</v>
      </c>
      <c r="U572" s="124" t="str">
        <f>IFERROR(__xludf.DUMMYFUNCTION("""COMPUTED_VALUE"""),"Success")</f>
        <v>Success</v>
      </c>
      <c r="V572" s="131">
        <f>IFERROR(__xludf.DUMMYFUNCTION("""COMPUTED_VALUE"""),46048.0)</f>
        <v>46048</v>
      </c>
      <c r="W572" s="124">
        <f>IFERROR(__xludf.DUMMYFUNCTION("""COMPUTED_VALUE"""),0.0)</f>
        <v>0</v>
      </c>
    </row>
    <row r="573">
      <c r="A573" s="124" t="str">
        <f t="shared" si="1"/>
        <v>princesinghrajawat200@gmail.com</v>
      </c>
      <c r="B573" s="131">
        <f>IFERROR(__xludf.DUMMYFUNCTION("""COMPUTED_VALUE"""),46081.0)</f>
        <v>46081</v>
      </c>
      <c r="C573" s="124" t="str">
        <f>IFERROR(__xludf.DUMMYFUNCTION("""COMPUTED_VALUE"""),"Payment data from Collexo")</f>
        <v>Payment data from Collexo</v>
      </c>
      <c r="D573" s="124" t="str">
        <f>IFERROR(__xludf.DUMMYFUNCTION("""COMPUTED_VALUE"""),"Not Available")</f>
        <v>Not Available</v>
      </c>
      <c r="E573" s="124">
        <f>IFERROR(__xludf.DUMMYFUNCTION("""COMPUTED_VALUE"""),1500612.0)</f>
        <v>1500612</v>
      </c>
      <c r="F573" s="124">
        <f>IFERROR(__xludf.DUMMYFUNCTION("""COMPUTED_VALUE"""),125785.0)</f>
        <v>125785</v>
      </c>
      <c r="G573" s="124">
        <f>IFERROR(__xludf.DUMMYFUNCTION("""COMPUTED_VALUE"""),2000.0)</f>
        <v>2000</v>
      </c>
      <c r="H573" s="131">
        <f>IFERROR(__xludf.DUMMYFUNCTION("""COMPUTED_VALUE"""),46090.0)</f>
        <v>46090</v>
      </c>
      <c r="I573" s="124">
        <f>IFERROR(__xludf.DUMMYFUNCTION("""COMPUTED_VALUE"""),37000.0)</f>
        <v>37000</v>
      </c>
      <c r="J573" s="124">
        <f>IFERROR(__xludf.DUMMYFUNCTION("""COMPUTED_VALUE"""),39000.0)</f>
        <v>39000</v>
      </c>
      <c r="K573" s="124">
        <f>IFERROR(__xludf.DUMMYFUNCTION("""COMPUTED_VALUE"""),2.0)</f>
        <v>2</v>
      </c>
      <c r="L573" s="124">
        <f>IFERROR(__xludf.DUMMYFUNCTION("""COMPUTED_VALUE"""),397.0)</f>
        <v>397</v>
      </c>
      <c r="M573" s="124" t="str">
        <f>IFERROR(__xludf.DUMMYFUNCTION("""COMPUTED_VALUE"""),"Indore")</f>
        <v>Indore</v>
      </c>
      <c r="N573" s="124" t="str">
        <f>IFERROR(__xludf.DUMMYFUNCTION("""COMPUTED_VALUE"""),"princesinghrajawat200@gmail.com")</f>
        <v>princesinghrajawat200@gmail.com</v>
      </c>
      <c r="O573" s="124" t="str">
        <f>IFERROR(__xludf.DUMMYFUNCTION("""COMPUTED_VALUE"""),"Prince singh rajawat")</f>
        <v>Prince singh rajawat</v>
      </c>
      <c r="P573" s="124">
        <f>IFERROR(__xludf.DUMMYFUNCTION("""COMPUTED_VALUE"""),125785.0)</f>
        <v>125785</v>
      </c>
      <c r="Q573" s="124" t="str">
        <f>IFERROR(__xludf.DUMMYFUNCTION("""COMPUTED_VALUE"""),"madhya-pradesh-psc-gs-foundation-2027-p2i-offline-hindi-batch-2-e-ind")</f>
        <v>madhya-pradesh-psc-gs-foundation-2027-p2i-offline-hindi-batch-2-e-ind</v>
      </c>
      <c r="R573" s="124" t="str">
        <f>IFERROR(__xludf.DUMMYFUNCTION("""COMPUTED_VALUE"""),"GS Foundation Course")</f>
        <v>GS Foundation Course</v>
      </c>
      <c r="S573" s="124">
        <f>IFERROR(__xludf.DUMMYFUNCTION("""COMPUTED_VALUE"""),7.747849792E9)</f>
        <v>7747849792</v>
      </c>
      <c r="T573" s="124" t="str">
        <f>IFERROR(__xludf.DUMMYFUNCTION("""COMPUTED_VALUE"""),"Not Available")</f>
        <v>Not Available</v>
      </c>
      <c r="U573" s="124" t="str">
        <f>IFERROR(__xludf.DUMMYFUNCTION("""COMPUTED_VALUE"""),"Not Available")</f>
        <v>Not Available</v>
      </c>
      <c r="V573" s="124" t="str">
        <f>IFERROR(__xludf.DUMMYFUNCTION("""COMPUTED_VALUE"""),"Not Available")</f>
        <v>Not Available</v>
      </c>
      <c r="W573" s="124" t="str">
        <f>IFERROR(__xludf.DUMMYFUNCTION("""COMPUTED_VALUE"""),"Not Available")</f>
        <v>Not Available</v>
      </c>
    </row>
    <row r="574">
      <c r="A574" s="124" t="str">
        <f t="shared" si="1"/>
        <v>23kartiksinghal@gmail.com</v>
      </c>
      <c r="B574" s="131">
        <f>IFERROR(__xludf.DUMMYFUNCTION("""COMPUTED_VALUE"""),46096.0)</f>
        <v>46096</v>
      </c>
      <c r="C574" s="124" t="str">
        <f>IFERROR(__xludf.DUMMYFUNCTION("""COMPUTED_VALUE"""),"Payment data from Collexo")</f>
        <v>Payment data from Collexo</v>
      </c>
      <c r="D574" s="124" t="str">
        <f>IFERROR(__xludf.DUMMYFUNCTION("""COMPUTED_VALUE"""),"Not Available")</f>
        <v>Not Available</v>
      </c>
      <c r="E574" s="124">
        <f>IFERROR(__xludf.DUMMYFUNCTION("""COMPUTED_VALUE"""),1500609.0)</f>
        <v>1500609</v>
      </c>
      <c r="F574" s="124" t="str">
        <f>IFERROR(__xludf.DUMMYFUNCTION("""COMPUTED_VALUE"""),"14439_988_7")</f>
        <v>14439_988_7</v>
      </c>
      <c r="G574" s="124">
        <f>IFERROR(__xludf.DUMMYFUNCTION("""COMPUTED_VALUE"""),22000.0)</f>
        <v>22000</v>
      </c>
      <c r="H574" s="131">
        <f>IFERROR(__xludf.DUMMYFUNCTION("""COMPUTED_VALUE"""),46112.0)</f>
        <v>46112</v>
      </c>
      <c r="I574" s="124">
        <f>IFERROR(__xludf.DUMMYFUNCTION("""COMPUTED_VALUE"""),320.0)</f>
        <v>320</v>
      </c>
      <c r="J574" s="124">
        <f>IFERROR(__xludf.DUMMYFUNCTION("""COMPUTED_VALUE"""),110000.0)</f>
        <v>110000</v>
      </c>
      <c r="K574" s="124">
        <f>IFERROR(__xludf.DUMMYFUNCTION("""COMPUTED_VALUE"""),3.0)</f>
        <v>3</v>
      </c>
      <c r="L574" s="124">
        <f>IFERROR(__xludf.DUMMYFUNCTION("""COMPUTED_VALUE"""),553.0)</f>
        <v>553</v>
      </c>
      <c r="M574" s="124" t="str">
        <f>IFERROR(__xludf.DUMMYFUNCTION("""COMPUTED_VALUE"""),"New Delhi")</f>
        <v>New Delhi</v>
      </c>
      <c r="N574" s="124" t="str">
        <f>IFERROR(__xludf.DUMMYFUNCTION("""COMPUTED_VALUE"""),"23kartiksinghal@gmail.com")</f>
        <v>23kartiksinghal@gmail.com</v>
      </c>
      <c r="O574" s="124" t="str">
        <f>IFERROR(__xludf.DUMMYFUNCTION("""COMPUTED_VALUE"""),"Kartik Singh")</f>
        <v>Kartik Singh</v>
      </c>
      <c r="P574" s="124">
        <f>IFERROR(__xludf.DUMMYFUNCTION("""COMPUTED_VALUE"""),81903.0)</f>
        <v>81903</v>
      </c>
      <c r="Q574" s="124" t="str">
        <f>IFERROR(__xludf.DUMMYFUNCTION("""COMPUTED_VALUE"""),"upsc-gs-foundation-hinglish-target-2027-gsf-upsc-e03-orn")</f>
        <v>upsc-gs-foundation-hinglish-target-2027-gsf-upsc-e03-orn</v>
      </c>
      <c r="R574" s="124" t="str">
        <f>IFERROR(__xludf.DUMMYFUNCTION("""COMPUTED_VALUE"""),"GS Foundation Course")</f>
        <v>GS Foundation Course</v>
      </c>
      <c r="S574" s="124">
        <f>IFERROR(__xludf.DUMMYFUNCTION("""COMPUTED_VALUE"""),9.71108374E9)</f>
        <v>9711083740</v>
      </c>
      <c r="T574" s="124" t="str">
        <f>IFERROR(__xludf.DUMMYFUNCTION("""COMPUTED_VALUE"""),"Collexo")</f>
        <v>Collexo</v>
      </c>
      <c r="U574" s="124" t="str">
        <f>IFERROR(__xludf.DUMMYFUNCTION("""COMPUTED_VALUE"""),"Success")</f>
        <v>Success</v>
      </c>
      <c r="V574" s="131">
        <f>IFERROR(__xludf.DUMMYFUNCTION("""COMPUTED_VALUE"""),46096.0)</f>
        <v>46096</v>
      </c>
      <c r="W574" s="124">
        <f>IFERROR(__xludf.DUMMYFUNCTION("""COMPUTED_VALUE"""),0.0)</f>
        <v>0</v>
      </c>
    </row>
    <row r="575">
      <c r="A575" s="124" t="str">
        <f t="shared" si="1"/>
        <v>tanishaverma047@gmail.com</v>
      </c>
      <c r="B575" s="131">
        <f>IFERROR(__xludf.DUMMYFUNCTION("""COMPUTED_VALUE"""),46050.0)</f>
        <v>46050</v>
      </c>
      <c r="C575" s="124" t="str">
        <f>IFERROR(__xludf.DUMMYFUNCTION("""COMPUTED_VALUE"""),"Payment data from Collexo")</f>
        <v>Payment data from Collexo</v>
      </c>
      <c r="D575" s="124" t="str">
        <f>IFERROR(__xludf.DUMMYFUNCTION("""COMPUTED_VALUE"""),"Not Available")</f>
        <v>Not Available</v>
      </c>
      <c r="E575" s="124">
        <f>IFERROR(__xludf.DUMMYFUNCTION("""COMPUTED_VALUE"""),1500609.0)</f>
        <v>1500609</v>
      </c>
      <c r="F575" s="124" t="str">
        <f>IFERROR(__xludf.DUMMYFUNCTION("""COMPUTED_VALUE"""),"2728_988_7")</f>
        <v>2728_988_7</v>
      </c>
      <c r="G575" s="124">
        <f>IFERROR(__xludf.DUMMYFUNCTION("""COMPUTED_VALUE"""),10000.0)</f>
        <v>10000</v>
      </c>
      <c r="H575" s="131">
        <f>IFERROR(__xludf.DUMMYFUNCTION("""COMPUTED_VALUE"""),46053.0)</f>
        <v>46053</v>
      </c>
      <c r="I575" s="124">
        <f>IFERROR(__xludf.DUMMYFUNCTION("""COMPUTED_VALUE"""),90000.0)</f>
        <v>90000</v>
      </c>
      <c r="J575" s="124">
        <f>IFERROR(__xludf.DUMMYFUNCTION("""COMPUTED_VALUE"""),100000.0)</f>
        <v>100000</v>
      </c>
      <c r="K575" s="124">
        <f>IFERROR(__xludf.DUMMYFUNCTION("""COMPUTED_VALUE"""),2.0)</f>
        <v>2</v>
      </c>
      <c r="L575" s="124">
        <f>IFERROR(__xludf.DUMMYFUNCTION("""COMPUTED_VALUE"""),121.0)</f>
        <v>121</v>
      </c>
      <c r="M575" s="124" t="str">
        <f>IFERROR(__xludf.DUMMYFUNCTION("""COMPUTED_VALUE"""),"New Delhi")</f>
        <v>New Delhi</v>
      </c>
      <c r="N575" s="124" t="str">
        <f>IFERROR(__xludf.DUMMYFUNCTION("""COMPUTED_VALUE"""),"tanishaverma047@gmail.com")</f>
        <v>tanishaverma047@gmail.com</v>
      </c>
      <c r="O575" s="124" t="str">
        <f>IFERROR(__xludf.DUMMYFUNCTION("""COMPUTED_VALUE"""),"Tanisha")</f>
        <v>Tanisha</v>
      </c>
      <c r="P575" s="124">
        <f>IFERROR(__xludf.DUMMYFUNCTION("""COMPUTED_VALUE"""),111723.0)</f>
        <v>111723</v>
      </c>
      <c r="Q575" s="124" t="str">
        <f>IFERROR(__xludf.DUMMYFUNCTION("""COMPUTED_VALUE"""),"ncert-foundation-hinglish-target-2026-nce-upsc-e02-orn")</f>
        <v>ncert-foundation-hinglish-target-2026-nce-upsc-e02-orn</v>
      </c>
      <c r="R575" s="124" t="str">
        <f>IFERROR(__xludf.DUMMYFUNCTION("""COMPUTED_VALUE"""),"GS Foundation Course")</f>
        <v>GS Foundation Course</v>
      </c>
      <c r="S575" s="124">
        <f>IFERROR(__xludf.DUMMYFUNCTION("""COMPUTED_VALUE"""),9.971041984E9)</f>
        <v>9971041984</v>
      </c>
      <c r="T575" s="124" t="str">
        <f>IFERROR(__xludf.DUMMYFUNCTION("""COMPUTED_VALUE"""),"Collexo")</f>
        <v>Collexo</v>
      </c>
      <c r="U575" s="124" t="str">
        <f>IFERROR(__xludf.DUMMYFUNCTION("""COMPUTED_VALUE"""),"Success")</f>
        <v>Success</v>
      </c>
      <c r="V575" s="131">
        <f>IFERROR(__xludf.DUMMYFUNCTION("""COMPUTED_VALUE"""),46050.0)</f>
        <v>46050</v>
      </c>
      <c r="W575" s="124">
        <f>IFERROR(__xludf.DUMMYFUNCTION("""COMPUTED_VALUE"""),0.0)</f>
        <v>0</v>
      </c>
    </row>
    <row r="576">
      <c r="A576" s="124" t="str">
        <f t="shared" si="1"/>
        <v>anuskaa0220@gmail.com</v>
      </c>
      <c r="B576" s="131">
        <f>IFERROR(__xludf.DUMMYFUNCTION("""COMPUTED_VALUE"""),46072.0)</f>
        <v>46072</v>
      </c>
      <c r="C576" s="124" t="str">
        <f>IFERROR(__xludf.DUMMYFUNCTION("""COMPUTED_VALUE"""),"Payment data from Collexo")</f>
        <v>Payment data from Collexo</v>
      </c>
      <c r="D576" s="124" t="str">
        <f>IFERROR(__xludf.DUMMYFUNCTION("""COMPUTED_VALUE"""),"Not Available")</f>
        <v>Not Available</v>
      </c>
      <c r="E576" s="124">
        <f>IFERROR(__xludf.DUMMYFUNCTION("""COMPUTED_VALUE"""),1500609.0)</f>
        <v>1500609</v>
      </c>
      <c r="F576" s="124" t="str">
        <f>IFERROR(__xludf.DUMMYFUNCTION("""COMPUTED_VALUE"""),"6475_988_7")</f>
        <v>6475_988_7</v>
      </c>
      <c r="G576" s="124">
        <f>IFERROR(__xludf.DUMMYFUNCTION("""COMPUTED_VALUE"""),1.0)</f>
        <v>1</v>
      </c>
      <c r="H576" s="124" t="str">
        <f>IFERROR(__xludf.DUMMYFUNCTION("""COMPUTED_VALUE"""),"Not Available")</f>
        <v>Not Available</v>
      </c>
      <c r="I576" s="124">
        <f>IFERROR(__xludf.DUMMYFUNCTION("""COMPUTED_VALUE"""),0.0)</f>
        <v>0</v>
      </c>
      <c r="J576" s="124">
        <f>IFERROR(__xludf.DUMMYFUNCTION("""COMPUTED_VALUE"""),1.0)</f>
        <v>1</v>
      </c>
      <c r="K576" s="124">
        <f>IFERROR(__xludf.DUMMYFUNCTION("""COMPUTED_VALUE"""),1.0)</f>
        <v>1</v>
      </c>
      <c r="L576" s="124">
        <f>IFERROR(__xludf.DUMMYFUNCTION("""COMPUTED_VALUE"""),263.0)</f>
        <v>263</v>
      </c>
      <c r="M576" s="124" t="str">
        <f>IFERROR(__xludf.DUMMYFUNCTION("""COMPUTED_VALUE"""),"New Delhi")</f>
        <v>New Delhi</v>
      </c>
      <c r="N576" s="124" t="str">
        <f>IFERROR(__xludf.DUMMYFUNCTION("""COMPUTED_VALUE"""),"anuskaa0220@gmail.com")</f>
        <v>anuskaa0220@gmail.com</v>
      </c>
      <c r="O576" s="124" t="str">
        <f>IFERROR(__xludf.DUMMYFUNCTION("""COMPUTED_VALUE"""),"Anushka")</f>
        <v>Anushka</v>
      </c>
      <c r="P576" s="124">
        <f>IFERROR(__xludf.DUMMYFUNCTION("""COMPUTED_VALUE"""),123416.0)</f>
        <v>123416</v>
      </c>
      <c r="Q576" s="124" t="str">
        <f>IFERROR(__xludf.DUMMYFUNCTION("""COMPUTED_VALUE"""),"/upsc-gs-foundation-hinglish-target-2027-gsf-upsc-e04-orn")</f>
        <v>/upsc-gs-foundation-hinglish-target-2027-gsf-upsc-e04-orn</v>
      </c>
      <c r="R576" s="124" t="str">
        <f>IFERROR(__xludf.DUMMYFUNCTION("""COMPUTED_VALUE"""),"GS Foundation Course")</f>
        <v>GS Foundation Course</v>
      </c>
      <c r="S576" s="124">
        <f>IFERROR(__xludf.DUMMYFUNCTION("""COMPUTED_VALUE"""),6.394479541E9)</f>
        <v>6394479541</v>
      </c>
      <c r="T576" s="124" t="str">
        <f>IFERROR(__xludf.DUMMYFUNCTION("""COMPUTED_VALUE"""),"Collexo")</f>
        <v>Collexo</v>
      </c>
      <c r="U576" s="124" t="str">
        <f>IFERROR(__xludf.DUMMYFUNCTION("""COMPUTED_VALUE"""),"Success")</f>
        <v>Success</v>
      </c>
      <c r="V576" s="131">
        <f>IFERROR(__xludf.DUMMYFUNCTION("""COMPUTED_VALUE"""),46072.0)</f>
        <v>46072</v>
      </c>
      <c r="W576" s="124">
        <f>IFERROR(__xludf.DUMMYFUNCTION("""COMPUTED_VALUE"""),0.0)</f>
        <v>0</v>
      </c>
    </row>
    <row r="577">
      <c r="A577" s="124" t="str">
        <f t="shared" si="1"/>
        <v>tanupriyanisha3117@gmail.com</v>
      </c>
      <c r="B577" s="131">
        <f>IFERROR(__xludf.DUMMYFUNCTION("""COMPUTED_VALUE"""),46077.0)</f>
        <v>46077</v>
      </c>
      <c r="C577" s="124" t="str">
        <f>IFERROR(__xludf.DUMMYFUNCTION("""COMPUTED_VALUE"""),"Payment data from Collexo")</f>
        <v>Payment data from Collexo</v>
      </c>
      <c r="D577" s="124" t="str">
        <f>IFERROR(__xludf.DUMMYFUNCTION("""COMPUTED_VALUE"""),"Not Available")</f>
        <v>Not Available</v>
      </c>
      <c r="E577" s="124">
        <f>IFERROR(__xludf.DUMMYFUNCTION("""COMPUTED_VALUE"""),1500611.0)</f>
        <v>1500611</v>
      </c>
      <c r="F577" s="124">
        <f>IFERROR(__xludf.DUMMYFUNCTION("""COMPUTED_VALUE"""),124231.0)</f>
        <v>124231</v>
      </c>
      <c r="G577" s="124">
        <f>IFERROR(__xludf.DUMMYFUNCTION("""COMPUTED_VALUE"""),4000.0)</f>
        <v>4000</v>
      </c>
      <c r="H577" s="131">
        <f>IFERROR(__xludf.DUMMYFUNCTION("""COMPUTED_VALUE"""),46078.0)</f>
        <v>46078</v>
      </c>
      <c r="I577" s="124">
        <f>IFERROR(__xludf.DUMMYFUNCTION("""COMPUTED_VALUE"""),36000.0)</f>
        <v>36000</v>
      </c>
      <c r="J577" s="124">
        <f>IFERROR(__xludf.DUMMYFUNCTION("""COMPUTED_VALUE"""),40000.0)</f>
        <v>40000</v>
      </c>
      <c r="K577" s="124">
        <f>IFERROR(__xludf.DUMMYFUNCTION("""COMPUTED_VALUE"""),2.0)</f>
        <v>2</v>
      </c>
      <c r="L577" s="124">
        <f>IFERROR(__xludf.DUMMYFUNCTION("""COMPUTED_VALUE"""),324.0)</f>
        <v>324</v>
      </c>
      <c r="M577" s="124" t="str">
        <f>IFERROR(__xludf.DUMMYFUNCTION("""COMPUTED_VALUE"""),"Patna")</f>
        <v>Patna</v>
      </c>
      <c r="N577" s="124" t="str">
        <f>IFERROR(__xludf.DUMMYFUNCTION("""COMPUTED_VALUE"""),"tanupriyanisha3117@gmail.com")</f>
        <v>tanupriyanisha3117@gmail.com</v>
      </c>
      <c r="O577" s="124" t="str">
        <f>IFERROR(__xludf.DUMMYFUNCTION("""COMPUTED_VALUE"""),"TANU PRIYA")</f>
        <v>TANU PRIYA</v>
      </c>
      <c r="P577" s="124">
        <f>IFERROR(__xludf.DUMMYFUNCTION("""COMPUTED_VALUE"""),124231.0)</f>
        <v>124231</v>
      </c>
      <c r="Q577" s="124" t="str">
        <f>IFERROR(__xludf.DUMMYFUNCTION("""COMPUTED_VALUE"""),"bpsc-gs-foundation-hinglish-target-2026-gsf-bpsc-e02-pat")</f>
        <v>bpsc-gs-foundation-hinglish-target-2026-gsf-bpsc-e02-pat</v>
      </c>
      <c r="R577" s="124" t="str">
        <f>IFERROR(__xludf.DUMMYFUNCTION("""COMPUTED_VALUE"""),"GS Foundation Course")</f>
        <v>GS Foundation Course</v>
      </c>
      <c r="S577" s="124">
        <f>IFERROR(__xludf.DUMMYFUNCTION("""COMPUTED_VALUE"""),6.200988968E9)</f>
        <v>6200988968</v>
      </c>
      <c r="T577" s="124" t="str">
        <f>IFERROR(__xludf.DUMMYFUNCTION("""COMPUTED_VALUE"""),"Not Available")</f>
        <v>Not Available</v>
      </c>
      <c r="U577" s="124" t="str">
        <f>IFERROR(__xludf.DUMMYFUNCTION("""COMPUTED_VALUE"""),"Not Available")</f>
        <v>Not Available</v>
      </c>
      <c r="V577" s="124" t="str">
        <f>IFERROR(__xludf.DUMMYFUNCTION("""COMPUTED_VALUE"""),"Not Available")</f>
        <v>Not Available</v>
      </c>
      <c r="W577" s="124" t="str">
        <f>IFERROR(__xludf.DUMMYFUNCTION("""COMPUTED_VALUE"""),"Not Available")</f>
        <v>Not Available</v>
      </c>
    </row>
    <row r="578">
      <c r="A578" s="124" t="str">
        <f t="shared" si="1"/>
        <v>harshitsrivastav0001@gmail.com</v>
      </c>
      <c r="B578" s="131">
        <f>IFERROR(__xludf.DUMMYFUNCTION("""COMPUTED_VALUE"""),46112.0)</f>
        <v>46112</v>
      </c>
      <c r="C578" s="124" t="str">
        <f>IFERROR(__xludf.DUMMYFUNCTION("""COMPUTED_VALUE"""),"Payment data from Collexo")</f>
        <v>Payment data from Collexo</v>
      </c>
      <c r="D578" s="124" t="str">
        <f>IFERROR(__xludf.DUMMYFUNCTION("""COMPUTED_VALUE"""),"Not Available")</f>
        <v>Not Available</v>
      </c>
      <c r="E578" s="124">
        <f>IFERROR(__xludf.DUMMYFUNCTION("""COMPUTED_VALUE"""),1500610.0)</f>
        <v>1500610</v>
      </c>
      <c r="F578" s="124">
        <f>IFERROR(__xludf.DUMMYFUNCTION("""COMPUTED_VALUE"""),141022.0)</f>
        <v>141022</v>
      </c>
      <c r="G578" s="124">
        <f>IFERROR(__xludf.DUMMYFUNCTION("""COMPUTED_VALUE"""),34000.0)</f>
        <v>34000</v>
      </c>
      <c r="H578" s="124" t="str">
        <f>IFERROR(__xludf.DUMMYFUNCTION("""COMPUTED_VALUE"""),"Not Available")</f>
        <v>Not Available</v>
      </c>
      <c r="I578" s="124">
        <f>IFERROR(__xludf.DUMMYFUNCTION("""COMPUTED_VALUE"""),0.0)</f>
        <v>0</v>
      </c>
      <c r="J578" s="124">
        <f>IFERROR(__xludf.DUMMYFUNCTION("""COMPUTED_VALUE"""),34000.0)</f>
        <v>34000</v>
      </c>
      <c r="K578" s="124">
        <f>IFERROR(__xludf.DUMMYFUNCTION("""COMPUTED_VALUE"""),1.0)</f>
        <v>1</v>
      </c>
      <c r="L578" s="124">
        <f>IFERROR(__xludf.DUMMYFUNCTION("""COMPUTED_VALUE"""),860.0)</f>
        <v>860</v>
      </c>
      <c r="M578" s="124" t="str">
        <f>IFERROR(__xludf.DUMMYFUNCTION("""COMPUTED_VALUE"""),"Lucknow")</f>
        <v>Lucknow</v>
      </c>
      <c r="N578" s="124" t="str">
        <f>IFERROR(__xludf.DUMMYFUNCTION("""COMPUTED_VALUE"""),"harshitsrivastav0001@gmail.com")</f>
        <v>harshitsrivastav0001@gmail.com</v>
      </c>
      <c r="O578" s="124" t="str">
        <f>IFERROR(__xludf.DUMMYFUNCTION("""COMPUTED_VALUE"""),"Harshit")</f>
        <v>Harshit</v>
      </c>
      <c r="P578" s="124">
        <f>IFERROR(__xludf.DUMMYFUNCTION("""COMPUTED_VALUE"""),141022.0)</f>
        <v>141022</v>
      </c>
      <c r="Q578" s="124" t="str">
        <f>IFERROR(__xludf.DUMMYFUNCTION("""COMPUTED_VALUE"""),"Not Available")</f>
        <v>Not Available</v>
      </c>
      <c r="R578" s="124" t="str">
        <f>IFERROR(__xludf.DUMMYFUNCTION("""COMPUTED_VALUE"""),"State PCS")</f>
        <v>State PCS</v>
      </c>
      <c r="S578" s="124">
        <f>IFERROR(__xludf.DUMMYFUNCTION("""COMPUTED_VALUE"""),9.170997725E9)</f>
        <v>9170997725</v>
      </c>
      <c r="T578" s="124" t="str">
        <f>IFERROR(__xludf.DUMMYFUNCTION("""COMPUTED_VALUE"""),"Not Available")</f>
        <v>Not Available</v>
      </c>
      <c r="U578" s="124" t="str">
        <f>IFERROR(__xludf.DUMMYFUNCTION("""COMPUTED_VALUE"""),"Not Available")</f>
        <v>Not Available</v>
      </c>
      <c r="V578" s="124" t="str">
        <f>IFERROR(__xludf.DUMMYFUNCTION("""COMPUTED_VALUE"""),"Not Available")</f>
        <v>Not Available</v>
      </c>
      <c r="W578" s="124" t="str">
        <f>IFERROR(__xludf.DUMMYFUNCTION("""COMPUTED_VALUE"""),"Not Available")</f>
        <v>Not Available</v>
      </c>
    </row>
    <row r="579">
      <c r="A579" s="124" t="str">
        <f t="shared" si="1"/>
        <v>jhakshama15@gmail.com</v>
      </c>
      <c r="B579" s="131">
        <f>IFERROR(__xludf.DUMMYFUNCTION("""COMPUTED_VALUE"""),46109.0)</f>
        <v>46109</v>
      </c>
      <c r="C579" s="124" t="str">
        <f>IFERROR(__xludf.DUMMYFUNCTION("""COMPUTED_VALUE"""),"Payment data from Collexo")</f>
        <v>Payment data from Collexo</v>
      </c>
      <c r="D579" s="124" t="str">
        <f>IFERROR(__xludf.DUMMYFUNCTION("""COMPUTED_VALUE"""),"Not Available")</f>
        <v>Not Available</v>
      </c>
      <c r="E579" s="124">
        <f>IFERROR(__xludf.DUMMYFUNCTION("""COMPUTED_VALUE"""),1500611.0)</f>
        <v>1500611</v>
      </c>
      <c r="F579" s="124">
        <f>IFERROR(__xludf.DUMMYFUNCTION("""COMPUTED_VALUE"""),126166.0)</f>
        <v>126166</v>
      </c>
      <c r="G579" s="124">
        <f>IFERROR(__xludf.DUMMYFUNCTION("""COMPUTED_VALUE"""),28800.0)</f>
        <v>28800</v>
      </c>
      <c r="H579" s="124" t="str">
        <f>IFERROR(__xludf.DUMMYFUNCTION("""COMPUTED_VALUE"""),"Not Available")</f>
        <v>Not Available</v>
      </c>
      <c r="I579" s="124">
        <f>IFERROR(__xludf.DUMMYFUNCTION("""COMPUTED_VALUE"""),0.0)</f>
        <v>0</v>
      </c>
      <c r="J579" s="124">
        <f>IFERROR(__xludf.DUMMYFUNCTION("""COMPUTED_VALUE"""),32000.0)</f>
        <v>32000</v>
      </c>
      <c r="K579" s="124">
        <f>IFERROR(__xludf.DUMMYFUNCTION("""COMPUTED_VALUE"""),3.0)</f>
        <v>3</v>
      </c>
      <c r="L579" s="124">
        <f>IFERROR(__xludf.DUMMYFUNCTION("""COMPUTED_VALUE"""),808.0)</f>
        <v>808</v>
      </c>
      <c r="M579" s="124" t="str">
        <f>IFERROR(__xludf.DUMMYFUNCTION("""COMPUTED_VALUE"""),"Patna")</f>
        <v>Patna</v>
      </c>
      <c r="N579" s="124" t="str">
        <f>IFERROR(__xludf.DUMMYFUNCTION("""COMPUTED_VALUE"""),"jhakshama15@gmail.com")</f>
        <v>jhakshama15@gmail.com</v>
      </c>
      <c r="O579" s="124" t="str">
        <f>IFERROR(__xludf.DUMMYFUNCTION("""COMPUTED_VALUE"""),"Kshama Jha")</f>
        <v>Kshama Jha</v>
      </c>
      <c r="P579" s="124">
        <f>IFERROR(__xludf.DUMMYFUNCTION("""COMPUTED_VALUE"""),126166.0)</f>
        <v>126166</v>
      </c>
      <c r="Q579" s="124" t="str">
        <f>IFERROR(__xludf.DUMMYFUNCTION("""COMPUTED_VALUE"""),"bpsc-gs-foundation-hinglish-target-2026-gsf-bpsc-m02-pat")</f>
        <v>bpsc-gs-foundation-hinglish-target-2026-gsf-bpsc-m02-pat</v>
      </c>
      <c r="R579" s="124" t="str">
        <f>IFERROR(__xludf.DUMMYFUNCTION("""COMPUTED_VALUE"""),"State PCS")</f>
        <v>State PCS</v>
      </c>
      <c r="S579" s="124">
        <f>IFERROR(__xludf.DUMMYFUNCTION("""COMPUTED_VALUE"""),7.004569768E9)</f>
        <v>7004569768</v>
      </c>
      <c r="T579" s="124" t="str">
        <f>IFERROR(__xludf.DUMMYFUNCTION("""COMPUTED_VALUE"""),"Not Available")</f>
        <v>Not Available</v>
      </c>
      <c r="U579" s="124" t="str">
        <f>IFERROR(__xludf.DUMMYFUNCTION("""COMPUTED_VALUE"""),"Not Available")</f>
        <v>Not Available</v>
      </c>
      <c r="V579" s="124" t="str">
        <f>IFERROR(__xludf.DUMMYFUNCTION("""COMPUTED_VALUE"""),"Not Available")</f>
        <v>Not Available</v>
      </c>
      <c r="W579" s="124" t="str">
        <f>IFERROR(__xludf.DUMMYFUNCTION("""COMPUTED_VALUE"""),"Not Available")</f>
        <v>Not Available</v>
      </c>
    </row>
    <row r="580">
      <c r="A580" s="124" t="str">
        <f t="shared" si="1"/>
        <v>gautampoonam468@gmail.com</v>
      </c>
      <c r="B580" s="131">
        <f>IFERROR(__xludf.DUMMYFUNCTION("""COMPUTED_VALUE"""),46103.0)</f>
        <v>46103</v>
      </c>
      <c r="C580" s="124" t="str">
        <f>IFERROR(__xludf.DUMMYFUNCTION("""COMPUTED_VALUE"""),"Payment data from Collexo")</f>
        <v>Payment data from Collexo</v>
      </c>
      <c r="D580" s="124" t="str">
        <f>IFERROR(__xludf.DUMMYFUNCTION("""COMPUTED_VALUE"""),"Not Available")</f>
        <v>Not Available</v>
      </c>
      <c r="E580" s="124">
        <f>IFERROR(__xludf.DUMMYFUNCTION("""COMPUTED_VALUE"""),1500612.0)</f>
        <v>1500612</v>
      </c>
      <c r="F580" s="124">
        <f>IFERROR(__xludf.DUMMYFUNCTION("""COMPUTED_VALUE"""),130051.0)</f>
        <v>130051</v>
      </c>
      <c r="G580" s="124">
        <f>IFERROR(__xludf.DUMMYFUNCTION("""COMPUTED_VALUE"""),1000.0)</f>
        <v>1000</v>
      </c>
      <c r="H580" s="131">
        <f>IFERROR(__xludf.DUMMYFUNCTION("""COMPUTED_VALUE"""),46112.0)</f>
        <v>46112</v>
      </c>
      <c r="I580" s="124">
        <f>IFERROR(__xludf.DUMMYFUNCTION("""COMPUTED_VALUE"""),71000.0)</f>
        <v>71000</v>
      </c>
      <c r="J580" s="124">
        <f>IFERROR(__xludf.DUMMYFUNCTION("""COMPUTED_VALUE"""),72000.0)</f>
        <v>72000</v>
      </c>
      <c r="K580" s="124">
        <f>IFERROR(__xludf.DUMMYFUNCTION("""COMPUTED_VALUE"""),2.0)</f>
        <v>2</v>
      </c>
      <c r="L580" s="124">
        <f>IFERROR(__xludf.DUMMYFUNCTION("""COMPUTED_VALUE"""),678.0)</f>
        <v>678</v>
      </c>
      <c r="M580" s="124" t="str">
        <f>IFERROR(__xludf.DUMMYFUNCTION("""COMPUTED_VALUE"""),"Indore")</f>
        <v>Indore</v>
      </c>
      <c r="N580" s="124" t="str">
        <f>IFERROR(__xludf.DUMMYFUNCTION("""COMPUTED_VALUE"""),"gautampoonam468@gmail.com")</f>
        <v>gautampoonam468@gmail.com</v>
      </c>
      <c r="O580" s="124" t="str">
        <f>IFERROR(__xludf.DUMMYFUNCTION("""COMPUTED_VALUE"""),"Poonam gautam")</f>
        <v>Poonam gautam</v>
      </c>
      <c r="P580" s="124">
        <f>IFERROR(__xludf.DUMMYFUNCTION("""COMPUTED_VALUE"""),130051.0)</f>
        <v>130051</v>
      </c>
      <c r="Q580" s="124" t="str">
        <f>IFERROR(__xludf.DUMMYFUNCTION("""COMPUTED_VALUE"""),"upsc-gs-foundation-hinglish-target-2027-gsf-upsc-m03-ind")</f>
        <v>upsc-gs-foundation-hinglish-target-2027-gsf-upsc-m03-ind</v>
      </c>
      <c r="R580" s="124" t="str">
        <f>IFERROR(__xludf.DUMMYFUNCTION("""COMPUTED_VALUE"""),"GS Foundation Course")</f>
        <v>GS Foundation Course</v>
      </c>
      <c r="S580" s="124">
        <f>IFERROR(__xludf.DUMMYFUNCTION("""COMPUTED_VALUE"""),7.489704194E9)</f>
        <v>7489704194</v>
      </c>
      <c r="T580" s="124" t="str">
        <f>IFERROR(__xludf.DUMMYFUNCTION("""COMPUTED_VALUE"""),"Not Available")</f>
        <v>Not Available</v>
      </c>
      <c r="U580" s="124" t="str">
        <f>IFERROR(__xludf.DUMMYFUNCTION("""COMPUTED_VALUE"""),"Not Available")</f>
        <v>Not Available</v>
      </c>
      <c r="V580" s="124" t="str">
        <f>IFERROR(__xludf.DUMMYFUNCTION("""COMPUTED_VALUE"""),"Not Available")</f>
        <v>Not Available</v>
      </c>
      <c r="W580" s="124" t="str">
        <f>IFERROR(__xludf.DUMMYFUNCTION("""COMPUTED_VALUE"""),"Not Available")</f>
        <v>Not Available</v>
      </c>
    </row>
    <row r="581">
      <c r="A581" s="124" t="str">
        <f t="shared" si="1"/>
        <v>ankitbhagat024@gmail.com</v>
      </c>
      <c r="B581" s="131">
        <f>IFERROR(__xludf.DUMMYFUNCTION("""COMPUTED_VALUE"""),46064.0)</f>
        <v>46064</v>
      </c>
      <c r="C581" s="124" t="str">
        <f>IFERROR(__xludf.DUMMYFUNCTION("""COMPUTED_VALUE"""),"Payment data from Collexo")</f>
        <v>Payment data from Collexo</v>
      </c>
      <c r="D581" s="124" t="str">
        <f>IFERROR(__xludf.DUMMYFUNCTION("""COMPUTED_VALUE"""),"Not Available")</f>
        <v>Not Available</v>
      </c>
      <c r="E581" s="124">
        <f>IFERROR(__xludf.DUMMYFUNCTION("""COMPUTED_VALUE"""),1500609.0)</f>
        <v>1500609</v>
      </c>
      <c r="F581" s="124" t="str">
        <f>IFERROR(__xludf.DUMMYFUNCTION("""COMPUTED_VALUE"""),"4734_988_7")</f>
        <v>4734_988_7</v>
      </c>
      <c r="G581" s="124">
        <f>IFERROR(__xludf.DUMMYFUNCTION("""COMPUTED_VALUE"""),96000.0)</f>
        <v>96000</v>
      </c>
      <c r="H581" s="124" t="str">
        <f>IFERROR(__xludf.DUMMYFUNCTION("""COMPUTED_VALUE"""),"Not Available")</f>
        <v>Not Available</v>
      </c>
      <c r="I581" s="124">
        <f>IFERROR(__xludf.DUMMYFUNCTION("""COMPUTED_VALUE"""),0.0)</f>
        <v>0</v>
      </c>
      <c r="J581" s="124">
        <f>IFERROR(__xludf.DUMMYFUNCTION("""COMPUTED_VALUE"""),120000.0)</f>
        <v>120000</v>
      </c>
      <c r="K581" s="124">
        <f>IFERROR(__xludf.DUMMYFUNCTION("""COMPUTED_VALUE"""),3.0)</f>
        <v>3</v>
      </c>
      <c r="L581" s="124">
        <f>IFERROR(__xludf.DUMMYFUNCTION("""COMPUTED_VALUE"""),197.0)</f>
        <v>197</v>
      </c>
      <c r="M581" s="124" t="str">
        <f>IFERROR(__xludf.DUMMYFUNCTION("""COMPUTED_VALUE"""),"New Delhi")</f>
        <v>New Delhi</v>
      </c>
      <c r="N581" s="124" t="str">
        <f>IFERROR(__xludf.DUMMYFUNCTION("""COMPUTED_VALUE"""),"ankitbhagat024@gmail.com")</f>
        <v>ankitbhagat024@gmail.com</v>
      </c>
      <c r="O581" s="124" t="str">
        <f>IFERROR(__xludf.DUMMYFUNCTION("""COMPUTED_VALUE"""),"Ankit Bhagat")</f>
        <v>Ankit Bhagat</v>
      </c>
      <c r="P581" s="124">
        <f>IFERROR(__xludf.DUMMYFUNCTION("""COMPUTED_VALUE"""),122341.0)</f>
        <v>122341</v>
      </c>
      <c r="Q581" s="124" t="str">
        <f>IFERROR(__xludf.DUMMYFUNCTION("""COMPUTED_VALUE"""),"upsc-gs-foundation-hinglish-target-2027-gsf-upsc-m02-orn")</f>
        <v>upsc-gs-foundation-hinglish-target-2027-gsf-upsc-m02-orn</v>
      </c>
      <c r="R581" s="124" t="str">
        <f>IFERROR(__xludf.DUMMYFUNCTION("""COMPUTED_VALUE"""),"GS Foundation Course")</f>
        <v>GS Foundation Course</v>
      </c>
      <c r="S581" s="124">
        <f>IFERROR(__xludf.DUMMYFUNCTION("""COMPUTED_VALUE"""),8.826668218E9)</f>
        <v>8826668218</v>
      </c>
      <c r="T581" s="124" t="str">
        <f>IFERROR(__xludf.DUMMYFUNCTION("""COMPUTED_VALUE"""),"Not Available")</f>
        <v>Not Available</v>
      </c>
      <c r="U581" s="124" t="str">
        <f>IFERROR(__xludf.DUMMYFUNCTION("""COMPUTED_VALUE"""),"Not Available")</f>
        <v>Not Available</v>
      </c>
      <c r="V581" s="124" t="str">
        <f>IFERROR(__xludf.DUMMYFUNCTION("""COMPUTED_VALUE"""),"Not Available")</f>
        <v>Not Available</v>
      </c>
      <c r="W581" s="124" t="str">
        <f>IFERROR(__xludf.DUMMYFUNCTION("""COMPUTED_VALUE"""),"Not Available")</f>
        <v>Not Available</v>
      </c>
    </row>
    <row r="582">
      <c r="A582" s="124" t="str">
        <f t="shared" si="1"/>
        <v>kumarasalbd@gmail.com</v>
      </c>
      <c r="B582" s="131">
        <f>IFERROR(__xludf.DUMMYFUNCTION("""COMPUTED_VALUE"""),46112.0)</f>
        <v>46112</v>
      </c>
      <c r="C582" s="124" t="str">
        <f>IFERROR(__xludf.DUMMYFUNCTION("""COMPUTED_VALUE"""),"Payment data from Collexo")</f>
        <v>Payment data from Collexo</v>
      </c>
      <c r="D582" s="124" t="str">
        <f>IFERROR(__xludf.DUMMYFUNCTION("""COMPUTED_VALUE"""),"Not Available")</f>
        <v>Not Available</v>
      </c>
      <c r="E582" s="124">
        <f>IFERROR(__xludf.DUMMYFUNCTION("""COMPUTED_VALUE"""),1500613.0)</f>
        <v>1500613</v>
      </c>
      <c r="F582" s="124">
        <f>IFERROR(__xludf.DUMMYFUNCTION("""COMPUTED_VALUE"""),141046.0)</f>
        <v>141046</v>
      </c>
      <c r="G582" s="124">
        <f>IFERROR(__xludf.DUMMYFUNCTION("""COMPUTED_VALUE"""),2000.0)</f>
        <v>2000</v>
      </c>
      <c r="H582" s="131">
        <f>IFERROR(__xludf.DUMMYFUNCTION("""COMPUTED_VALUE"""),46116.0)</f>
        <v>46116</v>
      </c>
      <c r="I582" s="124">
        <f>IFERROR(__xludf.DUMMYFUNCTION("""COMPUTED_VALUE"""),23000.0)</f>
        <v>23000</v>
      </c>
      <c r="J582" s="124">
        <f>IFERROR(__xludf.DUMMYFUNCTION("""COMPUTED_VALUE"""),25000.0)</f>
        <v>25000</v>
      </c>
      <c r="K582" s="124">
        <f>IFERROR(__xludf.DUMMYFUNCTION("""COMPUTED_VALUE"""),2.0)</f>
        <v>2</v>
      </c>
      <c r="L582" s="124">
        <f>IFERROR(__xludf.DUMMYFUNCTION("""COMPUTED_VALUE"""),876.0)</f>
        <v>876</v>
      </c>
      <c r="M582" s="124" t="str">
        <f>IFERROR(__xludf.DUMMYFUNCTION("""COMPUTED_VALUE"""),"Prayagraj")</f>
        <v>Prayagraj</v>
      </c>
      <c r="N582" s="124" t="str">
        <f>IFERROR(__xludf.DUMMYFUNCTION("""COMPUTED_VALUE"""),"kumarasalbd@gmail.com")</f>
        <v>kumarasalbd@gmail.com</v>
      </c>
      <c r="O582" s="124" t="str">
        <f>IFERROR(__xludf.DUMMYFUNCTION("""COMPUTED_VALUE"""),"Ankit Sahu")</f>
        <v>Ankit Sahu</v>
      </c>
      <c r="P582" s="124">
        <f>IFERROR(__xludf.DUMMYFUNCTION("""COMPUTED_VALUE"""),141046.0)</f>
        <v>141046</v>
      </c>
      <c r="Q582" s="124" t="str">
        <f>IFERROR(__xludf.DUMMYFUNCTION("""COMPUTED_VALUE"""),"samadhan-mentorship-program-pry")</f>
        <v>samadhan-mentorship-program-pry</v>
      </c>
      <c r="R582" s="124" t="str">
        <f>IFERROR(__xludf.DUMMYFUNCTION("""COMPUTED_VALUE"""),"Mentorship - Samadhan")</f>
        <v>Mentorship - Samadhan</v>
      </c>
      <c r="S582" s="124">
        <f>IFERROR(__xludf.DUMMYFUNCTION("""COMPUTED_VALUE"""),9.62899993E9)</f>
        <v>9628999930</v>
      </c>
      <c r="T582" s="124" t="str">
        <f>IFERROR(__xludf.DUMMYFUNCTION("""COMPUTED_VALUE"""),"Not Available")</f>
        <v>Not Available</v>
      </c>
      <c r="U582" s="124" t="str">
        <f>IFERROR(__xludf.DUMMYFUNCTION("""COMPUTED_VALUE"""),"Not Available")</f>
        <v>Not Available</v>
      </c>
      <c r="V582" s="124" t="str">
        <f>IFERROR(__xludf.DUMMYFUNCTION("""COMPUTED_VALUE"""),"Not Available")</f>
        <v>Not Available</v>
      </c>
      <c r="W582" s="124" t="str">
        <f>IFERROR(__xludf.DUMMYFUNCTION("""COMPUTED_VALUE"""),"Not Available")</f>
        <v>Not Available</v>
      </c>
    </row>
    <row r="583">
      <c r="A583" s="124" t="str">
        <f t="shared" si="1"/>
        <v>fgdhjgkh@gmail.com</v>
      </c>
      <c r="B583" s="131">
        <f>IFERROR(__xludf.DUMMYFUNCTION("""COMPUTED_VALUE"""),46053.0)</f>
        <v>46053</v>
      </c>
      <c r="C583" s="124" t="str">
        <f>IFERROR(__xludf.DUMMYFUNCTION("""COMPUTED_VALUE"""),"Payment data from Collexo")</f>
        <v>Payment data from Collexo</v>
      </c>
      <c r="D583" s="124" t="str">
        <f>IFERROR(__xludf.DUMMYFUNCTION("""COMPUTED_VALUE"""),"Not Available")</f>
        <v>Not Available</v>
      </c>
      <c r="E583" s="124">
        <f>IFERROR(__xludf.DUMMYFUNCTION("""COMPUTED_VALUE"""),1500609.0)</f>
        <v>1500609</v>
      </c>
      <c r="F583" s="124" t="str">
        <f>IFERROR(__xludf.DUMMYFUNCTION("""COMPUTED_VALUE"""),"3308_988_7")</f>
        <v>3308_988_7</v>
      </c>
      <c r="G583" s="124">
        <f>IFERROR(__xludf.DUMMYFUNCTION("""COMPUTED_VALUE"""),90000.0)</f>
        <v>90000</v>
      </c>
      <c r="H583" s="124" t="str">
        <f>IFERROR(__xludf.DUMMYFUNCTION("""COMPUTED_VALUE"""),"Not Available")</f>
        <v>Not Available</v>
      </c>
      <c r="I583" s="124">
        <f>IFERROR(__xludf.DUMMYFUNCTION("""COMPUTED_VALUE"""),0.0)</f>
        <v>0</v>
      </c>
      <c r="J583" s="124">
        <f>IFERROR(__xludf.DUMMYFUNCTION("""COMPUTED_VALUE"""),100000.0)</f>
        <v>100000</v>
      </c>
      <c r="K583" s="124">
        <f>IFERROR(__xludf.DUMMYFUNCTION("""COMPUTED_VALUE"""),2.0)</f>
        <v>2</v>
      </c>
      <c r="L583" s="124">
        <f>IFERROR(__xludf.DUMMYFUNCTION("""COMPUTED_VALUE"""),149.0)</f>
        <v>149</v>
      </c>
      <c r="M583" s="124" t="str">
        <f>IFERROR(__xludf.DUMMYFUNCTION("""COMPUTED_VALUE"""),"New Delhi")</f>
        <v>New Delhi</v>
      </c>
      <c r="N583" s="124" t="str">
        <f>IFERROR(__xludf.DUMMYFUNCTION("""COMPUTED_VALUE"""),"fgdhjgkh@gmail.com")</f>
        <v>fgdhjgkh@gmail.com</v>
      </c>
      <c r="O583" s="124" t="str">
        <f>IFERROR(__xludf.DUMMYFUNCTION("""COMPUTED_VALUE"""),"Rishabh Tiwari")</f>
        <v>Rishabh Tiwari</v>
      </c>
      <c r="P583" s="124">
        <f>IFERROR(__xludf.DUMMYFUNCTION("""COMPUTED_VALUE"""),83218.0)</f>
        <v>83218</v>
      </c>
      <c r="Q583" s="124" t="str">
        <f>IFERROR(__xludf.DUMMYFUNCTION("""COMPUTED_VALUE"""),"ncert-foundation-hinglish-target-2026-nce-upsc-e01-orn")</f>
        <v>ncert-foundation-hinglish-target-2026-nce-upsc-e01-orn</v>
      </c>
      <c r="R583" s="124" t="str">
        <f>IFERROR(__xludf.DUMMYFUNCTION("""COMPUTED_VALUE"""),"GS Foundation Course")</f>
        <v>GS Foundation Course</v>
      </c>
      <c r="S583" s="124">
        <f>IFERROR(__xludf.DUMMYFUNCTION("""COMPUTED_VALUE"""),9.779996486E9)</f>
        <v>9779996486</v>
      </c>
      <c r="T583" s="124" t="str">
        <f>IFERROR(__xludf.DUMMYFUNCTION("""COMPUTED_VALUE"""),"Collexo")</f>
        <v>Collexo</v>
      </c>
      <c r="U583" s="124" t="str">
        <f>IFERROR(__xludf.DUMMYFUNCTION("""COMPUTED_VALUE"""),"Success")</f>
        <v>Success</v>
      </c>
      <c r="V583" s="131">
        <f>IFERROR(__xludf.DUMMYFUNCTION("""COMPUTED_VALUE"""),46053.0)</f>
        <v>46053</v>
      </c>
      <c r="W583" s="124">
        <f>IFERROR(__xludf.DUMMYFUNCTION("""COMPUTED_VALUE"""),0.0)</f>
        <v>0</v>
      </c>
    </row>
    <row r="584">
      <c r="A584" s="124" t="str">
        <f t="shared" si="1"/>
        <v>nntakalkar2229@gmail.com</v>
      </c>
      <c r="B584" s="131">
        <f>IFERROR(__xludf.DUMMYFUNCTION("""COMPUTED_VALUE"""),46057.0)</f>
        <v>46057</v>
      </c>
      <c r="C584" s="124" t="str">
        <f>IFERROR(__xludf.DUMMYFUNCTION("""COMPUTED_VALUE"""),"Payment data from Collexo")</f>
        <v>Payment data from Collexo</v>
      </c>
      <c r="D584" s="124" t="str">
        <f>IFERROR(__xludf.DUMMYFUNCTION("""COMPUTED_VALUE"""),"Not Available")</f>
        <v>Not Available</v>
      </c>
      <c r="E584" s="124">
        <f>IFERROR(__xludf.DUMMYFUNCTION("""COMPUTED_VALUE"""),1500609.0)</f>
        <v>1500609</v>
      </c>
      <c r="F584" s="124" t="str">
        <f>IFERROR(__xludf.DUMMYFUNCTION("""COMPUTED_VALUE"""),"3808_988_7")</f>
        <v>3808_988_7</v>
      </c>
      <c r="G584" s="124">
        <f>IFERROR(__xludf.DUMMYFUNCTION("""COMPUTED_VALUE"""),5000.0)</f>
        <v>5000</v>
      </c>
      <c r="H584" s="131">
        <f>IFERROR(__xludf.DUMMYFUNCTION("""COMPUTED_VALUE"""),46067.0)</f>
        <v>46067</v>
      </c>
      <c r="I584" s="124">
        <f>IFERROR(__xludf.DUMMYFUNCTION("""COMPUTED_VALUE"""),125000.0)</f>
        <v>125000</v>
      </c>
      <c r="J584" s="124">
        <f>IFERROR(__xludf.DUMMYFUNCTION("""COMPUTED_VALUE"""),130000.0)</f>
        <v>130000</v>
      </c>
      <c r="K584" s="124">
        <f>IFERROR(__xludf.DUMMYFUNCTION("""COMPUTED_VALUE"""),2.0)</f>
        <v>2</v>
      </c>
      <c r="L584" s="124">
        <f>IFERROR(__xludf.DUMMYFUNCTION("""COMPUTED_VALUE"""),163.0)</f>
        <v>163</v>
      </c>
      <c r="M584" s="124" t="str">
        <f>IFERROR(__xludf.DUMMYFUNCTION("""COMPUTED_VALUE"""),"New Delhi")</f>
        <v>New Delhi</v>
      </c>
      <c r="N584" s="124" t="str">
        <f>IFERROR(__xludf.DUMMYFUNCTION("""COMPUTED_VALUE"""),"nntakalkar2229@gmail.com")</f>
        <v>nntakalkar2229@gmail.com</v>
      </c>
      <c r="O584" s="124" t="str">
        <f>IFERROR(__xludf.DUMMYFUNCTION("""COMPUTED_VALUE"""),"Nishant")</f>
        <v>Nishant</v>
      </c>
      <c r="P584" s="124">
        <f>IFERROR(__xludf.DUMMYFUNCTION("""COMPUTED_VALUE"""),120366.0)</f>
        <v>120366</v>
      </c>
      <c r="Q584" s="124" t="str">
        <f>IFERROR(__xludf.DUMMYFUNCTION("""COMPUTED_VALUE"""),"upsc-gs-foundation-hinglish-target-2027-gsf-upsc-m02-orn")</f>
        <v>upsc-gs-foundation-hinglish-target-2027-gsf-upsc-m02-orn</v>
      </c>
      <c r="R584" s="124" t="str">
        <f>IFERROR(__xludf.DUMMYFUNCTION("""COMPUTED_VALUE"""),"GS Foundation Course")</f>
        <v>GS Foundation Course</v>
      </c>
      <c r="S584" s="124">
        <f>IFERROR(__xludf.DUMMYFUNCTION("""COMPUTED_VALUE"""),9.137507112E9)</f>
        <v>9137507112</v>
      </c>
      <c r="T584" s="124" t="str">
        <f>IFERROR(__xludf.DUMMYFUNCTION("""COMPUTED_VALUE"""),"Collexo")</f>
        <v>Collexo</v>
      </c>
      <c r="U584" s="124" t="str">
        <f>IFERROR(__xludf.DUMMYFUNCTION("""COMPUTED_VALUE"""),"Success")</f>
        <v>Success</v>
      </c>
      <c r="V584" s="131">
        <f>IFERROR(__xludf.DUMMYFUNCTION("""COMPUTED_VALUE"""),46057.0)</f>
        <v>46057</v>
      </c>
      <c r="W584" s="124">
        <f>IFERROR(__xludf.DUMMYFUNCTION("""COMPUTED_VALUE"""),0.0)</f>
        <v>0</v>
      </c>
    </row>
    <row r="585">
      <c r="A585" s="124" t="str">
        <f t="shared" si="1"/>
        <v>kalpananishad101@gmail.com</v>
      </c>
      <c r="B585" s="131">
        <f>IFERROR(__xludf.DUMMYFUNCTION("""COMPUTED_VALUE"""),46093.0)</f>
        <v>46093</v>
      </c>
      <c r="C585" s="124" t="str">
        <f>IFERROR(__xludf.DUMMYFUNCTION("""COMPUTED_VALUE"""),"Payment data from Collexo")</f>
        <v>Payment data from Collexo</v>
      </c>
      <c r="D585" s="124" t="str">
        <f>IFERROR(__xludf.DUMMYFUNCTION("""COMPUTED_VALUE"""),"Not Available")</f>
        <v>Not Available</v>
      </c>
      <c r="E585" s="124">
        <f>IFERROR(__xludf.DUMMYFUNCTION("""COMPUTED_VALUE"""),1500613.0)</f>
        <v>1500613</v>
      </c>
      <c r="F585" s="124">
        <f>IFERROR(__xludf.DUMMYFUNCTION("""COMPUTED_VALUE"""),125840.0)</f>
        <v>125840</v>
      </c>
      <c r="G585" s="124">
        <f>IFERROR(__xludf.DUMMYFUNCTION("""COMPUTED_VALUE"""),1500.0)</f>
        <v>1500</v>
      </c>
      <c r="H585" s="131">
        <f>IFERROR(__xludf.DUMMYFUNCTION("""COMPUTED_VALUE"""),46094.0)</f>
        <v>46094</v>
      </c>
      <c r="I585" s="124">
        <f>IFERROR(__xludf.DUMMYFUNCTION("""COMPUTED_VALUE"""),500.0)</f>
        <v>500</v>
      </c>
      <c r="J585" s="124">
        <f>IFERROR(__xludf.DUMMYFUNCTION("""COMPUTED_VALUE"""),35000.0)</f>
        <v>35000</v>
      </c>
      <c r="K585" s="124">
        <f>IFERROR(__xludf.DUMMYFUNCTION("""COMPUTED_VALUE"""),3.0)</f>
        <v>3</v>
      </c>
      <c r="L585" s="124">
        <f>IFERROR(__xludf.DUMMYFUNCTION("""COMPUTED_VALUE"""),503.0)</f>
        <v>503</v>
      </c>
      <c r="M585" s="124" t="str">
        <f>IFERROR(__xludf.DUMMYFUNCTION("""COMPUTED_VALUE"""),"Prayagraj")</f>
        <v>Prayagraj</v>
      </c>
      <c r="N585" s="124" t="str">
        <f>IFERROR(__xludf.DUMMYFUNCTION("""COMPUTED_VALUE"""),"kalpananishad101@gmail.com")</f>
        <v>kalpananishad101@gmail.com</v>
      </c>
      <c r="O585" s="124" t="str">
        <f>IFERROR(__xludf.DUMMYFUNCTION("""COMPUTED_VALUE"""),"Kalpana")</f>
        <v>Kalpana</v>
      </c>
      <c r="P585" s="124">
        <f>IFERROR(__xludf.DUMMYFUNCTION("""COMPUTED_VALUE"""),125840.0)</f>
        <v>125840</v>
      </c>
      <c r="Q585" s="124" t="str">
        <f>IFERROR(__xludf.DUMMYFUNCTION("""COMPUTED_VALUE"""),"upsc-gs-foundation-hindi-target-2027-gsf-upsc-m02-pry")</f>
        <v>upsc-gs-foundation-hindi-target-2027-gsf-upsc-m02-pry</v>
      </c>
      <c r="R585" s="124" t="str">
        <f>IFERROR(__xludf.DUMMYFUNCTION("""COMPUTED_VALUE"""),"GS Foundation Course")</f>
        <v>GS Foundation Course</v>
      </c>
      <c r="S585" s="124">
        <f>IFERROR(__xludf.DUMMYFUNCTION("""COMPUTED_VALUE"""),8.299856645E9)</f>
        <v>8299856645</v>
      </c>
      <c r="T585" s="124" t="str">
        <f>IFERROR(__xludf.DUMMYFUNCTION("""COMPUTED_VALUE"""),"Not Available")</f>
        <v>Not Available</v>
      </c>
      <c r="U585" s="124" t="str">
        <f>IFERROR(__xludf.DUMMYFUNCTION("""COMPUTED_VALUE"""),"Not Available")</f>
        <v>Not Available</v>
      </c>
      <c r="V585" s="124" t="str">
        <f>IFERROR(__xludf.DUMMYFUNCTION("""COMPUTED_VALUE"""),"Not Available")</f>
        <v>Not Available</v>
      </c>
      <c r="W585" s="124" t="str">
        <f>IFERROR(__xludf.DUMMYFUNCTION("""COMPUTED_VALUE"""),"Not Available")</f>
        <v>Not Available</v>
      </c>
    </row>
    <row r="586">
      <c r="A586" s="124" t="str">
        <f t="shared" si="1"/>
        <v>20muskansharma0712@gmail.com</v>
      </c>
      <c r="B586" s="131">
        <f>IFERROR(__xludf.DUMMYFUNCTION("""COMPUTED_VALUE"""),46087.0)</f>
        <v>46087</v>
      </c>
      <c r="C586" s="124" t="str">
        <f>IFERROR(__xludf.DUMMYFUNCTION("""COMPUTED_VALUE"""),"Payment data from Collexo")</f>
        <v>Payment data from Collexo</v>
      </c>
      <c r="D586" s="124" t="str">
        <f>IFERROR(__xludf.DUMMYFUNCTION("""COMPUTED_VALUE"""),"Not Available")</f>
        <v>Not Available</v>
      </c>
      <c r="E586" s="124">
        <f>IFERROR(__xludf.DUMMYFUNCTION("""COMPUTED_VALUE"""),1500610.0)</f>
        <v>1500610</v>
      </c>
      <c r="F586" s="124">
        <f>IFERROR(__xludf.DUMMYFUNCTION("""COMPUTED_VALUE"""),126082.0)</f>
        <v>126082</v>
      </c>
      <c r="G586" s="124">
        <f>IFERROR(__xludf.DUMMYFUNCTION("""COMPUTED_VALUE"""),5000.0)</f>
        <v>5000</v>
      </c>
      <c r="H586" s="131">
        <f>IFERROR(__xludf.DUMMYFUNCTION("""COMPUTED_VALUE"""),46121.0)</f>
        <v>46121</v>
      </c>
      <c r="I586" s="124">
        <f>IFERROR(__xludf.DUMMYFUNCTION("""COMPUTED_VALUE"""),20000.0)</f>
        <v>20000</v>
      </c>
      <c r="J586" s="124">
        <f>IFERROR(__xludf.DUMMYFUNCTION("""COMPUTED_VALUE"""),50000.0)</f>
        <v>50000</v>
      </c>
      <c r="K586" s="124">
        <f>IFERROR(__xludf.DUMMYFUNCTION("""COMPUTED_VALUE"""),3.0)</f>
        <v>3</v>
      </c>
      <c r="L586" s="124">
        <f>IFERROR(__xludf.DUMMYFUNCTION("""COMPUTED_VALUE"""),414.0)</f>
        <v>414</v>
      </c>
      <c r="M586" s="124" t="str">
        <f>IFERROR(__xludf.DUMMYFUNCTION("""COMPUTED_VALUE"""),"Lucknow")</f>
        <v>Lucknow</v>
      </c>
      <c r="N586" s="124" t="str">
        <f>IFERROR(__xludf.DUMMYFUNCTION("""COMPUTED_VALUE"""),"20muskansharma0712@gmail.com")</f>
        <v>20muskansharma0712@gmail.com</v>
      </c>
      <c r="O586" s="124" t="str">
        <f>IFERROR(__xludf.DUMMYFUNCTION("""COMPUTED_VALUE"""),"Muskan Sharma")</f>
        <v>Muskan Sharma</v>
      </c>
      <c r="P586" s="124">
        <f>IFERROR(__xludf.DUMMYFUNCTION("""COMPUTED_VALUE"""),126082.0)</f>
        <v>126082</v>
      </c>
      <c r="Q586" s="124" t="str">
        <f>IFERROR(__xludf.DUMMYFUNCTION("""COMPUTED_VALUE"""),"upsc-gs-foundation-hinglish-target-2028-gsf-upsc-e03-lko")</f>
        <v>upsc-gs-foundation-hinglish-target-2028-gsf-upsc-e03-lko</v>
      </c>
      <c r="R586" s="124" t="str">
        <f>IFERROR(__xludf.DUMMYFUNCTION("""COMPUTED_VALUE"""),"GS Foundation Course")</f>
        <v>GS Foundation Course</v>
      </c>
      <c r="S586" s="124">
        <f>IFERROR(__xludf.DUMMYFUNCTION("""COMPUTED_VALUE"""),7.985779642E9)</f>
        <v>7985779642</v>
      </c>
      <c r="T586" s="124" t="str">
        <f>IFERROR(__xludf.DUMMYFUNCTION("""COMPUTED_VALUE"""),"Not Available")</f>
        <v>Not Available</v>
      </c>
      <c r="U586" s="124" t="str">
        <f>IFERROR(__xludf.DUMMYFUNCTION("""COMPUTED_VALUE"""),"Not Available")</f>
        <v>Not Available</v>
      </c>
      <c r="V586" s="124" t="str">
        <f>IFERROR(__xludf.DUMMYFUNCTION("""COMPUTED_VALUE"""),"Not Available")</f>
        <v>Not Available</v>
      </c>
      <c r="W586" s="124" t="str">
        <f>IFERROR(__xludf.DUMMYFUNCTION("""COMPUTED_VALUE"""),"Not Available")</f>
        <v>Not Available</v>
      </c>
    </row>
    <row r="587">
      <c r="A587" s="124" t="str">
        <f t="shared" si="1"/>
        <v>yadavvedansh07@gmail.com</v>
      </c>
      <c r="B587" s="131">
        <f>IFERROR(__xludf.DUMMYFUNCTION("""COMPUTED_VALUE"""),46091.0)</f>
        <v>46091</v>
      </c>
      <c r="C587" s="124" t="str">
        <f>IFERROR(__xludf.DUMMYFUNCTION("""COMPUTED_VALUE"""),"Payment data from Collexo")</f>
        <v>Payment data from Collexo</v>
      </c>
      <c r="D587" s="124" t="str">
        <f>IFERROR(__xludf.DUMMYFUNCTION("""COMPUTED_VALUE"""),"Not Available")</f>
        <v>Not Available</v>
      </c>
      <c r="E587" s="124">
        <f>IFERROR(__xludf.DUMMYFUNCTION("""COMPUTED_VALUE"""),1500609.0)</f>
        <v>1500609</v>
      </c>
      <c r="F587" s="124" t="str">
        <f>IFERROR(__xludf.DUMMYFUNCTION("""COMPUTED_VALUE"""),"13439_988_7")</f>
        <v>13439_988_7</v>
      </c>
      <c r="G587" s="124">
        <f>IFERROR(__xludf.DUMMYFUNCTION("""COMPUTED_VALUE"""),45000.0)</f>
        <v>45000</v>
      </c>
      <c r="H587" s="124" t="str">
        <f>IFERROR(__xludf.DUMMYFUNCTION("""COMPUTED_VALUE"""),"Not Available")</f>
        <v>Not Available</v>
      </c>
      <c r="I587" s="124">
        <f>IFERROR(__xludf.DUMMYFUNCTION("""COMPUTED_VALUE"""),0.0)</f>
        <v>0</v>
      </c>
      <c r="J587" s="124">
        <f>IFERROR(__xludf.DUMMYFUNCTION("""COMPUTED_VALUE"""),130000.0)</f>
        <v>130000</v>
      </c>
      <c r="K587" s="124">
        <f>IFERROR(__xludf.DUMMYFUNCTION("""COMPUTED_VALUE"""),3.0)</f>
        <v>3</v>
      </c>
      <c r="L587" s="124">
        <f>IFERROR(__xludf.DUMMYFUNCTION("""COMPUTED_VALUE"""),468.0)</f>
        <v>468</v>
      </c>
      <c r="M587" s="124" t="str">
        <f>IFERROR(__xludf.DUMMYFUNCTION("""COMPUTED_VALUE"""),"New Delhi")</f>
        <v>New Delhi</v>
      </c>
      <c r="N587" s="124" t="str">
        <f>IFERROR(__xludf.DUMMYFUNCTION("""COMPUTED_VALUE"""),"yadavvedansh07@gmail.com")</f>
        <v>yadavvedansh07@gmail.com</v>
      </c>
      <c r="O587" s="124" t="str">
        <f>IFERROR(__xludf.DUMMYFUNCTION("""COMPUTED_VALUE"""),"Vedansh Yadav")</f>
        <v>Vedansh Yadav</v>
      </c>
      <c r="P587" s="124">
        <f>IFERROR(__xludf.DUMMYFUNCTION("""COMPUTED_VALUE"""),126071.0)</f>
        <v>126071</v>
      </c>
      <c r="Q587" s="124" t="str">
        <f>IFERROR(__xludf.DUMMYFUNCTION("""COMPUTED_VALUE"""),"upsc-gs-foundation-hinglish-target-2028-gsf-upsc-m05-orn")</f>
        <v>upsc-gs-foundation-hinglish-target-2028-gsf-upsc-m05-orn</v>
      </c>
      <c r="R587" s="124" t="str">
        <f>IFERROR(__xludf.DUMMYFUNCTION("""COMPUTED_VALUE"""),"GS Foundation Course")</f>
        <v>GS Foundation Course</v>
      </c>
      <c r="S587" s="124">
        <f>IFERROR(__xludf.DUMMYFUNCTION("""COMPUTED_VALUE"""),9.22058126E9)</f>
        <v>9220581260</v>
      </c>
      <c r="T587" s="124" t="str">
        <f>IFERROR(__xludf.DUMMYFUNCTION("""COMPUTED_VALUE"""),"Collexo")</f>
        <v>Collexo</v>
      </c>
      <c r="U587" s="124" t="str">
        <f>IFERROR(__xludf.DUMMYFUNCTION("""COMPUTED_VALUE"""),"Success")</f>
        <v>Success</v>
      </c>
      <c r="V587" s="131">
        <f>IFERROR(__xludf.DUMMYFUNCTION("""COMPUTED_VALUE"""),46091.0)</f>
        <v>46091</v>
      </c>
      <c r="W587" s="124">
        <f>IFERROR(__xludf.DUMMYFUNCTION("""COMPUTED_VALUE"""),0.0)</f>
        <v>0</v>
      </c>
    </row>
    <row r="588">
      <c r="A588" s="124" t="str">
        <f t="shared" si="1"/>
        <v>jhakshama15@gmail.com</v>
      </c>
      <c r="B588" s="131">
        <f>IFERROR(__xludf.DUMMYFUNCTION("""COMPUTED_VALUE"""),46109.0)</f>
        <v>46109</v>
      </c>
      <c r="C588" s="124" t="str">
        <f>IFERROR(__xludf.DUMMYFUNCTION("""COMPUTED_VALUE"""),"Payment data from Collexo")</f>
        <v>Payment data from Collexo</v>
      </c>
      <c r="D588" s="124" t="str">
        <f>IFERROR(__xludf.DUMMYFUNCTION("""COMPUTED_VALUE"""),"Not Available")</f>
        <v>Not Available</v>
      </c>
      <c r="E588" s="124">
        <f>IFERROR(__xludf.DUMMYFUNCTION("""COMPUTED_VALUE"""),1500611.0)</f>
        <v>1500611</v>
      </c>
      <c r="F588" s="124">
        <f>IFERROR(__xludf.DUMMYFUNCTION("""COMPUTED_VALUE"""),126166.0)</f>
        <v>126166</v>
      </c>
      <c r="G588" s="124">
        <f>IFERROR(__xludf.DUMMYFUNCTION("""COMPUTED_VALUE"""),1200.0)</f>
        <v>1200</v>
      </c>
      <c r="H588" s="131">
        <f>IFERROR(__xludf.DUMMYFUNCTION("""COMPUTED_VALUE"""),46093.0)</f>
        <v>46093</v>
      </c>
      <c r="I588" s="124">
        <f>IFERROR(__xludf.DUMMYFUNCTION("""COMPUTED_VALUE"""),28800.0)</f>
        <v>28800</v>
      </c>
      <c r="J588" s="124">
        <f>IFERROR(__xludf.DUMMYFUNCTION("""COMPUTED_VALUE"""),32000.0)</f>
        <v>32000</v>
      </c>
      <c r="K588" s="124">
        <f>IFERROR(__xludf.DUMMYFUNCTION("""COMPUTED_VALUE"""),3.0)</f>
        <v>3</v>
      </c>
      <c r="L588" s="124">
        <f>IFERROR(__xludf.DUMMYFUNCTION("""COMPUTED_VALUE"""),807.0)</f>
        <v>807</v>
      </c>
      <c r="M588" s="124" t="str">
        <f>IFERROR(__xludf.DUMMYFUNCTION("""COMPUTED_VALUE"""),"Patna")</f>
        <v>Patna</v>
      </c>
      <c r="N588" s="124" t="str">
        <f>IFERROR(__xludf.DUMMYFUNCTION("""COMPUTED_VALUE"""),"jhakshama15@gmail.com")</f>
        <v>jhakshama15@gmail.com</v>
      </c>
      <c r="O588" s="124" t="str">
        <f>IFERROR(__xludf.DUMMYFUNCTION("""COMPUTED_VALUE"""),"Kshama Jha")</f>
        <v>Kshama Jha</v>
      </c>
      <c r="P588" s="124">
        <f>IFERROR(__xludf.DUMMYFUNCTION("""COMPUTED_VALUE"""),126166.0)</f>
        <v>126166</v>
      </c>
      <c r="Q588" s="124" t="str">
        <f>IFERROR(__xludf.DUMMYFUNCTION("""COMPUTED_VALUE"""),"bpsc-gs-foundation-hinglish-target-2026-gsf-bpsc-m02-pat")</f>
        <v>bpsc-gs-foundation-hinglish-target-2026-gsf-bpsc-m02-pat</v>
      </c>
      <c r="R588" s="124" t="str">
        <f>IFERROR(__xludf.DUMMYFUNCTION("""COMPUTED_VALUE"""),"State PCS")</f>
        <v>State PCS</v>
      </c>
      <c r="S588" s="124">
        <f>IFERROR(__xludf.DUMMYFUNCTION("""COMPUTED_VALUE"""),7.004569768E9)</f>
        <v>7004569768</v>
      </c>
      <c r="T588" s="124" t="str">
        <f>IFERROR(__xludf.DUMMYFUNCTION("""COMPUTED_VALUE"""),"Not Available")</f>
        <v>Not Available</v>
      </c>
      <c r="U588" s="124" t="str">
        <f>IFERROR(__xludf.DUMMYFUNCTION("""COMPUTED_VALUE"""),"Not Available")</f>
        <v>Not Available</v>
      </c>
      <c r="V588" s="124" t="str">
        <f>IFERROR(__xludf.DUMMYFUNCTION("""COMPUTED_VALUE"""),"Not Available")</f>
        <v>Not Available</v>
      </c>
      <c r="W588" s="124" t="str">
        <f>IFERROR(__xludf.DUMMYFUNCTION("""COMPUTED_VALUE"""),"Not Available")</f>
        <v>Not Available</v>
      </c>
    </row>
    <row r="589">
      <c r="A589" s="124" t="str">
        <f t="shared" si="1"/>
        <v>anannyahazarika396@gmail.com</v>
      </c>
      <c r="B589" s="131">
        <f>IFERROR(__xludf.DUMMYFUNCTION("""COMPUTED_VALUE"""),46106.0)</f>
        <v>46106</v>
      </c>
      <c r="C589" s="124" t="str">
        <f>IFERROR(__xludf.DUMMYFUNCTION("""COMPUTED_VALUE"""),"Payment data from Collexo")</f>
        <v>Payment data from Collexo</v>
      </c>
      <c r="D589" s="124" t="str">
        <f>IFERROR(__xludf.DUMMYFUNCTION("""COMPUTED_VALUE"""),"Not Available")</f>
        <v>Not Available</v>
      </c>
      <c r="E589" s="124">
        <f>IFERROR(__xludf.DUMMYFUNCTION("""COMPUTED_VALUE"""),1500609.0)</f>
        <v>1500609</v>
      </c>
      <c r="F589" s="124" t="str">
        <f>IFERROR(__xludf.DUMMYFUNCTION("""COMPUTED_VALUE"""),"16535_988_7")</f>
        <v>16535_988_7</v>
      </c>
      <c r="G589" s="124">
        <f>IFERROR(__xludf.DUMMYFUNCTION("""COMPUTED_VALUE"""),18000.0)</f>
        <v>18000</v>
      </c>
      <c r="H589" s="124" t="str">
        <f>IFERROR(__xludf.DUMMYFUNCTION("""COMPUTED_VALUE"""),"Not Available")</f>
        <v>Not Available</v>
      </c>
      <c r="I589" s="124">
        <f>IFERROR(__xludf.DUMMYFUNCTION("""COMPUTED_VALUE"""),0.0)</f>
        <v>0</v>
      </c>
      <c r="J589" s="124">
        <f>IFERROR(__xludf.DUMMYFUNCTION("""COMPUTED_VALUE"""),115000.0)</f>
        <v>115000</v>
      </c>
      <c r="K589" s="124">
        <f>IFERROR(__xludf.DUMMYFUNCTION("""COMPUTED_VALUE"""),3.0)</f>
        <v>3</v>
      </c>
      <c r="L589" s="124">
        <f>IFERROR(__xludf.DUMMYFUNCTION("""COMPUTED_VALUE"""),738.0)</f>
        <v>738</v>
      </c>
      <c r="M589" s="124" t="str">
        <f>IFERROR(__xludf.DUMMYFUNCTION("""COMPUTED_VALUE"""),"New Delhi")</f>
        <v>New Delhi</v>
      </c>
      <c r="N589" s="124" t="str">
        <f>IFERROR(__xludf.DUMMYFUNCTION("""COMPUTED_VALUE"""),"anannyahazarika396@gmail.com")</f>
        <v>anannyahazarika396@gmail.com</v>
      </c>
      <c r="O589" s="124" t="str">
        <f>IFERROR(__xludf.DUMMYFUNCTION("""COMPUTED_VALUE"""),"Anannya")</f>
        <v>Anannya</v>
      </c>
      <c r="P589" s="124">
        <f>IFERROR(__xludf.DUMMYFUNCTION("""COMPUTED_VALUE"""),124311.0)</f>
        <v>124311</v>
      </c>
      <c r="Q589" s="124" t="str">
        <f>IFERROR(__xludf.DUMMYFUNCTION("""COMPUTED_VALUE"""),"-")</f>
        <v>-</v>
      </c>
      <c r="R589" s="124" t="str">
        <f>IFERROR(__xludf.DUMMYFUNCTION("""COMPUTED_VALUE"""),"GS Foundation Course")</f>
        <v>GS Foundation Course</v>
      </c>
      <c r="S589" s="124">
        <f>IFERROR(__xludf.DUMMYFUNCTION("""COMPUTED_VALUE"""),9.957591623E9)</f>
        <v>9957591623</v>
      </c>
      <c r="T589" s="124" t="str">
        <f>IFERROR(__xludf.DUMMYFUNCTION("""COMPUTED_VALUE"""),"Collexo")</f>
        <v>Collexo</v>
      </c>
      <c r="U589" s="124" t="str">
        <f>IFERROR(__xludf.DUMMYFUNCTION("""COMPUTED_VALUE"""),"Success")</f>
        <v>Success</v>
      </c>
      <c r="V589" s="131">
        <f>IFERROR(__xludf.DUMMYFUNCTION("""COMPUTED_VALUE"""),46106.0)</f>
        <v>46106</v>
      </c>
      <c r="W589" s="124">
        <f>IFERROR(__xludf.DUMMYFUNCTION("""COMPUTED_VALUE"""),0.0)</f>
        <v>0</v>
      </c>
    </row>
    <row r="590">
      <c r="A590" s="124" t="str">
        <f t="shared" si="1"/>
        <v>kalpananishad101@gmail.com</v>
      </c>
      <c r="B590" s="131">
        <f>IFERROR(__xludf.DUMMYFUNCTION("""COMPUTED_VALUE"""),46093.0)</f>
        <v>46093</v>
      </c>
      <c r="C590" s="124" t="str">
        <f>IFERROR(__xludf.DUMMYFUNCTION("""COMPUTED_VALUE"""),"Payment data from Collexo")</f>
        <v>Payment data from Collexo</v>
      </c>
      <c r="D590" s="124" t="str">
        <f>IFERROR(__xludf.DUMMYFUNCTION("""COMPUTED_VALUE"""),"Not Available")</f>
        <v>Not Available</v>
      </c>
      <c r="E590" s="124">
        <f>IFERROR(__xludf.DUMMYFUNCTION("""COMPUTED_VALUE"""),1500613.0)</f>
        <v>1500613</v>
      </c>
      <c r="F590" s="124">
        <f>IFERROR(__xludf.DUMMYFUNCTION("""COMPUTED_VALUE"""),125840.0)</f>
        <v>125840</v>
      </c>
      <c r="G590" s="124">
        <f>IFERROR(__xludf.DUMMYFUNCTION("""COMPUTED_VALUE"""),500.0)</f>
        <v>500</v>
      </c>
      <c r="H590" s="131">
        <f>IFERROR(__xludf.DUMMYFUNCTION("""COMPUTED_VALUE"""),46114.0)</f>
        <v>46114</v>
      </c>
      <c r="I590" s="124">
        <f>IFERROR(__xludf.DUMMYFUNCTION("""COMPUTED_VALUE"""),33000.0)</f>
        <v>33000</v>
      </c>
      <c r="J590" s="124">
        <f>IFERROR(__xludf.DUMMYFUNCTION("""COMPUTED_VALUE"""),35000.0)</f>
        <v>35000</v>
      </c>
      <c r="K590" s="124">
        <f>IFERROR(__xludf.DUMMYFUNCTION("""COMPUTED_VALUE"""),3.0)</f>
        <v>3</v>
      </c>
      <c r="L590" s="124">
        <f>IFERROR(__xludf.DUMMYFUNCTION("""COMPUTED_VALUE"""),504.0)</f>
        <v>504</v>
      </c>
      <c r="M590" s="124" t="str">
        <f>IFERROR(__xludf.DUMMYFUNCTION("""COMPUTED_VALUE"""),"Prayagraj")</f>
        <v>Prayagraj</v>
      </c>
      <c r="N590" s="124" t="str">
        <f>IFERROR(__xludf.DUMMYFUNCTION("""COMPUTED_VALUE"""),"kalpananishad101@gmail.com")</f>
        <v>kalpananishad101@gmail.com</v>
      </c>
      <c r="O590" s="124" t="str">
        <f>IFERROR(__xludf.DUMMYFUNCTION("""COMPUTED_VALUE"""),"Kalpana")</f>
        <v>Kalpana</v>
      </c>
      <c r="P590" s="124">
        <f>IFERROR(__xludf.DUMMYFUNCTION("""COMPUTED_VALUE"""),125840.0)</f>
        <v>125840</v>
      </c>
      <c r="Q590" s="124" t="str">
        <f>IFERROR(__xludf.DUMMYFUNCTION("""COMPUTED_VALUE"""),"upsc-gs-foundation-hindi-target-2027-gsf-upsc-m02-pry")</f>
        <v>upsc-gs-foundation-hindi-target-2027-gsf-upsc-m02-pry</v>
      </c>
      <c r="R590" s="124" t="str">
        <f>IFERROR(__xludf.DUMMYFUNCTION("""COMPUTED_VALUE"""),"GS Foundation Course")</f>
        <v>GS Foundation Course</v>
      </c>
      <c r="S590" s="124">
        <f>IFERROR(__xludf.DUMMYFUNCTION("""COMPUTED_VALUE"""),8.299856645E9)</f>
        <v>8299856645</v>
      </c>
      <c r="T590" s="124" t="str">
        <f>IFERROR(__xludf.DUMMYFUNCTION("""COMPUTED_VALUE"""),"Not Available")</f>
        <v>Not Available</v>
      </c>
      <c r="U590" s="124" t="str">
        <f>IFERROR(__xludf.DUMMYFUNCTION("""COMPUTED_VALUE"""),"Not Available")</f>
        <v>Not Available</v>
      </c>
      <c r="V590" s="124" t="str">
        <f>IFERROR(__xludf.DUMMYFUNCTION("""COMPUTED_VALUE"""),"Not Available")</f>
        <v>Not Available</v>
      </c>
      <c r="W590" s="124" t="str">
        <f>IFERROR(__xludf.DUMMYFUNCTION("""COMPUTED_VALUE"""),"Not Available")</f>
        <v>Not Available</v>
      </c>
    </row>
    <row r="591">
      <c r="A591" s="124" t="str">
        <f t="shared" si="1"/>
        <v>deekshap346@gmail.com</v>
      </c>
      <c r="B591" s="131">
        <f>IFERROR(__xludf.DUMMYFUNCTION("""COMPUTED_VALUE"""),46112.0)</f>
        <v>46112</v>
      </c>
      <c r="C591" s="124" t="str">
        <f>IFERROR(__xludf.DUMMYFUNCTION("""COMPUTED_VALUE"""),"Payment data from Collexo")</f>
        <v>Payment data from Collexo</v>
      </c>
      <c r="D591" s="124" t="str">
        <f>IFERROR(__xludf.DUMMYFUNCTION("""COMPUTED_VALUE"""),"Not Available")</f>
        <v>Not Available</v>
      </c>
      <c r="E591" s="124">
        <f>IFERROR(__xludf.DUMMYFUNCTION("""COMPUTED_VALUE"""),1500613.0)</f>
        <v>1500613</v>
      </c>
      <c r="F591" s="124">
        <f>IFERROR(__xludf.DUMMYFUNCTION("""COMPUTED_VALUE"""),139904.0)</f>
        <v>139904</v>
      </c>
      <c r="G591" s="124">
        <f>IFERROR(__xludf.DUMMYFUNCTION("""COMPUTED_VALUE"""),25000.0)</f>
        <v>25000</v>
      </c>
      <c r="H591" s="124" t="str">
        <f>IFERROR(__xludf.DUMMYFUNCTION("""COMPUTED_VALUE"""),"Not Available")</f>
        <v>Not Available</v>
      </c>
      <c r="I591" s="124">
        <f>IFERROR(__xludf.DUMMYFUNCTION("""COMPUTED_VALUE"""),0.0)</f>
        <v>0</v>
      </c>
      <c r="J591" s="124">
        <f>IFERROR(__xludf.DUMMYFUNCTION("""COMPUTED_VALUE"""),25000.0)</f>
        <v>25000</v>
      </c>
      <c r="K591" s="124">
        <f>IFERROR(__xludf.DUMMYFUNCTION("""COMPUTED_VALUE"""),1.0)</f>
        <v>1</v>
      </c>
      <c r="L591" s="124">
        <f>IFERROR(__xludf.DUMMYFUNCTION("""COMPUTED_VALUE"""),867.0)</f>
        <v>867</v>
      </c>
      <c r="M591" s="124" t="str">
        <f>IFERROR(__xludf.DUMMYFUNCTION("""COMPUTED_VALUE"""),"Prayagraj")</f>
        <v>Prayagraj</v>
      </c>
      <c r="N591" s="124" t="str">
        <f>IFERROR(__xludf.DUMMYFUNCTION("""COMPUTED_VALUE"""),"deekshap346@gmail.com")</f>
        <v>deekshap346@gmail.com</v>
      </c>
      <c r="O591" s="124" t="str">
        <f>IFERROR(__xludf.DUMMYFUNCTION("""COMPUTED_VALUE"""),"Deeksha pandey")</f>
        <v>Deeksha pandey</v>
      </c>
      <c r="P591" s="124">
        <f>IFERROR(__xludf.DUMMYFUNCTION("""COMPUTED_VALUE"""),139904.0)</f>
        <v>139904</v>
      </c>
      <c r="Q591" s="124" t="str">
        <f>IFERROR(__xludf.DUMMYFUNCTION("""COMPUTED_VALUE"""),"samadhan-mentorship-program-pry")</f>
        <v>samadhan-mentorship-program-pry</v>
      </c>
      <c r="R591" s="124" t="str">
        <f>IFERROR(__xludf.DUMMYFUNCTION("""COMPUTED_VALUE"""),"Mentorship - Samadhan")</f>
        <v>Mentorship - Samadhan</v>
      </c>
      <c r="S591" s="124">
        <f>IFERROR(__xludf.DUMMYFUNCTION("""COMPUTED_VALUE"""),9.044882557E9)</f>
        <v>9044882557</v>
      </c>
      <c r="T591" s="124" t="str">
        <f>IFERROR(__xludf.DUMMYFUNCTION("""COMPUTED_VALUE"""),"Not Available")</f>
        <v>Not Available</v>
      </c>
      <c r="U591" s="124" t="str">
        <f>IFERROR(__xludf.DUMMYFUNCTION("""COMPUTED_VALUE"""),"Not Available")</f>
        <v>Not Available</v>
      </c>
      <c r="V591" s="124" t="str">
        <f>IFERROR(__xludf.DUMMYFUNCTION("""COMPUTED_VALUE"""),"Not Available")</f>
        <v>Not Available</v>
      </c>
      <c r="W591" s="124" t="str">
        <f>IFERROR(__xludf.DUMMYFUNCTION("""COMPUTED_VALUE"""),"Not Available")</f>
        <v>Not Available</v>
      </c>
    </row>
    <row r="592">
      <c r="A592" s="124" t="str">
        <f t="shared" si="1"/>
        <v>mridulporush30@gmail.com</v>
      </c>
      <c r="B592" s="131">
        <f>IFERROR(__xludf.DUMMYFUNCTION("""COMPUTED_VALUE"""),46058.0)</f>
        <v>46058</v>
      </c>
      <c r="C592" s="124" t="str">
        <f>IFERROR(__xludf.DUMMYFUNCTION("""COMPUTED_VALUE"""),"Payment data from Collexo")</f>
        <v>Payment data from Collexo</v>
      </c>
      <c r="D592" s="124" t="str">
        <f>IFERROR(__xludf.DUMMYFUNCTION("""COMPUTED_VALUE"""),"Not Available")</f>
        <v>Not Available</v>
      </c>
      <c r="E592" s="124">
        <f>IFERROR(__xludf.DUMMYFUNCTION("""COMPUTED_VALUE"""),1500609.0)</f>
        <v>1500609</v>
      </c>
      <c r="F592" s="124" t="str">
        <f>IFERROR(__xludf.DUMMYFUNCTION("""COMPUTED_VALUE"""),"3915_988_7")</f>
        <v>3915_988_7</v>
      </c>
      <c r="G592" s="124">
        <f>IFERROR(__xludf.DUMMYFUNCTION("""COMPUTED_VALUE"""),10000.0)</f>
        <v>10000</v>
      </c>
      <c r="H592" s="131">
        <f>IFERROR(__xludf.DUMMYFUNCTION("""COMPUTED_VALUE"""),46066.0)</f>
        <v>46066</v>
      </c>
      <c r="I592" s="124">
        <f>IFERROR(__xludf.DUMMYFUNCTION("""COMPUTED_VALUE"""),95000.0)</f>
        <v>95000</v>
      </c>
      <c r="J592" s="124">
        <f>IFERROR(__xludf.DUMMYFUNCTION("""COMPUTED_VALUE"""),105000.0)</f>
        <v>105000</v>
      </c>
      <c r="K592" s="124">
        <f>IFERROR(__xludf.DUMMYFUNCTION("""COMPUTED_VALUE"""),2.0)</f>
        <v>2</v>
      </c>
      <c r="L592" s="124">
        <f>IFERROR(__xludf.DUMMYFUNCTION("""COMPUTED_VALUE"""),171.0)</f>
        <v>171</v>
      </c>
      <c r="M592" s="124" t="str">
        <f>IFERROR(__xludf.DUMMYFUNCTION("""COMPUTED_VALUE"""),"New Delhi")</f>
        <v>New Delhi</v>
      </c>
      <c r="N592" s="124" t="str">
        <f>IFERROR(__xludf.DUMMYFUNCTION("""COMPUTED_VALUE"""),"mridulporush30@gmail.com")</f>
        <v>mridulporush30@gmail.com</v>
      </c>
      <c r="O592" s="124" t="str">
        <f>IFERROR(__xludf.DUMMYFUNCTION("""COMPUTED_VALUE"""),"Mridul singh")</f>
        <v>Mridul singh</v>
      </c>
      <c r="P592" s="124">
        <f>IFERROR(__xludf.DUMMYFUNCTION("""COMPUTED_VALUE"""),120211.0)</f>
        <v>120211</v>
      </c>
      <c r="Q592" s="124" t="str">
        <f>IFERROR(__xludf.DUMMYFUNCTION("""COMPUTED_VALUE"""),"upsc-gs-foundation-hinglish-target-2027-gsf-upsc-m02-orn")</f>
        <v>upsc-gs-foundation-hinglish-target-2027-gsf-upsc-m02-orn</v>
      </c>
      <c r="R592" s="124" t="str">
        <f>IFERROR(__xludf.DUMMYFUNCTION("""COMPUTED_VALUE"""),"GS Foundation Course")</f>
        <v>GS Foundation Course</v>
      </c>
      <c r="S592" s="124">
        <f>IFERROR(__xludf.DUMMYFUNCTION("""COMPUTED_VALUE"""),9.310313641E9)</f>
        <v>9310313641</v>
      </c>
      <c r="T592" s="124" t="str">
        <f>IFERROR(__xludf.DUMMYFUNCTION("""COMPUTED_VALUE"""),"Collexo")</f>
        <v>Collexo</v>
      </c>
      <c r="U592" s="124" t="str">
        <f>IFERROR(__xludf.DUMMYFUNCTION("""COMPUTED_VALUE"""),"Success")</f>
        <v>Success</v>
      </c>
      <c r="V592" s="131">
        <f>IFERROR(__xludf.DUMMYFUNCTION("""COMPUTED_VALUE"""),46058.0)</f>
        <v>46058</v>
      </c>
      <c r="W592" s="124">
        <f>IFERROR(__xludf.DUMMYFUNCTION("""COMPUTED_VALUE"""),0.0)</f>
        <v>0</v>
      </c>
    </row>
    <row r="593">
      <c r="A593" s="124" t="str">
        <f t="shared" si="1"/>
        <v>yadavvedansh07@gmail.com</v>
      </c>
      <c r="B593" s="131">
        <f>IFERROR(__xludf.DUMMYFUNCTION("""COMPUTED_VALUE"""),46089.0)</f>
        <v>46089</v>
      </c>
      <c r="C593" s="124" t="str">
        <f>IFERROR(__xludf.DUMMYFUNCTION("""COMPUTED_VALUE"""),"Payment data from Collexo")</f>
        <v>Payment data from Collexo</v>
      </c>
      <c r="D593" s="124" t="str">
        <f>IFERROR(__xludf.DUMMYFUNCTION("""COMPUTED_VALUE"""),"Not Available")</f>
        <v>Not Available</v>
      </c>
      <c r="E593" s="124">
        <f>IFERROR(__xludf.DUMMYFUNCTION("""COMPUTED_VALUE"""),1500609.0)</f>
        <v>1500609</v>
      </c>
      <c r="F593" s="124" t="str">
        <f>IFERROR(__xludf.DUMMYFUNCTION("""COMPUTED_VALUE"""),"13060_988_7")</f>
        <v>13060_988_7</v>
      </c>
      <c r="G593" s="124">
        <f>IFERROR(__xludf.DUMMYFUNCTION("""COMPUTED_VALUE"""),5000.0)</f>
        <v>5000</v>
      </c>
      <c r="H593" s="131">
        <f>IFERROR(__xludf.DUMMYFUNCTION("""COMPUTED_VALUE"""),46093.0)</f>
        <v>46093</v>
      </c>
      <c r="I593" s="124">
        <f>IFERROR(__xludf.DUMMYFUNCTION("""COMPUTED_VALUE"""),125000.0)</f>
        <v>125000</v>
      </c>
      <c r="J593" s="124">
        <f>IFERROR(__xludf.DUMMYFUNCTION("""COMPUTED_VALUE"""),130000.0)</f>
        <v>130000</v>
      </c>
      <c r="K593" s="124">
        <f>IFERROR(__xludf.DUMMYFUNCTION("""COMPUTED_VALUE"""),2.0)</f>
        <v>2</v>
      </c>
      <c r="L593" s="124">
        <f>IFERROR(__xludf.DUMMYFUNCTION("""COMPUTED_VALUE"""),434.0)</f>
        <v>434</v>
      </c>
      <c r="M593" s="124" t="str">
        <f>IFERROR(__xludf.DUMMYFUNCTION("""COMPUTED_VALUE"""),"New Delhi")</f>
        <v>New Delhi</v>
      </c>
      <c r="N593" s="124" t="str">
        <f>IFERROR(__xludf.DUMMYFUNCTION("""COMPUTED_VALUE"""),"yadavvedansh07@gmail.com")</f>
        <v>yadavvedansh07@gmail.com</v>
      </c>
      <c r="O593" s="124" t="str">
        <f>IFERROR(__xludf.DUMMYFUNCTION("""COMPUTED_VALUE"""),"Vedansh Yadav")</f>
        <v>Vedansh Yadav</v>
      </c>
      <c r="P593" s="124">
        <f>IFERROR(__xludf.DUMMYFUNCTION("""COMPUTED_VALUE"""),126071.0)</f>
        <v>126071</v>
      </c>
      <c r="Q593" s="124" t="str">
        <f>IFERROR(__xludf.DUMMYFUNCTION("""COMPUTED_VALUE"""),"upsc-gs-foundation-hinglish-target-2028-gsf-upsc-m05-orn")</f>
        <v>upsc-gs-foundation-hinglish-target-2028-gsf-upsc-m05-orn</v>
      </c>
      <c r="R593" s="124" t="str">
        <f>IFERROR(__xludf.DUMMYFUNCTION("""COMPUTED_VALUE"""),"GS Foundation Course")</f>
        <v>GS Foundation Course</v>
      </c>
      <c r="S593" s="124">
        <f>IFERROR(__xludf.DUMMYFUNCTION("""COMPUTED_VALUE"""),9.22058126E9)</f>
        <v>9220581260</v>
      </c>
      <c r="T593" s="124" t="str">
        <f>IFERROR(__xludf.DUMMYFUNCTION("""COMPUTED_VALUE"""),"Collexo")</f>
        <v>Collexo</v>
      </c>
      <c r="U593" s="124" t="str">
        <f>IFERROR(__xludf.DUMMYFUNCTION("""COMPUTED_VALUE"""),"Success")</f>
        <v>Success</v>
      </c>
      <c r="V593" s="131">
        <f>IFERROR(__xludf.DUMMYFUNCTION("""COMPUTED_VALUE"""),46089.0)</f>
        <v>46089</v>
      </c>
      <c r="W593" s="124">
        <f>IFERROR(__xludf.DUMMYFUNCTION("""COMPUTED_VALUE"""),0.0)</f>
        <v>0</v>
      </c>
    </row>
    <row r="594">
      <c r="A594" s="124" t="str">
        <f t="shared" si="1"/>
        <v>kushwahsuraj17@gmail.com</v>
      </c>
      <c r="B594" s="131">
        <f>IFERROR(__xludf.DUMMYFUNCTION("""COMPUTED_VALUE"""),46050.0)</f>
        <v>46050</v>
      </c>
      <c r="C594" s="124" t="str">
        <f>IFERROR(__xludf.DUMMYFUNCTION("""COMPUTED_VALUE"""),"Payment data from Collexo")</f>
        <v>Payment data from Collexo</v>
      </c>
      <c r="D594" s="124" t="str">
        <f>IFERROR(__xludf.DUMMYFUNCTION("""COMPUTED_VALUE"""),"Not Available")</f>
        <v>Not Available</v>
      </c>
      <c r="E594" s="124">
        <f>IFERROR(__xludf.DUMMYFUNCTION("""COMPUTED_VALUE"""),1500609.0)</f>
        <v>1500609</v>
      </c>
      <c r="F594" s="124" t="str">
        <f>IFERROR(__xludf.DUMMYFUNCTION("""COMPUTED_VALUE"""),"2688_988_7")</f>
        <v>2688_988_7</v>
      </c>
      <c r="G594" s="124">
        <f>IFERROR(__xludf.DUMMYFUNCTION("""COMPUTED_VALUE"""),5000.0)</f>
        <v>5000</v>
      </c>
      <c r="H594" s="131">
        <f>IFERROR(__xludf.DUMMYFUNCTION("""COMPUTED_VALUE"""),46053.0)</f>
        <v>46053</v>
      </c>
      <c r="I594" s="124">
        <f>IFERROR(__xludf.DUMMYFUNCTION("""COMPUTED_VALUE"""),125000.0)</f>
        <v>125000</v>
      </c>
      <c r="J594" s="124">
        <f>IFERROR(__xludf.DUMMYFUNCTION("""COMPUTED_VALUE"""),130000.0)</f>
        <v>130000</v>
      </c>
      <c r="K594" s="124">
        <f>IFERROR(__xludf.DUMMYFUNCTION("""COMPUTED_VALUE"""),2.0)</f>
        <v>2</v>
      </c>
      <c r="L594" s="124">
        <f>IFERROR(__xludf.DUMMYFUNCTION("""COMPUTED_VALUE"""),120.0)</f>
        <v>120</v>
      </c>
      <c r="M594" s="124" t="str">
        <f>IFERROR(__xludf.DUMMYFUNCTION("""COMPUTED_VALUE"""),"New Delhi")</f>
        <v>New Delhi</v>
      </c>
      <c r="N594" s="124" t="str">
        <f>IFERROR(__xludf.DUMMYFUNCTION("""COMPUTED_VALUE"""),"kushwahsuraj17@gmail.com")</f>
        <v>kushwahsuraj17@gmail.com</v>
      </c>
      <c r="O594" s="124" t="str">
        <f>IFERROR(__xludf.DUMMYFUNCTION("""COMPUTED_VALUE"""),"Suraj kushwah")</f>
        <v>Suraj kushwah</v>
      </c>
      <c r="P594" s="124">
        <f>IFERROR(__xludf.DUMMYFUNCTION("""COMPUTED_VALUE"""),111647.0)</f>
        <v>111647</v>
      </c>
      <c r="Q594" s="124" t="str">
        <f>IFERROR(__xludf.DUMMYFUNCTION("""COMPUTED_VALUE"""),"ncert-foundation-hinglish-target-2026-nce-upsc-e02-orn")</f>
        <v>ncert-foundation-hinglish-target-2026-nce-upsc-e02-orn</v>
      </c>
      <c r="R594" s="124" t="str">
        <f>IFERROR(__xludf.DUMMYFUNCTION("""COMPUTED_VALUE"""),"GS Foundation Course")</f>
        <v>GS Foundation Course</v>
      </c>
      <c r="S594" s="124">
        <f>IFERROR(__xludf.DUMMYFUNCTION("""COMPUTED_VALUE"""),9.009637429E9)</f>
        <v>9009637429</v>
      </c>
      <c r="T594" s="124" t="str">
        <f>IFERROR(__xludf.DUMMYFUNCTION("""COMPUTED_VALUE"""),"Collexo")</f>
        <v>Collexo</v>
      </c>
      <c r="U594" s="124" t="str">
        <f>IFERROR(__xludf.DUMMYFUNCTION("""COMPUTED_VALUE"""),"Success")</f>
        <v>Success</v>
      </c>
      <c r="V594" s="131">
        <f>IFERROR(__xludf.DUMMYFUNCTION("""COMPUTED_VALUE"""),46050.0)</f>
        <v>46050</v>
      </c>
      <c r="W594" s="124">
        <f>IFERROR(__xludf.DUMMYFUNCTION("""COMPUTED_VALUE"""),0.0)</f>
        <v>0</v>
      </c>
    </row>
    <row r="595">
      <c r="A595" s="124" t="str">
        <f t="shared" si="1"/>
        <v>nntakalkar2229@gmail.com</v>
      </c>
      <c r="B595" s="131">
        <f>IFERROR(__xludf.DUMMYFUNCTION("""COMPUTED_VALUE"""),46062.0)</f>
        <v>46062</v>
      </c>
      <c r="C595" s="124" t="str">
        <f>IFERROR(__xludf.DUMMYFUNCTION("""COMPUTED_VALUE"""),"Payment data from Collexo")</f>
        <v>Payment data from Collexo</v>
      </c>
      <c r="D595" s="124" t="str">
        <f>IFERROR(__xludf.DUMMYFUNCTION("""COMPUTED_VALUE"""),"Not Available")</f>
        <v>Not Available</v>
      </c>
      <c r="E595" s="124">
        <f>IFERROR(__xludf.DUMMYFUNCTION("""COMPUTED_VALUE"""),1500609.0)</f>
        <v>1500609</v>
      </c>
      <c r="F595" s="124" t="str">
        <f>IFERROR(__xludf.DUMMYFUNCTION("""COMPUTED_VALUE"""),"4392_988_7")</f>
        <v>4392_988_7</v>
      </c>
      <c r="G595" s="124">
        <f>IFERROR(__xludf.DUMMYFUNCTION("""COMPUTED_VALUE"""),125000.0)</f>
        <v>125000</v>
      </c>
      <c r="H595" s="124" t="str">
        <f>IFERROR(__xludf.DUMMYFUNCTION("""COMPUTED_VALUE"""),"Not Available")</f>
        <v>Not Available</v>
      </c>
      <c r="I595" s="124">
        <f>IFERROR(__xludf.DUMMYFUNCTION("""COMPUTED_VALUE"""),0.0)</f>
        <v>0</v>
      </c>
      <c r="J595" s="124">
        <f>IFERROR(__xludf.DUMMYFUNCTION("""COMPUTED_VALUE"""),130000.0)</f>
        <v>130000</v>
      </c>
      <c r="K595" s="124">
        <f>IFERROR(__xludf.DUMMYFUNCTION("""COMPUTED_VALUE"""),2.0)</f>
        <v>2</v>
      </c>
      <c r="L595" s="124">
        <f>IFERROR(__xludf.DUMMYFUNCTION("""COMPUTED_VALUE"""),189.0)</f>
        <v>189</v>
      </c>
      <c r="M595" s="124" t="str">
        <f>IFERROR(__xludf.DUMMYFUNCTION("""COMPUTED_VALUE"""),"New Delhi")</f>
        <v>New Delhi</v>
      </c>
      <c r="N595" s="124" t="str">
        <f>IFERROR(__xludf.DUMMYFUNCTION("""COMPUTED_VALUE"""),"nntakalkar2229@gmail.com")</f>
        <v>nntakalkar2229@gmail.com</v>
      </c>
      <c r="O595" s="124" t="str">
        <f>IFERROR(__xludf.DUMMYFUNCTION("""COMPUTED_VALUE"""),"Nishant")</f>
        <v>Nishant</v>
      </c>
      <c r="P595" s="124">
        <f>IFERROR(__xludf.DUMMYFUNCTION("""COMPUTED_VALUE"""),120366.0)</f>
        <v>120366</v>
      </c>
      <c r="Q595" s="124" t="str">
        <f>IFERROR(__xludf.DUMMYFUNCTION("""COMPUTED_VALUE"""),"upsc-gs-foundation-hinglish-target-2027-gsf-upsc-m02-orn")</f>
        <v>upsc-gs-foundation-hinglish-target-2027-gsf-upsc-m02-orn</v>
      </c>
      <c r="R595" s="124" t="str">
        <f>IFERROR(__xludf.DUMMYFUNCTION("""COMPUTED_VALUE"""),"GS Foundation Course")</f>
        <v>GS Foundation Course</v>
      </c>
      <c r="S595" s="124">
        <f>IFERROR(__xludf.DUMMYFUNCTION("""COMPUTED_VALUE"""),9.137507112E9)</f>
        <v>9137507112</v>
      </c>
      <c r="T595" s="124" t="str">
        <f>IFERROR(__xludf.DUMMYFUNCTION("""COMPUTED_VALUE"""),"Collexo")</f>
        <v>Collexo</v>
      </c>
      <c r="U595" s="124" t="str">
        <f>IFERROR(__xludf.DUMMYFUNCTION("""COMPUTED_VALUE"""),"Success")</f>
        <v>Success</v>
      </c>
      <c r="V595" s="131">
        <f>IFERROR(__xludf.DUMMYFUNCTION("""COMPUTED_VALUE"""),46062.0)</f>
        <v>46062</v>
      </c>
      <c r="W595" s="124">
        <f>IFERROR(__xludf.DUMMYFUNCTION("""COMPUTED_VALUE"""),0.0)</f>
        <v>0</v>
      </c>
    </row>
    <row r="596">
      <c r="A596" s="124" t="str">
        <f t="shared" si="1"/>
        <v>anuskaa0220@gmail.com</v>
      </c>
      <c r="B596" s="131">
        <f>IFERROR(__xludf.DUMMYFUNCTION("""COMPUTED_VALUE"""),46105.0)</f>
        <v>46105</v>
      </c>
      <c r="C596" s="124" t="str">
        <f>IFERROR(__xludf.DUMMYFUNCTION("""COMPUTED_VALUE"""),"Payment data from Collexo")</f>
        <v>Payment data from Collexo</v>
      </c>
      <c r="D596" s="124" t="str">
        <f>IFERROR(__xludf.DUMMYFUNCTION("""COMPUTED_VALUE"""),"Not Available")</f>
        <v>Not Available</v>
      </c>
      <c r="E596" s="124">
        <f>IFERROR(__xludf.DUMMYFUNCTION("""COMPUTED_VALUE"""),1500609.0)</f>
        <v>1500609</v>
      </c>
      <c r="F596" s="124" t="str">
        <f>IFERROR(__xludf.DUMMYFUNCTION("""COMPUTED_VALUE"""),"16353_988_7")</f>
        <v>16353_988_7</v>
      </c>
      <c r="G596" s="124">
        <f>IFERROR(__xludf.DUMMYFUNCTION("""COMPUTED_VALUE"""),55000.0)</f>
        <v>55000</v>
      </c>
      <c r="H596" s="124" t="str">
        <f>IFERROR(__xludf.DUMMYFUNCTION("""COMPUTED_VALUE"""),"Not Available")</f>
        <v>Not Available</v>
      </c>
      <c r="I596" s="124">
        <f>IFERROR(__xludf.DUMMYFUNCTION("""COMPUTED_VALUE"""),0.0)</f>
        <v>0</v>
      </c>
      <c r="J596" s="124">
        <f>IFERROR(__xludf.DUMMYFUNCTION("""COMPUTED_VALUE"""),60000.0)</f>
        <v>60000</v>
      </c>
      <c r="K596" s="124">
        <f>IFERROR(__xludf.DUMMYFUNCTION("""COMPUTED_VALUE"""),2.0)</f>
        <v>2</v>
      </c>
      <c r="L596" s="124">
        <f>IFERROR(__xludf.DUMMYFUNCTION("""COMPUTED_VALUE"""),713.0)</f>
        <v>713</v>
      </c>
      <c r="M596" s="124" t="str">
        <f>IFERROR(__xludf.DUMMYFUNCTION("""COMPUTED_VALUE"""),"New Delhi")</f>
        <v>New Delhi</v>
      </c>
      <c r="N596" s="124" t="str">
        <f>IFERROR(__xludf.DUMMYFUNCTION("""COMPUTED_VALUE"""),"anuskaa0220@gmail.com")</f>
        <v>anuskaa0220@gmail.com</v>
      </c>
      <c r="O596" s="124" t="str">
        <f>IFERROR(__xludf.DUMMYFUNCTION("""COMPUTED_VALUE"""),"Anushka")</f>
        <v>Anushka</v>
      </c>
      <c r="P596" s="124">
        <f>IFERROR(__xludf.DUMMYFUNCTION("""COMPUTED_VALUE"""),123416.0)</f>
        <v>123416</v>
      </c>
      <c r="Q596" s="124" t="str">
        <f>IFERROR(__xludf.DUMMYFUNCTION("""COMPUTED_VALUE"""),"/upsc-gs-foundation-hinglish-target-2027-gsf-upsc-e04-orn")</f>
        <v>/upsc-gs-foundation-hinglish-target-2027-gsf-upsc-e04-orn</v>
      </c>
      <c r="R596" s="124" t="str">
        <f>IFERROR(__xludf.DUMMYFUNCTION("""COMPUTED_VALUE"""),"GS Foundation Course")</f>
        <v>GS Foundation Course</v>
      </c>
      <c r="S596" s="124">
        <f>IFERROR(__xludf.DUMMYFUNCTION("""COMPUTED_VALUE"""),6.394479541E9)</f>
        <v>6394479541</v>
      </c>
      <c r="T596" s="124" t="str">
        <f>IFERROR(__xludf.DUMMYFUNCTION("""COMPUTED_VALUE"""),"Collexo")</f>
        <v>Collexo</v>
      </c>
      <c r="U596" s="124" t="str">
        <f>IFERROR(__xludf.DUMMYFUNCTION("""COMPUTED_VALUE"""),"Success")</f>
        <v>Success</v>
      </c>
      <c r="V596" s="131">
        <f>IFERROR(__xludf.DUMMYFUNCTION("""COMPUTED_VALUE"""),46105.0)</f>
        <v>46105</v>
      </c>
      <c r="W596" s="124">
        <f>IFERROR(__xludf.DUMMYFUNCTION("""COMPUTED_VALUE"""),0.0)</f>
        <v>0</v>
      </c>
    </row>
    <row r="597">
      <c r="A597" s="124" t="str">
        <f t="shared" si="1"/>
        <v>anannyahazarika396@gmail.com</v>
      </c>
      <c r="B597" s="131">
        <f>IFERROR(__xludf.DUMMYFUNCTION("""COMPUTED_VALUE"""),46090.0)</f>
        <v>46090</v>
      </c>
      <c r="C597" s="124" t="str">
        <f>IFERROR(__xludf.DUMMYFUNCTION("""COMPUTED_VALUE"""),"Payment data from Collexo")</f>
        <v>Payment data from Collexo</v>
      </c>
      <c r="D597" s="124" t="str">
        <f>IFERROR(__xludf.DUMMYFUNCTION("""COMPUTED_VALUE"""),"Not Available")</f>
        <v>Not Available</v>
      </c>
      <c r="E597" s="124">
        <f>IFERROR(__xludf.DUMMYFUNCTION("""COMPUTED_VALUE"""),1500609.0)</f>
        <v>1500609</v>
      </c>
      <c r="F597" s="124" t="str">
        <f>IFERROR(__xludf.DUMMYFUNCTION("""COMPUTED_VALUE"""),"13272_988_7")</f>
        <v>13272_988_7</v>
      </c>
      <c r="G597" s="124">
        <f>IFERROR(__xludf.DUMMYFUNCTION("""COMPUTED_VALUE"""),92000.0)</f>
        <v>92000</v>
      </c>
      <c r="H597" s="131">
        <f>IFERROR(__xludf.DUMMYFUNCTION("""COMPUTED_VALUE"""),46112.0)</f>
        <v>46112</v>
      </c>
      <c r="I597" s="124">
        <f>IFERROR(__xludf.DUMMYFUNCTION("""COMPUTED_VALUE"""),18000.0)</f>
        <v>18000</v>
      </c>
      <c r="J597" s="124">
        <f>IFERROR(__xludf.DUMMYFUNCTION("""COMPUTED_VALUE"""),115000.0)</f>
        <v>115000</v>
      </c>
      <c r="K597" s="124">
        <f>IFERROR(__xludf.DUMMYFUNCTION("""COMPUTED_VALUE"""),3.0)</f>
        <v>3</v>
      </c>
      <c r="L597" s="124">
        <f>IFERROR(__xludf.DUMMYFUNCTION("""COMPUTED_VALUE"""),459.0)</f>
        <v>459</v>
      </c>
      <c r="M597" s="124" t="str">
        <f>IFERROR(__xludf.DUMMYFUNCTION("""COMPUTED_VALUE"""),"New Delhi")</f>
        <v>New Delhi</v>
      </c>
      <c r="N597" s="124" t="str">
        <f>IFERROR(__xludf.DUMMYFUNCTION("""COMPUTED_VALUE"""),"anannyahazarika396@gmail.com")</f>
        <v>anannyahazarika396@gmail.com</v>
      </c>
      <c r="O597" s="124" t="str">
        <f>IFERROR(__xludf.DUMMYFUNCTION("""COMPUTED_VALUE"""),"Anannya")</f>
        <v>Anannya</v>
      </c>
      <c r="P597" s="124">
        <f>IFERROR(__xludf.DUMMYFUNCTION("""COMPUTED_VALUE"""),124311.0)</f>
        <v>124311</v>
      </c>
      <c r="Q597" s="124" t="str">
        <f>IFERROR(__xludf.DUMMYFUNCTION("""COMPUTED_VALUE"""),"-")</f>
        <v>-</v>
      </c>
      <c r="R597" s="124" t="str">
        <f>IFERROR(__xludf.DUMMYFUNCTION("""COMPUTED_VALUE"""),"GS Foundation Course")</f>
        <v>GS Foundation Course</v>
      </c>
      <c r="S597" s="124">
        <f>IFERROR(__xludf.DUMMYFUNCTION("""COMPUTED_VALUE"""),9.957591623E9)</f>
        <v>9957591623</v>
      </c>
      <c r="T597" s="124" t="str">
        <f>IFERROR(__xludf.DUMMYFUNCTION("""COMPUTED_VALUE"""),"Collexo")</f>
        <v>Collexo</v>
      </c>
      <c r="U597" s="124" t="str">
        <f>IFERROR(__xludf.DUMMYFUNCTION("""COMPUTED_VALUE"""),"Success")</f>
        <v>Success</v>
      </c>
      <c r="V597" s="131">
        <f>IFERROR(__xludf.DUMMYFUNCTION("""COMPUTED_VALUE"""),46090.0)</f>
        <v>46090</v>
      </c>
      <c r="W597" s="124">
        <f>IFERROR(__xludf.DUMMYFUNCTION("""COMPUTED_VALUE"""),0.0)</f>
        <v>0</v>
      </c>
    </row>
    <row r="598">
      <c r="A598" s="124" t="str">
        <f t="shared" si="1"/>
        <v>jhakshama15@gmail.com</v>
      </c>
      <c r="B598" s="131">
        <f>IFERROR(__xludf.DUMMYFUNCTION("""COMPUTED_VALUE"""),46093.0)</f>
        <v>46093</v>
      </c>
      <c r="C598" s="124" t="str">
        <f>IFERROR(__xludf.DUMMYFUNCTION("""COMPUTED_VALUE"""),"Payment data from Collexo")</f>
        <v>Payment data from Collexo</v>
      </c>
      <c r="D598" s="124" t="str">
        <f>IFERROR(__xludf.DUMMYFUNCTION("""COMPUTED_VALUE"""),"Not Available")</f>
        <v>Not Available</v>
      </c>
      <c r="E598" s="124">
        <f>IFERROR(__xludf.DUMMYFUNCTION("""COMPUTED_VALUE"""),1500611.0)</f>
        <v>1500611</v>
      </c>
      <c r="F598" s="124">
        <f>IFERROR(__xludf.DUMMYFUNCTION("""COMPUTED_VALUE"""),126166.0)</f>
        <v>126166</v>
      </c>
      <c r="G598" s="124">
        <f>IFERROR(__xludf.DUMMYFUNCTION("""COMPUTED_VALUE"""),2000.0)</f>
        <v>2000</v>
      </c>
      <c r="H598" s="131">
        <f>IFERROR(__xludf.DUMMYFUNCTION("""COMPUTED_VALUE"""),46124.0)</f>
        <v>46124</v>
      </c>
      <c r="I598" s="124">
        <f>IFERROR(__xludf.DUMMYFUNCTION("""COMPUTED_VALUE"""),1200.0)</f>
        <v>1200</v>
      </c>
      <c r="J598" s="124">
        <f>IFERROR(__xludf.DUMMYFUNCTION("""COMPUTED_VALUE"""),32000.0)</f>
        <v>32000</v>
      </c>
      <c r="K598" s="124">
        <f>IFERROR(__xludf.DUMMYFUNCTION("""COMPUTED_VALUE"""),3.0)</f>
        <v>3</v>
      </c>
      <c r="L598" s="124">
        <f>IFERROR(__xludf.DUMMYFUNCTION("""COMPUTED_VALUE"""),506.0)</f>
        <v>506</v>
      </c>
      <c r="M598" s="124" t="str">
        <f>IFERROR(__xludf.DUMMYFUNCTION("""COMPUTED_VALUE"""),"Patna")</f>
        <v>Patna</v>
      </c>
      <c r="N598" s="124" t="str">
        <f>IFERROR(__xludf.DUMMYFUNCTION("""COMPUTED_VALUE"""),"jhakshama15@gmail.com")</f>
        <v>jhakshama15@gmail.com</v>
      </c>
      <c r="O598" s="124" t="str">
        <f>IFERROR(__xludf.DUMMYFUNCTION("""COMPUTED_VALUE"""),"Kshama Jha")</f>
        <v>Kshama Jha</v>
      </c>
      <c r="P598" s="124">
        <f>IFERROR(__xludf.DUMMYFUNCTION("""COMPUTED_VALUE"""),126166.0)</f>
        <v>126166</v>
      </c>
      <c r="Q598" s="124" t="str">
        <f>IFERROR(__xludf.DUMMYFUNCTION("""COMPUTED_VALUE"""),"bpsc-gs-foundation-hinglish-target-2026-gsf-bpsc-m02-pat")</f>
        <v>bpsc-gs-foundation-hinglish-target-2026-gsf-bpsc-m02-pat</v>
      </c>
      <c r="R598" s="124" t="str">
        <f>IFERROR(__xludf.DUMMYFUNCTION("""COMPUTED_VALUE"""),"State PCS")</f>
        <v>State PCS</v>
      </c>
      <c r="S598" s="124">
        <f>IFERROR(__xludf.DUMMYFUNCTION("""COMPUTED_VALUE"""),7.004569768E9)</f>
        <v>7004569768</v>
      </c>
      <c r="T598" s="124" t="str">
        <f>IFERROR(__xludf.DUMMYFUNCTION("""COMPUTED_VALUE"""),"Not Available")</f>
        <v>Not Available</v>
      </c>
      <c r="U598" s="124" t="str">
        <f>IFERROR(__xludf.DUMMYFUNCTION("""COMPUTED_VALUE"""),"Not Available")</f>
        <v>Not Available</v>
      </c>
      <c r="V598" s="124" t="str">
        <f>IFERROR(__xludf.DUMMYFUNCTION("""COMPUTED_VALUE"""),"Not Available")</f>
        <v>Not Available</v>
      </c>
      <c r="W598" s="124" t="str">
        <f>IFERROR(__xludf.DUMMYFUNCTION("""COMPUTED_VALUE"""),"Not Available")</f>
        <v>Not Available</v>
      </c>
    </row>
    <row r="599">
      <c r="A599" s="124" t="str">
        <f t="shared" si="1"/>
        <v>yadavvedansh07@gmail.com</v>
      </c>
      <c r="B599" s="131">
        <f>IFERROR(__xludf.DUMMYFUNCTION("""COMPUTED_VALUE"""),46089.0)</f>
        <v>46089</v>
      </c>
      <c r="C599" s="124" t="str">
        <f>IFERROR(__xludf.DUMMYFUNCTION("""COMPUTED_VALUE"""),"Payment data from Collexo")</f>
        <v>Payment data from Collexo</v>
      </c>
      <c r="D599" s="124" t="str">
        <f>IFERROR(__xludf.DUMMYFUNCTION("""COMPUTED_VALUE"""),"Not Available")</f>
        <v>Not Available</v>
      </c>
      <c r="E599" s="124">
        <f>IFERROR(__xludf.DUMMYFUNCTION("""COMPUTED_VALUE"""),1500609.0)</f>
        <v>1500609</v>
      </c>
      <c r="F599" s="124" t="str">
        <f>IFERROR(__xludf.DUMMYFUNCTION("""COMPUTED_VALUE"""),"13061_988_7")</f>
        <v>13061_988_7</v>
      </c>
      <c r="G599" s="124">
        <f>IFERROR(__xludf.DUMMYFUNCTION("""COMPUTED_VALUE"""),1.0)</f>
        <v>1</v>
      </c>
      <c r="H599" s="124" t="str">
        <f>IFERROR(__xludf.DUMMYFUNCTION("""COMPUTED_VALUE"""),"Not Available")</f>
        <v>Not Available</v>
      </c>
      <c r="I599" s="124">
        <f>IFERROR(__xludf.DUMMYFUNCTION("""COMPUTED_VALUE"""),0.0)</f>
        <v>0</v>
      </c>
      <c r="J599" s="124">
        <f>IFERROR(__xludf.DUMMYFUNCTION("""COMPUTED_VALUE"""),1.0)</f>
        <v>1</v>
      </c>
      <c r="K599" s="124">
        <f>IFERROR(__xludf.DUMMYFUNCTION("""COMPUTED_VALUE"""),1.0)</f>
        <v>1</v>
      </c>
      <c r="L599" s="124">
        <f>IFERROR(__xludf.DUMMYFUNCTION("""COMPUTED_VALUE"""),435.0)</f>
        <v>435</v>
      </c>
      <c r="M599" s="124" t="str">
        <f>IFERROR(__xludf.DUMMYFUNCTION("""COMPUTED_VALUE"""),"New Delhi")</f>
        <v>New Delhi</v>
      </c>
      <c r="N599" s="124" t="str">
        <f>IFERROR(__xludf.DUMMYFUNCTION("""COMPUTED_VALUE"""),"yadavvedansh07@gmail.com")</f>
        <v>yadavvedansh07@gmail.com</v>
      </c>
      <c r="O599" s="124" t="str">
        <f>IFERROR(__xludf.DUMMYFUNCTION("""COMPUTED_VALUE"""),"Vedansh Yadav")</f>
        <v>Vedansh Yadav</v>
      </c>
      <c r="P599" s="124">
        <f>IFERROR(__xludf.DUMMYFUNCTION("""COMPUTED_VALUE"""),126071.0)</f>
        <v>126071</v>
      </c>
      <c r="Q599" s="124" t="str">
        <f>IFERROR(__xludf.DUMMYFUNCTION("""COMPUTED_VALUE"""),"upsc-gs-foundation-hinglish-target-2028-gsf-upsc-m05-orn")</f>
        <v>upsc-gs-foundation-hinglish-target-2028-gsf-upsc-m05-orn</v>
      </c>
      <c r="R599" s="124" t="str">
        <f>IFERROR(__xludf.DUMMYFUNCTION("""COMPUTED_VALUE"""),"GS Foundation Course")</f>
        <v>GS Foundation Course</v>
      </c>
      <c r="S599" s="124">
        <f>IFERROR(__xludf.DUMMYFUNCTION("""COMPUTED_VALUE"""),9.22058126E9)</f>
        <v>9220581260</v>
      </c>
      <c r="T599" s="124" t="str">
        <f>IFERROR(__xludf.DUMMYFUNCTION("""COMPUTED_VALUE"""),"Collexo")</f>
        <v>Collexo</v>
      </c>
      <c r="U599" s="124" t="str">
        <f>IFERROR(__xludf.DUMMYFUNCTION("""COMPUTED_VALUE"""),"Success")</f>
        <v>Success</v>
      </c>
      <c r="V599" s="131">
        <f>IFERROR(__xludf.DUMMYFUNCTION("""COMPUTED_VALUE"""),46089.0)</f>
        <v>46089</v>
      </c>
      <c r="W599" s="124">
        <f>IFERROR(__xludf.DUMMYFUNCTION("""COMPUTED_VALUE"""),0.0)</f>
        <v>0</v>
      </c>
    </row>
    <row r="600">
      <c r="A600" s="124" t="str">
        <f t="shared" si="1"/>
        <v>anuskaa0220@gmail.com</v>
      </c>
      <c r="B600" s="131">
        <f>IFERROR(__xludf.DUMMYFUNCTION("""COMPUTED_VALUE"""),46072.0)</f>
        <v>46072</v>
      </c>
      <c r="C600" s="124" t="str">
        <f>IFERROR(__xludf.DUMMYFUNCTION("""COMPUTED_VALUE"""),"Payment data from Collexo")</f>
        <v>Payment data from Collexo</v>
      </c>
      <c r="D600" s="124" t="str">
        <f>IFERROR(__xludf.DUMMYFUNCTION("""COMPUTED_VALUE"""),"Not Available")</f>
        <v>Not Available</v>
      </c>
      <c r="E600" s="124">
        <f>IFERROR(__xludf.DUMMYFUNCTION("""COMPUTED_VALUE"""),1500609.0)</f>
        <v>1500609</v>
      </c>
      <c r="F600" s="124" t="str">
        <f>IFERROR(__xludf.DUMMYFUNCTION("""COMPUTED_VALUE"""),"6474_988_7")</f>
        <v>6474_988_7</v>
      </c>
      <c r="G600" s="124">
        <f>IFERROR(__xludf.DUMMYFUNCTION("""COMPUTED_VALUE"""),5000.0)</f>
        <v>5000</v>
      </c>
      <c r="H600" s="131">
        <f>IFERROR(__xludf.DUMMYFUNCTION("""COMPUTED_VALUE"""),46081.0)</f>
        <v>46081</v>
      </c>
      <c r="I600" s="124">
        <f>IFERROR(__xludf.DUMMYFUNCTION("""COMPUTED_VALUE"""),55000.0)</f>
        <v>55000</v>
      </c>
      <c r="J600" s="124">
        <f>IFERROR(__xludf.DUMMYFUNCTION("""COMPUTED_VALUE"""),60000.0)</f>
        <v>60000</v>
      </c>
      <c r="K600" s="124">
        <f>IFERROR(__xludf.DUMMYFUNCTION("""COMPUTED_VALUE"""),2.0)</f>
        <v>2</v>
      </c>
      <c r="L600" s="124">
        <f>IFERROR(__xludf.DUMMYFUNCTION("""COMPUTED_VALUE"""),262.0)</f>
        <v>262</v>
      </c>
      <c r="M600" s="124" t="str">
        <f>IFERROR(__xludf.DUMMYFUNCTION("""COMPUTED_VALUE"""),"New Delhi")</f>
        <v>New Delhi</v>
      </c>
      <c r="N600" s="124" t="str">
        <f>IFERROR(__xludf.DUMMYFUNCTION("""COMPUTED_VALUE"""),"anuskaa0220@gmail.com")</f>
        <v>anuskaa0220@gmail.com</v>
      </c>
      <c r="O600" s="124" t="str">
        <f>IFERROR(__xludf.DUMMYFUNCTION("""COMPUTED_VALUE"""),"Anushka")</f>
        <v>Anushka</v>
      </c>
      <c r="P600" s="124">
        <f>IFERROR(__xludf.DUMMYFUNCTION("""COMPUTED_VALUE"""),123416.0)</f>
        <v>123416</v>
      </c>
      <c r="Q600" s="124" t="str">
        <f>IFERROR(__xludf.DUMMYFUNCTION("""COMPUTED_VALUE"""),"/upsc-gs-foundation-hinglish-target-2027-gsf-upsc-e04-orn")</f>
        <v>/upsc-gs-foundation-hinglish-target-2027-gsf-upsc-e04-orn</v>
      </c>
      <c r="R600" s="124" t="str">
        <f>IFERROR(__xludf.DUMMYFUNCTION("""COMPUTED_VALUE"""),"GS Foundation Course")</f>
        <v>GS Foundation Course</v>
      </c>
      <c r="S600" s="124">
        <f>IFERROR(__xludf.DUMMYFUNCTION("""COMPUTED_VALUE"""),6.394479541E9)</f>
        <v>6394479541</v>
      </c>
      <c r="T600" s="124" t="str">
        <f>IFERROR(__xludf.DUMMYFUNCTION("""COMPUTED_VALUE"""),"Not Available")</f>
        <v>Not Available</v>
      </c>
      <c r="U600" s="124" t="str">
        <f>IFERROR(__xludf.DUMMYFUNCTION("""COMPUTED_VALUE"""),"Not Available")</f>
        <v>Not Available</v>
      </c>
      <c r="V600" s="124" t="str">
        <f>IFERROR(__xludf.DUMMYFUNCTION("""COMPUTED_VALUE"""),"Not Available")</f>
        <v>Not Available</v>
      </c>
      <c r="W600" s="124" t="str">
        <f>IFERROR(__xludf.DUMMYFUNCTION("""COMPUTED_VALUE"""),"Not Available")</f>
        <v>Not Available</v>
      </c>
    </row>
    <row r="601">
      <c r="A601" s="124" t="str">
        <f t="shared" si="1"/>
        <v>kajalkumariabhis@gmail.com</v>
      </c>
      <c r="B601" s="131">
        <f>IFERROR(__xludf.DUMMYFUNCTION("""COMPUTED_VALUE"""),46081.0)</f>
        <v>46081</v>
      </c>
      <c r="C601" s="124" t="str">
        <f>IFERROR(__xludf.DUMMYFUNCTION("""COMPUTED_VALUE"""),"Payment data from Collexo")</f>
        <v>Payment data from Collexo</v>
      </c>
      <c r="D601" s="124" t="str">
        <f>IFERROR(__xludf.DUMMYFUNCTION("""COMPUTED_VALUE"""),"Not Available")</f>
        <v>Not Available</v>
      </c>
      <c r="E601" s="124">
        <f>IFERROR(__xludf.DUMMYFUNCTION("""COMPUTED_VALUE"""),1500611.0)</f>
        <v>1500611</v>
      </c>
      <c r="F601" s="124">
        <f>IFERROR(__xludf.DUMMYFUNCTION("""COMPUTED_VALUE"""),124709.0)</f>
        <v>124709</v>
      </c>
      <c r="G601" s="124">
        <f>IFERROR(__xludf.DUMMYFUNCTION("""COMPUTED_VALUE"""),36000.0)</f>
        <v>36000</v>
      </c>
      <c r="H601" s="124" t="str">
        <f>IFERROR(__xludf.DUMMYFUNCTION("""COMPUTED_VALUE"""),"Not Available")</f>
        <v>Not Available</v>
      </c>
      <c r="I601" s="124">
        <f>IFERROR(__xludf.DUMMYFUNCTION("""COMPUTED_VALUE"""),0.0)</f>
        <v>0</v>
      </c>
      <c r="J601" s="124">
        <f>IFERROR(__xludf.DUMMYFUNCTION("""COMPUTED_VALUE"""),40000.0)</f>
        <v>40000</v>
      </c>
      <c r="K601" s="124">
        <f>IFERROR(__xludf.DUMMYFUNCTION("""COMPUTED_VALUE"""),2.0)</f>
        <v>2</v>
      </c>
      <c r="L601" s="124">
        <f>IFERROR(__xludf.DUMMYFUNCTION("""COMPUTED_VALUE"""),384.0)</f>
        <v>384</v>
      </c>
      <c r="M601" s="124" t="str">
        <f>IFERROR(__xludf.DUMMYFUNCTION("""COMPUTED_VALUE"""),"Patna")</f>
        <v>Patna</v>
      </c>
      <c r="N601" s="124" t="str">
        <f>IFERROR(__xludf.DUMMYFUNCTION("""COMPUTED_VALUE"""),"kajalkumariabhis@gmail.com")</f>
        <v>kajalkumariabhis@gmail.com</v>
      </c>
      <c r="O601" s="124" t="str">
        <f>IFERROR(__xludf.DUMMYFUNCTION("""COMPUTED_VALUE"""),"Kajal kumari")</f>
        <v>Kajal kumari</v>
      </c>
      <c r="P601" s="124">
        <f>IFERROR(__xludf.DUMMYFUNCTION("""COMPUTED_VALUE"""),124709.0)</f>
        <v>124709</v>
      </c>
      <c r="Q601" s="124" t="str">
        <f>IFERROR(__xludf.DUMMYFUNCTION("""COMPUTED_VALUE"""),"bpsc-gs-foundation-hindi-target-2026-gsf-bpsc-m02-pat")</f>
        <v>bpsc-gs-foundation-hindi-target-2026-gsf-bpsc-m02-pat</v>
      </c>
      <c r="R601" s="124" t="str">
        <f>IFERROR(__xludf.DUMMYFUNCTION("""COMPUTED_VALUE"""),"State PCS")</f>
        <v>State PCS</v>
      </c>
      <c r="S601" s="124">
        <f>IFERROR(__xludf.DUMMYFUNCTION("""COMPUTED_VALUE"""),9.153765437E9)</f>
        <v>9153765437</v>
      </c>
      <c r="T601" s="124" t="str">
        <f>IFERROR(__xludf.DUMMYFUNCTION("""COMPUTED_VALUE"""),"Not Available")</f>
        <v>Not Available</v>
      </c>
      <c r="U601" s="124" t="str">
        <f>IFERROR(__xludf.DUMMYFUNCTION("""COMPUTED_VALUE"""),"Not Available")</f>
        <v>Not Available</v>
      </c>
      <c r="V601" s="124" t="str">
        <f>IFERROR(__xludf.DUMMYFUNCTION("""COMPUTED_VALUE"""),"Not Available")</f>
        <v>Not Available</v>
      </c>
      <c r="W601" s="124" t="str">
        <f>IFERROR(__xludf.DUMMYFUNCTION("""COMPUTED_VALUE"""),"Not Available")</f>
        <v>Not Available</v>
      </c>
    </row>
    <row r="602">
      <c r="A602" s="124" t="str">
        <f t="shared" si="1"/>
        <v>mandavisinghgharwarbarokhar@gmail.com</v>
      </c>
      <c r="B602" s="131">
        <f>IFERROR(__xludf.DUMMYFUNCTION("""COMPUTED_VALUE"""),46079.0)</f>
        <v>46079</v>
      </c>
      <c r="C602" s="124" t="str">
        <f>IFERROR(__xludf.DUMMYFUNCTION("""COMPUTED_VALUE"""),"Payment data from Collexo")</f>
        <v>Payment data from Collexo</v>
      </c>
      <c r="D602" s="124" t="str">
        <f>IFERROR(__xludf.DUMMYFUNCTION("""COMPUTED_VALUE"""),"Not Available")</f>
        <v>Not Available</v>
      </c>
      <c r="E602" s="124">
        <f>IFERROR(__xludf.DUMMYFUNCTION("""COMPUTED_VALUE"""),1500613.0)</f>
        <v>1500613</v>
      </c>
      <c r="F602" s="124">
        <f>IFERROR(__xludf.DUMMYFUNCTION("""COMPUTED_VALUE"""),124070.0)</f>
        <v>124070</v>
      </c>
      <c r="G602" s="124">
        <f>IFERROR(__xludf.DUMMYFUNCTION("""COMPUTED_VALUE"""),25000.0)</f>
        <v>25000</v>
      </c>
      <c r="H602" s="131">
        <f>IFERROR(__xludf.DUMMYFUNCTION("""COMPUTED_VALUE"""),46079.0)</f>
        <v>46079</v>
      </c>
      <c r="I602" s="124">
        <f>IFERROR(__xludf.DUMMYFUNCTION("""COMPUTED_VALUE"""),5000.0)</f>
        <v>5000</v>
      </c>
      <c r="J602" s="124">
        <f>IFERROR(__xludf.DUMMYFUNCTION("""COMPUTED_VALUE"""),40000.0)</f>
        <v>40000</v>
      </c>
      <c r="K602" s="124">
        <f>IFERROR(__xludf.DUMMYFUNCTION("""COMPUTED_VALUE"""),3.0)</f>
        <v>3</v>
      </c>
      <c r="L602" s="124">
        <f>IFERROR(__xludf.DUMMYFUNCTION("""COMPUTED_VALUE"""),354.0)</f>
        <v>354</v>
      </c>
      <c r="M602" s="124" t="str">
        <f>IFERROR(__xludf.DUMMYFUNCTION("""COMPUTED_VALUE"""),"Prayagraj")</f>
        <v>Prayagraj</v>
      </c>
      <c r="N602" s="124" t="str">
        <f>IFERROR(__xludf.DUMMYFUNCTION("""COMPUTED_VALUE"""),"mandavisinghgharwarbarokhar@gmail.com")</f>
        <v>mandavisinghgharwarbarokhar@gmail.com</v>
      </c>
      <c r="O602" s="124" t="str">
        <f>IFERROR(__xludf.DUMMYFUNCTION("""COMPUTED_VALUE"""),"Mandavi Singh")</f>
        <v>Mandavi Singh</v>
      </c>
      <c r="P602" s="124">
        <f>IFERROR(__xludf.DUMMYFUNCTION("""COMPUTED_VALUE"""),124070.0)</f>
        <v>124070</v>
      </c>
      <c r="Q602" s="124" t="str">
        <f>IFERROR(__xludf.DUMMYFUNCTION("""COMPUTED_VALUE"""),"upsc-gs-foundation-hindi-target-2027-gsf-upsc-m02-pry")</f>
        <v>upsc-gs-foundation-hindi-target-2027-gsf-upsc-m02-pry</v>
      </c>
      <c r="R602" s="124" t="str">
        <f>IFERROR(__xludf.DUMMYFUNCTION("""COMPUTED_VALUE"""),"GS Foundation Course")</f>
        <v>GS Foundation Course</v>
      </c>
      <c r="S602" s="124">
        <f>IFERROR(__xludf.DUMMYFUNCTION("""COMPUTED_VALUE"""),7.307431916E9)</f>
        <v>7307431916</v>
      </c>
      <c r="T602" s="124" t="str">
        <f>IFERROR(__xludf.DUMMYFUNCTION("""COMPUTED_VALUE"""),"Not Available")</f>
        <v>Not Available</v>
      </c>
      <c r="U602" s="124" t="str">
        <f>IFERROR(__xludf.DUMMYFUNCTION("""COMPUTED_VALUE"""),"Not Available")</f>
        <v>Not Available</v>
      </c>
      <c r="V602" s="124" t="str">
        <f>IFERROR(__xludf.DUMMYFUNCTION("""COMPUTED_VALUE"""),"Not Available")</f>
        <v>Not Available</v>
      </c>
      <c r="W602" s="124" t="str">
        <f>IFERROR(__xludf.DUMMYFUNCTION("""COMPUTED_VALUE"""),"Not Available")</f>
        <v>Not Available</v>
      </c>
    </row>
    <row r="603">
      <c r="A603" s="124" t="str">
        <f t="shared" si="1"/>
        <v>devansh.nitbhopal@gmail.com</v>
      </c>
      <c r="B603" s="131">
        <f>IFERROR(__xludf.DUMMYFUNCTION("""COMPUTED_VALUE"""),46083.0)</f>
        <v>46083</v>
      </c>
      <c r="C603" s="124" t="str">
        <f>IFERROR(__xludf.DUMMYFUNCTION("""COMPUTED_VALUE"""),"Payment data from Collexo")</f>
        <v>Payment data from Collexo</v>
      </c>
      <c r="D603" s="124" t="str">
        <f>IFERROR(__xludf.DUMMYFUNCTION("""COMPUTED_VALUE"""),"Not Available")</f>
        <v>Not Available</v>
      </c>
      <c r="E603" s="124">
        <f>IFERROR(__xludf.DUMMYFUNCTION("""COMPUTED_VALUE"""),1500612.0)</f>
        <v>1500612</v>
      </c>
      <c r="F603" s="124">
        <f>IFERROR(__xludf.DUMMYFUNCTION("""COMPUTED_VALUE"""),125459.0)</f>
        <v>125459</v>
      </c>
      <c r="G603" s="124">
        <f>IFERROR(__xludf.DUMMYFUNCTION("""COMPUTED_VALUE"""),2000.0)</f>
        <v>2000</v>
      </c>
      <c r="H603" s="131">
        <f>IFERROR(__xludf.DUMMYFUNCTION("""COMPUTED_VALUE"""),46096.0)</f>
        <v>46096</v>
      </c>
      <c r="I603" s="124">
        <f>IFERROR(__xludf.DUMMYFUNCTION("""COMPUTED_VALUE"""),68000.0)</f>
        <v>68000</v>
      </c>
      <c r="J603" s="124">
        <f>IFERROR(__xludf.DUMMYFUNCTION("""COMPUTED_VALUE"""),70000.0)</f>
        <v>70000</v>
      </c>
      <c r="K603" s="124">
        <f>IFERROR(__xludf.DUMMYFUNCTION("""COMPUTED_VALUE"""),2.0)</f>
        <v>2</v>
      </c>
      <c r="L603" s="124">
        <f>IFERROR(__xludf.DUMMYFUNCTION("""COMPUTED_VALUE"""),408.0)</f>
        <v>408</v>
      </c>
      <c r="M603" s="124" t="str">
        <f>IFERROR(__xludf.DUMMYFUNCTION("""COMPUTED_VALUE"""),"Indore")</f>
        <v>Indore</v>
      </c>
      <c r="N603" s="124" t="str">
        <f>IFERROR(__xludf.DUMMYFUNCTION("""COMPUTED_VALUE"""),"devansh.nitbhopal@gmail.com")</f>
        <v>devansh.nitbhopal@gmail.com</v>
      </c>
      <c r="O603" s="124" t="str">
        <f>IFERROR(__xludf.DUMMYFUNCTION("""COMPUTED_VALUE"""),"Devansh Bhargava")</f>
        <v>Devansh Bhargava</v>
      </c>
      <c r="P603" s="124">
        <f>IFERROR(__xludf.DUMMYFUNCTION("""COMPUTED_VALUE"""),125459.0)</f>
        <v>125459</v>
      </c>
      <c r="Q603" s="124" t="str">
        <f>IFERROR(__xludf.DUMMYFUNCTION("""COMPUTED_VALUE"""),"upsc-gs-foundation-hinglish-target-2027-gsf-upsc-m02-ind")</f>
        <v>upsc-gs-foundation-hinglish-target-2027-gsf-upsc-m02-ind</v>
      </c>
      <c r="R603" s="124" t="str">
        <f>IFERROR(__xludf.DUMMYFUNCTION("""COMPUTED_VALUE"""),"GS Foundation Course")</f>
        <v>GS Foundation Course</v>
      </c>
      <c r="S603" s="124">
        <f>IFERROR(__xludf.DUMMYFUNCTION("""COMPUTED_VALUE"""),9.993110506E9)</f>
        <v>9993110506</v>
      </c>
      <c r="T603" s="124" t="str">
        <f>IFERROR(__xludf.DUMMYFUNCTION("""COMPUTED_VALUE"""),"Not Available")</f>
        <v>Not Available</v>
      </c>
      <c r="U603" s="124" t="str">
        <f>IFERROR(__xludf.DUMMYFUNCTION("""COMPUTED_VALUE"""),"Not Available")</f>
        <v>Not Available</v>
      </c>
      <c r="V603" s="124" t="str">
        <f>IFERROR(__xludf.DUMMYFUNCTION("""COMPUTED_VALUE"""),"Not Available")</f>
        <v>Not Available</v>
      </c>
      <c r="W603" s="124" t="str">
        <f>IFERROR(__xludf.DUMMYFUNCTION("""COMPUTED_VALUE"""),"Not Available")</f>
        <v>Not Available</v>
      </c>
    </row>
    <row r="604">
      <c r="A604" s="124" t="str">
        <f t="shared" si="1"/>
        <v>archananishi8955@gmail.com</v>
      </c>
      <c r="B604" s="131">
        <f>IFERROR(__xludf.DUMMYFUNCTION("""COMPUTED_VALUE"""),46091.0)</f>
        <v>46091</v>
      </c>
      <c r="C604" s="124" t="str">
        <f>IFERROR(__xludf.DUMMYFUNCTION("""COMPUTED_VALUE"""),"Payment data from Collexo")</f>
        <v>Payment data from Collexo</v>
      </c>
      <c r="D604" s="124" t="str">
        <f>IFERROR(__xludf.DUMMYFUNCTION("""COMPUTED_VALUE"""),"Not Available")</f>
        <v>Not Available</v>
      </c>
      <c r="E604" s="124">
        <f>IFERROR(__xludf.DUMMYFUNCTION("""COMPUTED_VALUE"""),1500613.0)</f>
        <v>1500613</v>
      </c>
      <c r="F604" s="124">
        <f>IFERROR(__xludf.DUMMYFUNCTION("""COMPUTED_VALUE"""),56568.0)</f>
        <v>56568</v>
      </c>
      <c r="G604" s="124">
        <f>IFERROR(__xludf.DUMMYFUNCTION("""COMPUTED_VALUE"""),1000.0)</f>
        <v>1000</v>
      </c>
      <c r="H604" s="131">
        <f>IFERROR(__xludf.DUMMYFUNCTION("""COMPUTED_VALUE"""),46098.0)</f>
        <v>46098</v>
      </c>
      <c r="I604" s="124">
        <f>IFERROR(__xludf.DUMMYFUNCTION("""COMPUTED_VALUE"""),33000.0)</f>
        <v>33000</v>
      </c>
      <c r="J604" s="124">
        <f>IFERROR(__xludf.DUMMYFUNCTION("""COMPUTED_VALUE"""),34000.0)</f>
        <v>34000</v>
      </c>
      <c r="K604" s="124">
        <f>IFERROR(__xludf.DUMMYFUNCTION("""COMPUTED_VALUE"""),2.0)</f>
        <v>2</v>
      </c>
      <c r="L604" s="124">
        <f>IFERROR(__xludf.DUMMYFUNCTION("""COMPUTED_VALUE"""),479.0)</f>
        <v>479</v>
      </c>
      <c r="M604" s="124" t="str">
        <f>IFERROR(__xludf.DUMMYFUNCTION("""COMPUTED_VALUE"""),"Prayagraj")</f>
        <v>Prayagraj</v>
      </c>
      <c r="N604" s="124" t="str">
        <f>IFERROR(__xludf.DUMMYFUNCTION("""COMPUTED_VALUE"""),"archananishi8955@gmail.com")</f>
        <v>archananishi8955@gmail.com</v>
      </c>
      <c r="O604" s="124" t="str">
        <f>IFERROR(__xludf.DUMMYFUNCTION("""COMPUTED_VALUE"""),"Archana Yadav")</f>
        <v>Archana Yadav</v>
      </c>
      <c r="P604" s="124">
        <f>IFERROR(__xludf.DUMMYFUNCTION("""COMPUTED_VALUE"""),56568.0)</f>
        <v>56568</v>
      </c>
      <c r="Q604" s="124" t="str">
        <f>IFERROR(__xludf.DUMMYFUNCTION("""COMPUTED_VALUE"""),"upsc-gs-foundation-hinglish-target-2027-gsf-upsc-e03-pry")</f>
        <v>upsc-gs-foundation-hinglish-target-2027-gsf-upsc-e03-pry</v>
      </c>
      <c r="R604" s="124" t="str">
        <f>IFERROR(__xludf.DUMMYFUNCTION("""COMPUTED_VALUE"""),"State PCS")</f>
        <v>State PCS</v>
      </c>
      <c r="S604" s="124">
        <f>IFERROR(__xludf.DUMMYFUNCTION("""COMPUTED_VALUE"""),9.170368955E9)</f>
        <v>9170368955</v>
      </c>
      <c r="T604" s="124" t="str">
        <f>IFERROR(__xludf.DUMMYFUNCTION("""COMPUTED_VALUE"""),"Not Available")</f>
        <v>Not Available</v>
      </c>
      <c r="U604" s="124" t="str">
        <f>IFERROR(__xludf.DUMMYFUNCTION("""COMPUTED_VALUE"""),"Not Available")</f>
        <v>Not Available</v>
      </c>
      <c r="V604" s="124" t="str">
        <f>IFERROR(__xludf.DUMMYFUNCTION("""COMPUTED_VALUE"""),"Not Available")</f>
        <v>Not Available</v>
      </c>
      <c r="W604" s="124" t="str">
        <f>IFERROR(__xludf.DUMMYFUNCTION("""COMPUTED_VALUE"""),"Not Available")</f>
        <v>Not Available</v>
      </c>
    </row>
    <row r="605">
      <c r="A605" s="124" t="str">
        <f t="shared" si="1"/>
        <v>mridulporush30@gmail.com</v>
      </c>
      <c r="B605" s="131">
        <f>IFERROR(__xludf.DUMMYFUNCTION("""COMPUTED_VALUE"""),46077.0)</f>
        <v>46077</v>
      </c>
      <c r="C605" s="124" t="str">
        <f>IFERROR(__xludf.DUMMYFUNCTION("""COMPUTED_VALUE"""),"Payment data from Collexo")</f>
        <v>Payment data from Collexo</v>
      </c>
      <c r="D605" s="124" t="str">
        <f>IFERROR(__xludf.DUMMYFUNCTION("""COMPUTED_VALUE"""),"Not Available")</f>
        <v>Not Available</v>
      </c>
      <c r="E605" s="124">
        <f>IFERROR(__xludf.DUMMYFUNCTION("""COMPUTED_VALUE"""),1500609.0)</f>
        <v>1500609</v>
      </c>
      <c r="F605" s="124" t="str">
        <f>IFERROR(__xludf.DUMMYFUNCTION("""COMPUTED_VALUE"""),"10800_988_7")</f>
        <v>10800_988_7</v>
      </c>
      <c r="G605" s="124">
        <f>IFERROR(__xludf.DUMMYFUNCTION("""COMPUTED_VALUE"""),95000.0)</f>
        <v>95000</v>
      </c>
      <c r="H605" s="124" t="str">
        <f>IFERROR(__xludf.DUMMYFUNCTION("""COMPUTED_VALUE"""),"Not Available")</f>
        <v>Not Available</v>
      </c>
      <c r="I605" s="124">
        <f>IFERROR(__xludf.DUMMYFUNCTION("""COMPUTED_VALUE"""),0.0)</f>
        <v>0</v>
      </c>
      <c r="J605" s="124">
        <f>IFERROR(__xludf.DUMMYFUNCTION("""COMPUTED_VALUE"""),105000.0)</f>
        <v>105000</v>
      </c>
      <c r="K605" s="124">
        <f>IFERROR(__xludf.DUMMYFUNCTION("""COMPUTED_VALUE"""),2.0)</f>
        <v>2</v>
      </c>
      <c r="L605" s="124">
        <f>IFERROR(__xludf.DUMMYFUNCTION("""COMPUTED_VALUE"""),332.0)</f>
        <v>332</v>
      </c>
      <c r="M605" s="124" t="str">
        <f>IFERROR(__xludf.DUMMYFUNCTION("""COMPUTED_VALUE"""),"New Delhi")</f>
        <v>New Delhi</v>
      </c>
      <c r="N605" s="124" t="str">
        <f>IFERROR(__xludf.DUMMYFUNCTION("""COMPUTED_VALUE"""),"mridulporush30@gmail.com")</f>
        <v>mridulporush30@gmail.com</v>
      </c>
      <c r="O605" s="124" t="str">
        <f>IFERROR(__xludf.DUMMYFUNCTION("""COMPUTED_VALUE"""),"Mridul singh")</f>
        <v>Mridul singh</v>
      </c>
      <c r="P605" s="124">
        <f>IFERROR(__xludf.DUMMYFUNCTION("""COMPUTED_VALUE"""),120211.0)</f>
        <v>120211</v>
      </c>
      <c r="Q605" s="124" t="str">
        <f>IFERROR(__xludf.DUMMYFUNCTION("""COMPUTED_VALUE"""),"upsc-gs-foundation-hinglish-target-2027-gsf-upsc-m02-orn")</f>
        <v>upsc-gs-foundation-hinglish-target-2027-gsf-upsc-m02-orn</v>
      </c>
      <c r="R605" s="124" t="str">
        <f>IFERROR(__xludf.DUMMYFUNCTION("""COMPUTED_VALUE"""),"GS Foundation Course")</f>
        <v>GS Foundation Course</v>
      </c>
      <c r="S605" s="124">
        <f>IFERROR(__xludf.DUMMYFUNCTION("""COMPUTED_VALUE"""),9.310313641E9)</f>
        <v>9310313641</v>
      </c>
      <c r="T605" s="124" t="str">
        <f>IFERROR(__xludf.DUMMYFUNCTION("""COMPUTED_VALUE"""),"Collexo")</f>
        <v>Collexo</v>
      </c>
      <c r="U605" s="124" t="str">
        <f>IFERROR(__xludf.DUMMYFUNCTION("""COMPUTED_VALUE"""),"Success")</f>
        <v>Success</v>
      </c>
      <c r="V605" s="131">
        <f>IFERROR(__xludf.DUMMYFUNCTION("""COMPUTED_VALUE"""),46077.0)</f>
        <v>46077</v>
      </c>
      <c r="W605" s="124">
        <f>IFERROR(__xludf.DUMMYFUNCTION("""COMPUTED_VALUE"""),0.0)</f>
        <v>0</v>
      </c>
    </row>
    <row r="606">
      <c r="A606" s="124" t="str">
        <f t="shared" si="1"/>
        <v>kushwahsuraj17@gmail.com</v>
      </c>
      <c r="B606" s="131">
        <f>IFERROR(__xludf.DUMMYFUNCTION("""COMPUTED_VALUE"""),46053.0)</f>
        <v>46053</v>
      </c>
      <c r="C606" s="124" t="str">
        <f>IFERROR(__xludf.DUMMYFUNCTION("""COMPUTED_VALUE"""),"Payment data from Collexo")</f>
        <v>Payment data from Collexo</v>
      </c>
      <c r="D606" s="124" t="str">
        <f>IFERROR(__xludf.DUMMYFUNCTION("""COMPUTED_VALUE"""),"Not Available")</f>
        <v>Not Available</v>
      </c>
      <c r="E606" s="124">
        <f>IFERROR(__xludf.DUMMYFUNCTION("""COMPUTED_VALUE"""),1500609.0)</f>
        <v>1500609</v>
      </c>
      <c r="F606" s="124" t="str">
        <f>IFERROR(__xludf.DUMMYFUNCTION("""COMPUTED_VALUE"""),"3291_988_7")</f>
        <v>3291_988_7</v>
      </c>
      <c r="G606" s="124">
        <f>IFERROR(__xludf.DUMMYFUNCTION("""COMPUTED_VALUE"""),25000.0)</f>
        <v>25000</v>
      </c>
      <c r="H606" s="124" t="str">
        <f>IFERROR(__xludf.DUMMYFUNCTION("""COMPUTED_VALUE"""),"Not Available")</f>
        <v>Not Available</v>
      </c>
      <c r="I606" s="124">
        <f>IFERROR(__xludf.DUMMYFUNCTION("""COMPUTED_VALUE"""),0.0)</f>
        <v>0</v>
      </c>
      <c r="J606" s="124">
        <f>IFERROR(__xludf.DUMMYFUNCTION("""COMPUTED_VALUE"""),30000.0)</f>
        <v>30000</v>
      </c>
      <c r="K606" s="124">
        <f>IFERROR(__xludf.DUMMYFUNCTION("""COMPUTED_VALUE"""),2.0)</f>
        <v>2</v>
      </c>
      <c r="L606" s="124">
        <f>IFERROR(__xludf.DUMMYFUNCTION("""COMPUTED_VALUE"""),148.0)</f>
        <v>148</v>
      </c>
      <c r="M606" s="124" t="str">
        <f>IFERROR(__xludf.DUMMYFUNCTION("""COMPUTED_VALUE"""),"New Delhi")</f>
        <v>New Delhi</v>
      </c>
      <c r="N606" s="124" t="str">
        <f>IFERROR(__xludf.DUMMYFUNCTION("""COMPUTED_VALUE"""),"kushwahsuraj17@gmail.com")</f>
        <v>kushwahsuraj17@gmail.com</v>
      </c>
      <c r="O606" s="124" t="str">
        <f>IFERROR(__xludf.DUMMYFUNCTION("""COMPUTED_VALUE"""),"Suraj kushwah")</f>
        <v>Suraj kushwah</v>
      </c>
      <c r="P606" s="124">
        <f>IFERROR(__xludf.DUMMYFUNCTION("""COMPUTED_VALUE"""),111647.0)</f>
        <v>111647</v>
      </c>
      <c r="Q606" s="124" t="str">
        <f>IFERROR(__xludf.DUMMYFUNCTION("""COMPUTED_VALUE"""),"ncert-foundation-hinglish-target-2026-nce-upsc-e02-orn")</f>
        <v>ncert-foundation-hinglish-target-2026-nce-upsc-e02-orn</v>
      </c>
      <c r="R606" s="124" t="str">
        <f>IFERROR(__xludf.DUMMYFUNCTION("""COMPUTED_VALUE"""),"GS Foundation Course")</f>
        <v>GS Foundation Course</v>
      </c>
      <c r="S606" s="124">
        <f>IFERROR(__xludf.DUMMYFUNCTION("""COMPUTED_VALUE"""),9.009637429E9)</f>
        <v>9009637429</v>
      </c>
      <c r="T606" s="124" t="str">
        <f>IFERROR(__xludf.DUMMYFUNCTION("""COMPUTED_VALUE"""),"Not Available")</f>
        <v>Not Available</v>
      </c>
      <c r="U606" s="124" t="str">
        <f>IFERROR(__xludf.DUMMYFUNCTION("""COMPUTED_VALUE"""),"Not Available")</f>
        <v>Not Available</v>
      </c>
      <c r="V606" s="124" t="str">
        <f>IFERROR(__xludf.DUMMYFUNCTION("""COMPUTED_VALUE"""),"Not Available")</f>
        <v>Not Available</v>
      </c>
      <c r="W606" s="124" t="str">
        <f>IFERROR(__xludf.DUMMYFUNCTION("""COMPUTED_VALUE"""),"Not Available")</f>
        <v>Not Available</v>
      </c>
    </row>
    <row r="607">
      <c r="A607" s="124" t="str">
        <f t="shared" si="1"/>
        <v>20muskansharma0712@gmail.com</v>
      </c>
      <c r="B607" s="131">
        <f>IFERROR(__xludf.DUMMYFUNCTION("""COMPUTED_VALUE"""),46097.0)</f>
        <v>46097</v>
      </c>
      <c r="C607" s="124" t="str">
        <f>IFERROR(__xludf.DUMMYFUNCTION("""COMPUTED_VALUE"""),"Payment data from Collexo")</f>
        <v>Payment data from Collexo</v>
      </c>
      <c r="D607" s="124" t="str">
        <f>IFERROR(__xludf.DUMMYFUNCTION("""COMPUTED_VALUE"""),"Not Available")</f>
        <v>Not Available</v>
      </c>
      <c r="E607" s="124">
        <f>IFERROR(__xludf.DUMMYFUNCTION("""COMPUTED_VALUE"""),1500610.0)</f>
        <v>1500610</v>
      </c>
      <c r="F607" s="124">
        <f>IFERROR(__xludf.DUMMYFUNCTION("""COMPUTED_VALUE"""),126082.0)</f>
        <v>126082</v>
      </c>
      <c r="G607" s="124">
        <f>IFERROR(__xludf.DUMMYFUNCTION("""COMPUTED_VALUE"""),25000.0)</f>
        <v>25000</v>
      </c>
      <c r="H607" s="124" t="str">
        <f>IFERROR(__xludf.DUMMYFUNCTION("""COMPUTED_VALUE"""),"Not Available")</f>
        <v>Not Available</v>
      </c>
      <c r="I607" s="124">
        <f>IFERROR(__xludf.DUMMYFUNCTION("""COMPUTED_VALUE"""),0.0)</f>
        <v>0</v>
      </c>
      <c r="J607" s="124">
        <f>IFERROR(__xludf.DUMMYFUNCTION("""COMPUTED_VALUE"""),50000.0)</f>
        <v>50000</v>
      </c>
      <c r="K607" s="124">
        <f>IFERROR(__xludf.DUMMYFUNCTION("""COMPUTED_VALUE"""),3.0)</f>
        <v>3</v>
      </c>
      <c r="L607" s="124">
        <f>IFERROR(__xludf.DUMMYFUNCTION("""COMPUTED_VALUE"""),567.0)</f>
        <v>567</v>
      </c>
      <c r="M607" s="124" t="str">
        <f>IFERROR(__xludf.DUMMYFUNCTION("""COMPUTED_VALUE"""),"Lucknow")</f>
        <v>Lucknow</v>
      </c>
      <c r="N607" s="124" t="str">
        <f>IFERROR(__xludf.DUMMYFUNCTION("""COMPUTED_VALUE"""),"20muskansharma0712@gmail.com")</f>
        <v>20muskansharma0712@gmail.com</v>
      </c>
      <c r="O607" s="124" t="str">
        <f>IFERROR(__xludf.DUMMYFUNCTION("""COMPUTED_VALUE"""),"Muskan Sharma")</f>
        <v>Muskan Sharma</v>
      </c>
      <c r="P607" s="124">
        <f>IFERROR(__xludf.DUMMYFUNCTION("""COMPUTED_VALUE"""),126082.0)</f>
        <v>126082</v>
      </c>
      <c r="Q607" s="124" t="str">
        <f>IFERROR(__xludf.DUMMYFUNCTION("""COMPUTED_VALUE"""),"upsc-gs-foundation-hinglish-target-2028-gsf-upsc-e03-lko")</f>
        <v>upsc-gs-foundation-hinglish-target-2028-gsf-upsc-e03-lko</v>
      </c>
      <c r="R607" s="124" t="str">
        <f>IFERROR(__xludf.DUMMYFUNCTION("""COMPUTED_VALUE"""),"GS Foundation Course")</f>
        <v>GS Foundation Course</v>
      </c>
      <c r="S607" s="124">
        <f>IFERROR(__xludf.DUMMYFUNCTION("""COMPUTED_VALUE"""),7.985779642E9)</f>
        <v>7985779642</v>
      </c>
      <c r="T607" s="124" t="str">
        <f>IFERROR(__xludf.DUMMYFUNCTION("""COMPUTED_VALUE"""),"Not Available")</f>
        <v>Not Available</v>
      </c>
      <c r="U607" s="124" t="str">
        <f>IFERROR(__xludf.DUMMYFUNCTION("""COMPUTED_VALUE"""),"Not Available")</f>
        <v>Not Available</v>
      </c>
      <c r="V607" s="124" t="str">
        <f>IFERROR(__xludf.DUMMYFUNCTION("""COMPUTED_VALUE"""),"Not Available")</f>
        <v>Not Available</v>
      </c>
      <c r="W607" s="124" t="str">
        <f>IFERROR(__xludf.DUMMYFUNCTION("""COMPUTED_VALUE"""),"Not Available")</f>
        <v>Not Available</v>
      </c>
    </row>
    <row r="608">
      <c r="A608" s="124" t="str">
        <f t="shared" si="1"/>
        <v>sarmah.rishiraj01@gmail.com</v>
      </c>
      <c r="B608" s="131">
        <f>IFERROR(__xludf.DUMMYFUNCTION("""COMPUTED_VALUE"""),46087.0)</f>
        <v>46087</v>
      </c>
      <c r="C608" s="124" t="str">
        <f>IFERROR(__xludf.DUMMYFUNCTION("""COMPUTED_VALUE"""),"Payment data from Collexo")</f>
        <v>Payment data from Collexo</v>
      </c>
      <c r="D608" s="124" t="str">
        <f>IFERROR(__xludf.DUMMYFUNCTION("""COMPUTED_VALUE"""),"Not Available")</f>
        <v>Not Available</v>
      </c>
      <c r="E608" s="124">
        <f>IFERROR(__xludf.DUMMYFUNCTION("""COMPUTED_VALUE"""),1500609.0)</f>
        <v>1500609</v>
      </c>
      <c r="F608" s="124" t="str">
        <f>IFERROR(__xludf.DUMMYFUNCTION("""COMPUTED_VALUE"""),"12857_988_7")</f>
        <v>12857_988_7</v>
      </c>
      <c r="G608" s="124">
        <f>IFERROR(__xludf.DUMMYFUNCTION("""COMPUTED_VALUE"""),2000.0)</f>
        <v>2000</v>
      </c>
      <c r="H608" s="131">
        <f>IFERROR(__xludf.DUMMYFUNCTION("""COMPUTED_VALUE"""),46088.0)</f>
        <v>46088</v>
      </c>
      <c r="I608" s="124">
        <f>IFERROR(__xludf.DUMMYFUNCTION("""COMPUTED_VALUE"""),103000.0)</f>
        <v>103000</v>
      </c>
      <c r="J608" s="124">
        <f>IFERROR(__xludf.DUMMYFUNCTION("""COMPUTED_VALUE"""),105000.0)</f>
        <v>105000</v>
      </c>
      <c r="K608" s="124">
        <f>IFERROR(__xludf.DUMMYFUNCTION("""COMPUTED_VALUE"""),2.0)</f>
        <v>2</v>
      </c>
      <c r="L608" s="124">
        <f>IFERROR(__xludf.DUMMYFUNCTION("""COMPUTED_VALUE"""),423.0)</f>
        <v>423</v>
      </c>
      <c r="M608" s="124" t="str">
        <f>IFERROR(__xludf.DUMMYFUNCTION("""COMPUTED_VALUE"""),"New Delhi")</f>
        <v>New Delhi</v>
      </c>
      <c r="N608" s="124" t="str">
        <f>IFERROR(__xludf.DUMMYFUNCTION("""COMPUTED_VALUE"""),"sarmah.rishiraj01@gmail.com")</f>
        <v>sarmah.rishiraj01@gmail.com</v>
      </c>
      <c r="O608" s="124" t="str">
        <f>IFERROR(__xludf.DUMMYFUNCTION("""COMPUTED_VALUE"""),"Rishiraj sharma")</f>
        <v>Rishiraj sharma</v>
      </c>
      <c r="P608" s="124">
        <f>IFERROR(__xludf.DUMMYFUNCTION("""COMPUTED_VALUE"""),125506.0)</f>
        <v>125506</v>
      </c>
      <c r="Q608" s="124" t="str">
        <f>IFERROR(__xludf.DUMMYFUNCTION("""COMPUTED_VALUE"""),"upsc-gs-foundation-hinglish-target-2027-gsf-upsc-e05-orn")</f>
        <v>upsc-gs-foundation-hinglish-target-2027-gsf-upsc-e05-orn</v>
      </c>
      <c r="R608" s="124" t="str">
        <f>IFERROR(__xludf.DUMMYFUNCTION("""COMPUTED_VALUE"""),"GS Foundation Course")</f>
        <v>GS Foundation Course</v>
      </c>
      <c r="S608" s="124">
        <f>IFERROR(__xludf.DUMMYFUNCTION("""COMPUTED_VALUE"""),7.636072099E9)</f>
        <v>7636072099</v>
      </c>
      <c r="T608" s="124" t="str">
        <f>IFERROR(__xludf.DUMMYFUNCTION("""COMPUTED_VALUE"""),"Collexo")</f>
        <v>Collexo</v>
      </c>
      <c r="U608" s="124" t="str">
        <f>IFERROR(__xludf.DUMMYFUNCTION("""COMPUTED_VALUE"""),"Success")</f>
        <v>Success</v>
      </c>
      <c r="V608" s="131">
        <f>IFERROR(__xludf.DUMMYFUNCTION("""COMPUTED_VALUE"""),46087.0)</f>
        <v>46087</v>
      </c>
      <c r="W608" s="124">
        <f>IFERROR(__xludf.DUMMYFUNCTION("""COMPUTED_VALUE"""),0.0)</f>
        <v>0</v>
      </c>
    </row>
    <row r="609">
      <c r="A609" s="124" t="str">
        <f t="shared" si="1"/>
        <v>anannyahazarika396@gmail.com</v>
      </c>
      <c r="B609" s="131">
        <f>IFERROR(__xludf.DUMMYFUNCTION("""COMPUTED_VALUE"""),46090.0)</f>
        <v>46090</v>
      </c>
      <c r="C609" s="124" t="str">
        <f>IFERROR(__xludf.DUMMYFUNCTION("""COMPUTED_VALUE"""),"Payment data from Collexo")</f>
        <v>Payment data from Collexo</v>
      </c>
      <c r="D609" s="124" t="str">
        <f>IFERROR(__xludf.DUMMYFUNCTION("""COMPUTED_VALUE"""),"Not Available")</f>
        <v>Not Available</v>
      </c>
      <c r="E609" s="124">
        <f>IFERROR(__xludf.DUMMYFUNCTION("""COMPUTED_VALUE"""),1500609.0)</f>
        <v>1500609</v>
      </c>
      <c r="F609" s="124" t="str">
        <f>IFERROR(__xludf.DUMMYFUNCTION("""COMPUTED_VALUE"""),"13272_988_7")</f>
        <v>13272_988_7</v>
      </c>
      <c r="G609" s="124">
        <f>IFERROR(__xludf.DUMMYFUNCTION("""COMPUTED_VALUE"""),92000.0)</f>
        <v>92000</v>
      </c>
      <c r="H609" s="131">
        <f>IFERROR(__xludf.DUMMYFUNCTION("""COMPUTED_VALUE"""),46112.0)</f>
        <v>46112</v>
      </c>
      <c r="I609" s="124">
        <f>IFERROR(__xludf.DUMMYFUNCTION("""COMPUTED_VALUE"""),18000.0)</f>
        <v>18000</v>
      </c>
      <c r="J609" s="124">
        <f>IFERROR(__xludf.DUMMYFUNCTION("""COMPUTED_VALUE"""),115000.0)</f>
        <v>115000</v>
      </c>
      <c r="K609" s="124">
        <f>IFERROR(__xludf.DUMMYFUNCTION("""COMPUTED_VALUE"""),3.0)</f>
        <v>3</v>
      </c>
      <c r="L609" s="124">
        <f>IFERROR(__xludf.DUMMYFUNCTION("""COMPUTED_VALUE"""),460.0)</f>
        <v>460</v>
      </c>
      <c r="M609" s="124" t="str">
        <f>IFERROR(__xludf.DUMMYFUNCTION("""COMPUTED_VALUE"""),"New Delhi")</f>
        <v>New Delhi</v>
      </c>
      <c r="N609" s="124" t="str">
        <f>IFERROR(__xludf.DUMMYFUNCTION("""COMPUTED_VALUE"""),"anannyahazarika396@gmail.com")</f>
        <v>anannyahazarika396@gmail.com</v>
      </c>
      <c r="O609" s="124" t="str">
        <f>IFERROR(__xludf.DUMMYFUNCTION("""COMPUTED_VALUE"""),"Anannya")</f>
        <v>Anannya</v>
      </c>
      <c r="P609" s="124">
        <f>IFERROR(__xludf.DUMMYFUNCTION("""COMPUTED_VALUE"""),124311.0)</f>
        <v>124311</v>
      </c>
      <c r="Q609" s="124" t="str">
        <f>IFERROR(__xludf.DUMMYFUNCTION("""COMPUTED_VALUE"""),"-")</f>
        <v>-</v>
      </c>
      <c r="R609" s="124" t="str">
        <f>IFERROR(__xludf.DUMMYFUNCTION("""COMPUTED_VALUE"""),"GS Foundation Course")</f>
        <v>GS Foundation Course</v>
      </c>
      <c r="S609" s="124">
        <f>IFERROR(__xludf.DUMMYFUNCTION("""COMPUTED_VALUE"""),9.957591623E9)</f>
        <v>9957591623</v>
      </c>
      <c r="T609" s="124" t="str">
        <f>IFERROR(__xludf.DUMMYFUNCTION("""COMPUTED_VALUE"""),"Collexo")</f>
        <v>Collexo</v>
      </c>
      <c r="U609" s="124" t="str">
        <f>IFERROR(__xludf.DUMMYFUNCTION("""COMPUTED_VALUE"""),"Success")</f>
        <v>Success</v>
      </c>
      <c r="V609" s="131">
        <f>IFERROR(__xludf.DUMMYFUNCTION("""COMPUTED_VALUE"""),46090.0)</f>
        <v>46090</v>
      </c>
      <c r="W609" s="124">
        <f>IFERROR(__xludf.DUMMYFUNCTION("""COMPUTED_VALUE"""),0.0)</f>
        <v>0</v>
      </c>
    </row>
    <row r="610">
      <c r="A610" s="124" t="str">
        <f t="shared" si="1"/>
        <v>yadavvedansh07@gmail.com</v>
      </c>
      <c r="B610" s="131">
        <f>IFERROR(__xludf.DUMMYFUNCTION("""COMPUTED_VALUE"""),46091.0)</f>
        <v>46091</v>
      </c>
      <c r="C610" s="124" t="str">
        <f>IFERROR(__xludf.DUMMYFUNCTION("""COMPUTED_VALUE"""),"Payment data from Collexo")</f>
        <v>Payment data from Collexo</v>
      </c>
      <c r="D610" s="124" t="str">
        <f>IFERROR(__xludf.DUMMYFUNCTION("""COMPUTED_VALUE"""),"Not Available")</f>
        <v>Not Available</v>
      </c>
      <c r="E610" s="124">
        <f>IFERROR(__xludf.DUMMYFUNCTION("""COMPUTED_VALUE"""),1500609.0)</f>
        <v>1500609</v>
      </c>
      <c r="F610" s="124" t="str">
        <f>IFERROR(__xludf.DUMMYFUNCTION("""COMPUTED_VALUE"""),"13438_988_7")</f>
        <v>13438_988_7</v>
      </c>
      <c r="G610" s="124">
        <f>IFERROR(__xludf.DUMMYFUNCTION("""COMPUTED_VALUE"""),80000.0)</f>
        <v>80000</v>
      </c>
      <c r="H610" s="131">
        <f>IFERROR(__xludf.DUMMYFUNCTION("""COMPUTED_VALUE"""),46105.0)</f>
        <v>46105</v>
      </c>
      <c r="I610" s="124">
        <f>IFERROR(__xludf.DUMMYFUNCTION("""COMPUTED_VALUE"""),45000.0)</f>
        <v>45000</v>
      </c>
      <c r="J610" s="124">
        <f>IFERROR(__xludf.DUMMYFUNCTION("""COMPUTED_VALUE"""),130000.0)</f>
        <v>130000</v>
      </c>
      <c r="K610" s="124">
        <f>IFERROR(__xludf.DUMMYFUNCTION("""COMPUTED_VALUE"""),3.0)</f>
        <v>3</v>
      </c>
      <c r="L610" s="124">
        <f>IFERROR(__xludf.DUMMYFUNCTION("""COMPUTED_VALUE"""),467.0)</f>
        <v>467</v>
      </c>
      <c r="M610" s="124" t="str">
        <f>IFERROR(__xludf.DUMMYFUNCTION("""COMPUTED_VALUE"""),"New Delhi")</f>
        <v>New Delhi</v>
      </c>
      <c r="N610" s="124" t="str">
        <f>IFERROR(__xludf.DUMMYFUNCTION("""COMPUTED_VALUE"""),"yadavvedansh07@gmail.com")</f>
        <v>yadavvedansh07@gmail.com</v>
      </c>
      <c r="O610" s="124" t="str">
        <f>IFERROR(__xludf.DUMMYFUNCTION("""COMPUTED_VALUE"""),"Vedansh Yadav")</f>
        <v>Vedansh Yadav</v>
      </c>
      <c r="P610" s="124">
        <f>IFERROR(__xludf.DUMMYFUNCTION("""COMPUTED_VALUE"""),126071.0)</f>
        <v>126071</v>
      </c>
      <c r="Q610" s="124" t="str">
        <f>IFERROR(__xludf.DUMMYFUNCTION("""COMPUTED_VALUE"""),"upsc-gs-foundation-hinglish-target-2028-gsf-upsc-m05-orn")</f>
        <v>upsc-gs-foundation-hinglish-target-2028-gsf-upsc-m05-orn</v>
      </c>
      <c r="R610" s="124" t="str">
        <f>IFERROR(__xludf.DUMMYFUNCTION("""COMPUTED_VALUE"""),"GS Foundation Course")</f>
        <v>GS Foundation Course</v>
      </c>
      <c r="S610" s="124">
        <f>IFERROR(__xludf.DUMMYFUNCTION("""COMPUTED_VALUE"""),9.22058126E9)</f>
        <v>9220581260</v>
      </c>
      <c r="T610" s="124" t="str">
        <f>IFERROR(__xludf.DUMMYFUNCTION("""COMPUTED_VALUE"""),"Collexo")</f>
        <v>Collexo</v>
      </c>
      <c r="U610" s="124" t="str">
        <f>IFERROR(__xludf.DUMMYFUNCTION("""COMPUTED_VALUE"""),"Success")</f>
        <v>Success</v>
      </c>
      <c r="V610" s="131">
        <f>IFERROR(__xludf.DUMMYFUNCTION("""COMPUTED_VALUE"""),46091.0)</f>
        <v>46091</v>
      </c>
      <c r="W610" s="124">
        <f>IFERROR(__xludf.DUMMYFUNCTION("""COMPUTED_VALUE"""),0.0)</f>
        <v>0</v>
      </c>
    </row>
    <row r="611">
      <c r="A611" s="124" t="str">
        <f t="shared" si="1"/>
        <v>kinkarkkumarpandey@gmail.com</v>
      </c>
      <c r="B611" s="131">
        <f>IFERROR(__xludf.DUMMYFUNCTION("""COMPUTED_VALUE"""),46102.0)</f>
        <v>46102</v>
      </c>
      <c r="C611" s="124" t="str">
        <f>IFERROR(__xludf.DUMMYFUNCTION("""COMPUTED_VALUE"""),"Payment data from Collexo")</f>
        <v>Payment data from Collexo</v>
      </c>
      <c r="D611" s="124" t="str">
        <f>IFERROR(__xludf.DUMMYFUNCTION("""COMPUTED_VALUE"""),"Not Available")</f>
        <v>Not Available</v>
      </c>
      <c r="E611" s="124">
        <f>IFERROR(__xludf.DUMMYFUNCTION("""COMPUTED_VALUE"""),1500613.0)</f>
        <v>1500613</v>
      </c>
      <c r="F611" s="124">
        <f>IFERROR(__xludf.DUMMYFUNCTION("""COMPUTED_VALUE"""),129422.0)</f>
        <v>129422</v>
      </c>
      <c r="G611" s="124">
        <f>IFERROR(__xludf.DUMMYFUNCTION("""COMPUTED_VALUE"""),37485.0)</f>
        <v>37485</v>
      </c>
      <c r="H611" s="124" t="str">
        <f>IFERROR(__xludf.DUMMYFUNCTION("""COMPUTED_VALUE"""),"Not Available")</f>
        <v>Not Available</v>
      </c>
      <c r="I611" s="124">
        <f>IFERROR(__xludf.DUMMYFUNCTION("""COMPUTED_VALUE"""),0.0)</f>
        <v>0</v>
      </c>
      <c r="J611" s="124">
        <f>IFERROR(__xludf.DUMMYFUNCTION("""COMPUTED_VALUE"""),45000.0)</f>
        <v>45000</v>
      </c>
      <c r="K611" s="124">
        <f>IFERROR(__xludf.DUMMYFUNCTION("""COMPUTED_VALUE"""),3.0)</f>
        <v>3</v>
      </c>
      <c r="L611" s="124">
        <f>IFERROR(__xludf.DUMMYFUNCTION("""COMPUTED_VALUE"""),661.0)</f>
        <v>661</v>
      </c>
      <c r="M611" s="124" t="str">
        <f>IFERROR(__xludf.DUMMYFUNCTION("""COMPUTED_VALUE"""),"Prayagraj")</f>
        <v>Prayagraj</v>
      </c>
      <c r="N611" s="124" t="str">
        <f>IFERROR(__xludf.DUMMYFUNCTION("""COMPUTED_VALUE"""),"kinkarkkumarpandey@gmail.com")</f>
        <v>kinkarkkumarpandey@gmail.com</v>
      </c>
      <c r="O611" s="124" t="str">
        <f>IFERROR(__xludf.DUMMYFUNCTION("""COMPUTED_VALUE"""),"Nandita pandey")</f>
        <v>Nandita pandey</v>
      </c>
      <c r="P611" s="124">
        <f>IFERROR(__xludf.DUMMYFUNCTION("""COMPUTED_VALUE"""),129422.0)</f>
        <v>129422</v>
      </c>
      <c r="Q611" s="124" t="str">
        <f>IFERROR(__xludf.DUMMYFUNCTION("""COMPUTED_VALUE"""),"upsc-gs-foundation-hinglish-target-2027-gsf-upsc-e03-pry")</f>
        <v>upsc-gs-foundation-hinglish-target-2027-gsf-upsc-e03-pry</v>
      </c>
      <c r="R611" s="124" t="str">
        <f>IFERROR(__xludf.DUMMYFUNCTION("""COMPUTED_VALUE"""),"GS Foundation Course")</f>
        <v>GS Foundation Course</v>
      </c>
      <c r="S611" s="124">
        <f>IFERROR(__xludf.DUMMYFUNCTION("""COMPUTED_VALUE"""),8.400954509E9)</f>
        <v>8400954509</v>
      </c>
      <c r="T611" s="124" t="str">
        <f>IFERROR(__xludf.DUMMYFUNCTION("""COMPUTED_VALUE"""),"Not Available")</f>
        <v>Not Available</v>
      </c>
      <c r="U611" s="124" t="str">
        <f>IFERROR(__xludf.DUMMYFUNCTION("""COMPUTED_VALUE"""),"Not Available")</f>
        <v>Not Available</v>
      </c>
      <c r="V611" s="124" t="str">
        <f>IFERROR(__xludf.DUMMYFUNCTION("""COMPUTED_VALUE"""),"Not Available")</f>
        <v>Not Available</v>
      </c>
      <c r="W611" s="124" t="str">
        <f>IFERROR(__xludf.DUMMYFUNCTION("""COMPUTED_VALUE"""),"Not Available")</f>
        <v>Not Available</v>
      </c>
    </row>
    <row r="612">
      <c r="A612" s="124" t="str">
        <f t="shared" si="1"/>
        <v>tanupriyanisha3117@gmail.com</v>
      </c>
      <c r="B612" s="131">
        <f>IFERROR(__xludf.DUMMYFUNCTION("""COMPUTED_VALUE"""),46077.0)</f>
        <v>46077</v>
      </c>
      <c r="C612" s="124" t="str">
        <f>IFERROR(__xludf.DUMMYFUNCTION("""COMPUTED_VALUE"""),"Payment data from Collexo")</f>
        <v>Payment data from Collexo</v>
      </c>
      <c r="D612" s="124" t="str">
        <f>IFERROR(__xludf.DUMMYFUNCTION("""COMPUTED_VALUE"""),"Not Available")</f>
        <v>Not Available</v>
      </c>
      <c r="E612" s="124">
        <f>IFERROR(__xludf.DUMMYFUNCTION("""COMPUTED_VALUE"""),1500611.0)</f>
        <v>1500611</v>
      </c>
      <c r="F612" s="124">
        <f>IFERROR(__xludf.DUMMYFUNCTION("""COMPUTED_VALUE"""),124231.0)</f>
        <v>124231</v>
      </c>
      <c r="G612" s="124">
        <f>IFERROR(__xludf.DUMMYFUNCTION("""COMPUTED_VALUE"""),36000.0)</f>
        <v>36000</v>
      </c>
      <c r="H612" s="124" t="str">
        <f>IFERROR(__xludf.DUMMYFUNCTION("""COMPUTED_VALUE"""),"Not Available")</f>
        <v>Not Available</v>
      </c>
      <c r="I612" s="124">
        <f>IFERROR(__xludf.DUMMYFUNCTION("""COMPUTED_VALUE"""),0.0)</f>
        <v>0</v>
      </c>
      <c r="J612" s="124">
        <f>IFERROR(__xludf.DUMMYFUNCTION("""COMPUTED_VALUE"""),40000.0)</f>
        <v>40000</v>
      </c>
      <c r="K612" s="124">
        <f>IFERROR(__xludf.DUMMYFUNCTION("""COMPUTED_VALUE"""),2.0)</f>
        <v>2</v>
      </c>
      <c r="L612" s="124">
        <f>IFERROR(__xludf.DUMMYFUNCTION("""COMPUTED_VALUE"""),325.0)</f>
        <v>325</v>
      </c>
      <c r="M612" s="124" t="str">
        <f>IFERROR(__xludf.DUMMYFUNCTION("""COMPUTED_VALUE"""),"Patna")</f>
        <v>Patna</v>
      </c>
      <c r="N612" s="124" t="str">
        <f>IFERROR(__xludf.DUMMYFUNCTION("""COMPUTED_VALUE"""),"tanupriyanisha3117@gmail.com")</f>
        <v>tanupriyanisha3117@gmail.com</v>
      </c>
      <c r="O612" s="124" t="str">
        <f>IFERROR(__xludf.DUMMYFUNCTION("""COMPUTED_VALUE"""),"TANU PRIYA")</f>
        <v>TANU PRIYA</v>
      </c>
      <c r="P612" s="124">
        <f>IFERROR(__xludf.DUMMYFUNCTION("""COMPUTED_VALUE"""),124231.0)</f>
        <v>124231</v>
      </c>
      <c r="Q612" s="124" t="str">
        <f>IFERROR(__xludf.DUMMYFUNCTION("""COMPUTED_VALUE"""),"bpsc-gs-foundation-hinglish-target-2026-gsf-bpsc-e02-pat")</f>
        <v>bpsc-gs-foundation-hinglish-target-2026-gsf-bpsc-e02-pat</v>
      </c>
      <c r="R612" s="124" t="str">
        <f>IFERROR(__xludf.DUMMYFUNCTION("""COMPUTED_VALUE"""),"GS Foundation Course")</f>
        <v>GS Foundation Course</v>
      </c>
      <c r="S612" s="124">
        <f>IFERROR(__xludf.DUMMYFUNCTION("""COMPUTED_VALUE"""),6.200988968E9)</f>
        <v>6200988968</v>
      </c>
      <c r="T612" s="124" t="str">
        <f>IFERROR(__xludf.DUMMYFUNCTION("""COMPUTED_VALUE"""),"Not Available")</f>
        <v>Not Available</v>
      </c>
      <c r="U612" s="124" t="str">
        <f>IFERROR(__xludf.DUMMYFUNCTION("""COMPUTED_VALUE"""),"Not Available")</f>
        <v>Not Available</v>
      </c>
      <c r="V612" s="124" t="str">
        <f>IFERROR(__xludf.DUMMYFUNCTION("""COMPUTED_VALUE"""),"Not Available")</f>
        <v>Not Available</v>
      </c>
      <c r="W612" s="124" t="str">
        <f>IFERROR(__xludf.DUMMYFUNCTION("""COMPUTED_VALUE"""),"Not Available")</f>
        <v>Not Available</v>
      </c>
    </row>
    <row r="613">
      <c r="A613" s="124" t="str">
        <f t="shared" si="1"/>
        <v>anannyahazarika396@gmail.com</v>
      </c>
      <c r="B613" s="131">
        <f>IFERROR(__xludf.DUMMYFUNCTION("""COMPUTED_VALUE"""),46079.0)</f>
        <v>46079</v>
      </c>
      <c r="C613" s="124" t="str">
        <f>IFERROR(__xludf.DUMMYFUNCTION("""COMPUTED_VALUE"""),"Payment data from Collexo")</f>
        <v>Payment data from Collexo</v>
      </c>
      <c r="D613" s="124" t="str">
        <f>IFERROR(__xludf.DUMMYFUNCTION("""COMPUTED_VALUE"""),"Not Available")</f>
        <v>Not Available</v>
      </c>
      <c r="E613" s="124">
        <f>IFERROR(__xludf.DUMMYFUNCTION("""COMPUTED_VALUE"""),1500609.0)</f>
        <v>1500609</v>
      </c>
      <c r="F613" s="124" t="str">
        <f>IFERROR(__xludf.DUMMYFUNCTION("""COMPUTED_VALUE"""),"11218_988_7")</f>
        <v>11218_988_7</v>
      </c>
      <c r="G613" s="124">
        <f>IFERROR(__xludf.DUMMYFUNCTION("""COMPUTED_VALUE"""),5000.0)</f>
        <v>5000</v>
      </c>
      <c r="H613" s="131">
        <f>IFERROR(__xludf.DUMMYFUNCTION("""COMPUTED_VALUE"""),46081.0)</f>
        <v>46081</v>
      </c>
      <c r="I613" s="124">
        <f>IFERROR(__xludf.DUMMYFUNCTION("""COMPUTED_VALUE"""),110000.0)</f>
        <v>110000</v>
      </c>
      <c r="J613" s="124">
        <f>IFERROR(__xludf.DUMMYFUNCTION("""COMPUTED_VALUE"""),115000.0)</f>
        <v>115000</v>
      </c>
      <c r="K613" s="124">
        <f>IFERROR(__xludf.DUMMYFUNCTION("""COMPUTED_VALUE"""),2.0)</f>
        <v>2</v>
      </c>
      <c r="L613" s="124">
        <f>IFERROR(__xludf.DUMMYFUNCTION("""COMPUTED_VALUE"""),350.0)</f>
        <v>350</v>
      </c>
      <c r="M613" s="124" t="str">
        <f>IFERROR(__xludf.DUMMYFUNCTION("""COMPUTED_VALUE"""),"New Delhi")</f>
        <v>New Delhi</v>
      </c>
      <c r="N613" s="124" t="str">
        <f>IFERROR(__xludf.DUMMYFUNCTION("""COMPUTED_VALUE"""),"anannyahazarika396@gmail.com")</f>
        <v>anannyahazarika396@gmail.com</v>
      </c>
      <c r="O613" s="124" t="str">
        <f>IFERROR(__xludf.DUMMYFUNCTION("""COMPUTED_VALUE"""),"Anannya")</f>
        <v>Anannya</v>
      </c>
      <c r="P613" s="124">
        <f>IFERROR(__xludf.DUMMYFUNCTION("""COMPUTED_VALUE"""),124311.0)</f>
        <v>124311</v>
      </c>
      <c r="Q613" s="124" t="str">
        <f>IFERROR(__xludf.DUMMYFUNCTION("""COMPUTED_VALUE"""),"-")</f>
        <v>-</v>
      </c>
      <c r="R613" s="124" t="str">
        <f>IFERROR(__xludf.DUMMYFUNCTION("""COMPUTED_VALUE"""),"GS Foundation Course")</f>
        <v>GS Foundation Course</v>
      </c>
      <c r="S613" s="124">
        <f>IFERROR(__xludf.DUMMYFUNCTION("""COMPUTED_VALUE"""),9.957591623E9)</f>
        <v>9957591623</v>
      </c>
      <c r="T613" s="124" t="str">
        <f>IFERROR(__xludf.DUMMYFUNCTION("""COMPUTED_VALUE"""),"Collexo")</f>
        <v>Collexo</v>
      </c>
      <c r="U613" s="124" t="str">
        <f>IFERROR(__xludf.DUMMYFUNCTION("""COMPUTED_VALUE"""),"Success")</f>
        <v>Success</v>
      </c>
      <c r="V613" s="131">
        <f>IFERROR(__xludf.DUMMYFUNCTION("""COMPUTED_VALUE"""),46079.0)</f>
        <v>46079</v>
      </c>
      <c r="W613" s="124">
        <f>IFERROR(__xludf.DUMMYFUNCTION("""COMPUTED_VALUE"""),0.0)</f>
        <v>0</v>
      </c>
    </row>
    <row r="614">
      <c r="A614" s="124" t="str">
        <f t="shared" si="1"/>
        <v>kinkarkkumarpandey@gmail.com</v>
      </c>
      <c r="B614" s="131">
        <f>IFERROR(__xludf.DUMMYFUNCTION("""COMPUTED_VALUE"""),46100.0)</f>
        <v>46100</v>
      </c>
      <c r="C614" s="124" t="str">
        <f>IFERROR(__xludf.DUMMYFUNCTION("""COMPUTED_VALUE"""),"Payment data from Collexo")</f>
        <v>Payment data from Collexo</v>
      </c>
      <c r="D614" s="124" t="str">
        <f>IFERROR(__xludf.DUMMYFUNCTION("""COMPUTED_VALUE"""),"Not Available")</f>
        <v>Not Available</v>
      </c>
      <c r="E614" s="124">
        <f>IFERROR(__xludf.DUMMYFUNCTION("""COMPUTED_VALUE"""),1500613.0)</f>
        <v>1500613</v>
      </c>
      <c r="F614" s="124">
        <f>IFERROR(__xludf.DUMMYFUNCTION("""COMPUTED_VALUE"""),129422.0)</f>
        <v>129422</v>
      </c>
      <c r="G614" s="124">
        <f>IFERROR(__xludf.DUMMYFUNCTION("""COMPUTED_VALUE"""),6515.0)</f>
        <v>6515</v>
      </c>
      <c r="H614" s="131">
        <f>IFERROR(__xludf.DUMMYFUNCTION("""COMPUTED_VALUE"""),46101.0)</f>
        <v>46101</v>
      </c>
      <c r="I614" s="124">
        <f>IFERROR(__xludf.DUMMYFUNCTION("""COMPUTED_VALUE"""),37485.0)</f>
        <v>37485</v>
      </c>
      <c r="J614" s="124">
        <f>IFERROR(__xludf.DUMMYFUNCTION("""COMPUTED_VALUE"""),45000.0)</f>
        <v>45000</v>
      </c>
      <c r="K614" s="124">
        <f>IFERROR(__xludf.DUMMYFUNCTION("""COMPUTED_VALUE"""),3.0)</f>
        <v>3</v>
      </c>
      <c r="L614" s="124">
        <f>IFERROR(__xludf.DUMMYFUNCTION("""COMPUTED_VALUE"""),622.0)</f>
        <v>622</v>
      </c>
      <c r="M614" s="124" t="str">
        <f>IFERROR(__xludf.DUMMYFUNCTION("""COMPUTED_VALUE"""),"Prayagraj")</f>
        <v>Prayagraj</v>
      </c>
      <c r="N614" s="124" t="str">
        <f>IFERROR(__xludf.DUMMYFUNCTION("""COMPUTED_VALUE"""),"kinkarkkumarpandey@gmail.com")</f>
        <v>kinkarkkumarpandey@gmail.com</v>
      </c>
      <c r="O614" s="124" t="str">
        <f>IFERROR(__xludf.DUMMYFUNCTION("""COMPUTED_VALUE"""),"Nandita pandey")</f>
        <v>Nandita pandey</v>
      </c>
      <c r="P614" s="124">
        <f>IFERROR(__xludf.DUMMYFUNCTION("""COMPUTED_VALUE"""),129422.0)</f>
        <v>129422</v>
      </c>
      <c r="Q614" s="124" t="str">
        <f>IFERROR(__xludf.DUMMYFUNCTION("""COMPUTED_VALUE"""),"upsc-gs-foundation-hinglish-target-2027-gsf-upsc-e03-pry")</f>
        <v>upsc-gs-foundation-hinglish-target-2027-gsf-upsc-e03-pry</v>
      </c>
      <c r="R614" s="124" t="str">
        <f>IFERROR(__xludf.DUMMYFUNCTION("""COMPUTED_VALUE"""),"GS Foundation Course")</f>
        <v>GS Foundation Course</v>
      </c>
      <c r="S614" s="124">
        <f>IFERROR(__xludf.DUMMYFUNCTION("""COMPUTED_VALUE"""),8.400954509E9)</f>
        <v>8400954509</v>
      </c>
      <c r="T614" s="124" t="str">
        <f>IFERROR(__xludf.DUMMYFUNCTION("""COMPUTED_VALUE"""),"Not Available")</f>
        <v>Not Available</v>
      </c>
      <c r="U614" s="124" t="str">
        <f>IFERROR(__xludf.DUMMYFUNCTION("""COMPUTED_VALUE"""),"Not Available")</f>
        <v>Not Available</v>
      </c>
      <c r="V614" s="124" t="str">
        <f>IFERROR(__xludf.DUMMYFUNCTION("""COMPUTED_VALUE"""),"Not Available")</f>
        <v>Not Available</v>
      </c>
      <c r="W614" s="124" t="str">
        <f>IFERROR(__xludf.DUMMYFUNCTION("""COMPUTED_VALUE"""),"Not Available")</f>
        <v>Not Available</v>
      </c>
    </row>
    <row r="615">
      <c r="A615" s="124" t="str">
        <f t="shared" si="1"/>
        <v>anuskaa0220@gmail.com</v>
      </c>
      <c r="B615" s="131">
        <f>IFERROR(__xludf.DUMMYFUNCTION("""COMPUTED_VALUE"""),46072.0)</f>
        <v>46072</v>
      </c>
      <c r="C615" s="124" t="str">
        <f>IFERROR(__xludf.DUMMYFUNCTION("""COMPUTED_VALUE"""),"Payment data from Collexo")</f>
        <v>Payment data from Collexo</v>
      </c>
      <c r="D615" s="124" t="str">
        <f>IFERROR(__xludf.DUMMYFUNCTION("""COMPUTED_VALUE"""),"Not Available")</f>
        <v>Not Available</v>
      </c>
      <c r="E615" s="124">
        <f>IFERROR(__xludf.DUMMYFUNCTION("""COMPUTED_VALUE"""),1500609.0)</f>
        <v>1500609</v>
      </c>
      <c r="F615" s="124" t="str">
        <f>IFERROR(__xludf.DUMMYFUNCTION("""COMPUTED_VALUE"""),"6468_988_7")</f>
        <v>6468_988_7</v>
      </c>
      <c r="G615" s="124">
        <f>IFERROR(__xludf.DUMMYFUNCTION("""COMPUTED_VALUE"""),5000.0)</f>
        <v>5000</v>
      </c>
      <c r="H615" s="131">
        <f>IFERROR(__xludf.DUMMYFUNCTION("""COMPUTED_VALUE"""),46081.0)</f>
        <v>46081</v>
      </c>
      <c r="I615" s="124">
        <f>IFERROR(__xludf.DUMMYFUNCTION("""COMPUTED_VALUE"""),55000.0)</f>
        <v>55000</v>
      </c>
      <c r="J615" s="124">
        <f>IFERROR(__xludf.DUMMYFUNCTION("""COMPUTED_VALUE"""),60000.0)</f>
        <v>60000</v>
      </c>
      <c r="K615" s="124">
        <f>IFERROR(__xludf.DUMMYFUNCTION("""COMPUTED_VALUE"""),2.0)</f>
        <v>2</v>
      </c>
      <c r="L615" s="124">
        <f>IFERROR(__xludf.DUMMYFUNCTION("""COMPUTED_VALUE"""),261.0)</f>
        <v>261</v>
      </c>
      <c r="M615" s="124" t="str">
        <f>IFERROR(__xludf.DUMMYFUNCTION("""COMPUTED_VALUE"""),"New Delhi")</f>
        <v>New Delhi</v>
      </c>
      <c r="N615" s="124" t="str">
        <f>IFERROR(__xludf.DUMMYFUNCTION("""COMPUTED_VALUE"""),"anuskaa0220@gmail.com")</f>
        <v>anuskaa0220@gmail.com</v>
      </c>
      <c r="O615" s="124" t="str">
        <f>IFERROR(__xludf.DUMMYFUNCTION("""COMPUTED_VALUE"""),"Anushka")</f>
        <v>Anushka</v>
      </c>
      <c r="P615" s="124">
        <f>IFERROR(__xludf.DUMMYFUNCTION("""COMPUTED_VALUE"""),123416.0)</f>
        <v>123416</v>
      </c>
      <c r="Q615" s="124" t="str">
        <f>IFERROR(__xludf.DUMMYFUNCTION("""COMPUTED_VALUE"""),"/upsc-gs-foundation-hinglish-target-2027-gsf-upsc-e04-orn")</f>
        <v>/upsc-gs-foundation-hinglish-target-2027-gsf-upsc-e04-orn</v>
      </c>
      <c r="R615" s="124" t="str">
        <f>IFERROR(__xludf.DUMMYFUNCTION("""COMPUTED_VALUE"""),"GS Foundation Course")</f>
        <v>GS Foundation Course</v>
      </c>
      <c r="S615" s="124">
        <f>IFERROR(__xludf.DUMMYFUNCTION("""COMPUTED_VALUE"""),6.394479541E9)</f>
        <v>6394479541</v>
      </c>
      <c r="T615" s="124" t="str">
        <f>IFERROR(__xludf.DUMMYFUNCTION("""COMPUTED_VALUE"""),"Not Available")</f>
        <v>Not Available</v>
      </c>
      <c r="U615" s="124" t="str">
        <f>IFERROR(__xludf.DUMMYFUNCTION("""COMPUTED_VALUE"""),"Not Available")</f>
        <v>Not Available</v>
      </c>
      <c r="V615" s="124" t="str">
        <f>IFERROR(__xludf.DUMMYFUNCTION("""COMPUTED_VALUE"""),"Not Available")</f>
        <v>Not Available</v>
      </c>
      <c r="W615" s="124" t="str">
        <f>IFERROR(__xludf.DUMMYFUNCTION("""COMPUTED_VALUE"""),"Not Available")</f>
        <v>Not Available</v>
      </c>
    </row>
    <row r="616">
      <c r="A616" s="124" t="str">
        <f t="shared" si="1"/>
        <v>20muskansharma0712@gmail.com</v>
      </c>
      <c r="B616" s="131">
        <f>IFERROR(__xludf.DUMMYFUNCTION("""COMPUTED_VALUE"""),46088.0)</f>
        <v>46088</v>
      </c>
      <c r="C616" s="124" t="str">
        <f>IFERROR(__xludf.DUMMYFUNCTION("""COMPUTED_VALUE"""),"Payment data from Collexo")</f>
        <v>Payment data from Collexo</v>
      </c>
      <c r="D616" s="124" t="str">
        <f>IFERROR(__xludf.DUMMYFUNCTION("""COMPUTED_VALUE"""),"Not Available")</f>
        <v>Not Available</v>
      </c>
      <c r="E616" s="124">
        <f>IFERROR(__xludf.DUMMYFUNCTION("""COMPUTED_VALUE"""),1500610.0)</f>
        <v>1500610</v>
      </c>
      <c r="F616" s="124">
        <f>IFERROR(__xludf.DUMMYFUNCTION("""COMPUTED_VALUE"""),126082.0)</f>
        <v>126082</v>
      </c>
      <c r="G616" s="124">
        <f>IFERROR(__xludf.DUMMYFUNCTION("""COMPUTED_VALUE"""),20000.0)</f>
        <v>20000</v>
      </c>
      <c r="H616" s="131">
        <f>IFERROR(__xludf.DUMMYFUNCTION("""COMPUTED_VALUE"""),46142.0)</f>
        <v>46142</v>
      </c>
      <c r="I616" s="124">
        <f>IFERROR(__xludf.DUMMYFUNCTION("""COMPUTED_VALUE"""),25000.0)</f>
        <v>25000</v>
      </c>
      <c r="J616" s="124">
        <f>IFERROR(__xludf.DUMMYFUNCTION("""COMPUTED_VALUE"""),50000.0)</f>
        <v>50000</v>
      </c>
      <c r="K616" s="124">
        <f>IFERROR(__xludf.DUMMYFUNCTION("""COMPUTED_VALUE"""),3.0)</f>
        <v>3</v>
      </c>
      <c r="L616" s="124">
        <f>IFERROR(__xludf.DUMMYFUNCTION("""COMPUTED_VALUE"""),426.0)</f>
        <v>426</v>
      </c>
      <c r="M616" s="124" t="str">
        <f>IFERROR(__xludf.DUMMYFUNCTION("""COMPUTED_VALUE"""),"Lucknow")</f>
        <v>Lucknow</v>
      </c>
      <c r="N616" s="124" t="str">
        <f>IFERROR(__xludf.DUMMYFUNCTION("""COMPUTED_VALUE"""),"20muskansharma0712@gmail.com")</f>
        <v>20muskansharma0712@gmail.com</v>
      </c>
      <c r="O616" s="124" t="str">
        <f>IFERROR(__xludf.DUMMYFUNCTION("""COMPUTED_VALUE"""),"Muskan Sharma")</f>
        <v>Muskan Sharma</v>
      </c>
      <c r="P616" s="124">
        <f>IFERROR(__xludf.DUMMYFUNCTION("""COMPUTED_VALUE"""),126082.0)</f>
        <v>126082</v>
      </c>
      <c r="Q616" s="124" t="str">
        <f>IFERROR(__xludf.DUMMYFUNCTION("""COMPUTED_VALUE"""),"upsc-gs-foundation-hinglish-target-2028-gsf-upsc-e03-lko")</f>
        <v>upsc-gs-foundation-hinglish-target-2028-gsf-upsc-e03-lko</v>
      </c>
      <c r="R616" s="124" t="str">
        <f>IFERROR(__xludf.DUMMYFUNCTION("""COMPUTED_VALUE"""),"GS Foundation Course")</f>
        <v>GS Foundation Course</v>
      </c>
      <c r="S616" s="124">
        <f>IFERROR(__xludf.DUMMYFUNCTION("""COMPUTED_VALUE"""),7.985779642E9)</f>
        <v>7985779642</v>
      </c>
      <c r="T616" s="124" t="str">
        <f>IFERROR(__xludf.DUMMYFUNCTION("""COMPUTED_VALUE"""),"Not Available")</f>
        <v>Not Available</v>
      </c>
      <c r="U616" s="124" t="str">
        <f>IFERROR(__xludf.DUMMYFUNCTION("""COMPUTED_VALUE"""),"Not Available")</f>
        <v>Not Available</v>
      </c>
      <c r="V616" s="124" t="str">
        <f>IFERROR(__xludf.DUMMYFUNCTION("""COMPUTED_VALUE"""),"Not Available")</f>
        <v>Not Available</v>
      </c>
      <c r="W616" s="124" t="str">
        <f>IFERROR(__xludf.DUMMYFUNCTION("""COMPUTED_VALUE"""),"Not Available")</f>
        <v>Not Available</v>
      </c>
    </row>
    <row r="617">
      <c r="A617" s="124" t="str">
        <f t="shared" si="1"/>
        <v>Jadonkajal@gmail.com</v>
      </c>
      <c r="B617" s="131">
        <f>IFERROR(__xludf.DUMMYFUNCTION("""COMPUTED_VALUE"""),46062.0)</f>
        <v>46062</v>
      </c>
      <c r="C617" s="124" t="str">
        <f>IFERROR(__xludf.DUMMYFUNCTION("""COMPUTED_VALUE"""),"Payment data from Collexo")</f>
        <v>Payment data from Collexo</v>
      </c>
      <c r="D617" s="124" t="str">
        <f>IFERROR(__xludf.DUMMYFUNCTION("""COMPUTED_VALUE"""),"Not Available")</f>
        <v>Not Available</v>
      </c>
      <c r="E617" s="124">
        <f>IFERROR(__xludf.DUMMYFUNCTION("""COMPUTED_VALUE"""),1500609.0)</f>
        <v>1500609</v>
      </c>
      <c r="F617" s="124" t="str">
        <f>IFERROR(__xludf.DUMMYFUNCTION("""COMPUTED_VALUE"""),"4369_988_7")</f>
        <v>4369_988_7</v>
      </c>
      <c r="G617" s="124">
        <f>IFERROR(__xludf.DUMMYFUNCTION("""COMPUTED_VALUE"""),10000.0)</f>
        <v>10000</v>
      </c>
      <c r="H617" s="131">
        <f>IFERROR(__xludf.DUMMYFUNCTION("""COMPUTED_VALUE"""),46072.0)</f>
        <v>46072</v>
      </c>
      <c r="I617" s="124">
        <f>IFERROR(__xludf.DUMMYFUNCTION("""COMPUTED_VALUE"""),140000.0)</f>
        <v>140000</v>
      </c>
      <c r="J617" s="124">
        <f>IFERROR(__xludf.DUMMYFUNCTION("""COMPUTED_VALUE"""),150000.0)</f>
        <v>150000</v>
      </c>
      <c r="K617" s="124">
        <f>IFERROR(__xludf.DUMMYFUNCTION("""COMPUTED_VALUE"""),2.0)</f>
        <v>2</v>
      </c>
      <c r="L617" s="124">
        <f>IFERROR(__xludf.DUMMYFUNCTION("""COMPUTED_VALUE"""),184.0)</f>
        <v>184</v>
      </c>
      <c r="M617" s="124" t="str">
        <f>IFERROR(__xludf.DUMMYFUNCTION("""COMPUTED_VALUE"""),"New Delhi")</f>
        <v>New Delhi</v>
      </c>
      <c r="N617" s="124" t="str">
        <f>IFERROR(__xludf.DUMMYFUNCTION("""COMPUTED_VALUE"""),"Jadonkajal@gmail.com")</f>
        <v>Jadonkajal@gmail.com</v>
      </c>
      <c r="O617" s="124" t="str">
        <f>IFERROR(__xludf.DUMMYFUNCTION("""COMPUTED_VALUE"""),"Kajal Jadon")</f>
        <v>Kajal Jadon</v>
      </c>
      <c r="P617" s="124">
        <f>IFERROR(__xludf.DUMMYFUNCTION("""COMPUTED_VALUE"""),82638.0)</f>
        <v>82638</v>
      </c>
      <c r="Q617" s="124" t="str">
        <f>IFERROR(__xludf.DUMMYFUNCTION("""COMPUTED_VALUE"""),"upsc-gs-foundation-hinglish-target-2028-gsf-upsc-m04-orn")</f>
        <v>upsc-gs-foundation-hinglish-target-2028-gsf-upsc-m04-orn</v>
      </c>
      <c r="R617" s="124" t="str">
        <f>IFERROR(__xludf.DUMMYFUNCTION("""COMPUTED_VALUE"""),"GS Foundation Course")</f>
        <v>GS Foundation Course</v>
      </c>
      <c r="S617" s="124">
        <f>IFERROR(__xludf.DUMMYFUNCTION("""COMPUTED_VALUE"""),9.589014922E9)</f>
        <v>9589014922</v>
      </c>
      <c r="T617" s="124" t="str">
        <f>IFERROR(__xludf.DUMMYFUNCTION("""COMPUTED_VALUE"""),"Collexo")</f>
        <v>Collexo</v>
      </c>
      <c r="U617" s="124" t="str">
        <f>IFERROR(__xludf.DUMMYFUNCTION("""COMPUTED_VALUE"""),"Success")</f>
        <v>Success</v>
      </c>
      <c r="V617" s="131">
        <f>IFERROR(__xludf.DUMMYFUNCTION("""COMPUTED_VALUE"""),46062.0)</f>
        <v>46062</v>
      </c>
      <c r="W617" s="124">
        <f>IFERROR(__xludf.DUMMYFUNCTION("""COMPUTED_VALUE"""),0.0)</f>
        <v>0</v>
      </c>
    </row>
    <row r="618">
      <c r="A618" s="124" t="str">
        <f t="shared" si="1"/>
        <v>Jadonkajal@gmail.com</v>
      </c>
      <c r="B618" s="131">
        <f>IFERROR(__xludf.DUMMYFUNCTION("""COMPUTED_VALUE"""),46065.0)</f>
        <v>46065</v>
      </c>
      <c r="C618" s="124" t="str">
        <f>IFERROR(__xludf.DUMMYFUNCTION("""COMPUTED_VALUE"""),"Payment data from Collexo")</f>
        <v>Payment data from Collexo</v>
      </c>
      <c r="D618" s="124" t="str">
        <f>IFERROR(__xludf.DUMMYFUNCTION("""COMPUTED_VALUE"""),"Not Available")</f>
        <v>Not Available</v>
      </c>
      <c r="E618" s="124">
        <f>IFERROR(__xludf.DUMMYFUNCTION("""COMPUTED_VALUE"""),1500609.0)</f>
        <v>1500609</v>
      </c>
      <c r="F618" s="124" t="str">
        <f>IFERROR(__xludf.DUMMYFUNCTION("""COMPUTED_VALUE"""),"4904_988_7")</f>
        <v>4904_988_7</v>
      </c>
      <c r="G618" s="124">
        <f>IFERROR(__xludf.DUMMYFUNCTION("""COMPUTED_VALUE"""),140000.0)</f>
        <v>140000</v>
      </c>
      <c r="H618" s="124" t="str">
        <f>IFERROR(__xludf.DUMMYFUNCTION("""COMPUTED_VALUE"""),"Not Available")</f>
        <v>Not Available</v>
      </c>
      <c r="I618" s="124">
        <f>IFERROR(__xludf.DUMMYFUNCTION("""COMPUTED_VALUE"""),0.0)</f>
        <v>0</v>
      </c>
      <c r="J618" s="124">
        <f>IFERROR(__xludf.DUMMYFUNCTION("""COMPUTED_VALUE"""),150000.0)</f>
        <v>150000</v>
      </c>
      <c r="K618" s="124">
        <f>IFERROR(__xludf.DUMMYFUNCTION("""COMPUTED_VALUE"""),2.0)</f>
        <v>2</v>
      </c>
      <c r="L618" s="124">
        <f>IFERROR(__xludf.DUMMYFUNCTION("""COMPUTED_VALUE"""),199.0)</f>
        <v>199</v>
      </c>
      <c r="M618" s="124" t="str">
        <f>IFERROR(__xludf.DUMMYFUNCTION("""COMPUTED_VALUE"""),"New Delhi")</f>
        <v>New Delhi</v>
      </c>
      <c r="N618" s="124" t="str">
        <f>IFERROR(__xludf.DUMMYFUNCTION("""COMPUTED_VALUE"""),"Jadonkajal@gmail.com")</f>
        <v>Jadonkajal@gmail.com</v>
      </c>
      <c r="O618" s="124" t="str">
        <f>IFERROR(__xludf.DUMMYFUNCTION("""COMPUTED_VALUE"""),"Kajal Jadon")</f>
        <v>Kajal Jadon</v>
      </c>
      <c r="P618" s="124">
        <f>IFERROR(__xludf.DUMMYFUNCTION("""COMPUTED_VALUE"""),82638.0)</f>
        <v>82638</v>
      </c>
      <c r="Q618" s="124" t="str">
        <f>IFERROR(__xludf.DUMMYFUNCTION("""COMPUTED_VALUE"""),"upsc-gs-foundation-hinglish-target-2028-gsf-upsc-m04-orn")</f>
        <v>upsc-gs-foundation-hinglish-target-2028-gsf-upsc-m04-orn</v>
      </c>
      <c r="R618" s="124" t="str">
        <f>IFERROR(__xludf.DUMMYFUNCTION("""COMPUTED_VALUE"""),"GS Foundation Course")</f>
        <v>GS Foundation Course</v>
      </c>
      <c r="S618" s="124">
        <f>IFERROR(__xludf.DUMMYFUNCTION("""COMPUTED_VALUE"""),9.589014922E9)</f>
        <v>9589014922</v>
      </c>
      <c r="T618" s="124" t="str">
        <f>IFERROR(__xludf.DUMMYFUNCTION("""COMPUTED_VALUE"""),"Collexo")</f>
        <v>Collexo</v>
      </c>
      <c r="U618" s="124" t="str">
        <f>IFERROR(__xludf.DUMMYFUNCTION("""COMPUTED_VALUE"""),"Success")</f>
        <v>Success</v>
      </c>
      <c r="V618" s="131">
        <f>IFERROR(__xludf.DUMMYFUNCTION("""COMPUTED_VALUE"""),46065.0)</f>
        <v>46065</v>
      </c>
      <c r="W618" s="124">
        <f>IFERROR(__xludf.DUMMYFUNCTION("""COMPUTED_VALUE"""),0.0)</f>
        <v>0</v>
      </c>
    </row>
    <row r="619">
      <c r="A619" s="124" t="str">
        <f t="shared" si="1"/>
        <v>tanishaverma047@gmail.com</v>
      </c>
      <c r="B619" s="131">
        <f>IFERROR(__xludf.DUMMYFUNCTION("""COMPUTED_VALUE"""),46053.0)</f>
        <v>46053</v>
      </c>
      <c r="C619" s="124" t="str">
        <f>IFERROR(__xludf.DUMMYFUNCTION("""COMPUTED_VALUE"""),"Payment data from Collexo")</f>
        <v>Payment data from Collexo</v>
      </c>
      <c r="D619" s="124" t="str">
        <f>IFERROR(__xludf.DUMMYFUNCTION("""COMPUTED_VALUE"""),"Not Available")</f>
        <v>Not Available</v>
      </c>
      <c r="E619" s="124">
        <f>IFERROR(__xludf.DUMMYFUNCTION("""COMPUTED_VALUE"""),1500609.0)</f>
        <v>1500609</v>
      </c>
      <c r="F619" s="124" t="str">
        <f>IFERROR(__xludf.DUMMYFUNCTION("""COMPUTED_VALUE"""),"3218_988_7")</f>
        <v>3218_988_7</v>
      </c>
      <c r="G619" s="124">
        <f>IFERROR(__xludf.DUMMYFUNCTION("""COMPUTED_VALUE"""),90000.0)</f>
        <v>90000</v>
      </c>
      <c r="H619" s="124" t="str">
        <f>IFERROR(__xludf.DUMMYFUNCTION("""COMPUTED_VALUE"""),"Not Available")</f>
        <v>Not Available</v>
      </c>
      <c r="I619" s="124">
        <f>IFERROR(__xludf.DUMMYFUNCTION("""COMPUTED_VALUE"""),0.0)</f>
        <v>0</v>
      </c>
      <c r="J619" s="124">
        <f>IFERROR(__xludf.DUMMYFUNCTION("""COMPUTED_VALUE"""),100000.0)</f>
        <v>100000</v>
      </c>
      <c r="K619" s="124">
        <f>IFERROR(__xludf.DUMMYFUNCTION("""COMPUTED_VALUE"""),2.0)</f>
        <v>2</v>
      </c>
      <c r="L619" s="124">
        <f>IFERROR(__xludf.DUMMYFUNCTION("""COMPUTED_VALUE"""),143.0)</f>
        <v>143</v>
      </c>
      <c r="M619" s="124" t="str">
        <f>IFERROR(__xludf.DUMMYFUNCTION("""COMPUTED_VALUE"""),"New Delhi")</f>
        <v>New Delhi</v>
      </c>
      <c r="N619" s="124" t="str">
        <f>IFERROR(__xludf.DUMMYFUNCTION("""COMPUTED_VALUE"""),"tanishaverma047@gmail.com")</f>
        <v>tanishaverma047@gmail.com</v>
      </c>
      <c r="O619" s="124" t="str">
        <f>IFERROR(__xludf.DUMMYFUNCTION("""COMPUTED_VALUE"""),"Tanisha")</f>
        <v>Tanisha</v>
      </c>
      <c r="P619" s="124">
        <f>IFERROR(__xludf.DUMMYFUNCTION("""COMPUTED_VALUE"""),111723.0)</f>
        <v>111723</v>
      </c>
      <c r="Q619" s="124" t="str">
        <f>IFERROR(__xludf.DUMMYFUNCTION("""COMPUTED_VALUE"""),"ncert-foundation-hinglish-target-2026-nce-upsc-e02-orn")</f>
        <v>ncert-foundation-hinglish-target-2026-nce-upsc-e02-orn</v>
      </c>
      <c r="R619" s="124" t="str">
        <f>IFERROR(__xludf.DUMMYFUNCTION("""COMPUTED_VALUE"""),"GS Foundation Course")</f>
        <v>GS Foundation Course</v>
      </c>
      <c r="S619" s="124">
        <f>IFERROR(__xludf.DUMMYFUNCTION("""COMPUTED_VALUE"""),9.971041984E9)</f>
        <v>9971041984</v>
      </c>
      <c r="T619" s="124" t="str">
        <f>IFERROR(__xludf.DUMMYFUNCTION("""COMPUTED_VALUE"""),"Collexo")</f>
        <v>Collexo</v>
      </c>
      <c r="U619" s="124" t="str">
        <f>IFERROR(__xludf.DUMMYFUNCTION("""COMPUTED_VALUE"""),"Success")</f>
        <v>Success</v>
      </c>
      <c r="V619" s="131">
        <f>IFERROR(__xludf.DUMMYFUNCTION("""COMPUTED_VALUE"""),46053.0)</f>
        <v>46053</v>
      </c>
      <c r="W619" s="124">
        <f>IFERROR(__xludf.DUMMYFUNCTION("""COMPUTED_VALUE"""),0.0)</f>
        <v>0</v>
      </c>
    </row>
    <row r="620">
      <c r="A620" s="124" t="str">
        <f t="shared" si="1"/>
        <v>saurabh9990k@gmail.com</v>
      </c>
      <c r="B620" s="131">
        <f>IFERROR(__xludf.DUMMYFUNCTION("""COMPUTED_VALUE"""),46112.0)</f>
        <v>46112</v>
      </c>
      <c r="C620" s="124" t="str">
        <f>IFERROR(__xludf.DUMMYFUNCTION("""COMPUTED_VALUE"""),"Payment data from Collexo")</f>
        <v>Payment data from Collexo</v>
      </c>
      <c r="D620" s="124" t="str">
        <f>IFERROR(__xludf.DUMMYFUNCTION("""COMPUTED_VALUE"""),"Not Available")</f>
        <v>Not Available</v>
      </c>
      <c r="E620" s="124">
        <f>IFERROR(__xludf.DUMMYFUNCTION("""COMPUTED_VALUE"""),1500613.0)</f>
        <v>1500613</v>
      </c>
      <c r="F620" s="124">
        <f>IFERROR(__xludf.DUMMYFUNCTION("""COMPUTED_VALUE"""),139347.0)</f>
        <v>139347</v>
      </c>
      <c r="G620" s="124">
        <f>IFERROR(__xludf.DUMMYFUNCTION("""COMPUTED_VALUE"""),54948.0)</f>
        <v>54948</v>
      </c>
      <c r="H620" s="124" t="str">
        <f>IFERROR(__xludf.DUMMYFUNCTION("""COMPUTED_VALUE"""),"Not Available")</f>
        <v>Not Available</v>
      </c>
      <c r="I620" s="124">
        <f>IFERROR(__xludf.DUMMYFUNCTION("""COMPUTED_VALUE"""),0.0)</f>
        <v>0</v>
      </c>
      <c r="J620" s="124">
        <f>IFERROR(__xludf.DUMMYFUNCTION("""COMPUTED_VALUE"""),65000.0)</f>
        <v>65000</v>
      </c>
      <c r="K620" s="124">
        <f>IFERROR(__xludf.DUMMYFUNCTION("""COMPUTED_VALUE"""),2.0)</f>
        <v>2</v>
      </c>
      <c r="L620" s="124">
        <f>IFERROR(__xludf.DUMMYFUNCTION("""COMPUTED_VALUE"""),865.0)</f>
        <v>865</v>
      </c>
      <c r="M620" s="124" t="str">
        <f>IFERROR(__xludf.DUMMYFUNCTION("""COMPUTED_VALUE"""),"Prayagraj")</f>
        <v>Prayagraj</v>
      </c>
      <c r="N620" s="124" t="str">
        <f>IFERROR(__xludf.DUMMYFUNCTION("""COMPUTED_VALUE"""),"saurabh9990k@gmail.com")</f>
        <v>saurabh9990k@gmail.com</v>
      </c>
      <c r="O620" s="124" t="str">
        <f>IFERROR(__xludf.DUMMYFUNCTION("""COMPUTED_VALUE"""),"Saurabh Kumar")</f>
        <v>Saurabh Kumar</v>
      </c>
      <c r="P620" s="124">
        <f>IFERROR(__xludf.DUMMYFUNCTION("""COMPUTED_VALUE"""),139347.0)</f>
        <v>139347</v>
      </c>
      <c r="Q620" s="124" t="str">
        <f>IFERROR(__xludf.DUMMYFUNCTION("""COMPUTED_VALUE"""),"upsc-gs-foundation-hindi-target-2027-gsf-upsc-m03-pry")</f>
        <v>upsc-gs-foundation-hindi-target-2027-gsf-upsc-m03-pry</v>
      </c>
      <c r="R620" s="124" t="str">
        <f>IFERROR(__xludf.DUMMYFUNCTION("""COMPUTED_VALUE"""),"GS Foundation Course")</f>
        <v>GS Foundation Course</v>
      </c>
      <c r="S620" s="124">
        <f>IFERROR(__xludf.DUMMYFUNCTION("""COMPUTED_VALUE"""),8.795174495E9)</f>
        <v>8795174495</v>
      </c>
      <c r="T620" s="124" t="str">
        <f>IFERROR(__xludf.DUMMYFUNCTION("""COMPUTED_VALUE"""),"Not Available")</f>
        <v>Not Available</v>
      </c>
      <c r="U620" s="124" t="str">
        <f>IFERROR(__xludf.DUMMYFUNCTION("""COMPUTED_VALUE"""),"Not Available")</f>
        <v>Not Available</v>
      </c>
      <c r="V620" s="124" t="str">
        <f>IFERROR(__xludf.DUMMYFUNCTION("""COMPUTED_VALUE"""),"Not Available")</f>
        <v>Not Available</v>
      </c>
      <c r="W620" s="124" t="str">
        <f>IFERROR(__xludf.DUMMYFUNCTION("""COMPUTED_VALUE"""),"Not Available")</f>
        <v>Not Available</v>
      </c>
    </row>
    <row r="621">
      <c r="A621" s="124" t="str">
        <f t="shared" si="1"/>
        <v>addyaddy626595@gmail.com</v>
      </c>
      <c r="B621" s="131">
        <f>IFERROR(__xludf.DUMMYFUNCTION("""COMPUTED_VALUE"""),46100.0)</f>
        <v>46100</v>
      </c>
      <c r="C621" s="124" t="str">
        <f>IFERROR(__xludf.DUMMYFUNCTION("""COMPUTED_VALUE"""),"Payment data from Collexo")</f>
        <v>Payment data from Collexo</v>
      </c>
      <c r="D621" s="124" t="str">
        <f>IFERROR(__xludf.DUMMYFUNCTION("""COMPUTED_VALUE"""),"Not Available")</f>
        <v>Not Available</v>
      </c>
      <c r="E621" s="124">
        <f>IFERROR(__xludf.DUMMYFUNCTION("""COMPUTED_VALUE"""),1500612.0)</f>
        <v>1500612</v>
      </c>
      <c r="F621" s="124">
        <f>IFERROR(__xludf.DUMMYFUNCTION("""COMPUTED_VALUE"""),128156.0)</f>
        <v>128156</v>
      </c>
      <c r="G621" s="124">
        <f>IFERROR(__xludf.DUMMYFUNCTION("""COMPUTED_VALUE"""),74000.0)</f>
        <v>74000</v>
      </c>
      <c r="H621" s="124" t="str">
        <f>IFERROR(__xludf.DUMMYFUNCTION("""COMPUTED_VALUE"""),"Not Available")</f>
        <v>Not Available</v>
      </c>
      <c r="I621" s="124">
        <f>IFERROR(__xludf.DUMMYFUNCTION("""COMPUTED_VALUE"""),0.0)</f>
        <v>0</v>
      </c>
      <c r="J621" s="124">
        <f>IFERROR(__xludf.DUMMYFUNCTION("""COMPUTED_VALUE"""),80000.0)</f>
        <v>80000</v>
      </c>
      <c r="K621" s="124">
        <f>IFERROR(__xludf.DUMMYFUNCTION("""COMPUTED_VALUE"""),2.0)</f>
        <v>2</v>
      </c>
      <c r="L621" s="124">
        <f>IFERROR(__xludf.DUMMYFUNCTION("""COMPUTED_VALUE"""),609.0)</f>
        <v>609</v>
      </c>
      <c r="M621" s="124" t="str">
        <f>IFERROR(__xludf.DUMMYFUNCTION("""COMPUTED_VALUE"""),"Indore")</f>
        <v>Indore</v>
      </c>
      <c r="N621" s="124" t="str">
        <f>IFERROR(__xludf.DUMMYFUNCTION("""COMPUTED_VALUE"""),"addyaddy626595@gmail.com")</f>
        <v>addyaddy626595@gmail.com</v>
      </c>
      <c r="O621" s="124" t="str">
        <f>IFERROR(__xludf.DUMMYFUNCTION("""COMPUTED_VALUE"""),"Ayush Sevetiya")</f>
        <v>Ayush Sevetiya</v>
      </c>
      <c r="P621" s="124">
        <f>IFERROR(__xludf.DUMMYFUNCTION("""COMPUTED_VALUE"""),128156.0)</f>
        <v>128156</v>
      </c>
      <c r="Q621" s="124" t="str">
        <f>IFERROR(__xludf.DUMMYFUNCTION("""COMPUTED_VALUE"""),"mppsc-gs-foundation-hinglish-target-2028-gsf-mppsc-e02-ind")</f>
        <v>mppsc-gs-foundation-hinglish-target-2028-gsf-mppsc-e02-ind</v>
      </c>
      <c r="R621" s="124" t="str">
        <f>IFERROR(__xludf.DUMMYFUNCTION("""COMPUTED_VALUE"""),"State PCS")</f>
        <v>State PCS</v>
      </c>
      <c r="S621" s="124">
        <f>IFERROR(__xludf.DUMMYFUNCTION("""COMPUTED_VALUE"""),6.265953332E9)</f>
        <v>6265953332</v>
      </c>
      <c r="T621" s="124" t="str">
        <f>IFERROR(__xludf.DUMMYFUNCTION("""COMPUTED_VALUE"""),"Not Available")</f>
        <v>Not Available</v>
      </c>
      <c r="U621" s="124" t="str">
        <f>IFERROR(__xludf.DUMMYFUNCTION("""COMPUTED_VALUE"""),"Not Available")</f>
        <v>Not Available</v>
      </c>
      <c r="V621" s="124" t="str">
        <f>IFERROR(__xludf.DUMMYFUNCTION("""COMPUTED_VALUE"""),"Not Available")</f>
        <v>Not Available</v>
      </c>
      <c r="W621" s="124" t="str">
        <f>IFERROR(__xludf.DUMMYFUNCTION("""COMPUTED_VALUE"""),"Not Available")</f>
        <v>Not Available</v>
      </c>
    </row>
    <row r="622">
      <c r="A622" s="124" t="str">
        <f t="shared" si="1"/>
        <v>manjeekumar3198@gmail.com</v>
      </c>
      <c r="B622" s="131">
        <f>IFERROR(__xludf.DUMMYFUNCTION("""COMPUTED_VALUE"""),46111.0)</f>
        <v>46111</v>
      </c>
      <c r="C622" s="124" t="str">
        <f>IFERROR(__xludf.DUMMYFUNCTION("""COMPUTED_VALUE"""),"Payment data from Collexo")</f>
        <v>Payment data from Collexo</v>
      </c>
      <c r="D622" s="124" t="str">
        <f>IFERROR(__xludf.DUMMYFUNCTION("""COMPUTED_VALUE"""),"Not Available")</f>
        <v>Not Available</v>
      </c>
      <c r="E622" s="124">
        <f>IFERROR(__xludf.DUMMYFUNCTION("""COMPUTED_VALUE"""),1500611.0)</f>
        <v>1500611</v>
      </c>
      <c r="F622" s="124">
        <f>IFERROR(__xludf.DUMMYFUNCTION("""COMPUTED_VALUE"""),139869.0)</f>
        <v>139869</v>
      </c>
      <c r="G622" s="124">
        <f>IFERROR(__xludf.DUMMYFUNCTION("""COMPUTED_VALUE"""),7000.0)</f>
        <v>7000</v>
      </c>
      <c r="H622" s="131">
        <f>IFERROR(__xludf.DUMMYFUNCTION("""COMPUTED_VALUE"""),46113.0)</f>
        <v>46113</v>
      </c>
      <c r="I622" s="124">
        <f>IFERROR(__xludf.DUMMYFUNCTION("""COMPUTED_VALUE"""),35000.0)</f>
        <v>35000</v>
      </c>
      <c r="J622" s="124">
        <f>IFERROR(__xludf.DUMMYFUNCTION("""COMPUTED_VALUE"""),45000.0)</f>
        <v>45000</v>
      </c>
      <c r="K622" s="124">
        <f>IFERROR(__xludf.DUMMYFUNCTION("""COMPUTED_VALUE"""),3.0)</f>
        <v>3</v>
      </c>
      <c r="L622" s="124">
        <f>IFERROR(__xludf.DUMMYFUNCTION("""COMPUTED_VALUE"""),831.0)</f>
        <v>831</v>
      </c>
      <c r="M622" s="124" t="str">
        <f>IFERROR(__xludf.DUMMYFUNCTION("""COMPUTED_VALUE"""),"Patna")</f>
        <v>Patna</v>
      </c>
      <c r="N622" s="124" t="str">
        <f>IFERROR(__xludf.DUMMYFUNCTION("""COMPUTED_VALUE"""),"manjeekumar3198@gmail.com")</f>
        <v>manjeekumar3198@gmail.com</v>
      </c>
      <c r="O622" s="124" t="str">
        <f>IFERROR(__xludf.DUMMYFUNCTION("""COMPUTED_VALUE"""),"Manjee")</f>
        <v>Manjee</v>
      </c>
      <c r="P622" s="124">
        <f>IFERROR(__xludf.DUMMYFUNCTION("""COMPUTED_VALUE"""),139869.0)</f>
        <v>139869</v>
      </c>
      <c r="Q622" s="124" t="str">
        <f>IFERROR(__xludf.DUMMYFUNCTION("""COMPUTED_VALUE"""),"bpsc-gs-foundation-hinglish-target-2026-gsf-bpsc-m02-pat")</f>
        <v>bpsc-gs-foundation-hinglish-target-2026-gsf-bpsc-m02-pat</v>
      </c>
      <c r="R622" s="124" t="str">
        <f>IFERROR(__xludf.DUMMYFUNCTION("""COMPUTED_VALUE"""),"State PCS")</f>
        <v>State PCS</v>
      </c>
      <c r="S622" s="124">
        <f>IFERROR(__xludf.DUMMYFUNCTION("""COMPUTED_VALUE"""),9.934281413E9)</f>
        <v>9934281413</v>
      </c>
      <c r="T622" s="124" t="str">
        <f>IFERROR(__xludf.DUMMYFUNCTION("""COMPUTED_VALUE"""),"Not Available")</f>
        <v>Not Available</v>
      </c>
      <c r="U622" s="124" t="str">
        <f>IFERROR(__xludf.DUMMYFUNCTION("""COMPUTED_VALUE"""),"Not Available")</f>
        <v>Not Available</v>
      </c>
      <c r="V622" s="124" t="str">
        <f>IFERROR(__xludf.DUMMYFUNCTION("""COMPUTED_VALUE"""),"Not Available")</f>
        <v>Not Available</v>
      </c>
      <c r="W622" s="124" t="str">
        <f>IFERROR(__xludf.DUMMYFUNCTION("""COMPUTED_VALUE"""),"Not Available")</f>
        <v>Not Available</v>
      </c>
    </row>
    <row r="623">
      <c r="A623" s="124" t="str">
        <f t="shared" si="1"/>
        <v>omm48756@gmail.com</v>
      </c>
      <c r="B623" s="131">
        <f>IFERROR(__xludf.DUMMYFUNCTION("""COMPUTED_VALUE"""),46107.0)</f>
        <v>46107</v>
      </c>
      <c r="C623" s="124" t="str">
        <f>IFERROR(__xludf.DUMMYFUNCTION("""COMPUTED_VALUE"""),"Payment data from Collexo")</f>
        <v>Payment data from Collexo</v>
      </c>
      <c r="D623" s="124" t="str">
        <f>IFERROR(__xludf.DUMMYFUNCTION("""COMPUTED_VALUE"""),"Not Available")</f>
        <v>Not Available</v>
      </c>
      <c r="E623" s="124">
        <f>IFERROR(__xludf.DUMMYFUNCTION("""COMPUTED_VALUE"""),1500610.0)</f>
        <v>1500610</v>
      </c>
      <c r="F623" s="124">
        <f>IFERROR(__xludf.DUMMYFUNCTION("""COMPUTED_VALUE"""),65144.0)</f>
        <v>65144</v>
      </c>
      <c r="G623" s="124">
        <f>IFERROR(__xludf.DUMMYFUNCTION("""COMPUTED_VALUE"""),5000.0)</f>
        <v>5000</v>
      </c>
      <c r="H623" s="131">
        <f>IFERROR(__xludf.DUMMYFUNCTION("""COMPUTED_VALUE"""),46111.0)</f>
        <v>46111</v>
      </c>
      <c r="I623" s="124">
        <f>IFERROR(__xludf.DUMMYFUNCTION("""COMPUTED_VALUE"""),10000.0)</f>
        <v>10000</v>
      </c>
      <c r="J623" s="124">
        <f>IFERROR(__xludf.DUMMYFUNCTION("""COMPUTED_VALUE"""),25000.0)</f>
        <v>25000</v>
      </c>
      <c r="K623" s="124">
        <f>IFERROR(__xludf.DUMMYFUNCTION("""COMPUTED_VALUE"""),3.0)</f>
        <v>3</v>
      </c>
      <c r="L623" s="124">
        <f>IFERROR(__xludf.DUMMYFUNCTION("""COMPUTED_VALUE"""),763.0)</f>
        <v>763</v>
      </c>
      <c r="M623" s="124" t="str">
        <f>IFERROR(__xludf.DUMMYFUNCTION("""COMPUTED_VALUE"""),"Lucknow")</f>
        <v>Lucknow</v>
      </c>
      <c r="N623" s="124" t="str">
        <f>IFERROR(__xludf.DUMMYFUNCTION("""COMPUTED_VALUE"""),"omm48756@gmail.com")</f>
        <v>omm48756@gmail.com</v>
      </c>
      <c r="O623" s="124" t="str">
        <f>IFERROR(__xludf.DUMMYFUNCTION("""COMPUTED_VALUE"""),"mrityunjay mishra")</f>
        <v>mrityunjay mishra</v>
      </c>
      <c r="P623" s="124">
        <f>IFERROR(__xludf.DUMMYFUNCTION("""COMPUTED_VALUE"""),65144.0)</f>
        <v>65144</v>
      </c>
      <c r="Q623" s="124" t="str">
        <f>IFERROR(__xludf.DUMMYFUNCTION("""COMPUTED_VALUE"""),"upsc-gs-foundation-hindi-target-2027-gsf-upsc-m02-lko")</f>
        <v>upsc-gs-foundation-hindi-target-2027-gsf-upsc-m02-lko</v>
      </c>
      <c r="R623" s="124" t="str">
        <f>IFERROR(__xludf.DUMMYFUNCTION("""COMPUTED_VALUE"""),"GS Foundation Course")</f>
        <v>GS Foundation Course</v>
      </c>
      <c r="S623" s="124">
        <f>IFERROR(__xludf.DUMMYFUNCTION("""COMPUTED_VALUE"""),8.303105265E9)</f>
        <v>8303105265</v>
      </c>
      <c r="T623" s="124" t="str">
        <f>IFERROR(__xludf.DUMMYFUNCTION("""COMPUTED_VALUE"""),"Not Available")</f>
        <v>Not Available</v>
      </c>
      <c r="U623" s="124" t="str">
        <f>IFERROR(__xludf.DUMMYFUNCTION("""COMPUTED_VALUE"""),"Not Available")</f>
        <v>Not Available</v>
      </c>
      <c r="V623" s="124" t="str">
        <f>IFERROR(__xludf.DUMMYFUNCTION("""COMPUTED_VALUE"""),"Not Available")</f>
        <v>Not Available</v>
      </c>
      <c r="W623" s="124" t="str">
        <f>IFERROR(__xludf.DUMMYFUNCTION("""COMPUTED_VALUE"""),"Not Available")</f>
        <v>Not Available</v>
      </c>
    </row>
    <row r="624">
      <c r="A624" s="124" t="str">
        <f t="shared" si="1"/>
        <v>addyaddy626595@gmail.com</v>
      </c>
      <c r="B624" s="131">
        <f>IFERROR(__xludf.DUMMYFUNCTION("""COMPUTED_VALUE"""),46099.0)</f>
        <v>46099</v>
      </c>
      <c r="C624" s="124" t="str">
        <f>IFERROR(__xludf.DUMMYFUNCTION("""COMPUTED_VALUE"""),"Payment data from Collexo")</f>
        <v>Payment data from Collexo</v>
      </c>
      <c r="D624" s="124" t="str">
        <f>IFERROR(__xludf.DUMMYFUNCTION("""COMPUTED_VALUE"""),"Not Available")</f>
        <v>Not Available</v>
      </c>
      <c r="E624" s="124">
        <f>IFERROR(__xludf.DUMMYFUNCTION("""COMPUTED_VALUE"""),1500612.0)</f>
        <v>1500612</v>
      </c>
      <c r="F624" s="124">
        <f>IFERROR(__xludf.DUMMYFUNCTION("""COMPUTED_VALUE"""),128156.0)</f>
        <v>128156</v>
      </c>
      <c r="G624" s="124">
        <f>IFERROR(__xludf.DUMMYFUNCTION("""COMPUTED_VALUE"""),6000.0)</f>
        <v>6000</v>
      </c>
      <c r="H624" s="131">
        <f>IFERROR(__xludf.DUMMYFUNCTION("""COMPUTED_VALUE"""),46101.0)</f>
        <v>46101</v>
      </c>
      <c r="I624" s="124">
        <f>IFERROR(__xludf.DUMMYFUNCTION("""COMPUTED_VALUE"""),74000.0)</f>
        <v>74000</v>
      </c>
      <c r="J624" s="124">
        <f>IFERROR(__xludf.DUMMYFUNCTION("""COMPUTED_VALUE"""),80000.0)</f>
        <v>80000</v>
      </c>
      <c r="K624" s="124">
        <f>IFERROR(__xludf.DUMMYFUNCTION("""COMPUTED_VALUE"""),2.0)</f>
        <v>2</v>
      </c>
      <c r="L624" s="124">
        <f>IFERROR(__xludf.DUMMYFUNCTION("""COMPUTED_VALUE"""),597.0)</f>
        <v>597</v>
      </c>
      <c r="M624" s="124" t="str">
        <f>IFERROR(__xludf.DUMMYFUNCTION("""COMPUTED_VALUE"""),"Indore")</f>
        <v>Indore</v>
      </c>
      <c r="N624" s="124" t="str">
        <f>IFERROR(__xludf.DUMMYFUNCTION("""COMPUTED_VALUE"""),"addyaddy626595@gmail.com")</f>
        <v>addyaddy626595@gmail.com</v>
      </c>
      <c r="O624" s="124" t="str">
        <f>IFERROR(__xludf.DUMMYFUNCTION("""COMPUTED_VALUE"""),"Ayush Sevetiya")</f>
        <v>Ayush Sevetiya</v>
      </c>
      <c r="P624" s="124">
        <f>IFERROR(__xludf.DUMMYFUNCTION("""COMPUTED_VALUE"""),128156.0)</f>
        <v>128156</v>
      </c>
      <c r="Q624" s="124" t="str">
        <f>IFERROR(__xludf.DUMMYFUNCTION("""COMPUTED_VALUE"""),"mppsc-gs-foundation-hinglish-target-2028-gsf-mppsc-e02-ind")</f>
        <v>mppsc-gs-foundation-hinglish-target-2028-gsf-mppsc-e02-ind</v>
      </c>
      <c r="R624" s="124" t="str">
        <f>IFERROR(__xludf.DUMMYFUNCTION("""COMPUTED_VALUE"""),"State PCS")</f>
        <v>State PCS</v>
      </c>
      <c r="S624" s="124">
        <f>IFERROR(__xludf.DUMMYFUNCTION("""COMPUTED_VALUE"""),6.265953332E9)</f>
        <v>6265953332</v>
      </c>
      <c r="T624" s="124" t="str">
        <f>IFERROR(__xludf.DUMMYFUNCTION("""COMPUTED_VALUE"""),"Not Available")</f>
        <v>Not Available</v>
      </c>
      <c r="U624" s="124" t="str">
        <f>IFERROR(__xludf.DUMMYFUNCTION("""COMPUTED_VALUE"""),"Not Available")</f>
        <v>Not Available</v>
      </c>
      <c r="V624" s="124" t="str">
        <f>IFERROR(__xludf.DUMMYFUNCTION("""COMPUTED_VALUE"""),"Not Available")</f>
        <v>Not Available</v>
      </c>
      <c r="W624" s="124" t="str">
        <f>IFERROR(__xludf.DUMMYFUNCTION("""COMPUTED_VALUE"""),"Not Available")</f>
        <v>Not Available</v>
      </c>
    </row>
    <row r="625">
      <c r="A625" s="124" t="str">
        <f t="shared" si="1"/>
        <v>mandavisinghgharwarbarokhar@gmail.com</v>
      </c>
      <c r="B625" s="131">
        <f>IFERROR(__xludf.DUMMYFUNCTION("""COMPUTED_VALUE"""),46079.0)</f>
        <v>46079</v>
      </c>
      <c r="C625" s="124" t="str">
        <f>IFERROR(__xludf.DUMMYFUNCTION("""COMPUTED_VALUE"""),"Payment data from Collexo")</f>
        <v>Payment data from Collexo</v>
      </c>
      <c r="D625" s="124" t="str">
        <f>IFERROR(__xludf.DUMMYFUNCTION("""COMPUTED_VALUE"""),"Not Available")</f>
        <v>Not Available</v>
      </c>
      <c r="E625" s="124">
        <f>IFERROR(__xludf.DUMMYFUNCTION("""COMPUTED_VALUE"""),1500613.0)</f>
        <v>1500613</v>
      </c>
      <c r="F625" s="124">
        <f>IFERROR(__xludf.DUMMYFUNCTION("""COMPUTED_VALUE"""),124070.0)</f>
        <v>124070</v>
      </c>
      <c r="G625" s="124">
        <f>IFERROR(__xludf.DUMMYFUNCTION("""COMPUTED_VALUE"""),5000.0)</f>
        <v>5000</v>
      </c>
      <c r="H625" s="131">
        <f>IFERROR(__xludf.DUMMYFUNCTION("""COMPUTED_VALUE"""),46111.0)</f>
        <v>46111</v>
      </c>
      <c r="I625" s="124">
        <f>IFERROR(__xludf.DUMMYFUNCTION("""COMPUTED_VALUE"""),10000.0)</f>
        <v>10000</v>
      </c>
      <c r="J625" s="124">
        <f>IFERROR(__xludf.DUMMYFUNCTION("""COMPUTED_VALUE"""),40000.0)</f>
        <v>40000</v>
      </c>
      <c r="K625" s="124">
        <f>IFERROR(__xludf.DUMMYFUNCTION("""COMPUTED_VALUE"""),3.0)</f>
        <v>3</v>
      </c>
      <c r="L625" s="124">
        <f>IFERROR(__xludf.DUMMYFUNCTION("""COMPUTED_VALUE"""),356.0)</f>
        <v>356</v>
      </c>
      <c r="M625" s="124" t="str">
        <f>IFERROR(__xludf.DUMMYFUNCTION("""COMPUTED_VALUE"""),"Prayagraj")</f>
        <v>Prayagraj</v>
      </c>
      <c r="N625" s="124" t="str">
        <f>IFERROR(__xludf.DUMMYFUNCTION("""COMPUTED_VALUE"""),"mandavisinghgharwarbarokhar@gmail.com")</f>
        <v>mandavisinghgharwarbarokhar@gmail.com</v>
      </c>
      <c r="O625" s="124" t="str">
        <f>IFERROR(__xludf.DUMMYFUNCTION("""COMPUTED_VALUE"""),"Mandavi Singh")</f>
        <v>Mandavi Singh</v>
      </c>
      <c r="P625" s="124">
        <f>IFERROR(__xludf.DUMMYFUNCTION("""COMPUTED_VALUE"""),124070.0)</f>
        <v>124070</v>
      </c>
      <c r="Q625" s="124" t="str">
        <f>IFERROR(__xludf.DUMMYFUNCTION("""COMPUTED_VALUE"""),"upsc-gs-foundation-hindi-target-2027-gsf-upsc-m02-pry")</f>
        <v>upsc-gs-foundation-hindi-target-2027-gsf-upsc-m02-pry</v>
      </c>
      <c r="R625" s="124" t="str">
        <f>IFERROR(__xludf.DUMMYFUNCTION("""COMPUTED_VALUE"""),"GS Foundation Course")</f>
        <v>GS Foundation Course</v>
      </c>
      <c r="S625" s="124">
        <f>IFERROR(__xludf.DUMMYFUNCTION("""COMPUTED_VALUE"""),7.307431916E9)</f>
        <v>7307431916</v>
      </c>
      <c r="T625" s="124" t="str">
        <f>IFERROR(__xludf.DUMMYFUNCTION("""COMPUTED_VALUE"""),"Not Available")</f>
        <v>Not Available</v>
      </c>
      <c r="U625" s="124" t="str">
        <f>IFERROR(__xludf.DUMMYFUNCTION("""COMPUTED_VALUE"""),"Not Available")</f>
        <v>Not Available</v>
      </c>
      <c r="V625" s="124" t="str">
        <f>IFERROR(__xludf.DUMMYFUNCTION("""COMPUTED_VALUE"""),"Not Available")</f>
        <v>Not Available</v>
      </c>
      <c r="W625" s="124" t="str">
        <f>IFERROR(__xludf.DUMMYFUNCTION("""COMPUTED_VALUE"""),"Not Available")</f>
        <v>Not Available</v>
      </c>
    </row>
    <row r="626">
      <c r="A626" s="124" t="str">
        <f t="shared" si="1"/>
        <v>9170spandey@gmail.com</v>
      </c>
      <c r="B626" s="131">
        <f>IFERROR(__xludf.DUMMYFUNCTION("""COMPUTED_VALUE"""),46104.0)</f>
        <v>46104</v>
      </c>
      <c r="C626" s="124" t="str">
        <f>IFERROR(__xludf.DUMMYFUNCTION("""COMPUTED_VALUE"""),"Payment data from Collexo")</f>
        <v>Payment data from Collexo</v>
      </c>
      <c r="D626" s="124" t="str">
        <f>IFERROR(__xludf.DUMMYFUNCTION("""COMPUTED_VALUE"""),"Not Available")</f>
        <v>Not Available</v>
      </c>
      <c r="E626" s="124">
        <f>IFERROR(__xludf.DUMMYFUNCTION("""COMPUTED_VALUE"""),1500613.0)</f>
        <v>1500613</v>
      </c>
      <c r="F626" s="124">
        <f>IFERROR(__xludf.DUMMYFUNCTION("""COMPUTED_VALUE"""),132479.0)</f>
        <v>132479</v>
      </c>
      <c r="G626" s="124">
        <f>IFERROR(__xludf.DUMMYFUNCTION("""COMPUTED_VALUE"""),22000.0)</f>
        <v>22000</v>
      </c>
      <c r="H626" s="124" t="str">
        <f>IFERROR(__xludf.DUMMYFUNCTION("""COMPUTED_VALUE"""),"Not Available")</f>
        <v>Not Available</v>
      </c>
      <c r="I626" s="124">
        <f>IFERROR(__xludf.DUMMYFUNCTION("""COMPUTED_VALUE"""),0.0)</f>
        <v>0</v>
      </c>
      <c r="J626" s="124">
        <f>IFERROR(__xludf.DUMMYFUNCTION("""COMPUTED_VALUE"""),22000.0)</f>
        <v>22000</v>
      </c>
      <c r="K626" s="124">
        <f>IFERROR(__xludf.DUMMYFUNCTION("""COMPUTED_VALUE"""),1.0)</f>
        <v>1</v>
      </c>
      <c r="L626" s="124">
        <f>IFERROR(__xludf.DUMMYFUNCTION("""COMPUTED_VALUE"""),689.0)</f>
        <v>689</v>
      </c>
      <c r="M626" s="124" t="str">
        <f>IFERROR(__xludf.DUMMYFUNCTION("""COMPUTED_VALUE"""),"Prayagraj")</f>
        <v>Prayagraj</v>
      </c>
      <c r="N626" s="124" t="str">
        <f>IFERROR(__xludf.DUMMYFUNCTION("""COMPUTED_VALUE"""),"9170spandey@gmail.com")</f>
        <v>9170spandey@gmail.com</v>
      </c>
      <c r="O626" s="124" t="str">
        <f>IFERROR(__xludf.DUMMYFUNCTION("""COMPUTED_VALUE"""),"Shivam Pandey")</f>
        <v>Shivam Pandey</v>
      </c>
      <c r="P626" s="124">
        <f>IFERROR(__xludf.DUMMYFUNCTION("""COMPUTED_VALUE"""),132479.0)</f>
        <v>132479</v>
      </c>
      <c r="Q626" s="124" t="str">
        <f>IFERROR(__xludf.DUMMYFUNCTION("""COMPUTED_VALUE"""),"samadhan-mentorship-program-pry")</f>
        <v>samadhan-mentorship-program-pry</v>
      </c>
      <c r="R626" s="124" t="str">
        <f>IFERROR(__xludf.DUMMYFUNCTION("""COMPUTED_VALUE"""),"Mentorship - Samadhan")</f>
        <v>Mentorship - Samadhan</v>
      </c>
      <c r="S626" s="124">
        <f>IFERROR(__xludf.DUMMYFUNCTION("""COMPUTED_VALUE"""),9.170828682E9)</f>
        <v>9170828682</v>
      </c>
      <c r="T626" s="124" t="str">
        <f>IFERROR(__xludf.DUMMYFUNCTION("""COMPUTED_VALUE"""),"Not Available")</f>
        <v>Not Available</v>
      </c>
      <c r="U626" s="124" t="str">
        <f>IFERROR(__xludf.DUMMYFUNCTION("""COMPUTED_VALUE"""),"Not Available")</f>
        <v>Not Available</v>
      </c>
      <c r="V626" s="124" t="str">
        <f>IFERROR(__xludf.DUMMYFUNCTION("""COMPUTED_VALUE"""),"Not Available")</f>
        <v>Not Available</v>
      </c>
      <c r="W626" s="124" t="str">
        <f>IFERROR(__xludf.DUMMYFUNCTION("""COMPUTED_VALUE"""),"Not Available")</f>
        <v>Not Available</v>
      </c>
    </row>
    <row r="627">
      <c r="A627" s="124" t="str">
        <f t="shared" si="1"/>
        <v>manjeekumar3198@gmail.com</v>
      </c>
      <c r="B627" s="131">
        <f>IFERROR(__xludf.DUMMYFUNCTION("""COMPUTED_VALUE"""),46111.0)</f>
        <v>46111</v>
      </c>
      <c r="C627" s="124" t="str">
        <f>IFERROR(__xludf.DUMMYFUNCTION("""COMPUTED_VALUE"""),"Payment data from Collexo")</f>
        <v>Payment data from Collexo</v>
      </c>
      <c r="D627" s="124" t="str">
        <f>IFERROR(__xludf.DUMMYFUNCTION("""COMPUTED_VALUE"""),"Not Available")</f>
        <v>Not Available</v>
      </c>
      <c r="E627" s="124">
        <f>IFERROR(__xludf.DUMMYFUNCTION("""COMPUTED_VALUE"""),1500611.0)</f>
        <v>1500611</v>
      </c>
      <c r="F627" s="124">
        <f>IFERROR(__xludf.DUMMYFUNCTION("""COMPUTED_VALUE"""),139869.0)</f>
        <v>139869</v>
      </c>
      <c r="G627" s="124">
        <f>IFERROR(__xludf.DUMMYFUNCTION("""COMPUTED_VALUE"""),3000.0)</f>
        <v>3000</v>
      </c>
      <c r="H627" s="131">
        <f>IFERROR(__xludf.DUMMYFUNCTION("""COMPUTED_VALUE"""),46111.0)</f>
        <v>46111</v>
      </c>
      <c r="I627" s="124">
        <f>IFERROR(__xludf.DUMMYFUNCTION("""COMPUTED_VALUE"""),7000.0)</f>
        <v>7000</v>
      </c>
      <c r="J627" s="124">
        <f>IFERROR(__xludf.DUMMYFUNCTION("""COMPUTED_VALUE"""),45000.0)</f>
        <v>45000</v>
      </c>
      <c r="K627" s="124">
        <f>IFERROR(__xludf.DUMMYFUNCTION("""COMPUTED_VALUE"""),3.0)</f>
        <v>3</v>
      </c>
      <c r="L627" s="124">
        <f>IFERROR(__xludf.DUMMYFUNCTION("""COMPUTED_VALUE"""),830.0)</f>
        <v>830</v>
      </c>
      <c r="M627" s="124" t="str">
        <f>IFERROR(__xludf.DUMMYFUNCTION("""COMPUTED_VALUE"""),"Patna")</f>
        <v>Patna</v>
      </c>
      <c r="N627" s="124" t="str">
        <f>IFERROR(__xludf.DUMMYFUNCTION("""COMPUTED_VALUE"""),"manjeekumar3198@gmail.com")</f>
        <v>manjeekumar3198@gmail.com</v>
      </c>
      <c r="O627" s="124" t="str">
        <f>IFERROR(__xludf.DUMMYFUNCTION("""COMPUTED_VALUE"""),"Manjee")</f>
        <v>Manjee</v>
      </c>
      <c r="P627" s="124">
        <f>IFERROR(__xludf.DUMMYFUNCTION("""COMPUTED_VALUE"""),139869.0)</f>
        <v>139869</v>
      </c>
      <c r="Q627" s="124" t="str">
        <f>IFERROR(__xludf.DUMMYFUNCTION("""COMPUTED_VALUE"""),"bpsc-gs-foundation-hinglish-target-2026-gsf-bpsc-m02-pat")</f>
        <v>bpsc-gs-foundation-hinglish-target-2026-gsf-bpsc-m02-pat</v>
      </c>
      <c r="R627" s="124" t="str">
        <f>IFERROR(__xludf.DUMMYFUNCTION("""COMPUTED_VALUE"""),"State PCS")</f>
        <v>State PCS</v>
      </c>
      <c r="S627" s="124">
        <f>IFERROR(__xludf.DUMMYFUNCTION("""COMPUTED_VALUE"""),9.934281413E9)</f>
        <v>9934281413</v>
      </c>
      <c r="T627" s="124" t="str">
        <f>IFERROR(__xludf.DUMMYFUNCTION("""COMPUTED_VALUE"""),"Not Available")</f>
        <v>Not Available</v>
      </c>
      <c r="U627" s="124" t="str">
        <f>IFERROR(__xludf.DUMMYFUNCTION("""COMPUTED_VALUE"""),"Not Available")</f>
        <v>Not Available</v>
      </c>
      <c r="V627" s="124" t="str">
        <f>IFERROR(__xludf.DUMMYFUNCTION("""COMPUTED_VALUE"""),"Not Available")</f>
        <v>Not Available</v>
      </c>
      <c r="W627" s="124" t="str">
        <f>IFERROR(__xludf.DUMMYFUNCTION("""COMPUTED_VALUE"""),"Not Available")</f>
        <v>Not Available</v>
      </c>
    </row>
    <row r="628">
      <c r="A628" s="124" t="str">
        <f t="shared" si="1"/>
        <v>ankitbhagat024@gmail.com</v>
      </c>
      <c r="B628" s="131">
        <f>IFERROR(__xludf.DUMMYFUNCTION("""COMPUTED_VALUE"""),46064.0)</f>
        <v>46064</v>
      </c>
      <c r="C628" s="124" t="str">
        <f>IFERROR(__xludf.DUMMYFUNCTION("""COMPUTED_VALUE"""),"Payment data from Collexo")</f>
        <v>Payment data from Collexo</v>
      </c>
      <c r="D628" s="124" t="str">
        <f>IFERROR(__xludf.DUMMYFUNCTION("""COMPUTED_VALUE"""),"Not Available")</f>
        <v>Not Available</v>
      </c>
      <c r="E628" s="124">
        <f>IFERROR(__xludf.DUMMYFUNCTION("""COMPUTED_VALUE"""),1500609.0)</f>
        <v>1500609</v>
      </c>
      <c r="F628" s="124" t="str">
        <f>IFERROR(__xludf.DUMMYFUNCTION("""COMPUTED_VALUE"""),"4685_988_7")</f>
        <v>4685_988_7</v>
      </c>
      <c r="G628" s="124">
        <f>IFERROR(__xludf.DUMMYFUNCTION("""COMPUTED_VALUE"""),14000.0)</f>
        <v>14000</v>
      </c>
      <c r="H628" s="131">
        <f>IFERROR(__xludf.DUMMYFUNCTION("""COMPUTED_VALUE"""),46073.0)</f>
        <v>46073</v>
      </c>
      <c r="I628" s="124">
        <f>IFERROR(__xludf.DUMMYFUNCTION("""COMPUTED_VALUE"""),96000.0)</f>
        <v>96000</v>
      </c>
      <c r="J628" s="124">
        <f>IFERROR(__xludf.DUMMYFUNCTION("""COMPUTED_VALUE"""),120000.0)</f>
        <v>120000</v>
      </c>
      <c r="K628" s="124">
        <f>IFERROR(__xludf.DUMMYFUNCTION("""COMPUTED_VALUE"""),3.0)</f>
        <v>3</v>
      </c>
      <c r="L628" s="124">
        <f>IFERROR(__xludf.DUMMYFUNCTION("""COMPUTED_VALUE"""),193.0)</f>
        <v>193</v>
      </c>
      <c r="M628" s="124" t="str">
        <f>IFERROR(__xludf.DUMMYFUNCTION("""COMPUTED_VALUE"""),"New Delhi")</f>
        <v>New Delhi</v>
      </c>
      <c r="N628" s="124" t="str">
        <f>IFERROR(__xludf.DUMMYFUNCTION("""COMPUTED_VALUE"""),"ankitbhagat024@gmail.com")</f>
        <v>ankitbhagat024@gmail.com</v>
      </c>
      <c r="O628" s="124" t="str">
        <f>IFERROR(__xludf.DUMMYFUNCTION("""COMPUTED_VALUE"""),"Ankit Bhagat")</f>
        <v>Ankit Bhagat</v>
      </c>
      <c r="P628" s="124">
        <f>IFERROR(__xludf.DUMMYFUNCTION("""COMPUTED_VALUE"""),122341.0)</f>
        <v>122341</v>
      </c>
      <c r="Q628" s="124" t="str">
        <f>IFERROR(__xludf.DUMMYFUNCTION("""COMPUTED_VALUE"""),"upsc-gs-foundation-hinglish-target-2027-gsf-upsc-m02-orn")</f>
        <v>upsc-gs-foundation-hinglish-target-2027-gsf-upsc-m02-orn</v>
      </c>
      <c r="R628" s="124" t="str">
        <f>IFERROR(__xludf.DUMMYFUNCTION("""COMPUTED_VALUE"""),"GS Foundation Course")</f>
        <v>GS Foundation Course</v>
      </c>
      <c r="S628" s="124">
        <f>IFERROR(__xludf.DUMMYFUNCTION("""COMPUTED_VALUE"""),8.826668218E9)</f>
        <v>8826668218</v>
      </c>
      <c r="T628" s="124" t="str">
        <f>IFERROR(__xludf.DUMMYFUNCTION("""COMPUTED_VALUE"""),"Not Available")</f>
        <v>Not Available</v>
      </c>
      <c r="U628" s="124" t="str">
        <f>IFERROR(__xludf.DUMMYFUNCTION("""COMPUTED_VALUE"""),"Not Available")</f>
        <v>Not Available</v>
      </c>
      <c r="V628" s="124" t="str">
        <f>IFERROR(__xludf.DUMMYFUNCTION("""COMPUTED_VALUE"""),"Not Available")</f>
        <v>Not Available</v>
      </c>
      <c r="W628" s="124" t="str">
        <f>IFERROR(__xludf.DUMMYFUNCTION("""COMPUTED_VALUE"""),"Not Available")</f>
        <v>Not Available</v>
      </c>
    </row>
    <row r="629">
      <c r="A629" s="124" t="str">
        <f t="shared" si="1"/>
        <v>ankitbhagat024@gmail.com</v>
      </c>
      <c r="B629" s="131">
        <f>IFERROR(__xludf.DUMMYFUNCTION("""COMPUTED_VALUE"""),46061.0)</f>
        <v>46061</v>
      </c>
      <c r="C629" s="124" t="str">
        <f>IFERROR(__xludf.DUMMYFUNCTION("""COMPUTED_VALUE"""),"Payment data from Collexo")</f>
        <v>Payment data from Collexo</v>
      </c>
      <c r="D629" s="124" t="str">
        <f>IFERROR(__xludf.DUMMYFUNCTION("""COMPUTED_VALUE"""),"Not Available")</f>
        <v>Not Available</v>
      </c>
      <c r="E629" s="124">
        <f>IFERROR(__xludf.DUMMYFUNCTION("""COMPUTED_VALUE"""),1500609.0)</f>
        <v>1500609</v>
      </c>
      <c r="F629" s="124" t="str">
        <f>IFERROR(__xludf.DUMMYFUNCTION("""COMPUTED_VALUE"""),"4267_988_7")</f>
        <v>4267_988_7</v>
      </c>
      <c r="G629" s="124">
        <f>IFERROR(__xludf.DUMMYFUNCTION("""COMPUTED_VALUE"""),10000.0)</f>
        <v>10000</v>
      </c>
      <c r="H629" s="131">
        <f>IFERROR(__xludf.DUMMYFUNCTION("""COMPUTED_VALUE"""),46064.0)</f>
        <v>46064</v>
      </c>
      <c r="I629" s="124">
        <f>IFERROR(__xludf.DUMMYFUNCTION("""COMPUTED_VALUE"""),110000.0)</f>
        <v>110000</v>
      </c>
      <c r="J629" s="124">
        <f>IFERROR(__xludf.DUMMYFUNCTION("""COMPUTED_VALUE"""),120000.0)</f>
        <v>120000</v>
      </c>
      <c r="K629" s="124">
        <f>IFERROR(__xludf.DUMMYFUNCTION("""COMPUTED_VALUE"""),2.0)</f>
        <v>2</v>
      </c>
      <c r="L629" s="124">
        <f>IFERROR(__xludf.DUMMYFUNCTION("""COMPUTED_VALUE"""),178.0)</f>
        <v>178</v>
      </c>
      <c r="M629" s="124" t="str">
        <f>IFERROR(__xludf.DUMMYFUNCTION("""COMPUTED_VALUE"""),"New Delhi")</f>
        <v>New Delhi</v>
      </c>
      <c r="N629" s="124" t="str">
        <f>IFERROR(__xludf.DUMMYFUNCTION("""COMPUTED_VALUE"""),"ankitbhagat024@gmail.com")</f>
        <v>ankitbhagat024@gmail.com</v>
      </c>
      <c r="O629" s="124" t="str">
        <f>IFERROR(__xludf.DUMMYFUNCTION("""COMPUTED_VALUE"""),"Ankit Bhagat")</f>
        <v>Ankit Bhagat</v>
      </c>
      <c r="P629" s="124">
        <f>IFERROR(__xludf.DUMMYFUNCTION("""COMPUTED_VALUE"""),122341.0)</f>
        <v>122341</v>
      </c>
      <c r="Q629" s="124" t="str">
        <f>IFERROR(__xludf.DUMMYFUNCTION("""COMPUTED_VALUE"""),"upsc-gs-foundation-hinglish-target-2027-gsf-upsc-m02-orn")</f>
        <v>upsc-gs-foundation-hinglish-target-2027-gsf-upsc-m02-orn</v>
      </c>
      <c r="R629" s="124" t="str">
        <f>IFERROR(__xludf.DUMMYFUNCTION("""COMPUTED_VALUE"""),"GS Foundation Course")</f>
        <v>GS Foundation Course</v>
      </c>
      <c r="S629" s="124">
        <f>IFERROR(__xludf.DUMMYFUNCTION("""COMPUTED_VALUE"""),8.826668218E9)</f>
        <v>8826668218</v>
      </c>
      <c r="T629" s="124" t="str">
        <f>IFERROR(__xludf.DUMMYFUNCTION("""COMPUTED_VALUE"""),"Not Available")</f>
        <v>Not Available</v>
      </c>
      <c r="U629" s="124" t="str">
        <f>IFERROR(__xludf.DUMMYFUNCTION("""COMPUTED_VALUE"""),"Not Available")</f>
        <v>Not Available</v>
      </c>
      <c r="V629" s="124" t="str">
        <f>IFERROR(__xludf.DUMMYFUNCTION("""COMPUTED_VALUE"""),"Not Available")</f>
        <v>Not Available</v>
      </c>
      <c r="W629" s="124" t="str">
        <f>IFERROR(__xludf.DUMMYFUNCTION("""COMPUTED_VALUE"""),"Not Available")</f>
        <v>Not Available</v>
      </c>
    </row>
    <row r="630">
      <c r="A630" s="124" t="str">
        <f t="shared" si="1"/>
        <v>saurabh9990k@gmail.com</v>
      </c>
      <c r="B630" s="131">
        <f>IFERROR(__xludf.DUMMYFUNCTION("""COMPUTED_VALUE"""),46110.0)</f>
        <v>46110</v>
      </c>
      <c r="C630" s="124" t="str">
        <f>IFERROR(__xludf.DUMMYFUNCTION("""COMPUTED_VALUE"""),"Payment data from Collexo")</f>
        <v>Payment data from Collexo</v>
      </c>
      <c r="D630" s="124" t="str">
        <f>IFERROR(__xludf.DUMMYFUNCTION("""COMPUTED_VALUE"""),"Not Available")</f>
        <v>Not Available</v>
      </c>
      <c r="E630" s="124">
        <f>IFERROR(__xludf.DUMMYFUNCTION("""COMPUTED_VALUE"""),1500613.0)</f>
        <v>1500613</v>
      </c>
      <c r="F630" s="124">
        <f>IFERROR(__xludf.DUMMYFUNCTION("""COMPUTED_VALUE"""),139347.0)</f>
        <v>139347</v>
      </c>
      <c r="G630" s="124">
        <f>IFERROR(__xludf.DUMMYFUNCTION("""COMPUTED_VALUE"""),10052.0)</f>
        <v>10052</v>
      </c>
      <c r="H630" s="131">
        <f>IFERROR(__xludf.DUMMYFUNCTION("""COMPUTED_VALUE"""),46112.0)</f>
        <v>46112</v>
      </c>
      <c r="I630" s="124">
        <f>IFERROR(__xludf.DUMMYFUNCTION("""COMPUTED_VALUE"""),54948.0)</f>
        <v>54948</v>
      </c>
      <c r="J630" s="124">
        <f>IFERROR(__xludf.DUMMYFUNCTION("""COMPUTED_VALUE"""),65000.0)</f>
        <v>65000</v>
      </c>
      <c r="K630" s="124">
        <f>IFERROR(__xludf.DUMMYFUNCTION("""COMPUTED_VALUE"""),2.0)</f>
        <v>2</v>
      </c>
      <c r="L630" s="124">
        <f>IFERROR(__xludf.DUMMYFUNCTION("""COMPUTED_VALUE"""),824.0)</f>
        <v>824</v>
      </c>
      <c r="M630" s="124" t="str">
        <f>IFERROR(__xludf.DUMMYFUNCTION("""COMPUTED_VALUE"""),"Prayagraj")</f>
        <v>Prayagraj</v>
      </c>
      <c r="N630" s="124" t="str">
        <f>IFERROR(__xludf.DUMMYFUNCTION("""COMPUTED_VALUE"""),"saurabh9990k@gmail.com")</f>
        <v>saurabh9990k@gmail.com</v>
      </c>
      <c r="O630" s="124" t="str">
        <f>IFERROR(__xludf.DUMMYFUNCTION("""COMPUTED_VALUE"""),"Saurabh Kumar")</f>
        <v>Saurabh Kumar</v>
      </c>
      <c r="P630" s="124">
        <f>IFERROR(__xludf.DUMMYFUNCTION("""COMPUTED_VALUE"""),139347.0)</f>
        <v>139347</v>
      </c>
      <c r="Q630" s="124" t="str">
        <f>IFERROR(__xludf.DUMMYFUNCTION("""COMPUTED_VALUE"""),"upsc-gs-foundation-hindi-target-2027-gsf-upsc-m03-pry")</f>
        <v>upsc-gs-foundation-hindi-target-2027-gsf-upsc-m03-pry</v>
      </c>
      <c r="R630" s="124" t="str">
        <f>IFERROR(__xludf.DUMMYFUNCTION("""COMPUTED_VALUE"""),"GS Foundation Course")</f>
        <v>GS Foundation Course</v>
      </c>
      <c r="S630" s="124">
        <f>IFERROR(__xludf.DUMMYFUNCTION("""COMPUTED_VALUE"""),8.795174495E9)</f>
        <v>8795174495</v>
      </c>
      <c r="T630" s="124" t="str">
        <f>IFERROR(__xludf.DUMMYFUNCTION("""COMPUTED_VALUE"""),"Not Available")</f>
        <v>Not Available</v>
      </c>
      <c r="U630" s="124" t="str">
        <f>IFERROR(__xludf.DUMMYFUNCTION("""COMPUTED_VALUE"""),"Not Available")</f>
        <v>Not Available</v>
      </c>
      <c r="V630" s="124" t="str">
        <f>IFERROR(__xludf.DUMMYFUNCTION("""COMPUTED_VALUE"""),"Not Available")</f>
        <v>Not Available</v>
      </c>
      <c r="W630" s="124" t="str">
        <f>IFERROR(__xludf.DUMMYFUNCTION("""COMPUTED_VALUE"""),"Not Available")</f>
        <v>Not Available</v>
      </c>
    </row>
    <row r="631">
      <c r="A631" s="124" t="str">
        <f t="shared" si="1"/>
        <v>sarmah.rishiraj01@gmail.com</v>
      </c>
      <c r="B631" s="131">
        <f>IFERROR(__xludf.DUMMYFUNCTION("""COMPUTED_VALUE"""),46087.0)</f>
        <v>46087</v>
      </c>
      <c r="C631" s="124" t="str">
        <f>IFERROR(__xludf.DUMMYFUNCTION("""COMPUTED_VALUE"""),"Payment data from Collexo")</f>
        <v>Payment data from Collexo</v>
      </c>
      <c r="D631" s="124" t="str">
        <f>IFERROR(__xludf.DUMMYFUNCTION("""COMPUTED_VALUE"""),"Not Available")</f>
        <v>Not Available</v>
      </c>
      <c r="E631" s="124">
        <f>IFERROR(__xludf.DUMMYFUNCTION("""COMPUTED_VALUE"""),1500609.0)</f>
        <v>1500609</v>
      </c>
      <c r="F631" s="124" t="str">
        <f>IFERROR(__xludf.DUMMYFUNCTION("""COMPUTED_VALUE"""),"12860_988_7")</f>
        <v>12860_988_7</v>
      </c>
      <c r="G631" s="124">
        <f>IFERROR(__xludf.DUMMYFUNCTION("""COMPUTED_VALUE"""),1.0)</f>
        <v>1</v>
      </c>
      <c r="H631" s="124" t="str">
        <f>IFERROR(__xludf.DUMMYFUNCTION("""COMPUTED_VALUE"""),"Not Available")</f>
        <v>Not Available</v>
      </c>
      <c r="I631" s="124">
        <f>IFERROR(__xludf.DUMMYFUNCTION("""COMPUTED_VALUE"""),0.0)</f>
        <v>0</v>
      </c>
      <c r="J631" s="124">
        <f>IFERROR(__xludf.DUMMYFUNCTION("""COMPUTED_VALUE"""),1.0)</f>
        <v>1</v>
      </c>
      <c r="K631" s="124">
        <f>IFERROR(__xludf.DUMMYFUNCTION("""COMPUTED_VALUE"""),1.0)</f>
        <v>1</v>
      </c>
      <c r="L631" s="124">
        <f>IFERROR(__xludf.DUMMYFUNCTION("""COMPUTED_VALUE"""),425.0)</f>
        <v>425</v>
      </c>
      <c r="M631" s="124" t="str">
        <f>IFERROR(__xludf.DUMMYFUNCTION("""COMPUTED_VALUE"""),"New Delhi")</f>
        <v>New Delhi</v>
      </c>
      <c r="N631" s="124" t="str">
        <f>IFERROR(__xludf.DUMMYFUNCTION("""COMPUTED_VALUE"""),"sarmah.rishiraj01@gmail.com")</f>
        <v>sarmah.rishiraj01@gmail.com</v>
      </c>
      <c r="O631" s="124" t="str">
        <f>IFERROR(__xludf.DUMMYFUNCTION("""COMPUTED_VALUE"""),"Rishiraj sharma")</f>
        <v>Rishiraj sharma</v>
      </c>
      <c r="P631" s="124">
        <f>IFERROR(__xludf.DUMMYFUNCTION("""COMPUTED_VALUE"""),125506.0)</f>
        <v>125506</v>
      </c>
      <c r="Q631" s="124" t="str">
        <f>IFERROR(__xludf.DUMMYFUNCTION("""COMPUTED_VALUE"""),"upsc-gs-foundation-hinglish-target-2027-gsf-upsc-e05-orn")</f>
        <v>upsc-gs-foundation-hinglish-target-2027-gsf-upsc-e05-orn</v>
      </c>
      <c r="R631" s="124" t="str">
        <f>IFERROR(__xludf.DUMMYFUNCTION("""COMPUTED_VALUE"""),"GS Foundation Course")</f>
        <v>GS Foundation Course</v>
      </c>
      <c r="S631" s="124">
        <f>IFERROR(__xludf.DUMMYFUNCTION("""COMPUTED_VALUE"""),7.636072099E9)</f>
        <v>7636072099</v>
      </c>
      <c r="T631" s="124" t="str">
        <f>IFERROR(__xludf.DUMMYFUNCTION("""COMPUTED_VALUE"""),"Collexo")</f>
        <v>Collexo</v>
      </c>
      <c r="U631" s="124" t="str">
        <f>IFERROR(__xludf.DUMMYFUNCTION("""COMPUTED_VALUE"""),"Success")</f>
        <v>Success</v>
      </c>
      <c r="V631" s="131">
        <f>IFERROR(__xludf.DUMMYFUNCTION("""COMPUTED_VALUE"""),46087.0)</f>
        <v>46087</v>
      </c>
      <c r="W631" s="124">
        <f>IFERROR(__xludf.DUMMYFUNCTION("""COMPUTED_VALUE"""),0.0)</f>
        <v>0</v>
      </c>
    </row>
    <row r="632">
      <c r="A632" s="124" t="str">
        <f t="shared" si="1"/>
        <v>omm48756@gmail.com</v>
      </c>
      <c r="B632" s="131">
        <f>IFERROR(__xludf.DUMMYFUNCTION("""COMPUTED_VALUE"""),46111.0)</f>
        <v>46111</v>
      </c>
      <c r="C632" s="124" t="str">
        <f>IFERROR(__xludf.DUMMYFUNCTION("""COMPUTED_VALUE"""),"Payment data from Collexo")</f>
        <v>Payment data from Collexo</v>
      </c>
      <c r="D632" s="124" t="str">
        <f>IFERROR(__xludf.DUMMYFUNCTION("""COMPUTED_VALUE"""),"Not Available")</f>
        <v>Not Available</v>
      </c>
      <c r="E632" s="124">
        <f>IFERROR(__xludf.DUMMYFUNCTION("""COMPUTED_VALUE"""),1500610.0)</f>
        <v>1500610</v>
      </c>
      <c r="F632" s="124">
        <f>IFERROR(__xludf.DUMMYFUNCTION("""COMPUTED_VALUE"""),65144.0)</f>
        <v>65144</v>
      </c>
      <c r="G632" s="124">
        <f>IFERROR(__xludf.DUMMYFUNCTION("""COMPUTED_VALUE"""),10000.0)</f>
        <v>10000</v>
      </c>
      <c r="H632" s="131">
        <f>IFERROR(__xludf.DUMMYFUNCTION("""COMPUTED_VALUE"""),46113.0)</f>
        <v>46113</v>
      </c>
      <c r="I632" s="124">
        <f>IFERROR(__xludf.DUMMYFUNCTION("""COMPUTED_VALUE"""),10000.0)</f>
        <v>10000</v>
      </c>
      <c r="J632" s="124">
        <f>IFERROR(__xludf.DUMMYFUNCTION("""COMPUTED_VALUE"""),25000.0)</f>
        <v>25000</v>
      </c>
      <c r="K632" s="124">
        <f>IFERROR(__xludf.DUMMYFUNCTION("""COMPUTED_VALUE"""),3.0)</f>
        <v>3</v>
      </c>
      <c r="L632" s="124">
        <f>IFERROR(__xludf.DUMMYFUNCTION("""COMPUTED_VALUE"""),849.0)</f>
        <v>849</v>
      </c>
      <c r="M632" s="124" t="str">
        <f>IFERROR(__xludf.DUMMYFUNCTION("""COMPUTED_VALUE"""),"Lucknow")</f>
        <v>Lucknow</v>
      </c>
      <c r="N632" s="124" t="str">
        <f>IFERROR(__xludf.DUMMYFUNCTION("""COMPUTED_VALUE"""),"omm48756@gmail.com")</f>
        <v>omm48756@gmail.com</v>
      </c>
      <c r="O632" s="124" t="str">
        <f>IFERROR(__xludf.DUMMYFUNCTION("""COMPUTED_VALUE"""),"mrityunjay mishra")</f>
        <v>mrityunjay mishra</v>
      </c>
      <c r="P632" s="124">
        <f>IFERROR(__xludf.DUMMYFUNCTION("""COMPUTED_VALUE"""),65144.0)</f>
        <v>65144</v>
      </c>
      <c r="Q632" s="124" t="str">
        <f>IFERROR(__xludf.DUMMYFUNCTION("""COMPUTED_VALUE"""),"upsc-gs-foundation-hindi-target-2027-gsf-upsc-m02-lko")</f>
        <v>upsc-gs-foundation-hindi-target-2027-gsf-upsc-m02-lko</v>
      </c>
      <c r="R632" s="124" t="str">
        <f>IFERROR(__xludf.DUMMYFUNCTION("""COMPUTED_VALUE"""),"GS Foundation Course")</f>
        <v>GS Foundation Course</v>
      </c>
      <c r="S632" s="124">
        <f>IFERROR(__xludf.DUMMYFUNCTION("""COMPUTED_VALUE"""),8.303105265E9)</f>
        <v>8303105265</v>
      </c>
      <c r="T632" s="124" t="str">
        <f>IFERROR(__xludf.DUMMYFUNCTION("""COMPUTED_VALUE"""),"Not Available")</f>
        <v>Not Available</v>
      </c>
      <c r="U632" s="124" t="str">
        <f>IFERROR(__xludf.DUMMYFUNCTION("""COMPUTED_VALUE"""),"Not Available")</f>
        <v>Not Available</v>
      </c>
      <c r="V632" s="124" t="str">
        <f>IFERROR(__xludf.DUMMYFUNCTION("""COMPUTED_VALUE"""),"Not Available")</f>
        <v>Not Available</v>
      </c>
      <c r="W632" s="124" t="str">
        <f>IFERROR(__xludf.DUMMYFUNCTION("""COMPUTED_VALUE"""),"Not Available")</f>
        <v>Not Available</v>
      </c>
    </row>
    <row r="633">
      <c r="A633" s="124" t="str">
        <f t="shared" si="1"/>
        <v>sarmah.rishiraj01@gmail.com</v>
      </c>
      <c r="B633" s="131">
        <f>IFERROR(__xludf.DUMMYFUNCTION("""COMPUTED_VALUE"""),46087.0)</f>
        <v>46087</v>
      </c>
      <c r="C633" s="124" t="str">
        <f>IFERROR(__xludf.DUMMYFUNCTION("""COMPUTED_VALUE"""),"Payment data from Collexo")</f>
        <v>Payment data from Collexo</v>
      </c>
      <c r="D633" s="124" t="str">
        <f>IFERROR(__xludf.DUMMYFUNCTION("""COMPUTED_VALUE"""),"Not Available")</f>
        <v>Not Available</v>
      </c>
      <c r="E633" s="124">
        <f>IFERROR(__xludf.DUMMYFUNCTION("""COMPUTED_VALUE"""),1500609.0)</f>
        <v>1500609</v>
      </c>
      <c r="F633" s="124" t="str">
        <f>IFERROR(__xludf.DUMMYFUNCTION("""COMPUTED_VALUE"""),"12859_988_7")</f>
        <v>12859_988_7</v>
      </c>
      <c r="G633" s="124">
        <f>IFERROR(__xludf.DUMMYFUNCTION("""COMPUTED_VALUE"""),103000.0)</f>
        <v>103000</v>
      </c>
      <c r="H633" s="124" t="str">
        <f>IFERROR(__xludf.DUMMYFUNCTION("""COMPUTED_VALUE"""),"Not Available")</f>
        <v>Not Available</v>
      </c>
      <c r="I633" s="124">
        <f>IFERROR(__xludf.DUMMYFUNCTION("""COMPUTED_VALUE"""),0.0)</f>
        <v>0</v>
      </c>
      <c r="J633" s="124">
        <f>IFERROR(__xludf.DUMMYFUNCTION("""COMPUTED_VALUE"""),105000.0)</f>
        <v>105000</v>
      </c>
      <c r="K633" s="124">
        <f>IFERROR(__xludf.DUMMYFUNCTION("""COMPUTED_VALUE"""),2.0)</f>
        <v>2</v>
      </c>
      <c r="L633" s="124">
        <f>IFERROR(__xludf.DUMMYFUNCTION("""COMPUTED_VALUE"""),424.0)</f>
        <v>424</v>
      </c>
      <c r="M633" s="124" t="str">
        <f>IFERROR(__xludf.DUMMYFUNCTION("""COMPUTED_VALUE"""),"New Delhi")</f>
        <v>New Delhi</v>
      </c>
      <c r="N633" s="124" t="str">
        <f>IFERROR(__xludf.DUMMYFUNCTION("""COMPUTED_VALUE"""),"sarmah.rishiraj01@gmail.com")</f>
        <v>sarmah.rishiraj01@gmail.com</v>
      </c>
      <c r="O633" s="124" t="str">
        <f>IFERROR(__xludf.DUMMYFUNCTION("""COMPUTED_VALUE"""),"Rishiraj sharma")</f>
        <v>Rishiraj sharma</v>
      </c>
      <c r="P633" s="124">
        <f>IFERROR(__xludf.DUMMYFUNCTION("""COMPUTED_VALUE"""),125506.0)</f>
        <v>125506</v>
      </c>
      <c r="Q633" s="124" t="str">
        <f>IFERROR(__xludf.DUMMYFUNCTION("""COMPUTED_VALUE"""),"upsc-gs-foundation-hinglish-target-2027-gsf-upsc-e05-orn")</f>
        <v>upsc-gs-foundation-hinglish-target-2027-gsf-upsc-e05-orn</v>
      </c>
      <c r="R633" s="124" t="str">
        <f>IFERROR(__xludf.DUMMYFUNCTION("""COMPUTED_VALUE"""),"GS Foundation Course")</f>
        <v>GS Foundation Course</v>
      </c>
      <c r="S633" s="124">
        <f>IFERROR(__xludf.DUMMYFUNCTION("""COMPUTED_VALUE"""),7.636072099E9)</f>
        <v>7636072099</v>
      </c>
      <c r="T633" s="124" t="str">
        <f>IFERROR(__xludf.DUMMYFUNCTION("""COMPUTED_VALUE"""),"Collexo")</f>
        <v>Collexo</v>
      </c>
      <c r="U633" s="124" t="str">
        <f>IFERROR(__xludf.DUMMYFUNCTION("""COMPUTED_VALUE"""),"Success")</f>
        <v>Success</v>
      </c>
      <c r="V633" s="131">
        <f>IFERROR(__xludf.DUMMYFUNCTION("""COMPUTED_VALUE"""),46087.0)</f>
        <v>46087</v>
      </c>
      <c r="W633" s="124">
        <f>IFERROR(__xludf.DUMMYFUNCTION("""COMPUTED_VALUE"""),0.0)</f>
        <v>0</v>
      </c>
    </row>
    <row r="634">
      <c r="A634" s="124" t="str">
        <f t="shared" si="1"/>
        <v>anannyahazarika396@gmail.com</v>
      </c>
      <c r="B634" s="131">
        <f>IFERROR(__xludf.DUMMYFUNCTION("""COMPUTED_VALUE"""),46079.0)</f>
        <v>46079</v>
      </c>
      <c r="C634" s="124" t="str">
        <f>IFERROR(__xludf.DUMMYFUNCTION("""COMPUTED_VALUE"""),"Payment data from Collexo")</f>
        <v>Payment data from Collexo</v>
      </c>
      <c r="D634" s="124" t="str">
        <f>IFERROR(__xludf.DUMMYFUNCTION("""COMPUTED_VALUE"""),"Not Available")</f>
        <v>Not Available</v>
      </c>
      <c r="E634" s="124">
        <f>IFERROR(__xludf.DUMMYFUNCTION("""COMPUTED_VALUE"""),1500609.0)</f>
        <v>1500609</v>
      </c>
      <c r="F634" s="124" t="str">
        <f>IFERROR(__xludf.DUMMYFUNCTION("""COMPUTED_VALUE"""),"11223_988_7")</f>
        <v>11223_988_7</v>
      </c>
      <c r="G634" s="124">
        <f>IFERROR(__xludf.DUMMYFUNCTION("""COMPUTED_VALUE"""),1.0)</f>
        <v>1</v>
      </c>
      <c r="H634" s="124" t="str">
        <f>IFERROR(__xludf.DUMMYFUNCTION("""COMPUTED_VALUE"""),"Not Available")</f>
        <v>Not Available</v>
      </c>
      <c r="I634" s="124">
        <f>IFERROR(__xludf.DUMMYFUNCTION("""COMPUTED_VALUE"""),0.0)</f>
        <v>0</v>
      </c>
      <c r="J634" s="124">
        <f>IFERROR(__xludf.DUMMYFUNCTION("""COMPUTED_VALUE"""),1.0)</f>
        <v>1</v>
      </c>
      <c r="K634" s="124">
        <f>IFERROR(__xludf.DUMMYFUNCTION("""COMPUTED_VALUE"""),1.0)</f>
        <v>1</v>
      </c>
      <c r="L634" s="124">
        <f>IFERROR(__xludf.DUMMYFUNCTION("""COMPUTED_VALUE"""),352.0)</f>
        <v>352</v>
      </c>
      <c r="M634" s="124" t="str">
        <f>IFERROR(__xludf.DUMMYFUNCTION("""COMPUTED_VALUE"""),"New Delhi")</f>
        <v>New Delhi</v>
      </c>
      <c r="N634" s="124" t="str">
        <f>IFERROR(__xludf.DUMMYFUNCTION("""COMPUTED_VALUE"""),"anannyahazarika396@gmail.com")</f>
        <v>anannyahazarika396@gmail.com</v>
      </c>
      <c r="O634" s="124" t="str">
        <f>IFERROR(__xludf.DUMMYFUNCTION("""COMPUTED_VALUE"""),"Anannya")</f>
        <v>Anannya</v>
      </c>
      <c r="P634" s="124">
        <f>IFERROR(__xludf.DUMMYFUNCTION("""COMPUTED_VALUE"""),124311.0)</f>
        <v>124311</v>
      </c>
      <c r="Q634" s="124" t="str">
        <f>IFERROR(__xludf.DUMMYFUNCTION("""COMPUTED_VALUE"""),"-")</f>
        <v>-</v>
      </c>
      <c r="R634" s="124" t="str">
        <f>IFERROR(__xludf.DUMMYFUNCTION("""COMPUTED_VALUE"""),"GS Foundation Course")</f>
        <v>GS Foundation Course</v>
      </c>
      <c r="S634" s="124">
        <f>IFERROR(__xludf.DUMMYFUNCTION("""COMPUTED_VALUE"""),9.957591623E9)</f>
        <v>9957591623</v>
      </c>
      <c r="T634" s="124" t="str">
        <f>IFERROR(__xludf.DUMMYFUNCTION("""COMPUTED_VALUE"""),"Collexo")</f>
        <v>Collexo</v>
      </c>
      <c r="U634" s="124" t="str">
        <f>IFERROR(__xludf.DUMMYFUNCTION("""COMPUTED_VALUE"""),"Success")</f>
        <v>Success</v>
      </c>
      <c r="V634" s="131">
        <f>IFERROR(__xludf.DUMMYFUNCTION("""COMPUTED_VALUE"""),46079.0)</f>
        <v>46079</v>
      </c>
      <c r="W634" s="124">
        <f>IFERROR(__xludf.DUMMYFUNCTION("""COMPUTED_VALUE"""),0.0)</f>
        <v>0</v>
      </c>
    </row>
    <row r="635">
      <c r="A635" s="124" t="str">
        <f t="shared" si="1"/>
        <v>kajalkumariabhis@gmail.com</v>
      </c>
      <c r="B635" s="131">
        <f>IFERROR(__xludf.DUMMYFUNCTION("""COMPUTED_VALUE"""),46081.0)</f>
        <v>46081</v>
      </c>
      <c r="C635" s="124" t="str">
        <f>IFERROR(__xludf.DUMMYFUNCTION("""COMPUTED_VALUE"""),"Payment data from Collexo")</f>
        <v>Payment data from Collexo</v>
      </c>
      <c r="D635" s="124" t="str">
        <f>IFERROR(__xludf.DUMMYFUNCTION("""COMPUTED_VALUE"""),"Not Available")</f>
        <v>Not Available</v>
      </c>
      <c r="E635" s="124">
        <f>IFERROR(__xludf.DUMMYFUNCTION("""COMPUTED_VALUE"""),1500611.0)</f>
        <v>1500611</v>
      </c>
      <c r="F635" s="124">
        <f>IFERROR(__xludf.DUMMYFUNCTION("""COMPUTED_VALUE"""),124709.0)</f>
        <v>124709</v>
      </c>
      <c r="G635" s="124">
        <f>IFERROR(__xludf.DUMMYFUNCTION("""COMPUTED_VALUE"""),4000.0)</f>
        <v>4000</v>
      </c>
      <c r="H635" s="131">
        <f>IFERROR(__xludf.DUMMYFUNCTION("""COMPUTED_VALUE"""),46081.0)</f>
        <v>46081</v>
      </c>
      <c r="I635" s="124">
        <f>IFERROR(__xludf.DUMMYFUNCTION("""COMPUTED_VALUE"""),36000.0)</f>
        <v>36000</v>
      </c>
      <c r="J635" s="124">
        <f>IFERROR(__xludf.DUMMYFUNCTION("""COMPUTED_VALUE"""),40000.0)</f>
        <v>40000</v>
      </c>
      <c r="K635" s="124">
        <f>IFERROR(__xludf.DUMMYFUNCTION("""COMPUTED_VALUE"""),2.0)</f>
        <v>2</v>
      </c>
      <c r="L635" s="124">
        <f>IFERROR(__xludf.DUMMYFUNCTION("""COMPUTED_VALUE"""),383.0)</f>
        <v>383</v>
      </c>
      <c r="M635" s="124" t="str">
        <f>IFERROR(__xludf.DUMMYFUNCTION("""COMPUTED_VALUE"""),"Patna")</f>
        <v>Patna</v>
      </c>
      <c r="N635" s="124" t="str">
        <f>IFERROR(__xludf.DUMMYFUNCTION("""COMPUTED_VALUE"""),"kajalkumariabhis@gmail.com")</f>
        <v>kajalkumariabhis@gmail.com</v>
      </c>
      <c r="O635" s="124" t="str">
        <f>IFERROR(__xludf.DUMMYFUNCTION("""COMPUTED_VALUE"""),"Kajal kumari")</f>
        <v>Kajal kumari</v>
      </c>
      <c r="P635" s="124">
        <f>IFERROR(__xludf.DUMMYFUNCTION("""COMPUTED_VALUE"""),124709.0)</f>
        <v>124709</v>
      </c>
      <c r="Q635" s="124" t="str">
        <f>IFERROR(__xludf.DUMMYFUNCTION("""COMPUTED_VALUE"""),"bpsc-gs-foundation-hindi-target-2026-gsf-bpsc-m02-pat")</f>
        <v>bpsc-gs-foundation-hindi-target-2026-gsf-bpsc-m02-pat</v>
      </c>
      <c r="R635" s="124" t="str">
        <f>IFERROR(__xludf.DUMMYFUNCTION("""COMPUTED_VALUE"""),"State PCS")</f>
        <v>State PCS</v>
      </c>
      <c r="S635" s="124">
        <f>IFERROR(__xludf.DUMMYFUNCTION("""COMPUTED_VALUE"""),9.153765437E9)</f>
        <v>9153765437</v>
      </c>
      <c r="T635" s="124" t="str">
        <f>IFERROR(__xludf.DUMMYFUNCTION("""COMPUTED_VALUE"""),"Not Available")</f>
        <v>Not Available</v>
      </c>
      <c r="U635" s="124" t="str">
        <f>IFERROR(__xludf.DUMMYFUNCTION("""COMPUTED_VALUE"""),"Not Available")</f>
        <v>Not Available</v>
      </c>
      <c r="V635" s="124" t="str">
        <f>IFERROR(__xludf.DUMMYFUNCTION("""COMPUTED_VALUE"""),"Not Available")</f>
        <v>Not Available</v>
      </c>
      <c r="W635" s="124" t="str">
        <f>IFERROR(__xludf.DUMMYFUNCTION("""COMPUTED_VALUE"""),"Not Available")</f>
        <v>Not Available</v>
      </c>
    </row>
    <row r="636">
      <c r="A636" s="124" t="str">
        <f t="shared" si="1"/>
        <v>kinkarkkumarpandey@gmail.com</v>
      </c>
      <c r="B636" s="131">
        <f>IFERROR(__xludf.DUMMYFUNCTION("""COMPUTED_VALUE"""),46100.0)</f>
        <v>46100</v>
      </c>
      <c r="C636" s="124" t="str">
        <f>IFERROR(__xludf.DUMMYFUNCTION("""COMPUTED_VALUE"""),"Payment data from Collexo")</f>
        <v>Payment data from Collexo</v>
      </c>
      <c r="D636" s="124" t="str">
        <f>IFERROR(__xludf.DUMMYFUNCTION("""COMPUTED_VALUE"""),"Not Available")</f>
        <v>Not Available</v>
      </c>
      <c r="E636" s="124">
        <f>IFERROR(__xludf.DUMMYFUNCTION("""COMPUTED_VALUE"""),1500613.0)</f>
        <v>1500613</v>
      </c>
      <c r="F636" s="124">
        <f>IFERROR(__xludf.DUMMYFUNCTION("""COMPUTED_VALUE"""),129422.0)</f>
        <v>129422</v>
      </c>
      <c r="G636" s="124">
        <f>IFERROR(__xludf.DUMMYFUNCTION("""COMPUTED_VALUE"""),1000.0)</f>
        <v>1000</v>
      </c>
      <c r="H636" s="131">
        <f>IFERROR(__xludf.DUMMYFUNCTION("""COMPUTED_VALUE"""),46100.0)</f>
        <v>46100</v>
      </c>
      <c r="I636" s="124">
        <f>IFERROR(__xludf.DUMMYFUNCTION("""COMPUTED_VALUE"""),6515.0)</f>
        <v>6515</v>
      </c>
      <c r="J636" s="124">
        <f>IFERROR(__xludf.DUMMYFUNCTION("""COMPUTED_VALUE"""),45000.0)</f>
        <v>45000</v>
      </c>
      <c r="K636" s="124">
        <f>IFERROR(__xludf.DUMMYFUNCTION("""COMPUTED_VALUE"""),3.0)</f>
        <v>3</v>
      </c>
      <c r="L636" s="124">
        <f>IFERROR(__xludf.DUMMYFUNCTION("""COMPUTED_VALUE"""),623.0)</f>
        <v>623</v>
      </c>
      <c r="M636" s="124" t="str">
        <f>IFERROR(__xludf.DUMMYFUNCTION("""COMPUTED_VALUE"""),"Prayagraj")</f>
        <v>Prayagraj</v>
      </c>
      <c r="N636" s="124" t="str">
        <f>IFERROR(__xludf.DUMMYFUNCTION("""COMPUTED_VALUE"""),"kinkarkkumarpandey@gmail.com")</f>
        <v>kinkarkkumarpandey@gmail.com</v>
      </c>
      <c r="O636" s="124" t="str">
        <f>IFERROR(__xludf.DUMMYFUNCTION("""COMPUTED_VALUE"""),"Nandita pandey")</f>
        <v>Nandita pandey</v>
      </c>
      <c r="P636" s="124">
        <f>IFERROR(__xludf.DUMMYFUNCTION("""COMPUTED_VALUE"""),129422.0)</f>
        <v>129422</v>
      </c>
      <c r="Q636" s="124" t="str">
        <f>IFERROR(__xludf.DUMMYFUNCTION("""COMPUTED_VALUE"""),"upsc-gs-foundation-hinglish-target-2027-gsf-upsc-e03-pry")</f>
        <v>upsc-gs-foundation-hinglish-target-2027-gsf-upsc-e03-pry</v>
      </c>
      <c r="R636" s="124" t="str">
        <f>IFERROR(__xludf.DUMMYFUNCTION("""COMPUTED_VALUE"""),"GS Foundation Course")</f>
        <v>GS Foundation Course</v>
      </c>
      <c r="S636" s="124">
        <f>IFERROR(__xludf.DUMMYFUNCTION("""COMPUTED_VALUE"""),8.400954509E9)</f>
        <v>8400954509</v>
      </c>
      <c r="T636" s="124" t="str">
        <f>IFERROR(__xludf.DUMMYFUNCTION("""COMPUTED_VALUE"""),"Not Available")</f>
        <v>Not Available</v>
      </c>
      <c r="U636" s="124" t="str">
        <f>IFERROR(__xludf.DUMMYFUNCTION("""COMPUTED_VALUE"""),"Not Available")</f>
        <v>Not Available</v>
      </c>
      <c r="V636" s="124" t="str">
        <f>IFERROR(__xludf.DUMMYFUNCTION("""COMPUTED_VALUE"""),"Not Available")</f>
        <v>Not Available</v>
      </c>
      <c r="W636" s="124" t="str">
        <f>IFERROR(__xludf.DUMMYFUNCTION("""COMPUTED_VALUE"""),"Not Available")</f>
        <v>Not Available</v>
      </c>
    </row>
    <row r="637">
      <c r="A637" s="124" t="str">
        <f t="shared" si="1"/>
        <v>gautampoonam468@gmail.com</v>
      </c>
      <c r="B637" s="131">
        <f>IFERROR(__xludf.DUMMYFUNCTION("""COMPUTED_VALUE"""),46105.0)</f>
        <v>46105</v>
      </c>
      <c r="C637" s="124" t="str">
        <f>IFERROR(__xludf.DUMMYFUNCTION("""COMPUTED_VALUE"""),"Payment data from Collexo")</f>
        <v>Payment data from Collexo</v>
      </c>
      <c r="D637" s="124" t="str">
        <f>IFERROR(__xludf.DUMMYFUNCTION("""COMPUTED_VALUE"""),"Not Available")</f>
        <v>Not Available</v>
      </c>
      <c r="E637" s="124">
        <f>IFERROR(__xludf.DUMMYFUNCTION("""COMPUTED_VALUE"""),1500612.0)</f>
        <v>1500612</v>
      </c>
      <c r="F637" s="124">
        <f>IFERROR(__xludf.DUMMYFUNCTION("""COMPUTED_VALUE"""),130051.0)</f>
        <v>130051</v>
      </c>
      <c r="G637" s="124">
        <f>IFERROR(__xludf.DUMMYFUNCTION("""COMPUTED_VALUE"""),71000.0)</f>
        <v>71000</v>
      </c>
      <c r="H637" s="124" t="str">
        <f>IFERROR(__xludf.DUMMYFUNCTION("""COMPUTED_VALUE"""),"Not Available")</f>
        <v>Not Available</v>
      </c>
      <c r="I637" s="124">
        <f>IFERROR(__xludf.DUMMYFUNCTION("""COMPUTED_VALUE"""),0.0)</f>
        <v>0</v>
      </c>
      <c r="J637" s="124">
        <f>IFERROR(__xludf.DUMMYFUNCTION("""COMPUTED_VALUE"""),72000.0)</f>
        <v>72000</v>
      </c>
      <c r="K637" s="124">
        <f>IFERROR(__xludf.DUMMYFUNCTION("""COMPUTED_VALUE"""),2.0)</f>
        <v>2</v>
      </c>
      <c r="L637" s="124">
        <f>IFERROR(__xludf.DUMMYFUNCTION("""COMPUTED_VALUE"""),702.0)</f>
        <v>702</v>
      </c>
      <c r="M637" s="124" t="str">
        <f>IFERROR(__xludf.DUMMYFUNCTION("""COMPUTED_VALUE"""),"Indore")</f>
        <v>Indore</v>
      </c>
      <c r="N637" s="124" t="str">
        <f>IFERROR(__xludf.DUMMYFUNCTION("""COMPUTED_VALUE"""),"gautampoonam468@gmail.com")</f>
        <v>gautampoonam468@gmail.com</v>
      </c>
      <c r="O637" s="124" t="str">
        <f>IFERROR(__xludf.DUMMYFUNCTION("""COMPUTED_VALUE"""),"Poonam gautam")</f>
        <v>Poonam gautam</v>
      </c>
      <c r="P637" s="124">
        <f>IFERROR(__xludf.DUMMYFUNCTION("""COMPUTED_VALUE"""),130051.0)</f>
        <v>130051</v>
      </c>
      <c r="Q637" s="124" t="str">
        <f>IFERROR(__xludf.DUMMYFUNCTION("""COMPUTED_VALUE"""),"upsc-gs-foundation-hinglish-target-2027-gsf-upsc-m03-ind")</f>
        <v>upsc-gs-foundation-hinglish-target-2027-gsf-upsc-m03-ind</v>
      </c>
      <c r="R637" s="124" t="str">
        <f>IFERROR(__xludf.DUMMYFUNCTION("""COMPUTED_VALUE"""),"GS Foundation Course")</f>
        <v>GS Foundation Course</v>
      </c>
      <c r="S637" s="124">
        <f>IFERROR(__xludf.DUMMYFUNCTION("""COMPUTED_VALUE"""),7.489704194E9)</f>
        <v>7489704194</v>
      </c>
      <c r="T637" s="124" t="str">
        <f>IFERROR(__xludf.DUMMYFUNCTION("""COMPUTED_VALUE"""),"Not Available")</f>
        <v>Not Available</v>
      </c>
      <c r="U637" s="124" t="str">
        <f>IFERROR(__xludf.DUMMYFUNCTION("""COMPUTED_VALUE"""),"Not Available")</f>
        <v>Not Available</v>
      </c>
      <c r="V637" s="124" t="str">
        <f>IFERROR(__xludf.DUMMYFUNCTION("""COMPUTED_VALUE"""),"Not Available")</f>
        <v>Not Available</v>
      </c>
      <c r="W637" s="124" t="str">
        <f>IFERROR(__xludf.DUMMYFUNCTION("""COMPUTED_VALUE"""),"Not Available")</f>
        <v>Not Available</v>
      </c>
    </row>
    <row r="638">
      <c r="A638" s="124" t="str">
        <f t="shared" si="1"/>
        <v>gitendradewangan7@gmail.com</v>
      </c>
      <c r="B638" s="131">
        <f>IFERROR(__xludf.DUMMYFUNCTION("""COMPUTED_VALUE"""),46097.0)</f>
        <v>46097</v>
      </c>
      <c r="C638" s="124" t="str">
        <f>IFERROR(__xludf.DUMMYFUNCTION("""COMPUTED_VALUE"""),"Payment data from Collexo")</f>
        <v>Payment data from Collexo</v>
      </c>
      <c r="D638" s="124" t="str">
        <f>IFERROR(__xludf.DUMMYFUNCTION("""COMPUTED_VALUE"""),"Not Available")</f>
        <v>Not Available</v>
      </c>
      <c r="E638" s="124">
        <f>IFERROR(__xludf.DUMMYFUNCTION("""COMPUTED_VALUE"""),1500612.0)</f>
        <v>1500612</v>
      </c>
      <c r="F638" s="124">
        <f>IFERROR(__xludf.DUMMYFUNCTION("""COMPUTED_VALUE"""),127100.0)</f>
        <v>127100</v>
      </c>
      <c r="G638" s="124">
        <f>IFERROR(__xludf.DUMMYFUNCTION("""COMPUTED_VALUE"""),26000.0)</f>
        <v>26000</v>
      </c>
      <c r="H638" s="131">
        <f>IFERROR(__xludf.DUMMYFUNCTION("""COMPUTED_VALUE"""),46112.0)</f>
        <v>46112</v>
      </c>
      <c r="I638" s="124">
        <f>IFERROR(__xludf.DUMMYFUNCTION("""COMPUTED_VALUE"""),72000.0)</f>
        <v>72000</v>
      </c>
      <c r="J638" s="124">
        <f>IFERROR(__xludf.DUMMYFUNCTION("""COMPUTED_VALUE"""),100000.0)</f>
        <v>100000</v>
      </c>
      <c r="K638" s="124">
        <f>IFERROR(__xludf.DUMMYFUNCTION("""COMPUTED_VALUE"""),3.0)</f>
        <v>3</v>
      </c>
      <c r="L638" s="124">
        <f>IFERROR(__xludf.DUMMYFUNCTION("""COMPUTED_VALUE"""),572.0)</f>
        <v>572</v>
      </c>
      <c r="M638" s="124" t="str">
        <f>IFERROR(__xludf.DUMMYFUNCTION("""COMPUTED_VALUE"""),"Indore")</f>
        <v>Indore</v>
      </c>
      <c r="N638" s="124" t="str">
        <f>IFERROR(__xludf.DUMMYFUNCTION("""COMPUTED_VALUE"""),"gitendradewangan7@gmail.com")</f>
        <v>gitendradewangan7@gmail.com</v>
      </c>
      <c r="O638" s="124" t="str">
        <f>IFERROR(__xludf.DUMMYFUNCTION("""COMPUTED_VALUE"""),"Gitendra Dewangan")</f>
        <v>Gitendra Dewangan</v>
      </c>
      <c r="P638" s="124">
        <f>IFERROR(__xludf.DUMMYFUNCTION("""COMPUTED_VALUE"""),127100.0)</f>
        <v>127100</v>
      </c>
      <c r="Q638" s="124" t="str">
        <f>IFERROR(__xludf.DUMMYFUNCTION("""COMPUTED_VALUE"""),"upsc-gs-foundation-hindi-target-2028-gsf-upsc-m03-ind")</f>
        <v>upsc-gs-foundation-hindi-target-2028-gsf-upsc-m03-ind</v>
      </c>
      <c r="R638" s="124" t="str">
        <f>IFERROR(__xludf.DUMMYFUNCTION("""COMPUTED_VALUE"""),"GS Foundation Course")</f>
        <v>GS Foundation Course</v>
      </c>
      <c r="S638" s="124">
        <f>IFERROR(__xludf.DUMMYFUNCTION("""COMPUTED_VALUE"""),8.269421615E9)</f>
        <v>8269421615</v>
      </c>
      <c r="T638" s="124" t="str">
        <f>IFERROR(__xludf.DUMMYFUNCTION("""COMPUTED_VALUE"""),"Not Available")</f>
        <v>Not Available</v>
      </c>
      <c r="U638" s="124" t="str">
        <f>IFERROR(__xludf.DUMMYFUNCTION("""COMPUTED_VALUE"""),"Not Available")</f>
        <v>Not Available</v>
      </c>
      <c r="V638" s="124" t="str">
        <f>IFERROR(__xludf.DUMMYFUNCTION("""COMPUTED_VALUE"""),"Not Available")</f>
        <v>Not Available</v>
      </c>
      <c r="W638" s="124" t="str">
        <f>IFERROR(__xludf.DUMMYFUNCTION("""COMPUTED_VALUE"""),"Not Available")</f>
        <v>Not Available</v>
      </c>
    </row>
    <row r="639">
      <c r="A639" s="124" t="str">
        <f t="shared" si="1"/>
        <v>shivshankarjaiswal102@gmail.com</v>
      </c>
      <c r="B639" s="131">
        <f>IFERROR(__xludf.DUMMYFUNCTION("""COMPUTED_VALUE"""),46080.0)</f>
        <v>46080</v>
      </c>
      <c r="C639" s="124" t="str">
        <f>IFERROR(__xludf.DUMMYFUNCTION("""COMPUTED_VALUE"""),"Payment data from Collexo")</f>
        <v>Payment data from Collexo</v>
      </c>
      <c r="D639" s="124" t="str">
        <f>IFERROR(__xludf.DUMMYFUNCTION("""COMPUTED_VALUE"""),"Not Available")</f>
        <v>Not Available</v>
      </c>
      <c r="E639" s="124">
        <f>IFERROR(__xludf.DUMMYFUNCTION("""COMPUTED_VALUE"""),1500609.0)</f>
        <v>1500609</v>
      </c>
      <c r="F639" s="124" t="str">
        <f>IFERROR(__xludf.DUMMYFUNCTION("""COMPUTED_VALUE"""),"11416_988_7")</f>
        <v>11416_988_7</v>
      </c>
      <c r="G639" s="124">
        <f>IFERROR(__xludf.DUMMYFUNCTION("""COMPUTED_VALUE"""),1.0)</f>
        <v>1</v>
      </c>
      <c r="H639" s="124" t="str">
        <f>IFERROR(__xludf.DUMMYFUNCTION("""COMPUTED_VALUE"""),"Not Available")</f>
        <v>Not Available</v>
      </c>
      <c r="I639" s="124">
        <f>IFERROR(__xludf.DUMMYFUNCTION("""COMPUTED_VALUE"""),0.0)</f>
        <v>0</v>
      </c>
      <c r="J639" s="124">
        <f>IFERROR(__xludf.DUMMYFUNCTION("""COMPUTED_VALUE"""),1.0)</f>
        <v>1</v>
      </c>
      <c r="K639" s="124">
        <f>IFERROR(__xludf.DUMMYFUNCTION("""COMPUTED_VALUE"""),1.0)</f>
        <v>1</v>
      </c>
      <c r="L639" s="124">
        <f>IFERROR(__xludf.DUMMYFUNCTION("""COMPUTED_VALUE"""),365.0)</f>
        <v>365</v>
      </c>
      <c r="M639" s="124" t="str">
        <f>IFERROR(__xludf.DUMMYFUNCTION("""COMPUTED_VALUE"""),"New Delhi")</f>
        <v>New Delhi</v>
      </c>
      <c r="N639" s="124" t="str">
        <f>IFERROR(__xludf.DUMMYFUNCTION("""COMPUTED_VALUE"""),"shivshankarjaiswal102@gmail.com")</f>
        <v>shivshankarjaiswal102@gmail.com</v>
      </c>
      <c r="O639" s="124" t="str">
        <f>IFERROR(__xludf.DUMMYFUNCTION("""COMPUTED_VALUE"""),"shivshankar kumar")</f>
        <v>shivshankar kumar</v>
      </c>
      <c r="P639" s="124">
        <f>IFERROR(__xludf.DUMMYFUNCTION("""COMPUTED_VALUE"""),124310.0)</f>
        <v>124310</v>
      </c>
      <c r="Q639" s="124" t="str">
        <f>IFERROR(__xludf.DUMMYFUNCTION("""COMPUTED_VALUE"""),"-")</f>
        <v>-</v>
      </c>
      <c r="R639" s="124" t="str">
        <f>IFERROR(__xludf.DUMMYFUNCTION("""COMPUTED_VALUE"""),"GS Foundation Course")</f>
        <v>GS Foundation Course</v>
      </c>
      <c r="S639" s="124">
        <f>IFERROR(__xludf.DUMMYFUNCTION("""COMPUTED_VALUE"""),7.761994508E9)</f>
        <v>7761994508</v>
      </c>
      <c r="T639" s="124" t="str">
        <f>IFERROR(__xludf.DUMMYFUNCTION("""COMPUTED_VALUE"""),"Collexo")</f>
        <v>Collexo</v>
      </c>
      <c r="U639" s="124" t="str">
        <f>IFERROR(__xludf.DUMMYFUNCTION("""COMPUTED_VALUE"""),"Success")</f>
        <v>Success</v>
      </c>
      <c r="V639" s="131">
        <f>IFERROR(__xludf.DUMMYFUNCTION("""COMPUTED_VALUE"""),46080.0)</f>
        <v>46080</v>
      </c>
      <c r="W639" s="124">
        <f>IFERROR(__xludf.DUMMYFUNCTION("""COMPUTED_VALUE"""),0.0)</f>
        <v>0</v>
      </c>
    </row>
    <row r="640">
      <c r="A640" s="124" t="str">
        <f t="shared" si="1"/>
        <v>priyasingh28317@gmail.com</v>
      </c>
      <c r="B640" s="131">
        <f>IFERROR(__xludf.DUMMYFUNCTION("""COMPUTED_VALUE"""),46105.0)</f>
        <v>46105</v>
      </c>
      <c r="C640" s="124" t="str">
        <f>IFERROR(__xludf.DUMMYFUNCTION("""COMPUTED_VALUE"""),"Payment data from Collexo")</f>
        <v>Payment data from Collexo</v>
      </c>
      <c r="D640" s="124" t="str">
        <f>IFERROR(__xludf.DUMMYFUNCTION("""COMPUTED_VALUE"""),"Not Available")</f>
        <v>Not Available</v>
      </c>
      <c r="E640" s="124">
        <f>IFERROR(__xludf.DUMMYFUNCTION("""COMPUTED_VALUE"""),1500609.0)</f>
        <v>1500609</v>
      </c>
      <c r="F640" s="124" t="str">
        <f>IFERROR(__xludf.DUMMYFUNCTION("""COMPUTED_VALUE"""),"16261_988_7")</f>
        <v>16261_988_7</v>
      </c>
      <c r="G640" s="124">
        <f>IFERROR(__xludf.DUMMYFUNCTION("""COMPUTED_VALUE"""),55000.0)</f>
        <v>55000</v>
      </c>
      <c r="H640" s="124" t="str">
        <f>IFERROR(__xludf.DUMMYFUNCTION("""COMPUTED_VALUE"""),"Not Available")</f>
        <v>Not Available</v>
      </c>
      <c r="I640" s="124">
        <f>IFERROR(__xludf.DUMMYFUNCTION("""COMPUTED_VALUE"""),0.0)</f>
        <v>0</v>
      </c>
      <c r="J640" s="124">
        <f>IFERROR(__xludf.DUMMYFUNCTION("""COMPUTED_VALUE"""),60000.0)</f>
        <v>60000</v>
      </c>
      <c r="K640" s="124">
        <f>IFERROR(__xludf.DUMMYFUNCTION("""COMPUTED_VALUE"""),2.0)</f>
        <v>2</v>
      </c>
      <c r="L640" s="124">
        <f>IFERROR(__xludf.DUMMYFUNCTION("""COMPUTED_VALUE"""),703.0)</f>
        <v>703</v>
      </c>
      <c r="M640" s="124" t="str">
        <f>IFERROR(__xludf.DUMMYFUNCTION("""COMPUTED_VALUE"""),"New Delhi")</f>
        <v>New Delhi</v>
      </c>
      <c r="N640" s="124" t="str">
        <f>IFERROR(__xludf.DUMMYFUNCTION("""COMPUTED_VALUE"""),"priyasingh28317@gmail.com")</f>
        <v>priyasingh28317@gmail.com</v>
      </c>
      <c r="O640" s="124" t="str">
        <f>IFERROR(__xludf.DUMMYFUNCTION("""COMPUTED_VALUE"""),"Priya")</f>
        <v>Priya</v>
      </c>
      <c r="P640" s="124">
        <f>IFERROR(__xludf.DUMMYFUNCTION("""COMPUTED_VALUE"""),124180.0)</f>
        <v>124180</v>
      </c>
      <c r="Q640" s="124" t="str">
        <f>IFERROR(__xludf.DUMMYFUNCTION("""COMPUTED_VALUE"""),"upsc-gs-foundation-hinglish-target-2027-gsf-upsc-e04-orn")</f>
        <v>upsc-gs-foundation-hinglish-target-2027-gsf-upsc-e04-orn</v>
      </c>
      <c r="R640" s="124" t="str">
        <f>IFERROR(__xludf.DUMMYFUNCTION("""COMPUTED_VALUE"""),"GS Foundation Course")</f>
        <v>GS Foundation Course</v>
      </c>
      <c r="S640" s="124">
        <f>IFERROR(__xludf.DUMMYFUNCTION("""COMPUTED_VALUE"""),9.693807345E9)</f>
        <v>9693807345</v>
      </c>
      <c r="T640" s="124" t="str">
        <f>IFERROR(__xludf.DUMMYFUNCTION("""COMPUTED_VALUE"""),"Collexo")</f>
        <v>Collexo</v>
      </c>
      <c r="U640" s="124" t="str">
        <f>IFERROR(__xludf.DUMMYFUNCTION("""COMPUTED_VALUE"""),"Success")</f>
        <v>Success</v>
      </c>
      <c r="V640" s="131">
        <f>IFERROR(__xludf.DUMMYFUNCTION("""COMPUTED_VALUE"""),46105.0)</f>
        <v>46105</v>
      </c>
      <c r="W640" s="124">
        <f>IFERROR(__xludf.DUMMYFUNCTION("""COMPUTED_VALUE"""),0.0)</f>
        <v>0</v>
      </c>
    </row>
    <row r="641">
      <c r="A641" s="124" t="str">
        <f t="shared" si="1"/>
        <v>sushilgolumaurya5555@gmail.com</v>
      </c>
      <c r="B641" s="131">
        <f>IFERROR(__xludf.DUMMYFUNCTION("""COMPUTED_VALUE"""),46099.0)</f>
        <v>46099</v>
      </c>
      <c r="C641" s="124" t="str">
        <f>IFERROR(__xludf.DUMMYFUNCTION("""COMPUTED_VALUE"""),"Payment data from Collexo")</f>
        <v>Payment data from Collexo</v>
      </c>
      <c r="D641" s="124" t="str">
        <f>IFERROR(__xludf.DUMMYFUNCTION("""COMPUTED_VALUE"""),"Not Available")</f>
        <v>Not Available</v>
      </c>
      <c r="E641" s="124">
        <f>IFERROR(__xludf.DUMMYFUNCTION("""COMPUTED_VALUE"""),1500613.0)</f>
        <v>1500613</v>
      </c>
      <c r="F641" s="124">
        <f>IFERROR(__xludf.DUMMYFUNCTION("""COMPUTED_VALUE"""),35283.0)</f>
        <v>35283</v>
      </c>
      <c r="G641" s="124">
        <f>IFERROR(__xludf.DUMMYFUNCTION("""COMPUTED_VALUE"""),500.0)</f>
        <v>500</v>
      </c>
      <c r="H641" s="131">
        <f>IFERROR(__xludf.DUMMYFUNCTION("""COMPUTED_VALUE"""),46102.0)</f>
        <v>46102</v>
      </c>
      <c r="I641" s="124">
        <f>IFERROR(__xludf.DUMMYFUNCTION("""COMPUTED_VALUE"""),54500.0)</f>
        <v>54500</v>
      </c>
      <c r="J641" s="124">
        <f>IFERROR(__xludf.DUMMYFUNCTION("""COMPUTED_VALUE"""),55000.0)</f>
        <v>55000</v>
      </c>
      <c r="K641" s="124">
        <f>IFERROR(__xludf.DUMMYFUNCTION("""COMPUTED_VALUE"""),2.0)</f>
        <v>2</v>
      </c>
      <c r="L641" s="124">
        <f>IFERROR(__xludf.DUMMYFUNCTION("""COMPUTED_VALUE"""),594.0)</f>
        <v>594</v>
      </c>
      <c r="M641" s="124" t="str">
        <f>IFERROR(__xludf.DUMMYFUNCTION("""COMPUTED_VALUE"""),"Prayagraj")</f>
        <v>Prayagraj</v>
      </c>
      <c r="N641" s="124" t="str">
        <f>IFERROR(__xludf.DUMMYFUNCTION("""COMPUTED_VALUE"""),"sushilgolumaurya5555@gmail.com")</f>
        <v>sushilgolumaurya5555@gmail.com</v>
      </c>
      <c r="O641" s="124" t="str">
        <f>IFERROR(__xludf.DUMMYFUNCTION("""COMPUTED_VALUE"""),"Sushil kumar maurya")</f>
        <v>Sushil kumar maurya</v>
      </c>
      <c r="P641" s="124">
        <f>IFERROR(__xludf.DUMMYFUNCTION("""COMPUTED_VALUE"""),35283.0)</f>
        <v>35283</v>
      </c>
      <c r="Q641" s="124" t="str">
        <f>IFERROR(__xludf.DUMMYFUNCTION("""COMPUTED_VALUE"""),"upsc-gs-foundation-hindi-target-2027-gsf-upsc-m02-pry")</f>
        <v>upsc-gs-foundation-hindi-target-2027-gsf-upsc-m02-pry</v>
      </c>
      <c r="R641" s="124" t="str">
        <f>IFERROR(__xludf.DUMMYFUNCTION("""COMPUTED_VALUE"""),"GS Foundation Course")</f>
        <v>GS Foundation Course</v>
      </c>
      <c r="S641" s="124">
        <f>IFERROR(__xludf.DUMMYFUNCTION("""COMPUTED_VALUE"""),6.394269276E9)</f>
        <v>6394269276</v>
      </c>
      <c r="T641" s="124" t="str">
        <f>IFERROR(__xludf.DUMMYFUNCTION("""COMPUTED_VALUE"""),"Not Available")</f>
        <v>Not Available</v>
      </c>
      <c r="U641" s="124" t="str">
        <f>IFERROR(__xludf.DUMMYFUNCTION("""COMPUTED_VALUE"""),"Not Available")</f>
        <v>Not Available</v>
      </c>
      <c r="V641" s="124" t="str">
        <f>IFERROR(__xludf.DUMMYFUNCTION("""COMPUTED_VALUE"""),"Not Available")</f>
        <v>Not Available</v>
      </c>
      <c r="W641" s="124" t="str">
        <f>IFERROR(__xludf.DUMMYFUNCTION("""COMPUTED_VALUE"""),"Not Available")</f>
        <v>Not Available</v>
      </c>
    </row>
    <row r="642">
      <c r="A642" s="124" t="str">
        <f t="shared" si="1"/>
        <v>varsharaj076@gmail.com</v>
      </c>
      <c r="B642" s="131">
        <f>IFERROR(__xludf.DUMMYFUNCTION("""COMPUTED_VALUE"""),46100.0)</f>
        <v>46100</v>
      </c>
      <c r="C642" s="124" t="str">
        <f>IFERROR(__xludf.DUMMYFUNCTION("""COMPUTED_VALUE"""),"Payment data from Collexo")</f>
        <v>Payment data from Collexo</v>
      </c>
      <c r="D642" s="124" t="str">
        <f>IFERROR(__xludf.DUMMYFUNCTION("""COMPUTED_VALUE"""),"Not Available")</f>
        <v>Not Available</v>
      </c>
      <c r="E642" s="124">
        <f>IFERROR(__xludf.DUMMYFUNCTION("""COMPUTED_VALUE"""),1500611.0)</f>
        <v>1500611</v>
      </c>
      <c r="F642" s="124">
        <f>IFERROR(__xludf.DUMMYFUNCTION("""COMPUTED_VALUE"""),127097.0)</f>
        <v>127097</v>
      </c>
      <c r="G642" s="124">
        <f>IFERROR(__xludf.DUMMYFUNCTION("""COMPUTED_VALUE"""),5000.0)</f>
        <v>5000</v>
      </c>
      <c r="H642" s="131">
        <f>IFERROR(__xludf.DUMMYFUNCTION("""COMPUTED_VALUE"""),46100.0)</f>
        <v>46100</v>
      </c>
      <c r="I642" s="124">
        <f>IFERROR(__xludf.DUMMYFUNCTION("""COMPUTED_VALUE"""),5000.0)</f>
        <v>5000</v>
      </c>
      <c r="J642" s="124">
        <f>IFERROR(__xludf.DUMMYFUNCTION("""COMPUTED_VALUE"""),25000.0)</f>
        <v>25000</v>
      </c>
      <c r="K642" s="124">
        <f>IFERROR(__xludf.DUMMYFUNCTION("""COMPUTED_VALUE"""),5.0)</f>
        <v>5</v>
      </c>
      <c r="L642" s="124">
        <f>IFERROR(__xludf.DUMMYFUNCTION("""COMPUTED_VALUE"""),634.0)</f>
        <v>634</v>
      </c>
      <c r="M642" s="124" t="str">
        <f>IFERROR(__xludf.DUMMYFUNCTION("""COMPUTED_VALUE"""),"Patna")</f>
        <v>Patna</v>
      </c>
      <c r="N642" s="124" t="str">
        <f>IFERROR(__xludf.DUMMYFUNCTION("""COMPUTED_VALUE"""),"varsharaj076@gmail.com")</f>
        <v>varsharaj076@gmail.com</v>
      </c>
      <c r="O642" s="124" t="str">
        <f>IFERROR(__xludf.DUMMYFUNCTION("""COMPUTED_VALUE"""),"Varsha Raj")</f>
        <v>Varsha Raj</v>
      </c>
      <c r="P642" s="124">
        <f>IFERROR(__xludf.DUMMYFUNCTION("""COMPUTED_VALUE"""),127097.0)</f>
        <v>127097</v>
      </c>
      <c r="Q642" s="124" t="str">
        <f>IFERROR(__xludf.DUMMYFUNCTION("""COMPUTED_VALUE"""),"bpsc-gs-foundation-hinglish-target-2026-gsf-bpsc-m02-pat")</f>
        <v>bpsc-gs-foundation-hinglish-target-2026-gsf-bpsc-m02-pat</v>
      </c>
      <c r="R642" s="124" t="str">
        <f>IFERROR(__xludf.DUMMYFUNCTION("""COMPUTED_VALUE"""),"State PCS")</f>
        <v>State PCS</v>
      </c>
      <c r="S642" s="124">
        <f>IFERROR(__xludf.DUMMYFUNCTION("""COMPUTED_VALUE"""),9.122855348E9)</f>
        <v>9122855348</v>
      </c>
      <c r="T642" s="124" t="str">
        <f>IFERROR(__xludf.DUMMYFUNCTION("""COMPUTED_VALUE"""),"Not Available")</f>
        <v>Not Available</v>
      </c>
      <c r="U642" s="124" t="str">
        <f>IFERROR(__xludf.DUMMYFUNCTION("""COMPUTED_VALUE"""),"Not Available")</f>
        <v>Not Available</v>
      </c>
      <c r="V642" s="124" t="str">
        <f>IFERROR(__xludf.DUMMYFUNCTION("""COMPUTED_VALUE"""),"Not Available")</f>
        <v>Not Available</v>
      </c>
      <c r="W642" s="124" t="str">
        <f>IFERROR(__xludf.DUMMYFUNCTION("""COMPUTED_VALUE"""),"Not Available")</f>
        <v>Not Available</v>
      </c>
    </row>
    <row r="643">
      <c r="A643" s="124" t="str">
        <f t="shared" si="1"/>
        <v>anugoyal2910@gmail.com</v>
      </c>
      <c r="B643" s="131">
        <f>IFERROR(__xludf.DUMMYFUNCTION("""COMPUTED_VALUE"""),46102.0)</f>
        <v>46102</v>
      </c>
      <c r="C643" s="124" t="str">
        <f>IFERROR(__xludf.DUMMYFUNCTION("""COMPUTED_VALUE"""),"Payment data from Collexo")</f>
        <v>Payment data from Collexo</v>
      </c>
      <c r="D643" s="124" t="str">
        <f>IFERROR(__xludf.DUMMYFUNCTION("""COMPUTED_VALUE"""),"Not Available")</f>
        <v>Not Available</v>
      </c>
      <c r="E643" s="124">
        <f>IFERROR(__xludf.DUMMYFUNCTION("""COMPUTED_VALUE"""),1500611.0)</f>
        <v>1500611</v>
      </c>
      <c r="F643" s="124">
        <f>IFERROR(__xludf.DUMMYFUNCTION("""COMPUTED_VALUE"""),129732.0)</f>
        <v>129732</v>
      </c>
      <c r="G643" s="124">
        <f>IFERROR(__xludf.DUMMYFUNCTION("""COMPUTED_VALUE"""),5500.0)</f>
        <v>5500</v>
      </c>
      <c r="H643" s="131">
        <f>IFERROR(__xludf.DUMMYFUNCTION("""COMPUTED_VALUE"""),46104.0)</f>
        <v>46104</v>
      </c>
      <c r="I643" s="124">
        <f>IFERROR(__xludf.DUMMYFUNCTION("""COMPUTED_VALUE"""),49500.0)</f>
        <v>49500</v>
      </c>
      <c r="J643" s="124">
        <f>IFERROR(__xludf.DUMMYFUNCTION("""COMPUTED_VALUE"""),55000.0)</f>
        <v>55000</v>
      </c>
      <c r="K643" s="124">
        <f>IFERROR(__xludf.DUMMYFUNCTION("""COMPUTED_VALUE"""),2.0)</f>
        <v>2</v>
      </c>
      <c r="L643" s="124">
        <f>IFERROR(__xludf.DUMMYFUNCTION("""COMPUTED_VALUE"""),671.0)</f>
        <v>671</v>
      </c>
      <c r="M643" s="124" t="str">
        <f>IFERROR(__xludf.DUMMYFUNCTION("""COMPUTED_VALUE"""),"Patna")</f>
        <v>Patna</v>
      </c>
      <c r="N643" s="124" t="str">
        <f>IFERROR(__xludf.DUMMYFUNCTION("""COMPUTED_VALUE"""),"anugoyal2910@gmail.com")</f>
        <v>anugoyal2910@gmail.com</v>
      </c>
      <c r="O643" s="124" t="str">
        <f>IFERROR(__xludf.DUMMYFUNCTION("""COMPUTED_VALUE"""),"Anushka Raj")</f>
        <v>Anushka Raj</v>
      </c>
      <c r="P643" s="124">
        <f>IFERROR(__xludf.DUMMYFUNCTION("""COMPUTED_VALUE"""),129732.0)</f>
        <v>129732</v>
      </c>
      <c r="Q643" s="124" t="str">
        <f>IFERROR(__xludf.DUMMYFUNCTION("""COMPUTED_VALUE"""),"bpsc-gs-foundation-hinglish-target-2026-gsf-bpsc-m02-pat")</f>
        <v>bpsc-gs-foundation-hinglish-target-2026-gsf-bpsc-m02-pat</v>
      </c>
      <c r="R643" s="124" t="str">
        <f>IFERROR(__xludf.DUMMYFUNCTION("""COMPUTED_VALUE"""),"State PCS")</f>
        <v>State PCS</v>
      </c>
      <c r="S643" s="124">
        <f>IFERROR(__xludf.DUMMYFUNCTION("""COMPUTED_VALUE"""),9.798773313E9)</f>
        <v>9798773313</v>
      </c>
      <c r="T643" s="124" t="str">
        <f>IFERROR(__xludf.DUMMYFUNCTION("""COMPUTED_VALUE"""),"Not Available")</f>
        <v>Not Available</v>
      </c>
      <c r="U643" s="124" t="str">
        <f>IFERROR(__xludf.DUMMYFUNCTION("""COMPUTED_VALUE"""),"Not Available")</f>
        <v>Not Available</v>
      </c>
      <c r="V643" s="124" t="str">
        <f>IFERROR(__xludf.DUMMYFUNCTION("""COMPUTED_VALUE"""),"Not Available")</f>
        <v>Not Available</v>
      </c>
      <c r="W643" s="124" t="str">
        <f>IFERROR(__xludf.DUMMYFUNCTION("""COMPUTED_VALUE"""),"Not Available")</f>
        <v>Not Available</v>
      </c>
    </row>
    <row r="644">
      <c r="A644" s="124" t="str">
        <f t="shared" si="1"/>
        <v>amanlibro983@gmail.com</v>
      </c>
      <c r="B644" s="131">
        <f>IFERROR(__xludf.DUMMYFUNCTION("""COMPUTED_VALUE"""),46102.0)</f>
        <v>46102</v>
      </c>
      <c r="C644" s="124" t="str">
        <f>IFERROR(__xludf.DUMMYFUNCTION("""COMPUTED_VALUE"""),"Payment data from Collexo")</f>
        <v>Payment data from Collexo</v>
      </c>
      <c r="D644" s="124" t="str">
        <f>IFERROR(__xludf.DUMMYFUNCTION("""COMPUTED_VALUE"""),"Not Available")</f>
        <v>Not Available</v>
      </c>
      <c r="E644" s="124">
        <f>IFERROR(__xludf.DUMMYFUNCTION("""COMPUTED_VALUE"""),1500609.0)</f>
        <v>1500609</v>
      </c>
      <c r="F644" s="124" t="str">
        <f>IFERROR(__xludf.DUMMYFUNCTION("""COMPUTED_VALUE"""),"15629_988_7")</f>
        <v>15629_988_7</v>
      </c>
      <c r="G644" s="124">
        <f>IFERROR(__xludf.DUMMYFUNCTION("""COMPUTED_VALUE"""),101250.0)</f>
        <v>101250</v>
      </c>
      <c r="H644" s="124" t="str">
        <f>IFERROR(__xludf.DUMMYFUNCTION("""COMPUTED_VALUE"""),"Not Available")</f>
        <v>Not Available</v>
      </c>
      <c r="I644" s="124">
        <f>IFERROR(__xludf.DUMMYFUNCTION("""COMPUTED_VALUE"""),0.0)</f>
        <v>0</v>
      </c>
      <c r="J644" s="124">
        <f>IFERROR(__xludf.DUMMYFUNCTION("""COMPUTED_VALUE"""),135000.0)</f>
        <v>135000</v>
      </c>
      <c r="K644" s="124">
        <f>IFERROR(__xludf.DUMMYFUNCTION("""COMPUTED_VALUE"""),2.0)</f>
        <v>2</v>
      </c>
      <c r="L644" s="124">
        <f>IFERROR(__xludf.DUMMYFUNCTION("""COMPUTED_VALUE"""),656.0)</f>
        <v>656</v>
      </c>
      <c r="M644" s="124" t="str">
        <f>IFERROR(__xludf.DUMMYFUNCTION("""COMPUTED_VALUE"""),"New Delhi")</f>
        <v>New Delhi</v>
      </c>
      <c r="N644" s="124" t="str">
        <f>IFERROR(__xludf.DUMMYFUNCTION("""COMPUTED_VALUE"""),"amanlibro983@gmail.com")</f>
        <v>amanlibro983@gmail.com</v>
      </c>
      <c r="O644" s="124" t="str">
        <f>IFERROR(__xludf.DUMMYFUNCTION("""COMPUTED_VALUE"""),"Aman")</f>
        <v>Aman</v>
      </c>
      <c r="P644" s="124">
        <f>IFERROR(__xludf.DUMMYFUNCTION("""COMPUTED_VALUE"""),119860.0)</f>
        <v>119860</v>
      </c>
      <c r="Q644" s="124" t="str">
        <f>IFERROR(__xludf.DUMMYFUNCTION("""COMPUTED_VALUE"""),"upsc-gs-foundation-hinglish-target-2027-gsf-upsc-m05-orn")</f>
        <v>upsc-gs-foundation-hinglish-target-2027-gsf-upsc-m05-orn</v>
      </c>
      <c r="R644" s="124" t="str">
        <f>IFERROR(__xludf.DUMMYFUNCTION("""COMPUTED_VALUE"""),"GS Foundation Course")</f>
        <v>GS Foundation Course</v>
      </c>
      <c r="S644" s="124">
        <f>IFERROR(__xludf.DUMMYFUNCTION("""COMPUTED_VALUE"""),8.006166067E9)</f>
        <v>8006166067</v>
      </c>
      <c r="T644" s="124" t="str">
        <f>IFERROR(__xludf.DUMMYFUNCTION("""COMPUTED_VALUE"""),"Collexo")</f>
        <v>Collexo</v>
      </c>
      <c r="U644" s="124" t="str">
        <f>IFERROR(__xludf.DUMMYFUNCTION("""COMPUTED_VALUE"""),"Success")</f>
        <v>Success</v>
      </c>
      <c r="V644" s="131">
        <f>IFERROR(__xludf.DUMMYFUNCTION("""COMPUTED_VALUE"""),46102.0)</f>
        <v>46102</v>
      </c>
      <c r="W644" s="124">
        <f>IFERROR(__xludf.DUMMYFUNCTION("""COMPUTED_VALUE"""),0.0)</f>
        <v>0</v>
      </c>
    </row>
    <row r="645">
      <c r="A645" s="124" t="str">
        <f t="shared" si="1"/>
        <v>shivshankarjaiswal102@gmail.com</v>
      </c>
      <c r="B645" s="131">
        <f>IFERROR(__xludf.DUMMYFUNCTION("""COMPUTED_VALUE"""),46080.0)</f>
        <v>46080</v>
      </c>
      <c r="C645" s="124" t="str">
        <f>IFERROR(__xludf.DUMMYFUNCTION("""COMPUTED_VALUE"""),"Payment data from Collexo")</f>
        <v>Payment data from Collexo</v>
      </c>
      <c r="D645" s="124" t="str">
        <f>IFERROR(__xludf.DUMMYFUNCTION("""COMPUTED_VALUE"""),"Not Available")</f>
        <v>Not Available</v>
      </c>
      <c r="E645" s="124">
        <f>IFERROR(__xludf.DUMMYFUNCTION("""COMPUTED_VALUE"""),1500609.0)</f>
        <v>1500609</v>
      </c>
      <c r="F645" s="124" t="str">
        <f>IFERROR(__xludf.DUMMYFUNCTION("""COMPUTED_VALUE"""),"11412_988_7")</f>
        <v>11412_988_7</v>
      </c>
      <c r="G645" s="124">
        <f>IFERROR(__xludf.DUMMYFUNCTION("""COMPUTED_VALUE"""),5000.0)</f>
        <v>5000</v>
      </c>
      <c r="H645" s="131">
        <f>IFERROR(__xludf.DUMMYFUNCTION("""COMPUTED_VALUE"""),46081.0)</f>
        <v>46081</v>
      </c>
      <c r="I645" s="124">
        <f>IFERROR(__xludf.DUMMYFUNCTION("""COMPUTED_VALUE"""),110000.0)</f>
        <v>110000</v>
      </c>
      <c r="J645" s="124">
        <f>IFERROR(__xludf.DUMMYFUNCTION("""COMPUTED_VALUE"""),115000.0)</f>
        <v>115000</v>
      </c>
      <c r="K645" s="124">
        <f>IFERROR(__xludf.DUMMYFUNCTION("""COMPUTED_VALUE"""),2.0)</f>
        <v>2</v>
      </c>
      <c r="L645" s="124">
        <f>IFERROR(__xludf.DUMMYFUNCTION("""COMPUTED_VALUE"""),364.0)</f>
        <v>364</v>
      </c>
      <c r="M645" s="124" t="str">
        <f>IFERROR(__xludf.DUMMYFUNCTION("""COMPUTED_VALUE"""),"New Delhi")</f>
        <v>New Delhi</v>
      </c>
      <c r="N645" s="124" t="str">
        <f>IFERROR(__xludf.DUMMYFUNCTION("""COMPUTED_VALUE"""),"shivshankarjaiswal102@gmail.com")</f>
        <v>shivshankarjaiswal102@gmail.com</v>
      </c>
      <c r="O645" s="124" t="str">
        <f>IFERROR(__xludf.DUMMYFUNCTION("""COMPUTED_VALUE"""),"shivshankar kumar")</f>
        <v>shivshankar kumar</v>
      </c>
      <c r="P645" s="124">
        <f>IFERROR(__xludf.DUMMYFUNCTION("""COMPUTED_VALUE"""),124310.0)</f>
        <v>124310</v>
      </c>
      <c r="Q645" s="124" t="str">
        <f>IFERROR(__xludf.DUMMYFUNCTION("""COMPUTED_VALUE"""),"-")</f>
        <v>-</v>
      </c>
      <c r="R645" s="124" t="str">
        <f>IFERROR(__xludf.DUMMYFUNCTION("""COMPUTED_VALUE"""),"GS Foundation Course")</f>
        <v>GS Foundation Course</v>
      </c>
      <c r="S645" s="124">
        <f>IFERROR(__xludf.DUMMYFUNCTION("""COMPUTED_VALUE"""),7.761994508E9)</f>
        <v>7761994508</v>
      </c>
      <c r="T645" s="124" t="str">
        <f>IFERROR(__xludf.DUMMYFUNCTION("""COMPUTED_VALUE"""),"Collexo")</f>
        <v>Collexo</v>
      </c>
      <c r="U645" s="124" t="str">
        <f>IFERROR(__xludf.DUMMYFUNCTION("""COMPUTED_VALUE"""),"Success")</f>
        <v>Success</v>
      </c>
      <c r="V645" s="131">
        <f>IFERROR(__xludf.DUMMYFUNCTION("""COMPUTED_VALUE"""),46080.0)</f>
        <v>46080</v>
      </c>
      <c r="W645" s="124">
        <f>IFERROR(__xludf.DUMMYFUNCTION("""COMPUTED_VALUE"""),0.0)</f>
        <v>0</v>
      </c>
    </row>
    <row r="646">
      <c r="A646" s="124" t="str">
        <f t="shared" si="1"/>
        <v>tanmaysolanki008@gmail.com</v>
      </c>
      <c r="B646" s="131">
        <f>IFERROR(__xludf.DUMMYFUNCTION("""COMPUTED_VALUE"""),46075.0)</f>
        <v>46075</v>
      </c>
      <c r="C646" s="124" t="str">
        <f>IFERROR(__xludf.DUMMYFUNCTION("""COMPUTED_VALUE"""),"Payment data from Collexo")</f>
        <v>Payment data from Collexo</v>
      </c>
      <c r="D646" s="124" t="str">
        <f>IFERROR(__xludf.DUMMYFUNCTION("""COMPUTED_VALUE"""),"Not Available")</f>
        <v>Not Available</v>
      </c>
      <c r="E646" s="124">
        <f>IFERROR(__xludf.DUMMYFUNCTION("""COMPUTED_VALUE"""),1500612.0)</f>
        <v>1500612</v>
      </c>
      <c r="F646" s="124">
        <f>IFERROR(__xludf.DUMMYFUNCTION("""COMPUTED_VALUE"""),123306.0)</f>
        <v>123306</v>
      </c>
      <c r="G646" s="124">
        <f>IFERROR(__xludf.DUMMYFUNCTION("""COMPUTED_VALUE"""),43000.0)</f>
        <v>43000</v>
      </c>
      <c r="H646" s="124" t="str">
        <f>IFERROR(__xludf.DUMMYFUNCTION("""COMPUTED_VALUE"""),"Not Available")</f>
        <v>Not Available</v>
      </c>
      <c r="I646" s="124">
        <f>IFERROR(__xludf.DUMMYFUNCTION("""COMPUTED_VALUE"""),0.0)</f>
        <v>0</v>
      </c>
      <c r="J646" s="124">
        <f>IFERROR(__xludf.DUMMYFUNCTION("""COMPUTED_VALUE"""),45000.0)</f>
        <v>45000</v>
      </c>
      <c r="K646" s="124">
        <f>IFERROR(__xludf.DUMMYFUNCTION("""COMPUTED_VALUE"""),2.0)</f>
        <v>2</v>
      </c>
      <c r="L646" s="124">
        <f>IFERROR(__xludf.DUMMYFUNCTION("""COMPUTED_VALUE"""),299.0)</f>
        <v>299</v>
      </c>
      <c r="M646" s="124" t="str">
        <f>IFERROR(__xludf.DUMMYFUNCTION("""COMPUTED_VALUE"""),"Indore")</f>
        <v>Indore</v>
      </c>
      <c r="N646" s="124" t="str">
        <f>IFERROR(__xludf.DUMMYFUNCTION("""COMPUTED_VALUE"""),"tanmaysolanki008@gmail.com")</f>
        <v>tanmaysolanki008@gmail.com</v>
      </c>
      <c r="O646" s="124" t="str">
        <f>IFERROR(__xludf.DUMMYFUNCTION("""COMPUTED_VALUE"""),"Tanmay Solanki")</f>
        <v>Tanmay Solanki</v>
      </c>
      <c r="P646" s="124">
        <f>IFERROR(__xludf.DUMMYFUNCTION("""COMPUTED_VALUE"""),123306.0)</f>
        <v>123306</v>
      </c>
      <c r="Q646" s="124" t="str">
        <f>IFERROR(__xludf.DUMMYFUNCTION("""COMPUTED_VALUE"""),"mppsc-gs-foundation-hinglish-target-2027-gsf-mppsc-e02-ind")</f>
        <v>mppsc-gs-foundation-hinglish-target-2027-gsf-mppsc-e02-ind</v>
      </c>
      <c r="R646" s="124" t="str">
        <f>IFERROR(__xludf.DUMMYFUNCTION("""COMPUTED_VALUE"""),"State PCS")</f>
        <v>State PCS</v>
      </c>
      <c r="S646" s="124">
        <f>IFERROR(__xludf.DUMMYFUNCTION("""COMPUTED_VALUE"""),7.879818282E9)</f>
        <v>7879818282</v>
      </c>
      <c r="T646" s="124" t="str">
        <f>IFERROR(__xludf.DUMMYFUNCTION("""COMPUTED_VALUE"""),"Not Available")</f>
        <v>Not Available</v>
      </c>
      <c r="U646" s="124" t="str">
        <f>IFERROR(__xludf.DUMMYFUNCTION("""COMPUTED_VALUE"""),"Not Available")</f>
        <v>Not Available</v>
      </c>
      <c r="V646" s="124" t="str">
        <f>IFERROR(__xludf.DUMMYFUNCTION("""COMPUTED_VALUE"""),"Not Available")</f>
        <v>Not Available</v>
      </c>
      <c r="W646" s="124" t="str">
        <f>IFERROR(__xludf.DUMMYFUNCTION("""COMPUTED_VALUE"""),"Not Available")</f>
        <v>Not Available</v>
      </c>
    </row>
    <row r="647">
      <c r="A647" s="124" t="str">
        <f t="shared" si="1"/>
        <v>shivam98485@gmail.com</v>
      </c>
      <c r="B647" s="131">
        <f>IFERROR(__xludf.DUMMYFUNCTION("""COMPUTED_VALUE"""),46070.0)</f>
        <v>46070</v>
      </c>
      <c r="C647" s="124" t="str">
        <f>IFERROR(__xludf.DUMMYFUNCTION("""COMPUTED_VALUE"""),"Payment data from Collexo")</f>
        <v>Payment data from Collexo</v>
      </c>
      <c r="D647" s="124" t="str">
        <f>IFERROR(__xludf.DUMMYFUNCTION("""COMPUTED_VALUE"""),"Not Available")</f>
        <v>Not Available</v>
      </c>
      <c r="E647" s="124">
        <f>IFERROR(__xludf.DUMMYFUNCTION("""COMPUTED_VALUE"""),1500613.0)</f>
        <v>1500613</v>
      </c>
      <c r="F647" s="124">
        <f>IFERROR(__xludf.DUMMYFUNCTION("""COMPUTED_VALUE"""),123710.0)</f>
        <v>123710</v>
      </c>
      <c r="G647" s="124">
        <f>IFERROR(__xludf.DUMMYFUNCTION("""COMPUTED_VALUE"""),10000.0)</f>
        <v>10000</v>
      </c>
      <c r="H647" s="131">
        <f>IFERROR(__xludf.DUMMYFUNCTION("""COMPUTED_VALUE"""),46070.0)</f>
        <v>46070</v>
      </c>
      <c r="I647" s="124">
        <f>IFERROR(__xludf.DUMMYFUNCTION("""COMPUTED_VALUE"""),10000.0)</f>
        <v>10000</v>
      </c>
      <c r="J647" s="124">
        <f>IFERROR(__xludf.DUMMYFUNCTION("""COMPUTED_VALUE"""),60000.0)</f>
        <v>60000</v>
      </c>
      <c r="K647" s="124">
        <f>IFERROR(__xludf.DUMMYFUNCTION("""COMPUTED_VALUE"""),5.0)</f>
        <v>5</v>
      </c>
      <c r="L647" s="124">
        <f>IFERROR(__xludf.DUMMYFUNCTION("""COMPUTED_VALUE"""),237.0)</f>
        <v>237</v>
      </c>
      <c r="M647" s="124" t="str">
        <f>IFERROR(__xludf.DUMMYFUNCTION("""COMPUTED_VALUE"""),"Prayagraj")</f>
        <v>Prayagraj</v>
      </c>
      <c r="N647" s="124" t="str">
        <f>IFERROR(__xludf.DUMMYFUNCTION("""COMPUTED_VALUE"""),"shivam98485@gmail.com")</f>
        <v>shivam98485@gmail.com</v>
      </c>
      <c r="O647" s="124" t="str">
        <f>IFERROR(__xludf.DUMMYFUNCTION("""COMPUTED_VALUE"""),"Shivam Kumar")</f>
        <v>Shivam Kumar</v>
      </c>
      <c r="P647" s="124">
        <f>IFERROR(__xludf.DUMMYFUNCTION("""COMPUTED_VALUE"""),123710.0)</f>
        <v>123710</v>
      </c>
      <c r="Q647" s="124" t="str">
        <f>IFERROR(__xludf.DUMMYFUNCTION("""COMPUTED_VALUE"""),"upsc-gs-foundation-hindi-target-2028-gsf-upsc-m02-pry")</f>
        <v>upsc-gs-foundation-hindi-target-2028-gsf-upsc-m02-pry</v>
      </c>
      <c r="R647" s="124" t="str">
        <f>IFERROR(__xludf.DUMMYFUNCTION("""COMPUTED_VALUE"""),"GS Foundation Course")</f>
        <v>GS Foundation Course</v>
      </c>
      <c r="S647" s="124">
        <f>IFERROR(__xludf.DUMMYFUNCTION("""COMPUTED_VALUE"""),9.369688228E9)</f>
        <v>9369688228</v>
      </c>
      <c r="T647" s="124" t="str">
        <f>IFERROR(__xludf.DUMMYFUNCTION("""COMPUTED_VALUE"""),"Not Available")</f>
        <v>Not Available</v>
      </c>
      <c r="U647" s="124" t="str">
        <f>IFERROR(__xludf.DUMMYFUNCTION("""COMPUTED_VALUE"""),"Not Available")</f>
        <v>Not Available</v>
      </c>
      <c r="V647" s="124" t="str">
        <f>IFERROR(__xludf.DUMMYFUNCTION("""COMPUTED_VALUE"""),"Not Available")</f>
        <v>Not Available</v>
      </c>
      <c r="W647" s="124" t="str">
        <f>IFERROR(__xludf.DUMMYFUNCTION("""COMPUTED_VALUE"""),"Not Available")</f>
        <v>Not Available</v>
      </c>
    </row>
    <row r="648">
      <c r="A648" s="124" t="str">
        <f t="shared" si="1"/>
        <v>priyasingh28317@gmail.com</v>
      </c>
      <c r="B648" s="131">
        <f>IFERROR(__xludf.DUMMYFUNCTION("""COMPUTED_VALUE"""),46072.0)</f>
        <v>46072</v>
      </c>
      <c r="C648" s="124" t="str">
        <f>IFERROR(__xludf.DUMMYFUNCTION("""COMPUTED_VALUE"""),"Payment data from Collexo")</f>
        <v>Payment data from Collexo</v>
      </c>
      <c r="D648" s="124" t="str">
        <f>IFERROR(__xludf.DUMMYFUNCTION("""COMPUTED_VALUE"""),"Not Available")</f>
        <v>Not Available</v>
      </c>
      <c r="E648" s="124">
        <f>IFERROR(__xludf.DUMMYFUNCTION("""COMPUTED_VALUE"""),1500609.0)</f>
        <v>1500609</v>
      </c>
      <c r="F648" s="124" t="str">
        <f>IFERROR(__xludf.DUMMYFUNCTION("""COMPUTED_VALUE"""),"6476_988_7")</f>
        <v>6476_988_7</v>
      </c>
      <c r="G648" s="124">
        <f>IFERROR(__xludf.DUMMYFUNCTION("""COMPUTED_VALUE"""),1.0)</f>
        <v>1</v>
      </c>
      <c r="H648" s="124" t="str">
        <f>IFERROR(__xludf.DUMMYFUNCTION("""COMPUTED_VALUE"""),"Not Available")</f>
        <v>Not Available</v>
      </c>
      <c r="I648" s="124">
        <f>IFERROR(__xludf.DUMMYFUNCTION("""COMPUTED_VALUE"""),0.0)</f>
        <v>0</v>
      </c>
      <c r="J648" s="124">
        <f>IFERROR(__xludf.DUMMYFUNCTION("""COMPUTED_VALUE"""),1.0)</f>
        <v>1</v>
      </c>
      <c r="K648" s="124">
        <f>IFERROR(__xludf.DUMMYFUNCTION("""COMPUTED_VALUE"""),1.0)</f>
        <v>1</v>
      </c>
      <c r="L648" s="124">
        <f>IFERROR(__xludf.DUMMYFUNCTION("""COMPUTED_VALUE"""),264.0)</f>
        <v>264</v>
      </c>
      <c r="M648" s="124" t="str">
        <f>IFERROR(__xludf.DUMMYFUNCTION("""COMPUTED_VALUE"""),"New Delhi")</f>
        <v>New Delhi</v>
      </c>
      <c r="N648" s="124" t="str">
        <f>IFERROR(__xludf.DUMMYFUNCTION("""COMPUTED_VALUE"""),"priyasingh28317@gmail.com")</f>
        <v>priyasingh28317@gmail.com</v>
      </c>
      <c r="O648" s="124" t="str">
        <f>IFERROR(__xludf.DUMMYFUNCTION("""COMPUTED_VALUE"""),"Priya")</f>
        <v>Priya</v>
      </c>
      <c r="P648" s="124">
        <f>IFERROR(__xludf.DUMMYFUNCTION("""COMPUTED_VALUE"""),124180.0)</f>
        <v>124180</v>
      </c>
      <c r="Q648" s="124" t="str">
        <f>IFERROR(__xludf.DUMMYFUNCTION("""COMPUTED_VALUE"""),"upsc-gs-foundation-hinglish-target-2027-gsf-upsc-e04-orn")</f>
        <v>upsc-gs-foundation-hinglish-target-2027-gsf-upsc-e04-orn</v>
      </c>
      <c r="R648" s="124" t="str">
        <f>IFERROR(__xludf.DUMMYFUNCTION("""COMPUTED_VALUE"""),"GS Foundation Course")</f>
        <v>GS Foundation Course</v>
      </c>
      <c r="S648" s="124">
        <f>IFERROR(__xludf.DUMMYFUNCTION("""COMPUTED_VALUE"""),9.693807345E9)</f>
        <v>9693807345</v>
      </c>
      <c r="T648" s="124" t="str">
        <f>IFERROR(__xludf.DUMMYFUNCTION("""COMPUTED_VALUE"""),"Not Available")</f>
        <v>Not Available</v>
      </c>
      <c r="U648" s="124" t="str">
        <f>IFERROR(__xludf.DUMMYFUNCTION("""COMPUTED_VALUE"""),"Not Available")</f>
        <v>Not Available</v>
      </c>
      <c r="V648" s="124" t="str">
        <f>IFERROR(__xludf.DUMMYFUNCTION("""COMPUTED_VALUE"""),"Not Available")</f>
        <v>Not Available</v>
      </c>
      <c r="W648" s="124" t="str">
        <f>IFERROR(__xludf.DUMMYFUNCTION("""COMPUTED_VALUE"""),"Not Available")</f>
        <v>Not Available</v>
      </c>
    </row>
    <row r="649">
      <c r="A649" s="124" t="str">
        <f t="shared" si="1"/>
        <v>adwikashukla16@gmail.com</v>
      </c>
      <c r="B649" s="131">
        <f>IFERROR(__xludf.DUMMYFUNCTION("""COMPUTED_VALUE"""),46109.0)</f>
        <v>46109</v>
      </c>
      <c r="C649" s="124" t="str">
        <f>IFERROR(__xludf.DUMMYFUNCTION("""COMPUTED_VALUE"""),"Payment data from Collexo")</f>
        <v>Payment data from Collexo</v>
      </c>
      <c r="D649" s="124" t="str">
        <f>IFERROR(__xludf.DUMMYFUNCTION("""COMPUTED_VALUE"""),"Not Available")</f>
        <v>Not Available</v>
      </c>
      <c r="E649" s="124">
        <f>IFERROR(__xludf.DUMMYFUNCTION("""COMPUTED_VALUE"""),1500610.0)</f>
        <v>1500610</v>
      </c>
      <c r="F649" s="124">
        <f>IFERROR(__xludf.DUMMYFUNCTION("""COMPUTED_VALUE"""),139574.0)</f>
        <v>139574</v>
      </c>
      <c r="G649" s="124">
        <f>IFERROR(__xludf.DUMMYFUNCTION("""COMPUTED_VALUE"""),15000.0)</f>
        <v>15000</v>
      </c>
      <c r="H649" s="131">
        <f>IFERROR(__xludf.DUMMYFUNCTION("""COMPUTED_VALUE"""),46142.0)</f>
        <v>46142</v>
      </c>
      <c r="I649" s="124">
        <f>IFERROR(__xludf.DUMMYFUNCTION("""COMPUTED_VALUE"""),15000.0)</f>
        <v>15000</v>
      </c>
      <c r="J649" s="124">
        <f>IFERROR(__xludf.DUMMYFUNCTION("""COMPUTED_VALUE"""),30000.0)</f>
        <v>30000</v>
      </c>
      <c r="K649" s="124">
        <f>IFERROR(__xludf.DUMMYFUNCTION("""COMPUTED_VALUE"""),2.0)</f>
        <v>2</v>
      </c>
      <c r="L649" s="124">
        <f>IFERROR(__xludf.DUMMYFUNCTION("""COMPUTED_VALUE"""),812.0)</f>
        <v>812</v>
      </c>
      <c r="M649" s="124" t="str">
        <f>IFERROR(__xludf.DUMMYFUNCTION("""COMPUTED_VALUE"""),"Lucknow")</f>
        <v>Lucknow</v>
      </c>
      <c r="N649" s="124" t="str">
        <f>IFERROR(__xludf.DUMMYFUNCTION("""COMPUTED_VALUE"""),"adwikashukla16@gmail.com")</f>
        <v>adwikashukla16@gmail.com</v>
      </c>
      <c r="O649" s="124" t="str">
        <f>IFERROR(__xludf.DUMMYFUNCTION("""COMPUTED_VALUE"""),"Ishita")</f>
        <v>Ishita</v>
      </c>
      <c r="P649" s="124">
        <f>IFERROR(__xludf.DUMMYFUNCTION("""COMPUTED_VALUE"""),139574.0)</f>
        <v>139574</v>
      </c>
      <c r="Q649" s="124" t="str">
        <f>IFERROR(__xludf.DUMMYFUNCTION("""COMPUTED_VALUE"""),"Not Available")</f>
        <v>Not Available</v>
      </c>
      <c r="R649" s="124" t="str">
        <f>IFERROR(__xludf.DUMMYFUNCTION("""COMPUTED_VALUE"""),"GS Foundation Course")</f>
        <v>GS Foundation Course</v>
      </c>
      <c r="S649" s="124">
        <f>IFERROR(__xludf.DUMMYFUNCTION("""COMPUTED_VALUE"""),7.35577612E9)</f>
        <v>7355776120</v>
      </c>
      <c r="T649" s="124" t="str">
        <f>IFERROR(__xludf.DUMMYFUNCTION("""COMPUTED_VALUE"""),"Not Available")</f>
        <v>Not Available</v>
      </c>
      <c r="U649" s="124" t="str">
        <f>IFERROR(__xludf.DUMMYFUNCTION("""COMPUTED_VALUE"""),"Not Available")</f>
        <v>Not Available</v>
      </c>
      <c r="V649" s="124" t="str">
        <f>IFERROR(__xludf.DUMMYFUNCTION("""COMPUTED_VALUE"""),"Not Available")</f>
        <v>Not Available</v>
      </c>
      <c r="W649" s="124" t="str">
        <f>IFERROR(__xludf.DUMMYFUNCTION("""COMPUTED_VALUE"""),"Not Available")</f>
        <v>Not Available</v>
      </c>
    </row>
    <row r="650">
      <c r="A650" s="124" t="str">
        <f t="shared" si="1"/>
        <v>vetdevduvasu@gmail.com</v>
      </c>
      <c r="B650" s="131">
        <f>IFERROR(__xludf.DUMMYFUNCTION("""COMPUTED_VALUE"""),46105.0)</f>
        <v>46105</v>
      </c>
      <c r="C650" s="124" t="str">
        <f>IFERROR(__xludf.DUMMYFUNCTION("""COMPUTED_VALUE"""),"Payment data from Collexo")</f>
        <v>Payment data from Collexo</v>
      </c>
      <c r="D650" s="124" t="str">
        <f>IFERROR(__xludf.DUMMYFUNCTION("""COMPUTED_VALUE"""),"Not Available")</f>
        <v>Not Available</v>
      </c>
      <c r="E650" s="124">
        <f>IFERROR(__xludf.DUMMYFUNCTION("""COMPUTED_VALUE"""),1500609.0)</f>
        <v>1500609</v>
      </c>
      <c r="F650" s="124" t="str">
        <f>IFERROR(__xludf.DUMMYFUNCTION("""COMPUTED_VALUE"""),"16356_988_7")</f>
        <v>16356_988_7</v>
      </c>
      <c r="G650" s="124">
        <f>IFERROR(__xludf.DUMMYFUNCTION("""COMPUTED_VALUE"""),84000.0)</f>
        <v>84000</v>
      </c>
      <c r="H650" s="124" t="str">
        <f>IFERROR(__xludf.DUMMYFUNCTION("""COMPUTED_VALUE"""),"Not Available")</f>
        <v>Not Available</v>
      </c>
      <c r="I650" s="124">
        <f>IFERROR(__xludf.DUMMYFUNCTION("""COMPUTED_VALUE"""),0.0)</f>
        <v>0</v>
      </c>
      <c r="J650" s="124">
        <f>IFERROR(__xludf.DUMMYFUNCTION("""COMPUTED_VALUE"""),90000.0)</f>
        <v>90000</v>
      </c>
      <c r="K650" s="124">
        <f>IFERROR(__xludf.DUMMYFUNCTION("""COMPUTED_VALUE"""),3.0)</f>
        <v>3</v>
      </c>
      <c r="L650" s="124">
        <f>IFERROR(__xludf.DUMMYFUNCTION("""COMPUTED_VALUE"""),714.0)</f>
        <v>714</v>
      </c>
      <c r="M650" s="124" t="str">
        <f>IFERROR(__xludf.DUMMYFUNCTION("""COMPUTED_VALUE"""),"New Delhi")</f>
        <v>New Delhi</v>
      </c>
      <c r="N650" s="124" t="str">
        <f>IFERROR(__xludf.DUMMYFUNCTION("""COMPUTED_VALUE"""),"vetdevduvasu@gmail.com")</f>
        <v>vetdevduvasu@gmail.com</v>
      </c>
      <c r="O650" s="124" t="str">
        <f>IFERROR(__xludf.DUMMYFUNCTION("""COMPUTED_VALUE"""),"Dev Sharma")</f>
        <v>Dev Sharma</v>
      </c>
      <c r="P650" s="124">
        <f>IFERROR(__xludf.DUMMYFUNCTION("""COMPUTED_VALUE"""),129260.0)</f>
        <v>129260</v>
      </c>
      <c r="Q650" s="124" t="str">
        <f>IFERROR(__xludf.DUMMYFUNCTION("""COMPUTED_VALUE"""),"upsc-gs-foundation-hinglish-target-2027-gsf-upsc-m05-orn")</f>
        <v>upsc-gs-foundation-hinglish-target-2027-gsf-upsc-m05-orn</v>
      </c>
      <c r="R650" s="124" t="str">
        <f>IFERROR(__xludf.DUMMYFUNCTION("""COMPUTED_VALUE"""),"GS Foundation Course")</f>
        <v>GS Foundation Course</v>
      </c>
      <c r="S650" s="124">
        <f>IFERROR(__xludf.DUMMYFUNCTION("""COMPUTED_VALUE"""),9.528979871E9)</f>
        <v>9528979871</v>
      </c>
      <c r="T650" s="124" t="str">
        <f>IFERROR(__xludf.DUMMYFUNCTION("""COMPUTED_VALUE"""),"Collexo")</f>
        <v>Collexo</v>
      </c>
      <c r="U650" s="124" t="str">
        <f>IFERROR(__xludf.DUMMYFUNCTION("""COMPUTED_VALUE"""),"Success")</f>
        <v>Success</v>
      </c>
      <c r="V650" s="131">
        <f>IFERROR(__xludf.DUMMYFUNCTION("""COMPUTED_VALUE"""),46105.0)</f>
        <v>46105</v>
      </c>
      <c r="W650" s="124">
        <f>IFERROR(__xludf.DUMMYFUNCTION("""COMPUTED_VALUE"""),0.0)</f>
        <v>0</v>
      </c>
    </row>
    <row r="651">
      <c r="A651" s="124" t="str">
        <f t="shared" si="1"/>
        <v>raniverma107200@gmail.com</v>
      </c>
      <c r="B651" s="131">
        <f>IFERROR(__xludf.DUMMYFUNCTION("""COMPUTED_VALUE"""),46106.0)</f>
        <v>46106</v>
      </c>
      <c r="C651" s="124" t="str">
        <f>IFERROR(__xludf.DUMMYFUNCTION("""COMPUTED_VALUE"""),"Payment data from Collexo")</f>
        <v>Payment data from Collexo</v>
      </c>
      <c r="D651" s="124" t="str">
        <f>IFERROR(__xludf.DUMMYFUNCTION("""COMPUTED_VALUE"""),"Not Available")</f>
        <v>Not Available</v>
      </c>
      <c r="E651" s="124">
        <f>IFERROR(__xludf.DUMMYFUNCTION("""COMPUTED_VALUE"""),1500610.0)</f>
        <v>1500610</v>
      </c>
      <c r="F651" s="124">
        <f>IFERROR(__xludf.DUMMYFUNCTION("""COMPUTED_VALUE"""),133225.0)</f>
        <v>133225</v>
      </c>
      <c r="G651" s="124">
        <f>IFERROR(__xludf.DUMMYFUNCTION("""COMPUTED_VALUE"""),5000.0)</f>
        <v>5000</v>
      </c>
      <c r="H651" s="131">
        <f>IFERROR(__xludf.DUMMYFUNCTION("""COMPUTED_VALUE"""),46112.0)</f>
        <v>46112</v>
      </c>
      <c r="I651" s="124">
        <f>IFERROR(__xludf.DUMMYFUNCTION("""COMPUTED_VALUE"""),5000.0)</f>
        <v>5000</v>
      </c>
      <c r="J651" s="124">
        <f>IFERROR(__xludf.DUMMYFUNCTION("""COMPUTED_VALUE"""),20000.0)</f>
        <v>20000</v>
      </c>
      <c r="K651" s="124">
        <f>IFERROR(__xludf.DUMMYFUNCTION("""COMPUTED_VALUE"""),3.0)</f>
        <v>3</v>
      </c>
      <c r="L651" s="124">
        <f>IFERROR(__xludf.DUMMYFUNCTION("""COMPUTED_VALUE"""),747.0)</f>
        <v>747</v>
      </c>
      <c r="M651" s="124" t="str">
        <f>IFERROR(__xludf.DUMMYFUNCTION("""COMPUTED_VALUE"""),"Lucknow")</f>
        <v>Lucknow</v>
      </c>
      <c r="N651" s="124" t="str">
        <f>IFERROR(__xludf.DUMMYFUNCTION("""COMPUTED_VALUE"""),"raniverma107200@gmail.com")</f>
        <v>raniverma107200@gmail.com</v>
      </c>
      <c r="O651" s="124" t="str">
        <f>IFERROR(__xludf.DUMMYFUNCTION("""COMPUTED_VALUE"""),"Rani Verma")</f>
        <v>Rani Verma</v>
      </c>
      <c r="P651" s="124">
        <f>IFERROR(__xludf.DUMMYFUNCTION("""COMPUTED_VALUE"""),133225.0)</f>
        <v>133225</v>
      </c>
      <c r="Q651" s="124" t="str">
        <f>IFERROR(__xludf.DUMMYFUNCTION("""COMPUTED_VALUE"""),"upsc-gs-foundation-hindi-target-2027-gsf-upsc-m02-lko")</f>
        <v>upsc-gs-foundation-hindi-target-2027-gsf-upsc-m02-lko</v>
      </c>
      <c r="R651" s="124" t="str">
        <f>IFERROR(__xludf.DUMMYFUNCTION("""COMPUTED_VALUE"""),"GS Foundation Course")</f>
        <v>GS Foundation Course</v>
      </c>
      <c r="S651" s="124">
        <f>IFERROR(__xludf.DUMMYFUNCTION("""COMPUTED_VALUE"""),6.38782024E9)</f>
        <v>6387820240</v>
      </c>
      <c r="T651" s="124" t="str">
        <f>IFERROR(__xludf.DUMMYFUNCTION("""COMPUTED_VALUE"""),"Not Available")</f>
        <v>Not Available</v>
      </c>
      <c r="U651" s="124" t="str">
        <f>IFERROR(__xludf.DUMMYFUNCTION("""COMPUTED_VALUE"""),"Not Available")</f>
        <v>Not Available</v>
      </c>
      <c r="V651" s="124" t="str">
        <f>IFERROR(__xludf.DUMMYFUNCTION("""COMPUTED_VALUE"""),"Not Available")</f>
        <v>Not Available</v>
      </c>
      <c r="W651" s="124" t="str">
        <f>IFERROR(__xludf.DUMMYFUNCTION("""COMPUTED_VALUE"""),"Not Available")</f>
        <v>Not Available</v>
      </c>
    </row>
    <row r="652">
      <c r="A652" s="124" t="str">
        <f t="shared" si="1"/>
        <v>shivshankarjaiswal102@gmail.com</v>
      </c>
      <c r="B652" s="131">
        <f>IFERROR(__xludf.DUMMYFUNCTION("""COMPUTED_VALUE"""),46081.0)</f>
        <v>46081</v>
      </c>
      <c r="C652" s="124" t="str">
        <f>IFERROR(__xludf.DUMMYFUNCTION("""COMPUTED_VALUE"""),"Payment data from Collexo")</f>
        <v>Payment data from Collexo</v>
      </c>
      <c r="D652" s="124" t="str">
        <f>IFERROR(__xludf.DUMMYFUNCTION("""COMPUTED_VALUE"""),"Not Available")</f>
        <v>Not Available</v>
      </c>
      <c r="E652" s="124">
        <f>IFERROR(__xludf.DUMMYFUNCTION("""COMPUTED_VALUE"""),1500609.0)</f>
        <v>1500609</v>
      </c>
      <c r="F652" s="124" t="str">
        <f>IFERROR(__xludf.DUMMYFUNCTION("""COMPUTED_VALUE"""),"11603_988_7")</f>
        <v>11603_988_7</v>
      </c>
      <c r="G652" s="124">
        <f>IFERROR(__xludf.DUMMYFUNCTION("""COMPUTED_VALUE"""),110000.0)</f>
        <v>110000</v>
      </c>
      <c r="H652" s="124" t="str">
        <f>IFERROR(__xludf.DUMMYFUNCTION("""COMPUTED_VALUE"""),"Not Available")</f>
        <v>Not Available</v>
      </c>
      <c r="I652" s="124">
        <f>IFERROR(__xludf.DUMMYFUNCTION("""COMPUTED_VALUE"""),0.0)</f>
        <v>0</v>
      </c>
      <c r="J652" s="124">
        <f>IFERROR(__xludf.DUMMYFUNCTION("""COMPUTED_VALUE"""),115000.0)</f>
        <v>115000</v>
      </c>
      <c r="K652" s="124">
        <f>IFERROR(__xludf.DUMMYFUNCTION("""COMPUTED_VALUE"""),2.0)</f>
        <v>2</v>
      </c>
      <c r="L652" s="124">
        <f>IFERROR(__xludf.DUMMYFUNCTION("""COMPUTED_VALUE"""),380.0)</f>
        <v>380</v>
      </c>
      <c r="M652" s="124" t="str">
        <f>IFERROR(__xludf.DUMMYFUNCTION("""COMPUTED_VALUE"""),"New Delhi")</f>
        <v>New Delhi</v>
      </c>
      <c r="N652" s="124" t="str">
        <f>IFERROR(__xludf.DUMMYFUNCTION("""COMPUTED_VALUE"""),"shivshankarjaiswal102@gmail.com")</f>
        <v>shivshankarjaiswal102@gmail.com</v>
      </c>
      <c r="O652" s="124" t="str">
        <f>IFERROR(__xludf.DUMMYFUNCTION("""COMPUTED_VALUE"""),"shivshankar kumar")</f>
        <v>shivshankar kumar</v>
      </c>
      <c r="P652" s="124">
        <f>IFERROR(__xludf.DUMMYFUNCTION("""COMPUTED_VALUE"""),124310.0)</f>
        <v>124310</v>
      </c>
      <c r="Q652" s="124" t="str">
        <f>IFERROR(__xludf.DUMMYFUNCTION("""COMPUTED_VALUE"""),"-")</f>
        <v>-</v>
      </c>
      <c r="R652" s="124" t="str">
        <f>IFERROR(__xludf.DUMMYFUNCTION("""COMPUTED_VALUE"""),"GS Foundation Course")</f>
        <v>GS Foundation Course</v>
      </c>
      <c r="S652" s="124">
        <f>IFERROR(__xludf.DUMMYFUNCTION("""COMPUTED_VALUE"""),7.761994508E9)</f>
        <v>7761994508</v>
      </c>
      <c r="T652" s="124" t="str">
        <f>IFERROR(__xludf.DUMMYFUNCTION("""COMPUTED_VALUE"""),"Collexo")</f>
        <v>Collexo</v>
      </c>
      <c r="U652" s="124" t="str">
        <f>IFERROR(__xludf.DUMMYFUNCTION("""COMPUTED_VALUE"""),"Success")</f>
        <v>Success</v>
      </c>
      <c r="V652" s="131">
        <f>IFERROR(__xludf.DUMMYFUNCTION("""COMPUTED_VALUE"""),46081.0)</f>
        <v>46081</v>
      </c>
      <c r="W652" s="124">
        <f>IFERROR(__xludf.DUMMYFUNCTION("""COMPUTED_VALUE"""),0.0)</f>
        <v>0</v>
      </c>
    </row>
    <row r="653">
      <c r="A653" s="124" t="str">
        <f t="shared" si="1"/>
        <v>sram68608@gmail.com</v>
      </c>
      <c r="B653" s="131">
        <f>IFERROR(__xludf.DUMMYFUNCTION("""COMPUTED_VALUE"""),46109.0)</f>
        <v>46109</v>
      </c>
      <c r="C653" s="124" t="str">
        <f>IFERROR(__xludf.DUMMYFUNCTION("""COMPUTED_VALUE"""),"Payment data from Collexo")</f>
        <v>Payment data from Collexo</v>
      </c>
      <c r="D653" s="124" t="str">
        <f>IFERROR(__xludf.DUMMYFUNCTION("""COMPUTED_VALUE"""),"Not Available")</f>
        <v>Not Available</v>
      </c>
      <c r="E653" s="124">
        <f>IFERROR(__xludf.DUMMYFUNCTION("""COMPUTED_VALUE"""),1500612.0)</f>
        <v>1500612</v>
      </c>
      <c r="F653" s="124">
        <f>IFERROR(__xludf.DUMMYFUNCTION("""COMPUTED_VALUE"""),134618.0)</f>
        <v>134618</v>
      </c>
      <c r="G653" s="124">
        <f>IFERROR(__xludf.DUMMYFUNCTION("""COMPUTED_VALUE"""),5000.0)</f>
        <v>5000</v>
      </c>
      <c r="H653" s="131">
        <f>IFERROR(__xludf.DUMMYFUNCTION("""COMPUTED_VALUE"""),46112.0)</f>
        <v>46112</v>
      </c>
      <c r="I653" s="124">
        <f>IFERROR(__xludf.DUMMYFUNCTION("""COMPUTED_VALUE"""),95000.0)</f>
        <v>95000</v>
      </c>
      <c r="J653" s="124">
        <f>IFERROR(__xludf.DUMMYFUNCTION("""COMPUTED_VALUE"""),100000.0)</f>
        <v>100000</v>
      </c>
      <c r="K653" s="124">
        <f>IFERROR(__xludf.DUMMYFUNCTION("""COMPUTED_VALUE"""),2.0)</f>
        <v>2</v>
      </c>
      <c r="L653" s="124">
        <f>IFERROR(__xludf.DUMMYFUNCTION("""COMPUTED_VALUE"""),796.0)</f>
        <v>796</v>
      </c>
      <c r="M653" s="124" t="str">
        <f>IFERROR(__xludf.DUMMYFUNCTION("""COMPUTED_VALUE"""),"Indore")</f>
        <v>Indore</v>
      </c>
      <c r="N653" s="124" t="str">
        <f>IFERROR(__xludf.DUMMYFUNCTION("""COMPUTED_VALUE"""),"sram68608@gmail.com")</f>
        <v>sram68608@gmail.com</v>
      </c>
      <c r="O653" s="124" t="str">
        <f>IFERROR(__xludf.DUMMYFUNCTION("""COMPUTED_VALUE"""),"Ram Sharma")</f>
        <v>Ram Sharma</v>
      </c>
      <c r="P653" s="124">
        <f>IFERROR(__xludf.DUMMYFUNCTION("""COMPUTED_VALUE"""),134618.0)</f>
        <v>134618</v>
      </c>
      <c r="Q653" s="124" t="str">
        <f>IFERROR(__xludf.DUMMYFUNCTION("""COMPUTED_VALUE"""),"upsc-gs-foundation-hinglish-target-2028-gsf-upsc-m03-ind")</f>
        <v>upsc-gs-foundation-hinglish-target-2028-gsf-upsc-m03-ind</v>
      </c>
      <c r="R653" s="124" t="str">
        <f>IFERROR(__xludf.DUMMYFUNCTION("""COMPUTED_VALUE"""),"GS Foundation Course")</f>
        <v>GS Foundation Course</v>
      </c>
      <c r="S653" s="124">
        <f>IFERROR(__xludf.DUMMYFUNCTION("""COMPUTED_VALUE"""),6.266347156E9)</f>
        <v>6266347156</v>
      </c>
      <c r="T653" s="124" t="str">
        <f>IFERROR(__xludf.DUMMYFUNCTION("""COMPUTED_VALUE"""),"Not Available")</f>
        <v>Not Available</v>
      </c>
      <c r="U653" s="124" t="str">
        <f>IFERROR(__xludf.DUMMYFUNCTION("""COMPUTED_VALUE"""),"Not Available")</f>
        <v>Not Available</v>
      </c>
      <c r="V653" s="124" t="str">
        <f>IFERROR(__xludf.DUMMYFUNCTION("""COMPUTED_VALUE"""),"Not Available")</f>
        <v>Not Available</v>
      </c>
      <c r="W653" s="124" t="str">
        <f>IFERROR(__xludf.DUMMYFUNCTION("""COMPUTED_VALUE"""),"Not Available")</f>
        <v>Not Available</v>
      </c>
    </row>
    <row r="654">
      <c r="A654" s="124" t="str">
        <f t="shared" si="1"/>
        <v>tripathiakanksha1530@gmail.com</v>
      </c>
      <c r="B654" s="131">
        <f>IFERROR(__xludf.DUMMYFUNCTION("""COMPUTED_VALUE"""),46099.0)</f>
        <v>46099</v>
      </c>
      <c r="C654" s="124" t="str">
        <f>IFERROR(__xludf.DUMMYFUNCTION("""COMPUTED_VALUE"""),"Payment data from Collexo")</f>
        <v>Payment data from Collexo</v>
      </c>
      <c r="D654" s="124" t="str">
        <f>IFERROR(__xludf.DUMMYFUNCTION("""COMPUTED_VALUE"""),"Not Available")</f>
        <v>Not Available</v>
      </c>
      <c r="E654" s="124">
        <f>IFERROR(__xludf.DUMMYFUNCTION("""COMPUTED_VALUE"""),1500610.0)</f>
        <v>1500610</v>
      </c>
      <c r="F654" s="124">
        <f>IFERROR(__xludf.DUMMYFUNCTION("""COMPUTED_VALUE"""),120993.0)</f>
        <v>120993</v>
      </c>
      <c r="G654" s="124">
        <f>IFERROR(__xludf.DUMMYFUNCTION("""COMPUTED_VALUE"""),41769.0)</f>
        <v>41769</v>
      </c>
      <c r="H654" s="124" t="str">
        <f>IFERROR(__xludf.DUMMYFUNCTION("""COMPUTED_VALUE"""),"Not Available")</f>
        <v>Not Available</v>
      </c>
      <c r="I654" s="124">
        <f>IFERROR(__xludf.DUMMYFUNCTION("""COMPUTED_VALUE"""),0.0)</f>
        <v>0</v>
      </c>
      <c r="J654" s="124">
        <f>IFERROR(__xludf.DUMMYFUNCTION("""COMPUTED_VALUE"""),50000.0)</f>
        <v>50000</v>
      </c>
      <c r="K654" s="124">
        <f>IFERROR(__xludf.DUMMYFUNCTION("""COMPUTED_VALUE"""),2.0)</f>
        <v>2</v>
      </c>
      <c r="L654" s="124">
        <f>IFERROR(__xludf.DUMMYFUNCTION("""COMPUTED_VALUE"""),601.0)</f>
        <v>601</v>
      </c>
      <c r="M654" s="124" t="str">
        <f>IFERROR(__xludf.DUMMYFUNCTION("""COMPUTED_VALUE"""),"Lucknow")</f>
        <v>Lucknow</v>
      </c>
      <c r="N654" s="124" t="str">
        <f>IFERROR(__xludf.DUMMYFUNCTION("""COMPUTED_VALUE"""),"tripathiakanksha1530@gmail.com")</f>
        <v>tripathiakanksha1530@gmail.com</v>
      </c>
      <c r="O654" s="124" t="str">
        <f>IFERROR(__xludf.DUMMYFUNCTION("""COMPUTED_VALUE"""),"Akanksha Tripathi")</f>
        <v>Akanksha Tripathi</v>
      </c>
      <c r="P654" s="124">
        <f>IFERROR(__xludf.DUMMYFUNCTION("""COMPUTED_VALUE"""),120993.0)</f>
        <v>120993</v>
      </c>
      <c r="Q654" s="124" t="str">
        <f>IFERROR(__xludf.DUMMYFUNCTION("""COMPUTED_VALUE"""),"Not Available")</f>
        <v>Not Available</v>
      </c>
      <c r="R654" s="124" t="str">
        <f>IFERROR(__xludf.DUMMYFUNCTION("""COMPUTED_VALUE"""),"GS Foundation Course")</f>
        <v>GS Foundation Course</v>
      </c>
      <c r="S654" s="124">
        <f>IFERROR(__xludf.DUMMYFUNCTION("""COMPUTED_VALUE"""),9.026118306E9)</f>
        <v>9026118306</v>
      </c>
      <c r="T654" s="124" t="str">
        <f>IFERROR(__xludf.DUMMYFUNCTION("""COMPUTED_VALUE"""),"Not Available")</f>
        <v>Not Available</v>
      </c>
      <c r="U654" s="124" t="str">
        <f>IFERROR(__xludf.DUMMYFUNCTION("""COMPUTED_VALUE"""),"Not Available")</f>
        <v>Not Available</v>
      </c>
      <c r="V654" s="124" t="str">
        <f>IFERROR(__xludf.DUMMYFUNCTION("""COMPUTED_VALUE"""),"Not Available")</f>
        <v>Not Available</v>
      </c>
      <c r="W654" s="124" t="str">
        <f>IFERROR(__xludf.DUMMYFUNCTION("""COMPUTED_VALUE"""),"Not Available")</f>
        <v>Not Available</v>
      </c>
    </row>
    <row r="655">
      <c r="A655" s="124" t="str">
        <f t="shared" si="1"/>
        <v>anugoyal2910@gmail.com</v>
      </c>
      <c r="B655" s="131">
        <f>IFERROR(__xludf.DUMMYFUNCTION("""COMPUTED_VALUE"""),46103.0)</f>
        <v>46103</v>
      </c>
      <c r="C655" s="124" t="str">
        <f>IFERROR(__xludf.DUMMYFUNCTION("""COMPUTED_VALUE"""),"Payment data from Collexo")</f>
        <v>Payment data from Collexo</v>
      </c>
      <c r="D655" s="124" t="str">
        <f>IFERROR(__xludf.DUMMYFUNCTION("""COMPUTED_VALUE"""),"Not Available")</f>
        <v>Not Available</v>
      </c>
      <c r="E655" s="124">
        <f>IFERROR(__xludf.DUMMYFUNCTION("""COMPUTED_VALUE"""),1500611.0)</f>
        <v>1500611</v>
      </c>
      <c r="F655" s="124">
        <f>IFERROR(__xludf.DUMMYFUNCTION("""COMPUTED_VALUE"""),129732.0)</f>
        <v>129732</v>
      </c>
      <c r="G655" s="124">
        <f>IFERROR(__xludf.DUMMYFUNCTION("""COMPUTED_VALUE"""),49500.0)</f>
        <v>49500</v>
      </c>
      <c r="H655" s="124" t="str">
        <f>IFERROR(__xludf.DUMMYFUNCTION("""COMPUTED_VALUE"""),"Not Available")</f>
        <v>Not Available</v>
      </c>
      <c r="I655" s="124">
        <f>IFERROR(__xludf.DUMMYFUNCTION("""COMPUTED_VALUE"""),0.0)</f>
        <v>0</v>
      </c>
      <c r="J655" s="124">
        <f>IFERROR(__xludf.DUMMYFUNCTION("""COMPUTED_VALUE"""),55000.0)</f>
        <v>55000</v>
      </c>
      <c r="K655" s="124">
        <f>IFERROR(__xludf.DUMMYFUNCTION("""COMPUTED_VALUE"""),2.0)</f>
        <v>2</v>
      </c>
      <c r="L655" s="124">
        <f>IFERROR(__xludf.DUMMYFUNCTION("""COMPUTED_VALUE"""),679.0)</f>
        <v>679</v>
      </c>
      <c r="M655" s="124" t="str">
        <f>IFERROR(__xludf.DUMMYFUNCTION("""COMPUTED_VALUE"""),"Patna")</f>
        <v>Patna</v>
      </c>
      <c r="N655" s="124" t="str">
        <f>IFERROR(__xludf.DUMMYFUNCTION("""COMPUTED_VALUE"""),"anugoyal2910@gmail.com")</f>
        <v>anugoyal2910@gmail.com</v>
      </c>
      <c r="O655" s="124" t="str">
        <f>IFERROR(__xludf.DUMMYFUNCTION("""COMPUTED_VALUE"""),"Anushka Raj")</f>
        <v>Anushka Raj</v>
      </c>
      <c r="P655" s="124">
        <f>IFERROR(__xludf.DUMMYFUNCTION("""COMPUTED_VALUE"""),129732.0)</f>
        <v>129732</v>
      </c>
      <c r="Q655" s="124" t="str">
        <f>IFERROR(__xludf.DUMMYFUNCTION("""COMPUTED_VALUE"""),"bpsc-gs-foundation-hinglish-target-2026-gsf-bpsc-m02-pat")</f>
        <v>bpsc-gs-foundation-hinglish-target-2026-gsf-bpsc-m02-pat</v>
      </c>
      <c r="R655" s="124" t="str">
        <f>IFERROR(__xludf.DUMMYFUNCTION("""COMPUTED_VALUE"""),"State PCS")</f>
        <v>State PCS</v>
      </c>
      <c r="S655" s="124">
        <f>IFERROR(__xludf.DUMMYFUNCTION("""COMPUTED_VALUE"""),9.798773313E9)</f>
        <v>9798773313</v>
      </c>
      <c r="T655" s="124" t="str">
        <f>IFERROR(__xludf.DUMMYFUNCTION("""COMPUTED_VALUE"""),"Not Available")</f>
        <v>Not Available</v>
      </c>
      <c r="U655" s="124" t="str">
        <f>IFERROR(__xludf.DUMMYFUNCTION("""COMPUTED_VALUE"""),"Not Available")</f>
        <v>Not Available</v>
      </c>
      <c r="V655" s="124" t="str">
        <f>IFERROR(__xludf.DUMMYFUNCTION("""COMPUTED_VALUE"""),"Not Available")</f>
        <v>Not Available</v>
      </c>
      <c r="W655" s="124" t="str">
        <f>IFERROR(__xludf.DUMMYFUNCTION("""COMPUTED_VALUE"""),"Not Available")</f>
        <v>Not Available</v>
      </c>
    </row>
    <row r="656">
      <c r="A656" s="124" t="str">
        <f t="shared" si="1"/>
        <v>raja@gmail.com</v>
      </c>
      <c r="B656" s="131">
        <f>IFERROR(__xludf.DUMMYFUNCTION("""COMPUTED_VALUE"""),46065.0)</f>
        <v>46065</v>
      </c>
      <c r="C656" s="124" t="str">
        <f>IFERROR(__xludf.DUMMYFUNCTION("""COMPUTED_VALUE"""),"Payment data from Collexo")</f>
        <v>Payment data from Collexo</v>
      </c>
      <c r="D656" s="124" t="str">
        <f>IFERROR(__xludf.DUMMYFUNCTION("""COMPUTED_VALUE"""),"Not Available")</f>
        <v>Not Available</v>
      </c>
      <c r="E656" s="124">
        <f>IFERROR(__xludf.DUMMYFUNCTION("""COMPUTED_VALUE"""),1500611.0)</f>
        <v>1500611</v>
      </c>
      <c r="F656" s="124">
        <f>IFERROR(__xludf.DUMMYFUNCTION("""COMPUTED_VALUE"""),122869.0)</f>
        <v>122869</v>
      </c>
      <c r="G656" s="124">
        <f>IFERROR(__xludf.DUMMYFUNCTION("""COMPUTED_VALUE"""),5000.0)</f>
        <v>5000</v>
      </c>
      <c r="H656" s="131">
        <f>IFERROR(__xludf.DUMMYFUNCTION("""COMPUTED_VALUE"""),46074.0)</f>
        <v>46074</v>
      </c>
      <c r="I656" s="124">
        <f>IFERROR(__xludf.DUMMYFUNCTION("""COMPUTED_VALUE"""),45000.0)</f>
        <v>45000</v>
      </c>
      <c r="J656" s="124">
        <f>IFERROR(__xludf.DUMMYFUNCTION("""COMPUTED_VALUE"""),50000.0)</f>
        <v>50000</v>
      </c>
      <c r="K656" s="124">
        <f>IFERROR(__xludf.DUMMYFUNCTION("""COMPUTED_VALUE"""),2.0)</f>
        <v>2</v>
      </c>
      <c r="L656" s="124">
        <f>IFERROR(__xludf.DUMMYFUNCTION("""COMPUTED_VALUE"""),198.0)</f>
        <v>198</v>
      </c>
      <c r="M656" s="124" t="str">
        <f>IFERROR(__xludf.DUMMYFUNCTION("""COMPUTED_VALUE"""),"Patna")</f>
        <v>Patna</v>
      </c>
      <c r="N656" s="124" t="str">
        <f>IFERROR(__xludf.DUMMYFUNCTION("""COMPUTED_VALUE"""),"raja@gmail.com")</f>
        <v>raja@gmail.com</v>
      </c>
      <c r="O656" s="124" t="str">
        <f>IFERROR(__xludf.DUMMYFUNCTION("""COMPUTED_VALUE"""),"Raja Ranjan")</f>
        <v>Raja Ranjan</v>
      </c>
      <c r="P656" s="124">
        <f>IFERROR(__xludf.DUMMYFUNCTION("""COMPUTED_VALUE"""),122869.0)</f>
        <v>122869</v>
      </c>
      <c r="Q656" s="124" t="str">
        <f>IFERROR(__xludf.DUMMYFUNCTION("""COMPUTED_VALUE"""),"bpsc-gs-foundation-hinglish-target-2026-gsf-bpsc-m02-pat")</f>
        <v>bpsc-gs-foundation-hinglish-target-2026-gsf-bpsc-m02-pat</v>
      </c>
      <c r="R656" s="124" t="str">
        <f>IFERROR(__xludf.DUMMYFUNCTION("""COMPUTED_VALUE"""),"State PCS")</f>
        <v>State PCS</v>
      </c>
      <c r="S656" s="124">
        <f>IFERROR(__xludf.DUMMYFUNCTION("""COMPUTED_VALUE"""),9.11705589E9)</f>
        <v>9117055890</v>
      </c>
      <c r="T656" s="124" t="str">
        <f>IFERROR(__xludf.DUMMYFUNCTION("""COMPUTED_VALUE"""),"Not Available")</f>
        <v>Not Available</v>
      </c>
      <c r="U656" s="124" t="str">
        <f>IFERROR(__xludf.DUMMYFUNCTION("""COMPUTED_VALUE"""),"Not Available")</f>
        <v>Not Available</v>
      </c>
      <c r="V656" s="124" t="str">
        <f>IFERROR(__xludf.DUMMYFUNCTION("""COMPUTED_VALUE"""),"Not Available")</f>
        <v>Not Available</v>
      </c>
      <c r="W656" s="124" t="str">
        <f>IFERROR(__xludf.DUMMYFUNCTION("""COMPUTED_VALUE"""),"Not Available")</f>
        <v>Not Available</v>
      </c>
    </row>
    <row r="657">
      <c r="A657" s="124" t="str">
        <f t="shared" si="1"/>
        <v>krpiyushmaurya@gmail.com</v>
      </c>
      <c r="B657" s="131">
        <f>IFERROR(__xludf.DUMMYFUNCTION("""COMPUTED_VALUE"""),46100.0)</f>
        <v>46100</v>
      </c>
      <c r="C657" s="124" t="str">
        <f>IFERROR(__xludf.DUMMYFUNCTION("""COMPUTED_VALUE"""),"Payment data from Collexo")</f>
        <v>Payment data from Collexo</v>
      </c>
      <c r="D657" s="124" t="str">
        <f>IFERROR(__xludf.DUMMYFUNCTION("""COMPUTED_VALUE"""),"Not Available")</f>
        <v>Not Available</v>
      </c>
      <c r="E657" s="124">
        <f>IFERROR(__xludf.DUMMYFUNCTION("""COMPUTED_VALUE"""),1500609.0)</f>
        <v>1500609</v>
      </c>
      <c r="F657" s="124" t="str">
        <f>IFERROR(__xludf.DUMMYFUNCTION("""COMPUTED_VALUE"""),"15307_988_7")</f>
        <v>15307_988_7</v>
      </c>
      <c r="G657" s="124">
        <f>IFERROR(__xludf.DUMMYFUNCTION("""COMPUTED_VALUE"""),115000.0)</f>
        <v>115000</v>
      </c>
      <c r="H657" s="124" t="str">
        <f>IFERROR(__xludf.DUMMYFUNCTION("""COMPUTED_VALUE"""),"Not Available")</f>
        <v>Not Available</v>
      </c>
      <c r="I657" s="124">
        <f>IFERROR(__xludf.DUMMYFUNCTION("""COMPUTED_VALUE"""),0.0)</f>
        <v>0</v>
      </c>
      <c r="J657" s="124">
        <f>IFERROR(__xludf.DUMMYFUNCTION("""COMPUTED_VALUE"""),120000.0)</f>
        <v>120000</v>
      </c>
      <c r="K657" s="124">
        <f>IFERROR(__xludf.DUMMYFUNCTION("""COMPUTED_VALUE"""),3.0)</f>
        <v>3</v>
      </c>
      <c r="L657" s="124">
        <f>IFERROR(__xludf.DUMMYFUNCTION("""COMPUTED_VALUE"""),619.0)</f>
        <v>619</v>
      </c>
      <c r="M657" s="124" t="str">
        <f>IFERROR(__xludf.DUMMYFUNCTION("""COMPUTED_VALUE"""),"New Delhi")</f>
        <v>New Delhi</v>
      </c>
      <c r="N657" s="124" t="str">
        <f>IFERROR(__xludf.DUMMYFUNCTION("""COMPUTED_VALUE"""),"krpiyushmaurya@gmail.com")</f>
        <v>krpiyushmaurya@gmail.com</v>
      </c>
      <c r="O657" s="124" t="str">
        <f>IFERROR(__xludf.DUMMYFUNCTION("""COMPUTED_VALUE"""),"PIYUSH MAURYA")</f>
        <v>PIYUSH MAURYA</v>
      </c>
      <c r="P657" s="124">
        <f>IFERROR(__xludf.DUMMYFUNCTION("""COMPUTED_VALUE"""),120316.0)</f>
        <v>120316</v>
      </c>
      <c r="Q657" s="124" t="str">
        <f>IFERROR(__xludf.DUMMYFUNCTION("""COMPUTED_VALUE"""),"upsc-gs-foundation-hinglish-target-2028-gsf-upsc-m05-orn")</f>
        <v>upsc-gs-foundation-hinglish-target-2028-gsf-upsc-m05-orn</v>
      </c>
      <c r="R657" s="124" t="str">
        <f>IFERROR(__xludf.DUMMYFUNCTION("""COMPUTED_VALUE"""),"GS Foundation Course")</f>
        <v>GS Foundation Course</v>
      </c>
      <c r="S657" s="124">
        <f>IFERROR(__xludf.DUMMYFUNCTION("""COMPUTED_VALUE"""),8.957919936E9)</f>
        <v>8957919936</v>
      </c>
      <c r="T657" s="124" t="str">
        <f>IFERROR(__xludf.DUMMYFUNCTION("""COMPUTED_VALUE"""),"Not Available")</f>
        <v>Not Available</v>
      </c>
      <c r="U657" s="124" t="str">
        <f>IFERROR(__xludf.DUMMYFUNCTION("""COMPUTED_VALUE"""),"Not Available")</f>
        <v>Not Available</v>
      </c>
      <c r="V657" s="124" t="str">
        <f>IFERROR(__xludf.DUMMYFUNCTION("""COMPUTED_VALUE"""),"Not Available")</f>
        <v>Not Available</v>
      </c>
      <c r="W657" s="124" t="str">
        <f>IFERROR(__xludf.DUMMYFUNCTION("""COMPUTED_VALUE"""),"Not Available")</f>
        <v>Not Available</v>
      </c>
    </row>
    <row r="658">
      <c r="A658" s="124" t="str">
        <f t="shared" si="1"/>
        <v>vaishnabimahata@gmail.com</v>
      </c>
      <c r="B658" s="131">
        <f>IFERROR(__xludf.DUMMYFUNCTION("""COMPUTED_VALUE"""),46045.0)</f>
        <v>46045</v>
      </c>
      <c r="C658" s="124" t="str">
        <f>IFERROR(__xludf.DUMMYFUNCTION("""COMPUTED_VALUE"""),"Payment data from Collexo")</f>
        <v>Payment data from Collexo</v>
      </c>
      <c r="D658" s="124" t="str">
        <f>IFERROR(__xludf.DUMMYFUNCTION("""COMPUTED_VALUE"""),"Not Available")</f>
        <v>Not Available</v>
      </c>
      <c r="E658" s="124">
        <f>IFERROR(__xludf.DUMMYFUNCTION("""COMPUTED_VALUE"""),1500609.0)</f>
        <v>1500609</v>
      </c>
      <c r="F658" s="124" t="str">
        <f>IFERROR(__xludf.DUMMYFUNCTION("""COMPUTED_VALUE"""),"1891_988_7")</f>
        <v>1891_988_7</v>
      </c>
      <c r="G658" s="124">
        <f>IFERROR(__xludf.DUMMYFUNCTION("""COMPUTED_VALUE"""),5000.0)</f>
        <v>5000</v>
      </c>
      <c r="H658" s="131">
        <f>IFERROR(__xludf.DUMMYFUNCTION("""COMPUTED_VALUE"""),46053.0)</f>
        <v>46053</v>
      </c>
      <c r="I658" s="124">
        <f>IFERROR(__xludf.DUMMYFUNCTION("""COMPUTED_VALUE"""),97000.0)</f>
        <v>97000</v>
      </c>
      <c r="J658" s="124">
        <f>IFERROR(__xludf.DUMMYFUNCTION("""COMPUTED_VALUE"""),102000.0)</f>
        <v>102000</v>
      </c>
      <c r="K658" s="124">
        <f>IFERROR(__xludf.DUMMYFUNCTION("""COMPUTED_VALUE"""),2.0)</f>
        <v>2</v>
      </c>
      <c r="L658" s="124">
        <f>IFERROR(__xludf.DUMMYFUNCTION("""COMPUTED_VALUE"""),104.0)</f>
        <v>104</v>
      </c>
      <c r="M658" s="124" t="str">
        <f>IFERROR(__xludf.DUMMYFUNCTION("""COMPUTED_VALUE"""),"New Delhi")</f>
        <v>New Delhi</v>
      </c>
      <c r="N658" s="124" t="str">
        <f>IFERROR(__xludf.DUMMYFUNCTION("""COMPUTED_VALUE"""),"vaishnabimahata@gmail.com")</f>
        <v>vaishnabimahata@gmail.com</v>
      </c>
      <c r="O658" s="124" t="str">
        <f>IFERROR(__xludf.DUMMYFUNCTION("""COMPUTED_VALUE"""),"vaishnabi")</f>
        <v>vaishnabi</v>
      </c>
      <c r="P658" s="124">
        <f>IFERROR(__xludf.DUMMYFUNCTION("""COMPUTED_VALUE"""),87967.0)</f>
        <v>87967</v>
      </c>
      <c r="Q658" s="132" t="str">
        <f>IFERROR(__xludf.DUMMYFUNCTION("""COMPUTED_VALUE"""),"https://www.studyiq.com/course-detail/ncert-foundation-hinglish-target-2026-nce-upsc-e01-orn")</f>
        <v>https://www.studyiq.com/course-detail/ncert-foundation-hinglish-target-2026-nce-upsc-e01-orn</v>
      </c>
      <c r="R658" s="124" t="str">
        <f>IFERROR(__xludf.DUMMYFUNCTION("""COMPUTED_VALUE"""),"GS Foundation Course")</f>
        <v>GS Foundation Course</v>
      </c>
      <c r="S658" s="124">
        <f>IFERROR(__xludf.DUMMYFUNCTION("""COMPUTED_VALUE"""),8.101540835E9)</f>
        <v>8101540835</v>
      </c>
      <c r="T658" s="124" t="str">
        <f>IFERROR(__xludf.DUMMYFUNCTION("""COMPUTED_VALUE"""),"Not Available")</f>
        <v>Not Available</v>
      </c>
      <c r="U658" s="124" t="str">
        <f>IFERROR(__xludf.DUMMYFUNCTION("""COMPUTED_VALUE"""),"Not Available")</f>
        <v>Not Available</v>
      </c>
      <c r="V658" s="124" t="str">
        <f>IFERROR(__xludf.DUMMYFUNCTION("""COMPUTED_VALUE"""),"Not Available")</f>
        <v>Not Available</v>
      </c>
      <c r="W658" s="124" t="str">
        <f>IFERROR(__xludf.DUMMYFUNCTION("""COMPUTED_VALUE"""),"Not Available")</f>
        <v>Not Available</v>
      </c>
    </row>
    <row r="659">
      <c r="A659" s="124" t="str">
        <f t="shared" si="1"/>
        <v>vetdevduvasu@gmail.com</v>
      </c>
      <c r="B659" s="131">
        <f>IFERROR(__xludf.DUMMYFUNCTION("""COMPUTED_VALUE"""),46100.0)</f>
        <v>46100</v>
      </c>
      <c r="C659" s="124" t="str">
        <f>IFERROR(__xludf.DUMMYFUNCTION("""COMPUTED_VALUE"""),"Payment data from Collexo")</f>
        <v>Payment data from Collexo</v>
      </c>
      <c r="D659" s="124" t="str">
        <f>IFERROR(__xludf.DUMMYFUNCTION("""COMPUTED_VALUE"""),"Not Available")</f>
        <v>Not Available</v>
      </c>
      <c r="E659" s="124">
        <f>IFERROR(__xludf.DUMMYFUNCTION("""COMPUTED_VALUE"""),1500609.0)</f>
        <v>1500609</v>
      </c>
      <c r="F659" s="124" t="str">
        <f>IFERROR(__xludf.DUMMYFUNCTION("""COMPUTED_VALUE"""),"15210_988_7")</f>
        <v>15210_988_7</v>
      </c>
      <c r="G659" s="124">
        <f>IFERROR(__xludf.DUMMYFUNCTION("""COMPUTED_VALUE"""),1.0)</f>
        <v>1</v>
      </c>
      <c r="H659" s="124" t="str">
        <f>IFERROR(__xludf.DUMMYFUNCTION("""COMPUTED_VALUE"""),"Not Available")</f>
        <v>Not Available</v>
      </c>
      <c r="I659" s="124">
        <f>IFERROR(__xludf.DUMMYFUNCTION("""COMPUTED_VALUE"""),0.0)</f>
        <v>0</v>
      </c>
      <c r="J659" s="124">
        <f>IFERROR(__xludf.DUMMYFUNCTION("""COMPUTED_VALUE"""),1.0)</f>
        <v>1</v>
      </c>
      <c r="K659" s="124">
        <f>IFERROR(__xludf.DUMMYFUNCTION("""COMPUTED_VALUE"""),1.0)</f>
        <v>1</v>
      </c>
      <c r="L659" s="124">
        <f>IFERROR(__xludf.DUMMYFUNCTION("""COMPUTED_VALUE"""),611.0)</f>
        <v>611</v>
      </c>
      <c r="M659" s="124" t="str">
        <f>IFERROR(__xludf.DUMMYFUNCTION("""COMPUTED_VALUE"""),"New Delhi")</f>
        <v>New Delhi</v>
      </c>
      <c r="N659" s="124" t="str">
        <f>IFERROR(__xludf.DUMMYFUNCTION("""COMPUTED_VALUE"""),"vetdevduvasu@gmail.com")</f>
        <v>vetdevduvasu@gmail.com</v>
      </c>
      <c r="O659" s="124" t="str">
        <f>IFERROR(__xludf.DUMMYFUNCTION("""COMPUTED_VALUE"""),"Dev Sharma")</f>
        <v>Dev Sharma</v>
      </c>
      <c r="P659" s="124">
        <f>IFERROR(__xludf.DUMMYFUNCTION("""COMPUTED_VALUE"""),129260.0)</f>
        <v>129260</v>
      </c>
      <c r="Q659" s="124" t="str">
        <f>IFERROR(__xludf.DUMMYFUNCTION("""COMPUTED_VALUE"""),"upsc-gs-foundation-hinglish-target-2027-gsf-upsc-m05-orn")</f>
        <v>upsc-gs-foundation-hinglish-target-2027-gsf-upsc-m05-orn</v>
      </c>
      <c r="R659" s="124" t="str">
        <f>IFERROR(__xludf.DUMMYFUNCTION("""COMPUTED_VALUE"""),"GS Foundation Course")</f>
        <v>GS Foundation Course</v>
      </c>
      <c r="S659" s="124">
        <f>IFERROR(__xludf.DUMMYFUNCTION("""COMPUTED_VALUE"""),9.528979871E9)</f>
        <v>9528979871</v>
      </c>
      <c r="T659" s="124" t="str">
        <f>IFERROR(__xludf.DUMMYFUNCTION("""COMPUTED_VALUE"""),"Collexo")</f>
        <v>Collexo</v>
      </c>
      <c r="U659" s="124" t="str">
        <f>IFERROR(__xludf.DUMMYFUNCTION("""COMPUTED_VALUE"""),"Success")</f>
        <v>Success</v>
      </c>
      <c r="V659" s="131">
        <f>IFERROR(__xludf.DUMMYFUNCTION("""COMPUTED_VALUE"""),46100.0)</f>
        <v>46100</v>
      </c>
      <c r="W659" s="124">
        <f>IFERROR(__xludf.DUMMYFUNCTION("""COMPUTED_VALUE"""),0.0)</f>
        <v>0</v>
      </c>
    </row>
    <row r="660">
      <c r="A660" s="124" t="str">
        <f t="shared" si="1"/>
        <v>vetdevduvasu@gmail.com</v>
      </c>
      <c r="B660" s="131">
        <f>IFERROR(__xludf.DUMMYFUNCTION("""COMPUTED_VALUE"""),46103.0)</f>
        <v>46103</v>
      </c>
      <c r="C660" s="124" t="str">
        <f>IFERROR(__xludf.DUMMYFUNCTION("""COMPUTED_VALUE"""),"Payment data from Collexo")</f>
        <v>Payment data from Collexo</v>
      </c>
      <c r="D660" s="124" t="str">
        <f>IFERROR(__xludf.DUMMYFUNCTION("""COMPUTED_VALUE"""),"Not Available")</f>
        <v>Not Available</v>
      </c>
      <c r="E660" s="124">
        <f>IFERROR(__xludf.DUMMYFUNCTION("""COMPUTED_VALUE"""),1500609.0)</f>
        <v>1500609</v>
      </c>
      <c r="F660" s="124" t="str">
        <f>IFERROR(__xludf.DUMMYFUNCTION("""COMPUTED_VALUE"""),"15915_988_7")</f>
        <v>15915_988_7</v>
      </c>
      <c r="G660" s="124">
        <f>IFERROR(__xludf.DUMMYFUNCTION("""COMPUTED_VALUE"""),1000.0)</f>
        <v>1000</v>
      </c>
      <c r="H660" s="131">
        <f>IFERROR(__xludf.DUMMYFUNCTION("""COMPUTED_VALUE"""),46112.0)</f>
        <v>46112</v>
      </c>
      <c r="I660" s="124">
        <f>IFERROR(__xludf.DUMMYFUNCTION("""COMPUTED_VALUE"""),84000.0)</f>
        <v>84000</v>
      </c>
      <c r="J660" s="124">
        <f>IFERROR(__xludf.DUMMYFUNCTION("""COMPUTED_VALUE"""),90000.0)</f>
        <v>90000</v>
      </c>
      <c r="K660" s="124">
        <f>IFERROR(__xludf.DUMMYFUNCTION("""COMPUTED_VALUE"""),3.0)</f>
        <v>3</v>
      </c>
      <c r="L660" s="124">
        <f>IFERROR(__xludf.DUMMYFUNCTION("""COMPUTED_VALUE"""),674.0)</f>
        <v>674</v>
      </c>
      <c r="M660" s="124" t="str">
        <f>IFERROR(__xludf.DUMMYFUNCTION("""COMPUTED_VALUE"""),"New Delhi")</f>
        <v>New Delhi</v>
      </c>
      <c r="N660" s="124" t="str">
        <f>IFERROR(__xludf.DUMMYFUNCTION("""COMPUTED_VALUE"""),"vetdevduvasu@gmail.com")</f>
        <v>vetdevduvasu@gmail.com</v>
      </c>
      <c r="O660" s="124" t="str">
        <f>IFERROR(__xludf.DUMMYFUNCTION("""COMPUTED_VALUE"""),"Dev Sharma")</f>
        <v>Dev Sharma</v>
      </c>
      <c r="P660" s="124">
        <f>IFERROR(__xludf.DUMMYFUNCTION("""COMPUTED_VALUE"""),129260.0)</f>
        <v>129260</v>
      </c>
      <c r="Q660" s="124" t="str">
        <f>IFERROR(__xludf.DUMMYFUNCTION("""COMPUTED_VALUE"""),"upsc-gs-foundation-hinglish-target-2027-gsf-upsc-m05-orn")</f>
        <v>upsc-gs-foundation-hinglish-target-2027-gsf-upsc-m05-orn</v>
      </c>
      <c r="R660" s="124" t="str">
        <f>IFERROR(__xludf.DUMMYFUNCTION("""COMPUTED_VALUE"""),"GS Foundation Course")</f>
        <v>GS Foundation Course</v>
      </c>
      <c r="S660" s="124">
        <f>IFERROR(__xludf.DUMMYFUNCTION("""COMPUTED_VALUE"""),9.528979871E9)</f>
        <v>9528979871</v>
      </c>
      <c r="T660" s="124" t="str">
        <f>IFERROR(__xludf.DUMMYFUNCTION("""COMPUTED_VALUE"""),"Collexo")</f>
        <v>Collexo</v>
      </c>
      <c r="U660" s="124" t="str">
        <f>IFERROR(__xludf.DUMMYFUNCTION("""COMPUTED_VALUE"""),"Success")</f>
        <v>Success</v>
      </c>
      <c r="V660" s="131">
        <f>IFERROR(__xludf.DUMMYFUNCTION("""COMPUTED_VALUE"""),46103.0)</f>
        <v>46103</v>
      </c>
      <c r="W660" s="124">
        <f>IFERROR(__xludf.DUMMYFUNCTION("""COMPUTED_VALUE"""),0.0)</f>
        <v>0</v>
      </c>
    </row>
    <row r="661">
      <c r="A661" s="124" t="str">
        <f t="shared" si="1"/>
        <v>DEVMANISAROJ9451@GMAIL.COM</v>
      </c>
      <c r="B661" s="131">
        <f>IFERROR(__xludf.DUMMYFUNCTION("""COMPUTED_VALUE"""),46069.0)</f>
        <v>46069</v>
      </c>
      <c r="C661" s="124" t="str">
        <f>IFERROR(__xludf.DUMMYFUNCTION("""COMPUTED_VALUE"""),"Payment data from Collexo")</f>
        <v>Payment data from Collexo</v>
      </c>
      <c r="D661" s="124" t="str">
        <f>IFERROR(__xludf.DUMMYFUNCTION("""COMPUTED_VALUE"""),"Not Available")</f>
        <v>Not Available</v>
      </c>
      <c r="E661" s="124">
        <f>IFERROR(__xludf.DUMMYFUNCTION("""COMPUTED_VALUE"""),1500613.0)</f>
        <v>1500613</v>
      </c>
      <c r="F661" s="124">
        <f>IFERROR(__xludf.DUMMYFUNCTION("""COMPUTED_VALUE"""),14275.0)</f>
        <v>14275</v>
      </c>
      <c r="G661" s="124">
        <f>IFERROR(__xludf.DUMMYFUNCTION("""COMPUTED_VALUE"""),5000.0)</f>
        <v>5000</v>
      </c>
      <c r="H661" s="131">
        <f>IFERROR(__xludf.DUMMYFUNCTION("""COMPUTED_VALUE"""),46086.0)</f>
        <v>46086</v>
      </c>
      <c r="I661" s="124">
        <f>IFERROR(__xludf.DUMMYFUNCTION("""COMPUTED_VALUE"""),20000.0)</f>
        <v>20000</v>
      </c>
      <c r="J661" s="124">
        <f>IFERROR(__xludf.DUMMYFUNCTION("""COMPUTED_VALUE"""),25000.0)</f>
        <v>25000</v>
      </c>
      <c r="K661" s="124">
        <f>IFERROR(__xludf.DUMMYFUNCTION("""COMPUTED_VALUE"""),2.0)</f>
        <v>2</v>
      </c>
      <c r="L661" s="124">
        <f>IFERROR(__xludf.DUMMYFUNCTION("""COMPUTED_VALUE"""),222.0)</f>
        <v>222</v>
      </c>
      <c r="M661" s="124" t="str">
        <f>IFERROR(__xludf.DUMMYFUNCTION("""COMPUTED_VALUE"""),"Prayagraj")</f>
        <v>Prayagraj</v>
      </c>
      <c r="N661" s="124" t="str">
        <f>IFERROR(__xludf.DUMMYFUNCTION("""COMPUTED_VALUE"""),"DEVMANISAROJ9451@GMAIL.COM")</f>
        <v>DEVMANISAROJ9451@GMAIL.COM</v>
      </c>
      <c r="O661" s="124" t="str">
        <f>IFERROR(__xludf.DUMMYFUNCTION("""COMPUTED_VALUE"""),"devmani saroj")</f>
        <v>devmani saroj</v>
      </c>
      <c r="P661" s="124">
        <f>IFERROR(__xludf.DUMMYFUNCTION("""COMPUTED_VALUE"""),14275.0)</f>
        <v>14275</v>
      </c>
      <c r="Q661" s="124" t="str">
        <f>IFERROR(__xludf.DUMMYFUNCTION("""COMPUTED_VALUE"""),"samadhan-mentorship-program-pry")</f>
        <v>samadhan-mentorship-program-pry</v>
      </c>
      <c r="R661" s="124" t="str">
        <f>IFERROR(__xludf.DUMMYFUNCTION("""COMPUTED_VALUE"""),"Mentorship - Samadhan")</f>
        <v>Mentorship - Samadhan</v>
      </c>
      <c r="S661" s="124">
        <f>IFERROR(__xludf.DUMMYFUNCTION("""COMPUTED_VALUE"""),9.838547727E9)</f>
        <v>9838547727</v>
      </c>
      <c r="T661" s="124" t="str">
        <f>IFERROR(__xludf.DUMMYFUNCTION("""COMPUTED_VALUE"""),"Not Available")</f>
        <v>Not Available</v>
      </c>
      <c r="U661" s="124" t="str">
        <f>IFERROR(__xludf.DUMMYFUNCTION("""COMPUTED_VALUE"""),"Not Available")</f>
        <v>Not Available</v>
      </c>
      <c r="V661" s="124" t="str">
        <f>IFERROR(__xludf.DUMMYFUNCTION("""COMPUTED_VALUE"""),"Not Available")</f>
        <v>Not Available</v>
      </c>
      <c r="W661" s="124" t="str">
        <f>IFERROR(__xludf.DUMMYFUNCTION("""COMPUTED_VALUE"""),"Not Available")</f>
        <v>Not Available</v>
      </c>
    </row>
    <row r="662">
      <c r="A662" s="124" t="str">
        <f t="shared" si="1"/>
        <v>syedrushda1@gmail.com</v>
      </c>
      <c r="B662" s="131">
        <f>IFERROR(__xludf.DUMMYFUNCTION("""COMPUTED_VALUE"""),46062.0)</f>
        <v>46062</v>
      </c>
      <c r="C662" s="124" t="str">
        <f>IFERROR(__xludf.DUMMYFUNCTION("""COMPUTED_VALUE"""),"Payment data from Collexo")</f>
        <v>Payment data from Collexo</v>
      </c>
      <c r="D662" s="124" t="str">
        <f>IFERROR(__xludf.DUMMYFUNCTION("""COMPUTED_VALUE"""),"Not Available")</f>
        <v>Not Available</v>
      </c>
      <c r="E662" s="124">
        <f>IFERROR(__xludf.DUMMYFUNCTION("""COMPUTED_VALUE"""),1500610.0)</f>
        <v>1500610</v>
      </c>
      <c r="F662" s="124">
        <f>IFERROR(__xludf.DUMMYFUNCTION("""COMPUTED_VALUE"""),119781.0)</f>
        <v>119781</v>
      </c>
      <c r="G662" s="124">
        <f>IFERROR(__xludf.DUMMYFUNCTION("""COMPUTED_VALUE"""),6744.0)</f>
        <v>6744</v>
      </c>
      <c r="H662" s="131">
        <f>IFERROR(__xludf.DUMMYFUNCTION("""COMPUTED_VALUE"""),46062.0)</f>
        <v>46062</v>
      </c>
      <c r="I662" s="124">
        <f>IFERROR(__xludf.DUMMYFUNCTION("""COMPUTED_VALUE"""),32856.0)</f>
        <v>32856</v>
      </c>
      <c r="J662" s="124">
        <f>IFERROR(__xludf.DUMMYFUNCTION("""COMPUTED_VALUE"""),39600.0)</f>
        <v>39600</v>
      </c>
      <c r="K662" s="124">
        <f>IFERROR(__xludf.DUMMYFUNCTION("""COMPUTED_VALUE"""),2.0)</f>
        <v>2</v>
      </c>
      <c r="L662" s="124">
        <f>IFERROR(__xludf.DUMMYFUNCTION("""COMPUTED_VALUE"""),187.0)</f>
        <v>187</v>
      </c>
      <c r="M662" s="124" t="str">
        <f>IFERROR(__xludf.DUMMYFUNCTION("""COMPUTED_VALUE"""),"Lucknow")</f>
        <v>Lucknow</v>
      </c>
      <c r="N662" s="124" t="str">
        <f>IFERROR(__xludf.DUMMYFUNCTION("""COMPUTED_VALUE"""),"syedrushda1@gmail.com")</f>
        <v>syedrushda1@gmail.com</v>
      </c>
      <c r="O662" s="124" t="str">
        <f>IFERROR(__xludf.DUMMYFUNCTION("""COMPUTED_VALUE"""),"Syed Rushda Fatima")</f>
        <v>Syed Rushda Fatima</v>
      </c>
      <c r="P662" s="124">
        <f>IFERROR(__xludf.DUMMYFUNCTION("""COMPUTED_VALUE"""),119781.0)</f>
        <v>119781</v>
      </c>
      <c r="Q662" s="124" t="str">
        <f>IFERROR(__xludf.DUMMYFUNCTION("""COMPUTED_VALUE"""),"Not Available")</f>
        <v>Not Available</v>
      </c>
      <c r="R662" s="124" t="str">
        <f>IFERROR(__xludf.DUMMYFUNCTION("""COMPUTED_VALUE"""),"State PCS")</f>
        <v>State PCS</v>
      </c>
      <c r="S662" s="124">
        <f>IFERROR(__xludf.DUMMYFUNCTION("""COMPUTED_VALUE"""),7.310637294E9)</f>
        <v>7310637294</v>
      </c>
      <c r="T662" s="124" t="str">
        <f>IFERROR(__xludf.DUMMYFUNCTION("""COMPUTED_VALUE"""),"Not Available")</f>
        <v>Not Available</v>
      </c>
      <c r="U662" s="124" t="str">
        <f>IFERROR(__xludf.DUMMYFUNCTION("""COMPUTED_VALUE"""),"Not Available")</f>
        <v>Not Available</v>
      </c>
      <c r="V662" s="124" t="str">
        <f>IFERROR(__xludf.DUMMYFUNCTION("""COMPUTED_VALUE"""),"Not Available")</f>
        <v>Not Available</v>
      </c>
      <c r="W662" s="124" t="str">
        <f>IFERROR(__xludf.DUMMYFUNCTION("""COMPUTED_VALUE"""),"Not Available")</f>
        <v>Not Available</v>
      </c>
    </row>
    <row r="663">
      <c r="A663" s="124" t="str">
        <f t="shared" si="1"/>
        <v>nidhi8960122938@gmail.com</v>
      </c>
      <c r="B663" s="131">
        <f>IFERROR(__xludf.DUMMYFUNCTION("""COMPUTED_VALUE"""),46100.0)</f>
        <v>46100</v>
      </c>
      <c r="C663" s="124" t="str">
        <f>IFERROR(__xludf.DUMMYFUNCTION("""COMPUTED_VALUE"""),"Payment data from Collexo")</f>
        <v>Payment data from Collexo</v>
      </c>
      <c r="D663" s="124" t="str">
        <f>IFERROR(__xludf.DUMMYFUNCTION("""COMPUTED_VALUE"""),"Not Available")</f>
        <v>Not Available</v>
      </c>
      <c r="E663" s="124">
        <f>IFERROR(__xludf.DUMMYFUNCTION("""COMPUTED_VALUE"""),1500613.0)</f>
        <v>1500613</v>
      </c>
      <c r="F663" s="124">
        <f>IFERROR(__xludf.DUMMYFUNCTION("""COMPUTED_VALUE"""),89693.0)</f>
        <v>89693</v>
      </c>
      <c r="G663" s="124">
        <f>IFERROR(__xludf.DUMMYFUNCTION("""COMPUTED_VALUE"""),35000.0)</f>
        <v>35000</v>
      </c>
      <c r="H663" s="131">
        <f>IFERROR(__xludf.DUMMYFUNCTION("""COMPUTED_VALUE"""),46100.0)</f>
        <v>46100</v>
      </c>
      <c r="I663" s="124">
        <f>IFERROR(__xludf.DUMMYFUNCTION("""COMPUTED_VALUE"""),20000.0)</f>
        <v>20000</v>
      </c>
      <c r="J663" s="124">
        <f>IFERROR(__xludf.DUMMYFUNCTION("""COMPUTED_VALUE"""),55000.0)</f>
        <v>55000</v>
      </c>
      <c r="K663" s="124">
        <f>IFERROR(__xludf.DUMMYFUNCTION("""COMPUTED_VALUE"""),2.0)</f>
        <v>2</v>
      </c>
      <c r="L663" s="124">
        <f>IFERROR(__xludf.DUMMYFUNCTION("""COMPUTED_VALUE"""),629.0)</f>
        <v>629</v>
      </c>
      <c r="M663" s="124" t="str">
        <f>IFERROR(__xludf.DUMMYFUNCTION("""COMPUTED_VALUE"""),"Prayagraj")</f>
        <v>Prayagraj</v>
      </c>
      <c r="N663" s="124" t="str">
        <f>IFERROR(__xludf.DUMMYFUNCTION("""COMPUTED_VALUE"""),"nidhi8960122938@gmail.com")</f>
        <v>nidhi8960122938@gmail.com</v>
      </c>
      <c r="O663" s="124" t="str">
        <f>IFERROR(__xludf.DUMMYFUNCTION("""COMPUTED_VALUE"""),"Tanu")</f>
        <v>Tanu</v>
      </c>
      <c r="P663" s="124">
        <f>IFERROR(__xludf.DUMMYFUNCTION("""COMPUTED_VALUE"""),89693.0)</f>
        <v>89693</v>
      </c>
      <c r="Q663" s="124" t="str">
        <f>IFERROR(__xludf.DUMMYFUNCTION("""COMPUTED_VALUE"""),"upsc-gs-foundation-hinglish-target-2027-gsf-upsc-e03-pry")</f>
        <v>upsc-gs-foundation-hinglish-target-2027-gsf-upsc-e03-pry</v>
      </c>
      <c r="R663" s="124" t="str">
        <f>IFERROR(__xludf.DUMMYFUNCTION("""COMPUTED_VALUE"""),"GS Foundation Course")</f>
        <v>GS Foundation Course</v>
      </c>
      <c r="S663" s="124">
        <f>IFERROR(__xludf.DUMMYFUNCTION("""COMPUTED_VALUE"""),8.960122938E9)</f>
        <v>8960122938</v>
      </c>
      <c r="T663" s="124" t="str">
        <f>IFERROR(__xludf.DUMMYFUNCTION("""COMPUTED_VALUE"""),"Not Available")</f>
        <v>Not Available</v>
      </c>
      <c r="U663" s="124" t="str">
        <f>IFERROR(__xludf.DUMMYFUNCTION("""COMPUTED_VALUE"""),"Not Available")</f>
        <v>Not Available</v>
      </c>
      <c r="V663" s="124" t="str">
        <f>IFERROR(__xludf.DUMMYFUNCTION("""COMPUTED_VALUE"""),"Not Available")</f>
        <v>Not Available</v>
      </c>
      <c r="W663" s="124" t="str">
        <f>IFERROR(__xludf.DUMMYFUNCTION("""COMPUTED_VALUE"""),"Not Available")</f>
        <v>Not Available</v>
      </c>
    </row>
    <row r="664">
      <c r="A664" s="124" t="str">
        <f t="shared" si="1"/>
        <v>krishnabijoy2000@gmail.com</v>
      </c>
      <c r="B664" s="131">
        <f>IFERROR(__xludf.DUMMYFUNCTION("""COMPUTED_VALUE"""),46083.0)</f>
        <v>46083</v>
      </c>
      <c r="C664" s="124" t="str">
        <f>IFERROR(__xludf.DUMMYFUNCTION("""COMPUTED_VALUE"""),"Payment data from Collexo")</f>
        <v>Payment data from Collexo</v>
      </c>
      <c r="D664" s="124" t="str">
        <f>IFERROR(__xludf.DUMMYFUNCTION("""COMPUTED_VALUE"""),"Not Available")</f>
        <v>Not Available</v>
      </c>
      <c r="E664" s="124">
        <f>IFERROR(__xludf.DUMMYFUNCTION("""COMPUTED_VALUE"""),1500609.0)</f>
        <v>1500609</v>
      </c>
      <c r="F664" s="124" t="str">
        <f>IFERROR(__xludf.DUMMYFUNCTION("""COMPUTED_VALUE"""),"11932_988_7")</f>
        <v>11932_988_7</v>
      </c>
      <c r="G664" s="124">
        <f>IFERROR(__xludf.DUMMYFUNCTION("""COMPUTED_VALUE"""),17000.0)</f>
        <v>17000</v>
      </c>
      <c r="H664" s="131">
        <f>IFERROR(__xludf.DUMMYFUNCTION("""COMPUTED_VALUE"""),46066.0)</f>
        <v>46066</v>
      </c>
      <c r="I664" s="124">
        <f>IFERROR(__xludf.DUMMYFUNCTION("""COMPUTED_VALUE"""),90000.0)</f>
        <v>90000</v>
      </c>
      <c r="J664" s="124">
        <f>IFERROR(__xludf.DUMMYFUNCTION("""COMPUTED_VALUE"""),110000.0)</f>
        <v>110000</v>
      </c>
      <c r="K664" s="124">
        <f>IFERROR(__xludf.DUMMYFUNCTION("""COMPUTED_VALUE"""),3.0)</f>
        <v>3</v>
      </c>
      <c r="L664" s="124">
        <f>IFERROR(__xludf.DUMMYFUNCTION("""COMPUTED_VALUE"""),403.0)</f>
        <v>403</v>
      </c>
      <c r="M664" s="124" t="str">
        <f>IFERROR(__xludf.DUMMYFUNCTION("""COMPUTED_VALUE"""),"New Delhi")</f>
        <v>New Delhi</v>
      </c>
      <c r="N664" s="124" t="str">
        <f>IFERROR(__xludf.DUMMYFUNCTION("""COMPUTED_VALUE"""),"krishnabijoy2000@gmail.com")</f>
        <v>krishnabijoy2000@gmail.com</v>
      </c>
      <c r="O664" s="124" t="str">
        <f>IFERROR(__xludf.DUMMYFUNCTION("""COMPUTED_VALUE"""),"BIJOY KRISHNA HAZARIKA")</f>
        <v>BIJOY KRISHNA HAZARIKA</v>
      </c>
      <c r="P664" s="124">
        <f>IFERROR(__xludf.DUMMYFUNCTION("""COMPUTED_VALUE"""),125109.0)</f>
        <v>125109</v>
      </c>
      <c r="Q664" s="124" t="str">
        <f>IFERROR(__xludf.DUMMYFUNCTION("""COMPUTED_VALUE"""),"upsc-gs-foundation-hinglish-target-2027-gsf-upsc-e04-orn")</f>
        <v>upsc-gs-foundation-hinglish-target-2027-gsf-upsc-e04-orn</v>
      </c>
      <c r="R664" s="124" t="str">
        <f>IFERROR(__xludf.DUMMYFUNCTION("""COMPUTED_VALUE"""),"GS Foundation Course")</f>
        <v>GS Foundation Course</v>
      </c>
      <c r="S664" s="124">
        <f>IFERROR(__xludf.DUMMYFUNCTION("""COMPUTED_VALUE"""),7.005031489E9)</f>
        <v>7005031489</v>
      </c>
      <c r="T664" s="124" t="str">
        <f>IFERROR(__xludf.DUMMYFUNCTION("""COMPUTED_VALUE"""),"Collexo")</f>
        <v>Collexo</v>
      </c>
      <c r="U664" s="124" t="str">
        <f>IFERROR(__xludf.DUMMYFUNCTION("""COMPUTED_VALUE"""),"Success")</f>
        <v>Success</v>
      </c>
      <c r="V664" s="131">
        <f>IFERROR(__xludf.DUMMYFUNCTION("""COMPUTED_VALUE"""),46083.0)</f>
        <v>46083</v>
      </c>
      <c r="W664" s="124">
        <f>IFERROR(__xludf.DUMMYFUNCTION("""COMPUTED_VALUE"""),0.0)</f>
        <v>0</v>
      </c>
    </row>
    <row r="665">
      <c r="A665" s="124" t="str">
        <f t="shared" si="1"/>
        <v>gitendradewangan7@gmail.com</v>
      </c>
      <c r="B665" s="131">
        <f>IFERROR(__xludf.DUMMYFUNCTION("""COMPUTED_VALUE"""),46091.0)</f>
        <v>46091</v>
      </c>
      <c r="C665" s="124" t="str">
        <f>IFERROR(__xludf.DUMMYFUNCTION("""COMPUTED_VALUE"""),"Payment data from Collexo")</f>
        <v>Payment data from Collexo</v>
      </c>
      <c r="D665" s="124" t="str">
        <f>IFERROR(__xludf.DUMMYFUNCTION("""COMPUTED_VALUE"""),"Not Available")</f>
        <v>Not Available</v>
      </c>
      <c r="E665" s="124">
        <f>IFERROR(__xludf.DUMMYFUNCTION("""COMPUTED_VALUE"""),1500612.0)</f>
        <v>1500612</v>
      </c>
      <c r="F665" s="124">
        <f>IFERROR(__xludf.DUMMYFUNCTION("""COMPUTED_VALUE"""),127100.0)</f>
        <v>127100</v>
      </c>
      <c r="G665" s="124">
        <f>IFERROR(__xludf.DUMMYFUNCTION("""COMPUTED_VALUE"""),2000.0)</f>
        <v>2000</v>
      </c>
      <c r="H665" s="131">
        <f>IFERROR(__xludf.DUMMYFUNCTION("""COMPUTED_VALUE"""),46097.0)</f>
        <v>46097</v>
      </c>
      <c r="I665" s="124">
        <f>IFERROR(__xludf.DUMMYFUNCTION("""COMPUTED_VALUE"""),28000.0)</f>
        <v>28000</v>
      </c>
      <c r="J665" s="124">
        <f>IFERROR(__xludf.DUMMYFUNCTION("""COMPUTED_VALUE"""),100000.0)</f>
        <v>100000</v>
      </c>
      <c r="K665" s="124">
        <f>IFERROR(__xludf.DUMMYFUNCTION("""COMPUTED_VALUE"""),3.0)</f>
        <v>3</v>
      </c>
      <c r="L665" s="124">
        <f>IFERROR(__xludf.DUMMYFUNCTION("""COMPUTED_VALUE"""),470.0)</f>
        <v>470</v>
      </c>
      <c r="M665" s="124" t="str">
        <f>IFERROR(__xludf.DUMMYFUNCTION("""COMPUTED_VALUE"""),"Indore")</f>
        <v>Indore</v>
      </c>
      <c r="N665" s="124" t="str">
        <f>IFERROR(__xludf.DUMMYFUNCTION("""COMPUTED_VALUE"""),"gitendradewangan7@gmail.com")</f>
        <v>gitendradewangan7@gmail.com</v>
      </c>
      <c r="O665" s="124" t="str">
        <f>IFERROR(__xludf.DUMMYFUNCTION("""COMPUTED_VALUE"""),"Gitendra Dewangan")</f>
        <v>Gitendra Dewangan</v>
      </c>
      <c r="P665" s="124">
        <f>IFERROR(__xludf.DUMMYFUNCTION("""COMPUTED_VALUE"""),127100.0)</f>
        <v>127100</v>
      </c>
      <c r="Q665" s="124" t="str">
        <f>IFERROR(__xludf.DUMMYFUNCTION("""COMPUTED_VALUE"""),"upsc-gs-foundation-hindi-target-2028-gsf-upsc-m03-ind")</f>
        <v>upsc-gs-foundation-hindi-target-2028-gsf-upsc-m03-ind</v>
      </c>
      <c r="R665" s="124" t="str">
        <f>IFERROR(__xludf.DUMMYFUNCTION("""COMPUTED_VALUE"""),"GS Foundation Course")</f>
        <v>GS Foundation Course</v>
      </c>
      <c r="S665" s="124">
        <f>IFERROR(__xludf.DUMMYFUNCTION("""COMPUTED_VALUE"""),8.269421615E9)</f>
        <v>8269421615</v>
      </c>
      <c r="T665" s="124" t="str">
        <f>IFERROR(__xludf.DUMMYFUNCTION("""COMPUTED_VALUE"""),"Not Available")</f>
        <v>Not Available</v>
      </c>
      <c r="U665" s="124" t="str">
        <f>IFERROR(__xludf.DUMMYFUNCTION("""COMPUTED_VALUE"""),"Not Available")</f>
        <v>Not Available</v>
      </c>
      <c r="V665" s="124" t="str">
        <f>IFERROR(__xludf.DUMMYFUNCTION("""COMPUTED_VALUE"""),"Not Available")</f>
        <v>Not Available</v>
      </c>
      <c r="W665" s="124" t="str">
        <f>IFERROR(__xludf.DUMMYFUNCTION("""COMPUTED_VALUE"""),"Not Available")</f>
        <v>Not Available</v>
      </c>
    </row>
    <row r="666">
      <c r="A666" s="124" t="str">
        <f t="shared" si="1"/>
        <v>krishnabijoy2000@gmail.com</v>
      </c>
      <c r="B666" s="131">
        <f>IFERROR(__xludf.DUMMYFUNCTION("""COMPUTED_VALUE"""),46083.0)</f>
        <v>46083</v>
      </c>
      <c r="C666" s="124" t="str">
        <f>IFERROR(__xludf.DUMMYFUNCTION("""COMPUTED_VALUE"""),"Payment data from Collexo")</f>
        <v>Payment data from Collexo</v>
      </c>
      <c r="D666" s="124" t="str">
        <f>IFERROR(__xludf.DUMMYFUNCTION("""COMPUTED_VALUE"""),"Not Available")</f>
        <v>Not Available</v>
      </c>
      <c r="E666" s="124">
        <f>IFERROR(__xludf.DUMMYFUNCTION("""COMPUTED_VALUE"""),1500609.0)</f>
        <v>1500609</v>
      </c>
      <c r="F666" s="124" t="str">
        <f>IFERROR(__xludf.DUMMYFUNCTION("""COMPUTED_VALUE"""),"11929_988_7")</f>
        <v>11929_988_7</v>
      </c>
      <c r="G666" s="124">
        <f>IFERROR(__xludf.DUMMYFUNCTION("""COMPUTED_VALUE"""),3000.0)</f>
        <v>3000</v>
      </c>
      <c r="H666" s="131">
        <f>IFERROR(__xludf.DUMMYFUNCTION("""COMPUTED_VALUE"""),46087.0)</f>
        <v>46087</v>
      </c>
      <c r="I666" s="124">
        <f>IFERROR(__xludf.DUMMYFUNCTION("""COMPUTED_VALUE"""),17000.0)</f>
        <v>17000</v>
      </c>
      <c r="J666" s="124">
        <f>IFERROR(__xludf.DUMMYFUNCTION("""COMPUTED_VALUE"""),110000.0)</f>
        <v>110000</v>
      </c>
      <c r="K666" s="124">
        <f>IFERROR(__xludf.DUMMYFUNCTION("""COMPUTED_VALUE"""),3.0)</f>
        <v>3</v>
      </c>
      <c r="L666" s="124">
        <f>IFERROR(__xludf.DUMMYFUNCTION("""COMPUTED_VALUE"""),402.0)</f>
        <v>402</v>
      </c>
      <c r="M666" s="124" t="str">
        <f>IFERROR(__xludf.DUMMYFUNCTION("""COMPUTED_VALUE"""),"New Delhi")</f>
        <v>New Delhi</v>
      </c>
      <c r="N666" s="124" t="str">
        <f>IFERROR(__xludf.DUMMYFUNCTION("""COMPUTED_VALUE"""),"krishnabijoy2000@gmail.com")</f>
        <v>krishnabijoy2000@gmail.com</v>
      </c>
      <c r="O666" s="124" t="str">
        <f>IFERROR(__xludf.DUMMYFUNCTION("""COMPUTED_VALUE"""),"BIJOY KRISHNA HAZARIKA")</f>
        <v>BIJOY KRISHNA HAZARIKA</v>
      </c>
      <c r="P666" s="124">
        <f>IFERROR(__xludf.DUMMYFUNCTION("""COMPUTED_VALUE"""),125109.0)</f>
        <v>125109</v>
      </c>
      <c r="Q666" s="124" t="str">
        <f>IFERROR(__xludf.DUMMYFUNCTION("""COMPUTED_VALUE"""),"upsc-gs-foundation-hinglish-target-2027-gsf-upsc-e04-orn")</f>
        <v>upsc-gs-foundation-hinglish-target-2027-gsf-upsc-e04-orn</v>
      </c>
      <c r="R666" s="124" t="str">
        <f>IFERROR(__xludf.DUMMYFUNCTION("""COMPUTED_VALUE"""),"GS Foundation Course")</f>
        <v>GS Foundation Course</v>
      </c>
      <c r="S666" s="124">
        <f>IFERROR(__xludf.DUMMYFUNCTION("""COMPUTED_VALUE"""),7.005031489E9)</f>
        <v>7005031489</v>
      </c>
      <c r="T666" s="124" t="str">
        <f>IFERROR(__xludf.DUMMYFUNCTION("""COMPUTED_VALUE"""),"Collexo")</f>
        <v>Collexo</v>
      </c>
      <c r="U666" s="124" t="str">
        <f>IFERROR(__xludf.DUMMYFUNCTION("""COMPUTED_VALUE"""),"Success")</f>
        <v>Success</v>
      </c>
      <c r="V666" s="131">
        <f>IFERROR(__xludf.DUMMYFUNCTION("""COMPUTED_VALUE"""),46083.0)</f>
        <v>46083</v>
      </c>
      <c r="W666" s="124">
        <f>IFERROR(__xludf.DUMMYFUNCTION("""COMPUTED_VALUE"""),0.0)</f>
        <v>0</v>
      </c>
    </row>
    <row r="667">
      <c r="A667" s="124" t="str">
        <f t="shared" si="1"/>
        <v>priyasingh28317@gmail.com</v>
      </c>
      <c r="B667" s="131">
        <f>IFERROR(__xludf.DUMMYFUNCTION("""COMPUTED_VALUE"""),46072.0)</f>
        <v>46072</v>
      </c>
      <c r="C667" s="124" t="str">
        <f>IFERROR(__xludf.DUMMYFUNCTION("""COMPUTED_VALUE"""),"Payment data from Collexo")</f>
        <v>Payment data from Collexo</v>
      </c>
      <c r="D667" s="124" t="str">
        <f>IFERROR(__xludf.DUMMYFUNCTION("""COMPUTED_VALUE"""),"Not Available")</f>
        <v>Not Available</v>
      </c>
      <c r="E667" s="124">
        <f>IFERROR(__xludf.DUMMYFUNCTION("""COMPUTED_VALUE"""),1500609.0)</f>
        <v>1500609</v>
      </c>
      <c r="F667" s="124" t="str">
        <f>IFERROR(__xludf.DUMMYFUNCTION("""COMPUTED_VALUE"""),"6525_988_7")</f>
        <v>6525_988_7</v>
      </c>
      <c r="G667" s="124">
        <f>IFERROR(__xludf.DUMMYFUNCTION("""COMPUTED_VALUE"""),5000.0)</f>
        <v>5000</v>
      </c>
      <c r="H667" s="131">
        <f>IFERROR(__xludf.DUMMYFUNCTION("""COMPUTED_VALUE"""),46081.0)</f>
        <v>46081</v>
      </c>
      <c r="I667" s="124">
        <f>IFERROR(__xludf.DUMMYFUNCTION("""COMPUTED_VALUE"""),55000.0)</f>
        <v>55000</v>
      </c>
      <c r="J667" s="124">
        <f>IFERROR(__xludf.DUMMYFUNCTION("""COMPUTED_VALUE"""),60000.0)</f>
        <v>60000</v>
      </c>
      <c r="K667" s="124">
        <f>IFERROR(__xludf.DUMMYFUNCTION("""COMPUTED_VALUE"""),2.0)</f>
        <v>2</v>
      </c>
      <c r="L667" s="124">
        <f>IFERROR(__xludf.DUMMYFUNCTION("""COMPUTED_VALUE"""),269.0)</f>
        <v>269</v>
      </c>
      <c r="M667" s="124" t="str">
        <f>IFERROR(__xludf.DUMMYFUNCTION("""COMPUTED_VALUE"""),"New Delhi")</f>
        <v>New Delhi</v>
      </c>
      <c r="N667" s="124" t="str">
        <f>IFERROR(__xludf.DUMMYFUNCTION("""COMPUTED_VALUE"""),"priyasingh28317@gmail.com")</f>
        <v>priyasingh28317@gmail.com</v>
      </c>
      <c r="O667" s="124" t="str">
        <f>IFERROR(__xludf.DUMMYFUNCTION("""COMPUTED_VALUE"""),"Priya")</f>
        <v>Priya</v>
      </c>
      <c r="P667" s="124">
        <f>IFERROR(__xludf.DUMMYFUNCTION("""COMPUTED_VALUE"""),124180.0)</f>
        <v>124180</v>
      </c>
      <c r="Q667" s="124" t="str">
        <f>IFERROR(__xludf.DUMMYFUNCTION("""COMPUTED_VALUE"""),"upsc-gs-foundation-hinglish-target-2027-gsf-upsc-e04-orn")</f>
        <v>upsc-gs-foundation-hinglish-target-2027-gsf-upsc-e04-orn</v>
      </c>
      <c r="R667" s="124" t="str">
        <f>IFERROR(__xludf.DUMMYFUNCTION("""COMPUTED_VALUE"""),"GS Foundation Course")</f>
        <v>GS Foundation Course</v>
      </c>
      <c r="S667" s="124">
        <f>IFERROR(__xludf.DUMMYFUNCTION("""COMPUTED_VALUE"""),9.693807345E9)</f>
        <v>9693807345</v>
      </c>
      <c r="T667" s="124" t="str">
        <f>IFERROR(__xludf.DUMMYFUNCTION("""COMPUTED_VALUE"""),"Collexo")</f>
        <v>Collexo</v>
      </c>
      <c r="U667" s="124" t="str">
        <f>IFERROR(__xludf.DUMMYFUNCTION("""COMPUTED_VALUE"""),"Success")</f>
        <v>Success</v>
      </c>
      <c r="V667" s="131">
        <f>IFERROR(__xludf.DUMMYFUNCTION("""COMPUTED_VALUE"""),46072.0)</f>
        <v>46072</v>
      </c>
      <c r="W667" s="124">
        <f>IFERROR(__xludf.DUMMYFUNCTION("""COMPUTED_VALUE"""),0.0)</f>
        <v>0</v>
      </c>
    </row>
    <row r="668">
      <c r="A668" s="124" t="str">
        <f t="shared" si="1"/>
        <v>nidhi8960122938@gmail.com</v>
      </c>
      <c r="B668" s="131">
        <f>IFERROR(__xludf.DUMMYFUNCTION("""COMPUTED_VALUE"""),46100.0)</f>
        <v>46100</v>
      </c>
      <c r="C668" s="124" t="str">
        <f>IFERROR(__xludf.DUMMYFUNCTION("""COMPUTED_VALUE"""),"Payment data from Collexo")</f>
        <v>Payment data from Collexo</v>
      </c>
      <c r="D668" s="124" t="str">
        <f>IFERROR(__xludf.DUMMYFUNCTION("""COMPUTED_VALUE"""),"Not Available")</f>
        <v>Not Available</v>
      </c>
      <c r="E668" s="124">
        <f>IFERROR(__xludf.DUMMYFUNCTION("""COMPUTED_VALUE"""),1500613.0)</f>
        <v>1500613</v>
      </c>
      <c r="F668" s="124">
        <f>IFERROR(__xludf.DUMMYFUNCTION("""COMPUTED_VALUE"""),89693.0)</f>
        <v>89693</v>
      </c>
      <c r="G668" s="124">
        <f>IFERROR(__xludf.DUMMYFUNCTION("""COMPUTED_VALUE"""),20000.0)</f>
        <v>20000</v>
      </c>
      <c r="H668" s="124" t="str">
        <f>IFERROR(__xludf.DUMMYFUNCTION("""COMPUTED_VALUE"""),"Not Available")</f>
        <v>Not Available</v>
      </c>
      <c r="I668" s="124">
        <f>IFERROR(__xludf.DUMMYFUNCTION("""COMPUTED_VALUE"""),0.0)</f>
        <v>0</v>
      </c>
      <c r="J668" s="124">
        <f>IFERROR(__xludf.DUMMYFUNCTION("""COMPUTED_VALUE"""),55000.0)</f>
        <v>55000</v>
      </c>
      <c r="K668" s="124">
        <f>IFERROR(__xludf.DUMMYFUNCTION("""COMPUTED_VALUE"""),2.0)</f>
        <v>2</v>
      </c>
      <c r="L668" s="124">
        <f>IFERROR(__xludf.DUMMYFUNCTION("""COMPUTED_VALUE"""),630.0)</f>
        <v>630</v>
      </c>
      <c r="M668" s="124" t="str">
        <f>IFERROR(__xludf.DUMMYFUNCTION("""COMPUTED_VALUE"""),"Prayagraj")</f>
        <v>Prayagraj</v>
      </c>
      <c r="N668" s="124" t="str">
        <f>IFERROR(__xludf.DUMMYFUNCTION("""COMPUTED_VALUE"""),"nidhi8960122938@gmail.com")</f>
        <v>nidhi8960122938@gmail.com</v>
      </c>
      <c r="O668" s="124" t="str">
        <f>IFERROR(__xludf.DUMMYFUNCTION("""COMPUTED_VALUE"""),"Tanu")</f>
        <v>Tanu</v>
      </c>
      <c r="P668" s="124">
        <f>IFERROR(__xludf.DUMMYFUNCTION("""COMPUTED_VALUE"""),89693.0)</f>
        <v>89693</v>
      </c>
      <c r="Q668" s="124" t="str">
        <f>IFERROR(__xludf.DUMMYFUNCTION("""COMPUTED_VALUE"""),"upsc-gs-foundation-hinglish-target-2027-gsf-upsc-e03-pry")</f>
        <v>upsc-gs-foundation-hinglish-target-2027-gsf-upsc-e03-pry</v>
      </c>
      <c r="R668" s="124" t="str">
        <f>IFERROR(__xludf.DUMMYFUNCTION("""COMPUTED_VALUE"""),"GS Foundation Course")</f>
        <v>GS Foundation Course</v>
      </c>
      <c r="S668" s="124">
        <f>IFERROR(__xludf.DUMMYFUNCTION("""COMPUTED_VALUE"""),8.960122938E9)</f>
        <v>8960122938</v>
      </c>
      <c r="T668" s="124" t="str">
        <f>IFERROR(__xludf.DUMMYFUNCTION("""COMPUTED_VALUE"""),"Not Available")</f>
        <v>Not Available</v>
      </c>
      <c r="U668" s="124" t="str">
        <f>IFERROR(__xludf.DUMMYFUNCTION("""COMPUTED_VALUE"""),"Not Available")</f>
        <v>Not Available</v>
      </c>
      <c r="V668" s="124" t="str">
        <f>IFERROR(__xludf.DUMMYFUNCTION("""COMPUTED_VALUE"""),"Not Available")</f>
        <v>Not Available</v>
      </c>
      <c r="W668" s="124" t="str">
        <f>IFERROR(__xludf.DUMMYFUNCTION("""COMPUTED_VALUE"""),"Not Available")</f>
        <v>Not Available</v>
      </c>
    </row>
    <row r="669">
      <c r="A669" s="124" t="str">
        <f t="shared" si="1"/>
        <v>ishapathak8@gmail.com</v>
      </c>
      <c r="B669" s="131">
        <f>IFERROR(__xludf.DUMMYFUNCTION("""COMPUTED_VALUE"""),46077.0)</f>
        <v>46077</v>
      </c>
      <c r="C669" s="124" t="str">
        <f>IFERROR(__xludf.DUMMYFUNCTION("""COMPUTED_VALUE"""),"Payment data from Collexo")</f>
        <v>Payment data from Collexo</v>
      </c>
      <c r="D669" s="124" t="str">
        <f>IFERROR(__xludf.DUMMYFUNCTION("""COMPUTED_VALUE"""),"Not Available")</f>
        <v>Not Available</v>
      </c>
      <c r="E669" s="124">
        <f>IFERROR(__xludf.DUMMYFUNCTION("""COMPUTED_VALUE"""),1500609.0)</f>
        <v>1500609</v>
      </c>
      <c r="F669" s="124" t="str">
        <f>IFERROR(__xludf.DUMMYFUNCTION("""COMPUTED_VALUE"""),"10782_988_7")</f>
        <v>10782_988_7</v>
      </c>
      <c r="G669" s="124">
        <f>IFERROR(__xludf.DUMMYFUNCTION("""COMPUTED_VALUE"""),1.0)</f>
        <v>1</v>
      </c>
      <c r="H669" s="124" t="str">
        <f>IFERROR(__xludf.DUMMYFUNCTION("""COMPUTED_VALUE"""),"Not Available")</f>
        <v>Not Available</v>
      </c>
      <c r="I669" s="124">
        <f>IFERROR(__xludf.DUMMYFUNCTION("""COMPUTED_VALUE"""),0.0)</f>
        <v>0</v>
      </c>
      <c r="J669" s="124">
        <f>IFERROR(__xludf.DUMMYFUNCTION("""COMPUTED_VALUE"""),1.0)</f>
        <v>1</v>
      </c>
      <c r="K669" s="124">
        <f>IFERROR(__xludf.DUMMYFUNCTION("""COMPUTED_VALUE"""),1.0)</f>
        <v>1</v>
      </c>
      <c r="L669" s="124">
        <f>IFERROR(__xludf.DUMMYFUNCTION("""COMPUTED_VALUE"""),330.0)</f>
        <v>330</v>
      </c>
      <c r="M669" s="124" t="str">
        <f>IFERROR(__xludf.DUMMYFUNCTION("""COMPUTED_VALUE"""),"New Delhi")</f>
        <v>New Delhi</v>
      </c>
      <c r="N669" s="124" t="str">
        <f>IFERROR(__xludf.DUMMYFUNCTION("""COMPUTED_VALUE"""),"ishapathak8@gmail.com")</f>
        <v>ishapathak8@gmail.com</v>
      </c>
      <c r="O669" s="124" t="str">
        <f>IFERROR(__xludf.DUMMYFUNCTION("""COMPUTED_VALUE"""),"Isha pathak")</f>
        <v>Isha pathak</v>
      </c>
      <c r="P669" s="124">
        <f>IFERROR(__xludf.DUMMYFUNCTION("""COMPUTED_VALUE"""),124531.0)</f>
        <v>124531</v>
      </c>
      <c r="Q669" s="124" t="str">
        <f>IFERROR(__xludf.DUMMYFUNCTION("""COMPUTED_VALUE"""),"upsc-gs-foundation-hinglish-target-2027-gsf-upsc-e04-orn")</f>
        <v>upsc-gs-foundation-hinglish-target-2027-gsf-upsc-e04-orn</v>
      </c>
      <c r="R669" s="124" t="str">
        <f>IFERROR(__xludf.DUMMYFUNCTION("""COMPUTED_VALUE"""),"GS Foundation Course")</f>
        <v>GS Foundation Course</v>
      </c>
      <c r="S669" s="124">
        <f>IFERROR(__xludf.DUMMYFUNCTION("""COMPUTED_VALUE"""),8.595041975E9)</f>
        <v>8595041975</v>
      </c>
      <c r="T669" s="124" t="str">
        <f>IFERROR(__xludf.DUMMYFUNCTION("""COMPUTED_VALUE"""),"Collexo")</f>
        <v>Collexo</v>
      </c>
      <c r="U669" s="124" t="str">
        <f>IFERROR(__xludf.DUMMYFUNCTION("""COMPUTED_VALUE"""),"Success")</f>
        <v>Success</v>
      </c>
      <c r="V669" s="131">
        <f>IFERROR(__xludf.DUMMYFUNCTION("""COMPUTED_VALUE"""),46077.0)</f>
        <v>46077</v>
      </c>
      <c r="W669" s="124">
        <f>IFERROR(__xludf.DUMMYFUNCTION("""COMPUTED_VALUE"""),0.0)</f>
        <v>0</v>
      </c>
    </row>
    <row r="670">
      <c r="A670" s="124" t="str">
        <f t="shared" si="1"/>
        <v>suhanashah256@gmail.com</v>
      </c>
      <c r="B670" s="131">
        <f>IFERROR(__xludf.DUMMYFUNCTION("""COMPUTED_VALUE"""),46106.0)</f>
        <v>46106</v>
      </c>
      <c r="C670" s="124" t="str">
        <f>IFERROR(__xludf.DUMMYFUNCTION("""COMPUTED_VALUE"""),"Payment data from Collexo")</f>
        <v>Payment data from Collexo</v>
      </c>
      <c r="D670" s="124" t="str">
        <f>IFERROR(__xludf.DUMMYFUNCTION("""COMPUTED_VALUE"""),"Not Available")</f>
        <v>Not Available</v>
      </c>
      <c r="E670" s="124">
        <f>IFERROR(__xludf.DUMMYFUNCTION("""COMPUTED_VALUE"""),1500612.0)</f>
        <v>1500612</v>
      </c>
      <c r="F670" s="124">
        <f>IFERROR(__xludf.DUMMYFUNCTION("""COMPUTED_VALUE"""),133055.0)</f>
        <v>133055</v>
      </c>
      <c r="G670" s="124">
        <f>IFERROR(__xludf.DUMMYFUNCTION("""COMPUTED_VALUE"""),5000.0)</f>
        <v>5000</v>
      </c>
      <c r="H670" s="131">
        <f>IFERROR(__xludf.DUMMYFUNCTION("""COMPUTED_VALUE"""),46112.0)</f>
        <v>46112</v>
      </c>
      <c r="I670" s="124">
        <f>IFERROR(__xludf.DUMMYFUNCTION("""COMPUTED_VALUE"""),120000.0)</f>
        <v>120000</v>
      </c>
      <c r="J670" s="124">
        <f>IFERROR(__xludf.DUMMYFUNCTION("""COMPUTED_VALUE"""),130000.0)</f>
        <v>130000</v>
      </c>
      <c r="K670" s="124">
        <f>IFERROR(__xludf.DUMMYFUNCTION("""COMPUTED_VALUE"""),3.0)</f>
        <v>3</v>
      </c>
      <c r="L670" s="124">
        <f>IFERROR(__xludf.DUMMYFUNCTION("""COMPUTED_VALUE"""),720.0)</f>
        <v>720</v>
      </c>
      <c r="M670" s="124" t="str">
        <f>IFERROR(__xludf.DUMMYFUNCTION("""COMPUTED_VALUE"""),"Indore")</f>
        <v>Indore</v>
      </c>
      <c r="N670" s="124" t="str">
        <f>IFERROR(__xludf.DUMMYFUNCTION("""COMPUTED_VALUE"""),"suhanashah256@gmail.com")</f>
        <v>suhanashah256@gmail.com</v>
      </c>
      <c r="O670" s="124" t="str">
        <f>IFERROR(__xludf.DUMMYFUNCTION("""COMPUTED_VALUE"""),"Suhana shah")</f>
        <v>Suhana shah</v>
      </c>
      <c r="P670" s="124">
        <f>IFERROR(__xludf.DUMMYFUNCTION("""COMPUTED_VALUE"""),133055.0)</f>
        <v>133055</v>
      </c>
      <c r="Q670" s="124" t="str">
        <f>IFERROR(__xludf.DUMMYFUNCTION("""COMPUTED_VALUE"""),"upsc-gs-foundation-hindi-target-2028-gsf-upsc-m03-ind")</f>
        <v>upsc-gs-foundation-hindi-target-2028-gsf-upsc-m03-ind</v>
      </c>
      <c r="R670" s="124" t="str">
        <f>IFERROR(__xludf.DUMMYFUNCTION("""COMPUTED_VALUE"""),"GS Foundation Course")</f>
        <v>GS Foundation Course</v>
      </c>
      <c r="S670" s="124">
        <f>IFERROR(__xludf.DUMMYFUNCTION("""COMPUTED_VALUE"""),8.349671082E9)</f>
        <v>8349671082</v>
      </c>
      <c r="T670" s="124" t="str">
        <f>IFERROR(__xludf.DUMMYFUNCTION("""COMPUTED_VALUE"""),"Not Available")</f>
        <v>Not Available</v>
      </c>
      <c r="U670" s="124" t="str">
        <f>IFERROR(__xludf.DUMMYFUNCTION("""COMPUTED_VALUE"""),"Not Available")</f>
        <v>Not Available</v>
      </c>
      <c r="V670" s="124" t="str">
        <f>IFERROR(__xludf.DUMMYFUNCTION("""COMPUTED_VALUE"""),"Not Available")</f>
        <v>Not Available</v>
      </c>
      <c r="W670" s="124" t="str">
        <f>IFERROR(__xludf.DUMMYFUNCTION("""COMPUTED_VALUE"""),"Not Available")</f>
        <v>Not Available</v>
      </c>
    </row>
    <row r="671">
      <c r="A671" s="124" t="str">
        <f t="shared" si="1"/>
        <v>sonamrani98355@gmail.com</v>
      </c>
      <c r="B671" s="131">
        <f>IFERROR(__xludf.DUMMYFUNCTION("""COMPUTED_VALUE"""),46093.0)</f>
        <v>46093</v>
      </c>
      <c r="C671" s="124" t="str">
        <f>IFERROR(__xludf.DUMMYFUNCTION("""COMPUTED_VALUE"""),"Payment data from Collexo")</f>
        <v>Payment data from Collexo</v>
      </c>
      <c r="D671" s="124" t="str">
        <f>IFERROR(__xludf.DUMMYFUNCTION("""COMPUTED_VALUE"""),"Not Available")</f>
        <v>Not Available</v>
      </c>
      <c r="E671" s="124">
        <f>IFERROR(__xludf.DUMMYFUNCTION("""COMPUTED_VALUE"""),1500613.0)</f>
        <v>1500613</v>
      </c>
      <c r="F671" s="124">
        <f>IFERROR(__xludf.DUMMYFUNCTION("""COMPUTED_VALUE"""),127337.0)</f>
        <v>127337</v>
      </c>
      <c r="G671" s="124">
        <f>IFERROR(__xludf.DUMMYFUNCTION("""COMPUTED_VALUE"""),14000.0)</f>
        <v>14000</v>
      </c>
      <c r="H671" s="131">
        <f>IFERROR(__xludf.DUMMYFUNCTION("""COMPUTED_VALUE"""),46095.0)</f>
        <v>46095</v>
      </c>
      <c r="I671" s="124">
        <f>IFERROR(__xludf.DUMMYFUNCTION("""COMPUTED_VALUE"""),26000.0)</f>
        <v>26000</v>
      </c>
      <c r="J671" s="124">
        <f>IFERROR(__xludf.DUMMYFUNCTION("""COMPUTED_VALUE"""),40000.0)</f>
        <v>40000</v>
      </c>
      <c r="K671" s="124">
        <f>IFERROR(__xludf.DUMMYFUNCTION("""COMPUTED_VALUE"""),2.0)</f>
        <v>2</v>
      </c>
      <c r="L671" s="124">
        <f>IFERROR(__xludf.DUMMYFUNCTION("""COMPUTED_VALUE"""),505.0)</f>
        <v>505</v>
      </c>
      <c r="M671" s="124" t="str">
        <f>IFERROR(__xludf.DUMMYFUNCTION("""COMPUTED_VALUE"""),"Prayagraj")</f>
        <v>Prayagraj</v>
      </c>
      <c r="N671" s="124" t="str">
        <f>IFERROR(__xludf.DUMMYFUNCTION("""COMPUTED_VALUE"""),"sonamrani98355@gmail.com")</f>
        <v>sonamrani98355@gmail.com</v>
      </c>
      <c r="O671" s="124" t="str">
        <f>IFERROR(__xludf.DUMMYFUNCTION("""COMPUTED_VALUE"""),"Sonam rani")</f>
        <v>Sonam rani</v>
      </c>
      <c r="P671" s="124">
        <f>IFERROR(__xludf.DUMMYFUNCTION("""COMPUTED_VALUE"""),127337.0)</f>
        <v>127337</v>
      </c>
      <c r="Q671" s="124" t="str">
        <f>IFERROR(__xludf.DUMMYFUNCTION("""COMPUTED_VALUE"""),"upsc-gs-foundation-hinglish-target-2027-gsf-upsc-e03-pry")</f>
        <v>upsc-gs-foundation-hinglish-target-2027-gsf-upsc-e03-pry</v>
      </c>
      <c r="R671" s="124" t="str">
        <f>IFERROR(__xludf.DUMMYFUNCTION("""COMPUTED_VALUE"""),"GS Foundation Course")</f>
        <v>GS Foundation Course</v>
      </c>
      <c r="S671" s="124">
        <f>IFERROR(__xludf.DUMMYFUNCTION("""COMPUTED_VALUE"""),8.0841609E9)</f>
        <v>8084160900</v>
      </c>
      <c r="T671" s="124" t="str">
        <f>IFERROR(__xludf.DUMMYFUNCTION("""COMPUTED_VALUE"""),"Not Available")</f>
        <v>Not Available</v>
      </c>
      <c r="U671" s="124" t="str">
        <f>IFERROR(__xludf.DUMMYFUNCTION("""COMPUTED_VALUE"""),"Not Available")</f>
        <v>Not Available</v>
      </c>
      <c r="V671" s="124" t="str">
        <f>IFERROR(__xludf.DUMMYFUNCTION("""COMPUTED_VALUE"""),"Not Available")</f>
        <v>Not Available</v>
      </c>
      <c r="W671" s="124" t="str">
        <f>IFERROR(__xludf.DUMMYFUNCTION("""COMPUTED_VALUE"""),"Not Available")</f>
        <v>Not Available</v>
      </c>
    </row>
    <row r="672">
      <c r="A672" s="124" t="str">
        <f t="shared" si="1"/>
        <v>priyasingh28317@gmail.com</v>
      </c>
      <c r="B672" s="131">
        <f>IFERROR(__xludf.DUMMYFUNCTION("""COMPUTED_VALUE"""),46072.0)</f>
        <v>46072</v>
      </c>
      <c r="C672" s="124" t="str">
        <f>IFERROR(__xludf.DUMMYFUNCTION("""COMPUTED_VALUE"""),"Payment data from Collexo")</f>
        <v>Payment data from Collexo</v>
      </c>
      <c r="D672" s="124" t="str">
        <f>IFERROR(__xludf.DUMMYFUNCTION("""COMPUTED_VALUE"""),"Not Available")</f>
        <v>Not Available</v>
      </c>
      <c r="E672" s="124">
        <f>IFERROR(__xludf.DUMMYFUNCTION("""COMPUTED_VALUE"""),1500609.0)</f>
        <v>1500609</v>
      </c>
      <c r="F672" s="124" t="str">
        <f>IFERROR(__xludf.DUMMYFUNCTION("""COMPUTED_VALUE"""),"6464_988_7")</f>
        <v>6464_988_7</v>
      </c>
      <c r="G672" s="124">
        <f>IFERROR(__xludf.DUMMYFUNCTION("""COMPUTED_VALUE"""),1.0)</f>
        <v>1</v>
      </c>
      <c r="H672" s="124" t="str">
        <f>IFERROR(__xludf.DUMMYFUNCTION("""COMPUTED_VALUE"""),"Not Available")</f>
        <v>Not Available</v>
      </c>
      <c r="I672" s="124">
        <f>IFERROR(__xludf.DUMMYFUNCTION("""COMPUTED_VALUE"""),0.0)</f>
        <v>0</v>
      </c>
      <c r="J672" s="124">
        <f>IFERROR(__xludf.DUMMYFUNCTION("""COMPUTED_VALUE"""),1.0)</f>
        <v>1</v>
      </c>
      <c r="K672" s="124">
        <f>IFERROR(__xludf.DUMMYFUNCTION("""COMPUTED_VALUE"""),1.0)</f>
        <v>1</v>
      </c>
      <c r="L672" s="124">
        <f>IFERROR(__xludf.DUMMYFUNCTION("""COMPUTED_VALUE"""),259.0)</f>
        <v>259</v>
      </c>
      <c r="M672" s="124" t="str">
        <f>IFERROR(__xludf.DUMMYFUNCTION("""COMPUTED_VALUE"""),"New Delhi")</f>
        <v>New Delhi</v>
      </c>
      <c r="N672" s="124" t="str">
        <f>IFERROR(__xludf.DUMMYFUNCTION("""COMPUTED_VALUE"""),"priyasingh28317@gmail.com")</f>
        <v>priyasingh28317@gmail.com</v>
      </c>
      <c r="O672" s="124" t="str">
        <f>IFERROR(__xludf.DUMMYFUNCTION("""COMPUTED_VALUE"""),"Priya")</f>
        <v>Priya</v>
      </c>
      <c r="P672" s="124">
        <f>IFERROR(__xludf.DUMMYFUNCTION("""COMPUTED_VALUE"""),124180.0)</f>
        <v>124180</v>
      </c>
      <c r="Q672" s="124" t="str">
        <f>IFERROR(__xludf.DUMMYFUNCTION("""COMPUTED_VALUE"""),"upsc-gs-foundation-hinglish-target-2027-gsf-upsc-e04-orn")</f>
        <v>upsc-gs-foundation-hinglish-target-2027-gsf-upsc-e04-orn</v>
      </c>
      <c r="R672" s="124" t="str">
        <f>IFERROR(__xludf.DUMMYFUNCTION("""COMPUTED_VALUE"""),"GS Foundation Course")</f>
        <v>GS Foundation Course</v>
      </c>
      <c r="S672" s="124">
        <f>IFERROR(__xludf.DUMMYFUNCTION("""COMPUTED_VALUE"""),9.693807345E9)</f>
        <v>9693807345</v>
      </c>
      <c r="T672" s="124" t="str">
        <f>IFERROR(__xludf.DUMMYFUNCTION("""COMPUTED_VALUE"""),"Not Available")</f>
        <v>Not Available</v>
      </c>
      <c r="U672" s="124" t="str">
        <f>IFERROR(__xludf.DUMMYFUNCTION("""COMPUTED_VALUE"""),"Not Available")</f>
        <v>Not Available</v>
      </c>
      <c r="V672" s="124" t="str">
        <f>IFERROR(__xludf.DUMMYFUNCTION("""COMPUTED_VALUE"""),"Not Available")</f>
        <v>Not Available</v>
      </c>
      <c r="W672" s="124" t="str">
        <f>IFERROR(__xludf.DUMMYFUNCTION("""COMPUTED_VALUE"""),"Not Available")</f>
        <v>Not Available</v>
      </c>
    </row>
    <row r="673">
      <c r="A673" s="124" t="str">
        <f t="shared" si="1"/>
        <v>shivam98485@gmail.com</v>
      </c>
      <c r="B673" s="131">
        <f>IFERROR(__xludf.DUMMYFUNCTION("""COMPUTED_VALUE"""),46070.0)</f>
        <v>46070</v>
      </c>
      <c r="C673" s="124" t="str">
        <f>IFERROR(__xludf.DUMMYFUNCTION("""COMPUTED_VALUE"""),"Payment data from Collexo")</f>
        <v>Payment data from Collexo</v>
      </c>
      <c r="D673" s="124" t="str">
        <f>IFERROR(__xludf.DUMMYFUNCTION("""COMPUTED_VALUE"""),"Not Available")</f>
        <v>Not Available</v>
      </c>
      <c r="E673" s="124">
        <f>IFERROR(__xludf.DUMMYFUNCTION("""COMPUTED_VALUE"""),1500613.0)</f>
        <v>1500613</v>
      </c>
      <c r="F673" s="124">
        <f>IFERROR(__xludf.DUMMYFUNCTION("""COMPUTED_VALUE"""),123710.0)</f>
        <v>123710</v>
      </c>
      <c r="G673" s="124">
        <f>IFERROR(__xludf.DUMMYFUNCTION("""COMPUTED_VALUE"""),5000.0)</f>
        <v>5000</v>
      </c>
      <c r="H673" s="131">
        <f>IFERROR(__xludf.DUMMYFUNCTION("""COMPUTED_VALUE"""),46109.0)</f>
        <v>46109</v>
      </c>
      <c r="I673" s="124">
        <f>IFERROR(__xludf.DUMMYFUNCTION("""COMPUTED_VALUE"""),25000.0)</f>
        <v>25000</v>
      </c>
      <c r="J673" s="124">
        <f>IFERROR(__xludf.DUMMYFUNCTION("""COMPUTED_VALUE"""),60000.0)</f>
        <v>60000</v>
      </c>
      <c r="K673" s="124">
        <f>IFERROR(__xludf.DUMMYFUNCTION("""COMPUTED_VALUE"""),5.0)</f>
        <v>5</v>
      </c>
      <c r="L673" s="124">
        <f>IFERROR(__xludf.DUMMYFUNCTION("""COMPUTED_VALUE"""),240.0)</f>
        <v>240</v>
      </c>
      <c r="M673" s="124" t="str">
        <f>IFERROR(__xludf.DUMMYFUNCTION("""COMPUTED_VALUE"""),"Prayagraj")</f>
        <v>Prayagraj</v>
      </c>
      <c r="N673" s="124" t="str">
        <f>IFERROR(__xludf.DUMMYFUNCTION("""COMPUTED_VALUE"""),"shivam98485@gmail.com")</f>
        <v>shivam98485@gmail.com</v>
      </c>
      <c r="O673" s="124" t="str">
        <f>IFERROR(__xludf.DUMMYFUNCTION("""COMPUTED_VALUE"""),"Shivam Kumar")</f>
        <v>Shivam Kumar</v>
      </c>
      <c r="P673" s="124">
        <f>IFERROR(__xludf.DUMMYFUNCTION("""COMPUTED_VALUE"""),123710.0)</f>
        <v>123710</v>
      </c>
      <c r="Q673" s="124" t="str">
        <f>IFERROR(__xludf.DUMMYFUNCTION("""COMPUTED_VALUE"""),"upsc-gs-foundation-hindi-target-2028-gsf-upsc-m02-pry")</f>
        <v>upsc-gs-foundation-hindi-target-2028-gsf-upsc-m02-pry</v>
      </c>
      <c r="R673" s="124" t="str">
        <f>IFERROR(__xludf.DUMMYFUNCTION("""COMPUTED_VALUE"""),"GS Foundation Course")</f>
        <v>GS Foundation Course</v>
      </c>
      <c r="S673" s="124">
        <f>IFERROR(__xludf.DUMMYFUNCTION("""COMPUTED_VALUE"""),9.369688228E9)</f>
        <v>9369688228</v>
      </c>
      <c r="T673" s="124" t="str">
        <f>IFERROR(__xludf.DUMMYFUNCTION("""COMPUTED_VALUE"""),"Not Available")</f>
        <v>Not Available</v>
      </c>
      <c r="U673" s="124" t="str">
        <f>IFERROR(__xludf.DUMMYFUNCTION("""COMPUTED_VALUE"""),"Not Available")</f>
        <v>Not Available</v>
      </c>
      <c r="V673" s="124" t="str">
        <f>IFERROR(__xludf.DUMMYFUNCTION("""COMPUTED_VALUE"""),"Not Available")</f>
        <v>Not Available</v>
      </c>
      <c r="W673" s="124" t="str">
        <f>IFERROR(__xludf.DUMMYFUNCTION("""COMPUTED_VALUE"""),"Not Available")</f>
        <v>Not Available</v>
      </c>
    </row>
    <row r="674">
      <c r="A674" s="124" t="str">
        <f t="shared" si="1"/>
        <v>syedrushda1@gmail.com</v>
      </c>
      <c r="B674" s="131">
        <f>IFERROR(__xludf.DUMMYFUNCTION("""COMPUTED_VALUE"""),46062.0)</f>
        <v>46062</v>
      </c>
      <c r="C674" s="124" t="str">
        <f>IFERROR(__xludf.DUMMYFUNCTION("""COMPUTED_VALUE"""),"Payment data from Collexo")</f>
        <v>Payment data from Collexo</v>
      </c>
      <c r="D674" s="124" t="str">
        <f>IFERROR(__xludf.DUMMYFUNCTION("""COMPUTED_VALUE"""),"Not Available")</f>
        <v>Not Available</v>
      </c>
      <c r="E674" s="124">
        <f>IFERROR(__xludf.DUMMYFUNCTION("""COMPUTED_VALUE"""),1500610.0)</f>
        <v>1500610</v>
      </c>
      <c r="F674" s="124">
        <f>IFERROR(__xludf.DUMMYFUNCTION("""COMPUTED_VALUE"""),119781.0)</f>
        <v>119781</v>
      </c>
      <c r="G674" s="124">
        <f>IFERROR(__xludf.DUMMYFUNCTION("""COMPUTED_VALUE"""),32856.0)</f>
        <v>32856</v>
      </c>
      <c r="H674" s="124" t="str">
        <f>IFERROR(__xludf.DUMMYFUNCTION("""COMPUTED_VALUE"""),"Not Available")</f>
        <v>Not Available</v>
      </c>
      <c r="I674" s="124">
        <f>IFERROR(__xludf.DUMMYFUNCTION("""COMPUTED_VALUE"""),0.0)</f>
        <v>0</v>
      </c>
      <c r="J674" s="124">
        <f>IFERROR(__xludf.DUMMYFUNCTION("""COMPUTED_VALUE"""),39600.0)</f>
        <v>39600</v>
      </c>
      <c r="K674" s="124">
        <f>IFERROR(__xludf.DUMMYFUNCTION("""COMPUTED_VALUE"""),2.0)</f>
        <v>2</v>
      </c>
      <c r="L674" s="124">
        <f>IFERROR(__xludf.DUMMYFUNCTION("""COMPUTED_VALUE"""),188.0)</f>
        <v>188</v>
      </c>
      <c r="M674" s="124" t="str">
        <f>IFERROR(__xludf.DUMMYFUNCTION("""COMPUTED_VALUE"""),"Lucknow")</f>
        <v>Lucknow</v>
      </c>
      <c r="N674" s="124" t="str">
        <f>IFERROR(__xludf.DUMMYFUNCTION("""COMPUTED_VALUE"""),"syedrushda1@gmail.com")</f>
        <v>syedrushda1@gmail.com</v>
      </c>
      <c r="O674" s="124" t="str">
        <f>IFERROR(__xludf.DUMMYFUNCTION("""COMPUTED_VALUE"""),"Syed Rushda Fatima")</f>
        <v>Syed Rushda Fatima</v>
      </c>
      <c r="P674" s="124">
        <f>IFERROR(__xludf.DUMMYFUNCTION("""COMPUTED_VALUE"""),119781.0)</f>
        <v>119781</v>
      </c>
      <c r="Q674" s="124" t="str">
        <f>IFERROR(__xludf.DUMMYFUNCTION("""COMPUTED_VALUE"""),"Not Available")</f>
        <v>Not Available</v>
      </c>
      <c r="R674" s="124" t="str">
        <f>IFERROR(__xludf.DUMMYFUNCTION("""COMPUTED_VALUE"""),"State PCS")</f>
        <v>State PCS</v>
      </c>
      <c r="S674" s="124">
        <f>IFERROR(__xludf.DUMMYFUNCTION("""COMPUTED_VALUE"""),7.310637294E9)</f>
        <v>7310637294</v>
      </c>
      <c r="T674" s="124" t="str">
        <f>IFERROR(__xludf.DUMMYFUNCTION("""COMPUTED_VALUE"""),"Not Available")</f>
        <v>Not Available</v>
      </c>
      <c r="U674" s="124" t="str">
        <f>IFERROR(__xludf.DUMMYFUNCTION("""COMPUTED_VALUE"""),"Not Available")</f>
        <v>Not Available</v>
      </c>
      <c r="V674" s="124" t="str">
        <f>IFERROR(__xludf.DUMMYFUNCTION("""COMPUTED_VALUE"""),"Not Available")</f>
        <v>Not Available</v>
      </c>
      <c r="W674" s="124" t="str">
        <f>IFERROR(__xludf.DUMMYFUNCTION("""COMPUTED_VALUE"""),"Not Available")</f>
        <v>Not Available</v>
      </c>
    </row>
    <row r="675">
      <c r="A675" s="124" t="str">
        <f t="shared" si="1"/>
        <v>purnimakeshwarwani1@gmail.com</v>
      </c>
      <c r="B675" s="131">
        <f>IFERROR(__xludf.DUMMYFUNCTION("""COMPUTED_VALUE"""),46109.0)</f>
        <v>46109</v>
      </c>
      <c r="C675" s="124" t="str">
        <f>IFERROR(__xludf.DUMMYFUNCTION("""COMPUTED_VALUE"""),"Payment data from Collexo")</f>
        <v>Payment data from Collexo</v>
      </c>
      <c r="D675" s="124" t="str">
        <f>IFERROR(__xludf.DUMMYFUNCTION("""COMPUTED_VALUE"""),"Not Available")</f>
        <v>Not Available</v>
      </c>
      <c r="E675" s="124">
        <f>IFERROR(__xludf.DUMMYFUNCTION("""COMPUTED_VALUE"""),1500613.0)</f>
        <v>1500613</v>
      </c>
      <c r="F675" s="124">
        <f>IFERROR(__xludf.DUMMYFUNCTION("""COMPUTED_VALUE"""),109394.0)</f>
        <v>109394</v>
      </c>
      <c r="G675" s="124">
        <f>IFERROR(__xludf.DUMMYFUNCTION("""COMPUTED_VALUE"""),37000.0)</f>
        <v>37000</v>
      </c>
      <c r="H675" s="124" t="str">
        <f>IFERROR(__xludf.DUMMYFUNCTION("""COMPUTED_VALUE"""),"Not Available")</f>
        <v>Not Available</v>
      </c>
      <c r="I675" s="124">
        <f>IFERROR(__xludf.DUMMYFUNCTION("""COMPUTED_VALUE"""),0.0)</f>
        <v>0</v>
      </c>
      <c r="J675" s="124">
        <f>IFERROR(__xludf.DUMMYFUNCTION("""COMPUTED_VALUE"""),37000.0)</f>
        <v>37000</v>
      </c>
      <c r="K675" s="124">
        <f>IFERROR(__xludf.DUMMYFUNCTION("""COMPUTED_VALUE"""),1.0)</f>
        <v>1</v>
      </c>
      <c r="L675" s="124">
        <f>IFERROR(__xludf.DUMMYFUNCTION("""COMPUTED_VALUE"""),802.0)</f>
        <v>802</v>
      </c>
      <c r="M675" s="124" t="str">
        <f>IFERROR(__xludf.DUMMYFUNCTION("""COMPUTED_VALUE"""),"Prayagraj")</f>
        <v>Prayagraj</v>
      </c>
      <c r="N675" s="124" t="str">
        <f>IFERROR(__xludf.DUMMYFUNCTION("""COMPUTED_VALUE"""),"purnimakeshwarwani1@gmail.com")</f>
        <v>purnimakeshwarwani1@gmail.com</v>
      </c>
      <c r="O675" s="124" t="str">
        <f>IFERROR(__xludf.DUMMYFUNCTION("""COMPUTED_VALUE"""),"Purnima kesarwani")</f>
        <v>Purnima kesarwani</v>
      </c>
      <c r="P675" s="124">
        <f>IFERROR(__xludf.DUMMYFUNCTION("""COMPUTED_VALUE"""),109394.0)</f>
        <v>109394</v>
      </c>
      <c r="Q675" s="124" t="str">
        <f>IFERROR(__xludf.DUMMYFUNCTION("""COMPUTED_VALUE"""),"upsc-gs-foundation-hindi-target-2027-gsf-upsc-m03-pry")</f>
        <v>upsc-gs-foundation-hindi-target-2027-gsf-upsc-m03-pry</v>
      </c>
      <c r="R675" s="124" t="str">
        <f>IFERROR(__xludf.DUMMYFUNCTION("""COMPUTED_VALUE"""),"GS Foundation Course")</f>
        <v>GS Foundation Course</v>
      </c>
      <c r="S675" s="124">
        <f>IFERROR(__xludf.DUMMYFUNCTION("""COMPUTED_VALUE"""),8.081636079E9)</f>
        <v>8081636079</v>
      </c>
      <c r="T675" s="124" t="str">
        <f>IFERROR(__xludf.DUMMYFUNCTION("""COMPUTED_VALUE"""),"Not Available")</f>
        <v>Not Available</v>
      </c>
      <c r="U675" s="124" t="str">
        <f>IFERROR(__xludf.DUMMYFUNCTION("""COMPUTED_VALUE"""),"Not Available")</f>
        <v>Not Available</v>
      </c>
      <c r="V675" s="124" t="str">
        <f>IFERROR(__xludf.DUMMYFUNCTION("""COMPUTED_VALUE"""),"Not Available")</f>
        <v>Not Available</v>
      </c>
      <c r="W675" s="124" t="str">
        <f>IFERROR(__xludf.DUMMYFUNCTION("""COMPUTED_VALUE"""),"Not Available")</f>
        <v>Not Available</v>
      </c>
    </row>
    <row r="676">
      <c r="A676" s="124" t="str">
        <f t="shared" si="1"/>
        <v>mushairakhan6@gmail.com</v>
      </c>
      <c r="B676" s="131">
        <f>IFERROR(__xludf.DUMMYFUNCTION("""COMPUTED_VALUE"""),46095.0)</f>
        <v>46095</v>
      </c>
      <c r="C676" s="124" t="str">
        <f>IFERROR(__xludf.DUMMYFUNCTION("""COMPUTED_VALUE"""),"Payment data from Collexo")</f>
        <v>Payment data from Collexo</v>
      </c>
      <c r="D676" s="124" t="str">
        <f>IFERROR(__xludf.DUMMYFUNCTION("""COMPUTED_VALUE"""),"Not Available")</f>
        <v>Not Available</v>
      </c>
      <c r="E676" s="124">
        <f>IFERROR(__xludf.DUMMYFUNCTION("""COMPUTED_VALUE"""),1500612.0)</f>
        <v>1500612</v>
      </c>
      <c r="F676" s="124">
        <f>IFERROR(__xludf.DUMMYFUNCTION("""COMPUTED_VALUE"""),127479.0)</f>
        <v>127479</v>
      </c>
      <c r="G676" s="124">
        <f>IFERROR(__xludf.DUMMYFUNCTION("""COMPUTED_VALUE"""),1000.0)</f>
        <v>1000</v>
      </c>
      <c r="H676" s="131">
        <f>IFERROR(__xludf.DUMMYFUNCTION("""COMPUTED_VALUE"""),46112.0)</f>
        <v>46112</v>
      </c>
      <c r="I676" s="124">
        <f>IFERROR(__xludf.DUMMYFUNCTION("""COMPUTED_VALUE"""),99000.0)</f>
        <v>99000</v>
      </c>
      <c r="J676" s="124">
        <f>IFERROR(__xludf.DUMMYFUNCTION("""COMPUTED_VALUE"""),100000.0)</f>
        <v>100000</v>
      </c>
      <c r="K676" s="124">
        <f>IFERROR(__xludf.DUMMYFUNCTION("""COMPUTED_VALUE"""),2.0)</f>
        <v>2</v>
      </c>
      <c r="L676" s="124">
        <f>IFERROR(__xludf.DUMMYFUNCTION("""COMPUTED_VALUE"""),537.0)</f>
        <v>537</v>
      </c>
      <c r="M676" s="124" t="str">
        <f>IFERROR(__xludf.DUMMYFUNCTION("""COMPUTED_VALUE"""),"Indore")</f>
        <v>Indore</v>
      </c>
      <c r="N676" s="124" t="str">
        <f>IFERROR(__xludf.DUMMYFUNCTION("""COMPUTED_VALUE"""),"mushairakhan6@gmail.com")</f>
        <v>mushairakhan6@gmail.com</v>
      </c>
      <c r="O676" s="124" t="str">
        <f>IFERROR(__xludf.DUMMYFUNCTION("""COMPUTED_VALUE"""),"Mubshara Khan")</f>
        <v>Mubshara Khan</v>
      </c>
      <c r="P676" s="124">
        <f>IFERROR(__xludf.DUMMYFUNCTION("""COMPUTED_VALUE"""),127479.0)</f>
        <v>127479</v>
      </c>
      <c r="Q676" s="124" t="str">
        <f>IFERROR(__xludf.DUMMYFUNCTION("""COMPUTED_VALUE"""),"upsc-gs-foundation-hinglish-target-2028-gsf-upsc-m03-ind")</f>
        <v>upsc-gs-foundation-hinglish-target-2028-gsf-upsc-m03-ind</v>
      </c>
      <c r="R676" s="124" t="str">
        <f>IFERROR(__xludf.DUMMYFUNCTION("""COMPUTED_VALUE"""),"GS Foundation Course")</f>
        <v>GS Foundation Course</v>
      </c>
      <c r="S676" s="124">
        <f>IFERROR(__xludf.DUMMYFUNCTION("""COMPUTED_VALUE"""),9.243371112E9)</f>
        <v>9243371112</v>
      </c>
      <c r="T676" s="124" t="str">
        <f>IFERROR(__xludf.DUMMYFUNCTION("""COMPUTED_VALUE"""),"Not Available")</f>
        <v>Not Available</v>
      </c>
      <c r="U676" s="124" t="str">
        <f>IFERROR(__xludf.DUMMYFUNCTION("""COMPUTED_VALUE"""),"Not Available")</f>
        <v>Not Available</v>
      </c>
      <c r="V676" s="124" t="str">
        <f>IFERROR(__xludf.DUMMYFUNCTION("""COMPUTED_VALUE"""),"Not Available")</f>
        <v>Not Available</v>
      </c>
      <c r="W676" s="124" t="str">
        <f>IFERROR(__xludf.DUMMYFUNCTION("""COMPUTED_VALUE"""),"Not Available")</f>
        <v>Not Available</v>
      </c>
    </row>
    <row r="677">
      <c r="A677" s="124" t="str">
        <f t="shared" si="1"/>
        <v>krishnabijoy2000@gmail.com</v>
      </c>
      <c r="B677" s="131">
        <f>IFERROR(__xludf.DUMMYFUNCTION("""COMPUTED_VALUE"""),46083.0)</f>
        <v>46083</v>
      </c>
      <c r="C677" s="124" t="str">
        <f>IFERROR(__xludf.DUMMYFUNCTION("""COMPUTED_VALUE"""),"Payment data from Collexo")</f>
        <v>Payment data from Collexo</v>
      </c>
      <c r="D677" s="124" t="str">
        <f>IFERROR(__xludf.DUMMYFUNCTION("""COMPUTED_VALUE"""),"Not Available")</f>
        <v>Not Available</v>
      </c>
      <c r="E677" s="124">
        <f>IFERROR(__xludf.DUMMYFUNCTION("""COMPUTED_VALUE"""),1500609.0)</f>
        <v>1500609</v>
      </c>
      <c r="F677" s="124" t="str">
        <f>IFERROR(__xludf.DUMMYFUNCTION("""COMPUTED_VALUE"""),"11940_988_7")</f>
        <v>11940_988_7</v>
      </c>
      <c r="G677" s="124">
        <f>IFERROR(__xludf.DUMMYFUNCTION("""COMPUTED_VALUE"""),1.0)</f>
        <v>1</v>
      </c>
      <c r="H677" s="124" t="str">
        <f>IFERROR(__xludf.DUMMYFUNCTION("""COMPUTED_VALUE"""),"Not Available")</f>
        <v>Not Available</v>
      </c>
      <c r="I677" s="124">
        <f>IFERROR(__xludf.DUMMYFUNCTION("""COMPUTED_VALUE"""),0.0)</f>
        <v>0</v>
      </c>
      <c r="J677" s="124">
        <f>IFERROR(__xludf.DUMMYFUNCTION("""COMPUTED_VALUE"""),1.0)</f>
        <v>1</v>
      </c>
      <c r="K677" s="124">
        <f>IFERROR(__xludf.DUMMYFUNCTION("""COMPUTED_VALUE"""),1.0)</f>
        <v>1</v>
      </c>
      <c r="L677" s="124">
        <f>IFERROR(__xludf.DUMMYFUNCTION("""COMPUTED_VALUE"""),404.0)</f>
        <v>404</v>
      </c>
      <c r="M677" s="124" t="str">
        <f>IFERROR(__xludf.DUMMYFUNCTION("""COMPUTED_VALUE"""),"New Delhi")</f>
        <v>New Delhi</v>
      </c>
      <c r="N677" s="124" t="str">
        <f>IFERROR(__xludf.DUMMYFUNCTION("""COMPUTED_VALUE"""),"krishnabijoy2000@gmail.com")</f>
        <v>krishnabijoy2000@gmail.com</v>
      </c>
      <c r="O677" s="124" t="str">
        <f>IFERROR(__xludf.DUMMYFUNCTION("""COMPUTED_VALUE"""),"BIJOY KRISHNA HAZARIKA")</f>
        <v>BIJOY KRISHNA HAZARIKA</v>
      </c>
      <c r="P677" s="124">
        <f>IFERROR(__xludf.DUMMYFUNCTION("""COMPUTED_VALUE"""),125109.0)</f>
        <v>125109</v>
      </c>
      <c r="Q677" s="124" t="str">
        <f>IFERROR(__xludf.DUMMYFUNCTION("""COMPUTED_VALUE"""),"upsc-gs-foundation-hinglish-target-2027-gsf-upsc-e04-orn")</f>
        <v>upsc-gs-foundation-hinglish-target-2027-gsf-upsc-e04-orn</v>
      </c>
      <c r="R677" s="124" t="str">
        <f>IFERROR(__xludf.DUMMYFUNCTION("""COMPUTED_VALUE"""),"GS Foundation Course")</f>
        <v>GS Foundation Course</v>
      </c>
      <c r="S677" s="124">
        <f>IFERROR(__xludf.DUMMYFUNCTION("""COMPUTED_VALUE"""),7.005031489E9)</f>
        <v>7005031489</v>
      </c>
      <c r="T677" s="124" t="str">
        <f>IFERROR(__xludf.DUMMYFUNCTION("""COMPUTED_VALUE"""),"Collexo")</f>
        <v>Collexo</v>
      </c>
      <c r="U677" s="124" t="str">
        <f>IFERROR(__xludf.DUMMYFUNCTION("""COMPUTED_VALUE"""),"Success")</f>
        <v>Success</v>
      </c>
      <c r="V677" s="131">
        <f>IFERROR(__xludf.DUMMYFUNCTION("""COMPUTED_VALUE"""),46083.0)</f>
        <v>46083</v>
      </c>
      <c r="W677" s="124">
        <f>IFERROR(__xludf.DUMMYFUNCTION("""COMPUTED_VALUE"""),0.0)</f>
        <v>0</v>
      </c>
    </row>
    <row r="678">
      <c r="A678" s="124" t="str">
        <f t="shared" si="1"/>
        <v>amanlibro983@gmail.com</v>
      </c>
      <c r="B678" s="131">
        <f>IFERROR(__xludf.DUMMYFUNCTION("""COMPUTED_VALUE"""),46093.0)</f>
        <v>46093</v>
      </c>
      <c r="C678" s="124" t="str">
        <f>IFERROR(__xludf.DUMMYFUNCTION("""COMPUTED_VALUE"""),"Payment data from Collexo")</f>
        <v>Payment data from Collexo</v>
      </c>
      <c r="D678" s="124" t="str">
        <f>IFERROR(__xludf.DUMMYFUNCTION("""COMPUTED_VALUE"""),"Not Available")</f>
        <v>Not Available</v>
      </c>
      <c r="E678" s="124">
        <f>IFERROR(__xludf.DUMMYFUNCTION("""COMPUTED_VALUE"""),1500609.0)</f>
        <v>1500609</v>
      </c>
      <c r="F678" s="124" t="str">
        <f>IFERROR(__xludf.DUMMYFUNCTION("""COMPUTED_VALUE"""),"13880_988_7")</f>
        <v>13880_988_7</v>
      </c>
      <c r="G678" s="124">
        <f>IFERROR(__xludf.DUMMYFUNCTION("""COMPUTED_VALUE"""),1.0)</f>
        <v>1</v>
      </c>
      <c r="H678" s="124" t="str">
        <f>IFERROR(__xludf.DUMMYFUNCTION("""COMPUTED_VALUE"""),"Not Available")</f>
        <v>Not Available</v>
      </c>
      <c r="I678" s="124">
        <f>IFERROR(__xludf.DUMMYFUNCTION("""COMPUTED_VALUE"""),0.0)</f>
        <v>0</v>
      </c>
      <c r="J678" s="124">
        <f>IFERROR(__xludf.DUMMYFUNCTION("""COMPUTED_VALUE"""),1.0)</f>
        <v>1</v>
      </c>
      <c r="K678" s="124">
        <f>IFERROR(__xludf.DUMMYFUNCTION("""COMPUTED_VALUE"""),1.0)</f>
        <v>1</v>
      </c>
      <c r="L678" s="124">
        <f>IFERROR(__xludf.DUMMYFUNCTION("""COMPUTED_VALUE"""),517.0)</f>
        <v>517</v>
      </c>
      <c r="M678" s="124" t="str">
        <f>IFERROR(__xludf.DUMMYFUNCTION("""COMPUTED_VALUE"""),"New Delhi")</f>
        <v>New Delhi</v>
      </c>
      <c r="N678" s="124" t="str">
        <f>IFERROR(__xludf.DUMMYFUNCTION("""COMPUTED_VALUE"""),"amanlibro983@gmail.com")</f>
        <v>amanlibro983@gmail.com</v>
      </c>
      <c r="O678" s="124" t="str">
        <f>IFERROR(__xludf.DUMMYFUNCTION("""COMPUTED_VALUE"""),"Aman")</f>
        <v>Aman</v>
      </c>
      <c r="P678" s="124">
        <f>IFERROR(__xludf.DUMMYFUNCTION("""COMPUTED_VALUE"""),119860.0)</f>
        <v>119860</v>
      </c>
      <c r="Q678" s="124" t="str">
        <f>IFERROR(__xludf.DUMMYFUNCTION("""COMPUTED_VALUE"""),"upsc-gs-foundation-hinglish-target-2027-gsf-upsc-m05-orn")</f>
        <v>upsc-gs-foundation-hinglish-target-2027-gsf-upsc-m05-orn</v>
      </c>
      <c r="R678" s="124" t="str">
        <f>IFERROR(__xludf.DUMMYFUNCTION("""COMPUTED_VALUE"""),"GS Foundation Course")</f>
        <v>GS Foundation Course</v>
      </c>
      <c r="S678" s="124">
        <f>IFERROR(__xludf.DUMMYFUNCTION("""COMPUTED_VALUE"""),8.006166067E9)</f>
        <v>8006166067</v>
      </c>
      <c r="T678" s="124" t="str">
        <f>IFERROR(__xludf.DUMMYFUNCTION("""COMPUTED_VALUE"""),"Collexo")</f>
        <v>Collexo</v>
      </c>
      <c r="U678" s="124" t="str">
        <f>IFERROR(__xludf.DUMMYFUNCTION("""COMPUTED_VALUE"""),"Success")</f>
        <v>Success</v>
      </c>
      <c r="V678" s="131">
        <f>IFERROR(__xludf.DUMMYFUNCTION("""COMPUTED_VALUE"""),46093.0)</f>
        <v>46093</v>
      </c>
      <c r="W678" s="124">
        <f>IFERROR(__xludf.DUMMYFUNCTION("""COMPUTED_VALUE"""),0.0)</f>
        <v>0</v>
      </c>
    </row>
    <row r="679">
      <c r="A679" s="124" t="str">
        <f t="shared" si="1"/>
        <v>namritasingh1304@gmail.com</v>
      </c>
      <c r="B679" s="131">
        <f>IFERROR(__xludf.DUMMYFUNCTION("""COMPUTED_VALUE"""),46100.0)</f>
        <v>46100</v>
      </c>
      <c r="C679" s="124" t="str">
        <f>IFERROR(__xludf.DUMMYFUNCTION("""COMPUTED_VALUE"""),"Payment data from Collexo")</f>
        <v>Payment data from Collexo</v>
      </c>
      <c r="D679" s="124" t="str">
        <f>IFERROR(__xludf.DUMMYFUNCTION("""COMPUTED_VALUE"""),"Not Available")</f>
        <v>Not Available</v>
      </c>
      <c r="E679" s="124">
        <f>IFERROR(__xludf.DUMMYFUNCTION("""COMPUTED_VALUE"""),1500610.0)</f>
        <v>1500610</v>
      </c>
      <c r="F679" s="124">
        <f>IFERROR(__xludf.DUMMYFUNCTION("""COMPUTED_VALUE"""),127676.0)</f>
        <v>127676</v>
      </c>
      <c r="G679" s="124">
        <f>IFERROR(__xludf.DUMMYFUNCTION("""COMPUTED_VALUE"""),9658.0)</f>
        <v>9658</v>
      </c>
      <c r="H679" s="131">
        <f>IFERROR(__xludf.DUMMYFUNCTION("""COMPUTED_VALUE"""),46100.0)</f>
        <v>46100</v>
      </c>
      <c r="I679" s="124">
        <f>IFERROR(__xludf.DUMMYFUNCTION("""COMPUTED_VALUE"""),50342.0)</f>
        <v>50342</v>
      </c>
      <c r="J679" s="124">
        <f>IFERROR(__xludf.DUMMYFUNCTION("""COMPUTED_VALUE"""),60000.0)</f>
        <v>60000</v>
      </c>
      <c r="K679" s="124">
        <f>IFERROR(__xludf.DUMMYFUNCTION("""COMPUTED_VALUE"""),2.0)</f>
        <v>2</v>
      </c>
      <c r="L679" s="124">
        <f>IFERROR(__xludf.DUMMYFUNCTION("""COMPUTED_VALUE"""),626.0)</f>
        <v>626</v>
      </c>
      <c r="M679" s="124" t="str">
        <f>IFERROR(__xludf.DUMMYFUNCTION("""COMPUTED_VALUE"""),"Lucknow")</f>
        <v>Lucknow</v>
      </c>
      <c r="N679" s="124" t="str">
        <f>IFERROR(__xludf.DUMMYFUNCTION("""COMPUTED_VALUE"""),"namritasingh1304@gmail.com")</f>
        <v>namritasingh1304@gmail.com</v>
      </c>
      <c r="O679" s="124" t="str">
        <f>IFERROR(__xludf.DUMMYFUNCTION("""COMPUTED_VALUE"""),"namrita singh")</f>
        <v>namrita singh</v>
      </c>
      <c r="P679" s="124">
        <f>IFERROR(__xludf.DUMMYFUNCTION("""COMPUTED_VALUE"""),127676.0)</f>
        <v>127676</v>
      </c>
      <c r="Q679" s="124" t="str">
        <f>IFERROR(__xludf.DUMMYFUNCTION("""COMPUTED_VALUE"""),"Not Available")</f>
        <v>Not Available</v>
      </c>
      <c r="R679" s="124" t="str">
        <f>IFERROR(__xludf.DUMMYFUNCTION("""COMPUTED_VALUE"""),"GS Foundation Course")</f>
        <v>GS Foundation Course</v>
      </c>
      <c r="S679" s="124">
        <f>IFERROR(__xludf.DUMMYFUNCTION("""COMPUTED_VALUE"""),7.007502891E9)</f>
        <v>7007502891</v>
      </c>
      <c r="T679" s="124" t="str">
        <f>IFERROR(__xludf.DUMMYFUNCTION("""COMPUTED_VALUE"""),"Not Available")</f>
        <v>Not Available</v>
      </c>
      <c r="U679" s="124" t="str">
        <f>IFERROR(__xludf.DUMMYFUNCTION("""COMPUTED_VALUE"""),"Not Available")</f>
        <v>Not Available</v>
      </c>
      <c r="V679" s="124" t="str">
        <f>IFERROR(__xludf.DUMMYFUNCTION("""COMPUTED_VALUE"""),"Not Available")</f>
        <v>Not Available</v>
      </c>
      <c r="W679" s="124" t="str">
        <f>IFERROR(__xludf.DUMMYFUNCTION("""COMPUTED_VALUE"""),"Not Available")</f>
        <v>Not Available</v>
      </c>
    </row>
    <row r="680">
      <c r="A680" s="124" t="str">
        <f t="shared" si="1"/>
        <v>Mithlish704@gmail.com</v>
      </c>
      <c r="B680" s="131">
        <f>IFERROR(__xludf.DUMMYFUNCTION("""COMPUTED_VALUE"""),46058.0)</f>
        <v>46058</v>
      </c>
      <c r="C680" s="124" t="str">
        <f>IFERROR(__xludf.DUMMYFUNCTION("""COMPUTED_VALUE"""),"Payment data from Collexo")</f>
        <v>Payment data from Collexo</v>
      </c>
      <c r="D680" s="124" t="str">
        <f>IFERROR(__xludf.DUMMYFUNCTION("""COMPUTED_VALUE"""),"Not Available")</f>
        <v>Not Available</v>
      </c>
      <c r="E680" s="124">
        <f>IFERROR(__xludf.DUMMYFUNCTION("""COMPUTED_VALUE"""),1500610.0)</f>
        <v>1500610</v>
      </c>
      <c r="F680" s="124">
        <f>IFERROR(__xludf.DUMMYFUNCTION("""COMPUTED_VALUE"""),120478.0)</f>
        <v>120478</v>
      </c>
      <c r="G680" s="124">
        <f>IFERROR(__xludf.DUMMYFUNCTION("""COMPUTED_VALUE"""),46056.0)</f>
        <v>46056</v>
      </c>
      <c r="H680" s="124" t="str">
        <f>IFERROR(__xludf.DUMMYFUNCTION("""COMPUTED_VALUE"""),"Not Available")</f>
        <v>Not Available</v>
      </c>
      <c r="I680" s="124">
        <f>IFERROR(__xludf.DUMMYFUNCTION("""COMPUTED_VALUE"""),0.0)</f>
        <v>0</v>
      </c>
      <c r="J680" s="124">
        <f>IFERROR(__xludf.DUMMYFUNCTION("""COMPUTED_VALUE"""),55000.0)</f>
        <v>55000</v>
      </c>
      <c r="K680" s="124">
        <f>IFERROR(__xludf.DUMMYFUNCTION("""COMPUTED_VALUE"""),2.0)</f>
        <v>2</v>
      </c>
      <c r="L680" s="124">
        <f>IFERROR(__xludf.DUMMYFUNCTION("""COMPUTED_VALUE"""),166.0)</f>
        <v>166</v>
      </c>
      <c r="M680" s="124" t="str">
        <f>IFERROR(__xludf.DUMMYFUNCTION("""COMPUTED_VALUE"""),"Lucknow")</f>
        <v>Lucknow</v>
      </c>
      <c r="N680" s="124" t="str">
        <f>IFERROR(__xludf.DUMMYFUNCTION("""COMPUTED_VALUE"""),"Mithlish704@gmail.com")</f>
        <v>Mithlish704@gmail.com</v>
      </c>
      <c r="O680" s="124" t="str">
        <f>IFERROR(__xludf.DUMMYFUNCTION("""COMPUTED_VALUE"""),"Mithlesh")</f>
        <v>Mithlesh</v>
      </c>
      <c r="P680" s="124">
        <f>IFERROR(__xludf.DUMMYFUNCTION("""COMPUTED_VALUE"""),120478.0)</f>
        <v>120478</v>
      </c>
      <c r="Q680" s="124" t="str">
        <f>IFERROR(__xludf.DUMMYFUNCTION("""COMPUTED_VALUE"""),"Not Available")</f>
        <v>Not Available</v>
      </c>
      <c r="R680" s="124" t="str">
        <f>IFERROR(__xludf.DUMMYFUNCTION("""COMPUTED_VALUE"""),"GS Foundation Course")</f>
        <v>GS Foundation Course</v>
      </c>
      <c r="S680" s="124">
        <f>IFERROR(__xludf.DUMMYFUNCTION("""COMPUTED_VALUE"""),9.648333404E9)</f>
        <v>9648333404</v>
      </c>
      <c r="T680" s="124" t="str">
        <f>IFERROR(__xludf.DUMMYFUNCTION("""COMPUTED_VALUE"""),"Not Available")</f>
        <v>Not Available</v>
      </c>
      <c r="U680" s="124" t="str">
        <f>IFERROR(__xludf.DUMMYFUNCTION("""COMPUTED_VALUE"""),"Not Available")</f>
        <v>Not Available</v>
      </c>
      <c r="V680" s="124" t="str">
        <f>IFERROR(__xludf.DUMMYFUNCTION("""COMPUTED_VALUE"""),"Not Available")</f>
        <v>Not Available</v>
      </c>
      <c r="W680" s="124" t="str">
        <f>IFERROR(__xludf.DUMMYFUNCTION("""COMPUTED_VALUE"""),"Not Available")</f>
        <v>Not Available</v>
      </c>
    </row>
    <row r="681">
      <c r="A681" s="124" t="str">
        <f t="shared" si="1"/>
        <v>vaishnabimahata@gmail.com</v>
      </c>
      <c r="B681" s="131">
        <f>IFERROR(__xludf.DUMMYFUNCTION("""COMPUTED_VALUE"""),46050.0)</f>
        <v>46050</v>
      </c>
      <c r="C681" s="124" t="str">
        <f>IFERROR(__xludf.DUMMYFUNCTION("""COMPUTED_VALUE"""),"Payment data from Collexo")</f>
        <v>Payment data from Collexo</v>
      </c>
      <c r="D681" s="124" t="str">
        <f>IFERROR(__xludf.DUMMYFUNCTION("""COMPUTED_VALUE"""),"Not Available")</f>
        <v>Not Available</v>
      </c>
      <c r="E681" s="124">
        <f>IFERROR(__xludf.DUMMYFUNCTION("""COMPUTED_VALUE"""),1500609.0)</f>
        <v>1500609</v>
      </c>
      <c r="F681" s="124" t="str">
        <f>IFERROR(__xludf.DUMMYFUNCTION("""COMPUTED_VALUE"""),"2743_988_7")</f>
        <v>2743_988_7</v>
      </c>
      <c r="G681" s="124">
        <f>IFERROR(__xludf.DUMMYFUNCTION("""COMPUTED_VALUE"""),97000.0)</f>
        <v>97000</v>
      </c>
      <c r="H681" s="124" t="str">
        <f>IFERROR(__xludf.DUMMYFUNCTION("""COMPUTED_VALUE"""),"Not Available")</f>
        <v>Not Available</v>
      </c>
      <c r="I681" s="124">
        <f>IFERROR(__xludf.DUMMYFUNCTION("""COMPUTED_VALUE"""),0.0)</f>
        <v>0</v>
      </c>
      <c r="J681" s="124">
        <f>IFERROR(__xludf.DUMMYFUNCTION("""COMPUTED_VALUE"""),102000.0)</f>
        <v>102000</v>
      </c>
      <c r="K681" s="124">
        <f>IFERROR(__xludf.DUMMYFUNCTION("""COMPUTED_VALUE"""),2.0)</f>
        <v>2</v>
      </c>
      <c r="L681" s="124">
        <f>IFERROR(__xludf.DUMMYFUNCTION("""COMPUTED_VALUE"""),122.0)</f>
        <v>122</v>
      </c>
      <c r="M681" s="124" t="str">
        <f>IFERROR(__xludf.DUMMYFUNCTION("""COMPUTED_VALUE"""),"New Delhi")</f>
        <v>New Delhi</v>
      </c>
      <c r="N681" s="124" t="str">
        <f>IFERROR(__xludf.DUMMYFUNCTION("""COMPUTED_VALUE"""),"vaishnabimahata@gmail.com")</f>
        <v>vaishnabimahata@gmail.com</v>
      </c>
      <c r="O681" s="124" t="str">
        <f>IFERROR(__xludf.DUMMYFUNCTION("""COMPUTED_VALUE"""),"vaishnabi")</f>
        <v>vaishnabi</v>
      </c>
      <c r="P681" s="124">
        <f>IFERROR(__xludf.DUMMYFUNCTION("""COMPUTED_VALUE"""),87967.0)</f>
        <v>87967</v>
      </c>
      <c r="Q681" s="132" t="str">
        <f>IFERROR(__xludf.DUMMYFUNCTION("""COMPUTED_VALUE"""),"https://www.studyiq.com/course-detail/ncert-foundation-hinglish-target-2026-nce-upsc-e01-orn")</f>
        <v>https://www.studyiq.com/course-detail/ncert-foundation-hinglish-target-2026-nce-upsc-e01-orn</v>
      </c>
      <c r="R681" s="124" t="str">
        <f>IFERROR(__xludf.DUMMYFUNCTION("""COMPUTED_VALUE"""),"GS Foundation Course")</f>
        <v>GS Foundation Course</v>
      </c>
      <c r="S681" s="124">
        <f>IFERROR(__xludf.DUMMYFUNCTION("""COMPUTED_VALUE"""),8.101540835E9)</f>
        <v>8101540835</v>
      </c>
      <c r="T681" s="124" t="str">
        <f>IFERROR(__xludf.DUMMYFUNCTION("""COMPUTED_VALUE"""),"Collexo")</f>
        <v>Collexo</v>
      </c>
      <c r="U681" s="124" t="str">
        <f>IFERROR(__xludf.DUMMYFUNCTION("""COMPUTED_VALUE"""),"Success")</f>
        <v>Success</v>
      </c>
      <c r="V681" s="131">
        <f>IFERROR(__xludf.DUMMYFUNCTION("""COMPUTED_VALUE"""),46050.0)</f>
        <v>46050</v>
      </c>
      <c r="W681" s="124">
        <f>IFERROR(__xludf.DUMMYFUNCTION("""COMPUTED_VALUE"""),0.0)</f>
        <v>0</v>
      </c>
    </row>
    <row r="682">
      <c r="A682" s="124" t="str">
        <f t="shared" si="1"/>
        <v>krpiyushmaurya@gmail.com</v>
      </c>
      <c r="B682" s="131">
        <f>IFERROR(__xludf.DUMMYFUNCTION("""COMPUTED_VALUE"""),46100.0)</f>
        <v>46100</v>
      </c>
      <c r="C682" s="124" t="str">
        <f>IFERROR(__xludf.DUMMYFUNCTION("""COMPUTED_VALUE"""),"Payment data from Collexo")</f>
        <v>Payment data from Collexo</v>
      </c>
      <c r="D682" s="124" t="str">
        <f>IFERROR(__xludf.DUMMYFUNCTION("""COMPUTED_VALUE"""),"Not Available")</f>
        <v>Not Available</v>
      </c>
      <c r="E682" s="124">
        <f>IFERROR(__xludf.DUMMYFUNCTION("""COMPUTED_VALUE"""),1500609.0)</f>
        <v>1500609</v>
      </c>
      <c r="F682" s="124" t="str">
        <f>IFERROR(__xludf.DUMMYFUNCTION("""COMPUTED_VALUE"""),"15306_988_7")</f>
        <v>15306_988_7</v>
      </c>
      <c r="G682" s="124">
        <f>IFERROR(__xludf.DUMMYFUNCTION("""COMPUTED_VALUE"""),2000.0)</f>
        <v>2000</v>
      </c>
      <c r="H682" s="131">
        <f>IFERROR(__xludf.DUMMYFUNCTION("""COMPUTED_VALUE"""),46112.0)</f>
        <v>46112</v>
      </c>
      <c r="I682" s="124">
        <f>IFERROR(__xludf.DUMMYFUNCTION("""COMPUTED_VALUE"""),3000.0)</f>
        <v>3000</v>
      </c>
      <c r="J682" s="124">
        <f>IFERROR(__xludf.DUMMYFUNCTION("""COMPUTED_VALUE"""),120000.0)</f>
        <v>120000</v>
      </c>
      <c r="K682" s="124">
        <f>IFERROR(__xludf.DUMMYFUNCTION("""COMPUTED_VALUE"""),3.0)</f>
        <v>3</v>
      </c>
      <c r="L682" s="124">
        <f>IFERROR(__xludf.DUMMYFUNCTION("""COMPUTED_VALUE"""),618.0)</f>
        <v>618</v>
      </c>
      <c r="M682" s="124" t="str">
        <f>IFERROR(__xludf.DUMMYFUNCTION("""COMPUTED_VALUE"""),"New Delhi")</f>
        <v>New Delhi</v>
      </c>
      <c r="N682" s="124" t="str">
        <f>IFERROR(__xludf.DUMMYFUNCTION("""COMPUTED_VALUE"""),"krpiyushmaurya@gmail.com")</f>
        <v>krpiyushmaurya@gmail.com</v>
      </c>
      <c r="O682" s="124" t="str">
        <f>IFERROR(__xludf.DUMMYFUNCTION("""COMPUTED_VALUE"""),"PIYUSH MAURYA")</f>
        <v>PIYUSH MAURYA</v>
      </c>
      <c r="P682" s="124">
        <f>IFERROR(__xludf.DUMMYFUNCTION("""COMPUTED_VALUE"""),120316.0)</f>
        <v>120316</v>
      </c>
      <c r="Q682" s="124" t="str">
        <f>IFERROR(__xludf.DUMMYFUNCTION("""COMPUTED_VALUE"""),"upsc-gs-foundation-hinglish-target-2028-gsf-upsc-m05-orn")</f>
        <v>upsc-gs-foundation-hinglish-target-2028-gsf-upsc-m05-orn</v>
      </c>
      <c r="R682" s="124" t="str">
        <f>IFERROR(__xludf.DUMMYFUNCTION("""COMPUTED_VALUE"""),"GS Foundation Course")</f>
        <v>GS Foundation Course</v>
      </c>
      <c r="S682" s="124">
        <f>IFERROR(__xludf.DUMMYFUNCTION("""COMPUTED_VALUE"""),8.957919936E9)</f>
        <v>8957919936</v>
      </c>
      <c r="T682" s="124" t="str">
        <f>IFERROR(__xludf.DUMMYFUNCTION("""COMPUTED_VALUE"""),"Not Available")</f>
        <v>Not Available</v>
      </c>
      <c r="U682" s="124" t="str">
        <f>IFERROR(__xludf.DUMMYFUNCTION("""COMPUTED_VALUE"""),"Not Available")</f>
        <v>Not Available</v>
      </c>
      <c r="V682" s="124" t="str">
        <f>IFERROR(__xludf.DUMMYFUNCTION("""COMPUTED_VALUE"""),"Not Available")</f>
        <v>Not Available</v>
      </c>
      <c r="W682" s="124" t="str">
        <f>IFERROR(__xludf.DUMMYFUNCTION("""COMPUTED_VALUE"""),"Not Available")</f>
        <v>Not Available</v>
      </c>
    </row>
    <row r="683">
      <c r="A683" s="124" t="str">
        <f t="shared" si="1"/>
        <v>namritasingh1304@gmail.com</v>
      </c>
      <c r="B683" s="131">
        <f>IFERROR(__xludf.DUMMYFUNCTION("""COMPUTED_VALUE"""),46100.0)</f>
        <v>46100</v>
      </c>
      <c r="C683" s="124" t="str">
        <f>IFERROR(__xludf.DUMMYFUNCTION("""COMPUTED_VALUE"""),"Payment data from Collexo")</f>
        <v>Payment data from Collexo</v>
      </c>
      <c r="D683" s="124" t="str">
        <f>IFERROR(__xludf.DUMMYFUNCTION("""COMPUTED_VALUE"""),"Not Available")</f>
        <v>Not Available</v>
      </c>
      <c r="E683" s="124">
        <f>IFERROR(__xludf.DUMMYFUNCTION("""COMPUTED_VALUE"""),1500610.0)</f>
        <v>1500610</v>
      </c>
      <c r="F683" s="124">
        <f>IFERROR(__xludf.DUMMYFUNCTION("""COMPUTED_VALUE"""),127676.0)</f>
        <v>127676</v>
      </c>
      <c r="G683" s="124">
        <f>IFERROR(__xludf.DUMMYFUNCTION("""COMPUTED_VALUE"""),50342.0)</f>
        <v>50342</v>
      </c>
      <c r="H683" s="124" t="str">
        <f>IFERROR(__xludf.DUMMYFUNCTION("""COMPUTED_VALUE"""),"Not Available")</f>
        <v>Not Available</v>
      </c>
      <c r="I683" s="124">
        <f>IFERROR(__xludf.DUMMYFUNCTION("""COMPUTED_VALUE"""),0.0)</f>
        <v>0</v>
      </c>
      <c r="J683" s="124">
        <f>IFERROR(__xludf.DUMMYFUNCTION("""COMPUTED_VALUE"""),60000.0)</f>
        <v>60000</v>
      </c>
      <c r="K683" s="124">
        <f>IFERROR(__xludf.DUMMYFUNCTION("""COMPUTED_VALUE"""),2.0)</f>
        <v>2</v>
      </c>
      <c r="L683" s="124">
        <f>IFERROR(__xludf.DUMMYFUNCTION("""COMPUTED_VALUE"""),628.0)</f>
        <v>628</v>
      </c>
      <c r="M683" s="124" t="str">
        <f>IFERROR(__xludf.DUMMYFUNCTION("""COMPUTED_VALUE"""),"Lucknow")</f>
        <v>Lucknow</v>
      </c>
      <c r="N683" s="124" t="str">
        <f>IFERROR(__xludf.DUMMYFUNCTION("""COMPUTED_VALUE"""),"namritasingh1304@gmail.com")</f>
        <v>namritasingh1304@gmail.com</v>
      </c>
      <c r="O683" s="124" t="str">
        <f>IFERROR(__xludf.DUMMYFUNCTION("""COMPUTED_VALUE"""),"namrita singh")</f>
        <v>namrita singh</v>
      </c>
      <c r="P683" s="124">
        <f>IFERROR(__xludf.DUMMYFUNCTION("""COMPUTED_VALUE"""),127676.0)</f>
        <v>127676</v>
      </c>
      <c r="Q683" s="124" t="str">
        <f>IFERROR(__xludf.DUMMYFUNCTION("""COMPUTED_VALUE"""),"Not Available")</f>
        <v>Not Available</v>
      </c>
      <c r="R683" s="124" t="str">
        <f>IFERROR(__xludf.DUMMYFUNCTION("""COMPUTED_VALUE"""),"GS Foundation Course")</f>
        <v>GS Foundation Course</v>
      </c>
      <c r="S683" s="124">
        <f>IFERROR(__xludf.DUMMYFUNCTION("""COMPUTED_VALUE"""),7.007502891E9)</f>
        <v>7007502891</v>
      </c>
      <c r="T683" s="124" t="str">
        <f>IFERROR(__xludf.DUMMYFUNCTION("""COMPUTED_VALUE"""),"Not Available")</f>
        <v>Not Available</v>
      </c>
      <c r="U683" s="124" t="str">
        <f>IFERROR(__xludf.DUMMYFUNCTION("""COMPUTED_VALUE"""),"Not Available")</f>
        <v>Not Available</v>
      </c>
      <c r="V683" s="124" t="str">
        <f>IFERROR(__xludf.DUMMYFUNCTION("""COMPUTED_VALUE"""),"Not Available")</f>
        <v>Not Available</v>
      </c>
      <c r="W683" s="124" t="str">
        <f>IFERROR(__xludf.DUMMYFUNCTION("""COMPUTED_VALUE"""),"Not Available")</f>
        <v>Not Available</v>
      </c>
    </row>
    <row r="684">
      <c r="A684" s="124" t="str">
        <f t="shared" si="1"/>
        <v>sonamrani98355@gmail.com</v>
      </c>
      <c r="B684" s="131">
        <f>IFERROR(__xludf.DUMMYFUNCTION("""COMPUTED_VALUE"""),46093.0)</f>
        <v>46093</v>
      </c>
      <c r="C684" s="124" t="str">
        <f>IFERROR(__xludf.DUMMYFUNCTION("""COMPUTED_VALUE"""),"Payment data from Collexo")</f>
        <v>Payment data from Collexo</v>
      </c>
      <c r="D684" s="124" t="str">
        <f>IFERROR(__xludf.DUMMYFUNCTION("""COMPUTED_VALUE"""),"Not Available")</f>
        <v>Not Available</v>
      </c>
      <c r="E684" s="124">
        <f>IFERROR(__xludf.DUMMYFUNCTION("""COMPUTED_VALUE"""),1500613.0)</f>
        <v>1500613</v>
      </c>
      <c r="F684" s="124">
        <f>IFERROR(__xludf.DUMMYFUNCTION("""COMPUTED_VALUE"""),127337.0)</f>
        <v>127337</v>
      </c>
      <c r="G684" s="124">
        <f>IFERROR(__xludf.DUMMYFUNCTION("""COMPUTED_VALUE"""),26000.0)</f>
        <v>26000</v>
      </c>
      <c r="H684" s="124" t="str">
        <f>IFERROR(__xludf.DUMMYFUNCTION("""COMPUTED_VALUE"""),"Not Available")</f>
        <v>Not Available</v>
      </c>
      <c r="I684" s="124">
        <f>IFERROR(__xludf.DUMMYFUNCTION("""COMPUTED_VALUE"""),0.0)</f>
        <v>0</v>
      </c>
      <c r="J684" s="124">
        <f>IFERROR(__xludf.DUMMYFUNCTION("""COMPUTED_VALUE"""),40000.0)</f>
        <v>40000</v>
      </c>
      <c r="K684" s="124">
        <f>IFERROR(__xludf.DUMMYFUNCTION("""COMPUTED_VALUE"""),2.0)</f>
        <v>2</v>
      </c>
      <c r="L684" s="124">
        <f>IFERROR(__xludf.DUMMYFUNCTION("""COMPUTED_VALUE"""),509.0)</f>
        <v>509</v>
      </c>
      <c r="M684" s="124" t="str">
        <f>IFERROR(__xludf.DUMMYFUNCTION("""COMPUTED_VALUE"""),"Prayagraj")</f>
        <v>Prayagraj</v>
      </c>
      <c r="N684" s="124" t="str">
        <f>IFERROR(__xludf.DUMMYFUNCTION("""COMPUTED_VALUE"""),"sonamrani98355@gmail.com")</f>
        <v>sonamrani98355@gmail.com</v>
      </c>
      <c r="O684" s="124" t="str">
        <f>IFERROR(__xludf.DUMMYFUNCTION("""COMPUTED_VALUE"""),"Sonam rani")</f>
        <v>Sonam rani</v>
      </c>
      <c r="P684" s="124">
        <f>IFERROR(__xludf.DUMMYFUNCTION("""COMPUTED_VALUE"""),127337.0)</f>
        <v>127337</v>
      </c>
      <c r="Q684" s="124" t="str">
        <f>IFERROR(__xludf.DUMMYFUNCTION("""COMPUTED_VALUE"""),"upsc-gs-foundation-hinglish-target-2027-gsf-upsc-e03-pry")</f>
        <v>upsc-gs-foundation-hinglish-target-2027-gsf-upsc-e03-pry</v>
      </c>
      <c r="R684" s="124" t="str">
        <f>IFERROR(__xludf.DUMMYFUNCTION("""COMPUTED_VALUE"""),"GS Foundation Course")</f>
        <v>GS Foundation Course</v>
      </c>
      <c r="S684" s="124">
        <f>IFERROR(__xludf.DUMMYFUNCTION("""COMPUTED_VALUE"""),8.0841609E9)</f>
        <v>8084160900</v>
      </c>
      <c r="T684" s="124" t="str">
        <f>IFERROR(__xludf.DUMMYFUNCTION("""COMPUTED_VALUE"""),"Not Available")</f>
        <v>Not Available</v>
      </c>
      <c r="U684" s="124" t="str">
        <f>IFERROR(__xludf.DUMMYFUNCTION("""COMPUTED_VALUE"""),"Not Available")</f>
        <v>Not Available</v>
      </c>
      <c r="V684" s="124" t="str">
        <f>IFERROR(__xludf.DUMMYFUNCTION("""COMPUTED_VALUE"""),"Not Available")</f>
        <v>Not Available</v>
      </c>
      <c r="W684" s="124" t="str">
        <f>IFERROR(__xludf.DUMMYFUNCTION("""COMPUTED_VALUE"""),"Not Available")</f>
        <v>Not Available</v>
      </c>
    </row>
    <row r="685">
      <c r="A685" s="124" t="str">
        <f t="shared" si="1"/>
        <v>vaishnabimahata@gmail.com</v>
      </c>
      <c r="B685" s="131">
        <f>IFERROR(__xludf.DUMMYFUNCTION("""COMPUTED_VALUE"""),46045.0)</f>
        <v>46045</v>
      </c>
      <c r="C685" s="124" t="str">
        <f>IFERROR(__xludf.DUMMYFUNCTION("""COMPUTED_VALUE"""),"Payment data from Collexo")</f>
        <v>Payment data from Collexo</v>
      </c>
      <c r="D685" s="124" t="str">
        <f>IFERROR(__xludf.DUMMYFUNCTION("""COMPUTED_VALUE"""),"Not Available")</f>
        <v>Not Available</v>
      </c>
      <c r="E685" s="124">
        <f>IFERROR(__xludf.DUMMYFUNCTION("""COMPUTED_VALUE"""),1500609.0)</f>
        <v>1500609</v>
      </c>
      <c r="F685" s="124" t="str">
        <f>IFERROR(__xludf.DUMMYFUNCTION("""COMPUTED_VALUE"""),"1911_988_7")</f>
        <v>1911_988_7</v>
      </c>
      <c r="G685" s="124">
        <f>IFERROR(__xludf.DUMMYFUNCTION("""COMPUTED_VALUE"""),5000.0)</f>
        <v>5000</v>
      </c>
      <c r="H685" s="131">
        <f>IFERROR(__xludf.DUMMYFUNCTION("""COMPUTED_VALUE"""),46053.0)</f>
        <v>46053</v>
      </c>
      <c r="I685" s="124">
        <f>IFERROR(__xludf.DUMMYFUNCTION("""COMPUTED_VALUE"""),97000.0)</f>
        <v>97000</v>
      </c>
      <c r="J685" s="124">
        <f>IFERROR(__xludf.DUMMYFUNCTION("""COMPUTED_VALUE"""),102000.0)</f>
        <v>102000</v>
      </c>
      <c r="K685" s="124">
        <f>IFERROR(__xludf.DUMMYFUNCTION("""COMPUTED_VALUE"""),2.0)</f>
        <v>2</v>
      </c>
      <c r="L685" s="124">
        <f>IFERROR(__xludf.DUMMYFUNCTION("""COMPUTED_VALUE"""),105.0)</f>
        <v>105</v>
      </c>
      <c r="M685" s="124" t="str">
        <f>IFERROR(__xludf.DUMMYFUNCTION("""COMPUTED_VALUE"""),"New Delhi")</f>
        <v>New Delhi</v>
      </c>
      <c r="N685" s="124" t="str">
        <f>IFERROR(__xludf.DUMMYFUNCTION("""COMPUTED_VALUE"""),"vaishnabimahata@gmail.com")</f>
        <v>vaishnabimahata@gmail.com</v>
      </c>
      <c r="O685" s="124" t="str">
        <f>IFERROR(__xludf.DUMMYFUNCTION("""COMPUTED_VALUE"""),"vaishnabi")</f>
        <v>vaishnabi</v>
      </c>
      <c r="P685" s="124">
        <f>IFERROR(__xludf.DUMMYFUNCTION("""COMPUTED_VALUE"""),87967.0)</f>
        <v>87967</v>
      </c>
      <c r="Q685" s="132" t="str">
        <f>IFERROR(__xludf.DUMMYFUNCTION("""COMPUTED_VALUE"""),"https://www.studyiq.com/course-detail/ncert-foundation-hinglish-target-2026-nce-upsc-e01-orn")</f>
        <v>https://www.studyiq.com/course-detail/ncert-foundation-hinglish-target-2026-nce-upsc-e01-orn</v>
      </c>
      <c r="R685" s="124" t="str">
        <f>IFERROR(__xludf.DUMMYFUNCTION("""COMPUTED_VALUE"""),"GS Foundation Course")</f>
        <v>GS Foundation Course</v>
      </c>
      <c r="S685" s="124">
        <f>IFERROR(__xludf.DUMMYFUNCTION("""COMPUTED_VALUE"""),8.101540835E9)</f>
        <v>8101540835</v>
      </c>
      <c r="T685" s="124" t="str">
        <f>IFERROR(__xludf.DUMMYFUNCTION("""COMPUTED_VALUE"""),"Collexo")</f>
        <v>Collexo</v>
      </c>
      <c r="U685" s="124" t="str">
        <f>IFERROR(__xludf.DUMMYFUNCTION("""COMPUTED_VALUE"""),"Success")</f>
        <v>Success</v>
      </c>
      <c r="V685" s="131">
        <f>IFERROR(__xludf.DUMMYFUNCTION("""COMPUTED_VALUE"""),46045.0)</f>
        <v>46045</v>
      </c>
      <c r="W685" s="124">
        <f>IFERROR(__xludf.DUMMYFUNCTION("""COMPUTED_VALUE"""),0.0)</f>
        <v>0</v>
      </c>
    </row>
    <row r="686">
      <c r="A686" s="124" t="str">
        <f t="shared" si="1"/>
        <v>tripathiakanksha1530@gmail.com</v>
      </c>
      <c r="B686" s="131">
        <f>IFERROR(__xludf.DUMMYFUNCTION("""COMPUTED_VALUE"""),46099.0)</f>
        <v>46099</v>
      </c>
      <c r="C686" s="124" t="str">
        <f>IFERROR(__xludf.DUMMYFUNCTION("""COMPUTED_VALUE"""),"Payment data from Collexo")</f>
        <v>Payment data from Collexo</v>
      </c>
      <c r="D686" s="124" t="str">
        <f>IFERROR(__xludf.DUMMYFUNCTION("""COMPUTED_VALUE"""),"Not Available")</f>
        <v>Not Available</v>
      </c>
      <c r="E686" s="124">
        <f>IFERROR(__xludf.DUMMYFUNCTION("""COMPUTED_VALUE"""),1500610.0)</f>
        <v>1500610</v>
      </c>
      <c r="F686" s="124">
        <f>IFERROR(__xludf.DUMMYFUNCTION("""COMPUTED_VALUE"""),120993.0)</f>
        <v>120993</v>
      </c>
      <c r="G686" s="124">
        <f>IFERROR(__xludf.DUMMYFUNCTION("""COMPUTED_VALUE"""),8231.0)</f>
        <v>8231</v>
      </c>
      <c r="H686" s="131">
        <f>IFERROR(__xludf.DUMMYFUNCTION("""COMPUTED_VALUE"""),46099.0)</f>
        <v>46099</v>
      </c>
      <c r="I686" s="124">
        <f>IFERROR(__xludf.DUMMYFUNCTION("""COMPUTED_VALUE"""),41769.0)</f>
        <v>41769</v>
      </c>
      <c r="J686" s="124">
        <f>IFERROR(__xludf.DUMMYFUNCTION("""COMPUTED_VALUE"""),50000.0)</f>
        <v>50000</v>
      </c>
      <c r="K686" s="124">
        <f>IFERROR(__xludf.DUMMYFUNCTION("""COMPUTED_VALUE"""),2.0)</f>
        <v>2</v>
      </c>
      <c r="L686" s="124">
        <f>IFERROR(__xludf.DUMMYFUNCTION("""COMPUTED_VALUE"""),600.0)</f>
        <v>600</v>
      </c>
      <c r="M686" s="124" t="str">
        <f>IFERROR(__xludf.DUMMYFUNCTION("""COMPUTED_VALUE"""),"Lucknow")</f>
        <v>Lucknow</v>
      </c>
      <c r="N686" s="124" t="str">
        <f>IFERROR(__xludf.DUMMYFUNCTION("""COMPUTED_VALUE"""),"tripathiakanksha1530@gmail.com")</f>
        <v>tripathiakanksha1530@gmail.com</v>
      </c>
      <c r="O686" s="124" t="str">
        <f>IFERROR(__xludf.DUMMYFUNCTION("""COMPUTED_VALUE"""),"Akanksha Tripathi")</f>
        <v>Akanksha Tripathi</v>
      </c>
      <c r="P686" s="124">
        <f>IFERROR(__xludf.DUMMYFUNCTION("""COMPUTED_VALUE"""),120993.0)</f>
        <v>120993</v>
      </c>
      <c r="Q686" s="124" t="str">
        <f>IFERROR(__xludf.DUMMYFUNCTION("""COMPUTED_VALUE"""),"Not Available")</f>
        <v>Not Available</v>
      </c>
      <c r="R686" s="124" t="str">
        <f>IFERROR(__xludf.DUMMYFUNCTION("""COMPUTED_VALUE"""),"GS Foundation Course")</f>
        <v>GS Foundation Course</v>
      </c>
      <c r="S686" s="124">
        <f>IFERROR(__xludf.DUMMYFUNCTION("""COMPUTED_VALUE"""),9.026118306E9)</f>
        <v>9026118306</v>
      </c>
      <c r="T686" s="124" t="str">
        <f>IFERROR(__xludf.DUMMYFUNCTION("""COMPUTED_VALUE"""),"Not Available")</f>
        <v>Not Available</v>
      </c>
      <c r="U686" s="124" t="str">
        <f>IFERROR(__xludf.DUMMYFUNCTION("""COMPUTED_VALUE"""),"Not Available")</f>
        <v>Not Available</v>
      </c>
      <c r="V686" s="124" t="str">
        <f>IFERROR(__xludf.DUMMYFUNCTION("""COMPUTED_VALUE"""),"Not Available")</f>
        <v>Not Available</v>
      </c>
      <c r="W686" s="124" t="str">
        <f>IFERROR(__xludf.DUMMYFUNCTION("""COMPUTED_VALUE"""),"Not Available")</f>
        <v>Not Available</v>
      </c>
    </row>
    <row r="687">
      <c r="A687" s="124" t="str">
        <f t="shared" si="1"/>
        <v>priyasingh28317@gmail.com</v>
      </c>
      <c r="B687" s="131">
        <f>IFERROR(__xludf.DUMMYFUNCTION("""COMPUTED_VALUE"""),46073.0)</f>
        <v>46073</v>
      </c>
      <c r="C687" s="124" t="str">
        <f>IFERROR(__xludf.DUMMYFUNCTION("""COMPUTED_VALUE"""),"Payment data from Collexo")</f>
        <v>Payment data from Collexo</v>
      </c>
      <c r="D687" s="124" t="str">
        <f>IFERROR(__xludf.DUMMYFUNCTION("""COMPUTED_VALUE"""),"Not Available")</f>
        <v>Not Available</v>
      </c>
      <c r="E687" s="124">
        <f>IFERROR(__xludf.DUMMYFUNCTION("""COMPUTED_VALUE"""),1500609.0)</f>
        <v>1500609</v>
      </c>
      <c r="F687" s="124" t="str">
        <f>IFERROR(__xludf.DUMMYFUNCTION("""COMPUTED_VALUE"""),"7086_988_7")</f>
        <v>7086_988_7</v>
      </c>
      <c r="G687" s="124">
        <f>IFERROR(__xludf.DUMMYFUNCTION("""COMPUTED_VALUE"""),5000.0)</f>
        <v>5000</v>
      </c>
      <c r="H687" s="131">
        <f>IFERROR(__xludf.DUMMYFUNCTION("""COMPUTED_VALUE"""),46081.0)</f>
        <v>46081</v>
      </c>
      <c r="I687" s="124">
        <f>IFERROR(__xludf.DUMMYFUNCTION("""COMPUTED_VALUE"""),55000.0)</f>
        <v>55000</v>
      </c>
      <c r="J687" s="124">
        <f>IFERROR(__xludf.DUMMYFUNCTION("""COMPUTED_VALUE"""),60000.0)</f>
        <v>60000</v>
      </c>
      <c r="K687" s="124">
        <f>IFERROR(__xludf.DUMMYFUNCTION("""COMPUTED_VALUE"""),2.0)</f>
        <v>2</v>
      </c>
      <c r="L687" s="124">
        <f>IFERROR(__xludf.DUMMYFUNCTION("""COMPUTED_VALUE"""),277.0)</f>
        <v>277</v>
      </c>
      <c r="M687" s="124" t="str">
        <f>IFERROR(__xludf.DUMMYFUNCTION("""COMPUTED_VALUE"""),"New Delhi")</f>
        <v>New Delhi</v>
      </c>
      <c r="N687" s="124" t="str">
        <f>IFERROR(__xludf.DUMMYFUNCTION("""COMPUTED_VALUE"""),"priyasingh28317@gmail.com")</f>
        <v>priyasingh28317@gmail.com</v>
      </c>
      <c r="O687" s="124" t="str">
        <f>IFERROR(__xludf.DUMMYFUNCTION("""COMPUTED_VALUE"""),"Priya")</f>
        <v>Priya</v>
      </c>
      <c r="P687" s="124">
        <f>IFERROR(__xludf.DUMMYFUNCTION("""COMPUTED_VALUE"""),124180.0)</f>
        <v>124180</v>
      </c>
      <c r="Q687" s="124" t="str">
        <f>IFERROR(__xludf.DUMMYFUNCTION("""COMPUTED_VALUE"""),"upsc-gs-foundation-hinglish-target-2027-gsf-upsc-e04-orn")</f>
        <v>upsc-gs-foundation-hinglish-target-2027-gsf-upsc-e04-orn</v>
      </c>
      <c r="R687" s="124" t="str">
        <f>IFERROR(__xludf.DUMMYFUNCTION("""COMPUTED_VALUE"""),"GS Foundation Course")</f>
        <v>GS Foundation Course</v>
      </c>
      <c r="S687" s="124">
        <f>IFERROR(__xludf.DUMMYFUNCTION("""COMPUTED_VALUE"""),9.693807345E9)</f>
        <v>9693807345</v>
      </c>
      <c r="T687" s="124" t="str">
        <f>IFERROR(__xludf.DUMMYFUNCTION("""COMPUTED_VALUE"""),"Not Available")</f>
        <v>Not Available</v>
      </c>
      <c r="U687" s="124" t="str">
        <f>IFERROR(__xludf.DUMMYFUNCTION("""COMPUTED_VALUE"""),"Not Available")</f>
        <v>Not Available</v>
      </c>
      <c r="V687" s="124" t="str">
        <f>IFERROR(__xludf.DUMMYFUNCTION("""COMPUTED_VALUE"""),"Not Available")</f>
        <v>Not Available</v>
      </c>
      <c r="W687" s="124" t="str">
        <f>IFERROR(__xludf.DUMMYFUNCTION("""COMPUTED_VALUE"""),"Not Available")</f>
        <v>Not Available</v>
      </c>
    </row>
    <row r="688">
      <c r="A688" s="124" t="str">
        <f t="shared" si="1"/>
        <v>abbasnasirsyed73@gmail.com</v>
      </c>
      <c r="B688" s="131">
        <f>IFERROR(__xludf.DUMMYFUNCTION("""COMPUTED_VALUE"""),46083.0)</f>
        <v>46083</v>
      </c>
      <c r="C688" s="124" t="str">
        <f>IFERROR(__xludf.DUMMYFUNCTION("""COMPUTED_VALUE"""),"Payment data from Collexo")</f>
        <v>Payment data from Collexo</v>
      </c>
      <c r="D688" s="124" t="str">
        <f>IFERROR(__xludf.DUMMYFUNCTION("""COMPUTED_VALUE"""),"Not Available")</f>
        <v>Not Available</v>
      </c>
      <c r="E688" s="124">
        <f>IFERROR(__xludf.DUMMYFUNCTION("""COMPUTED_VALUE"""),1500609.0)</f>
        <v>1500609</v>
      </c>
      <c r="F688" s="124" t="str">
        <f>IFERROR(__xludf.DUMMYFUNCTION("""COMPUTED_VALUE"""),"11951_988_7")</f>
        <v>11951_988_7</v>
      </c>
      <c r="G688" s="124">
        <f>IFERROR(__xludf.DUMMYFUNCTION("""COMPUTED_VALUE"""),55000.0)</f>
        <v>55000</v>
      </c>
      <c r="H688" s="131">
        <f>IFERROR(__xludf.DUMMYFUNCTION("""COMPUTED_VALUE"""),46086.0)</f>
        <v>46086</v>
      </c>
      <c r="I688" s="124">
        <f>IFERROR(__xludf.DUMMYFUNCTION("""COMPUTED_VALUE"""),500.0)</f>
        <v>500</v>
      </c>
      <c r="J688" s="124">
        <f>IFERROR(__xludf.DUMMYFUNCTION("""COMPUTED_VALUE"""),125500.0)</f>
        <v>125500</v>
      </c>
      <c r="K688" s="124">
        <f>IFERROR(__xludf.DUMMYFUNCTION("""COMPUTED_VALUE"""),3.0)</f>
        <v>3</v>
      </c>
      <c r="L688" s="124">
        <f>IFERROR(__xludf.DUMMYFUNCTION("""COMPUTED_VALUE"""),406.0)</f>
        <v>406</v>
      </c>
      <c r="M688" s="124" t="str">
        <f>IFERROR(__xludf.DUMMYFUNCTION("""COMPUTED_VALUE"""),"New Delhi")</f>
        <v>New Delhi</v>
      </c>
      <c r="N688" s="124" t="str">
        <f>IFERROR(__xludf.DUMMYFUNCTION("""COMPUTED_VALUE"""),"abbasnasirsyed73@gmail.com")</f>
        <v>abbasnasirsyed73@gmail.com</v>
      </c>
      <c r="O688" s="124" t="str">
        <f>IFERROR(__xludf.DUMMYFUNCTION("""COMPUTED_VALUE"""),"SYED NASIR ABBAS")</f>
        <v>SYED NASIR ABBAS</v>
      </c>
      <c r="P688" s="124">
        <f>IFERROR(__xludf.DUMMYFUNCTION("""COMPUTED_VALUE"""),124659.0)</f>
        <v>124659</v>
      </c>
      <c r="Q688" s="124" t="str">
        <f>IFERROR(__xludf.DUMMYFUNCTION("""COMPUTED_VALUE"""),"upsc-gs-foundation-hinglish-target-2028-gsf-upsc-e05-orn")</f>
        <v>upsc-gs-foundation-hinglish-target-2028-gsf-upsc-e05-orn</v>
      </c>
      <c r="R688" s="124" t="str">
        <f>IFERROR(__xludf.DUMMYFUNCTION("""COMPUTED_VALUE"""),"GS Foundation Course")</f>
        <v>GS Foundation Course</v>
      </c>
      <c r="S688" s="124">
        <f>IFERROR(__xludf.DUMMYFUNCTION("""COMPUTED_VALUE"""),7.838172035E9)</f>
        <v>7838172035</v>
      </c>
      <c r="T688" s="124" t="str">
        <f>IFERROR(__xludf.DUMMYFUNCTION("""COMPUTED_VALUE"""),"Collexo")</f>
        <v>Collexo</v>
      </c>
      <c r="U688" s="124" t="str">
        <f>IFERROR(__xludf.DUMMYFUNCTION("""COMPUTED_VALUE"""),"Success")</f>
        <v>Success</v>
      </c>
      <c r="V688" s="131">
        <f>IFERROR(__xludf.DUMMYFUNCTION("""COMPUTED_VALUE"""),46083.0)</f>
        <v>46083</v>
      </c>
      <c r="W688" s="124">
        <f>IFERROR(__xludf.DUMMYFUNCTION("""COMPUTED_VALUE"""),0.0)</f>
        <v>0</v>
      </c>
    </row>
    <row r="689">
      <c r="A689" s="124" t="str">
        <f t="shared" si="1"/>
        <v>shivam98485@gmail.com</v>
      </c>
      <c r="B689" s="131">
        <f>IFERROR(__xludf.DUMMYFUNCTION("""COMPUTED_VALUE"""),46070.0)</f>
        <v>46070</v>
      </c>
      <c r="C689" s="124" t="str">
        <f>IFERROR(__xludf.DUMMYFUNCTION("""COMPUTED_VALUE"""),"Payment data from Collexo")</f>
        <v>Payment data from Collexo</v>
      </c>
      <c r="D689" s="124" t="str">
        <f>IFERROR(__xludf.DUMMYFUNCTION("""COMPUTED_VALUE"""),"Not Available")</f>
        <v>Not Available</v>
      </c>
      <c r="E689" s="124">
        <f>IFERROR(__xludf.DUMMYFUNCTION("""COMPUTED_VALUE"""),1500613.0)</f>
        <v>1500613</v>
      </c>
      <c r="F689" s="124">
        <f>IFERROR(__xludf.DUMMYFUNCTION("""COMPUTED_VALUE"""),123710.0)</f>
        <v>123710</v>
      </c>
      <c r="G689" s="124">
        <f>IFERROR(__xludf.DUMMYFUNCTION("""COMPUTED_VALUE"""),10000.0)</f>
        <v>10000</v>
      </c>
      <c r="H689" s="131">
        <f>IFERROR(__xludf.DUMMYFUNCTION("""COMPUTED_VALUE"""),46070.0)</f>
        <v>46070</v>
      </c>
      <c r="I689" s="124">
        <f>IFERROR(__xludf.DUMMYFUNCTION("""COMPUTED_VALUE"""),10000.0)</f>
        <v>10000</v>
      </c>
      <c r="J689" s="124">
        <f>IFERROR(__xludf.DUMMYFUNCTION("""COMPUTED_VALUE"""),60000.0)</f>
        <v>60000</v>
      </c>
      <c r="K689" s="124">
        <f>IFERROR(__xludf.DUMMYFUNCTION("""COMPUTED_VALUE"""),5.0)</f>
        <v>5</v>
      </c>
      <c r="L689" s="124">
        <f>IFERROR(__xludf.DUMMYFUNCTION("""COMPUTED_VALUE"""),238.0)</f>
        <v>238</v>
      </c>
      <c r="M689" s="124" t="str">
        <f>IFERROR(__xludf.DUMMYFUNCTION("""COMPUTED_VALUE"""),"Prayagraj")</f>
        <v>Prayagraj</v>
      </c>
      <c r="N689" s="124" t="str">
        <f>IFERROR(__xludf.DUMMYFUNCTION("""COMPUTED_VALUE"""),"shivam98485@gmail.com")</f>
        <v>shivam98485@gmail.com</v>
      </c>
      <c r="O689" s="124" t="str">
        <f>IFERROR(__xludf.DUMMYFUNCTION("""COMPUTED_VALUE"""),"Shivam Kumar")</f>
        <v>Shivam Kumar</v>
      </c>
      <c r="P689" s="124">
        <f>IFERROR(__xludf.DUMMYFUNCTION("""COMPUTED_VALUE"""),123710.0)</f>
        <v>123710</v>
      </c>
      <c r="Q689" s="124" t="str">
        <f>IFERROR(__xludf.DUMMYFUNCTION("""COMPUTED_VALUE"""),"upsc-gs-foundation-hindi-target-2028-gsf-upsc-m02-pry")</f>
        <v>upsc-gs-foundation-hindi-target-2028-gsf-upsc-m02-pry</v>
      </c>
      <c r="R689" s="124" t="str">
        <f>IFERROR(__xludf.DUMMYFUNCTION("""COMPUTED_VALUE"""),"GS Foundation Course")</f>
        <v>GS Foundation Course</v>
      </c>
      <c r="S689" s="124">
        <f>IFERROR(__xludf.DUMMYFUNCTION("""COMPUTED_VALUE"""),9.369688228E9)</f>
        <v>9369688228</v>
      </c>
      <c r="T689" s="124" t="str">
        <f>IFERROR(__xludf.DUMMYFUNCTION("""COMPUTED_VALUE"""),"Not Available")</f>
        <v>Not Available</v>
      </c>
      <c r="U689" s="124" t="str">
        <f>IFERROR(__xludf.DUMMYFUNCTION("""COMPUTED_VALUE"""),"Not Available")</f>
        <v>Not Available</v>
      </c>
      <c r="V689" s="124" t="str">
        <f>IFERROR(__xludf.DUMMYFUNCTION("""COMPUTED_VALUE"""),"Not Available")</f>
        <v>Not Available</v>
      </c>
      <c r="W689" s="124" t="str">
        <f>IFERROR(__xludf.DUMMYFUNCTION("""COMPUTED_VALUE"""),"Not Available")</f>
        <v>Not Available</v>
      </c>
    </row>
    <row r="690">
      <c r="A690" s="124" t="str">
        <f t="shared" si="1"/>
        <v>ishapathak8@gmail.com</v>
      </c>
      <c r="B690" s="131">
        <f>IFERROR(__xludf.DUMMYFUNCTION("""COMPUTED_VALUE"""),46077.0)</f>
        <v>46077</v>
      </c>
      <c r="C690" s="124" t="str">
        <f>IFERROR(__xludf.DUMMYFUNCTION("""COMPUTED_VALUE"""),"Payment data from Collexo")</f>
        <v>Payment data from Collexo</v>
      </c>
      <c r="D690" s="124" t="str">
        <f>IFERROR(__xludf.DUMMYFUNCTION("""COMPUTED_VALUE"""),"Not Available")</f>
        <v>Not Available</v>
      </c>
      <c r="E690" s="124">
        <f>IFERROR(__xludf.DUMMYFUNCTION("""COMPUTED_VALUE"""),1500609.0)</f>
        <v>1500609</v>
      </c>
      <c r="F690" s="124" t="str">
        <f>IFERROR(__xludf.DUMMYFUNCTION("""COMPUTED_VALUE"""),"10613_988_7")</f>
        <v>10613_988_7</v>
      </c>
      <c r="G690" s="124">
        <f>IFERROR(__xludf.DUMMYFUNCTION("""COMPUTED_VALUE"""),5000.0)</f>
        <v>5000</v>
      </c>
      <c r="H690" s="131">
        <f>IFERROR(__xludf.DUMMYFUNCTION("""COMPUTED_VALUE"""),46081.0)</f>
        <v>46081</v>
      </c>
      <c r="I690" s="124">
        <f>IFERROR(__xludf.DUMMYFUNCTION("""COMPUTED_VALUE"""),95000.0)</f>
        <v>95000</v>
      </c>
      <c r="J690" s="124">
        <f>IFERROR(__xludf.DUMMYFUNCTION("""COMPUTED_VALUE"""),100000.0)</f>
        <v>100000</v>
      </c>
      <c r="K690" s="124">
        <f>IFERROR(__xludf.DUMMYFUNCTION("""COMPUTED_VALUE"""),2.0)</f>
        <v>2</v>
      </c>
      <c r="L690" s="124">
        <f>IFERROR(__xludf.DUMMYFUNCTION("""COMPUTED_VALUE"""),326.0)</f>
        <v>326</v>
      </c>
      <c r="M690" s="124" t="str">
        <f>IFERROR(__xludf.DUMMYFUNCTION("""COMPUTED_VALUE"""),"New Delhi")</f>
        <v>New Delhi</v>
      </c>
      <c r="N690" s="124" t="str">
        <f>IFERROR(__xludf.DUMMYFUNCTION("""COMPUTED_VALUE"""),"ishapathak8@gmail.com")</f>
        <v>ishapathak8@gmail.com</v>
      </c>
      <c r="O690" s="124" t="str">
        <f>IFERROR(__xludf.DUMMYFUNCTION("""COMPUTED_VALUE"""),"Isha pathak")</f>
        <v>Isha pathak</v>
      </c>
      <c r="P690" s="124">
        <f>IFERROR(__xludf.DUMMYFUNCTION("""COMPUTED_VALUE"""),124531.0)</f>
        <v>124531</v>
      </c>
      <c r="Q690" s="124" t="str">
        <f>IFERROR(__xludf.DUMMYFUNCTION("""COMPUTED_VALUE"""),"upsc-gs-foundation-hinglish-target-2027-gsf-upsc-e04-orn")</f>
        <v>upsc-gs-foundation-hinglish-target-2027-gsf-upsc-e04-orn</v>
      </c>
      <c r="R690" s="124" t="str">
        <f>IFERROR(__xludf.DUMMYFUNCTION("""COMPUTED_VALUE"""),"GS Foundation Course")</f>
        <v>GS Foundation Course</v>
      </c>
      <c r="S690" s="124">
        <f>IFERROR(__xludf.DUMMYFUNCTION("""COMPUTED_VALUE"""),8.595041975E9)</f>
        <v>8595041975</v>
      </c>
      <c r="T690" s="124" t="str">
        <f>IFERROR(__xludf.DUMMYFUNCTION("""COMPUTED_VALUE"""),"Collexo")</f>
        <v>Collexo</v>
      </c>
      <c r="U690" s="124" t="str">
        <f>IFERROR(__xludf.DUMMYFUNCTION("""COMPUTED_VALUE"""),"Success")</f>
        <v>Success</v>
      </c>
      <c r="V690" s="131">
        <f>IFERROR(__xludf.DUMMYFUNCTION("""COMPUTED_VALUE"""),46077.0)</f>
        <v>46077</v>
      </c>
      <c r="W690" s="124">
        <f>IFERROR(__xludf.DUMMYFUNCTION("""COMPUTED_VALUE"""),0.0)</f>
        <v>0</v>
      </c>
    </row>
    <row r="691">
      <c r="A691" s="124" t="str">
        <f t="shared" si="1"/>
        <v>amanlibro983@gmail.com</v>
      </c>
      <c r="B691" s="131">
        <f>IFERROR(__xludf.DUMMYFUNCTION("""COMPUTED_VALUE"""),46093.0)</f>
        <v>46093</v>
      </c>
      <c r="C691" s="124" t="str">
        <f>IFERROR(__xludf.DUMMYFUNCTION("""COMPUTED_VALUE"""),"Payment data from Collexo")</f>
        <v>Payment data from Collexo</v>
      </c>
      <c r="D691" s="124" t="str">
        <f>IFERROR(__xludf.DUMMYFUNCTION("""COMPUTED_VALUE"""),"Not Available")</f>
        <v>Not Available</v>
      </c>
      <c r="E691" s="124">
        <f>IFERROR(__xludf.DUMMYFUNCTION("""COMPUTED_VALUE"""),1500609.0)</f>
        <v>1500609</v>
      </c>
      <c r="F691" s="124" t="str">
        <f>IFERROR(__xludf.DUMMYFUNCTION("""COMPUTED_VALUE"""),"13879_988_7")</f>
        <v>13879_988_7</v>
      </c>
      <c r="G691" s="124">
        <f>IFERROR(__xludf.DUMMYFUNCTION("""COMPUTED_VALUE"""),33750.0)</f>
        <v>33750</v>
      </c>
      <c r="H691" s="131">
        <f>IFERROR(__xludf.DUMMYFUNCTION("""COMPUTED_VALUE"""),46112.0)</f>
        <v>46112</v>
      </c>
      <c r="I691" s="124">
        <f>IFERROR(__xludf.DUMMYFUNCTION("""COMPUTED_VALUE"""),101250.0)</f>
        <v>101250</v>
      </c>
      <c r="J691" s="124">
        <f>IFERROR(__xludf.DUMMYFUNCTION("""COMPUTED_VALUE"""),135000.0)</f>
        <v>135000</v>
      </c>
      <c r="K691" s="124">
        <f>IFERROR(__xludf.DUMMYFUNCTION("""COMPUTED_VALUE"""),2.0)</f>
        <v>2</v>
      </c>
      <c r="L691" s="124">
        <f>IFERROR(__xludf.DUMMYFUNCTION("""COMPUTED_VALUE"""),516.0)</f>
        <v>516</v>
      </c>
      <c r="M691" s="124" t="str">
        <f>IFERROR(__xludf.DUMMYFUNCTION("""COMPUTED_VALUE"""),"New Delhi")</f>
        <v>New Delhi</v>
      </c>
      <c r="N691" s="124" t="str">
        <f>IFERROR(__xludf.DUMMYFUNCTION("""COMPUTED_VALUE"""),"amanlibro983@gmail.com")</f>
        <v>amanlibro983@gmail.com</v>
      </c>
      <c r="O691" s="124" t="str">
        <f>IFERROR(__xludf.DUMMYFUNCTION("""COMPUTED_VALUE"""),"Aman")</f>
        <v>Aman</v>
      </c>
      <c r="P691" s="124">
        <f>IFERROR(__xludf.DUMMYFUNCTION("""COMPUTED_VALUE"""),119860.0)</f>
        <v>119860</v>
      </c>
      <c r="Q691" s="124" t="str">
        <f>IFERROR(__xludf.DUMMYFUNCTION("""COMPUTED_VALUE"""),"upsc-gs-foundation-hinglish-target-2027-gsf-upsc-m05-orn")</f>
        <v>upsc-gs-foundation-hinglish-target-2027-gsf-upsc-m05-orn</v>
      </c>
      <c r="R691" s="124" t="str">
        <f>IFERROR(__xludf.DUMMYFUNCTION("""COMPUTED_VALUE"""),"GS Foundation Course")</f>
        <v>GS Foundation Course</v>
      </c>
      <c r="S691" s="124">
        <f>IFERROR(__xludf.DUMMYFUNCTION("""COMPUTED_VALUE"""),8.006166067E9)</f>
        <v>8006166067</v>
      </c>
      <c r="T691" s="124" t="str">
        <f>IFERROR(__xludf.DUMMYFUNCTION("""COMPUTED_VALUE"""),"Collexo")</f>
        <v>Collexo</v>
      </c>
      <c r="U691" s="124" t="str">
        <f>IFERROR(__xludf.DUMMYFUNCTION("""COMPUTED_VALUE"""),"Success")</f>
        <v>Success</v>
      </c>
      <c r="V691" s="131">
        <f>IFERROR(__xludf.DUMMYFUNCTION("""COMPUTED_VALUE"""),46093.0)</f>
        <v>46093</v>
      </c>
      <c r="W691" s="124">
        <f>IFERROR(__xludf.DUMMYFUNCTION("""COMPUTED_VALUE"""),0.0)</f>
        <v>0</v>
      </c>
    </row>
    <row r="692">
      <c r="A692" s="124" t="str">
        <f t="shared" si="1"/>
        <v>kumarbindashutosh05@gmail.com</v>
      </c>
      <c r="B692" s="131">
        <f>IFERROR(__xludf.DUMMYFUNCTION("""COMPUTED_VALUE"""),46097.0)</f>
        <v>46097</v>
      </c>
      <c r="C692" s="124" t="str">
        <f>IFERROR(__xludf.DUMMYFUNCTION("""COMPUTED_VALUE"""),"Payment data from Collexo")</f>
        <v>Payment data from Collexo</v>
      </c>
      <c r="D692" s="124" t="str">
        <f>IFERROR(__xludf.DUMMYFUNCTION("""COMPUTED_VALUE"""),"Not Available")</f>
        <v>Not Available</v>
      </c>
      <c r="E692" s="124">
        <f>IFERROR(__xludf.DUMMYFUNCTION("""COMPUTED_VALUE"""),1500613.0)</f>
        <v>1500613</v>
      </c>
      <c r="F692" s="124">
        <f>IFERROR(__xludf.DUMMYFUNCTION("""COMPUTED_VALUE"""),127700.0)</f>
        <v>127700</v>
      </c>
      <c r="G692" s="124">
        <f>IFERROR(__xludf.DUMMYFUNCTION("""COMPUTED_VALUE"""),33500.0)</f>
        <v>33500</v>
      </c>
      <c r="H692" s="124" t="str">
        <f>IFERROR(__xludf.DUMMYFUNCTION("""COMPUTED_VALUE"""),"Not Available")</f>
        <v>Not Available</v>
      </c>
      <c r="I692" s="124">
        <f>IFERROR(__xludf.DUMMYFUNCTION("""COMPUTED_VALUE"""),0.0)</f>
        <v>0</v>
      </c>
      <c r="J692" s="124">
        <f>IFERROR(__xludf.DUMMYFUNCTION("""COMPUTED_VALUE"""),35000.0)</f>
        <v>35000</v>
      </c>
      <c r="K692" s="124">
        <f>IFERROR(__xludf.DUMMYFUNCTION("""COMPUTED_VALUE"""),2.0)</f>
        <v>2</v>
      </c>
      <c r="L692" s="124">
        <f>IFERROR(__xludf.DUMMYFUNCTION("""COMPUTED_VALUE"""),565.0)</f>
        <v>565</v>
      </c>
      <c r="M692" s="124" t="str">
        <f>IFERROR(__xludf.DUMMYFUNCTION("""COMPUTED_VALUE"""),"Prayagraj")</f>
        <v>Prayagraj</v>
      </c>
      <c r="N692" s="124" t="str">
        <f>IFERROR(__xludf.DUMMYFUNCTION("""COMPUTED_VALUE"""),"kumarbindashutosh05@gmail.com")</f>
        <v>kumarbindashutosh05@gmail.com</v>
      </c>
      <c r="O692" s="124" t="str">
        <f>IFERROR(__xludf.DUMMYFUNCTION("""COMPUTED_VALUE"""),"Ashutosh Kumar")</f>
        <v>Ashutosh Kumar</v>
      </c>
      <c r="P692" s="124">
        <f>IFERROR(__xludf.DUMMYFUNCTION("""COMPUTED_VALUE"""),127700.0)</f>
        <v>127700</v>
      </c>
      <c r="Q692" s="124" t="str">
        <f>IFERROR(__xludf.DUMMYFUNCTION("""COMPUTED_VALUE"""),"upsc-gs-foundation-hindi-target-2027-gsf-upsc-m02-pry")</f>
        <v>upsc-gs-foundation-hindi-target-2027-gsf-upsc-m02-pry</v>
      </c>
      <c r="R692" s="124" t="str">
        <f>IFERROR(__xludf.DUMMYFUNCTION("""COMPUTED_VALUE"""),"GS Foundation Course")</f>
        <v>GS Foundation Course</v>
      </c>
      <c r="S692" s="124">
        <f>IFERROR(__xludf.DUMMYFUNCTION("""COMPUTED_VALUE"""),7.080849027E9)</f>
        <v>7080849027</v>
      </c>
      <c r="T692" s="124" t="str">
        <f>IFERROR(__xludf.DUMMYFUNCTION("""COMPUTED_VALUE"""),"Not Available")</f>
        <v>Not Available</v>
      </c>
      <c r="U692" s="124" t="str">
        <f>IFERROR(__xludf.DUMMYFUNCTION("""COMPUTED_VALUE"""),"Not Available")</f>
        <v>Not Available</v>
      </c>
      <c r="V692" s="124" t="str">
        <f>IFERROR(__xludf.DUMMYFUNCTION("""COMPUTED_VALUE"""),"Not Available")</f>
        <v>Not Available</v>
      </c>
      <c r="W692" s="124" t="str">
        <f>IFERROR(__xludf.DUMMYFUNCTION("""COMPUTED_VALUE"""),"Not Available")</f>
        <v>Not Available</v>
      </c>
    </row>
    <row r="693">
      <c r="A693" s="124" t="str">
        <f t="shared" si="1"/>
        <v>gyanu14315052002@gmail.com</v>
      </c>
      <c r="B693" s="131">
        <f>IFERROR(__xludf.DUMMYFUNCTION("""COMPUTED_VALUE"""),46111.0)</f>
        <v>46111</v>
      </c>
      <c r="C693" s="124" t="str">
        <f>IFERROR(__xludf.DUMMYFUNCTION("""COMPUTED_VALUE"""),"Payment data from Collexo")</f>
        <v>Payment data from Collexo</v>
      </c>
      <c r="D693" s="124" t="str">
        <f>IFERROR(__xludf.DUMMYFUNCTION("""COMPUTED_VALUE"""),"Not Available")</f>
        <v>Not Available</v>
      </c>
      <c r="E693" s="124">
        <f>IFERROR(__xludf.DUMMYFUNCTION("""COMPUTED_VALUE"""),1500609.0)</f>
        <v>1500609</v>
      </c>
      <c r="F693" s="124" t="str">
        <f>IFERROR(__xludf.DUMMYFUNCTION("""COMPUTED_VALUE"""),"17459_988_7")</f>
        <v>17459_988_7</v>
      </c>
      <c r="G693" s="124">
        <f>IFERROR(__xludf.DUMMYFUNCTION("""COMPUTED_VALUE"""),1.0)</f>
        <v>1</v>
      </c>
      <c r="H693" s="124" t="str">
        <f>IFERROR(__xludf.DUMMYFUNCTION("""COMPUTED_VALUE"""),"Not Available")</f>
        <v>Not Available</v>
      </c>
      <c r="I693" s="124">
        <f>IFERROR(__xludf.DUMMYFUNCTION("""COMPUTED_VALUE"""),0.0)</f>
        <v>0</v>
      </c>
      <c r="J693" s="124">
        <f>IFERROR(__xludf.DUMMYFUNCTION("""COMPUTED_VALUE"""),1.0)</f>
        <v>1</v>
      </c>
      <c r="K693" s="124">
        <f>IFERROR(__xludf.DUMMYFUNCTION("""COMPUTED_VALUE"""),1.0)</f>
        <v>1</v>
      </c>
      <c r="L693" s="124">
        <f>IFERROR(__xludf.DUMMYFUNCTION("""COMPUTED_VALUE"""),839.0)</f>
        <v>839</v>
      </c>
      <c r="M693" s="124" t="str">
        <f>IFERROR(__xludf.DUMMYFUNCTION("""COMPUTED_VALUE"""),"New Delhi")</f>
        <v>New Delhi</v>
      </c>
      <c r="N693" s="124" t="str">
        <f>IFERROR(__xludf.DUMMYFUNCTION("""COMPUTED_VALUE"""),"gyanu14315052002@gmail.com")</f>
        <v>gyanu14315052002@gmail.com</v>
      </c>
      <c r="O693" s="124" t="str">
        <f>IFERROR(__xludf.DUMMYFUNCTION("""COMPUTED_VALUE"""),"Gyanendra chaubey")</f>
        <v>Gyanendra chaubey</v>
      </c>
      <c r="P693" s="124">
        <f>IFERROR(__xludf.DUMMYFUNCTION("""COMPUTED_VALUE"""),130039.0)</f>
        <v>130039</v>
      </c>
      <c r="Q693" s="124" t="str">
        <f>IFERROR(__xludf.DUMMYFUNCTION("""COMPUTED_VALUE"""),"upsc-gs-foundation-hinglish-target-2027-gsf-upsc-m04-orn")</f>
        <v>upsc-gs-foundation-hinglish-target-2027-gsf-upsc-m04-orn</v>
      </c>
      <c r="R693" s="124" t="str">
        <f>IFERROR(__xludf.DUMMYFUNCTION("""COMPUTED_VALUE"""),"GS Foundation Course")</f>
        <v>GS Foundation Course</v>
      </c>
      <c r="S693" s="124">
        <f>IFERROR(__xludf.DUMMYFUNCTION("""COMPUTED_VALUE"""),9.92317054E9)</f>
        <v>9923170540</v>
      </c>
      <c r="T693" s="124" t="str">
        <f>IFERROR(__xludf.DUMMYFUNCTION("""COMPUTED_VALUE"""),"Not Available")</f>
        <v>Not Available</v>
      </c>
      <c r="U693" s="124" t="str">
        <f>IFERROR(__xludf.DUMMYFUNCTION("""COMPUTED_VALUE"""),"Not Available")</f>
        <v>Not Available</v>
      </c>
      <c r="V693" s="124" t="str">
        <f>IFERROR(__xludf.DUMMYFUNCTION("""COMPUTED_VALUE"""),"Not Available")</f>
        <v>Not Available</v>
      </c>
      <c r="W693" s="124" t="str">
        <f>IFERROR(__xludf.DUMMYFUNCTION("""COMPUTED_VALUE"""),"Not Available")</f>
        <v>Not Available</v>
      </c>
    </row>
    <row r="694">
      <c r="A694" s="124" t="str">
        <f t="shared" si="1"/>
        <v>abbasnasirsyed73@gmail.com</v>
      </c>
      <c r="B694" s="131">
        <f>IFERROR(__xludf.DUMMYFUNCTION("""COMPUTED_VALUE"""),46083.0)</f>
        <v>46083</v>
      </c>
      <c r="C694" s="124" t="str">
        <f>IFERROR(__xludf.DUMMYFUNCTION("""COMPUTED_VALUE"""),"Payment data from Collexo")</f>
        <v>Payment data from Collexo</v>
      </c>
      <c r="D694" s="124" t="str">
        <f>IFERROR(__xludf.DUMMYFUNCTION("""COMPUTED_VALUE"""),"Not Available")</f>
        <v>Not Available</v>
      </c>
      <c r="E694" s="124">
        <f>IFERROR(__xludf.DUMMYFUNCTION("""COMPUTED_VALUE"""),1500609.0)</f>
        <v>1500609</v>
      </c>
      <c r="F694" s="124" t="str">
        <f>IFERROR(__xludf.DUMMYFUNCTION("""COMPUTED_VALUE"""),"11954_988_7")</f>
        <v>11954_988_7</v>
      </c>
      <c r="G694" s="124">
        <f>IFERROR(__xludf.DUMMYFUNCTION("""COMPUTED_VALUE"""),500.0)</f>
        <v>500</v>
      </c>
      <c r="H694" s="124" t="str">
        <f>IFERROR(__xludf.DUMMYFUNCTION("""COMPUTED_VALUE"""),"Not Available")</f>
        <v>Not Available</v>
      </c>
      <c r="I694" s="124">
        <f>IFERROR(__xludf.DUMMYFUNCTION("""COMPUTED_VALUE"""),0.0)</f>
        <v>0</v>
      </c>
      <c r="J694" s="124">
        <f>IFERROR(__xludf.DUMMYFUNCTION("""COMPUTED_VALUE"""),125500.0)</f>
        <v>125500</v>
      </c>
      <c r="K694" s="124">
        <f>IFERROR(__xludf.DUMMYFUNCTION("""COMPUTED_VALUE"""),3.0)</f>
        <v>3</v>
      </c>
      <c r="L694" s="124">
        <f>IFERROR(__xludf.DUMMYFUNCTION("""COMPUTED_VALUE"""),407.0)</f>
        <v>407</v>
      </c>
      <c r="M694" s="124" t="str">
        <f>IFERROR(__xludf.DUMMYFUNCTION("""COMPUTED_VALUE"""),"New Delhi")</f>
        <v>New Delhi</v>
      </c>
      <c r="N694" s="124" t="str">
        <f>IFERROR(__xludf.DUMMYFUNCTION("""COMPUTED_VALUE"""),"abbasnasirsyed73@gmail.com")</f>
        <v>abbasnasirsyed73@gmail.com</v>
      </c>
      <c r="O694" s="124" t="str">
        <f>IFERROR(__xludf.DUMMYFUNCTION("""COMPUTED_VALUE"""),"SYED NASIR ABBAS")</f>
        <v>SYED NASIR ABBAS</v>
      </c>
      <c r="P694" s="124">
        <f>IFERROR(__xludf.DUMMYFUNCTION("""COMPUTED_VALUE"""),124659.0)</f>
        <v>124659</v>
      </c>
      <c r="Q694" s="124" t="str">
        <f>IFERROR(__xludf.DUMMYFUNCTION("""COMPUTED_VALUE"""),"upsc-gs-foundation-hinglish-target-2028-gsf-upsc-e05-orn")</f>
        <v>upsc-gs-foundation-hinglish-target-2028-gsf-upsc-e05-orn</v>
      </c>
      <c r="R694" s="124" t="str">
        <f>IFERROR(__xludf.DUMMYFUNCTION("""COMPUTED_VALUE"""),"GS Foundation Course")</f>
        <v>GS Foundation Course</v>
      </c>
      <c r="S694" s="124">
        <f>IFERROR(__xludf.DUMMYFUNCTION("""COMPUTED_VALUE"""),7.838172035E9)</f>
        <v>7838172035</v>
      </c>
      <c r="T694" s="124" t="str">
        <f>IFERROR(__xludf.DUMMYFUNCTION("""COMPUTED_VALUE"""),"Collexo")</f>
        <v>Collexo</v>
      </c>
      <c r="U694" s="124" t="str">
        <f>IFERROR(__xludf.DUMMYFUNCTION("""COMPUTED_VALUE"""),"Success")</f>
        <v>Success</v>
      </c>
      <c r="V694" s="131">
        <f>IFERROR(__xludf.DUMMYFUNCTION("""COMPUTED_VALUE"""),46083.0)</f>
        <v>46083</v>
      </c>
      <c r="W694" s="124">
        <f>IFERROR(__xludf.DUMMYFUNCTION("""COMPUTED_VALUE"""),0.0)</f>
        <v>0</v>
      </c>
    </row>
    <row r="695">
      <c r="A695" s="124" t="str">
        <f t="shared" si="1"/>
        <v>Pranshustp041@gmail.com</v>
      </c>
      <c r="B695" s="131">
        <f>IFERROR(__xludf.DUMMYFUNCTION("""COMPUTED_VALUE"""),46101.0)</f>
        <v>46101</v>
      </c>
      <c r="C695" s="124" t="str">
        <f>IFERROR(__xludf.DUMMYFUNCTION("""COMPUTED_VALUE"""),"Payment data from Collexo")</f>
        <v>Payment data from Collexo</v>
      </c>
      <c r="D695" s="124" t="str">
        <f>IFERROR(__xludf.DUMMYFUNCTION("""COMPUTED_VALUE"""),"Not Available")</f>
        <v>Not Available</v>
      </c>
      <c r="E695" s="124">
        <f>IFERROR(__xludf.DUMMYFUNCTION("""COMPUTED_VALUE"""),1500610.0)</f>
        <v>1500610</v>
      </c>
      <c r="F695" s="124">
        <f>IFERROR(__xludf.DUMMYFUNCTION("""COMPUTED_VALUE"""),64847.0)</f>
        <v>64847</v>
      </c>
      <c r="G695" s="124">
        <f>IFERROR(__xludf.DUMMYFUNCTION("""COMPUTED_VALUE"""),15000.0)</f>
        <v>15000</v>
      </c>
      <c r="H695" s="131">
        <f>IFERROR(__xludf.DUMMYFUNCTION("""COMPUTED_VALUE"""),46142.0)</f>
        <v>46142</v>
      </c>
      <c r="I695" s="124">
        <f>IFERROR(__xludf.DUMMYFUNCTION("""COMPUTED_VALUE"""),10000.0)</f>
        <v>10000</v>
      </c>
      <c r="J695" s="124">
        <f>IFERROR(__xludf.DUMMYFUNCTION("""COMPUTED_VALUE"""),25000.0)</f>
        <v>25000</v>
      </c>
      <c r="K695" s="124">
        <f>IFERROR(__xludf.DUMMYFUNCTION("""COMPUTED_VALUE"""),2.0)</f>
        <v>2</v>
      </c>
      <c r="L695" s="124">
        <f>IFERROR(__xludf.DUMMYFUNCTION("""COMPUTED_VALUE"""),653.0)</f>
        <v>653</v>
      </c>
      <c r="M695" s="124" t="str">
        <f>IFERROR(__xludf.DUMMYFUNCTION("""COMPUTED_VALUE"""),"Lucknow")</f>
        <v>Lucknow</v>
      </c>
      <c r="N695" s="124" t="str">
        <f>IFERROR(__xludf.DUMMYFUNCTION("""COMPUTED_VALUE"""),"Pranshustp041@gmail.com")</f>
        <v>Pranshustp041@gmail.com</v>
      </c>
      <c r="O695" s="124" t="str">
        <f>IFERROR(__xludf.DUMMYFUNCTION("""COMPUTED_VALUE"""),"Pranshu Chaturved")</f>
        <v>Pranshu Chaturved</v>
      </c>
      <c r="P695" s="124">
        <f>IFERROR(__xludf.DUMMYFUNCTION("""COMPUTED_VALUE"""),64847.0)</f>
        <v>64847</v>
      </c>
      <c r="Q695" s="124" t="str">
        <f>IFERROR(__xludf.DUMMYFUNCTION("""COMPUTED_VALUE"""),"Not Available")</f>
        <v>Not Available</v>
      </c>
      <c r="R695" s="124" t="str">
        <f>IFERROR(__xludf.DUMMYFUNCTION("""COMPUTED_VALUE"""),"GS Foundation Course")</f>
        <v>GS Foundation Course</v>
      </c>
      <c r="S695" s="124">
        <f>IFERROR(__xludf.DUMMYFUNCTION("""COMPUTED_VALUE"""),8.739055507E9)</f>
        <v>8739055507</v>
      </c>
      <c r="T695" s="124" t="str">
        <f>IFERROR(__xludf.DUMMYFUNCTION("""COMPUTED_VALUE"""),"Not Available")</f>
        <v>Not Available</v>
      </c>
      <c r="U695" s="124" t="str">
        <f>IFERROR(__xludf.DUMMYFUNCTION("""COMPUTED_VALUE"""),"Not Available")</f>
        <v>Not Available</v>
      </c>
      <c r="V695" s="124" t="str">
        <f>IFERROR(__xludf.DUMMYFUNCTION("""COMPUTED_VALUE"""),"Not Available")</f>
        <v>Not Available</v>
      </c>
      <c r="W695" s="124" t="str">
        <f>IFERROR(__xludf.DUMMYFUNCTION("""COMPUTED_VALUE"""),"Not Available")</f>
        <v>Not Available</v>
      </c>
    </row>
    <row r="696">
      <c r="A696" s="124" t="str">
        <f t="shared" si="1"/>
        <v>Saimamasoodalam@gmail.com</v>
      </c>
      <c r="B696" s="131">
        <f>IFERROR(__xludf.DUMMYFUNCTION("""COMPUTED_VALUE"""),46112.0)</f>
        <v>46112</v>
      </c>
      <c r="C696" s="124" t="str">
        <f>IFERROR(__xludf.DUMMYFUNCTION("""COMPUTED_VALUE"""),"Payment data from Collexo")</f>
        <v>Payment data from Collexo</v>
      </c>
      <c r="D696" s="124" t="str">
        <f>IFERROR(__xludf.DUMMYFUNCTION("""COMPUTED_VALUE"""),"Not Available")</f>
        <v>Not Available</v>
      </c>
      <c r="E696" s="124">
        <f>IFERROR(__xludf.DUMMYFUNCTION("""COMPUTED_VALUE"""),1500610.0)</f>
        <v>1500610</v>
      </c>
      <c r="F696" s="124">
        <f>IFERROR(__xludf.DUMMYFUNCTION("""COMPUTED_VALUE"""),140320.0)</f>
        <v>140320</v>
      </c>
      <c r="G696" s="124">
        <f>IFERROR(__xludf.DUMMYFUNCTION("""COMPUTED_VALUE"""),10000.0)</f>
        <v>10000</v>
      </c>
      <c r="H696" s="131">
        <f>IFERROR(__xludf.DUMMYFUNCTION("""COMPUTED_VALUE"""),46112.0)</f>
        <v>46112</v>
      </c>
      <c r="I696" s="124">
        <f>IFERROR(__xludf.DUMMYFUNCTION("""COMPUTED_VALUE"""),15000.0)</f>
        <v>15000</v>
      </c>
      <c r="J696" s="124">
        <f>IFERROR(__xludf.DUMMYFUNCTION("""COMPUTED_VALUE"""),25000.0)</f>
        <v>25000</v>
      </c>
      <c r="K696" s="124">
        <f>IFERROR(__xludf.DUMMYFUNCTION("""COMPUTED_VALUE"""),2.0)</f>
        <v>2</v>
      </c>
      <c r="L696" s="124">
        <f>IFERROR(__xludf.DUMMYFUNCTION("""COMPUTED_VALUE"""),856.0)</f>
        <v>856</v>
      </c>
      <c r="M696" s="124" t="str">
        <f>IFERROR(__xludf.DUMMYFUNCTION("""COMPUTED_VALUE"""),"Lucknow")</f>
        <v>Lucknow</v>
      </c>
      <c r="N696" s="124" t="str">
        <f>IFERROR(__xludf.DUMMYFUNCTION("""COMPUTED_VALUE"""),"Saimamasoodalam@gmail.com")</f>
        <v>Saimamasoodalam@gmail.com</v>
      </c>
      <c r="O696" s="124" t="str">
        <f>IFERROR(__xludf.DUMMYFUNCTION("""COMPUTED_VALUE"""),"Saima masood")</f>
        <v>Saima masood</v>
      </c>
      <c r="P696" s="124">
        <f>IFERROR(__xludf.DUMMYFUNCTION("""COMPUTED_VALUE"""),140320.0)</f>
        <v>140320</v>
      </c>
      <c r="Q696" s="124" t="str">
        <f>IFERROR(__xludf.DUMMYFUNCTION("""COMPUTED_VALUE"""),"Not Available")</f>
        <v>Not Available</v>
      </c>
      <c r="R696" s="124" t="str">
        <f>IFERROR(__xludf.DUMMYFUNCTION("""COMPUTED_VALUE"""),"GS Foundation Course")</f>
        <v>GS Foundation Course</v>
      </c>
      <c r="S696" s="124">
        <f>IFERROR(__xludf.DUMMYFUNCTION("""COMPUTED_VALUE"""),7.860486236E9)</f>
        <v>7860486236</v>
      </c>
      <c r="T696" s="124" t="str">
        <f>IFERROR(__xludf.DUMMYFUNCTION("""COMPUTED_VALUE"""),"Not Available")</f>
        <v>Not Available</v>
      </c>
      <c r="U696" s="124" t="str">
        <f>IFERROR(__xludf.DUMMYFUNCTION("""COMPUTED_VALUE"""),"Not Available")</f>
        <v>Not Available</v>
      </c>
      <c r="V696" s="124" t="str">
        <f>IFERROR(__xludf.DUMMYFUNCTION("""COMPUTED_VALUE"""),"Not Available")</f>
        <v>Not Available</v>
      </c>
      <c r="W696" s="124" t="str">
        <f>IFERROR(__xludf.DUMMYFUNCTION("""COMPUTED_VALUE"""),"Not Available")</f>
        <v>Not Available</v>
      </c>
    </row>
    <row r="697">
      <c r="A697" s="124" t="str">
        <f t="shared" si="1"/>
        <v>jainkanchi678@gmail.com</v>
      </c>
      <c r="B697" s="131">
        <f>IFERROR(__xludf.DUMMYFUNCTION("""COMPUTED_VALUE"""),46097.0)</f>
        <v>46097</v>
      </c>
      <c r="C697" s="124" t="str">
        <f>IFERROR(__xludf.DUMMYFUNCTION("""COMPUTED_VALUE"""),"Payment data from Collexo")</f>
        <v>Payment data from Collexo</v>
      </c>
      <c r="D697" s="124" t="str">
        <f>IFERROR(__xludf.DUMMYFUNCTION("""COMPUTED_VALUE"""),"Not Available")</f>
        <v>Not Available</v>
      </c>
      <c r="E697" s="124">
        <f>IFERROR(__xludf.DUMMYFUNCTION("""COMPUTED_VALUE"""),1500612.0)</f>
        <v>1500612</v>
      </c>
      <c r="F697" s="124">
        <f>IFERROR(__xludf.DUMMYFUNCTION("""COMPUTED_VALUE"""),128133.0)</f>
        <v>128133</v>
      </c>
      <c r="G697" s="124">
        <f>IFERROR(__xludf.DUMMYFUNCTION("""COMPUTED_VALUE"""),1000.0)</f>
        <v>1000</v>
      </c>
      <c r="H697" s="131">
        <f>IFERROR(__xludf.DUMMYFUNCTION("""COMPUTED_VALUE"""),46112.0)</f>
        <v>46112</v>
      </c>
      <c r="I697" s="124">
        <f>IFERROR(__xludf.DUMMYFUNCTION("""COMPUTED_VALUE"""),89000.0)</f>
        <v>89000</v>
      </c>
      <c r="J697" s="124">
        <f>IFERROR(__xludf.DUMMYFUNCTION("""COMPUTED_VALUE"""),90000.0)</f>
        <v>90000</v>
      </c>
      <c r="K697" s="124">
        <f>IFERROR(__xludf.DUMMYFUNCTION("""COMPUTED_VALUE"""),2.0)</f>
        <v>2</v>
      </c>
      <c r="L697" s="124">
        <f>IFERROR(__xludf.DUMMYFUNCTION("""COMPUTED_VALUE"""),571.0)</f>
        <v>571</v>
      </c>
      <c r="M697" s="124" t="str">
        <f>IFERROR(__xludf.DUMMYFUNCTION("""COMPUTED_VALUE"""),"Indore")</f>
        <v>Indore</v>
      </c>
      <c r="N697" s="124" t="str">
        <f>IFERROR(__xludf.DUMMYFUNCTION("""COMPUTED_VALUE"""),"jainkanchi678@gmail.com")</f>
        <v>jainkanchi678@gmail.com</v>
      </c>
      <c r="O697" s="124" t="str">
        <f>IFERROR(__xludf.DUMMYFUNCTION("""COMPUTED_VALUE"""),"Kanchi jain")</f>
        <v>Kanchi jain</v>
      </c>
      <c r="P697" s="124">
        <f>IFERROR(__xludf.DUMMYFUNCTION("""COMPUTED_VALUE"""),128133.0)</f>
        <v>128133</v>
      </c>
      <c r="Q697" s="124" t="str">
        <f>IFERROR(__xludf.DUMMYFUNCTION("""COMPUTED_VALUE"""),"upsc-gs-foundation-hinglish-target-2028-gsf-upsc-m03-ind")</f>
        <v>upsc-gs-foundation-hinglish-target-2028-gsf-upsc-m03-ind</v>
      </c>
      <c r="R697" s="124" t="str">
        <f>IFERROR(__xludf.DUMMYFUNCTION("""COMPUTED_VALUE"""),"GS Foundation Course")</f>
        <v>GS Foundation Course</v>
      </c>
      <c r="S697" s="124">
        <f>IFERROR(__xludf.DUMMYFUNCTION("""COMPUTED_VALUE"""),8.109610665E9)</f>
        <v>8109610665</v>
      </c>
      <c r="T697" s="124" t="str">
        <f>IFERROR(__xludf.DUMMYFUNCTION("""COMPUTED_VALUE"""),"Not Available")</f>
        <v>Not Available</v>
      </c>
      <c r="U697" s="124" t="str">
        <f>IFERROR(__xludf.DUMMYFUNCTION("""COMPUTED_VALUE"""),"Not Available")</f>
        <v>Not Available</v>
      </c>
      <c r="V697" s="124" t="str">
        <f>IFERROR(__xludf.DUMMYFUNCTION("""COMPUTED_VALUE"""),"Not Available")</f>
        <v>Not Available</v>
      </c>
      <c r="W697" s="124" t="str">
        <f>IFERROR(__xludf.DUMMYFUNCTION("""COMPUTED_VALUE"""),"Not Available")</f>
        <v>Not Available</v>
      </c>
    </row>
    <row r="698">
      <c r="A698" s="124" t="str">
        <f t="shared" si="1"/>
        <v>shivam98485@gmail.com</v>
      </c>
      <c r="B698" s="131">
        <f>IFERROR(__xludf.DUMMYFUNCTION("""COMPUTED_VALUE"""),46112.0)</f>
        <v>46112</v>
      </c>
      <c r="C698" s="124" t="str">
        <f>IFERROR(__xludf.DUMMYFUNCTION("""COMPUTED_VALUE"""),"Payment data from Collexo")</f>
        <v>Payment data from Collexo</v>
      </c>
      <c r="D698" s="124" t="str">
        <f>IFERROR(__xludf.DUMMYFUNCTION("""COMPUTED_VALUE"""),"Not Available")</f>
        <v>Not Available</v>
      </c>
      <c r="E698" s="124">
        <f>IFERROR(__xludf.DUMMYFUNCTION("""COMPUTED_VALUE"""),1500613.0)</f>
        <v>1500613</v>
      </c>
      <c r="F698" s="124">
        <f>IFERROR(__xludf.DUMMYFUNCTION("""COMPUTED_VALUE"""),123710.0)</f>
        <v>123710</v>
      </c>
      <c r="G698" s="124">
        <f>IFERROR(__xludf.DUMMYFUNCTION("""COMPUTED_VALUE"""),25000.0)</f>
        <v>25000</v>
      </c>
      <c r="H698" s="124" t="str">
        <f>IFERROR(__xludf.DUMMYFUNCTION("""COMPUTED_VALUE"""),"Not Available")</f>
        <v>Not Available</v>
      </c>
      <c r="I698" s="124">
        <f>IFERROR(__xludf.DUMMYFUNCTION("""COMPUTED_VALUE"""),0.0)</f>
        <v>0</v>
      </c>
      <c r="J698" s="124">
        <f>IFERROR(__xludf.DUMMYFUNCTION("""COMPUTED_VALUE"""),60000.0)</f>
        <v>60000</v>
      </c>
      <c r="K698" s="124">
        <f>IFERROR(__xludf.DUMMYFUNCTION("""COMPUTED_VALUE"""),5.0)</f>
        <v>5</v>
      </c>
      <c r="L698" s="124">
        <f>IFERROR(__xludf.DUMMYFUNCTION("""COMPUTED_VALUE"""),866.0)</f>
        <v>866</v>
      </c>
      <c r="M698" s="124" t="str">
        <f>IFERROR(__xludf.DUMMYFUNCTION("""COMPUTED_VALUE"""),"Prayagraj")</f>
        <v>Prayagraj</v>
      </c>
      <c r="N698" s="124" t="str">
        <f>IFERROR(__xludf.DUMMYFUNCTION("""COMPUTED_VALUE"""),"shivam98485@gmail.com")</f>
        <v>shivam98485@gmail.com</v>
      </c>
      <c r="O698" s="124" t="str">
        <f>IFERROR(__xludf.DUMMYFUNCTION("""COMPUTED_VALUE"""),"Shivam Kumar")</f>
        <v>Shivam Kumar</v>
      </c>
      <c r="P698" s="124">
        <f>IFERROR(__xludf.DUMMYFUNCTION("""COMPUTED_VALUE"""),123710.0)</f>
        <v>123710</v>
      </c>
      <c r="Q698" s="124" t="str">
        <f>IFERROR(__xludf.DUMMYFUNCTION("""COMPUTED_VALUE"""),"upsc-gs-foundation-hindi-target-2028-gsf-upsc-m02-pry")</f>
        <v>upsc-gs-foundation-hindi-target-2028-gsf-upsc-m02-pry</v>
      </c>
      <c r="R698" s="124" t="str">
        <f>IFERROR(__xludf.DUMMYFUNCTION("""COMPUTED_VALUE"""),"GS Foundation Course")</f>
        <v>GS Foundation Course</v>
      </c>
      <c r="S698" s="124">
        <f>IFERROR(__xludf.DUMMYFUNCTION("""COMPUTED_VALUE"""),9.369688228E9)</f>
        <v>9369688228</v>
      </c>
      <c r="T698" s="124" t="str">
        <f>IFERROR(__xludf.DUMMYFUNCTION("""COMPUTED_VALUE"""),"Not Available")</f>
        <v>Not Available</v>
      </c>
      <c r="U698" s="124" t="str">
        <f>IFERROR(__xludf.DUMMYFUNCTION("""COMPUTED_VALUE"""),"Not Available")</f>
        <v>Not Available</v>
      </c>
      <c r="V698" s="124" t="str">
        <f>IFERROR(__xludf.DUMMYFUNCTION("""COMPUTED_VALUE"""),"Not Available")</f>
        <v>Not Available</v>
      </c>
      <c r="W698" s="124" t="str">
        <f>IFERROR(__xludf.DUMMYFUNCTION("""COMPUTED_VALUE"""),"Not Available")</f>
        <v>Not Available</v>
      </c>
    </row>
    <row r="699">
      <c r="A699" s="124" t="str">
        <f t="shared" si="1"/>
        <v>priyasingh28317@gmail.com</v>
      </c>
      <c r="B699" s="131">
        <f>IFERROR(__xludf.DUMMYFUNCTION("""COMPUTED_VALUE"""),46072.0)</f>
        <v>46072</v>
      </c>
      <c r="C699" s="124" t="str">
        <f>IFERROR(__xludf.DUMMYFUNCTION("""COMPUTED_VALUE"""),"Payment data from Collexo")</f>
        <v>Payment data from Collexo</v>
      </c>
      <c r="D699" s="124" t="str">
        <f>IFERROR(__xludf.DUMMYFUNCTION("""COMPUTED_VALUE"""),"Not Available")</f>
        <v>Not Available</v>
      </c>
      <c r="E699" s="124">
        <f>IFERROR(__xludf.DUMMYFUNCTION("""COMPUTED_VALUE"""),1500609.0)</f>
        <v>1500609</v>
      </c>
      <c r="F699" s="124" t="str">
        <f>IFERROR(__xludf.DUMMYFUNCTION("""COMPUTED_VALUE"""),"6526_988_7")</f>
        <v>6526_988_7</v>
      </c>
      <c r="G699" s="124">
        <f>IFERROR(__xludf.DUMMYFUNCTION("""COMPUTED_VALUE"""),1.0)</f>
        <v>1</v>
      </c>
      <c r="H699" s="124" t="str">
        <f>IFERROR(__xludf.DUMMYFUNCTION("""COMPUTED_VALUE"""),"Not Available")</f>
        <v>Not Available</v>
      </c>
      <c r="I699" s="124">
        <f>IFERROR(__xludf.DUMMYFUNCTION("""COMPUTED_VALUE"""),0.0)</f>
        <v>0</v>
      </c>
      <c r="J699" s="124">
        <f>IFERROR(__xludf.DUMMYFUNCTION("""COMPUTED_VALUE"""),1.0)</f>
        <v>1</v>
      </c>
      <c r="K699" s="124">
        <f>IFERROR(__xludf.DUMMYFUNCTION("""COMPUTED_VALUE"""),1.0)</f>
        <v>1</v>
      </c>
      <c r="L699" s="124">
        <f>IFERROR(__xludf.DUMMYFUNCTION("""COMPUTED_VALUE"""),270.0)</f>
        <v>270</v>
      </c>
      <c r="M699" s="124" t="str">
        <f>IFERROR(__xludf.DUMMYFUNCTION("""COMPUTED_VALUE"""),"New Delhi")</f>
        <v>New Delhi</v>
      </c>
      <c r="N699" s="124" t="str">
        <f>IFERROR(__xludf.DUMMYFUNCTION("""COMPUTED_VALUE"""),"priyasingh28317@gmail.com")</f>
        <v>priyasingh28317@gmail.com</v>
      </c>
      <c r="O699" s="124" t="str">
        <f>IFERROR(__xludf.DUMMYFUNCTION("""COMPUTED_VALUE"""),"Priya")</f>
        <v>Priya</v>
      </c>
      <c r="P699" s="124">
        <f>IFERROR(__xludf.DUMMYFUNCTION("""COMPUTED_VALUE"""),124180.0)</f>
        <v>124180</v>
      </c>
      <c r="Q699" s="124" t="str">
        <f>IFERROR(__xludf.DUMMYFUNCTION("""COMPUTED_VALUE"""),"upsc-gs-foundation-hinglish-target-2027-gsf-upsc-e04-orn")</f>
        <v>upsc-gs-foundation-hinglish-target-2027-gsf-upsc-e04-orn</v>
      </c>
      <c r="R699" s="124" t="str">
        <f>IFERROR(__xludf.DUMMYFUNCTION("""COMPUTED_VALUE"""),"GS Foundation Course")</f>
        <v>GS Foundation Course</v>
      </c>
      <c r="S699" s="124">
        <f>IFERROR(__xludf.DUMMYFUNCTION("""COMPUTED_VALUE"""),9.693807345E9)</f>
        <v>9693807345</v>
      </c>
      <c r="T699" s="124" t="str">
        <f>IFERROR(__xludf.DUMMYFUNCTION("""COMPUTED_VALUE"""),"Collexo")</f>
        <v>Collexo</v>
      </c>
      <c r="U699" s="124" t="str">
        <f>IFERROR(__xludf.DUMMYFUNCTION("""COMPUTED_VALUE"""),"Success")</f>
        <v>Success</v>
      </c>
      <c r="V699" s="131">
        <f>IFERROR(__xludf.DUMMYFUNCTION("""COMPUTED_VALUE"""),46072.0)</f>
        <v>46072</v>
      </c>
      <c r="W699" s="124">
        <f>IFERROR(__xludf.DUMMYFUNCTION("""COMPUTED_VALUE"""),0.0)</f>
        <v>0</v>
      </c>
    </row>
    <row r="700">
      <c r="A700" s="124" t="str">
        <f t="shared" si="1"/>
        <v>krpiyushmaurya@gmail.com</v>
      </c>
      <c r="B700" s="131">
        <f>IFERROR(__xludf.DUMMYFUNCTION("""COMPUTED_VALUE"""),46100.0)</f>
        <v>46100</v>
      </c>
      <c r="C700" s="124" t="str">
        <f>IFERROR(__xludf.DUMMYFUNCTION("""COMPUTED_VALUE"""),"Payment data from Collexo")</f>
        <v>Payment data from Collexo</v>
      </c>
      <c r="D700" s="124" t="str">
        <f>IFERROR(__xludf.DUMMYFUNCTION("""COMPUTED_VALUE"""),"Not Available")</f>
        <v>Not Available</v>
      </c>
      <c r="E700" s="124">
        <f>IFERROR(__xludf.DUMMYFUNCTION("""COMPUTED_VALUE"""),1500609.0)</f>
        <v>1500609</v>
      </c>
      <c r="F700" s="124" t="str">
        <f>IFERROR(__xludf.DUMMYFUNCTION("""COMPUTED_VALUE"""),"15339_988_7")</f>
        <v>15339_988_7</v>
      </c>
      <c r="G700" s="124">
        <f>IFERROR(__xludf.DUMMYFUNCTION("""COMPUTED_VALUE"""),1.0)</f>
        <v>1</v>
      </c>
      <c r="H700" s="124" t="str">
        <f>IFERROR(__xludf.DUMMYFUNCTION("""COMPUTED_VALUE"""),"Not Available")</f>
        <v>Not Available</v>
      </c>
      <c r="I700" s="124">
        <f>IFERROR(__xludf.DUMMYFUNCTION("""COMPUTED_VALUE"""),0.0)</f>
        <v>0</v>
      </c>
      <c r="J700" s="124">
        <f>IFERROR(__xludf.DUMMYFUNCTION("""COMPUTED_VALUE"""),1.0)</f>
        <v>1</v>
      </c>
      <c r="K700" s="124">
        <f>IFERROR(__xludf.DUMMYFUNCTION("""COMPUTED_VALUE"""),1.0)</f>
        <v>1</v>
      </c>
      <c r="L700" s="124">
        <f>IFERROR(__xludf.DUMMYFUNCTION("""COMPUTED_VALUE"""),633.0)</f>
        <v>633</v>
      </c>
      <c r="M700" s="124" t="str">
        <f>IFERROR(__xludf.DUMMYFUNCTION("""COMPUTED_VALUE"""),"New Delhi")</f>
        <v>New Delhi</v>
      </c>
      <c r="N700" s="124" t="str">
        <f>IFERROR(__xludf.DUMMYFUNCTION("""COMPUTED_VALUE"""),"krpiyushmaurya@gmail.com")</f>
        <v>krpiyushmaurya@gmail.com</v>
      </c>
      <c r="O700" s="124" t="str">
        <f>IFERROR(__xludf.DUMMYFUNCTION("""COMPUTED_VALUE"""),"PIYUSH MAURYA")</f>
        <v>PIYUSH MAURYA</v>
      </c>
      <c r="P700" s="124">
        <f>IFERROR(__xludf.DUMMYFUNCTION("""COMPUTED_VALUE"""),120316.0)</f>
        <v>120316</v>
      </c>
      <c r="Q700" s="124" t="str">
        <f>IFERROR(__xludf.DUMMYFUNCTION("""COMPUTED_VALUE"""),"upsc-gs-foundation-hinglish-target-2028-gsf-upsc-m05-orn")</f>
        <v>upsc-gs-foundation-hinglish-target-2028-gsf-upsc-m05-orn</v>
      </c>
      <c r="R700" s="124" t="str">
        <f>IFERROR(__xludf.DUMMYFUNCTION("""COMPUTED_VALUE"""),"GS Foundation Course")</f>
        <v>GS Foundation Course</v>
      </c>
      <c r="S700" s="124">
        <f>IFERROR(__xludf.DUMMYFUNCTION("""COMPUTED_VALUE"""),8.957919936E9)</f>
        <v>8957919936</v>
      </c>
      <c r="T700" s="124" t="str">
        <f>IFERROR(__xludf.DUMMYFUNCTION("""COMPUTED_VALUE"""),"Collexo")</f>
        <v>Collexo</v>
      </c>
      <c r="U700" s="124" t="str">
        <f>IFERROR(__xludf.DUMMYFUNCTION("""COMPUTED_VALUE"""),"Success")</f>
        <v>Success</v>
      </c>
      <c r="V700" s="131">
        <f>IFERROR(__xludf.DUMMYFUNCTION("""COMPUTED_VALUE"""),46100.0)</f>
        <v>46100</v>
      </c>
      <c r="W700" s="124">
        <f>IFERROR(__xludf.DUMMYFUNCTION("""COMPUTED_VALUE"""),0.0)</f>
        <v>0</v>
      </c>
    </row>
    <row r="701">
      <c r="A701" s="124" t="str">
        <f t="shared" si="1"/>
        <v>rupamaddheshiya01@gmail.com</v>
      </c>
      <c r="B701" s="131">
        <f>IFERROR(__xludf.DUMMYFUNCTION("""COMPUTED_VALUE"""),46108.0)</f>
        <v>46108</v>
      </c>
      <c r="C701" s="124" t="str">
        <f>IFERROR(__xludf.DUMMYFUNCTION("""COMPUTED_VALUE"""),"Payment data from Collexo")</f>
        <v>Payment data from Collexo</v>
      </c>
      <c r="D701" s="124" t="str">
        <f>IFERROR(__xludf.DUMMYFUNCTION("""COMPUTED_VALUE"""),"Not Available")</f>
        <v>Not Available</v>
      </c>
      <c r="E701" s="124">
        <f>IFERROR(__xludf.DUMMYFUNCTION("""COMPUTED_VALUE"""),1500613.0)</f>
        <v>1500613</v>
      </c>
      <c r="F701" s="124">
        <f>IFERROR(__xludf.DUMMYFUNCTION("""COMPUTED_VALUE"""),132375.0)</f>
        <v>132375</v>
      </c>
      <c r="G701" s="124">
        <f>IFERROR(__xludf.DUMMYFUNCTION("""COMPUTED_VALUE"""),19000.0)</f>
        <v>19000</v>
      </c>
      <c r="H701" s="124" t="str">
        <f>IFERROR(__xludf.DUMMYFUNCTION("""COMPUTED_VALUE"""),"Not Available")</f>
        <v>Not Available</v>
      </c>
      <c r="I701" s="124">
        <f>IFERROR(__xludf.DUMMYFUNCTION("""COMPUTED_VALUE"""),0.0)</f>
        <v>0</v>
      </c>
      <c r="J701" s="124">
        <f>IFERROR(__xludf.DUMMYFUNCTION("""COMPUTED_VALUE"""),21500.0)</f>
        <v>21500</v>
      </c>
      <c r="K701" s="124">
        <f>IFERROR(__xludf.DUMMYFUNCTION("""COMPUTED_VALUE"""),2.0)</f>
        <v>2</v>
      </c>
      <c r="L701" s="124">
        <f>IFERROR(__xludf.DUMMYFUNCTION("""COMPUTED_VALUE"""),783.0)</f>
        <v>783</v>
      </c>
      <c r="M701" s="124" t="str">
        <f>IFERROR(__xludf.DUMMYFUNCTION("""COMPUTED_VALUE"""),"Prayagraj")</f>
        <v>Prayagraj</v>
      </c>
      <c r="N701" s="124" t="str">
        <f>IFERROR(__xludf.DUMMYFUNCTION("""COMPUTED_VALUE"""),"rupamaddheshiya01@gmail.com")</f>
        <v>rupamaddheshiya01@gmail.com</v>
      </c>
      <c r="O701" s="124" t="str">
        <f>IFERROR(__xludf.DUMMYFUNCTION("""COMPUTED_VALUE"""),"Rupa")</f>
        <v>Rupa</v>
      </c>
      <c r="P701" s="124">
        <f>IFERROR(__xludf.DUMMYFUNCTION("""COMPUTED_VALUE"""),132375.0)</f>
        <v>132375</v>
      </c>
      <c r="Q701" s="124" t="str">
        <f>IFERROR(__xludf.DUMMYFUNCTION("""COMPUTED_VALUE"""),"samadhan-mentorship-program-pry")</f>
        <v>samadhan-mentorship-program-pry</v>
      </c>
      <c r="R701" s="124" t="str">
        <f>IFERROR(__xludf.DUMMYFUNCTION("""COMPUTED_VALUE"""),"Mentorship - Samadhan")</f>
        <v>Mentorship - Samadhan</v>
      </c>
      <c r="S701" s="124">
        <f>IFERROR(__xludf.DUMMYFUNCTION("""COMPUTED_VALUE"""),9.3357089E9)</f>
        <v>9335708900</v>
      </c>
      <c r="T701" s="124" t="str">
        <f>IFERROR(__xludf.DUMMYFUNCTION("""COMPUTED_VALUE"""),"Not Available")</f>
        <v>Not Available</v>
      </c>
      <c r="U701" s="124" t="str">
        <f>IFERROR(__xludf.DUMMYFUNCTION("""COMPUTED_VALUE"""),"Not Available")</f>
        <v>Not Available</v>
      </c>
      <c r="V701" s="124" t="str">
        <f>IFERROR(__xludf.DUMMYFUNCTION("""COMPUTED_VALUE"""),"Not Available")</f>
        <v>Not Available</v>
      </c>
      <c r="W701" s="124" t="str">
        <f>IFERROR(__xludf.DUMMYFUNCTION("""COMPUTED_VALUE"""),"Not Available")</f>
        <v>Not Available</v>
      </c>
    </row>
    <row r="702">
      <c r="A702" s="124" t="str">
        <f t="shared" si="1"/>
        <v>rupamaddheshiya01@gmail.com</v>
      </c>
      <c r="B702" s="131">
        <f>IFERROR(__xludf.DUMMYFUNCTION("""COMPUTED_VALUE"""),46106.0)</f>
        <v>46106</v>
      </c>
      <c r="C702" s="124" t="str">
        <f>IFERROR(__xludf.DUMMYFUNCTION("""COMPUTED_VALUE"""),"Payment data from Collexo")</f>
        <v>Payment data from Collexo</v>
      </c>
      <c r="D702" s="124" t="str">
        <f>IFERROR(__xludf.DUMMYFUNCTION("""COMPUTED_VALUE"""),"Not Available")</f>
        <v>Not Available</v>
      </c>
      <c r="E702" s="124">
        <f>IFERROR(__xludf.DUMMYFUNCTION("""COMPUTED_VALUE"""),1500613.0)</f>
        <v>1500613</v>
      </c>
      <c r="F702" s="124">
        <f>IFERROR(__xludf.DUMMYFUNCTION("""COMPUTED_VALUE"""),132375.0)</f>
        <v>132375</v>
      </c>
      <c r="G702" s="124">
        <f>IFERROR(__xludf.DUMMYFUNCTION("""COMPUTED_VALUE"""),2500.0)</f>
        <v>2500</v>
      </c>
      <c r="H702" s="131">
        <f>IFERROR(__xludf.DUMMYFUNCTION("""COMPUTED_VALUE"""),46108.0)</f>
        <v>46108</v>
      </c>
      <c r="I702" s="124">
        <f>IFERROR(__xludf.DUMMYFUNCTION("""COMPUTED_VALUE"""),19000.0)</f>
        <v>19000</v>
      </c>
      <c r="J702" s="124">
        <f>IFERROR(__xludf.DUMMYFUNCTION("""COMPUTED_VALUE"""),21500.0)</f>
        <v>21500</v>
      </c>
      <c r="K702" s="124">
        <f>IFERROR(__xludf.DUMMYFUNCTION("""COMPUTED_VALUE"""),2.0)</f>
        <v>2</v>
      </c>
      <c r="L702" s="124">
        <f>IFERROR(__xludf.DUMMYFUNCTION("""COMPUTED_VALUE"""),742.0)</f>
        <v>742</v>
      </c>
      <c r="M702" s="124" t="str">
        <f>IFERROR(__xludf.DUMMYFUNCTION("""COMPUTED_VALUE"""),"Prayagraj")</f>
        <v>Prayagraj</v>
      </c>
      <c r="N702" s="124" t="str">
        <f>IFERROR(__xludf.DUMMYFUNCTION("""COMPUTED_VALUE"""),"rupamaddheshiya01@gmail.com")</f>
        <v>rupamaddheshiya01@gmail.com</v>
      </c>
      <c r="O702" s="124" t="str">
        <f>IFERROR(__xludf.DUMMYFUNCTION("""COMPUTED_VALUE"""),"Rupa")</f>
        <v>Rupa</v>
      </c>
      <c r="P702" s="124">
        <f>IFERROR(__xludf.DUMMYFUNCTION("""COMPUTED_VALUE"""),132375.0)</f>
        <v>132375</v>
      </c>
      <c r="Q702" s="124" t="str">
        <f>IFERROR(__xludf.DUMMYFUNCTION("""COMPUTED_VALUE"""),"samadhan-mentorship-program-pry")</f>
        <v>samadhan-mentorship-program-pry</v>
      </c>
      <c r="R702" s="124" t="str">
        <f>IFERROR(__xludf.DUMMYFUNCTION("""COMPUTED_VALUE"""),"Mentorship - Samadhan")</f>
        <v>Mentorship - Samadhan</v>
      </c>
      <c r="S702" s="124">
        <f>IFERROR(__xludf.DUMMYFUNCTION("""COMPUTED_VALUE"""),9.3357089E9)</f>
        <v>9335708900</v>
      </c>
      <c r="T702" s="124" t="str">
        <f>IFERROR(__xludf.DUMMYFUNCTION("""COMPUTED_VALUE"""),"Not Available")</f>
        <v>Not Available</v>
      </c>
      <c r="U702" s="124" t="str">
        <f>IFERROR(__xludf.DUMMYFUNCTION("""COMPUTED_VALUE"""),"Not Available")</f>
        <v>Not Available</v>
      </c>
      <c r="V702" s="124" t="str">
        <f>IFERROR(__xludf.DUMMYFUNCTION("""COMPUTED_VALUE"""),"Not Available")</f>
        <v>Not Available</v>
      </c>
      <c r="W702" s="124" t="str">
        <f>IFERROR(__xludf.DUMMYFUNCTION("""COMPUTED_VALUE"""),"Not Available")</f>
        <v>Not Available</v>
      </c>
    </row>
    <row r="703">
      <c r="A703" s="124" t="str">
        <f t="shared" si="1"/>
        <v>jainkanchi678@gmail.com</v>
      </c>
      <c r="B703" s="131">
        <f>IFERROR(__xludf.DUMMYFUNCTION("""COMPUTED_VALUE"""),46098.0)</f>
        <v>46098</v>
      </c>
      <c r="C703" s="124" t="str">
        <f>IFERROR(__xludf.DUMMYFUNCTION("""COMPUTED_VALUE"""),"Payment data from Collexo")</f>
        <v>Payment data from Collexo</v>
      </c>
      <c r="D703" s="124" t="str">
        <f>IFERROR(__xludf.DUMMYFUNCTION("""COMPUTED_VALUE"""),"Not Available")</f>
        <v>Not Available</v>
      </c>
      <c r="E703" s="124">
        <f>IFERROR(__xludf.DUMMYFUNCTION("""COMPUTED_VALUE"""),1500612.0)</f>
        <v>1500612</v>
      </c>
      <c r="F703" s="124">
        <f>IFERROR(__xludf.DUMMYFUNCTION("""COMPUTED_VALUE"""),128133.0)</f>
        <v>128133</v>
      </c>
      <c r="G703" s="124">
        <f>IFERROR(__xludf.DUMMYFUNCTION("""COMPUTED_VALUE"""),9000.0)</f>
        <v>9000</v>
      </c>
      <c r="H703" s="131">
        <f>IFERROR(__xludf.DUMMYFUNCTION("""COMPUTED_VALUE"""),46098.0)</f>
        <v>46098</v>
      </c>
      <c r="I703" s="124">
        <f>IFERROR(__xludf.DUMMYFUNCTION("""COMPUTED_VALUE"""),80000.0)</f>
        <v>80000</v>
      </c>
      <c r="J703" s="124">
        <f>IFERROR(__xludf.DUMMYFUNCTION("""COMPUTED_VALUE"""),90000.0)</f>
        <v>90000</v>
      </c>
      <c r="K703" s="124">
        <f>IFERROR(__xludf.DUMMYFUNCTION("""COMPUTED_VALUE"""),3.0)</f>
        <v>3</v>
      </c>
      <c r="L703" s="124">
        <f>IFERROR(__xludf.DUMMYFUNCTION("""COMPUTED_VALUE"""),575.0)</f>
        <v>575</v>
      </c>
      <c r="M703" s="124" t="str">
        <f>IFERROR(__xludf.DUMMYFUNCTION("""COMPUTED_VALUE"""),"Indore")</f>
        <v>Indore</v>
      </c>
      <c r="N703" s="124" t="str">
        <f>IFERROR(__xludf.DUMMYFUNCTION("""COMPUTED_VALUE"""),"jainkanchi678@gmail.com")</f>
        <v>jainkanchi678@gmail.com</v>
      </c>
      <c r="O703" s="124" t="str">
        <f>IFERROR(__xludf.DUMMYFUNCTION("""COMPUTED_VALUE"""),"Kanchi jain")</f>
        <v>Kanchi jain</v>
      </c>
      <c r="P703" s="124">
        <f>IFERROR(__xludf.DUMMYFUNCTION("""COMPUTED_VALUE"""),128133.0)</f>
        <v>128133</v>
      </c>
      <c r="Q703" s="124" t="str">
        <f>IFERROR(__xludf.DUMMYFUNCTION("""COMPUTED_VALUE"""),"upsc-gs-foundation-hinglish-target-2028-gsf-upsc-m03-ind")</f>
        <v>upsc-gs-foundation-hinglish-target-2028-gsf-upsc-m03-ind</v>
      </c>
      <c r="R703" s="124" t="str">
        <f>IFERROR(__xludf.DUMMYFUNCTION("""COMPUTED_VALUE"""),"GS Foundation Course")</f>
        <v>GS Foundation Course</v>
      </c>
      <c r="S703" s="124">
        <f>IFERROR(__xludf.DUMMYFUNCTION("""COMPUTED_VALUE"""),8.109610665E9)</f>
        <v>8109610665</v>
      </c>
      <c r="T703" s="124" t="str">
        <f>IFERROR(__xludf.DUMMYFUNCTION("""COMPUTED_VALUE"""),"Not Available")</f>
        <v>Not Available</v>
      </c>
      <c r="U703" s="124" t="str">
        <f>IFERROR(__xludf.DUMMYFUNCTION("""COMPUTED_VALUE"""),"Not Available")</f>
        <v>Not Available</v>
      </c>
      <c r="V703" s="124" t="str">
        <f>IFERROR(__xludf.DUMMYFUNCTION("""COMPUTED_VALUE"""),"Not Available")</f>
        <v>Not Available</v>
      </c>
      <c r="W703" s="124" t="str">
        <f>IFERROR(__xludf.DUMMYFUNCTION("""COMPUTED_VALUE"""),"Not Available")</f>
        <v>Not Available</v>
      </c>
    </row>
    <row r="704">
      <c r="A704" s="124" t="str">
        <f t="shared" si="1"/>
        <v>vetdevduvasu@gmail.com</v>
      </c>
      <c r="B704" s="131">
        <f>IFERROR(__xludf.DUMMYFUNCTION("""COMPUTED_VALUE"""),46100.0)</f>
        <v>46100</v>
      </c>
      <c r="C704" s="124" t="str">
        <f>IFERROR(__xludf.DUMMYFUNCTION("""COMPUTED_VALUE"""),"Payment data from Collexo")</f>
        <v>Payment data from Collexo</v>
      </c>
      <c r="D704" s="124" t="str">
        <f>IFERROR(__xludf.DUMMYFUNCTION("""COMPUTED_VALUE"""),"Not Available")</f>
        <v>Not Available</v>
      </c>
      <c r="E704" s="124">
        <f>IFERROR(__xludf.DUMMYFUNCTION("""COMPUTED_VALUE"""),1500609.0)</f>
        <v>1500609</v>
      </c>
      <c r="F704" s="124" t="str">
        <f>IFERROR(__xludf.DUMMYFUNCTION("""COMPUTED_VALUE"""),"15208_988_7")</f>
        <v>15208_988_7</v>
      </c>
      <c r="G704" s="124">
        <f>IFERROR(__xludf.DUMMYFUNCTION("""COMPUTED_VALUE"""),5000.0)</f>
        <v>5000</v>
      </c>
      <c r="H704" s="131">
        <f>IFERROR(__xludf.DUMMYFUNCTION("""COMPUTED_VALUE"""),46112.0)</f>
        <v>46112</v>
      </c>
      <c r="I704" s="124">
        <f>IFERROR(__xludf.DUMMYFUNCTION("""COMPUTED_VALUE"""),85000.0)</f>
        <v>85000</v>
      </c>
      <c r="J704" s="124">
        <f>IFERROR(__xludf.DUMMYFUNCTION("""COMPUTED_VALUE"""),90000.0)</f>
        <v>90000</v>
      </c>
      <c r="K704" s="124">
        <f>IFERROR(__xludf.DUMMYFUNCTION("""COMPUTED_VALUE"""),2.0)</f>
        <v>2</v>
      </c>
      <c r="L704" s="124">
        <f>IFERROR(__xludf.DUMMYFUNCTION("""COMPUTED_VALUE"""),610.0)</f>
        <v>610</v>
      </c>
      <c r="M704" s="124" t="str">
        <f>IFERROR(__xludf.DUMMYFUNCTION("""COMPUTED_VALUE"""),"New Delhi")</f>
        <v>New Delhi</v>
      </c>
      <c r="N704" s="124" t="str">
        <f>IFERROR(__xludf.DUMMYFUNCTION("""COMPUTED_VALUE"""),"vetdevduvasu@gmail.com")</f>
        <v>vetdevduvasu@gmail.com</v>
      </c>
      <c r="O704" s="124" t="str">
        <f>IFERROR(__xludf.DUMMYFUNCTION("""COMPUTED_VALUE"""),"Dev Sharma")</f>
        <v>Dev Sharma</v>
      </c>
      <c r="P704" s="124">
        <f>IFERROR(__xludf.DUMMYFUNCTION("""COMPUTED_VALUE"""),129260.0)</f>
        <v>129260</v>
      </c>
      <c r="Q704" s="124" t="str">
        <f>IFERROR(__xludf.DUMMYFUNCTION("""COMPUTED_VALUE"""),"upsc-gs-foundation-hinglish-target-2027-gsf-upsc-m05-orn")</f>
        <v>upsc-gs-foundation-hinglish-target-2027-gsf-upsc-m05-orn</v>
      </c>
      <c r="R704" s="124" t="str">
        <f>IFERROR(__xludf.DUMMYFUNCTION("""COMPUTED_VALUE"""),"GS Foundation Course")</f>
        <v>GS Foundation Course</v>
      </c>
      <c r="S704" s="124">
        <f>IFERROR(__xludf.DUMMYFUNCTION("""COMPUTED_VALUE"""),9.528979871E9)</f>
        <v>9528979871</v>
      </c>
      <c r="T704" s="124" t="str">
        <f>IFERROR(__xludf.DUMMYFUNCTION("""COMPUTED_VALUE"""),"Not Available")</f>
        <v>Not Available</v>
      </c>
      <c r="U704" s="124" t="str">
        <f>IFERROR(__xludf.DUMMYFUNCTION("""COMPUTED_VALUE"""),"Not Available")</f>
        <v>Not Available</v>
      </c>
      <c r="V704" s="124" t="str">
        <f>IFERROR(__xludf.DUMMYFUNCTION("""COMPUTED_VALUE"""),"Not Available")</f>
        <v>Not Available</v>
      </c>
      <c r="W704" s="124" t="str">
        <f>IFERROR(__xludf.DUMMYFUNCTION("""COMPUTED_VALUE"""),"Not Available")</f>
        <v>Not Available</v>
      </c>
    </row>
    <row r="705">
      <c r="A705" s="124" t="str">
        <f t="shared" si="1"/>
        <v>raniverma107200@gmail.com</v>
      </c>
      <c r="B705" s="131">
        <f>IFERROR(__xludf.DUMMYFUNCTION("""COMPUTED_VALUE"""),46112.0)</f>
        <v>46112</v>
      </c>
      <c r="C705" s="124" t="str">
        <f>IFERROR(__xludf.DUMMYFUNCTION("""COMPUTED_VALUE"""),"Payment data from Collexo")</f>
        <v>Payment data from Collexo</v>
      </c>
      <c r="D705" s="124" t="str">
        <f>IFERROR(__xludf.DUMMYFUNCTION("""COMPUTED_VALUE"""),"Not Available")</f>
        <v>Not Available</v>
      </c>
      <c r="E705" s="124">
        <f>IFERROR(__xludf.DUMMYFUNCTION("""COMPUTED_VALUE"""),1500610.0)</f>
        <v>1500610</v>
      </c>
      <c r="F705" s="124">
        <f>IFERROR(__xludf.DUMMYFUNCTION("""COMPUTED_VALUE"""),133225.0)</f>
        <v>133225</v>
      </c>
      <c r="G705" s="124">
        <f>IFERROR(__xludf.DUMMYFUNCTION("""COMPUTED_VALUE"""),10000.0)</f>
        <v>10000</v>
      </c>
      <c r="H705" s="131">
        <f>IFERROR(__xludf.DUMMYFUNCTION("""COMPUTED_VALUE"""),46142.0)</f>
        <v>46142</v>
      </c>
      <c r="I705" s="124">
        <f>IFERROR(__xludf.DUMMYFUNCTION("""COMPUTED_VALUE"""),5000.0)</f>
        <v>5000</v>
      </c>
      <c r="J705" s="124">
        <f>IFERROR(__xludf.DUMMYFUNCTION("""COMPUTED_VALUE"""),20000.0)</f>
        <v>20000</v>
      </c>
      <c r="K705" s="124">
        <f>IFERROR(__xludf.DUMMYFUNCTION("""COMPUTED_VALUE"""),3.0)</f>
        <v>3</v>
      </c>
      <c r="L705" s="124">
        <f>IFERROR(__xludf.DUMMYFUNCTION("""COMPUTED_VALUE"""),861.0)</f>
        <v>861</v>
      </c>
      <c r="M705" s="124" t="str">
        <f>IFERROR(__xludf.DUMMYFUNCTION("""COMPUTED_VALUE"""),"Lucknow")</f>
        <v>Lucknow</v>
      </c>
      <c r="N705" s="124" t="str">
        <f>IFERROR(__xludf.DUMMYFUNCTION("""COMPUTED_VALUE"""),"raniverma107200@gmail.com")</f>
        <v>raniverma107200@gmail.com</v>
      </c>
      <c r="O705" s="124" t="str">
        <f>IFERROR(__xludf.DUMMYFUNCTION("""COMPUTED_VALUE"""),"Rani Verma")</f>
        <v>Rani Verma</v>
      </c>
      <c r="P705" s="124">
        <f>IFERROR(__xludf.DUMMYFUNCTION("""COMPUTED_VALUE"""),133225.0)</f>
        <v>133225</v>
      </c>
      <c r="Q705" s="124" t="str">
        <f>IFERROR(__xludf.DUMMYFUNCTION("""COMPUTED_VALUE"""),"upsc-gs-foundation-hindi-target-2027-gsf-upsc-m02-lko")</f>
        <v>upsc-gs-foundation-hindi-target-2027-gsf-upsc-m02-lko</v>
      </c>
      <c r="R705" s="124" t="str">
        <f>IFERROR(__xludf.DUMMYFUNCTION("""COMPUTED_VALUE"""),"GS Foundation Course")</f>
        <v>GS Foundation Course</v>
      </c>
      <c r="S705" s="124">
        <f>IFERROR(__xludf.DUMMYFUNCTION("""COMPUTED_VALUE"""),6.38782024E9)</f>
        <v>6387820240</v>
      </c>
      <c r="T705" s="124" t="str">
        <f>IFERROR(__xludf.DUMMYFUNCTION("""COMPUTED_VALUE"""),"Not Available")</f>
        <v>Not Available</v>
      </c>
      <c r="U705" s="124" t="str">
        <f>IFERROR(__xludf.DUMMYFUNCTION("""COMPUTED_VALUE"""),"Not Available")</f>
        <v>Not Available</v>
      </c>
      <c r="V705" s="124" t="str">
        <f>IFERROR(__xludf.DUMMYFUNCTION("""COMPUTED_VALUE"""),"Not Available")</f>
        <v>Not Available</v>
      </c>
      <c r="W705" s="124" t="str">
        <f>IFERROR(__xludf.DUMMYFUNCTION("""COMPUTED_VALUE"""),"Not Available")</f>
        <v>Not Available</v>
      </c>
    </row>
    <row r="706">
      <c r="A706" s="124" t="str">
        <f t="shared" si="1"/>
        <v>suhanashah256@gmail.com</v>
      </c>
      <c r="B706" s="131">
        <f>IFERROR(__xludf.DUMMYFUNCTION("""COMPUTED_VALUE"""),46107.0)</f>
        <v>46107</v>
      </c>
      <c r="C706" s="124" t="str">
        <f>IFERROR(__xludf.DUMMYFUNCTION("""COMPUTED_VALUE"""),"Payment data from Collexo")</f>
        <v>Payment data from Collexo</v>
      </c>
      <c r="D706" s="124" t="str">
        <f>IFERROR(__xludf.DUMMYFUNCTION("""COMPUTED_VALUE"""),"Not Available")</f>
        <v>Not Available</v>
      </c>
      <c r="E706" s="124">
        <f>IFERROR(__xludf.DUMMYFUNCTION("""COMPUTED_VALUE"""),1500612.0)</f>
        <v>1500612</v>
      </c>
      <c r="F706" s="124">
        <f>IFERROR(__xludf.DUMMYFUNCTION("""COMPUTED_VALUE"""),133055.0)</f>
        <v>133055</v>
      </c>
      <c r="G706" s="124">
        <f>IFERROR(__xludf.DUMMYFUNCTION("""COMPUTED_VALUE"""),120000.0)</f>
        <v>120000</v>
      </c>
      <c r="H706" s="131">
        <f>IFERROR(__xludf.DUMMYFUNCTION("""COMPUTED_VALUE"""),46118.0)</f>
        <v>46118</v>
      </c>
      <c r="I706" s="124">
        <f>IFERROR(__xludf.DUMMYFUNCTION("""COMPUTED_VALUE"""),5000.0)</f>
        <v>5000</v>
      </c>
      <c r="J706" s="124">
        <f>IFERROR(__xludf.DUMMYFUNCTION("""COMPUTED_VALUE"""),130000.0)</f>
        <v>130000</v>
      </c>
      <c r="K706" s="124">
        <f>IFERROR(__xludf.DUMMYFUNCTION("""COMPUTED_VALUE"""),3.0)</f>
        <v>3</v>
      </c>
      <c r="L706" s="124">
        <f>IFERROR(__xludf.DUMMYFUNCTION("""COMPUTED_VALUE"""),755.0)</f>
        <v>755</v>
      </c>
      <c r="M706" s="124" t="str">
        <f>IFERROR(__xludf.DUMMYFUNCTION("""COMPUTED_VALUE"""),"Indore")</f>
        <v>Indore</v>
      </c>
      <c r="N706" s="124" t="str">
        <f>IFERROR(__xludf.DUMMYFUNCTION("""COMPUTED_VALUE"""),"suhanashah256@gmail.com")</f>
        <v>suhanashah256@gmail.com</v>
      </c>
      <c r="O706" s="124" t="str">
        <f>IFERROR(__xludf.DUMMYFUNCTION("""COMPUTED_VALUE"""),"Suhana shah")</f>
        <v>Suhana shah</v>
      </c>
      <c r="P706" s="124">
        <f>IFERROR(__xludf.DUMMYFUNCTION("""COMPUTED_VALUE"""),133055.0)</f>
        <v>133055</v>
      </c>
      <c r="Q706" s="124" t="str">
        <f>IFERROR(__xludf.DUMMYFUNCTION("""COMPUTED_VALUE"""),"upsc-gs-foundation-hindi-target-2028-gsf-upsc-m03-ind")</f>
        <v>upsc-gs-foundation-hindi-target-2028-gsf-upsc-m03-ind</v>
      </c>
      <c r="R706" s="124" t="str">
        <f>IFERROR(__xludf.DUMMYFUNCTION("""COMPUTED_VALUE"""),"GS Foundation Course")</f>
        <v>GS Foundation Course</v>
      </c>
      <c r="S706" s="124">
        <f>IFERROR(__xludf.DUMMYFUNCTION("""COMPUTED_VALUE"""),8.349671082E9)</f>
        <v>8349671082</v>
      </c>
      <c r="T706" s="124" t="str">
        <f>IFERROR(__xludf.DUMMYFUNCTION("""COMPUTED_VALUE"""),"Not Available")</f>
        <v>Not Available</v>
      </c>
      <c r="U706" s="124" t="str">
        <f>IFERROR(__xludf.DUMMYFUNCTION("""COMPUTED_VALUE"""),"Not Available")</f>
        <v>Not Available</v>
      </c>
      <c r="V706" s="124" t="str">
        <f>IFERROR(__xludf.DUMMYFUNCTION("""COMPUTED_VALUE"""),"Not Available")</f>
        <v>Not Available</v>
      </c>
      <c r="W706" s="124" t="str">
        <f>IFERROR(__xludf.DUMMYFUNCTION("""COMPUTED_VALUE"""),"Not Available")</f>
        <v>Not Available</v>
      </c>
    </row>
    <row r="707">
      <c r="A707" s="124" t="str">
        <f t="shared" si="1"/>
        <v>shanukumar7761@gmail.com</v>
      </c>
      <c r="B707" s="131">
        <f>IFERROR(__xludf.DUMMYFUNCTION("""COMPUTED_VALUE"""),46102.0)</f>
        <v>46102</v>
      </c>
      <c r="C707" s="124" t="str">
        <f>IFERROR(__xludf.DUMMYFUNCTION("""COMPUTED_VALUE"""),"Payment data from Collexo")</f>
        <v>Payment data from Collexo</v>
      </c>
      <c r="D707" s="124" t="str">
        <f>IFERROR(__xludf.DUMMYFUNCTION("""COMPUTED_VALUE"""),"Not Available")</f>
        <v>Not Available</v>
      </c>
      <c r="E707" s="124">
        <f>IFERROR(__xludf.DUMMYFUNCTION("""COMPUTED_VALUE"""),1500611.0)</f>
        <v>1500611</v>
      </c>
      <c r="F707" s="124">
        <f>IFERROR(__xludf.DUMMYFUNCTION("""COMPUTED_VALUE"""),127558.0)</f>
        <v>127558</v>
      </c>
      <c r="G707" s="124">
        <f>IFERROR(__xludf.DUMMYFUNCTION("""COMPUTED_VALUE"""),40000.0)</f>
        <v>40000</v>
      </c>
      <c r="H707" s="124" t="str">
        <f>IFERROR(__xludf.DUMMYFUNCTION("""COMPUTED_VALUE"""),"Not Available")</f>
        <v>Not Available</v>
      </c>
      <c r="I707" s="124">
        <f>IFERROR(__xludf.DUMMYFUNCTION("""COMPUTED_VALUE"""),0.0)</f>
        <v>0</v>
      </c>
      <c r="J707" s="124">
        <f>IFERROR(__xludf.DUMMYFUNCTION("""COMPUTED_VALUE"""),40000.0)</f>
        <v>40000</v>
      </c>
      <c r="K707" s="124">
        <f>IFERROR(__xludf.DUMMYFUNCTION("""COMPUTED_VALUE"""),1.0)</f>
        <v>1</v>
      </c>
      <c r="L707" s="124">
        <f>IFERROR(__xludf.DUMMYFUNCTION("""COMPUTED_VALUE"""),670.0)</f>
        <v>670</v>
      </c>
      <c r="M707" s="124" t="str">
        <f>IFERROR(__xludf.DUMMYFUNCTION("""COMPUTED_VALUE"""),"Patna")</f>
        <v>Patna</v>
      </c>
      <c r="N707" s="124" t="str">
        <f>IFERROR(__xludf.DUMMYFUNCTION("""COMPUTED_VALUE"""),"shanukumar7761@gmail.com")</f>
        <v>shanukumar7761@gmail.com</v>
      </c>
      <c r="O707" s="124" t="str">
        <f>IFERROR(__xludf.DUMMYFUNCTION("""COMPUTED_VALUE"""),"Shanu Kumar")</f>
        <v>Shanu Kumar</v>
      </c>
      <c r="P707" s="124">
        <f>IFERROR(__xludf.DUMMYFUNCTION("""COMPUTED_VALUE"""),127558.0)</f>
        <v>127558</v>
      </c>
      <c r="Q707" s="124" t="str">
        <f>IFERROR(__xludf.DUMMYFUNCTION("""COMPUTED_VALUE"""),"bpsc-gs-foundation-hinglish-target-2026-gsf-bpsc-m02-pat")</f>
        <v>bpsc-gs-foundation-hinglish-target-2026-gsf-bpsc-m02-pat</v>
      </c>
      <c r="R707" s="124" t="str">
        <f>IFERROR(__xludf.DUMMYFUNCTION("""COMPUTED_VALUE"""),"State PCS")</f>
        <v>State PCS</v>
      </c>
      <c r="S707" s="124">
        <f>IFERROR(__xludf.DUMMYFUNCTION("""COMPUTED_VALUE"""),7.870743087E9)</f>
        <v>7870743087</v>
      </c>
      <c r="T707" s="124" t="str">
        <f>IFERROR(__xludf.DUMMYFUNCTION("""COMPUTED_VALUE"""),"Not Available")</f>
        <v>Not Available</v>
      </c>
      <c r="U707" s="124" t="str">
        <f>IFERROR(__xludf.DUMMYFUNCTION("""COMPUTED_VALUE"""),"Not Available")</f>
        <v>Not Available</v>
      </c>
      <c r="V707" s="124" t="str">
        <f>IFERROR(__xludf.DUMMYFUNCTION("""COMPUTED_VALUE"""),"Not Available")</f>
        <v>Not Available</v>
      </c>
      <c r="W707" s="124" t="str">
        <f>IFERROR(__xludf.DUMMYFUNCTION("""COMPUTED_VALUE"""),"Not Available")</f>
        <v>Not Available</v>
      </c>
    </row>
    <row r="708">
      <c r="A708" s="124" t="str">
        <f t="shared" si="1"/>
        <v>shivam98485@gmail.com</v>
      </c>
      <c r="B708" s="131">
        <f>IFERROR(__xludf.DUMMYFUNCTION("""COMPUTED_VALUE"""),46070.0)</f>
        <v>46070</v>
      </c>
      <c r="C708" s="124" t="str">
        <f>IFERROR(__xludf.DUMMYFUNCTION("""COMPUTED_VALUE"""),"Payment data from Collexo")</f>
        <v>Payment data from Collexo</v>
      </c>
      <c r="D708" s="124" t="str">
        <f>IFERROR(__xludf.DUMMYFUNCTION("""COMPUTED_VALUE"""),"Not Available")</f>
        <v>Not Available</v>
      </c>
      <c r="E708" s="124">
        <f>IFERROR(__xludf.DUMMYFUNCTION("""COMPUTED_VALUE"""),1500613.0)</f>
        <v>1500613</v>
      </c>
      <c r="F708" s="124">
        <f>IFERROR(__xludf.DUMMYFUNCTION("""COMPUTED_VALUE"""),123710.0)</f>
        <v>123710</v>
      </c>
      <c r="G708" s="124">
        <f>IFERROR(__xludf.DUMMYFUNCTION("""COMPUTED_VALUE"""),10000.0)</f>
        <v>10000</v>
      </c>
      <c r="H708" s="131">
        <f>IFERROR(__xludf.DUMMYFUNCTION("""COMPUTED_VALUE"""),46070.0)</f>
        <v>46070</v>
      </c>
      <c r="I708" s="124">
        <f>IFERROR(__xludf.DUMMYFUNCTION("""COMPUTED_VALUE"""),5000.0)</f>
        <v>5000</v>
      </c>
      <c r="J708" s="124">
        <f>IFERROR(__xludf.DUMMYFUNCTION("""COMPUTED_VALUE"""),60000.0)</f>
        <v>60000</v>
      </c>
      <c r="K708" s="124">
        <f>IFERROR(__xludf.DUMMYFUNCTION("""COMPUTED_VALUE"""),5.0)</f>
        <v>5</v>
      </c>
      <c r="L708" s="124">
        <f>IFERROR(__xludf.DUMMYFUNCTION("""COMPUTED_VALUE"""),239.0)</f>
        <v>239</v>
      </c>
      <c r="M708" s="124" t="str">
        <f>IFERROR(__xludf.DUMMYFUNCTION("""COMPUTED_VALUE"""),"Prayagraj")</f>
        <v>Prayagraj</v>
      </c>
      <c r="N708" s="124" t="str">
        <f>IFERROR(__xludf.DUMMYFUNCTION("""COMPUTED_VALUE"""),"shivam98485@gmail.com")</f>
        <v>shivam98485@gmail.com</v>
      </c>
      <c r="O708" s="124" t="str">
        <f>IFERROR(__xludf.DUMMYFUNCTION("""COMPUTED_VALUE"""),"Shivam Kumar")</f>
        <v>Shivam Kumar</v>
      </c>
      <c r="P708" s="124">
        <f>IFERROR(__xludf.DUMMYFUNCTION("""COMPUTED_VALUE"""),123710.0)</f>
        <v>123710</v>
      </c>
      <c r="Q708" s="124" t="str">
        <f>IFERROR(__xludf.DUMMYFUNCTION("""COMPUTED_VALUE"""),"upsc-gs-foundation-hindi-target-2028-gsf-upsc-m02-pry")</f>
        <v>upsc-gs-foundation-hindi-target-2028-gsf-upsc-m02-pry</v>
      </c>
      <c r="R708" s="124" t="str">
        <f>IFERROR(__xludf.DUMMYFUNCTION("""COMPUTED_VALUE"""),"GS Foundation Course")</f>
        <v>GS Foundation Course</v>
      </c>
      <c r="S708" s="124">
        <f>IFERROR(__xludf.DUMMYFUNCTION("""COMPUTED_VALUE"""),9.369688228E9)</f>
        <v>9369688228</v>
      </c>
      <c r="T708" s="124" t="str">
        <f>IFERROR(__xludf.DUMMYFUNCTION("""COMPUTED_VALUE"""),"Not Available")</f>
        <v>Not Available</v>
      </c>
      <c r="U708" s="124" t="str">
        <f>IFERROR(__xludf.DUMMYFUNCTION("""COMPUTED_VALUE"""),"Not Available")</f>
        <v>Not Available</v>
      </c>
      <c r="V708" s="124" t="str">
        <f>IFERROR(__xludf.DUMMYFUNCTION("""COMPUTED_VALUE"""),"Not Available")</f>
        <v>Not Available</v>
      </c>
      <c r="W708" s="124" t="str">
        <f>IFERROR(__xludf.DUMMYFUNCTION("""COMPUTED_VALUE"""),"Not Available")</f>
        <v>Not Available</v>
      </c>
    </row>
    <row r="709">
      <c r="A709" s="124" t="str">
        <f t="shared" si="1"/>
        <v>gitendradewangan7@gmail.com</v>
      </c>
      <c r="B709" s="131">
        <f>IFERROR(__xludf.DUMMYFUNCTION("""COMPUTED_VALUE"""),46104.0)</f>
        <v>46104</v>
      </c>
      <c r="C709" s="124" t="str">
        <f>IFERROR(__xludf.DUMMYFUNCTION("""COMPUTED_VALUE"""),"Payment data from Collexo")</f>
        <v>Payment data from Collexo</v>
      </c>
      <c r="D709" s="124" t="str">
        <f>IFERROR(__xludf.DUMMYFUNCTION("""COMPUTED_VALUE"""),"Not Available")</f>
        <v>Not Available</v>
      </c>
      <c r="E709" s="124">
        <f>IFERROR(__xludf.DUMMYFUNCTION("""COMPUTED_VALUE"""),1500612.0)</f>
        <v>1500612</v>
      </c>
      <c r="F709" s="124">
        <f>IFERROR(__xludf.DUMMYFUNCTION("""COMPUTED_VALUE"""),127100.0)</f>
        <v>127100</v>
      </c>
      <c r="G709" s="124">
        <f>IFERROR(__xludf.DUMMYFUNCTION("""COMPUTED_VALUE"""),72000.0)</f>
        <v>72000</v>
      </c>
      <c r="H709" s="124" t="str">
        <f>IFERROR(__xludf.DUMMYFUNCTION("""COMPUTED_VALUE"""),"Not Available")</f>
        <v>Not Available</v>
      </c>
      <c r="I709" s="124">
        <f>IFERROR(__xludf.DUMMYFUNCTION("""COMPUTED_VALUE"""),0.0)</f>
        <v>0</v>
      </c>
      <c r="J709" s="124">
        <f>IFERROR(__xludf.DUMMYFUNCTION("""COMPUTED_VALUE"""),100000.0)</f>
        <v>100000</v>
      </c>
      <c r="K709" s="124">
        <f>IFERROR(__xludf.DUMMYFUNCTION("""COMPUTED_VALUE"""),3.0)</f>
        <v>3</v>
      </c>
      <c r="L709" s="124">
        <f>IFERROR(__xludf.DUMMYFUNCTION("""COMPUTED_VALUE"""),684.0)</f>
        <v>684</v>
      </c>
      <c r="M709" s="124" t="str">
        <f>IFERROR(__xludf.DUMMYFUNCTION("""COMPUTED_VALUE"""),"Indore")</f>
        <v>Indore</v>
      </c>
      <c r="N709" s="124" t="str">
        <f>IFERROR(__xludf.DUMMYFUNCTION("""COMPUTED_VALUE"""),"gitendradewangan7@gmail.com")</f>
        <v>gitendradewangan7@gmail.com</v>
      </c>
      <c r="O709" s="124" t="str">
        <f>IFERROR(__xludf.DUMMYFUNCTION("""COMPUTED_VALUE"""),"Gitendra Dewangan")</f>
        <v>Gitendra Dewangan</v>
      </c>
      <c r="P709" s="124">
        <f>IFERROR(__xludf.DUMMYFUNCTION("""COMPUTED_VALUE"""),127100.0)</f>
        <v>127100</v>
      </c>
      <c r="Q709" s="124" t="str">
        <f>IFERROR(__xludf.DUMMYFUNCTION("""COMPUTED_VALUE"""),"upsc-gs-foundation-hindi-target-2028-gsf-upsc-m03-ind")</f>
        <v>upsc-gs-foundation-hindi-target-2028-gsf-upsc-m03-ind</v>
      </c>
      <c r="R709" s="124" t="str">
        <f>IFERROR(__xludf.DUMMYFUNCTION("""COMPUTED_VALUE"""),"GS Foundation Course")</f>
        <v>GS Foundation Course</v>
      </c>
      <c r="S709" s="124">
        <f>IFERROR(__xludf.DUMMYFUNCTION("""COMPUTED_VALUE"""),8.269421615E9)</f>
        <v>8269421615</v>
      </c>
      <c r="T709" s="124" t="str">
        <f>IFERROR(__xludf.DUMMYFUNCTION("""COMPUTED_VALUE"""),"Not Available")</f>
        <v>Not Available</v>
      </c>
      <c r="U709" s="124" t="str">
        <f>IFERROR(__xludf.DUMMYFUNCTION("""COMPUTED_VALUE"""),"Not Available")</f>
        <v>Not Available</v>
      </c>
      <c r="V709" s="124" t="str">
        <f>IFERROR(__xludf.DUMMYFUNCTION("""COMPUTED_VALUE"""),"Not Available")</f>
        <v>Not Available</v>
      </c>
      <c r="W709" s="124" t="str">
        <f>IFERROR(__xludf.DUMMYFUNCTION("""COMPUTED_VALUE"""),"Not Available")</f>
        <v>Not Available</v>
      </c>
    </row>
    <row r="710">
      <c r="A710" s="124" t="str">
        <f t="shared" si="1"/>
        <v>ishapathak8@gmail.com</v>
      </c>
      <c r="B710" s="131">
        <f>IFERROR(__xludf.DUMMYFUNCTION("""COMPUTED_VALUE"""),46081.0)</f>
        <v>46081</v>
      </c>
      <c r="C710" s="124" t="str">
        <f>IFERROR(__xludf.DUMMYFUNCTION("""COMPUTED_VALUE"""),"Payment data from Collexo")</f>
        <v>Payment data from Collexo</v>
      </c>
      <c r="D710" s="124" t="str">
        <f>IFERROR(__xludf.DUMMYFUNCTION("""COMPUTED_VALUE"""),"Not Available")</f>
        <v>Not Available</v>
      </c>
      <c r="E710" s="124">
        <f>IFERROR(__xludf.DUMMYFUNCTION("""COMPUTED_VALUE"""),1500609.0)</f>
        <v>1500609</v>
      </c>
      <c r="F710" s="124" t="str">
        <f>IFERROR(__xludf.DUMMYFUNCTION("""COMPUTED_VALUE"""),"11595_988_7")</f>
        <v>11595_988_7</v>
      </c>
      <c r="G710" s="124">
        <f>IFERROR(__xludf.DUMMYFUNCTION("""COMPUTED_VALUE"""),95000.0)</f>
        <v>95000</v>
      </c>
      <c r="H710" s="124" t="str">
        <f>IFERROR(__xludf.DUMMYFUNCTION("""COMPUTED_VALUE"""),"Not Available")</f>
        <v>Not Available</v>
      </c>
      <c r="I710" s="124">
        <f>IFERROR(__xludf.DUMMYFUNCTION("""COMPUTED_VALUE"""),0.0)</f>
        <v>0</v>
      </c>
      <c r="J710" s="124">
        <f>IFERROR(__xludf.DUMMYFUNCTION("""COMPUTED_VALUE"""),100000.0)</f>
        <v>100000</v>
      </c>
      <c r="K710" s="124">
        <f>IFERROR(__xludf.DUMMYFUNCTION("""COMPUTED_VALUE"""),2.0)</f>
        <v>2</v>
      </c>
      <c r="L710" s="124">
        <f>IFERROR(__xludf.DUMMYFUNCTION("""COMPUTED_VALUE"""),377.0)</f>
        <v>377</v>
      </c>
      <c r="M710" s="124" t="str">
        <f>IFERROR(__xludf.DUMMYFUNCTION("""COMPUTED_VALUE"""),"New Delhi")</f>
        <v>New Delhi</v>
      </c>
      <c r="N710" s="124" t="str">
        <f>IFERROR(__xludf.DUMMYFUNCTION("""COMPUTED_VALUE"""),"ishapathak8@gmail.com")</f>
        <v>ishapathak8@gmail.com</v>
      </c>
      <c r="O710" s="124" t="str">
        <f>IFERROR(__xludf.DUMMYFUNCTION("""COMPUTED_VALUE"""),"Isha pathak")</f>
        <v>Isha pathak</v>
      </c>
      <c r="P710" s="124">
        <f>IFERROR(__xludf.DUMMYFUNCTION("""COMPUTED_VALUE"""),124531.0)</f>
        <v>124531</v>
      </c>
      <c r="Q710" s="124" t="str">
        <f>IFERROR(__xludf.DUMMYFUNCTION("""COMPUTED_VALUE"""),"upsc-gs-foundation-hinglish-target-2027-gsf-upsc-e04-orn")</f>
        <v>upsc-gs-foundation-hinglish-target-2027-gsf-upsc-e04-orn</v>
      </c>
      <c r="R710" s="124" t="str">
        <f>IFERROR(__xludf.DUMMYFUNCTION("""COMPUTED_VALUE"""),"GS Foundation Course")</f>
        <v>GS Foundation Course</v>
      </c>
      <c r="S710" s="124">
        <f>IFERROR(__xludf.DUMMYFUNCTION("""COMPUTED_VALUE"""),8.595041975E9)</f>
        <v>8595041975</v>
      </c>
      <c r="T710" s="124" t="str">
        <f>IFERROR(__xludf.DUMMYFUNCTION("""COMPUTED_VALUE"""),"Collexo")</f>
        <v>Collexo</v>
      </c>
      <c r="U710" s="124" t="str">
        <f>IFERROR(__xludf.DUMMYFUNCTION("""COMPUTED_VALUE"""),"Success")</f>
        <v>Success</v>
      </c>
      <c r="V710" s="131">
        <f>IFERROR(__xludf.DUMMYFUNCTION("""COMPUTED_VALUE"""),46081.0)</f>
        <v>46081</v>
      </c>
      <c r="W710" s="124">
        <f>IFERROR(__xludf.DUMMYFUNCTION("""COMPUTED_VALUE"""),0.0)</f>
        <v>0</v>
      </c>
    </row>
    <row r="711">
      <c r="A711" s="124" t="str">
        <f t="shared" si="1"/>
        <v>priyasingh28317@gmail.com</v>
      </c>
      <c r="B711" s="131">
        <f>IFERROR(__xludf.DUMMYFUNCTION("""COMPUTED_VALUE"""),46072.0)</f>
        <v>46072</v>
      </c>
      <c r="C711" s="124" t="str">
        <f>IFERROR(__xludf.DUMMYFUNCTION("""COMPUTED_VALUE"""),"Payment data from Collexo")</f>
        <v>Payment data from Collexo</v>
      </c>
      <c r="D711" s="124" t="str">
        <f>IFERROR(__xludf.DUMMYFUNCTION("""COMPUTED_VALUE"""),"Not Available")</f>
        <v>Not Available</v>
      </c>
      <c r="E711" s="124">
        <f>IFERROR(__xludf.DUMMYFUNCTION("""COMPUTED_VALUE"""),1500609.0)</f>
        <v>1500609</v>
      </c>
      <c r="F711" s="124" t="str">
        <f>IFERROR(__xludf.DUMMYFUNCTION("""COMPUTED_VALUE"""),"6529_988_7")</f>
        <v>6529_988_7</v>
      </c>
      <c r="G711" s="124">
        <f>IFERROR(__xludf.DUMMYFUNCTION("""COMPUTED_VALUE"""),5000.0)</f>
        <v>5000</v>
      </c>
      <c r="H711" s="131">
        <f>IFERROR(__xludf.DUMMYFUNCTION("""COMPUTED_VALUE"""),46081.0)</f>
        <v>46081</v>
      </c>
      <c r="I711" s="124">
        <f>IFERROR(__xludf.DUMMYFUNCTION("""COMPUTED_VALUE"""),55000.0)</f>
        <v>55000</v>
      </c>
      <c r="J711" s="124">
        <f>IFERROR(__xludf.DUMMYFUNCTION("""COMPUTED_VALUE"""),60000.0)</f>
        <v>60000</v>
      </c>
      <c r="K711" s="124">
        <f>IFERROR(__xludf.DUMMYFUNCTION("""COMPUTED_VALUE"""),2.0)</f>
        <v>2</v>
      </c>
      <c r="L711" s="124">
        <f>IFERROR(__xludf.DUMMYFUNCTION("""COMPUTED_VALUE"""),271.0)</f>
        <v>271</v>
      </c>
      <c r="M711" s="124" t="str">
        <f>IFERROR(__xludf.DUMMYFUNCTION("""COMPUTED_VALUE"""),"New Delhi")</f>
        <v>New Delhi</v>
      </c>
      <c r="N711" s="124" t="str">
        <f>IFERROR(__xludf.DUMMYFUNCTION("""COMPUTED_VALUE"""),"priyasingh28317@gmail.com")</f>
        <v>priyasingh28317@gmail.com</v>
      </c>
      <c r="O711" s="124" t="str">
        <f>IFERROR(__xludf.DUMMYFUNCTION("""COMPUTED_VALUE"""),"Priya")</f>
        <v>Priya</v>
      </c>
      <c r="P711" s="124">
        <f>IFERROR(__xludf.DUMMYFUNCTION("""COMPUTED_VALUE"""),124180.0)</f>
        <v>124180</v>
      </c>
      <c r="Q711" s="124" t="str">
        <f>IFERROR(__xludf.DUMMYFUNCTION("""COMPUTED_VALUE"""),"upsc-gs-foundation-hinglish-target-2027-gsf-upsc-e04-orn")</f>
        <v>upsc-gs-foundation-hinglish-target-2027-gsf-upsc-e04-orn</v>
      </c>
      <c r="R711" s="124" t="str">
        <f>IFERROR(__xludf.DUMMYFUNCTION("""COMPUTED_VALUE"""),"GS Foundation Course")</f>
        <v>GS Foundation Course</v>
      </c>
      <c r="S711" s="124">
        <f>IFERROR(__xludf.DUMMYFUNCTION("""COMPUTED_VALUE"""),9.693807345E9)</f>
        <v>9693807345</v>
      </c>
      <c r="T711" s="124" t="str">
        <f>IFERROR(__xludf.DUMMYFUNCTION("""COMPUTED_VALUE"""),"Not Available")</f>
        <v>Not Available</v>
      </c>
      <c r="U711" s="124" t="str">
        <f>IFERROR(__xludf.DUMMYFUNCTION("""COMPUTED_VALUE"""),"Not Available")</f>
        <v>Not Available</v>
      </c>
      <c r="V711" s="124" t="str">
        <f>IFERROR(__xludf.DUMMYFUNCTION("""COMPUTED_VALUE"""),"Not Available")</f>
        <v>Not Available</v>
      </c>
      <c r="W711" s="124" t="str">
        <f>IFERROR(__xludf.DUMMYFUNCTION("""COMPUTED_VALUE"""),"Not Available")</f>
        <v>Not Available</v>
      </c>
    </row>
    <row r="712">
      <c r="A712" s="124" t="str">
        <f t="shared" si="1"/>
        <v>lugloadvedant@gmail.com</v>
      </c>
      <c r="B712" s="131">
        <f>IFERROR(__xludf.DUMMYFUNCTION("""COMPUTED_VALUE"""),46059.0)</f>
        <v>46059</v>
      </c>
      <c r="C712" s="124" t="str">
        <f>IFERROR(__xludf.DUMMYFUNCTION("""COMPUTED_VALUE"""),"Payment data from Collexo")</f>
        <v>Payment data from Collexo</v>
      </c>
      <c r="D712" s="124" t="str">
        <f>IFERROR(__xludf.DUMMYFUNCTION("""COMPUTED_VALUE"""),"Not Available")</f>
        <v>Not Available</v>
      </c>
      <c r="E712" s="124">
        <f>IFERROR(__xludf.DUMMYFUNCTION("""COMPUTED_VALUE"""),1500609.0)</f>
        <v>1500609</v>
      </c>
      <c r="F712" s="124" t="str">
        <f>IFERROR(__xludf.DUMMYFUNCTION("""COMPUTED_VALUE"""),"4014_988_7")</f>
        <v>4014_988_7</v>
      </c>
      <c r="G712" s="124">
        <f>IFERROR(__xludf.DUMMYFUNCTION("""COMPUTED_VALUE"""),115000.0)</f>
        <v>115000</v>
      </c>
      <c r="H712" s="124" t="str">
        <f>IFERROR(__xludf.DUMMYFUNCTION("""COMPUTED_VALUE"""),"Not Available")</f>
        <v>Not Available</v>
      </c>
      <c r="I712" s="124">
        <f>IFERROR(__xludf.DUMMYFUNCTION("""COMPUTED_VALUE"""),0.0)</f>
        <v>0</v>
      </c>
      <c r="J712" s="124">
        <f>IFERROR(__xludf.DUMMYFUNCTION("""COMPUTED_VALUE"""),120000.0)</f>
        <v>120000</v>
      </c>
      <c r="K712" s="124">
        <f>IFERROR(__xludf.DUMMYFUNCTION("""COMPUTED_VALUE"""),2.0)</f>
        <v>2</v>
      </c>
      <c r="L712" s="124">
        <f>IFERROR(__xludf.DUMMYFUNCTION("""COMPUTED_VALUE"""),174.0)</f>
        <v>174</v>
      </c>
      <c r="M712" s="124" t="str">
        <f>IFERROR(__xludf.DUMMYFUNCTION("""COMPUTED_VALUE"""),"New Delhi")</f>
        <v>New Delhi</v>
      </c>
      <c r="N712" s="124" t="str">
        <f>IFERROR(__xludf.DUMMYFUNCTION("""COMPUTED_VALUE"""),"lugloadvedant@gmail.com")</f>
        <v>lugloadvedant@gmail.com</v>
      </c>
      <c r="O712" s="124" t="str">
        <f>IFERROR(__xludf.DUMMYFUNCTION("""COMPUTED_VALUE"""),"Vedant Mishra")</f>
        <v>Vedant Mishra</v>
      </c>
      <c r="P712" s="124">
        <f>IFERROR(__xludf.DUMMYFUNCTION("""COMPUTED_VALUE"""),64176.0)</f>
        <v>64176</v>
      </c>
      <c r="Q712" s="124" t="str">
        <f>IFERROR(__xludf.DUMMYFUNCTION("""COMPUTED_VALUE"""),"upsc-gs-foundation-hinglish-target-2028-gsf-upsc-e03-orn")</f>
        <v>upsc-gs-foundation-hinglish-target-2028-gsf-upsc-e03-orn</v>
      </c>
      <c r="R712" s="124" t="str">
        <f>IFERROR(__xludf.DUMMYFUNCTION("""COMPUTED_VALUE"""),"GS Foundation Course")</f>
        <v>GS Foundation Course</v>
      </c>
      <c r="S712" s="124">
        <f>IFERROR(__xludf.DUMMYFUNCTION("""COMPUTED_VALUE"""),8.177006887E9)</f>
        <v>8177006887</v>
      </c>
      <c r="T712" s="124" t="str">
        <f>IFERROR(__xludf.DUMMYFUNCTION("""COMPUTED_VALUE"""),"Collexo")</f>
        <v>Collexo</v>
      </c>
      <c r="U712" s="124" t="str">
        <f>IFERROR(__xludf.DUMMYFUNCTION("""COMPUTED_VALUE"""),"Success")</f>
        <v>Success</v>
      </c>
      <c r="V712" s="131">
        <f>IFERROR(__xludf.DUMMYFUNCTION("""COMPUTED_VALUE"""),46059.0)</f>
        <v>46059</v>
      </c>
      <c r="W712" s="124">
        <f>IFERROR(__xludf.DUMMYFUNCTION("""COMPUTED_VALUE"""),0.0)</f>
        <v>0</v>
      </c>
    </row>
    <row r="713">
      <c r="A713" s="124" t="str">
        <f t="shared" si="1"/>
        <v>varsharaj076@gmail.com</v>
      </c>
      <c r="B713" s="131">
        <f>IFERROR(__xludf.DUMMYFUNCTION("""COMPUTED_VALUE"""),46100.0)</f>
        <v>46100</v>
      </c>
      <c r="C713" s="124" t="str">
        <f>IFERROR(__xludf.DUMMYFUNCTION("""COMPUTED_VALUE"""),"Payment data from Collexo")</f>
        <v>Payment data from Collexo</v>
      </c>
      <c r="D713" s="124" t="str">
        <f>IFERROR(__xludf.DUMMYFUNCTION("""COMPUTED_VALUE"""),"Not Available")</f>
        <v>Not Available</v>
      </c>
      <c r="E713" s="124">
        <f>IFERROR(__xludf.DUMMYFUNCTION("""COMPUTED_VALUE"""),1500611.0)</f>
        <v>1500611</v>
      </c>
      <c r="F713" s="124">
        <f>IFERROR(__xludf.DUMMYFUNCTION("""COMPUTED_VALUE"""),127097.0)</f>
        <v>127097</v>
      </c>
      <c r="G713" s="124">
        <f>IFERROR(__xludf.DUMMYFUNCTION("""COMPUTED_VALUE"""),5000.0)</f>
        <v>5000</v>
      </c>
      <c r="H713" s="131">
        <f>IFERROR(__xludf.DUMMYFUNCTION("""COMPUTED_VALUE"""),46100.0)</f>
        <v>46100</v>
      </c>
      <c r="I713" s="124">
        <f>IFERROR(__xludf.DUMMYFUNCTION("""COMPUTED_VALUE"""),5000.0)</f>
        <v>5000</v>
      </c>
      <c r="J713" s="124">
        <f>IFERROR(__xludf.DUMMYFUNCTION("""COMPUTED_VALUE"""),25000.0)</f>
        <v>25000</v>
      </c>
      <c r="K713" s="124">
        <f>IFERROR(__xludf.DUMMYFUNCTION("""COMPUTED_VALUE"""),5.0)</f>
        <v>5</v>
      </c>
      <c r="L713" s="124">
        <f>IFERROR(__xludf.DUMMYFUNCTION("""COMPUTED_VALUE"""),635.0)</f>
        <v>635</v>
      </c>
      <c r="M713" s="124" t="str">
        <f>IFERROR(__xludf.DUMMYFUNCTION("""COMPUTED_VALUE"""),"Patna")</f>
        <v>Patna</v>
      </c>
      <c r="N713" s="124" t="str">
        <f>IFERROR(__xludf.DUMMYFUNCTION("""COMPUTED_VALUE"""),"varsharaj076@gmail.com")</f>
        <v>varsharaj076@gmail.com</v>
      </c>
      <c r="O713" s="124" t="str">
        <f>IFERROR(__xludf.DUMMYFUNCTION("""COMPUTED_VALUE"""),"Varsha Raj")</f>
        <v>Varsha Raj</v>
      </c>
      <c r="P713" s="124">
        <f>IFERROR(__xludf.DUMMYFUNCTION("""COMPUTED_VALUE"""),127097.0)</f>
        <v>127097</v>
      </c>
      <c r="Q713" s="124" t="str">
        <f>IFERROR(__xludf.DUMMYFUNCTION("""COMPUTED_VALUE"""),"bpsc-gs-foundation-hinglish-target-2026-gsf-bpsc-m02-pat")</f>
        <v>bpsc-gs-foundation-hinglish-target-2026-gsf-bpsc-m02-pat</v>
      </c>
      <c r="R713" s="124" t="str">
        <f>IFERROR(__xludf.DUMMYFUNCTION("""COMPUTED_VALUE"""),"State PCS")</f>
        <v>State PCS</v>
      </c>
      <c r="S713" s="124">
        <f>IFERROR(__xludf.DUMMYFUNCTION("""COMPUTED_VALUE"""),9.122855348E9)</f>
        <v>9122855348</v>
      </c>
      <c r="T713" s="124" t="str">
        <f>IFERROR(__xludf.DUMMYFUNCTION("""COMPUTED_VALUE"""),"Not Available")</f>
        <v>Not Available</v>
      </c>
      <c r="U713" s="124" t="str">
        <f>IFERROR(__xludf.DUMMYFUNCTION("""COMPUTED_VALUE"""),"Not Available")</f>
        <v>Not Available</v>
      </c>
      <c r="V713" s="124" t="str">
        <f>IFERROR(__xludf.DUMMYFUNCTION("""COMPUTED_VALUE"""),"Not Available")</f>
        <v>Not Available</v>
      </c>
      <c r="W713" s="124" t="str">
        <f>IFERROR(__xludf.DUMMYFUNCTION("""COMPUTED_VALUE"""),"Not Available")</f>
        <v>Not Available</v>
      </c>
    </row>
    <row r="714">
      <c r="A714" s="124" t="str">
        <f t="shared" si="1"/>
        <v>jainkanchi678@gmail.com</v>
      </c>
      <c r="B714" s="131">
        <f>IFERROR(__xludf.DUMMYFUNCTION("""COMPUTED_VALUE"""),46098.0)</f>
        <v>46098</v>
      </c>
      <c r="C714" s="124" t="str">
        <f>IFERROR(__xludf.DUMMYFUNCTION("""COMPUTED_VALUE"""),"Payment data from Collexo")</f>
        <v>Payment data from Collexo</v>
      </c>
      <c r="D714" s="124" t="str">
        <f>IFERROR(__xludf.DUMMYFUNCTION("""COMPUTED_VALUE"""),"Not Available")</f>
        <v>Not Available</v>
      </c>
      <c r="E714" s="124">
        <f>IFERROR(__xludf.DUMMYFUNCTION("""COMPUTED_VALUE"""),1500612.0)</f>
        <v>1500612</v>
      </c>
      <c r="F714" s="124">
        <f>IFERROR(__xludf.DUMMYFUNCTION("""COMPUTED_VALUE"""),128133.0)</f>
        <v>128133</v>
      </c>
      <c r="G714" s="124">
        <f>IFERROR(__xludf.DUMMYFUNCTION("""COMPUTED_VALUE"""),80000.0)</f>
        <v>80000</v>
      </c>
      <c r="H714" s="124" t="str">
        <f>IFERROR(__xludf.DUMMYFUNCTION("""COMPUTED_VALUE"""),"Not Available")</f>
        <v>Not Available</v>
      </c>
      <c r="I714" s="124">
        <f>IFERROR(__xludf.DUMMYFUNCTION("""COMPUTED_VALUE"""),0.0)</f>
        <v>0</v>
      </c>
      <c r="J714" s="124">
        <f>IFERROR(__xludf.DUMMYFUNCTION("""COMPUTED_VALUE"""),90000.0)</f>
        <v>90000</v>
      </c>
      <c r="K714" s="124">
        <f>IFERROR(__xludf.DUMMYFUNCTION("""COMPUTED_VALUE"""),3.0)</f>
        <v>3</v>
      </c>
      <c r="L714" s="124">
        <f>IFERROR(__xludf.DUMMYFUNCTION("""COMPUTED_VALUE"""),576.0)</f>
        <v>576</v>
      </c>
      <c r="M714" s="124" t="str">
        <f>IFERROR(__xludf.DUMMYFUNCTION("""COMPUTED_VALUE"""),"Indore")</f>
        <v>Indore</v>
      </c>
      <c r="N714" s="124" t="str">
        <f>IFERROR(__xludf.DUMMYFUNCTION("""COMPUTED_VALUE"""),"jainkanchi678@gmail.com")</f>
        <v>jainkanchi678@gmail.com</v>
      </c>
      <c r="O714" s="124" t="str">
        <f>IFERROR(__xludf.DUMMYFUNCTION("""COMPUTED_VALUE"""),"Kanchi jain")</f>
        <v>Kanchi jain</v>
      </c>
      <c r="P714" s="124">
        <f>IFERROR(__xludf.DUMMYFUNCTION("""COMPUTED_VALUE"""),128133.0)</f>
        <v>128133</v>
      </c>
      <c r="Q714" s="124" t="str">
        <f>IFERROR(__xludf.DUMMYFUNCTION("""COMPUTED_VALUE"""),"upsc-gs-foundation-hinglish-target-2028-gsf-upsc-m03-ind")</f>
        <v>upsc-gs-foundation-hinglish-target-2028-gsf-upsc-m03-ind</v>
      </c>
      <c r="R714" s="124" t="str">
        <f>IFERROR(__xludf.DUMMYFUNCTION("""COMPUTED_VALUE"""),"GS Foundation Course")</f>
        <v>GS Foundation Course</v>
      </c>
      <c r="S714" s="124">
        <f>IFERROR(__xludf.DUMMYFUNCTION("""COMPUTED_VALUE"""),8.109610665E9)</f>
        <v>8109610665</v>
      </c>
      <c r="T714" s="124" t="str">
        <f>IFERROR(__xludf.DUMMYFUNCTION("""COMPUTED_VALUE"""),"Not Available")</f>
        <v>Not Available</v>
      </c>
      <c r="U714" s="124" t="str">
        <f>IFERROR(__xludf.DUMMYFUNCTION("""COMPUTED_VALUE"""),"Not Available")</f>
        <v>Not Available</v>
      </c>
      <c r="V714" s="124" t="str">
        <f>IFERROR(__xludf.DUMMYFUNCTION("""COMPUTED_VALUE"""),"Not Available")</f>
        <v>Not Available</v>
      </c>
      <c r="W714" s="124" t="str">
        <f>IFERROR(__xludf.DUMMYFUNCTION("""COMPUTED_VALUE"""),"Not Available")</f>
        <v>Not Available</v>
      </c>
    </row>
    <row r="715">
      <c r="A715" s="124" t="str">
        <f t="shared" si="1"/>
        <v>Mithlish704@gmail.com</v>
      </c>
      <c r="B715" s="131">
        <f>IFERROR(__xludf.DUMMYFUNCTION("""COMPUTED_VALUE"""),46057.0)</f>
        <v>46057</v>
      </c>
      <c r="C715" s="124" t="str">
        <f>IFERROR(__xludf.DUMMYFUNCTION("""COMPUTED_VALUE"""),"Payment data from Collexo")</f>
        <v>Payment data from Collexo</v>
      </c>
      <c r="D715" s="124" t="str">
        <f>IFERROR(__xludf.DUMMYFUNCTION("""COMPUTED_VALUE"""),"Not Available")</f>
        <v>Not Available</v>
      </c>
      <c r="E715" s="124">
        <f>IFERROR(__xludf.DUMMYFUNCTION("""COMPUTED_VALUE"""),1500610.0)</f>
        <v>1500610</v>
      </c>
      <c r="F715" s="124">
        <f>IFERROR(__xludf.DUMMYFUNCTION("""COMPUTED_VALUE"""),120478.0)</f>
        <v>120478</v>
      </c>
      <c r="G715" s="124">
        <f>IFERROR(__xludf.DUMMYFUNCTION("""COMPUTED_VALUE"""),8944.0)</f>
        <v>8944</v>
      </c>
      <c r="H715" s="131">
        <f>IFERROR(__xludf.DUMMYFUNCTION("""COMPUTED_VALUE"""),46060.0)</f>
        <v>46060</v>
      </c>
      <c r="I715" s="124">
        <f>IFERROR(__xludf.DUMMYFUNCTION("""COMPUTED_VALUE"""),46056.0)</f>
        <v>46056</v>
      </c>
      <c r="J715" s="124">
        <f>IFERROR(__xludf.DUMMYFUNCTION("""COMPUTED_VALUE"""),55000.0)</f>
        <v>55000</v>
      </c>
      <c r="K715" s="124">
        <f>IFERROR(__xludf.DUMMYFUNCTION("""COMPUTED_VALUE"""),2.0)</f>
        <v>2</v>
      </c>
      <c r="L715" s="124">
        <f>IFERROR(__xludf.DUMMYFUNCTION("""COMPUTED_VALUE"""),164.0)</f>
        <v>164</v>
      </c>
      <c r="M715" s="124" t="str">
        <f>IFERROR(__xludf.DUMMYFUNCTION("""COMPUTED_VALUE"""),"Lucknow")</f>
        <v>Lucknow</v>
      </c>
      <c r="N715" s="124" t="str">
        <f>IFERROR(__xludf.DUMMYFUNCTION("""COMPUTED_VALUE"""),"Mithlish704@gmail.com")</f>
        <v>Mithlish704@gmail.com</v>
      </c>
      <c r="O715" s="124" t="str">
        <f>IFERROR(__xludf.DUMMYFUNCTION("""COMPUTED_VALUE"""),"Mithlesh")</f>
        <v>Mithlesh</v>
      </c>
      <c r="P715" s="124">
        <f>IFERROR(__xludf.DUMMYFUNCTION("""COMPUTED_VALUE"""),120478.0)</f>
        <v>120478</v>
      </c>
      <c r="Q715" s="124" t="str">
        <f>IFERROR(__xludf.DUMMYFUNCTION("""COMPUTED_VALUE"""),"Not Available")</f>
        <v>Not Available</v>
      </c>
      <c r="R715" s="124" t="str">
        <f>IFERROR(__xludf.DUMMYFUNCTION("""COMPUTED_VALUE"""),"GS Foundation Course")</f>
        <v>GS Foundation Course</v>
      </c>
      <c r="S715" s="124">
        <f>IFERROR(__xludf.DUMMYFUNCTION("""COMPUTED_VALUE"""),9.648333404E9)</f>
        <v>9648333404</v>
      </c>
      <c r="T715" s="124" t="str">
        <f>IFERROR(__xludf.DUMMYFUNCTION("""COMPUTED_VALUE"""),"Not Available")</f>
        <v>Not Available</v>
      </c>
      <c r="U715" s="124" t="str">
        <f>IFERROR(__xludf.DUMMYFUNCTION("""COMPUTED_VALUE"""),"Not Available")</f>
        <v>Not Available</v>
      </c>
      <c r="V715" s="124" t="str">
        <f>IFERROR(__xludf.DUMMYFUNCTION("""COMPUTED_VALUE"""),"Not Available")</f>
        <v>Not Available</v>
      </c>
      <c r="W715" s="124" t="str">
        <f>IFERROR(__xludf.DUMMYFUNCTION("""COMPUTED_VALUE"""),"Not Available")</f>
        <v>Not Available</v>
      </c>
    </row>
    <row r="716">
      <c r="A716" s="124" t="str">
        <f t="shared" si="1"/>
        <v>lugloadvedant@gmail.com</v>
      </c>
      <c r="B716" s="131">
        <f>IFERROR(__xludf.DUMMYFUNCTION("""COMPUTED_VALUE"""),46057.0)</f>
        <v>46057</v>
      </c>
      <c r="C716" s="124" t="str">
        <f>IFERROR(__xludf.DUMMYFUNCTION("""COMPUTED_VALUE"""),"Payment data from Collexo")</f>
        <v>Payment data from Collexo</v>
      </c>
      <c r="D716" s="124" t="str">
        <f>IFERROR(__xludf.DUMMYFUNCTION("""COMPUTED_VALUE"""),"Not Available")</f>
        <v>Not Available</v>
      </c>
      <c r="E716" s="124">
        <f>IFERROR(__xludf.DUMMYFUNCTION("""COMPUTED_VALUE"""),1500609.0)</f>
        <v>1500609</v>
      </c>
      <c r="F716" s="124" t="str">
        <f>IFERROR(__xludf.DUMMYFUNCTION("""COMPUTED_VALUE"""),"3825_988_7")</f>
        <v>3825_988_7</v>
      </c>
      <c r="G716" s="124">
        <f>IFERROR(__xludf.DUMMYFUNCTION("""COMPUTED_VALUE"""),5000.0)</f>
        <v>5000</v>
      </c>
      <c r="H716" s="131">
        <f>IFERROR(__xludf.DUMMYFUNCTION("""COMPUTED_VALUE"""),46064.0)</f>
        <v>46064</v>
      </c>
      <c r="I716" s="124">
        <f>IFERROR(__xludf.DUMMYFUNCTION("""COMPUTED_VALUE"""),115000.0)</f>
        <v>115000</v>
      </c>
      <c r="J716" s="124">
        <f>IFERROR(__xludf.DUMMYFUNCTION("""COMPUTED_VALUE"""),120000.0)</f>
        <v>120000</v>
      </c>
      <c r="K716" s="124">
        <f>IFERROR(__xludf.DUMMYFUNCTION("""COMPUTED_VALUE"""),2.0)</f>
        <v>2</v>
      </c>
      <c r="L716" s="124">
        <f>IFERROR(__xludf.DUMMYFUNCTION("""COMPUTED_VALUE"""),165.0)</f>
        <v>165</v>
      </c>
      <c r="M716" s="124" t="str">
        <f>IFERROR(__xludf.DUMMYFUNCTION("""COMPUTED_VALUE"""),"New Delhi")</f>
        <v>New Delhi</v>
      </c>
      <c r="N716" s="124" t="str">
        <f>IFERROR(__xludf.DUMMYFUNCTION("""COMPUTED_VALUE"""),"lugloadvedant@gmail.com")</f>
        <v>lugloadvedant@gmail.com</v>
      </c>
      <c r="O716" s="124" t="str">
        <f>IFERROR(__xludf.DUMMYFUNCTION("""COMPUTED_VALUE"""),"Vedant Mishra")</f>
        <v>Vedant Mishra</v>
      </c>
      <c r="P716" s="124">
        <f>IFERROR(__xludf.DUMMYFUNCTION("""COMPUTED_VALUE"""),64176.0)</f>
        <v>64176</v>
      </c>
      <c r="Q716" s="124" t="str">
        <f>IFERROR(__xludf.DUMMYFUNCTION("""COMPUTED_VALUE"""),"upsc-gs-foundation-hinglish-target-2028-gsf-upsc-e03-orn")</f>
        <v>upsc-gs-foundation-hinglish-target-2028-gsf-upsc-e03-orn</v>
      </c>
      <c r="R716" s="124" t="str">
        <f>IFERROR(__xludf.DUMMYFUNCTION("""COMPUTED_VALUE"""),"GS Foundation Course")</f>
        <v>GS Foundation Course</v>
      </c>
      <c r="S716" s="124">
        <f>IFERROR(__xludf.DUMMYFUNCTION("""COMPUTED_VALUE"""),8.177006887E9)</f>
        <v>8177006887</v>
      </c>
      <c r="T716" s="124" t="str">
        <f>IFERROR(__xludf.DUMMYFUNCTION("""COMPUTED_VALUE"""),"Collexo")</f>
        <v>Collexo</v>
      </c>
      <c r="U716" s="124" t="str">
        <f>IFERROR(__xludf.DUMMYFUNCTION("""COMPUTED_VALUE"""),"Success")</f>
        <v>Success</v>
      </c>
      <c r="V716" s="131">
        <f>IFERROR(__xludf.DUMMYFUNCTION("""COMPUTED_VALUE"""),46057.0)</f>
        <v>46057</v>
      </c>
      <c r="W716" s="124">
        <f>IFERROR(__xludf.DUMMYFUNCTION("""COMPUTED_VALUE"""),0.0)</f>
        <v>0</v>
      </c>
    </row>
    <row r="717">
      <c r="A717" s="124" t="str">
        <f t="shared" si="1"/>
        <v>kumarbindashutosh05@gmail.com</v>
      </c>
      <c r="B717" s="131">
        <f>IFERROR(__xludf.DUMMYFUNCTION("""COMPUTED_VALUE"""),46097.0)</f>
        <v>46097</v>
      </c>
      <c r="C717" s="124" t="str">
        <f>IFERROR(__xludf.DUMMYFUNCTION("""COMPUTED_VALUE"""),"Payment data from Collexo")</f>
        <v>Payment data from Collexo</v>
      </c>
      <c r="D717" s="124" t="str">
        <f>IFERROR(__xludf.DUMMYFUNCTION("""COMPUTED_VALUE"""),"Not Available")</f>
        <v>Not Available</v>
      </c>
      <c r="E717" s="124">
        <f>IFERROR(__xludf.DUMMYFUNCTION("""COMPUTED_VALUE"""),1500613.0)</f>
        <v>1500613</v>
      </c>
      <c r="F717" s="124">
        <f>IFERROR(__xludf.DUMMYFUNCTION("""COMPUTED_VALUE"""),127700.0)</f>
        <v>127700</v>
      </c>
      <c r="G717" s="124">
        <f>IFERROR(__xludf.DUMMYFUNCTION("""COMPUTED_VALUE"""),1500.0)</f>
        <v>1500</v>
      </c>
      <c r="H717" s="131">
        <f>IFERROR(__xludf.DUMMYFUNCTION("""COMPUTED_VALUE"""),46098.0)</f>
        <v>46098</v>
      </c>
      <c r="I717" s="124">
        <f>IFERROR(__xludf.DUMMYFUNCTION("""COMPUTED_VALUE"""),33500.0)</f>
        <v>33500</v>
      </c>
      <c r="J717" s="124">
        <f>IFERROR(__xludf.DUMMYFUNCTION("""COMPUTED_VALUE"""),35000.0)</f>
        <v>35000</v>
      </c>
      <c r="K717" s="124">
        <f>IFERROR(__xludf.DUMMYFUNCTION("""COMPUTED_VALUE"""),2.0)</f>
        <v>2</v>
      </c>
      <c r="L717" s="124">
        <f>IFERROR(__xludf.DUMMYFUNCTION("""COMPUTED_VALUE"""),564.0)</f>
        <v>564</v>
      </c>
      <c r="M717" s="124" t="str">
        <f>IFERROR(__xludf.DUMMYFUNCTION("""COMPUTED_VALUE"""),"Prayagraj")</f>
        <v>Prayagraj</v>
      </c>
      <c r="N717" s="124" t="str">
        <f>IFERROR(__xludf.DUMMYFUNCTION("""COMPUTED_VALUE"""),"kumarbindashutosh05@gmail.com")</f>
        <v>kumarbindashutosh05@gmail.com</v>
      </c>
      <c r="O717" s="124" t="str">
        <f>IFERROR(__xludf.DUMMYFUNCTION("""COMPUTED_VALUE"""),"Ashutosh Kumar")</f>
        <v>Ashutosh Kumar</v>
      </c>
      <c r="P717" s="124">
        <f>IFERROR(__xludf.DUMMYFUNCTION("""COMPUTED_VALUE"""),127700.0)</f>
        <v>127700</v>
      </c>
      <c r="Q717" s="124" t="str">
        <f>IFERROR(__xludf.DUMMYFUNCTION("""COMPUTED_VALUE"""),"upsc-gs-foundation-hindi-target-2027-gsf-upsc-m02-pry")</f>
        <v>upsc-gs-foundation-hindi-target-2027-gsf-upsc-m02-pry</v>
      </c>
      <c r="R717" s="124" t="str">
        <f>IFERROR(__xludf.DUMMYFUNCTION("""COMPUTED_VALUE"""),"GS Foundation Course")</f>
        <v>GS Foundation Course</v>
      </c>
      <c r="S717" s="124">
        <f>IFERROR(__xludf.DUMMYFUNCTION("""COMPUTED_VALUE"""),7.080849027E9)</f>
        <v>7080849027</v>
      </c>
      <c r="T717" s="124" t="str">
        <f>IFERROR(__xludf.DUMMYFUNCTION("""COMPUTED_VALUE"""),"Not Available")</f>
        <v>Not Available</v>
      </c>
      <c r="U717" s="124" t="str">
        <f>IFERROR(__xludf.DUMMYFUNCTION("""COMPUTED_VALUE"""),"Not Available")</f>
        <v>Not Available</v>
      </c>
      <c r="V717" s="124" t="str">
        <f>IFERROR(__xludf.DUMMYFUNCTION("""COMPUTED_VALUE"""),"Not Available")</f>
        <v>Not Available</v>
      </c>
      <c r="W717" s="124" t="str">
        <f>IFERROR(__xludf.DUMMYFUNCTION("""COMPUTED_VALUE"""),"Not Available")</f>
        <v>Not Available</v>
      </c>
    </row>
    <row r="718">
      <c r="A718" s="124" t="str">
        <f t="shared" si="1"/>
        <v>gyanu14315052002@gmail.com</v>
      </c>
      <c r="B718" s="131">
        <f>IFERROR(__xludf.DUMMYFUNCTION("""COMPUTED_VALUE"""),46111.0)</f>
        <v>46111</v>
      </c>
      <c r="C718" s="124" t="str">
        <f>IFERROR(__xludf.DUMMYFUNCTION("""COMPUTED_VALUE"""),"Payment data from Collexo")</f>
        <v>Payment data from Collexo</v>
      </c>
      <c r="D718" s="124" t="str">
        <f>IFERROR(__xludf.DUMMYFUNCTION("""COMPUTED_VALUE"""),"Not Available")</f>
        <v>Not Available</v>
      </c>
      <c r="E718" s="124">
        <f>IFERROR(__xludf.DUMMYFUNCTION("""COMPUTED_VALUE"""),1500609.0)</f>
        <v>1500609</v>
      </c>
      <c r="F718" s="124" t="str">
        <f>IFERROR(__xludf.DUMMYFUNCTION("""COMPUTED_VALUE"""),"17457_988_7")</f>
        <v>17457_988_7</v>
      </c>
      <c r="G718" s="124">
        <f>IFERROR(__xludf.DUMMYFUNCTION("""COMPUTED_VALUE"""),5000.0)</f>
        <v>5000</v>
      </c>
      <c r="H718" s="131">
        <f>IFERROR(__xludf.DUMMYFUNCTION("""COMPUTED_VALUE"""),46112.0)</f>
        <v>46112</v>
      </c>
      <c r="I718" s="124">
        <f>IFERROR(__xludf.DUMMYFUNCTION("""COMPUTED_VALUE"""),105000.0)</f>
        <v>105000</v>
      </c>
      <c r="J718" s="124">
        <f>IFERROR(__xludf.DUMMYFUNCTION("""COMPUTED_VALUE"""),110000.0)</f>
        <v>110000</v>
      </c>
      <c r="K718" s="124">
        <f>IFERROR(__xludf.DUMMYFUNCTION("""COMPUTED_VALUE"""),2.0)</f>
        <v>2</v>
      </c>
      <c r="L718" s="124">
        <f>IFERROR(__xludf.DUMMYFUNCTION("""COMPUTED_VALUE"""),838.0)</f>
        <v>838</v>
      </c>
      <c r="M718" s="124" t="str">
        <f>IFERROR(__xludf.DUMMYFUNCTION("""COMPUTED_VALUE"""),"New Delhi")</f>
        <v>New Delhi</v>
      </c>
      <c r="N718" s="124" t="str">
        <f>IFERROR(__xludf.DUMMYFUNCTION("""COMPUTED_VALUE"""),"gyanu14315052002@gmail.com")</f>
        <v>gyanu14315052002@gmail.com</v>
      </c>
      <c r="O718" s="124" t="str">
        <f>IFERROR(__xludf.DUMMYFUNCTION("""COMPUTED_VALUE"""),"Gyanendra chaubey")</f>
        <v>Gyanendra chaubey</v>
      </c>
      <c r="P718" s="124">
        <f>IFERROR(__xludf.DUMMYFUNCTION("""COMPUTED_VALUE"""),130039.0)</f>
        <v>130039</v>
      </c>
      <c r="Q718" s="124" t="str">
        <f>IFERROR(__xludf.DUMMYFUNCTION("""COMPUTED_VALUE"""),"upsc-gs-foundation-hinglish-target-2027-gsf-upsc-m04-orn")</f>
        <v>upsc-gs-foundation-hinglish-target-2027-gsf-upsc-m04-orn</v>
      </c>
      <c r="R718" s="124" t="str">
        <f>IFERROR(__xludf.DUMMYFUNCTION("""COMPUTED_VALUE"""),"GS Foundation Course")</f>
        <v>GS Foundation Course</v>
      </c>
      <c r="S718" s="124">
        <f>IFERROR(__xludf.DUMMYFUNCTION("""COMPUTED_VALUE"""),9.92317054E9)</f>
        <v>9923170540</v>
      </c>
      <c r="T718" s="124" t="str">
        <f>IFERROR(__xludf.DUMMYFUNCTION("""COMPUTED_VALUE"""),"Not Available")</f>
        <v>Not Available</v>
      </c>
      <c r="U718" s="124" t="str">
        <f>IFERROR(__xludf.DUMMYFUNCTION("""COMPUTED_VALUE"""),"Not Available")</f>
        <v>Not Available</v>
      </c>
      <c r="V718" s="124" t="str">
        <f>IFERROR(__xludf.DUMMYFUNCTION("""COMPUTED_VALUE"""),"Not Available")</f>
        <v>Not Available</v>
      </c>
      <c r="W718" s="124" t="str">
        <f>IFERROR(__xludf.DUMMYFUNCTION("""COMPUTED_VALUE"""),"Not Available")</f>
        <v>Not Available</v>
      </c>
    </row>
    <row r="719">
      <c r="A719" s="124" t="str">
        <f t="shared" si="1"/>
        <v>abbasnasirsyed73@gmail.com</v>
      </c>
      <c r="B719" s="131">
        <f>IFERROR(__xludf.DUMMYFUNCTION("""COMPUTED_VALUE"""),46083.0)</f>
        <v>46083</v>
      </c>
      <c r="C719" s="124" t="str">
        <f>IFERROR(__xludf.DUMMYFUNCTION("""COMPUTED_VALUE"""),"Payment data from Collexo")</f>
        <v>Payment data from Collexo</v>
      </c>
      <c r="D719" s="124" t="str">
        <f>IFERROR(__xludf.DUMMYFUNCTION("""COMPUTED_VALUE"""),"Not Available")</f>
        <v>Not Available</v>
      </c>
      <c r="E719" s="124">
        <f>IFERROR(__xludf.DUMMYFUNCTION("""COMPUTED_VALUE"""),1500609.0)</f>
        <v>1500609</v>
      </c>
      <c r="F719" s="124" t="str">
        <f>IFERROR(__xludf.DUMMYFUNCTION("""COMPUTED_VALUE"""),"11949_988_7")</f>
        <v>11949_988_7</v>
      </c>
      <c r="G719" s="124">
        <f>IFERROR(__xludf.DUMMYFUNCTION("""COMPUTED_VALUE"""),70000.0)</f>
        <v>70000</v>
      </c>
      <c r="H719" s="131">
        <f>IFERROR(__xludf.DUMMYFUNCTION("""COMPUTED_VALUE"""),46113.0)</f>
        <v>46113</v>
      </c>
      <c r="I719" s="124">
        <f>IFERROR(__xludf.DUMMYFUNCTION("""COMPUTED_VALUE"""),55000.0)</f>
        <v>55000</v>
      </c>
      <c r="J719" s="124">
        <f>IFERROR(__xludf.DUMMYFUNCTION("""COMPUTED_VALUE"""),125500.0)</f>
        <v>125500</v>
      </c>
      <c r="K719" s="124">
        <f>IFERROR(__xludf.DUMMYFUNCTION("""COMPUTED_VALUE"""),3.0)</f>
        <v>3</v>
      </c>
      <c r="L719" s="124">
        <f>IFERROR(__xludf.DUMMYFUNCTION("""COMPUTED_VALUE"""),405.0)</f>
        <v>405</v>
      </c>
      <c r="M719" s="124" t="str">
        <f>IFERROR(__xludf.DUMMYFUNCTION("""COMPUTED_VALUE"""),"New Delhi")</f>
        <v>New Delhi</v>
      </c>
      <c r="N719" s="124" t="str">
        <f>IFERROR(__xludf.DUMMYFUNCTION("""COMPUTED_VALUE"""),"abbasnasirsyed73@gmail.com")</f>
        <v>abbasnasirsyed73@gmail.com</v>
      </c>
      <c r="O719" s="124" t="str">
        <f>IFERROR(__xludf.DUMMYFUNCTION("""COMPUTED_VALUE"""),"SYED NASIR ABBAS")</f>
        <v>SYED NASIR ABBAS</v>
      </c>
      <c r="P719" s="124">
        <f>IFERROR(__xludf.DUMMYFUNCTION("""COMPUTED_VALUE"""),124659.0)</f>
        <v>124659</v>
      </c>
      <c r="Q719" s="124" t="str">
        <f>IFERROR(__xludf.DUMMYFUNCTION("""COMPUTED_VALUE"""),"upsc-gs-foundation-hinglish-target-2028-gsf-upsc-e05-orn")</f>
        <v>upsc-gs-foundation-hinglish-target-2028-gsf-upsc-e05-orn</v>
      </c>
      <c r="R719" s="124" t="str">
        <f>IFERROR(__xludf.DUMMYFUNCTION("""COMPUTED_VALUE"""),"GS Foundation Course")</f>
        <v>GS Foundation Course</v>
      </c>
      <c r="S719" s="124">
        <f>IFERROR(__xludf.DUMMYFUNCTION("""COMPUTED_VALUE"""),7.838172035E9)</f>
        <v>7838172035</v>
      </c>
      <c r="T719" s="124" t="str">
        <f>IFERROR(__xludf.DUMMYFUNCTION("""COMPUTED_VALUE"""),"Collexo")</f>
        <v>Collexo</v>
      </c>
      <c r="U719" s="124" t="str">
        <f>IFERROR(__xludf.DUMMYFUNCTION("""COMPUTED_VALUE"""),"Success")</f>
        <v>Success</v>
      </c>
      <c r="V719" s="131">
        <f>IFERROR(__xludf.DUMMYFUNCTION("""COMPUTED_VALUE"""),46083.0)</f>
        <v>46083</v>
      </c>
      <c r="W719" s="124">
        <f>IFERROR(__xludf.DUMMYFUNCTION("""COMPUTED_VALUE"""),0.0)</f>
        <v>0</v>
      </c>
    </row>
    <row r="720">
      <c r="A720" s="124" t="str">
        <f t="shared" si="1"/>
        <v>abbasnasirsyed73@gmail.com</v>
      </c>
      <c r="B720" s="131">
        <f>IFERROR(__xludf.DUMMYFUNCTION("""COMPUTED_VALUE"""),46092.0)</f>
        <v>46092</v>
      </c>
      <c r="C720" s="124" t="str">
        <f>IFERROR(__xludf.DUMMYFUNCTION("""COMPUTED_VALUE"""),"Payment data from Collexo")</f>
        <v>Payment data from Collexo</v>
      </c>
      <c r="D720" s="124" t="str">
        <f>IFERROR(__xludf.DUMMYFUNCTION("""COMPUTED_VALUE"""),"Not Available")</f>
        <v>Not Available</v>
      </c>
      <c r="E720" s="124">
        <f>IFERROR(__xludf.DUMMYFUNCTION("""COMPUTED_VALUE"""),1500609.0)</f>
        <v>1500609</v>
      </c>
      <c r="F720" s="124" t="str">
        <f>IFERROR(__xludf.DUMMYFUNCTION("""COMPUTED_VALUE"""),"13588_988_7")</f>
        <v>13588_988_7</v>
      </c>
      <c r="G720" s="124">
        <f>IFERROR(__xludf.DUMMYFUNCTION("""COMPUTED_VALUE"""),1.0)</f>
        <v>1</v>
      </c>
      <c r="H720" s="124" t="str">
        <f>IFERROR(__xludf.DUMMYFUNCTION("""COMPUTED_VALUE"""),"Not Available")</f>
        <v>Not Available</v>
      </c>
      <c r="I720" s="124">
        <f>IFERROR(__xludf.DUMMYFUNCTION("""COMPUTED_VALUE"""),0.0)</f>
        <v>0</v>
      </c>
      <c r="J720" s="124">
        <f>IFERROR(__xludf.DUMMYFUNCTION("""COMPUTED_VALUE"""),1.0)</f>
        <v>1</v>
      </c>
      <c r="K720" s="124">
        <f>IFERROR(__xludf.DUMMYFUNCTION("""COMPUTED_VALUE"""),1.0)</f>
        <v>1</v>
      </c>
      <c r="L720" s="124">
        <f>IFERROR(__xludf.DUMMYFUNCTION("""COMPUTED_VALUE"""),481.0)</f>
        <v>481</v>
      </c>
      <c r="M720" s="124" t="str">
        <f>IFERROR(__xludf.DUMMYFUNCTION("""COMPUTED_VALUE"""),"New Delhi")</f>
        <v>New Delhi</v>
      </c>
      <c r="N720" s="124" t="str">
        <f>IFERROR(__xludf.DUMMYFUNCTION("""COMPUTED_VALUE"""),"abbasnasirsyed73@gmail.com")</f>
        <v>abbasnasirsyed73@gmail.com</v>
      </c>
      <c r="O720" s="124" t="str">
        <f>IFERROR(__xludf.DUMMYFUNCTION("""COMPUTED_VALUE"""),"SYED NASIR ABBAS")</f>
        <v>SYED NASIR ABBAS</v>
      </c>
      <c r="P720" s="124">
        <f>IFERROR(__xludf.DUMMYFUNCTION("""COMPUTED_VALUE"""),124659.0)</f>
        <v>124659</v>
      </c>
      <c r="Q720" s="124" t="str">
        <f>IFERROR(__xludf.DUMMYFUNCTION("""COMPUTED_VALUE"""),"upsc-gs-foundation-hinglish-target-2028-gsf-upsc-e05-orn")</f>
        <v>upsc-gs-foundation-hinglish-target-2028-gsf-upsc-e05-orn</v>
      </c>
      <c r="R720" s="124" t="str">
        <f>IFERROR(__xludf.DUMMYFUNCTION("""COMPUTED_VALUE"""),"GS Foundation Course")</f>
        <v>GS Foundation Course</v>
      </c>
      <c r="S720" s="124">
        <f>IFERROR(__xludf.DUMMYFUNCTION("""COMPUTED_VALUE"""),7.838172035E9)</f>
        <v>7838172035</v>
      </c>
      <c r="T720" s="124" t="str">
        <f>IFERROR(__xludf.DUMMYFUNCTION("""COMPUTED_VALUE"""),"Collexo")</f>
        <v>Collexo</v>
      </c>
      <c r="U720" s="124" t="str">
        <f>IFERROR(__xludf.DUMMYFUNCTION("""COMPUTED_VALUE"""),"Success")</f>
        <v>Success</v>
      </c>
      <c r="V720" s="131">
        <f>IFERROR(__xludf.DUMMYFUNCTION("""COMPUTED_VALUE"""),46092.0)</f>
        <v>46092</v>
      </c>
      <c r="W720" s="124">
        <f>IFERROR(__xludf.DUMMYFUNCTION("""COMPUTED_VALUE"""),0.0)</f>
        <v>0</v>
      </c>
    </row>
    <row r="721">
      <c r="A721" s="124" t="str">
        <f t="shared" si="1"/>
        <v>priyasingh28317@gmail.com</v>
      </c>
      <c r="B721" s="131">
        <f>IFERROR(__xludf.DUMMYFUNCTION("""COMPUTED_VALUE"""),46072.0)</f>
        <v>46072</v>
      </c>
      <c r="C721" s="124" t="str">
        <f>IFERROR(__xludf.DUMMYFUNCTION("""COMPUTED_VALUE"""),"Payment data from Collexo")</f>
        <v>Payment data from Collexo</v>
      </c>
      <c r="D721" s="124" t="str">
        <f>IFERROR(__xludf.DUMMYFUNCTION("""COMPUTED_VALUE"""),"Not Available")</f>
        <v>Not Available</v>
      </c>
      <c r="E721" s="124">
        <f>IFERROR(__xludf.DUMMYFUNCTION("""COMPUTED_VALUE"""),1500609.0)</f>
        <v>1500609</v>
      </c>
      <c r="F721" s="124" t="str">
        <f>IFERROR(__xludf.DUMMYFUNCTION("""COMPUTED_VALUE"""),"6463_988_7")</f>
        <v>6463_988_7</v>
      </c>
      <c r="G721" s="124">
        <f>IFERROR(__xludf.DUMMYFUNCTION("""COMPUTED_VALUE"""),5000.0)</f>
        <v>5000</v>
      </c>
      <c r="H721" s="131">
        <f>IFERROR(__xludf.DUMMYFUNCTION("""COMPUTED_VALUE"""),46081.0)</f>
        <v>46081</v>
      </c>
      <c r="I721" s="124">
        <f>IFERROR(__xludf.DUMMYFUNCTION("""COMPUTED_VALUE"""),55000.0)</f>
        <v>55000</v>
      </c>
      <c r="J721" s="124">
        <f>IFERROR(__xludf.DUMMYFUNCTION("""COMPUTED_VALUE"""),60000.0)</f>
        <v>60000</v>
      </c>
      <c r="K721" s="124">
        <f>IFERROR(__xludf.DUMMYFUNCTION("""COMPUTED_VALUE"""),2.0)</f>
        <v>2</v>
      </c>
      <c r="L721" s="124">
        <f>IFERROR(__xludf.DUMMYFUNCTION("""COMPUTED_VALUE"""),258.0)</f>
        <v>258</v>
      </c>
      <c r="M721" s="124" t="str">
        <f>IFERROR(__xludf.DUMMYFUNCTION("""COMPUTED_VALUE"""),"New Delhi")</f>
        <v>New Delhi</v>
      </c>
      <c r="N721" s="124" t="str">
        <f>IFERROR(__xludf.DUMMYFUNCTION("""COMPUTED_VALUE"""),"priyasingh28317@gmail.com")</f>
        <v>priyasingh28317@gmail.com</v>
      </c>
      <c r="O721" s="124" t="str">
        <f>IFERROR(__xludf.DUMMYFUNCTION("""COMPUTED_VALUE"""),"Priya")</f>
        <v>Priya</v>
      </c>
      <c r="P721" s="124">
        <f>IFERROR(__xludf.DUMMYFUNCTION("""COMPUTED_VALUE"""),124180.0)</f>
        <v>124180</v>
      </c>
      <c r="Q721" s="124" t="str">
        <f>IFERROR(__xludf.DUMMYFUNCTION("""COMPUTED_VALUE"""),"upsc-gs-foundation-hinglish-target-2027-gsf-upsc-e04-orn")</f>
        <v>upsc-gs-foundation-hinglish-target-2027-gsf-upsc-e04-orn</v>
      </c>
      <c r="R721" s="124" t="str">
        <f>IFERROR(__xludf.DUMMYFUNCTION("""COMPUTED_VALUE"""),"GS Foundation Course")</f>
        <v>GS Foundation Course</v>
      </c>
      <c r="S721" s="124">
        <f>IFERROR(__xludf.DUMMYFUNCTION("""COMPUTED_VALUE"""),9.693807345E9)</f>
        <v>9693807345</v>
      </c>
      <c r="T721" s="124" t="str">
        <f>IFERROR(__xludf.DUMMYFUNCTION("""COMPUTED_VALUE"""),"Not Available")</f>
        <v>Not Available</v>
      </c>
      <c r="U721" s="124" t="str">
        <f>IFERROR(__xludf.DUMMYFUNCTION("""COMPUTED_VALUE"""),"Not Available")</f>
        <v>Not Available</v>
      </c>
      <c r="V721" s="124" t="str">
        <f>IFERROR(__xludf.DUMMYFUNCTION("""COMPUTED_VALUE"""),"Not Available")</f>
        <v>Not Available</v>
      </c>
      <c r="W721" s="124" t="str">
        <f>IFERROR(__xludf.DUMMYFUNCTION("""COMPUTED_VALUE"""),"Not Available")</f>
        <v>Not Available</v>
      </c>
    </row>
    <row r="722">
      <c r="A722" s="124" t="str">
        <f t="shared" si="1"/>
        <v>alokpratap226@gmail.com</v>
      </c>
      <c r="B722" s="131">
        <f>IFERROR(__xludf.DUMMYFUNCTION("""COMPUTED_VALUE"""),46111.0)</f>
        <v>46111</v>
      </c>
      <c r="C722" s="124" t="str">
        <f>IFERROR(__xludf.DUMMYFUNCTION("""COMPUTED_VALUE"""),"Payment data from Collexo")</f>
        <v>Payment data from Collexo</v>
      </c>
      <c r="D722" s="124" t="str">
        <f>IFERROR(__xludf.DUMMYFUNCTION("""COMPUTED_VALUE"""),"Not Available")</f>
        <v>Not Available</v>
      </c>
      <c r="E722" s="124">
        <f>IFERROR(__xludf.DUMMYFUNCTION("""COMPUTED_VALUE"""),1500610.0)</f>
        <v>1500610</v>
      </c>
      <c r="F722" s="124">
        <f>IFERROR(__xludf.DUMMYFUNCTION("""COMPUTED_VALUE"""),25855.0)</f>
        <v>25855</v>
      </c>
      <c r="G722" s="124">
        <f>IFERROR(__xludf.DUMMYFUNCTION("""COMPUTED_VALUE"""),2000.0)</f>
        <v>2000</v>
      </c>
      <c r="H722" s="131">
        <f>IFERROR(__xludf.DUMMYFUNCTION("""COMPUTED_VALUE"""),46112.0)</f>
        <v>46112</v>
      </c>
      <c r="I722" s="124">
        <f>IFERROR(__xludf.DUMMYFUNCTION("""COMPUTED_VALUE"""),2587.0)</f>
        <v>2587</v>
      </c>
      <c r="J722" s="124">
        <f>IFERROR(__xludf.DUMMYFUNCTION("""COMPUTED_VALUE"""),35000.0)</f>
        <v>35000</v>
      </c>
      <c r="K722" s="124">
        <f>IFERROR(__xludf.DUMMYFUNCTION("""COMPUTED_VALUE"""),3.0)</f>
        <v>3</v>
      </c>
      <c r="L722" s="124">
        <f>IFERROR(__xludf.DUMMYFUNCTION("""COMPUTED_VALUE"""),847.0)</f>
        <v>847</v>
      </c>
      <c r="M722" s="124" t="str">
        <f>IFERROR(__xludf.DUMMYFUNCTION("""COMPUTED_VALUE"""),"Lucknow")</f>
        <v>Lucknow</v>
      </c>
      <c r="N722" s="124" t="str">
        <f>IFERROR(__xludf.DUMMYFUNCTION("""COMPUTED_VALUE"""),"alokpratap226@gmail.com")</f>
        <v>alokpratap226@gmail.com</v>
      </c>
      <c r="O722" s="124" t="str">
        <f>IFERROR(__xludf.DUMMYFUNCTION("""COMPUTED_VALUE"""),"Alok Singh")</f>
        <v>Alok Singh</v>
      </c>
      <c r="P722" s="124">
        <f>IFERROR(__xludf.DUMMYFUNCTION("""COMPUTED_VALUE"""),25855.0)</f>
        <v>25855</v>
      </c>
      <c r="Q722" s="124" t="str">
        <f>IFERROR(__xludf.DUMMYFUNCTION("""COMPUTED_VALUE"""),"Not Available")</f>
        <v>Not Available</v>
      </c>
      <c r="R722" s="124" t="str">
        <f>IFERROR(__xludf.DUMMYFUNCTION("""COMPUTED_VALUE"""),"GS Foundation Course")</f>
        <v>GS Foundation Course</v>
      </c>
      <c r="S722" s="124">
        <f>IFERROR(__xludf.DUMMYFUNCTION("""COMPUTED_VALUE"""),6.386716448E9)</f>
        <v>6386716448</v>
      </c>
      <c r="T722" s="124" t="str">
        <f>IFERROR(__xludf.DUMMYFUNCTION("""COMPUTED_VALUE"""),"Not Available")</f>
        <v>Not Available</v>
      </c>
      <c r="U722" s="124" t="str">
        <f>IFERROR(__xludf.DUMMYFUNCTION("""COMPUTED_VALUE"""),"Not Available")</f>
        <v>Not Available</v>
      </c>
      <c r="V722" s="124" t="str">
        <f>IFERROR(__xludf.DUMMYFUNCTION("""COMPUTED_VALUE"""),"Not Available")</f>
        <v>Not Available</v>
      </c>
      <c r="W722" s="124" t="str">
        <f>IFERROR(__xludf.DUMMYFUNCTION("""COMPUTED_VALUE"""),"Not Available")</f>
        <v>Not Available</v>
      </c>
    </row>
    <row r="723">
      <c r="A723" s="124" t="str">
        <f t="shared" si="1"/>
        <v>Saimamasoodalam@gmail.com</v>
      </c>
      <c r="B723" s="131">
        <f>IFERROR(__xludf.DUMMYFUNCTION("""COMPUTED_VALUE"""),46112.0)</f>
        <v>46112</v>
      </c>
      <c r="C723" s="124" t="str">
        <f>IFERROR(__xludf.DUMMYFUNCTION("""COMPUTED_VALUE"""),"Payment data from Collexo")</f>
        <v>Payment data from Collexo</v>
      </c>
      <c r="D723" s="124" t="str">
        <f>IFERROR(__xludf.DUMMYFUNCTION("""COMPUTED_VALUE"""),"Not Available")</f>
        <v>Not Available</v>
      </c>
      <c r="E723" s="124">
        <f>IFERROR(__xludf.DUMMYFUNCTION("""COMPUTED_VALUE"""),1500610.0)</f>
        <v>1500610</v>
      </c>
      <c r="F723" s="124">
        <f>IFERROR(__xludf.DUMMYFUNCTION("""COMPUTED_VALUE"""),140320.0)</f>
        <v>140320</v>
      </c>
      <c r="G723" s="124">
        <f>IFERROR(__xludf.DUMMYFUNCTION("""COMPUTED_VALUE"""),15000.0)</f>
        <v>15000</v>
      </c>
      <c r="H723" s="124" t="str">
        <f>IFERROR(__xludf.DUMMYFUNCTION("""COMPUTED_VALUE"""),"Not Available")</f>
        <v>Not Available</v>
      </c>
      <c r="I723" s="124">
        <f>IFERROR(__xludf.DUMMYFUNCTION("""COMPUTED_VALUE"""),0.0)</f>
        <v>0</v>
      </c>
      <c r="J723" s="124">
        <f>IFERROR(__xludf.DUMMYFUNCTION("""COMPUTED_VALUE"""),25000.0)</f>
        <v>25000</v>
      </c>
      <c r="K723" s="124">
        <f>IFERROR(__xludf.DUMMYFUNCTION("""COMPUTED_VALUE"""),2.0)</f>
        <v>2</v>
      </c>
      <c r="L723" s="124">
        <f>IFERROR(__xludf.DUMMYFUNCTION("""COMPUTED_VALUE"""),857.0)</f>
        <v>857</v>
      </c>
      <c r="M723" s="124" t="str">
        <f>IFERROR(__xludf.DUMMYFUNCTION("""COMPUTED_VALUE"""),"Lucknow")</f>
        <v>Lucknow</v>
      </c>
      <c r="N723" s="124" t="str">
        <f>IFERROR(__xludf.DUMMYFUNCTION("""COMPUTED_VALUE"""),"Saimamasoodalam@gmail.com")</f>
        <v>Saimamasoodalam@gmail.com</v>
      </c>
      <c r="O723" s="124" t="str">
        <f>IFERROR(__xludf.DUMMYFUNCTION("""COMPUTED_VALUE"""),"Saima masood")</f>
        <v>Saima masood</v>
      </c>
      <c r="P723" s="124">
        <f>IFERROR(__xludf.DUMMYFUNCTION("""COMPUTED_VALUE"""),140320.0)</f>
        <v>140320</v>
      </c>
      <c r="Q723" s="124" t="str">
        <f>IFERROR(__xludf.DUMMYFUNCTION("""COMPUTED_VALUE"""),"Not Available")</f>
        <v>Not Available</v>
      </c>
      <c r="R723" s="124" t="str">
        <f>IFERROR(__xludf.DUMMYFUNCTION("""COMPUTED_VALUE"""),"GS Foundation Course")</f>
        <v>GS Foundation Course</v>
      </c>
      <c r="S723" s="124">
        <f>IFERROR(__xludf.DUMMYFUNCTION("""COMPUTED_VALUE"""),7.860486236E9)</f>
        <v>7860486236</v>
      </c>
      <c r="T723" s="124" t="str">
        <f>IFERROR(__xludf.DUMMYFUNCTION("""COMPUTED_VALUE"""),"Not Available")</f>
        <v>Not Available</v>
      </c>
      <c r="U723" s="124" t="str">
        <f>IFERROR(__xludf.DUMMYFUNCTION("""COMPUTED_VALUE"""),"Not Available")</f>
        <v>Not Available</v>
      </c>
      <c r="V723" s="124" t="str">
        <f>IFERROR(__xludf.DUMMYFUNCTION("""COMPUTED_VALUE"""),"Not Available")</f>
        <v>Not Available</v>
      </c>
      <c r="W723" s="124" t="str">
        <f>IFERROR(__xludf.DUMMYFUNCTION("""COMPUTED_VALUE"""),"Not Available")</f>
        <v>Not Available</v>
      </c>
    </row>
    <row r="724">
      <c r="A724" s="124" t="str">
        <f t="shared" si="1"/>
        <v>tanmaysolanki008@gmail.com</v>
      </c>
      <c r="B724" s="131">
        <f>IFERROR(__xludf.DUMMYFUNCTION("""COMPUTED_VALUE"""),46066.0)</f>
        <v>46066</v>
      </c>
      <c r="C724" s="124" t="str">
        <f>IFERROR(__xludf.DUMMYFUNCTION("""COMPUTED_VALUE"""),"Payment data from Collexo")</f>
        <v>Payment data from Collexo</v>
      </c>
      <c r="D724" s="124" t="str">
        <f>IFERROR(__xludf.DUMMYFUNCTION("""COMPUTED_VALUE"""),"Not Available")</f>
        <v>Not Available</v>
      </c>
      <c r="E724" s="124">
        <f>IFERROR(__xludf.DUMMYFUNCTION("""COMPUTED_VALUE"""),1500612.0)</f>
        <v>1500612</v>
      </c>
      <c r="F724" s="124">
        <f>IFERROR(__xludf.DUMMYFUNCTION("""COMPUTED_VALUE"""),123306.0)</f>
        <v>123306</v>
      </c>
      <c r="G724" s="124">
        <f>IFERROR(__xludf.DUMMYFUNCTION("""COMPUTED_VALUE"""),2000.0)</f>
        <v>2000</v>
      </c>
      <c r="H724" s="131">
        <f>IFERROR(__xludf.DUMMYFUNCTION("""COMPUTED_VALUE"""),46076.0)</f>
        <v>46076</v>
      </c>
      <c r="I724" s="124">
        <f>IFERROR(__xludf.DUMMYFUNCTION("""COMPUTED_VALUE"""),43000.0)</f>
        <v>43000</v>
      </c>
      <c r="J724" s="124">
        <f>IFERROR(__xludf.DUMMYFUNCTION("""COMPUTED_VALUE"""),45000.0)</f>
        <v>45000</v>
      </c>
      <c r="K724" s="124">
        <f>IFERROR(__xludf.DUMMYFUNCTION("""COMPUTED_VALUE"""),2.0)</f>
        <v>2</v>
      </c>
      <c r="L724" s="124">
        <f>IFERROR(__xludf.DUMMYFUNCTION("""COMPUTED_VALUE"""),204.0)</f>
        <v>204</v>
      </c>
      <c r="M724" s="124" t="str">
        <f>IFERROR(__xludf.DUMMYFUNCTION("""COMPUTED_VALUE"""),"Indore")</f>
        <v>Indore</v>
      </c>
      <c r="N724" s="124" t="str">
        <f>IFERROR(__xludf.DUMMYFUNCTION("""COMPUTED_VALUE"""),"tanmaysolanki008@gmail.com")</f>
        <v>tanmaysolanki008@gmail.com</v>
      </c>
      <c r="O724" s="124" t="str">
        <f>IFERROR(__xludf.DUMMYFUNCTION("""COMPUTED_VALUE"""),"Tanmay Solanki")</f>
        <v>Tanmay Solanki</v>
      </c>
      <c r="P724" s="124">
        <f>IFERROR(__xludf.DUMMYFUNCTION("""COMPUTED_VALUE"""),123306.0)</f>
        <v>123306</v>
      </c>
      <c r="Q724" s="124" t="str">
        <f>IFERROR(__xludf.DUMMYFUNCTION("""COMPUTED_VALUE"""),"mppsc-gs-foundation-hinglish-target-2027-gsf-mppsc-e02-ind")</f>
        <v>mppsc-gs-foundation-hinglish-target-2027-gsf-mppsc-e02-ind</v>
      </c>
      <c r="R724" s="124" t="str">
        <f>IFERROR(__xludf.DUMMYFUNCTION("""COMPUTED_VALUE"""),"State PCS")</f>
        <v>State PCS</v>
      </c>
      <c r="S724" s="124">
        <f>IFERROR(__xludf.DUMMYFUNCTION("""COMPUTED_VALUE"""),7.879818282E9)</f>
        <v>7879818282</v>
      </c>
      <c r="T724" s="124" t="str">
        <f>IFERROR(__xludf.DUMMYFUNCTION("""COMPUTED_VALUE"""),"Not Available")</f>
        <v>Not Available</v>
      </c>
      <c r="U724" s="124" t="str">
        <f>IFERROR(__xludf.DUMMYFUNCTION("""COMPUTED_VALUE"""),"Not Available")</f>
        <v>Not Available</v>
      </c>
      <c r="V724" s="124" t="str">
        <f>IFERROR(__xludf.DUMMYFUNCTION("""COMPUTED_VALUE"""),"Not Available")</f>
        <v>Not Available</v>
      </c>
      <c r="W724" s="124" t="str">
        <f>IFERROR(__xludf.DUMMYFUNCTION("""COMPUTED_VALUE"""),"Not Available")</f>
        <v>Not Available</v>
      </c>
    </row>
    <row r="725">
      <c r="A725" s="124" t="str">
        <f t="shared" si="1"/>
        <v>priyasingh28317@gmail.com</v>
      </c>
      <c r="B725" s="131">
        <f>IFERROR(__xludf.DUMMYFUNCTION("""COMPUTED_VALUE"""),46073.0)</f>
        <v>46073</v>
      </c>
      <c r="C725" s="124" t="str">
        <f>IFERROR(__xludf.DUMMYFUNCTION("""COMPUTED_VALUE"""),"Payment data from Collexo")</f>
        <v>Payment data from Collexo</v>
      </c>
      <c r="D725" s="124" t="str">
        <f>IFERROR(__xludf.DUMMYFUNCTION("""COMPUTED_VALUE"""),"Not Available")</f>
        <v>Not Available</v>
      </c>
      <c r="E725" s="124">
        <f>IFERROR(__xludf.DUMMYFUNCTION("""COMPUTED_VALUE"""),1500609.0)</f>
        <v>1500609</v>
      </c>
      <c r="F725" s="124" t="str">
        <f>IFERROR(__xludf.DUMMYFUNCTION("""COMPUTED_VALUE"""),"7088_988_7")</f>
        <v>7088_988_7</v>
      </c>
      <c r="G725" s="124">
        <f>IFERROR(__xludf.DUMMYFUNCTION("""COMPUTED_VALUE"""),1.0)</f>
        <v>1</v>
      </c>
      <c r="H725" s="124" t="str">
        <f>IFERROR(__xludf.DUMMYFUNCTION("""COMPUTED_VALUE"""),"Not Available")</f>
        <v>Not Available</v>
      </c>
      <c r="I725" s="124">
        <f>IFERROR(__xludf.DUMMYFUNCTION("""COMPUTED_VALUE"""),0.0)</f>
        <v>0</v>
      </c>
      <c r="J725" s="124">
        <f>IFERROR(__xludf.DUMMYFUNCTION("""COMPUTED_VALUE"""),1.0)</f>
        <v>1</v>
      </c>
      <c r="K725" s="124">
        <f>IFERROR(__xludf.DUMMYFUNCTION("""COMPUTED_VALUE"""),1.0)</f>
        <v>1</v>
      </c>
      <c r="L725" s="124">
        <f>IFERROR(__xludf.DUMMYFUNCTION("""COMPUTED_VALUE"""),278.0)</f>
        <v>278</v>
      </c>
      <c r="M725" s="124" t="str">
        <f>IFERROR(__xludf.DUMMYFUNCTION("""COMPUTED_VALUE"""),"New Delhi")</f>
        <v>New Delhi</v>
      </c>
      <c r="N725" s="124" t="str">
        <f>IFERROR(__xludf.DUMMYFUNCTION("""COMPUTED_VALUE"""),"priyasingh28317@gmail.com")</f>
        <v>priyasingh28317@gmail.com</v>
      </c>
      <c r="O725" s="124" t="str">
        <f>IFERROR(__xludf.DUMMYFUNCTION("""COMPUTED_VALUE"""),"Priya")</f>
        <v>Priya</v>
      </c>
      <c r="P725" s="124">
        <f>IFERROR(__xludf.DUMMYFUNCTION("""COMPUTED_VALUE"""),124180.0)</f>
        <v>124180</v>
      </c>
      <c r="Q725" s="124" t="str">
        <f>IFERROR(__xludf.DUMMYFUNCTION("""COMPUTED_VALUE"""),"upsc-gs-foundation-hinglish-target-2027-gsf-upsc-e04-orn")</f>
        <v>upsc-gs-foundation-hinglish-target-2027-gsf-upsc-e04-orn</v>
      </c>
      <c r="R725" s="124" t="str">
        <f>IFERROR(__xludf.DUMMYFUNCTION("""COMPUTED_VALUE"""),"GS Foundation Course")</f>
        <v>GS Foundation Course</v>
      </c>
      <c r="S725" s="124">
        <f>IFERROR(__xludf.DUMMYFUNCTION("""COMPUTED_VALUE"""),9.693807345E9)</f>
        <v>9693807345</v>
      </c>
      <c r="T725" s="124" t="str">
        <f>IFERROR(__xludf.DUMMYFUNCTION("""COMPUTED_VALUE"""),"Collexo")</f>
        <v>Collexo</v>
      </c>
      <c r="U725" s="124" t="str">
        <f>IFERROR(__xludf.DUMMYFUNCTION("""COMPUTED_VALUE"""),"Success")</f>
        <v>Success</v>
      </c>
      <c r="V725" s="131">
        <f>IFERROR(__xludf.DUMMYFUNCTION("""COMPUTED_VALUE"""),46073.0)</f>
        <v>46073</v>
      </c>
      <c r="W725" s="124">
        <f>IFERROR(__xludf.DUMMYFUNCTION("""COMPUTED_VALUE"""),0.0)</f>
        <v>0</v>
      </c>
    </row>
    <row r="726">
      <c r="A726" s="124" t="str">
        <f t="shared" si="1"/>
        <v>avnesh7471@gmail.com</v>
      </c>
      <c r="B726" s="131">
        <f>IFERROR(__xludf.DUMMYFUNCTION("""COMPUTED_VALUE"""),46094.0)</f>
        <v>46094</v>
      </c>
      <c r="C726" s="124" t="str">
        <f>IFERROR(__xludf.DUMMYFUNCTION("""COMPUTED_VALUE"""),"Payment data from Collexo")</f>
        <v>Payment data from Collexo</v>
      </c>
      <c r="D726" s="124" t="str">
        <f>IFERROR(__xludf.DUMMYFUNCTION("""COMPUTED_VALUE"""),"Not Available")</f>
        <v>Not Available</v>
      </c>
      <c r="E726" s="124">
        <f>IFERROR(__xludf.DUMMYFUNCTION("""COMPUTED_VALUE"""),1500609.0)</f>
        <v>1500609</v>
      </c>
      <c r="F726" s="124" t="str">
        <f>IFERROR(__xludf.DUMMYFUNCTION("""COMPUTED_VALUE"""),"14075_988_7")</f>
        <v>14075_988_7</v>
      </c>
      <c r="G726" s="124">
        <f>IFERROR(__xludf.DUMMYFUNCTION("""COMPUTED_VALUE"""),95000.0)</f>
        <v>95000</v>
      </c>
      <c r="H726" s="124" t="str">
        <f>IFERROR(__xludf.DUMMYFUNCTION("""COMPUTED_VALUE"""),"Not Available")</f>
        <v>Not Available</v>
      </c>
      <c r="I726" s="124">
        <f>IFERROR(__xludf.DUMMYFUNCTION("""COMPUTED_VALUE"""),0.0)</f>
        <v>0</v>
      </c>
      <c r="J726" s="124">
        <f>IFERROR(__xludf.DUMMYFUNCTION("""COMPUTED_VALUE"""),100000.0)</f>
        <v>100000</v>
      </c>
      <c r="K726" s="124">
        <f>IFERROR(__xludf.DUMMYFUNCTION("""COMPUTED_VALUE"""),2.0)</f>
        <v>2</v>
      </c>
      <c r="L726" s="124">
        <f>IFERROR(__xludf.DUMMYFUNCTION("""COMPUTED_VALUE"""),532.0)</f>
        <v>532</v>
      </c>
      <c r="M726" s="124" t="str">
        <f>IFERROR(__xludf.DUMMYFUNCTION("""COMPUTED_VALUE"""),"New Delhi")</f>
        <v>New Delhi</v>
      </c>
      <c r="N726" s="124" t="str">
        <f>IFERROR(__xludf.DUMMYFUNCTION("""COMPUTED_VALUE"""),"avnesh7471@gmail.com")</f>
        <v>avnesh7471@gmail.com</v>
      </c>
      <c r="O726" s="124" t="str">
        <f>IFERROR(__xludf.DUMMYFUNCTION("""COMPUTED_VALUE"""),"AVNESH YADAV")</f>
        <v>AVNESH YADAV</v>
      </c>
      <c r="P726" s="124">
        <f>IFERROR(__xludf.DUMMYFUNCTION("""COMPUTED_VALUE"""),127071.0)</f>
        <v>127071</v>
      </c>
      <c r="Q726" s="124" t="str">
        <f>IFERROR(__xludf.DUMMYFUNCTION("""COMPUTED_VALUE"""),"upsc-gs-foundation-hinglish-target-2027-gsf-upsc-e05-orn")</f>
        <v>upsc-gs-foundation-hinglish-target-2027-gsf-upsc-e05-orn</v>
      </c>
      <c r="R726" s="124" t="str">
        <f>IFERROR(__xludf.DUMMYFUNCTION("""COMPUTED_VALUE"""),"GS Foundation Course")</f>
        <v>GS Foundation Course</v>
      </c>
      <c r="S726" s="124">
        <f>IFERROR(__xludf.DUMMYFUNCTION("""COMPUTED_VALUE"""),9.718737704E9)</f>
        <v>9718737704</v>
      </c>
      <c r="T726" s="124" t="str">
        <f>IFERROR(__xludf.DUMMYFUNCTION("""COMPUTED_VALUE"""),"Collexo")</f>
        <v>Collexo</v>
      </c>
      <c r="U726" s="124" t="str">
        <f>IFERROR(__xludf.DUMMYFUNCTION("""COMPUTED_VALUE"""),"Success")</f>
        <v>Success</v>
      </c>
      <c r="V726" s="131">
        <f>IFERROR(__xludf.DUMMYFUNCTION("""COMPUTED_VALUE"""),46094.0)</f>
        <v>46094</v>
      </c>
      <c r="W726" s="124">
        <f>IFERROR(__xludf.DUMMYFUNCTION("""COMPUTED_VALUE"""),0.0)</f>
        <v>0</v>
      </c>
    </row>
    <row r="727">
      <c r="A727" s="124" t="str">
        <f t="shared" si="1"/>
        <v>xcluzive.ai@gmail.com</v>
      </c>
      <c r="B727" s="131">
        <f>IFERROR(__xludf.DUMMYFUNCTION("""COMPUTED_VALUE"""),46101.0)</f>
        <v>46101</v>
      </c>
      <c r="C727" s="124" t="str">
        <f>IFERROR(__xludf.DUMMYFUNCTION("""COMPUTED_VALUE"""),"Payment data from Collexo")</f>
        <v>Payment data from Collexo</v>
      </c>
      <c r="D727" s="124" t="str">
        <f>IFERROR(__xludf.DUMMYFUNCTION("""COMPUTED_VALUE"""),"Not Available")</f>
        <v>Not Available</v>
      </c>
      <c r="E727" s="124">
        <f>IFERROR(__xludf.DUMMYFUNCTION("""COMPUTED_VALUE"""),1500610.0)</f>
        <v>1500610</v>
      </c>
      <c r="F727" s="124">
        <f>IFERROR(__xludf.DUMMYFUNCTION("""COMPUTED_VALUE"""),83482.0)</f>
        <v>83482</v>
      </c>
      <c r="G727" s="124">
        <f>IFERROR(__xludf.DUMMYFUNCTION("""COMPUTED_VALUE"""),43913.0)</f>
        <v>43913</v>
      </c>
      <c r="H727" s="124" t="str">
        <f>IFERROR(__xludf.DUMMYFUNCTION("""COMPUTED_VALUE"""),"Not Available")</f>
        <v>Not Available</v>
      </c>
      <c r="I727" s="124">
        <f>IFERROR(__xludf.DUMMYFUNCTION("""COMPUTED_VALUE"""),0.0)</f>
        <v>0</v>
      </c>
      <c r="J727" s="124">
        <f>IFERROR(__xludf.DUMMYFUNCTION("""COMPUTED_VALUE"""),50000.0)</f>
        <v>50000</v>
      </c>
      <c r="K727" s="124">
        <f>IFERROR(__xludf.DUMMYFUNCTION("""COMPUTED_VALUE"""),3.0)</f>
        <v>3</v>
      </c>
      <c r="L727" s="124">
        <f>IFERROR(__xludf.DUMMYFUNCTION("""COMPUTED_VALUE"""),640.0)</f>
        <v>640</v>
      </c>
      <c r="M727" s="124" t="str">
        <f>IFERROR(__xludf.DUMMYFUNCTION("""COMPUTED_VALUE"""),"Lucknow")</f>
        <v>Lucknow</v>
      </c>
      <c r="N727" s="124" t="str">
        <f>IFERROR(__xludf.DUMMYFUNCTION("""COMPUTED_VALUE"""),"xcluzive.ai@gmail.com")</f>
        <v>xcluzive.ai@gmail.com</v>
      </c>
      <c r="O727" s="124" t="str">
        <f>IFERROR(__xludf.DUMMYFUNCTION("""COMPUTED_VALUE"""),"risbha")</f>
        <v>risbha</v>
      </c>
      <c r="P727" s="124">
        <f>IFERROR(__xludf.DUMMYFUNCTION("""COMPUTED_VALUE"""),83482.0)</f>
        <v>83482</v>
      </c>
      <c r="Q727" s="124" t="str">
        <f>IFERROR(__xludf.DUMMYFUNCTION("""COMPUTED_VALUE"""),"Not Available")</f>
        <v>Not Available</v>
      </c>
      <c r="R727" s="124" t="str">
        <f>IFERROR(__xludf.DUMMYFUNCTION("""COMPUTED_VALUE"""),"GS Foundation Course")</f>
        <v>GS Foundation Course</v>
      </c>
      <c r="S727" s="124">
        <f>IFERROR(__xludf.DUMMYFUNCTION("""COMPUTED_VALUE"""),8.009878073E9)</f>
        <v>8009878073</v>
      </c>
      <c r="T727" s="124" t="str">
        <f>IFERROR(__xludf.DUMMYFUNCTION("""COMPUTED_VALUE"""),"Not Available")</f>
        <v>Not Available</v>
      </c>
      <c r="U727" s="124" t="str">
        <f>IFERROR(__xludf.DUMMYFUNCTION("""COMPUTED_VALUE"""),"Not Available")</f>
        <v>Not Available</v>
      </c>
      <c r="V727" s="124" t="str">
        <f>IFERROR(__xludf.DUMMYFUNCTION("""COMPUTED_VALUE"""),"Not Available")</f>
        <v>Not Available</v>
      </c>
      <c r="W727" s="124" t="str">
        <f>IFERROR(__xludf.DUMMYFUNCTION("""COMPUTED_VALUE"""),"Not Available")</f>
        <v>Not Available</v>
      </c>
    </row>
    <row r="728">
      <c r="A728" s="124" t="str">
        <f t="shared" si="1"/>
        <v>avnesh7471@gmail.com</v>
      </c>
      <c r="B728" s="131">
        <f>IFERROR(__xludf.DUMMYFUNCTION("""COMPUTED_VALUE"""),46095.0)</f>
        <v>46095</v>
      </c>
      <c r="C728" s="124" t="str">
        <f>IFERROR(__xludf.DUMMYFUNCTION("""COMPUTED_VALUE"""),"Payment data from Collexo")</f>
        <v>Payment data from Collexo</v>
      </c>
      <c r="D728" s="124" t="str">
        <f>IFERROR(__xludf.DUMMYFUNCTION("""COMPUTED_VALUE"""),"Not Available")</f>
        <v>Not Available</v>
      </c>
      <c r="E728" s="124">
        <f>IFERROR(__xludf.DUMMYFUNCTION("""COMPUTED_VALUE"""),1500609.0)</f>
        <v>1500609</v>
      </c>
      <c r="F728" s="124" t="str">
        <f>IFERROR(__xludf.DUMMYFUNCTION("""COMPUTED_VALUE"""),"14211_988_7")</f>
        <v>14211_988_7</v>
      </c>
      <c r="G728" s="124">
        <f>IFERROR(__xludf.DUMMYFUNCTION("""COMPUTED_VALUE"""),1.0)</f>
        <v>1</v>
      </c>
      <c r="H728" s="124" t="str">
        <f>IFERROR(__xludf.DUMMYFUNCTION("""COMPUTED_VALUE"""),"Not Available")</f>
        <v>Not Available</v>
      </c>
      <c r="I728" s="124">
        <f>IFERROR(__xludf.DUMMYFUNCTION("""COMPUTED_VALUE"""),0.0)</f>
        <v>0</v>
      </c>
      <c r="J728" s="124">
        <f>IFERROR(__xludf.DUMMYFUNCTION("""COMPUTED_VALUE"""),1.0)</f>
        <v>1</v>
      </c>
      <c r="K728" s="124">
        <f>IFERROR(__xludf.DUMMYFUNCTION("""COMPUTED_VALUE"""),1.0)</f>
        <v>1</v>
      </c>
      <c r="L728" s="124">
        <f>IFERROR(__xludf.DUMMYFUNCTION("""COMPUTED_VALUE"""),535.0)</f>
        <v>535</v>
      </c>
      <c r="M728" s="124" t="str">
        <f>IFERROR(__xludf.DUMMYFUNCTION("""COMPUTED_VALUE"""),"New Delhi")</f>
        <v>New Delhi</v>
      </c>
      <c r="N728" s="124" t="str">
        <f>IFERROR(__xludf.DUMMYFUNCTION("""COMPUTED_VALUE"""),"avnesh7471@gmail.com")</f>
        <v>avnesh7471@gmail.com</v>
      </c>
      <c r="O728" s="124" t="str">
        <f>IFERROR(__xludf.DUMMYFUNCTION("""COMPUTED_VALUE"""),"AVNESH YADAV")</f>
        <v>AVNESH YADAV</v>
      </c>
      <c r="P728" s="124">
        <f>IFERROR(__xludf.DUMMYFUNCTION("""COMPUTED_VALUE"""),127071.0)</f>
        <v>127071</v>
      </c>
      <c r="Q728" s="124" t="str">
        <f>IFERROR(__xludf.DUMMYFUNCTION("""COMPUTED_VALUE"""),"upsc-gs-foundation-hinglish-target-2027-gsf-upsc-e05-orn")</f>
        <v>upsc-gs-foundation-hinglish-target-2027-gsf-upsc-e05-orn</v>
      </c>
      <c r="R728" s="124" t="str">
        <f>IFERROR(__xludf.DUMMYFUNCTION("""COMPUTED_VALUE"""),"GS Foundation Course")</f>
        <v>GS Foundation Course</v>
      </c>
      <c r="S728" s="124">
        <f>IFERROR(__xludf.DUMMYFUNCTION("""COMPUTED_VALUE"""),9.718737704E9)</f>
        <v>9718737704</v>
      </c>
      <c r="T728" s="124" t="str">
        <f>IFERROR(__xludf.DUMMYFUNCTION("""COMPUTED_VALUE"""),"Collexo")</f>
        <v>Collexo</v>
      </c>
      <c r="U728" s="124" t="str">
        <f>IFERROR(__xludf.DUMMYFUNCTION("""COMPUTED_VALUE"""),"Success")</f>
        <v>Success</v>
      </c>
      <c r="V728" s="131">
        <f>IFERROR(__xludf.DUMMYFUNCTION("""COMPUTED_VALUE"""),46095.0)</f>
        <v>46095</v>
      </c>
      <c r="W728" s="124">
        <f>IFERROR(__xludf.DUMMYFUNCTION("""COMPUTED_VALUE"""),0.0)</f>
        <v>0</v>
      </c>
    </row>
    <row r="729">
      <c r="A729" s="124" t="str">
        <f t="shared" si="1"/>
        <v>kumaranand45615@gmail.com</v>
      </c>
      <c r="B729" s="131">
        <f>IFERROR(__xludf.DUMMYFUNCTION("""COMPUTED_VALUE"""),46112.0)</f>
        <v>46112</v>
      </c>
      <c r="C729" s="124" t="str">
        <f>IFERROR(__xludf.DUMMYFUNCTION("""COMPUTED_VALUE"""),"Payment data from Collexo")</f>
        <v>Payment data from Collexo</v>
      </c>
      <c r="D729" s="124" t="str">
        <f>IFERROR(__xludf.DUMMYFUNCTION("""COMPUTED_VALUE"""),"Not Available")</f>
        <v>Not Available</v>
      </c>
      <c r="E729" s="124">
        <f>IFERROR(__xludf.DUMMYFUNCTION("""COMPUTED_VALUE"""),1500610.0)</f>
        <v>1500610</v>
      </c>
      <c r="F729" s="124">
        <f>IFERROR(__xludf.DUMMYFUNCTION("""COMPUTED_VALUE"""),121546.0)</f>
        <v>121546</v>
      </c>
      <c r="G729" s="124">
        <f>IFERROR(__xludf.DUMMYFUNCTION("""COMPUTED_VALUE"""),7000.0)</f>
        <v>7000</v>
      </c>
      <c r="H729" s="131">
        <f>IFERROR(__xludf.DUMMYFUNCTION("""COMPUTED_VALUE"""),46142.0)</f>
        <v>46142</v>
      </c>
      <c r="I729" s="124">
        <f>IFERROR(__xludf.DUMMYFUNCTION("""COMPUTED_VALUE"""),12000.0)</f>
        <v>12000</v>
      </c>
      <c r="J729" s="124">
        <f>IFERROR(__xludf.DUMMYFUNCTION("""COMPUTED_VALUE"""),24000.0)</f>
        <v>24000</v>
      </c>
      <c r="K729" s="124">
        <f>IFERROR(__xludf.DUMMYFUNCTION("""COMPUTED_VALUE"""),3.0)</f>
        <v>3</v>
      </c>
      <c r="L729" s="124">
        <f>IFERROR(__xludf.DUMMYFUNCTION("""COMPUTED_VALUE"""),859.0)</f>
        <v>859</v>
      </c>
      <c r="M729" s="124" t="str">
        <f>IFERROR(__xludf.DUMMYFUNCTION("""COMPUTED_VALUE"""),"Lucknow")</f>
        <v>Lucknow</v>
      </c>
      <c r="N729" s="124" t="str">
        <f>IFERROR(__xludf.DUMMYFUNCTION("""COMPUTED_VALUE"""),"kumaranand45615@gmail.com")</f>
        <v>kumaranand45615@gmail.com</v>
      </c>
      <c r="O729" s="124" t="str">
        <f>IFERROR(__xludf.DUMMYFUNCTION("""COMPUTED_VALUE"""),"PRIYANKA")</f>
        <v>PRIYANKA</v>
      </c>
      <c r="P729" s="124">
        <f>IFERROR(__xludf.DUMMYFUNCTION("""COMPUTED_VALUE"""),121546.0)</f>
        <v>121546</v>
      </c>
      <c r="Q729" s="124" t="str">
        <f>IFERROR(__xludf.DUMMYFUNCTION("""COMPUTED_VALUE"""),"Not Available")</f>
        <v>Not Available</v>
      </c>
      <c r="R729" s="124" t="str">
        <f>IFERROR(__xludf.DUMMYFUNCTION("""COMPUTED_VALUE"""),"GS Foundation Course")</f>
        <v>GS Foundation Course</v>
      </c>
      <c r="S729" s="124">
        <f>IFERROR(__xludf.DUMMYFUNCTION("""COMPUTED_VALUE"""),9.120491012E9)</f>
        <v>9120491012</v>
      </c>
      <c r="T729" s="124" t="str">
        <f>IFERROR(__xludf.DUMMYFUNCTION("""COMPUTED_VALUE"""),"Not Available")</f>
        <v>Not Available</v>
      </c>
      <c r="U729" s="124" t="str">
        <f>IFERROR(__xludf.DUMMYFUNCTION("""COMPUTED_VALUE"""),"Not Available")</f>
        <v>Not Available</v>
      </c>
      <c r="V729" s="124" t="str">
        <f>IFERROR(__xludf.DUMMYFUNCTION("""COMPUTED_VALUE"""),"Not Available")</f>
        <v>Not Available</v>
      </c>
      <c r="W729" s="124" t="str">
        <f>IFERROR(__xludf.DUMMYFUNCTION("""COMPUTED_VALUE"""),"Not Available")</f>
        <v>Not Available</v>
      </c>
    </row>
    <row r="730">
      <c r="A730" s="124" t="str">
        <f t="shared" si="1"/>
        <v>shwetawin25@gmail.com</v>
      </c>
      <c r="B730" s="131">
        <f>IFERROR(__xludf.DUMMYFUNCTION("""COMPUTED_VALUE"""),46111.0)</f>
        <v>46111</v>
      </c>
      <c r="C730" s="124" t="str">
        <f>IFERROR(__xludf.DUMMYFUNCTION("""COMPUTED_VALUE"""),"Payment data from Collexo")</f>
        <v>Payment data from Collexo</v>
      </c>
      <c r="D730" s="124" t="str">
        <f>IFERROR(__xludf.DUMMYFUNCTION("""COMPUTED_VALUE"""),"Not Available")</f>
        <v>Not Available</v>
      </c>
      <c r="E730" s="124">
        <f>IFERROR(__xludf.DUMMYFUNCTION("""COMPUTED_VALUE"""),1500610.0)</f>
        <v>1500610</v>
      </c>
      <c r="F730" s="124">
        <f>IFERROR(__xludf.DUMMYFUNCTION("""COMPUTED_VALUE"""),124489.0)</f>
        <v>124489</v>
      </c>
      <c r="G730" s="124">
        <f>IFERROR(__xludf.DUMMYFUNCTION("""COMPUTED_VALUE"""),12500.0)</f>
        <v>12500</v>
      </c>
      <c r="H730" s="124" t="str">
        <f>IFERROR(__xludf.DUMMYFUNCTION("""COMPUTED_VALUE"""),"Not Available")</f>
        <v>Not Available</v>
      </c>
      <c r="I730" s="124">
        <f>IFERROR(__xludf.DUMMYFUNCTION("""COMPUTED_VALUE"""),0.0)</f>
        <v>0</v>
      </c>
      <c r="J730" s="124">
        <f>IFERROR(__xludf.DUMMYFUNCTION("""COMPUTED_VALUE"""),25000.0)</f>
        <v>25000</v>
      </c>
      <c r="K730" s="124">
        <f>IFERROR(__xludf.DUMMYFUNCTION("""COMPUTED_VALUE"""),2.0)</f>
        <v>2</v>
      </c>
      <c r="L730" s="124">
        <f>IFERROR(__xludf.DUMMYFUNCTION("""COMPUTED_VALUE"""),850.0)</f>
        <v>850</v>
      </c>
      <c r="M730" s="124" t="str">
        <f>IFERROR(__xludf.DUMMYFUNCTION("""COMPUTED_VALUE"""),"Lucknow")</f>
        <v>Lucknow</v>
      </c>
      <c r="N730" s="124" t="str">
        <f>IFERROR(__xludf.DUMMYFUNCTION("""COMPUTED_VALUE"""),"shwetawin25@gmail.com")</f>
        <v>shwetawin25@gmail.com</v>
      </c>
      <c r="O730" s="124" t="str">
        <f>IFERROR(__xludf.DUMMYFUNCTION("""COMPUTED_VALUE"""),"Shweta")</f>
        <v>Shweta</v>
      </c>
      <c r="P730" s="124">
        <f>IFERROR(__xludf.DUMMYFUNCTION("""COMPUTED_VALUE"""),124489.0)</f>
        <v>124489</v>
      </c>
      <c r="Q730" s="124" t="str">
        <f>IFERROR(__xludf.DUMMYFUNCTION("""COMPUTED_VALUE"""),"upsc-gs-foundation-hinglish-target-2027-gsf-upsc-e03-lko")</f>
        <v>upsc-gs-foundation-hinglish-target-2027-gsf-upsc-e03-lko</v>
      </c>
      <c r="R730" s="124" t="str">
        <f>IFERROR(__xludf.DUMMYFUNCTION("""COMPUTED_VALUE"""),"GS Foundation Course")</f>
        <v>GS Foundation Course</v>
      </c>
      <c r="S730" s="124">
        <f>IFERROR(__xludf.DUMMYFUNCTION("""COMPUTED_VALUE"""),7.678644174E9)</f>
        <v>7678644174</v>
      </c>
      <c r="T730" s="124" t="str">
        <f>IFERROR(__xludf.DUMMYFUNCTION("""COMPUTED_VALUE"""),"Not Available")</f>
        <v>Not Available</v>
      </c>
      <c r="U730" s="124" t="str">
        <f>IFERROR(__xludf.DUMMYFUNCTION("""COMPUTED_VALUE"""),"Not Available")</f>
        <v>Not Available</v>
      </c>
      <c r="V730" s="124" t="str">
        <f>IFERROR(__xludf.DUMMYFUNCTION("""COMPUTED_VALUE"""),"Not Available")</f>
        <v>Not Available</v>
      </c>
      <c r="W730" s="124" t="str">
        <f>IFERROR(__xludf.DUMMYFUNCTION("""COMPUTED_VALUE"""),"Not Available")</f>
        <v>Not Available</v>
      </c>
    </row>
    <row r="731">
      <c r="A731" s="124" t="str">
        <f t="shared" si="1"/>
        <v>rohitkumarvijayk@gmail.com</v>
      </c>
      <c r="B731" s="131">
        <f>IFERROR(__xludf.DUMMYFUNCTION("""COMPUTED_VALUE"""),46078.0)</f>
        <v>46078</v>
      </c>
      <c r="C731" s="124" t="str">
        <f>IFERROR(__xludf.DUMMYFUNCTION("""COMPUTED_VALUE"""),"Payment data from Collexo")</f>
        <v>Payment data from Collexo</v>
      </c>
      <c r="D731" s="124" t="str">
        <f>IFERROR(__xludf.DUMMYFUNCTION("""COMPUTED_VALUE"""),"Not Available")</f>
        <v>Not Available</v>
      </c>
      <c r="E731" s="124">
        <f>IFERROR(__xludf.DUMMYFUNCTION("""COMPUTED_VALUE"""),1500613.0)</f>
        <v>1500613</v>
      </c>
      <c r="F731" s="124">
        <f>IFERROR(__xludf.DUMMYFUNCTION("""COMPUTED_VALUE"""),24394.0)</f>
        <v>24394</v>
      </c>
      <c r="G731" s="124">
        <f>IFERROR(__xludf.DUMMYFUNCTION("""COMPUTED_VALUE"""),2500.0)</f>
        <v>2500</v>
      </c>
      <c r="H731" s="131">
        <f>IFERROR(__xludf.DUMMYFUNCTION("""COMPUTED_VALUE"""),46078.0)</f>
        <v>46078</v>
      </c>
      <c r="I731" s="124">
        <f>IFERROR(__xludf.DUMMYFUNCTION("""COMPUTED_VALUE"""),42500.0)</f>
        <v>42500</v>
      </c>
      <c r="J731" s="124">
        <f>IFERROR(__xludf.DUMMYFUNCTION("""COMPUTED_VALUE"""),45000.0)</f>
        <v>45000</v>
      </c>
      <c r="K731" s="124">
        <f>IFERROR(__xludf.DUMMYFUNCTION("""COMPUTED_VALUE"""),2.0)</f>
        <v>2</v>
      </c>
      <c r="L731" s="124">
        <f>IFERROR(__xludf.DUMMYFUNCTION("""COMPUTED_VALUE"""),336.0)</f>
        <v>336</v>
      </c>
      <c r="M731" s="124" t="str">
        <f>IFERROR(__xludf.DUMMYFUNCTION("""COMPUTED_VALUE"""),"Prayagraj")</f>
        <v>Prayagraj</v>
      </c>
      <c r="N731" s="124" t="str">
        <f>IFERROR(__xludf.DUMMYFUNCTION("""COMPUTED_VALUE"""),"rohitkumarvijayk@gmail.com")</f>
        <v>rohitkumarvijayk@gmail.com</v>
      </c>
      <c r="O731" s="124" t="str">
        <f>IFERROR(__xludf.DUMMYFUNCTION("""COMPUTED_VALUE"""),"Rohit Kumar")</f>
        <v>Rohit Kumar</v>
      </c>
      <c r="P731" s="124">
        <f>IFERROR(__xludf.DUMMYFUNCTION("""COMPUTED_VALUE"""),24394.0)</f>
        <v>24394</v>
      </c>
      <c r="Q731" s="124" t="str">
        <f>IFERROR(__xludf.DUMMYFUNCTION("""COMPUTED_VALUE"""),"upsc-gs-foundation-hinglish-target-2027-gsf-upsc-e03-pry")</f>
        <v>upsc-gs-foundation-hinglish-target-2027-gsf-upsc-e03-pry</v>
      </c>
      <c r="R731" s="124" t="str">
        <f>IFERROR(__xludf.DUMMYFUNCTION("""COMPUTED_VALUE"""),"GS Foundation Course")</f>
        <v>GS Foundation Course</v>
      </c>
      <c r="S731" s="124">
        <f>IFERROR(__xludf.DUMMYFUNCTION("""COMPUTED_VALUE"""),9.236532265E9)</f>
        <v>9236532265</v>
      </c>
      <c r="T731" s="124" t="str">
        <f>IFERROR(__xludf.DUMMYFUNCTION("""COMPUTED_VALUE"""),"Not Available")</f>
        <v>Not Available</v>
      </c>
      <c r="U731" s="124" t="str">
        <f>IFERROR(__xludf.DUMMYFUNCTION("""COMPUTED_VALUE"""),"Not Available")</f>
        <v>Not Available</v>
      </c>
      <c r="V731" s="124" t="str">
        <f>IFERROR(__xludf.DUMMYFUNCTION("""COMPUTED_VALUE"""),"Not Available")</f>
        <v>Not Available</v>
      </c>
      <c r="W731" s="124" t="str">
        <f>IFERROR(__xludf.DUMMYFUNCTION("""COMPUTED_VALUE"""),"Not Available")</f>
        <v>Not Available</v>
      </c>
    </row>
    <row r="732">
      <c r="A732" s="124" t="str">
        <f t="shared" si="1"/>
        <v>nishakotra2006@gmail.com</v>
      </c>
      <c r="B732" s="131">
        <f>IFERROR(__xludf.DUMMYFUNCTION("""COMPUTED_VALUE"""),46089.0)</f>
        <v>46089</v>
      </c>
      <c r="C732" s="124" t="str">
        <f>IFERROR(__xludf.DUMMYFUNCTION("""COMPUTED_VALUE"""),"Payment data from Collexo")</f>
        <v>Payment data from Collexo</v>
      </c>
      <c r="D732" s="124" t="str">
        <f>IFERROR(__xludf.DUMMYFUNCTION("""COMPUTED_VALUE"""),"Not Available")</f>
        <v>Not Available</v>
      </c>
      <c r="E732" s="124">
        <f>IFERROR(__xludf.DUMMYFUNCTION("""COMPUTED_VALUE"""),1500609.0)</f>
        <v>1500609</v>
      </c>
      <c r="F732" s="124" t="str">
        <f>IFERROR(__xludf.DUMMYFUNCTION("""COMPUTED_VALUE"""),"13062_988_7")</f>
        <v>13062_988_7</v>
      </c>
      <c r="G732" s="124">
        <f>IFERROR(__xludf.DUMMYFUNCTION("""COMPUTED_VALUE"""),10000.0)</f>
        <v>10000</v>
      </c>
      <c r="H732" s="131">
        <f>IFERROR(__xludf.DUMMYFUNCTION("""COMPUTED_VALUE"""),46108.0)</f>
        <v>46108</v>
      </c>
      <c r="I732" s="124">
        <f>IFERROR(__xludf.DUMMYFUNCTION("""COMPUTED_VALUE"""),120000.0)</f>
        <v>120000</v>
      </c>
      <c r="J732" s="124">
        <f>IFERROR(__xludf.DUMMYFUNCTION("""COMPUTED_VALUE"""),130000.0)</f>
        <v>130000</v>
      </c>
      <c r="K732" s="124">
        <f>IFERROR(__xludf.DUMMYFUNCTION("""COMPUTED_VALUE"""),2.0)</f>
        <v>2</v>
      </c>
      <c r="L732" s="124">
        <f>IFERROR(__xludf.DUMMYFUNCTION("""COMPUTED_VALUE"""),436.0)</f>
        <v>436</v>
      </c>
      <c r="M732" s="124" t="str">
        <f>IFERROR(__xludf.DUMMYFUNCTION("""COMPUTED_VALUE"""),"New Delhi")</f>
        <v>New Delhi</v>
      </c>
      <c r="N732" s="124" t="str">
        <f>IFERROR(__xludf.DUMMYFUNCTION("""COMPUTED_VALUE"""),"nishakotra2006@gmail.com")</f>
        <v>nishakotra2006@gmail.com</v>
      </c>
      <c r="O732" s="124" t="str">
        <f>IFERROR(__xludf.DUMMYFUNCTION("""COMPUTED_VALUE"""),"NISHA")</f>
        <v>NISHA</v>
      </c>
      <c r="P732" s="124">
        <f>IFERROR(__xludf.DUMMYFUNCTION("""COMPUTED_VALUE"""),126165.0)</f>
        <v>126165</v>
      </c>
      <c r="Q732" s="124" t="str">
        <f>IFERROR(__xludf.DUMMYFUNCTION("""COMPUTED_VALUE"""),"upsc-gs-foundation-hinglish-target-2028-gsf-upsc-m05-orn")</f>
        <v>upsc-gs-foundation-hinglish-target-2028-gsf-upsc-m05-orn</v>
      </c>
      <c r="R732" s="124" t="str">
        <f>IFERROR(__xludf.DUMMYFUNCTION("""COMPUTED_VALUE"""),"GS Foundation Course")</f>
        <v>GS Foundation Course</v>
      </c>
      <c r="S732" s="124">
        <f>IFERROR(__xludf.DUMMYFUNCTION("""COMPUTED_VALUE"""),9.216289573E9)</f>
        <v>9216289573</v>
      </c>
      <c r="T732" s="124" t="str">
        <f>IFERROR(__xludf.DUMMYFUNCTION("""COMPUTED_VALUE"""),"Collexo")</f>
        <v>Collexo</v>
      </c>
      <c r="U732" s="124" t="str">
        <f>IFERROR(__xludf.DUMMYFUNCTION("""COMPUTED_VALUE"""),"Success")</f>
        <v>Success</v>
      </c>
      <c r="V732" s="131">
        <f>IFERROR(__xludf.DUMMYFUNCTION("""COMPUTED_VALUE"""),46089.0)</f>
        <v>46089</v>
      </c>
      <c r="W732" s="124">
        <f>IFERROR(__xludf.DUMMYFUNCTION("""COMPUTED_VALUE"""),0.0)</f>
        <v>0</v>
      </c>
    </row>
    <row r="733">
      <c r="A733" s="124" t="str">
        <f t="shared" si="1"/>
        <v>rohitkumarvijayk@gmail.com</v>
      </c>
      <c r="B733" s="131">
        <f>IFERROR(__xludf.DUMMYFUNCTION("""COMPUTED_VALUE"""),46078.0)</f>
        <v>46078</v>
      </c>
      <c r="C733" s="124" t="str">
        <f>IFERROR(__xludf.DUMMYFUNCTION("""COMPUTED_VALUE"""),"Payment data from Collexo")</f>
        <v>Payment data from Collexo</v>
      </c>
      <c r="D733" s="124" t="str">
        <f>IFERROR(__xludf.DUMMYFUNCTION("""COMPUTED_VALUE"""),"Not Available")</f>
        <v>Not Available</v>
      </c>
      <c r="E733" s="124">
        <f>IFERROR(__xludf.DUMMYFUNCTION("""COMPUTED_VALUE"""),1500613.0)</f>
        <v>1500613</v>
      </c>
      <c r="F733" s="124">
        <f>IFERROR(__xludf.DUMMYFUNCTION("""COMPUTED_VALUE"""),24394.0)</f>
        <v>24394</v>
      </c>
      <c r="G733" s="124">
        <f>IFERROR(__xludf.DUMMYFUNCTION("""COMPUTED_VALUE"""),42500.0)</f>
        <v>42500</v>
      </c>
      <c r="H733" s="124" t="str">
        <f>IFERROR(__xludf.DUMMYFUNCTION("""COMPUTED_VALUE"""),"Not Available")</f>
        <v>Not Available</v>
      </c>
      <c r="I733" s="124">
        <f>IFERROR(__xludf.DUMMYFUNCTION("""COMPUTED_VALUE"""),0.0)</f>
        <v>0</v>
      </c>
      <c r="J733" s="124">
        <f>IFERROR(__xludf.DUMMYFUNCTION("""COMPUTED_VALUE"""),45000.0)</f>
        <v>45000</v>
      </c>
      <c r="K733" s="124">
        <f>IFERROR(__xludf.DUMMYFUNCTION("""COMPUTED_VALUE"""),2.0)</f>
        <v>2</v>
      </c>
      <c r="L733" s="124">
        <f>IFERROR(__xludf.DUMMYFUNCTION("""COMPUTED_VALUE"""),337.0)</f>
        <v>337</v>
      </c>
      <c r="M733" s="124" t="str">
        <f>IFERROR(__xludf.DUMMYFUNCTION("""COMPUTED_VALUE"""),"Prayagraj")</f>
        <v>Prayagraj</v>
      </c>
      <c r="N733" s="124" t="str">
        <f>IFERROR(__xludf.DUMMYFUNCTION("""COMPUTED_VALUE"""),"rohitkumarvijayk@gmail.com")</f>
        <v>rohitkumarvijayk@gmail.com</v>
      </c>
      <c r="O733" s="124" t="str">
        <f>IFERROR(__xludf.DUMMYFUNCTION("""COMPUTED_VALUE"""),"Rohit Kumar")</f>
        <v>Rohit Kumar</v>
      </c>
      <c r="P733" s="124">
        <f>IFERROR(__xludf.DUMMYFUNCTION("""COMPUTED_VALUE"""),24394.0)</f>
        <v>24394</v>
      </c>
      <c r="Q733" s="124" t="str">
        <f>IFERROR(__xludf.DUMMYFUNCTION("""COMPUTED_VALUE"""),"upsc-gs-foundation-hinglish-target-2027-gsf-upsc-e03-pry")</f>
        <v>upsc-gs-foundation-hinglish-target-2027-gsf-upsc-e03-pry</v>
      </c>
      <c r="R733" s="124" t="str">
        <f>IFERROR(__xludf.DUMMYFUNCTION("""COMPUTED_VALUE"""),"GS Foundation Course")</f>
        <v>GS Foundation Course</v>
      </c>
      <c r="S733" s="124">
        <f>IFERROR(__xludf.DUMMYFUNCTION("""COMPUTED_VALUE"""),9.236532265E9)</f>
        <v>9236532265</v>
      </c>
      <c r="T733" s="124" t="str">
        <f>IFERROR(__xludf.DUMMYFUNCTION("""COMPUTED_VALUE"""),"Not Available")</f>
        <v>Not Available</v>
      </c>
      <c r="U733" s="124" t="str">
        <f>IFERROR(__xludf.DUMMYFUNCTION("""COMPUTED_VALUE"""),"Not Available")</f>
        <v>Not Available</v>
      </c>
      <c r="V733" s="124" t="str">
        <f>IFERROR(__xludf.DUMMYFUNCTION("""COMPUTED_VALUE"""),"Not Available")</f>
        <v>Not Available</v>
      </c>
      <c r="W733" s="124" t="str">
        <f>IFERROR(__xludf.DUMMYFUNCTION("""COMPUTED_VALUE"""),"Not Available")</f>
        <v>Not Available</v>
      </c>
    </row>
    <row r="734">
      <c r="A734" s="124" t="str">
        <f t="shared" si="1"/>
        <v>smillingsatyam5284@gmail.com</v>
      </c>
      <c r="B734" s="131">
        <f>IFERROR(__xludf.DUMMYFUNCTION("""COMPUTED_VALUE"""),46053.0)</f>
        <v>46053</v>
      </c>
      <c r="C734" s="124" t="str">
        <f>IFERROR(__xludf.DUMMYFUNCTION("""COMPUTED_VALUE"""),"Payment data from Collexo")</f>
        <v>Payment data from Collexo</v>
      </c>
      <c r="D734" s="124" t="str">
        <f>IFERROR(__xludf.DUMMYFUNCTION("""COMPUTED_VALUE"""),"Not Available")</f>
        <v>Not Available</v>
      </c>
      <c r="E734" s="124">
        <f>IFERROR(__xludf.DUMMYFUNCTION("""COMPUTED_VALUE"""),1500609.0)</f>
        <v>1500609</v>
      </c>
      <c r="F734" s="124" t="str">
        <f>IFERROR(__xludf.DUMMYFUNCTION("""COMPUTED_VALUE"""),"3265_988_7")</f>
        <v>3265_988_7</v>
      </c>
      <c r="G734" s="124">
        <f>IFERROR(__xludf.DUMMYFUNCTION("""COMPUTED_VALUE"""),120000.0)</f>
        <v>120000</v>
      </c>
      <c r="H734" s="124" t="str">
        <f>IFERROR(__xludf.DUMMYFUNCTION("""COMPUTED_VALUE"""),"Not Available")</f>
        <v>Not Available</v>
      </c>
      <c r="I734" s="124">
        <f>IFERROR(__xludf.DUMMYFUNCTION("""COMPUTED_VALUE"""),0.0)</f>
        <v>0</v>
      </c>
      <c r="J734" s="124">
        <f>IFERROR(__xludf.DUMMYFUNCTION("""COMPUTED_VALUE"""),150000.0)</f>
        <v>150000</v>
      </c>
      <c r="K734" s="124">
        <f>IFERROR(__xludf.DUMMYFUNCTION("""COMPUTED_VALUE"""),4.0)</f>
        <v>4</v>
      </c>
      <c r="L734" s="124">
        <f>IFERROR(__xludf.DUMMYFUNCTION("""COMPUTED_VALUE"""),145.0)</f>
        <v>145</v>
      </c>
      <c r="M734" s="124" t="str">
        <f>IFERROR(__xludf.DUMMYFUNCTION("""COMPUTED_VALUE"""),"New Delhi")</f>
        <v>New Delhi</v>
      </c>
      <c r="N734" s="124" t="str">
        <f>IFERROR(__xludf.DUMMYFUNCTION("""COMPUTED_VALUE"""),"smillingsatyam5284@gmail.com")</f>
        <v>smillingsatyam5284@gmail.com</v>
      </c>
      <c r="O734" s="124" t="str">
        <f>IFERROR(__xludf.DUMMYFUNCTION("""COMPUTED_VALUE"""),"Saurav")</f>
        <v>Saurav</v>
      </c>
      <c r="P734" s="124">
        <f>IFERROR(__xludf.DUMMYFUNCTION("""COMPUTED_VALUE"""),83769.0)</f>
        <v>83769</v>
      </c>
      <c r="Q734" s="124" t="str">
        <f>IFERROR(__xludf.DUMMYFUNCTION("""COMPUTED_VALUE"""),"ncert-foundation-hinglish-target-2026-nce-upsc-e01-orn")</f>
        <v>ncert-foundation-hinglish-target-2026-nce-upsc-e01-orn</v>
      </c>
      <c r="R734" s="124" t="str">
        <f>IFERROR(__xludf.DUMMYFUNCTION("""COMPUTED_VALUE"""),"GS Foundation Course")</f>
        <v>GS Foundation Course</v>
      </c>
      <c r="S734" s="124">
        <f>IFERROR(__xludf.DUMMYFUNCTION("""COMPUTED_VALUE"""),7.667109447E9)</f>
        <v>7667109447</v>
      </c>
      <c r="T734" s="124" t="str">
        <f>IFERROR(__xludf.DUMMYFUNCTION("""COMPUTED_VALUE"""),"Collexo")</f>
        <v>Collexo</v>
      </c>
      <c r="U734" s="124" t="str">
        <f>IFERROR(__xludf.DUMMYFUNCTION("""COMPUTED_VALUE"""),"Success")</f>
        <v>Success</v>
      </c>
      <c r="V734" s="131">
        <f>IFERROR(__xludf.DUMMYFUNCTION("""COMPUTED_VALUE"""),46053.0)</f>
        <v>46053</v>
      </c>
      <c r="W734" s="124">
        <f>IFERROR(__xludf.DUMMYFUNCTION("""COMPUTED_VALUE"""),0.0)</f>
        <v>0</v>
      </c>
    </row>
    <row r="735">
      <c r="A735" s="124" t="str">
        <f t="shared" si="1"/>
        <v>xcluzive.ai@gmail.com</v>
      </c>
      <c r="B735" s="131">
        <f>IFERROR(__xludf.DUMMYFUNCTION("""COMPUTED_VALUE"""),46100.0)</f>
        <v>46100</v>
      </c>
      <c r="C735" s="124" t="str">
        <f>IFERROR(__xludf.DUMMYFUNCTION("""COMPUTED_VALUE"""),"Payment data from Collexo")</f>
        <v>Payment data from Collexo</v>
      </c>
      <c r="D735" s="124" t="str">
        <f>IFERROR(__xludf.DUMMYFUNCTION("""COMPUTED_VALUE"""),"Not Available")</f>
        <v>Not Available</v>
      </c>
      <c r="E735" s="124">
        <f>IFERROR(__xludf.DUMMYFUNCTION("""COMPUTED_VALUE"""),1500610.0)</f>
        <v>1500610</v>
      </c>
      <c r="F735" s="124">
        <f>IFERROR(__xludf.DUMMYFUNCTION("""COMPUTED_VALUE"""),83482.0)</f>
        <v>83482</v>
      </c>
      <c r="G735" s="124">
        <f>IFERROR(__xludf.DUMMYFUNCTION("""COMPUTED_VALUE"""),1087.0)</f>
        <v>1087</v>
      </c>
      <c r="H735" s="131">
        <f>IFERROR(__xludf.DUMMYFUNCTION("""COMPUTED_VALUE"""),46112.0)</f>
        <v>46112</v>
      </c>
      <c r="I735" s="124">
        <f>IFERROR(__xludf.DUMMYFUNCTION("""COMPUTED_VALUE"""),43913.0)</f>
        <v>43913</v>
      </c>
      <c r="J735" s="124">
        <f>IFERROR(__xludf.DUMMYFUNCTION("""COMPUTED_VALUE"""),50000.0)</f>
        <v>50000</v>
      </c>
      <c r="K735" s="124">
        <f>IFERROR(__xludf.DUMMYFUNCTION("""COMPUTED_VALUE"""),3.0)</f>
        <v>3</v>
      </c>
      <c r="L735" s="124">
        <f>IFERROR(__xludf.DUMMYFUNCTION("""COMPUTED_VALUE"""),631.0)</f>
        <v>631</v>
      </c>
      <c r="M735" s="124" t="str">
        <f>IFERROR(__xludf.DUMMYFUNCTION("""COMPUTED_VALUE"""),"Lucknow")</f>
        <v>Lucknow</v>
      </c>
      <c r="N735" s="124" t="str">
        <f>IFERROR(__xludf.DUMMYFUNCTION("""COMPUTED_VALUE"""),"xcluzive.ai@gmail.com")</f>
        <v>xcluzive.ai@gmail.com</v>
      </c>
      <c r="O735" s="124" t="str">
        <f>IFERROR(__xludf.DUMMYFUNCTION("""COMPUTED_VALUE"""),"risbha")</f>
        <v>risbha</v>
      </c>
      <c r="P735" s="124">
        <f>IFERROR(__xludf.DUMMYFUNCTION("""COMPUTED_VALUE"""),83482.0)</f>
        <v>83482</v>
      </c>
      <c r="Q735" s="124" t="str">
        <f>IFERROR(__xludf.DUMMYFUNCTION("""COMPUTED_VALUE"""),"Not Available")</f>
        <v>Not Available</v>
      </c>
      <c r="R735" s="124" t="str">
        <f>IFERROR(__xludf.DUMMYFUNCTION("""COMPUTED_VALUE"""),"GS Foundation Course")</f>
        <v>GS Foundation Course</v>
      </c>
      <c r="S735" s="124">
        <f>IFERROR(__xludf.DUMMYFUNCTION("""COMPUTED_VALUE"""),8.009878073E9)</f>
        <v>8009878073</v>
      </c>
      <c r="T735" s="124" t="str">
        <f>IFERROR(__xludf.DUMMYFUNCTION("""COMPUTED_VALUE"""),"Not Available")</f>
        <v>Not Available</v>
      </c>
      <c r="U735" s="124" t="str">
        <f>IFERROR(__xludf.DUMMYFUNCTION("""COMPUTED_VALUE"""),"Not Available")</f>
        <v>Not Available</v>
      </c>
      <c r="V735" s="124" t="str">
        <f>IFERROR(__xludf.DUMMYFUNCTION("""COMPUTED_VALUE"""),"Not Available")</f>
        <v>Not Available</v>
      </c>
      <c r="W735" s="124" t="str">
        <f>IFERROR(__xludf.DUMMYFUNCTION("""COMPUTED_VALUE"""),"Not Available")</f>
        <v>Not Available</v>
      </c>
    </row>
    <row r="736">
      <c r="A736" s="124" t="str">
        <f t="shared" si="1"/>
        <v>girwalmansi2004@gmail.com</v>
      </c>
      <c r="B736" s="131">
        <f>IFERROR(__xludf.DUMMYFUNCTION("""COMPUTED_VALUE"""),46070.0)</f>
        <v>46070</v>
      </c>
      <c r="C736" s="124" t="str">
        <f>IFERROR(__xludf.DUMMYFUNCTION("""COMPUTED_VALUE"""),"Payment data from Collexo")</f>
        <v>Payment data from Collexo</v>
      </c>
      <c r="D736" s="124" t="str">
        <f>IFERROR(__xludf.DUMMYFUNCTION("""COMPUTED_VALUE"""),"Not Available")</f>
        <v>Not Available</v>
      </c>
      <c r="E736" s="124">
        <f>IFERROR(__xludf.DUMMYFUNCTION("""COMPUTED_VALUE"""),1500612.0)</f>
        <v>1500612</v>
      </c>
      <c r="F736" s="124">
        <f>IFERROR(__xludf.DUMMYFUNCTION("""COMPUTED_VALUE"""),123767.0)</f>
        <v>123767</v>
      </c>
      <c r="G736" s="124">
        <f>IFERROR(__xludf.DUMMYFUNCTION("""COMPUTED_VALUE"""),2000.0)</f>
        <v>2000</v>
      </c>
      <c r="H736" s="131">
        <f>IFERROR(__xludf.DUMMYFUNCTION("""COMPUTED_VALUE"""),46081.0)</f>
        <v>46081</v>
      </c>
      <c r="I736" s="124">
        <f>IFERROR(__xludf.DUMMYFUNCTION("""COMPUTED_VALUE"""),58000.0)</f>
        <v>58000</v>
      </c>
      <c r="J736" s="124">
        <f>IFERROR(__xludf.DUMMYFUNCTION("""COMPUTED_VALUE"""),60000.0)</f>
        <v>60000</v>
      </c>
      <c r="K736" s="124">
        <f>IFERROR(__xludf.DUMMYFUNCTION("""COMPUTED_VALUE"""),2.0)</f>
        <v>2</v>
      </c>
      <c r="L736" s="124">
        <f>IFERROR(__xludf.DUMMYFUNCTION("""COMPUTED_VALUE"""),242.0)</f>
        <v>242</v>
      </c>
      <c r="M736" s="124" t="str">
        <f>IFERROR(__xludf.DUMMYFUNCTION("""COMPUTED_VALUE"""),"Indore")</f>
        <v>Indore</v>
      </c>
      <c r="N736" s="124" t="str">
        <f>IFERROR(__xludf.DUMMYFUNCTION("""COMPUTED_VALUE"""),"girwalmansi2004@gmail.com")</f>
        <v>girwalmansi2004@gmail.com</v>
      </c>
      <c r="O736" s="124" t="str">
        <f>IFERROR(__xludf.DUMMYFUNCTION("""COMPUTED_VALUE"""),"Mansi girwal")</f>
        <v>Mansi girwal</v>
      </c>
      <c r="P736" s="124">
        <f>IFERROR(__xludf.DUMMYFUNCTION("""COMPUTED_VALUE"""),123767.0)</f>
        <v>123767</v>
      </c>
      <c r="Q736" s="124" t="str">
        <f>IFERROR(__xludf.DUMMYFUNCTION("""COMPUTED_VALUE"""),"mppsc-gs-foundation-hinglish-target-2028-gsf-mppsc-e02-ind")</f>
        <v>mppsc-gs-foundation-hinglish-target-2028-gsf-mppsc-e02-ind</v>
      </c>
      <c r="R736" s="124" t="str">
        <f>IFERROR(__xludf.DUMMYFUNCTION("""COMPUTED_VALUE"""),"State PCS")</f>
        <v>State PCS</v>
      </c>
      <c r="S736" s="124">
        <f>IFERROR(__xludf.DUMMYFUNCTION("""COMPUTED_VALUE"""),6.2608663E9)</f>
        <v>6260866300</v>
      </c>
      <c r="T736" s="124" t="str">
        <f>IFERROR(__xludf.DUMMYFUNCTION("""COMPUTED_VALUE"""),"Not Available")</f>
        <v>Not Available</v>
      </c>
      <c r="U736" s="124" t="str">
        <f>IFERROR(__xludf.DUMMYFUNCTION("""COMPUTED_VALUE"""),"Not Available")</f>
        <v>Not Available</v>
      </c>
      <c r="V736" s="124" t="str">
        <f>IFERROR(__xludf.DUMMYFUNCTION("""COMPUTED_VALUE"""),"Not Available")</f>
        <v>Not Available</v>
      </c>
      <c r="W736" s="124" t="str">
        <f>IFERROR(__xludf.DUMMYFUNCTION("""COMPUTED_VALUE"""),"Not Available")</f>
        <v>Not Available</v>
      </c>
    </row>
    <row r="737">
      <c r="A737" s="124" t="str">
        <f t="shared" si="1"/>
        <v>avnesh7471@gmail.com</v>
      </c>
      <c r="B737" s="131">
        <f>IFERROR(__xludf.DUMMYFUNCTION("""COMPUTED_VALUE"""),46093.0)</f>
        <v>46093</v>
      </c>
      <c r="C737" s="124" t="str">
        <f>IFERROR(__xludf.DUMMYFUNCTION("""COMPUTED_VALUE"""),"Payment data from Collexo")</f>
        <v>Payment data from Collexo</v>
      </c>
      <c r="D737" s="124" t="str">
        <f>IFERROR(__xludf.DUMMYFUNCTION("""COMPUTED_VALUE"""),"Not Available")</f>
        <v>Not Available</v>
      </c>
      <c r="E737" s="124">
        <f>IFERROR(__xludf.DUMMYFUNCTION("""COMPUTED_VALUE"""),1500609.0)</f>
        <v>1500609</v>
      </c>
      <c r="F737" s="124" t="str">
        <f>IFERROR(__xludf.DUMMYFUNCTION("""COMPUTED_VALUE"""),"13878_988_7")</f>
        <v>13878_988_7</v>
      </c>
      <c r="G737" s="124">
        <f>IFERROR(__xludf.DUMMYFUNCTION("""COMPUTED_VALUE"""),1.0)</f>
        <v>1</v>
      </c>
      <c r="H737" s="124" t="str">
        <f>IFERROR(__xludf.DUMMYFUNCTION("""COMPUTED_VALUE"""),"Not Available")</f>
        <v>Not Available</v>
      </c>
      <c r="I737" s="124">
        <f>IFERROR(__xludf.DUMMYFUNCTION("""COMPUTED_VALUE"""),0.0)</f>
        <v>0</v>
      </c>
      <c r="J737" s="124">
        <f>IFERROR(__xludf.DUMMYFUNCTION("""COMPUTED_VALUE"""),1.0)</f>
        <v>1</v>
      </c>
      <c r="K737" s="124">
        <f>IFERROR(__xludf.DUMMYFUNCTION("""COMPUTED_VALUE"""),1.0)</f>
        <v>1</v>
      </c>
      <c r="L737" s="124">
        <f>IFERROR(__xludf.DUMMYFUNCTION("""COMPUTED_VALUE"""),515.0)</f>
        <v>515</v>
      </c>
      <c r="M737" s="124" t="str">
        <f>IFERROR(__xludf.DUMMYFUNCTION("""COMPUTED_VALUE"""),"New Delhi")</f>
        <v>New Delhi</v>
      </c>
      <c r="N737" s="124" t="str">
        <f>IFERROR(__xludf.DUMMYFUNCTION("""COMPUTED_VALUE"""),"avnesh7471@gmail.com")</f>
        <v>avnesh7471@gmail.com</v>
      </c>
      <c r="O737" s="124" t="str">
        <f>IFERROR(__xludf.DUMMYFUNCTION("""COMPUTED_VALUE"""),"AVNESH YADAV")</f>
        <v>AVNESH YADAV</v>
      </c>
      <c r="P737" s="124">
        <f>IFERROR(__xludf.DUMMYFUNCTION("""COMPUTED_VALUE"""),127071.0)</f>
        <v>127071</v>
      </c>
      <c r="Q737" s="124" t="str">
        <f>IFERROR(__xludf.DUMMYFUNCTION("""COMPUTED_VALUE"""),"upsc-gs-foundation-hinglish-target-2027-gsf-upsc-e05-orn")</f>
        <v>upsc-gs-foundation-hinglish-target-2027-gsf-upsc-e05-orn</v>
      </c>
      <c r="R737" s="124" t="str">
        <f>IFERROR(__xludf.DUMMYFUNCTION("""COMPUTED_VALUE"""),"GS Foundation Course")</f>
        <v>GS Foundation Course</v>
      </c>
      <c r="S737" s="124">
        <f>IFERROR(__xludf.DUMMYFUNCTION("""COMPUTED_VALUE"""),9.718737704E9)</f>
        <v>9718737704</v>
      </c>
      <c r="T737" s="124" t="str">
        <f>IFERROR(__xludf.DUMMYFUNCTION("""COMPUTED_VALUE"""),"Collexo")</f>
        <v>Collexo</v>
      </c>
      <c r="U737" s="124" t="str">
        <f>IFERROR(__xludf.DUMMYFUNCTION("""COMPUTED_VALUE"""),"Success")</f>
        <v>Success</v>
      </c>
      <c r="V737" s="131">
        <f>IFERROR(__xludf.DUMMYFUNCTION("""COMPUTED_VALUE"""),46093.0)</f>
        <v>46093</v>
      </c>
      <c r="W737" s="124">
        <f>IFERROR(__xludf.DUMMYFUNCTION("""COMPUTED_VALUE"""),0.0)</f>
        <v>0</v>
      </c>
    </row>
    <row r="738">
      <c r="A738" s="124" t="str">
        <f t="shared" si="1"/>
        <v>humeshdiwan2003@gmail.com</v>
      </c>
      <c r="B738" s="131">
        <f>IFERROR(__xludf.DUMMYFUNCTION("""COMPUTED_VALUE"""),46103.0)</f>
        <v>46103</v>
      </c>
      <c r="C738" s="124" t="str">
        <f>IFERROR(__xludf.DUMMYFUNCTION("""COMPUTED_VALUE"""),"Payment data from Collexo")</f>
        <v>Payment data from Collexo</v>
      </c>
      <c r="D738" s="124" t="str">
        <f>IFERROR(__xludf.DUMMYFUNCTION("""COMPUTED_VALUE"""),"Not Available")</f>
        <v>Not Available</v>
      </c>
      <c r="E738" s="124">
        <f>IFERROR(__xludf.DUMMYFUNCTION("""COMPUTED_VALUE"""),1500609.0)</f>
        <v>1500609</v>
      </c>
      <c r="F738" s="124" t="str">
        <f>IFERROR(__xludf.DUMMYFUNCTION("""COMPUTED_VALUE"""),"15920_988_7")</f>
        <v>15920_988_7</v>
      </c>
      <c r="G738" s="124">
        <f>IFERROR(__xludf.DUMMYFUNCTION("""COMPUTED_VALUE"""),1.0)</f>
        <v>1</v>
      </c>
      <c r="H738" s="124" t="str">
        <f>IFERROR(__xludf.DUMMYFUNCTION("""COMPUTED_VALUE"""),"Not Available")</f>
        <v>Not Available</v>
      </c>
      <c r="I738" s="124">
        <f>IFERROR(__xludf.DUMMYFUNCTION("""COMPUTED_VALUE"""),0.0)</f>
        <v>0</v>
      </c>
      <c r="J738" s="124">
        <f>IFERROR(__xludf.DUMMYFUNCTION("""COMPUTED_VALUE"""),1.0)</f>
        <v>1</v>
      </c>
      <c r="K738" s="124">
        <f>IFERROR(__xludf.DUMMYFUNCTION("""COMPUTED_VALUE"""),1.0)</f>
        <v>1</v>
      </c>
      <c r="L738" s="124">
        <f>IFERROR(__xludf.DUMMYFUNCTION("""COMPUTED_VALUE"""),676.0)</f>
        <v>676</v>
      </c>
      <c r="M738" s="124" t="str">
        <f>IFERROR(__xludf.DUMMYFUNCTION("""COMPUTED_VALUE"""),"New Delhi")</f>
        <v>New Delhi</v>
      </c>
      <c r="N738" s="124" t="str">
        <f>IFERROR(__xludf.DUMMYFUNCTION("""COMPUTED_VALUE"""),"humeshdiwan2003@gmail.com")</f>
        <v>humeshdiwan2003@gmail.com</v>
      </c>
      <c r="O738" s="124" t="str">
        <f>IFERROR(__xludf.DUMMYFUNCTION("""COMPUTED_VALUE"""),"Humesh Diwan")</f>
        <v>Humesh Diwan</v>
      </c>
      <c r="P738" s="124">
        <f>IFERROR(__xludf.DUMMYFUNCTION("""COMPUTED_VALUE"""),124092.0)</f>
        <v>124092</v>
      </c>
      <c r="Q738" s="124" t="str">
        <f>IFERROR(__xludf.DUMMYFUNCTION("""COMPUTED_VALUE"""),"Not Available")</f>
        <v>Not Available</v>
      </c>
      <c r="R738" s="124" t="str">
        <f>IFERROR(__xludf.DUMMYFUNCTION("""COMPUTED_VALUE"""),"GS Foundation Course")</f>
        <v>GS Foundation Course</v>
      </c>
      <c r="S738" s="124">
        <f>IFERROR(__xludf.DUMMYFUNCTION("""COMPUTED_VALUE"""),9.340831711E9)</f>
        <v>9340831711</v>
      </c>
      <c r="T738" s="124" t="str">
        <f>IFERROR(__xludf.DUMMYFUNCTION("""COMPUTED_VALUE"""),"Collexo")</f>
        <v>Collexo</v>
      </c>
      <c r="U738" s="124" t="str">
        <f>IFERROR(__xludf.DUMMYFUNCTION("""COMPUTED_VALUE"""),"Success")</f>
        <v>Success</v>
      </c>
      <c r="V738" s="131">
        <f>IFERROR(__xludf.DUMMYFUNCTION("""COMPUTED_VALUE"""),46103.0)</f>
        <v>46103</v>
      </c>
      <c r="W738" s="124">
        <f>IFERROR(__xludf.DUMMYFUNCTION("""COMPUTED_VALUE"""),0.0)</f>
        <v>0</v>
      </c>
    </row>
    <row r="739">
      <c r="A739" s="124" t="str">
        <f t="shared" si="1"/>
        <v>jamresachin584@gmail.com</v>
      </c>
      <c r="B739" s="131">
        <f>IFERROR(__xludf.DUMMYFUNCTION("""COMPUTED_VALUE"""),46080.0)</f>
        <v>46080</v>
      </c>
      <c r="C739" s="124" t="str">
        <f>IFERROR(__xludf.DUMMYFUNCTION("""COMPUTED_VALUE"""),"Payment data from Collexo")</f>
        <v>Payment data from Collexo</v>
      </c>
      <c r="D739" s="124" t="str">
        <f>IFERROR(__xludf.DUMMYFUNCTION("""COMPUTED_VALUE"""),"Not Available")</f>
        <v>Not Available</v>
      </c>
      <c r="E739" s="124">
        <f>IFERROR(__xludf.DUMMYFUNCTION("""COMPUTED_VALUE"""),1500612.0)</f>
        <v>1500612</v>
      </c>
      <c r="F739" s="124">
        <f>IFERROR(__xludf.DUMMYFUNCTION("""COMPUTED_VALUE"""),125031.0)</f>
        <v>125031</v>
      </c>
      <c r="G739" s="124">
        <f>IFERROR(__xludf.DUMMYFUNCTION("""COMPUTED_VALUE"""),58000.0)</f>
        <v>58000</v>
      </c>
      <c r="H739" s="124" t="str">
        <f>IFERROR(__xludf.DUMMYFUNCTION("""COMPUTED_VALUE"""),"Not Available")</f>
        <v>Not Available</v>
      </c>
      <c r="I739" s="124">
        <f>IFERROR(__xludf.DUMMYFUNCTION("""COMPUTED_VALUE"""),0.0)</f>
        <v>0</v>
      </c>
      <c r="J739" s="124">
        <f>IFERROR(__xludf.DUMMYFUNCTION("""COMPUTED_VALUE"""),60000.0)</f>
        <v>60000</v>
      </c>
      <c r="K739" s="124">
        <f>IFERROR(__xludf.DUMMYFUNCTION("""COMPUTED_VALUE"""),2.0)</f>
        <v>2</v>
      </c>
      <c r="L739" s="124">
        <f>IFERROR(__xludf.DUMMYFUNCTION("""COMPUTED_VALUE"""),363.0)</f>
        <v>363</v>
      </c>
      <c r="M739" s="124" t="str">
        <f>IFERROR(__xludf.DUMMYFUNCTION("""COMPUTED_VALUE"""),"Indore")</f>
        <v>Indore</v>
      </c>
      <c r="N739" s="124" t="str">
        <f>IFERROR(__xludf.DUMMYFUNCTION("""COMPUTED_VALUE"""),"jamresachin584@gmail.com")</f>
        <v>jamresachin584@gmail.com</v>
      </c>
      <c r="O739" s="124" t="str">
        <f>IFERROR(__xludf.DUMMYFUNCTION("""COMPUTED_VALUE"""),"Sachin Jamre")</f>
        <v>Sachin Jamre</v>
      </c>
      <c r="P739" s="124">
        <f>IFERROR(__xludf.DUMMYFUNCTION("""COMPUTED_VALUE"""),125031.0)</f>
        <v>125031</v>
      </c>
      <c r="Q739" s="124" t="str">
        <f>IFERROR(__xludf.DUMMYFUNCTION("""COMPUTED_VALUE"""),"upsc-gs-foundation-hindi-target-2027-gsf-upsc-m02-ind")</f>
        <v>upsc-gs-foundation-hindi-target-2027-gsf-upsc-m02-ind</v>
      </c>
      <c r="R739" s="124" t="str">
        <f>IFERROR(__xludf.DUMMYFUNCTION("""COMPUTED_VALUE"""),"GS Foundation Course")</f>
        <v>GS Foundation Course</v>
      </c>
      <c r="S739" s="124">
        <f>IFERROR(__xludf.DUMMYFUNCTION("""COMPUTED_VALUE"""),7.000354229E9)</f>
        <v>7000354229</v>
      </c>
      <c r="T739" s="124" t="str">
        <f>IFERROR(__xludf.DUMMYFUNCTION("""COMPUTED_VALUE"""),"Not Available")</f>
        <v>Not Available</v>
      </c>
      <c r="U739" s="124" t="str">
        <f>IFERROR(__xludf.DUMMYFUNCTION("""COMPUTED_VALUE"""),"Not Available")</f>
        <v>Not Available</v>
      </c>
      <c r="V739" s="124" t="str">
        <f>IFERROR(__xludf.DUMMYFUNCTION("""COMPUTED_VALUE"""),"Not Available")</f>
        <v>Not Available</v>
      </c>
      <c r="W739" s="124" t="str">
        <f>IFERROR(__xludf.DUMMYFUNCTION("""COMPUTED_VALUE"""),"Not Available")</f>
        <v>Not Available</v>
      </c>
    </row>
    <row r="740">
      <c r="A740" s="124" t="str">
        <f t="shared" si="1"/>
        <v>xcluzive.ai@gmail.com</v>
      </c>
      <c r="B740" s="131">
        <f>IFERROR(__xludf.DUMMYFUNCTION("""COMPUTED_VALUE"""),46099.0)</f>
        <v>46099</v>
      </c>
      <c r="C740" s="124" t="str">
        <f>IFERROR(__xludf.DUMMYFUNCTION("""COMPUTED_VALUE"""),"Payment data from Collexo")</f>
        <v>Payment data from Collexo</v>
      </c>
      <c r="D740" s="124" t="str">
        <f>IFERROR(__xludf.DUMMYFUNCTION("""COMPUTED_VALUE"""),"Not Available")</f>
        <v>Not Available</v>
      </c>
      <c r="E740" s="124">
        <f>IFERROR(__xludf.DUMMYFUNCTION("""COMPUTED_VALUE"""),1500610.0)</f>
        <v>1500610</v>
      </c>
      <c r="F740" s="124">
        <f>IFERROR(__xludf.DUMMYFUNCTION("""COMPUTED_VALUE"""),83482.0)</f>
        <v>83482</v>
      </c>
      <c r="G740" s="124">
        <f>IFERROR(__xludf.DUMMYFUNCTION("""COMPUTED_VALUE"""),5000.0)</f>
        <v>5000</v>
      </c>
      <c r="H740" s="131">
        <f>IFERROR(__xludf.DUMMYFUNCTION("""COMPUTED_VALUE"""),46100.0)</f>
        <v>46100</v>
      </c>
      <c r="I740" s="124">
        <f>IFERROR(__xludf.DUMMYFUNCTION("""COMPUTED_VALUE"""),1087.0)</f>
        <v>1087</v>
      </c>
      <c r="J740" s="124">
        <f>IFERROR(__xludf.DUMMYFUNCTION("""COMPUTED_VALUE"""),50000.0)</f>
        <v>50000</v>
      </c>
      <c r="K740" s="124">
        <f>IFERROR(__xludf.DUMMYFUNCTION("""COMPUTED_VALUE"""),3.0)</f>
        <v>3</v>
      </c>
      <c r="L740" s="124">
        <f>IFERROR(__xludf.DUMMYFUNCTION("""COMPUTED_VALUE"""),602.0)</f>
        <v>602</v>
      </c>
      <c r="M740" s="124" t="str">
        <f>IFERROR(__xludf.DUMMYFUNCTION("""COMPUTED_VALUE"""),"Lucknow")</f>
        <v>Lucknow</v>
      </c>
      <c r="N740" s="124" t="str">
        <f>IFERROR(__xludf.DUMMYFUNCTION("""COMPUTED_VALUE"""),"xcluzive.ai@gmail.com")</f>
        <v>xcluzive.ai@gmail.com</v>
      </c>
      <c r="O740" s="124" t="str">
        <f>IFERROR(__xludf.DUMMYFUNCTION("""COMPUTED_VALUE"""),"risbha")</f>
        <v>risbha</v>
      </c>
      <c r="P740" s="124">
        <f>IFERROR(__xludf.DUMMYFUNCTION("""COMPUTED_VALUE"""),83482.0)</f>
        <v>83482</v>
      </c>
      <c r="Q740" s="124" t="str">
        <f>IFERROR(__xludf.DUMMYFUNCTION("""COMPUTED_VALUE"""),"Not Available")</f>
        <v>Not Available</v>
      </c>
      <c r="R740" s="124" t="str">
        <f>IFERROR(__xludf.DUMMYFUNCTION("""COMPUTED_VALUE"""),"GS Foundation Course")</f>
        <v>GS Foundation Course</v>
      </c>
      <c r="S740" s="124">
        <f>IFERROR(__xludf.DUMMYFUNCTION("""COMPUTED_VALUE"""),8.009878073E9)</f>
        <v>8009878073</v>
      </c>
      <c r="T740" s="124" t="str">
        <f>IFERROR(__xludf.DUMMYFUNCTION("""COMPUTED_VALUE"""),"Not Available")</f>
        <v>Not Available</v>
      </c>
      <c r="U740" s="124" t="str">
        <f>IFERROR(__xludf.DUMMYFUNCTION("""COMPUTED_VALUE"""),"Not Available")</f>
        <v>Not Available</v>
      </c>
      <c r="V740" s="124" t="str">
        <f>IFERROR(__xludf.DUMMYFUNCTION("""COMPUTED_VALUE"""),"Not Available")</f>
        <v>Not Available</v>
      </c>
      <c r="W740" s="124" t="str">
        <f>IFERROR(__xludf.DUMMYFUNCTION("""COMPUTED_VALUE"""),"Not Available")</f>
        <v>Not Available</v>
      </c>
    </row>
    <row r="741">
      <c r="A741" s="124" t="str">
        <f t="shared" si="1"/>
        <v>rituraj664@gmail.com</v>
      </c>
      <c r="B741" s="131">
        <f>IFERROR(__xludf.DUMMYFUNCTION("""COMPUTED_VALUE"""),46054.0)</f>
        <v>46054</v>
      </c>
      <c r="C741" s="124" t="str">
        <f>IFERROR(__xludf.DUMMYFUNCTION("""COMPUTED_VALUE"""),"Payment data from Collexo")</f>
        <v>Payment data from Collexo</v>
      </c>
      <c r="D741" s="124" t="str">
        <f>IFERROR(__xludf.DUMMYFUNCTION("""COMPUTED_VALUE"""),"Not Available")</f>
        <v>Not Available</v>
      </c>
      <c r="E741" s="124">
        <f>IFERROR(__xludf.DUMMYFUNCTION("""COMPUTED_VALUE"""),1500609.0)</f>
        <v>1500609</v>
      </c>
      <c r="F741" s="124" t="str">
        <f>IFERROR(__xludf.DUMMYFUNCTION("""COMPUTED_VALUE"""),"3473_988_7")</f>
        <v>3473_988_7</v>
      </c>
      <c r="G741" s="124">
        <f>IFERROR(__xludf.DUMMYFUNCTION("""COMPUTED_VALUE"""),110000.0)</f>
        <v>110000</v>
      </c>
      <c r="H741" s="124" t="str">
        <f>IFERROR(__xludf.DUMMYFUNCTION("""COMPUTED_VALUE"""),"Not Available")</f>
        <v>Not Available</v>
      </c>
      <c r="I741" s="124">
        <f>IFERROR(__xludf.DUMMYFUNCTION("""COMPUTED_VALUE"""),0.0)</f>
        <v>0</v>
      </c>
      <c r="J741" s="124">
        <f>IFERROR(__xludf.DUMMYFUNCTION("""COMPUTED_VALUE"""),140000.0)</f>
        <v>140000</v>
      </c>
      <c r="K741" s="124">
        <f>IFERROR(__xludf.DUMMYFUNCTION("""COMPUTED_VALUE"""),2.0)</f>
        <v>2</v>
      </c>
      <c r="L741" s="124">
        <f>IFERROR(__xludf.DUMMYFUNCTION("""COMPUTED_VALUE"""),151.0)</f>
        <v>151</v>
      </c>
      <c r="M741" s="124" t="str">
        <f>IFERROR(__xludf.DUMMYFUNCTION("""COMPUTED_VALUE"""),"New Delhi")</f>
        <v>New Delhi</v>
      </c>
      <c r="N741" s="124" t="str">
        <f>IFERROR(__xludf.DUMMYFUNCTION("""COMPUTED_VALUE"""),"rituraj664@gmail.com")</f>
        <v>rituraj664@gmail.com</v>
      </c>
      <c r="O741" s="124" t="str">
        <f>IFERROR(__xludf.DUMMYFUNCTION("""COMPUTED_VALUE"""),"Ruturaj")</f>
        <v>Ruturaj</v>
      </c>
      <c r="P741" s="124">
        <f>IFERROR(__xludf.DUMMYFUNCTION("""COMPUTED_VALUE"""),56746.0)</f>
        <v>56746</v>
      </c>
      <c r="Q741" s="124" t="str">
        <f>IFERROR(__xludf.DUMMYFUNCTION("""COMPUTED_VALUE"""),"ncert-foundation-hinglish-target-2026-nce-upsc-e02-orn")</f>
        <v>ncert-foundation-hinglish-target-2026-nce-upsc-e02-orn</v>
      </c>
      <c r="R741" s="124" t="str">
        <f>IFERROR(__xludf.DUMMYFUNCTION("""COMPUTED_VALUE"""),"GS Foundation Course")</f>
        <v>GS Foundation Course</v>
      </c>
      <c r="S741" s="124">
        <f>IFERROR(__xludf.DUMMYFUNCTION("""COMPUTED_VALUE"""),9.579252596E9)</f>
        <v>9579252596</v>
      </c>
      <c r="T741" s="124" t="str">
        <f>IFERROR(__xludf.DUMMYFUNCTION("""COMPUTED_VALUE"""),"Collexo")</f>
        <v>Collexo</v>
      </c>
      <c r="U741" s="124" t="str">
        <f>IFERROR(__xludf.DUMMYFUNCTION("""COMPUTED_VALUE"""),"Success")</f>
        <v>Success</v>
      </c>
      <c r="V741" s="131">
        <f>IFERROR(__xludf.DUMMYFUNCTION("""COMPUTED_VALUE"""),46054.0)</f>
        <v>46054</v>
      </c>
      <c r="W741" s="124">
        <f>IFERROR(__xludf.DUMMYFUNCTION("""COMPUTED_VALUE"""),0.0)</f>
        <v>0</v>
      </c>
    </row>
    <row r="742">
      <c r="A742" s="124" t="str">
        <f t="shared" si="1"/>
        <v>utsavumang75@gmail.com</v>
      </c>
      <c r="B742" s="131">
        <f>IFERROR(__xludf.DUMMYFUNCTION("""COMPUTED_VALUE"""),46064.0)</f>
        <v>46064</v>
      </c>
      <c r="C742" s="124" t="str">
        <f>IFERROR(__xludf.DUMMYFUNCTION("""COMPUTED_VALUE"""),"Payment data from Collexo")</f>
        <v>Payment data from Collexo</v>
      </c>
      <c r="D742" s="124" t="str">
        <f>IFERROR(__xludf.DUMMYFUNCTION("""COMPUTED_VALUE"""),"Not Available")</f>
        <v>Not Available</v>
      </c>
      <c r="E742" s="124">
        <f>IFERROR(__xludf.DUMMYFUNCTION("""COMPUTED_VALUE"""),1500609.0)</f>
        <v>1500609</v>
      </c>
      <c r="F742" s="124" t="str">
        <f>IFERROR(__xludf.DUMMYFUNCTION("""COMPUTED_VALUE"""),"4731_988_7")</f>
        <v>4731_988_7</v>
      </c>
      <c r="G742" s="124">
        <f>IFERROR(__xludf.DUMMYFUNCTION("""COMPUTED_VALUE"""),40000.0)</f>
        <v>40000</v>
      </c>
      <c r="H742" s="131">
        <f>IFERROR(__xludf.DUMMYFUNCTION("""COMPUTED_VALUE"""),46073.0)</f>
        <v>46073</v>
      </c>
      <c r="I742" s="124">
        <f>IFERROR(__xludf.DUMMYFUNCTION("""COMPUTED_VALUE"""),65000.0)</f>
        <v>65000</v>
      </c>
      <c r="J742" s="124">
        <f>IFERROR(__xludf.DUMMYFUNCTION("""COMPUTED_VALUE"""),105000.0)</f>
        <v>105000</v>
      </c>
      <c r="K742" s="124">
        <f>IFERROR(__xludf.DUMMYFUNCTION("""COMPUTED_VALUE"""),2.0)</f>
        <v>2</v>
      </c>
      <c r="L742" s="124">
        <f>IFERROR(__xludf.DUMMYFUNCTION("""COMPUTED_VALUE"""),196.0)</f>
        <v>196</v>
      </c>
      <c r="M742" s="124" t="str">
        <f>IFERROR(__xludf.DUMMYFUNCTION("""COMPUTED_VALUE"""),"New Delhi")</f>
        <v>New Delhi</v>
      </c>
      <c r="N742" s="124" t="str">
        <f>IFERROR(__xludf.DUMMYFUNCTION("""COMPUTED_VALUE"""),"utsavumang75@gmail.com")</f>
        <v>utsavumang75@gmail.com</v>
      </c>
      <c r="O742" s="124" t="str">
        <f>IFERROR(__xludf.DUMMYFUNCTION("""COMPUTED_VALUE"""),"Utsav")</f>
        <v>Utsav</v>
      </c>
      <c r="P742" s="124">
        <f>IFERROR(__xludf.DUMMYFUNCTION("""COMPUTED_VALUE"""),68123.0)</f>
        <v>68123</v>
      </c>
      <c r="Q742" s="124" t="str">
        <f>IFERROR(__xludf.DUMMYFUNCTION("""COMPUTED_VALUE"""),"super-100-gs-foundation-2028-p2i-offline-july-batch4-e-orn-with-ncert")</f>
        <v>super-100-gs-foundation-2028-p2i-offline-july-batch4-e-orn-with-ncert</v>
      </c>
      <c r="R742" s="124" t="str">
        <f>IFERROR(__xludf.DUMMYFUNCTION("""COMPUTED_VALUE"""),"GS Foundation Course")</f>
        <v>GS Foundation Course</v>
      </c>
      <c r="S742" s="124">
        <f>IFERROR(__xludf.DUMMYFUNCTION("""COMPUTED_VALUE"""),6.201770972E9)</f>
        <v>6201770972</v>
      </c>
      <c r="T742" s="124" t="str">
        <f>IFERROR(__xludf.DUMMYFUNCTION("""COMPUTED_VALUE"""),"Collexo")</f>
        <v>Collexo</v>
      </c>
      <c r="U742" s="124" t="str">
        <f>IFERROR(__xludf.DUMMYFUNCTION("""COMPUTED_VALUE"""),"Success")</f>
        <v>Success</v>
      </c>
      <c r="V742" s="131">
        <f>IFERROR(__xludf.DUMMYFUNCTION("""COMPUTED_VALUE"""),46064.0)</f>
        <v>46064</v>
      </c>
      <c r="W742" s="124">
        <f>IFERROR(__xludf.DUMMYFUNCTION("""COMPUTED_VALUE"""),0.0)</f>
        <v>0</v>
      </c>
    </row>
    <row r="743">
      <c r="A743" s="124" t="str">
        <f t="shared" si="1"/>
        <v>jamresachin584@gmail.com</v>
      </c>
      <c r="B743" s="131">
        <f>IFERROR(__xludf.DUMMYFUNCTION("""COMPUTED_VALUE"""),46079.0)</f>
        <v>46079</v>
      </c>
      <c r="C743" s="124" t="str">
        <f>IFERROR(__xludf.DUMMYFUNCTION("""COMPUTED_VALUE"""),"Payment data from Collexo")</f>
        <v>Payment data from Collexo</v>
      </c>
      <c r="D743" s="124" t="str">
        <f>IFERROR(__xludf.DUMMYFUNCTION("""COMPUTED_VALUE"""),"Not Available")</f>
        <v>Not Available</v>
      </c>
      <c r="E743" s="124">
        <f>IFERROR(__xludf.DUMMYFUNCTION("""COMPUTED_VALUE"""),1500612.0)</f>
        <v>1500612</v>
      </c>
      <c r="F743" s="124">
        <f>IFERROR(__xludf.DUMMYFUNCTION("""COMPUTED_VALUE"""),125031.0)</f>
        <v>125031</v>
      </c>
      <c r="G743" s="124">
        <f>IFERROR(__xludf.DUMMYFUNCTION("""COMPUTED_VALUE"""),2000.0)</f>
        <v>2000</v>
      </c>
      <c r="H743" s="131">
        <f>IFERROR(__xludf.DUMMYFUNCTION("""COMPUTED_VALUE"""),46081.0)</f>
        <v>46081</v>
      </c>
      <c r="I743" s="124">
        <f>IFERROR(__xludf.DUMMYFUNCTION("""COMPUTED_VALUE"""),58000.0)</f>
        <v>58000</v>
      </c>
      <c r="J743" s="124">
        <f>IFERROR(__xludf.DUMMYFUNCTION("""COMPUTED_VALUE"""),60000.0)</f>
        <v>60000</v>
      </c>
      <c r="K743" s="124">
        <f>IFERROR(__xludf.DUMMYFUNCTION("""COMPUTED_VALUE"""),2.0)</f>
        <v>2</v>
      </c>
      <c r="L743" s="124">
        <f>IFERROR(__xludf.DUMMYFUNCTION("""COMPUTED_VALUE"""),359.0)</f>
        <v>359</v>
      </c>
      <c r="M743" s="124" t="str">
        <f>IFERROR(__xludf.DUMMYFUNCTION("""COMPUTED_VALUE"""),"Indore")</f>
        <v>Indore</v>
      </c>
      <c r="N743" s="124" t="str">
        <f>IFERROR(__xludf.DUMMYFUNCTION("""COMPUTED_VALUE"""),"jamresachin584@gmail.com")</f>
        <v>jamresachin584@gmail.com</v>
      </c>
      <c r="O743" s="124" t="str">
        <f>IFERROR(__xludf.DUMMYFUNCTION("""COMPUTED_VALUE"""),"Sachin Jamre")</f>
        <v>Sachin Jamre</v>
      </c>
      <c r="P743" s="124">
        <f>IFERROR(__xludf.DUMMYFUNCTION("""COMPUTED_VALUE"""),125031.0)</f>
        <v>125031</v>
      </c>
      <c r="Q743" s="124" t="str">
        <f>IFERROR(__xludf.DUMMYFUNCTION("""COMPUTED_VALUE"""),"upsc-gs-foundation-hindi-target-2027-gsf-upsc-m02-ind")</f>
        <v>upsc-gs-foundation-hindi-target-2027-gsf-upsc-m02-ind</v>
      </c>
      <c r="R743" s="124" t="str">
        <f>IFERROR(__xludf.DUMMYFUNCTION("""COMPUTED_VALUE"""),"GS Foundation Course")</f>
        <v>GS Foundation Course</v>
      </c>
      <c r="S743" s="124">
        <f>IFERROR(__xludf.DUMMYFUNCTION("""COMPUTED_VALUE"""),7.000354229E9)</f>
        <v>7000354229</v>
      </c>
      <c r="T743" s="124" t="str">
        <f>IFERROR(__xludf.DUMMYFUNCTION("""COMPUTED_VALUE"""),"Not Available")</f>
        <v>Not Available</v>
      </c>
      <c r="U743" s="124" t="str">
        <f>IFERROR(__xludf.DUMMYFUNCTION("""COMPUTED_VALUE"""),"Not Available")</f>
        <v>Not Available</v>
      </c>
      <c r="V743" s="124" t="str">
        <f>IFERROR(__xludf.DUMMYFUNCTION("""COMPUTED_VALUE"""),"Not Available")</f>
        <v>Not Available</v>
      </c>
      <c r="W743" s="124" t="str">
        <f>IFERROR(__xludf.DUMMYFUNCTION("""COMPUTED_VALUE"""),"Not Available")</f>
        <v>Not Available</v>
      </c>
    </row>
    <row r="744">
      <c r="A744" s="124" t="str">
        <f t="shared" si="1"/>
        <v>lavanyachoudhary928@gmail.com</v>
      </c>
      <c r="B744" s="131">
        <f>IFERROR(__xludf.DUMMYFUNCTION("""COMPUTED_VALUE"""),46109.0)</f>
        <v>46109</v>
      </c>
      <c r="C744" s="124" t="str">
        <f>IFERROR(__xludf.DUMMYFUNCTION("""COMPUTED_VALUE"""),"Payment data from Collexo")</f>
        <v>Payment data from Collexo</v>
      </c>
      <c r="D744" s="124" t="str">
        <f>IFERROR(__xludf.DUMMYFUNCTION("""COMPUTED_VALUE"""),"Not Available")</f>
        <v>Not Available</v>
      </c>
      <c r="E744" s="124">
        <f>IFERROR(__xludf.DUMMYFUNCTION("""COMPUTED_VALUE"""),1500609.0)</f>
        <v>1500609</v>
      </c>
      <c r="F744" s="124" t="str">
        <f>IFERROR(__xludf.DUMMYFUNCTION("""COMPUTED_VALUE"""),"17097_988_7")</f>
        <v>17097_988_7</v>
      </c>
      <c r="G744" s="124">
        <f>IFERROR(__xludf.DUMMYFUNCTION("""COMPUTED_VALUE"""),10000.0)</f>
        <v>10000</v>
      </c>
      <c r="H744" s="124" t="str">
        <f>IFERROR(__xludf.DUMMYFUNCTION("""COMPUTED_VALUE"""),"Not Available")</f>
        <v>Not Available</v>
      </c>
      <c r="I744" s="124">
        <f>IFERROR(__xludf.DUMMYFUNCTION("""COMPUTED_VALUE"""),0.0)</f>
        <v>0</v>
      </c>
      <c r="J744" s="124">
        <f>IFERROR(__xludf.DUMMYFUNCTION("""COMPUTED_VALUE"""),110000.0)</f>
        <v>110000</v>
      </c>
      <c r="K744" s="124">
        <f>IFERROR(__xludf.DUMMYFUNCTION("""COMPUTED_VALUE"""),4.0)</f>
        <v>4</v>
      </c>
      <c r="L744" s="124">
        <f>IFERROR(__xludf.DUMMYFUNCTION("""COMPUTED_VALUE"""),797.0)</f>
        <v>797</v>
      </c>
      <c r="M744" s="124" t="str">
        <f>IFERROR(__xludf.DUMMYFUNCTION("""COMPUTED_VALUE"""),"New Delhi")</f>
        <v>New Delhi</v>
      </c>
      <c r="N744" s="124" t="str">
        <f>IFERROR(__xludf.DUMMYFUNCTION("""COMPUTED_VALUE"""),"lavanyachoudhary928@gmail.com")</f>
        <v>lavanyachoudhary928@gmail.com</v>
      </c>
      <c r="O744" s="124" t="str">
        <f>IFERROR(__xludf.DUMMYFUNCTION("""COMPUTED_VALUE"""),"Lavanya")</f>
        <v>Lavanya</v>
      </c>
      <c r="P744" s="124">
        <f>IFERROR(__xludf.DUMMYFUNCTION("""COMPUTED_VALUE"""),124437.0)</f>
        <v>124437</v>
      </c>
      <c r="Q744" s="124" t="str">
        <f>IFERROR(__xludf.DUMMYFUNCTION("""COMPUTED_VALUE"""),"6576 - UPSC GS Foundation Hinglish Target 2027 February (M) - ORN")</f>
        <v>6576 - UPSC GS Foundation Hinglish Target 2027 February (M) - ORN</v>
      </c>
      <c r="R744" s="124" t="str">
        <f>IFERROR(__xludf.DUMMYFUNCTION("""COMPUTED_VALUE"""),"GS Foundation Course")</f>
        <v>GS Foundation Course</v>
      </c>
      <c r="S744" s="124">
        <f>IFERROR(__xludf.DUMMYFUNCTION("""COMPUTED_VALUE"""),9.971763377E9)</f>
        <v>9971763377</v>
      </c>
      <c r="T744" s="124" t="str">
        <f>IFERROR(__xludf.DUMMYFUNCTION("""COMPUTED_VALUE"""),"Collexo")</f>
        <v>Collexo</v>
      </c>
      <c r="U744" s="124" t="str">
        <f>IFERROR(__xludf.DUMMYFUNCTION("""COMPUTED_VALUE"""),"Success")</f>
        <v>Success</v>
      </c>
      <c r="V744" s="131">
        <f>IFERROR(__xludf.DUMMYFUNCTION("""COMPUTED_VALUE"""),46109.0)</f>
        <v>46109</v>
      </c>
      <c r="W744" s="124">
        <f>IFERROR(__xludf.DUMMYFUNCTION("""COMPUTED_VALUE"""),0.0)</f>
        <v>0</v>
      </c>
    </row>
    <row r="745">
      <c r="A745" s="124" t="str">
        <f t="shared" si="1"/>
        <v>s.chaitali1009@gmail.com</v>
      </c>
      <c r="B745" s="131">
        <f>IFERROR(__xludf.DUMMYFUNCTION("""COMPUTED_VALUE"""),46074.0)</f>
        <v>46074</v>
      </c>
      <c r="C745" s="124" t="str">
        <f>IFERROR(__xludf.DUMMYFUNCTION("""COMPUTED_VALUE"""),"Payment data from Collexo")</f>
        <v>Payment data from Collexo</v>
      </c>
      <c r="D745" s="124" t="str">
        <f>IFERROR(__xludf.DUMMYFUNCTION("""COMPUTED_VALUE"""),"Not Available")</f>
        <v>Not Available</v>
      </c>
      <c r="E745" s="124">
        <f>IFERROR(__xludf.DUMMYFUNCTION("""COMPUTED_VALUE"""),1500613.0)</f>
        <v>1500613</v>
      </c>
      <c r="F745" s="124">
        <f>IFERROR(__xludf.DUMMYFUNCTION("""COMPUTED_VALUE"""),124057.0)</f>
        <v>124057</v>
      </c>
      <c r="G745" s="124">
        <f>IFERROR(__xludf.DUMMYFUNCTION("""COMPUTED_VALUE"""),42091.0)</f>
        <v>42091</v>
      </c>
      <c r="H745" s="124" t="str">
        <f>IFERROR(__xludf.DUMMYFUNCTION("""COMPUTED_VALUE"""),"Not Available")</f>
        <v>Not Available</v>
      </c>
      <c r="I745" s="124">
        <f>IFERROR(__xludf.DUMMYFUNCTION("""COMPUTED_VALUE"""),0.0)</f>
        <v>0</v>
      </c>
      <c r="J745" s="124">
        <f>IFERROR(__xludf.DUMMYFUNCTION("""COMPUTED_VALUE"""),50000.0)</f>
        <v>50000</v>
      </c>
      <c r="K745" s="124">
        <f>IFERROR(__xludf.DUMMYFUNCTION("""COMPUTED_VALUE"""),2.0)</f>
        <v>2</v>
      </c>
      <c r="L745" s="124">
        <f>IFERROR(__xludf.DUMMYFUNCTION("""COMPUTED_VALUE"""),293.0)</f>
        <v>293</v>
      </c>
      <c r="M745" s="124" t="str">
        <f>IFERROR(__xludf.DUMMYFUNCTION("""COMPUTED_VALUE"""),"Prayagraj")</f>
        <v>Prayagraj</v>
      </c>
      <c r="N745" s="124" t="str">
        <f>IFERROR(__xludf.DUMMYFUNCTION("""COMPUTED_VALUE"""),"s.chaitali1009@gmail.com")</f>
        <v>s.chaitali1009@gmail.com</v>
      </c>
      <c r="O745" s="124" t="str">
        <f>IFERROR(__xludf.DUMMYFUNCTION("""COMPUTED_VALUE"""),"Chaitali Singh")</f>
        <v>Chaitali Singh</v>
      </c>
      <c r="P745" s="124">
        <f>IFERROR(__xludf.DUMMYFUNCTION("""COMPUTED_VALUE"""),124057.0)</f>
        <v>124057</v>
      </c>
      <c r="Q745" s="124" t="str">
        <f>IFERROR(__xludf.DUMMYFUNCTION("""COMPUTED_VALUE"""),"upsc-gs-foundation-hinglish-target-2028-gsf-upsc-e03-pry")</f>
        <v>upsc-gs-foundation-hinglish-target-2028-gsf-upsc-e03-pry</v>
      </c>
      <c r="R745" s="124" t="str">
        <f>IFERROR(__xludf.DUMMYFUNCTION("""COMPUTED_VALUE"""),"GS Foundation Course")</f>
        <v>GS Foundation Course</v>
      </c>
      <c r="S745" s="124">
        <f>IFERROR(__xludf.DUMMYFUNCTION("""COMPUTED_VALUE"""),8.429895348E9)</f>
        <v>8429895348</v>
      </c>
      <c r="T745" s="124" t="str">
        <f>IFERROR(__xludf.DUMMYFUNCTION("""COMPUTED_VALUE"""),"Not Available")</f>
        <v>Not Available</v>
      </c>
      <c r="U745" s="124" t="str">
        <f>IFERROR(__xludf.DUMMYFUNCTION("""COMPUTED_VALUE"""),"Not Available")</f>
        <v>Not Available</v>
      </c>
      <c r="V745" s="124" t="str">
        <f>IFERROR(__xludf.DUMMYFUNCTION("""COMPUTED_VALUE"""),"Not Available")</f>
        <v>Not Available</v>
      </c>
      <c r="W745" s="124" t="str">
        <f>IFERROR(__xludf.DUMMYFUNCTION("""COMPUTED_VALUE"""),"Not Available")</f>
        <v>Not Available</v>
      </c>
    </row>
    <row r="746">
      <c r="A746" s="124" t="str">
        <f t="shared" si="1"/>
        <v>nishakotra2006@gmail.com</v>
      </c>
      <c r="B746" s="131">
        <f>IFERROR(__xludf.DUMMYFUNCTION("""COMPUTED_VALUE"""),46089.0)</f>
        <v>46089</v>
      </c>
      <c r="C746" s="124" t="str">
        <f>IFERROR(__xludf.DUMMYFUNCTION("""COMPUTED_VALUE"""),"Payment data from Collexo")</f>
        <v>Payment data from Collexo</v>
      </c>
      <c r="D746" s="124" t="str">
        <f>IFERROR(__xludf.DUMMYFUNCTION("""COMPUTED_VALUE"""),"Not Available")</f>
        <v>Not Available</v>
      </c>
      <c r="E746" s="124">
        <f>IFERROR(__xludf.DUMMYFUNCTION("""COMPUTED_VALUE"""),1500609.0)</f>
        <v>1500609</v>
      </c>
      <c r="F746" s="124" t="str">
        <f>IFERROR(__xludf.DUMMYFUNCTION("""COMPUTED_VALUE"""),"13065_988_7")</f>
        <v>13065_988_7</v>
      </c>
      <c r="G746" s="124">
        <f>IFERROR(__xludf.DUMMYFUNCTION("""COMPUTED_VALUE"""),1.0)</f>
        <v>1</v>
      </c>
      <c r="H746" s="124" t="str">
        <f>IFERROR(__xludf.DUMMYFUNCTION("""COMPUTED_VALUE"""),"Not Available")</f>
        <v>Not Available</v>
      </c>
      <c r="I746" s="124">
        <f>IFERROR(__xludf.DUMMYFUNCTION("""COMPUTED_VALUE"""),0.0)</f>
        <v>0</v>
      </c>
      <c r="J746" s="124">
        <f>IFERROR(__xludf.DUMMYFUNCTION("""COMPUTED_VALUE"""),1.0)</f>
        <v>1</v>
      </c>
      <c r="K746" s="124">
        <f>IFERROR(__xludf.DUMMYFUNCTION("""COMPUTED_VALUE"""),1.0)</f>
        <v>1</v>
      </c>
      <c r="L746" s="124">
        <f>IFERROR(__xludf.DUMMYFUNCTION("""COMPUTED_VALUE"""),437.0)</f>
        <v>437</v>
      </c>
      <c r="M746" s="124" t="str">
        <f>IFERROR(__xludf.DUMMYFUNCTION("""COMPUTED_VALUE"""),"New Delhi")</f>
        <v>New Delhi</v>
      </c>
      <c r="N746" s="124" t="str">
        <f>IFERROR(__xludf.DUMMYFUNCTION("""COMPUTED_VALUE"""),"nishakotra2006@gmail.com")</f>
        <v>nishakotra2006@gmail.com</v>
      </c>
      <c r="O746" s="124" t="str">
        <f>IFERROR(__xludf.DUMMYFUNCTION("""COMPUTED_VALUE"""),"NISHA")</f>
        <v>NISHA</v>
      </c>
      <c r="P746" s="124">
        <f>IFERROR(__xludf.DUMMYFUNCTION("""COMPUTED_VALUE"""),126165.0)</f>
        <v>126165</v>
      </c>
      <c r="Q746" s="124" t="str">
        <f>IFERROR(__xludf.DUMMYFUNCTION("""COMPUTED_VALUE"""),"upsc-gs-foundation-hinglish-target-2028-gsf-upsc-m05-orn")</f>
        <v>upsc-gs-foundation-hinglish-target-2028-gsf-upsc-m05-orn</v>
      </c>
      <c r="R746" s="124" t="str">
        <f>IFERROR(__xludf.DUMMYFUNCTION("""COMPUTED_VALUE"""),"GS Foundation Course")</f>
        <v>GS Foundation Course</v>
      </c>
      <c r="S746" s="124">
        <f>IFERROR(__xludf.DUMMYFUNCTION("""COMPUTED_VALUE"""),9.216289573E9)</f>
        <v>9216289573</v>
      </c>
      <c r="T746" s="124" t="str">
        <f>IFERROR(__xludf.DUMMYFUNCTION("""COMPUTED_VALUE"""),"Collexo")</f>
        <v>Collexo</v>
      </c>
      <c r="U746" s="124" t="str">
        <f>IFERROR(__xludf.DUMMYFUNCTION("""COMPUTED_VALUE"""),"Success")</f>
        <v>Success</v>
      </c>
      <c r="V746" s="131">
        <f>IFERROR(__xludf.DUMMYFUNCTION("""COMPUTED_VALUE"""),46089.0)</f>
        <v>46089</v>
      </c>
      <c r="W746" s="124">
        <f>IFERROR(__xludf.DUMMYFUNCTION("""COMPUTED_VALUE"""),0.0)</f>
        <v>0</v>
      </c>
    </row>
    <row r="747">
      <c r="A747" s="124" t="str">
        <f t="shared" si="1"/>
        <v>pawarpurnesh@gmail.com</v>
      </c>
      <c r="B747" s="131">
        <f>IFERROR(__xludf.DUMMYFUNCTION("""COMPUTED_VALUE"""),46108.0)</f>
        <v>46108</v>
      </c>
      <c r="C747" s="124" t="str">
        <f>IFERROR(__xludf.DUMMYFUNCTION("""COMPUTED_VALUE"""),"Payment data from Collexo")</f>
        <v>Payment data from Collexo</v>
      </c>
      <c r="D747" s="124" t="str">
        <f>IFERROR(__xludf.DUMMYFUNCTION("""COMPUTED_VALUE"""),"Not Available")</f>
        <v>Not Available</v>
      </c>
      <c r="E747" s="124">
        <f>IFERROR(__xludf.DUMMYFUNCTION("""COMPUTED_VALUE"""),1500612.0)</f>
        <v>1500612</v>
      </c>
      <c r="F747" s="124">
        <f>IFERROR(__xludf.DUMMYFUNCTION("""COMPUTED_VALUE"""),133193.0)</f>
        <v>133193</v>
      </c>
      <c r="G747" s="124">
        <f>IFERROR(__xludf.DUMMYFUNCTION("""COMPUTED_VALUE"""),24000.0)</f>
        <v>24000</v>
      </c>
      <c r="H747" s="124" t="str">
        <f>IFERROR(__xludf.DUMMYFUNCTION("""COMPUTED_VALUE"""),"Not Available")</f>
        <v>Not Available</v>
      </c>
      <c r="I747" s="124">
        <f>IFERROR(__xludf.DUMMYFUNCTION("""COMPUTED_VALUE"""),0.0)</f>
        <v>0</v>
      </c>
      <c r="J747" s="124">
        <f>IFERROR(__xludf.DUMMYFUNCTION("""COMPUTED_VALUE"""),26000.0)</f>
        <v>26000</v>
      </c>
      <c r="K747" s="124">
        <f>IFERROR(__xludf.DUMMYFUNCTION("""COMPUTED_VALUE"""),2.0)</f>
        <v>2</v>
      </c>
      <c r="L747" s="124">
        <f>IFERROR(__xludf.DUMMYFUNCTION("""COMPUTED_VALUE"""),776.0)</f>
        <v>776</v>
      </c>
      <c r="M747" s="124" t="str">
        <f>IFERROR(__xludf.DUMMYFUNCTION("""COMPUTED_VALUE"""),"Indore")</f>
        <v>Indore</v>
      </c>
      <c r="N747" s="124" t="str">
        <f>IFERROR(__xludf.DUMMYFUNCTION("""COMPUTED_VALUE"""),"pawarpurnesh@gmail.com")</f>
        <v>pawarpurnesh@gmail.com</v>
      </c>
      <c r="O747" s="124" t="str">
        <f>IFERROR(__xludf.DUMMYFUNCTION("""COMPUTED_VALUE"""),"Purnesh panwar")</f>
        <v>Purnesh panwar</v>
      </c>
      <c r="P747" s="124">
        <f>IFERROR(__xludf.DUMMYFUNCTION("""COMPUTED_VALUE"""),133193.0)</f>
        <v>133193</v>
      </c>
      <c r="Q747" s="124" t="str">
        <f>IFERROR(__xludf.DUMMYFUNCTION("""COMPUTED_VALUE"""),"mppsc-gs-foundation-hinglish-target-2027-gsf-mppsc-e02-ind")</f>
        <v>mppsc-gs-foundation-hinglish-target-2027-gsf-mppsc-e02-ind</v>
      </c>
      <c r="R747" s="124" t="str">
        <f>IFERROR(__xludf.DUMMYFUNCTION("""COMPUTED_VALUE"""),"State PCS")</f>
        <v>State PCS</v>
      </c>
      <c r="S747" s="124">
        <f>IFERROR(__xludf.DUMMYFUNCTION("""COMPUTED_VALUE"""),6.263180444E9)</f>
        <v>6263180444</v>
      </c>
      <c r="T747" s="124" t="str">
        <f>IFERROR(__xludf.DUMMYFUNCTION("""COMPUTED_VALUE"""),"Not Available")</f>
        <v>Not Available</v>
      </c>
      <c r="U747" s="124" t="str">
        <f>IFERROR(__xludf.DUMMYFUNCTION("""COMPUTED_VALUE"""),"Not Available")</f>
        <v>Not Available</v>
      </c>
      <c r="V747" s="124" t="str">
        <f>IFERROR(__xludf.DUMMYFUNCTION("""COMPUTED_VALUE"""),"Not Available")</f>
        <v>Not Available</v>
      </c>
      <c r="W747" s="124" t="str">
        <f>IFERROR(__xludf.DUMMYFUNCTION("""COMPUTED_VALUE"""),"Not Available")</f>
        <v>Not Available</v>
      </c>
    </row>
    <row r="748">
      <c r="A748" s="124" t="str">
        <f t="shared" si="1"/>
        <v>deependrathakur567@gmail.com</v>
      </c>
      <c r="B748" s="131">
        <f>IFERROR(__xludf.DUMMYFUNCTION("""COMPUTED_VALUE"""),46081.0)</f>
        <v>46081</v>
      </c>
      <c r="C748" s="124" t="str">
        <f>IFERROR(__xludf.DUMMYFUNCTION("""COMPUTED_VALUE"""),"Payment data from Collexo")</f>
        <v>Payment data from Collexo</v>
      </c>
      <c r="D748" s="124" t="str">
        <f>IFERROR(__xludf.DUMMYFUNCTION("""COMPUTED_VALUE"""),"Not Available")</f>
        <v>Not Available</v>
      </c>
      <c r="E748" s="124">
        <f>IFERROR(__xludf.DUMMYFUNCTION("""COMPUTED_VALUE"""),1500609.0)</f>
        <v>1500609</v>
      </c>
      <c r="F748" s="124" t="str">
        <f>IFERROR(__xludf.DUMMYFUNCTION("""COMPUTED_VALUE"""),"11601_988_7")</f>
        <v>11601_988_7</v>
      </c>
      <c r="G748" s="124">
        <f>IFERROR(__xludf.DUMMYFUNCTION("""COMPUTED_VALUE"""),110000.0)</f>
        <v>110000</v>
      </c>
      <c r="H748" s="124" t="str">
        <f>IFERROR(__xludf.DUMMYFUNCTION("""COMPUTED_VALUE"""),"Not Available")</f>
        <v>Not Available</v>
      </c>
      <c r="I748" s="124">
        <f>IFERROR(__xludf.DUMMYFUNCTION("""COMPUTED_VALUE"""),0.0)</f>
        <v>0</v>
      </c>
      <c r="J748" s="124">
        <f>IFERROR(__xludf.DUMMYFUNCTION("""COMPUTED_VALUE"""),115000.0)</f>
        <v>115000</v>
      </c>
      <c r="K748" s="124">
        <f>IFERROR(__xludf.DUMMYFUNCTION("""COMPUTED_VALUE"""),2.0)</f>
        <v>2</v>
      </c>
      <c r="L748" s="124">
        <f>IFERROR(__xludf.DUMMYFUNCTION("""COMPUTED_VALUE"""),378.0)</f>
        <v>378</v>
      </c>
      <c r="M748" s="124" t="str">
        <f>IFERROR(__xludf.DUMMYFUNCTION("""COMPUTED_VALUE"""),"New Delhi")</f>
        <v>New Delhi</v>
      </c>
      <c r="N748" s="124" t="str">
        <f>IFERROR(__xludf.DUMMYFUNCTION("""COMPUTED_VALUE"""),"deependrathakur567@gmail.com")</f>
        <v>deependrathakur567@gmail.com</v>
      </c>
      <c r="O748" s="124" t="str">
        <f>IFERROR(__xludf.DUMMYFUNCTION("""COMPUTED_VALUE"""),"Deependra Singh Thakur")</f>
        <v>Deependra Singh Thakur</v>
      </c>
      <c r="P748" s="124">
        <f>IFERROR(__xludf.DUMMYFUNCTION("""COMPUTED_VALUE"""),47882.0)</f>
        <v>47882</v>
      </c>
      <c r="Q748" s="124" t="str">
        <f>IFERROR(__xludf.DUMMYFUNCTION("""COMPUTED_VALUE"""),"-")</f>
        <v>-</v>
      </c>
      <c r="R748" s="124" t="str">
        <f>IFERROR(__xludf.DUMMYFUNCTION("""COMPUTED_VALUE"""),"GS Foundation Course")</f>
        <v>GS Foundation Course</v>
      </c>
      <c r="S748" s="124">
        <f>IFERROR(__xludf.DUMMYFUNCTION("""COMPUTED_VALUE"""),8.251094489E9)</f>
        <v>8251094489</v>
      </c>
      <c r="T748" s="124" t="str">
        <f>IFERROR(__xludf.DUMMYFUNCTION("""COMPUTED_VALUE"""),"Collexo")</f>
        <v>Collexo</v>
      </c>
      <c r="U748" s="124" t="str">
        <f>IFERROR(__xludf.DUMMYFUNCTION("""COMPUTED_VALUE"""),"Success")</f>
        <v>Success</v>
      </c>
      <c r="V748" s="131">
        <f>IFERROR(__xludf.DUMMYFUNCTION("""COMPUTED_VALUE"""),46081.0)</f>
        <v>46081</v>
      </c>
      <c r="W748" s="124">
        <f>IFERROR(__xludf.DUMMYFUNCTION("""COMPUTED_VALUE"""),0.0)</f>
        <v>0</v>
      </c>
    </row>
    <row r="749">
      <c r="A749" s="124" t="str">
        <f t="shared" si="1"/>
        <v>bidhalatasha@gmail.com</v>
      </c>
      <c r="B749" s="131">
        <f>IFERROR(__xludf.DUMMYFUNCTION("""COMPUTED_VALUE"""),46061.0)</f>
        <v>46061</v>
      </c>
      <c r="C749" s="124" t="str">
        <f>IFERROR(__xludf.DUMMYFUNCTION("""COMPUTED_VALUE"""),"Payment data from Collexo")</f>
        <v>Payment data from Collexo</v>
      </c>
      <c r="D749" s="124" t="str">
        <f>IFERROR(__xludf.DUMMYFUNCTION("""COMPUTED_VALUE"""),"Not Available")</f>
        <v>Not Available</v>
      </c>
      <c r="E749" s="124">
        <f>IFERROR(__xludf.DUMMYFUNCTION("""COMPUTED_VALUE"""),1500609.0)</f>
        <v>1500609</v>
      </c>
      <c r="F749" s="124" t="str">
        <f>IFERROR(__xludf.DUMMYFUNCTION("""COMPUTED_VALUE"""),"4269_988_7")</f>
        <v>4269_988_7</v>
      </c>
      <c r="G749" s="124">
        <f>IFERROR(__xludf.DUMMYFUNCTION("""COMPUTED_VALUE"""),5000.0)</f>
        <v>5000</v>
      </c>
      <c r="H749" s="131">
        <f>IFERROR(__xludf.DUMMYFUNCTION("""COMPUTED_VALUE"""),46066.0)</f>
        <v>46066</v>
      </c>
      <c r="I749" s="124">
        <f>IFERROR(__xludf.DUMMYFUNCTION("""COMPUTED_VALUE"""),105000.0)</f>
        <v>105000</v>
      </c>
      <c r="J749" s="124">
        <f>IFERROR(__xludf.DUMMYFUNCTION("""COMPUTED_VALUE"""),110000.0)</f>
        <v>110000</v>
      </c>
      <c r="K749" s="124">
        <f>IFERROR(__xludf.DUMMYFUNCTION("""COMPUTED_VALUE"""),2.0)</f>
        <v>2</v>
      </c>
      <c r="L749" s="124">
        <f>IFERROR(__xludf.DUMMYFUNCTION("""COMPUTED_VALUE"""),179.0)</f>
        <v>179</v>
      </c>
      <c r="M749" s="124" t="str">
        <f>IFERROR(__xludf.DUMMYFUNCTION("""COMPUTED_VALUE"""),"New Delhi")</f>
        <v>New Delhi</v>
      </c>
      <c r="N749" s="124" t="str">
        <f>IFERROR(__xludf.DUMMYFUNCTION("""COMPUTED_VALUE"""),"bidhalatasha@gmail.com")</f>
        <v>bidhalatasha@gmail.com</v>
      </c>
      <c r="O749" s="124" t="str">
        <f>IFERROR(__xludf.DUMMYFUNCTION("""COMPUTED_VALUE"""),"latasha")</f>
        <v>latasha</v>
      </c>
      <c r="P749" s="124">
        <f>IFERROR(__xludf.DUMMYFUNCTION("""COMPUTED_VALUE"""),121487.0)</f>
        <v>121487</v>
      </c>
      <c r="Q749" s="124" t="str">
        <f>IFERROR(__xludf.DUMMYFUNCTION("""COMPUTED_VALUE"""),"upsc-gs-foundation-hinglish-target-2027-gsf-upsc-e04-orn")</f>
        <v>upsc-gs-foundation-hinglish-target-2027-gsf-upsc-e04-orn</v>
      </c>
      <c r="R749" s="124" t="str">
        <f>IFERROR(__xludf.DUMMYFUNCTION("""COMPUTED_VALUE"""),"GS Foundation Course")</f>
        <v>GS Foundation Course</v>
      </c>
      <c r="S749" s="124">
        <f>IFERROR(__xludf.DUMMYFUNCTION("""COMPUTED_VALUE"""),9.999038505E9)</f>
        <v>9999038505</v>
      </c>
      <c r="T749" s="124" t="str">
        <f>IFERROR(__xludf.DUMMYFUNCTION("""COMPUTED_VALUE"""),"Collexo")</f>
        <v>Collexo</v>
      </c>
      <c r="U749" s="124" t="str">
        <f>IFERROR(__xludf.DUMMYFUNCTION("""COMPUTED_VALUE"""),"Success")</f>
        <v>Success</v>
      </c>
      <c r="V749" s="131">
        <f>IFERROR(__xludf.DUMMYFUNCTION("""COMPUTED_VALUE"""),46061.0)</f>
        <v>46061</v>
      </c>
      <c r="W749" s="124">
        <f>IFERROR(__xludf.DUMMYFUNCTION("""COMPUTED_VALUE"""),0.0)</f>
        <v>0</v>
      </c>
    </row>
    <row r="750">
      <c r="A750" s="124" t="str">
        <f t="shared" si="1"/>
        <v>kumaranand45615@gmail.com</v>
      </c>
      <c r="B750" s="131">
        <f>IFERROR(__xludf.DUMMYFUNCTION("""COMPUTED_VALUE"""),46092.0)</f>
        <v>46092</v>
      </c>
      <c r="C750" s="124" t="str">
        <f>IFERROR(__xludf.DUMMYFUNCTION("""COMPUTED_VALUE"""),"Payment data from Collexo")</f>
        <v>Payment data from Collexo</v>
      </c>
      <c r="D750" s="124" t="str">
        <f>IFERROR(__xludf.DUMMYFUNCTION("""COMPUTED_VALUE"""),"Not Available")</f>
        <v>Not Available</v>
      </c>
      <c r="E750" s="124">
        <f>IFERROR(__xludf.DUMMYFUNCTION("""COMPUTED_VALUE"""),1500610.0)</f>
        <v>1500610</v>
      </c>
      <c r="F750" s="124">
        <f>IFERROR(__xludf.DUMMYFUNCTION("""COMPUTED_VALUE"""),121546.0)</f>
        <v>121546</v>
      </c>
      <c r="G750" s="124">
        <f>IFERROR(__xludf.DUMMYFUNCTION("""COMPUTED_VALUE"""),5000.0)</f>
        <v>5000</v>
      </c>
      <c r="H750" s="133">
        <f>IFERROR(__xludf.DUMMYFUNCTION("""COMPUTED_VALUE"""),46112.0)</f>
        <v>46112</v>
      </c>
      <c r="I750" s="124">
        <f>IFERROR(__xludf.DUMMYFUNCTION("""COMPUTED_VALUE"""),7000.0)</f>
        <v>7000</v>
      </c>
      <c r="J750" s="124">
        <f>IFERROR(__xludf.DUMMYFUNCTION("""COMPUTED_VALUE"""),24000.0)</f>
        <v>24000</v>
      </c>
      <c r="K750" s="124">
        <f>IFERROR(__xludf.DUMMYFUNCTION("""COMPUTED_VALUE"""),3.0)</f>
        <v>3</v>
      </c>
      <c r="L750" s="124">
        <f>IFERROR(__xludf.DUMMYFUNCTION("""COMPUTED_VALUE"""),493.0)</f>
        <v>493</v>
      </c>
      <c r="M750" s="124" t="str">
        <f>IFERROR(__xludf.DUMMYFUNCTION("""COMPUTED_VALUE"""),"Lucknow")</f>
        <v>Lucknow</v>
      </c>
      <c r="N750" s="124" t="str">
        <f>IFERROR(__xludf.DUMMYFUNCTION("""COMPUTED_VALUE"""),"kumaranand45615@gmail.com")</f>
        <v>kumaranand45615@gmail.com</v>
      </c>
      <c r="O750" s="124" t="str">
        <f>IFERROR(__xludf.DUMMYFUNCTION("""COMPUTED_VALUE"""),"PRIYANKA")</f>
        <v>PRIYANKA</v>
      </c>
      <c r="P750" s="124">
        <f>IFERROR(__xludf.DUMMYFUNCTION("""COMPUTED_VALUE"""),121546.0)</f>
        <v>121546</v>
      </c>
      <c r="Q750" s="124" t="str">
        <f>IFERROR(__xludf.DUMMYFUNCTION("""COMPUTED_VALUE"""),"Not Available")</f>
        <v>Not Available</v>
      </c>
      <c r="R750" s="124" t="str">
        <f>IFERROR(__xludf.DUMMYFUNCTION("""COMPUTED_VALUE"""),"GS Foundation Course")</f>
        <v>GS Foundation Course</v>
      </c>
      <c r="S750" s="124">
        <f>IFERROR(__xludf.DUMMYFUNCTION("""COMPUTED_VALUE"""),9.120491012E9)</f>
        <v>9120491012</v>
      </c>
      <c r="T750" s="124" t="str">
        <f>IFERROR(__xludf.DUMMYFUNCTION("""COMPUTED_VALUE"""),"Not Available")</f>
        <v>Not Available</v>
      </c>
      <c r="U750" s="124" t="str">
        <f>IFERROR(__xludf.DUMMYFUNCTION("""COMPUTED_VALUE"""),"Not Available")</f>
        <v>Not Available</v>
      </c>
      <c r="V750" s="124" t="str">
        <f>IFERROR(__xludf.DUMMYFUNCTION("""COMPUTED_VALUE"""),"Not Available")</f>
        <v>Not Available</v>
      </c>
      <c r="W750" s="124" t="str">
        <f>IFERROR(__xludf.DUMMYFUNCTION("""COMPUTED_VALUE"""),"Not Available")</f>
        <v>Not Available</v>
      </c>
    </row>
    <row r="751">
      <c r="A751" s="124" t="str">
        <f t="shared" si="1"/>
        <v>pawarpurnesh@gmail.com</v>
      </c>
      <c r="B751" s="131">
        <f>IFERROR(__xludf.DUMMYFUNCTION("""COMPUTED_VALUE"""),46107.0)</f>
        <v>46107</v>
      </c>
      <c r="C751" s="124" t="str">
        <f>IFERROR(__xludf.DUMMYFUNCTION("""COMPUTED_VALUE"""),"Payment data from Collexo")</f>
        <v>Payment data from Collexo</v>
      </c>
      <c r="D751" s="124" t="str">
        <f>IFERROR(__xludf.DUMMYFUNCTION("""COMPUTED_VALUE"""),"Not Available")</f>
        <v>Not Available</v>
      </c>
      <c r="E751" s="124">
        <f>IFERROR(__xludf.DUMMYFUNCTION("""COMPUTED_VALUE"""),1500612.0)</f>
        <v>1500612</v>
      </c>
      <c r="F751" s="124">
        <f>IFERROR(__xludf.DUMMYFUNCTION("""COMPUTED_VALUE"""),133193.0)</f>
        <v>133193</v>
      </c>
      <c r="G751" s="124">
        <f>IFERROR(__xludf.DUMMYFUNCTION("""COMPUTED_VALUE"""),2000.0)</f>
        <v>2000</v>
      </c>
      <c r="H751" s="131">
        <f>IFERROR(__xludf.DUMMYFUNCTION("""COMPUTED_VALUE"""),46112.0)</f>
        <v>46112</v>
      </c>
      <c r="I751" s="124">
        <f>IFERROR(__xludf.DUMMYFUNCTION("""COMPUTED_VALUE"""),24000.0)</f>
        <v>24000</v>
      </c>
      <c r="J751" s="124">
        <f>IFERROR(__xludf.DUMMYFUNCTION("""COMPUTED_VALUE"""),26000.0)</f>
        <v>26000</v>
      </c>
      <c r="K751" s="124">
        <f>IFERROR(__xludf.DUMMYFUNCTION("""COMPUTED_VALUE"""),2.0)</f>
        <v>2</v>
      </c>
      <c r="L751" s="124">
        <f>IFERROR(__xludf.DUMMYFUNCTION("""COMPUTED_VALUE"""),756.0)</f>
        <v>756</v>
      </c>
      <c r="M751" s="124" t="str">
        <f>IFERROR(__xludf.DUMMYFUNCTION("""COMPUTED_VALUE"""),"Indore")</f>
        <v>Indore</v>
      </c>
      <c r="N751" s="124" t="str">
        <f>IFERROR(__xludf.DUMMYFUNCTION("""COMPUTED_VALUE"""),"pawarpurnesh@gmail.com")</f>
        <v>pawarpurnesh@gmail.com</v>
      </c>
      <c r="O751" s="124" t="str">
        <f>IFERROR(__xludf.DUMMYFUNCTION("""COMPUTED_VALUE"""),"Purnesh panwar")</f>
        <v>Purnesh panwar</v>
      </c>
      <c r="P751" s="124">
        <f>IFERROR(__xludf.DUMMYFUNCTION("""COMPUTED_VALUE"""),133193.0)</f>
        <v>133193</v>
      </c>
      <c r="Q751" s="124" t="str">
        <f>IFERROR(__xludf.DUMMYFUNCTION("""COMPUTED_VALUE"""),"mppsc-gs-foundation-hinglish-target-2027-gsf-mppsc-e02-ind")</f>
        <v>mppsc-gs-foundation-hinglish-target-2027-gsf-mppsc-e02-ind</v>
      </c>
      <c r="R751" s="124" t="str">
        <f>IFERROR(__xludf.DUMMYFUNCTION("""COMPUTED_VALUE"""),"State PCS")</f>
        <v>State PCS</v>
      </c>
      <c r="S751" s="124">
        <f>IFERROR(__xludf.DUMMYFUNCTION("""COMPUTED_VALUE"""),6.263180444E9)</f>
        <v>6263180444</v>
      </c>
      <c r="T751" s="124" t="str">
        <f>IFERROR(__xludf.DUMMYFUNCTION("""COMPUTED_VALUE"""),"Not Available")</f>
        <v>Not Available</v>
      </c>
      <c r="U751" s="124" t="str">
        <f>IFERROR(__xludf.DUMMYFUNCTION("""COMPUTED_VALUE"""),"Not Available")</f>
        <v>Not Available</v>
      </c>
      <c r="V751" s="124" t="str">
        <f>IFERROR(__xludf.DUMMYFUNCTION("""COMPUTED_VALUE"""),"Not Available")</f>
        <v>Not Available</v>
      </c>
      <c r="W751" s="124" t="str">
        <f>IFERROR(__xludf.DUMMYFUNCTION("""COMPUTED_VALUE"""),"Not Available")</f>
        <v>Not Available</v>
      </c>
    </row>
    <row r="752">
      <c r="A752" s="124" t="str">
        <f t="shared" si="1"/>
        <v>s.chaitali1009@gmail.com</v>
      </c>
      <c r="B752" s="131">
        <f>IFERROR(__xludf.DUMMYFUNCTION("""COMPUTED_VALUE"""),46074.0)</f>
        <v>46074</v>
      </c>
      <c r="C752" s="124" t="str">
        <f>IFERROR(__xludf.DUMMYFUNCTION("""COMPUTED_VALUE"""),"Payment data from Collexo")</f>
        <v>Payment data from Collexo</v>
      </c>
      <c r="D752" s="124" t="str">
        <f>IFERROR(__xludf.DUMMYFUNCTION("""COMPUTED_VALUE"""),"Not Available")</f>
        <v>Not Available</v>
      </c>
      <c r="E752" s="124">
        <f>IFERROR(__xludf.DUMMYFUNCTION("""COMPUTED_VALUE"""),1500613.0)</f>
        <v>1500613</v>
      </c>
      <c r="F752" s="124">
        <f>IFERROR(__xludf.DUMMYFUNCTION("""COMPUTED_VALUE"""),124057.0)</f>
        <v>124057</v>
      </c>
      <c r="G752" s="124">
        <f>IFERROR(__xludf.DUMMYFUNCTION("""COMPUTED_VALUE"""),7909.0)</f>
        <v>7909</v>
      </c>
      <c r="H752" s="131">
        <f>IFERROR(__xludf.DUMMYFUNCTION("""COMPUTED_VALUE"""),46074.0)</f>
        <v>46074</v>
      </c>
      <c r="I752" s="124">
        <f>IFERROR(__xludf.DUMMYFUNCTION("""COMPUTED_VALUE"""),42091.0)</f>
        <v>42091</v>
      </c>
      <c r="J752" s="124">
        <f>IFERROR(__xludf.DUMMYFUNCTION("""COMPUTED_VALUE"""),50000.0)</f>
        <v>50000</v>
      </c>
      <c r="K752" s="124">
        <f>IFERROR(__xludf.DUMMYFUNCTION("""COMPUTED_VALUE"""),2.0)</f>
        <v>2</v>
      </c>
      <c r="L752" s="124">
        <f>IFERROR(__xludf.DUMMYFUNCTION("""COMPUTED_VALUE"""),292.0)</f>
        <v>292</v>
      </c>
      <c r="M752" s="124" t="str">
        <f>IFERROR(__xludf.DUMMYFUNCTION("""COMPUTED_VALUE"""),"Prayagraj")</f>
        <v>Prayagraj</v>
      </c>
      <c r="N752" s="124" t="str">
        <f>IFERROR(__xludf.DUMMYFUNCTION("""COMPUTED_VALUE"""),"s.chaitali1009@gmail.com")</f>
        <v>s.chaitali1009@gmail.com</v>
      </c>
      <c r="O752" s="124" t="str">
        <f>IFERROR(__xludf.DUMMYFUNCTION("""COMPUTED_VALUE"""),"Chaitali Singh")</f>
        <v>Chaitali Singh</v>
      </c>
      <c r="P752" s="124">
        <f>IFERROR(__xludf.DUMMYFUNCTION("""COMPUTED_VALUE"""),124057.0)</f>
        <v>124057</v>
      </c>
      <c r="Q752" s="124" t="str">
        <f>IFERROR(__xludf.DUMMYFUNCTION("""COMPUTED_VALUE"""),"upsc-gs-foundation-hinglish-target-2028-gsf-upsc-e03-pry")</f>
        <v>upsc-gs-foundation-hinglish-target-2028-gsf-upsc-e03-pry</v>
      </c>
      <c r="R752" s="124" t="str">
        <f>IFERROR(__xludf.DUMMYFUNCTION("""COMPUTED_VALUE"""),"GS Foundation Course")</f>
        <v>GS Foundation Course</v>
      </c>
      <c r="S752" s="124">
        <f>IFERROR(__xludf.DUMMYFUNCTION("""COMPUTED_VALUE"""),8.429895348E9)</f>
        <v>8429895348</v>
      </c>
      <c r="T752" s="124" t="str">
        <f>IFERROR(__xludf.DUMMYFUNCTION("""COMPUTED_VALUE"""),"Not Available")</f>
        <v>Not Available</v>
      </c>
      <c r="U752" s="124" t="str">
        <f>IFERROR(__xludf.DUMMYFUNCTION("""COMPUTED_VALUE"""),"Not Available")</f>
        <v>Not Available</v>
      </c>
      <c r="V752" s="124" t="str">
        <f>IFERROR(__xludf.DUMMYFUNCTION("""COMPUTED_VALUE"""),"Not Available")</f>
        <v>Not Available</v>
      </c>
      <c r="W752" s="124" t="str">
        <f>IFERROR(__xludf.DUMMYFUNCTION("""COMPUTED_VALUE"""),"Not Available")</f>
        <v>Not Available</v>
      </c>
    </row>
    <row r="753">
      <c r="A753" s="124" t="str">
        <f t="shared" si="1"/>
        <v>deependrathakur567@gmail.com</v>
      </c>
      <c r="B753" s="131">
        <f>IFERROR(__xludf.DUMMYFUNCTION("""COMPUTED_VALUE"""),46079.0)</f>
        <v>46079</v>
      </c>
      <c r="C753" s="124" t="str">
        <f>IFERROR(__xludf.DUMMYFUNCTION("""COMPUTED_VALUE"""),"Payment data from Collexo")</f>
        <v>Payment data from Collexo</v>
      </c>
      <c r="D753" s="124" t="str">
        <f>IFERROR(__xludf.DUMMYFUNCTION("""COMPUTED_VALUE"""),"Not Available")</f>
        <v>Not Available</v>
      </c>
      <c r="E753" s="124">
        <f>IFERROR(__xludf.DUMMYFUNCTION("""COMPUTED_VALUE"""),1500609.0)</f>
        <v>1500609</v>
      </c>
      <c r="F753" s="124" t="str">
        <f>IFERROR(__xludf.DUMMYFUNCTION("""COMPUTED_VALUE"""),"11224_988_7")</f>
        <v>11224_988_7</v>
      </c>
      <c r="G753" s="124">
        <f>IFERROR(__xludf.DUMMYFUNCTION("""COMPUTED_VALUE"""),1.0)</f>
        <v>1</v>
      </c>
      <c r="H753" s="124" t="str">
        <f>IFERROR(__xludf.DUMMYFUNCTION("""COMPUTED_VALUE"""),"Not Available")</f>
        <v>Not Available</v>
      </c>
      <c r="I753" s="124">
        <f>IFERROR(__xludf.DUMMYFUNCTION("""COMPUTED_VALUE"""),0.0)</f>
        <v>0</v>
      </c>
      <c r="J753" s="124">
        <f>IFERROR(__xludf.DUMMYFUNCTION("""COMPUTED_VALUE"""),1.0)</f>
        <v>1</v>
      </c>
      <c r="K753" s="124">
        <f>IFERROR(__xludf.DUMMYFUNCTION("""COMPUTED_VALUE"""),1.0)</f>
        <v>1</v>
      </c>
      <c r="L753" s="124">
        <f>IFERROR(__xludf.DUMMYFUNCTION("""COMPUTED_VALUE"""),353.0)</f>
        <v>353</v>
      </c>
      <c r="M753" s="124" t="str">
        <f>IFERROR(__xludf.DUMMYFUNCTION("""COMPUTED_VALUE"""),"New Delhi")</f>
        <v>New Delhi</v>
      </c>
      <c r="N753" s="124" t="str">
        <f>IFERROR(__xludf.DUMMYFUNCTION("""COMPUTED_VALUE"""),"deependrathakur567@gmail.com")</f>
        <v>deependrathakur567@gmail.com</v>
      </c>
      <c r="O753" s="124" t="str">
        <f>IFERROR(__xludf.DUMMYFUNCTION("""COMPUTED_VALUE"""),"Deependra Singh Thakur")</f>
        <v>Deependra Singh Thakur</v>
      </c>
      <c r="P753" s="124">
        <f>IFERROR(__xludf.DUMMYFUNCTION("""COMPUTED_VALUE"""),47882.0)</f>
        <v>47882</v>
      </c>
      <c r="Q753" s="124" t="str">
        <f>IFERROR(__xludf.DUMMYFUNCTION("""COMPUTED_VALUE"""),"-")</f>
        <v>-</v>
      </c>
      <c r="R753" s="124" t="str">
        <f>IFERROR(__xludf.DUMMYFUNCTION("""COMPUTED_VALUE"""),"GS Foundation Course")</f>
        <v>GS Foundation Course</v>
      </c>
      <c r="S753" s="124">
        <f>IFERROR(__xludf.DUMMYFUNCTION("""COMPUTED_VALUE"""),8.251094489E9)</f>
        <v>8251094489</v>
      </c>
      <c r="T753" s="124" t="str">
        <f>IFERROR(__xludf.DUMMYFUNCTION("""COMPUTED_VALUE"""),"Collexo")</f>
        <v>Collexo</v>
      </c>
      <c r="U753" s="124" t="str">
        <f>IFERROR(__xludf.DUMMYFUNCTION("""COMPUTED_VALUE"""),"Success")</f>
        <v>Success</v>
      </c>
      <c r="V753" s="131">
        <f>IFERROR(__xludf.DUMMYFUNCTION("""COMPUTED_VALUE"""),46079.0)</f>
        <v>46079</v>
      </c>
      <c r="W753" s="124">
        <f>IFERROR(__xludf.DUMMYFUNCTION("""COMPUTED_VALUE"""),0.0)</f>
        <v>0</v>
      </c>
    </row>
    <row r="754">
      <c r="A754" s="124" t="str">
        <f t="shared" si="1"/>
        <v>muskanbehl05@gmail.com</v>
      </c>
      <c r="B754" s="131">
        <f>IFERROR(__xludf.DUMMYFUNCTION("""COMPUTED_VALUE"""),46090.0)</f>
        <v>46090</v>
      </c>
      <c r="C754" s="124" t="str">
        <f>IFERROR(__xludf.DUMMYFUNCTION("""COMPUTED_VALUE"""),"Payment data from Collexo")</f>
        <v>Payment data from Collexo</v>
      </c>
      <c r="D754" s="124" t="str">
        <f>IFERROR(__xludf.DUMMYFUNCTION("""COMPUTED_VALUE"""),"Not Available")</f>
        <v>Not Available</v>
      </c>
      <c r="E754" s="124">
        <f>IFERROR(__xludf.DUMMYFUNCTION("""COMPUTED_VALUE"""),1500609.0)</f>
        <v>1500609</v>
      </c>
      <c r="F754" s="124" t="str">
        <f>IFERROR(__xludf.DUMMYFUNCTION("""COMPUTED_VALUE"""),"13225_988_7")</f>
        <v>13225_988_7</v>
      </c>
      <c r="G754" s="124">
        <f>IFERROR(__xludf.DUMMYFUNCTION("""COMPUTED_VALUE"""),2000.0)</f>
        <v>2000</v>
      </c>
      <c r="H754" s="131">
        <f>IFERROR(__xludf.DUMMYFUNCTION("""COMPUTED_VALUE"""),46112.0)</f>
        <v>46112</v>
      </c>
      <c r="I754" s="124">
        <f>IFERROR(__xludf.DUMMYFUNCTION("""COMPUTED_VALUE"""),93000.0)</f>
        <v>93000</v>
      </c>
      <c r="J754" s="124">
        <f>IFERROR(__xludf.DUMMYFUNCTION("""COMPUTED_VALUE"""),95000.0)</f>
        <v>95000</v>
      </c>
      <c r="K754" s="124">
        <f>IFERROR(__xludf.DUMMYFUNCTION("""COMPUTED_VALUE"""),2.0)</f>
        <v>2</v>
      </c>
      <c r="L754" s="124">
        <f>IFERROR(__xludf.DUMMYFUNCTION("""COMPUTED_VALUE"""),445.0)</f>
        <v>445</v>
      </c>
      <c r="M754" s="124" t="str">
        <f>IFERROR(__xludf.DUMMYFUNCTION("""COMPUTED_VALUE"""),"New Delhi")</f>
        <v>New Delhi</v>
      </c>
      <c r="N754" s="124" t="str">
        <f>IFERROR(__xludf.DUMMYFUNCTION("""COMPUTED_VALUE"""),"muskanbehl05@gmail.com")</f>
        <v>muskanbehl05@gmail.com</v>
      </c>
      <c r="O754" s="124" t="str">
        <f>IFERROR(__xludf.DUMMYFUNCTION("""COMPUTED_VALUE"""),"Muskan Behl")</f>
        <v>Muskan Behl</v>
      </c>
      <c r="P754" s="124">
        <f>IFERROR(__xludf.DUMMYFUNCTION("""COMPUTED_VALUE"""),122283.0)</f>
        <v>122283</v>
      </c>
      <c r="Q754" s="124" t="str">
        <f>IFERROR(__xludf.DUMMYFUNCTION("""COMPUTED_VALUE"""),"upsc-gs-foundation-hinglish-target-2027-gsf-upsc-e05-orn")</f>
        <v>upsc-gs-foundation-hinglish-target-2027-gsf-upsc-e05-orn</v>
      </c>
      <c r="R754" s="124" t="str">
        <f>IFERROR(__xludf.DUMMYFUNCTION("""COMPUTED_VALUE"""),"GS Foundation Course")</f>
        <v>GS Foundation Course</v>
      </c>
      <c r="S754" s="124">
        <f>IFERROR(__xludf.DUMMYFUNCTION("""COMPUTED_VALUE"""),7.703949415E9)</f>
        <v>7703949415</v>
      </c>
      <c r="T754" s="124" t="str">
        <f>IFERROR(__xludf.DUMMYFUNCTION("""COMPUTED_VALUE"""),"Collexo")</f>
        <v>Collexo</v>
      </c>
      <c r="U754" s="124" t="str">
        <f>IFERROR(__xludf.DUMMYFUNCTION("""COMPUTED_VALUE"""),"Success")</f>
        <v>Success</v>
      </c>
      <c r="V754" s="131">
        <f>IFERROR(__xludf.DUMMYFUNCTION("""COMPUTED_VALUE"""),46090.0)</f>
        <v>46090</v>
      </c>
      <c r="W754" s="124">
        <f>IFERROR(__xludf.DUMMYFUNCTION("""COMPUTED_VALUE"""),0.0)</f>
        <v>0</v>
      </c>
    </row>
    <row r="755">
      <c r="A755" s="124" t="str">
        <f t="shared" si="1"/>
        <v>lavanyachoudhary928@gmail.com</v>
      </c>
      <c r="B755" s="131">
        <f>IFERROR(__xludf.DUMMYFUNCTION("""COMPUTED_VALUE"""),46075.0)</f>
        <v>46075</v>
      </c>
      <c r="C755" s="124" t="str">
        <f>IFERROR(__xludf.DUMMYFUNCTION("""COMPUTED_VALUE"""),"Payment data from Collexo")</f>
        <v>Payment data from Collexo</v>
      </c>
      <c r="D755" s="124" t="str">
        <f>IFERROR(__xludf.DUMMYFUNCTION("""COMPUTED_VALUE"""),"Not Available")</f>
        <v>Not Available</v>
      </c>
      <c r="E755" s="124">
        <f>IFERROR(__xludf.DUMMYFUNCTION("""COMPUTED_VALUE"""),1500609.0)</f>
        <v>1500609</v>
      </c>
      <c r="F755" s="124" t="str">
        <f>IFERROR(__xludf.DUMMYFUNCTION("""COMPUTED_VALUE"""),"8036_988_7")</f>
        <v>8036_988_7</v>
      </c>
      <c r="G755" s="124">
        <f>IFERROR(__xludf.DUMMYFUNCTION("""COMPUTED_VALUE"""),5000.0)</f>
        <v>5000</v>
      </c>
      <c r="H755" s="131">
        <f>IFERROR(__xludf.DUMMYFUNCTION("""COMPUTED_VALUE"""),46081.0)</f>
        <v>46081</v>
      </c>
      <c r="I755" s="124">
        <f>IFERROR(__xludf.DUMMYFUNCTION("""COMPUTED_VALUE"""),105000.0)</f>
        <v>105000</v>
      </c>
      <c r="J755" s="124">
        <f>IFERROR(__xludf.DUMMYFUNCTION("""COMPUTED_VALUE"""),110000.0)</f>
        <v>110000</v>
      </c>
      <c r="K755" s="124">
        <f>IFERROR(__xludf.DUMMYFUNCTION("""COMPUTED_VALUE"""),2.0)</f>
        <v>2</v>
      </c>
      <c r="L755" s="124">
        <f>IFERROR(__xludf.DUMMYFUNCTION("""COMPUTED_VALUE"""),310.0)</f>
        <v>310</v>
      </c>
      <c r="M755" s="124" t="str">
        <f>IFERROR(__xludf.DUMMYFUNCTION("""COMPUTED_VALUE"""),"New Delhi")</f>
        <v>New Delhi</v>
      </c>
      <c r="N755" s="124" t="str">
        <f>IFERROR(__xludf.DUMMYFUNCTION("""COMPUTED_VALUE"""),"lavanyachoudhary928@gmail.com")</f>
        <v>lavanyachoudhary928@gmail.com</v>
      </c>
      <c r="O755" s="124" t="str">
        <f>IFERROR(__xludf.DUMMYFUNCTION("""COMPUTED_VALUE"""),"Lavanya")</f>
        <v>Lavanya</v>
      </c>
      <c r="P755" s="124">
        <f>IFERROR(__xludf.DUMMYFUNCTION("""COMPUTED_VALUE"""),124437.0)</f>
        <v>124437</v>
      </c>
      <c r="Q755" s="124" t="str">
        <f>IFERROR(__xludf.DUMMYFUNCTION("""COMPUTED_VALUE"""),"6576 - UPSC GS Foundation Hinglish Target 2027 February (M) - ORN")</f>
        <v>6576 - UPSC GS Foundation Hinglish Target 2027 February (M) - ORN</v>
      </c>
      <c r="R755" s="124" t="str">
        <f>IFERROR(__xludf.DUMMYFUNCTION("""COMPUTED_VALUE"""),"GS Foundation Course")</f>
        <v>GS Foundation Course</v>
      </c>
      <c r="S755" s="124">
        <f>IFERROR(__xludf.DUMMYFUNCTION("""COMPUTED_VALUE"""),9.971763377E9)</f>
        <v>9971763377</v>
      </c>
      <c r="T755" s="124" t="str">
        <f>IFERROR(__xludf.DUMMYFUNCTION("""COMPUTED_VALUE"""),"Collexo")</f>
        <v>Collexo</v>
      </c>
      <c r="U755" s="124" t="str">
        <f>IFERROR(__xludf.DUMMYFUNCTION("""COMPUTED_VALUE"""),"Success")</f>
        <v>Success</v>
      </c>
      <c r="V755" s="131">
        <f>IFERROR(__xludf.DUMMYFUNCTION("""COMPUTED_VALUE"""),46075.0)</f>
        <v>46075</v>
      </c>
      <c r="W755" s="124">
        <f>IFERROR(__xludf.DUMMYFUNCTION("""COMPUTED_VALUE"""),0.0)</f>
        <v>0</v>
      </c>
    </row>
    <row r="756">
      <c r="A756" s="124" t="str">
        <f t="shared" si="1"/>
        <v>avnesh7471@gmail.com</v>
      </c>
      <c r="B756" s="131">
        <f>IFERROR(__xludf.DUMMYFUNCTION("""COMPUTED_VALUE"""),46093.0)</f>
        <v>46093</v>
      </c>
      <c r="C756" s="124" t="str">
        <f>IFERROR(__xludf.DUMMYFUNCTION("""COMPUTED_VALUE"""),"Payment data from Collexo")</f>
        <v>Payment data from Collexo</v>
      </c>
      <c r="D756" s="124" t="str">
        <f>IFERROR(__xludf.DUMMYFUNCTION("""COMPUTED_VALUE"""),"Not Available")</f>
        <v>Not Available</v>
      </c>
      <c r="E756" s="124">
        <f>IFERROR(__xludf.DUMMYFUNCTION("""COMPUTED_VALUE"""),1500609.0)</f>
        <v>1500609</v>
      </c>
      <c r="F756" s="124" t="str">
        <f>IFERROR(__xludf.DUMMYFUNCTION("""COMPUTED_VALUE"""),"13875_988_7")</f>
        <v>13875_988_7</v>
      </c>
      <c r="G756" s="124">
        <f>IFERROR(__xludf.DUMMYFUNCTION("""COMPUTED_VALUE"""),5000.0)</f>
        <v>5000</v>
      </c>
      <c r="H756" s="131">
        <f>IFERROR(__xludf.DUMMYFUNCTION("""COMPUTED_VALUE"""),46112.0)</f>
        <v>46112</v>
      </c>
      <c r="I756" s="124">
        <f>IFERROR(__xludf.DUMMYFUNCTION("""COMPUTED_VALUE"""),95000.0)</f>
        <v>95000</v>
      </c>
      <c r="J756" s="124">
        <f>IFERROR(__xludf.DUMMYFUNCTION("""COMPUTED_VALUE"""),100000.0)</f>
        <v>100000</v>
      </c>
      <c r="K756" s="124">
        <f>IFERROR(__xludf.DUMMYFUNCTION("""COMPUTED_VALUE"""),2.0)</f>
        <v>2</v>
      </c>
      <c r="L756" s="124">
        <f>IFERROR(__xludf.DUMMYFUNCTION("""COMPUTED_VALUE"""),514.0)</f>
        <v>514</v>
      </c>
      <c r="M756" s="124" t="str">
        <f>IFERROR(__xludf.DUMMYFUNCTION("""COMPUTED_VALUE"""),"New Delhi")</f>
        <v>New Delhi</v>
      </c>
      <c r="N756" s="124" t="str">
        <f>IFERROR(__xludf.DUMMYFUNCTION("""COMPUTED_VALUE"""),"avnesh7471@gmail.com")</f>
        <v>avnesh7471@gmail.com</v>
      </c>
      <c r="O756" s="124" t="str">
        <f>IFERROR(__xludf.DUMMYFUNCTION("""COMPUTED_VALUE"""),"AVNESH YADAV")</f>
        <v>AVNESH YADAV</v>
      </c>
      <c r="P756" s="124">
        <f>IFERROR(__xludf.DUMMYFUNCTION("""COMPUTED_VALUE"""),127071.0)</f>
        <v>127071</v>
      </c>
      <c r="Q756" s="124" t="str">
        <f>IFERROR(__xludf.DUMMYFUNCTION("""COMPUTED_VALUE"""),"upsc-gs-foundation-hinglish-target-2027-gsf-upsc-e05-orn")</f>
        <v>upsc-gs-foundation-hinglish-target-2027-gsf-upsc-e05-orn</v>
      </c>
      <c r="R756" s="124" t="str">
        <f>IFERROR(__xludf.DUMMYFUNCTION("""COMPUTED_VALUE"""),"GS Foundation Course")</f>
        <v>GS Foundation Course</v>
      </c>
      <c r="S756" s="124">
        <f>IFERROR(__xludf.DUMMYFUNCTION("""COMPUTED_VALUE"""),9.718737704E9)</f>
        <v>9718737704</v>
      </c>
      <c r="T756" s="124" t="str">
        <f>IFERROR(__xludf.DUMMYFUNCTION("""COMPUTED_VALUE"""),"Collexo")</f>
        <v>Collexo</v>
      </c>
      <c r="U756" s="124" t="str">
        <f>IFERROR(__xludf.DUMMYFUNCTION("""COMPUTED_VALUE"""),"Success")</f>
        <v>Success</v>
      </c>
      <c r="V756" s="131">
        <f>IFERROR(__xludf.DUMMYFUNCTION("""COMPUTED_VALUE"""),46093.0)</f>
        <v>46093</v>
      </c>
      <c r="W756" s="124">
        <f>IFERROR(__xludf.DUMMYFUNCTION("""COMPUTED_VALUE"""),0.0)</f>
        <v>0</v>
      </c>
    </row>
    <row r="757">
      <c r="A757" s="124" t="str">
        <f t="shared" si="1"/>
        <v>sl3590833@gmail.com</v>
      </c>
      <c r="B757" s="131">
        <f>IFERROR(__xludf.DUMMYFUNCTION("""COMPUTED_VALUE"""),46091.0)</f>
        <v>46091</v>
      </c>
      <c r="C757" s="124" t="str">
        <f>IFERROR(__xludf.DUMMYFUNCTION("""COMPUTED_VALUE"""),"Payment data from Collexo")</f>
        <v>Payment data from Collexo</v>
      </c>
      <c r="D757" s="124" t="str">
        <f>IFERROR(__xludf.DUMMYFUNCTION("""COMPUTED_VALUE"""),"Not Available")</f>
        <v>Not Available</v>
      </c>
      <c r="E757" s="124">
        <f>IFERROR(__xludf.DUMMYFUNCTION("""COMPUTED_VALUE"""),1500610.0)</f>
        <v>1500610</v>
      </c>
      <c r="F757" s="124">
        <f>IFERROR(__xludf.DUMMYFUNCTION("""COMPUTED_VALUE"""),122027.0)</f>
        <v>122027</v>
      </c>
      <c r="G757" s="124">
        <f>IFERROR(__xludf.DUMMYFUNCTION("""COMPUTED_VALUE"""),4658.0)</f>
        <v>4658</v>
      </c>
      <c r="H757" s="131">
        <f>IFERROR(__xludf.DUMMYFUNCTION("""COMPUTED_VALUE"""),46094.0)</f>
        <v>46094</v>
      </c>
      <c r="I757" s="124">
        <f>IFERROR(__xludf.DUMMYFUNCTION("""COMPUTED_VALUE"""),20342.0)</f>
        <v>20342</v>
      </c>
      <c r="J757" s="124">
        <f>IFERROR(__xludf.DUMMYFUNCTION("""COMPUTED_VALUE"""),25000.0)</f>
        <v>25000</v>
      </c>
      <c r="K757" s="124">
        <f>IFERROR(__xludf.DUMMYFUNCTION("""COMPUTED_VALUE"""),2.0)</f>
        <v>2</v>
      </c>
      <c r="L757" s="124">
        <f>IFERROR(__xludf.DUMMYFUNCTION("""COMPUTED_VALUE"""),478.0)</f>
        <v>478</v>
      </c>
      <c r="M757" s="124" t="str">
        <f>IFERROR(__xludf.DUMMYFUNCTION("""COMPUTED_VALUE"""),"Lucknow")</f>
        <v>Lucknow</v>
      </c>
      <c r="N757" s="124" t="str">
        <f>IFERROR(__xludf.DUMMYFUNCTION("""COMPUTED_VALUE"""),"sl3590833@gmail.com")</f>
        <v>sl3590833@gmail.com</v>
      </c>
      <c r="O757" s="124" t="str">
        <f>IFERROR(__xludf.DUMMYFUNCTION("""COMPUTED_VALUE"""),"swati")</f>
        <v>swati</v>
      </c>
      <c r="P757" s="124">
        <f>IFERROR(__xludf.DUMMYFUNCTION("""COMPUTED_VALUE"""),122027.0)</f>
        <v>122027</v>
      </c>
      <c r="Q757" s="124" t="str">
        <f>IFERROR(__xludf.DUMMYFUNCTION("""COMPUTED_VALUE"""),"Not Available")</f>
        <v>Not Available</v>
      </c>
      <c r="R757" s="124" t="str">
        <f>IFERROR(__xludf.DUMMYFUNCTION("""COMPUTED_VALUE"""),"GS Foundation Course")</f>
        <v>GS Foundation Course</v>
      </c>
      <c r="S757" s="124">
        <f>IFERROR(__xludf.DUMMYFUNCTION("""COMPUTED_VALUE"""),9.027413432E9)</f>
        <v>9027413432</v>
      </c>
      <c r="T757" s="124" t="str">
        <f>IFERROR(__xludf.DUMMYFUNCTION("""COMPUTED_VALUE"""),"Not Available")</f>
        <v>Not Available</v>
      </c>
      <c r="U757" s="124" t="str">
        <f>IFERROR(__xludf.DUMMYFUNCTION("""COMPUTED_VALUE"""),"Not Available")</f>
        <v>Not Available</v>
      </c>
      <c r="V757" s="124" t="str">
        <f>IFERROR(__xludf.DUMMYFUNCTION("""COMPUTED_VALUE"""),"Not Available")</f>
        <v>Not Available</v>
      </c>
      <c r="W757" s="124" t="str">
        <f>IFERROR(__xludf.DUMMYFUNCTION("""COMPUTED_VALUE"""),"Not Available")</f>
        <v>Not Available</v>
      </c>
    </row>
    <row r="758">
      <c r="A758" s="124" t="str">
        <f t="shared" si="1"/>
        <v>lavanyachoudhary928@gmail.com</v>
      </c>
      <c r="B758" s="131">
        <f>IFERROR(__xludf.DUMMYFUNCTION("""COMPUTED_VALUE"""),46075.0)</f>
        <v>46075</v>
      </c>
      <c r="C758" s="124" t="str">
        <f>IFERROR(__xludf.DUMMYFUNCTION("""COMPUTED_VALUE"""),"Payment data from Collexo")</f>
        <v>Payment data from Collexo</v>
      </c>
      <c r="D758" s="124" t="str">
        <f>IFERROR(__xludf.DUMMYFUNCTION("""COMPUTED_VALUE"""),"Not Available")</f>
        <v>Not Available</v>
      </c>
      <c r="E758" s="124">
        <f>IFERROR(__xludf.DUMMYFUNCTION("""COMPUTED_VALUE"""),1500609.0)</f>
        <v>1500609</v>
      </c>
      <c r="F758" s="124" t="str">
        <f>IFERROR(__xludf.DUMMYFUNCTION("""COMPUTED_VALUE"""),"8038_988_7")</f>
        <v>8038_988_7</v>
      </c>
      <c r="G758" s="124">
        <f>IFERROR(__xludf.DUMMYFUNCTION("""COMPUTED_VALUE"""),1.0)</f>
        <v>1</v>
      </c>
      <c r="H758" s="124" t="str">
        <f>IFERROR(__xludf.DUMMYFUNCTION("""COMPUTED_VALUE"""),"Not Available")</f>
        <v>Not Available</v>
      </c>
      <c r="I758" s="124">
        <f>IFERROR(__xludf.DUMMYFUNCTION("""COMPUTED_VALUE"""),0.0)</f>
        <v>0</v>
      </c>
      <c r="J758" s="124">
        <f>IFERROR(__xludf.DUMMYFUNCTION("""COMPUTED_VALUE"""),1.0)</f>
        <v>1</v>
      </c>
      <c r="K758" s="124">
        <f>IFERROR(__xludf.DUMMYFUNCTION("""COMPUTED_VALUE"""),1.0)</f>
        <v>1</v>
      </c>
      <c r="L758" s="124">
        <f>IFERROR(__xludf.DUMMYFUNCTION("""COMPUTED_VALUE"""),312.0)</f>
        <v>312</v>
      </c>
      <c r="M758" s="124" t="str">
        <f>IFERROR(__xludf.DUMMYFUNCTION("""COMPUTED_VALUE"""),"New Delhi")</f>
        <v>New Delhi</v>
      </c>
      <c r="N758" s="124" t="str">
        <f>IFERROR(__xludf.DUMMYFUNCTION("""COMPUTED_VALUE"""),"lavanyachoudhary928@gmail.com")</f>
        <v>lavanyachoudhary928@gmail.com</v>
      </c>
      <c r="O758" s="124" t="str">
        <f>IFERROR(__xludf.DUMMYFUNCTION("""COMPUTED_VALUE"""),"Lavanya")</f>
        <v>Lavanya</v>
      </c>
      <c r="P758" s="124">
        <f>IFERROR(__xludf.DUMMYFUNCTION("""COMPUTED_VALUE"""),124437.0)</f>
        <v>124437</v>
      </c>
      <c r="Q758" s="124" t="str">
        <f>IFERROR(__xludf.DUMMYFUNCTION("""COMPUTED_VALUE"""),"6576 - UPSC GS Foundation Hinglish Target 2027 February (M) - ORN")</f>
        <v>6576 - UPSC GS Foundation Hinglish Target 2027 February (M) - ORN</v>
      </c>
      <c r="R758" s="124" t="str">
        <f>IFERROR(__xludf.DUMMYFUNCTION("""COMPUTED_VALUE"""),"GS Foundation Course")</f>
        <v>GS Foundation Course</v>
      </c>
      <c r="S758" s="124">
        <f>IFERROR(__xludf.DUMMYFUNCTION("""COMPUTED_VALUE"""),9.971763377E9)</f>
        <v>9971763377</v>
      </c>
      <c r="T758" s="124" t="str">
        <f>IFERROR(__xludf.DUMMYFUNCTION("""COMPUTED_VALUE"""),"Collexo")</f>
        <v>Collexo</v>
      </c>
      <c r="U758" s="124" t="str">
        <f>IFERROR(__xludf.DUMMYFUNCTION("""COMPUTED_VALUE"""),"Success")</f>
        <v>Success</v>
      </c>
      <c r="V758" s="131">
        <f>IFERROR(__xludf.DUMMYFUNCTION("""COMPUTED_VALUE"""),46075.0)</f>
        <v>46075</v>
      </c>
      <c r="W758" s="124">
        <f>IFERROR(__xludf.DUMMYFUNCTION("""COMPUTED_VALUE"""),0.0)</f>
        <v>0</v>
      </c>
    </row>
    <row r="759">
      <c r="A759" s="124" t="str">
        <f t="shared" si="1"/>
        <v>deependrathakur567@gmail.com</v>
      </c>
      <c r="B759" s="131">
        <f>IFERROR(__xludf.DUMMYFUNCTION("""COMPUTED_VALUE"""),46079.0)</f>
        <v>46079</v>
      </c>
      <c r="C759" s="124" t="str">
        <f>IFERROR(__xludf.DUMMYFUNCTION("""COMPUTED_VALUE"""),"Payment data from Collexo")</f>
        <v>Payment data from Collexo</v>
      </c>
      <c r="D759" s="124" t="str">
        <f>IFERROR(__xludf.DUMMYFUNCTION("""COMPUTED_VALUE"""),"Not Available")</f>
        <v>Not Available</v>
      </c>
      <c r="E759" s="124">
        <f>IFERROR(__xludf.DUMMYFUNCTION("""COMPUTED_VALUE"""),1500609.0)</f>
        <v>1500609</v>
      </c>
      <c r="F759" s="124" t="str">
        <f>IFERROR(__xludf.DUMMYFUNCTION("""COMPUTED_VALUE"""),"11219_988_7")</f>
        <v>11219_988_7</v>
      </c>
      <c r="G759" s="124">
        <f>IFERROR(__xludf.DUMMYFUNCTION("""COMPUTED_VALUE"""),5000.0)</f>
        <v>5000</v>
      </c>
      <c r="H759" s="131">
        <f>IFERROR(__xludf.DUMMYFUNCTION("""COMPUTED_VALUE"""),46081.0)</f>
        <v>46081</v>
      </c>
      <c r="I759" s="124">
        <f>IFERROR(__xludf.DUMMYFUNCTION("""COMPUTED_VALUE"""),110000.0)</f>
        <v>110000</v>
      </c>
      <c r="J759" s="124">
        <f>IFERROR(__xludf.DUMMYFUNCTION("""COMPUTED_VALUE"""),115000.0)</f>
        <v>115000</v>
      </c>
      <c r="K759" s="124">
        <f>IFERROR(__xludf.DUMMYFUNCTION("""COMPUTED_VALUE"""),2.0)</f>
        <v>2</v>
      </c>
      <c r="L759" s="124">
        <f>IFERROR(__xludf.DUMMYFUNCTION("""COMPUTED_VALUE"""),351.0)</f>
        <v>351</v>
      </c>
      <c r="M759" s="124" t="str">
        <f>IFERROR(__xludf.DUMMYFUNCTION("""COMPUTED_VALUE"""),"New Delhi")</f>
        <v>New Delhi</v>
      </c>
      <c r="N759" s="124" t="str">
        <f>IFERROR(__xludf.DUMMYFUNCTION("""COMPUTED_VALUE"""),"deependrathakur567@gmail.com")</f>
        <v>deependrathakur567@gmail.com</v>
      </c>
      <c r="O759" s="124" t="str">
        <f>IFERROR(__xludf.DUMMYFUNCTION("""COMPUTED_VALUE"""),"Deependra Singh Thakur")</f>
        <v>Deependra Singh Thakur</v>
      </c>
      <c r="P759" s="124">
        <f>IFERROR(__xludf.DUMMYFUNCTION("""COMPUTED_VALUE"""),47882.0)</f>
        <v>47882</v>
      </c>
      <c r="Q759" s="124" t="str">
        <f>IFERROR(__xludf.DUMMYFUNCTION("""COMPUTED_VALUE"""),"-")</f>
        <v>-</v>
      </c>
      <c r="R759" s="124" t="str">
        <f>IFERROR(__xludf.DUMMYFUNCTION("""COMPUTED_VALUE"""),"GS Foundation Course")</f>
        <v>GS Foundation Course</v>
      </c>
      <c r="S759" s="124">
        <f>IFERROR(__xludf.DUMMYFUNCTION("""COMPUTED_VALUE"""),8.251094489E9)</f>
        <v>8251094489</v>
      </c>
      <c r="T759" s="124" t="str">
        <f>IFERROR(__xludf.DUMMYFUNCTION("""COMPUTED_VALUE"""),"Collexo")</f>
        <v>Collexo</v>
      </c>
      <c r="U759" s="124" t="str">
        <f>IFERROR(__xludf.DUMMYFUNCTION("""COMPUTED_VALUE"""),"Success")</f>
        <v>Success</v>
      </c>
      <c r="V759" s="131">
        <f>IFERROR(__xludf.DUMMYFUNCTION("""COMPUTED_VALUE"""),46079.0)</f>
        <v>46079</v>
      </c>
      <c r="W759" s="124">
        <f>IFERROR(__xludf.DUMMYFUNCTION("""COMPUTED_VALUE"""),0.0)</f>
        <v>0</v>
      </c>
    </row>
    <row r="760">
      <c r="A760" s="124" t="str">
        <f t="shared" si="1"/>
        <v>lavanyachoudhary928@gmail.com</v>
      </c>
      <c r="B760" s="131">
        <f>IFERROR(__xludf.DUMMYFUNCTION("""COMPUTED_VALUE"""),46086.0)</f>
        <v>46086</v>
      </c>
      <c r="C760" s="124" t="str">
        <f>IFERROR(__xludf.DUMMYFUNCTION("""COMPUTED_VALUE"""),"Payment data from Collexo")</f>
        <v>Payment data from Collexo</v>
      </c>
      <c r="D760" s="124" t="str">
        <f>IFERROR(__xludf.DUMMYFUNCTION("""COMPUTED_VALUE"""),"Not Available")</f>
        <v>Not Available</v>
      </c>
      <c r="E760" s="124">
        <f>IFERROR(__xludf.DUMMYFUNCTION("""COMPUTED_VALUE"""),1500609.0)</f>
        <v>1500609</v>
      </c>
      <c r="F760" s="124" t="str">
        <f>IFERROR(__xludf.DUMMYFUNCTION("""COMPUTED_VALUE"""),"12661_988_7")</f>
        <v>12661_988_7</v>
      </c>
      <c r="G760" s="124">
        <f>IFERROR(__xludf.DUMMYFUNCTION("""COMPUTED_VALUE"""),5000.0)</f>
        <v>5000</v>
      </c>
      <c r="H760" s="131">
        <f>IFERROR(__xludf.DUMMYFUNCTION("""COMPUTED_VALUE"""),46112.0)</f>
        <v>46112</v>
      </c>
      <c r="I760" s="124">
        <f>IFERROR(__xludf.DUMMYFUNCTION("""COMPUTED_VALUE"""),100000.0)</f>
        <v>100000</v>
      </c>
      <c r="J760" s="124">
        <f>IFERROR(__xludf.DUMMYFUNCTION("""COMPUTED_VALUE"""),110000.0)</f>
        <v>110000</v>
      </c>
      <c r="K760" s="124">
        <f>IFERROR(__xludf.DUMMYFUNCTION("""COMPUTED_VALUE"""),3.0)</f>
        <v>3</v>
      </c>
      <c r="L760" s="124">
        <f>IFERROR(__xludf.DUMMYFUNCTION("""COMPUTED_VALUE"""),413.0)</f>
        <v>413</v>
      </c>
      <c r="M760" s="124" t="str">
        <f>IFERROR(__xludf.DUMMYFUNCTION("""COMPUTED_VALUE"""),"New Delhi")</f>
        <v>New Delhi</v>
      </c>
      <c r="N760" s="124" t="str">
        <f>IFERROR(__xludf.DUMMYFUNCTION("""COMPUTED_VALUE"""),"lavanyachoudhary928@gmail.com")</f>
        <v>lavanyachoudhary928@gmail.com</v>
      </c>
      <c r="O760" s="124" t="str">
        <f>IFERROR(__xludf.DUMMYFUNCTION("""COMPUTED_VALUE"""),"Lavanya")</f>
        <v>Lavanya</v>
      </c>
      <c r="P760" s="124">
        <f>IFERROR(__xludf.DUMMYFUNCTION("""COMPUTED_VALUE"""),124437.0)</f>
        <v>124437</v>
      </c>
      <c r="Q760" s="124" t="str">
        <f>IFERROR(__xludf.DUMMYFUNCTION("""COMPUTED_VALUE"""),"6576 - UPSC GS Foundation Hinglish Target 2027 February (M) - ORN")</f>
        <v>6576 - UPSC GS Foundation Hinglish Target 2027 February (M) - ORN</v>
      </c>
      <c r="R760" s="124" t="str">
        <f>IFERROR(__xludf.DUMMYFUNCTION("""COMPUTED_VALUE"""),"GS Foundation Course")</f>
        <v>GS Foundation Course</v>
      </c>
      <c r="S760" s="124">
        <f>IFERROR(__xludf.DUMMYFUNCTION("""COMPUTED_VALUE"""),9.971763377E9)</f>
        <v>9971763377</v>
      </c>
      <c r="T760" s="124" t="str">
        <f>IFERROR(__xludf.DUMMYFUNCTION("""COMPUTED_VALUE"""),"Collexo")</f>
        <v>Collexo</v>
      </c>
      <c r="U760" s="124" t="str">
        <f>IFERROR(__xludf.DUMMYFUNCTION("""COMPUTED_VALUE"""),"Success")</f>
        <v>Success</v>
      </c>
      <c r="V760" s="131">
        <f>IFERROR(__xludf.DUMMYFUNCTION("""COMPUTED_VALUE"""),46086.0)</f>
        <v>46086</v>
      </c>
      <c r="W760" s="124">
        <f>IFERROR(__xludf.DUMMYFUNCTION("""COMPUTED_VALUE"""),0.0)</f>
        <v>0</v>
      </c>
    </row>
    <row r="761">
      <c r="A761" s="124" t="str">
        <f t="shared" si="1"/>
        <v>humeshdiwan2003@gmail.com</v>
      </c>
      <c r="B761" s="131">
        <f>IFERROR(__xludf.DUMMYFUNCTION("""COMPUTED_VALUE"""),46112.0)</f>
        <v>46112</v>
      </c>
      <c r="C761" s="124" t="str">
        <f>IFERROR(__xludf.DUMMYFUNCTION("""COMPUTED_VALUE"""),"Payment data from Collexo")</f>
        <v>Payment data from Collexo</v>
      </c>
      <c r="D761" s="124" t="str">
        <f>IFERROR(__xludf.DUMMYFUNCTION("""COMPUTED_VALUE"""),"Not Available")</f>
        <v>Not Available</v>
      </c>
      <c r="E761" s="124">
        <f>IFERROR(__xludf.DUMMYFUNCTION("""COMPUTED_VALUE"""),1500609.0)</f>
        <v>1500609</v>
      </c>
      <c r="F761" s="124" t="str">
        <f>IFERROR(__xludf.DUMMYFUNCTION("""COMPUTED_VALUE"""),"17713_988_7")</f>
        <v>17713_988_7</v>
      </c>
      <c r="G761" s="124">
        <f>IFERROR(__xludf.DUMMYFUNCTION("""COMPUTED_VALUE"""),105000.0)</f>
        <v>105000</v>
      </c>
      <c r="H761" s="124" t="str">
        <f>IFERROR(__xludf.DUMMYFUNCTION("""COMPUTED_VALUE"""),"Not Available")</f>
        <v>Not Available</v>
      </c>
      <c r="I761" s="124">
        <f>IFERROR(__xludf.DUMMYFUNCTION("""COMPUTED_VALUE"""),0.0)</f>
        <v>0</v>
      </c>
      <c r="J761" s="124">
        <f>IFERROR(__xludf.DUMMYFUNCTION("""COMPUTED_VALUE"""),110000.0)</f>
        <v>110000</v>
      </c>
      <c r="K761" s="124">
        <f>IFERROR(__xludf.DUMMYFUNCTION("""COMPUTED_VALUE"""),2.0)</f>
        <v>2</v>
      </c>
      <c r="L761" s="124">
        <f>IFERROR(__xludf.DUMMYFUNCTION("""COMPUTED_VALUE"""),862.0)</f>
        <v>862</v>
      </c>
      <c r="M761" s="124" t="str">
        <f>IFERROR(__xludf.DUMMYFUNCTION("""COMPUTED_VALUE"""),"New Delhi")</f>
        <v>New Delhi</v>
      </c>
      <c r="N761" s="124" t="str">
        <f>IFERROR(__xludf.DUMMYFUNCTION("""COMPUTED_VALUE"""),"humeshdiwan2003@gmail.com")</f>
        <v>humeshdiwan2003@gmail.com</v>
      </c>
      <c r="O761" s="124" t="str">
        <f>IFERROR(__xludf.DUMMYFUNCTION("""COMPUTED_VALUE"""),"Humesh Diwan")</f>
        <v>Humesh Diwan</v>
      </c>
      <c r="P761" s="124">
        <f>IFERROR(__xludf.DUMMYFUNCTION("""COMPUTED_VALUE"""),124092.0)</f>
        <v>124092</v>
      </c>
      <c r="Q761" s="124" t="str">
        <f>IFERROR(__xludf.DUMMYFUNCTION("""COMPUTED_VALUE"""),"Not Available")</f>
        <v>Not Available</v>
      </c>
      <c r="R761" s="124" t="str">
        <f>IFERROR(__xludf.DUMMYFUNCTION("""COMPUTED_VALUE"""),"GS Foundation Course")</f>
        <v>GS Foundation Course</v>
      </c>
      <c r="S761" s="124">
        <f>IFERROR(__xludf.DUMMYFUNCTION("""COMPUTED_VALUE"""),9.340831711E9)</f>
        <v>9340831711</v>
      </c>
      <c r="T761" s="124" t="str">
        <f>IFERROR(__xludf.DUMMYFUNCTION("""COMPUTED_VALUE"""),"Collexo")</f>
        <v>Collexo</v>
      </c>
      <c r="U761" s="124" t="str">
        <f>IFERROR(__xludf.DUMMYFUNCTION("""COMPUTED_VALUE"""),"Success")</f>
        <v>Success</v>
      </c>
      <c r="V761" s="131">
        <f>IFERROR(__xludf.DUMMYFUNCTION("""COMPUTED_VALUE"""),46112.0)</f>
        <v>46112</v>
      </c>
      <c r="W761" s="124">
        <f>IFERROR(__xludf.DUMMYFUNCTION("""COMPUTED_VALUE"""),0.0)</f>
        <v>0</v>
      </c>
    </row>
    <row r="762">
      <c r="A762" s="124" t="str">
        <f t="shared" si="1"/>
        <v>aksharaap0906@gmail.com</v>
      </c>
      <c r="B762" s="131">
        <f>IFERROR(__xludf.DUMMYFUNCTION("""COMPUTED_VALUE"""),46053.0)</f>
        <v>46053</v>
      </c>
      <c r="C762" s="124" t="str">
        <f>IFERROR(__xludf.DUMMYFUNCTION("""COMPUTED_VALUE"""),"Payment data from Collexo")</f>
        <v>Payment data from Collexo</v>
      </c>
      <c r="D762" s="124" t="str">
        <f>IFERROR(__xludf.DUMMYFUNCTION("""COMPUTED_VALUE"""),"Not Available")</f>
        <v>Not Available</v>
      </c>
      <c r="E762" s="124">
        <f>IFERROR(__xludf.DUMMYFUNCTION("""COMPUTED_VALUE"""),1500609.0)</f>
        <v>1500609</v>
      </c>
      <c r="F762" s="124" t="str">
        <f>IFERROR(__xludf.DUMMYFUNCTION("""COMPUTED_VALUE"""),"3208_988_7")</f>
        <v>3208_988_7</v>
      </c>
      <c r="G762" s="124">
        <f>IFERROR(__xludf.DUMMYFUNCTION("""COMPUTED_VALUE"""),70000.0)</f>
        <v>70000</v>
      </c>
      <c r="H762" s="124" t="str">
        <f>IFERROR(__xludf.DUMMYFUNCTION("""COMPUTED_VALUE"""),"Not Available")</f>
        <v>Not Available</v>
      </c>
      <c r="I762" s="124">
        <f>IFERROR(__xludf.DUMMYFUNCTION("""COMPUTED_VALUE"""),0.0)</f>
        <v>0</v>
      </c>
      <c r="J762" s="124">
        <f>IFERROR(__xludf.DUMMYFUNCTION("""COMPUTED_VALUE"""),80000.0)</f>
        <v>80000</v>
      </c>
      <c r="K762" s="124">
        <f>IFERROR(__xludf.DUMMYFUNCTION("""COMPUTED_VALUE"""),3.0)</f>
        <v>3</v>
      </c>
      <c r="L762" s="124">
        <f>IFERROR(__xludf.DUMMYFUNCTION("""COMPUTED_VALUE"""),142.0)</f>
        <v>142</v>
      </c>
      <c r="M762" s="124" t="str">
        <f>IFERROR(__xludf.DUMMYFUNCTION("""COMPUTED_VALUE"""),"New Delhi")</f>
        <v>New Delhi</v>
      </c>
      <c r="N762" s="124" t="str">
        <f>IFERROR(__xludf.DUMMYFUNCTION("""COMPUTED_VALUE"""),"aksharaap0906@gmail.com")</f>
        <v>aksharaap0906@gmail.com</v>
      </c>
      <c r="O762" s="124" t="str">
        <f>IFERROR(__xludf.DUMMYFUNCTION("""COMPUTED_VALUE"""),"Akshara AP")</f>
        <v>Akshara AP</v>
      </c>
      <c r="P762" s="124">
        <f>IFERROR(__xludf.DUMMYFUNCTION("""COMPUTED_VALUE"""),89292.0)</f>
        <v>89292</v>
      </c>
      <c r="Q762" s="124" t="str">
        <f>IFERROR(__xludf.DUMMYFUNCTION("""COMPUTED_VALUE"""),"upsc-gs-foundation-hinglish-target-2028-gsf-upsc-e03-orn")</f>
        <v>upsc-gs-foundation-hinglish-target-2028-gsf-upsc-e03-orn</v>
      </c>
      <c r="R762" s="124" t="str">
        <f>IFERROR(__xludf.DUMMYFUNCTION("""COMPUTED_VALUE"""),"GS Foundation Course")</f>
        <v>GS Foundation Course</v>
      </c>
      <c r="S762" s="124">
        <f>IFERROR(__xludf.DUMMYFUNCTION("""COMPUTED_VALUE"""),8.590366617E9)</f>
        <v>8590366617</v>
      </c>
      <c r="T762" s="124" t="str">
        <f>IFERROR(__xludf.DUMMYFUNCTION("""COMPUTED_VALUE"""),"Collexo")</f>
        <v>Collexo</v>
      </c>
      <c r="U762" s="124" t="str">
        <f>IFERROR(__xludf.DUMMYFUNCTION("""COMPUTED_VALUE"""),"Success")</f>
        <v>Success</v>
      </c>
      <c r="V762" s="131">
        <f>IFERROR(__xludf.DUMMYFUNCTION("""COMPUTED_VALUE"""),46053.0)</f>
        <v>46053</v>
      </c>
      <c r="W762" s="124">
        <f>IFERROR(__xludf.DUMMYFUNCTION("""COMPUTED_VALUE"""),0.0)</f>
        <v>0</v>
      </c>
    </row>
    <row r="763">
      <c r="A763" s="124" t="str">
        <f t="shared" si="1"/>
        <v>lavanyachoudhary928@gmail.com</v>
      </c>
      <c r="B763" s="131">
        <f>IFERROR(__xludf.DUMMYFUNCTION("""COMPUTED_VALUE"""),46108.0)</f>
        <v>46108</v>
      </c>
      <c r="C763" s="124" t="str">
        <f>IFERROR(__xludf.DUMMYFUNCTION("""COMPUTED_VALUE"""),"Payment data from Collexo")</f>
        <v>Payment data from Collexo</v>
      </c>
      <c r="D763" s="124" t="str">
        <f>IFERROR(__xludf.DUMMYFUNCTION("""COMPUTED_VALUE"""),"Not Available")</f>
        <v>Not Available</v>
      </c>
      <c r="E763" s="124">
        <f>IFERROR(__xludf.DUMMYFUNCTION("""COMPUTED_VALUE"""),1500609.0)</f>
        <v>1500609</v>
      </c>
      <c r="F763" s="124" t="str">
        <f>IFERROR(__xludf.DUMMYFUNCTION("""COMPUTED_VALUE"""),"16966_988_7")</f>
        <v>16966_988_7</v>
      </c>
      <c r="G763" s="124">
        <f>IFERROR(__xludf.DUMMYFUNCTION("""COMPUTED_VALUE"""),90000.0)</f>
        <v>90000</v>
      </c>
      <c r="H763" s="131">
        <f>IFERROR(__xludf.DUMMYFUNCTION("""COMPUTED_VALUE"""),46112.0)</f>
        <v>46112</v>
      </c>
      <c r="I763" s="124">
        <f>IFERROR(__xludf.DUMMYFUNCTION("""COMPUTED_VALUE"""),10000.0)</f>
        <v>10000</v>
      </c>
      <c r="J763" s="124">
        <f>IFERROR(__xludf.DUMMYFUNCTION("""COMPUTED_VALUE"""),110000.0)</f>
        <v>110000</v>
      </c>
      <c r="K763" s="124">
        <f>IFERROR(__xludf.DUMMYFUNCTION("""COMPUTED_VALUE"""),4.0)</f>
        <v>4</v>
      </c>
      <c r="L763" s="124">
        <f>IFERROR(__xludf.DUMMYFUNCTION("""COMPUTED_VALUE"""),785.0)</f>
        <v>785</v>
      </c>
      <c r="M763" s="124" t="str">
        <f>IFERROR(__xludf.DUMMYFUNCTION("""COMPUTED_VALUE"""),"New Delhi")</f>
        <v>New Delhi</v>
      </c>
      <c r="N763" s="124" t="str">
        <f>IFERROR(__xludf.DUMMYFUNCTION("""COMPUTED_VALUE"""),"lavanyachoudhary928@gmail.com")</f>
        <v>lavanyachoudhary928@gmail.com</v>
      </c>
      <c r="O763" s="124" t="str">
        <f>IFERROR(__xludf.DUMMYFUNCTION("""COMPUTED_VALUE"""),"Lavanya")</f>
        <v>Lavanya</v>
      </c>
      <c r="P763" s="124">
        <f>IFERROR(__xludf.DUMMYFUNCTION("""COMPUTED_VALUE"""),124437.0)</f>
        <v>124437</v>
      </c>
      <c r="Q763" s="124" t="str">
        <f>IFERROR(__xludf.DUMMYFUNCTION("""COMPUTED_VALUE"""),"6576 - UPSC GS Foundation Hinglish Target 2027 February (M) - ORN")</f>
        <v>6576 - UPSC GS Foundation Hinglish Target 2027 February (M) - ORN</v>
      </c>
      <c r="R763" s="124" t="str">
        <f>IFERROR(__xludf.DUMMYFUNCTION("""COMPUTED_VALUE"""),"GS Foundation Course")</f>
        <v>GS Foundation Course</v>
      </c>
      <c r="S763" s="124">
        <f>IFERROR(__xludf.DUMMYFUNCTION("""COMPUTED_VALUE"""),9.971763377E9)</f>
        <v>9971763377</v>
      </c>
      <c r="T763" s="124" t="str">
        <f>IFERROR(__xludf.DUMMYFUNCTION("""COMPUTED_VALUE"""),"Collexo")</f>
        <v>Collexo</v>
      </c>
      <c r="U763" s="124" t="str">
        <f>IFERROR(__xludf.DUMMYFUNCTION("""COMPUTED_VALUE"""),"Success")</f>
        <v>Success</v>
      </c>
      <c r="V763" s="131">
        <f>IFERROR(__xludf.DUMMYFUNCTION("""COMPUTED_VALUE"""),46108.0)</f>
        <v>46108</v>
      </c>
      <c r="W763" s="124">
        <f>IFERROR(__xludf.DUMMYFUNCTION("""COMPUTED_VALUE"""),0.0)</f>
        <v>0</v>
      </c>
    </row>
    <row r="764">
      <c r="A764" s="124" t="str">
        <f t="shared" si="1"/>
        <v>muskanbehl05@gmail.com</v>
      </c>
      <c r="B764" s="131">
        <f>IFERROR(__xludf.DUMMYFUNCTION("""COMPUTED_VALUE"""),46090.0)</f>
        <v>46090</v>
      </c>
      <c r="C764" s="124" t="str">
        <f>IFERROR(__xludf.DUMMYFUNCTION("""COMPUTED_VALUE"""),"Payment data from Collexo")</f>
        <v>Payment data from Collexo</v>
      </c>
      <c r="D764" s="124" t="str">
        <f>IFERROR(__xludf.DUMMYFUNCTION("""COMPUTED_VALUE"""),"Not Available")</f>
        <v>Not Available</v>
      </c>
      <c r="E764" s="124">
        <f>IFERROR(__xludf.DUMMYFUNCTION("""COMPUTED_VALUE"""),1500609.0)</f>
        <v>1500609</v>
      </c>
      <c r="F764" s="124" t="str">
        <f>IFERROR(__xludf.DUMMYFUNCTION("""COMPUTED_VALUE"""),"13227_988_7")</f>
        <v>13227_988_7</v>
      </c>
      <c r="G764" s="124">
        <f>IFERROR(__xludf.DUMMYFUNCTION("""COMPUTED_VALUE"""),1.0)</f>
        <v>1</v>
      </c>
      <c r="H764" s="124" t="str">
        <f>IFERROR(__xludf.DUMMYFUNCTION("""COMPUTED_VALUE"""),"Not Available")</f>
        <v>Not Available</v>
      </c>
      <c r="I764" s="124">
        <f>IFERROR(__xludf.DUMMYFUNCTION("""COMPUTED_VALUE"""),0.0)</f>
        <v>0</v>
      </c>
      <c r="J764" s="124">
        <f>IFERROR(__xludf.DUMMYFUNCTION("""COMPUTED_VALUE"""),1.0)</f>
        <v>1</v>
      </c>
      <c r="K764" s="124">
        <f>IFERROR(__xludf.DUMMYFUNCTION("""COMPUTED_VALUE"""),1.0)</f>
        <v>1</v>
      </c>
      <c r="L764" s="124">
        <f>IFERROR(__xludf.DUMMYFUNCTION("""COMPUTED_VALUE"""),446.0)</f>
        <v>446</v>
      </c>
      <c r="M764" s="124" t="str">
        <f>IFERROR(__xludf.DUMMYFUNCTION("""COMPUTED_VALUE"""),"New Delhi")</f>
        <v>New Delhi</v>
      </c>
      <c r="N764" s="124" t="str">
        <f>IFERROR(__xludf.DUMMYFUNCTION("""COMPUTED_VALUE"""),"muskanbehl05@gmail.com")</f>
        <v>muskanbehl05@gmail.com</v>
      </c>
      <c r="O764" s="124" t="str">
        <f>IFERROR(__xludf.DUMMYFUNCTION("""COMPUTED_VALUE"""),"Muskan Behl")</f>
        <v>Muskan Behl</v>
      </c>
      <c r="P764" s="124">
        <f>IFERROR(__xludf.DUMMYFUNCTION("""COMPUTED_VALUE"""),122283.0)</f>
        <v>122283</v>
      </c>
      <c r="Q764" s="124" t="str">
        <f>IFERROR(__xludf.DUMMYFUNCTION("""COMPUTED_VALUE"""),"upsc-gs-foundation-hinglish-target-2027-gsf-upsc-e05-orn")</f>
        <v>upsc-gs-foundation-hinglish-target-2027-gsf-upsc-e05-orn</v>
      </c>
      <c r="R764" s="124" t="str">
        <f>IFERROR(__xludf.DUMMYFUNCTION("""COMPUTED_VALUE"""),"GS Foundation Course")</f>
        <v>GS Foundation Course</v>
      </c>
      <c r="S764" s="124">
        <f>IFERROR(__xludf.DUMMYFUNCTION("""COMPUTED_VALUE"""),7.703949415E9)</f>
        <v>7703949415</v>
      </c>
      <c r="T764" s="124" t="str">
        <f>IFERROR(__xludf.DUMMYFUNCTION("""COMPUTED_VALUE"""),"Collexo")</f>
        <v>Collexo</v>
      </c>
      <c r="U764" s="124" t="str">
        <f>IFERROR(__xludf.DUMMYFUNCTION("""COMPUTED_VALUE"""),"Success")</f>
        <v>Success</v>
      </c>
      <c r="V764" s="131">
        <f>IFERROR(__xludf.DUMMYFUNCTION("""COMPUTED_VALUE"""),46090.0)</f>
        <v>46090</v>
      </c>
      <c r="W764" s="124">
        <f>IFERROR(__xludf.DUMMYFUNCTION("""COMPUTED_VALUE"""),0.0)</f>
        <v>0</v>
      </c>
    </row>
    <row r="765">
      <c r="A765" s="124" t="str">
        <f t="shared" si="1"/>
        <v>smillingsatyam5284@gmail.com</v>
      </c>
      <c r="B765" s="131">
        <f>IFERROR(__xludf.DUMMYFUNCTION("""COMPUTED_VALUE"""),46052.0)</f>
        <v>46052</v>
      </c>
      <c r="C765" s="124" t="str">
        <f>IFERROR(__xludf.DUMMYFUNCTION("""COMPUTED_VALUE"""),"Payment data from Collexo")</f>
        <v>Payment data from Collexo</v>
      </c>
      <c r="D765" s="124" t="str">
        <f>IFERROR(__xludf.DUMMYFUNCTION("""COMPUTED_VALUE"""),"Not Available")</f>
        <v>Not Available</v>
      </c>
      <c r="E765" s="124">
        <f>IFERROR(__xludf.DUMMYFUNCTION("""COMPUTED_VALUE"""),1500609.0)</f>
        <v>1500609</v>
      </c>
      <c r="F765" s="124" t="str">
        <f>IFERROR(__xludf.DUMMYFUNCTION("""COMPUTED_VALUE"""),"3121_988_7")</f>
        <v>3121_988_7</v>
      </c>
      <c r="G765" s="124">
        <f>IFERROR(__xludf.DUMMYFUNCTION("""COMPUTED_VALUE"""),20000.0)</f>
        <v>20000</v>
      </c>
      <c r="H765" s="131">
        <f>IFERROR(__xludf.DUMMYFUNCTION("""COMPUTED_VALUE"""),46053.0)</f>
        <v>46053</v>
      </c>
      <c r="I765" s="124">
        <f>IFERROR(__xludf.DUMMYFUNCTION("""COMPUTED_VALUE"""),120000.0)</f>
        <v>120000</v>
      </c>
      <c r="J765" s="124">
        <f>IFERROR(__xludf.DUMMYFUNCTION("""COMPUTED_VALUE"""),150000.0)</f>
        <v>150000</v>
      </c>
      <c r="K765" s="124">
        <f>IFERROR(__xludf.DUMMYFUNCTION("""COMPUTED_VALUE"""),4.0)</f>
        <v>4</v>
      </c>
      <c r="L765" s="124">
        <f>IFERROR(__xludf.DUMMYFUNCTION("""COMPUTED_VALUE"""),138.0)</f>
        <v>138</v>
      </c>
      <c r="M765" s="124" t="str">
        <f>IFERROR(__xludf.DUMMYFUNCTION("""COMPUTED_VALUE"""),"New Delhi")</f>
        <v>New Delhi</v>
      </c>
      <c r="N765" s="124" t="str">
        <f>IFERROR(__xludf.DUMMYFUNCTION("""COMPUTED_VALUE"""),"smillingsatyam5284@gmail.com")</f>
        <v>smillingsatyam5284@gmail.com</v>
      </c>
      <c r="O765" s="124" t="str">
        <f>IFERROR(__xludf.DUMMYFUNCTION("""COMPUTED_VALUE"""),"Saurav")</f>
        <v>Saurav</v>
      </c>
      <c r="P765" s="124">
        <f>IFERROR(__xludf.DUMMYFUNCTION("""COMPUTED_VALUE"""),83769.0)</f>
        <v>83769</v>
      </c>
      <c r="Q765" s="124" t="str">
        <f>IFERROR(__xludf.DUMMYFUNCTION("""COMPUTED_VALUE"""),"ncert-foundation-hinglish-target-2026-nce-upsc-e01-orn")</f>
        <v>ncert-foundation-hinglish-target-2026-nce-upsc-e01-orn</v>
      </c>
      <c r="R765" s="124" t="str">
        <f>IFERROR(__xludf.DUMMYFUNCTION("""COMPUTED_VALUE"""),"GS Foundation Course")</f>
        <v>GS Foundation Course</v>
      </c>
      <c r="S765" s="124">
        <f>IFERROR(__xludf.DUMMYFUNCTION("""COMPUTED_VALUE"""),7.667109447E9)</f>
        <v>7667109447</v>
      </c>
      <c r="T765" s="124" t="str">
        <f>IFERROR(__xludf.DUMMYFUNCTION("""COMPUTED_VALUE"""),"Collexo")</f>
        <v>Collexo</v>
      </c>
      <c r="U765" s="124" t="str">
        <f>IFERROR(__xludf.DUMMYFUNCTION("""COMPUTED_VALUE"""),"Success")</f>
        <v>Success</v>
      </c>
      <c r="V765" s="131">
        <f>IFERROR(__xludf.DUMMYFUNCTION("""COMPUTED_VALUE"""),46052.0)</f>
        <v>46052</v>
      </c>
      <c r="W765" s="124">
        <f>IFERROR(__xludf.DUMMYFUNCTION("""COMPUTED_VALUE"""),0.0)</f>
        <v>0</v>
      </c>
    </row>
    <row r="766">
      <c r="A766" s="124" t="str">
        <f t="shared" si="1"/>
        <v>utsavumang75@gmail.com</v>
      </c>
      <c r="B766" s="131">
        <f>IFERROR(__xludf.DUMMYFUNCTION("""COMPUTED_VALUE"""),46071.0)</f>
        <v>46071</v>
      </c>
      <c r="C766" s="124" t="str">
        <f>IFERROR(__xludf.DUMMYFUNCTION("""COMPUTED_VALUE"""),"Payment data from Collexo")</f>
        <v>Payment data from Collexo</v>
      </c>
      <c r="D766" s="124" t="str">
        <f>IFERROR(__xludf.DUMMYFUNCTION("""COMPUTED_VALUE"""),"Not Available")</f>
        <v>Not Available</v>
      </c>
      <c r="E766" s="124">
        <f>IFERROR(__xludf.DUMMYFUNCTION("""COMPUTED_VALUE"""),1500609.0)</f>
        <v>1500609</v>
      </c>
      <c r="F766" s="124" t="str">
        <f>IFERROR(__xludf.DUMMYFUNCTION("""COMPUTED_VALUE"""),"6344_988_7")</f>
        <v>6344_988_7</v>
      </c>
      <c r="G766" s="124">
        <f>IFERROR(__xludf.DUMMYFUNCTION("""COMPUTED_VALUE"""),65000.0)</f>
        <v>65000</v>
      </c>
      <c r="H766" s="124" t="str">
        <f>IFERROR(__xludf.DUMMYFUNCTION("""COMPUTED_VALUE"""),"Not Available")</f>
        <v>Not Available</v>
      </c>
      <c r="I766" s="124">
        <f>IFERROR(__xludf.DUMMYFUNCTION("""COMPUTED_VALUE"""),0.0)</f>
        <v>0</v>
      </c>
      <c r="J766" s="124">
        <f>IFERROR(__xludf.DUMMYFUNCTION("""COMPUTED_VALUE"""),105000.0)</f>
        <v>105000</v>
      </c>
      <c r="K766" s="124">
        <f>IFERROR(__xludf.DUMMYFUNCTION("""COMPUTED_VALUE"""),2.0)</f>
        <v>2</v>
      </c>
      <c r="L766" s="124">
        <f>IFERROR(__xludf.DUMMYFUNCTION("""COMPUTED_VALUE"""),253.0)</f>
        <v>253</v>
      </c>
      <c r="M766" s="124" t="str">
        <f>IFERROR(__xludf.DUMMYFUNCTION("""COMPUTED_VALUE"""),"New Delhi")</f>
        <v>New Delhi</v>
      </c>
      <c r="N766" s="124" t="str">
        <f>IFERROR(__xludf.DUMMYFUNCTION("""COMPUTED_VALUE"""),"utsavumang75@gmail.com")</f>
        <v>utsavumang75@gmail.com</v>
      </c>
      <c r="O766" s="124" t="str">
        <f>IFERROR(__xludf.DUMMYFUNCTION("""COMPUTED_VALUE"""),"Utsav")</f>
        <v>Utsav</v>
      </c>
      <c r="P766" s="124">
        <f>IFERROR(__xludf.DUMMYFUNCTION("""COMPUTED_VALUE"""),68123.0)</f>
        <v>68123</v>
      </c>
      <c r="Q766" s="124" t="str">
        <f>IFERROR(__xludf.DUMMYFUNCTION("""COMPUTED_VALUE"""),"super-100-gs-foundation-2028-p2i-offline-july-batch4-e-orn-with-ncert")</f>
        <v>super-100-gs-foundation-2028-p2i-offline-july-batch4-e-orn-with-ncert</v>
      </c>
      <c r="R766" s="124" t="str">
        <f>IFERROR(__xludf.DUMMYFUNCTION("""COMPUTED_VALUE"""),"GS Foundation Course")</f>
        <v>GS Foundation Course</v>
      </c>
      <c r="S766" s="124">
        <f>IFERROR(__xludf.DUMMYFUNCTION("""COMPUTED_VALUE"""),6.201770972E9)</f>
        <v>6201770972</v>
      </c>
      <c r="T766" s="124" t="str">
        <f>IFERROR(__xludf.DUMMYFUNCTION("""COMPUTED_VALUE"""),"Collexo")</f>
        <v>Collexo</v>
      </c>
      <c r="U766" s="124" t="str">
        <f>IFERROR(__xludf.DUMMYFUNCTION("""COMPUTED_VALUE"""),"Success")</f>
        <v>Success</v>
      </c>
      <c r="V766" s="131">
        <f>IFERROR(__xludf.DUMMYFUNCTION("""COMPUTED_VALUE"""),46071.0)</f>
        <v>46071</v>
      </c>
      <c r="W766" s="124">
        <f>IFERROR(__xludf.DUMMYFUNCTION("""COMPUTED_VALUE"""),0.0)</f>
        <v>0</v>
      </c>
    </row>
    <row r="767">
      <c r="A767" s="124" t="str">
        <f t="shared" si="1"/>
        <v>aksharaap0906@gmail.com</v>
      </c>
      <c r="B767" s="131">
        <f>IFERROR(__xludf.DUMMYFUNCTION("""COMPUTED_VALUE"""),46049.0)</f>
        <v>46049</v>
      </c>
      <c r="C767" s="124" t="str">
        <f>IFERROR(__xludf.DUMMYFUNCTION("""COMPUTED_VALUE"""),"Payment data from Collexo")</f>
        <v>Payment data from Collexo</v>
      </c>
      <c r="D767" s="124" t="str">
        <f>IFERROR(__xludf.DUMMYFUNCTION("""COMPUTED_VALUE"""),"Not Available")</f>
        <v>Not Available</v>
      </c>
      <c r="E767" s="124">
        <f>IFERROR(__xludf.DUMMYFUNCTION("""COMPUTED_VALUE"""),1500609.0)</f>
        <v>1500609</v>
      </c>
      <c r="F767" s="124" t="str">
        <f>IFERROR(__xludf.DUMMYFUNCTION("""COMPUTED_VALUE"""),"2580_988_7")</f>
        <v>2580_988_7</v>
      </c>
      <c r="G767" s="124">
        <f>IFERROR(__xludf.DUMMYFUNCTION("""COMPUTED_VALUE"""),3000.0)</f>
        <v>3000</v>
      </c>
      <c r="H767" s="131">
        <f>IFERROR(__xludf.DUMMYFUNCTION("""COMPUTED_VALUE"""),46053.0)</f>
        <v>46053</v>
      </c>
      <c r="I767" s="124">
        <f>IFERROR(__xludf.DUMMYFUNCTION("""COMPUTED_VALUE"""),77000.0)</f>
        <v>77000</v>
      </c>
      <c r="J767" s="124">
        <f>IFERROR(__xludf.DUMMYFUNCTION("""COMPUTED_VALUE"""),80000.0)</f>
        <v>80000</v>
      </c>
      <c r="K767" s="124">
        <f>IFERROR(__xludf.DUMMYFUNCTION("""COMPUTED_VALUE"""),2.0)</f>
        <v>2</v>
      </c>
      <c r="L767" s="124">
        <f>IFERROR(__xludf.DUMMYFUNCTION("""COMPUTED_VALUE"""),117.0)</f>
        <v>117</v>
      </c>
      <c r="M767" s="124" t="str">
        <f>IFERROR(__xludf.DUMMYFUNCTION("""COMPUTED_VALUE"""),"New Delhi")</f>
        <v>New Delhi</v>
      </c>
      <c r="N767" s="124" t="str">
        <f>IFERROR(__xludf.DUMMYFUNCTION("""COMPUTED_VALUE"""),"aksharaap0906@gmail.com")</f>
        <v>aksharaap0906@gmail.com</v>
      </c>
      <c r="O767" s="124" t="str">
        <f>IFERROR(__xludf.DUMMYFUNCTION("""COMPUTED_VALUE"""),"Akshara AP")</f>
        <v>Akshara AP</v>
      </c>
      <c r="P767" s="124">
        <f>IFERROR(__xludf.DUMMYFUNCTION("""COMPUTED_VALUE"""),89292.0)</f>
        <v>89292</v>
      </c>
      <c r="Q767" s="124" t="str">
        <f>IFERROR(__xludf.DUMMYFUNCTION("""COMPUTED_VALUE"""),"upsc-gs-foundation-hinglish-target-2028-gsf-upsc-e03-orn")</f>
        <v>upsc-gs-foundation-hinglish-target-2028-gsf-upsc-e03-orn</v>
      </c>
      <c r="R767" s="124" t="str">
        <f>IFERROR(__xludf.DUMMYFUNCTION("""COMPUTED_VALUE"""),"GS Foundation Course")</f>
        <v>GS Foundation Course</v>
      </c>
      <c r="S767" s="124">
        <f>IFERROR(__xludf.DUMMYFUNCTION("""COMPUTED_VALUE"""),8.590366617E9)</f>
        <v>8590366617</v>
      </c>
      <c r="T767" s="124" t="str">
        <f>IFERROR(__xludf.DUMMYFUNCTION("""COMPUTED_VALUE"""),"Collexo")</f>
        <v>Collexo</v>
      </c>
      <c r="U767" s="124" t="str">
        <f>IFERROR(__xludf.DUMMYFUNCTION("""COMPUTED_VALUE"""),"Success")</f>
        <v>Success</v>
      </c>
      <c r="V767" s="131">
        <f>IFERROR(__xludf.DUMMYFUNCTION("""COMPUTED_VALUE"""),46049.0)</f>
        <v>46049</v>
      </c>
      <c r="W767" s="124">
        <f>IFERROR(__xludf.DUMMYFUNCTION("""COMPUTED_VALUE"""),0.0)</f>
        <v>0</v>
      </c>
    </row>
    <row r="768">
      <c r="A768" s="124" t="str">
        <f t="shared" si="1"/>
        <v>bidhalatasha@gmail.com</v>
      </c>
      <c r="B768" s="131">
        <f>IFERROR(__xludf.DUMMYFUNCTION("""COMPUTED_VALUE"""),46068.0)</f>
        <v>46068</v>
      </c>
      <c r="C768" s="124" t="str">
        <f>IFERROR(__xludf.DUMMYFUNCTION("""COMPUTED_VALUE"""),"Payment data from Collexo")</f>
        <v>Payment data from Collexo</v>
      </c>
      <c r="D768" s="124" t="str">
        <f>IFERROR(__xludf.DUMMYFUNCTION("""COMPUTED_VALUE"""),"Not Available")</f>
        <v>Not Available</v>
      </c>
      <c r="E768" s="124">
        <f>IFERROR(__xludf.DUMMYFUNCTION("""COMPUTED_VALUE"""),1500609.0)</f>
        <v>1500609</v>
      </c>
      <c r="F768" s="124" t="str">
        <f>IFERROR(__xludf.DUMMYFUNCTION("""COMPUTED_VALUE"""),"5306_988_7")</f>
        <v>5306_988_7</v>
      </c>
      <c r="G768" s="124">
        <f>IFERROR(__xludf.DUMMYFUNCTION("""COMPUTED_VALUE"""),105000.0)</f>
        <v>105000</v>
      </c>
      <c r="H768" s="124" t="str">
        <f>IFERROR(__xludf.DUMMYFUNCTION("""COMPUTED_VALUE"""),"Not Available")</f>
        <v>Not Available</v>
      </c>
      <c r="I768" s="124">
        <f>IFERROR(__xludf.DUMMYFUNCTION("""COMPUTED_VALUE"""),0.0)</f>
        <v>0</v>
      </c>
      <c r="J768" s="124">
        <f>IFERROR(__xludf.DUMMYFUNCTION("""COMPUTED_VALUE"""),110000.0)</f>
        <v>110000</v>
      </c>
      <c r="K768" s="124">
        <f>IFERROR(__xludf.DUMMYFUNCTION("""COMPUTED_VALUE"""),2.0)</f>
        <v>2</v>
      </c>
      <c r="L768" s="124">
        <f>IFERROR(__xludf.DUMMYFUNCTION("""COMPUTED_VALUE"""),218.0)</f>
        <v>218</v>
      </c>
      <c r="M768" s="124" t="str">
        <f>IFERROR(__xludf.DUMMYFUNCTION("""COMPUTED_VALUE"""),"New Delhi")</f>
        <v>New Delhi</v>
      </c>
      <c r="N768" s="124" t="str">
        <f>IFERROR(__xludf.DUMMYFUNCTION("""COMPUTED_VALUE"""),"bidhalatasha@gmail.com")</f>
        <v>bidhalatasha@gmail.com</v>
      </c>
      <c r="O768" s="124" t="str">
        <f>IFERROR(__xludf.DUMMYFUNCTION("""COMPUTED_VALUE"""),"latasha")</f>
        <v>latasha</v>
      </c>
      <c r="P768" s="124">
        <f>IFERROR(__xludf.DUMMYFUNCTION("""COMPUTED_VALUE"""),121487.0)</f>
        <v>121487</v>
      </c>
      <c r="Q768" s="124" t="str">
        <f>IFERROR(__xludf.DUMMYFUNCTION("""COMPUTED_VALUE"""),"upsc-gs-foundation-hinglish-target-2027-gsf-upsc-e04-orn")</f>
        <v>upsc-gs-foundation-hinglish-target-2027-gsf-upsc-e04-orn</v>
      </c>
      <c r="R768" s="124" t="str">
        <f>IFERROR(__xludf.DUMMYFUNCTION("""COMPUTED_VALUE"""),"GS Foundation Course")</f>
        <v>GS Foundation Course</v>
      </c>
      <c r="S768" s="124">
        <f>IFERROR(__xludf.DUMMYFUNCTION("""COMPUTED_VALUE"""),9.999038505E9)</f>
        <v>9999038505</v>
      </c>
      <c r="T768" s="124" t="str">
        <f>IFERROR(__xludf.DUMMYFUNCTION("""COMPUTED_VALUE"""),"Collexo")</f>
        <v>Collexo</v>
      </c>
      <c r="U768" s="124" t="str">
        <f>IFERROR(__xludf.DUMMYFUNCTION("""COMPUTED_VALUE"""),"Success")</f>
        <v>Success</v>
      </c>
      <c r="V768" s="131">
        <f>IFERROR(__xludf.DUMMYFUNCTION("""COMPUTED_VALUE"""),46068.0)</f>
        <v>46068</v>
      </c>
      <c r="W768" s="124">
        <f>IFERROR(__xludf.DUMMYFUNCTION("""COMPUTED_VALUE"""),0.0)</f>
        <v>0</v>
      </c>
    </row>
    <row r="769">
      <c r="A769" s="124" t="str">
        <f t="shared" si="1"/>
        <v>rituraj664@gmail.com</v>
      </c>
      <c r="B769" s="131">
        <f>IFERROR(__xludf.DUMMYFUNCTION("""COMPUTED_VALUE"""),46051.0)</f>
        <v>46051</v>
      </c>
      <c r="C769" s="124" t="str">
        <f>IFERROR(__xludf.DUMMYFUNCTION("""COMPUTED_VALUE"""),"Payment data from Collexo")</f>
        <v>Payment data from Collexo</v>
      </c>
      <c r="D769" s="124" t="str">
        <f>IFERROR(__xludf.DUMMYFUNCTION("""COMPUTED_VALUE"""),"Not Available")</f>
        <v>Not Available</v>
      </c>
      <c r="E769" s="124">
        <f>IFERROR(__xludf.DUMMYFUNCTION("""COMPUTED_VALUE"""),1500609.0)</f>
        <v>1500609</v>
      </c>
      <c r="F769" s="124" t="str">
        <f>IFERROR(__xludf.DUMMYFUNCTION("""COMPUTED_VALUE"""),"2910_988_7")</f>
        <v>2910_988_7</v>
      </c>
      <c r="G769" s="124">
        <f>IFERROR(__xludf.DUMMYFUNCTION("""COMPUTED_VALUE"""),30000.0)</f>
        <v>30000</v>
      </c>
      <c r="H769" s="131">
        <f>IFERROR(__xludf.DUMMYFUNCTION("""COMPUTED_VALUE"""),46053.0)</f>
        <v>46053</v>
      </c>
      <c r="I769" s="124">
        <f>IFERROR(__xludf.DUMMYFUNCTION("""COMPUTED_VALUE"""),110000.0)</f>
        <v>110000</v>
      </c>
      <c r="J769" s="124">
        <f>IFERROR(__xludf.DUMMYFUNCTION("""COMPUTED_VALUE"""),140000.0)</f>
        <v>140000</v>
      </c>
      <c r="K769" s="124">
        <f>IFERROR(__xludf.DUMMYFUNCTION("""COMPUTED_VALUE"""),2.0)</f>
        <v>2</v>
      </c>
      <c r="L769" s="124">
        <f>IFERROR(__xludf.DUMMYFUNCTION("""COMPUTED_VALUE"""),129.0)</f>
        <v>129</v>
      </c>
      <c r="M769" s="124" t="str">
        <f>IFERROR(__xludf.DUMMYFUNCTION("""COMPUTED_VALUE"""),"New Delhi")</f>
        <v>New Delhi</v>
      </c>
      <c r="N769" s="124" t="str">
        <f>IFERROR(__xludf.DUMMYFUNCTION("""COMPUTED_VALUE"""),"rituraj664@gmail.com")</f>
        <v>rituraj664@gmail.com</v>
      </c>
      <c r="O769" s="124" t="str">
        <f>IFERROR(__xludf.DUMMYFUNCTION("""COMPUTED_VALUE"""),"Ruturaj")</f>
        <v>Ruturaj</v>
      </c>
      <c r="P769" s="124">
        <f>IFERROR(__xludf.DUMMYFUNCTION("""COMPUTED_VALUE"""),56746.0)</f>
        <v>56746</v>
      </c>
      <c r="Q769" s="124" t="str">
        <f>IFERROR(__xludf.DUMMYFUNCTION("""COMPUTED_VALUE"""),"ncert-foundation-hinglish-target-2026-nce-upsc-e02-orn")</f>
        <v>ncert-foundation-hinglish-target-2026-nce-upsc-e02-orn</v>
      </c>
      <c r="R769" s="124" t="str">
        <f>IFERROR(__xludf.DUMMYFUNCTION("""COMPUTED_VALUE"""),"GS Foundation Course")</f>
        <v>GS Foundation Course</v>
      </c>
      <c r="S769" s="124">
        <f>IFERROR(__xludf.DUMMYFUNCTION("""COMPUTED_VALUE"""),9.579252596E9)</f>
        <v>9579252596</v>
      </c>
      <c r="T769" s="124" t="str">
        <f>IFERROR(__xludf.DUMMYFUNCTION("""COMPUTED_VALUE"""),"Collexo")</f>
        <v>Collexo</v>
      </c>
      <c r="U769" s="124" t="str">
        <f>IFERROR(__xludf.DUMMYFUNCTION("""COMPUTED_VALUE"""),"Success")</f>
        <v>Success</v>
      </c>
      <c r="V769" s="131">
        <f>IFERROR(__xludf.DUMMYFUNCTION("""COMPUTED_VALUE"""),46051.0)</f>
        <v>46051</v>
      </c>
      <c r="W769" s="124">
        <f>IFERROR(__xludf.DUMMYFUNCTION("""COMPUTED_VALUE"""),0.0)</f>
        <v>0</v>
      </c>
    </row>
    <row r="770">
      <c r="A770" s="124" t="str">
        <f t="shared" si="1"/>
        <v>Badelaltiwari003@gmail.com</v>
      </c>
      <c r="B770" s="131">
        <f>IFERROR(__xludf.DUMMYFUNCTION("""COMPUTED_VALUE"""),46081.0)</f>
        <v>46081</v>
      </c>
      <c r="C770" s="124" t="str">
        <f>IFERROR(__xludf.DUMMYFUNCTION("""COMPUTED_VALUE"""),"Payment data from Collexo")</f>
        <v>Payment data from Collexo</v>
      </c>
      <c r="D770" s="124" t="str">
        <f>IFERROR(__xludf.DUMMYFUNCTION("""COMPUTED_VALUE"""),"Not Available")</f>
        <v>Not Available</v>
      </c>
      <c r="E770" s="124">
        <f>IFERROR(__xludf.DUMMYFUNCTION("""COMPUTED_VALUE"""),1500613.0)</f>
        <v>1500613</v>
      </c>
      <c r="F770" s="124">
        <f>IFERROR(__xludf.DUMMYFUNCTION("""COMPUTED_VALUE"""),125817.0)</f>
        <v>125817</v>
      </c>
      <c r="G770" s="124">
        <f>IFERROR(__xludf.DUMMYFUNCTION("""COMPUTED_VALUE"""),1000.0)</f>
        <v>1000</v>
      </c>
      <c r="H770" s="131">
        <f>IFERROR(__xludf.DUMMYFUNCTION("""COMPUTED_VALUE"""),46147.0)</f>
        <v>46147</v>
      </c>
      <c r="I770" s="124">
        <f>IFERROR(__xludf.DUMMYFUNCTION("""COMPUTED_VALUE"""),34000.0)</f>
        <v>34000</v>
      </c>
      <c r="J770" s="124">
        <f>IFERROR(__xludf.DUMMYFUNCTION("""COMPUTED_VALUE"""),35000.0)</f>
        <v>35000</v>
      </c>
      <c r="K770" s="124">
        <f>IFERROR(__xludf.DUMMYFUNCTION("""COMPUTED_VALUE"""),2.0)</f>
        <v>2</v>
      </c>
      <c r="L770" s="124">
        <f>IFERROR(__xludf.DUMMYFUNCTION("""COMPUTED_VALUE"""),395.0)</f>
        <v>395</v>
      </c>
      <c r="M770" s="124" t="str">
        <f>IFERROR(__xludf.DUMMYFUNCTION("""COMPUTED_VALUE"""),"Prayagraj")</f>
        <v>Prayagraj</v>
      </c>
      <c r="N770" s="124" t="str">
        <f>IFERROR(__xludf.DUMMYFUNCTION("""COMPUTED_VALUE"""),"Badelaltiwari003@gmail.com")</f>
        <v>Badelaltiwari003@gmail.com</v>
      </c>
      <c r="O770" s="124" t="str">
        <f>IFERROR(__xludf.DUMMYFUNCTION("""COMPUTED_VALUE"""),"Badelal")</f>
        <v>Badelal</v>
      </c>
      <c r="P770" s="124">
        <f>IFERROR(__xludf.DUMMYFUNCTION("""COMPUTED_VALUE"""),125817.0)</f>
        <v>125817</v>
      </c>
      <c r="Q770" s="124" t="str">
        <f>IFERROR(__xludf.DUMMYFUNCTION("""COMPUTED_VALUE"""),"upsc-gs-foundation-hindi-target-2027-gsf-upsc-m02-pry")</f>
        <v>upsc-gs-foundation-hindi-target-2027-gsf-upsc-m02-pry</v>
      </c>
      <c r="R770" s="124" t="str">
        <f>IFERROR(__xludf.DUMMYFUNCTION("""COMPUTED_VALUE"""),"GS Foundation Course")</f>
        <v>GS Foundation Course</v>
      </c>
      <c r="S770" s="124">
        <f>IFERROR(__xludf.DUMMYFUNCTION("""COMPUTED_VALUE"""),7.880487271E9)</f>
        <v>7880487271</v>
      </c>
      <c r="T770" s="124" t="str">
        <f>IFERROR(__xludf.DUMMYFUNCTION("""COMPUTED_VALUE"""),"Not Available")</f>
        <v>Not Available</v>
      </c>
      <c r="U770" s="124" t="str">
        <f>IFERROR(__xludf.DUMMYFUNCTION("""COMPUTED_VALUE"""),"Not Available")</f>
        <v>Not Available</v>
      </c>
      <c r="V770" s="124" t="str">
        <f>IFERROR(__xludf.DUMMYFUNCTION("""COMPUTED_VALUE"""),"Not Available")</f>
        <v>Not Available</v>
      </c>
      <c r="W770" s="124" t="str">
        <f>IFERROR(__xludf.DUMMYFUNCTION("""COMPUTED_VALUE"""),"Not Available")</f>
        <v>Not Available</v>
      </c>
    </row>
    <row r="771">
      <c r="A771" s="124" t="str">
        <f t="shared" si="1"/>
        <v>sanginijalota242@gmail.com</v>
      </c>
      <c r="B771" s="131">
        <f>IFERROR(__xludf.DUMMYFUNCTION("""COMPUTED_VALUE"""),46049.0)</f>
        <v>46049</v>
      </c>
      <c r="C771" s="124" t="str">
        <f>IFERROR(__xludf.DUMMYFUNCTION("""COMPUTED_VALUE"""),"Payment data from Collexo")</f>
        <v>Payment data from Collexo</v>
      </c>
      <c r="D771" s="124" t="str">
        <f>IFERROR(__xludf.DUMMYFUNCTION("""COMPUTED_VALUE"""),"Not Available")</f>
        <v>Not Available</v>
      </c>
      <c r="E771" s="124">
        <f>IFERROR(__xludf.DUMMYFUNCTION("""COMPUTED_VALUE"""),1500609.0)</f>
        <v>1500609</v>
      </c>
      <c r="F771" s="124" t="str">
        <f>IFERROR(__xludf.DUMMYFUNCTION("""COMPUTED_VALUE"""),"2586_988_7")</f>
        <v>2586_988_7</v>
      </c>
      <c r="G771" s="124">
        <f>IFERROR(__xludf.DUMMYFUNCTION("""COMPUTED_VALUE"""),63000.0)</f>
        <v>63000</v>
      </c>
      <c r="H771" s="124" t="str">
        <f>IFERROR(__xludf.DUMMYFUNCTION("""COMPUTED_VALUE"""),"Not Available")</f>
        <v>Not Available</v>
      </c>
      <c r="I771" s="124">
        <f>IFERROR(__xludf.DUMMYFUNCTION("""COMPUTED_VALUE"""),0.0)</f>
        <v>0</v>
      </c>
      <c r="J771" s="124">
        <f>IFERROR(__xludf.DUMMYFUNCTION("""COMPUTED_VALUE"""),70000.0)</f>
        <v>70000</v>
      </c>
      <c r="K771" s="124">
        <f>IFERROR(__xludf.DUMMYFUNCTION("""COMPUTED_VALUE"""),2.0)</f>
        <v>2</v>
      </c>
      <c r="L771" s="124">
        <f>IFERROR(__xludf.DUMMYFUNCTION("""COMPUTED_VALUE"""),119.0)</f>
        <v>119</v>
      </c>
      <c r="M771" s="124" t="str">
        <f>IFERROR(__xludf.DUMMYFUNCTION("""COMPUTED_VALUE"""),"New Delhi")</f>
        <v>New Delhi</v>
      </c>
      <c r="N771" s="124" t="str">
        <f>IFERROR(__xludf.DUMMYFUNCTION("""COMPUTED_VALUE"""),"sanginijalota242@gmail.com")</f>
        <v>sanginijalota242@gmail.com</v>
      </c>
      <c r="O771" s="124" t="str">
        <f>IFERROR(__xludf.DUMMYFUNCTION("""COMPUTED_VALUE"""),"sangani")</f>
        <v>sangani</v>
      </c>
      <c r="P771" s="124">
        <f>IFERROR(__xludf.DUMMYFUNCTION("""COMPUTED_VALUE"""),88190.0)</f>
        <v>88190</v>
      </c>
      <c r="Q771" s="124" t="str">
        <f>IFERROR(__xludf.DUMMYFUNCTION("""COMPUTED_VALUE"""),"ncert-foundation-hinglish-target-2026-nce-upsc-e01-orn")</f>
        <v>ncert-foundation-hinglish-target-2026-nce-upsc-e01-orn</v>
      </c>
      <c r="R771" s="124" t="str">
        <f>IFERROR(__xludf.DUMMYFUNCTION("""COMPUTED_VALUE"""),"GS Foundation Course")</f>
        <v>GS Foundation Course</v>
      </c>
      <c r="S771" s="124">
        <f>IFERROR(__xludf.DUMMYFUNCTION("""COMPUTED_VALUE"""),7.267852968E9)</f>
        <v>7267852968</v>
      </c>
      <c r="T771" s="124" t="str">
        <f>IFERROR(__xludf.DUMMYFUNCTION("""COMPUTED_VALUE"""),"Collexo")</f>
        <v>Collexo</v>
      </c>
      <c r="U771" s="124" t="str">
        <f>IFERROR(__xludf.DUMMYFUNCTION("""COMPUTED_VALUE"""),"Success")</f>
        <v>Success</v>
      </c>
      <c r="V771" s="131">
        <f>IFERROR(__xludf.DUMMYFUNCTION("""COMPUTED_VALUE"""),46049.0)</f>
        <v>46049</v>
      </c>
      <c r="W771" s="124">
        <f>IFERROR(__xludf.DUMMYFUNCTION("""COMPUTED_VALUE"""),0.0)</f>
        <v>0</v>
      </c>
    </row>
    <row r="772">
      <c r="A772" s="124" t="str">
        <f t="shared" si="1"/>
        <v>aksharaap0906@gmail.com</v>
      </c>
      <c r="B772" s="131">
        <f>IFERROR(__xludf.DUMMYFUNCTION("""COMPUTED_VALUE"""),46050.0)</f>
        <v>46050</v>
      </c>
      <c r="C772" s="124" t="str">
        <f>IFERROR(__xludf.DUMMYFUNCTION("""COMPUTED_VALUE"""),"Payment data from Collexo")</f>
        <v>Payment data from Collexo</v>
      </c>
      <c r="D772" s="124" t="str">
        <f>IFERROR(__xludf.DUMMYFUNCTION("""COMPUTED_VALUE"""),"Not Available")</f>
        <v>Not Available</v>
      </c>
      <c r="E772" s="124">
        <f>IFERROR(__xludf.DUMMYFUNCTION("""COMPUTED_VALUE"""),1500609.0)</f>
        <v>1500609</v>
      </c>
      <c r="F772" s="124" t="str">
        <f>IFERROR(__xludf.DUMMYFUNCTION("""COMPUTED_VALUE"""),"2749_988_7")</f>
        <v>2749_988_7</v>
      </c>
      <c r="G772" s="124">
        <f>IFERROR(__xludf.DUMMYFUNCTION("""COMPUTED_VALUE"""),7000.0)</f>
        <v>7000</v>
      </c>
      <c r="H772" s="131">
        <f>IFERROR(__xludf.DUMMYFUNCTION("""COMPUTED_VALUE"""),46053.0)</f>
        <v>46053</v>
      </c>
      <c r="I772" s="124">
        <f>IFERROR(__xludf.DUMMYFUNCTION("""COMPUTED_VALUE"""),70000.0)</f>
        <v>70000</v>
      </c>
      <c r="J772" s="124">
        <f>IFERROR(__xludf.DUMMYFUNCTION("""COMPUTED_VALUE"""),80000.0)</f>
        <v>80000</v>
      </c>
      <c r="K772" s="124">
        <f>IFERROR(__xludf.DUMMYFUNCTION("""COMPUTED_VALUE"""),3.0)</f>
        <v>3</v>
      </c>
      <c r="L772" s="124">
        <f>IFERROR(__xludf.DUMMYFUNCTION("""COMPUTED_VALUE"""),124.0)</f>
        <v>124</v>
      </c>
      <c r="M772" s="124" t="str">
        <f>IFERROR(__xludf.DUMMYFUNCTION("""COMPUTED_VALUE"""),"New Delhi")</f>
        <v>New Delhi</v>
      </c>
      <c r="N772" s="124" t="str">
        <f>IFERROR(__xludf.DUMMYFUNCTION("""COMPUTED_VALUE"""),"aksharaap0906@gmail.com")</f>
        <v>aksharaap0906@gmail.com</v>
      </c>
      <c r="O772" s="124" t="str">
        <f>IFERROR(__xludf.DUMMYFUNCTION("""COMPUTED_VALUE"""),"Akshara AP")</f>
        <v>Akshara AP</v>
      </c>
      <c r="P772" s="124">
        <f>IFERROR(__xludf.DUMMYFUNCTION("""COMPUTED_VALUE"""),89292.0)</f>
        <v>89292</v>
      </c>
      <c r="Q772" s="124" t="str">
        <f>IFERROR(__xludf.DUMMYFUNCTION("""COMPUTED_VALUE"""),"upsc-gs-foundation-hinglish-target-2028-gsf-upsc-e03-orn")</f>
        <v>upsc-gs-foundation-hinglish-target-2028-gsf-upsc-e03-orn</v>
      </c>
      <c r="R772" s="124" t="str">
        <f>IFERROR(__xludf.DUMMYFUNCTION("""COMPUTED_VALUE"""),"GS Foundation Course")</f>
        <v>GS Foundation Course</v>
      </c>
      <c r="S772" s="124">
        <f>IFERROR(__xludf.DUMMYFUNCTION("""COMPUTED_VALUE"""),8.590366617E9)</f>
        <v>8590366617</v>
      </c>
      <c r="T772" s="124" t="str">
        <f>IFERROR(__xludf.DUMMYFUNCTION("""COMPUTED_VALUE"""),"Collexo")</f>
        <v>Collexo</v>
      </c>
      <c r="U772" s="124" t="str">
        <f>IFERROR(__xludf.DUMMYFUNCTION("""COMPUTED_VALUE"""),"Success")</f>
        <v>Success</v>
      </c>
      <c r="V772" s="131">
        <f>IFERROR(__xludf.DUMMYFUNCTION("""COMPUTED_VALUE"""),46050.0)</f>
        <v>46050</v>
      </c>
      <c r="W772" s="124">
        <f>IFERROR(__xludf.DUMMYFUNCTION("""COMPUTED_VALUE"""),0.0)</f>
        <v>0</v>
      </c>
    </row>
    <row r="773">
      <c r="A773" s="124" t="str">
        <f t="shared" si="1"/>
        <v>humeshdiwan2003@gmail.com</v>
      </c>
      <c r="B773" s="131">
        <f>IFERROR(__xludf.DUMMYFUNCTION("""COMPUTED_VALUE"""),46103.0)</f>
        <v>46103</v>
      </c>
      <c r="C773" s="124" t="str">
        <f>IFERROR(__xludf.DUMMYFUNCTION("""COMPUTED_VALUE"""),"Payment data from Collexo")</f>
        <v>Payment data from Collexo</v>
      </c>
      <c r="D773" s="124" t="str">
        <f>IFERROR(__xludf.DUMMYFUNCTION("""COMPUTED_VALUE"""),"Not Available")</f>
        <v>Not Available</v>
      </c>
      <c r="E773" s="124">
        <f>IFERROR(__xludf.DUMMYFUNCTION("""COMPUTED_VALUE"""),1500609.0)</f>
        <v>1500609</v>
      </c>
      <c r="F773" s="124" t="str">
        <f>IFERROR(__xludf.DUMMYFUNCTION("""COMPUTED_VALUE"""),"15918_988_7")</f>
        <v>15918_988_7</v>
      </c>
      <c r="G773" s="124">
        <f>IFERROR(__xludf.DUMMYFUNCTION("""COMPUTED_VALUE"""),5000.0)</f>
        <v>5000</v>
      </c>
      <c r="H773" s="131">
        <f>IFERROR(__xludf.DUMMYFUNCTION("""COMPUTED_VALUE"""),46112.0)</f>
        <v>46112</v>
      </c>
      <c r="I773" s="124">
        <f>IFERROR(__xludf.DUMMYFUNCTION("""COMPUTED_VALUE"""),105000.0)</f>
        <v>105000</v>
      </c>
      <c r="J773" s="124">
        <f>IFERROR(__xludf.DUMMYFUNCTION("""COMPUTED_VALUE"""),110000.0)</f>
        <v>110000</v>
      </c>
      <c r="K773" s="124">
        <f>IFERROR(__xludf.DUMMYFUNCTION("""COMPUTED_VALUE"""),2.0)</f>
        <v>2</v>
      </c>
      <c r="L773" s="124">
        <f>IFERROR(__xludf.DUMMYFUNCTION("""COMPUTED_VALUE"""),675.0)</f>
        <v>675</v>
      </c>
      <c r="M773" s="124" t="str">
        <f>IFERROR(__xludf.DUMMYFUNCTION("""COMPUTED_VALUE"""),"New Delhi")</f>
        <v>New Delhi</v>
      </c>
      <c r="N773" s="124" t="str">
        <f>IFERROR(__xludf.DUMMYFUNCTION("""COMPUTED_VALUE"""),"humeshdiwan2003@gmail.com")</f>
        <v>humeshdiwan2003@gmail.com</v>
      </c>
      <c r="O773" s="124" t="str">
        <f>IFERROR(__xludf.DUMMYFUNCTION("""COMPUTED_VALUE"""),"Humesh Diwan")</f>
        <v>Humesh Diwan</v>
      </c>
      <c r="P773" s="124">
        <f>IFERROR(__xludf.DUMMYFUNCTION("""COMPUTED_VALUE"""),124092.0)</f>
        <v>124092</v>
      </c>
      <c r="Q773" s="124" t="str">
        <f>IFERROR(__xludf.DUMMYFUNCTION("""COMPUTED_VALUE"""),"Not Available")</f>
        <v>Not Available</v>
      </c>
      <c r="R773" s="124" t="str">
        <f>IFERROR(__xludf.DUMMYFUNCTION("""COMPUTED_VALUE"""),"GS Foundation Course")</f>
        <v>GS Foundation Course</v>
      </c>
      <c r="S773" s="124">
        <f>IFERROR(__xludf.DUMMYFUNCTION("""COMPUTED_VALUE"""),9.340831711E9)</f>
        <v>9340831711</v>
      </c>
      <c r="T773" s="124" t="str">
        <f>IFERROR(__xludf.DUMMYFUNCTION("""COMPUTED_VALUE"""),"Collexo")</f>
        <v>Collexo</v>
      </c>
      <c r="U773" s="124" t="str">
        <f>IFERROR(__xludf.DUMMYFUNCTION("""COMPUTED_VALUE"""),"Success")</f>
        <v>Success</v>
      </c>
      <c r="V773" s="131">
        <f>IFERROR(__xludf.DUMMYFUNCTION("""COMPUTED_VALUE"""),46103.0)</f>
        <v>46103</v>
      </c>
      <c r="W773" s="124">
        <f>IFERROR(__xludf.DUMMYFUNCTION("""COMPUTED_VALUE"""),0.0)</f>
        <v>0</v>
      </c>
    </row>
    <row r="774">
      <c r="A774" s="124" t="str">
        <f t="shared" si="1"/>
        <v>Badelaltiwari003@gmail.com</v>
      </c>
      <c r="B774" s="131">
        <f>IFERROR(__xludf.DUMMYFUNCTION("""COMPUTED_VALUE"""),46089.0)</f>
        <v>46089</v>
      </c>
      <c r="C774" s="124" t="str">
        <f>IFERROR(__xludf.DUMMYFUNCTION("""COMPUTED_VALUE"""),"Payment data from Collexo")</f>
        <v>Payment data from Collexo</v>
      </c>
      <c r="D774" s="124" t="str">
        <f>IFERROR(__xludf.DUMMYFUNCTION("""COMPUTED_VALUE"""),"Not Available")</f>
        <v>Not Available</v>
      </c>
      <c r="E774" s="124">
        <f>IFERROR(__xludf.DUMMYFUNCTION("""COMPUTED_VALUE"""),1500613.0)</f>
        <v>1500613</v>
      </c>
      <c r="F774" s="124">
        <f>IFERROR(__xludf.DUMMYFUNCTION("""COMPUTED_VALUE"""),125817.0)</f>
        <v>125817</v>
      </c>
      <c r="G774" s="124">
        <f>IFERROR(__xludf.DUMMYFUNCTION("""COMPUTED_VALUE"""),10000.0)</f>
        <v>10000</v>
      </c>
      <c r="H774" s="131">
        <f>IFERROR(__xludf.DUMMYFUNCTION("""COMPUTED_VALUE"""),46103.0)</f>
        <v>46103</v>
      </c>
      <c r="I774" s="124">
        <f>IFERROR(__xludf.DUMMYFUNCTION("""COMPUTED_VALUE"""),24000.0)</f>
        <v>24000</v>
      </c>
      <c r="J774" s="124">
        <f>IFERROR(__xludf.DUMMYFUNCTION("""COMPUTED_VALUE"""),35000.0)</f>
        <v>35000</v>
      </c>
      <c r="K774" s="124">
        <f>IFERROR(__xludf.DUMMYFUNCTION("""COMPUTED_VALUE"""),3.0)</f>
        <v>3</v>
      </c>
      <c r="L774" s="124">
        <f>IFERROR(__xludf.DUMMYFUNCTION("""COMPUTED_VALUE"""),440.0)</f>
        <v>440</v>
      </c>
      <c r="M774" s="124" t="str">
        <f>IFERROR(__xludf.DUMMYFUNCTION("""COMPUTED_VALUE"""),"Prayagraj")</f>
        <v>Prayagraj</v>
      </c>
      <c r="N774" s="124" t="str">
        <f>IFERROR(__xludf.DUMMYFUNCTION("""COMPUTED_VALUE"""),"Badelaltiwari003@gmail.com")</f>
        <v>Badelaltiwari003@gmail.com</v>
      </c>
      <c r="O774" s="124" t="str">
        <f>IFERROR(__xludf.DUMMYFUNCTION("""COMPUTED_VALUE"""),"Badelal")</f>
        <v>Badelal</v>
      </c>
      <c r="P774" s="124">
        <f>IFERROR(__xludf.DUMMYFUNCTION("""COMPUTED_VALUE"""),125817.0)</f>
        <v>125817</v>
      </c>
      <c r="Q774" s="124" t="str">
        <f>IFERROR(__xludf.DUMMYFUNCTION("""COMPUTED_VALUE"""),"upsc-gs-foundation-hindi-target-2027-gsf-upsc-m02-pry")</f>
        <v>upsc-gs-foundation-hindi-target-2027-gsf-upsc-m02-pry</v>
      </c>
      <c r="R774" s="124" t="str">
        <f>IFERROR(__xludf.DUMMYFUNCTION("""COMPUTED_VALUE"""),"GS Foundation Course")</f>
        <v>GS Foundation Course</v>
      </c>
      <c r="S774" s="124">
        <f>IFERROR(__xludf.DUMMYFUNCTION("""COMPUTED_VALUE"""),7.880487271E9)</f>
        <v>7880487271</v>
      </c>
      <c r="T774" s="124" t="str">
        <f>IFERROR(__xludf.DUMMYFUNCTION("""COMPUTED_VALUE"""),"Not Available")</f>
        <v>Not Available</v>
      </c>
      <c r="U774" s="124" t="str">
        <f>IFERROR(__xludf.DUMMYFUNCTION("""COMPUTED_VALUE"""),"Not Available")</f>
        <v>Not Available</v>
      </c>
      <c r="V774" s="124" t="str">
        <f>IFERROR(__xludf.DUMMYFUNCTION("""COMPUTED_VALUE"""),"Not Available")</f>
        <v>Not Available</v>
      </c>
      <c r="W774" s="124" t="str">
        <f>IFERROR(__xludf.DUMMYFUNCTION("""COMPUTED_VALUE"""),"Not Available")</f>
        <v>Not Available</v>
      </c>
    </row>
    <row r="775">
      <c r="A775" s="124" t="str">
        <f t="shared" si="1"/>
        <v>sl3590833@gmail.com</v>
      </c>
      <c r="B775" s="131">
        <f>IFERROR(__xludf.DUMMYFUNCTION("""COMPUTED_VALUE"""),46092.0)</f>
        <v>46092</v>
      </c>
      <c r="C775" s="124" t="str">
        <f>IFERROR(__xludf.DUMMYFUNCTION("""COMPUTED_VALUE"""),"Payment data from Collexo")</f>
        <v>Payment data from Collexo</v>
      </c>
      <c r="D775" s="124" t="str">
        <f>IFERROR(__xludf.DUMMYFUNCTION("""COMPUTED_VALUE"""),"Not Available")</f>
        <v>Not Available</v>
      </c>
      <c r="E775" s="124">
        <f>IFERROR(__xludf.DUMMYFUNCTION("""COMPUTED_VALUE"""),1500610.0)</f>
        <v>1500610</v>
      </c>
      <c r="F775" s="124">
        <f>IFERROR(__xludf.DUMMYFUNCTION("""COMPUTED_VALUE"""),122027.0)</f>
        <v>122027</v>
      </c>
      <c r="G775" s="124">
        <f>IFERROR(__xludf.DUMMYFUNCTION("""COMPUTED_VALUE"""),20342.0)</f>
        <v>20342</v>
      </c>
      <c r="H775" s="124" t="str">
        <f>IFERROR(__xludf.DUMMYFUNCTION("""COMPUTED_VALUE"""),"Not Available")</f>
        <v>Not Available</v>
      </c>
      <c r="I775" s="124">
        <f>IFERROR(__xludf.DUMMYFUNCTION("""COMPUTED_VALUE"""),0.0)</f>
        <v>0</v>
      </c>
      <c r="J775" s="124">
        <f>IFERROR(__xludf.DUMMYFUNCTION("""COMPUTED_VALUE"""),25000.0)</f>
        <v>25000</v>
      </c>
      <c r="K775" s="124">
        <f>IFERROR(__xludf.DUMMYFUNCTION("""COMPUTED_VALUE"""),2.0)</f>
        <v>2</v>
      </c>
      <c r="L775" s="124">
        <f>IFERROR(__xludf.DUMMYFUNCTION("""COMPUTED_VALUE"""),496.0)</f>
        <v>496</v>
      </c>
      <c r="M775" s="124" t="str">
        <f>IFERROR(__xludf.DUMMYFUNCTION("""COMPUTED_VALUE"""),"Lucknow")</f>
        <v>Lucknow</v>
      </c>
      <c r="N775" s="124" t="str">
        <f>IFERROR(__xludf.DUMMYFUNCTION("""COMPUTED_VALUE"""),"sl3590833@gmail.com")</f>
        <v>sl3590833@gmail.com</v>
      </c>
      <c r="O775" s="124" t="str">
        <f>IFERROR(__xludf.DUMMYFUNCTION("""COMPUTED_VALUE"""),"swati")</f>
        <v>swati</v>
      </c>
      <c r="P775" s="124">
        <f>IFERROR(__xludf.DUMMYFUNCTION("""COMPUTED_VALUE"""),122027.0)</f>
        <v>122027</v>
      </c>
      <c r="Q775" s="124" t="str">
        <f>IFERROR(__xludf.DUMMYFUNCTION("""COMPUTED_VALUE"""),"Not Available")</f>
        <v>Not Available</v>
      </c>
      <c r="R775" s="124" t="str">
        <f>IFERROR(__xludf.DUMMYFUNCTION("""COMPUTED_VALUE"""),"GS Foundation Course")</f>
        <v>GS Foundation Course</v>
      </c>
      <c r="S775" s="124">
        <f>IFERROR(__xludf.DUMMYFUNCTION("""COMPUTED_VALUE"""),9.027413432E9)</f>
        <v>9027413432</v>
      </c>
      <c r="T775" s="124" t="str">
        <f>IFERROR(__xludf.DUMMYFUNCTION("""COMPUTED_VALUE"""),"Not Available")</f>
        <v>Not Available</v>
      </c>
      <c r="U775" s="124" t="str">
        <f>IFERROR(__xludf.DUMMYFUNCTION("""COMPUTED_VALUE"""),"Not Available")</f>
        <v>Not Available</v>
      </c>
      <c r="V775" s="124" t="str">
        <f>IFERROR(__xludf.DUMMYFUNCTION("""COMPUTED_VALUE"""),"Not Available")</f>
        <v>Not Available</v>
      </c>
      <c r="W775" s="124" t="str">
        <f>IFERROR(__xludf.DUMMYFUNCTION("""COMPUTED_VALUE"""),"Not Available")</f>
        <v>Not Available</v>
      </c>
    </row>
    <row r="776">
      <c r="A776" s="124" t="str">
        <f t="shared" si="1"/>
        <v>shwetawin25@gmail.com</v>
      </c>
      <c r="B776" s="131">
        <f>IFERROR(__xludf.DUMMYFUNCTION("""COMPUTED_VALUE"""),46075.0)</f>
        <v>46075</v>
      </c>
      <c r="C776" s="124" t="str">
        <f>IFERROR(__xludf.DUMMYFUNCTION("""COMPUTED_VALUE"""),"Payment data from Collexo")</f>
        <v>Payment data from Collexo</v>
      </c>
      <c r="D776" s="124" t="str">
        <f>IFERROR(__xludf.DUMMYFUNCTION("""COMPUTED_VALUE"""),"Not Available")</f>
        <v>Not Available</v>
      </c>
      <c r="E776" s="124">
        <f>IFERROR(__xludf.DUMMYFUNCTION("""COMPUTED_VALUE"""),1500610.0)</f>
        <v>1500610</v>
      </c>
      <c r="F776" s="124">
        <f>IFERROR(__xludf.DUMMYFUNCTION("""COMPUTED_VALUE"""),124489.0)</f>
        <v>124489</v>
      </c>
      <c r="G776" s="124">
        <f>IFERROR(__xludf.DUMMYFUNCTION("""COMPUTED_VALUE"""),12500.0)</f>
        <v>12500</v>
      </c>
      <c r="H776" s="131">
        <f>IFERROR(__xludf.DUMMYFUNCTION("""COMPUTED_VALUE"""),46112.0)</f>
        <v>46112</v>
      </c>
      <c r="I776" s="124">
        <f>IFERROR(__xludf.DUMMYFUNCTION("""COMPUTED_VALUE"""),12500.0)</f>
        <v>12500</v>
      </c>
      <c r="J776" s="124">
        <f>IFERROR(__xludf.DUMMYFUNCTION("""COMPUTED_VALUE"""),25000.0)</f>
        <v>25000</v>
      </c>
      <c r="K776" s="124">
        <f>IFERROR(__xludf.DUMMYFUNCTION("""COMPUTED_VALUE"""),2.0)</f>
        <v>2</v>
      </c>
      <c r="L776" s="124">
        <f>IFERROR(__xludf.DUMMYFUNCTION("""COMPUTED_VALUE"""),304.0)</f>
        <v>304</v>
      </c>
      <c r="M776" s="124" t="str">
        <f>IFERROR(__xludf.DUMMYFUNCTION("""COMPUTED_VALUE"""),"Lucknow")</f>
        <v>Lucknow</v>
      </c>
      <c r="N776" s="124" t="str">
        <f>IFERROR(__xludf.DUMMYFUNCTION("""COMPUTED_VALUE"""),"shwetawin25@gmail.com")</f>
        <v>shwetawin25@gmail.com</v>
      </c>
      <c r="O776" s="124" t="str">
        <f>IFERROR(__xludf.DUMMYFUNCTION("""COMPUTED_VALUE"""),"Shweta")</f>
        <v>Shweta</v>
      </c>
      <c r="P776" s="124">
        <f>IFERROR(__xludf.DUMMYFUNCTION("""COMPUTED_VALUE"""),124489.0)</f>
        <v>124489</v>
      </c>
      <c r="Q776" s="124" t="str">
        <f>IFERROR(__xludf.DUMMYFUNCTION("""COMPUTED_VALUE"""),"upsc-gs-foundation-hinglish-target-2027-gsf-upsc-e03-lko")</f>
        <v>upsc-gs-foundation-hinglish-target-2027-gsf-upsc-e03-lko</v>
      </c>
      <c r="R776" s="124" t="str">
        <f>IFERROR(__xludf.DUMMYFUNCTION("""COMPUTED_VALUE"""),"GS Foundation Course")</f>
        <v>GS Foundation Course</v>
      </c>
      <c r="S776" s="124">
        <f>IFERROR(__xludf.DUMMYFUNCTION("""COMPUTED_VALUE"""),7.678644174E9)</f>
        <v>7678644174</v>
      </c>
      <c r="T776" s="124" t="str">
        <f>IFERROR(__xludf.DUMMYFUNCTION("""COMPUTED_VALUE"""),"Not Available")</f>
        <v>Not Available</v>
      </c>
      <c r="U776" s="124" t="str">
        <f>IFERROR(__xludf.DUMMYFUNCTION("""COMPUTED_VALUE"""),"Not Available")</f>
        <v>Not Available</v>
      </c>
      <c r="V776" s="124" t="str">
        <f>IFERROR(__xludf.DUMMYFUNCTION("""COMPUTED_VALUE"""),"Not Available")</f>
        <v>Not Available</v>
      </c>
      <c r="W776" s="124" t="str">
        <f>IFERROR(__xludf.DUMMYFUNCTION("""COMPUTED_VALUE"""),"Not Available")</f>
        <v>Not Available</v>
      </c>
    </row>
    <row r="777">
      <c r="A777" s="124" t="str">
        <f t="shared" si="1"/>
        <v>falakjnp97@gmail.com</v>
      </c>
      <c r="B777" s="131">
        <f>IFERROR(__xludf.DUMMYFUNCTION("""COMPUTED_VALUE"""),46109.0)</f>
        <v>46109</v>
      </c>
      <c r="C777" s="124" t="str">
        <f>IFERROR(__xludf.DUMMYFUNCTION("""COMPUTED_VALUE"""),"Payment data from Collexo")</f>
        <v>Payment data from Collexo</v>
      </c>
      <c r="D777" s="124" t="str">
        <f>IFERROR(__xludf.DUMMYFUNCTION("""COMPUTED_VALUE"""),"Not Available")</f>
        <v>Not Available</v>
      </c>
      <c r="E777" s="124">
        <f>IFERROR(__xludf.DUMMYFUNCTION("""COMPUTED_VALUE"""),1500613.0)</f>
        <v>1500613</v>
      </c>
      <c r="F777" s="124">
        <f>IFERROR(__xludf.DUMMYFUNCTION("""COMPUTED_VALUE"""),109867.0)</f>
        <v>109867</v>
      </c>
      <c r="G777" s="124">
        <f>IFERROR(__xludf.DUMMYFUNCTION("""COMPUTED_VALUE"""),31000.0)</f>
        <v>31000</v>
      </c>
      <c r="H777" s="124" t="str">
        <f>IFERROR(__xludf.DUMMYFUNCTION("""COMPUTED_VALUE"""),"Not Available")</f>
        <v>Not Available</v>
      </c>
      <c r="I777" s="124">
        <f>IFERROR(__xludf.DUMMYFUNCTION("""COMPUTED_VALUE"""),0.0)</f>
        <v>0</v>
      </c>
      <c r="J777" s="124">
        <f>IFERROR(__xludf.DUMMYFUNCTION("""COMPUTED_VALUE"""),31000.0)</f>
        <v>31000</v>
      </c>
      <c r="K777" s="124">
        <f>IFERROR(__xludf.DUMMYFUNCTION("""COMPUTED_VALUE"""),1.0)</f>
        <v>1</v>
      </c>
      <c r="L777" s="124">
        <f>IFERROR(__xludf.DUMMYFUNCTION("""COMPUTED_VALUE"""),803.0)</f>
        <v>803</v>
      </c>
      <c r="M777" s="124" t="str">
        <f>IFERROR(__xludf.DUMMYFUNCTION("""COMPUTED_VALUE"""),"Prayagraj")</f>
        <v>Prayagraj</v>
      </c>
      <c r="N777" s="124" t="str">
        <f>IFERROR(__xludf.DUMMYFUNCTION("""COMPUTED_VALUE"""),"falakjnp97@gmail.com")</f>
        <v>falakjnp97@gmail.com</v>
      </c>
      <c r="O777" s="124" t="str">
        <f>IFERROR(__xludf.DUMMYFUNCTION("""COMPUTED_VALUE"""),"Falak khn")</f>
        <v>Falak khn</v>
      </c>
      <c r="P777" s="124">
        <f>IFERROR(__xludf.DUMMYFUNCTION("""COMPUTED_VALUE"""),109867.0)</f>
        <v>109867</v>
      </c>
      <c r="Q777" s="124" t="str">
        <f>IFERROR(__xludf.DUMMYFUNCTION("""COMPUTED_VALUE"""),"upsc-gs-foundation-hindi-target-2027-gsf-upsc-m03-pry")</f>
        <v>upsc-gs-foundation-hindi-target-2027-gsf-upsc-m03-pry</v>
      </c>
      <c r="R777" s="124" t="str">
        <f>IFERROR(__xludf.DUMMYFUNCTION("""COMPUTED_VALUE"""),"GS Foundation Course")</f>
        <v>GS Foundation Course</v>
      </c>
      <c r="S777" s="124">
        <f>IFERROR(__xludf.DUMMYFUNCTION("""COMPUTED_VALUE"""),9.956468176E9)</f>
        <v>9956468176</v>
      </c>
      <c r="T777" s="124" t="str">
        <f>IFERROR(__xludf.DUMMYFUNCTION("""COMPUTED_VALUE"""),"Not Available")</f>
        <v>Not Available</v>
      </c>
      <c r="U777" s="124" t="str">
        <f>IFERROR(__xludf.DUMMYFUNCTION("""COMPUTED_VALUE"""),"Not Available")</f>
        <v>Not Available</v>
      </c>
      <c r="V777" s="124" t="str">
        <f>IFERROR(__xludf.DUMMYFUNCTION("""COMPUTED_VALUE"""),"Not Available")</f>
        <v>Not Available</v>
      </c>
      <c r="W777" s="124" t="str">
        <f>IFERROR(__xludf.DUMMYFUNCTION("""COMPUTED_VALUE"""),"Not Available")</f>
        <v>Not Available</v>
      </c>
    </row>
    <row r="778">
      <c r="A778" s="124" t="str">
        <f t="shared" si="1"/>
        <v>salonityagi340@gmail.com</v>
      </c>
      <c r="B778" s="131">
        <f>IFERROR(__xludf.DUMMYFUNCTION("""COMPUTED_VALUE"""),46031.0)</f>
        <v>46031</v>
      </c>
      <c r="C778" s="124" t="str">
        <f>IFERROR(__xludf.DUMMYFUNCTION("""COMPUTED_VALUE"""),"Payment data from Collexo")</f>
        <v>Payment data from Collexo</v>
      </c>
      <c r="D778" s="124" t="str">
        <f>IFERROR(__xludf.DUMMYFUNCTION("""COMPUTED_VALUE"""),"Not Available")</f>
        <v>Not Available</v>
      </c>
      <c r="E778" s="124">
        <f>IFERROR(__xludf.DUMMYFUNCTION("""COMPUTED_VALUE"""),1500609.0)</f>
        <v>1500609</v>
      </c>
      <c r="F778" s="124" t="str">
        <f>IFERROR(__xludf.DUMMYFUNCTION("""COMPUTED_VALUE"""),"677_988_7")</f>
        <v>677_988_7</v>
      </c>
      <c r="G778" s="124">
        <f>IFERROR(__xludf.DUMMYFUNCTION("""COMPUTED_VALUE"""),25000.0)</f>
        <v>25000</v>
      </c>
      <c r="H778" s="133">
        <f>IFERROR(__xludf.DUMMYFUNCTION("""COMPUTED_VALUE"""),46296.0)</f>
        <v>46296</v>
      </c>
      <c r="I778" s="124">
        <f>IFERROR(__xludf.DUMMYFUNCTION("""COMPUTED_VALUE"""),100000.0)</f>
        <v>100000</v>
      </c>
      <c r="J778" s="124">
        <f>IFERROR(__xludf.DUMMYFUNCTION("""COMPUTED_VALUE"""),125000.0)</f>
        <v>125000</v>
      </c>
      <c r="K778" s="124">
        <f>IFERROR(__xludf.DUMMYFUNCTION("""COMPUTED_VALUE"""),2.0)</f>
        <v>2</v>
      </c>
      <c r="L778" s="124">
        <f>IFERROR(__xludf.DUMMYFUNCTION("""COMPUTED_VALUE"""),59.0)</f>
        <v>59</v>
      </c>
      <c r="M778" s="124" t="str">
        <f>IFERROR(__xludf.DUMMYFUNCTION("""COMPUTED_VALUE"""),"New Delhi")</f>
        <v>New Delhi</v>
      </c>
      <c r="N778" s="124" t="str">
        <f>IFERROR(__xludf.DUMMYFUNCTION("""COMPUTED_VALUE"""),"salonityagi340@gmail.com")</f>
        <v>salonityagi340@gmail.com</v>
      </c>
      <c r="O778" s="124" t="str">
        <f>IFERROR(__xludf.DUMMYFUNCTION("""COMPUTED_VALUE"""),"Saloni Tyagi")</f>
        <v>Saloni Tyagi</v>
      </c>
      <c r="P778" s="124">
        <f>IFERROR(__xludf.DUMMYFUNCTION("""COMPUTED_VALUE"""),41735.0)</f>
        <v>41735</v>
      </c>
      <c r="Q778" s="124" t="str">
        <f>IFERROR(__xludf.DUMMYFUNCTION("""COMPUTED_VALUE"""),"Not Available")</f>
        <v>Not Available</v>
      </c>
      <c r="R778" s="124" t="str">
        <f>IFERROR(__xludf.DUMMYFUNCTION("""COMPUTED_VALUE"""),"Not Available")</f>
        <v>Not Available</v>
      </c>
      <c r="S778" s="124" t="str">
        <f>IFERROR(__xludf.DUMMYFUNCTION("""COMPUTED_VALUE"""),"Not Available")</f>
        <v>Not Available</v>
      </c>
      <c r="T778" s="124" t="str">
        <f>IFERROR(__xludf.DUMMYFUNCTION("""COMPUTED_VALUE"""),"Collexo")</f>
        <v>Collexo</v>
      </c>
      <c r="U778" s="124" t="str">
        <f>IFERROR(__xludf.DUMMYFUNCTION("""COMPUTED_VALUE"""),"Success")</f>
        <v>Success</v>
      </c>
      <c r="V778" s="131">
        <f>IFERROR(__xludf.DUMMYFUNCTION("""COMPUTED_VALUE"""),46031.0)</f>
        <v>46031</v>
      </c>
      <c r="W778" s="124">
        <f>IFERROR(__xludf.DUMMYFUNCTION("""COMPUTED_VALUE"""),0.0)</f>
        <v>0</v>
      </c>
    </row>
    <row r="779">
      <c r="A779" s="124" t="str">
        <f t="shared" si="1"/>
        <v>salonityagi340@gmail.com</v>
      </c>
      <c r="B779" s="131">
        <f>IFERROR(__xludf.DUMMYFUNCTION("""COMPUTED_VALUE"""),46031.0)</f>
        <v>46031</v>
      </c>
      <c r="C779" s="124" t="str">
        <f>IFERROR(__xludf.DUMMYFUNCTION("""COMPUTED_VALUE"""),"Payment data from Collexo")</f>
        <v>Payment data from Collexo</v>
      </c>
      <c r="D779" s="124" t="str">
        <f>IFERROR(__xludf.DUMMYFUNCTION("""COMPUTED_VALUE"""),"Not Available")</f>
        <v>Not Available</v>
      </c>
      <c r="E779" s="124">
        <f>IFERROR(__xludf.DUMMYFUNCTION("""COMPUTED_VALUE"""),1500609.0)</f>
        <v>1500609</v>
      </c>
      <c r="F779" s="124" t="str">
        <f>IFERROR(__xludf.DUMMYFUNCTION("""COMPUTED_VALUE"""),"678_988_7")</f>
        <v>678_988_7</v>
      </c>
      <c r="G779" s="124">
        <f>IFERROR(__xludf.DUMMYFUNCTION("""COMPUTED_VALUE"""),100000.0)</f>
        <v>100000</v>
      </c>
      <c r="H779" s="124" t="str">
        <f>IFERROR(__xludf.DUMMYFUNCTION("""COMPUTED_VALUE"""),"Not Available")</f>
        <v>Not Available</v>
      </c>
      <c r="I779" s="124">
        <f>IFERROR(__xludf.DUMMYFUNCTION("""COMPUTED_VALUE"""),0.0)</f>
        <v>0</v>
      </c>
      <c r="J779" s="124">
        <f>IFERROR(__xludf.DUMMYFUNCTION("""COMPUTED_VALUE"""),125000.0)</f>
        <v>125000</v>
      </c>
      <c r="K779" s="124">
        <f>IFERROR(__xludf.DUMMYFUNCTION("""COMPUTED_VALUE"""),2.0)</f>
        <v>2</v>
      </c>
      <c r="L779" s="124">
        <f>IFERROR(__xludf.DUMMYFUNCTION("""COMPUTED_VALUE"""),60.0)</f>
        <v>60</v>
      </c>
      <c r="M779" s="124" t="str">
        <f>IFERROR(__xludf.DUMMYFUNCTION("""COMPUTED_VALUE"""),"New Delhi")</f>
        <v>New Delhi</v>
      </c>
      <c r="N779" s="124" t="str">
        <f>IFERROR(__xludf.DUMMYFUNCTION("""COMPUTED_VALUE"""),"salonityagi340@gmail.com")</f>
        <v>salonityagi340@gmail.com</v>
      </c>
      <c r="O779" s="124" t="str">
        <f>IFERROR(__xludf.DUMMYFUNCTION("""COMPUTED_VALUE"""),"Saloni Tyagi")</f>
        <v>Saloni Tyagi</v>
      </c>
      <c r="P779" s="124">
        <f>IFERROR(__xludf.DUMMYFUNCTION("""COMPUTED_VALUE"""),41735.0)</f>
        <v>41735</v>
      </c>
      <c r="Q779" s="124" t="str">
        <f>IFERROR(__xludf.DUMMYFUNCTION("""COMPUTED_VALUE"""),"Not Available")</f>
        <v>Not Available</v>
      </c>
      <c r="R779" s="124" t="str">
        <f>IFERROR(__xludf.DUMMYFUNCTION("""COMPUTED_VALUE"""),"Not Available")</f>
        <v>Not Available</v>
      </c>
      <c r="S779" s="124" t="str">
        <f>IFERROR(__xludf.DUMMYFUNCTION("""COMPUTED_VALUE"""),"Not Available")</f>
        <v>Not Available</v>
      </c>
      <c r="T779" s="124" t="str">
        <f>IFERROR(__xludf.DUMMYFUNCTION("""COMPUTED_VALUE"""),"Not Available")</f>
        <v>Not Available</v>
      </c>
      <c r="U779" s="124" t="str">
        <f>IFERROR(__xludf.DUMMYFUNCTION("""COMPUTED_VALUE"""),"Not Available")</f>
        <v>Not Available</v>
      </c>
      <c r="V779" s="124" t="str">
        <f>IFERROR(__xludf.DUMMYFUNCTION("""COMPUTED_VALUE"""),"Not Available")</f>
        <v>Not Available</v>
      </c>
      <c r="W779" s="124" t="str">
        <f>IFERROR(__xludf.DUMMYFUNCTION("""COMPUTED_VALUE"""),"Not Available")</f>
        <v>Not Available</v>
      </c>
    </row>
    <row r="780">
      <c r="A780" s="124" t="str">
        <f t="shared" si="1"/>
        <v>vsbadghare2007@gmail.com</v>
      </c>
      <c r="B780" s="131">
        <f>IFERROR(__xludf.DUMMYFUNCTION("""COMPUTED_VALUE"""),46032.0)</f>
        <v>46032</v>
      </c>
      <c r="C780" s="124" t="str">
        <f>IFERROR(__xludf.DUMMYFUNCTION("""COMPUTED_VALUE"""),"Payment data from Collexo")</f>
        <v>Payment data from Collexo</v>
      </c>
      <c r="D780" s="124" t="str">
        <f>IFERROR(__xludf.DUMMYFUNCTION("""COMPUTED_VALUE"""),"Not Available")</f>
        <v>Not Available</v>
      </c>
      <c r="E780" s="124">
        <f>IFERROR(__xludf.DUMMYFUNCTION("""COMPUTED_VALUE"""),1500609.0)</f>
        <v>1500609</v>
      </c>
      <c r="F780" s="124" t="str">
        <f>IFERROR(__xludf.DUMMYFUNCTION("""COMPUTED_VALUE"""),"704_988_7")</f>
        <v>704_988_7</v>
      </c>
      <c r="G780" s="124">
        <f>IFERROR(__xludf.DUMMYFUNCTION("""COMPUTED_VALUE"""),5000.0)</f>
        <v>5000</v>
      </c>
      <c r="H780" s="124" t="str">
        <f>IFERROR(__xludf.DUMMYFUNCTION("""COMPUTED_VALUE"""),"30/01/26")</f>
        <v>30/01/26</v>
      </c>
      <c r="I780" s="124">
        <f>IFERROR(__xludf.DUMMYFUNCTION("""COMPUTED_VALUE"""),85000.0)</f>
        <v>85000</v>
      </c>
      <c r="J780" s="124">
        <f>IFERROR(__xludf.DUMMYFUNCTION("""COMPUTED_VALUE"""),90000.0)</f>
        <v>90000</v>
      </c>
      <c r="K780" s="124">
        <f>IFERROR(__xludf.DUMMYFUNCTION("""COMPUTED_VALUE"""),2.0)</f>
        <v>2</v>
      </c>
      <c r="L780" s="124">
        <f>IFERROR(__xludf.DUMMYFUNCTION("""COMPUTED_VALUE"""),62.0)</f>
        <v>62</v>
      </c>
      <c r="M780" s="124" t="str">
        <f>IFERROR(__xludf.DUMMYFUNCTION("""COMPUTED_VALUE"""),"New Delhi")</f>
        <v>New Delhi</v>
      </c>
      <c r="N780" s="124" t="str">
        <f>IFERROR(__xludf.DUMMYFUNCTION("""COMPUTED_VALUE"""),"vsbadghare2007@gmail.com")</f>
        <v>vsbadghare2007@gmail.com</v>
      </c>
      <c r="O780" s="124" t="str">
        <f>IFERROR(__xludf.DUMMYFUNCTION("""COMPUTED_VALUE"""),"Vaishnavi Badghare")</f>
        <v>Vaishnavi Badghare</v>
      </c>
      <c r="P780" s="124">
        <f>IFERROR(__xludf.DUMMYFUNCTION("""COMPUTED_VALUE"""),83024.0)</f>
        <v>83024</v>
      </c>
      <c r="Q780" s="124" t="str">
        <f>IFERROR(__xludf.DUMMYFUNCTION("""COMPUTED_VALUE"""),"Not Available")</f>
        <v>Not Available</v>
      </c>
      <c r="R780" s="124" t="str">
        <f>IFERROR(__xludf.DUMMYFUNCTION("""COMPUTED_VALUE"""),"Not Available")</f>
        <v>Not Available</v>
      </c>
      <c r="S780" s="124" t="str">
        <f>IFERROR(__xludf.DUMMYFUNCTION("""COMPUTED_VALUE"""),"Not Available")</f>
        <v>Not Available</v>
      </c>
      <c r="T780" s="124" t="str">
        <f>IFERROR(__xludf.DUMMYFUNCTION("""COMPUTED_VALUE"""),"Not Available")</f>
        <v>Not Available</v>
      </c>
      <c r="U780" s="124" t="str">
        <f>IFERROR(__xludf.DUMMYFUNCTION("""COMPUTED_VALUE"""),"Not Available")</f>
        <v>Not Available</v>
      </c>
      <c r="V780" s="124" t="str">
        <f>IFERROR(__xludf.DUMMYFUNCTION("""COMPUTED_VALUE"""),"Not Available")</f>
        <v>Not Available</v>
      </c>
      <c r="W780" s="124" t="str">
        <f>IFERROR(__xludf.DUMMYFUNCTION("""COMPUTED_VALUE"""),"Not Available")</f>
        <v>Not Available</v>
      </c>
    </row>
    <row r="781">
      <c r="A781" s="124" t="str">
        <f t="shared" si="1"/>
        <v>vsbadghare2007@gmail.com</v>
      </c>
      <c r="B781" s="131">
        <f>IFERROR(__xludf.DUMMYFUNCTION("""COMPUTED_VALUE"""),46034.0)</f>
        <v>46034</v>
      </c>
      <c r="C781" s="124" t="str">
        <f>IFERROR(__xludf.DUMMYFUNCTION("""COMPUTED_VALUE"""),"Payment data from Collexo")</f>
        <v>Payment data from Collexo</v>
      </c>
      <c r="D781" s="124" t="str">
        <f>IFERROR(__xludf.DUMMYFUNCTION("""COMPUTED_VALUE"""),"Not Available")</f>
        <v>Not Available</v>
      </c>
      <c r="E781" s="124">
        <f>IFERROR(__xludf.DUMMYFUNCTION("""COMPUTED_VALUE"""),1500609.0)</f>
        <v>1500609</v>
      </c>
      <c r="F781" s="124" t="str">
        <f>IFERROR(__xludf.DUMMYFUNCTION("""COMPUTED_VALUE"""),"725_988_7")</f>
        <v>725_988_7</v>
      </c>
      <c r="G781" s="124">
        <f>IFERROR(__xludf.DUMMYFUNCTION("""COMPUTED_VALUE"""),85000.0)</f>
        <v>85000</v>
      </c>
      <c r="H781" s="124" t="str">
        <f>IFERROR(__xludf.DUMMYFUNCTION("""COMPUTED_VALUE"""),"Not Available")</f>
        <v>Not Available</v>
      </c>
      <c r="I781" s="124">
        <f>IFERROR(__xludf.DUMMYFUNCTION("""COMPUTED_VALUE"""),0.0)</f>
        <v>0</v>
      </c>
      <c r="J781" s="124">
        <f>IFERROR(__xludf.DUMMYFUNCTION("""COMPUTED_VALUE"""),90000.0)</f>
        <v>90000</v>
      </c>
      <c r="K781" s="124">
        <f>IFERROR(__xludf.DUMMYFUNCTION("""COMPUTED_VALUE"""),2.0)</f>
        <v>2</v>
      </c>
      <c r="L781" s="124">
        <f>IFERROR(__xludf.DUMMYFUNCTION("""COMPUTED_VALUE"""),63.0)</f>
        <v>63</v>
      </c>
      <c r="M781" s="124" t="str">
        <f>IFERROR(__xludf.DUMMYFUNCTION("""COMPUTED_VALUE"""),"New Delhi")</f>
        <v>New Delhi</v>
      </c>
      <c r="N781" s="124" t="str">
        <f>IFERROR(__xludf.DUMMYFUNCTION("""COMPUTED_VALUE"""),"vsbadghare2007@gmail.com")</f>
        <v>vsbadghare2007@gmail.com</v>
      </c>
      <c r="O781" s="124" t="str">
        <f>IFERROR(__xludf.DUMMYFUNCTION("""COMPUTED_VALUE"""),"Vaishnavi Badghare")</f>
        <v>Vaishnavi Badghare</v>
      </c>
      <c r="P781" s="124">
        <f>IFERROR(__xludf.DUMMYFUNCTION("""COMPUTED_VALUE"""),83024.0)</f>
        <v>83024</v>
      </c>
      <c r="Q781" s="124" t="str">
        <f>IFERROR(__xludf.DUMMYFUNCTION("""COMPUTED_VALUE"""),"Not Available")</f>
        <v>Not Available</v>
      </c>
      <c r="R781" s="124" t="str">
        <f>IFERROR(__xludf.DUMMYFUNCTION("""COMPUTED_VALUE"""),"Not Available")</f>
        <v>Not Available</v>
      </c>
      <c r="S781" s="124" t="str">
        <f>IFERROR(__xludf.DUMMYFUNCTION("""COMPUTED_VALUE"""),"Not Available")</f>
        <v>Not Available</v>
      </c>
      <c r="T781" s="124" t="str">
        <f>IFERROR(__xludf.DUMMYFUNCTION("""COMPUTED_VALUE"""),"Not Available")</f>
        <v>Not Available</v>
      </c>
      <c r="U781" s="124" t="str">
        <f>IFERROR(__xludf.DUMMYFUNCTION("""COMPUTED_VALUE"""),"Not Available")</f>
        <v>Not Available</v>
      </c>
      <c r="V781" s="124" t="str">
        <f>IFERROR(__xludf.DUMMYFUNCTION("""COMPUTED_VALUE"""),"Not Available")</f>
        <v>Not Available</v>
      </c>
      <c r="W781" s="124" t="str">
        <f>IFERROR(__xludf.DUMMYFUNCTION("""COMPUTED_VALUE"""),"Not Available")</f>
        <v>Not Available</v>
      </c>
    </row>
    <row r="782">
      <c r="A782" s="124" t="str">
        <f t="shared" si="1"/>
        <v>hardikuttreja@gmail.com</v>
      </c>
      <c r="B782" s="131">
        <f>IFERROR(__xludf.DUMMYFUNCTION("""COMPUTED_VALUE"""),46034.0)</f>
        <v>46034</v>
      </c>
      <c r="C782" s="124" t="str">
        <f>IFERROR(__xludf.DUMMYFUNCTION("""COMPUTED_VALUE"""),"Payment data from Collexo")</f>
        <v>Payment data from Collexo</v>
      </c>
      <c r="D782" s="124" t="str">
        <f>IFERROR(__xludf.DUMMYFUNCTION("""COMPUTED_VALUE"""),"Not Available")</f>
        <v>Not Available</v>
      </c>
      <c r="E782" s="124">
        <f>IFERROR(__xludf.DUMMYFUNCTION("""COMPUTED_VALUE"""),1500609.0)</f>
        <v>1500609</v>
      </c>
      <c r="F782" s="124" t="str">
        <f>IFERROR(__xludf.DUMMYFUNCTION("""COMPUTED_VALUE"""),"726_988_7")</f>
        <v>726_988_7</v>
      </c>
      <c r="G782" s="124">
        <f>IFERROR(__xludf.DUMMYFUNCTION("""COMPUTED_VALUE"""),5000.0)</f>
        <v>5000</v>
      </c>
      <c r="H782" s="124" t="str">
        <f>IFERROR(__xludf.DUMMYFUNCTION("""COMPUTED_VALUE"""),"13/01/26")</f>
        <v>13/01/26</v>
      </c>
      <c r="I782" s="124">
        <f>IFERROR(__xludf.DUMMYFUNCTION("""COMPUTED_VALUE"""),115000.0)</f>
        <v>115000</v>
      </c>
      <c r="J782" s="124">
        <f>IFERROR(__xludf.DUMMYFUNCTION("""COMPUTED_VALUE"""),120000.0)</f>
        <v>120000</v>
      </c>
      <c r="K782" s="124">
        <f>IFERROR(__xludf.DUMMYFUNCTION("""COMPUTED_VALUE"""),2.0)</f>
        <v>2</v>
      </c>
      <c r="L782" s="124">
        <f>IFERROR(__xludf.DUMMYFUNCTION("""COMPUTED_VALUE"""),64.0)</f>
        <v>64</v>
      </c>
      <c r="M782" s="124" t="str">
        <f>IFERROR(__xludf.DUMMYFUNCTION("""COMPUTED_VALUE"""),"New Delhi")</f>
        <v>New Delhi</v>
      </c>
      <c r="N782" s="124" t="str">
        <f>IFERROR(__xludf.DUMMYFUNCTION("""COMPUTED_VALUE"""),"hardikuttreja@gmail.com")</f>
        <v>hardikuttreja@gmail.com</v>
      </c>
      <c r="O782" s="124" t="str">
        <f>IFERROR(__xludf.DUMMYFUNCTION("""COMPUTED_VALUE"""),"Hardik Uttreja")</f>
        <v>Hardik Uttreja</v>
      </c>
      <c r="P782" s="124">
        <f>IFERROR(__xludf.DUMMYFUNCTION("""COMPUTED_VALUE"""),83095.0)</f>
        <v>83095</v>
      </c>
      <c r="Q782" s="124" t="str">
        <f>IFERROR(__xludf.DUMMYFUNCTION("""COMPUTED_VALUE"""),"Not Available")</f>
        <v>Not Available</v>
      </c>
      <c r="R782" s="124" t="str">
        <f>IFERROR(__xludf.DUMMYFUNCTION("""COMPUTED_VALUE"""),"Not Available")</f>
        <v>Not Available</v>
      </c>
      <c r="S782" s="124" t="str">
        <f>IFERROR(__xludf.DUMMYFUNCTION("""COMPUTED_VALUE"""),"Not Available")</f>
        <v>Not Available</v>
      </c>
      <c r="T782" s="124" t="str">
        <f>IFERROR(__xludf.DUMMYFUNCTION("""COMPUTED_VALUE"""),"Not Available")</f>
        <v>Not Available</v>
      </c>
      <c r="U782" s="124" t="str">
        <f>IFERROR(__xludf.DUMMYFUNCTION("""COMPUTED_VALUE"""),"Not Available")</f>
        <v>Not Available</v>
      </c>
      <c r="V782" s="124" t="str">
        <f>IFERROR(__xludf.DUMMYFUNCTION("""COMPUTED_VALUE"""),"Not Available")</f>
        <v>Not Available</v>
      </c>
      <c r="W782" s="124" t="str">
        <f>IFERROR(__xludf.DUMMYFUNCTION("""COMPUTED_VALUE"""),"Not Available")</f>
        <v>Not Available</v>
      </c>
    </row>
    <row r="783">
      <c r="A783" s="124" t="str">
        <f t="shared" si="1"/>
        <v>hardikuttreja@gmail.com</v>
      </c>
      <c r="B783" s="131">
        <f>IFERROR(__xludf.DUMMYFUNCTION("""COMPUTED_VALUE"""),46034.0)</f>
        <v>46034</v>
      </c>
      <c r="C783" s="124" t="str">
        <f>IFERROR(__xludf.DUMMYFUNCTION("""COMPUTED_VALUE"""),"Payment data from Collexo")</f>
        <v>Payment data from Collexo</v>
      </c>
      <c r="D783" s="124" t="str">
        <f>IFERROR(__xludf.DUMMYFUNCTION("""COMPUTED_VALUE"""),"Not Available")</f>
        <v>Not Available</v>
      </c>
      <c r="E783" s="124">
        <f>IFERROR(__xludf.DUMMYFUNCTION("""COMPUTED_VALUE"""),1500609.0)</f>
        <v>1500609</v>
      </c>
      <c r="F783" s="124" t="str">
        <f>IFERROR(__xludf.DUMMYFUNCTION("""COMPUTED_VALUE"""),"727_988_7")</f>
        <v>727_988_7</v>
      </c>
      <c r="G783" s="124">
        <f>IFERROR(__xludf.DUMMYFUNCTION("""COMPUTED_VALUE"""),115000.0)</f>
        <v>115000</v>
      </c>
      <c r="H783" s="124" t="str">
        <f>IFERROR(__xludf.DUMMYFUNCTION("""COMPUTED_VALUE"""),"Not Available")</f>
        <v>Not Available</v>
      </c>
      <c r="I783" s="124">
        <f>IFERROR(__xludf.DUMMYFUNCTION("""COMPUTED_VALUE"""),0.0)</f>
        <v>0</v>
      </c>
      <c r="J783" s="124">
        <f>IFERROR(__xludf.DUMMYFUNCTION("""COMPUTED_VALUE"""),120000.0)</f>
        <v>120000</v>
      </c>
      <c r="K783" s="124">
        <f>IFERROR(__xludf.DUMMYFUNCTION("""COMPUTED_VALUE"""),2.0)</f>
        <v>2</v>
      </c>
      <c r="L783" s="124">
        <f>IFERROR(__xludf.DUMMYFUNCTION("""COMPUTED_VALUE"""),65.0)</f>
        <v>65</v>
      </c>
      <c r="M783" s="124" t="str">
        <f>IFERROR(__xludf.DUMMYFUNCTION("""COMPUTED_VALUE"""),"New Delhi")</f>
        <v>New Delhi</v>
      </c>
      <c r="N783" s="124" t="str">
        <f>IFERROR(__xludf.DUMMYFUNCTION("""COMPUTED_VALUE"""),"hardikuttreja@gmail.com")</f>
        <v>hardikuttreja@gmail.com</v>
      </c>
      <c r="O783" s="124" t="str">
        <f>IFERROR(__xludf.DUMMYFUNCTION("""COMPUTED_VALUE"""),"Hardik Uttreja")</f>
        <v>Hardik Uttreja</v>
      </c>
      <c r="P783" s="124">
        <f>IFERROR(__xludf.DUMMYFUNCTION("""COMPUTED_VALUE"""),83095.0)</f>
        <v>83095</v>
      </c>
      <c r="Q783" s="124" t="str">
        <f>IFERROR(__xludf.DUMMYFUNCTION("""COMPUTED_VALUE"""),"Not Available")</f>
        <v>Not Available</v>
      </c>
      <c r="R783" s="124" t="str">
        <f>IFERROR(__xludf.DUMMYFUNCTION("""COMPUTED_VALUE"""),"Not Available")</f>
        <v>Not Available</v>
      </c>
      <c r="S783" s="124" t="str">
        <f>IFERROR(__xludf.DUMMYFUNCTION("""COMPUTED_VALUE"""),"Not Available")</f>
        <v>Not Available</v>
      </c>
      <c r="T783" s="124" t="str">
        <f>IFERROR(__xludf.DUMMYFUNCTION("""COMPUTED_VALUE"""),"Not Available")</f>
        <v>Not Available</v>
      </c>
      <c r="U783" s="124" t="str">
        <f>IFERROR(__xludf.DUMMYFUNCTION("""COMPUTED_VALUE"""),"Not Available")</f>
        <v>Not Available</v>
      </c>
      <c r="V783" s="124" t="str">
        <f>IFERROR(__xludf.DUMMYFUNCTION("""COMPUTED_VALUE"""),"Not Available")</f>
        <v>Not Available</v>
      </c>
      <c r="W783" s="124" t="str">
        <f>IFERROR(__xludf.DUMMYFUNCTION("""COMPUTED_VALUE"""),"Not Available")</f>
        <v>Not Available</v>
      </c>
    </row>
    <row r="784">
      <c r="A784" s="124" t="str">
        <f t="shared" si="1"/>
        <v>khushidnmps1608@gmail.com</v>
      </c>
      <c r="B784" s="131">
        <f>IFERROR(__xludf.DUMMYFUNCTION("""COMPUTED_VALUE"""),46035.0)</f>
        <v>46035</v>
      </c>
      <c r="C784" s="124" t="str">
        <f>IFERROR(__xludf.DUMMYFUNCTION("""COMPUTED_VALUE"""),"Payment data from Collexo")</f>
        <v>Payment data from Collexo</v>
      </c>
      <c r="D784" s="124" t="str">
        <f>IFERROR(__xludf.DUMMYFUNCTION("""COMPUTED_VALUE"""),"Not Available")</f>
        <v>Not Available</v>
      </c>
      <c r="E784" s="124">
        <f>IFERROR(__xludf.DUMMYFUNCTION("""COMPUTED_VALUE"""),1500609.0)</f>
        <v>1500609</v>
      </c>
      <c r="F784" s="124" t="str">
        <f>IFERROR(__xludf.DUMMYFUNCTION("""COMPUTED_VALUE"""),"744_988_7")</f>
        <v>744_988_7</v>
      </c>
      <c r="G784" s="124">
        <f>IFERROR(__xludf.DUMMYFUNCTION("""COMPUTED_VALUE"""),10000.0)</f>
        <v>10000</v>
      </c>
      <c r="H784" s="124" t="str">
        <f>IFERROR(__xludf.DUMMYFUNCTION("""COMPUTED_VALUE"""),"16/01/26")</f>
        <v>16/01/26</v>
      </c>
      <c r="I784" s="124">
        <f>IFERROR(__xludf.DUMMYFUNCTION("""COMPUTED_VALUE"""),110000.0)</f>
        <v>110000</v>
      </c>
      <c r="J784" s="124">
        <f>IFERROR(__xludf.DUMMYFUNCTION("""COMPUTED_VALUE"""),120000.0)</f>
        <v>120000</v>
      </c>
      <c r="K784" s="124">
        <f>IFERROR(__xludf.DUMMYFUNCTION("""COMPUTED_VALUE"""),2.0)</f>
        <v>2</v>
      </c>
      <c r="L784" s="124">
        <f>IFERROR(__xludf.DUMMYFUNCTION("""COMPUTED_VALUE"""),66.0)</f>
        <v>66</v>
      </c>
      <c r="M784" s="124" t="str">
        <f>IFERROR(__xludf.DUMMYFUNCTION("""COMPUTED_VALUE"""),"New Delhi")</f>
        <v>New Delhi</v>
      </c>
      <c r="N784" s="124" t="str">
        <f>IFERROR(__xludf.DUMMYFUNCTION("""COMPUTED_VALUE"""),"khushidnmps1608@gmail.com")</f>
        <v>khushidnmps1608@gmail.com</v>
      </c>
      <c r="O784" s="124" t="str">
        <f>IFERROR(__xludf.DUMMYFUNCTION("""COMPUTED_VALUE"""),"KHUSHI KUMARI")</f>
        <v>KHUSHI KUMARI</v>
      </c>
      <c r="P784" s="124">
        <f>IFERROR(__xludf.DUMMYFUNCTION("""COMPUTED_VALUE"""),81669.0)</f>
        <v>81669</v>
      </c>
      <c r="Q784" s="124" t="str">
        <f>IFERROR(__xludf.DUMMYFUNCTION("""COMPUTED_VALUE"""),"Not Available")</f>
        <v>Not Available</v>
      </c>
      <c r="R784" s="124" t="str">
        <f>IFERROR(__xludf.DUMMYFUNCTION("""COMPUTED_VALUE"""),"Not Available")</f>
        <v>Not Available</v>
      </c>
      <c r="S784" s="124" t="str">
        <f>IFERROR(__xludf.DUMMYFUNCTION("""COMPUTED_VALUE"""),"Not Available")</f>
        <v>Not Available</v>
      </c>
      <c r="T784" s="124" t="str">
        <f>IFERROR(__xludf.DUMMYFUNCTION("""COMPUTED_VALUE"""),"Not Available")</f>
        <v>Not Available</v>
      </c>
      <c r="U784" s="124" t="str">
        <f>IFERROR(__xludf.DUMMYFUNCTION("""COMPUTED_VALUE"""),"Not Available")</f>
        <v>Not Available</v>
      </c>
      <c r="V784" s="124" t="str">
        <f>IFERROR(__xludf.DUMMYFUNCTION("""COMPUTED_VALUE"""),"Not Available")</f>
        <v>Not Available</v>
      </c>
      <c r="W784" s="124" t="str">
        <f>IFERROR(__xludf.DUMMYFUNCTION("""COMPUTED_VALUE"""),"Not Available")</f>
        <v>Not Available</v>
      </c>
    </row>
    <row r="785">
      <c r="A785" s="124" t="str">
        <f t="shared" si="1"/>
        <v>deepeshattri@gmail.com</v>
      </c>
      <c r="B785" s="131">
        <f>IFERROR(__xludf.DUMMYFUNCTION("""COMPUTED_VALUE"""),46035.0)</f>
        <v>46035</v>
      </c>
      <c r="C785" s="124" t="str">
        <f>IFERROR(__xludf.DUMMYFUNCTION("""COMPUTED_VALUE"""),"Payment data from Collexo")</f>
        <v>Payment data from Collexo</v>
      </c>
      <c r="D785" s="124" t="str">
        <f>IFERROR(__xludf.DUMMYFUNCTION("""COMPUTED_VALUE"""),"Not Available")</f>
        <v>Not Available</v>
      </c>
      <c r="E785" s="124">
        <f>IFERROR(__xludf.DUMMYFUNCTION("""COMPUTED_VALUE"""),1500609.0)</f>
        <v>1500609</v>
      </c>
      <c r="F785" s="124" t="str">
        <f>IFERROR(__xludf.DUMMYFUNCTION("""COMPUTED_VALUE"""),"748_988_7")</f>
        <v>748_988_7</v>
      </c>
      <c r="G785" s="124">
        <f>IFERROR(__xludf.DUMMYFUNCTION("""COMPUTED_VALUE"""),5000.0)</f>
        <v>5000</v>
      </c>
      <c r="H785" s="124" t="str">
        <f>IFERROR(__xludf.DUMMYFUNCTION("""COMPUTED_VALUE"""),"31/01/26")</f>
        <v>31/01/26</v>
      </c>
      <c r="I785" s="124">
        <f>IFERROR(__xludf.DUMMYFUNCTION("""COMPUTED_VALUE"""),120000.0)</f>
        <v>120000</v>
      </c>
      <c r="J785" s="124">
        <f>IFERROR(__xludf.DUMMYFUNCTION("""COMPUTED_VALUE"""),125000.0)</f>
        <v>125000</v>
      </c>
      <c r="K785" s="124">
        <f>IFERROR(__xludf.DUMMYFUNCTION("""COMPUTED_VALUE"""),2.0)</f>
        <v>2</v>
      </c>
      <c r="L785" s="124">
        <f>IFERROR(__xludf.DUMMYFUNCTION("""COMPUTED_VALUE"""),71.0)</f>
        <v>71</v>
      </c>
      <c r="M785" s="124" t="str">
        <f>IFERROR(__xludf.DUMMYFUNCTION("""COMPUTED_VALUE"""),"New Delhi")</f>
        <v>New Delhi</v>
      </c>
      <c r="N785" s="124" t="str">
        <f>IFERROR(__xludf.DUMMYFUNCTION("""COMPUTED_VALUE"""),"deepeshattri@gmail.com")</f>
        <v>deepeshattri@gmail.com</v>
      </c>
      <c r="O785" s="124" t="str">
        <f>IFERROR(__xludf.DUMMYFUNCTION("""COMPUTED_VALUE"""),"deepesh attri")</f>
        <v>deepesh attri</v>
      </c>
      <c r="P785" s="124">
        <f>IFERROR(__xludf.DUMMYFUNCTION("""COMPUTED_VALUE"""),82233.0)</f>
        <v>82233</v>
      </c>
      <c r="Q785" s="124" t="str">
        <f>IFERROR(__xludf.DUMMYFUNCTION("""COMPUTED_VALUE"""),"Not Available")</f>
        <v>Not Available</v>
      </c>
      <c r="R785" s="124" t="str">
        <f>IFERROR(__xludf.DUMMYFUNCTION("""COMPUTED_VALUE"""),"Not Available")</f>
        <v>Not Available</v>
      </c>
      <c r="S785" s="124" t="str">
        <f>IFERROR(__xludf.DUMMYFUNCTION("""COMPUTED_VALUE"""),"Not Available")</f>
        <v>Not Available</v>
      </c>
      <c r="T785" s="124" t="str">
        <f>IFERROR(__xludf.DUMMYFUNCTION("""COMPUTED_VALUE"""),"Collexo")</f>
        <v>Collexo</v>
      </c>
      <c r="U785" s="124" t="str">
        <f>IFERROR(__xludf.DUMMYFUNCTION("""COMPUTED_VALUE"""),"Success")</f>
        <v>Success</v>
      </c>
      <c r="V785" s="131">
        <f>IFERROR(__xludf.DUMMYFUNCTION("""COMPUTED_VALUE"""),46035.0)</f>
        <v>46035</v>
      </c>
      <c r="W785" s="124">
        <f>IFERROR(__xludf.DUMMYFUNCTION("""COMPUTED_VALUE"""),0.0)</f>
        <v>0</v>
      </c>
    </row>
    <row r="786">
      <c r="A786" s="124" t="str">
        <f t="shared" si="1"/>
        <v>khushidnmps1608@gmail.com</v>
      </c>
      <c r="B786" s="131">
        <f>IFERROR(__xludf.DUMMYFUNCTION("""COMPUTED_VALUE"""),46036.0)</f>
        <v>46036</v>
      </c>
      <c r="C786" s="124" t="str">
        <f>IFERROR(__xludf.DUMMYFUNCTION("""COMPUTED_VALUE"""),"Payment data from Collexo")</f>
        <v>Payment data from Collexo</v>
      </c>
      <c r="D786" s="124" t="str">
        <f>IFERROR(__xludf.DUMMYFUNCTION("""COMPUTED_VALUE"""),"Not Available")</f>
        <v>Not Available</v>
      </c>
      <c r="E786" s="124">
        <f>IFERROR(__xludf.DUMMYFUNCTION("""COMPUTED_VALUE"""),1500609.0)</f>
        <v>1500609</v>
      </c>
      <c r="F786" s="124" t="str">
        <f>IFERROR(__xludf.DUMMYFUNCTION("""COMPUTED_VALUE"""),"797_988_7")</f>
        <v>797_988_7</v>
      </c>
      <c r="G786" s="124">
        <f>IFERROR(__xludf.DUMMYFUNCTION("""COMPUTED_VALUE"""),14000.0)</f>
        <v>14000</v>
      </c>
      <c r="H786" s="124" t="str">
        <f>IFERROR(__xludf.DUMMYFUNCTION("""COMPUTED_VALUE"""),"17/01/26")</f>
        <v>17/01/26</v>
      </c>
      <c r="I786" s="124">
        <f>IFERROR(__xludf.DUMMYFUNCTION("""COMPUTED_VALUE"""),96000.0)</f>
        <v>96000</v>
      </c>
      <c r="J786" s="124">
        <f>IFERROR(__xludf.DUMMYFUNCTION("""COMPUTED_VALUE"""),120000.0)</f>
        <v>120000</v>
      </c>
      <c r="K786" s="124">
        <f>IFERROR(__xludf.DUMMYFUNCTION("""COMPUTED_VALUE"""),2.0)</f>
        <v>2</v>
      </c>
      <c r="L786" s="124">
        <f>IFERROR(__xludf.DUMMYFUNCTION("""COMPUTED_VALUE"""),78.0)</f>
        <v>78</v>
      </c>
      <c r="M786" s="124" t="str">
        <f>IFERROR(__xludf.DUMMYFUNCTION("""COMPUTED_VALUE"""),"New Delhi")</f>
        <v>New Delhi</v>
      </c>
      <c r="N786" s="124" t="str">
        <f>IFERROR(__xludf.DUMMYFUNCTION("""COMPUTED_VALUE"""),"khushidnmps1608@gmail.com")</f>
        <v>khushidnmps1608@gmail.com</v>
      </c>
      <c r="O786" s="124" t="str">
        <f>IFERROR(__xludf.DUMMYFUNCTION("""COMPUTED_VALUE"""),"KHUSHI KUMARI")</f>
        <v>KHUSHI KUMARI</v>
      </c>
      <c r="P786" s="124">
        <f>IFERROR(__xludf.DUMMYFUNCTION("""COMPUTED_VALUE"""),81669.0)</f>
        <v>81669</v>
      </c>
      <c r="Q786" s="124" t="str">
        <f>IFERROR(__xludf.DUMMYFUNCTION("""COMPUTED_VALUE"""),"Not Available")</f>
        <v>Not Available</v>
      </c>
      <c r="R786" s="124" t="str">
        <f>IFERROR(__xludf.DUMMYFUNCTION("""COMPUTED_VALUE"""),"Not Available")</f>
        <v>Not Available</v>
      </c>
      <c r="S786" s="124" t="str">
        <f>IFERROR(__xludf.DUMMYFUNCTION("""COMPUTED_VALUE"""),"Not Available")</f>
        <v>Not Available</v>
      </c>
      <c r="T786" s="124" t="str">
        <f>IFERROR(__xludf.DUMMYFUNCTION("""COMPUTED_VALUE"""),"Not Available")</f>
        <v>Not Available</v>
      </c>
      <c r="U786" s="124" t="str">
        <f>IFERROR(__xludf.DUMMYFUNCTION("""COMPUTED_VALUE"""),"Not Available")</f>
        <v>Not Available</v>
      </c>
      <c r="V786" s="124" t="str">
        <f>IFERROR(__xludf.DUMMYFUNCTION("""COMPUTED_VALUE"""),"Not Available")</f>
        <v>Not Available</v>
      </c>
      <c r="W786" s="124" t="str">
        <f>IFERROR(__xludf.DUMMYFUNCTION("""COMPUTED_VALUE"""),"Not Available")</f>
        <v>Not Available</v>
      </c>
    </row>
    <row r="787">
      <c r="A787" s="124" t="str">
        <f t="shared" si="1"/>
        <v>Aayshag0@gmail.com</v>
      </c>
      <c r="B787" s="131">
        <f>IFERROR(__xludf.DUMMYFUNCTION("""COMPUTED_VALUE"""),46036.0)</f>
        <v>46036</v>
      </c>
      <c r="C787" s="124" t="str">
        <f>IFERROR(__xludf.DUMMYFUNCTION("""COMPUTED_VALUE"""),"Payment data from Collexo")</f>
        <v>Payment data from Collexo</v>
      </c>
      <c r="D787" s="124" t="str">
        <f>IFERROR(__xludf.DUMMYFUNCTION("""COMPUTED_VALUE"""),"Not Available")</f>
        <v>Not Available</v>
      </c>
      <c r="E787" s="124">
        <f>IFERROR(__xludf.DUMMYFUNCTION("""COMPUTED_VALUE"""),1500609.0)</f>
        <v>1500609</v>
      </c>
      <c r="F787" s="124" t="str">
        <f>IFERROR(__xludf.DUMMYFUNCTION("""COMPUTED_VALUE"""),"798_988_7")</f>
        <v>798_988_7</v>
      </c>
      <c r="G787" s="124">
        <f>IFERROR(__xludf.DUMMYFUNCTION("""COMPUTED_VALUE"""),10000.0)</f>
        <v>10000</v>
      </c>
      <c r="H787" s="124" t="str">
        <f>IFERROR(__xludf.DUMMYFUNCTION("""COMPUTED_VALUE"""),"17/01/26")</f>
        <v>17/01/26</v>
      </c>
      <c r="I787" s="124">
        <f>IFERROR(__xludf.DUMMYFUNCTION("""COMPUTED_VALUE"""),100000.0)</f>
        <v>100000</v>
      </c>
      <c r="J787" s="124">
        <f>IFERROR(__xludf.DUMMYFUNCTION("""COMPUTED_VALUE"""),110000.0)</f>
        <v>110000</v>
      </c>
      <c r="K787" s="124">
        <f>IFERROR(__xludf.DUMMYFUNCTION("""COMPUTED_VALUE"""),2.0)</f>
        <v>2</v>
      </c>
      <c r="L787" s="124">
        <f>IFERROR(__xludf.DUMMYFUNCTION("""COMPUTED_VALUE"""),79.0)</f>
        <v>79</v>
      </c>
      <c r="M787" s="124" t="str">
        <f>IFERROR(__xludf.DUMMYFUNCTION("""COMPUTED_VALUE"""),"New Delhi")</f>
        <v>New Delhi</v>
      </c>
      <c r="N787" s="124" t="str">
        <f>IFERROR(__xludf.DUMMYFUNCTION("""COMPUTED_VALUE"""),"Aayshag0@gmail.com")</f>
        <v>Aayshag0@gmail.com</v>
      </c>
      <c r="O787" s="124" t="str">
        <f>IFERROR(__xludf.DUMMYFUNCTION("""COMPUTED_VALUE"""),"Aaysha Gouri")</f>
        <v>Aaysha Gouri</v>
      </c>
      <c r="P787" s="124">
        <f>IFERROR(__xludf.DUMMYFUNCTION("""COMPUTED_VALUE"""),83789.0)</f>
        <v>83789</v>
      </c>
      <c r="Q787" s="124" t="str">
        <f>IFERROR(__xludf.DUMMYFUNCTION("""COMPUTED_VALUE"""),"Not Available")</f>
        <v>Not Available</v>
      </c>
      <c r="R787" s="124" t="str">
        <f>IFERROR(__xludf.DUMMYFUNCTION("""COMPUTED_VALUE"""),"Not Available")</f>
        <v>Not Available</v>
      </c>
      <c r="S787" s="124" t="str">
        <f>IFERROR(__xludf.DUMMYFUNCTION("""COMPUTED_VALUE"""),"Not Available")</f>
        <v>Not Available</v>
      </c>
      <c r="T787" s="124" t="str">
        <f>IFERROR(__xludf.DUMMYFUNCTION("""COMPUTED_VALUE"""),"Collexo")</f>
        <v>Collexo</v>
      </c>
      <c r="U787" s="124" t="str">
        <f>IFERROR(__xludf.DUMMYFUNCTION("""COMPUTED_VALUE"""),"Success")</f>
        <v>Success</v>
      </c>
      <c r="V787" s="131">
        <f>IFERROR(__xludf.DUMMYFUNCTION("""COMPUTED_VALUE"""),46036.0)</f>
        <v>46036</v>
      </c>
      <c r="W787" s="124">
        <f>IFERROR(__xludf.DUMMYFUNCTION("""COMPUTED_VALUE"""),0.0)</f>
        <v>0</v>
      </c>
    </row>
    <row r="788">
      <c r="A788" s="124" t="str">
        <f t="shared" si="1"/>
        <v>smillingsatyam5284@gmail.com</v>
      </c>
      <c r="B788" s="131">
        <f>IFERROR(__xludf.DUMMYFUNCTION("""COMPUTED_VALUE"""),46036.0)</f>
        <v>46036</v>
      </c>
      <c r="C788" s="124" t="str">
        <f>IFERROR(__xludf.DUMMYFUNCTION("""COMPUTED_VALUE"""),"Payment data from Collexo")</f>
        <v>Payment data from Collexo</v>
      </c>
      <c r="D788" s="124" t="str">
        <f>IFERROR(__xludf.DUMMYFUNCTION("""COMPUTED_VALUE"""),"Not Available")</f>
        <v>Not Available</v>
      </c>
      <c r="E788" s="124">
        <f>IFERROR(__xludf.DUMMYFUNCTION("""COMPUTED_VALUE"""),1500609.0)</f>
        <v>1500609</v>
      </c>
      <c r="F788" s="124" t="str">
        <f>IFERROR(__xludf.DUMMYFUNCTION("""COMPUTED_VALUE"""),"799_988_7")</f>
        <v>799_988_7</v>
      </c>
      <c r="G788" s="124">
        <f>IFERROR(__xludf.DUMMYFUNCTION("""COMPUTED_VALUE"""),5000.0)</f>
        <v>5000</v>
      </c>
      <c r="H788" s="124" t="str">
        <f>IFERROR(__xludf.DUMMYFUNCTION("""COMPUTED_VALUE"""),"21/01/26")</f>
        <v>21/01/26</v>
      </c>
      <c r="I788" s="124">
        <f>IFERROR(__xludf.DUMMYFUNCTION("""COMPUTED_VALUE"""),145000.0)</f>
        <v>145000</v>
      </c>
      <c r="J788" s="124">
        <f>IFERROR(__xludf.DUMMYFUNCTION("""COMPUTED_VALUE"""),150000.0)</f>
        <v>150000</v>
      </c>
      <c r="K788" s="124">
        <f>IFERROR(__xludf.DUMMYFUNCTION("""COMPUTED_VALUE"""),2.0)</f>
        <v>2</v>
      </c>
      <c r="L788" s="124">
        <f>IFERROR(__xludf.DUMMYFUNCTION("""COMPUTED_VALUE"""),80.0)</f>
        <v>80</v>
      </c>
      <c r="M788" s="124" t="str">
        <f>IFERROR(__xludf.DUMMYFUNCTION("""COMPUTED_VALUE"""),"New Delhi")</f>
        <v>New Delhi</v>
      </c>
      <c r="N788" s="124" t="str">
        <f>IFERROR(__xludf.DUMMYFUNCTION("""COMPUTED_VALUE"""),"smillingsatyam5284@gmail.com")</f>
        <v>smillingsatyam5284@gmail.com</v>
      </c>
      <c r="O788" s="124" t="str">
        <f>IFERROR(__xludf.DUMMYFUNCTION("""COMPUTED_VALUE"""),"Saurav rai")</f>
        <v>Saurav rai</v>
      </c>
      <c r="P788" s="124">
        <f>IFERROR(__xludf.DUMMYFUNCTION("""COMPUTED_VALUE"""),83769.0)</f>
        <v>83769</v>
      </c>
      <c r="Q788" s="124" t="str">
        <f>IFERROR(__xludf.DUMMYFUNCTION("""COMPUTED_VALUE"""),"Not Available")</f>
        <v>Not Available</v>
      </c>
      <c r="R788" s="124" t="str">
        <f>IFERROR(__xludf.DUMMYFUNCTION("""COMPUTED_VALUE"""),"Not Available")</f>
        <v>Not Available</v>
      </c>
      <c r="S788" s="124" t="str">
        <f>IFERROR(__xludf.DUMMYFUNCTION("""COMPUTED_VALUE"""),"Not Available")</f>
        <v>Not Available</v>
      </c>
      <c r="T788" s="124" t="str">
        <f>IFERROR(__xludf.DUMMYFUNCTION("""COMPUTED_VALUE"""),"Collexo")</f>
        <v>Collexo</v>
      </c>
      <c r="U788" s="124" t="str">
        <f>IFERROR(__xludf.DUMMYFUNCTION("""COMPUTED_VALUE"""),"Success")</f>
        <v>Success</v>
      </c>
      <c r="V788" s="131">
        <f>IFERROR(__xludf.DUMMYFUNCTION("""COMPUTED_VALUE"""),46036.0)</f>
        <v>46036</v>
      </c>
      <c r="W788" s="124">
        <f>IFERROR(__xludf.DUMMYFUNCTION("""COMPUTED_VALUE"""),0.0)</f>
        <v>0</v>
      </c>
    </row>
    <row r="789">
      <c r="A789" s="124" t="str">
        <f t="shared" si="1"/>
        <v>khushidnmps1608@gmail.com</v>
      </c>
      <c r="B789" s="131">
        <f>IFERROR(__xludf.DUMMYFUNCTION("""COMPUTED_VALUE"""),46037.0)</f>
        <v>46037</v>
      </c>
      <c r="C789" s="124" t="str">
        <f>IFERROR(__xludf.DUMMYFUNCTION("""COMPUTED_VALUE"""),"Payment data from Collexo")</f>
        <v>Payment data from Collexo</v>
      </c>
      <c r="D789" s="124" t="str">
        <f>IFERROR(__xludf.DUMMYFUNCTION("""COMPUTED_VALUE"""),"Not Available")</f>
        <v>Not Available</v>
      </c>
      <c r="E789" s="124">
        <f>IFERROR(__xludf.DUMMYFUNCTION("""COMPUTED_VALUE"""),1500609.0)</f>
        <v>1500609</v>
      </c>
      <c r="F789" s="124" t="str">
        <f>IFERROR(__xludf.DUMMYFUNCTION("""COMPUTED_VALUE"""),"817_988_7")</f>
        <v>817_988_7</v>
      </c>
      <c r="G789" s="124">
        <f>IFERROR(__xludf.DUMMYFUNCTION("""COMPUTED_VALUE"""),96000.0)</f>
        <v>96000</v>
      </c>
      <c r="H789" s="124" t="str">
        <f>IFERROR(__xludf.DUMMYFUNCTION("""COMPUTED_VALUE"""),"Not Available")</f>
        <v>Not Available</v>
      </c>
      <c r="I789" s="124">
        <f>IFERROR(__xludf.DUMMYFUNCTION("""COMPUTED_VALUE"""),0.0)</f>
        <v>0</v>
      </c>
      <c r="J789" s="124">
        <f>IFERROR(__xludf.DUMMYFUNCTION("""COMPUTED_VALUE"""),120000.0)</f>
        <v>120000</v>
      </c>
      <c r="K789" s="124">
        <f>IFERROR(__xludf.DUMMYFUNCTION("""COMPUTED_VALUE"""),2.0)</f>
        <v>2</v>
      </c>
      <c r="L789" s="124">
        <f>IFERROR(__xludf.DUMMYFUNCTION("""COMPUTED_VALUE"""),82.0)</f>
        <v>82</v>
      </c>
      <c r="M789" s="124" t="str">
        <f>IFERROR(__xludf.DUMMYFUNCTION("""COMPUTED_VALUE"""),"New Delhi")</f>
        <v>New Delhi</v>
      </c>
      <c r="N789" s="124" t="str">
        <f>IFERROR(__xludf.DUMMYFUNCTION("""COMPUTED_VALUE"""),"khushidnmps1608@gmail.com")</f>
        <v>khushidnmps1608@gmail.com</v>
      </c>
      <c r="O789" s="124" t="str">
        <f>IFERROR(__xludf.DUMMYFUNCTION("""COMPUTED_VALUE"""),"KHUSHI KUMARI")</f>
        <v>KHUSHI KUMARI</v>
      </c>
      <c r="P789" s="124">
        <f>IFERROR(__xludf.DUMMYFUNCTION("""COMPUTED_VALUE"""),81669.0)</f>
        <v>81669</v>
      </c>
      <c r="Q789" s="124" t="str">
        <f>IFERROR(__xludf.DUMMYFUNCTION("""COMPUTED_VALUE"""),"Not Available")</f>
        <v>Not Available</v>
      </c>
      <c r="R789" s="124" t="str">
        <f>IFERROR(__xludf.DUMMYFUNCTION("""COMPUTED_VALUE"""),"Not Available")</f>
        <v>Not Available</v>
      </c>
      <c r="S789" s="124" t="str">
        <f>IFERROR(__xludf.DUMMYFUNCTION("""COMPUTED_VALUE"""),"Not Available")</f>
        <v>Not Available</v>
      </c>
      <c r="T789" s="124" t="str">
        <f>IFERROR(__xludf.DUMMYFUNCTION("""COMPUTED_VALUE"""),"Not Available")</f>
        <v>Not Available</v>
      </c>
      <c r="U789" s="124" t="str">
        <f>IFERROR(__xludf.DUMMYFUNCTION("""COMPUTED_VALUE"""),"Not Available")</f>
        <v>Not Available</v>
      </c>
      <c r="V789" s="124" t="str">
        <f>IFERROR(__xludf.DUMMYFUNCTION("""COMPUTED_VALUE"""),"Not Available")</f>
        <v>Not Available</v>
      </c>
      <c r="W789" s="124" t="str">
        <f>IFERROR(__xludf.DUMMYFUNCTION("""COMPUTED_VALUE"""),"Not Available")</f>
        <v>Not Available</v>
      </c>
    </row>
    <row r="790">
      <c r="A790" s="124" t="str">
        <f t="shared" si="1"/>
        <v>gauravbaliyan03022003@gmail.com</v>
      </c>
      <c r="B790" s="131">
        <f>IFERROR(__xludf.DUMMYFUNCTION("""COMPUTED_VALUE"""),46037.0)</f>
        <v>46037</v>
      </c>
      <c r="C790" s="124" t="str">
        <f>IFERROR(__xludf.DUMMYFUNCTION("""COMPUTED_VALUE"""),"Payment data from Collexo")</f>
        <v>Payment data from Collexo</v>
      </c>
      <c r="D790" s="124" t="str">
        <f>IFERROR(__xludf.DUMMYFUNCTION("""COMPUTED_VALUE"""),"Not Available")</f>
        <v>Not Available</v>
      </c>
      <c r="E790" s="124">
        <f>IFERROR(__xludf.DUMMYFUNCTION("""COMPUTED_VALUE"""),1500609.0)</f>
        <v>1500609</v>
      </c>
      <c r="F790" s="124" t="str">
        <f>IFERROR(__xludf.DUMMYFUNCTION("""COMPUTED_VALUE"""),"829_988_7")</f>
        <v>829_988_7</v>
      </c>
      <c r="G790" s="124">
        <f>IFERROR(__xludf.DUMMYFUNCTION("""COMPUTED_VALUE"""),5000.0)</f>
        <v>5000</v>
      </c>
      <c r="H790" s="124" t="str">
        <f>IFERROR(__xludf.DUMMYFUNCTION("""COMPUTED_VALUE"""),"17/01/26")</f>
        <v>17/01/26</v>
      </c>
      <c r="I790" s="124">
        <f>IFERROR(__xludf.DUMMYFUNCTION("""COMPUTED_VALUE"""),115000.0)</f>
        <v>115000</v>
      </c>
      <c r="J790" s="124">
        <f>IFERROR(__xludf.DUMMYFUNCTION("""COMPUTED_VALUE"""),120000.0)</f>
        <v>120000</v>
      </c>
      <c r="K790" s="124">
        <f>IFERROR(__xludf.DUMMYFUNCTION("""COMPUTED_VALUE"""),2.0)</f>
        <v>2</v>
      </c>
      <c r="L790" s="124">
        <f>IFERROR(__xludf.DUMMYFUNCTION("""COMPUTED_VALUE"""),83.0)</f>
        <v>83</v>
      </c>
      <c r="M790" s="124" t="str">
        <f>IFERROR(__xludf.DUMMYFUNCTION("""COMPUTED_VALUE"""),"New Delhi")</f>
        <v>New Delhi</v>
      </c>
      <c r="N790" s="124" t="str">
        <f>IFERROR(__xludf.DUMMYFUNCTION("""COMPUTED_VALUE"""),"gauravbaliyan03022003@gmail.com")</f>
        <v>gauravbaliyan03022003@gmail.com</v>
      </c>
      <c r="O790" s="124" t="str">
        <f>IFERROR(__xludf.DUMMYFUNCTION("""COMPUTED_VALUE"""),"Gaurav Baliyan")</f>
        <v>Gaurav Baliyan</v>
      </c>
      <c r="P790" s="124">
        <f>IFERROR(__xludf.DUMMYFUNCTION("""COMPUTED_VALUE"""),83121.0)</f>
        <v>83121</v>
      </c>
      <c r="Q790" s="124" t="str">
        <f>IFERROR(__xludf.DUMMYFUNCTION("""COMPUTED_VALUE"""),"Not Available")</f>
        <v>Not Available</v>
      </c>
      <c r="R790" s="124" t="str">
        <f>IFERROR(__xludf.DUMMYFUNCTION("""COMPUTED_VALUE"""),"Not Available")</f>
        <v>Not Available</v>
      </c>
      <c r="S790" s="124" t="str">
        <f>IFERROR(__xludf.DUMMYFUNCTION("""COMPUTED_VALUE"""),"Not Available")</f>
        <v>Not Available</v>
      </c>
      <c r="T790" s="124" t="str">
        <f>IFERROR(__xludf.DUMMYFUNCTION("""COMPUTED_VALUE"""),"Collexo")</f>
        <v>Collexo</v>
      </c>
      <c r="U790" s="124" t="str">
        <f>IFERROR(__xludf.DUMMYFUNCTION("""COMPUTED_VALUE"""),"Success")</f>
        <v>Success</v>
      </c>
      <c r="V790" s="131">
        <f>IFERROR(__xludf.DUMMYFUNCTION("""COMPUTED_VALUE"""),46037.0)</f>
        <v>46037</v>
      </c>
      <c r="W790" s="124">
        <f>IFERROR(__xludf.DUMMYFUNCTION("""COMPUTED_VALUE"""),0.0)</f>
        <v>0</v>
      </c>
    </row>
    <row r="791">
      <c r="A791" s="124" t="str">
        <f t="shared" si="1"/>
        <v>sindoor2020@gmail.com</v>
      </c>
      <c r="B791" s="131">
        <f>IFERROR(__xludf.DUMMYFUNCTION("""COMPUTED_VALUE"""),46037.0)</f>
        <v>46037</v>
      </c>
      <c r="C791" s="124" t="str">
        <f>IFERROR(__xludf.DUMMYFUNCTION("""COMPUTED_VALUE"""),"Payment data from Collexo")</f>
        <v>Payment data from Collexo</v>
      </c>
      <c r="D791" s="124" t="str">
        <f>IFERROR(__xludf.DUMMYFUNCTION("""COMPUTED_VALUE"""),"Not Available")</f>
        <v>Not Available</v>
      </c>
      <c r="E791" s="124">
        <f>IFERROR(__xludf.DUMMYFUNCTION("""COMPUTED_VALUE"""),1500609.0)</f>
        <v>1500609</v>
      </c>
      <c r="F791" s="124" t="str">
        <f>IFERROR(__xludf.DUMMYFUNCTION("""COMPUTED_VALUE"""),"830_988_7")</f>
        <v>830_988_7</v>
      </c>
      <c r="G791" s="124">
        <f>IFERROR(__xludf.DUMMYFUNCTION("""COMPUTED_VALUE"""),10000.0)</f>
        <v>10000</v>
      </c>
      <c r="H791" s="124" t="str">
        <f>IFERROR(__xludf.DUMMYFUNCTION("""COMPUTED_VALUE"""),"31/01/26")</f>
        <v>31/01/26</v>
      </c>
      <c r="I791" s="124">
        <f>IFERROR(__xludf.DUMMYFUNCTION("""COMPUTED_VALUE"""),105000.0)</f>
        <v>105000</v>
      </c>
      <c r="J791" s="124">
        <f>IFERROR(__xludf.DUMMYFUNCTION("""COMPUTED_VALUE"""),115000.0)</f>
        <v>115000</v>
      </c>
      <c r="K791" s="124">
        <f>IFERROR(__xludf.DUMMYFUNCTION("""COMPUTED_VALUE"""),2.0)</f>
        <v>2</v>
      </c>
      <c r="L791" s="124">
        <f>IFERROR(__xludf.DUMMYFUNCTION("""COMPUTED_VALUE"""),84.0)</f>
        <v>84</v>
      </c>
      <c r="M791" s="124" t="str">
        <f>IFERROR(__xludf.DUMMYFUNCTION("""COMPUTED_VALUE"""),"New Delhi")</f>
        <v>New Delhi</v>
      </c>
      <c r="N791" s="124" t="str">
        <f>IFERROR(__xludf.DUMMYFUNCTION("""COMPUTED_VALUE"""),"sindoor2020@gmail.com")</f>
        <v>sindoor2020@gmail.com</v>
      </c>
      <c r="O791" s="124" t="str">
        <f>IFERROR(__xludf.DUMMYFUNCTION("""COMPUTED_VALUE"""),"Deepmala .")</f>
        <v>Deepmala .</v>
      </c>
      <c r="P791" s="124">
        <f>IFERROR(__xludf.DUMMYFUNCTION("""COMPUTED_VALUE"""),78888.0)</f>
        <v>78888</v>
      </c>
      <c r="Q791" s="124" t="str">
        <f>IFERROR(__xludf.DUMMYFUNCTION("""COMPUTED_VALUE"""),"Not Available")</f>
        <v>Not Available</v>
      </c>
      <c r="R791" s="124" t="str">
        <f>IFERROR(__xludf.DUMMYFUNCTION("""COMPUTED_VALUE"""),"Not Available")</f>
        <v>Not Available</v>
      </c>
      <c r="S791" s="124" t="str">
        <f>IFERROR(__xludf.DUMMYFUNCTION("""COMPUTED_VALUE"""),"Not Available")</f>
        <v>Not Available</v>
      </c>
      <c r="T791" s="124" t="str">
        <f>IFERROR(__xludf.DUMMYFUNCTION("""COMPUTED_VALUE"""),"Collexo")</f>
        <v>Collexo</v>
      </c>
      <c r="U791" s="124" t="str">
        <f>IFERROR(__xludf.DUMMYFUNCTION("""COMPUTED_VALUE"""),"Success")</f>
        <v>Success</v>
      </c>
      <c r="V791" s="131">
        <f>IFERROR(__xludf.DUMMYFUNCTION("""COMPUTED_VALUE"""),46037.0)</f>
        <v>46037</v>
      </c>
      <c r="W791" s="124">
        <f>IFERROR(__xludf.DUMMYFUNCTION("""COMPUTED_VALUE"""),0.0)</f>
        <v>0</v>
      </c>
    </row>
    <row r="792">
      <c r="A792" s="124" t="str">
        <f t="shared" si="1"/>
        <v>smillingsatyam5284@gmail.com</v>
      </c>
      <c r="B792" s="131">
        <f>IFERROR(__xludf.DUMMYFUNCTION("""COMPUTED_VALUE"""),46037.0)</f>
        <v>46037</v>
      </c>
      <c r="C792" s="124" t="str">
        <f>IFERROR(__xludf.DUMMYFUNCTION("""COMPUTED_VALUE"""),"Payment data from Collexo")</f>
        <v>Payment data from Collexo</v>
      </c>
      <c r="D792" s="124" t="str">
        <f>IFERROR(__xludf.DUMMYFUNCTION("""COMPUTED_VALUE"""),"Not Available")</f>
        <v>Not Available</v>
      </c>
      <c r="E792" s="124">
        <f>IFERROR(__xludf.DUMMYFUNCTION("""COMPUTED_VALUE"""),1500609.0)</f>
        <v>1500609</v>
      </c>
      <c r="F792" s="124" t="str">
        <f>IFERROR(__xludf.DUMMYFUNCTION("""COMPUTED_VALUE"""),"831_988_7")</f>
        <v>831_988_7</v>
      </c>
      <c r="G792" s="124">
        <f>IFERROR(__xludf.DUMMYFUNCTION("""COMPUTED_VALUE"""),5000.0)</f>
        <v>5000</v>
      </c>
      <c r="H792" s="124" t="str">
        <f>IFERROR(__xludf.DUMMYFUNCTION("""COMPUTED_VALUE"""),"24/01/26")</f>
        <v>24/01/26</v>
      </c>
      <c r="I792" s="124">
        <f>IFERROR(__xludf.DUMMYFUNCTION("""COMPUTED_VALUE"""),140000.0)</f>
        <v>140000</v>
      </c>
      <c r="J792" s="124">
        <f>IFERROR(__xludf.DUMMYFUNCTION("""COMPUTED_VALUE"""),150000.0)</f>
        <v>150000</v>
      </c>
      <c r="K792" s="124">
        <f>IFERROR(__xludf.DUMMYFUNCTION("""COMPUTED_VALUE"""),2.0)</f>
        <v>2</v>
      </c>
      <c r="L792" s="124">
        <f>IFERROR(__xludf.DUMMYFUNCTION("""COMPUTED_VALUE"""),85.0)</f>
        <v>85</v>
      </c>
      <c r="M792" s="124" t="str">
        <f>IFERROR(__xludf.DUMMYFUNCTION("""COMPUTED_VALUE"""),"New Delhi")</f>
        <v>New Delhi</v>
      </c>
      <c r="N792" s="124" t="str">
        <f>IFERROR(__xludf.DUMMYFUNCTION("""COMPUTED_VALUE"""),"smillingsatyam5284@gmail.com")</f>
        <v>smillingsatyam5284@gmail.com</v>
      </c>
      <c r="O792" s="124" t="str">
        <f>IFERROR(__xludf.DUMMYFUNCTION("""COMPUTED_VALUE"""),"Saurav rai")</f>
        <v>Saurav rai</v>
      </c>
      <c r="P792" s="124">
        <f>IFERROR(__xludf.DUMMYFUNCTION("""COMPUTED_VALUE"""),83769.0)</f>
        <v>83769</v>
      </c>
      <c r="Q792" s="124" t="str">
        <f>IFERROR(__xludf.DUMMYFUNCTION("""COMPUTED_VALUE"""),"Not Available")</f>
        <v>Not Available</v>
      </c>
      <c r="R792" s="124" t="str">
        <f>IFERROR(__xludf.DUMMYFUNCTION("""COMPUTED_VALUE"""),"Not Available")</f>
        <v>Not Available</v>
      </c>
      <c r="S792" s="124" t="str">
        <f>IFERROR(__xludf.DUMMYFUNCTION("""COMPUTED_VALUE"""),"Not Available")</f>
        <v>Not Available</v>
      </c>
      <c r="T792" s="124" t="str">
        <f>IFERROR(__xludf.DUMMYFUNCTION("""COMPUTED_VALUE"""),"Collexo")</f>
        <v>Collexo</v>
      </c>
      <c r="U792" s="124" t="str">
        <f>IFERROR(__xludf.DUMMYFUNCTION("""COMPUTED_VALUE"""),"Success")</f>
        <v>Success</v>
      </c>
      <c r="V792" s="131">
        <f>IFERROR(__xludf.DUMMYFUNCTION("""COMPUTED_VALUE"""),46037.0)</f>
        <v>46037</v>
      </c>
      <c r="W792" s="124">
        <f>IFERROR(__xludf.DUMMYFUNCTION("""COMPUTED_VALUE"""),0.0)</f>
        <v>0</v>
      </c>
    </row>
    <row r="793">
      <c r="A793" s="124" t="str">
        <f t="shared" si="1"/>
        <v>deepeshattri@gmail.com</v>
      </c>
      <c r="B793" s="131">
        <f>IFERROR(__xludf.DUMMYFUNCTION("""COMPUTED_VALUE"""),46037.0)</f>
        <v>46037</v>
      </c>
      <c r="C793" s="124" t="str">
        <f>IFERROR(__xludf.DUMMYFUNCTION("""COMPUTED_VALUE"""),"Payment data from Collexo")</f>
        <v>Payment data from Collexo</v>
      </c>
      <c r="D793" s="124" t="str">
        <f>IFERROR(__xludf.DUMMYFUNCTION("""COMPUTED_VALUE"""),"Not Available")</f>
        <v>Not Available</v>
      </c>
      <c r="E793" s="124">
        <f>IFERROR(__xludf.DUMMYFUNCTION("""COMPUTED_VALUE"""),1500609.0)</f>
        <v>1500609</v>
      </c>
      <c r="F793" s="124" t="str">
        <f>IFERROR(__xludf.DUMMYFUNCTION("""COMPUTED_VALUE"""),"832_988_7")</f>
        <v>832_988_7</v>
      </c>
      <c r="G793" s="124">
        <f>IFERROR(__xludf.DUMMYFUNCTION("""COMPUTED_VALUE"""),120000.0)</f>
        <v>120000</v>
      </c>
      <c r="H793" s="124" t="str">
        <f>IFERROR(__xludf.DUMMYFUNCTION("""COMPUTED_VALUE"""),"Not Available")</f>
        <v>Not Available</v>
      </c>
      <c r="I793" s="124">
        <f>IFERROR(__xludf.DUMMYFUNCTION("""COMPUTED_VALUE"""),0.0)</f>
        <v>0</v>
      </c>
      <c r="J793" s="124">
        <f>IFERROR(__xludf.DUMMYFUNCTION("""COMPUTED_VALUE"""),125000.0)</f>
        <v>125000</v>
      </c>
      <c r="K793" s="124">
        <f>IFERROR(__xludf.DUMMYFUNCTION("""COMPUTED_VALUE"""),2.0)</f>
        <v>2</v>
      </c>
      <c r="L793" s="124">
        <f>IFERROR(__xludf.DUMMYFUNCTION("""COMPUTED_VALUE"""),86.0)</f>
        <v>86</v>
      </c>
      <c r="M793" s="124" t="str">
        <f>IFERROR(__xludf.DUMMYFUNCTION("""COMPUTED_VALUE"""),"New Delhi")</f>
        <v>New Delhi</v>
      </c>
      <c r="N793" s="124" t="str">
        <f>IFERROR(__xludf.DUMMYFUNCTION("""COMPUTED_VALUE"""),"deepeshattri@gmail.com")</f>
        <v>deepeshattri@gmail.com</v>
      </c>
      <c r="O793" s="124" t="str">
        <f>IFERROR(__xludf.DUMMYFUNCTION("""COMPUTED_VALUE"""),"deepesh attri")</f>
        <v>deepesh attri</v>
      </c>
      <c r="P793" s="124">
        <f>IFERROR(__xludf.DUMMYFUNCTION("""COMPUTED_VALUE"""),82233.0)</f>
        <v>82233</v>
      </c>
      <c r="Q793" s="124" t="str">
        <f>IFERROR(__xludf.DUMMYFUNCTION("""COMPUTED_VALUE"""),"Not Available")</f>
        <v>Not Available</v>
      </c>
      <c r="R793" s="124" t="str">
        <f>IFERROR(__xludf.DUMMYFUNCTION("""COMPUTED_VALUE"""),"Not Available")</f>
        <v>Not Available</v>
      </c>
      <c r="S793" s="124" t="str">
        <f>IFERROR(__xludf.DUMMYFUNCTION("""COMPUTED_VALUE"""),"Not Available")</f>
        <v>Not Available</v>
      </c>
      <c r="T793" s="124" t="str">
        <f>IFERROR(__xludf.DUMMYFUNCTION("""COMPUTED_VALUE"""),"Collexo")</f>
        <v>Collexo</v>
      </c>
      <c r="U793" s="124" t="str">
        <f>IFERROR(__xludf.DUMMYFUNCTION("""COMPUTED_VALUE"""),"Success")</f>
        <v>Success</v>
      </c>
      <c r="V793" s="131">
        <f>IFERROR(__xludf.DUMMYFUNCTION("""COMPUTED_VALUE"""),46037.0)</f>
        <v>46037</v>
      </c>
      <c r="W793" s="124">
        <f>IFERROR(__xludf.DUMMYFUNCTION("""COMPUTED_VALUE"""),0.0)</f>
        <v>0</v>
      </c>
    </row>
    <row r="794">
      <c r="A794" s="124" t="str">
        <f t="shared" si="1"/>
        <v>gauravbaliyan03022003@gmail.com</v>
      </c>
      <c r="B794" s="131">
        <f>IFERROR(__xludf.DUMMYFUNCTION("""COMPUTED_VALUE"""),46038.0)</f>
        <v>46038</v>
      </c>
      <c r="C794" s="124" t="str">
        <f>IFERROR(__xludf.DUMMYFUNCTION("""COMPUTED_VALUE"""),"Payment data from Collexo")</f>
        <v>Payment data from Collexo</v>
      </c>
      <c r="D794" s="124" t="str">
        <f>IFERROR(__xludf.DUMMYFUNCTION("""COMPUTED_VALUE"""),"Not Available")</f>
        <v>Not Available</v>
      </c>
      <c r="E794" s="124">
        <f>IFERROR(__xludf.DUMMYFUNCTION("""COMPUTED_VALUE"""),1500609.0)</f>
        <v>1500609</v>
      </c>
      <c r="F794" s="124" t="str">
        <f>IFERROR(__xludf.DUMMYFUNCTION("""COMPUTED_VALUE"""),"855_988_7")</f>
        <v>855_988_7</v>
      </c>
      <c r="G794" s="124">
        <f>IFERROR(__xludf.DUMMYFUNCTION("""COMPUTED_VALUE"""),115000.0)</f>
        <v>115000</v>
      </c>
      <c r="H794" s="124" t="str">
        <f>IFERROR(__xludf.DUMMYFUNCTION("""COMPUTED_VALUE"""),"Not Available")</f>
        <v>Not Available</v>
      </c>
      <c r="I794" s="124">
        <f>IFERROR(__xludf.DUMMYFUNCTION("""COMPUTED_VALUE"""),0.0)</f>
        <v>0</v>
      </c>
      <c r="J794" s="124">
        <f>IFERROR(__xludf.DUMMYFUNCTION("""COMPUTED_VALUE"""),120000.0)</f>
        <v>120000</v>
      </c>
      <c r="K794" s="124">
        <f>IFERROR(__xludf.DUMMYFUNCTION("""COMPUTED_VALUE"""),2.0)</f>
        <v>2</v>
      </c>
      <c r="L794" s="124">
        <f>IFERROR(__xludf.DUMMYFUNCTION("""COMPUTED_VALUE"""),87.0)</f>
        <v>87</v>
      </c>
      <c r="M794" s="124" t="str">
        <f>IFERROR(__xludf.DUMMYFUNCTION("""COMPUTED_VALUE"""),"New Delhi")</f>
        <v>New Delhi</v>
      </c>
      <c r="N794" s="124" t="str">
        <f>IFERROR(__xludf.DUMMYFUNCTION("""COMPUTED_VALUE"""),"gauravbaliyan03022003@gmail.com")</f>
        <v>gauravbaliyan03022003@gmail.com</v>
      </c>
      <c r="O794" s="124" t="str">
        <f>IFERROR(__xludf.DUMMYFUNCTION("""COMPUTED_VALUE"""),"Gaurav Baliyan")</f>
        <v>Gaurav Baliyan</v>
      </c>
      <c r="P794" s="124">
        <f>IFERROR(__xludf.DUMMYFUNCTION("""COMPUTED_VALUE"""),83121.0)</f>
        <v>83121</v>
      </c>
      <c r="Q794" s="124" t="str">
        <f>IFERROR(__xludf.DUMMYFUNCTION("""COMPUTED_VALUE"""),"Not Available")</f>
        <v>Not Available</v>
      </c>
      <c r="R794" s="124" t="str">
        <f>IFERROR(__xludf.DUMMYFUNCTION("""COMPUTED_VALUE"""),"Not Available")</f>
        <v>Not Available</v>
      </c>
      <c r="S794" s="124" t="str">
        <f>IFERROR(__xludf.DUMMYFUNCTION("""COMPUTED_VALUE"""),"Not Available")</f>
        <v>Not Available</v>
      </c>
      <c r="T794" s="124" t="str">
        <f>IFERROR(__xludf.DUMMYFUNCTION("""COMPUTED_VALUE"""),"Collexo")</f>
        <v>Collexo</v>
      </c>
      <c r="U794" s="124" t="str">
        <f>IFERROR(__xludf.DUMMYFUNCTION("""COMPUTED_VALUE"""),"Success")</f>
        <v>Success</v>
      </c>
      <c r="V794" s="131">
        <f>IFERROR(__xludf.DUMMYFUNCTION("""COMPUTED_VALUE"""),46038.0)</f>
        <v>46038</v>
      </c>
      <c r="W794" s="124">
        <f>IFERROR(__xludf.DUMMYFUNCTION("""COMPUTED_VALUE"""),0.0)</f>
        <v>0</v>
      </c>
    </row>
    <row r="795">
      <c r="A795" s="124" t="str">
        <f t="shared" si="1"/>
        <v>Afzalsiddiqui227@gmail.com</v>
      </c>
      <c r="B795" s="131">
        <f>IFERROR(__xludf.DUMMYFUNCTION("""COMPUTED_VALUE"""),46041.0)</f>
        <v>46041</v>
      </c>
      <c r="C795" s="124" t="str">
        <f>IFERROR(__xludf.DUMMYFUNCTION("""COMPUTED_VALUE"""),"Payment data from Collexo")</f>
        <v>Payment data from Collexo</v>
      </c>
      <c r="D795" s="124" t="str">
        <f>IFERROR(__xludf.DUMMYFUNCTION("""COMPUTED_VALUE"""),"Not Available")</f>
        <v>Not Available</v>
      </c>
      <c r="E795" s="124">
        <f>IFERROR(__xludf.DUMMYFUNCTION("""COMPUTED_VALUE"""),1500609.0)</f>
        <v>1500609</v>
      </c>
      <c r="F795" s="124" t="str">
        <f>IFERROR(__xludf.DUMMYFUNCTION("""COMPUTED_VALUE"""),"899_988_7")</f>
        <v>899_988_7</v>
      </c>
      <c r="G795" s="124">
        <f>IFERROR(__xludf.DUMMYFUNCTION("""COMPUTED_VALUE"""),20000.0)</f>
        <v>20000</v>
      </c>
      <c r="H795" s="124" t="str">
        <f>IFERROR(__xludf.DUMMYFUNCTION("""COMPUTED_VALUE"""),"21/01/26")</f>
        <v>21/01/26</v>
      </c>
      <c r="I795" s="124">
        <f>IFERROR(__xludf.DUMMYFUNCTION("""COMPUTED_VALUE"""),110000.0)</f>
        <v>110000</v>
      </c>
      <c r="J795" s="124">
        <f>IFERROR(__xludf.DUMMYFUNCTION("""COMPUTED_VALUE"""),130000.0)</f>
        <v>130000</v>
      </c>
      <c r="K795" s="124">
        <f>IFERROR(__xludf.DUMMYFUNCTION("""COMPUTED_VALUE"""),2.0)</f>
        <v>2</v>
      </c>
      <c r="L795" s="124">
        <f>IFERROR(__xludf.DUMMYFUNCTION("""COMPUTED_VALUE"""),88.0)</f>
        <v>88</v>
      </c>
      <c r="M795" s="124" t="str">
        <f>IFERROR(__xludf.DUMMYFUNCTION("""COMPUTED_VALUE"""),"New Delhi")</f>
        <v>New Delhi</v>
      </c>
      <c r="N795" s="124" t="str">
        <f>IFERROR(__xludf.DUMMYFUNCTION("""COMPUTED_VALUE"""),"Afzalsiddiqui227@gmail.com")</f>
        <v>Afzalsiddiqui227@gmail.com</v>
      </c>
      <c r="O795" s="124" t="str">
        <f>IFERROR(__xludf.DUMMYFUNCTION("""COMPUTED_VALUE"""),"Afzal siddiqi")</f>
        <v>Afzal siddiqi</v>
      </c>
      <c r="P795" s="124">
        <f>IFERROR(__xludf.DUMMYFUNCTION("""COMPUTED_VALUE"""),82242.0)</f>
        <v>82242</v>
      </c>
      <c r="Q795" s="124" t="str">
        <f>IFERROR(__xludf.DUMMYFUNCTION("""COMPUTED_VALUE"""),"Not Available")</f>
        <v>Not Available</v>
      </c>
      <c r="R795" s="124" t="str">
        <f>IFERROR(__xludf.DUMMYFUNCTION("""COMPUTED_VALUE"""),"Not Available")</f>
        <v>Not Available</v>
      </c>
      <c r="S795" s="124" t="str">
        <f>IFERROR(__xludf.DUMMYFUNCTION("""COMPUTED_VALUE"""),"Not Available")</f>
        <v>Not Available</v>
      </c>
      <c r="T795" s="124" t="str">
        <f>IFERROR(__xludf.DUMMYFUNCTION("""COMPUTED_VALUE"""),"Collexo")</f>
        <v>Collexo</v>
      </c>
      <c r="U795" s="124" t="str">
        <f>IFERROR(__xludf.DUMMYFUNCTION("""COMPUTED_VALUE"""),"Success")</f>
        <v>Success</v>
      </c>
      <c r="V795" s="131">
        <f>IFERROR(__xludf.DUMMYFUNCTION("""COMPUTED_VALUE"""),46041.0)</f>
        <v>46041</v>
      </c>
      <c r="W795" s="124">
        <f>IFERROR(__xludf.DUMMYFUNCTION("""COMPUTED_VALUE"""),0.0)</f>
        <v>0</v>
      </c>
    </row>
    <row r="796">
      <c r="A796" s="124" t="str">
        <f t="shared" si="1"/>
        <v>snehakori2016@gmail.com</v>
      </c>
      <c r="B796" s="131">
        <f>IFERROR(__xludf.DUMMYFUNCTION("""COMPUTED_VALUE"""),46041.0)</f>
        <v>46041</v>
      </c>
      <c r="C796" s="124" t="str">
        <f>IFERROR(__xludf.DUMMYFUNCTION("""COMPUTED_VALUE"""),"Payment data from Collexo")</f>
        <v>Payment data from Collexo</v>
      </c>
      <c r="D796" s="124" t="str">
        <f>IFERROR(__xludf.DUMMYFUNCTION("""COMPUTED_VALUE"""),"Not Available")</f>
        <v>Not Available</v>
      </c>
      <c r="E796" s="124">
        <f>IFERROR(__xludf.DUMMYFUNCTION("""COMPUTED_VALUE"""),1500609.0)</f>
        <v>1500609</v>
      </c>
      <c r="F796" s="124" t="str">
        <f>IFERROR(__xludf.DUMMYFUNCTION("""COMPUTED_VALUE"""),"902_988_7")</f>
        <v>902_988_7</v>
      </c>
      <c r="G796" s="124">
        <f>IFERROR(__xludf.DUMMYFUNCTION("""COMPUTED_VALUE"""),10000.0)</f>
        <v>10000</v>
      </c>
      <c r="H796" s="124" t="str">
        <f>IFERROR(__xludf.DUMMYFUNCTION("""COMPUTED_VALUE"""),"24/01/26")</f>
        <v>24/01/26</v>
      </c>
      <c r="I796" s="124">
        <f>IFERROR(__xludf.DUMMYFUNCTION("""COMPUTED_VALUE"""),130000.0)</f>
        <v>130000</v>
      </c>
      <c r="J796" s="124">
        <f>IFERROR(__xludf.DUMMYFUNCTION("""COMPUTED_VALUE"""),140000.0)</f>
        <v>140000</v>
      </c>
      <c r="K796" s="124">
        <f>IFERROR(__xludf.DUMMYFUNCTION("""COMPUTED_VALUE"""),2.0)</f>
        <v>2</v>
      </c>
      <c r="L796" s="124">
        <f>IFERROR(__xludf.DUMMYFUNCTION("""COMPUTED_VALUE"""),89.0)</f>
        <v>89</v>
      </c>
      <c r="M796" s="124" t="str">
        <f>IFERROR(__xludf.DUMMYFUNCTION("""COMPUTED_VALUE"""),"New Delhi")</f>
        <v>New Delhi</v>
      </c>
      <c r="N796" s="124" t="str">
        <f>IFERROR(__xludf.DUMMYFUNCTION("""COMPUTED_VALUE"""),"snehakori2016@gmail.com")</f>
        <v>snehakori2016@gmail.com</v>
      </c>
      <c r="O796" s="124" t="str">
        <f>IFERROR(__xludf.DUMMYFUNCTION("""COMPUTED_VALUE"""),"DR Sneha")</f>
        <v>DR Sneha</v>
      </c>
      <c r="P796" s="124">
        <f>IFERROR(__xludf.DUMMYFUNCTION("""COMPUTED_VALUE"""),86621.0)</f>
        <v>86621</v>
      </c>
      <c r="Q796" s="124" t="str">
        <f>IFERROR(__xludf.DUMMYFUNCTION("""COMPUTED_VALUE"""),"Not Available")</f>
        <v>Not Available</v>
      </c>
      <c r="R796" s="124" t="str">
        <f>IFERROR(__xludf.DUMMYFUNCTION("""COMPUTED_VALUE"""),"Not Available")</f>
        <v>Not Available</v>
      </c>
      <c r="S796" s="124" t="str">
        <f>IFERROR(__xludf.DUMMYFUNCTION("""COMPUTED_VALUE"""),"Not Available")</f>
        <v>Not Available</v>
      </c>
      <c r="T796" s="124" t="str">
        <f>IFERROR(__xludf.DUMMYFUNCTION("""COMPUTED_VALUE"""),"Collexo")</f>
        <v>Collexo</v>
      </c>
      <c r="U796" s="124" t="str">
        <f>IFERROR(__xludf.DUMMYFUNCTION("""COMPUTED_VALUE"""),"Success")</f>
        <v>Success</v>
      </c>
      <c r="V796" s="131">
        <f>IFERROR(__xludf.DUMMYFUNCTION("""COMPUTED_VALUE"""),46041.0)</f>
        <v>46041</v>
      </c>
      <c r="W796" s="124">
        <f>IFERROR(__xludf.DUMMYFUNCTION("""COMPUTED_VALUE"""),0.0)</f>
        <v>0</v>
      </c>
    </row>
    <row r="797">
      <c r="A797" s="124" t="str">
        <f t="shared" si="1"/>
        <v>aryanthapa2909@gmail.com</v>
      </c>
      <c r="B797" s="131">
        <f>IFERROR(__xludf.DUMMYFUNCTION("""COMPUTED_VALUE"""),46041.0)</f>
        <v>46041</v>
      </c>
      <c r="C797" s="124" t="str">
        <f>IFERROR(__xludf.DUMMYFUNCTION("""COMPUTED_VALUE"""),"Payment data from Collexo")</f>
        <v>Payment data from Collexo</v>
      </c>
      <c r="D797" s="124" t="str">
        <f>IFERROR(__xludf.DUMMYFUNCTION("""COMPUTED_VALUE"""),"Not Available")</f>
        <v>Not Available</v>
      </c>
      <c r="E797" s="124">
        <f>IFERROR(__xludf.DUMMYFUNCTION("""COMPUTED_VALUE"""),1500609.0)</f>
        <v>1500609</v>
      </c>
      <c r="F797" s="124" t="str">
        <f>IFERROR(__xludf.DUMMYFUNCTION("""COMPUTED_VALUE"""),"903_988_7")</f>
        <v>903_988_7</v>
      </c>
      <c r="G797" s="124">
        <f>IFERROR(__xludf.DUMMYFUNCTION("""COMPUTED_VALUE"""),43750.0)</f>
        <v>43750</v>
      </c>
      <c r="H797" s="124" t="str">
        <f>IFERROR(__xludf.DUMMYFUNCTION("""COMPUTED_VALUE"""),"22/01/26")</f>
        <v>22/01/26</v>
      </c>
      <c r="I797" s="124">
        <f>IFERROR(__xludf.DUMMYFUNCTION("""COMPUTED_VALUE"""),131250.0)</f>
        <v>131250</v>
      </c>
      <c r="J797" s="124">
        <f>IFERROR(__xludf.DUMMYFUNCTION("""COMPUTED_VALUE"""),175000.0)</f>
        <v>175000</v>
      </c>
      <c r="K797" s="124">
        <f>IFERROR(__xludf.DUMMYFUNCTION("""COMPUTED_VALUE"""),2.0)</f>
        <v>2</v>
      </c>
      <c r="L797" s="124">
        <f>IFERROR(__xludf.DUMMYFUNCTION("""COMPUTED_VALUE"""),90.0)</f>
        <v>90</v>
      </c>
      <c r="M797" s="124" t="str">
        <f>IFERROR(__xludf.DUMMYFUNCTION("""COMPUTED_VALUE"""),"New Delhi")</f>
        <v>New Delhi</v>
      </c>
      <c r="N797" s="124" t="str">
        <f>IFERROR(__xludf.DUMMYFUNCTION("""COMPUTED_VALUE"""),"aryanthapa2909@gmail.com")</f>
        <v>aryanthapa2909@gmail.com</v>
      </c>
      <c r="O797" s="124" t="str">
        <f>IFERROR(__xludf.DUMMYFUNCTION("""COMPUTED_VALUE"""),"Aryan Thapa")</f>
        <v>Aryan Thapa</v>
      </c>
      <c r="P797" s="124">
        <f>IFERROR(__xludf.DUMMYFUNCTION("""COMPUTED_VALUE"""),83152.0)</f>
        <v>83152</v>
      </c>
      <c r="Q797" s="124" t="str">
        <f>IFERROR(__xludf.DUMMYFUNCTION("""COMPUTED_VALUE"""),"Not Available")</f>
        <v>Not Available</v>
      </c>
      <c r="R797" s="124" t="str">
        <f>IFERROR(__xludf.DUMMYFUNCTION("""COMPUTED_VALUE"""),"Not Available")</f>
        <v>Not Available</v>
      </c>
      <c r="S797" s="124" t="str">
        <f>IFERROR(__xludf.DUMMYFUNCTION("""COMPUTED_VALUE"""),"Not Available")</f>
        <v>Not Available</v>
      </c>
      <c r="T797" s="124" t="str">
        <f>IFERROR(__xludf.DUMMYFUNCTION("""COMPUTED_VALUE"""),"Collexo")</f>
        <v>Collexo</v>
      </c>
      <c r="U797" s="124" t="str">
        <f>IFERROR(__xludf.DUMMYFUNCTION("""COMPUTED_VALUE"""),"Success")</f>
        <v>Success</v>
      </c>
      <c r="V797" s="131">
        <f>IFERROR(__xludf.DUMMYFUNCTION("""COMPUTED_VALUE"""),46041.0)</f>
        <v>46041</v>
      </c>
      <c r="W797" s="124">
        <f>IFERROR(__xludf.DUMMYFUNCTION("""COMPUTED_VALUE"""),0.0)</f>
        <v>0</v>
      </c>
    </row>
    <row r="798">
      <c r="A798" s="124" t="str">
        <f t="shared" si="1"/>
        <v>ritiktiwa1999@gmail.com</v>
      </c>
      <c r="B798" s="131">
        <f>IFERROR(__xludf.DUMMYFUNCTION("""COMPUTED_VALUE"""),46041.0)</f>
        <v>46041</v>
      </c>
      <c r="C798" s="124" t="str">
        <f>IFERROR(__xludf.DUMMYFUNCTION("""COMPUTED_VALUE"""),"Payment data from Collexo")</f>
        <v>Payment data from Collexo</v>
      </c>
      <c r="D798" s="124" t="str">
        <f>IFERROR(__xludf.DUMMYFUNCTION("""COMPUTED_VALUE"""),"Not Available")</f>
        <v>Not Available</v>
      </c>
      <c r="E798" s="124">
        <f>IFERROR(__xludf.DUMMYFUNCTION("""COMPUTED_VALUE"""),1500609.0)</f>
        <v>1500609</v>
      </c>
      <c r="F798" s="124" t="str">
        <f>IFERROR(__xludf.DUMMYFUNCTION("""COMPUTED_VALUE"""),"904_988_7")</f>
        <v>904_988_7</v>
      </c>
      <c r="G798" s="124">
        <f>IFERROR(__xludf.DUMMYFUNCTION("""COMPUTED_VALUE"""),10000.0)</f>
        <v>10000</v>
      </c>
      <c r="H798" s="124" t="str">
        <f>IFERROR(__xludf.DUMMYFUNCTION("""COMPUTED_VALUE"""),"22/01/26")</f>
        <v>22/01/26</v>
      </c>
      <c r="I798" s="124">
        <f>IFERROR(__xludf.DUMMYFUNCTION("""COMPUTED_VALUE"""),130000.0)</f>
        <v>130000</v>
      </c>
      <c r="J798" s="124">
        <f>IFERROR(__xludf.DUMMYFUNCTION("""COMPUTED_VALUE"""),140000.0)</f>
        <v>140000</v>
      </c>
      <c r="K798" s="124">
        <f>IFERROR(__xludf.DUMMYFUNCTION("""COMPUTED_VALUE"""),2.0)</f>
        <v>2</v>
      </c>
      <c r="L798" s="124">
        <f>IFERROR(__xludf.DUMMYFUNCTION("""COMPUTED_VALUE"""),91.0)</f>
        <v>91</v>
      </c>
      <c r="M798" s="124" t="str">
        <f>IFERROR(__xludf.DUMMYFUNCTION("""COMPUTED_VALUE"""),"New Delhi")</f>
        <v>New Delhi</v>
      </c>
      <c r="N798" s="124" t="str">
        <f>IFERROR(__xludf.DUMMYFUNCTION("""COMPUTED_VALUE"""),"ritiktiwa1999@gmail.com")</f>
        <v>ritiktiwa1999@gmail.com</v>
      </c>
      <c r="O798" s="124" t="str">
        <f>IFERROR(__xludf.DUMMYFUNCTION("""COMPUTED_VALUE"""),"Ritik Tiwari")</f>
        <v>Ritik Tiwari</v>
      </c>
      <c r="P798" s="124">
        <f>IFERROR(__xludf.DUMMYFUNCTION("""COMPUTED_VALUE"""),87913.0)</f>
        <v>87913</v>
      </c>
      <c r="Q798" s="124" t="str">
        <f>IFERROR(__xludf.DUMMYFUNCTION("""COMPUTED_VALUE"""),"Not Available")</f>
        <v>Not Available</v>
      </c>
      <c r="R798" s="124" t="str">
        <f>IFERROR(__xludf.DUMMYFUNCTION("""COMPUTED_VALUE"""),"Not Available")</f>
        <v>Not Available</v>
      </c>
      <c r="S798" s="124" t="str">
        <f>IFERROR(__xludf.DUMMYFUNCTION("""COMPUTED_VALUE"""),"Not Available")</f>
        <v>Not Available</v>
      </c>
      <c r="T798" s="124" t="str">
        <f>IFERROR(__xludf.DUMMYFUNCTION("""COMPUTED_VALUE"""),"Collexo")</f>
        <v>Collexo</v>
      </c>
      <c r="U798" s="124" t="str">
        <f>IFERROR(__xludf.DUMMYFUNCTION("""COMPUTED_VALUE"""),"Success")</f>
        <v>Success</v>
      </c>
      <c r="V798" s="131">
        <f>IFERROR(__xludf.DUMMYFUNCTION("""COMPUTED_VALUE"""),46041.0)</f>
        <v>46041</v>
      </c>
      <c r="W798" s="124">
        <f>IFERROR(__xludf.DUMMYFUNCTION("""COMPUTED_VALUE"""),0.0)</f>
        <v>0</v>
      </c>
    </row>
    <row r="799">
      <c r="A799" s="124" t="str">
        <f t="shared" si="1"/>
        <v>snehakori2016@gmail.com</v>
      </c>
      <c r="B799" s="131">
        <f>IFERROR(__xludf.DUMMYFUNCTION("""COMPUTED_VALUE"""),46042.0)</f>
        <v>46042</v>
      </c>
      <c r="C799" s="124" t="str">
        <f>IFERROR(__xludf.DUMMYFUNCTION("""COMPUTED_VALUE"""),"Payment data from Collexo")</f>
        <v>Payment data from Collexo</v>
      </c>
      <c r="D799" s="124" t="str">
        <f>IFERROR(__xludf.DUMMYFUNCTION("""COMPUTED_VALUE"""),"Not Available")</f>
        <v>Not Available</v>
      </c>
      <c r="E799" s="124">
        <f>IFERROR(__xludf.DUMMYFUNCTION("""COMPUTED_VALUE"""),1500609.0)</f>
        <v>1500609</v>
      </c>
      <c r="F799" s="124" t="str">
        <f>IFERROR(__xludf.DUMMYFUNCTION("""COMPUTED_VALUE"""),"935_988_7")</f>
        <v>935_988_7</v>
      </c>
      <c r="G799" s="124">
        <f>IFERROR(__xludf.DUMMYFUNCTION("""COMPUTED_VALUE"""),130000.0)</f>
        <v>130000</v>
      </c>
      <c r="H799" s="124" t="str">
        <f>IFERROR(__xludf.DUMMYFUNCTION("""COMPUTED_VALUE"""),"Not Available")</f>
        <v>Not Available</v>
      </c>
      <c r="I799" s="124">
        <f>IFERROR(__xludf.DUMMYFUNCTION("""COMPUTED_VALUE"""),0.0)</f>
        <v>0</v>
      </c>
      <c r="J799" s="124">
        <f>IFERROR(__xludf.DUMMYFUNCTION("""COMPUTED_VALUE"""),140000.0)</f>
        <v>140000</v>
      </c>
      <c r="K799" s="124">
        <f>IFERROR(__xludf.DUMMYFUNCTION("""COMPUTED_VALUE"""),2.0)</f>
        <v>2</v>
      </c>
      <c r="L799" s="124">
        <f>IFERROR(__xludf.DUMMYFUNCTION("""COMPUTED_VALUE"""),92.0)</f>
        <v>92</v>
      </c>
      <c r="M799" s="124" t="str">
        <f>IFERROR(__xludf.DUMMYFUNCTION("""COMPUTED_VALUE"""),"New Delhi")</f>
        <v>New Delhi</v>
      </c>
      <c r="N799" s="124" t="str">
        <f>IFERROR(__xludf.DUMMYFUNCTION("""COMPUTED_VALUE"""),"snehakori2016@gmail.com")</f>
        <v>snehakori2016@gmail.com</v>
      </c>
      <c r="O799" s="124" t="str">
        <f>IFERROR(__xludf.DUMMYFUNCTION("""COMPUTED_VALUE"""),"DR Sneha")</f>
        <v>DR Sneha</v>
      </c>
      <c r="P799" s="124">
        <f>IFERROR(__xludf.DUMMYFUNCTION("""COMPUTED_VALUE"""),86621.0)</f>
        <v>86621</v>
      </c>
      <c r="Q799" s="124" t="str">
        <f>IFERROR(__xludf.DUMMYFUNCTION("""COMPUTED_VALUE"""),"Not Available")</f>
        <v>Not Available</v>
      </c>
      <c r="R799" s="124" t="str">
        <f>IFERROR(__xludf.DUMMYFUNCTION("""COMPUTED_VALUE"""),"Not Available")</f>
        <v>Not Available</v>
      </c>
      <c r="S799" s="124" t="str">
        <f>IFERROR(__xludf.DUMMYFUNCTION("""COMPUTED_VALUE"""),"Not Available")</f>
        <v>Not Available</v>
      </c>
      <c r="T799" s="124" t="str">
        <f>IFERROR(__xludf.DUMMYFUNCTION("""COMPUTED_VALUE"""),"Collexo")</f>
        <v>Collexo</v>
      </c>
      <c r="U799" s="124" t="str">
        <f>IFERROR(__xludf.DUMMYFUNCTION("""COMPUTED_VALUE"""),"Success")</f>
        <v>Success</v>
      </c>
      <c r="V799" s="131">
        <f>IFERROR(__xludf.DUMMYFUNCTION("""COMPUTED_VALUE"""),46042.0)</f>
        <v>46042</v>
      </c>
      <c r="W799" s="124">
        <f>IFERROR(__xludf.DUMMYFUNCTION("""COMPUTED_VALUE"""),0.0)</f>
        <v>0</v>
      </c>
    </row>
    <row r="800">
      <c r="A800" s="124" t="str">
        <f t="shared" si="1"/>
        <v>khushboochouhan63758@gmail.com</v>
      </c>
      <c r="B800" s="131">
        <f>IFERROR(__xludf.DUMMYFUNCTION("""COMPUTED_VALUE"""),46042.0)</f>
        <v>46042</v>
      </c>
      <c r="C800" s="124" t="str">
        <f>IFERROR(__xludf.DUMMYFUNCTION("""COMPUTED_VALUE"""),"Payment data from Collexo")</f>
        <v>Payment data from Collexo</v>
      </c>
      <c r="D800" s="124" t="str">
        <f>IFERROR(__xludf.DUMMYFUNCTION("""COMPUTED_VALUE"""),"Not Available")</f>
        <v>Not Available</v>
      </c>
      <c r="E800" s="124">
        <f>IFERROR(__xludf.DUMMYFUNCTION("""COMPUTED_VALUE"""),1500609.0)</f>
        <v>1500609</v>
      </c>
      <c r="F800" s="124" t="str">
        <f>IFERROR(__xludf.DUMMYFUNCTION("""COMPUTED_VALUE"""),"939_988_7")</f>
        <v>939_988_7</v>
      </c>
      <c r="G800" s="124">
        <f>IFERROR(__xludf.DUMMYFUNCTION("""COMPUTED_VALUE"""),1000.0)</f>
        <v>1000</v>
      </c>
      <c r="H800" s="124" t="str">
        <f>IFERROR(__xludf.DUMMYFUNCTION("""COMPUTED_VALUE"""),"21/01/26")</f>
        <v>21/01/26</v>
      </c>
      <c r="I800" s="124">
        <f>IFERROR(__xludf.DUMMYFUNCTION("""COMPUTED_VALUE"""),4000.0)</f>
        <v>4000</v>
      </c>
      <c r="J800" s="124">
        <f>IFERROR(__xludf.DUMMYFUNCTION("""COMPUTED_VALUE"""),80000.0)</f>
        <v>80000</v>
      </c>
      <c r="K800" s="124">
        <f>IFERROR(__xludf.DUMMYFUNCTION("""COMPUTED_VALUE"""),2.0)</f>
        <v>2</v>
      </c>
      <c r="L800" s="124">
        <f>IFERROR(__xludf.DUMMYFUNCTION("""COMPUTED_VALUE"""),93.0)</f>
        <v>93</v>
      </c>
      <c r="M800" s="124" t="str">
        <f>IFERROR(__xludf.DUMMYFUNCTION("""COMPUTED_VALUE"""),"New Delhi")</f>
        <v>New Delhi</v>
      </c>
      <c r="N800" s="124" t="str">
        <f>IFERROR(__xludf.DUMMYFUNCTION("""COMPUTED_VALUE"""),"khushboochouhan63758@gmail.com")</f>
        <v>khushboochouhan63758@gmail.com</v>
      </c>
      <c r="O800" s="124" t="str">
        <f>IFERROR(__xludf.DUMMYFUNCTION("""COMPUTED_VALUE"""),"Khushboo .")</f>
        <v>Khushboo .</v>
      </c>
      <c r="P800" s="124">
        <f>IFERROR(__xludf.DUMMYFUNCTION("""COMPUTED_VALUE"""),83222.0)</f>
        <v>83222</v>
      </c>
      <c r="Q800" s="124" t="str">
        <f>IFERROR(__xludf.DUMMYFUNCTION("""COMPUTED_VALUE"""),"Not Available")</f>
        <v>Not Available</v>
      </c>
      <c r="R800" s="124" t="str">
        <f>IFERROR(__xludf.DUMMYFUNCTION("""COMPUTED_VALUE"""),"Not Available")</f>
        <v>Not Available</v>
      </c>
      <c r="S800" s="124" t="str">
        <f>IFERROR(__xludf.DUMMYFUNCTION("""COMPUTED_VALUE"""),"Not Available")</f>
        <v>Not Available</v>
      </c>
      <c r="T800" s="124" t="str">
        <f>IFERROR(__xludf.DUMMYFUNCTION("""COMPUTED_VALUE"""),"Collexo")</f>
        <v>Collexo</v>
      </c>
      <c r="U800" s="124" t="str">
        <f>IFERROR(__xludf.DUMMYFUNCTION("""COMPUTED_VALUE"""),"Success")</f>
        <v>Success</v>
      </c>
      <c r="V800" s="131">
        <f>IFERROR(__xludf.DUMMYFUNCTION("""COMPUTED_VALUE"""),46042.0)</f>
        <v>46042</v>
      </c>
      <c r="W800" s="124">
        <f>IFERROR(__xludf.DUMMYFUNCTION("""COMPUTED_VALUE"""),0.0)</f>
        <v>0</v>
      </c>
    </row>
    <row r="801">
      <c r="A801" s="124" t="str">
        <f t="shared" si="1"/>
        <v>khushboochouhan63758@gmail.com</v>
      </c>
      <c r="B801" s="131">
        <f>IFERROR(__xludf.DUMMYFUNCTION("""COMPUTED_VALUE"""),46042.0)</f>
        <v>46042</v>
      </c>
      <c r="C801" s="124" t="str">
        <f>IFERROR(__xludf.DUMMYFUNCTION("""COMPUTED_VALUE"""),"Payment data from Collexo")</f>
        <v>Payment data from Collexo</v>
      </c>
      <c r="D801" s="124" t="str">
        <f>IFERROR(__xludf.DUMMYFUNCTION("""COMPUTED_VALUE"""),"Not Available")</f>
        <v>Not Available</v>
      </c>
      <c r="E801" s="124">
        <f>IFERROR(__xludf.DUMMYFUNCTION("""COMPUTED_VALUE"""),1500609.0)</f>
        <v>1500609</v>
      </c>
      <c r="F801" s="124" t="str">
        <f>IFERROR(__xludf.DUMMYFUNCTION("""COMPUTED_VALUE"""),"940_988_7")</f>
        <v>940_988_7</v>
      </c>
      <c r="G801" s="124">
        <f>IFERROR(__xludf.DUMMYFUNCTION("""COMPUTED_VALUE"""),4000.0)</f>
        <v>4000</v>
      </c>
      <c r="H801" s="124" t="str">
        <f>IFERROR(__xludf.DUMMYFUNCTION("""COMPUTED_VALUE"""),"22/01/26")</f>
        <v>22/01/26</v>
      </c>
      <c r="I801" s="124">
        <f>IFERROR(__xludf.DUMMYFUNCTION("""COMPUTED_VALUE"""),75000.0)</f>
        <v>75000</v>
      </c>
      <c r="J801" s="124">
        <f>IFERROR(__xludf.DUMMYFUNCTION("""COMPUTED_VALUE"""),80000.0)</f>
        <v>80000</v>
      </c>
      <c r="K801" s="124">
        <f>IFERROR(__xludf.DUMMYFUNCTION("""COMPUTED_VALUE"""),2.0)</f>
        <v>2</v>
      </c>
      <c r="L801" s="124">
        <f>IFERROR(__xludf.DUMMYFUNCTION("""COMPUTED_VALUE"""),94.0)</f>
        <v>94</v>
      </c>
      <c r="M801" s="124" t="str">
        <f>IFERROR(__xludf.DUMMYFUNCTION("""COMPUTED_VALUE"""),"New Delhi")</f>
        <v>New Delhi</v>
      </c>
      <c r="N801" s="124" t="str">
        <f>IFERROR(__xludf.DUMMYFUNCTION("""COMPUTED_VALUE"""),"khushboochouhan63758@gmail.com")</f>
        <v>khushboochouhan63758@gmail.com</v>
      </c>
      <c r="O801" s="124" t="str">
        <f>IFERROR(__xludf.DUMMYFUNCTION("""COMPUTED_VALUE"""),"Khushboo .")</f>
        <v>Khushboo .</v>
      </c>
      <c r="P801" s="124">
        <f>IFERROR(__xludf.DUMMYFUNCTION("""COMPUTED_VALUE"""),83222.0)</f>
        <v>83222</v>
      </c>
      <c r="Q801" s="124" t="str">
        <f>IFERROR(__xludf.DUMMYFUNCTION("""COMPUTED_VALUE"""),"Not Available")</f>
        <v>Not Available</v>
      </c>
      <c r="R801" s="124" t="str">
        <f>IFERROR(__xludf.DUMMYFUNCTION("""COMPUTED_VALUE"""),"Not Available")</f>
        <v>Not Available</v>
      </c>
      <c r="S801" s="124" t="str">
        <f>IFERROR(__xludf.DUMMYFUNCTION("""COMPUTED_VALUE"""),"Not Available")</f>
        <v>Not Available</v>
      </c>
      <c r="T801" s="124" t="str">
        <f>IFERROR(__xludf.DUMMYFUNCTION("""COMPUTED_VALUE"""),"Collexo")</f>
        <v>Collexo</v>
      </c>
      <c r="U801" s="124" t="str">
        <f>IFERROR(__xludf.DUMMYFUNCTION("""COMPUTED_VALUE"""),"Success")</f>
        <v>Success</v>
      </c>
      <c r="V801" s="131">
        <f>IFERROR(__xludf.DUMMYFUNCTION("""COMPUTED_VALUE"""),46042.0)</f>
        <v>46042</v>
      </c>
      <c r="W801" s="124">
        <f>IFERROR(__xludf.DUMMYFUNCTION("""COMPUTED_VALUE"""),0.0)</f>
        <v>0</v>
      </c>
    </row>
    <row r="802">
      <c r="A802" s="124" t="str">
        <f t="shared" si="1"/>
        <v>fgdhjgkh@gmail.com</v>
      </c>
      <c r="B802" s="131">
        <f>IFERROR(__xludf.DUMMYFUNCTION("""COMPUTED_VALUE"""),46042.0)</f>
        <v>46042</v>
      </c>
      <c r="C802" s="124" t="str">
        <f>IFERROR(__xludf.DUMMYFUNCTION("""COMPUTED_VALUE"""),"Payment data from Collexo")</f>
        <v>Payment data from Collexo</v>
      </c>
      <c r="D802" s="124" t="str">
        <f>IFERROR(__xludf.DUMMYFUNCTION("""COMPUTED_VALUE"""),"Not Available")</f>
        <v>Not Available</v>
      </c>
      <c r="E802" s="124">
        <f>IFERROR(__xludf.DUMMYFUNCTION("""COMPUTED_VALUE"""),1500609.0)</f>
        <v>1500609</v>
      </c>
      <c r="F802" s="124" t="str">
        <f>IFERROR(__xludf.DUMMYFUNCTION("""COMPUTED_VALUE"""),"948_988_7")</f>
        <v>948_988_7</v>
      </c>
      <c r="G802" s="124">
        <f>IFERROR(__xludf.DUMMYFUNCTION("""COMPUTED_VALUE"""),10000.0)</f>
        <v>10000</v>
      </c>
      <c r="H802" s="124" t="str">
        <f>IFERROR(__xludf.DUMMYFUNCTION("""COMPUTED_VALUE"""),"24/01/26")</f>
        <v>24/01/26</v>
      </c>
      <c r="I802" s="124">
        <f>IFERROR(__xludf.DUMMYFUNCTION("""COMPUTED_VALUE"""),90000.0)</f>
        <v>90000</v>
      </c>
      <c r="J802" s="124">
        <f>IFERROR(__xludf.DUMMYFUNCTION("""COMPUTED_VALUE"""),100000.0)</f>
        <v>100000</v>
      </c>
      <c r="K802" s="124">
        <f>IFERROR(__xludf.DUMMYFUNCTION("""COMPUTED_VALUE"""),2.0)</f>
        <v>2</v>
      </c>
      <c r="L802" s="124">
        <f>IFERROR(__xludf.DUMMYFUNCTION("""COMPUTED_VALUE"""),95.0)</f>
        <v>95</v>
      </c>
      <c r="M802" s="124" t="str">
        <f>IFERROR(__xludf.DUMMYFUNCTION("""COMPUTED_VALUE"""),"New Delhi")</f>
        <v>New Delhi</v>
      </c>
      <c r="N802" s="124" t="str">
        <f>IFERROR(__xludf.DUMMYFUNCTION("""COMPUTED_VALUE"""),"fgdhjgkh@gmail.com")</f>
        <v>fgdhjgkh@gmail.com</v>
      </c>
      <c r="O802" s="124" t="str">
        <f>IFERROR(__xludf.DUMMYFUNCTION("""COMPUTED_VALUE"""),"Rishabh Tiwari")</f>
        <v>Rishabh Tiwari</v>
      </c>
      <c r="P802" s="124">
        <f>IFERROR(__xludf.DUMMYFUNCTION("""COMPUTED_VALUE"""),83218.0)</f>
        <v>83218</v>
      </c>
      <c r="Q802" s="124" t="str">
        <f>IFERROR(__xludf.DUMMYFUNCTION("""COMPUTED_VALUE"""),"Not Available")</f>
        <v>Not Available</v>
      </c>
      <c r="R802" s="124" t="str">
        <f>IFERROR(__xludf.DUMMYFUNCTION("""COMPUTED_VALUE"""),"Not Available")</f>
        <v>Not Available</v>
      </c>
      <c r="S802" s="124" t="str">
        <f>IFERROR(__xludf.DUMMYFUNCTION("""COMPUTED_VALUE"""),"Not Available")</f>
        <v>Not Available</v>
      </c>
      <c r="T802" s="124" t="str">
        <f>IFERROR(__xludf.DUMMYFUNCTION("""COMPUTED_VALUE"""),"Collexo")</f>
        <v>Collexo</v>
      </c>
      <c r="U802" s="124" t="str">
        <f>IFERROR(__xludf.DUMMYFUNCTION("""COMPUTED_VALUE"""),"Success")</f>
        <v>Success</v>
      </c>
      <c r="V802" s="131">
        <f>IFERROR(__xludf.DUMMYFUNCTION("""COMPUTED_VALUE"""),46042.0)</f>
        <v>46042</v>
      </c>
      <c r="W802" s="124">
        <f>IFERROR(__xludf.DUMMYFUNCTION("""COMPUTED_VALUE"""),0.0)</f>
        <v>0</v>
      </c>
    </row>
    <row r="803">
      <c r="A803" s="124" t="str">
        <f t="shared" si="1"/>
        <v>aryanthapa2909@gmail.com</v>
      </c>
      <c r="B803" s="131">
        <f>IFERROR(__xludf.DUMMYFUNCTION("""COMPUTED_VALUE"""),46042.0)</f>
        <v>46042</v>
      </c>
      <c r="C803" s="124" t="str">
        <f>IFERROR(__xludf.DUMMYFUNCTION("""COMPUTED_VALUE"""),"Payment data from Collexo")</f>
        <v>Payment data from Collexo</v>
      </c>
      <c r="D803" s="124" t="str">
        <f>IFERROR(__xludf.DUMMYFUNCTION("""COMPUTED_VALUE"""),"Not Available")</f>
        <v>Not Available</v>
      </c>
      <c r="E803" s="124">
        <f>IFERROR(__xludf.DUMMYFUNCTION("""COMPUTED_VALUE"""),1500609.0)</f>
        <v>1500609</v>
      </c>
      <c r="F803" s="124" t="str">
        <f>IFERROR(__xludf.DUMMYFUNCTION("""COMPUTED_VALUE"""),"964_988_7")</f>
        <v>964_988_7</v>
      </c>
      <c r="G803" s="124">
        <f>IFERROR(__xludf.DUMMYFUNCTION("""COMPUTED_VALUE"""),131250.0)</f>
        <v>131250</v>
      </c>
      <c r="H803" s="124" t="str">
        <f>IFERROR(__xludf.DUMMYFUNCTION("""COMPUTED_VALUE"""),"Not Available")</f>
        <v>Not Available</v>
      </c>
      <c r="I803" s="124">
        <f>IFERROR(__xludf.DUMMYFUNCTION("""COMPUTED_VALUE"""),0.0)</f>
        <v>0</v>
      </c>
      <c r="J803" s="124">
        <f>IFERROR(__xludf.DUMMYFUNCTION("""COMPUTED_VALUE"""),175000.0)</f>
        <v>175000</v>
      </c>
      <c r="K803" s="124">
        <f>IFERROR(__xludf.DUMMYFUNCTION("""COMPUTED_VALUE"""),2.0)</f>
        <v>2</v>
      </c>
      <c r="L803" s="124">
        <f>IFERROR(__xludf.DUMMYFUNCTION("""COMPUTED_VALUE"""),96.0)</f>
        <v>96</v>
      </c>
      <c r="M803" s="124" t="str">
        <f>IFERROR(__xludf.DUMMYFUNCTION("""COMPUTED_VALUE"""),"New Delhi")</f>
        <v>New Delhi</v>
      </c>
      <c r="N803" s="124" t="str">
        <f>IFERROR(__xludf.DUMMYFUNCTION("""COMPUTED_VALUE"""),"aryanthapa2909@gmail.com")</f>
        <v>aryanthapa2909@gmail.com</v>
      </c>
      <c r="O803" s="124" t="str">
        <f>IFERROR(__xludf.DUMMYFUNCTION("""COMPUTED_VALUE"""),"Aryan Thapa")</f>
        <v>Aryan Thapa</v>
      </c>
      <c r="P803" s="124">
        <f>IFERROR(__xludf.DUMMYFUNCTION("""COMPUTED_VALUE"""),83152.0)</f>
        <v>83152</v>
      </c>
      <c r="Q803" s="124" t="str">
        <f>IFERROR(__xludf.DUMMYFUNCTION("""COMPUTED_VALUE"""),"Not Available")</f>
        <v>Not Available</v>
      </c>
      <c r="R803" s="124" t="str">
        <f>IFERROR(__xludf.DUMMYFUNCTION("""COMPUTED_VALUE"""),"Not Available")</f>
        <v>Not Available</v>
      </c>
      <c r="S803" s="124" t="str">
        <f>IFERROR(__xludf.DUMMYFUNCTION("""COMPUTED_VALUE"""),"Not Available")</f>
        <v>Not Available</v>
      </c>
      <c r="T803" s="124" t="str">
        <f>IFERROR(__xludf.DUMMYFUNCTION("""COMPUTED_VALUE"""),"Collexo")</f>
        <v>Collexo</v>
      </c>
      <c r="U803" s="124" t="str">
        <f>IFERROR(__xludf.DUMMYFUNCTION("""COMPUTED_VALUE"""),"Success")</f>
        <v>Success</v>
      </c>
      <c r="V803" s="131">
        <f>IFERROR(__xludf.DUMMYFUNCTION("""COMPUTED_VALUE"""),46042.0)</f>
        <v>46042</v>
      </c>
      <c r="W803" s="124">
        <f>IFERROR(__xludf.DUMMYFUNCTION("""COMPUTED_VALUE"""),0.0)</f>
        <v>0</v>
      </c>
    </row>
    <row r="804">
      <c r="A804" s="124" t="str">
        <f t="shared" si="1"/>
        <v>nehasoni080624@gmail.com</v>
      </c>
      <c r="B804" s="131">
        <f>IFERROR(__xludf.DUMMYFUNCTION("""COMPUTED_VALUE"""),46043.0)</f>
        <v>46043</v>
      </c>
      <c r="C804" s="124" t="str">
        <f>IFERROR(__xludf.DUMMYFUNCTION("""COMPUTED_VALUE"""),"Payment data from Collexo")</f>
        <v>Payment data from Collexo</v>
      </c>
      <c r="D804" s="124" t="str">
        <f>IFERROR(__xludf.DUMMYFUNCTION("""COMPUTED_VALUE"""),"Not Available")</f>
        <v>Not Available</v>
      </c>
      <c r="E804" s="124">
        <f>IFERROR(__xludf.DUMMYFUNCTION("""COMPUTED_VALUE"""),1500609.0)</f>
        <v>1500609</v>
      </c>
      <c r="F804" s="124" t="str">
        <f>IFERROR(__xludf.DUMMYFUNCTION("""COMPUTED_VALUE"""),"1214_988_7")</f>
        <v>1214_988_7</v>
      </c>
      <c r="G804" s="124">
        <f>IFERROR(__xludf.DUMMYFUNCTION("""COMPUTED_VALUE"""),5000.0)</f>
        <v>5000</v>
      </c>
      <c r="H804" s="124" t="str">
        <f>IFERROR(__xludf.DUMMYFUNCTION("""COMPUTED_VALUE"""),"22/01/26")</f>
        <v>22/01/26</v>
      </c>
      <c r="I804" s="124">
        <f>IFERROR(__xludf.DUMMYFUNCTION("""COMPUTED_VALUE"""),5000.0)</f>
        <v>5000</v>
      </c>
      <c r="J804" s="124">
        <f>IFERROR(__xludf.DUMMYFUNCTION("""COMPUTED_VALUE"""),110000.0)</f>
        <v>110000</v>
      </c>
      <c r="K804" s="124">
        <f>IFERROR(__xludf.DUMMYFUNCTION("""COMPUTED_VALUE"""),2.0)</f>
        <v>2</v>
      </c>
      <c r="L804" s="124">
        <f>IFERROR(__xludf.DUMMYFUNCTION("""COMPUTED_VALUE"""),97.0)</f>
        <v>97</v>
      </c>
      <c r="M804" s="124" t="str">
        <f>IFERROR(__xludf.DUMMYFUNCTION("""COMPUTED_VALUE"""),"New Delhi")</f>
        <v>New Delhi</v>
      </c>
      <c r="N804" s="124" t="str">
        <f>IFERROR(__xludf.DUMMYFUNCTION("""COMPUTED_VALUE"""),"nehasoni080624@gmail.com")</f>
        <v>nehasoni080624@gmail.com</v>
      </c>
      <c r="O804" s="124" t="str">
        <f>IFERROR(__xludf.DUMMYFUNCTION("""COMPUTED_VALUE"""),"Neha soni")</f>
        <v>Neha soni</v>
      </c>
      <c r="P804" s="124">
        <f>IFERROR(__xludf.DUMMYFUNCTION("""COMPUTED_VALUE"""),87938.0)</f>
        <v>87938</v>
      </c>
      <c r="Q804" s="124" t="str">
        <f>IFERROR(__xludf.DUMMYFUNCTION("""COMPUTED_VALUE"""),"Not Available")</f>
        <v>Not Available</v>
      </c>
      <c r="R804" s="124" t="str">
        <f>IFERROR(__xludf.DUMMYFUNCTION("""COMPUTED_VALUE"""),"Not Available")</f>
        <v>Not Available</v>
      </c>
      <c r="S804" s="124" t="str">
        <f>IFERROR(__xludf.DUMMYFUNCTION("""COMPUTED_VALUE"""),"Not Available")</f>
        <v>Not Available</v>
      </c>
      <c r="T804" s="124" t="str">
        <f>IFERROR(__xludf.DUMMYFUNCTION("""COMPUTED_VALUE"""),"Collexo")</f>
        <v>Collexo</v>
      </c>
      <c r="U804" s="124" t="str">
        <f>IFERROR(__xludf.DUMMYFUNCTION("""COMPUTED_VALUE"""),"Success")</f>
        <v>Success</v>
      </c>
      <c r="V804" s="131">
        <f>IFERROR(__xludf.DUMMYFUNCTION("""COMPUTED_VALUE"""),46043.0)</f>
        <v>46043</v>
      </c>
      <c r="W804" s="124">
        <f>IFERROR(__xludf.DUMMYFUNCTION("""COMPUTED_VALUE"""),0.0)</f>
        <v>0</v>
      </c>
    </row>
    <row r="805">
      <c r="A805" s="124" t="str">
        <f t="shared" si="1"/>
        <v>nehasoni080624@gmail.com</v>
      </c>
      <c r="B805" s="131">
        <f>IFERROR(__xludf.DUMMYFUNCTION("""COMPUTED_VALUE"""),46043.0)</f>
        <v>46043</v>
      </c>
      <c r="C805" s="124" t="str">
        <f>IFERROR(__xludf.DUMMYFUNCTION("""COMPUTED_VALUE"""),"Payment data from Collexo")</f>
        <v>Payment data from Collexo</v>
      </c>
      <c r="D805" s="124" t="str">
        <f>IFERROR(__xludf.DUMMYFUNCTION("""COMPUTED_VALUE"""),"Not Available")</f>
        <v>Not Available</v>
      </c>
      <c r="E805" s="124">
        <f>IFERROR(__xludf.DUMMYFUNCTION("""COMPUTED_VALUE"""),1500609.0)</f>
        <v>1500609</v>
      </c>
      <c r="F805" s="124" t="str">
        <f>IFERROR(__xludf.DUMMYFUNCTION("""COMPUTED_VALUE"""),"1219_988_7")</f>
        <v>1219_988_7</v>
      </c>
      <c r="G805" s="124">
        <f>IFERROR(__xludf.DUMMYFUNCTION("""COMPUTED_VALUE"""),5000.0)</f>
        <v>5000</v>
      </c>
      <c r="H805" s="124" t="str">
        <f>IFERROR(__xludf.DUMMYFUNCTION("""COMPUTED_VALUE"""),"23/01/26")</f>
        <v>23/01/26</v>
      </c>
      <c r="I805" s="124">
        <f>IFERROR(__xludf.DUMMYFUNCTION("""COMPUTED_VALUE"""),100000.0)</f>
        <v>100000</v>
      </c>
      <c r="J805" s="124">
        <f>IFERROR(__xludf.DUMMYFUNCTION("""COMPUTED_VALUE"""),110000.0)</f>
        <v>110000</v>
      </c>
      <c r="K805" s="124">
        <f>IFERROR(__xludf.DUMMYFUNCTION("""COMPUTED_VALUE"""),2.0)</f>
        <v>2</v>
      </c>
      <c r="L805" s="124">
        <f>IFERROR(__xludf.DUMMYFUNCTION("""COMPUTED_VALUE"""),98.0)</f>
        <v>98</v>
      </c>
      <c r="M805" s="124" t="str">
        <f>IFERROR(__xludf.DUMMYFUNCTION("""COMPUTED_VALUE"""),"New Delhi")</f>
        <v>New Delhi</v>
      </c>
      <c r="N805" s="124" t="str">
        <f>IFERROR(__xludf.DUMMYFUNCTION("""COMPUTED_VALUE"""),"nehasoni080624@gmail.com")</f>
        <v>nehasoni080624@gmail.com</v>
      </c>
      <c r="O805" s="124" t="str">
        <f>IFERROR(__xludf.DUMMYFUNCTION("""COMPUTED_VALUE"""),"Neha soni")</f>
        <v>Neha soni</v>
      </c>
      <c r="P805" s="124">
        <f>IFERROR(__xludf.DUMMYFUNCTION("""COMPUTED_VALUE"""),87938.0)</f>
        <v>87938</v>
      </c>
      <c r="Q805" s="124" t="str">
        <f>IFERROR(__xludf.DUMMYFUNCTION("""COMPUTED_VALUE"""),"Not Available")</f>
        <v>Not Available</v>
      </c>
      <c r="R805" s="124" t="str">
        <f>IFERROR(__xludf.DUMMYFUNCTION("""COMPUTED_VALUE"""),"Not Available")</f>
        <v>Not Available</v>
      </c>
      <c r="S805" s="124" t="str">
        <f>IFERROR(__xludf.DUMMYFUNCTION("""COMPUTED_VALUE"""),"Not Available")</f>
        <v>Not Available</v>
      </c>
      <c r="T805" s="124" t="str">
        <f>IFERROR(__xludf.DUMMYFUNCTION("""COMPUTED_VALUE"""),"Collexo")</f>
        <v>Collexo</v>
      </c>
      <c r="U805" s="124" t="str">
        <f>IFERROR(__xludf.DUMMYFUNCTION("""COMPUTED_VALUE"""),"Success")</f>
        <v>Success</v>
      </c>
      <c r="V805" s="131">
        <f>IFERROR(__xludf.DUMMYFUNCTION("""COMPUTED_VALUE"""),46043.0)</f>
        <v>46043</v>
      </c>
      <c r="W805" s="124">
        <f>IFERROR(__xludf.DUMMYFUNCTION("""COMPUTED_VALUE"""),0.0)</f>
        <v>0</v>
      </c>
    </row>
    <row r="806">
      <c r="A806" s="124" t="str">
        <f t="shared" si="1"/>
        <v>khushboochouhan63758@gmail.com</v>
      </c>
      <c r="B806" s="131">
        <f>IFERROR(__xludf.DUMMYFUNCTION("""COMPUTED_VALUE"""),46043.0)</f>
        <v>46043</v>
      </c>
      <c r="C806" s="124" t="str">
        <f>IFERROR(__xludf.DUMMYFUNCTION("""COMPUTED_VALUE"""),"Payment data from Collexo")</f>
        <v>Payment data from Collexo</v>
      </c>
      <c r="D806" s="124" t="str">
        <f>IFERROR(__xludf.DUMMYFUNCTION("""COMPUTED_VALUE"""),"Not Available")</f>
        <v>Not Available</v>
      </c>
      <c r="E806" s="124">
        <f>IFERROR(__xludf.DUMMYFUNCTION("""COMPUTED_VALUE"""),1500609.0)</f>
        <v>1500609</v>
      </c>
      <c r="F806" s="124" t="str">
        <f>IFERROR(__xludf.DUMMYFUNCTION("""COMPUTED_VALUE"""),"1356_988_7")</f>
        <v>1356_988_7</v>
      </c>
      <c r="G806" s="124">
        <f>IFERROR(__xludf.DUMMYFUNCTION("""COMPUTED_VALUE"""),75000.0)</f>
        <v>75000</v>
      </c>
      <c r="H806" s="124" t="str">
        <f>IFERROR(__xludf.DUMMYFUNCTION("""COMPUTED_VALUE"""),"Not Available")</f>
        <v>Not Available</v>
      </c>
      <c r="I806" s="124">
        <f>IFERROR(__xludf.DUMMYFUNCTION("""COMPUTED_VALUE"""),0.0)</f>
        <v>0</v>
      </c>
      <c r="J806" s="124">
        <f>IFERROR(__xludf.DUMMYFUNCTION("""COMPUTED_VALUE"""),80000.0)</f>
        <v>80000</v>
      </c>
      <c r="K806" s="124">
        <f>IFERROR(__xludf.DUMMYFUNCTION("""COMPUTED_VALUE"""),2.0)</f>
        <v>2</v>
      </c>
      <c r="L806" s="124">
        <f>IFERROR(__xludf.DUMMYFUNCTION("""COMPUTED_VALUE"""),99.0)</f>
        <v>99</v>
      </c>
      <c r="M806" s="124" t="str">
        <f>IFERROR(__xludf.DUMMYFUNCTION("""COMPUTED_VALUE"""),"New Delhi")</f>
        <v>New Delhi</v>
      </c>
      <c r="N806" s="124" t="str">
        <f>IFERROR(__xludf.DUMMYFUNCTION("""COMPUTED_VALUE"""),"khushboochouhan63758@gmail.com")</f>
        <v>khushboochouhan63758@gmail.com</v>
      </c>
      <c r="O806" s="124" t="str">
        <f>IFERROR(__xludf.DUMMYFUNCTION("""COMPUTED_VALUE"""),"Khushboo .")</f>
        <v>Khushboo .</v>
      </c>
      <c r="P806" s="124">
        <f>IFERROR(__xludf.DUMMYFUNCTION("""COMPUTED_VALUE"""),83222.0)</f>
        <v>83222</v>
      </c>
      <c r="Q806" s="124" t="str">
        <f>IFERROR(__xludf.DUMMYFUNCTION("""COMPUTED_VALUE"""),"Not Available")</f>
        <v>Not Available</v>
      </c>
      <c r="R806" s="124" t="str">
        <f>IFERROR(__xludf.DUMMYFUNCTION("""COMPUTED_VALUE"""),"Not Available")</f>
        <v>Not Available</v>
      </c>
      <c r="S806" s="124" t="str">
        <f>IFERROR(__xludf.DUMMYFUNCTION("""COMPUTED_VALUE"""),"Not Available")</f>
        <v>Not Available</v>
      </c>
      <c r="T806" s="124" t="str">
        <f>IFERROR(__xludf.DUMMYFUNCTION("""COMPUTED_VALUE"""),"Collexo")</f>
        <v>Collexo</v>
      </c>
      <c r="U806" s="124" t="str">
        <f>IFERROR(__xludf.DUMMYFUNCTION("""COMPUTED_VALUE"""),"Success")</f>
        <v>Success</v>
      </c>
      <c r="V806" s="131">
        <f>IFERROR(__xludf.DUMMYFUNCTION("""COMPUTED_VALUE"""),46043.0)</f>
        <v>46043</v>
      </c>
      <c r="W806" s="124">
        <f>IFERROR(__xludf.DUMMYFUNCTION("""COMPUTED_VALUE"""),0.0)</f>
        <v>0</v>
      </c>
    </row>
    <row r="807">
      <c r="A807" s="124" t="str">
        <f t="shared" si="1"/>
        <v>sanginijalota242@gmail.com</v>
      </c>
      <c r="B807" s="131">
        <f>IFERROR(__xludf.DUMMYFUNCTION("""COMPUTED_VALUE"""),46043.0)</f>
        <v>46043</v>
      </c>
      <c r="C807" s="124" t="str">
        <f>IFERROR(__xludf.DUMMYFUNCTION("""COMPUTED_VALUE"""),"Payment data from Collexo")</f>
        <v>Payment data from Collexo</v>
      </c>
      <c r="D807" s="124" t="str">
        <f>IFERROR(__xludf.DUMMYFUNCTION("""COMPUTED_VALUE"""),"Not Available")</f>
        <v>Not Available</v>
      </c>
      <c r="E807" s="124">
        <f>IFERROR(__xludf.DUMMYFUNCTION("""COMPUTED_VALUE"""),1500609.0)</f>
        <v>1500609</v>
      </c>
      <c r="F807" s="124" t="str">
        <f>IFERROR(__xludf.DUMMYFUNCTION("""COMPUTED_VALUE"""),"1361_988_7")</f>
        <v>1361_988_7</v>
      </c>
      <c r="G807" s="124">
        <f>IFERROR(__xludf.DUMMYFUNCTION("""COMPUTED_VALUE"""),7000.0)</f>
        <v>7000</v>
      </c>
      <c r="H807" s="124" t="str">
        <f>IFERROR(__xludf.DUMMYFUNCTION("""COMPUTED_VALUE"""),"31/01/26")</f>
        <v>31/01/26</v>
      </c>
      <c r="I807" s="124">
        <f>IFERROR(__xludf.DUMMYFUNCTION("""COMPUTED_VALUE"""),63000.0)</f>
        <v>63000</v>
      </c>
      <c r="J807" s="124">
        <f>IFERROR(__xludf.DUMMYFUNCTION("""COMPUTED_VALUE"""),70000.0)</f>
        <v>70000</v>
      </c>
      <c r="K807" s="124">
        <f>IFERROR(__xludf.DUMMYFUNCTION("""COMPUTED_VALUE"""),2.0)</f>
        <v>2</v>
      </c>
      <c r="L807" s="124">
        <f>IFERROR(__xludf.DUMMYFUNCTION("""COMPUTED_VALUE"""),100.0)</f>
        <v>100</v>
      </c>
      <c r="M807" s="124" t="str">
        <f>IFERROR(__xludf.DUMMYFUNCTION("""COMPUTED_VALUE"""),"New Delhi")</f>
        <v>New Delhi</v>
      </c>
      <c r="N807" s="124" t="str">
        <f>IFERROR(__xludf.DUMMYFUNCTION("""COMPUTED_VALUE"""),"sanginijalota242@gmail.com")</f>
        <v>sanginijalota242@gmail.com</v>
      </c>
      <c r="O807" s="124" t="str">
        <f>IFERROR(__xludf.DUMMYFUNCTION("""COMPUTED_VALUE"""),"sangani Jalota")</f>
        <v>sangani Jalota</v>
      </c>
      <c r="P807" s="124">
        <f>IFERROR(__xludf.DUMMYFUNCTION("""COMPUTED_VALUE"""),88190.0)</f>
        <v>88190</v>
      </c>
      <c r="Q807" s="124" t="str">
        <f>IFERROR(__xludf.DUMMYFUNCTION("""COMPUTED_VALUE"""),"Not Available")</f>
        <v>Not Available</v>
      </c>
      <c r="R807" s="124" t="str">
        <f>IFERROR(__xludf.DUMMYFUNCTION("""COMPUTED_VALUE"""),"Not Available")</f>
        <v>Not Available</v>
      </c>
      <c r="S807" s="124" t="str">
        <f>IFERROR(__xludf.DUMMYFUNCTION("""COMPUTED_VALUE"""),"Not Available")</f>
        <v>Not Available</v>
      </c>
      <c r="T807" s="124" t="str">
        <f>IFERROR(__xludf.DUMMYFUNCTION("""COMPUTED_VALUE"""),"Collexo")</f>
        <v>Collexo</v>
      </c>
      <c r="U807" s="124" t="str">
        <f>IFERROR(__xludf.DUMMYFUNCTION("""COMPUTED_VALUE"""),"Success")</f>
        <v>Success</v>
      </c>
      <c r="V807" s="131">
        <f>IFERROR(__xludf.DUMMYFUNCTION("""COMPUTED_VALUE"""),46043.0)</f>
        <v>46043</v>
      </c>
      <c r="W807" s="124">
        <f>IFERROR(__xludf.DUMMYFUNCTION("""COMPUTED_VALUE"""),0.0)</f>
        <v>0</v>
      </c>
    </row>
    <row r="808">
      <c r="A808" s="124" t="str">
        <f t="shared" si="1"/>
        <v>Afzalsiddiqui227@gmail.com</v>
      </c>
      <c r="B808" s="131">
        <f>IFERROR(__xludf.DUMMYFUNCTION("""COMPUTED_VALUE"""),46043.0)</f>
        <v>46043</v>
      </c>
      <c r="C808" s="124" t="str">
        <f>IFERROR(__xludf.DUMMYFUNCTION("""COMPUTED_VALUE"""),"Payment data from Collexo")</f>
        <v>Payment data from Collexo</v>
      </c>
      <c r="D808" s="124" t="str">
        <f>IFERROR(__xludf.DUMMYFUNCTION("""COMPUTED_VALUE"""),"Not Available")</f>
        <v>Not Available</v>
      </c>
      <c r="E808" s="124">
        <f>IFERROR(__xludf.DUMMYFUNCTION("""COMPUTED_VALUE"""),1500609.0)</f>
        <v>1500609</v>
      </c>
      <c r="F808" s="124" t="str">
        <f>IFERROR(__xludf.DUMMYFUNCTION("""COMPUTED_VALUE"""),"1438_988_7")</f>
        <v>1438_988_7</v>
      </c>
      <c r="G808" s="124">
        <f>IFERROR(__xludf.DUMMYFUNCTION("""COMPUTED_VALUE"""),110000.0)</f>
        <v>110000</v>
      </c>
      <c r="H808" s="124" t="str">
        <f>IFERROR(__xludf.DUMMYFUNCTION("""COMPUTED_VALUE"""),"Not Available")</f>
        <v>Not Available</v>
      </c>
      <c r="I808" s="124">
        <f>IFERROR(__xludf.DUMMYFUNCTION("""COMPUTED_VALUE"""),0.0)</f>
        <v>0</v>
      </c>
      <c r="J808" s="124">
        <f>IFERROR(__xludf.DUMMYFUNCTION("""COMPUTED_VALUE"""),130000.0)</f>
        <v>130000</v>
      </c>
      <c r="K808" s="124">
        <f>IFERROR(__xludf.DUMMYFUNCTION("""COMPUTED_VALUE"""),2.0)</f>
        <v>2</v>
      </c>
      <c r="L808" s="124">
        <f>IFERROR(__xludf.DUMMYFUNCTION("""COMPUTED_VALUE"""),101.0)</f>
        <v>101</v>
      </c>
      <c r="M808" s="124" t="str">
        <f>IFERROR(__xludf.DUMMYFUNCTION("""COMPUTED_VALUE"""),"New Delhi")</f>
        <v>New Delhi</v>
      </c>
      <c r="N808" s="124" t="str">
        <f>IFERROR(__xludf.DUMMYFUNCTION("""COMPUTED_VALUE"""),"Afzalsiddiqui227@gmail.com")</f>
        <v>Afzalsiddiqui227@gmail.com</v>
      </c>
      <c r="O808" s="124" t="str">
        <f>IFERROR(__xludf.DUMMYFUNCTION("""COMPUTED_VALUE"""),"Afzal siddiqi")</f>
        <v>Afzal siddiqi</v>
      </c>
      <c r="P808" s="124">
        <f>IFERROR(__xludf.DUMMYFUNCTION("""COMPUTED_VALUE"""),82242.0)</f>
        <v>82242</v>
      </c>
      <c r="Q808" s="124" t="str">
        <f>IFERROR(__xludf.DUMMYFUNCTION("""COMPUTED_VALUE"""),"Not Available")</f>
        <v>Not Available</v>
      </c>
      <c r="R808" s="124" t="str">
        <f>IFERROR(__xludf.DUMMYFUNCTION("""COMPUTED_VALUE"""),"Not Available")</f>
        <v>Not Available</v>
      </c>
      <c r="S808" s="124" t="str">
        <f>IFERROR(__xludf.DUMMYFUNCTION("""COMPUTED_VALUE"""),"Not Available")</f>
        <v>Not Available</v>
      </c>
      <c r="T808" s="124" t="str">
        <f>IFERROR(__xludf.DUMMYFUNCTION("""COMPUTED_VALUE"""),"Collexo")</f>
        <v>Collexo</v>
      </c>
      <c r="U808" s="124" t="str">
        <f>IFERROR(__xludf.DUMMYFUNCTION("""COMPUTED_VALUE"""),"Success")</f>
        <v>Success</v>
      </c>
      <c r="V808" s="131">
        <f>IFERROR(__xludf.DUMMYFUNCTION("""COMPUTED_VALUE"""),46043.0)</f>
        <v>46043</v>
      </c>
      <c r="W808" s="124">
        <f>IFERROR(__xludf.DUMMYFUNCTION("""COMPUTED_VALUE"""),0.0)</f>
        <v>0</v>
      </c>
    </row>
    <row r="809">
      <c r="A809" s="124" t="str">
        <f t="shared" si="1"/>
        <v/>
      </c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</row>
    <row r="810">
      <c r="A810" s="124" t="str">
        <f t="shared" si="1"/>
        <v/>
      </c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</row>
    <row r="811">
      <c r="A811" s="124" t="str">
        <f t="shared" si="1"/>
        <v/>
      </c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</row>
    <row r="812">
      <c r="A812" s="124" t="str">
        <f t="shared" si="1"/>
        <v/>
      </c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</row>
    <row r="813">
      <c r="A813" s="124" t="str">
        <f t="shared" si="1"/>
        <v/>
      </c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</row>
    <row r="814">
      <c r="A814" s="124" t="str">
        <f t="shared" si="1"/>
        <v/>
      </c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</row>
    <row r="815">
      <c r="A815" s="124" t="str">
        <f t="shared" si="1"/>
        <v/>
      </c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</row>
    <row r="816">
      <c r="A816" s="124" t="str">
        <f t="shared" si="1"/>
        <v/>
      </c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</row>
    <row r="817">
      <c r="A817" s="124" t="str">
        <f t="shared" si="1"/>
        <v/>
      </c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</row>
    <row r="818">
      <c r="A818" s="124" t="str">
        <f t="shared" si="1"/>
        <v/>
      </c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</row>
    <row r="819">
      <c r="A819" s="124" t="str">
        <f t="shared" si="1"/>
        <v/>
      </c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</row>
    <row r="820">
      <c r="A820" s="124" t="str">
        <f t="shared" si="1"/>
        <v/>
      </c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</row>
    <row r="821">
      <c r="A821" s="124" t="str">
        <f t="shared" si="1"/>
        <v/>
      </c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</row>
    <row r="822">
      <c r="A822" s="124" t="str">
        <f t="shared" si="1"/>
        <v/>
      </c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</row>
    <row r="823">
      <c r="A823" s="124" t="str">
        <f t="shared" si="1"/>
        <v/>
      </c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</row>
    <row r="824">
      <c r="A824" s="124" t="str">
        <f t="shared" si="1"/>
        <v/>
      </c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</row>
    <row r="825">
      <c r="A825" s="124" t="str">
        <f t="shared" si="1"/>
        <v/>
      </c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</row>
    <row r="826">
      <c r="A826" s="124" t="str">
        <f t="shared" si="1"/>
        <v/>
      </c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</row>
    <row r="827">
      <c r="A827" s="124" t="str">
        <f t="shared" si="1"/>
        <v/>
      </c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</row>
    <row r="828">
      <c r="A828" s="124" t="str">
        <f t="shared" si="1"/>
        <v/>
      </c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</row>
    <row r="829">
      <c r="A829" s="124" t="str">
        <f t="shared" si="1"/>
        <v/>
      </c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</row>
    <row r="830">
      <c r="A830" s="124" t="str">
        <f t="shared" si="1"/>
        <v/>
      </c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</row>
    <row r="831">
      <c r="A831" s="124" t="str">
        <f t="shared" si="1"/>
        <v/>
      </c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</row>
    <row r="832">
      <c r="A832" s="124" t="str">
        <f t="shared" si="1"/>
        <v/>
      </c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</row>
    <row r="833">
      <c r="A833" s="124" t="str">
        <f t="shared" si="1"/>
        <v/>
      </c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</row>
    <row r="834">
      <c r="A834" s="124" t="str">
        <f t="shared" si="1"/>
        <v/>
      </c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</row>
    <row r="835">
      <c r="A835" s="124" t="str">
        <f t="shared" si="1"/>
        <v/>
      </c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</row>
    <row r="836">
      <c r="A836" s="124" t="str">
        <f t="shared" si="1"/>
        <v/>
      </c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</row>
    <row r="837">
      <c r="A837" s="124" t="str">
        <f t="shared" si="1"/>
        <v/>
      </c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</row>
    <row r="838">
      <c r="A838" s="124" t="str">
        <f t="shared" si="1"/>
        <v/>
      </c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</row>
    <row r="839">
      <c r="A839" s="124" t="str">
        <f t="shared" si="1"/>
        <v/>
      </c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</row>
    <row r="840">
      <c r="A840" s="124" t="str">
        <f t="shared" si="1"/>
        <v/>
      </c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</row>
    <row r="841">
      <c r="A841" s="124" t="str">
        <f t="shared" si="1"/>
        <v/>
      </c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</row>
    <row r="842">
      <c r="A842" s="124" t="str">
        <f t="shared" si="1"/>
        <v/>
      </c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</row>
    <row r="843">
      <c r="A843" s="124" t="str">
        <f t="shared" si="1"/>
        <v/>
      </c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</row>
    <row r="844">
      <c r="A844" s="124" t="str">
        <f t="shared" si="1"/>
        <v/>
      </c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</row>
    <row r="845">
      <c r="A845" s="124" t="str">
        <f t="shared" si="1"/>
        <v/>
      </c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</row>
    <row r="846">
      <c r="A846" s="124" t="str">
        <f t="shared" si="1"/>
        <v/>
      </c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</row>
    <row r="847">
      <c r="A847" s="124" t="str">
        <f t="shared" si="1"/>
        <v/>
      </c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</row>
    <row r="848">
      <c r="A848" s="124" t="str">
        <f t="shared" si="1"/>
        <v/>
      </c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</row>
    <row r="849">
      <c r="A849" s="124" t="str">
        <f t="shared" si="1"/>
        <v/>
      </c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</row>
    <row r="850">
      <c r="A850" s="124" t="str">
        <f t="shared" si="1"/>
        <v/>
      </c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</row>
    <row r="851">
      <c r="A851" s="124" t="str">
        <f t="shared" si="1"/>
        <v/>
      </c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</row>
    <row r="852">
      <c r="A852" s="124" t="str">
        <f t="shared" si="1"/>
        <v/>
      </c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</row>
    <row r="853">
      <c r="A853" s="124" t="str">
        <f t="shared" si="1"/>
        <v/>
      </c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</row>
    <row r="854">
      <c r="A854" s="124" t="str">
        <f t="shared" si="1"/>
        <v/>
      </c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</row>
    <row r="855">
      <c r="A855" s="124" t="str">
        <f t="shared" si="1"/>
        <v/>
      </c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</row>
    <row r="856">
      <c r="A856" s="124" t="str">
        <f t="shared" si="1"/>
        <v/>
      </c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</row>
    <row r="857">
      <c r="A857" s="124" t="str">
        <f t="shared" si="1"/>
        <v/>
      </c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</row>
    <row r="858">
      <c r="A858" s="124" t="str">
        <f t="shared" si="1"/>
        <v/>
      </c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</row>
    <row r="859">
      <c r="A859" s="124" t="str">
        <f t="shared" si="1"/>
        <v/>
      </c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</row>
    <row r="860">
      <c r="A860" s="124" t="str">
        <f t="shared" si="1"/>
        <v/>
      </c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</row>
    <row r="861">
      <c r="A861" s="124" t="str">
        <f t="shared" si="1"/>
        <v/>
      </c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</row>
    <row r="862">
      <c r="A862" s="124" t="str">
        <f t="shared" si="1"/>
        <v/>
      </c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</row>
    <row r="863">
      <c r="A863" s="124" t="str">
        <f t="shared" si="1"/>
        <v/>
      </c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</row>
    <row r="864">
      <c r="A864" s="124" t="str">
        <f t="shared" si="1"/>
        <v/>
      </c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</row>
    <row r="865">
      <c r="A865" s="124" t="str">
        <f t="shared" si="1"/>
        <v/>
      </c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</row>
    <row r="866">
      <c r="A866" s="124" t="str">
        <f t="shared" si="1"/>
        <v/>
      </c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</row>
    <row r="867">
      <c r="A867" s="124" t="str">
        <f t="shared" si="1"/>
        <v/>
      </c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</row>
    <row r="868">
      <c r="A868" s="124" t="str">
        <f t="shared" si="1"/>
        <v/>
      </c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</row>
    <row r="869">
      <c r="A869" s="124" t="str">
        <f t="shared" si="1"/>
        <v/>
      </c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</row>
    <row r="870">
      <c r="A870" s="124" t="str">
        <f t="shared" si="1"/>
        <v/>
      </c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</row>
    <row r="871">
      <c r="A871" s="124" t="str">
        <f t="shared" si="1"/>
        <v/>
      </c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</row>
    <row r="872">
      <c r="A872" s="124" t="str">
        <f t="shared" si="1"/>
        <v/>
      </c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</row>
    <row r="873">
      <c r="A873" s="124" t="str">
        <f t="shared" si="1"/>
        <v/>
      </c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</row>
    <row r="874">
      <c r="A874" s="124" t="str">
        <f t="shared" si="1"/>
        <v/>
      </c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</row>
    <row r="875">
      <c r="A875" s="124" t="str">
        <f t="shared" si="1"/>
        <v/>
      </c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</row>
    <row r="876">
      <c r="A876" s="124" t="str">
        <f t="shared" si="1"/>
        <v/>
      </c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</row>
    <row r="877">
      <c r="A877" s="124" t="str">
        <f t="shared" si="1"/>
        <v/>
      </c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</row>
    <row r="878">
      <c r="A878" s="124" t="str">
        <f t="shared" si="1"/>
        <v/>
      </c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</row>
    <row r="879">
      <c r="A879" s="124" t="str">
        <f t="shared" si="1"/>
        <v/>
      </c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</row>
    <row r="880">
      <c r="A880" s="124" t="str">
        <f t="shared" si="1"/>
        <v/>
      </c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</row>
    <row r="881">
      <c r="A881" s="124" t="str">
        <f t="shared" si="1"/>
        <v/>
      </c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</row>
    <row r="882">
      <c r="A882" s="124" t="str">
        <f t="shared" si="1"/>
        <v/>
      </c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</row>
    <row r="883">
      <c r="A883" s="124" t="str">
        <f t="shared" si="1"/>
        <v/>
      </c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</row>
    <row r="884">
      <c r="A884" s="124" t="str">
        <f t="shared" si="1"/>
        <v/>
      </c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</row>
    <row r="885">
      <c r="A885" s="124" t="str">
        <f t="shared" si="1"/>
        <v/>
      </c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</row>
    <row r="886">
      <c r="A886" s="124" t="str">
        <f t="shared" si="1"/>
        <v/>
      </c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</row>
    <row r="887">
      <c r="A887" s="124" t="str">
        <f t="shared" si="1"/>
        <v/>
      </c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</row>
    <row r="888">
      <c r="A888" s="124" t="str">
        <f t="shared" si="1"/>
        <v/>
      </c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</row>
    <row r="889">
      <c r="A889" s="124" t="str">
        <f t="shared" si="1"/>
        <v/>
      </c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</row>
    <row r="890">
      <c r="A890" s="124" t="str">
        <f t="shared" si="1"/>
        <v/>
      </c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</row>
    <row r="891">
      <c r="A891" s="124" t="str">
        <f t="shared" si="1"/>
        <v/>
      </c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</row>
    <row r="892">
      <c r="A892" s="124" t="str">
        <f t="shared" si="1"/>
        <v/>
      </c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</row>
    <row r="893">
      <c r="A893" s="124" t="str">
        <f t="shared" si="1"/>
        <v/>
      </c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</row>
    <row r="894">
      <c r="A894" s="124" t="str">
        <f t="shared" si="1"/>
        <v/>
      </c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</row>
    <row r="895">
      <c r="A895" s="124" t="str">
        <f t="shared" si="1"/>
        <v/>
      </c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</row>
    <row r="896">
      <c r="A896" s="124" t="str">
        <f t="shared" si="1"/>
        <v/>
      </c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</row>
    <row r="897">
      <c r="A897" s="124" t="str">
        <f t="shared" si="1"/>
        <v/>
      </c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</row>
    <row r="898">
      <c r="A898" s="124" t="str">
        <f t="shared" si="1"/>
        <v/>
      </c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</row>
    <row r="899">
      <c r="A899" s="124" t="str">
        <f t="shared" si="1"/>
        <v/>
      </c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</row>
    <row r="900">
      <c r="A900" s="124" t="str">
        <f t="shared" si="1"/>
        <v/>
      </c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</row>
    <row r="901">
      <c r="A901" s="124" t="str">
        <f t="shared" si="1"/>
        <v/>
      </c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</row>
    <row r="902">
      <c r="A902" s="124" t="str">
        <f t="shared" si="1"/>
        <v/>
      </c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</row>
    <row r="903">
      <c r="A903" s="124" t="str">
        <f t="shared" si="1"/>
        <v/>
      </c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</row>
    <row r="904">
      <c r="A904" s="124" t="str">
        <f t="shared" si="1"/>
        <v/>
      </c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</row>
    <row r="905">
      <c r="A905" s="124" t="str">
        <f t="shared" si="1"/>
        <v/>
      </c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</row>
    <row r="906">
      <c r="A906" s="124" t="str">
        <f t="shared" si="1"/>
        <v/>
      </c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</row>
    <row r="907">
      <c r="A907" s="124" t="str">
        <f t="shared" si="1"/>
        <v/>
      </c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</row>
    <row r="908">
      <c r="A908" s="124" t="str">
        <f t="shared" si="1"/>
        <v/>
      </c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</row>
    <row r="909">
      <c r="A909" s="124" t="str">
        <f t="shared" si="1"/>
        <v/>
      </c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</row>
    <row r="910">
      <c r="A910" s="124" t="str">
        <f t="shared" si="1"/>
        <v/>
      </c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</row>
    <row r="911">
      <c r="A911" s="124" t="str">
        <f t="shared" si="1"/>
        <v/>
      </c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</row>
    <row r="912">
      <c r="A912" s="124" t="str">
        <f t="shared" si="1"/>
        <v/>
      </c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</row>
    <row r="913">
      <c r="A913" s="124" t="str">
        <f t="shared" si="1"/>
        <v/>
      </c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</row>
    <row r="914">
      <c r="A914" s="124" t="str">
        <f t="shared" si="1"/>
        <v/>
      </c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</row>
    <row r="915">
      <c r="A915" s="124" t="str">
        <f t="shared" si="1"/>
        <v/>
      </c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</row>
    <row r="916">
      <c r="A916" s="124" t="str">
        <f t="shared" si="1"/>
        <v/>
      </c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</row>
    <row r="917">
      <c r="A917" s="124" t="str">
        <f t="shared" si="1"/>
        <v/>
      </c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</row>
    <row r="918">
      <c r="A918" s="124" t="str">
        <f t="shared" si="1"/>
        <v/>
      </c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</row>
    <row r="919">
      <c r="A919" s="124" t="str">
        <f t="shared" si="1"/>
        <v/>
      </c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</row>
    <row r="920">
      <c r="A920" s="124" t="str">
        <f t="shared" si="1"/>
        <v/>
      </c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</row>
    <row r="921">
      <c r="A921" s="124" t="str">
        <f t="shared" si="1"/>
        <v/>
      </c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</row>
    <row r="922">
      <c r="A922" s="124" t="str">
        <f t="shared" si="1"/>
        <v/>
      </c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</row>
    <row r="923">
      <c r="A923" s="124" t="str">
        <f t="shared" si="1"/>
        <v/>
      </c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</row>
    <row r="924">
      <c r="A924" s="124" t="str">
        <f t="shared" si="1"/>
        <v/>
      </c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</row>
    <row r="925">
      <c r="A925" s="124" t="str">
        <f t="shared" si="1"/>
        <v/>
      </c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</row>
    <row r="926">
      <c r="A926" s="124" t="str">
        <f t="shared" si="1"/>
        <v/>
      </c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</row>
    <row r="927">
      <c r="A927" s="124" t="str">
        <f t="shared" si="1"/>
        <v/>
      </c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</row>
    <row r="928">
      <c r="A928" s="124" t="str">
        <f t="shared" si="1"/>
        <v/>
      </c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</row>
    <row r="929">
      <c r="A929" s="124" t="str">
        <f t="shared" si="1"/>
        <v/>
      </c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</row>
    <row r="930">
      <c r="A930" s="124" t="str">
        <f t="shared" si="1"/>
        <v/>
      </c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</row>
    <row r="931">
      <c r="A931" s="124" t="str">
        <f t="shared" si="1"/>
        <v/>
      </c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</row>
    <row r="932">
      <c r="A932" s="124" t="str">
        <f t="shared" si="1"/>
        <v/>
      </c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</row>
    <row r="933">
      <c r="A933" s="124" t="str">
        <f t="shared" si="1"/>
        <v/>
      </c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</row>
    <row r="934">
      <c r="A934" s="124" t="str">
        <f t="shared" si="1"/>
        <v/>
      </c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</row>
    <row r="935">
      <c r="A935" s="124" t="str">
        <f t="shared" si="1"/>
        <v/>
      </c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</row>
    <row r="936">
      <c r="A936" s="124" t="str">
        <f t="shared" si="1"/>
        <v/>
      </c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</row>
    <row r="937">
      <c r="A937" s="124" t="str">
        <f t="shared" si="1"/>
        <v/>
      </c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</row>
    <row r="938">
      <c r="A938" s="124" t="str">
        <f t="shared" si="1"/>
        <v/>
      </c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</row>
    <row r="939">
      <c r="A939" s="124" t="str">
        <f t="shared" si="1"/>
        <v/>
      </c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</row>
    <row r="940">
      <c r="A940" s="124" t="str">
        <f t="shared" si="1"/>
        <v/>
      </c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</row>
    <row r="941">
      <c r="A941" s="124" t="str">
        <f t="shared" si="1"/>
        <v/>
      </c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</row>
    <row r="942">
      <c r="A942" s="124" t="str">
        <f t="shared" si="1"/>
        <v/>
      </c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</row>
    <row r="943">
      <c r="A943" s="124" t="str">
        <f t="shared" si="1"/>
        <v/>
      </c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</row>
    <row r="944">
      <c r="A944" s="124" t="str">
        <f t="shared" si="1"/>
        <v/>
      </c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</row>
    <row r="945">
      <c r="A945" s="124" t="str">
        <f t="shared" si="1"/>
        <v/>
      </c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</row>
    <row r="946">
      <c r="A946" s="124" t="str">
        <f t="shared" si="1"/>
        <v/>
      </c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</row>
    <row r="947">
      <c r="A947" s="124" t="str">
        <f t="shared" si="1"/>
        <v/>
      </c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</row>
    <row r="948">
      <c r="A948" s="124" t="str">
        <f t="shared" si="1"/>
        <v/>
      </c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</row>
    <row r="949">
      <c r="A949" s="124" t="str">
        <f t="shared" si="1"/>
        <v/>
      </c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</row>
    <row r="950">
      <c r="A950" s="124" t="str">
        <f t="shared" si="1"/>
        <v/>
      </c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</row>
    <row r="951">
      <c r="A951" s="124" t="str">
        <f t="shared" si="1"/>
        <v/>
      </c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</row>
    <row r="952">
      <c r="A952" s="124" t="str">
        <f t="shared" si="1"/>
        <v/>
      </c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</row>
    <row r="953">
      <c r="A953" s="124" t="str">
        <f t="shared" si="1"/>
        <v/>
      </c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</row>
    <row r="954">
      <c r="A954" s="124" t="str">
        <f t="shared" si="1"/>
        <v/>
      </c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</row>
    <row r="955">
      <c r="A955" s="124" t="str">
        <f t="shared" si="1"/>
        <v/>
      </c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</row>
    <row r="956">
      <c r="A956" s="124" t="str">
        <f t="shared" si="1"/>
        <v/>
      </c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</row>
    <row r="957">
      <c r="A957" s="124" t="str">
        <f t="shared" si="1"/>
        <v/>
      </c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</row>
    <row r="958">
      <c r="A958" s="124" t="str">
        <f t="shared" si="1"/>
        <v/>
      </c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</row>
    <row r="959">
      <c r="A959" s="124" t="str">
        <f t="shared" si="1"/>
        <v/>
      </c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</row>
    <row r="960">
      <c r="A960" s="124" t="str">
        <f t="shared" si="1"/>
        <v/>
      </c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</row>
    <row r="961">
      <c r="A961" s="124" t="str">
        <f t="shared" si="1"/>
        <v/>
      </c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</row>
    <row r="962">
      <c r="A962" s="124" t="str">
        <f t="shared" si="1"/>
        <v/>
      </c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</row>
    <row r="963">
      <c r="A963" s="124" t="str">
        <f t="shared" si="1"/>
        <v/>
      </c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</row>
    <row r="964">
      <c r="A964" s="124" t="str">
        <f t="shared" si="1"/>
        <v/>
      </c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</row>
    <row r="965">
      <c r="A965" s="124" t="str">
        <f t="shared" si="1"/>
        <v/>
      </c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</row>
    <row r="966">
      <c r="A966" s="124" t="str">
        <f t="shared" si="1"/>
        <v/>
      </c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</row>
    <row r="967">
      <c r="A967" s="124" t="str">
        <f t="shared" si="1"/>
        <v/>
      </c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</row>
    <row r="968">
      <c r="A968" s="124" t="str">
        <f t="shared" si="1"/>
        <v/>
      </c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</row>
    <row r="969">
      <c r="A969" s="124" t="str">
        <f t="shared" si="1"/>
        <v/>
      </c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</row>
    <row r="970">
      <c r="A970" s="124" t="str">
        <f t="shared" si="1"/>
        <v/>
      </c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</row>
    <row r="971">
      <c r="A971" s="124" t="str">
        <f t="shared" si="1"/>
        <v/>
      </c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</row>
    <row r="972">
      <c r="A972" s="124" t="str">
        <f t="shared" si="1"/>
        <v/>
      </c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</row>
    <row r="973">
      <c r="A973" s="124" t="str">
        <f t="shared" si="1"/>
        <v/>
      </c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</row>
    <row r="974">
      <c r="A974" s="124" t="str">
        <f t="shared" si="1"/>
        <v/>
      </c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</row>
    <row r="975">
      <c r="A975" s="124" t="str">
        <f t="shared" si="1"/>
        <v/>
      </c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</row>
    <row r="976">
      <c r="A976" s="124" t="str">
        <f t="shared" si="1"/>
        <v/>
      </c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</row>
    <row r="977">
      <c r="A977" s="124" t="str">
        <f t="shared" si="1"/>
        <v/>
      </c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</row>
    <row r="978">
      <c r="A978" s="124" t="str">
        <f t="shared" si="1"/>
        <v/>
      </c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</row>
    <row r="979">
      <c r="A979" s="124" t="str">
        <f t="shared" si="1"/>
        <v/>
      </c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</row>
    <row r="980">
      <c r="A980" s="124" t="str">
        <f t="shared" si="1"/>
        <v/>
      </c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</row>
    <row r="981">
      <c r="A981" s="124" t="str">
        <f t="shared" si="1"/>
        <v/>
      </c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</row>
    <row r="982">
      <c r="A982" s="124" t="str">
        <f t="shared" si="1"/>
        <v/>
      </c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</row>
    <row r="983">
      <c r="A983" s="124" t="str">
        <f t="shared" si="1"/>
        <v/>
      </c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</row>
    <row r="984">
      <c r="A984" s="124" t="str">
        <f t="shared" si="1"/>
        <v/>
      </c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</row>
    <row r="985">
      <c r="A985" s="124" t="str">
        <f t="shared" si="1"/>
        <v/>
      </c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</row>
    <row r="986">
      <c r="A986" s="124" t="str">
        <f t="shared" si="1"/>
        <v/>
      </c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</row>
    <row r="987">
      <c r="A987" s="124" t="str">
        <f t="shared" si="1"/>
        <v/>
      </c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</row>
    <row r="988">
      <c r="A988" s="124" t="str">
        <f t="shared" si="1"/>
        <v/>
      </c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</row>
    <row r="989">
      <c r="A989" s="124" t="str">
        <f t="shared" si="1"/>
        <v/>
      </c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</row>
    <row r="990">
      <c r="A990" s="124" t="str">
        <f t="shared" si="1"/>
        <v/>
      </c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</row>
    <row r="991">
      <c r="A991" s="124" t="str">
        <f t="shared" si="1"/>
        <v/>
      </c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</row>
    <row r="992">
      <c r="A992" s="124" t="str">
        <f t="shared" si="1"/>
        <v/>
      </c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</row>
    <row r="993">
      <c r="A993" s="124" t="str">
        <f t="shared" si="1"/>
        <v/>
      </c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</row>
    <row r="994">
      <c r="A994" s="124" t="str">
        <f t="shared" si="1"/>
        <v/>
      </c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</row>
    <row r="995">
      <c r="A995" s="124" t="str">
        <f t="shared" si="1"/>
        <v/>
      </c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</row>
    <row r="996">
      <c r="A996" s="124" t="str">
        <f t="shared" si="1"/>
        <v/>
      </c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</row>
    <row r="997">
      <c r="A997" s="124" t="str">
        <f t="shared" si="1"/>
        <v/>
      </c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</row>
    <row r="998">
      <c r="A998" s="124" t="str">
        <f t="shared" si="1"/>
        <v/>
      </c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</row>
    <row r="999">
      <c r="A999" s="124" t="str">
        <f t="shared" si="1"/>
        <v/>
      </c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</row>
    <row r="1000">
      <c r="A1000" s="124" t="str">
        <f t="shared" si="1"/>
        <v/>
      </c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</row>
  </sheetData>
  <hyperlinks>
    <hyperlink r:id="rId1" ref="Q658"/>
    <hyperlink r:id="rId2" ref="Q681"/>
    <hyperlink r:id="rId3" ref="Q685"/>
  </hyperlinks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23.13"/>
    <col customWidth="1" min="2" max="4" width="12.75"/>
    <col customWidth="1" min="5" max="6" width="12.63"/>
    <col customWidth="1" min="7" max="7" width="15.75"/>
  </cols>
  <sheetData>
    <row r="1">
      <c r="A1" s="134" t="s">
        <v>461</v>
      </c>
      <c r="B1" s="135" t="s">
        <v>44</v>
      </c>
      <c r="C1" s="135" t="s">
        <v>46</v>
      </c>
      <c r="D1" s="135" t="s">
        <v>45</v>
      </c>
      <c r="E1" s="136">
        <v>46023.0</v>
      </c>
      <c r="F1" s="136">
        <v>46024.0</v>
      </c>
      <c r="G1" s="136">
        <v>46025.0</v>
      </c>
      <c r="H1" s="136">
        <v>46026.0</v>
      </c>
      <c r="I1" s="136">
        <v>46027.0</v>
      </c>
      <c r="J1" s="136">
        <v>46028.0</v>
      </c>
      <c r="K1" s="136">
        <v>46029.0</v>
      </c>
      <c r="L1" s="136">
        <v>46030.0</v>
      </c>
      <c r="M1" s="136">
        <v>46031.0</v>
      </c>
      <c r="N1" s="136">
        <v>46032.0</v>
      </c>
      <c r="O1" s="136">
        <v>46033.0</v>
      </c>
      <c r="P1" s="136">
        <v>46034.0</v>
      </c>
      <c r="Q1" s="136">
        <v>46035.0</v>
      </c>
      <c r="R1" s="136">
        <v>46036.0</v>
      </c>
      <c r="S1" s="136">
        <v>46037.0</v>
      </c>
      <c r="T1" s="136">
        <v>46038.0</v>
      </c>
      <c r="U1" s="136">
        <v>46039.0</v>
      </c>
      <c r="V1" s="136">
        <v>46040.0</v>
      </c>
      <c r="W1" s="136">
        <v>46041.0</v>
      </c>
      <c r="X1" s="136">
        <v>46042.0</v>
      </c>
      <c r="Y1" s="136">
        <v>46043.0</v>
      </c>
      <c r="Z1" s="136">
        <v>46044.0</v>
      </c>
      <c r="AA1" s="136">
        <v>46045.0</v>
      </c>
      <c r="AB1" s="136">
        <v>46046.0</v>
      </c>
      <c r="AC1" s="136">
        <v>46047.0</v>
      </c>
      <c r="AD1" s="136">
        <v>46048.0</v>
      </c>
      <c r="AE1" s="136">
        <v>46049.0</v>
      </c>
      <c r="AF1" s="136">
        <v>46050.0</v>
      </c>
      <c r="AG1" s="136">
        <v>46051.0</v>
      </c>
      <c r="AH1" s="136">
        <v>46052.0</v>
      </c>
      <c r="AI1" s="136">
        <v>46053.0</v>
      </c>
      <c r="AJ1" s="137"/>
    </row>
    <row r="2">
      <c r="A2" s="138" t="s">
        <v>56</v>
      </c>
      <c r="B2" s="41"/>
      <c r="C2" s="41">
        <f t="shared" ref="C2:C7" si="1">sum(E2:AI2)</f>
        <v>554</v>
      </c>
      <c r="D2" s="41"/>
      <c r="E2" s="41">
        <f>sumifs(raw_data!$E:$E,raw_data!$A:$A,E1,raw_data!$D:$D,"Primary_Walkin")</f>
        <v>0</v>
      </c>
      <c r="F2" s="41">
        <f>sumifs(raw_data!$E:$E,raw_data!$A:$A,F1,raw_data!$D:$D,"Primary_Walkin")</f>
        <v>0</v>
      </c>
      <c r="G2" s="41">
        <f>sumifs(raw_data!$E:$E,raw_data!$A:$A,G1,raw_data!$D:$D,"Primary_Walkin")</f>
        <v>0</v>
      </c>
      <c r="H2" s="41">
        <f>sumifs(raw_data!$E:$E,raw_data!$A:$A,H1,raw_data!$D:$D,"Primary_Walkin")</f>
        <v>0</v>
      </c>
      <c r="I2" s="41">
        <f>sumifs(raw_data!$E:$E,raw_data!$A:$A,I1,raw_data!$D:$D,"Primary_Walkin")</f>
        <v>0</v>
      </c>
      <c r="J2" s="41">
        <f>sumifs(raw_data!$E:$E,raw_data!$A:$A,J1,raw_data!$D:$D,"Primary_Walkin")</f>
        <v>0</v>
      </c>
      <c r="K2" s="41">
        <f>sumifs(raw_data!$E:$E,raw_data!$A:$A,K1,raw_data!$D:$D,"Primary_Walkin")</f>
        <v>0</v>
      </c>
      <c r="L2" s="41">
        <f>sumifs(raw_data!$E:$E,raw_data!$A:$A,L1,raw_data!$D:$D,"Primary_Walkin")</f>
        <v>0</v>
      </c>
      <c r="M2" s="41">
        <f>sumifs(raw_data!$E:$E,raw_data!$A:$A,M1,raw_data!$D:$D,"Primary_Walkin")</f>
        <v>0</v>
      </c>
      <c r="N2" s="41">
        <f>sumifs(raw_data!$E:$E,raw_data!$A:$A,N1,raw_data!$D:$D,"Primary_Walkin")</f>
        <v>0</v>
      </c>
      <c r="O2" s="41">
        <f>sumifs(raw_data!$E:$E,raw_data!$A:$A,O1,raw_data!$D:$D,"Primary_Walkin")</f>
        <v>0</v>
      </c>
      <c r="P2" s="41">
        <f>sumifs(raw_data!$E:$E,raw_data!$A:$A,P1,raw_data!$D:$D,"Primary_Walkin")</f>
        <v>0</v>
      </c>
      <c r="Q2" s="41">
        <f>sumifs(raw_data!$E:$E,raw_data!$A:$A,Q1,raw_data!$D:$D,"Primary_Walkin")</f>
        <v>0</v>
      </c>
      <c r="R2" s="41">
        <f>sumifs(raw_data!$E:$E,raw_data!$A:$A,R1,raw_data!$D:$D,"Primary_Walkin")</f>
        <v>0</v>
      </c>
      <c r="S2" s="41">
        <f>sumifs(raw_data!$E:$E,raw_data!$A:$A,S1,raw_data!$D:$D,"Primary_Walkin")</f>
        <v>0</v>
      </c>
      <c r="T2" s="41">
        <f>sumifs(raw_data!$E:$E,raw_data!$A:$A,T1,raw_data!$D:$D,"Primary_Walkin")</f>
        <v>0</v>
      </c>
      <c r="U2" s="41">
        <f>sumifs(raw_data!$E:$E,raw_data!$A:$A,U1,raw_data!$D:$D,"Primary_Walkin")</f>
        <v>0</v>
      </c>
      <c r="V2" s="41">
        <f>sumifs(raw_data!$E:$E,raw_data!$A:$A,V1,raw_data!$D:$D,"Primary_Walkin")</f>
        <v>0</v>
      </c>
      <c r="W2" s="41">
        <f>sumifs(raw_data!$E:$E,raw_data!$A:$A,W1,raw_data!$D:$D,"Primary_Walkin")</f>
        <v>0</v>
      </c>
      <c r="X2" s="41">
        <f>sumifs(raw_data!$E:$E,raw_data!$A:$A,X1,raw_data!$D:$D,"Primary_Walkin")</f>
        <v>0</v>
      </c>
      <c r="Y2" s="41">
        <f>sumifs(raw_data!$E:$E,raw_data!$A:$A,Y1,raw_data!$D:$D,"Primary_Walkin")</f>
        <v>63</v>
      </c>
      <c r="Z2" s="41">
        <f>sumifs(raw_data!$E:$E,raw_data!$A:$A,Z1,raw_data!$D:$D,"Primary_Walkin")</f>
        <v>72</v>
      </c>
      <c r="AA2" s="41">
        <f>sumifs(raw_data!$E:$E,raw_data!$A:$A,AA1,raw_data!$D:$D,"Primary_Walkin")</f>
        <v>40</v>
      </c>
      <c r="AB2" s="41">
        <f>sumifs(raw_data!$E:$E,raw_data!$A:$A,AB1,raw_data!$D:$D,"Primary_Walkin")</f>
        <v>67</v>
      </c>
      <c r="AC2" s="41">
        <f>sumifs(raw_data!$E:$E,raw_data!$A:$A,AC1,raw_data!$D:$D,"Primary_Walkin")</f>
        <v>44</v>
      </c>
      <c r="AD2" s="41">
        <f>sumifs(raw_data!$E:$E,raw_data!$A:$A,AD1,raw_data!$D:$D,"Primary_Walkin")</f>
        <v>4</v>
      </c>
      <c r="AE2" s="41">
        <f>sumifs(raw_data!$E:$E,raw_data!$A:$A,AE1,raw_data!$D:$D,"Primary_Walkin")</f>
        <v>64</v>
      </c>
      <c r="AF2" s="41">
        <f>sumifs(raw_data!$E:$E,raw_data!$A:$A,AF1,raw_data!$D:$D,"Primary_Walkin")</f>
        <v>49</v>
      </c>
      <c r="AG2" s="41">
        <f>sumifs(raw_data!$E:$E,raw_data!$A:$A,AG1,raw_data!$D:$D,"Primary_Walkin")</f>
        <v>55</v>
      </c>
      <c r="AH2" s="41">
        <f>sumifs(raw_data!$E:$E,raw_data!$A:$A,AH1,raw_data!$D:$D,"Primary_Walkin")</f>
        <v>53</v>
      </c>
      <c r="AI2" s="41">
        <f>sumifs(raw_data!$E:$E,raw_data!$A:$A,AI1,raw_data!$D:$D,"Primary_Walkin")</f>
        <v>43</v>
      </c>
      <c r="AJ2" s="139"/>
    </row>
    <row r="3">
      <c r="A3" s="138" t="s">
        <v>462</v>
      </c>
      <c r="B3" s="41"/>
      <c r="C3" s="41">
        <f t="shared" si="1"/>
        <v>35</v>
      </c>
      <c r="D3" s="41"/>
      <c r="E3" s="41">
        <f>sumifs(raw_data!$E:$E,raw_data!$A:$A,E1,raw_data!$D:$D,"Secondary_Walkin")</f>
        <v>0</v>
      </c>
      <c r="F3" s="41">
        <f>sumifs(raw_data!$E:$E,raw_data!$A:$A,F1,raw_data!$D:$D,"Secondary_Walkin")</f>
        <v>0</v>
      </c>
      <c r="G3" s="41">
        <f>sumifs(raw_data!$E:$E,raw_data!$A:$A,G1,raw_data!$D:$D,"Secondary_Walkin")</f>
        <v>0</v>
      </c>
      <c r="H3" s="41">
        <f>sumifs(raw_data!$E:$E,raw_data!$A:$A,H1,raw_data!$D:$D,"Secondary_Walkin")</f>
        <v>0</v>
      </c>
      <c r="I3" s="41">
        <f>sumifs(raw_data!$E:$E,raw_data!$A:$A,I1,raw_data!$D:$D,"Secondary_Walkin")</f>
        <v>0</v>
      </c>
      <c r="J3" s="41">
        <f>sumifs(raw_data!$E:$E,raw_data!$A:$A,J1,raw_data!$D:$D,"Secondary_Walkin")</f>
        <v>0</v>
      </c>
      <c r="K3" s="41">
        <f>sumifs(raw_data!$E:$E,raw_data!$A:$A,K1,raw_data!$D:$D,"Secondary_Walkin")</f>
        <v>0</v>
      </c>
      <c r="L3" s="41">
        <f>sumifs(raw_data!$E:$E,raw_data!$A:$A,L1,raw_data!$D:$D,"Secondary_Walkin")</f>
        <v>0</v>
      </c>
      <c r="M3" s="41">
        <f>sumifs(raw_data!$E:$E,raw_data!$A:$A,M1,raw_data!$D:$D,"Secondary_Walkin")</f>
        <v>0</v>
      </c>
      <c r="N3" s="41">
        <f>sumifs(raw_data!$E:$E,raw_data!$A:$A,N1,raw_data!$D:$D,"Secondary_Walkin")</f>
        <v>0</v>
      </c>
      <c r="O3" s="41">
        <f>sumifs(raw_data!$E:$E,raw_data!$A:$A,O1,raw_data!$D:$D,"Secondary_Walkin")</f>
        <v>0</v>
      </c>
      <c r="P3" s="41">
        <f>sumifs(raw_data!$E:$E,raw_data!$A:$A,P1,raw_data!$D:$D,"Secondary_Walkin")</f>
        <v>0</v>
      </c>
      <c r="Q3" s="41">
        <f>sumifs(raw_data!$E:$E,raw_data!$A:$A,Q1,raw_data!$D:$D,"Secondary_Walkin")</f>
        <v>0</v>
      </c>
      <c r="R3" s="41">
        <f>sumifs(raw_data!$E:$E,raw_data!$A:$A,R1,raw_data!$D:$D,"Secondary_Walkin")</f>
        <v>0</v>
      </c>
      <c r="S3" s="41">
        <f>sumifs(raw_data!$E:$E,raw_data!$A:$A,S1,raw_data!$D:$D,"Secondary_Walkin")</f>
        <v>0</v>
      </c>
      <c r="T3" s="41">
        <f>sumifs(raw_data!$E:$E,raw_data!$A:$A,T1,raw_data!$D:$D,"Secondary_Walkin")</f>
        <v>0</v>
      </c>
      <c r="U3" s="41">
        <f>sumifs(raw_data!$E:$E,raw_data!$A:$A,U1,raw_data!$D:$D,"Secondary_Walkin")</f>
        <v>0</v>
      </c>
      <c r="V3" s="41">
        <f>sumifs(raw_data!$E:$E,raw_data!$A:$A,V1,raw_data!$D:$D,"Secondary_Walkin")</f>
        <v>0</v>
      </c>
      <c r="W3" s="41">
        <f>sumifs(raw_data!$E:$E,raw_data!$A:$A,W1,raw_data!$D:$D,"Secondary_Walkin")</f>
        <v>0</v>
      </c>
      <c r="X3" s="41">
        <f>sumifs(raw_data!$E:$E,raw_data!$A:$A,X1,raw_data!$D:$D,"Secondary_Walkin")</f>
        <v>0</v>
      </c>
      <c r="Y3" s="41">
        <f>sumifs(raw_data!$E:$E,raw_data!$A:$A,Y1,raw_data!$D:$D,"Secondary_Walkin")</f>
        <v>4</v>
      </c>
      <c r="Z3" s="41">
        <f>sumifs(raw_data!$E:$E,raw_data!$A:$A,Z1,raw_data!$D:$D,"Secondary_Walkin")</f>
        <v>3</v>
      </c>
      <c r="AA3" s="41">
        <f>sumifs(raw_data!$E:$E,raw_data!$A:$A,AA1,raw_data!$D:$D,"Secondary_Walkin")</f>
        <v>0</v>
      </c>
      <c r="AB3" s="41">
        <f>sumifs(raw_data!$E:$E,raw_data!$A:$A,AB1,raw_data!$D:$D,"Secondary_Walkin")</f>
        <v>8</v>
      </c>
      <c r="AC3" s="41">
        <f>sumifs(raw_data!$E:$E,raw_data!$A:$A,AC1,raw_data!$D:$D,"Secondary_Walkin")</f>
        <v>0</v>
      </c>
      <c r="AD3" s="41">
        <f>sumifs(raw_data!$E:$E,raw_data!$A:$A,AD1,raw_data!$D:$D,"Secondary_Walkin")</f>
        <v>0</v>
      </c>
      <c r="AE3" s="41">
        <f>sumifs(raw_data!$E:$E,raw_data!$A:$A,AE1,raw_data!$D:$D,"Secondary_Walkin")</f>
        <v>4</v>
      </c>
      <c r="AF3" s="41">
        <f>sumifs(raw_data!$E:$E,raw_data!$A:$A,AF1,raw_data!$D:$D,"Secondary_Walkin")</f>
        <v>2</v>
      </c>
      <c r="AG3" s="41">
        <f>sumifs(raw_data!$E:$E,raw_data!$A:$A,AG1,raw_data!$D:$D,"Secondary_Walkin")</f>
        <v>5</v>
      </c>
      <c r="AH3" s="41">
        <f>sumifs(raw_data!$E:$E,raw_data!$A:$A,AH1,raw_data!$D:$D,"Secondary_Walkin")</f>
        <v>3</v>
      </c>
      <c r="AI3" s="41">
        <f>sumifs(raw_data!$E:$E,raw_data!$A:$A,AI1,raw_data!$D:$D,"Secondary_Walkin")</f>
        <v>6</v>
      </c>
      <c r="AJ3" s="139"/>
    </row>
    <row r="4">
      <c r="A4" s="138" t="s">
        <v>39</v>
      </c>
      <c r="B4" s="41"/>
      <c r="C4" s="41">
        <f t="shared" si="1"/>
        <v>292</v>
      </c>
      <c r="D4" s="41"/>
      <c r="E4" s="41">
        <f>sumifs(raw_data!$Z:$Z,raw_data!$U:$U,"Telephony",raw_data!$T:$T,E1)</f>
        <v>0</v>
      </c>
      <c r="F4" s="41">
        <f>sumifs(raw_data!$Z:$Z,raw_data!$U:$U,"Telephony",raw_data!$T:$T,F1)</f>
        <v>0</v>
      </c>
      <c r="G4" s="41">
        <f>sumifs(raw_data!$Z:$Z,raw_data!$U:$U,"Telephony",raw_data!$T:$T,G1)</f>
        <v>0</v>
      </c>
      <c r="H4" s="41">
        <f>sumifs(raw_data!$Z:$Z,raw_data!$U:$U,"Telephony",raw_data!$T:$T,H1)</f>
        <v>0</v>
      </c>
      <c r="I4" s="41">
        <f>sumifs(raw_data!$Z:$Z,raw_data!$U:$U,"Telephony",raw_data!$T:$T,I1)</f>
        <v>0</v>
      </c>
      <c r="J4" s="41">
        <f>sumifs(raw_data!$Z:$Z,raw_data!$U:$U,"Telephony",raw_data!$T:$T,J1)</f>
        <v>0</v>
      </c>
      <c r="K4" s="41">
        <f>sumifs(raw_data!$Z:$Z,raw_data!$U:$U,"Telephony",raw_data!$T:$T,K1)</f>
        <v>0</v>
      </c>
      <c r="L4" s="41">
        <f>sumifs(raw_data!$Z:$Z,raw_data!$U:$U,"Telephony",raw_data!$T:$T,L1)</f>
        <v>0</v>
      </c>
      <c r="M4" s="41">
        <f>sumifs(raw_data!$Z:$Z,raw_data!$U:$U,"Telephony",raw_data!$T:$T,M1)</f>
        <v>0</v>
      </c>
      <c r="N4" s="41">
        <f>sumifs(raw_data!$Z:$Z,raw_data!$U:$U,"Telephony",raw_data!$T:$T,N1)</f>
        <v>0</v>
      </c>
      <c r="O4" s="41">
        <f>sumifs(raw_data!$Z:$Z,raw_data!$U:$U,"Telephony",raw_data!$T:$T,O1)</f>
        <v>0</v>
      </c>
      <c r="P4" s="41">
        <f>sumifs(raw_data!$Z:$Z,raw_data!$U:$U,"Telephony",raw_data!$T:$T,P1)</f>
        <v>0</v>
      </c>
      <c r="Q4" s="41">
        <f>sumifs(raw_data!$Z:$Z,raw_data!$U:$U,"Telephony",raw_data!$T:$T,Q1)</f>
        <v>0</v>
      </c>
      <c r="R4" s="41">
        <f>sumifs(raw_data!$Z:$Z,raw_data!$U:$U,"Telephony",raw_data!$T:$T,R1)</f>
        <v>0</v>
      </c>
      <c r="S4" s="41">
        <f>sumifs(raw_data!$Z:$Z,raw_data!$U:$U,"Telephony",raw_data!$T:$T,S1)</f>
        <v>0</v>
      </c>
      <c r="T4" s="41">
        <f>sumifs(raw_data!$Z:$Z,raw_data!$U:$U,"Telephony",raw_data!$T:$T,T1)</f>
        <v>0</v>
      </c>
      <c r="U4" s="41">
        <f>sumifs(raw_data!$Z:$Z,raw_data!$U:$U,"Telephony",raw_data!$T:$T,U1)</f>
        <v>0</v>
      </c>
      <c r="V4" s="41">
        <f>sumifs(raw_data!$Z:$Z,raw_data!$U:$U,"Telephony",raw_data!$T:$T,V1)</f>
        <v>0</v>
      </c>
      <c r="W4" s="41">
        <f>sumifs(raw_data!$Z:$Z,raw_data!$U:$U,"Telephony",raw_data!$T:$T,W1)</f>
        <v>0</v>
      </c>
      <c r="X4" s="41">
        <f>sumifs(raw_data!$Z:$Z,raw_data!$U:$U,"Telephony",raw_data!$T:$T,X1)</f>
        <v>0</v>
      </c>
      <c r="Y4" s="41">
        <f>sumifs(raw_data!$Z:$Z,raw_data!$U:$U,"Telephony",raw_data!$T:$T,Y1)</f>
        <v>18</v>
      </c>
      <c r="Z4" s="41">
        <f>sumifs(raw_data!$Z:$Z,raw_data!$U:$U,"Telephony",raw_data!$T:$T,Z1)</f>
        <v>27</v>
      </c>
      <c r="AA4" s="41">
        <f>sumifs(raw_data!$Z:$Z,raw_data!$U:$U,"Telephony",raw_data!$T:$T,AA1)</f>
        <v>30</v>
      </c>
      <c r="AB4" s="41">
        <f>sumifs(raw_data!$Z:$Z,raw_data!$U:$U,"Telephony",raw_data!$T:$T,AB1)</f>
        <v>33</v>
      </c>
      <c r="AC4" s="41">
        <f>sumifs(raw_data!$Z:$Z,raw_data!$U:$U,"Telephony",raw_data!$T:$T,AC1)</f>
        <v>29</v>
      </c>
      <c r="AD4" s="41">
        <f>sumifs(raw_data!$Z:$Z,raw_data!$U:$U,"Telephony",raw_data!$T:$T,AD1)</f>
        <v>11</v>
      </c>
      <c r="AE4" s="41">
        <f>sumifs(raw_data!$Z:$Z,raw_data!$U:$U,"Telephony",raw_data!$T:$T,AE1)</f>
        <v>51</v>
      </c>
      <c r="AF4" s="41">
        <f>sumifs(raw_data!$Z:$Z,raw_data!$U:$U,"Telephony",raw_data!$T:$T,AF1)</f>
        <v>25</v>
      </c>
      <c r="AG4" s="41">
        <f>sumifs(raw_data!$Z:$Z,raw_data!$U:$U,"Telephony",raw_data!$T:$T,AG1)</f>
        <v>25</v>
      </c>
      <c r="AH4" s="41">
        <f>sumifs(raw_data!$Z:$Z,raw_data!$U:$U,"Telephony",raw_data!$T:$T,AH1)</f>
        <v>20</v>
      </c>
      <c r="AI4" s="41">
        <f>sumifs(raw_data!$Z:$Z,raw_data!$U:$U,"Telephony",raw_data!$T:$T,AI1)</f>
        <v>23</v>
      </c>
      <c r="AJ4" s="139"/>
    </row>
    <row r="5">
      <c r="A5" s="138" t="s">
        <v>463</v>
      </c>
      <c r="B5" s="41"/>
      <c r="C5" s="41">
        <f t="shared" si="1"/>
        <v>318</v>
      </c>
      <c r="D5" s="41"/>
      <c r="E5" s="41">
        <f>sumifs(raw_data!$Z:$Z,raw_data!$U:$U,"Paid Ads",raw_data!$T:$T,E1)</f>
        <v>0</v>
      </c>
      <c r="F5" s="41">
        <f>sumifs(raw_data!$Z:$Z,raw_data!$U:$U,"Paid Ads",raw_data!$T:$T,F1)</f>
        <v>0</v>
      </c>
      <c r="G5" s="41">
        <f>sumifs(raw_data!$Z:$Z,raw_data!$U:$U,"Paid Ads",raw_data!$T:$T,G1)</f>
        <v>0</v>
      </c>
      <c r="H5" s="41">
        <f>sumifs(raw_data!$Z:$Z,raw_data!$U:$U,"Paid Ads",raw_data!$T:$T,H1)</f>
        <v>0</v>
      </c>
      <c r="I5" s="41">
        <f>sumifs(raw_data!$Z:$Z,raw_data!$U:$U,"Paid Ads",raw_data!$T:$T,I1)</f>
        <v>0</v>
      </c>
      <c r="J5" s="41">
        <f>sumifs(raw_data!$Z:$Z,raw_data!$U:$U,"Paid Ads",raw_data!$T:$T,J1)</f>
        <v>0</v>
      </c>
      <c r="K5" s="41">
        <f>sumifs(raw_data!$Z:$Z,raw_data!$U:$U,"Paid Ads",raw_data!$T:$T,K1)</f>
        <v>0</v>
      </c>
      <c r="L5" s="41">
        <f>sumifs(raw_data!$Z:$Z,raw_data!$U:$U,"Paid Ads",raw_data!$T:$T,L1)</f>
        <v>0</v>
      </c>
      <c r="M5" s="41">
        <f>sumifs(raw_data!$Z:$Z,raw_data!$U:$U,"Paid Ads",raw_data!$T:$T,M1)</f>
        <v>0</v>
      </c>
      <c r="N5" s="41">
        <f>sumifs(raw_data!$Z:$Z,raw_data!$U:$U,"Paid Ads",raw_data!$T:$T,N1)</f>
        <v>0</v>
      </c>
      <c r="O5" s="41">
        <f>sumifs(raw_data!$Z:$Z,raw_data!$U:$U,"Paid Ads",raw_data!$T:$T,O1)</f>
        <v>0</v>
      </c>
      <c r="P5" s="41">
        <f>sumifs(raw_data!$Z:$Z,raw_data!$U:$U,"Paid Ads",raw_data!$T:$T,P1)</f>
        <v>0</v>
      </c>
      <c r="Q5" s="41">
        <f>sumifs(raw_data!$Z:$Z,raw_data!$U:$U,"Paid Ads",raw_data!$T:$T,Q1)</f>
        <v>0</v>
      </c>
      <c r="R5" s="41">
        <f>sumifs(raw_data!$Z:$Z,raw_data!$U:$U,"Paid Ads",raw_data!$T:$T,R1)</f>
        <v>0</v>
      </c>
      <c r="S5" s="41">
        <f>sumifs(raw_data!$Z:$Z,raw_data!$U:$U,"Paid Ads",raw_data!$T:$T,S1)</f>
        <v>0</v>
      </c>
      <c r="T5" s="41">
        <f>sumifs(raw_data!$Z:$Z,raw_data!$U:$U,"Paid Ads",raw_data!$T:$T,T1)</f>
        <v>0</v>
      </c>
      <c r="U5" s="41">
        <f>sumifs(raw_data!$Z:$Z,raw_data!$U:$U,"Paid Ads",raw_data!$T:$T,U1)</f>
        <v>0</v>
      </c>
      <c r="V5" s="41">
        <f>sumifs(raw_data!$Z:$Z,raw_data!$U:$U,"Paid Ads",raw_data!$T:$T,V1)</f>
        <v>0</v>
      </c>
      <c r="W5" s="41">
        <f>sumifs(raw_data!$Z:$Z,raw_data!$U:$U,"Paid Ads",raw_data!$T:$T,W1)</f>
        <v>0</v>
      </c>
      <c r="X5" s="41">
        <f>sumifs(raw_data!$Z:$Z,raw_data!$U:$U,"Paid Ads",raw_data!$T:$T,X1)</f>
        <v>0</v>
      </c>
      <c r="Y5" s="41">
        <f>sumifs(raw_data!$Z:$Z,raw_data!$U:$U,"Paid Ads",raw_data!$T:$T,Y1)</f>
        <v>2</v>
      </c>
      <c r="Z5" s="41">
        <f>sumifs(raw_data!$Z:$Z,raw_data!$U:$U,"Paid Ads",raw_data!$T:$T,Z1)</f>
        <v>3</v>
      </c>
      <c r="AA5" s="41">
        <f>sumifs(raw_data!$Z:$Z,raw_data!$U:$U,"Paid Ads",raw_data!$T:$T,AA1)</f>
        <v>26</v>
      </c>
      <c r="AB5" s="41">
        <f>sumifs(raw_data!$Z:$Z,raw_data!$U:$U,"Paid Ads",raw_data!$T:$T,AB1)</f>
        <v>39</v>
      </c>
      <c r="AC5" s="41">
        <f>sumifs(raw_data!$Z:$Z,raw_data!$U:$U,"Paid Ads",raw_data!$T:$T,AC1)</f>
        <v>65</v>
      </c>
      <c r="AD5" s="41">
        <f>sumifs(raw_data!$Z:$Z,raw_data!$U:$U,"Paid Ads",raw_data!$T:$T,AD1)</f>
        <v>57</v>
      </c>
      <c r="AE5" s="41">
        <f>sumifs(raw_data!$Z:$Z,raw_data!$U:$U,"Paid Ads",raw_data!$T:$T,AE1)</f>
        <v>47</v>
      </c>
      <c r="AF5" s="41">
        <f>sumifs(raw_data!$Z:$Z,raw_data!$U:$U,"Paid Ads",raw_data!$T:$T,AF1)</f>
        <v>61</v>
      </c>
      <c r="AG5" s="41">
        <f>sumifs(raw_data!$Z:$Z,raw_data!$U:$U,"Paid Ads",raw_data!$T:$T,AG1)</f>
        <v>18</v>
      </c>
      <c r="AH5" s="41">
        <f>sumifs(raw_data!$Z:$Z,raw_data!$U:$U,"Paid Ads",raw_data!$T:$T,AH1)</f>
        <v>0</v>
      </c>
      <c r="AI5" s="41">
        <f>sumifs(raw_data!$Z:$Z,raw_data!$U:$U,"Paid Ads",raw_data!$T:$T,AI1)</f>
        <v>0</v>
      </c>
      <c r="AJ5" s="139"/>
    </row>
    <row r="6">
      <c r="A6" s="138" t="s">
        <v>41</v>
      </c>
      <c r="B6" s="41"/>
      <c r="C6" s="41">
        <f t="shared" si="1"/>
        <v>0</v>
      </c>
      <c r="D6" s="41"/>
      <c r="E6" s="41">
        <f t="shared" ref="E6:AI6" si="2">E16+E25+E34+E43+E52</f>
        <v>0</v>
      </c>
      <c r="F6" s="41">
        <f t="shared" si="2"/>
        <v>0</v>
      </c>
      <c r="G6" s="41">
        <f t="shared" si="2"/>
        <v>0</v>
      </c>
      <c r="H6" s="41">
        <f t="shared" si="2"/>
        <v>0</v>
      </c>
      <c r="I6" s="41">
        <f t="shared" si="2"/>
        <v>0</v>
      </c>
      <c r="J6" s="41">
        <f t="shared" si="2"/>
        <v>0</v>
      </c>
      <c r="K6" s="41">
        <f t="shared" si="2"/>
        <v>0</v>
      </c>
      <c r="L6" s="41">
        <f t="shared" si="2"/>
        <v>0</v>
      </c>
      <c r="M6" s="41">
        <f t="shared" si="2"/>
        <v>0</v>
      </c>
      <c r="N6" s="41">
        <f t="shared" si="2"/>
        <v>0</v>
      </c>
      <c r="O6" s="41">
        <f t="shared" si="2"/>
        <v>0</v>
      </c>
      <c r="P6" s="41">
        <f t="shared" si="2"/>
        <v>0</v>
      </c>
      <c r="Q6" s="41">
        <f t="shared" si="2"/>
        <v>0</v>
      </c>
      <c r="R6" s="41">
        <f t="shared" si="2"/>
        <v>0</v>
      </c>
      <c r="S6" s="41">
        <f t="shared" si="2"/>
        <v>0</v>
      </c>
      <c r="T6" s="41">
        <f t="shared" si="2"/>
        <v>0</v>
      </c>
      <c r="U6" s="41">
        <f t="shared" si="2"/>
        <v>0</v>
      </c>
      <c r="V6" s="41">
        <f t="shared" si="2"/>
        <v>0</v>
      </c>
      <c r="W6" s="41">
        <f t="shared" si="2"/>
        <v>0</v>
      </c>
      <c r="X6" s="41">
        <f t="shared" si="2"/>
        <v>0</v>
      </c>
      <c r="Y6" s="41">
        <f t="shared" si="2"/>
        <v>0</v>
      </c>
      <c r="Z6" s="41">
        <f t="shared" si="2"/>
        <v>0</v>
      </c>
      <c r="AA6" s="41">
        <f t="shared" si="2"/>
        <v>0</v>
      </c>
      <c r="AB6" s="41">
        <f t="shared" si="2"/>
        <v>0</v>
      </c>
      <c r="AC6" s="41">
        <f t="shared" si="2"/>
        <v>0</v>
      </c>
      <c r="AD6" s="41">
        <f t="shared" si="2"/>
        <v>0</v>
      </c>
      <c r="AE6" s="41">
        <f t="shared" si="2"/>
        <v>0</v>
      </c>
      <c r="AF6" s="41">
        <f t="shared" si="2"/>
        <v>0</v>
      </c>
      <c r="AG6" s="41">
        <f t="shared" si="2"/>
        <v>0</v>
      </c>
      <c r="AH6" s="41">
        <f t="shared" si="2"/>
        <v>0</v>
      </c>
      <c r="AI6" s="41">
        <f t="shared" si="2"/>
        <v>0</v>
      </c>
      <c r="AJ6" s="139"/>
    </row>
    <row r="7">
      <c r="A7" s="138" t="s">
        <v>43</v>
      </c>
      <c r="B7" s="41"/>
      <c r="C7" s="41">
        <f t="shared" si="1"/>
        <v>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139"/>
    </row>
    <row r="8">
      <c r="A8" s="140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</row>
    <row r="9">
      <c r="A9" s="140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</row>
    <row r="10">
      <c r="A10" s="140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</row>
    <row r="11">
      <c r="A11" s="141" t="s">
        <v>22</v>
      </c>
      <c r="B11" s="135" t="s">
        <v>44</v>
      </c>
      <c r="C11" s="135" t="s">
        <v>46</v>
      </c>
      <c r="D11" s="135" t="s">
        <v>45</v>
      </c>
      <c r="E11" s="136">
        <v>46023.0</v>
      </c>
      <c r="F11" s="136">
        <v>46024.0</v>
      </c>
      <c r="G11" s="136">
        <v>46025.0</v>
      </c>
      <c r="H11" s="136">
        <v>46026.0</v>
      </c>
      <c r="I11" s="136">
        <v>46027.0</v>
      </c>
      <c r="J11" s="136">
        <v>46028.0</v>
      </c>
      <c r="K11" s="136">
        <v>46029.0</v>
      </c>
      <c r="L11" s="136">
        <v>46030.0</v>
      </c>
      <c r="M11" s="136">
        <v>46031.0</v>
      </c>
      <c r="N11" s="136">
        <v>46032.0</v>
      </c>
      <c r="O11" s="136">
        <v>46033.0</v>
      </c>
      <c r="P11" s="136">
        <v>46034.0</v>
      </c>
      <c r="Q11" s="136">
        <v>46035.0</v>
      </c>
      <c r="R11" s="136">
        <v>46036.0</v>
      </c>
      <c r="S11" s="136">
        <v>46037.0</v>
      </c>
      <c r="T11" s="136">
        <v>46038.0</v>
      </c>
      <c r="U11" s="136">
        <v>46039.0</v>
      </c>
      <c r="V11" s="136">
        <v>46040.0</v>
      </c>
      <c r="W11" s="136">
        <v>46041.0</v>
      </c>
      <c r="X11" s="136">
        <v>46042.0</v>
      </c>
      <c r="Y11" s="136">
        <v>46043.0</v>
      </c>
      <c r="Z11" s="136">
        <v>46044.0</v>
      </c>
      <c r="AA11" s="136">
        <v>46045.0</v>
      </c>
      <c r="AB11" s="136">
        <v>46046.0</v>
      </c>
      <c r="AC11" s="136">
        <v>46047.0</v>
      </c>
      <c r="AD11" s="136">
        <v>46048.0</v>
      </c>
      <c r="AE11" s="136">
        <v>46049.0</v>
      </c>
      <c r="AF11" s="136">
        <v>46050.0</v>
      </c>
      <c r="AG11" s="136">
        <v>46051.0</v>
      </c>
      <c r="AH11" s="136">
        <v>46052.0</v>
      </c>
      <c r="AI11" s="136">
        <v>46053.0</v>
      </c>
      <c r="AJ11" s="139"/>
    </row>
    <row r="12">
      <c r="A12" s="138" t="s">
        <v>56</v>
      </c>
      <c r="B12" s="41"/>
      <c r="C12" s="41">
        <f t="shared" ref="C12:C17" si="3">sum(E12:AI12)</f>
        <v>174</v>
      </c>
      <c r="D12" s="41"/>
      <c r="E12" s="41">
        <f>sumifs(raw_data!$E:$E,raw_data!$A:$A,E11,raw_data!$C:$C,$A$11)</f>
        <v>0</v>
      </c>
      <c r="F12" s="41">
        <f>sumifs(raw_data!$E:$E,raw_data!$A:$A,F11,raw_data!$C:$C,$A$11,raw_data!$D:$D,"Primary_Walkin")</f>
        <v>0</v>
      </c>
      <c r="G12" s="41">
        <f>sumifs(raw_data!$E:$E,raw_data!$A:$A,G11,raw_data!$C:$C,$A$11,raw_data!$D:$D,"Primary_Walkin")</f>
        <v>0</v>
      </c>
      <c r="H12" s="41">
        <f>sumifs(raw_data!$E:$E,raw_data!$A:$A,H11,raw_data!$C:$C,$A$11,raw_data!$D:$D,"Primary_Walkin")</f>
        <v>0</v>
      </c>
      <c r="I12" s="41">
        <f>sumifs(raw_data!$E:$E,raw_data!$A:$A,I11,raw_data!$C:$C,$A$11,raw_data!$D:$D,"Primary_Walkin")</f>
        <v>0</v>
      </c>
      <c r="J12" s="41">
        <f>sumifs(raw_data!$E:$E,raw_data!$A:$A,J11,raw_data!$C:$C,$A$11,raw_data!$D:$D,"Primary_Walkin")</f>
        <v>0</v>
      </c>
      <c r="K12" s="41">
        <f>sumifs(raw_data!$E:$E,raw_data!$A:$A,K11,raw_data!$C:$C,$A$11,raw_data!$D:$D,"Primary_Walkin")</f>
        <v>0</v>
      </c>
      <c r="L12" s="41">
        <f>sumifs(raw_data!$E:$E,raw_data!$A:$A,L11,raw_data!$C:$C,$A$11,raw_data!$D:$D,"Primary_Walkin")</f>
        <v>0</v>
      </c>
      <c r="M12" s="41">
        <f>sumifs(raw_data!$E:$E,raw_data!$A:$A,M11,raw_data!$C:$C,$A$11,raw_data!$D:$D,"Primary_Walkin")</f>
        <v>0</v>
      </c>
      <c r="N12" s="41">
        <f>sumifs(raw_data!$E:$E,raw_data!$A:$A,N11,raw_data!$C:$C,$A$11,raw_data!$D:$D,"Primary_Walkin")</f>
        <v>0</v>
      </c>
      <c r="O12" s="41">
        <f>sumifs(raw_data!$E:$E,raw_data!$A:$A,O11,raw_data!$C:$C,$A$11,raw_data!$D:$D,"Primary_Walkin")</f>
        <v>0</v>
      </c>
      <c r="P12" s="41">
        <f>sumifs(raw_data!$E:$E,raw_data!$A:$A,P11,raw_data!$C:$C,$A$11,raw_data!$D:$D,"Primary_Walkin")</f>
        <v>0</v>
      </c>
      <c r="Q12" s="41">
        <f>sumifs(raw_data!$E:$E,raw_data!$A:$A,Q11,raw_data!$C:$C,$A$11,raw_data!$D:$D,"Primary_Walkin")</f>
        <v>0</v>
      </c>
      <c r="R12" s="41">
        <f>sumifs(raw_data!$E:$E,raw_data!$A:$A,R11,raw_data!$C:$C,$A$11,raw_data!$D:$D,"Primary_Walkin")</f>
        <v>0</v>
      </c>
      <c r="S12" s="41">
        <f>sumifs(raw_data!$E:$E,raw_data!$A:$A,S11,raw_data!$C:$C,$A$11,raw_data!$D:$D,"Primary_Walkin")</f>
        <v>0</v>
      </c>
      <c r="T12" s="41">
        <f>sumifs(raw_data!$E:$E,raw_data!$A:$A,T11,raw_data!$C:$C,$A$11,raw_data!$D:$D,"Primary_Walkin")</f>
        <v>0</v>
      </c>
      <c r="U12" s="41">
        <f>sumifs(raw_data!$E:$E,raw_data!$A:$A,U11,raw_data!$C:$C,$A$11,raw_data!$D:$D,"Primary_Walkin")</f>
        <v>0</v>
      </c>
      <c r="V12" s="41">
        <f>sumifs(raw_data!$E:$E,raw_data!$A:$A,V11,raw_data!$C:$C,$A$11,raw_data!$D:$D,"Primary_Walkin")</f>
        <v>0</v>
      </c>
      <c r="W12" s="41">
        <f>sumifs(raw_data!$E:$E,raw_data!$A:$A,W11,raw_data!$C:$C,$A$11,raw_data!$D:$D,"Primary_Walkin")</f>
        <v>0</v>
      </c>
      <c r="X12" s="41">
        <f>sumifs(raw_data!$E:$E,raw_data!$A:$A,X11,raw_data!$C:$C,$A$11,raw_data!$D:$D,"Primary_Walkin")</f>
        <v>0</v>
      </c>
      <c r="Y12" s="41">
        <f>sumifs(raw_data!$E:$E,raw_data!$A:$A,Y11,raw_data!$C:$C,$A$11,raw_data!$D:$D,"Primary_Walkin")</f>
        <v>20</v>
      </c>
      <c r="Z12" s="41">
        <f>sumifs(raw_data!$E:$E,raw_data!$A:$A,Z11,raw_data!$C:$C,$A$11,raw_data!$D:$D,"Primary_Walkin")</f>
        <v>20</v>
      </c>
      <c r="AA12" s="41">
        <f>sumifs(raw_data!$E:$E,raw_data!$A:$A,AA11,raw_data!$C:$C,$A$11,raw_data!$D:$D,"Primary_Walkin")</f>
        <v>5</v>
      </c>
      <c r="AB12" s="41">
        <f>sumifs(raw_data!$E:$E,raw_data!$A:$A,AB11,raw_data!$C:$C,$A$11,raw_data!$D:$D,"Primary_Walkin")</f>
        <v>24</v>
      </c>
      <c r="AC12" s="41">
        <f>sumifs(raw_data!$E:$E,raw_data!$A:$A,AC11,raw_data!$C:$C,$A$11,raw_data!$D:$D,"Primary_Walkin")</f>
        <v>19</v>
      </c>
      <c r="AD12" s="41">
        <f>sumifs(raw_data!$E:$E,raw_data!$A:$A,AD11,raw_data!$C:$C,$A$11,raw_data!$D:$D,"Primary_Walkin")</f>
        <v>0</v>
      </c>
      <c r="AE12" s="41">
        <f>sumifs(raw_data!$E:$E,raw_data!$A:$A,AE11,raw_data!$C:$C,$A$11,raw_data!$D:$D,"Primary_Walkin")</f>
        <v>15</v>
      </c>
      <c r="AF12" s="41">
        <f>sumifs(raw_data!$E:$E,raw_data!$A:$A,AF11,raw_data!$C:$C,$A$11,raw_data!$D:$D,"Primary_Walkin")</f>
        <v>18</v>
      </c>
      <c r="AG12" s="41">
        <f>sumifs(raw_data!$E:$E,raw_data!$A:$A,AG11,raw_data!$C:$C,$A$11,raw_data!$D:$D,"Primary_Walkin")</f>
        <v>13</v>
      </c>
      <c r="AH12" s="41">
        <f>sumifs(raw_data!$E:$E,raw_data!$A:$A,AH11,raw_data!$C:$C,$A$11,raw_data!$D:$D,"Primary_Walkin")</f>
        <v>19</v>
      </c>
      <c r="AI12" s="41">
        <f>sumifs(raw_data!$E:$E,raw_data!$A:$A,AI11,raw_data!$C:$C,$A$11,raw_data!$D:$D,"Primary_Walkin")</f>
        <v>21</v>
      </c>
      <c r="AJ12" s="139"/>
    </row>
    <row r="13">
      <c r="A13" s="138" t="s">
        <v>462</v>
      </c>
      <c r="B13" s="41"/>
      <c r="C13" s="41">
        <f t="shared" si="3"/>
        <v>8</v>
      </c>
      <c r="D13" s="41"/>
      <c r="E13" s="41">
        <f>sumifs(raw_data!$E:$E,raw_data!$A:$A,E11,raw_data!$C:$C,$A$11,raw_data!$D:$D,"Secondary_Walkin")</f>
        <v>0</v>
      </c>
      <c r="F13" s="41">
        <f>sumifs(raw_data!$E:$E,raw_data!$A:$A,F11,raw_data!$C:$C,$A$11,raw_data!$D:$D,"Secondary_Walkin")</f>
        <v>0</v>
      </c>
      <c r="G13" s="41">
        <f>sumifs(raw_data!$E:$E,raw_data!$A:$A,G11,raw_data!$C:$C,$A$11,raw_data!$D:$D,"Secondary_Walkin")</f>
        <v>0</v>
      </c>
      <c r="H13" s="41">
        <f>sumifs(raw_data!$E:$E,raw_data!$A:$A,H11,raw_data!$C:$C,$A$11,raw_data!$D:$D,"Secondary_Walkin")</f>
        <v>0</v>
      </c>
      <c r="I13" s="41">
        <f>sumifs(raw_data!$E:$E,raw_data!$A:$A,I11,raw_data!$C:$C,$A$11,raw_data!$D:$D,"Secondary_Walkin")</f>
        <v>0</v>
      </c>
      <c r="J13" s="41">
        <f>sumifs(raw_data!$E:$E,raw_data!$A:$A,J11,raw_data!$C:$C,$A$11,raw_data!$D:$D,"Secondary_Walkin")</f>
        <v>0</v>
      </c>
      <c r="K13" s="41">
        <f>sumifs(raw_data!$E:$E,raw_data!$A:$A,K11,raw_data!$C:$C,$A$11,raw_data!$D:$D,"Secondary_Walkin")</f>
        <v>0</v>
      </c>
      <c r="L13" s="41">
        <f>sumifs(raw_data!$E:$E,raw_data!$A:$A,L11,raw_data!$C:$C,$A$11,raw_data!$D:$D,"Secondary_Walkin")</f>
        <v>0</v>
      </c>
      <c r="M13" s="41">
        <f>sumifs(raw_data!$E:$E,raw_data!$A:$A,M11,raw_data!$C:$C,$A$11,raw_data!$D:$D,"Secondary_Walkin")</f>
        <v>0</v>
      </c>
      <c r="N13" s="41">
        <f>sumifs(raw_data!$E:$E,raw_data!$A:$A,N11,raw_data!$C:$C,$A$11,raw_data!$D:$D,"Secondary_Walkin")</f>
        <v>0</v>
      </c>
      <c r="O13" s="41">
        <f>sumifs(raw_data!$E:$E,raw_data!$A:$A,O11,raw_data!$C:$C,$A$11,raw_data!$D:$D,"Secondary_Walkin")</f>
        <v>0</v>
      </c>
      <c r="P13" s="41">
        <f>sumifs(raw_data!$E:$E,raw_data!$A:$A,P11,raw_data!$C:$C,$A$11,raw_data!$D:$D,"Secondary_Walkin")</f>
        <v>0</v>
      </c>
      <c r="Q13" s="41">
        <f>sumifs(raw_data!$E:$E,raw_data!$A:$A,Q11,raw_data!$C:$C,$A$11,raw_data!$D:$D,"Secondary_Walkin")</f>
        <v>0</v>
      </c>
      <c r="R13" s="41">
        <f>sumifs(raw_data!$E:$E,raw_data!$A:$A,R11,raw_data!$C:$C,$A$11,raw_data!$D:$D,"Secondary_Walkin")</f>
        <v>0</v>
      </c>
      <c r="S13" s="41">
        <f>sumifs(raw_data!$E:$E,raw_data!$A:$A,S11,raw_data!$C:$C,$A$11,raw_data!$D:$D,"Secondary_Walkin")</f>
        <v>0</v>
      </c>
      <c r="T13" s="41">
        <f>sumifs(raw_data!$E:$E,raw_data!$A:$A,T11,raw_data!$C:$C,$A$11,raw_data!$D:$D,"Secondary_Walkin")</f>
        <v>0</v>
      </c>
      <c r="U13" s="41">
        <f>sumifs(raw_data!$E:$E,raw_data!$A:$A,U11,raw_data!$C:$C,$A$11,raw_data!$D:$D,"Secondary_Walkin")</f>
        <v>0</v>
      </c>
      <c r="V13" s="41">
        <f>sumifs(raw_data!$E:$E,raw_data!$A:$A,V11,raw_data!$C:$C,$A$11,raw_data!$D:$D,"Secondary_Walkin")</f>
        <v>0</v>
      </c>
      <c r="W13" s="41">
        <f>sumifs(raw_data!$E:$E,raw_data!$A:$A,W11,raw_data!$C:$C,$A$11,raw_data!$D:$D,"Secondary_Walkin")</f>
        <v>0</v>
      </c>
      <c r="X13" s="41">
        <f>sumifs(raw_data!$E:$E,raw_data!$A:$A,X11,raw_data!$C:$C,$A$11,raw_data!$D:$D,"Secondary_Walkin")</f>
        <v>0</v>
      </c>
      <c r="Y13" s="41">
        <f>sumifs(raw_data!$E:$E,raw_data!$A:$A,Y11,raw_data!$C:$C,$A$11,raw_data!$D:$D,"Secondary_Walkin")</f>
        <v>1</v>
      </c>
      <c r="Z13" s="41">
        <f>sumifs(raw_data!$E:$E,raw_data!$A:$A,Z11,raw_data!$C:$C,$A$11,raw_data!$D:$D,"Secondary_Walkin")</f>
        <v>0</v>
      </c>
      <c r="AA13" s="41">
        <f>sumifs(raw_data!$E:$E,raw_data!$A:$A,AA11,raw_data!$C:$C,$A$11,raw_data!$D:$D,"Secondary_Walkin")</f>
        <v>0</v>
      </c>
      <c r="AB13" s="41">
        <f>sumifs(raw_data!$E:$E,raw_data!$A:$A,AB11,raw_data!$C:$C,$A$11,raw_data!$D:$D,"Secondary_Walkin")</f>
        <v>2</v>
      </c>
      <c r="AC13" s="41">
        <f>sumifs(raw_data!$E:$E,raw_data!$A:$A,AC11,raw_data!$C:$C,$A$11,raw_data!$D:$D,"Secondary_Walkin")</f>
        <v>0</v>
      </c>
      <c r="AD13" s="41">
        <f>sumifs(raw_data!$E:$E,raw_data!$A:$A,AD11,raw_data!$C:$C,$A$11,raw_data!$D:$D,"Secondary_Walkin")</f>
        <v>0</v>
      </c>
      <c r="AE13" s="41">
        <f>sumifs(raw_data!$E:$E,raw_data!$A:$A,AE11,raw_data!$C:$C,$A$11,raw_data!$D:$D,"Secondary_Walkin")</f>
        <v>0</v>
      </c>
      <c r="AF13" s="41">
        <f>sumifs(raw_data!$E:$E,raw_data!$A:$A,AF11,raw_data!$C:$C,$A$11,raw_data!$D:$D,"Secondary_Walkin")</f>
        <v>0</v>
      </c>
      <c r="AG13" s="41">
        <f>sumifs(raw_data!$E:$E,raw_data!$A:$A,AG11,raw_data!$C:$C,$A$11,raw_data!$D:$D,"Secondary_Walkin")</f>
        <v>2</v>
      </c>
      <c r="AH13" s="41">
        <f>sumifs(raw_data!$E:$E,raw_data!$A:$A,AH11,raw_data!$C:$C,$A$11,raw_data!$D:$D,"Secondary_Walkin")</f>
        <v>1</v>
      </c>
      <c r="AI13" s="41">
        <f>sumifs(raw_data!$E:$E,raw_data!$A:$A,AI11,raw_data!$C:$C,$A$11,raw_data!$D:$D,"Secondary_Walkin")</f>
        <v>2</v>
      </c>
      <c r="AJ13" s="139"/>
    </row>
    <row r="14">
      <c r="A14" s="138" t="s">
        <v>39</v>
      </c>
      <c r="B14" s="41"/>
      <c r="C14" s="41">
        <f t="shared" si="3"/>
        <v>24</v>
      </c>
      <c r="D14" s="41"/>
      <c r="E14" s="41">
        <f>sumifs(raw_data!$Z:$Z,raw_data!$U:$U,"Telephony",raw_data!$T:$T,E11,raw_data!$Y:$Y,$A$11)</f>
        <v>0</v>
      </c>
      <c r="F14" s="41">
        <f>sumifs(raw_data!$Z:$Z,raw_data!$U:$U,"Telephony",raw_data!$T:$T,F11,raw_data!$Y:$Y,$A$11)</f>
        <v>0</v>
      </c>
      <c r="G14" s="41">
        <f>sumifs(raw_data!$Z:$Z,raw_data!$U:$U,"Telephony",raw_data!$T:$T,G11,raw_data!$Y:$Y,$A$11)</f>
        <v>0</v>
      </c>
      <c r="H14" s="41">
        <f>sumifs(raw_data!$Z:$Z,raw_data!$U:$U,"Telephony",raw_data!$T:$T,H11,raw_data!$Y:$Y,$A$11)</f>
        <v>0</v>
      </c>
      <c r="I14" s="41">
        <f>sumifs(raw_data!$Z:$Z,raw_data!$U:$U,"Telephony",raw_data!$T:$T,I11,raw_data!$Y:$Y,$A$11)</f>
        <v>0</v>
      </c>
      <c r="J14" s="41">
        <f>sumifs(raw_data!$Z:$Z,raw_data!$U:$U,"Telephony",raw_data!$T:$T,J11,raw_data!$Y:$Y,$A$11)</f>
        <v>0</v>
      </c>
      <c r="K14" s="41">
        <f>sumifs(raw_data!$Z:$Z,raw_data!$U:$U,"Telephony",raw_data!$T:$T,K11,raw_data!$Y:$Y,$A$11)</f>
        <v>0</v>
      </c>
      <c r="L14" s="41">
        <f>sumifs(raw_data!$Z:$Z,raw_data!$U:$U,"Telephony",raw_data!$T:$T,L11,raw_data!$Y:$Y,$A$11)</f>
        <v>0</v>
      </c>
      <c r="M14" s="41">
        <f>sumifs(raw_data!$Z:$Z,raw_data!$U:$U,"Telephony",raw_data!$T:$T,M11,raw_data!$Y:$Y,$A$11)</f>
        <v>0</v>
      </c>
      <c r="N14" s="41">
        <f>sumifs(raw_data!$Z:$Z,raw_data!$U:$U,"Telephony",raw_data!$T:$T,N11,raw_data!$Y:$Y,$A$11)</f>
        <v>0</v>
      </c>
      <c r="O14" s="41">
        <f>sumifs(raw_data!$Z:$Z,raw_data!$U:$U,"Telephony",raw_data!$T:$T,O11,raw_data!$Y:$Y,$A$11)</f>
        <v>0</v>
      </c>
      <c r="P14" s="41">
        <f>sumifs(raw_data!$Z:$Z,raw_data!$U:$U,"Telephony",raw_data!$T:$T,P11,raw_data!$Y:$Y,$A$11)</f>
        <v>0</v>
      </c>
      <c r="Q14" s="41">
        <f>sumifs(raw_data!$Z:$Z,raw_data!$U:$U,"Telephony",raw_data!$T:$T,Q11,raw_data!$Y:$Y,$A$11)</f>
        <v>0</v>
      </c>
      <c r="R14" s="41">
        <f>sumifs(raw_data!$Z:$Z,raw_data!$U:$U,"Telephony",raw_data!$T:$T,R11,raw_data!$Y:$Y,$A$11)</f>
        <v>0</v>
      </c>
      <c r="S14" s="41">
        <f>sumifs(raw_data!$Z:$Z,raw_data!$U:$U,"Telephony",raw_data!$T:$T,S11,raw_data!$Y:$Y,$A$11)</f>
        <v>0</v>
      </c>
      <c r="T14" s="41">
        <f>sumifs(raw_data!$Z:$Z,raw_data!$U:$U,"Telephony",raw_data!$T:$T,T11,raw_data!$Y:$Y,$A$11)</f>
        <v>0</v>
      </c>
      <c r="U14" s="41">
        <f>sumifs(raw_data!$Z:$Z,raw_data!$U:$U,"Telephony",raw_data!$T:$T,U11,raw_data!$Y:$Y,$A$11)</f>
        <v>0</v>
      </c>
      <c r="V14" s="41">
        <f>sumifs(raw_data!$Z:$Z,raw_data!$U:$U,"Telephony",raw_data!$T:$T,V11,raw_data!$Y:$Y,$A$11)</f>
        <v>0</v>
      </c>
      <c r="W14" s="41">
        <f>sumifs(raw_data!$Z:$Z,raw_data!$U:$U,"Telephony",raw_data!$T:$T,W11,raw_data!$Y:$Y,$A$11)</f>
        <v>0</v>
      </c>
      <c r="X14" s="41">
        <f>sumifs(raw_data!$Z:$Z,raw_data!$U:$U,"Telephony",raw_data!$T:$T,X11,raw_data!$Y:$Y,$A$11)</f>
        <v>0</v>
      </c>
      <c r="Y14" s="41">
        <f>sumifs(raw_data!$Z:$Z,raw_data!$U:$U,"Telephony",raw_data!$T:$T,Y11,raw_data!$Y:$Y,$A$11)</f>
        <v>0</v>
      </c>
      <c r="Z14" s="41">
        <f>sumifs(raw_data!$Z:$Z,raw_data!$U:$U,"Telephony",raw_data!$T:$T,Z11,raw_data!$Y:$Y,$A$11)</f>
        <v>2</v>
      </c>
      <c r="AA14" s="41">
        <f>sumifs(raw_data!$Z:$Z,raw_data!$U:$U,"Telephony",raw_data!$T:$T,AA11,raw_data!$Y:$Y,$A$11)</f>
        <v>0</v>
      </c>
      <c r="AB14" s="41">
        <f>sumifs(raw_data!$Z:$Z,raw_data!$U:$U,"Telephony",raw_data!$T:$T,AB11,raw_data!$Y:$Y,$A$11)</f>
        <v>0</v>
      </c>
      <c r="AC14" s="41">
        <f>sumifs(raw_data!$Z:$Z,raw_data!$U:$U,"Telephony",raw_data!$T:$T,AC11,raw_data!$Y:$Y,$A$11)</f>
        <v>9</v>
      </c>
      <c r="AD14" s="41">
        <f>sumifs(raw_data!$Z:$Z,raw_data!$U:$U,"Telephony",raw_data!$T:$T,AD11,raw_data!$Y:$Y,$A$11)</f>
        <v>2</v>
      </c>
      <c r="AE14" s="41">
        <f>sumifs(raw_data!$Z:$Z,raw_data!$U:$U,"Telephony",raw_data!$T:$T,AE11,raw_data!$Y:$Y,$A$11)</f>
        <v>3</v>
      </c>
      <c r="AF14" s="41">
        <f>sumifs(raw_data!$Z:$Z,raw_data!$U:$U,"Telephony",raw_data!$T:$T,AF11,raw_data!$Y:$Y,$A$11)</f>
        <v>2</v>
      </c>
      <c r="AG14" s="41">
        <f>sumifs(raw_data!$Z:$Z,raw_data!$U:$U,"Telephony",raw_data!$T:$T,AG11,raw_data!$Y:$Y,$A$11)</f>
        <v>2</v>
      </c>
      <c r="AH14" s="41">
        <f>sumifs(raw_data!$Z:$Z,raw_data!$U:$U,"Telephony",raw_data!$T:$T,AH11,raw_data!$Y:$Y,$A$11)</f>
        <v>1</v>
      </c>
      <c r="AI14" s="41">
        <f>sumifs(raw_data!$Z:$Z,raw_data!$U:$U,"Telephony",raw_data!$T:$T,AI11,raw_data!$Y:$Y,$A$11)</f>
        <v>3</v>
      </c>
      <c r="AJ14" s="139"/>
    </row>
    <row r="15">
      <c r="A15" s="138" t="s">
        <v>463</v>
      </c>
      <c r="B15" s="41"/>
      <c r="C15" s="41">
        <f t="shared" si="3"/>
        <v>123</v>
      </c>
      <c r="D15" s="41"/>
      <c r="E15" s="41">
        <f>sumifs(raw_data!$Z:$Z,raw_data!$U:$U,"Paid Ads",raw_data!$T:$T,E11,raw_data!$Y:$Y,$A$11)</f>
        <v>0</v>
      </c>
      <c r="F15" s="41">
        <f>sumifs(raw_data!$Z:$Z,raw_data!$U:$U,"Paid Ads",raw_data!$T:$T,F11,raw_data!$Y:$Y,$A$11)</f>
        <v>0</v>
      </c>
      <c r="G15" s="41">
        <f>sumifs(raw_data!$Z:$Z,raw_data!$U:$U,"Paid Ads",raw_data!$T:$T,G11,raw_data!$Y:$Y,$A$11)</f>
        <v>0</v>
      </c>
      <c r="H15" s="41">
        <f>sumifs(raw_data!$Z:$Z,raw_data!$U:$U,"Paid Ads",raw_data!$T:$T,H11,raw_data!$Y:$Y,$A$11)</f>
        <v>0</v>
      </c>
      <c r="I15" s="41">
        <f>sumifs(raw_data!$Z:$Z,raw_data!$U:$U,"Paid Ads",raw_data!$T:$T,I11,raw_data!$Y:$Y,$A$11)</f>
        <v>0</v>
      </c>
      <c r="J15" s="41">
        <f>sumifs(raw_data!$Z:$Z,raw_data!$U:$U,"Paid Ads",raw_data!$T:$T,J11,raw_data!$Y:$Y,$A$11)</f>
        <v>0</v>
      </c>
      <c r="K15" s="41">
        <f>sumifs(raw_data!$Z:$Z,raw_data!$U:$U,"Paid Ads",raw_data!$T:$T,K11,raw_data!$Y:$Y,$A$11)</f>
        <v>0</v>
      </c>
      <c r="L15" s="41">
        <f>sumifs(raw_data!$Z:$Z,raw_data!$U:$U,"Paid Ads",raw_data!$T:$T,L11,raw_data!$Y:$Y,$A$11)</f>
        <v>0</v>
      </c>
      <c r="M15" s="41">
        <f>sumifs(raw_data!$Z:$Z,raw_data!$U:$U,"Paid Ads",raw_data!$T:$T,M11,raw_data!$Y:$Y,$A$11)</f>
        <v>0</v>
      </c>
      <c r="N15" s="41">
        <f>sumifs(raw_data!$Z:$Z,raw_data!$U:$U,"Paid Ads",raw_data!$T:$T,N11,raw_data!$Y:$Y,$A$11)</f>
        <v>0</v>
      </c>
      <c r="O15" s="41">
        <f>sumifs(raw_data!$Z:$Z,raw_data!$U:$U,"Paid Ads",raw_data!$T:$T,O11,raw_data!$Y:$Y,$A$11)</f>
        <v>0</v>
      </c>
      <c r="P15" s="41">
        <f>sumifs(raw_data!$Z:$Z,raw_data!$U:$U,"Paid Ads",raw_data!$T:$T,P11,raw_data!$Y:$Y,$A$11)</f>
        <v>0</v>
      </c>
      <c r="Q15" s="41">
        <f>sumifs(raw_data!$Z:$Z,raw_data!$U:$U,"Paid Ads",raw_data!$T:$T,Q11,raw_data!$Y:$Y,$A$11)</f>
        <v>0</v>
      </c>
      <c r="R15" s="41">
        <f>sumifs(raw_data!$Z:$Z,raw_data!$U:$U,"Paid Ads",raw_data!$T:$T,R11,raw_data!$Y:$Y,$A$11)</f>
        <v>0</v>
      </c>
      <c r="S15" s="41">
        <f>sumifs(raw_data!$Z:$Z,raw_data!$U:$U,"Paid Ads",raw_data!$T:$T,S11,raw_data!$Y:$Y,$A$11)</f>
        <v>0</v>
      </c>
      <c r="T15" s="41">
        <f>sumifs(raw_data!$Z:$Z,raw_data!$U:$U,"Paid Ads",raw_data!$T:$T,T11,raw_data!$Y:$Y,$A$11)</f>
        <v>0</v>
      </c>
      <c r="U15" s="41">
        <f>sumifs(raw_data!$Z:$Z,raw_data!$U:$U,"Paid Ads",raw_data!$T:$T,U11,raw_data!$Y:$Y,$A$11)</f>
        <v>0</v>
      </c>
      <c r="V15" s="41">
        <f>sumifs(raw_data!$Z:$Z,raw_data!$U:$U,"Paid Ads",raw_data!$T:$T,V11,raw_data!$Y:$Y,$A$11)</f>
        <v>0</v>
      </c>
      <c r="W15" s="41">
        <f>sumifs(raw_data!$Z:$Z,raw_data!$U:$U,"Paid Ads",raw_data!$T:$T,W11,raw_data!$Y:$Y,$A$11)</f>
        <v>0</v>
      </c>
      <c r="X15" s="41">
        <f>sumifs(raw_data!$Z:$Z,raw_data!$U:$U,"Paid Ads",raw_data!$T:$T,X11,raw_data!$Y:$Y,$A$11)</f>
        <v>0</v>
      </c>
      <c r="Y15" s="41">
        <f>sumifs(raw_data!$Z:$Z,raw_data!$U:$U,"Paid Ads",raw_data!$T:$T,Y11,raw_data!$Y:$Y,$A$11)</f>
        <v>1</v>
      </c>
      <c r="Z15" s="41">
        <f>sumifs(raw_data!$Z:$Z,raw_data!$U:$U,"Paid Ads",raw_data!$T:$T,Z11,raw_data!$Y:$Y,$A$11)</f>
        <v>1</v>
      </c>
      <c r="AA15" s="41">
        <f>sumifs(raw_data!$Z:$Z,raw_data!$U:$U,"Paid Ads",raw_data!$T:$T,AA11,raw_data!$Y:$Y,$A$11)</f>
        <v>14</v>
      </c>
      <c r="AB15" s="41">
        <f>sumifs(raw_data!$Z:$Z,raw_data!$U:$U,"Paid Ads",raw_data!$T:$T,AB11,raw_data!$Y:$Y,$A$11)</f>
        <v>18</v>
      </c>
      <c r="AC15" s="41">
        <f>sumifs(raw_data!$Z:$Z,raw_data!$U:$U,"Paid Ads",raw_data!$T:$T,AC11,raw_data!$Y:$Y,$A$11)</f>
        <v>24</v>
      </c>
      <c r="AD15" s="41">
        <f>sumifs(raw_data!$Z:$Z,raw_data!$U:$U,"Paid Ads",raw_data!$T:$T,AD11,raw_data!$Y:$Y,$A$11)</f>
        <v>20</v>
      </c>
      <c r="AE15" s="41">
        <f>sumifs(raw_data!$Z:$Z,raw_data!$U:$U,"Paid Ads",raw_data!$T:$T,AE11,raw_data!$Y:$Y,$A$11)</f>
        <v>12</v>
      </c>
      <c r="AF15" s="41">
        <f>sumifs(raw_data!$Z:$Z,raw_data!$U:$U,"Paid Ads",raw_data!$T:$T,AF11,raw_data!$Y:$Y,$A$11)</f>
        <v>17</v>
      </c>
      <c r="AG15" s="41">
        <f>sumifs(raw_data!$Z:$Z,raw_data!$U:$U,"Paid Ads",raw_data!$T:$T,AG11,raw_data!$Y:$Y,$A$11)</f>
        <v>16</v>
      </c>
      <c r="AH15" s="41">
        <f>sumifs(raw_data!$Z:$Z,raw_data!$U:$U,"Paid Ads",raw_data!$T:$T,AH11,raw_data!$Y:$Y,$A$11)</f>
        <v>0</v>
      </c>
      <c r="AI15" s="41">
        <f>sumifs(raw_data!$Z:$Z,raw_data!$U:$U,"Paid Ads",raw_data!$T:$T,AI11,raw_data!$Y:$Y,$A$11)</f>
        <v>0</v>
      </c>
      <c r="AJ15" s="139"/>
    </row>
    <row r="16">
      <c r="A16" s="138" t="s">
        <v>41</v>
      </c>
      <c r="B16" s="41"/>
      <c r="C16" s="41">
        <f t="shared" si="3"/>
        <v>0</v>
      </c>
      <c r="D16" s="41"/>
      <c r="E16" s="41">
        <f>sumifs(raw_data!$M:$M,raw_data!$K:$K,E11,raw_data!$N:$N,$A$11)</f>
        <v>0</v>
      </c>
      <c r="F16" s="41">
        <f>sumifs(raw_data!$M:$M,raw_data!$K:$K,F11,raw_data!$N:$N,$A$11)</f>
        <v>0</v>
      </c>
      <c r="G16" s="41">
        <f>sumifs(raw_data!$M:$M,raw_data!$K:$K,G11,raw_data!$N:$N,$A$11)</f>
        <v>0</v>
      </c>
      <c r="H16" s="41">
        <f>sumifs(raw_data!$M:$M,raw_data!$K:$K,H11,raw_data!$N:$N,$A$11)</f>
        <v>0</v>
      </c>
      <c r="I16" s="41">
        <f>sumifs(raw_data!$M:$M,raw_data!$K:$K,I11,raw_data!$N:$N,$A$11)</f>
        <v>0</v>
      </c>
      <c r="J16" s="41">
        <f>sumifs(raw_data!$M:$M,raw_data!$K:$K,J11,raw_data!$N:$N,$A$11)</f>
        <v>0</v>
      </c>
      <c r="K16" s="41">
        <f>sumifs(raw_data!$M:$M,raw_data!$K:$K,K11,raw_data!$N:$N,$A$11)</f>
        <v>0</v>
      </c>
      <c r="L16" s="41">
        <f>sumifs(raw_data!$M:$M,raw_data!$K:$K,L11,raw_data!$N:$N,$A$11)</f>
        <v>0</v>
      </c>
      <c r="M16" s="41">
        <f>sumifs(raw_data!$M:$M,raw_data!$K:$K,M11,raw_data!$N:$N,$A$11)</f>
        <v>0</v>
      </c>
      <c r="N16" s="41">
        <f>sumifs(raw_data!$M:$M,raw_data!$K:$K,N11,raw_data!$N:$N,$A$11)</f>
        <v>0</v>
      </c>
      <c r="O16" s="41">
        <f>sumifs(raw_data!$M:$M,raw_data!$K:$K,O11,raw_data!$N:$N,$A$11)</f>
        <v>0</v>
      </c>
      <c r="P16" s="41">
        <f>sumifs(raw_data!$M:$M,raw_data!$K:$K,P11,raw_data!$N:$N,$A$11)</f>
        <v>0</v>
      </c>
      <c r="Q16" s="41">
        <f>sumifs(raw_data!$M:$M,raw_data!$K:$K,Q11,raw_data!$N:$N,$A$11)</f>
        <v>0</v>
      </c>
      <c r="R16" s="41">
        <f>sumifs(raw_data!$M:$M,raw_data!$K:$K,R11,raw_data!$N:$N,$A$11)</f>
        <v>0</v>
      </c>
      <c r="S16" s="41">
        <f>sumifs(raw_data!$M:$M,raw_data!$K:$K,S11,raw_data!$N:$N,$A$11)</f>
        <v>0</v>
      </c>
      <c r="T16" s="41">
        <f>sumifs(raw_data!$M:$M,raw_data!$K:$K,T11,raw_data!$N:$N,$A$11)</f>
        <v>0</v>
      </c>
      <c r="U16" s="41">
        <f>sumifs(raw_data!$M:$M,raw_data!$K:$K,U11,raw_data!$N:$N,$A$11)</f>
        <v>0</v>
      </c>
      <c r="V16" s="41">
        <f>sumifs(raw_data!$M:$M,raw_data!$K:$K,V11,raw_data!$N:$N,$A$11)</f>
        <v>0</v>
      </c>
      <c r="W16" s="41">
        <f>sumifs(raw_data!$M:$M,raw_data!$K:$K,W11,raw_data!$N:$N,$A$11)</f>
        <v>0</v>
      </c>
      <c r="X16" s="41">
        <f>sumifs(raw_data!$M:$M,raw_data!$K:$K,X11,raw_data!$N:$N,$A$11)</f>
        <v>0</v>
      </c>
      <c r="Y16" s="41">
        <f>sumifs(raw_data!$M:$M,raw_data!$K:$K,Y11,raw_data!$N:$N,$A$11)</f>
        <v>0</v>
      </c>
      <c r="Z16" s="41">
        <f>sumifs(raw_data!$M:$M,raw_data!$K:$K,Z11,raw_data!$N:$N,$A$11)</f>
        <v>0</v>
      </c>
      <c r="AA16" s="41">
        <f>sumifs(raw_data!$M:$M,raw_data!$K:$K,AA11,raw_data!$N:$N,$A$11)</f>
        <v>0</v>
      </c>
      <c r="AB16" s="41">
        <f>sumifs(raw_data!$M:$M,raw_data!$K:$K,AB11,raw_data!$N:$N,$A$11)</f>
        <v>0</v>
      </c>
      <c r="AC16" s="41">
        <f>sumifs(raw_data!$M:$M,raw_data!$K:$K,AC11,raw_data!$N:$N,$A$11)</f>
        <v>0</v>
      </c>
      <c r="AD16" s="41">
        <f>sumifs(raw_data!$M:$M,raw_data!$K:$K,AD11,raw_data!$N:$N,$A$11)</f>
        <v>0</v>
      </c>
      <c r="AE16" s="41">
        <f>sumifs(raw_data!$M:$M,raw_data!$K:$K,AE11,raw_data!$N:$N,$A$11)</f>
        <v>0</v>
      </c>
      <c r="AF16" s="41">
        <f>sumifs(raw_data!$M:$M,raw_data!$K:$K,AF11,raw_data!$N:$N,$A$11)</f>
        <v>0</v>
      </c>
      <c r="AG16" s="41">
        <f>sumifs(raw_data!$M:$M,raw_data!$K:$K,AG11,raw_data!$N:$N,$A$11)</f>
        <v>0</v>
      </c>
      <c r="AH16" s="41">
        <f>sumifs(raw_data!$M:$M,raw_data!$K:$K,AH11,raw_data!$N:$N,$A$11)</f>
        <v>0</v>
      </c>
      <c r="AI16" s="41">
        <f>sumifs(raw_data!$M:$M,raw_data!$K:$K,AI11,raw_data!$N:$N,$A$11)</f>
        <v>0</v>
      </c>
      <c r="AJ16" s="139"/>
    </row>
    <row r="17">
      <c r="A17" s="138" t="s">
        <v>43</v>
      </c>
      <c r="B17" s="41"/>
      <c r="C17" s="41">
        <f t="shared" si="3"/>
        <v>0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139"/>
    </row>
    <row r="18">
      <c r="A18" s="140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</row>
    <row r="19">
      <c r="A19" s="140"/>
      <c r="B19" s="139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</row>
    <row r="20">
      <c r="A20" s="141" t="s">
        <v>61</v>
      </c>
      <c r="B20" s="135" t="s">
        <v>44</v>
      </c>
      <c r="C20" s="135" t="s">
        <v>46</v>
      </c>
      <c r="D20" s="135" t="s">
        <v>45</v>
      </c>
      <c r="E20" s="136">
        <v>46023.0</v>
      </c>
      <c r="F20" s="136">
        <v>46024.0</v>
      </c>
      <c r="G20" s="136">
        <v>46025.0</v>
      </c>
      <c r="H20" s="136">
        <v>46026.0</v>
      </c>
      <c r="I20" s="136">
        <v>46027.0</v>
      </c>
      <c r="J20" s="136">
        <v>46028.0</v>
      </c>
      <c r="K20" s="136">
        <v>46029.0</v>
      </c>
      <c r="L20" s="136">
        <v>46030.0</v>
      </c>
      <c r="M20" s="136">
        <v>46031.0</v>
      </c>
      <c r="N20" s="136">
        <v>46032.0</v>
      </c>
      <c r="O20" s="136">
        <v>46033.0</v>
      </c>
      <c r="P20" s="136">
        <v>46034.0</v>
      </c>
      <c r="Q20" s="136">
        <v>46035.0</v>
      </c>
      <c r="R20" s="136">
        <v>46036.0</v>
      </c>
      <c r="S20" s="136">
        <v>46037.0</v>
      </c>
      <c r="T20" s="136">
        <v>46038.0</v>
      </c>
      <c r="U20" s="136">
        <v>46039.0</v>
      </c>
      <c r="V20" s="136">
        <v>46040.0</v>
      </c>
      <c r="W20" s="136">
        <v>46041.0</v>
      </c>
      <c r="X20" s="136">
        <v>46042.0</v>
      </c>
      <c r="Y20" s="136">
        <v>46043.0</v>
      </c>
      <c r="Z20" s="136">
        <v>46044.0</v>
      </c>
      <c r="AA20" s="136">
        <v>46045.0</v>
      </c>
      <c r="AB20" s="136">
        <v>46046.0</v>
      </c>
      <c r="AC20" s="136">
        <v>46047.0</v>
      </c>
      <c r="AD20" s="136">
        <v>46048.0</v>
      </c>
      <c r="AE20" s="136">
        <v>46049.0</v>
      </c>
      <c r="AF20" s="136">
        <v>46050.0</v>
      </c>
      <c r="AG20" s="136">
        <v>46051.0</v>
      </c>
      <c r="AH20" s="136">
        <v>46052.0</v>
      </c>
      <c r="AI20" s="136">
        <v>46053.0</v>
      </c>
      <c r="AJ20" s="139"/>
    </row>
    <row r="21">
      <c r="A21" s="138" t="s">
        <v>56</v>
      </c>
      <c r="B21" s="41"/>
      <c r="C21" s="41">
        <f t="shared" ref="C21:C26" si="4">sum(E21:AI21)</f>
        <v>27</v>
      </c>
      <c r="D21" s="41"/>
      <c r="E21" s="41">
        <f>sumifs(raw_data!$E:$E,raw_data!$A:$A,E20,raw_data!$C:$C,$A$20,raw_data!$D:$D,"Primary_Walkin")</f>
        <v>0</v>
      </c>
      <c r="F21" s="41">
        <f>sumifs(raw_data!$E:$E,raw_data!$A:$A,F20,raw_data!$C:$C,$A$20,raw_data!$D:$D,"Primary_Walkin")</f>
        <v>0</v>
      </c>
      <c r="G21" s="41">
        <f>sumifs(raw_data!$E:$E,raw_data!$A:$A,G20,raw_data!$C:$C,$A$20,raw_data!$D:$D,"Primary_Walkin")</f>
        <v>0</v>
      </c>
      <c r="H21" s="41">
        <f>sumifs(raw_data!$E:$E,raw_data!$A:$A,H20,raw_data!$C:$C,$A$20,raw_data!$D:$D,"Primary_Walkin")</f>
        <v>0</v>
      </c>
      <c r="I21" s="41">
        <f>sumifs(raw_data!$E:$E,raw_data!$A:$A,I20,raw_data!$C:$C,$A$20,raw_data!$D:$D,"Primary_Walkin")</f>
        <v>0</v>
      </c>
      <c r="J21" s="41">
        <f>sumifs(raw_data!$E:$E,raw_data!$A:$A,J20,raw_data!$C:$C,$A$20,raw_data!$D:$D,"Primary_Walkin")</f>
        <v>0</v>
      </c>
      <c r="K21" s="41">
        <f>sumifs(raw_data!$E:$E,raw_data!$A:$A,K20,raw_data!$C:$C,$A$20,raw_data!$D:$D,"Primary_Walkin")</f>
        <v>0</v>
      </c>
      <c r="L21" s="41">
        <f>sumifs(raw_data!$E:$E,raw_data!$A:$A,L20,raw_data!$C:$C,$A$20,raw_data!$D:$D,"Primary_Walkin")</f>
        <v>0</v>
      </c>
      <c r="M21" s="41">
        <f>sumifs(raw_data!$E:$E,raw_data!$A:$A,M20,raw_data!$C:$C,$A$20,raw_data!$D:$D,"Primary_Walkin")</f>
        <v>0</v>
      </c>
      <c r="N21" s="41">
        <f>sumifs(raw_data!$E:$E,raw_data!$A:$A,N20,raw_data!$C:$C,$A$20,raw_data!$D:$D,"Primary_Walkin")</f>
        <v>0</v>
      </c>
      <c r="O21" s="41">
        <f>sumifs(raw_data!$E:$E,raw_data!$A:$A,O20,raw_data!$C:$C,$A$20,raw_data!$D:$D,"Primary_Walkin")</f>
        <v>0</v>
      </c>
      <c r="P21" s="41">
        <f>sumifs(raw_data!$E:$E,raw_data!$A:$A,P20,raw_data!$C:$C,$A$20,raw_data!$D:$D,"Primary_Walkin")</f>
        <v>0</v>
      </c>
      <c r="Q21" s="41">
        <f>sumifs(raw_data!$E:$E,raw_data!$A:$A,Q20,raw_data!$C:$C,$A$20,raw_data!$D:$D,"Primary_Walkin")</f>
        <v>0</v>
      </c>
      <c r="R21" s="41">
        <f>sumifs(raw_data!$E:$E,raw_data!$A:$A,R20,raw_data!$C:$C,$A$20,raw_data!$D:$D,"Primary_Walkin")</f>
        <v>0</v>
      </c>
      <c r="S21" s="41">
        <f>sumifs(raw_data!$E:$E,raw_data!$A:$A,S20,raw_data!$C:$C,$A$20,raw_data!$D:$D,"Primary_Walkin")</f>
        <v>0</v>
      </c>
      <c r="T21" s="41">
        <f>sumifs(raw_data!$E:$E,raw_data!$A:$A,T20,raw_data!$C:$C,$A$20,raw_data!$D:$D,"Primary_Walkin")</f>
        <v>0</v>
      </c>
      <c r="U21" s="41">
        <f>sumifs(raw_data!$E:$E,raw_data!$A:$A,U20,raw_data!$C:$C,$A$20,raw_data!$D:$D,"Primary_Walkin")</f>
        <v>0</v>
      </c>
      <c r="V21" s="41">
        <f>sumifs(raw_data!$E:$E,raw_data!$A:$A,V20,raw_data!$C:$C,$A$20,raw_data!$D:$D,"Primary_Walkin")</f>
        <v>0</v>
      </c>
      <c r="W21" s="41">
        <f>sumifs(raw_data!$E:$E,raw_data!$A:$A,W20,raw_data!$C:$C,$A$20,raw_data!$D:$D,"Primary_Walkin")</f>
        <v>0</v>
      </c>
      <c r="X21" s="41">
        <f>sumifs(raw_data!$E:$E,raw_data!$A:$A,X20,raw_data!$C:$C,$A$20,raw_data!$D:$D,"Primary_Walkin")</f>
        <v>0</v>
      </c>
      <c r="Y21" s="41">
        <f>sumifs(raw_data!$E:$E,raw_data!$A:$A,Y20,raw_data!$C:$C,$A$20,raw_data!$D:$D,"Primary_Walkin")</f>
        <v>2</v>
      </c>
      <c r="Z21" s="41">
        <f>sumifs(raw_data!$E:$E,raw_data!$A:$A,Z20,raw_data!$C:$C,$A$20,raw_data!$D:$D,"Primary_Walkin")</f>
        <v>5</v>
      </c>
      <c r="AA21" s="41">
        <f>sumifs(raw_data!$E:$E,raw_data!$A:$A,AA20,raw_data!$C:$C,$A$20,raw_data!$D:$D,"Primary_Walkin")</f>
        <v>4</v>
      </c>
      <c r="AB21" s="41">
        <f>sumifs(raw_data!$E:$E,raw_data!$A:$A,AB20,raw_data!$C:$C,$A$20,raw_data!$D:$D,"Primary_Walkin")</f>
        <v>1</v>
      </c>
      <c r="AC21" s="41">
        <f>sumifs(raw_data!$E:$E,raw_data!$A:$A,AC20,raw_data!$C:$C,$A$20,raw_data!$D:$D,"Primary_Walkin")</f>
        <v>2</v>
      </c>
      <c r="AD21" s="41">
        <f>sumifs(raw_data!$E:$E,raw_data!$A:$A,AD20,raw_data!$C:$C,$A$20,raw_data!$D:$D,"Primary_Walkin")</f>
        <v>0</v>
      </c>
      <c r="AE21" s="41">
        <f>sumifs(raw_data!$E:$E,raw_data!$A:$A,AE20,raw_data!$C:$C,$A$20,raw_data!$D:$D,"Primary_Walkin")</f>
        <v>5</v>
      </c>
      <c r="AF21" s="41">
        <f>sumifs(raw_data!$E:$E,raw_data!$A:$A,AF20,raw_data!$C:$C,$A$20,raw_data!$D:$D,"Primary_Walkin")</f>
        <v>2</v>
      </c>
      <c r="AG21" s="41">
        <f>sumifs(raw_data!$E:$E,raw_data!$A:$A,AG20,raw_data!$C:$C,$A$20,raw_data!$D:$D,"Primary_Walkin")</f>
        <v>4</v>
      </c>
      <c r="AH21" s="41">
        <f>sumifs(raw_data!$E:$E,raw_data!$A:$A,AH20,raw_data!$C:$C,$A$20,raw_data!$D:$D,"Primary_Walkin")</f>
        <v>1</v>
      </c>
      <c r="AI21" s="41">
        <f>sumifs(raw_data!$E:$E,raw_data!$A:$A,AI20,raw_data!$C:$C,$A$20,raw_data!$D:$D,"Primary_Walkin")</f>
        <v>1</v>
      </c>
      <c r="AJ21" s="139"/>
    </row>
    <row r="22">
      <c r="A22" s="138" t="s">
        <v>462</v>
      </c>
      <c r="B22" s="41"/>
      <c r="C22" s="41">
        <f t="shared" si="4"/>
        <v>0</v>
      </c>
      <c r="D22" s="41"/>
      <c r="E22" s="41">
        <f>sumifs(raw_data!$E:$E,raw_data!$A:$A,E20,raw_data!$C:$C,$A$20,raw_data!$D:$D,"Secondary_Walkin")</f>
        <v>0</v>
      </c>
      <c r="F22" s="41">
        <f>sumifs(raw_data!$E:$E,raw_data!$A:$A,F20,raw_data!$C:$C,$A$20,raw_data!$D:$D,"Secondary_Walkin")</f>
        <v>0</v>
      </c>
      <c r="G22" s="41">
        <f>sumifs(raw_data!$E:$E,raw_data!$A:$A,G20,raw_data!$C:$C,$A$20,raw_data!$D:$D,"Secondary_Walkin")</f>
        <v>0</v>
      </c>
      <c r="H22" s="41">
        <f>sumifs(raw_data!$E:$E,raw_data!$A:$A,H20,raw_data!$C:$C,$A$20,raw_data!$D:$D,"Secondary_Walkin")</f>
        <v>0</v>
      </c>
      <c r="I22" s="41">
        <f>sumifs(raw_data!$E:$E,raw_data!$A:$A,I20,raw_data!$C:$C,$A$20,raw_data!$D:$D,"Secondary_Walkin")</f>
        <v>0</v>
      </c>
      <c r="J22" s="41">
        <f>sumifs(raw_data!$E:$E,raw_data!$A:$A,J20,raw_data!$C:$C,$A$20,raw_data!$D:$D,"Secondary_Walkin")</f>
        <v>0</v>
      </c>
      <c r="K22" s="41">
        <f>sumifs(raw_data!$E:$E,raw_data!$A:$A,K20,raw_data!$C:$C,$A$20,raw_data!$D:$D,"Secondary_Walkin")</f>
        <v>0</v>
      </c>
      <c r="L22" s="41">
        <f>sumifs(raw_data!$E:$E,raw_data!$A:$A,L20,raw_data!$C:$C,$A$20,raw_data!$D:$D,"Secondary_Walkin")</f>
        <v>0</v>
      </c>
      <c r="M22" s="41">
        <f>sumifs(raw_data!$E:$E,raw_data!$A:$A,M20,raw_data!$C:$C,$A$20,raw_data!$D:$D,"Secondary_Walkin")</f>
        <v>0</v>
      </c>
      <c r="N22" s="41">
        <f>sumifs(raw_data!$E:$E,raw_data!$A:$A,N20,raw_data!$C:$C,$A$20,raw_data!$D:$D,"Secondary_Walkin")</f>
        <v>0</v>
      </c>
      <c r="O22" s="41">
        <f>sumifs(raw_data!$E:$E,raw_data!$A:$A,O20,raw_data!$C:$C,$A$20,raw_data!$D:$D,"Secondary_Walkin")</f>
        <v>0</v>
      </c>
      <c r="P22" s="41">
        <f>sumifs(raw_data!$E:$E,raw_data!$A:$A,P20,raw_data!$C:$C,$A$20,raw_data!$D:$D,"Secondary_Walkin")</f>
        <v>0</v>
      </c>
      <c r="Q22" s="41">
        <f>sumifs(raw_data!$E:$E,raw_data!$A:$A,Q20,raw_data!$C:$C,$A$20,raw_data!$D:$D,"Secondary_Walkin")</f>
        <v>0</v>
      </c>
      <c r="R22" s="41">
        <f>sumifs(raw_data!$E:$E,raw_data!$A:$A,R20,raw_data!$C:$C,$A$20,raw_data!$D:$D,"Secondary_Walkin")</f>
        <v>0</v>
      </c>
      <c r="S22" s="41">
        <f>sumifs(raw_data!$E:$E,raw_data!$A:$A,S20,raw_data!$C:$C,$A$20,raw_data!$D:$D,"Secondary_Walkin")</f>
        <v>0</v>
      </c>
      <c r="T22" s="41">
        <f>sumifs(raw_data!$E:$E,raw_data!$A:$A,T20,raw_data!$C:$C,$A$20,raw_data!$D:$D,"Secondary_Walkin")</f>
        <v>0</v>
      </c>
      <c r="U22" s="41">
        <f>sumifs(raw_data!$E:$E,raw_data!$A:$A,U20,raw_data!$C:$C,$A$20,raw_data!$D:$D,"Secondary_Walkin")</f>
        <v>0</v>
      </c>
      <c r="V22" s="41">
        <f>sumifs(raw_data!$E:$E,raw_data!$A:$A,V20,raw_data!$C:$C,$A$20,raw_data!$D:$D,"Secondary_Walkin")</f>
        <v>0</v>
      </c>
      <c r="W22" s="41">
        <f>sumifs(raw_data!$E:$E,raw_data!$A:$A,W20,raw_data!$C:$C,$A$20,raw_data!$D:$D,"Secondary_Walkin")</f>
        <v>0</v>
      </c>
      <c r="X22" s="41">
        <f>sumifs(raw_data!$E:$E,raw_data!$A:$A,X20,raw_data!$C:$C,$A$20,raw_data!$D:$D,"Secondary_Walkin")</f>
        <v>0</v>
      </c>
      <c r="Y22" s="41">
        <f>sumifs(raw_data!$E:$E,raw_data!$A:$A,Y20,raw_data!$C:$C,$A$20,raw_data!$D:$D,"Secondary_Walkin")</f>
        <v>0</v>
      </c>
      <c r="Z22" s="41">
        <f>sumifs(raw_data!$E:$E,raw_data!$A:$A,Z20,raw_data!$C:$C,$A$20,raw_data!$D:$D,"Secondary_Walkin")</f>
        <v>0</v>
      </c>
      <c r="AA22" s="41">
        <f>sumifs(raw_data!$E:$E,raw_data!$A:$A,AA20,raw_data!$C:$C,$A$20,raw_data!$D:$D,"Secondary_Walkin")</f>
        <v>0</v>
      </c>
      <c r="AB22" s="41">
        <f>sumifs(raw_data!$E:$E,raw_data!$A:$A,AB20,raw_data!$C:$C,$A$20,raw_data!$D:$D,"Secondary_Walkin")</f>
        <v>0</v>
      </c>
      <c r="AC22" s="41">
        <f>sumifs(raw_data!$E:$E,raw_data!$A:$A,AC20,raw_data!$C:$C,$A$20,raw_data!$D:$D,"Secondary_Walkin")</f>
        <v>0</v>
      </c>
      <c r="AD22" s="41">
        <f>sumifs(raw_data!$E:$E,raw_data!$A:$A,AD20,raw_data!$C:$C,$A$20,raw_data!$D:$D,"Secondary_Walkin")</f>
        <v>0</v>
      </c>
      <c r="AE22" s="41">
        <f>sumifs(raw_data!$E:$E,raw_data!$A:$A,AE20,raw_data!$C:$C,$A$20,raw_data!$D:$D,"Secondary_Walkin")</f>
        <v>0</v>
      </c>
      <c r="AF22" s="41">
        <f>sumifs(raw_data!$E:$E,raw_data!$A:$A,AF20,raw_data!$C:$C,$A$20,raw_data!$D:$D,"Secondary_Walkin")</f>
        <v>0</v>
      </c>
      <c r="AG22" s="41">
        <f>sumifs(raw_data!$E:$E,raw_data!$A:$A,AG20,raw_data!$C:$C,$A$20,raw_data!$D:$D,"Secondary_Walkin")</f>
        <v>0</v>
      </c>
      <c r="AH22" s="41">
        <f>sumifs(raw_data!$E:$E,raw_data!$A:$A,AH20,raw_data!$C:$C,$A$20,raw_data!$D:$D,"Secondary_Walkin")</f>
        <v>0</v>
      </c>
      <c r="AI22" s="41">
        <f>sumifs(raw_data!$E:$E,raw_data!$A:$A,AI20,raw_data!$C:$C,$A$20,raw_data!$D:$D,"Secondary_Walkin")</f>
        <v>0</v>
      </c>
      <c r="AJ22" s="139"/>
    </row>
    <row r="23">
      <c r="A23" s="138" t="s">
        <v>39</v>
      </c>
      <c r="B23" s="41"/>
      <c r="C23" s="41">
        <f t="shared" si="4"/>
        <v>1</v>
      </c>
      <c r="D23" s="41"/>
      <c r="E23" s="41">
        <f>sumifs(raw_data!$Z:$Z,raw_data!$U:$U,"Telephony",raw_data!$T:$T,E20,raw_data!$Y:$Y,$A$20)</f>
        <v>0</v>
      </c>
      <c r="F23" s="41">
        <f>sumifs(raw_data!$Z:$Z,raw_data!$U:$U,"Telephony",raw_data!$T:$T,F20,raw_data!$Y:$Y,$A$20)</f>
        <v>0</v>
      </c>
      <c r="G23" s="41">
        <f>sumifs(raw_data!$Z:$Z,raw_data!$U:$U,"Telephony",raw_data!$T:$T,G20,raw_data!$Y:$Y,$A$20)</f>
        <v>0</v>
      </c>
      <c r="H23" s="41">
        <f>sumifs(raw_data!$Z:$Z,raw_data!$U:$U,"Telephony",raw_data!$T:$T,H20,raw_data!$Y:$Y,$A$20)</f>
        <v>0</v>
      </c>
      <c r="I23" s="41">
        <f>sumifs(raw_data!$Z:$Z,raw_data!$U:$U,"Telephony",raw_data!$T:$T,I20,raw_data!$Y:$Y,$A$20)</f>
        <v>0</v>
      </c>
      <c r="J23" s="41">
        <f>sumifs(raw_data!$Z:$Z,raw_data!$U:$U,"Telephony",raw_data!$T:$T,J20,raw_data!$Y:$Y,$A$20)</f>
        <v>0</v>
      </c>
      <c r="K23" s="41">
        <f>sumifs(raw_data!$Z:$Z,raw_data!$U:$U,"Telephony",raw_data!$T:$T,K20,raw_data!$Y:$Y,$A$20)</f>
        <v>0</v>
      </c>
      <c r="L23" s="41">
        <f>sumifs(raw_data!$Z:$Z,raw_data!$U:$U,"Telephony",raw_data!$T:$T,L20,raw_data!$Y:$Y,$A$20)</f>
        <v>0</v>
      </c>
      <c r="M23" s="41">
        <f>sumifs(raw_data!$Z:$Z,raw_data!$U:$U,"Telephony",raw_data!$T:$T,M20,raw_data!$Y:$Y,$A$20)</f>
        <v>0</v>
      </c>
      <c r="N23" s="41">
        <f>sumifs(raw_data!$Z:$Z,raw_data!$U:$U,"Telephony",raw_data!$T:$T,N20,raw_data!$Y:$Y,$A$20)</f>
        <v>0</v>
      </c>
      <c r="O23" s="41">
        <f>sumifs(raw_data!$Z:$Z,raw_data!$U:$U,"Telephony",raw_data!$T:$T,O20,raw_data!$Y:$Y,$A$20)</f>
        <v>0</v>
      </c>
      <c r="P23" s="41">
        <f>sumifs(raw_data!$Z:$Z,raw_data!$U:$U,"Telephony",raw_data!$T:$T,P20,raw_data!$Y:$Y,$A$20)</f>
        <v>0</v>
      </c>
      <c r="Q23" s="41">
        <f>sumifs(raw_data!$Z:$Z,raw_data!$U:$U,"Telephony",raw_data!$T:$T,Q20,raw_data!$Y:$Y,$A$20)</f>
        <v>0</v>
      </c>
      <c r="R23" s="41">
        <f>sumifs(raw_data!$Z:$Z,raw_data!$U:$U,"Telephony",raw_data!$T:$T,R20,raw_data!$Y:$Y,$A$20)</f>
        <v>0</v>
      </c>
      <c r="S23" s="41">
        <f>sumifs(raw_data!$Z:$Z,raw_data!$U:$U,"Telephony",raw_data!$T:$T,S20,raw_data!$Y:$Y,$A$20)</f>
        <v>0</v>
      </c>
      <c r="T23" s="41">
        <f>sumifs(raw_data!$Z:$Z,raw_data!$U:$U,"Telephony",raw_data!$T:$T,T20,raw_data!$Y:$Y,$A$20)</f>
        <v>0</v>
      </c>
      <c r="U23" s="41">
        <f>sumifs(raw_data!$Z:$Z,raw_data!$U:$U,"Telephony",raw_data!$T:$T,U20,raw_data!$Y:$Y,$A$20)</f>
        <v>0</v>
      </c>
      <c r="V23" s="41">
        <f>sumifs(raw_data!$Z:$Z,raw_data!$U:$U,"Telephony",raw_data!$T:$T,V20,raw_data!$Y:$Y,$A$20)</f>
        <v>0</v>
      </c>
      <c r="W23" s="41">
        <f>sumifs(raw_data!$Z:$Z,raw_data!$U:$U,"Telephony",raw_data!$T:$T,W20,raw_data!$Y:$Y,$A$20)</f>
        <v>0</v>
      </c>
      <c r="X23" s="41">
        <f>sumifs(raw_data!$Z:$Z,raw_data!$U:$U,"Telephony",raw_data!$T:$T,X20,raw_data!$Y:$Y,$A$20)</f>
        <v>0</v>
      </c>
      <c r="Y23" s="41">
        <f>sumifs(raw_data!$Z:$Z,raw_data!$U:$U,"Telephony",raw_data!$T:$T,Y20,raw_data!$Y:$Y,$A$20)</f>
        <v>0</v>
      </c>
      <c r="Z23" s="41">
        <f>sumifs(raw_data!$Z:$Z,raw_data!$U:$U,"Telephony",raw_data!$T:$T,Z20,raw_data!$Y:$Y,$A$20)</f>
        <v>0</v>
      </c>
      <c r="AA23" s="41">
        <f>sumifs(raw_data!$Z:$Z,raw_data!$U:$U,"Telephony",raw_data!$T:$T,AA20,raw_data!$Y:$Y,$A$20)</f>
        <v>0</v>
      </c>
      <c r="AB23" s="41">
        <f>sumifs(raw_data!$Z:$Z,raw_data!$U:$U,"Telephony",raw_data!$T:$T,AB20,raw_data!$Y:$Y,$A$20)</f>
        <v>0</v>
      </c>
      <c r="AC23" s="41">
        <f>sumifs(raw_data!$Z:$Z,raw_data!$U:$U,"Telephony",raw_data!$T:$T,AC20,raw_data!$Y:$Y,$A$20)</f>
        <v>0</v>
      </c>
      <c r="AD23" s="41">
        <f>sumifs(raw_data!$Z:$Z,raw_data!$U:$U,"Telephony",raw_data!$T:$T,AD20,raw_data!$Y:$Y,$A$20)</f>
        <v>0</v>
      </c>
      <c r="AE23" s="41">
        <f>sumifs(raw_data!$Z:$Z,raw_data!$U:$U,"Telephony",raw_data!$T:$T,AE20,raw_data!$Y:$Y,$A$20)</f>
        <v>0</v>
      </c>
      <c r="AF23" s="41">
        <f>sumifs(raw_data!$Z:$Z,raw_data!$U:$U,"Telephony",raw_data!$T:$T,AF20,raw_data!$Y:$Y,$A$20)</f>
        <v>0</v>
      </c>
      <c r="AG23" s="41">
        <f>sumifs(raw_data!$Z:$Z,raw_data!$U:$U,"Telephony",raw_data!$T:$T,AG20,raw_data!$Y:$Y,$A$20)</f>
        <v>1</v>
      </c>
      <c r="AH23" s="41">
        <f>sumifs(raw_data!$Z:$Z,raw_data!$U:$U,"Telephony",raw_data!$T:$T,AH20,raw_data!$Y:$Y,$A$20)</f>
        <v>0</v>
      </c>
      <c r="AI23" s="41">
        <f>sumifs(raw_data!$Z:$Z,raw_data!$U:$U,"Telephony",raw_data!$T:$T,AI20,raw_data!$Y:$Y,$A$20)</f>
        <v>0</v>
      </c>
      <c r="AJ23" s="139"/>
    </row>
    <row r="24">
      <c r="A24" s="138" t="s">
        <v>463</v>
      </c>
      <c r="B24" s="41"/>
      <c r="C24" s="41">
        <f t="shared" si="4"/>
        <v>123</v>
      </c>
      <c r="D24" s="41"/>
      <c r="E24" s="41">
        <f>sumifs(raw_data!$Z:$Z,raw_data!$U:$U,"Paid Ads",raw_data!$T:$T,E20,raw_data!$Y:$Y,$A$20)</f>
        <v>0</v>
      </c>
      <c r="F24" s="41">
        <f>sumifs(raw_data!$Z:$Z,raw_data!$U:$U,"Paid Ads",raw_data!$T:$T,F20,raw_data!$Y:$Y,$A$20)</f>
        <v>0</v>
      </c>
      <c r="G24" s="41">
        <f>sumifs(raw_data!$Z:$Z,raw_data!$U:$U,"Paid Ads",raw_data!$T:$T,G20,raw_data!$Y:$Y,$A$20)</f>
        <v>0</v>
      </c>
      <c r="H24" s="41">
        <f>sumifs(raw_data!$Z:$Z,raw_data!$U:$U,"Paid Ads",raw_data!$T:$T,H20,raw_data!$Y:$Y,$A$20)</f>
        <v>0</v>
      </c>
      <c r="I24" s="41">
        <f>sumifs(raw_data!$Z:$Z,raw_data!$U:$U,"Paid Ads",raw_data!$T:$T,I20,raw_data!$Y:$Y,$A$20)</f>
        <v>0</v>
      </c>
      <c r="J24" s="41">
        <f>sumifs(raw_data!$Z:$Z,raw_data!$U:$U,"Paid Ads",raw_data!$T:$T,J20,raw_data!$Y:$Y,$A$20)</f>
        <v>0</v>
      </c>
      <c r="K24" s="41">
        <f>sumifs(raw_data!$Z:$Z,raw_data!$U:$U,"Paid Ads",raw_data!$T:$T,K20,raw_data!$Y:$Y,$A$20)</f>
        <v>0</v>
      </c>
      <c r="L24" s="41">
        <f>sumifs(raw_data!$Z:$Z,raw_data!$U:$U,"Paid Ads",raw_data!$T:$T,L20,raw_data!$Y:$Y,$A$20)</f>
        <v>0</v>
      </c>
      <c r="M24" s="41">
        <f>sumifs(raw_data!$Z:$Z,raw_data!$U:$U,"Paid Ads",raw_data!$T:$T,M20,raw_data!$Y:$Y,$A$20)</f>
        <v>0</v>
      </c>
      <c r="N24" s="41">
        <f>sumifs(raw_data!$Z:$Z,raw_data!$U:$U,"Paid Ads",raw_data!$T:$T,N20,raw_data!$Y:$Y,$A$20)</f>
        <v>0</v>
      </c>
      <c r="O24" s="41">
        <f>sumifs(raw_data!$Z:$Z,raw_data!$U:$U,"Paid Ads",raw_data!$T:$T,O20,raw_data!$Y:$Y,$A$20)</f>
        <v>0</v>
      </c>
      <c r="P24" s="41">
        <f>sumifs(raw_data!$Z:$Z,raw_data!$U:$U,"Paid Ads",raw_data!$T:$T,P20,raw_data!$Y:$Y,$A$20)</f>
        <v>0</v>
      </c>
      <c r="Q24" s="41">
        <f>sumifs(raw_data!$Z:$Z,raw_data!$U:$U,"Paid Ads",raw_data!$T:$T,Q20,raw_data!$Y:$Y,$A$20)</f>
        <v>0</v>
      </c>
      <c r="R24" s="41">
        <f>sumifs(raw_data!$Z:$Z,raw_data!$U:$U,"Paid Ads",raw_data!$T:$T,R20,raw_data!$Y:$Y,$A$20)</f>
        <v>0</v>
      </c>
      <c r="S24" s="41">
        <f>sumifs(raw_data!$Z:$Z,raw_data!$U:$U,"Paid Ads",raw_data!$T:$T,S20,raw_data!$Y:$Y,$A$20)</f>
        <v>0</v>
      </c>
      <c r="T24" s="41">
        <f>sumifs(raw_data!$Z:$Z,raw_data!$U:$U,"Paid Ads",raw_data!$T:$T,T20,raw_data!$Y:$Y,$A$20)</f>
        <v>0</v>
      </c>
      <c r="U24" s="41">
        <f>sumifs(raw_data!$Z:$Z,raw_data!$U:$U,"Paid Ads",raw_data!$T:$T,U20,raw_data!$Y:$Y,$A$20)</f>
        <v>0</v>
      </c>
      <c r="V24" s="41">
        <f>sumifs(raw_data!$Z:$Z,raw_data!$U:$U,"Paid Ads",raw_data!$T:$T,V20,raw_data!$Y:$Y,$A$20)</f>
        <v>0</v>
      </c>
      <c r="W24" s="41">
        <f>sumifs(raw_data!$Z:$Z,raw_data!$U:$U,"Paid Ads",raw_data!$T:$T,W20,raw_data!$Y:$Y,$A$20)</f>
        <v>0</v>
      </c>
      <c r="X24" s="41">
        <f>sumifs(raw_data!$Z:$Z,raw_data!$U:$U,"Paid Ads",raw_data!$T:$T,X20,raw_data!$Y:$Y,$A$20)</f>
        <v>0</v>
      </c>
      <c r="Y24" s="41">
        <f>sumifs(raw_data!$Z:$Z,raw_data!$U:$U,"Paid Ads",raw_data!$T:$T,Y20,raw_data!$Y:$Y,$A$20)</f>
        <v>0</v>
      </c>
      <c r="Z24" s="41">
        <f>sumifs(raw_data!$Z:$Z,raw_data!$U:$U,"Paid Ads",raw_data!$T:$T,Z20,raw_data!$Y:$Y,$A$20)</f>
        <v>0</v>
      </c>
      <c r="AA24" s="41">
        <f>sumifs(raw_data!$Z:$Z,raw_data!$U:$U,"Paid Ads",raw_data!$T:$T,AA20,raw_data!$Y:$Y,$A$20)</f>
        <v>9</v>
      </c>
      <c r="AB24" s="41">
        <f>sumifs(raw_data!$Z:$Z,raw_data!$U:$U,"Paid Ads",raw_data!$T:$T,AB20,raw_data!$Y:$Y,$A$20)</f>
        <v>17</v>
      </c>
      <c r="AC24" s="41">
        <f>sumifs(raw_data!$Z:$Z,raw_data!$U:$U,"Paid Ads",raw_data!$T:$T,AC20,raw_data!$Y:$Y,$A$20)</f>
        <v>27</v>
      </c>
      <c r="AD24" s="41">
        <f>sumifs(raw_data!$Z:$Z,raw_data!$U:$U,"Paid Ads",raw_data!$T:$T,AD20,raw_data!$Y:$Y,$A$20)</f>
        <v>24</v>
      </c>
      <c r="AE24" s="41">
        <f>sumifs(raw_data!$Z:$Z,raw_data!$U:$U,"Paid Ads",raw_data!$T:$T,AE20,raw_data!$Y:$Y,$A$20)</f>
        <v>23</v>
      </c>
      <c r="AF24" s="41">
        <f>sumifs(raw_data!$Z:$Z,raw_data!$U:$U,"Paid Ads",raw_data!$T:$T,AF20,raw_data!$Y:$Y,$A$20)</f>
        <v>23</v>
      </c>
      <c r="AG24" s="41">
        <f>sumifs(raw_data!$Z:$Z,raw_data!$U:$U,"Paid Ads",raw_data!$T:$T,AG20,raw_data!$Y:$Y,$A$20)</f>
        <v>0</v>
      </c>
      <c r="AH24" s="41">
        <f>sumifs(raw_data!$Z:$Z,raw_data!$U:$U,"Paid Ads",raw_data!$T:$T,AH20,raw_data!$Y:$Y,$A$20)</f>
        <v>0</v>
      </c>
      <c r="AI24" s="41">
        <f>sumifs(raw_data!$Z:$Z,raw_data!$U:$U,"Paid Ads",raw_data!$T:$T,AI20,raw_data!$Y:$Y,$A$20)</f>
        <v>0</v>
      </c>
      <c r="AJ24" s="139"/>
    </row>
    <row r="25">
      <c r="A25" s="138" t="s">
        <v>41</v>
      </c>
      <c r="B25" s="41"/>
      <c r="C25" s="41">
        <f t="shared" si="4"/>
        <v>0</v>
      </c>
      <c r="D25" s="41"/>
      <c r="E25" s="41">
        <f>sumifs(raw_data!$M:$M,raw_data!$K:$K,E20,raw_data!$N:$N,$A$20)</f>
        <v>0</v>
      </c>
      <c r="F25" s="41">
        <f>sumifs(raw_data!$M:$M,raw_data!$K:$K,F20,raw_data!$N:$N,$A$20)</f>
        <v>0</v>
      </c>
      <c r="G25" s="41">
        <f>sumifs(raw_data!$M:$M,raw_data!$K:$K,G20,raw_data!$N:$N,$A$20)</f>
        <v>0</v>
      </c>
      <c r="H25" s="41">
        <f>sumifs(raw_data!$M:$M,raw_data!$K:$K,H20,raw_data!$N:$N,$A$20)</f>
        <v>0</v>
      </c>
      <c r="I25" s="41">
        <f>sumifs(raw_data!$M:$M,raw_data!$K:$K,I20,raw_data!$N:$N,$A$20)</f>
        <v>0</v>
      </c>
      <c r="J25" s="41">
        <f>sumifs(raw_data!$M:$M,raw_data!$K:$K,J20,raw_data!$N:$N,$A$20)</f>
        <v>0</v>
      </c>
      <c r="K25" s="41">
        <f>sumifs(raw_data!$M:$M,raw_data!$K:$K,K20,raw_data!$N:$N,$A$20)</f>
        <v>0</v>
      </c>
      <c r="L25" s="41">
        <f>sumifs(raw_data!$M:$M,raw_data!$K:$K,L20,raw_data!$N:$N,$A$20)</f>
        <v>0</v>
      </c>
      <c r="M25" s="41">
        <f>sumifs(raw_data!$M:$M,raw_data!$K:$K,M20,raw_data!$N:$N,$A$20)</f>
        <v>0</v>
      </c>
      <c r="N25" s="41">
        <f>sumifs(raw_data!$M:$M,raw_data!$K:$K,N20,raw_data!$N:$N,$A$20)</f>
        <v>0</v>
      </c>
      <c r="O25" s="41">
        <f>sumifs(raw_data!$M:$M,raw_data!$K:$K,O20,raw_data!$N:$N,$A$20)</f>
        <v>0</v>
      </c>
      <c r="P25" s="41">
        <f>sumifs(raw_data!$M:$M,raw_data!$K:$K,P20,raw_data!$N:$N,$A$20)</f>
        <v>0</v>
      </c>
      <c r="Q25" s="41">
        <f>sumifs(raw_data!$M:$M,raw_data!$K:$K,Q20,raw_data!$N:$N,$A$20)</f>
        <v>0</v>
      </c>
      <c r="R25" s="41">
        <f>sumifs(raw_data!$M:$M,raw_data!$K:$K,R20,raw_data!$N:$N,$A$20)</f>
        <v>0</v>
      </c>
      <c r="S25" s="41">
        <f>sumifs(raw_data!$M:$M,raw_data!$K:$K,S20,raw_data!$N:$N,$A$20)</f>
        <v>0</v>
      </c>
      <c r="T25" s="41">
        <f>sumifs(raw_data!$M:$M,raw_data!$K:$K,T20,raw_data!$N:$N,$A$20)</f>
        <v>0</v>
      </c>
      <c r="U25" s="41">
        <f>sumifs(raw_data!$M:$M,raw_data!$K:$K,U20,raw_data!$N:$N,$A$20)</f>
        <v>0</v>
      </c>
      <c r="V25" s="41">
        <f>sumifs(raw_data!$M:$M,raw_data!$K:$K,V20,raw_data!$N:$N,$A$20)</f>
        <v>0</v>
      </c>
      <c r="W25" s="41">
        <f>sumifs(raw_data!$M:$M,raw_data!$K:$K,W20,raw_data!$N:$N,$A$20)</f>
        <v>0</v>
      </c>
      <c r="X25" s="41">
        <f>sumifs(raw_data!$M:$M,raw_data!$K:$K,X20,raw_data!$N:$N,$A$20)</f>
        <v>0</v>
      </c>
      <c r="Y25" s="41">
        <f>sumifs(raw_data!$M:$M,raw_data!$K:$K,Y20,raw_data!$N:$N,$A$20)</f>
        <v>0</v>
      </c>
      <c r="Z25" s="41">
        <f>sumifs(raw_data!$M:$M,raw_data!$K:$K,Z20,raw_data!$N:$N,$A$20)</f>
        <v>0</v>
      </c>
      <c r="AA25" s="41">
        <f>sumifs(raw_data!$M:$M,raw_data!$K:$K,AA20,raw_data!$N:$N,$A$20)</f>
        <v>0</v>
      </c>
      <c r="AB25" s="41">
        <f>sumifs(raw_data!$M:$M,raw_data!$K:$K,AB20,raw_data!$N:$N,$A$20)</f>
        <v>0</v>
      </c>
      <c r="AC25" s="41">
        <f>sumifs(raw_data!$M:$M,raw_data!$K:$K,AC20,raw_data!$N:$N,$A$20)</f>
        <v>0</v>
      </c>
      <c r="AD25" s="41">
        <f>sumifs(raw_data!$M:$M,raw_data!$K:$K,AD20,raw_data!$N:$N,$A$20)</f>
        <v>0</v>
      </c>
      <c r="AE25" s="41">
        <f>sumifs(raw_data!$M:$M,raw_data!$K:$K,AE20,raw_data!$N:$N,$A$20)</f>
        <v>0</v>
      </c>
      <c r="AF25" s="41">
        <f>sumifs(raw_data!$M:$M,raw_data!$K:$K,AF20,raw_data!$N:$N,$A$20)</f>
        <v>0</v>
      </c>
      <c r="AG25" s="41">
        <f>sumifs(raw_data!$M:$M,raw_data!$K:$K,AG20,raw_data!$N:$N,$A$20)</f>
        <v>0</v>
      </c>
      <c r="AH25" s="41">
        <f>sumifs(raw_data!$M:$M,raw_data!$K:$K,AH20,raw_data!$N:$N,$A$20)</f>
        <v>0</v>
      </c>
      <c r="AI25" s="41">
        <f>sumifs(raw_data!$M:$M,raw_data!$K:$K,AI20,raw_data!$N:$N,$A$20)</f>
        <v>0</v>
      </c>
      <c r="AJ25" s="139"/>
    </row>
    <row r="26">
      <c r="A26" s="138" t="s">
        <v>43</v>
      </c>
      <c r="B26" s="41"/>
      <c r="C26" s="41">
        <f t="shared" si="4"/>
        <v>0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139"/>
    </row>
    <row r="27">
      <c r="A27" s="140"/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</row>
    <row r="28">
      <c r="A28" s="140"/>
      <c r="B28" s="139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</row>
    <row r="29">
      <c r="A29" s="134" t="s">
        <v>62</v>
      </c>
      <c r="B29" s="135" t="s">
        <v>44</v>
      </c>
      <c r="C29" s="135" t="s">
        <v>46</v>
      </c>
      <c r="D29" s="135" t="s">
        <v>45</v>
      </c>
      <c r="E29" s="136">
        <v>46023.0</v>
      </c>
      <c r="F29" s="136">
        <v>46024.0</v>
      </c>
      <c r="G29" s="136">
        <v>46025.0</v>
      </c>
      <c r="H29" s="136">
        <v>46026.0</v>
      </c>
      <c r="I29" s="136">
        <v>46027.0</v>
      </c>
      <c r="J29" s="136">
        <v>46028.0</v>
      </c>
      <c r="K29" s="136">
        <v>46029.0</v>
      </c>
      <c r="L29" s="136">
        <v>46030.0</v>
      </c>
      <c r="M29" s="136">
        <v>46031.0</v>
      </c>
      <c r="N29" s="136">
        <v>46032.0</v>
      </c>
      <c r="O29" s="136">
        <v>46033.0</v>
      </c>
      <c r="P29" s="136">
        <v>46034.0</v>
      </c>
      <c r="Q29" s="136">
        <v>46035.0</v>
      </c>
      <c r="R29" s="136">
        <v>46036.0</v>
      </c>
      <c r="S29" s="136">
        <v>46037.0</v>
      </c>
      <c r="T29" s="136">
        <v>46038.0</v>
      </c>
      <c r="U29" s="136">
        <v>46039.0</v>
      </c>
      <c r="V29" s="136">
        <v>46040.0</v>
      </c>
      <c r="W29" s="136">
        <v>46041.0</v>
      </c>
      <c r="X29" s="136">
        <v>46042.0</v>
      </c>
      <c r="Y29" s="136">
        <v>46043.0</v>
      </c>
      <c r="Z29" s="136">
        <v>46044.0</v>
      </c>
      <c r="AA29" s="136">
        <v>46045.0</v>
      </c>
      <c r="AB29" s="136">
        <v>46046.0</v>
      </c>
      <c r="AC29" s="136">
        <v>46047.0</v>
      </c>
      <c r="AD29" s="136">
        <v>46048.0</v>
      </c>
      <c r="AE29" s="136">
        <v>46049.0</v>
      </c>
      <c r="AF29" s="136">
        <v>46050.0</v>
      </c>
      <c r="AG29" s="136">
        <v>46051.0</v>
      </c>
      <c r="AH29" s="136">
        <v>46052.0</v>
      </c>
      <c r="AI29" s="136">
        <v>46053.0</v>
      </c>
      <c r="AJ29" s="139"/>
    </row>
    <row r="30">
      <c r="A30" s="138" t="s">
        <v>56</v>
      </c>
      <c r="B30" s="41"/>
      <c r="C30" s="41">
        <f t="shared" ref="C30:C35" si="5">sum(E30:AI30)</f>
        <v>118</v>
      </c>
      <c r="D30" s="41"/>
      <c r="E30" s="41">
        <f>sumifs(raw_data!$E:$E,raw_data!$A:$A,E29,raw_data!$C:$C,$A$29,raw_data!$D:$D,"Primary_Walkin")</f>
        <v>0</v>
      </c>
      <c r="F30" s="41">
        <f>sumifs(raw_data!$E:$E,raw_data!$A:$A,F29,raw_data!$C:$C,$A$29,raw_data!$D:$D,"Primary_Walkin")</f>
        <v>0</v>
      </c>
      <c r="G30" s="41">
        <f>sumifs(raw_data!$E:$E,raw_data!$A:$A,G29,raw_data!$C:$C,$A$29,raw_data!$D:$D,"Primary_Walkin")</f>
        <v>0</v>
      </c>
      <c r="H30" s="41">
        <f>sumifs(raw_data!$E:$E,raw_data!$A:$A,H29,raw_data!$C:$C,$A$29,raw_data!$D:$D,"Primary_Walkin")</f>
        <v>0</v>
      </c>
      <c r="I30" s="41">
        <f>sumifs(raw_data!$E:$E,raw_data!$A:$A,I29,raw_data!$C:$C,$A$29,raw_data!$D:$D,"Primary_Walkin")</f>
        <v>0</v>
      </c>
      <c r="J30" s="41">
        <f>sumifs(raw_data!$E:$E,raw_data!$A:$A,J29,raw_data!$C:$C,$A$29,raw_data!$D:$D,"Primary_Walkin")</f>
        <v>0</v>
      </c>
      <c r="K30" s="41">
        <f>sumifs(raw_data!$E:$E,raw_data!$A:$A,K29,raw_data!$C:$C,$A$29,raw_data!$D:$D,"Primary_Walkin")</f>
        <v>0</v>
      </c>
      <c r="L30" s="41">
        <f>sumifs(raw_data!$E:$E,raw_data!$A:$A,L29,raw_data!$C:$C,$A$29,raw_data!$D:$D,"Primary_Walkin")</f>
        <v>0</v>
      </c>
      <c r="M30" s="41">
        <f>sumifs(raw_data!$E:$E,raw_data!$A:$A,M29,raw_data!$C:$C,$A$29,raw_data!$D:$D,"Primary_Walkin")</f>
        <v>0</v>
      </c>
      <c r="N30" s="41">
        <f>sumifs(raw_data!$E:$E,raw_data!$A:$A,N29,raw_data!$C:$C,$A$29,raw_data!$D:$D,"Primary_Walkin")</f>
        <v>0</v>
      </c>
      <c r="O30" s="41">
        <f>sumifs(raw_data!$E:$E,raw_data!$A:$A,O29,raw_data!$C:$C,$A$29,raw_data!$D:$D,"Primary_Walkin")</f>
        <v>0</v>
      </c>
      <c r="P30" s="41">
        <f>sumifs(raw_data!$E:$E,raw_data!$A:$A,P29,raw_data!$C:$C,$A$29,raw_data!$D:$D,"Primary_Walkin")</f>
        <v>0</v>
      </c>
      <c r="Q30" s="41">
        <f>sumifs(raw_data!$E:$E,raw_data!$A:$A,Q29,raw_data!$C:$C,$A$29,raw_data!$D:$D,"Primary_Walkin")</f>
        <v>0</v>
      </c>
      <c r="R30" s="41">
        <f>sumifs(raw_data!$E:$E,raw_data!$A:$A,R29,raw_data!$C:$C,$A$29,raw_data!$D:$D,"Primary_Walkin")</f>
        <v>0</v>
      </c>
      <c r="S30" s="41">
        <f>sumifs(raw_data!$E:$E,raw_data!$A:$A,S29,raw_data!$C:$C,$A$29,raw_data!$D:$D,"Primary_Walkin")</f>
        <v>0</v>
      </c>
      <c r="T30" s="41">
        <f>sumifs(raw_data!$E:$E,raw_data!$A:$A,T29,raw_data!$C:$C,$A$29,raw_data!$D:$D,"Primary_Walkin")</f>
        <v>0</v>
      </c>
      <c r="U30" s="41">
        <f>sumifs(raw_data!$E:$E,raw_data!$A:$A,U29,raw_data!$C:$C,$A$29,raw_data!$D:$D,"Primary_Walkin")</f>
        <v>0</v>
      </c>
      <c r="V30" s="41">
        <f>sumifs(raw_data!$E:$E,raw_data!$A:$A,V29,raw_data!$C:$C,$A$29,raw_data!$D:$D,"Primary_Walkin")</f>
        <v>0</v>
      </c>
      <c r="W30" s="41">
        <f>sumifs(raw_data!$E:$E,raw_data!$A:$A,W29,raw_data!$C:$C,$A$29,raw_data!$D:$D,"Primary_Walkin")</f>
        <v>0</v>
      </c>
      <c r="X30" s="41">
        <f>sumifs(raw_data!$E:$E,raw_data!$A:$A,X29,raw_data!$C:$C,$A$29,raw_data!$D:$D,"Primary_Walkin")</f>
        <v>0</v>
      </c>
      <c r="Y30" s="41">
        <f>sumifs(raw_data!$E:$E,raw_data!$A:$A,Y29,raw_data!$C:$C,$A$29,raw_data!$D:$D,"Primary_Walkin")</f>
        <v>20</v>
      </c>
      <c r="Z30" s="41">
        <f>sumifs(raw_data!$E:$E,raw_data!$A:$A,Z29,raw_data!$C:$C,$A$29,raw_data!$D:$D,"Primary_Walkin")</f>
        <v>13</v>
      </c>
      <c r="AA30" s="41">
        <f>sumifs(raw_data!$E:$E,raw_data!$A:$A,AA29,raw_data!$C:$C,$A$29,raw_data!$D:$D,"Primary_Walkin")</f>
        <v>13</v>
      </c>
      <c r="AB30" s="41">
        <f>sumifs(raw_data!$E:$E,raw_data!$A:$A,AB29,raw_data!$C:$C,$A$29,raw_data!$D:$D,"Primary_Walkin")</f>
        <v>11</v>
      </c>
      <c r="AC30" s="41">
        <f>sumifs(raw_data!$E:$E,raw_data!$A:$A,AC29,raw_data!$C:$C,$A$29,raw_data!$D:$D,"Primary_Walkin")</f>
        <v>10</v>
      </c>
      <c r="AD30" s="41">
        <f>sumifs(raw_data!$E:$E,raw_data!$A:$A,AD29,raw_data!$C:$C,$A$29,raw_data!$D:$D,"Primary_Walkin")</f>
        <v>3</v>
      </c>
      <c r="AE30" s="41">
        <f>sumifs(raw_data!$E:$E,raw_data!$A:$A,AE29,raw_data!$C:$C,$A$29,raw_data!$D:$D,"Primary_Walkin")</f>
        <v>10</v>
      </c>
      <c r="AF30" s="41">
        <f>sumifs(raw_data!$E:$E,raw_data!$A:$A,AF29,raw_data!$C:$C,$A$29,raw_data!$D:$D,"Primary_Walkin")</f>
        <v>9</v>
      </c>
      <c r="AG30" s="41">
        <f>sumifs(raw_data!$E:$E,raw_data!$A:$A,AG29,raw_data!$C:$C,$A$29,raw_data!$D:$D,"Primary_Walkin")</f>
        <v>11</v>
      </c>
      <c r="AH30" s="41">
        <f>sumifs(raw_data!$E:$E,raw_data!$A:$A,AH29,raw_data!$C:$C,$A$29,raw_data!$D:$D,"Primary_Walkin")</f>
        <v>9</v>
      </c>
      <c r="AI30" s="41">
        <f>sumifs(raw_data!$E:$E,raw_data!$A:$A,AI29,raw_data!$C:$C,$A$29,raw_data!$D:$D,"Primary_Walkin")</f>
        <v>9</v>
      </c>
      <c r="AJ30" s="139"/>
    </row>
    <row r="31">
      <c r="A31" s="138" t="s">
        <v>462</v>
      </c>
      <c r="B31" s="41"/>
      <c r="C31" s="41">
        <f t="shared" si="5"/>
        <v>9</v>
      </c>
      <c r="D31" s="41"/>
      <c r="E31" s="41">
        <f>sumifs(raw_data!$E:$E,raw_data!$A:$A,E29,raw_data!$C:$C,$A$29,raw_data!$D:$D,"Secondary_Walkin")</f>
        <v>0</v>
      </c>
      <c r="F31" s="41">
        <f>sumifs(raw_data!$E:$E,raw_data!$A:$A,F29,raw_data!$C:$C,$A$29,raw_data!$D:$D,"Secondary_Walkin")</f>
        <v>0</v>
      </c>
      <c r="G31" s="41">
        <f>sumifs(raw_data!$E:$E,raw_data!$A:$A,G29,raw_data!$C:$C,$A$29,raw_data!$D:$D,"Secondary_Walkin")</f>
        <v>0</v>
      </c>
      <c r="H31" s="41">
        <f>sumifs(raw_data!$E:$E,raw_data!$A:$A,H29,raw_data!$C:$C,$A$29,raw_data!$D:$D,"Secondary_Walkin")</f>
        <v>0</v>
      </c>
      <c r="I31" s="41">
        <f>sumifs(raw_data!$E:$E,raw_data!$A:$A,I29,raw_data!$C:$C,$A$29,raw_data!$D:$D,"Secondary_Walkin")</f>
        <v>0</v>
      </c>
      <c r="J31" s="41">
        <f>sumifs(raw_data!$E:$E,raw_data!$A:$A,J29,raw_data!$C:$C,$A$29,raw_data!$D:$D,"Secondary_Walkin")</f>
        <v>0</v>
      </c>
      <c r="K31" s="41">
        <f>sumifs(raw_data!$E:$E,raw_data!$A:$A,K29,raw_data!$C:$C,$A$29,raw_data!$D:$D,"Secondary_Walkin")</f>
        <v>0</v>
      </c>
      <c r="L31" s="41">
        <f>sumifs(raw_data!$E:$E,raw_data!$A:$A,L29,raw_data!$C:$C,$A$29,raw_data!$D:$D,"Secondary_Walkin")</f>
        <v>0</v>
      </c>
      <c r="M31" s="41">
        <f>sumifs(raw_data!$E:$E,raw_data!$A:$A,M29,raw_data!$C:$C,$A$29,raw_data!$D:$D,"Secondary_Walkin")</f>
        <v>0</v>
      </c>
      <c r="N31" s="41">
        <f>sumifs(raw_data!$E:$E,raw_data!$A:$A,N29,raw_data!$C:$C,$A$29,raw_data!$D:$D,"Secondary_Walkin")</f>
        <v>0</v>
      </c>
      <c r="O31" s="41">
        <f>sumifs(raw_data!$E:$E,raw_data!$A:$A,O29,raw_data!$C:$C,$A$29,raw_data!$D:$D,"Secondary_Walkin")</f>
        <v>0</v>
      </c>
      <c r="P31" s="41">
        <f>sumifs(raw_data!$E:$E,raw_data!$A:$A,P29,raw_data!$C:$C,$A$29,raw_data!$D:$D,"Secondary_Walkin")</f>
        <v>0</v>
      </c>
      <c r="Q31" s="41">
        <f>sumifs(raw_data!$E:$E,raw_data!$A:$A,Q29,raw_data!$C:$C,$A$29,raw_data!$D:$D,"Secondary_Walkin")</f>
        <v>0</v>
      </c>
      <c r="R31" s="41">
        <f>sumifs(raw_data!$E:$E,raw_data!$A:$A,R29,raw_data!$C:$C,$A$29,raw_data!$D:$D,"Secondary_Walkin")</f>
        <v>0</v>
      </c>
      <c r="S31" s="41">
        <f>sumifs(raw_data!$E:$E,raw_data!$A:$A,S29,raw_data!$C:$C,$A$29,raw_data!$D:$D,"Secondary_Walkin")</f>
        <v>0</v>
      </c>
      <c r="T31" s="41">
        <f>sumifs(raw_data!$E:$E,raw_data!$A:$A,T29,raw_data!$C:$C,$A$29,raw_data!$D:$D,"Secondary_Walkin")</f>
        <v>0</v>
      </c>
      <c r="U31" s="41">
        <f>sumifs(raw_data!$E:$E,raw_data!$A:$A,U29,raw_data!$C:$C,$A$29,raw_data!$D:$D,"Secondary_Walkin")</f>
        <v>0</v>
      </c>
      <c r="V31" s="41">
        <f>sumifs(raw_data!$E:$E,raw_data!$A:$A,V29,raw_data!$C:$C,$A$29,raw_data!$D:$D,"Secondary_Walkin")</f>
        <v>0</v>
      </c>
      <c r="W31" s="41">
        <f>sumifs(raw_data!$E:$E,raw_data!$A:$A,W29,raw_data!$C:$C,$A$29,raw_data!$D:$D,"Secondary_Walkin")</f>
        <v>0</v>
      </c>
      <c r="X31" s="41">
        <f>sumifs(raw_data!$E:$E,raw_data!$A:$A,X29,raw_data!$C:$C,$A$29,raw_data!$D:$D,"Secondary_Walkin")</f>
        <v>0</v>
      </c>
      <c r="Y31" s="41">
        <f>sumifs(raw_data!$E:$E,raw_data!$A:$A,Y29,raw_data!$C:$C,$A$29,raw_data!$D:$D,"Secondary_Walkin")</f>
        <v>1</v>
      </c>
      <c r="Z31" s="41">
        <f>sumifs(raw_data!$E:$E,raw_data!$A:$A,Z29,raw_data!$C:$C,$A$29,raw_data!$D:$D,"Secondary_Walkin")</f>
        <v>0</v>
      </c>
      <c r="AA31" s="41">
        <f>sumifs(raw_data!$E:$E,raw_data!$A:$A,AA29,raw_data!$C:$C,$A$29,raw_data!$D:$D,"Secondary_Walkin")</f>
        <v>0</v>
      </c>
      <c r="AB31" s="41">
        <f>sumifs(raw_data!$E:$E,raw_data!$A:$A,AB29,raw_data!$C:$C,$A$29,raw_data!$D:$D,"Secondary_Walkin")</f>
        <v>4</v>
      </c>
      <c r="AC31" s="41">
        <f>sumifs(raw_data!$E:$E,raw_data!$A:$A,AC29,raw_data!$C:$C,$A$29,raw_data!$D:$D,"Secondary_Walkin")</f>
        <v>0</v>
      </c>
      <c r="AD31" s="41">
        <f>sumifs(raw_data!$E:$E,raw_data!$A:$A,AD29,raw_data!$C:$C,$A$29,raw_data!$D:$D,"Secondary_Walkin")</f>
        <v>0</v>
      </c>
      <c r="AE31" s="41">
        <f>sumifs(raw_data!$E:$E,raw_data!$A:$A,AE29,raw_data!$C:$C,$A$29,raw_data!$D:$D,"Secondary_Walkin")</f>
        <v>1</v>
      </c>
      <c r="AF31" s="41">
        <f>sumifs(raw_data!$E:$E,raw_data!$A:$A,AF29,raw_data!$C:$C,$A$29,raw_data!$D:$D,"Secondary_Walkin")</f>
        <v>0</v>
      </c>
      <c r="AG31" s="41">
        <f>sumifs(raw_data!$E:$E,raw_data!$A:$A,AG29,raw_data!$C:$C,$A$29,raw_data!$D:$D,"Secondary_Walkin")</f>
        <v>0</v>
      </c>
      <c r="AH31" s="41">
        <f>sumifs(raw_data!$E:$E,raw_data!$A:$A,AH29,raw_data!$C:$C,$A$29,raw_data!$D:$D,"Secondary_Walkin")</f>
        <v>1</v>
      </c>
      <c r="AI31" s="41">
        <f>sumifs(raw_data!$E:$E,raw_data!$A:$A,AI29,raw_data!$C:$C,$A$29,raw_data!$D:$D,"Secondary_Walkin")</f>
        <v>2</v>
      </c>
      <c r="AJ31" s="139"/>
    </row>
    <row r="32">
      <c r="A32" s="138" t="s">
        <v>39</v>
      </c>
      <c r="B32" s="41"/>
      <c r="C32" s="41">
        <f t="shared" si="5"/>
        <v>3</v>
      </c>
      <c r="D32" s="41"/>
      <c r="E32" s="41">
        <f>sumifs(raw_data!$Z:$Z,raw_data!$U:$U,"Telephony",raw_data!$T:$T,E29,raw_data!$Y:$Y,$A$29)</f>
        <v>0</v>
      </c>
      <c r="F32" s="41">
        <f>sumifs(raw_data!$Z:$Z,raw_data!$U:$U,"Telephony",raw_data!$T:$T,F29,raw_data!$Y:$Y,$A$29)</f>
        <v>0</v>
      </c>
      <c r="G32" s="41">
        <f>sumifs(raw_data!$Z:$Z,raw_data!$U:$U,"Telephony",raw_data!$T:$T,G29,raw_data!$Y:$Y,$A$29)</f>
        <v>0</v>
      </c>
      <c r="H32" s="41">
        <f>sumifs(raw_data!$Z:$Z,raw_data!$U:$U,"Telephony",raw_data!$T:$T,H29,raw_data!$Y:$Y,$A$29)</f>
        <v>0</v>
      </c>
      <c r="I32" s="41">
        <f>sumifs(raw_data!$Z:$Z,raw_data!$U:$U,"Telephony",raw_data!$T:$T,I29,raw_data!$Y:$Y,$A$29)</f>
        <v>0</v>
      </c>
      <c r="J32" s="41">
        <f>sumifs(raw_data!$Z:$Z,raw_data!$U:$U,"Telephony",raw_data!$T:$T,J29,raw_data!$Y:$Y,$A$29)</f>
        <v>0</v>
      </c>
      <c r="K32" s="41">
        <f>sumifs(raw_data!$Z:$Z,raw_data!$U:$U,"Telephony",raw_data!$T:$T,K29,raw_data!$Y:$Y,$A$29)</f>
        <v>0</v>
      </c>
      <c r="L32" s="41">
        <f>sumifs(raw_data!$Z:$Z,raw_data!$U:$U,"Telephony",raw_data!$T:$T,L29,raw_data!$Y:$Y,$A$29)</f>
        <v>0</v>
      </c>
      <c r="M32" s="41">
        <f>sumifs(raw_data!$Z:$Z,raw_data!$U:$U,"Telephony",raw_data!$T:$T,M29,raw_data!$Y:$Y,$A$29)</f>
        <v>0</v>
      </c>
      <c r="N32" s="41">
        <f>sumifs(raw_data!$Z:$Z,raw_data!$U:$U,"Telephony",raw_data!$T:$T,N29,raw_data!$Y:$Y,$A$29)</f>
        <v>0</v>
      </c>
      <c r="O32" s="41">
        <f>sumifs(raw_data!$Z:$Z,raw_data!$U:$U,"Telephony",raw_data!$T:$T,O29,raw_data!$Y:$Y,$A$29)</f>
        <v>0</v>
      </c>
      <c r="P32" s="41">
        <f>sumifs(raw_data!$Z:$Z,raw_data!$U:$U,"Telephony",raw_data!$T:$T,P29,raw_data!$Y:$Y,$A$29)</f>
        <v>0</v>
      </c>
      <c r="Q32" s="41">
        <f>sumifs(raw_data!$Z:$Z,raw_data!$U:$U,"Telephony",raw_data!$T:$T,Q29,raw_data!$Y:$Y,$A$29)</f>
        <v>0</v>
      </c>
      <c r="R32" s="41">
        <f>sumifs(raw_data!$Z:$Z,raw_data!$U:$U,"Telephony",raw_data!$T:$T,R29,raw_data!$Y:$Y,$A$29)</f>
        <v>0</v>
      </c>
      <c r="S32" s="41">
        <f>sumifs(raw_data!$Z:$Z,raw_data!$U:$U,"Telephony",raw_data!$T:$T,S29,raw_data!$Y:$Y,$A$29)</f>
        <v>0</v>
      </c>
      <c r="T32" s="41">
        <f>sumifs(raw_data!$Z:$Z,raw_data!$U:$U,"Telephony",raw_data!$T:$T,T29,raw_data!$Y:$Y,$A$29)</f>
        <v>0</v>
      </c>
      <c r="U32" s="41">
        <f>sumifs(raw_data!$Z:$Z,raw_data!$U:$U,"Telephony",raw_data!$T:$T,U29,raw_data!$Y:$Y,$A$29)</f>
        <v>0</v>
      </c>
      <c r="V32" s="41">
        <f>sumifs(raw_data!$Z:$Z,raw_data!$U:$U,"Telephony",raw_data!$T:$T,V29,raw_data!$Y:$Y,$A$29)</f>
        <v>0</v>
      </c>
      <c r="W32" s="41">
        <f>sumifs(raw_data!$Z:$Z,raw_data!$U:$U,"Telephony",raw_data!$T:$T,W29,raw_data!$Y:$Y,$A$29)</f>
        <v>0</v>
      </c>
      <c r="X32" s="41">
        <f>sumifs(raw_data!$Z:$Z,raw_data!$U:$U,"Telephony",raw_data!$T:$T,X29,raw_data!$Y:$Y,$A$29)</f>
        <v>0</v>
      </c>
      <c r="Y32" s="41">
        <f>sumifs(raw_data!$Z:$Z,raw_data!$U:$U,"Telephony",raw_data!$T:$T,Y29,raw_data!$Y:$Y,$A$29)</f>
        <v>0</v>
      </c>
      <c r="Z32" s="41">
        <f>sumifs(raw_data!$Z:$Z,raw_data!$U:$U,"Telephony",raw_data!$T:$T,Z29,raw_data!$Y:$Y,$A$29)</f>
        <v>0</v>
      </c>
      <c r="AA32" s="41">
        <f>sumifs(raw_data!$Z:$Z,raw_data!$U:$U,"Telephony",raw_data!$T:$T,AA29,raw_data!$Y:$Y,$A$29)</f>
        <v>0</v>
      </c>
      <c r="AB32" s="41">
        <f>sumifs(raw_data!$Z:$Z,raw_data!$U:$U,"Telephony",raw_data!$T:$T,AB29,raw_data!$Y:$Y,$A$29)</f>
        <v>0</v>
      </c>
      <c r="AC32" s="41">
        <f>sumifs(raw_data!$Z:$Z,raw_data!$U:$U,"Telephony",raw_data!$T:$T,AC29,raw_data!$Y:$Y,$A$29)</f>
        <v>0</v>
      </c>
      <c r="AD32" s="41">
        <f>sumifs(raw_data!$Z:$Z,raw_data!$U:$U,"Telephony",raw_data!$T:$T,AD29,raw_data!$Y:$Y,$A$29)</f>
        <v>1</v>
      </c>
      <c r="AE32" s="41">
        <f>sumifs(raw_data!$Z:$Z,raw_data!$U:$U,"Telephony",raw_data!$T:$T,AE29,raw_data!$Y:$Y,$A$29)</f>
        <v>0</v>
      </c>
      <c r="AF32" s="41">
        <f>sumifs(raw_data!$Z:$Z,raw_data!$U:$U,"Telephony",raw_data!$T:$T,AF29,raw_data!$Y:$Y,$A$29)</f>
        <v>0</v>
      </c>
      <c r="AG32" s="41">
        <f>sumifs(raw_data!$Z:$Z,raw_data!$U:$U,"Telephony",raw_data!$T:$T,AG29,raw_data!$Y:$Y,$A$29)</f>
        <v>0</v>
      </c>
      <c r="AH32" s="41">
        <f>sumifs(raw_data!$Z:$Z,raw_data!$U:$U,"Telephony",raw_data!$T:$T,AH29,raw_data!$Y:$Y,$A$29)</f>
        <v>2</v>
      </c>
      <c r="AI32" s="41">
        <f>sumifs(raw_data!$Z:$Z,raw_data!$U:$U,"Telephony",raw_data!$T:$T,AI29,raw_data!$Y:$Y,$A$29)</f>
        <v>0</v>
      </c>
      <c r="AJ32" s="139"/>
    </row>
    <row r="33">
      <c r="A33" s="138" t="s">
        <v>463</v>
      </c>
      <c r="B33" s="41"/>
      <c r="C33" s="41">
        <f t="shared" si="5"/>
        <v>17</v>
      </c>
      <c r="D33" s="41"/>
      <c r="E33" s="41">
        <f>sumifs(raw_data!$Z:$Z,raw_data!$U:$U,"Paid Ads",raw_data!$T:$T,E29,raw_data!$Y:$Y,$A$29)</f>
        <v>0</v>
      </c>
      <c r="F33" s="41">
        <f>sumifs(raw_data!$Z:$Z,raw_data!$U:$U,"Paid Ads",raw_data!$T:$T,F29,raw_data!$Y:$Y,$A$29)</f>
        <v>0</v>
      </c>
      <c r="G33" s="41">
        <f>sumifs(raw_data!$Z:$Z,raw_data!$U:$U,"Paid Ads",raw_data!$T:$T,G29,raw_data!$Y:$Y,$A$29)</f>
        <v>0</v>
      </c>
      <c r="H33" s="41">
        <f>sumifs(raw_data!$Z:$Z,raw_data!$U:$U,"Paid Ads",raw_data!$T:$T,H29,raw_data!$Y:$Y,$A$29)</f>
        <v>0</v>
      </c>
      <c r="I33" s="41">
        <f>sumifs(raw_data!$Z:$Z,raw_data!$U:$U,"Paid Ads",raw_data!$T:$T,I29,raw_data!$Y:$Y,$A$29)</f>
        <v>0</v>
      </c>
      <c r="J33" s="41">
        <f>sumifs(raw_data!$Z:$Z,raw_data!$U:$U,"Paid Ads",raw_data!$T:$T,J29,raw_data!$Y:$Y,$A$29)</f>
        <v>0</v>
      </c>
      <c r="K33" s="41">
        <f>sumifs(raw_data!$Z:$Z,raw_data!$U:$U,"Paid Ads",raw_data!$T:$T,K29,raw_data!$Y:$Y,$A$29)</f>
        <v>0</v>
      </c>
      <c r="L33" s="41">
        <f>sumifs(raw_data!$Z:$Z,raw_data!$U:$U,"Paid Ads",raw_data!$T:$T,L29,raw_data!$Y:$Y,$A$29)</f>
        <v>0</v>
      </c>
      <c r="M33" s="41">
        <f>sumifs(raw_data!$Z:$Z,raw_data!$U:$U,"Paid Ads",raw_data!$T:$T,M29,raw_data!$Y:$Y,$A$29)</f>
        <v>0</v>
      </c>
      <c r="N33" s="41">
        <f>sumifs(raw_data!$Z:$Z,raw_data!$U:$U,"Paid Ads",raw_data!$T:$T,N29,raw_data!$Y:$Y,$A$29)</f>
        <v>0</v>
      </c>
      <c r="O33" s="41">
        <f>sumifs(raw_data!$Z:$Z,raw_data!$U:$U,"Paid Ads",raw_data!$T:$T,O29,raw_data!$Y:$Y,$A$29)</f>
        <v>0</v>
      </c>
      <c r="P33" s="41">
        <f>sumifs(raw_data!$Z:$Z,raw_data!$U:$U,"Paid Ads",raw_data!$T:$T,P29,raw_data!$Y:$Y,$A$29)</f>
        <v>0</v>
      </c>
      <c r="Q33" s="41">
        <f>sumifs(raw_data!$Z:$Z,raw_data!$U:$U,"Paid Ads",raw_data!$T:$T,Q29,raw_data!$Y:$Y,$A$29)</f>
        <v>0</v>
      </c>
      <c r="R33" s="41">
        <f>sumifs(raw_data!$Z:$Z,raw_data!$U:$U,"Paid Ads",raw_data!$T:$T,R29,raw_data!$Y:$Y,$A$29)</f>
        <v>0</v>
      </c>
      <c r="S33" s="41">
        <f>sumifs(raw_data!$Z:$Z,raw_data!$U:$U,"Paid Ads",raw_data!$T:$T,S29,raw_data!$Y:$Y,$A$29)</f>
        <v>0</v>
      </c>
      <c r="T33" s="41">
        <f>sumifs(raw_data!$Z:$Z,raw_data!$U:$U,"Paid Ads",raw_data!$T:$T,T29,raw_data!$Y:$Y,$A$29)</f>
        <v>0</v>
      </c>
      <c r="U33" s="41">
        <f>sumifs(raw_data!$Z:$Z,raw_data!$U:$U,"Paid Ads",raw_data!$T:$T,U29,raw_data!$Y:$Y,$A$29)</f>
        <v>0</v>
      </c>
      <c r="V33" s="41">
        <f>sumifs(raw_data!$Z:$Z,raw_data!$U:$U,"Paid Ads",raw_data!$T:$T,V29,raw_data!$Y:$Y,$A$29)</f>
        <v>0</v>
      </c>
      <c r="W33" s="41">
        <f>sumifs(raw_data!$Z:$Z,raw_data!$U:$U,"Paid Ads",raw_data!$T:$T,W29,raw_data!$Y:$Y,$A$29)</f>
        <v>0</v>
      </c>
      <c r="X33" s="41">
        <f>sumifs(raw_data!$Z:$Z,raw_data!$U:$U,"Paid Ads",raw_data!$T:$T,X29,raw_data!$Y:$Y,$A$29)</f>
        <v>0</v>
      </c>
      <c r="Y33" s="41">
        <f>sumifs(raw_data!$Z:$Z,raw_data!$U:$U,"Paid Ads",raw_data!$T:$T,Y29,raw_data!$Y:$Y,$A$29)</f>
        <v>0</v>
      </c>
      <c r="Z33" s="41">
        <f>sumifs(raw_data!$Z:$Z,raw_data!$U:$U,"Paid Ads",raw_data!$T:$T,Z29,raw_data!$Y:$Y,$A$29)</f>
        <v>0</v>
      </c>
      <c r="AA33" s="41">
        <f>sumifs(raw_data!$Z:$Z,raw_data!$U:$U,"Paid Ads",raw_data!$T:$T,AA29,raw_data!$Y:$Y,$A$29)</f>
        <v>0</v>
      </c>
      <c r="AB33" s="41">
        <f>sumifs(raw_data!$Z:$Z,raw_data!$U:$U,"Paid Ads",raw_data!$T:$T,AB29,raw_data!$Y:$Y,$A$29)</f>
        <v>2</v>
      </c>
      <c r="AC33" s="41">
        <f>sumifs(raw_data!$Z:$Z,raw_data!$U:$U,"Paid Ads",raw_data!$T:$T,AC29,raw_data!$Y:$Y,$A$29)</f>
        <v>4</v>
      </c>
      <c r="AD33" s="41">
        <f>sumifs(raw_data!$Z:$Z,raw_data!$U:$U,"Paid Ads",raw_data!$T:$T,AD29,raw_data!$Y:$Y,$A$29)</f>
        <v>2</v>
      </c>
      <c r="AE33" s="41">
        <f>sumifs(raw_data!$Z:$Z,raw_data!$U:$U,"Paid Ads",raw_data!$T:$T,AE29,raw_data!$Y:$Y,$A$29)</f>
        <v>3</v>
      </c>
      <c r="AF33" s="41">
        <f>sumifs(raw_data!$Z:$Z,raw_data!$U:$U,"Paid Ads",raw_data!$T:$T,AF29,raw_data!$Y:$Y,$A$29)</f>
        <v>6</v>
      </c>
      <c r="AG33" s="41">
        <f>sumifs(raw_data!$Z:$Z,raw_data!$U:$U,"Paid Ads",raw_data!$T:$T,AG29,raw_data!$Y:$Y,$A$29)</f>
        <v>0</v>
      </c>
      <c r="AH33" s="41">
        <f>sumifs(raw_data!$Z:$Z,raw_data!$U:$U,"Paid Ads",raw_data!$T:$T,AH29,raw_data!$Y:$Y,$A$29)</f>
        <v>0</v>
      </c>
      <c r="AI33" s="41">
        <f>sumifs(raw_data!$Z:$Z,raw_data!$U:$U,"Paid Ads",raw_data!$T:$T,AI29,raw_data!$Y:$Y,$A$29)</f>
        <v>0</v>
      </c>
      <c r="AJ33" s="139"/>
    </row>
    <row r="34">
      <c r="A34" s="138" t="s">
        <v>41</v>
      </c>
      <c r="B34" s="41"/>
      <c r="C34" s="41">
        <f t="shared" si="5"/>
        <v>0</v>
      </c>
      <c r="D34" s="41"/>
      <c r="E34" s="41">
        <f>sumifs(raw_data!$M:$M,raw_data!$K:$K,E29,raw_data!$N:$N,$A$29)</f>
        <v>0</v>
      </c>
      <c r="F34" s="41">
        <f>sumifs(raw_data!$M:$M,raw_data!$K:$K,F29,raw_data!$N:$N,$A$29)</f>
        <v>0</v>
      </c>
      <c r="G34" s="41">
        <f>sumifs(raw_data!$M:$M,raw_data!$K:$K,G29,raw_data!$N:$N,$A$29)</f>
        <v>0</v>
      </c>
      <c r="H34" s="41">
        <f>sumifs(raw_data!$M:$M,raw_data!$K:$K,H29,raw_data!$N:$N,$A$29)</f>
        <v>0</v>
      </c>
      <c r="I34" s="41">
        <f>sumifs(raw_data!$M:$M,raw_data!$K:$K,I29,raw_data!$N:$N,$A$29)</f>
        <v>0</v>
      </c>
      <c r="J34" s="41">
        <f>sumifs(raw_data!$M:$M,raw_data!$K:$K,J29,raw_data!$N:$N,$A$29)</f>
        <v>0</v>
      </c>
      <c r="K34" s="41">
        <f>sumifs(raw_data!$M:$M,raw_data!$K:$K,K29,raw_data!$N:$N,$A$29)</f>
        <v>0</v>
      </c>
      <c r="L34" s="41">
        <f>sumifs(raw_data!$M:$M,raw_data!$K:$K,L29,raw_data!$N:$N,$A$29)</f>
        <v>0</v>
      </c>
      <c r="M34" s="41">
        <f>sumifs(raw_data!$M:$M,raw_data!$K:$K,M29,raw_data!$N:$N,$A$29)</f>
        <v>0</v>
      </c>
      <c r="N34" s="41">
        <f>sumifs(raw_data!$M:$M,raw_data!$K:$K,N29,raw_data!$N:$N,$A$29)</f>
        <v>0</v>
      </c>
      <c r="O34" s="41">
        <f>sumifs(raw_data!$M:$M,raw_data!$K:$K,O29,raw_data!$N:$N,$A$29)</f>
        <v>0</v>
      </c>
      <c r="P34" s="41">
        <f>sumifs(raw_data!$M:$M,raw_data!$K:$K,P29,raw_data!$N:$N,$A$29)</f>
        <v>0</v>
      </c>
      <c r="Q34" s="41">
        <f>sumifs(raw_data!$M:$M,raw_data!$K:$K,Q29,raw_data!$N:$N,$A$29)</f>
        <v>0</v>
      </c>
      <c r="R34" s="41">
        <f>sumifs(raw_data!$M:$M,raw_data!$K:$K,R29,raw_data!$N:$N,$A$29)</f>
        <v>0</v>
      </c>
      <c r="S34" s="41">
        <f>sumifs(raw_data!$M:$M,raw_data!$K:$K,S29,raw_data!$N:$N,$A$29)</f>
        <v>0</v>
      </c>
      <c r="T34" s="41">
        <f>sumifs(raw_data!$M:$M,raw_data!$K:$K,T29,raw_data!$N:$N,$A$29)</f>
        <v>0</v>
      </c>
      <c r="U34" s="41">
        <f>sumifs(raw_data!$M:$M,raw_data!$K:$K,U29,raw_data!$N:$N,$A$29)</f>
        <v>0</v>
      </c>
      <c r="V34" s="41">
        <f>sumifs(raw_data!$M:$M,raw_data!$K:$K,V29,raw_data!$N:$N,$A$29)</f>
        <v>0</v>
      </c>
      <c r="W34" s="41">
        <f>sumifs(raw_data!$M:$M,raw_data!$K:$K,W29,raw_data!$N:$N,$A$29)</f>
        <v>0</v>
      </c>
      <c r="X34" s="41">
        <f>sumifs(raw_data!$M:$M,raw_data!$K:$K,X29,raw_data!$N:$N,$A$29)</f>
        <v>0</v>
      </c>
      <c r="Y34" s="41">
        <f>sumifs(raw_data!$M:$M,raw_data!$K:$K,Y29,raw_data!$N:$N,$A$29)</f>
        <v>0</v>
      </c>
      <c r="Z34" s="41">
        <f>sumifs(raw_data!$M:$M,raw_data!$K:$K,Z29,raw_data!$N:$N,$A$29)</f>
        <v>0</v>
      </c>
      <c r="AA34" s="41">
        <f>sumifs(raw_data!$M:$M,raw_data!$K:$K,AA29,raw_data!$N:$N,$A$29)</f>
        <v>0</v>
      </c>
      <c r="AB34" s="41">
        <f>sumifs(raw_data!$M:$M,raw_data!$K:$K,AB29,raw_data!$N:$N,$A$29)</f>
        <v>0</v>
      </c>
      <c r="AC34" s="41">
        <f>sumifs(raw_data!$M:$M,raw_data!$K:$K,AC29,raw_data!$N:$N,$A$29)</f>
        <v>0</v>
      </c>
      <c r="AD34" s="41">
        <f>sumifs(raw_data!$M:$M,raw_data!$K:$K,AD29,raw_data!$N:$N,$A$29)</f>
        <v>0</v>
      </c>
      <c r="AE34" s="41">
        <f>sumifs(raw_data!$M:$M,raw_data!$K:$K,AE29,raw_data!$N:$N,$A$29)</f>
        <v>0</v>
      </c>
      <c r="AF34" s="41">
        <f>sumifs(raw_data!$M:$M,raw_data!$K:$K,AF29,raw_data!$N:$N,$A$29)</f>
        <v>0</v>
      </c>
      <c r="AG34" s="41">
        <f>sumifs(raw_data!$M:$M,raw_data!$K:$K,AG29,raw_data!$N:$N,$A$29)</f>
        <v>0</v>
      </c>
      <c r="AH34" s="41">
        <f>sumifs(raw_data!$M:$M,raw_data!$K:$K,AH29,raw_data!$N:$N,$A$29)</f>
        <v>0</v>
      </c>
      <c r="AI34" s="41">
        <f>sumifs(raw_data!$M:$M,raw_data!$K:$K,AI29,raw_data!$N:$N,$A$29)</f>
        <v>0</v>
      </c>
      <c r="AJ34" s="139"/>
    </row>
    <row r="35">
      <c r="A35" s="138" t="s">
        <v>43</v>
      </c>
      <c r="B35" s="41"/>
      <c r="C35" s="41">
        <f t="shared" si="5"/>
        <v>0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139"/>
    </row>
    <row r="36">
      <c r="A36" s="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</row>
    <row r="37">
      <c r="A37" s="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  <c r="AG37" s="139"/>
      <c r="AH37" s="139"/>
      <c r="AI37" s="139"/>
      <c r="AJ37" s="139"/>
    </row>
    <row r="38">
      <c r="A38" s="134" t="s">
        <v>63</v>
      </c>
      <c r="B38" s="135" t="s">
        <v>44</v>
      </c>
      <c r="C38" s="135" t="s">
        <v>46</v>
      </c>
      <c r="D38" s="135" t="s">
        <v>45</v>
      </c>
      <c r="E38" s="136">
        <v>46023.0</v>
      </c>
      <c r="F38" s="136">
        <v>46024.0</v>
      </c>
      <c r="G38" s="136">
        <v>46025.0</v>
      </c>
      <c r="H38" s="136">
        <v>46026.0</v>
      </c>
      <c r="I38" s="136">
        <v>46027.0</v>
      </c>
      <c r="J38" s="136">
        <v>46028.0</v>
      </c>
      <c r="K38" s="136">
        <v>46029.0</v>
      </c>
      <c r="L38" s="136">
        <v>46030.0</v>
      </c>
      <c r="M38" s="136">
        <v>46031.0</v>
      </c>
      <c r="N38" s="136">
        <v>46032.0</v>
      </c>
      <c r="O38" s="136">
        <v>46033.0</v>
      </c>
      <c r="P38" s="136">
        <v>46034.0</v>
      </c>
      <c r="Q38" s="136">
        <v>46035.0</v>
      </c>
      <c r="R38" s="136">
        <v>46036.0</v>
      </c>
      <c r="S38" s="136">
        <v>46037.0</v>
      </c>
      <c r="T38" s="136">
        <v>46038.0</v>
      </c>
      <c r="U38" s="136">
        <v>46039.0</v>
      </c>
      <c r="V38" s="136">
        <v>46040.0</v>
      </c>
      <c r="W38" s="136">
        <v>46041.0</v>
      </c>
      <c r="X38" s="136">
        <v>46042.0</v>
      </c>
      <c r="Y38" s="136">
        <v>46043.0</v>
      </c>
      <c r="Z38" s="136">
        <v>46044.0</v>
      </c>
      <c r="AA38" s="136">
        <v>46045.0</v>
      </c>
      <c r="AB38" s="136">
        <v>46046.0</v>
      </c>
      <c r="AC38" s="136">
        <v>46047.0</v>
      </c>
      <c r="AD38" s="136">
        <v>46048.0</v>
      </c>
      <c r="AE38" s="136">
        <v>46049.0</v>
      </c>
      <c r="AF38" s="136">
        <v>46050.0</v>
      </c>
      <c r="AG38" s="136">
        <v>46051.0</v>
      </c>
      <c r="AH38" s="136">
        <v>46052.0</v>
      </c>
      <c r="AI38" s="136">
        <v>46053.0</v>
      </c>
      <c r="AJ38" s="139"/>
    </row>
    <row r="39">
      <c r="A39" s="138" t="s">
        <v>56</v>
      </c>
      <c r="B39" s="41"/>
      <c r="C39" s="41">
        <f t="shared" ref="C39:C44" si="6">sum(E39:AI39)</f>
        <v>78</v>
      </c>
      <c r="D39" s="41"/>
      <c r="E39" s="41">
        <f>sumifs(raw_data!$E:$E,raw_data!$A:$A,E38,raw_data!$C:$C,$A$38,raw_data!$D:$D,"Primary_Walkin")</f>
        <v>0</v>
      </c>
      <c r="F39" s="41">
        <f>sumifs(raw_data!$E:$E,raw_data!$A:$A,F38,raw_data!$C:$C,$A$38,raw_data!$D:$D,"Primary_Walkin")</f>
        <v>0</v>
      </c>
      <c r="G39" s="41">
        <f>sumifs(raw_data!$E:$E,raw_data!$A:$A,G38,raw_data!$C:$C,$A$38,raw_data!$D:$D,"Primary_Walkin")</f>
        <v>0</v>
      </c>
      <c r="H39" s="41">
        <f>sumifs(raw_data!$E:$E,raw_data!$A:$A,H38,raw_data!$C:$C,$A$38,raw_data!$D:$D,"Primary_Walkin")</f>
        <v>0</v>
      </c>
      <c r="I39" s="41">
        <f>sumifs(raw_data!$E:$E,raw_data!$A:$A,I38,raw_data!$C:$C,$A$38,raw_data!$D:$D,"Primary_Walkin")</f>
        <v>0</v>
      </c>
      <c r="J39" s="41">
        <f>sumifs(raw_data!$E:$E,raw_data!$A:$A,J38,raw_data!$C:$C,$A$38,raw_data!$D:$D,"Primary_Walkin")</f>
        <v>0</v>
      </c>
      <c r="K39" s="41">
        <f>sumifs(raw_data!$E:$E,raw_data!$A:$A,K38,raw_data!$C:$C,$A$38,raw_data!$D:$D,"Primary_Walkin")</f>
        <v>0</v>
      </c>
      <c r="L39" s="41">
        <f>sumifs(raw_data!$E:$E,raw_data!$A:$A,L38,raw_data!$C:$C,$A$38,raw_data!$D:$D,"Primary_Walkin")</f>
        <v>0</v>
      </c>
      <c r="M39" s="41">
        <f>sumifs(raw_data!$E:$E,raw_data!$A:$A,M38,raw_data!$C:$C,$A$38,raw_data!$D:$D,"Primary_Walkin")</f>
        <v>0</v>
      </c>
      <c r="N39" s="41">
        <f>sumifs(raw_data!$E:$E,raw_data!$A:$A,N38,raw_data!$C:$C,$A$38,raw_data!$D:$D,"Primary_Walkin")</f>
        <v>0</v>
      </c>
      <c r="O39" s="41">
        <f>sumifs(raw_data!$E:$E,raw_data!$A:$A,O38,raw_data!$C:$C,$A$38,raw_data!$D:$D,"Primary_Walkin")</f>
        <v>0</v>
      </c>
      <c r="P39" s="41">
        <f>sumifs(raw_data!$E:$E,raw_data!$A:$A,P38,raw_data!$C:$C,$A$38,raw_data!$D:$D,"Primary_Walkin")</f>
        <v>0</v>
      </c>
      <c r="Q39" s="41">
        <f>sumifs(raw_data!$E:$E,raw_data!$A:$A,Q38,raw_data!$C:$C,$A$38,raw_data!$D:$D,"Primary_Walkin")</f>
        <v>0</v>
      </c>
      <c r="R39" s="41">
        <f>sumifs(raw_data!$E:$E,raw_data!$A:$A,R38,raw_data!$C:$C,$A$38,raw_data!$D:$D,"Primary_Walkin")</f>
        <v>0</v>
      </c>
      <c r="S39" s="41">
        <f>sumifs(raw_data!$E:$E,raw_data!$A:$A,S38,raw_data!$C:$C,$A$38,raw_data!$D:$D,"Primary_Walkin")</f>
        <v>0</v>
      </c>
      <c r="T39" s="41">
        <f>sumifs(raw_data!$E:$E,raw_data!$A:$A,T38,raw_data!$C:$C,$A$38,raw_data!$D:$D,"Primary_Walkin")</f>
        <v>0</v>
      </c>
      <c r="U39" s="41">
        <f>sumifs(raw_data!$E:$E,raw_data!$A:$A,U38,raw_data!$C:$C,$A$38,raw_data!$D:$D,"Primary_Walkin")</f>
        <v>0</v>
      </c>
      <c r="V39" s="41">
        <f>sumifs(raw_data!$E:$E,raw_data!$A:$A,V38,raw_data!$C:$C,$A$38,raw_data!$D:$D,"Primary_Walkin")</f>
        <v>0</v>
      </c>
      <c r="W39" s="41">
        <f>sumifs(raw_data!$E:$E,raw_data!$A:$A,W38,raw_data!$C:$C,$A$38,raw_data!$D:$D,"Primary_Walkin")</f>
        <v>0</v>
      </c>
      <c r="X39" s="41">
        <f>sumifs(raw_data!$E:$E,raw_data!$A:$A,X38,raw_data!$C:$C,$A$38,raw_data!$D:$D,"Primary_Walkin")</f>
        <v>0</v>
      </c>
      <c r="Y39" s="41">
        <f>sumifs(raw_data!$E:$E,raw_data!$A:$A,Y38,raw_data!$C:$C,$A$38,raw_data!$D:$D,"Primary_Walkin")</f>
        <v>8</v>
      </c>
      <c r="Z39" s="41">
        <f>sumifs(raw_data!$E:$E,raw_data!$A:$A,Z38,raw_data!$C:$C,$A$38,raw_data!$D:$D,"Primary_Walkin")</f>
        <v>12</v>
      </c>
      <c r="AA39" s="41">
        <f>sumifs(raw_data!$E:$E,raw_data!$A:$A,AA38,raw_data!$C:$C,$A$38,raw_data!$D:$D,"Primary_Walkin")</f>
        <v>6</v>
      </c>
      <c r="AB39" s="41">
        <f>sumifs(raw_data!$E:$E,raw_data!$A:$A,AB38,raw_data!$C:$C,$A$38,raw_data!$D:$D,"Primary_Walkin")</f>
        <v>14</v>
      </c>
      <c r="AC39" s="41">
        <f>sumifs(raw_data!$E:$E,raw_data!$A:$A,AC38,raw_data!$C:$C,$A$38,raw_data!$D:$D,"Primary_Walkin")</f>
        <v>3</v>
      </c>
      <c r="AD39" s="41">
        <f>sumifs(raw_data!$E:$E,raw_data!$A:$A,AD38,raw_data!$C:$C,$A$38,raw_data!$D:$D,"Primary_Walkin")</f>
        <v>0</v>
      </c>
      <c r="AE39" s="41">
        <f>sumifs(raw_data!$E:$E,raw_data!$A:$A,AE38,raw_data!$C:$C,$A$38,raw_data!$D:$D,"Primary_Walkin")</f>
        <v>7</v>
      </c>
      <c r="AF39" s="41">
        <f>sumifs(raw_data!$E:$E,raw_data!$A:$A,AF38,raw_data!$C:$C,$A$38,raw_data!$D:$D,"Primary_Walkin")</f>
        <v>4</v>
      </c>
      <c r="AG39" s="41">
        <f>sumifs(raw_data!$E:$E,raw_data!$A:$A,AG38,raw_data!$C:$C,$A$38,raw_data!$D:$D,"Primary_Walkin")</f>
        <v>10</v>
      </c>
      <c r="AH39" s="41">
        <f>sumifs(raw_data!$E:$E,raw_data!$A:$A,AH38,raw_data!$C:$C,$A$38,raw_data!$D:$D,"Primary_Walkin")</f>
        <v>9</v>
      </c>
      <c r="AI39" s="41">
        <f>sumifs(raw_data!$E:$E,raw_data!$A:$A,AI38,raw_data!$C:$C,$A$38,raw_data!$D:$D,"Primary_Walkin")</f>
        <v>5</v>
      </c>
      <c r="AJ39" s="139"/>
    </row>
    <row r="40">
      <c r="A40" s="138" t="s">
        <v>462</v>
      </c>
      <c r="B40" s="41"/>
      <c r="C40" s="41">
        <f t="shared" si="6"/>
        <v>12</v>
      </c>
      <c r="D40" s="41"/>
      <c r="E40" s="41">
        <f>sumifs(raw_data!$E:$E,raw_data!$A:$A,E38,raw_data!$C:$C,$A$38,raw_data!$D:$D,"Secondary_Walkin")</f>
        <v>0</v>
      </c>
      <c r="F40" s="41">
        <f>sumifs(raw_data!$E:$E,raw_data!$A:$A,F38,raw_data!$C:$C,$A$38,raw_data!$D:$D,"Secondary_Walkin")</f>
        <v>0</v>
      </c>
      <c r="G40" s="41">
        <f>sumifs(raw_data!$E:$E,raw_data!$A:$A,G38,raw_data!$C:$C,$A$38,raw_data!$D:$D,"Secondary_Walkin")</f>
        <v>0</v>
      </c>
      <c r="H40" s="41">
        <f>sumifs(raw_data!$E:$E,raw_data!$A:$A,H38,raw_data!$C:$C,$A$38,raw_data!$D:$D,"Secondary_Walkin")</f>
        <v>0</v>
      </c>
      <c r="I40" s="41">
        <f>sumifs(raw_data!$E:$E,raw_data!$A:$A,I38,raw_data!$C:$C,$A$38,raw_data!$D:$D,"Secondary_Walkin")</f>
        <v>0</v>
      </c>
      <c r="J40" s="41">
        <f>sumifs(raw_data!$E:$E,raw_data!$A:$A,J38,raw_data!$C:$C,$A$38,raw_data!$D:$D,"Secondary_Walkin")</f>
        <v>0</v>
      </c>
      <c r="K40" s="41">
        <f>sumifs(raw_data!$E:$E,raw_data!$A:$A,K38,raw_data!$C:$C,$A$38,raw_data!$D:$D,"Secondary_Walkin")</f>
        <v>0</v>
      </c>
      <c r="L40" s="41">
        <f>sumifs(raw_data!$E:$E,raw_data!$A:$A,L38,raw_data!$C:$C,$A$38,raw_data!$D:$D,"Secondary_Walkin")</f>
        <v>0</v>
      </c>
      <c r="M40" s="41">
        <f>sumifs(raw_data!$E:$E,raw_data!$A:$A,M38,raw_data!$C:$C,$A$38,raw_data!$D:$D,"Secondary_Walkin")</f>
        <v>0</v>
      </c>
      <c r="N40" s="41">
        <f>sumifs(raw_data!$E:$E,raw_data!$A:$A,N38,raw_data!$C:$C,$A$38,raw_data!$D:$D,"Secondary_Walkin")</f>
        <v>0</v>
      </c>
      <c r="O40" s="41">
        <f>sumifs(raw_data!$E:$E,raw_data!$A:$A,O38,raw_data!$C:$C,$A$38,raw_data!$D:$D,"Secondary_Walkin")</f>
        <v>0</v>
      </c>
      <c r="P40" s="41">
        <f>sumifs(raw_data!$E:$E,raw_data!$A:$A,P38,raw_data!$C:$C,$A$38,raw_data!$D:$D,"Secondary_Walkin")</f>
        <v>0</v>
      </c>
      <c r="Q40" s="41">
        <f>sumifs(raw_data!$E:$E,raw_data!$A:$A,Q38,raw_data!$C:$C,$A$38,raw_data!$D:$D,"Secondary_Walkin")</f>
        <v>0</v>
      </c>
      <c r="R40" s="41">
        <f>sumifs(raw_data!$E:$E,raw_data!$A:$A,R38,raw_data!$C:$C,$A$38,raw_data!$D:$D,"Secondary_Walkin")</f>
        <v>0</v>
      </c>
      <c r="S40" s="41">
        <f>sumifs(raw_data!$E:$E,raw_data!$A:$A,S38,raw_data!$C:$C,$A$38,raw_data!$D:$D,"Secondary_Walkin")</f>
        <v>0</v>
      </c>
      <c r="T40" s="41">
        <f>sumifs(raw_data!$E:$E,raw_data!$A:$A,T38,raw_data!$C:$C,$A$38,raw_data!$D:$D,"Secondary_Walkin")</f>
        <v>0</v>
      </c>
      <c r="U40" s="41">
        <f>sumifs(raw_data!$E:$E,raw_data!$A:$A,U38,raw_data!$C:$C,$A$38,raw_data!$D:$D,"Secondary_Walkin")</f>
        <v>0</v>
      </c>
      <c r="V40" s="41">
        <f>sumifs(raw_data!$E:$E,raw_data!$A:$A,V38,raw_data!$C:$C,$A$38,raw_data!$D:$D,"Secondary_Walkin")</f>
        <v>0</v>
      </c>
      <c r="W40" s="41">
        <f>sumifs(raw_data!$E:$E,raw_data!$A:$A,W38,raw_data!$C:$C,$A$38,raw_data!$D:$D,"Secondary_Walkin")</f>
        <v>0</v>
      </c>
      <c r="X40" s="41">
        <f>sumifs(raw_data!$E:$E,raw_data!$A:$A,X38,raw_data!$C:$C,$A$38,raw_data!$D:$D,"Secondary_Walkin")</f>
        <v>0</v>
      </c>
      <c r="Y40" s="41">
        <f>sumifs(raw_data!$E:$E,raw_data!$A:$A,Y38,raw_data!$C:$C,$A$38,raw_data!$D:$D,"Secondary_Walkin")</f>
        <v>2</v>
      </c>
      <c r="Z40" s="41">
        <f>sumifs(raw_data!$E:$E,raw_data!$A:$A,Z38,raw_data!$C:$C,$A$38,raw_data!$D:$D,"Secondary_Walkin")</f>
        <v>3</v>
      </c>
      <c r="AA40" s="41">
        <f>sumifs(raw_data!$E:$E,raw_data!$A:$A,AA38,raw_data!$C:$C,$A$38,raw_data!$D:$D,"Secondary_Walkin")</f>
        <v>0</v>
      </c>
      <c r="AB40" s="41">
        <f>sumifs(raw_data!$E:$E,raw_data!$A:$A,AB38,raw_data!$C:$C,$A$38,raw_data!$D:$D,"Secondary_Walkin")</f>
        <v>1</v>
      </c>
      <c r="AC40" s="41">
        <f>sumifs(raw_data!$E:$E,raw_data!$A:$A,AC38,raw_data!$C:$C,$A$38,raw_data!$D:$D,"Secondary_Walkin")</f>
        <v>0</v>
      </c>
      <c r="AD40" s="41">
        <f>sumifs(raw_data!$E:$E,raw_data!$A:$A,AD38,raw_data!$C:$C,$A$38,raw_data!$D:$D,"Secondary_Walkin")</f>
        <v>0</v>
      </c>
      <c r="AE40" s="41">
        <f>sumifs(raw_data!$E:$E,raw_data!$A:$A,AE38,raw_data!$C:$C,$A$38,raw_data!$D:$D,"Secondary_Walkin")</f>
        <v>1</v>
      </c>
      <c r="AF40" s="41">
        <f>sumifs(raw_data!$E:$E,raw_data!$A:$A,AF38,raw_data!$C:$C,$A$38,raw_data!$D:$D,"Secondary_Walkin")</f>
        <v>1</v>
      </c>
      <c r="AG40" s="41">
        <f>sumifs(raw_data!$E:$E,raw_data!$A:$A,AG38,raw_data!$C:$C,$A$38,raw_data!$D:$D,"Secondary_Walkin")</f>
        <v>2</v>
      </c>
      <c r="AH40" s="41">
        <f>sumifs(raw_data!$E:$E,raw_data!$A:$A,AH38,raw_data!$C:$C,$A$38,raw_data!$D:$D,"Secondary_Walkin")</f>
        <v>1</v>
      </c>
      <c r="AI40" s="41">
        <f>sumifs(raw_data!$E:$E,raw_data!$A:$A,AI38,raw_data!$C:$C,$A$38,raw_data!$D:$D,"Secondary_Walkin")</f>
        <v>1</v>
      </c>
      <c r="AJ40" s="139"/>
    </row>
    <row r="41">
      <c r="A41" s="138" t="s">
        <v>39</v>
      </c>
      <c r="B41" s="41"/>
      <c r="C41" s="41">
        <f t="shared" si="6"/>
        <v>3</v>
      </c>
      <c r="D41" s="41"/>
      <c r="E41" s="41">
        <f>sumifs(raw_data!$Z:$Z,raw_data!$U:$U,"Telephony",raw_data!$T:$T,E38,raw_data!$Y:$Y,$A$38)</f>
        <v>0</v>
      </c>
      <c r="F41" s="41">
        <f>sumifs(raw_data!$Z:$Z,raw_data!$U:$U,"Telephony",raw_data!$T:$T,F38,raw_data!$Y:$Y,$A$38)</f>
        <v>0</v>
      </c>
      <c r="G41" s="41">
        <f>sumifs(raw_data!$Z:$Z,raw_data!$U:$U,"Telephony",raw_data!$T:$T,G38,raw_data!$Y:$Y,$A$38)</f>
        <v>0</v>
      </c>
      <c r="H41" s="41">
        <f>sumifs(raw_data!$Z:$Z,raw_data!$U:$U,"Telephony",raw_data!$T:$T,H38,raw_data!$Y:$Y,$A$38)</f>
        <v>0</v>
      </c>
      <c r="I41" s="41">
        <f>sumifs(raw_data!$Z:$Z,raw_data!$U:$U,"Telephony",raw_data!$T:$T,I38,raw_data!$Y:$Y,$A$38)</f>
        <v>0</v>
      </c>
      <c r="J41" s="41">
        <f>sumifs(raw_data!$Z:$Z,raw_data!$U:$U,"Telephony",raw_data!$T:$T,J38,raw_data!$Y:$Y,$A$38)</f>
        <v>0</v>
      </c>
      <c r="K41" s="41">
        <f>sumifs(raw_data!$Z:$Z,raw_data!$U:$U,"Telephony",raw_data!$T:$T,K38,raw_data!$Y:$Y,$A$38)</f>
        <v>0</v>
      </c>
      <c r="L41" s="41">
        <f>sumifs(raw_data!$Z:$Z,raw_data!$U:$U,"Telephony",raw_data!$T:$T,L38,raw_data!$Y:$Y,$A$38)</f>
        <v>0</v>
      </c>
      <c r="M41" s="41">
        <f>sumifs(raw_data!$Z:$Z,raw_data!$U:$U,"Telephony",raw_data!$T:$T,M38,raw_data!$Y:$Y,$A$38)</f>
        <v>0</v>
      </c>
      <c r="N41" s="41">
        <f>sumifs(raw_data!$Z:$Z,raw_data!$U:$U,"Telephony",raw_data!$T:$T,N38,raw_data!$Y:$Y,$A$38)</f>
        <v>0</v>
      </c>
      <c r="O41" s="41">
        <f>sumifs(raw_data!$Z:$Z,raw_data!$U:$U,"Telephony",raw_data!$T:$T,O38,raw_data!$Y:$Y,$A$38)</f>
        <v>0</v>
      </c>
      <c r="P41" s="41">
        <f>sumifs(raw_data!$Z:$Z,raw_data!$U:$U,"Telephony",raw_data!$T:$T,P38,raw_data!$Y:$Y,$A$38)</f>
        <v>0</v>
      </c>
      <c r="Q41" s="41">
        <f>sumifs(raw_data!$Z:$Z,raw_data!$U:$U,"Telephony",raw_data!$T:$T,Q38,raw_data!$Y:$Y,$A$38)</f>
        <v>0</v>
      </c>
      <c r="R41" s="41">
        <f>sumifs(raw_data!$Z:$Z,raw_data!$U:$U,"Telephony",raw_data!$T:$T,R38,raw_data!$Y:$Y,$A$38)</f>
        <v>0</v>
      </c>
      <c r="S41" s="41">
        <f>sumifs(raw_data!$Z:$Z,raw_data!$U:$U,"Telephony",raw_data!$T:$T,S38,raw_data!$Y:$Y,$A$38)</f>
        <v>0</v>
      </c>
      <c r="T41" s="41">
        <f>sumifs(raw_data!$Z:$Z,raw_data!$U:$U,"Telephony",raw_data!$T:$T,T38,raw_data!$Y:$Y,$A$38)</f>
        <v>0</v>
      </c>
      <c r="U41" s="41">
        <f>sumifs(raw_data!$Z:$Z,raw_data!$U:$U,"Telephony",raw_data!$T:$T,U38,raw_data!$Y:$Y,$A$38)</f>
        <v>0</v>
      </c>
      <c r="V41" s="41">
        <f>sumifs(raw_data!$Z:$Z,raw_data!$U:$U,"Telephony",raw_data!$T:$T,V38,raw_data!$Y:$Y,$A$38)</f>
        <v>0</v>
      </c>
      <c r="W41" s="41">
        <f>sumifs(raw_data!$Z:$Z,raw_data!$U:$U,"Telephony",raw_data!$T:$T,W38,raw_data!$Y:$Y,$A$38)</f>
        <v>0</v>
      </c>
      <c r="X41" s="41">
        <f>sumifs(raw_data!$Z:$Z,raw_data!$U:$U,"Telephony",raw_data!$T:$T,X38,raw_data!$Y:$Y,$A$38)</f>
        <v>0</v>
      </c>
      <c r="Y41" s="41">
        <f>sumifs(raw_data!$Z:$Z,raw_data!$U:$U,"Telephony",raw_data!$T:$T,Y38,raw_data!$Y:$Y,$A$38)</f>
        <v>0</v>
      </c>
      <c r="Z41" s="41">
        <f>sumifs(raw_data!$Z:$Z,raw_data!$U:$U,"Telephony",raw_data!$T:$T,Z38,raw_data!$Y:$Y,$A$38)</f>
        <v>1</v>
      </c>
      <c r="AA41" s="41">
        <f>sumifs(raw_data!$Z:$Z,raw_data!$U:$U,"Telephony",raw_data!$T:$T,AA38,raw_data!$Y:$Y,$A$38)</f>
        <v>0</v>
      </c>
      <c r="AB41" s="41">
        <f>sumifs(raw_data!$Z:$Z,raw_data!$U:$U,"Telephony",raw_data!$T:$T,AB38,raw_data!$Y:$Y,$A$38)</f>
        <v>0</v>
      </c>
      <c r="AC41" s="41">
        <f>sumifs(raw_data!$Z:$Z,raw_data!$U:$U,"Telephony",raw_data!$T:$T,AC38,raw_data!$Y:$Y,$A$38)</f>
        <v>0</v>
      </c>
      <c r="AD41" s="41">
        <f>sumifs(raw_data!$Z:$Z,raw_data!$U:$U,"Telephony",raw_data!$T:$T,AD38,raw_data!$Y:$Y,$A$38)</f>
        <v>0</v>
      </c>
      <c r="AE41" s="41">
        <f>sumifs(raw_data!$Z:$Z,raw_data!$U:$U,"Telephony",raw_data!$T:$T,AE38,raw_data!$Y:$Y,$A$38)</f>
        <v>1</v>
      </c>
      <c r="AF41" s="41">
        <f>sumifs(raw_data!$Z:$Z,raw_data!$U:$U,"Telephony",raw_data!$T:$T,AF38,raw_data!$Y:$Y,$A$38)</f>
        <v>0</v>
      </c>
      <c r="AG41" s="41">
        <f>sumifs(raw_data!$Z:$Z,raw_data!$U:$U,"Telephony",raw_data!$T:$T,AG38,raw_data!$Y:$Y,$A$38)</f>
        <v>0</v>
      </c>
      <c r="AH41" s="41">
        <f>sumifs(raw_data!$Z:$Z,raw_data!$U:$U,"Telephony",raw_data!$T:$T,AH38,raw_data!$Y:$Y,$A$38)</f>
        <v>1</v>
      </c>
      <c r="AI41" s="41">
        <f>sumifs(raw_data!$Z:$Z,raw_data!$U:$U,"Telephony",raw_data!$T:$T,AI38,raw_data!$Y:$Y,$A$38)</f>
        <v>0</v>
      </c>
      <c r="AJ41" s="139"/>
    </row>
    <row r="42">
      <c r="A42" s="138" t="s">
        <v>463</v>
      </c>
      <c r="B42" s="41"/>
      <c r="C42" s="41">
        <f t="shared" si="6"/>
        <v>26</v>
      </c>
      <c r="D42" s="41"/>
      <c r="E42" s="41">
        <f>sumifs(raw_data!$Z:$Z,raw_data!$U:$U,"Paid Ads",raw_data!$T:$T,E38,raw_data!$Y:$Y,$A$38)</f>
        <v>0</v>
      </c>
      <c r="F42" s="41">
        <f>sumifs(raw_data!$Z:$Z,raw_data!$U:$U,"Paid Ads",raw_data!$T:$T,F38,raw_data!$Y:$Y,$A$38)</f>
        <v>0</v>
      </c>
      <c r="G42" s="41">
        <f>sumifs(raw_data!$Z:$Z,raw_data!$U:$U,"Paid Ads",raw_data!$T:$T,G38,raw_data!$Y:$Y,$A$38)</f>
        <v>0</v>
      </c>
      <c r="H42" s="41">
        <f>sumifs(raw_data!$Z:$Z,raw_data!$U:$U,"Paid Ads",raw_data!$T:$T,H38,raw_data!$Y:$Y,$A$38)</f>
        <v>0</v>
      </c>
      <c r="I42" s="41">
        <f>sumifs(raw_data!$Z:$Z,raw_data!$U:$U,"Paid Ads",raw_data!$T:$T,I38,raw_data!$Y:$Y,$A$38)</f>
        <v>0</v>
      </c>
      <c r="J42" s="41">
        <f>sumifs(raw_data!$Z:$Z,raw_data!$U:$U,"Paid Ads",raw_data!$T:$T,J38,raw_data!$Y:$Y,$A$38)</f>
        <v>0</v>
      </c>
      <c r="K42" s="41">
        <f>sumifs(raw_data!$Z:$Z,raw_data!$U:$U,"Paid Ads",raw_data!$T:$T,K38,raw_data!$Y:$Y,$A$38)</f>
        <v>0</v>
      </c>
      <c r="L42" s="41">
        <f>sumifs(raw_data!$Z:$Z,raw_data!$U:$U,"Paid Ads",raw_data!$T:$T,L38,raw_data!$Y:$Y,$A$38)</f>
        <v>0</v>
      </c>
      <c r="M42" s="41">
        <f>sumifs(raw_data!$Z:$Z,raw_data!$U:$U,"Paid Ads",raw_data!$T:$T,M38,raw_data!$Y:$Y,$A$38)</f>
        <v>0</v>
      </c>
      <c r="N42" s="41">
        <f>sumifs(raw_data!$Z:$Z,raw_data!$U:$U,"Paid Ads",raw_data!$T:$T,N38,raw_data!$Y:$Y,$A$38)</f>
        <v>0</v>
      </c>
      <c r="O42" s="41">
        <f>sumifs(raw_data!$Z:$Z,raw_data!$U:$U,"Paid Ads",raw_data!$T:$T,O38,raw_data!$Y:$Y,$A$38)</f>
        <v>0</v>
      </c>
      <c r="P42" s="41">
        <f>sumifs(raw_data!$Z:$Z,raw_data!$U:$U,"Paid Ads",raw_data!$T:$T,P38,raw_data!$Y:$Y,$A$38)</f>
        <v>0</v>
      </c>
      <c r="Q42" s="41">
        <f>sumifs(raw_data!$Z:$Z,raw_data!$U:$U,"Paid Ads",raw_data!$T:$T,Q38,raw_data!$Y:$Y,$A$38)</f>
        <v>0</v>
      </c>
      <c r="R42" s="41">
        <f>sumifs(raw_data!$Z:$Z,raw_data!$U:$U,"Paid Ads",raw_data!$T:$T,R38,raw_data!$Y:$Y,$A$38)</f>
        <v>0</v>
      </c>
      <c r="S42" s="41">
        <f>sumifs(raw_data!$Z:$Z,raw_data!$U:$U,"Paid Ads",raw_data!$T:$T,S38,raw_data!$Y:$Y,$A$38)</f>
        <v>0</v>
      </c>
      <c r="T42" s="41">
        <f>sumifs(raw_data!$Z:$Z,raw_data!$U:$U,"Paid Ads",raw_data!$T:$T,T38,raw_data!$Y:$Y,$A$38)</f>
        <v>0</v>
      </c>
      <c r="U42" s="41">
        <f>sumifs(raw_data!$Z:$Z,raw_data!$U:$U,"Paid Ads",raw_data!$T:$T,U38,raw_data!$Y:$Y,$A$38)</f>
        <v>0</v>
      </c>
      <c r="V42" s="41">
        <f>sumifs(raw_data!$Z:$Z,raw_data!$U:$U,"Paid Ads",raw_data!$T:$T,V38,raw_data!$Y:$Y,$A$38)</f>
        <v>0</v>
      </c>
      <c r="W42" s="41">
        <f>sumifs(raw_data!$Z:$Z,raw_data!$U:$U,"Paid Ads",raw_data!$T:$T,W38,raw_data!$Y:$Y,$A$38)</f>
        <v>0</v>
      </c>
      <c r="X42" s="41">
        <f>sumifs(raw_data!$Z:$Z,raw_data!$U:$U,"Paid Ads",raw_data!$T:$T,X38,raw_data!$Y:$Y,$A$38)</f>
        <v>0</v>
      </c>
      <c r="Y42" s="41">
        <f>sumifs(raw_data!$Z:$Z,raw_data!$U:$U,"Paid Ads",raw_data!$T:$T,Y38,raw_data!$Y:$Y,$A$38)</f>
        <v>0</v>
      </c>
      <c r="Z42" s="41">
        <f>sumifs(raw_data!$Z:$Z,raw_data!$U:$U,"Paid Ads",raw_data!$T:$T,Z38,raw_data!$Y:$Y,$A$38)</f>
        <v>0</v>
      </c>
      <c r="AA42" s="41">
        <f>sumifs(raw_data!$Z:$Z,raw_data!$U:$U,"Paid Ads",raw_data!$T:$T,AA38,raw_data!$Y:$Y,$A$38)</f>
        <v>0</v>
      </c>
      <c r="AB42" s="41">
        <f>sumifs(raw_data!$Z:$Z,raw_data!$U:$U,"Paid Ads",raw_data!$T:$T,AB38,raw_data!$Y:$Y,$A$38)</f>
        <v>1</v>
      </c>
      <c r="AC42" s="41">
        <f>sumifs(raw_data!$Z:$Z,raw_data!$U:$U,"Paid Ads",raw_data!$T:$T,AC38,raw_data!$Y:$Y,$A$38)</f>
        <v>5</v>
      </c>
      <c r="AD42" s="41">
        <f>sumifs(raw_data!$Z:$Z,raw_data!$U:$U,"Paid Ads",raw_data!$T:$T,AD38,raw_data!$Y:$Y,$A$38)</f>
        <v>6</v>
      </c>
      <c r="AE42" s="41">
        <f>sumifs(raw_data!$Z:$Z,raw_data!$U:$U,"Paid Ads",raw_data!$T:$T,AE38,raw_data!$Y:$Y,$A$38)</f>
        <v>6</v>
      </c>
      <c r="AF42" s="41">
        <f>sumifs(raw_data!$Z:$Z,raw_data!$U:$U,"Paid Ads",raw_data!$T:$T,AF38,raw_data!$Y:$Y,$A$38)</f>
        <v>8</v>
      </c>
      <c r="AG42" s="41">
        <f>sumifs(raw_data!$Z:$Z,raw_data!$U:$U,"Paid Ads",raw_data!$T:$T,AG38,raw_data!$Y:$Y,$A$38)</f>
        <v>0</v>
      </c>
      <c r="AH42" s="41">
        <f>sumifs(raw_data!$Z:$Z,raw_data!$U:$U,"Paid Ads",raw_data!$T:$T,AH38,raw_data!$Y:$Y,$A$38)</f>
        <v>0</v>
      </c>
      <c r="AI42" s="41">
        <f>sumifs(raw_data!$Z:$Z,raw_data!$U:$U,"Paid Ads",raw_data!$T:$T,AI38,raw_data!$Y:$Y,$A$38)</f>
        <v>0</v>
      </c>
      <c r="AJ42" s="139"/>
    </row>
    <row r="43">
      <c r="A43" s="138" t="s">
        <v>41</v>
      </c>
      <c r="B43" s="41"/>
      <c r="C43" s="41">
        <f t="shared" si="6"/>
        <v>0</v>
      </c>
      <c r="D43" s="41"/>
      <c r="E43" s="41">
        <f>sumifs(raw_data!$M:$M,raw_data!$K:$K,E38,raw_data!$N:$N,$A$38)</f>
        <v>0</v>
      </c>
      <c r="F43" s="41">
        <f>sumifs(raw_data!$M:$M,raw_data!$K:$K,F38,raw_data!$N:$N,$A$38)</f>
        <v>0</v>
      </c>
      <c r="G43" s="41">
        <f>sumifs(raw_data!$M:$M,raw_data!$K:$K,G38,raw_data!$N:$N,$A$38)</f>
        <v>0</v>
      </c>
      <c r="H43" s="41">
        <f>sumifs(raw_data!$M:$M,raw_data!$K:$K,H38,raw_data!$N:$N,$A$38)</f>
        <v>0</v>
      </c>
      <c r="I43" s="41">
        <f>sumifs(raw_data!$M:$M,raw_data!$K:$K,I38,raw_data!$N:$N,$A$38)</f>
        <v>0</v>
      </c>
      <c r="J43" s="41">
        <f>sumifs(raw_data!$M:$M,raw_data!$K:$K,J38,raw_data!$N:$N,$A$38)</f>
        <v>0</v>
      </c>
      <c r="K43" s="41">
        <f>sumifs(raw_data!$M:$M,raw_data!$K:$K,K38,raw_data!$N:$N,$A$38)</f>
        <v>0</v>
      </c>
      <c r="L43" s="41">
        <f>sumifs(raw_data!$M:$M,raw_data!$K:$K,L38,raw_data!$N:$N,$A$38)</f>
        <v>0</v>
      </c>
      <c r="M43" s="41">
        <f>sumifs(raw_data!$M:$M,raw_data!$K:$K,M38,raw_data!$N:$N,$A$38)</f>
        <v>0</v>
      </c>
      <c r="N43" s="41">
        <f>sumifs(raw_data!$M:$M,raw_data!$K:$K,N38,raw_data!$N:$N,$A$38)</f>
        <v>0</v>
      </c>
      <c r="O43" s="41">
        <f>sumifs(raw_data!$M:$M,raw_data!$K:$K,O38,raw_data!$N:$N,$A$38)</f>
        <v>0</v>
      </c>
      <c r="P43" s="41">
        <f>sumifs(raw_data!$M:$M,raw_data!$K:$K,P38,raw_data!$N:$N,$A$38)</f>
        <v>0</v>
      </c>
      <c r="Q43" s="41">
        <f>sumifs(raw_data!$M:$M,raw_data!$K:$K,Q38,raw_data!$N:$N,$A$38)</f>
        <v>0</v>
      </c>
      <c r="R43" s="41">
        <f>sumifs(raw_data!$M:$M,raw_data!$K:$K,R38,raw_data!$N:$N,$A$38)</f>
        <v>0</v>
      </c>
      <c r="S43" s="41">
        <f>sumifs(raw_data!$M:$M,raw_data!$K:$K,S38,raw_data!$N:$N,$A$38)</f>
        <v>0</v>
      </c>
      <c r="T43" s="41">
        <f>sumifs(raw_data!$M:$M,raw_data!$K:$K,T38,raw_data!$N:$N,$A$38)</f>
        <v>0</v>
      </c>
      <c r="U43" s="41">
        <f>sumifs(raw_data!$M:$M,raw_data!$K:$K,U38,raw_data!$N:$N,$A$38)</f>
        <v>0</v>
      </c>
      <c r="V43" s="41">
        <f>sumifs(raw_data!$M:$M,raw_data!$K:$K,V38,raw_data!$N:$N,$A$38)</f>
        <v>0</v>
      </c>
      <c r="W43" s="41">
        <f>sumifs(raw_data!$M:$M,raw_data!$K:$K,W38,raw_data!$N:$N,$A$38)</f>
        <v>0</v>
      </c>
      <c r="X43" s="41">
        <f>sumifs(raw_data!$M:$M,raw_data!$K:$K,X38,raw_data!$N:$N,$A$38)</f>
        <v>0</v>
      </c>
      <c r="Y43" s="41">
        <f>sumifs(raw_data!$M:$M,raw_data!$K:$K,Y38,raw_data!$N:$N,$A$38)</f>
        <v>0</v>
      </c>
      <c r="Z43" s="41">
        <f>sumifs(raw_data!$M:$M,raw_data!$K:$K,Z38,raw_data!$N:$N,$A$38)</f>
        <v>0</v>
      </c>
      <c r="AA43" s="41">
        <f>sumifs(raw_data!$M:$M,raw_data!$K:$K,AA38,raw_data!$N:$N,$A$38)</f>
        <v>0</v>
      </c>
      <c r="AB43" s="41">
        <f>sumifs(raw_data!$M:$M,raw_data!$K:$K,AB38,raw_data!$N:$N,$A$38)</f>
        <v>0</v>
      </c>
      <c r="AC43" s="41">
        <f>sumifs(raw_data!$M:$M,raw_data!$K:$K,AC38,raw_data!$N:$N,$A$38)</f>
        <v>0</v>
      </c>
      <c r="AD43" s="41">
        <f>sumifs(raw_data!$M:$M,raw_data!$K:$K,AD38,raw_data!$N:$N,$A$38)</f>
        <v>0</v>
      </c>
      <c r="AE43" s="41">
        <f>sumifs(raw_data!$M:$M,raw_data!$K:$K,AE38,raw_data!$N:$N,$A$38)</f>
        <v>0</v>
      </c>
      <c r="AF43" s="41">
        <f>sumifs(raw_data!$M:$M,raw_data!$K:$K,AF38,raw_data!$N:$N,$A$38)</f>
        <v>0</v>
      </c>
      <c r="AG43" s="41">
        <f>sumifs(raw_data!$M:$M,raw_data!$K:$K,AG38,raw_data!$N:$N,$A$38)</f>
        <v>0</v>
      </c>
      <c r="AH43" s="41">
        <f>sumifs(raw_data!$M:$M,raw_data!$K:$K,AH38,raw_data!$N:$N,$A$38)</f>
        <v>0</v>
      </c>
      <c r="AI43" s="41">
        <f>sumifs(raw_data!$M:$M,raw_data!$K:$K,AI38,raw_data!$N:$N,$A$38)</f>
        <v>0</v>
      </c>
      <c r="AJ43" s="139"/>
    </row>
    <row r="44">
      <c r="A44" s="138" t="s">
        <v>43</v>
      </c>
      <c r="B44" s="41"/>
      <c r="C44" s="41">
        <f t="shared" si="6"/>
        <v>0</v>
      </c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139"/>
    </row>
    <row r="45">
      <c r="A45" s="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  <c r="AG45" s="139"/>
      <c r="AH45" s="139"/>
      <c r="AI45" s="139"/>
      <c r="AJ45" s="139"/>
    </row>
    <row r="46">
      <c r="A46" s="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  <c r="AG46" s="139"/>
      <c r="AH46" s="139"/>
      <c r="AI46" s="139"/>
      <c r="AJ46" s="139"/>
    </row>
    <row r="47">
      <c r="A47" s="134" t="s">
        <v>60</v>
      </c>
      <c r="B47" s="135" t="s">
        <v>44</v>
      </c>
      <c r="C47" s="135" t="s">
        <v>46</v>
      </c>
      <c r="D47" s="135" t="s">
        <v>45</v>
      </c>
      <c r="E47" s="136">
        <v>46023.0</v>
      </c>
      <c r="F47" s="136">
        <v>46024.0</v>
      </c>
      <c r="G47" s="136">
        <v>46025.0</v>
      </c>
      <c r="H47" s="136">
        <v>46026.0</v>
      </c>
      <c r="I47" s="136">
        <v>46027.0</v>
      </c>
      <c r="J47" s="136">
        <v>46028.0</v>
      </c>
      <c r="K47" s="136">
        <v>46029.0</v>
      </c>
      <c r="L47" s="136">
        <v>46030.0</v>
      </c>
      <c r="M47" s="136">
        <v>46031.0</v>
      </c>
      <c r="N47" s="136">
        <v>46032.0</v>
      </c>
      <c r="O47" s="136">
        <v>46033.0</v>
      </c>
      <c r="P47" s="136">
        <v>46034.0</v>
      </c>
      <c r="Q47" s="136">
        <v>46035.0</v>
      </c>
      <c r="R47" s="136">
        <v>46036.0</v>
      </c>
      <c r="S47" s="136">
        <v>46037.0</v>
      </c>
      <c r="T47" s="136">
        <v>46038.0</v>
      </c>
      <c r="U47" s="136">
        <v>46039.0</v>
      </c>
      <c r="V47" s="136">
        <v>46040.0</v>
      </c>
      <c r="W47" s="136">
        <v>46041.0</v>
      </c>
      <c r="X47" s="136">
        <v>46042.0</v>
      </c>
      <c r="Y47" s="136">
        <v>46043.0</v>
      </c>
      <c r="Z47" s="136">
        <v>46044.0</v>
      </c>
      <c r="AA47" s="136">
        <v>46045.0</v>
      </c>
      <c r="AB47" s="136">
        <v>46046.0</v>
      </c>
      <c r="AC47" s="136">
        <v>46047.0</v>
      </c>
      <c r="AD47" s="136">
        <v>46048.0</v>
      </c>
      <c r="AE47" s="136">
        <v>46049.0</v>
      </c>
      <c r="AF47" s="136">
        <v>46050.0</v>
      </c>
      <c r="AG47" s="136">
        <v>46051.0</v>
      </c>
      <c r="AH47" s="136">
        <v>46052.0</v>
      </c>
      <c r="AI47" s="136">
        <v>46053.0</v>
      </c>
      <c r="AJ47" s="139"/>
    </row>
    <row r="48">
      <c r="A48" s="138" t="s">
        <v>56</v>
      </c>
      <c r="B48" s="41"/>
      <c r="C48" s="41">
        <f t="shared" ref="C48:C53" si="7">sum(E48:AI48)</f>
        <v>132</v>
      </c>
      <c r="D48" s="41"/>
      <c r="E48" s="41">
        <f>sumifs(raw_data!$E:$E,raw_data!$A:$A,E47,raw_data!$C:$C,$A$47,raw_data!$D:$D,"Primary_Walkin")</f>
        <v>0</v>
      </c>
      <c r="F48" s="41">
        <f>sumifs(raw_data!$E:$E,raw_data!$A:$A,F47,raw_data!$C:$C,$A$47,raw_data!$D:$D,"Primary_Walkin")</f>
        <v>0</v>
      </c>
      <c r="G48" s="41">
        <f>sumifs(raw_data!$E:$E,raw_data!$A:$A,G47,raw_data!$C:$C,$A$47,raw_data!$D:$D,"Primary_Walkin")</f>
        <v>0</v>
      </c>
      <c r="H48" s="41">
        <f>sumifs(raw_data!$E:$E,raw_data!$A:$A,H47,raw_data!$C:$C,$A$47,raw_data!$D:$D,"Primary_Walkin")</f>
        <v>0</v>
      </c>
      <c r="I48" s="41">
        <f>sumifs(raw_data!$E:$E,raw_data!$A:$A,I47,raw_data!$C:$C,$A$47,raw_data!$D:$D,"Primary_Walkin")</f>
        <v>0</v>
      </c>
      <c r="J48" s="41">
        <f>sumifs(raw_data!$E:$E,raw_data!$A:$A,J47,raw_data!$C:$C,$A$47,raw_data!$D:$D,"Primary_Walkin")</f>
        <v>0</v>
      </c>
      <c r="K48" s="41">
        <f>sumifs(raw_data!$E:$E,raw_data!$A:$A,K47,raw_data!$C:$C,$A$47,raw_data!$D:$D,"Primary_Walkin")</f>
        <v>0</v>
      </c>
      <c r="L48" s="41">
        <f>sumifs(raw_data!$E:$E,raw_data!$A:$A,L47,raw_data!$C:$C,$A$47,raw_data!$D:$D,"Primary_Walkin")</f>
        <v>0</v>
      </c>
      <c r="M48" s="41">
        <f>sumifs(raw_data!$E:$E,raw_data!$A:$A,M47,raw_data!$C:$C,$A$47,raw_data!$D:$D,"Primary_Walkin")</f>
        <v>0</v>
      </c>
      <c r="N48" s="41">
        <f>sumifs(raw_data!$E:$E,raw_data!$A:$A,N47,raw_data!$C:$C,$A$47,raw_data!$D:$D,"Primary_Walkin")</f>
        <v>0</v>
      </c>
      <c r="O48" s="41">
        <f>sumifs(raw_data!$E:$E,raw_data!$A:$A,O47,raw_data!$C:$C,$A$47,raw_data!$D:$D,"Primary_Walkin")</f>
        <v>0</v>
      </c>
      <c r="P48" s="41">
        <f>sumifs(raw_data!$E:$E,raw_data!$A:$A,P47,raw_data!$C:$C,$A$47,raw_data!$D:$D,"Primary_Walkin")</f>
        <v>0</v>
      </c>
      <c r="Q48" s="41">
        <f>sumifs(raw_data!$E:$E,raw_data!$A:$A,Q47,raw_data!$C:$C,$A$47,raw_data!$D:$D,"Primary_Walkin")</f>
        <v>0</v>
      </c>
      <c r="R48" s="41">
        <f>sumifs(raw_data!$E:$E,raw_data!$A:$A,R47,raw_data!$C:$C,$A$47,raw_data!$D:$D,"Primary_Walkin")</f>
        <v>0</v>
      </c>
      <c r="S48" s="41">
        <f>sumifs(raw_data!$E:$E,raw_data!$A:$A,S47,raw_data!$C:$C,$A$47,raw_data!$D:$D,"Primary_Walkin")</f>
        <v>0</v>
      </c>
      <c r="T48" s="41">
        <f>sumifs(raw_data!$E:$E,raw_data!$A:$A,T47,raw_data!$C:$C,$A$47,raw_data!$D:$D,"Primary_Walkin")</f>
        <v>0</v>
      </c>
      <c r="U48" s="41">
        <f>sumifs(raw_data!$E:$E,raw_data!$A:$A,U47,raw_data!$C:$C,$A$47,raw_data!$D:$D,"Primary_Walkin")</f>
        <v>0</v>
      </c>
      <c r="V48" s="41">
        <f>sumifs(raw_data!$E:$E,raw_data!$A:$A,V47,raw_data!$C:$C,$A$47,raw_data!$D:$D,"Primary_Walkin")</f>
        <v>0</v>
      </c>
      <c r="W48" s="41">
        <f>sumifs(raw_data!$E:$E,raw_data!$A:$A,W47,raw_data!$C:$C,$A$47,raw_data!$D:$D,"Primary_Walkin")</f>
        <v>0</v>
      </c>
      <c r="X48" s="41">
        <f>sumifs(raw_data!$E:$E,raw_data!$A:$A,X47,raw_data!$C:$C,$A$47,raw_data!$D:$D,"Primary_Walkin")</f>
        <v>0</v>
      </c>
      <c r="Y48" s="41">
        <f>sumifs(raw_data!$E:$E,raw_data!$A:$A,Y47,raw_data!$C:$C,$A$47,raw_data!$D:$D,"Primary_Walkin")</f>
        <v>11</v>
      </c>
      <c r="Z48" s="41">
        <f>sumifs(raw_data!$E:$E,raw_data!$A:$A,Z47,raw_data!$C:$C,$A$47,raw_data!$D:$D,"Primary_Walkin")</f>
        <v>19</v>
      </c>
      <c r="AA48" s="41">
        <f>sumifs(raw_data!$E:$E,raw_data!$A:$A,AA47,raw_data!$C:$C,$A$47,raw_data!$D:$D,"Primary_Walkin")</f>
        <v>10</v>
      </c>
      <c r="AB48" s="41">
        <f>sumifs(raw_data!$E:$E,raw_data!$A:$A,AB47,raw_data!$C:$C,$A$47,raw_data!$D:$D,"Primary_Walkin")</f>
        <v>11</v>
      </c>
      <c r="AC48" s="41">
        <f>sumifs(raw_data!$E:$E,raw_data!$A:$A,AC47,raw_data!$C:$C,$A$47,raw_data!$D:$D,"Primary_Walkin")</f>
        <v>6</v>
      </c>
      <c r="AD48" s="41">
        <f>sumifs(raw_data!$E:$E,raw_data!$A:$A,AD47,raw_data!$C:$C,$A$47,raw_data!$D:$D,"Primary_Walkin")</f>
        <v>1</v>
      </c>
      <c r="AE48" s="41">
        <f>sumifs(raw_data!$E:$E,raw_data!$A:$A,AE47,raw_data!$C:$C,$A$47,raw_data!$D:$D,"Primary_Walkin")</f>
        <v>22</v>
      </c>
      <c r="AF48" s="41">
        <f>sumifs(raw_data!$E:$E,raw_data!$A:$A,AF47,raw_data!$C:$C,$A$47,raw_data!$D:$D,"Primary_Walkin")</f>
        <v>16</v>
      </c>
      <c r="AG48" s="41">
        <f>sumifs(raw_data!$E:$E,raw_data!$A:$A,AG47,raw_data!$C:$C,$A$47,raw_data!$D:$D,"Primary_Walkin")</f>
        <v>15</v>
      </c>
      <c r="AH48" s="41">
        <f>sumifs(raw_data!$E:$E,raw_data!$A:$A,AH47,raw_data!$C:$C,$A$47,raw_data!$D:$D,"Primary_Walkin")</f>
        <v>15</v>
      </c>
      <c r="AI48" s="41">
        <f>sumifs(raw_data!$E:$E,raw_data!$A:$A,AI47,raw_data!$C:$C,$A$47,raw_data!$D:$D,"Primary_Walkin")</f>
        <v>6</v>
      </c>
      <c r="AJ48" s="139"/>
    </row>
    <row r="49">
      <c r="A49" s="138" t="s">
        <v>462</v>
      </c>
      <c r="B49" s="41"/>
      <c r="C49" s="41">
        <f t="shared" si="7"/>
        <v>5</v>
      </c>
      <c r="D49" s="41"/>
      <c r="E49" s="41">
        <f>sumifs(raw_data!$E:$E,raw_data!$A:$A,E47,raw_data!$C:$C,$A$47,raw_data!$D:$D,"Secondary_Walkin")</f>
        <v>0</v>
      </c>
      <c r="F49" s="41">
        <f>sumifs(raw_data!$E:$E,raw_data!$A:$A,F47,raw_data!$C:$C,$A$47,raw_data!$D:$D,"Secondary_Walkin")</f>
        <v>0</v>
      </c>
      <c r="G49" s="41">
        <f>sumifs(raw_data!$E:$E,raw_data!$A:$A,G47,raw_data!$C:$C,$A$47,raw_data!$D:$D,"Secondary_Walkin")</f>
        <v>0</v>
      </c>
      <c r="H49" s="41">
        <f>sumifs(raw_data!$E:$E,raw_data!$A:$A,H47,raw_data!$C:$C,$A$47,raw_data!$D:$D,"Secondary_Walkin")</f>
        <v>0</v>
      </c>
      <c r="I49" s="41">
        <f>sumifs(raw_data!$E:$E,raw_data!$A:$A,I47,raw_data!$C:$C,$A$47,raw_data!$D:$D,"Secondary_Walkin")</f>
        <v>0</v>
      </c>
      <c r="J49" s="41">
        <f>sumifs(raw_data!$E:$E,raw_data!$A:$A,J47,raw_data!$C:$C,$A$47,raw_data!$D:$D,"Secondary_Walkin")</f>
        <v>0</v>
      </c>
      <c r="K49" s="41">
        <f>sumifs(raw_data!$E:$E,raw_data!$A:$A,K47,raw_data!$C:$C,$A$47,raw_data!$D:$D,"Secondary_Walkin")</f>
        <v>0</v>
      </c>
      <c r="L49" s="41">
        <f>sumifs(raw_data!$E:$E,raw_data!$A:$A,L47,raw_data!$C:$C,$A$47,raw_data!$D:$D,"Secondary_Walkin")</f>
        <v>0</v>
      </c>
      <c r="M49" s="41">
        <f>sumifs(raw_data!$E:$E,raw_data!$A:$A,M47,raw_data!$C:$C,$A$47,raw_data!$D:$D,"Secondary_Walkin")</f>
        <v>0</v>
      </c>
      <c r="N49" s="41">
        <f>sumifs(raw_data!$E:$E,raw_data!$A:$A,N47,raw_data!$C:$C,$A$47,raw_data!$D:$D,"Secondary_Walkin")</f>
        <v>0</v>
      </c>
      <c r="O49" s="41">
        <f>sumifs(raw_data!$E:$E,raw_data!$A:$A,O47,raw_data!$C:$C,$A$47,raw_data!$D:$D,"Secondary_Walkin")</f>
        <v>0</v>
      </c>
      <c r="P49" s="41">
        <f>sumifs(raw_data!$E:$E,raw_data!$A:$A,P47,raw_data!$C:$C,$A$47,raw_data!$D:$D,"Secondary_Walkin")</f>
        <v>0</v>
      </c>
      <c r="Q49" s="41">
        <f>sumifs(raw_data!$E:$E,raw_data!$A:$A,Q47,raw_data!$C:$C,$A$47,raw_data!$D:$D,"Secondary_Walkin")</f>
        <v>0</v>
      </c>
      <c r="R49" s="41">
        <f>sumifs(raw_data!$E:$E,raw_data!$A:$A,R47,raw_data!$C:$C,$A$47,raw_data!$D:$D,"Secondary_Walkin")</f>
        <v>0</v>
      </c>
      <c r="S49" s="41">
        <f>sumifs(raw_data!$E:$E,raw_data!$A:$A,S47,raw_data!$C:$C,$A$47,raw_data!$D:$D,"Secondary_Walkin")</f>
        <v>0</v>
      </c>
      <c r="T49" s="41">
        <f>sumifs(raw_data!$E:$E,raw_data!$A:$A,T47,raw_data!$C:$C,$A$47,raw_data!$D:$D,"Secondary_Walkin")</f>
        <v>0</v>
      </c>
      <c r="U49" s="41">
        <f>sumifs(raw_data!$E:$E,raw_data!$A:$A,U47,raw_data!$C:$C,$A$47,raw_data!$D:$D,"Secondary_Walkin")</f>
        <v>0</v>
      </c>
      <c r="V49" s="41">
        <f>sumifs(raw_data!$E:$E,raw_data!$A:$A,V47,raw_data!$C:$C,$A$47,raw_data!$D:$D,"Secondary_Walkin")</f>
        <v>0</v>
      </c>
      <c r="W49" s="41">
        <f>sumifs(raw_data!$E:$E,raw_data!$A:$A,W47,raw_data!$C:$C,$A$47,raw_data!$D:$D,"Secondary_Walkin")</f>
        <v>0</v>
      </c>
      <c r="X49" s="41">
        <f>sumifs(raw_data!$E:$E,raw_data!$A:$A,X47,raw_data!$C:$C,$A$47,raw_data!$D:$D,"Secondary_Walkin")</f>
        <v>0</v>
      </c>
      <c r="Y49" s="41">
        <f>sumifs(raw_data!$E:$E,raw_data!$A:$A,Y47,raw_data!$C:$C,$A$47,raw_data!$D:$D,"Secondary_Walkin")</f>
        <v>0</v>
      </c>
      <c r="Z49" s="41">
        <f>sumifs(raw_data!$E:$E,raw_data!$A:$A,Z47,raw_data!$C:$C,$A$47,raw_data!$D:$D,"Secondary_Walkin")</f>
        <v>0</v>
      </c>
      <c r="AA49" s="41">
        <f>sumifs(raw_data!$E:$E,raw_data!$A:$A,AA47,raw_data!$C:$C,$A$47,raw_data!$D:$D,"Secondary_Walkin")</f>
        <v>0</v>
      </c>
      <c r="AB49" s="41">
        <f>sumifs(raw_data!$E:$E,raw_data!$A:$A,AB47,raw_data!$C:$C,$A$47,raw_data!$D:$D,"Secondary_Walkin")</f>
        <v>1</v>
      </c>
      <c r="AC49" s="41">
        <f>sumifs(raw_data!$E:$E,raw_data!$A:$A,AC47,raw_data!$C:$C,$A$47,raw_data!$D:$D,"Secondary_Walkin")</f>
        <v>0</v>
      </c>
      <c r="AD49" s="41">
        <f>sumifs(raw_data!$E:$E,raw_data!$A:$A,AD47,raw_data!$C:$C,$A$47,raw_data!$D:$D,"Secondary_Walkin")</f>
        <v>0</v>
      </c>
      <c r="AE49" s="41">
        <f>sumifs(raw_data!$E:$E,raw_data!$A:$A,AE47,raw_data!$C:$C,$A$47,raw_data!$D:$D,"Secondary_Walkin")</f>
        <v>2</v>
      </c>
      <c r="AF49" s="41">
        <f>sumifs(raw_data!$E:$E,raw_data!$A:$A,AF47,raw_data!$C:$C,$A$47,raw_data!$D:$D,"Secondary_Walkin")</f>
        <v>1</v>
      </c>
      <c r="AG49" s="41">
        <f>sumifs(raw_data!$E:$E,raw_data!$A:$A,AG47,raw_data!$C:$C,$A$47,raw_data!$D:$D,"Secondary_Walkin")</f>
        <v>1</v>
      </c>
      <c r="AH49" s="41">
        <f>sumifs(raw_data!$E:$E,raw_data!$A:$A,AH47,raw_data!$C:$C,$A$47,raw_data!$D:$D,"Secondary_Walkin")</f>
        <v>0</v>
      </c>
      <c r="AI49" s="41">
        <f>sumifs(raw_data!$E:$E,raw_data!$A:$A,AI47,raw_data!$C:$C,$A$47,raw_data!$D:$D,"Secondary_Walkin")</f>
        <v>0</v>
      </c>
      <c r="AJ49" s="139"/>
    </row>
    <row r="50">
      <c r="A50" s="138" t="s">
        <v>39</v>
      </c>
      <c r="B50" s="41"/>
      <c r="C50" s="41">
        <f t="shared" si="7"/>
        <v>7</v>
      </c>
      <c r="D50" s="41"/>
      <c r="E50" s="41">
        <f>sumifs(raw_data!$Z:$Z,raw_data!$U:$U,"Telephony",raw_data!$T:$T,E47,raw_data!$Y:$Y,$A$47)</f>
        <v>0</v>
      </c>
      <c r="F50" s="41">
        <f>sumifs(raw_data!$Z:$Z,raw_data!$U:$U,"Telephony",raw_data!$T:$T,F47,raw_data!$Y:$Y,$A$47)</f>
        <v>0</v>
      </c>
      <c r="G50" s="41">
        <f>sumifs(raw_data!$Z:$Z,raw_data!$U:$U,"Telephony",raw_data!$T:$T,G47,raw_data!$Y:$Y,$A$47)</f>
        <v>0</v>
      </c>
      <c r="H50" s="41">
        <f>sumifs(raw_data!$Z:$Z,raw_data!$U:$U,"Telephony",raw_data!$T:$T,H47,raw_data!$Y:$Y,$A$47)</f>
        <v>0</v>
      </c>
      <c r="I50" s="41">
        <f>sumifs(raw_data!$Z:$Z,raw_data!$U:$U,"Telephony",raw_data!$T:$T,I47,raw_data!$Y:$Y,$A$47)</f>
        <v>0</v>
      </c>
      <c r="J50" s="41">
        <f>sumifs(raw_data!$Z:$Z,raw_data!$U:$U,"Telephony",raw_data!$T:$T,J47,raw_data!$Y:$Y,$A$47)</f>
        <v>0</v>
      </c>
      <c r="K50" s="41">
        <f>sumifs(raw_data!$Z:$Z,raw_data!$U:$U,"Telephony",raw_data!$T:$T,K47,raw_data!$Y:$Y,$A$47)</f>
        <v>0</v>
      </c>
      <c r="L50" s="41">
        <f>sumifs(raw_data!$Z:$Z,raw_data!$U:$U,"Telephony",raw_data!$T:$T,L47,raw_data!$Y:$Y,$A$47)</f>
        <v>0</v>
      </c>
      <c r="M50" s="41">
        <f>sumifs(raw_data!$Z:$Z,raw_data!$U:$U,"Telephony",raw_data!$T:$T,M47,raw_data!$Y:$Y,$A$47)</f>
        <v>0</v>
      </c>
      <c r="N50" s="41">
        <f>sumifs(raw_data!$Z:$Z,raw_data!$U:$U,"Telephony",raw_data!$T:$T,N47,raw_data!$Y:$Y,$A$47)</f>
        <v>0</v>
      </c>
      <c r="O50" s="41">
        <f>sumifs(raw_data!$Z:$Z,raw_data!$U:$U,"Telephony",raw_data!$T:$T,O47,raw_data!$Y:$Y,$A$47)</f>
        <v>0</v>
      </c>
      <c r="P50" s="41">
        <f>sumifs(raw_data!$Z:$Z,raw_data!$U:$U,"Telephony",raw_data!$T:$T,P47,raw_data!$Y:$Y,$A$47)</f>
        <v>0</v>
      </c>
      <c r="Q50" s="41">
        <f>sumifs(raw_data!$Z:$Z,raw_data!$U:$U,"Telephony",raw_data!$T:$T,Q47,raw_data!$Y:$Y,$A$47)</f>
        <v>0</v>
      </c>
      <c r="R50" s="41">
        <f>sumifs(raw_data!$Z:$Z,raw_data!$U:$U,"Telephony",raw_data!$T:$T,R47,raw_data!$Y:$Y,$A$47)</f>
        <v>0</v>
      </c>
      <c r="S50" s="41">
        <f>sumifs(raw_data!$Z:$Z,raw_data!$U:$U,"Telephony",raw_data!$T:$T,S47,raw_data!$Y:$Y,$A$47)</f>
        <v>0</v>
      </c>
      <c r="T50" s="41">
        <f>sumifs(raw_data!$Z:$Z,raw_data!$U:$U,"Telephony",raw_data!$T:$T,T47,raw_data!$Y:$Y,$A$47)</f>
        <v>0</v>
      </c>
      <c r="U50" s="41">
        <f>sumifs(raw_data!$Z:$Z,raw_data!$U:$U,"Telephony",raw_data!$T:$T,U47,raw_data!$Y:$Y,$A$47)</f>
        <v>0</v>
      </c>
      <c r="V50" s="41">
        <f>sumifs(raw_data!$Z:$Z,raw_data!$U:$U,"Telephony",raw_data!$T:$T,V47,raw_data!$Y:$Y,$A$47)</f>
        <v>0</v>
      </c>
      <c r="W50" s="41">
        <f>sumifs(raw_data!$Z:$Z,raw_data!$U:$U,"Telephony",raw_data!$T:$T,W47,raw_data!$Y:$Y,$A$47)</f>
        <v>0</v>
      </c>
      <c r="X50" s="41">
        <f>sumifs(raw_data!$Z:$Z,raw_data!$U:$U,"Telephony",raw_data!$T:$T,X47,raw_data!$Y:$Y,$A$47)</f>
        <v>0</v>
      </c>
      <c r="Y50" s="41">
        <f>sumifs(raw_data!$Z:$Z,raw_data!$U:$U,"Telephony",raw_data!$T:$T,Y47,raw_data!$Y:$Y,$A$47)</f>
        <v>0</v>
      </c>
      <c r="Z50" s="41">
        <f>sumifs(raw_data!$Z:$Z,raw_data!$U:$U,"Telephony",raw_data!$T:$T,Z47,raw_data!$Y:$Y,$A$47)</f>
        <v>0</v>
      </c>
      <c r="AA50" s="41">
        <f>sumifs(raw_data!$Z:$Z,raw_data!$U:$U,"Telephony",raw_data!$T:$T,AA47,raw_data!$Y:$Y,$A$47)</f>
        <v>0</v>
      </c>
      <c r="AB50" s="41">
        <f>sumifs(raw_data!$Z:$Z,raw_data!$U:$U,"Telephony",raw_data!$T:$T,AB47,raw_data!$Y:$Y,$A$47)</f>
        <v>1</v>
      </c>
      <c r="AC50" s="41">
        <f>sumifs(raw_data!$Z:$Z,raw_data!$U:$U,"Telephony",raw_data!$T:$T,AC47,raw_data!$Y:$Y,$A$47)</f>
        <v>0</v>
      </c>
      <c r="AD50" s="41">
        <f>sumifs(raw_data!$Z:$Z,raw_data!$U:$U,"Telephony",raw_data!$T:$T,AD47,raw_data!$Y:$Y,$A$47)</f>
        <v>0</v>
      </c>
      <c r="AE50" s="41">
        <f>sumifs(raw_data!$Z:$Z,raw_data!$U:$U,"Telephony",raw_data!$T:$T,AE47,raw_data!$Y:$Y,$A$47)</f>
        <v>2</v>
      </c>
      <c r="AF50" s="41">
        <f>sumifs(raw_data!$Z:$Z,raw_data!$U:$U,"Telephony",raw_data!$T:$T,AF47,raw_data!$Y:$Y,$A$47)</f>
        <v>1</v>
      </c>
      <c r="AG50" s="41">
        <f>sumifs(raw_data!$Z:$Z,raw_data!$U:$U,"Telephony",raw_data!$T:$T,AG47,raw_data!$Y:$Y,$A$47)</f>
        <v>0</v>
      </c>
      <c r="AH50" s="41">
        <f>sumifs(raw_data!$Z:$Z,raw_data!$U:$U,"Telephony",raw_data!$T:$T,AH47,raw_data!$Y:$Y,$A$47)</f>
        <v>0</v>
      </c>
      <c r="AI50" s="41">
        <f>sumifs(raw_data!$Z:$Z,raw_data!$U:$U,"Telephony",raw_data!$T:$T,AI47,raw_data!$Y:$Y,$A$47)</f>
        <v>3</v>
      </c>
      <c r="AJ50" s="139"/>
    </row>
    <row r="51">
      <c r="A51" s="138" t="s">
        <v>463</v>
      </c>
      <c r="B51" s="41"/>
      <c r="C51" s="41">
        <f t="shared" si="7"/>
        <v>25</v>
      </c>
      <c r="D51" s="41"/>
      <c r="E51" s="41">
        <f>sumifs(raw_data!$Z:$Z,raw_data!$U:$U,"Paid Ads",raw_data!$T:$T,E47,raw_data!$Y:$Y,$A$47)</f>
        <v>0</v>
      </c>
      <c r="F51" s="41">
        <f>sumifs(raw_data!$Z:$Z,raw_data!$U:$U,"Paid Ads",raw_data!$T:$T,F47,raw_data!$Y:$Y,$A$47)</f>
        <v>0</v>
      </c>
      <c r="G51" s="41">
        <f>sumifs(raw_data!$Z:$Z,raw_data!$U:$U,"Paid Ads",raw_data!$T:$T,G47,raw_data!$Y:$Y,$A$47)</f>
        <v>0</v>
      </c>
      <c r="H51" s="41">
        <f>sumifs(raw_data!$Z:$Z,raw_data!$U:$U,"Paid Ads",raw_data!$T:$T,H47,raw_data!$Y:$Y,$A$47)</f>
        <v>0</v>
      </c>
      <c r="I51" s="41">
        <f>sumifs(raw_data!$Z:$Z,raw_data!$U:$U,"Paid Ads",raw_data!$T:$T,I47,raw_data!$Y:$Y,$A$47)</f>
        <v>0</v>
      </c>
      <c r="J51" s="41">
        <f>sumifs(raw_data!$Z:$Z,raw_data!$U:$U,"Paid Ads",raw_data!$T:$T,J47,raw_data!$Y:$Y,$A$47)</f>
        <v>0</v>
      </c>
      <c r="K51" s="41">
        <f>sumifs(raw_data!$Z:$Z,raw_data!$U:$U,"Paid Ads",raw_data!$T:$T,K47,raw_data!$Y:$Y,$A$47)</f>
        <v>0</v>
      </c>
      <c r="L51" s="41">
        <f>sumifs(raw_data!$Z:$Z,raw_data!$U:$U,"Paid Ads",raw_data!$T:$T,L47,raw_data!$Y:$Y,$A$47)</f>
        <v>0</v>
      </c>
      <c r="M51" s="41">
        <f>sumifs(raw_data!$Z:$Z,raw_data!$U:$U,"Paid Ads",raw_data!$T:$T,M47,raw_data!$Y:$Y,$A$47)</f>
        <v>0</v>
      </c>
      <c r="N51" s="41">
        <f>sumifs(raw_data!$Z:$Z,raw_data!$U:$U,"Paid Ads",raw_data!$T:$T,N47,raw_data!$Y:$Y,$A$47)</f>
        <v>0</v>
      </c>
      <c r="O51" s="41">
        <f>sumifs(raw_data!$Z:$Z,raw_data!$U:$U,"Paid Ads",raw_data!$T:$T,O47,raw_data!$Y:$Y,$A$47)</f>
        <v>0</v>
      </c>
      <c r="P51" s="41">
        <f>sumifs(raw_data!$Z:$Z,raw_data!$U:$U,"Paid Ads",raw_data!$T:$T,P47,raw_data!$Y:$Y,$A$47)</f>
        <v>0</v>
      </c>
      <c r="Q51" s="41">
        <f>sumifs(raw_data!$Z:$Z,raw_data!$U:$U,"Paid Ads",raw_data!$T:$T,Q47,raw_data!$Y:$Y,$A$47)</f>
        <v>0</v>
      </c>
      <c r="R51" s="41">
        <f>sumifs(raw_data!$Z:$Z,raw_data!$U:$U,"Paid Ads",raw_data!$T:$T,R47,raw_data!$Y:$Y,$A$47)</f>
        <v>0</v>
      </c>
      <c r="S51" s="41">
        <f>sumifs(raw_data!$Z:$Z,raw_data!$U:$U,"Paid Ads",raw_data!$T:$T,S47,raw_data!$Y:$Y,$A$47)</f>
        <v>0</v>
      </c>
      <c r="T51" s="41">
        <f>sumifs(raw_data!$Z:$Z,raw_data!$U:$U,"Paid Ads",raw_data!$T:$T,T47,raw_data!$Y:$Y,$A$47)</f>
        <v>0</v>
      </c>
      <c r="U51" s="41">
        <f>sumifs(raw_data!$Z:$Z,raw_data!$U:$U,"Paid Ads",raw_data!$T:$T,U47,raw_data!$Y:$Y,$A$47)</f>
        <v>0</v>
      </c>
      <c r="V51" s="41">
        <f>sumifs(raw_data!$Z:$Z,raw_data!$U:$U,"Paid Ads",raw_data!$T:$T,V47,raw_data!$Y:$Y,$A$47)</f>
        <v>0</v>
      </c>
      <c r="W51" s="41">
        <f>sumifs(raw_data!$Z:$Z,raw_data!$U:$U,"Paid Ads",raw_data!$T:$T,W47,raw_data!$Y:$Y,$A$47)</f>
        <v>0</v>
      </c>
      <c r="X51" s="41">
        <f>sumifs(raw_data!$Z:$Z,raw_data!$U:$U,"Paid Ads",raw_data!$T:$T,X47,raw_data!$Y:$Y,$A$47)</f>
        <v>0</v>
      </c>
      <c r="Y51" s="41">
        <f>sumifs(raw_data!$Z:$Z,raw_data!$U:$U,"Paid Ads",raw_data!$T:$T,Y47,raw_data!$Y:$Y,$A$47)</f>
        <v>1</v>
      </c>
      <c r="Z51" s="41">
        <f>sumifs(raw_data!$Z:$Z,raw_data!$U:$U,"Paid Ads",raw_data!$T:$T,Z47,raw_data!$Y:$Y,$A$47)</f>
        <v>2</v>
      </c>
      <c r="AA51" s="41">
        <f>sumifs(raw_data!$Z:$Z,raw_data!$U:$U,"Paid Ads",raw_data!$T:$T,AA47,raw_data!$Y:$Y,$A$47)</f>
        <v>3</v>
      </c>
      <c r="AB51" s="41">
        <f>sumifs(raw_data!$Z:$Z,raw_data!$U:$U,"Paid Ads",raw_data!$T:$T,AB47,raw_data!$Y:$Y,$A$47)</f>
        <v>1</v>
      </c>
      <c r="AC51" s="41">
        <f>sumifs(raw_data!$Z:$Z,raw_data!$U:$U,"Paid Ads",raw_data!$T:$T,AC47,raw_data!$Y:$Y,$A$47)</f>
        <v>4</v>
      </c>
      <c r="AD51" s="41">
        <f>sumifs(raw_data!$Z:$Z,raw_data!$U:$U,"Paid Ads",raw_data!$T:$T,AD47,raw_data!$Y:$Y,$A$47)</f>
        <v>5</v>
      </c>
      <c r="AE51" s="41">
        <f>sumifs(raw_data!$Z:$Z,raw_data!$U:$U,"Paid Ads",raw_data!$T:$T,AE47,raw_data!$Y:$Y,$A$47)</f>
        <v>3</v>
      </c>
      <c r="AF51" s="41">
        <f>sumifs(raw_data!$Z:$Z,raw_data!$U:$U,"Paid Ads",raw_data!$T:$T,AF47,raw_data!$Y:$Y,$A$47)</f>
        <v>6</v>
      </c>
      <c r="AG51" s="41">
        <f>sumifs(raw_data!$Z:$Z,raw_data!$U:$U,"Paid Ads",raw_data!$T:$T,AG47,raw_data!$Y:$Y,$A$47)</f>
        <v>0</v>
      </c>
      <c r="AH51" s="41">
        <f>sumifs(raw_data!$Z:$Z,raw_data!$U:$U,"Paid Ads",raw_data!$T:$T,AH47,raw_data!$Y:$Y,$A$47)</f>
        <v>0</v>
      </c>
      <c r="AI51" s="41">
        <f>sumifs(raw_data!$Z:$Z,raw_data!$U:$U,"Paid Ads",raw_data!$T:$T,AI47,raw_data!$Y:$Y,$A$47)</f>
        <v>0</v>
      </c>
      <c r="AJ51" s="139"/>
    </row>
    <row r="52">
      <c r="A52" s="138" t="s">
        <v>41</v>
      </c>
      <c r="B52" s="41"/>
      <c r="C52" s="41">
        <f t="shared" si="7"/>
        <v>0</v>
      </c>
      <c r="D52" s="41"/>
      <c r="E52" s="41">
        <f>sumifs(raw_data!$M:$M,raw_data!$K:$K,E47,raw_data!$N:$N,$A$47)</f>
        <v>0</v>
      </c>
      <c r="F52" s="41">
        <f>sumifs(raw_data!$M:$M,raw_data!$K:$K,F47,raw_data!$N:$N,$A$47)</f>
        <v>0</v>
      </c>
      <c r="G52" s="41">
        <f>sumifs(raw_data!$M:$M,raw_data!$K:$K,G47,raw_data!$N:$N,$A$47)</f>
        <v>0</v>
      </c>
      <c r="H52" s="41">
        <f>sumifs(raw_data!$M:$M,raw_data!$K:$K,H47,raw_data!$N:$N,$A$47)</f>
        <v>0</v>
      </c>
      <c r="I52" s="41">
        <f>sumifs(raw_data!$M:$M,raw_data!$K:$K,I47,raw_data!$N:$N,$A$47)</f>
        <v>0</v>
      </c>
      <c r="J52" s="41">
        <f>sumifs(raw_data!$M:$M,raw_data!$K:$K,J47,raw_data!$N:$N,$A$47)</f>
        <v>0</v>
      </c>
      <c r="K52" s="41">
        <f>sumifs(raw_data!$M:$M,raw_data!$K:$K,K47,raw_data!$N:$N,$A$47)</f>
        <v>0</v>
      </c>
      <c r="L52" s="41">
        <f>sumifs(raw_data!$M:$M,raw_data!$K:$K,L47,raw_data!$N:$N,$A$47)</f>
        <v>0</v>
      </c>
      <c r="M52" s="41">
        <f>sumifs(raw_data!$M:$M,raw_data!$K:$K,M47,raw_data!$N:$N,$A$47)</f>
        <v>0</v>
      </c>
      <c r="N52" s="41">
        <f>sumifs(raw_data!$M:$M,raw_data!$K:$K,N47,raw_data!$N:$N,$A$47)</f>
        <v>0</v>
      </c>
      <c r="O52" s="41">
        <f>sumifs(raw_data!$M:$M,raw_data!$K:$K,O47,raw_data!$N:$N,$A$47)</f>
        <v>0</v>
      </c>
      <c r="P52" s="41">
        <f>sumifs(raw_data!$M:$M,raw_data!$K:$K,P47,raw_data!$N:$N,$A$47)</f>
        <v>0</v>
      </c>
      <c r="Q52" s="41">
        <f>sumifs(raw_data!$M:$M,raw_data!$K:$K,Q47,raw_data!$N:$N,$A$47)</f>
        <v>0</v>
      </c>
      <c r="R52" s="41">
        <f>sumifs(raw_data!$M:$M,raw_data!$K:$K,R47,raw_data!$N:$N,$A$47)</f>
        <v>0</v>
      </c>
      <c r="S52" s="41">
        <f>sumifs(raw_data!$M:$M,raw_data!$K:$K,S47,raw_data!$N:$N,$A$47)</f>
        <v>0</v>
      </c>
      <c r="T52" s="41">
        <f>sumifs(raw_data!$M:$M,raw_data!$K:$K,T47,raw_data!$N:$N,$A$47)</f>
        <v>0</v>
      </c>
      <c r="U52" s="41">
        <f>sumifs(raw_data!$M:$M,raw_data!$K:$K,U47,raw_data!$N:$N,$A$47)</f>
        <v>0</v>
      </c>
      <c r="V52" s="41">
        <f>sumifs(raw_data!$M:$M,raw_data!$K:$K,V47,raw_data!$N:$N,$A$47)</f>
        <v>0</v>
      </c>
      <c r="W52" s="41">
        <f>sumifs(raw_data!$M:$M,raw_data!$K:$K,W47,raw_data!$N:$N,$A$47)</f>
        <v>0</v>
      </c>
      <c r="X52" s="41">
        <f>sumifs(raw_data!$M:$M,raw_data!$K:$K,X47,raw_data!$N:$N,$A$47)</f>
        <v>0</v>
      </c>
      <c r="Y52" s="41">
        <f>sumifs(raw_data!$M:$M,raw_data!$K:$K,Y47,raw_data!$N:$N,$A$47)</f>
        <v>0</v>
      </c>
      <c r="Z52" s="41">
        <f>sumifs(raw_data!$M:$M,raw_data!$K:$K,Z47,raw_data!$N:$N,$A$47)</f>
        <v>0</v>
      </c>
      <c r="AA52" s="41">
        <f>sumifs(raw_data!$M:$M,raw_data!$K:$K,AA47,raw_data!$N:$N,$A$47)</f>
        <v>0</v>
      </c>
      <c r="AB52" s="41">
        <f>sumifs(raw_data!$M:$M,raw_data!$K:$K,AB47,raw_data!$N:$N,$A$47)</f>
        <v>0</v>
      </c>
      <c r="AC52" s="41">
        <f>sumifs(raw_data!$M:$M,raw_data!$K:$K,AC47,raw_data!$N:$N,$A$47)</f>
        <v>0</v>
      </c>
      <c r="AD52" s="41">
        <f>sumifs(raw_data!$M:$M,raw_data!$K:$K,AD47,raw_data!$N:$N,$A$47)</f>
        <v>0</v>
      </c>
      <c r="AE52" s="41">
        <f>sumifs(raw_data!$M:$M,raw_data!$K:$K,AE47,raw_data!$N:$N,$A$47)</f>
        <v>0</v>
      </c>
      <c r="AF52" s="41">
        <f>sumifs(raw_data!$M:$M,raw_data!$K:$K,AF47,raw_data!$N:$N,$A$47)</f>
        <v>0</v>
      </c>
      <c r="AG52" s="41">
        <f>sumifs(raw_data!$M:$M,raw_data!$K:$K,AG47,raw_data!$N:$N,$A$47)</f>
        <v>0</v>
      </c>
      <c r="AH52" s="41">
        <f>sumifs(raw_data!$M:$M,raw_data!$K:$K,AH47,raw_data!$N:$N,$A$47)</f>
        <v>0</v>
      </c>
      <c r="AI52" s="41">
        <f>sumifs(raw_data!$M:$M,raw_data!$K:$K,AI47,raw_data!$N:$N,$A$47)</f>
        <v>0</v>
      </c>
      <c r="AJ52" s="139"/>
    </row>
    <row r="53">
      <c r="A53" s="138" t="s">
        <v>43</v>
      </c>
      <c r="B53" s="41"/>
      <c r="C53" s="41">
        <f t="shared" si="7"/>
        <v>0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139"/>
    </row>
    <row r="54">
      <c r="A54" s="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  <c r="AG54" s="139"/>
      <c r="AH54" s="139"/>
      <c r="AI54" s="139"/>
      <c r="AJ54" s="139"/>
    </row>
    <row r="55">
      <c r="A55" s="12" t="s">
        <v>464</v>
      </c>
      <c r="B55" s="46" t="s">
        <v>465</v>
      </c>
      <c r="C55" s="46" t="s">
        <v>43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  <c r="AG55" s="139"/>
      <c r="AH55" s="139"/>
      <c r="AI55" s="139"/>
      <c r="AJ55" s="139"/>
    </row>
    <row r="56">
      <c r="A56" s="142" t="s">
        <v>466</v>
      </c>
      <c r="B56" s="143"/>
      <c r="C56" s="143"/>
      <c r="D56" s="143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39"/>
    </row>
    <row r="57">
      <c r="A57" s="142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39"/>
    </row>
    <row r="58">
      <c r="A58" s="142"/>
      <c r="B58" s="145"/>
      <c r="C58" s="145"/>
      <c r="D58" s="145"/>
      <c r="E58" s="145"/>
      <c r="F58" s="146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39"/>
    </row>
    <row r="59">
      <c r="A59" s="142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39"/>
    </row>
    <row r="60">
      <c r="A60" s="142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39"/>
    </row>
    <row r="61">
      <c r="A61" s="142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39"/>
    </row>
    <row r="62">
      <c r="A62" s="142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  <c r="AF62" s="145"/>
      <c r="AG62" s="145"/>
      <c r="AH62" s="145"/>
      <c r="AI62" s="145"/>
      <c r="AJ62" s="139"/>
    </row>
    <row r="63">
      <c r="A63" s="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  <c r="AD63" s="139"/>
      <c r="AE63" s="139"/>
      <c r="AF63" s="139"/>
      <c r="AG63" s="139"/>
      <c r="AH63" s="139"/>
      <c r="AI63" s="139"/>
      <c r="AJ63" s="139"/>
    </row>
    <row r="64">
      <c r="A64" s="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  <c r="AD64" s="139"/>
      <c r="AE64" s="139"/>
      <c r="AF64" s="139"/>
      <c r="AG64" s="139"/>
      <c r="AH64" s="139"/>
      <c r="AI64" s="139"/>
      <c r="AJ64" s="139"/>
    </row>
    <row r="65">
      <c r="A65" s="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  <c r="AD65" s="139"/>
      <c r="AE65" s="139"/>
      <c r="AF65" s="139"/>
      <c r="AG65" s="139"/>
      <c r="AH65" s="139"/>
      <c r="AI65" s="139"/>
      <c r="AJ65" s="139"/>
    </row>
    <row r="66">
      <c r="A66" s="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  <c r="AD66" s="139"/>
      <c r="AE66" s="139"/>
      <c r="AF66" s="139"/>
      <c r="AG66" s="139"/>
      <c r="AH66" s="139"/>
      <c r="AI66" s="139"/>
      <c r="AJ66" s="139"/>
    </row>
    <row r="67">
      <c r="A67" s="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  <c r="AG67" s="139"/>
      <c r="AH67" s="139"/>
      <c r="AI67" s="139"/>
      <c r="AJ67" s="139"/>
    </row>
    <row r="68">
      <c r="A68" s="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  <c r="AG68" s="139"/>
      <c r="AH68" s="139"/>
      <c r="AI68" s="139"/>
      <c r="AJ68" s="139"/>
    </row>
    <row r="69">
      <c r="A69" s="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  <c r="AD69" s="139"/>
      <c r="AE69" s="139"/>
      <c r="AF69" s="139"/>
      <c r="AG69" s="139"/>
      <c r="AH69" s="139"/>
      <c r="AI69" s="139"/>
      <c r="AJ69" s="139"/>
    </row>
    <row r="70">
      <c r="A70" s="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  <c r="AD70" s="139"/>
      <c r="AE70" s="139"/>
      <c r="AF70" s="139"/>
      <c r="AG70" s="139"/>
      <c r="AH70" s="139"/>
      <c r="AI70" s="139"/>
      <c r="AJ70" s="139"/>
    </row>
    <row r="71">
      <c r="A71" s="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  <c r="AD71" s="139"/>
      <c r="AE71" s="139"/>
      <c r="AF71" s="139"/>
      <c r="AG71" s="139"/>
      <c r="AH71" s="139"/>
      <c r="AI71" s="139"/>
      <c r="AJ71" s="139"/>
    </row>
    <row r="72">
      <c r="A72" s="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  <c r="AD72" s="139"/>
      <c r="AE72" s="139"/>
      <c r="AF72" s="139"/>
      <c r="AG72" s="139"/>
      <c r="AH72" s="139"/>
      <c r="AI72" s="139"/>
      <c r="AJ72" s="139"/>
    </row>
    <row r="73">
      <c r="A73" s="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  <c r="AD73" s="139"/>
      <c r="AE73" s="139"/>
      <c r="AF73" s="139"/>
      <c r="AG73" s="139"/>
      <c r="AH73" s="139"/>
      <c r="AI73" s="139"/>
      <c r="AJ73" s="139"/>
    </row>
    <row r="74">
      <c r="A74" s="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  <c r="AG74" s="139"/>
      <c r="AH74" s="139"/>
      <c r="AI74" s="139"/>
      <c r="AJ74" s="139"/>
    </row>
    <row r="75">
      <c r="A75" s="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  <c r="AI75" s="139"/>
      <c r="AJ75" s="139"/>
    </row>
    <row r="76">
      <c r="A76" s="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  <c r="AD76" s="139"/>
      <c r="AE76" s="139"/>
      <c r="AF76" s="139"/>
      <c r="AG76" s="139"/>
      <c r="AH76" s="139"/>
      <c r="AI76" s="139"/>
      <c r="AJ76" s="139"/>
    </row>
    <row r="77">
      <c r="A77" s="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  <c r="AD77" s="139"/>
      <c r="AE77" s="139"/>
      <c r="AF77" s="139"/>
      <c r="AG77" s="139"/>
      <c r="AH77" s="139"/>
      <c r="AI77" s="139"/>
      <c r="AJ77" s="139"/>
    </row>
    <row r="78">
      <c r="A78" s="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  <c r="AD78" s="139"/>
      <c r="AE78" s="139"/>
      <c r="AF78" s="139"/>
      <c r="AG78" s="139"/>
      <c r="AH78" s="139"/>
      <c r="AI78" s="139"/>
      <c r="AJ78" s="139"/>
    </row>
    <row r="79">
      <c r="A79" s="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  <c r="AD79" s="139"/>
      <c r="AE79" s="139"/>
      <c r="AF79" s="139"/>
      <c r="AG79" s="139"/>
      <c r="AH79" s="139"/>
      <c r="AI79" s="139"/>
      <c r="AJ79" s="139"/>
    </row>
    <row r="80">
      <c r="A80" s="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  <c r="AD80" s="139"/>
      <c r="AE80" s="139"/>
      <c r="AF80" s="139"/>
      <c r="AG80" s="139"/>
      <c r="AH80" s="139"/>
      <c r="AI80" s="139"/>
      <c r="AJ80" s="139"/>
    </row>
    <row r="81">
      <c r="A81" s="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  <c r="AD81" s="139"/>
      <c r="AE81" s="139"/>
      <c r="AF81" s="139"/>
      <c r="AG81" s="139"/>
      <c r="AH81" s="139"/>
      <c r="AI81" s="139"/>
      <c r="AJ81" s="139"/>
    </row>
    <row r="82">
      <c r="A82" s="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  <c r="AD82" s="139"/>
      <c r="AE82" s="139"/>
      <c r="AF82" s="139"/>
      <c r="AG82" s="139"/>
      <c r="AH82" s="139"/>
      <c r="AI82" s="139"/>
      <c r="AJ82" s="139"/>
    </row>
    <row r="83">
      <c r="A83" s="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  <c r="AD83" s="139"/>
      <c r="AE83" s="139"/>
      <c r="AF83" s="139"/>
      <c r="AG83" s="139"/>
      <c r="AH83" s="139"/>
      <c r="AI83" s="139"/>
      <c r="AJ83" s="139"/>
    </row>
    <row r="84">
      <c r="A84" s="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  <c r="AG84" s="139"/>
      <c r="AH84" s="139"/>
      <c r="AI84" s="139"/>
      <c r="AJ84" s="139"/>
    </row>
    <row r="85">
      <c r="A85" s="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  <c r="AD85" s="139"/>
      <c r="AE85" s="139"/>
      <c r="AF85" s="139"/>
      <c r="AG85" s="139"/>
      <c r="AH85" s="139"/>
      <c r="AI85" s="139"/>
      <c r="AJ85" s="139"/>
    </row>
    <row r="86">
      <c r="A86" s="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  <c r="AD86" s="139"/>
      <c r="AE86" s="139"/>
      <c r="AF86" s="139"/>
      <c r="AG86" s="139"/>
      <c r="AH86" s="139"/>
      <c r="AI86" s="139"/>
      <c r="AJ86" s="139"/>
    </row>
    <row r="87">
      <c r="A87" s="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  <c r="AD87" s="139"/>
      <c r="AE87" s="139"/>
      <c r="AF87" s="139"/>
      <c r="AG87" s="139"/>
      <c r="AH87" s="139"/>
      <c r="AI87" s="139"/>
      <c r="AJ87" s="139"/>
    </row>
    <row r="88">
      <c r="A88" s="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  <c r="AG88" s="139"/>
      <c r="AH88" s="139"/>
      <c r="AI88" s="139"/>
      <c r="AJ88" s="139"/>
    </row>
    <row r="89">
      <c r="A89" s="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  <c r="AD89" s="139"/>
      <c r="AE89" s="139"/>
      <c r="AF89" s="139"/>
      <c r="AG89" s="139"/>
      <c r="AH89" s="139"/>
      <c r="AI89" s="139"/>
      <c r="AJ89" s="139"/>
    </row>
    <row r="90">
      <c r="A90" s="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  <c r="AD90" s="139"/>
      <c r="AE90" s="139"/>
      <c r="AF90" s="139"/>
      <c r="AG90" s="139"/>
      <c r="AH90" s="139"/>
      <c r="AI90" s="139"/>
      <c r="AJ90" s="139"/>
    </row>
    <row r="91">
      <c r="A91" s="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  <c r="AD91" s="139"/>
      <c r="AE91" s="139"/>
      <c r="AF91" s="139"/>
      <c r="AG91" s="139"/>
      <c r="AH91" s="139"/>
      <c r="AI91" s="139"/>
      <c r="AJ91" s="139"/>
    </row>
    <row r="92">
      <c r="A92" s="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  <c r="AD92" s="139"/>
      <c r="AE92" s="139"/>
      <c r="AF92" s="139"/>
      <c r="AG92" s="139"/>
      <c r="AH92" s="139"/>
      <c r="AI92" s="139"/>
      <c r="AJ92" s="139"/>
    </row>
    <row r="93">
      <c r="A93" s="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  <c r="AG93" s="139"/>
      <c r="AH93" s="139"/>
      <c r="AI93" s="139"/>
      <c r="AJ93" s="139"/>
    </row>
    <row r="94">
      <c r="A94" s="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  <c r="AG94" s="139"/>
      <c r="AH94" s="139"/>
      <c r="AI94" s="139"/>
      <c r="AJ94" s="139"/>
    </row>
    <row r="95">
      <c r="A95" s="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  <c r="AD95" s="139"/>
      <c r="AE95" s="139"/>
      <c r="AF95" s="139"/>
      <c r="AG95" s="139"/>
      <c r="AH95" s="139"/>
      <c r="AI95" s="139"/>
      <c r="AJ95" s="139"/>
    </row>
    <row r="96">
      <c r="A96" s="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  <c r="AG96" s="139"/>
      <c r="AH96" s="139"/>
      <c r="AI96" s="139"/>
      <c r="AJ96" s="139"/>
    </row>
    <row r="97">
      <c r="A97" s="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  <c r="AG97" s="139"/>
      <c r="AH97" s="139"/>
      <c r="AI97" s="139"/>
      <c r="AJ97" s="139"/>
    </row>
    <row r="98">
      <c r="A98" s="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  <c r="AD98" s="139"/>
      <c r="AE98" s="139"/>
      <c r="AF98" s="139"/>
      <c r="AG98" s="139"/>
      <c r="AH98" s="139"/>
      <c r="AI98" s="139"/>
      <c r="AJ98" s="139"/>
    </row>
    <row r="99">
      <c r="A99" s="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139"/>
      <c r="AG99" s="139"/>
      <c r="AH99" s="139"/>
      <c r="AI99" s="139"/>
      <c r="AJ99" s="139"/>
    </row>
    <row r="100">
      <c r="A100" s="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  <c r="AD100" s="139"/>
      <c r="AE100" s="139"/>
      <c r="AF100" s="139"/>
      <c r="AG100" s="139"/>
      <c r="AH100" s="139"/>
      <c r="AI100" s="139"/>
      <c r="AJ100" s="139"/>
    </row>
    <row r="101">
      <c r="A101" s="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  <c r="AD101" s="139"/>
      <c r="AE101" s="139"/>
      <c r="AF101" s="139"/>
      <c r="AG101" s="139"/>
      <c r="AH101" s="139"/>
      <c r="AI101" s="139"/>
      <c r="AJ101" s="139"/>
    </row>
    <row r="102">
      <c r="A102" s="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  <c r="AD102" s="139"/>
      <c r="AE102" s="139"/>
      <c r="AF102" s="139"/>
      <c r="AG102" s="139"/>
      <c r="AH102" s="139"/>
      <c r="AI102" s="139"/>
      <c r="AJ102" s="139"/>
    </row>
    <row r="103">
      <c r="A103" s="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  <c r="AD103" s="139"/>
      <c r="AE103" s="139"/>
      <c r="AF103" s="139"/>
      <c r="AG103" s="139"/>
      <c r="AH103" s="139"/>
      <c r="AI103" s="139"/>
      <c r="AJ103" s="139"/>
    </row>
    <row r="104">
      <c r="A104" s="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  <c r="AD104" s="139"/>
      <c r="AE104" s="139"/>
      <c r="AF104" s="139"/>
      <c r="AG104" s="139"/>
      <c r="AH104" s="139"/>
      <c r="AI104" s="139"/>
      <c r="AJ104" s="139"/>
    </row>
    <row r="105">
      <c r="A105" s="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  <c r="AD105" s="139"/>
      <c r="AE105" s="139"/>
      <c r="AF105" s="139"/>
      <c r="AG105" s="139"/>
      <c r="AH105" s="139"/>
      <c r="AI105" s="139"/>
      <c r="AJ105" s="139"/>
    </row>
    <row r="106">
      <c r="A106" s="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  <c r="AD106" s="139"/>
      <c r="AE106" s="139"/>
      <c r="AF106" s="139"/>
      <c r="AG106" s="139"/>
      <c r="AH106" s="139"/>
      <c r="AI106" s="139"/>
      <c r="AJ106" s="139"/>
    </row>
    <row r="107">
      <c r="A107" s="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39"/>
      <c r="AF107" s="139"/>
      <c r="AG107" s="139"/>
      <c r="AH107" s="139"/>
      <c r="AI107" s="139"/>
      <c r="AJ107" s="139"/>
    </row>
    <row r="108">
      <c r="A108" s="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  <c r="AG108" s="139"/>
      <c r="AH108" s="139"/>
      <c r="AI108" s="139"/>
      <c r="AJ108" s="139"/>
    </row>
    <row r="109">
      <c r="A109" s="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  <c r="AG109" s="139"/>
      <c r="AH109" s="139"/>
      <c r="AI109" s="139"/>
      <c r="AJ109" s="139"/>
    </row>
    <row r="110">
      <c r="A110" s="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  <c r="AG110" s="139"/>
      <c r="AH110" s="139"/>
      <c r="AI110" s="139"/>
      <c r="AJ110" s="139"/>
    </row>
    <row r="111">
      <c r="A111" s="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  <c r="AG111" s="139"/>
      <c r="AH111" s="139"/>
      <c r="AI111" s="139"/>
      <c r="AJ111" s="139"/>
    </row>
    <row r="112">
      <c r="A112" s="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  <c r="AG112" s="139"/>
      <c r="AH112" s="139"/>
      <c r="AI112" s="139"/>
      <c r="AJ112" s="139"/>
    </row>
    <row r="113">
      <c r="A113" s="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  <c r="AG113" s="139"/>
      <c r="AH113" s="139"/>
      <c r="AI113" s="139"/>
      <c r="AJ113" s="139"/>
    </row>
    <row r="114">
      <c r="A114" s="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  <c r="AG114" s="139"/>
      <c r="AH114" s="139"/>
      <c r="AI114" s="139"/>
      <c r="AJ114" s="139"/>
    </row>
    <row r="115">
      <c r="A115" s="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  <c r="AG115" s="139"/>
      <c r="AH115" s="139"/>
      <c r="AI115" s="139"/>
      <c r="AJ115" s="139"/>
    </row>
    <row r="116">
      <c r="A116" s="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  <c r="AG116" s="139"/>
      <c r="AH116" s="139"/>
      <c r="AI116" s="139"/>
      <c r="AJ116" s="139"/>
    </row>
    <row r="117">
      <c r="A117" s="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  <c r="AG117" s="139"/>
      <c r="AH117" s="139"/>
      <c r="AI117" s="139"/>
      <c r="AJ117" s="139"/>
    </row>
    <row r="118">
      <c r="A118" s="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  <c r="AG118" s="139"/>
      <c r="AH118" s="139"/>
      <c r="AI118" s="139"/>
      <c r="AJ118" s="139"/>
    </row>
    <row r="119">
      <c r="A119" s="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</row>
    <row r="120">
      <c r="A120" s="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  <c r="AG120" s="139"/>
      <c r="AH120" s="139"/>
      <c r="AI120" s="139"/>
      <c r="AJ120" s="139"/>
    </row>
    <row r="121">
      <c r="A121" s="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  <c r="AG121" s="139"/>
      <c r="AH121" s="139"/>
      <c r="AI121" s="139"/>
      <c r="AJ121" s="139"/>
    </row>
    <row r="122">
      <c r="A122" s="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  <c r="AG122" s="139"/>
      <c r="AH122" s="139"/>
      <c r="AI122" s="139"/>
      <c r="AJ122" s="139"/>
    </row>
    <row r="123">
      <c r="A123" s="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  <c r="AG123" s="139"/>
      <c r="AH123" s="139"/>
      <c r="AI123" s="139"/>
      <c r="AJ123" s="139"/>
    </row>
    <row r="124">
      <c r="A124" s="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  <c r="AG124" s="139"/>
      <c r="AH124" s="139"/>
      <c r="AI124" s="139"/>
      <c r="AJ124" s="139"/>
    </row>
    <row r="125">
      <c r="A125" s="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  <c r="AG125" s="139"/>
      <c r="AH125" s="139"/>
      <c r="AI125" s="139"/>
      <c r="AJ125" s="139"/>
    </row>
    <row r="126">
      <c r="A126" s="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  <c r="AG126" s="139"/>
      <c r="AH126" s="139"/>
      <c r="AI126" s="139"/>
      <c r="AJ126" s="139"/>
    </row>
    <row r="127">
      <c r="A127" s="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  <c r="AG127" s="139"/>
      <c r="AH127" s="139"/>
      <c r="AI127" s="139"/>
      <c r="AJ127" s="139"/>
    </row>
    <row r="128">
      <c r="A128" s="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  <c r="AG128" s="139"/>
      <c r="AH128" s="139"/>
      <c r="AI128" s="139"/>
      <c r="AJ128" s="139"/>
    </row>
    <row r="129">
      <c r="A129" s="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  <c r="AG129" s="139"/>
      <c r="AH129" s="139"/>
      <c r="AI129" s="139"/>
      <c r="AJ129" s="139"/>
    </row>
    <row r="130">
      <c r="A130" s="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  <c r="AG130" s="139"/>
      <c r="AH130" s="139"/>
      <c r="AI130" s="139"/>
      <c r="AJ130" s="139"/>
    </row>
    <row r="131">
      <c r="A131" s="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  <c r="AG131" s="139"/>
      <c r="AH131" s="139"/>
      <c r="AI131" s="139"/>
      <c r="AJ131" s="139"/>
    </row>
    <row r="132">
      <c r="A132" s="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  <c r="AG132" s="139"/>
      <c r="AH132" s="139"/>
      <c r="AI132" s="139"/>
      <c r="AJ132" s="139"/>
    </row>
    <row r="133">
      <c r="A133" s="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  <c r="AG133" s="139"/>
      <c r="AH133" s="139"/>
      <c r="AI133" s="139"/>
      <c r="AJ133" s="139"/>
    </row>
    <row r="134">
      <c r="A134" s="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  <c r="AG134" s="139"/>
      <c r="AH134" s="139"/>
      <c r="AI134" s="139"/>
      <c r="AJ134" s="139"/>
    </row>
    <row r="135">
      <c r="A135" s="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  <c r="AG135" s="139"/>
      <c r="AH135" s="139"/>
      <c r="AI135" s="139"/>
      <c r="AJ135" s="139"/>
    </row>
    <row r="136">
      <c r="A136" s="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  <c r="AG136" s="139"/>
      <c r="AH136" s="139"/>
      <c r="AI136" s="139"/>
      <c r="AJ136" s="139"/>
    </row>
    <row r="137">
      <c r="A137" s="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  <c r="AG137" s="139"/>
      <c r="AH137" s="139"/>
      <c r="AI137" s="139"/>
      <c r="AJ137" s="139"/>
    </row>
    <row r="138">
      <c r="A138" s="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  <c r="AG138" s="139"/>
      <c r="AH138" s="139"/>
      <c r="AI138" s="139"/>
      <c r="AJ138" s="139"/>
    </row>
    <row r="139">
      <c r="A139" s="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  <c r="AG139" s="139"/>
      <c r="AH139" s="139"/>
      <c r="AI139" s="139"/>
      <c r="AJ139" s="139"/>
    </row>
    <row r="140">
      <c r="A140" s="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  <c r="AG140" s="139"/>
      <c r="AH140" s="139"/>
      <c r="AI140" s="139"/>
      <c r="AJ140" s="139"/>
    </row>
    <row r="141">
      <c r="A141" s="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  <c r="AG141" s="139"/>
      <c r="AH141" s="139"/>
      <c r="AI141" s="139"/>
      <c r="AJ141" s="139"/>
    </row>
    <row r="142">
      <c r="A142" s="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  <c r="AG142" s="139"/>
      <c r="AH142" s="139"/>
      <c r="AI142" s="139"/>
      <c r="AJ142" s="139"/>
    </row>
    <row r="143">
      <c r="A143" s="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  <c r="AG143" s="139"/>
      <c r="AH143" s="139"/>
      <c r="AI143" s="139"/>
      <c r="AJ143" s="139"/>
    </row>
    <row r="144">
      <c r="A144" s="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  <c r="AG144" s="139"/>
      <c r="AH144" s="139"/>
      <c r="AI144" s="139"/>
      <c r="AJ144" s="139"/>
    </row>
    <row r="145">
      <c r="A145" s="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  <c r="AG145" s="139"/>
      <c r="AH145" s="139"/>
      <c r="AI145" s="139"/>
      <c r="AJ145" s="139"/>
    </row>
    <row r="146">
      <c r="A146" s="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  <c r="AG146" s="139"/>
      <c r="AH146" s="139"/>
      <c r="AI146" s="139"/>
      <c r="AJ146" s="139"/>
    </row>
    <row r="147">
      <c r="A147" s="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  <c r="AI147" s="139"/>
      <c r="AJ147" s="139"/>
    </row>
    <row r="148">
      <c r="A148" s="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  <c r="AG148" s="139"/>
      <c r="AH148" s="139"/>
      <c r="AI148" s="139"/>
      <c r="AJ148" s="139"/>
    </row>
    <row r="149">
      <c r="A149" s="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  <c r="AG149" s="139"/>
      <c r="AH149" s="139"/>
      <c r="AI149" s="139"/>
      <c r="AJ149" s="139"/>
    </row>
    <row r="150">
      <c r="A150" s="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  <c r="AG150" s="139"/>
      <c r="AH150" s="139"/>
      <c r="AI150" s="139"/>
      <c r="AJ150" s="139"/>
    </row>
    <row r="151">
      <c r="A151" s="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  <c r="AG151" s="139"/>
      <c r="AH151" s="139"/>
      <c r="AI151" s="139"/>
      <c r="AJ151" s="139"/>
    </row>
    <row r="152">
      <c r="A152" s="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  <c r="AG152" s="139"/>
      <c r="AH152" s="139"/>
      <c r="AI152" s="139"/>
      <c r="AJ152" s="139"/>
    </row>
    <row r="153">
      <c r="A153" s="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  <c r="AG153" s="139"/>
      <c r="AH153" s="139"/>
      <c r="AI153" s="139"/>
      <c r="AJ153" s="139"/>
    </row>
    <row r="154">
      <c r="A154" s="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  <c r="AG154" s="139"/>
      <c r="AH154" s="139"/>
      <c r="AI154" s="139"/>
      <c r="AJ154" s="139"/>
    </row>
    <row r="155">
      <c r="A155" s="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  <c r="AG155" s="139"/>
      <c r="AH155" s="139"/>
      <c r="AI155" s="139"/>
      <c r="AJ155" s="139"/>
    </row>
    <row r="156">
      <c r="A156" s="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  <c r="AG156" s="139"/>
      <c r="AH156" s="139"/>
      <c r="AI156" s="139"/>
      <c r="AJ156" s="139"/>
    </row>
    <row r="157">
      <c r="A157" s="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  <c r="AG157" s="139"/>
      <c r="AH157" s="139"/>
      <c r="AI157" s="139"/>
      <c r="AJ157" s="139"/>
    </row>
    <row r="158">
      <c r="A158" s="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  <c r="AG158" s="139"/>
      <c r="AH158" s="139"/>
      <c r="AI158" s="139"/>
      <c r="AJ158" s="139"/>
    </row>
    <row r="159">
      <c r="A159" s="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  <c r="AG159" s="139"/>
      <c r="AH159" s="139"/>
      <c r="AI159" s="139"/>
      <c r="AJ159" s="139"/>
    </row>
    <row r="160">
      <c r="A160" s="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  <c r="AG160" s="139"/>
      <c r="AH160" s="139"/>
      <c r="AI160" s="139"/>
      <c r="AJ160" s="139"/>
    </row>
    <row r="161">
      <c r="A161" s="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  <c r="AG161" s="139"/>
      <c r="AH161" s="139"/>
      <c r="AI161" s="139"/>
      <c r="AJ161" s="139"/>
    </row>
    <row r="162">
      <c r="A162" s="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  <c r="AG162" s="139"/>
      <c r="AH162" s="139"/>
      <c r="AI162" s="139"/>
      <c r="AJ162" s="139"/>
    </row>
    <row r="163">
      <c r="A163" s="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  <c r="AG163" s="139"/>
      <c r="AH163" s="139"/>
      <c r="AI163" s="139"/>
      <c r="AJ163" s="139"/>
    </row>
    <row r="164">
      <c r="A164" s="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  <c r="AG164" s="139"/>
      <c r="AH164" s="139"/>
      <c r="AI164" s="139"/>
      <c r="AJ164" s="139"/>
    </row>
    <row r="165">
      <c r="A165" s="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  <c r="AG165" s="139"/>
      <c r="AH165" s="139"/>
      <c r="AI165" s="139"/>
      <c r="AJ165" s="139"/>
    </row>
    <row r="166">
      <c r="A166" s="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  <c r="AG166" s="139"/>
      <c r="AH166" s="139"/>
      <c r="AI166" s="139"/>
      <c r="AJ166" s="139"/>
    </row>
    <row r="167">
      <c r="A167" s="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  <c r="AG167" s="139"/>
      <c r="AH167" s="139"/>
      <c r="AI167" s="139"/>
      <c r="AJ167" s="139"/>
    </row>
    <row r="168">
      <c r="A168" s="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  <c r="AG168" s="139"/>
      <c r="AH168" s="139"/>
      <c r="AI168" s="139"/>
      <c r="AJ168" s="139"/>
    </row>
    <row r="169">
      <c r="A169" s="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  <c r="AG169" s="139"/>
      <c r="AH169" s="139"/>
      <c r="AI169" s="139"/>
      <c r="AJ169" s="139"/>
    </row>
    <row r="170">
      <c r="A170" s="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  <c r="AD170" s="139"/>
      <c r="AE170" s="139"/>
      <c r="AF170" s="139"/>
      <c r="AG170" s="139"/>
      <c r="AH170" s="139"/>
      <c r="AI170" s="139"/>
      <c r="AJ170" s="139"/>
    </row>
    <row r="171">
      <c r="A171" s="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  <c r="AD171" s="139"/>
      <c r="AE171" s="139"/>
      <c r="AF171" s="139"/>
      <c r="AG171" s="139"/>
      <c r="AH171" s="139"/>
      <c r="AI171" s="139"/>
      <c r="AJ171" s="139"/>
    </row>
    <row r="172">
      <c r="A172" s="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  <c r="AD172" s="139"/>
      <c r="AE172" s="139"/>
      <c r="AF172" s="139"/>
      <c r="AG172" s="139"/>
      <c r="AH172" s="139"/>
      <c r="AI172" s="139"/>
      <c r="AJ172" s="139"/>
    </row>
    <row r="173">
      <c r="A173" s="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  <c r="AD173" s="139"/>
      <c r="AE173" s="139"/>
      <c r="AF173" s="139"/>
      <c r="AG173" s="139"/>
      <c r="AH173" s="139"/>
      <c r="AI173" s="139"/>
      <c r="AJ173" s="139"/>
    </row>
    <row r="174">
      <c r="A174" s="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  <c r="AD174" s="139"/>
      <c r="AE174" s="139"/>
      <c r="AF174" s="139"/>
      <c r="AG174" s="139"/>
      <c r="AH174" s="139"/>
      <c r="AI174" s="139"/>
      <c r="AJ174" s="139"/>
    </row>
    <row r="175">
      <c r="A175" s="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  <c r="AD175" s="139"/>
      <c r="AE175" s="139"/>
      <c r="AF175" s="139"/>
      <c r="AG175" s="139"/>
      <c r="AH175" s="139"/>
      <c r="AI175" s="139"/>
      <c r="AJ175" s="139"/>
    </row>
    <row r="176">
      <c r="A176" s="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  <c r="AD176" s="139"/>
      <c r="AE176" s="139"/>
      <c r="AF176" s="139"/>
      <c r="AG176" s="139"/>
      <c r="AH176" s="139"/>
      <c r="AI176" s="139"/>
      <c r="AJ176" s="139"/>
    </row>
    <row r="177">
      <c r="A177" s="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  <c r="AD177" s="139"/>
      <c r="AE177" s="139"/>
      <c r="AF177" s="139"/>
      <c r="AG177" s="139"/>
      <c r="AH177" s="139"/>
      <c r="AI177" s="139"/>
      <c r="AJ177" s="139"/>
    </row>
    <row r="178">
      <c r="A178" s="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  <c r="AD178" s="139"/>
      <c r="AE178" s="139"/>
      <c r="AF178" s="139"/>
      <c r="AG178" s="139"/>
      <c r="AH178" s="139"/>
      <c r="AI178" s="139"/>
      <c r="AJ178" s="139"/>
    </row>
    <row r="179">
      <c r="A179" s="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  <c r="AD179" s="139"/>
      <c r="AE179" s="139"/>
      <c r="AF179" s="139"/>
      <c r="AG179" s="139"/>
      <c r="AH179" s="139"/>
      <c r="AI179" s="139"/>
      <c r="AJ179" s="139"/>
    </row>
    <row r="180">
      <c r="A180" s="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  <c r="AF180" s="139"/>
      <c r="AG180" s="139"/>
      <c r="AH180" s="139"/>
      <c r="AI180" s="139"/>
      <c r="AJ180" s="139"/>
    </row>
    <row r="181">
      <c r="A181" s="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  <c r="AD181" s="139"/>
      <c r="AE181" s="139"/>
      <c r="AF181" s="139"/>
      <c r="AG181" s="139"/>
      <c r="AH181" s="139"/>
      <c r="AI181" s="139"/>
      <c r="AJ181" s="139"/>
    </row>
    <row r="182">
      <c r="A182" s="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  <c r="AD182" s="139"/>
      <c r="AE182" s="139"/>
      <c r="AF182" s="139"/>
      <c r="AG182" s="139"/>
      <c r="AH182" s="139"/>
      <c r="AI182" s="139"/>
      <c r="AJ182" s="139"/>
    </row>
    <row r="183">
      <c r="A183" s="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  <c r="AD183" s="139"/>
      <c r="AE183" s="139"/>
      <c r="AF183" s="139"/>
      <c r="AG183" s="139"/>
      <c r="AH183" s="139"/>
      <c r="AI183" s="139"/>
      <c r="AJ183" s="139"/>
    </row>
    <row r="184">
      <c r="A184" s="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  <c r="AD184" s="139"/>
      <c r="AE184" s="139"/>
      <c r="AF184" s="139"/>
      <c r="AG184" s="139"/>
      <c r="AH184" s="139"/>
      <c r="AI184" s="139"/>
      <c r="AJ184" s="139"/>
    </row>
    <row r="185">
      <c r="A185" s="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  <c r="AD185" s="139"/>
      <c r="AE185" s="139"/>
      <c r="AF185" s="139"/>
      <c r="AG185" s="139"/>
      <c r="AH185" s="139"/>
      <c r="AI185" s="139"/>
      <c r="AJ185" s="139"/>
    </row>
    <row r="186">
      <c r="A186" s="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  <c r="AD186" s="139"/>
      <c r="AE186" s="139"/>
      <c r="AF186" s="139"/>
      <c r="AG186" s="139"/>
      <c r="AH186" s="139"/>
      <c r="AI186" s="139"/>
      <c r="AJ186" s="139"/>
    </row>
    <row r="187">
      <c r="A187" s="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  <c r="AD187" s="139"/>
      <c r="AE187" s="139"/>
      <c r="AF187" s="139"/>
      <c r="AG187" s="139"/>
      <c r="AH187" s="139"/>
      <c r="AI187" s="139"/>
      <c r="AJ187" s="139"/>
    </row>
    <row r="188">
      <c r="A188" s="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  <c r="AD188" s="139"/>
      <c r="AE188" s="139"/>
      <c r="AF188" s="139"/>
      <c r="AG188" s="139"/>
      <c r="AH188" s="139"/>
      <c r="AI188" s="139"/>
      <c r="AJ188" s="139"/>
    </row>
    <row r="189">
      <c r="A189" s="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  <c r="AD189" s="139"/>
      <c r="AE189" s="139"/>
      <c r="AF189" s="139"/>
      <c r="AG189" s="139"/>
      <c r="AH189" s="139"/>
      <c r="AI189" s="139"/>
      <c r="AJ189" s="139"/>
    </row>
    <row r="190">
      <c r="A190" s="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  <c r="AG190" s="139"/>
      <c r="AH190" s="139"/>
      <c r="AI190" s="139"/>
      <c r="AJ190" s="139"/>
    </row>
    <row r="191">
      <c r="A191" s="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  <c r="AD191" s="139"/>
      <c r="AE191" s="139"/>
      <c r="AF191" s="139"/>
      <c r="AG191" s="139"/>
      <c r="AH191" s="139"/>
      <c r="AI191" s="139"/>
      <c r="AJ191" s="139"/>
    </row>
    <row r="192">
      <c r="A192" s="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  <c r="AD192" s="139"/>
      <c r="AE192" s="139"/>
      <c r="AF192" s="139"/>
      <c r="AG192" s="139"/>
      <c r="AH192" s="139"/>
      <c r="AI192" s="139"/>
      <c r="AJ192" s="139"/>
    </row>
    <row r="193">
      <c r="A193" s="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  <c r="AD193" s="139"/>
      <c r="AE193" s="139"/>
      <c r="AF193" s="139"/>
      <c r="AG193" s="139"/>
      <c r="AH193" s="139"/>
      <c r="AI193" s="139"/>
      <c r="AJ193" s="139"/>
    </row>
    <row r="194">
      <c r="A194" s="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  <c r="AD194" s="139"/>
      <c r="AE194" s="139"/>
      <c r="AF194" s="139"/>
      <c r="AG194" s="139"/>
      <c r="AH194" s="139"/>
      <c r="AI194" s="139"/>
      <c r="AJ194" s="139"/>
    </row>
    <row r="195">
      <c r="A195" s="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  <c r="AD195" s="139"/>
      <c r="AE195" s="139"/>
      <c r="AF195" s="139"/>
      <c r="AG195" s="139"/>
      <c r="AH195" s="139"/>
      <c r="AI195" s="139"/>
      <c r="AJ195" s="139"/>
    </row>
    <row r="196">
      <c r="A196" s="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  <c r="AD196" s="139"/>
      <c r="AE196" s="139"/>
      <c r="AF196" s="139"/>
      <c r="AG196" s="139"/>
      <c r="AH196" s="139"/>
      <c r="AI196" s="139"/>
      <c r="AJ196" s="139"/>
    </row>
    <row r="197">
      <c r="A197" s="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  <c r="AD197" s="139"/>
      <c r="AE197" s="139"/>
      <c r="AF197" s="139"/>
      <c r="AG197" s="139"/>
      <c r="AH197" s="139"/>
      <c r="AI197" s="139"/>
      <c r="AJ197" s="139"/>
    </row>
    <row r="198">
      <c r="A198" s="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  <c r="AD198" s="139"/>
      <c r="AE198" s="139"/>
      <c r="AF198" s="139"/>
      <c r="AG198" s="139"/>
      <c r="AH198" s="139"/>
      <c r="AI198" s="139"/>
      <c r="AJ198" s="139"/>
    </row>
    <row r="199">
      <c r="A199" s="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  <c r="AD199" s="139"/>
      <c r="AE199" s="139"/>
      <c r="AF199" s="139"/>
      <c r="AG199" s="139"/>
      <c r="AH199" s="139"/>
      <c r="AI199" s="139"/>
      <c r="AJ199" s="139"/>
    </row>
    <row r="200">
      <c r="A200" s="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  <c r="AD200" s="139"/>
      <c r="AE200" s="139"/>
      <c r="AF200" s="139"/>
      <c r="AG200" s="139"/>
      <c r="AH200" s="139"/>
      <c r="AI200" s="139"/>
      <c r="AJ200" s="139"/>
    </row>
    <row r="201">
      <c r="A201" s="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  <c r="AD201" s="139"/>
      <c r="AE201" s="139"/>
      <c r="AF201" s="139"/>
      <c r="AG201" s="139"/>
      <c r="AH201" s="139"/>
      <c r="AI201" s="139"/>
      <c r="AJ201" s="139"/>
    </row>
    <row r="202">
      <c r="A202" s="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9"/>
      <c r="AF202" s="139"/>
      <c r="AG202" s="139"/>
      <c r="AH202" s="139"/>
      <c r="AI202" s="139"/>
      <c r="AJ202" s="139"/>
    </row>
    <row r="203">
      <c r="A203" s="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  <c r="AD203" s="139"/>
      <c r="AE203" s="139"/>
      <c r="AF203" s="139"/>
      <c r="AG203" s="139"/>
      <c r="AH203" s="139"/>
      <c r="AI203" s="139"/>
      <c r="AJ203" s="139"/>
    </row>
    <row r="204">
      <c r="A204" s="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9"/>
      <c r="AF204" s="139"/>
      <c r="AG204" s="139"/>
      <c r="AH204" s="139"/>
      <c r="AI204" s="139"/>
      <c r="AJ204" s="139"/>
    </row>
    <row r="205">
      <c r="A205" s="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9"/>
      <c r="AF205" s="139"/>
      <c r="AG205" s="139"/>
      <c r="AH205" s="139"/>
      <c r="AI205" s="139"/>
      <c r="AJ205" s="139"/>
    </row>
    <row r="206">
      <c r="A206" s="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9"/>
      <c r="AF206" s="139"/>
      <c r="AG206" s="139"/>
      <c r="AH206" s="139"/>
      <c r="AI206" s="139"/>
      <c r="AJ206" s="139"/>
    </row>
    <row r="207">
      <c r="A207" s="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9"/>
      <c r="AF207" s="139"/>
      <c r="AG207" s="139"/>
      <c r="AH207" s="139"/>
      <c r="AI207" s="139"/>
      <c r="AJ207" s="139"/>
    </row>
    <row r="208">
      <c r="A208" s="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9"/>
      <c r="AF208" s="139"/>
      <c r="AG208" s="139"/>
      <c r="AH208" s="139"/>
      <c r="AI208" s="139"/>
      <c r="AJ208" s="139"/>
    </row>
    <row r="209">
      <c r="A209" s="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9"/>
      <c r="AF209" s="139"/>
      <c r="AG209" s="139"/>
      <c r="AH209" s="139"/>
      <c r="AI209" s="139"/>
      <c r="AJ209" s="139"/>
    </row>
    <row r="210">
      <c r="A210" s="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9"/>
      <c r="AF210" s="139"/>
      <c r="AG210" s="139"/>
      <c r="AH210" s="139"/>
      <c r="AI210" s="139"/>
      <c r="AJ210" s="139"/>
    </row>
    <row r="211">
      <c r="A211" s="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  <c r="AG211" s="139"/>
      <c r="AH211" s="139"/>
      <c r="AI211" s="139"/>
      <c r="AJ211" s="139"/>
    </row>
    <row r="212">
      <c r="A212" s="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  <c r="AD212" s="139"/>
      <c r="AE212" s="139"/>
      <c r="AF212" s="139"/>
      <c r="AG212" s="139"/>
      <c r="AH212" s="139"/>
      <c r="AI212" s="139"/>
      <c r="AJ212" s="139"/>
    </row>
    <row r="213">
      <c r="A213" s="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  <c r="AD213" s="139"/>
      <c r="AE213" s="139"/>
      <c r="AF213" s="139"/>
      <c r="AG213" s="139"/>
      <c r="AH213" s="139"/>
      <c r="AI213" s="139"/>
      <c r="AJ213" s="139"/>
    </row>
    <row r="214">
      <c r="A214" s="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  <c r="AD214" s="139"/>
      <c r="AE214" s="139"/>
      <c r="AF214" s="139"/>
      <c r="AG214" s="139"/>
      <c r="AH214" s="139"/>
      <c r="AI214" s="139"/>
      <c r="AJ214" s="139"/>
    </row>
    <row r="215">
      <c r="A215" s="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  <c r="AD215" s="139"/>
      <c r="AE215" s="139"/>
      <c r="AF215" s="139"/>
      <c r="AG215" s="139"/>
      <c r="AH215" s="139"/>
      <c r="AI215" s="139"/>
      <c r="AJ215" s="139"/>
    </row>
    <row r="216">
      <c r="A216" s="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  <c r="AD216" s="139"/>
      <c r="AE216" s="139"/>
      <c r="AF216" s="139"/>
      <c r="AG216" s="139"/>
      <c r="AH216" s="139"/>
      <c r="AI216" s="139"/>
      <c r="AJ216" s="139"/>
    </row>
    <row r="217">
      <c r="A217" s="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  <c r="AD217" s="139"/>
      <c r="AE217" s="139"/>
      <c r="AF217" s="139"/>
      <c r="AG217" s="139"/>
      <c r="AH217" s="139"/>
      <c r="AI217" s="139"/>
      <c r="AJ217" s="139"/>
    </row>
    <row r="218">
      <c r="A218" s="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  <c r="AD218" s="139"/>
      <c r="AE218" s="139"/>
      <c r="AF218" s="139"/>
      <c r="AG218" s="139"/>
      <c r="AH218" s="139"/>
      <c r="AI218" s="139"/>
      <c r="AJ218" s="139"/>
    </row>
    <row r="219">
      <c r="A219" s="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  <c r="AF219" s="139"/>
      <c r="AG219" s="139"/>
      <c r="AH219" s="139"/>
      <c r="AI219" s="139"/>
      <c r="AJ219" s="139"/>
    </row>
    <row r="220">
      <c r="A220" s="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  <c r="AD220" s="139"/>
      <c r="AE220" s="139"/>
      <c r="AF220" s="139"/>
      <c r="AG220" s="139"/>
      <c r="AH220" s="139"/>
      <c r="AI220" s="139"/>
      <c r="AJ220" s="139"/>
    </row>
    <row r="221">
      <c r="A221" s="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  <c r="AD221" s="139"/>
      <c r="AE221" s="139"/>
      <c r="AF221" s="139"/>
      <c r="AG221" s="139"/>
      <c r="AH221" s="139"/>
      <c r="AI221" s="139"/>
      <c r="AJ221" s="139"/>
    </row>
    <row r="222">
      <c r="A222" s="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  <c r="AD222" s="139"/>
      <c r="AE222" s="139"/>
      <c r="AF222" s="139"/>
      <c r="AG222" s="139"/>
      <c r="AH222" s="139"/>
      <c r="AI222" s="139"/>
      <c r="AJ222" s="139"/>
    </row>
    <row r="223">
      <c r="A223" s="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  <c r="AD223" s="139"/>
      <c r="AE223" s="139"/>
      <c r="AF223" s="139"/>
      <c r="AG223" s="139"/>
      <c r="AH223" s="139"/>
      <c r="AI223" s="139"/>
      <c r="AJ223" s="139"/>
    </row>
    <row r="224">
      <c r="A224" s="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  <c r="AD224" s="139"/>
      <c r="AE224" s="139"/>
      <c r="AF224" s="139"/>
      <c r="AG224" s="139"/>
      <c r="AH224" s="139"/>
      <c r="AI224" s="139"/>
      <c r="AJ224" s="139"/>
    </row>
    <row r="225">
      <c r="A225" s="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39"/>
      <c r="AH225" s="139"/>
      <c r="AI225" s="139"/>
      <c r="AJ225" s="139"/>
    </row>
    <row r="226">
      <c r="A226" s="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  <c r="AD226" s="139"/>
      <c r="AE226" s="139"/>
      <c r="AF226" s="139"/>
      <c r="AG226" s="139"/>
      <c r="AH226" s="139"/>
      <c r="AI226" s="139"/>
      <c r="AJ226" s="139"/>
    </row>
    <row r="227">
      <c r="A227" s="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  <c r="AD227" s="139"/>
      <c r="AE227" s="139"/>
      <c r="AF227" s="139"/>
      <c r="AG227" s="139"/>
      <c r="AH227" s="139"/>
      <c r="AI227" s="139"/>
      <c r="AJ227" s="139"/>
    </row>
    <row r="228">
      <c r="A228" s="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  <c r="AG228" s="139"/>
      <c r="AH228" s="139"/>
      <c r="AI228" s="139"/>
      <c r="AJ228" s="139"/>
    </row>
    <row r="229">
      <c r="A229" s="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  <c r="AD229" s="139"/>
      <c r="AE229" s="139"/>
      <c r="AF229" s="139"/>
      <c r="AG229" s="139"/>
      <c r="AH229" s="139"/>
      <c r="AI229" s="139"/>
      <c r="AJ229" s="139"/>
    </row>
    <row r="230">
      <c r="A230" s="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  <c r="AD230" s="139"/>
      <c r="AE230" s="139"/>
      <c r="AF230" s="139"/>
      <c r="AG230" s="139"/>
      <c r="AH230" s="139"/>
      <c r="AI230" s="139"/>
      <c r="AJ230" s="139"/>
    </row>
    <row r="231">
      <c r="A231" s="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  <c r="AD231" s="139"/>
      <c r="AE231" s="139"/>
      <c r="AF231" s="139"/>
      <c r="AG231" s="139"/>
      <c r="AH231" s="139"/>
      <c r="AI231" s="139"/>
      <c r="AJ231" s="139"/>
    </row>
    <row r="232">
      <c r="A232" s="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  <c r="AD232" s="139"/>
      <c r="AE232" s="139"/>
      <c r="AF232" s="139"/>
      <c r="AG232" s="139"/>
      <c r="AH232" s="139"/>
      <c r="AI232" s="139"/>
      <c r="AJ232" s="139"/>
    </row>
    <row r="233">
      <c r="A233" s="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  <c r="AD233" s="139"/>
      <c r="AE233" s="139"/>
      <c r="AF233" s="139"/>
      <c r="AG233" s="139"/>
      <c r="AH233" s="139"/>
      <c r="AI233" s="139"/>
      <c r="AJ233" s="139"/>
    </row>
    <row r="234">
      <c r="A234" s="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  <c r="AD234" s="139"/>
      <c r="AE234" s="139"/>
      <c r="AF234" s="139"/>
      <c r="AG234" s="139"/>
      <c r="AH234" s="139"/>
      <c r="AI234" s="139"/>
      <c r="AJ234" s="139"/>
    </row>
    <row r="235">
      <c r="A235" s="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  <c r="AD235" s="139"/>
      <c r="AE235" s="139"/>
      <c r="AF235" s="139"/>
      <c r="AG235" s="139"/>
      <c r="AH235" s="139"/>
      <c r="AI235" s="139"/>
      <c r="AJ235" s="139"/>
    </row>
    <row r="236">
      <c r="A236" s="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  <c r="AD236" s="139"/>
      <c r="AE236" s="139"/>
      <c r="AF236" s="139"/>
      <c r="AG236" s="139"/>
      <c r="AH236" s="139"/>
      <c r="AI236" s="139"/>
      <c r="AJ236" s="139"/>
    </row>
    <row r="237">
      <c r="A237" s="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  <c r="AD237" s="139"/>
      <c r="AE237" s="139"/>
      <c r="AF237" s="139"/>
      <c r="AG237" s="139"/>
      <c r="AH237" s="139"/>
      <c r="AI237" s="139"/>
      <c r="AJ237" s="139"/>
    </row>
    <row r="238">
      <c r="A238" s="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  <c r="AD238" s="139"/>
      <c r="AE238" s="139"/>
      <c r="AF238" s="139"/>
      <c r="AG238" s="139"/>
      <c r="AH238" s="139"/>
      <c r="AI238" s="139"/>
      <c r="AJ238" s="139"/>
    </row>
    <row r="239">
      <c r="A239" s="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  <c r="AD239" s="139"/>
      <c r="AE239" s="139"/>
      <c r="AF239" s="139"/>
      <c r="AG239" s="139"/>
      <c r="AH239" s="139"/>
      <c r="AI239" s="139"/>
      <c r="AJ239" s="139"/>
    </row>
    <row r="240">
      <c r="A240" s="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  <c r="AD240" s="139"/>
      <c r="AE240" s="139"/>
      <c r="AF240" s="139"/>
      <c r="AG240" s="139"/>
      <c r="AH240" s="139"/>
      <c r="AI240" s="139"/>
      <c r="AJ240" s="139"/>
    </row>
    <row r="241">
      <c r="A241" s="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  <c r="AD241" s="139"/>
      <c r="AE241" s="139"/>
      <c r="AF241" s="139"/>
      <c r="AG241" s="139"/>
      <c r="AH241" s="139"/>
      <c r="AI241" s="139"/>
      <c r="AJ241" s="139"/>
    </row>
    <row r="242">
      <c r="A242" s="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  <c r="AD242" s="139"/>
      <c r="AE242" s="139"/>
      <c r="AF242" s="139"/>
      <c r="AG242" s="139"/>
      <c r="AH242" s="139"/>
      <c r="AI242" s="139"/>
      <c r="AJ242" s="139"/>
    </row>
    <row r="243">
      <c r="A243" s="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  <c r="AD243" s="139"/>
      <c r="AE243" s="139"/>
      <c r="AF243" s="139"/>
      <c r="AG243" s="139"/>
      <c r="AH243" s="139"/>
      <c r="AI243" s="139"/>
      <c r="AJ243" s="139"/>
    </row>
    <row r="244">
      <c r="A244" s="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  <c r="AD244" s="139"/>
      <c r="AE244" s="139"/>
      <c r="AF244" s="139"/>
      <c r="AG244" s="139"/>
      <c r="AH244" s="139"/>
      <c r="AI244" s="139"/>
      <c r="AJ244" s="139"/>
    </row>
    <row r="245">
      <c r="A245" s="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  <c r="AD245" s="139"/>
      <c r="AE245" s="139"/>
      <c r="AF245" s="139"/>
      <c r="AG245" s="139"/>
      <c r="AH245" s="139"/>
      <c r="AI245" s="139"/>
      <c r="AJ245" s="139"/>
    </row>
    <row r="246">
      <c r="A246" s="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  <c r="AD246" s="139"/>
      <c r="AE246" s="139"/>
      <c r="AF246" s="139"/>
      <c r="AG246" s="139"/>
      <c r="AH246" s="139"/>
      <c r="AI246" s="139"/>
      <c r="AJ246" s="139"/>
    </row>
    <row r="247">
      <c r="A247" s="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  <c r="AD247" s="139"/>
      <c r="AE247" s="139"/>
      <c r="AF247" s="139"/>
      <c r="AG247" s="139"/>
      <c r="AH247" s="139"/>
      <c r="AI247" s="139"/>
      <c r="AJ247" s="139"/>
    </row>
    <row r="248">
      <c r="A248" s="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  <c r="AD248" s="139"/>
      <c r="AE248" s="139"/>
      <c r="AF248" s="139"/>
      <c r="AG248" s="139"/>
      <c r="AH248" s="139"/>
      <c r="AI248" s="139"/>
      <c r="AJ248" s="139"/>
    </row>
    <row r="249">
      <c r="A249" s="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  <c r="AD249" s="139"/>
      <c r="AE249" s="139"/>
      <c r="AF249" s="139"/>
      <c r="AG249" s="139"/>
      <c r="AH249" s="139"/>
      <c r="AI249" s="139"/>
      <c r="AJ249" s="139"/>
    </row>
    <row r="250">
      <c r="A250" s="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  <c r="AD250" s="139"/>
      <c r="AE250" s="139"/>
      <c r="AF250" s="139"/>
      <c r="AG250" s="139"/>
      <c r="AH250" s="139"/>
      <c r="AI250" s="139"/>
      <c r="AJ250" s="139"/>
    </row>
    <row r="251">
      <c r="A251" s="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  <c r="AD251" s="139"/>
      <c r="AE251" s="139"/>
      <c r="AF251" s="139"/>
      <c r="AG251" s="139"/>
      <c r="AH251" s="139"/>
      <c r="AI251" s="139"/>
      <c r="AJ251" s="139"/>
    </row>
    <row r="252">
      <c r="A252" s="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  <c r="AD252" s="139"/>
      <c r="AE252" s="139"/>
      <c r="AF252" s="139"/>
      <c r="AG252" s="139"/>
      <c r="AH252" s="139"/>
      <c r="AI252" s="139"/>
      <c r="AJ252" s="139"/>
    </row>
    <row r="253">
      <c r="A253" s="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  <c r="AD253" s="139"/>
      <c r="AE253" s="139"/>
      <c r="AF253" s="139"/>
      <c r="AG253" s="139"/>
      <c r="AH253" s="139"/>
      <c r="AI253" s="139"/>
      <c r="AJ253" s="139"/>
    </row>
    <row r="254">
      <c r="A254" s="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  <c r="AD254" s="139"/>
      <c r="AE254" s="139"/>
      <c r="AF254" s="139"/>
      <c r="AG254" s="139"/>
      <c r="AH254" s="139"/>
      <c r="AI254" s="139"/>
      <c r="AJ254" s="139"/>
    </row>
    <row r="255">
      <c r="A255" s="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  <c r="AD255" s="139"/>
      <c r="AE255" s="139"/>
      <c r="AF255" s="139"/>
      <c r="AG255" s="139"/>
      <c r="AH255" s="139"/>
      <c r="AI255" s="139"/>
      <c r="AJ255" s="139"/>
    </row>
    <row r="256">
      <c r="A256" s="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  <c r="AD256" s="139"/>
      <c r="AE256" s="139"/>
      <c r="AF256" s="139"/>
      <c r="AG256" s="139"/>
      <c r="AH256" s="139"/>
      <c r="AI256" s="139"/>
      <c r="AJ256" s="139"/>
    </row>
    <row r="257">
      <c r="A257" s="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  <c r="AD257" s="139"/>
      <c r="AE257" s="139"/>
      <c r="AF257" s="139"/>
      <c r="AG257" s="139"/>
      <c r="AH257" s="139"/>
      <c r="AI257" s="139"/>
      <c r="AJ257" s="139"/>
    </row>
    <row r="258">
      <c r="A258" s="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  <c r="AD258" s="139"/>
      <c r="AE258" s="139"/>
      <c r="AF258" s="139"/>
      <c r="AG258" s="139"/>
      <c r="AH258" s="139"/>
      <c r="AI258" s="139"/>
      <c r="AJ258" s="139"/>
    </row>
    <row r="259">
      <c r="A259" s="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  <c r="AD259" s="139"/>
      <c r="AE259" s="139"/>
      <c r="AF259" s="139"/>
      <c r="AG259" s="139"/>
      <c r="AH259" s="139"/>
      <c r="AI259" s="139"/>
      <c r="AJ259" s="139"/>
    </row>
    <row r="260">
      <c r="A260" s="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  <c r="AD260" s="139"/>
      <c r="AE260" s="139"/>
      <c r="AF260" s="139"/>
      <c r="AG260" s="139"/>
      <c r="AH260" s="139"/>
      <c r="AI260" s="139"/>
      <c r="AJ260" s="139"/>
    </row>
    <row r="261">
      <c r="A261" s="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  <c r="AD261" s="139"/>
      <c r="AE261" s="139"/>
      <c r="AF261" s="139"/>
      <c r="AG261" s="139"/>
      <c r="AH261" s="139"/>
      <c r="AI261" s="139"/>
      <c r="AJ261" s="139"/>
    </row>
    <row r="262">
      <c r="A262" s="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  <c r="AD262" s="139"/>
      <c r="AE262" s="139"/>
      <c r="AF262" s="139"/>
      <c r="AG262" s="139"/>
      <c r="AH262" s="139"/>
      <c r="AI262" s="139"/>
      <c r="AJ262" s="139"/>
    </row>
    <row r="263">
      <c r="A263" s="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  <c r="AD263" s="139"/>
      <c r="AE263" s="139"/>
      <c r="AF263" s="139"/>
      <c r="AG263" s="139"/>
      <c r="AH263" s="139"/>
      <c r="AI263" s="139"/>
      <c r="AJ263" s="139"/>
    </row>
    <row r="264">
      <c r="A264" s="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  <c r="AD264" s="139"/>
      <c r="AE264" s="139"/>
      <c r="AF264" s="139"/>
      <c r="AG264" s="139"/>
      <c r="AH264" s="139"/>
      <c r="AI264" s="139"/>
      <c r="AJ264" s="139"/>
    </row>
    <row r="265">
      <c r="A265" s="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  <c r="AA265" s="139"/>
      <c r="AB265" s="139"/>
      <c r="AC265" s="139"/>
      <c r="AD265" s="139"/>
      <c r="AE265" s="139"/>
      <c r="AF265" s="139"/>
      <c r="AG265" s="139"/>
      <c r="AH265" s="139"/>
      <c r="AI265" s="139"/>
      <c r="AJ265" s="139"/>
    </row>
    <row r="266">
      <c r="A266" s="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  <c r="AA266" s="139"/>
      <c r="AB266" s="139"/>
      <c r="AC266" s="139"/>
      <c r="AD266" s="139"/>
      <c r="AE266" s="139"/>
      <c r="AF266" s="139"/>
      <c r="AG266" s="139"/>
      <c r="AH266" s="139"/>
      <c r="AI266" s="139"/>
      <c r="AJ266" s="139"/>
    </row>
    <row r="267">
      <c r="A267" s="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  <c r="AA267" s="139"/>
      <c r="AB267" s="139"/>
      <c r="AC267" s="139"/>
      <c r="AD267" s="139"/>
      <c r="AE267" s="139"/>
      <c r="AF267" s="139"/>
      <c r="AG267" s="139"/>
      <c r="AH267" s="139"/>
      <c r="AI267" s="139"/>
      <c r="AJ267" s="139"/>
    </row>
    <row r="268">
      <c r="A268" s="9"/>
      <c r="B268" s="139"/>
      <c r="C268" s="139"/>
      <c r="D268" s="139"/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  <c r="AA268" s="139"/>
      <c r="AB268" s="139"/>
      <c r="AC268" s="139"/>
      <c r="AD268" s="139"/>
      <c r="AE268" s="139"/>
      <c r="AF268" s="139"/>
      <c r="AG268" s="139"/>
      <c r="AH268" s="139"/>
      <c r="AI268" s="139"/>
      <c r="AJ268" s="139"/>
    </row>
    <row r="269">
      <c r="A269" s="9"/>
      <c r="B269" s="139"/>
      <c r="C269" s="139"/>
      <c r="D269" s="139"/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  <c r="AA269" s="139"/>
      <c r="AB269" s="139"/>
      <c r="AC269" s="139"/>
      <c r="AD269" s="139"/>
      <c r="AE269" s="139"/>
      <c r="AF269" s="139"/>
      <c r="AG269" s="139"/>
      <c r="AH269" s="139"/>
      <c r="AI269" s="139"/>
      <c r="AJ269" s="139"/>
    </row>
    <row r="270">
      <c r="A270" s="9"/>
      <c r="B270" s="139"/>
      <c r="C270" s="139"/>
      <c r="D270" s="139"/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  <c r="AA270" s="139"/>
      <c r="AB270" s="139"/>
      <c r="AC270" s="139"/>
      <c r="AD270" s="139"/>
      <c r="AE270" s="139"/>
      <c r="AF270" s="139"/>
      <c r="AG270" s="139"/>
      <c r="AH270" s="139"/>
      <c r="AI270" s="139"/>
      <c r="AJ270" s="139"/>
    </row>
    <row r="271">
      <c r="A271" s="9"/>
      <c r="B271" s="139"/>
      <c r="C271" s="139"/>
      <c r="D271" s="139"/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  <c r="AA271" s="139"/>
      <c r="AB271" s="139"/>
      <c r="AC271" s="139"/>
      <c r="AD271" s="139"/>
      <c r="AE271" s="139"/>
      <c r="AF271" s="139"/>
      <c r="AG271" s="139"/>
      <c r="AH271" s="139"/>
      <c r="AI271" s="139"/>
      <c r="AJ271" s="139"/>
    </row>
    <row r="272">
      <c r="A272" s="9"/>
      <c r="B272" s="139"/>
      <c r="C272" s="139"/>
      <c r="D272" s="139"/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  <c r="AA272" s="139"/>
      <c r="AB272" s="139"/>
      <c r="AC272" s="139"/>
      <c r="AD272" s="139"/>
      <c r="AE272" s="139"/>
      <c r="AF272" s="139"/>
      <c r="AG272" s="139"/>
      <c r="AH272" s="139"/>
      <c r="AI272" s="139"/>
      <c r="AJ272" s="139"/>
    </row>
    <row r="273">
      <c r="A273" s="9"/>
      <c r="B273" s="139"/>
      <c r="C273" s="139"/>
      <c r="D273" s="139"/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  <c r="AA273" s="139"/>
      <c r="AB273" s="139"/>
      <c r="AC273" s="139"/>
      <c r="AD273" s="139"/>
      <c r="AE273" s="139"/>
      <c r="AF273" s="139"/>
      <c r="AG273" s="139"/>
      <c r="AH273" s="139"/>
      <c r="AI273" s="139"/>
      <c r="AJ273" s="139"/>
    </row>
    <row r="274">
      <c r="A274" s="9"/>
      <c r="B274" s="139"/>
      <c r="C274" s="139"/>
      <c r="D274" s="139"/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  <c r="AA274" s="139"/>
      <c r="AB274" s="139"/>
      <c r="AC274" s="139"/>
      <c r="AD274" s="139"/>
      <c r="AE274" s="139"/>
      <c r="AF274" s="139"/>
      <c r="AG274" s="139"/>
      <c r="AH274" s="139"/>
      <c r="AI274" s="139"/>
      <c r="AJ274" s="139"/>
    </row>
    <row r="275">
      <c r="A275" s="9"/>
      <c r="B275" s="139"/>
      <c r="C275" s="139"/>
      <c r="D275" s="139"/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  <c r="AA275" s="139"/>
      <c r="AB275" s="139"/>
      <c r="AC275" s="139"/>
      <c r="AD275" s="139"/>
      <c r="AE275" s="139"/>
      <c r="AF275" s="139"/>
      <c r="AG275" s="139"/>
      <c r="AH275" s="139"/>
      <c r="AI275" s="139"/>
      <c r="AJ275" s="139"/>
    </row>
    <row r="276">
      <c r="A276" s="9"/>
      <c r="B276" s="139"/>
      <c r="C276" s="139"/>
      <c r="D276" s="139"/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  <c r="AA276" s="139"/>
      <c r="AB276" s="139"/>
      <c r="AC276" s="139"/>
      <c r="AD276" s="139"/>
      <c r="AE276" s="139"/>
      <c r="AF276" s="139"/>
      <c r="AG276" s="139"/>
      <c r="AH276" s="139"/>
      <c r="AI276" s="139"/>
      <c r="AJ276" s="139"/>
    </row>
    <row r="277">
      <c r="A277" s="9"/>
      <c r="B277" s="139"/>
      <c r="C277" s="139"/>
      <c r="D277" s="139"/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  <c r="AA277" s="139"/>
      <c r="AB277" s="139"/>
      <c r="AC277" s="139"/>
      <c r="AD277" s="139"/>
      <c r="AE277" s="139"/>
      <c r="AF277" s="139"/>
      <c r="AG277" s="139"/>
      <c r="AH277" s="139"/>
      <c r="AI277" s="139"/>
      <c r="AJ277" s="139"/>
    </row>
    <row r="278">
      <c r="A278" s="9"/>
      <c r="B278" s="139"/>
      <c r="C278" s="139"/>
      <c r="D278" s="139"/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  <c r="AA278" s="139"/>
      <c r="AB278" s="139"/>
      <c r="AC278" s="139"/>
      <c r="AD278" s="139"/>
      <c r="AE278" s="139"/>
      <c r="AF278" s="139"/>
      <c r="AG278" s="139"/>
      <c r="AH278" s="139"/>
      <c r="AI278" s="139"/>
      <c r="AJ278" s="139"/>
    </row>
    <row r="279">
      <c r="A279" s="9"/>
      <c r="B279" s="139"/>
      <c r="C279" s="139"/>
      <c r="D279" s="139"/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  <c r="AA279" s="139"/>
      <c r="AB279" s="139"/>
      <c r="AC279" s="139"/>
      <c r="AD279" s="139"/>
      <c r="AE279" s="139"/>
      <c r="AF279" s="139"/>
      <c r="AG279" s="139"/>
      <c r="AH279" s="139"/>
      <c r="AI279" s="139"/>
      <c r="AJ279" s="139"/>
    </row>
    <row r="280">
      <c r="A280" s="9"/>
      <c r="B280" s="139"/>
      <c r="C280" s="139"/>
      <c r="D280" s="139"/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  <c r="AA280" s="139"/>
      <c r="AB280" s="139"/>
      <c r="AC280" s="139"/>
      <c r="AD280" s="139"/>
      <c r="AE280" s="139"/>
      <c r="AF280" s="139"/>
      <c r="AG280" s="139"/>
      <c r="AH280" s="139"/>
      <c r="AI280" s="139"/>
      <c r="AJ280" s="139"/>
    </row>
    <row r="281">
      <c r="A281" s="9"/>
      <c r="B281" s="139"/>
      <c r="C281" s="139"/>
      <c r="D281" s="139"/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  <c r="AA281" s="139"/>
      <c r="AB281" s="139"/>
      <c r="AC281" s="139"/>
      <c r="AD281" s="139"/>
      <c r="AE281" s="139"/>
      <c r="AF281" s="139"/>
      <c r="AG281" s="139"/>
      <c r="AH281" s="139"/>
      <c r="AI281" s="139"/>
      <c r="AJ281" s="139"/>
    </row>
    <row r="282">
      <c r="A282" s="9"/>
      <c r="B282" s="139"/>
      <c r="C282" s="139"/>
      <c r="D282" s="139"/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  <c r="AA282" s="139"/>
      <c r="AB282" s="139"/>
      <c r="AC282" s="139"/>
      <c r="AD282" s="139"/>
      <c r="AE282" s="139"/>
      <c r="AF282" s="139"/>
      <c r="AG282" s="139"/>
      <c r="AH282" s="139"/>
      <c r="AI282" s="139"/>
      <c r="AJ282" s="139"/>
    </row>
    <row r="283">
      <c r="A283" s="9"/>
      <c r="B283" s="139"/>
      <c r="C283" s="139"/>
      <c r="D283" s="139"/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  <c r="AA283" s="139"/>
      <c r="AB283" s="139"/>
      <c r="AC283" s="139"/>
      <c r="AD283" s="139"/>
      <c r="AE283" s="139"/>
      <c r="AF283" s="139"/>
      <c r="AG283" s="139"/>
      <c r="AH283" s="139"/>
      <c r="AI283" s="139"/>
      <c r="AJ283" s="139"/>
    </row>
    <row r="284">
      <c r="A284" s="9"/>
      <c r="B284" s="139"/>
      <c r="C284" s="139"/>
      <c r="D284" s="139"/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  <c r="AA284" s="139"/>
      <c r="AB284" s="139"/>
      <c r="AC284" s="139"/>
      <c r="AD284" s="139"/>
      <c r="AE284" s="139"/>
      <c r="AF284" s="139"/>
      <c r="AG284" s="139"/>
      <c r="AH284" s="139"/>
      <c r="AI284" s="139"/>
      <c r="AJ284" s="139"/>
    </row>
    <row r="285">
      <c r="A285" s="9"/>
      <c r="B285" s="139"/>
      <c r="C285" s="139"/>
      <c r="D285" s="139"/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  <c r="AA285" s="139"/>
      <c r="AB285" s="139"/>
      <c r="AC285" s="139"/>
      <c r="AD285" s="139"/>
      <c r="AE285" s="139"/>
      <c r="AF285" s="139"/>
      <c r="AG285" s="139"/>
      <c r="AH285" s="139"/>
      <c r="AI285" s="139"/>
      <c r="AJ285" s="139"/>
    </row>
    <row r="286">
      <c r="A286" s="9"/>
      <c r="B286" s="139"/>
      <c r="C286" s="139"/>
      <c r="D286" s="139"/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  <c r="AA286" s="139"/>
      <c r="AB286" s="139"/>
      <c r="AC286" s="139"/>
      <c r="AD286" s="139"/>
      <c r="AE286" s="139"/>
      <c r="AF286" s="139"/>
      <c r="AG286" s="139"/>
      <c r="AH286" s="139"/>
      <c r="AI286" s="139"/>
      <c r="AJ286" s="139"/>
    </row>
    <row r="287">
      <c r="A287" s="9"/>
      <c r="B287" s="139"/>
      <c r="C287" s="139"/>
      <c r="D287" s="139"/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  <c r="AA287" s="139"/>
      <c r="AB287" s="139"/>
      <c r="AC287" s="139"/>
      <c r="AD287" s="139"/>
      <c r="AE287" s="139"/>
      <c r="AF287" s="139"/>
      <c r="AG287" s="139"/>
      <c r="AH287" s="139"/>
      <c r="AI287" s="139"/>
      <c r="AJ287" s="139"/>
    </row>
    <row r="288">
      <c r="A288" s="9"/>
      <c r="B288" s="139"/>
      <c r="C288" s="139"/>
      <c r="D288" s="139"/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  <c r="AA288" s="139"/>
      <c r="AB288" s="139"/>
      <c r="AC288" s="139"/>
      <c r="AD288" s="139"/>
      <c r="AE288" s="139"/>
      <c r="AF288" s="139"/>
      <c r="AG288" s="139"/>
      <c r="AH288" s="139"/>
      <c r="AI288" s="139"/>
      <c r="AJ288" s="139"/>
    </row>
    <row r="289">
      <c r="A289" s="9"/>
      <c r="B289" s="139"/>
      <c r="C289" s="139"/>
      <c r="D289" s="139"/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  <c r="AA289" s="139"/>
      <c r="AB289" s="139"/>
      <c r="AC289" s="139"/>
      <c r="AD289" s="139"/>
      <c r="AE289" s="139"/>
      <c r="AF289" s="139"/>
      <c r="AG289" s="139"/>
      <c r="AH289" s="139"/>
      <c r="AI289" s="139"/>
      <c r="AJ289" s="139"/>
    </row>
    <row r="290">
      <c r="A290" s="9"/>
      <c r="B290" s="139"/>
      <c r="C290" s="139"/>
      <c r="D290" s="139"/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  <c r="AA290" s="139"/>
      <c r="AB290" s="139"/>
      <c r="AC290" s="139"/>
      <c r="AD290" s="139"/>
      <c r="AE290" s="139"/>
      <c r="AF290" s="139"/>
      <c r="AG290" s="139"/>
      <c r="AH290" s="139"/>
      <c r="AI290" s="139"/>
      <c r="AJ290" s="139"/>
    </row>
    <row r="291">
      <c r="A291" s="9"/>
      <c r="B291" s="139"/>
      <c r="C291" s="139"/>
      <c r="D291" s="139"/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  <c r="AA291" s="139"/>
      <c r="AB291" s="139"/>
      <c r="AC291" s="139"/>
      <c r="AD291" s="139"/>
      <c r="AE291" s="139"/>
      <c r="AF291" s="139"/>
      <c r="AG291" s="139"/>
      <c r="AH291" s="139"/>
      <c r="AI291" s="139"/>
      <c r="AJ291" s="139"/>
    </row>
    <row r="292">
      <c r="A292" s="9"/>
      <c r="B292" s="139"/>
      <c r="C292" s="139"/>
      <c r="D292" s="139"/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  <c r="AA292" s="139"/>
      <c r="AB292" s="139"/>
      <c r="AC292" s="139"/>
      <c r="AD292" s="139"/>
      <c r="AE292" s="139"/>
      <c r="AF292" s="139"/>
      <c r="AG292" s="139"/>
      <c r="AH292" s="139"/>
      <c r="AI292" s="139"/>
      <c r="AJ292" s="139"/>
    </row>
    <row r="293">
      <c r="A293" s="9"/>
      <c r="B293" s="139"/>
      <c r="C293" s="139"/>
      <c r="D293" s="139"/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  <c r="AA293" s="139"/>
      <c r="AB293" s="139"/>
      <c r="AC293" s="139"/>
      <c r="AD293" s="139"/>
      <c r="AE293" s="139"/>
      <c r="AF293" s="139"/>
      <c r="AG293" s="139"/>
      <c r="AH293" s="139"/>
      <c r="AI293" s="139"/>
      <c r="AJ293" s="139"/>
    </row>
    <row r="294">
      <c r="A294" s="9"/>
      <c r="B294" s="139"/>
      <c r="C294" s="139"/>
      <c r="D294" s="139"/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  <c r="AA294" s="139"/>
      <c r="AB294" s="139"/>
      <c r="AC294" s="139"/>
      <c r="AD294" s="139"/>
      <c r="AE294" s="139"/>
      <c r="AF294" s="139"/>
      <c r="AG294" s="139"/>
      <c r="AH294" s="139"/>
      <c r="AI294" s="139"/>
      <c r="AJ294" s="139"/>
    </row>
    <row r="295">
      <c r="A295" s="9"/>
      <c r="B295" s="139"/>
      <c r="C295" s="139"/>
      <c r="D295" s="139"/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  <c r="AA295" s="139"/>
      <c r="AB295" s="139"/>
      <c r="AC295" s="139"/>
      <c r="AD295" s="139"/>
      <c r="AE295" s="139"/>
      <c r="AF295" s="139"/>
      <c r="AG295" s="139"/>
      <c r="AH295" s="139"/>
      <c r="AI295" s="139"/>
      <c r="AJ295" s="139"/>
    </row>
    <row r="296">
      <c r="A296" s="9"/>
      <c r="B296" s="139"/>
      <c r="C296" s="139"/>
      <c r="D296" s="139"/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  <c r="AA296" s="139"/>
      <c r="AB296" s="139"/>
      <c r="AC296" s="139"/>
      <c r="AD296" s="139"/>
      <c r="AE296" s="139"/>
      <c r="AF296" s="139"/>
      <c r="AG296" s="139"/>
      <c r="AH296" s="139"/>
      <c r="AI296" s="139"/>
      <c r="AJ296" s="139"/>
    </row>
    <row r="297">
      <c r="A297" s="9"/>
      <c r="B297" s="139"/>
      <c r="C297" s="139"/>
      <c r="D297" s="139"/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  <c r="AA297" s="139"/>
      <c r="AB297" s="139"/>
      <c r="AC297" s="139"/>
      <c r="AD297" s="139"/>
      <c r="AE297" s="139"/>
      <c r="AF297" s="139"/>
      <c r="AG297" s="139"/>
      <c r="AH297" s="139"/>
      <c r="AI297" s="139"/>
      <c r="AJ297" s="139"/>
    </row>
    <row r="298">
      <c r="A298" s="9"/>
      <c r="B298" s="139"/>
      <c r="C298" s="139"/>
      <c r="D298" s="139"/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  <c r="AA298" s="139"/>
      <c r="AB298" s="139"/>
      <c r="AC298" s="139"/>
      <c r="AD298" s="139"/>
      <c r="AE298" s="139"/>
      <c r="AF298" s="139"/>
      <c r="AG298" s="139"/>
      <c r="AH298" s="139"/>
      <c r="AI298" s="139"/>
      <c r="AJ298" s="139"/>
    </row>
    <row r="299">
      <c r="A299" s="9"/>
      <c r="B299" s="139"/>
      <c r="C299" s="139"/>
      <c r="D299" s="139"/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  <c r="AA299" s="139"/>
      <c r="AB299" s="139"/>
      <c r="AC299" s="139"/>
      <c r="AD299" s="139"/>
      <c r="AE299" s="139"/>
      <c r="AF299" s="139"/>
      <c r="AG299" s="139"/>
      <c r="AH299" s="139"/>
      <c r="AI299" s="139"/>
      <c r="AJ299" s="139"/>
    </row>
    <row r="300">
      <c r="A300" s="9"/>
      <c r="B300" s="139"/>
      <c r="C300" s="139"/>
      <c r="D300" s="139"/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  <c r="AA300" s="139"/>
      <c r="AB300" s="139"/>
      <c r="AC300" s="139"/>
      <c r="AD300" s="139"/>
      <c r="AE300" s="139"/>
      <c r="AF300" s="139"/>
      <c r="AG300" s="139"/>
      <c r="AH300" s="139"/>
      <c r="AI300" s="139"/>
      <c r="AJ300" s="139"/>
    </row>
    <row r="301">
      <c r="A301" s="9"/>
      <c r="B301" s="139"/>
      <c r="C301" s="139"/>
      <c r="D301" s="139"/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  <c r="AA301" s="139"/>
      <c r="AB301" s="139"/>
      <c r="AC301" s="139"/>
      <c r="AD301" s="139"/>
      <c r="AE301" s="139"/>
      <c r="AF301" s="139"/>
      <c r="AG301" s="139"/>
      <c r="AH301" s="139"/>
      <c r="AI301" s="139"/>
      <c r="AJ301" s="139"/>
    </row>
    <row r="302">
      <c r="A302" s="9"/>
      <c r="B302" s="139"/>
      <c r="C302" s="139"/>
      <c r="D302" s="139"/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  <c r="AA302" s="139"/>
      <c r="AB302" s="139"/>
      <c r="AC302" s="139"/>
      <c r="AD302" s="139"/>
      <c r="AE302" s="139"/>
      <c r="AF302" s="139"/>
      <c r="AG302" s="139"/>
      <c r="AH302" s="139"/>
      <c r="AI302" s="139"/>
      <c r="AJ302" s="139"/>
    </row>
    <row r="303">
      <c r="A303" s="9"/>
      <c r="B303" s="139"/>
      <c r="C303" s="139"/>
      <c r="D303" s="139"/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  <c r="AA303" s="139"/>
      <c r="AB303" s="139"/>
      <c r="AC303" s="139"/>
      <c r="AD303" s="139"/>
      <c r="AE303" s="139"/>
      <c r="AF303" s="139"/>
      <c r="AG303" s="139"/>
      <c r="AH303" s="139"/>
      <c r="AI303" s="139"/>
      <c r="AJ303" s="139"/>
    </row>
    <row r="304">
      <c r="A304" s="9"/>
      <c r="B304" s="139"/>
      <c r="C304" s="139"/>
      <c r="D304" s="139"/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  <c r="AA304" s="139"/>
      <c r="AB304" s="139"/>
      <c r="AC304" s="139"/>
      <c r="AD304" s="139"/>
      <c r="AE304" s="139"/>
      <c r="AF304" s="139"/>
      <c r="AG304" s="139"/>
      <c r="AH304" s="139"/>
      <c r="AI304" s="139"/>
      <c r="AJ304" s="139"/>
    </row>
    <row r="305">
      <c r="A305" s="9"/>
      <c r="B305" s="139"/>
      <c r="C305" s="139"/>
      <c r="D305" s="139"/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  <c r="AA305" s="139"/>
      <c r="AB305" s="139"/>
      <c r="AC305" s="139"/>
      <c r="AD305" s="139"/>
      <c r="AE305" s="139"/>
      <c r="AF305" s="139"/>
      <c r="AG305" s="139"/>
      <c r="AH305" s="139"/>
      <c r="AI305" s="139"/>
      <c r="AJ305" s="139"/>
    </row>
    <row r="306">
      <c r="A306" s="9"/>
      <c r="B306" s="139"/>
      <c r="C306" s="139"/>
      <c r="D306" s="139"/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  <c r="AA306" s="139"/>
      <c r="AB306" s="139"/>
      <c r="AC306" s="139"/>
      <c r="AD306" s="139"/>
      <c r="AE306" s="139"/>
      <c r="AF306" s="139"/>
      <c r="AG306" s="139"/>
      <c r="AH306" s="139"/>
      <c r="AI306" s="139"/>
      <c r="AJ306" s="139"/>
    </row>
    <row r="307">
      <c r="A307" s="9"/>
      <c r="B307" s="139"/>
      <c r="C307" s="139"/>
      <c r="D307" s="139"/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  <c r="AA307" s="139"/>
      <c r="AB307" s="139"/>
      <c r="AC307" s="139"/>
      <c r="AD307" s="139"/>
      <c r="AE307" s="139"/>
      <c r="AF307" s="139"/>
      <c r="AG307" s="139"/>
      <c r="AH307" s="139"/>
      <c r="AI307" s="139"/>
      <c r="AJ307" s="139"/>
    </row>
    <row r="308">
      <c r="A308" s="9"/>
      <c r="B308" s="139"/>
      <c r="C308" s="139"/>
      <c r="D308" s="139"/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  <c r="AA308" s="139"/>
      <c r="AB308" s="139"/>
      <c r="AC308" s="139"/>
      <c r="AD308" s="139"/>
      <c r="AE308" s="139"/>
      <c r="AF308" s="139"/>
      <c r="AG308" s="139"/>
      <c r="AH308" s="139"/>
      <c r="AI308" s="139"/>
      <c r="AJ308" s="139"/>
    </row>
    <row r="309">
      <c r="A309" s="9"/>
      <c r="B309" s="139"/>
      <c r="C309" s="139"/>
      <c r="D309" s="139"/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  <c r="AA309" s="139"/>
      <c r="AB309" s="139"/>
      <c r="AC309" s="139"/>
      <c r="AD309" s="139"/>
      <c r="AE309" s="139"/>
      <c r="AF309" s="139"/>
      <c r="AG309" s="139"/>
      <c r="AH309" s="139"/>
      <c r="AI309" s="139"/>
      <c r="AJ309" s="139"/>
    </row>
    <row r="310">
      <c r="A310" s="9"/>
      <c r="B310" s="139"/>
      <c r="C310" s="139"/>
      <c r="D310" s="139"/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  <c r="AA310" s="139"/>
      <c r="AB310" s="139"/>
      <c r="AC310" s="139"/>
      <c r="AD310" s="139"/>
      <c r="AE310" s="139"/>
      <c r="AF310" s="139"/>
      <c r="AG310" s="139"/>
      <c r="AH310" s="139"/>
      <c r="AI310" s="139"/>
      <c r="AJ310" s="139"/>
    </row>
    <row r="311">
      <c r="A311" s="9"/>
      <c r="B311" s="139"/>
      <c r="C311" s="139"/>
      <c r="D311" s="139"/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  <c r="AA311" s="139"/>
      <c r="AB311" s="139"/>
      <c r="AC311" s="139"/>
      <c r="AD311" s="139"/>
      <c r="AE311" s="139"/>
      <c r="AF311" s="139"/>
      <c r="AG311" s="139"/>
      <c r="AH311" s="139"/>
      <c r="AI311" s="139"/>
      <c r="AJ311" s="139"/>
    </row>
    <row r="312">
      <c r="A312" s="9"/>
      <c r="B312" s="139"/>
      <c r="C312" s="139"/>
      <c r="D312" s="139"/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  <c r="AA312" s="139"/>
      <c r="AB312" s="139"/>
      <c r="AC312" s="139"/>
      <c r="AD312" s="139"/>
      <c r="AE312" s="139"/>
      <c r="AF312" s="139"/>
      <c r="AG312" s="139"/>
      <c r="AH312" s="139"/>
      <c r="AI312" s="139"/>
      <c r="AJ312" s="139"/>
    </row>
    <row r="313">
      <c r="A313" s="9"/>
      <c r="B313" s="139"/>
      <c r="C313" s="139"/>
      <c r="D313" s="139"/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  <c r="AA313" s="139"/>
      <c r="AB313" s="139"/>
      <c r="AC313" s="139"/>
      <c r="AD313" s="139"/>
      <c r="AE313" s="139"/>
      <c r="AF313" s="139"/>
      <c r="AG313" s="139"/>
      <c r="AH313" s="139"/>
      <c r="AI313" s="139"/>
      <c r="AJ313" s="139"/>
    </row>
    <row r="314">
      <c r="A314" s="9"/>
      <c r="B314" s="139"/>
      <c r="C314" s="139"/>
      <c r="D314" s="139"/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  <c r="AA314" s="139"/>
      <c r="AB314" s="139"/>
      <c r="AC314" s="139"/>
      <c r="AD314" s="139"/>
      <c r="AE314" s="139"/>
      <c r="AF314" s="139"/>
      <c r="AG314" s="139"/>
      <c r="AH314" s="139"/>
      <c r="AI314" s="139"/>
      <c r="AJ314" s="139"/>
    </row>
    <row r="315">
      <c r="A315" s="9"/>
      <c r="B315" s="139"/>
      <c r="C315" s="139"/>
      <c r="D315" s="139"/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  <c r="AA315" s="139"/>
      <c r="AB315" s="139"/>
      <c r="AC315" s="139"/>
      <c r="AD315" s="139"/>
      <c r="AE315" s="139"/>
      <c r="AF315" s="139"/>
      <c r="AG315" s="139"/>
      <c r="AH315" s="139"/>
      <c r="AI315" s="139"/>
      <c r="AJ315" s="139"/>
    </row>
    <row r="316">
      <c r="A316" s="9"/>
      <c r="B316" s="139"/>
      <c r="C316" s="139"/>
      <c r="D316" s="139"/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  <c r="AA316" s="139"/>
      <c r="AB316" s="139"/>
      <c r="AC316" s="139"/>
      <c r="AD316" s="139"/>
      <c r="AE316" s="139"/>
      <c r="AF316" s="139"/>
      <c r="AG316" s="139"/>
      <c r="AH316" s="139"/>
      <c r="AI316" s="139"/>
      <c r="AJ316" s="139"/>
    </row>
    <row r="317">
      <c r="A317" s="9"/>
      <c r="B317" s="139"/>
      <c r="C317" s="139"/>
      <c r="D317" s="139"/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  <c r="AA317" s="139"/>
      <c r="AB317" s="139"/>
      <c r="AC317" s="139"/>
      <c r="AD317" s="139"/>
      <c r="AE317" s="139"/>
      <c r="AF317" s="139"/>
      <c r="AG317" s="139"/>
      <c r="AH317" s="139"/>
      <c r="AI317" s="139"/>
      <c r="AJ317" s="139"/>
    </row>
    <row r="318">
      <c r="A318" s="9"/>
      <c r="B318" s="139"/>
      <c r="C318" s="139"/>
      <c r="D318" s="139"/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  <c r="AA318" s="139"/>
      <c r="AB318" s="139"/>
      <c r="AC318" s="139"/>
      <c r="AD318" s="139"/>
      <c r="AE318" s="139"/>
      <c r="AF318" s="139"/>
      <c r="AG318" s="139"/>
      <c r="AH318" s="139"/>
      <c r="AI318" s="139"/>
      <c r="AJ318" s="139"/>
    </row>
    <row r="319">
      <c r="A319" s="9"/>
      <c r="B319" s="139"/>
      <c r="C319" s="139"/>
      <c r="D319" s="139"/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  <c r="AA319" s="139"/>
      <c r="AB319" s="139"/>
      <c r="AC319" s="139"/>
      <c r="AD319" s="139"/>
      <c r="AE319" s="139"/>
      <c r="AF319" s="139"/>
      <c r="AG319" s="139"/>
      <c r="AH319" s="139"/>
      <c r="AI319" s="139"/>
      <c r="AJ319" s="139"/>
    </row>
    <row r="320">
      <c r="A320" s="9"/>
      <c r="B320" s="139"/>
      <c r="C320" s="139"/>
      <c r="D320" s="139"/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  <c r="AA320" s="139"/>
      <c r="AB320" s="139"/>
      <c r="AC320" s="139"/>
      <c r="AD320" s="139"/>
      <c r="AE320" s="139"/>
      <c r="AF320" s="139"/>
      <c r="AG320" s="139"/>
      <c r="AH320" s="139"/>
      <c r="AI320" s="139"/>
      <c r="AJ320" s="139"/>
    </row>
    <row r="321">
      <c r="A321" s="9"/>
      <c r="B321" s="139"/>
      <c r="C321" s="139"/>
      <c r="D321" s="139"/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  <c r="AA321" s="139"/>
      <c r="AB321" s="139"/>
      <c r="AC321" s="139"/>
      <c r="AD321" s="139"/>
      <c r="AE321" s="139"/>
      <c r="AF321" s="139"/>
      <c r="AG321" s="139"/>
      <c r="AH321" s="139"/>
      <c r="AI321" s="139"/>
      <c r="AJ321" s="139"/>
    </row>
    <row r="322">
      <c r="A322" s="9"/>
      <c r="B322" s="139"/>
      <c r="C322" s="139"/>
      <c r="D322" s="139"/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  <c r="AA322" s="139"/>
      <c r="AB322" s="139"/>
      <c r="AC322" s="139"/>
      <c r="AD322" s="139"/>
      <c r="AE322" s="139"/>
      <c r="AF322" s="139"/>
      <c r="AG322" s="139"/>
      <c r="AH322" s="139"/>
      <c r="AI322" s="139"/>
      <c r="AJ322" s="139"/>
    </row>
    <row r="323">
      <c r="A323" s="9"/>
      <c r="B323" s="139"/>
      <c r="C323" s="139"/>
      <c r="D323" s="139"/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  <c r="AA323" s="139"/>
      <c r="AB323" s="139"/>
      <c r="AC323" s="139"/>
      <c r="AD323" s="139"/>
      <c r="AE323" s="139"/>
      <c r="AF323" s="139"/>
      <c r="AG323" s="139"/>
      <c r="AH323" s="139"/>
      <c r="AI323" s="139"/>
      <c r="AJ323" s="139"/>
    </row>
    <row r="324">
      <c r="A324" s="9"/>
      <c r="B324" s="139"/>
      <c r="C324" s="139"/>
      <c r="D324" s="139"/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  <c r="AA324" s="139"/>
      <c r="AB324" s="139"/>
      <c r="AC324" s="139"/>
      <c r="AD324" s="139"/>
      <c r="AE324" s="139"/>
      <c r="AF324" s="139"/>
      <c r="AG324" s="139"/>
      <c r="AH324" s="139"/>
      <c r="AI324" s="139"/>
      <c r="AJ324" s="139"/>
    </row>
    <row r="325">
      <c r="A325" s="9"/>
      <c r="B325" s="139"/>
      <c r="C325" s="139"/>
      <c r="D325" s="139"/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  <c r="AA325" s="139"/>
      <c r="AB325" s="139"/>
      <c r="AC325" s="139"/>
      <c r="AD325" s="139"/>
      <c r="AE325" s="139"/>
      <c r="AF325" s="139"/>
      <c r="AG325" s="139"/>
      <c r="AH325" s="139"/>
      <c r="AI325" s="139"/>
      <c r="AJ325" s="139"/>
    </row>
    <row r="326">
      <c r="A326" s="9"/>
      <c r="B326" s="139"/>
      <c r="C326" s="139"/>
      <c r="D326" s="139"/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  <c r="AA326" s="139"/>
      <c r="AB326" s="139"/>
      <c r="AC326" s="139"/>
      <c r="AD326" s="139"/>
      <c r="AE326" s="139"/>
      <c r="AF326" s="139"/>
      <c r="AG326" s="139"/>
      <c r="AH326" s="139"/>
      <c r="AI326" s="139"/>
      <c r="AJ326" s="139"/>
    </row>
    <row r="327">
      <c r="A327" s="9"/>
      <c r="B327" s="139"/>
      <c r="C327" s="139"/>
      <c r="D327" s="139"/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  <c r="AA327" s="139"/>
      <c r="AB327" s="139"/>
      <c r="AC327" s="139"/>
      <c r="AD327" s="139"/>
      <c r="AE327" s="139"/>
      <c r="AF327" s="139"/>
      <c r="AG327" s="139"/>
      <c r="AH327" s="139"/>
      <c r="AI327" s="139"/>
      <c r="AJ327" s="139"/>
    </row>
    <row r="328">
      <c r="A328" s="9"/>
      <c r="B328" s="139"/>
      <c r="C328" s="139"/>
      <c r="D328" s="139"/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  <c r="AA328" s="139"/>
      <c r="AB328" s="139"/>
      <c r="AC328" s="139"/>
      <c r="AD328" s="139"/>
      <c r="AE328" s="139"/>
      <c r="AF328" s="139"/>
      <c r="AG328" s="139"/>
      <c r="AH328" s="139"/>
      <c r="AI328" s="139"/>
      <c r="AJ328" s="139"/>
    </row>
    <row r="329">
      <c r="A329" s="9"/>
      <c r="B329" s="139"/>
      <c r="C329" s="139"/>
      <c r="D329" s="139"/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  <c r="AA329" s="139"/>
      <c r="AB329" s="139"/>
      <c r="AC329" s="139"/>
      <c r="AD329" s="139"/>
      <c r="AE329" s="139"/>
      <c r="AF329" s="139"/>
      <c r="AG329" s="139"/>
      <c r="AH329" s="139"/>
      <c r="AI329" s="139"/>
      <c r="AJ329" s="139"/>
    </row>
    <row r="330">
      <c r="A330" s="9"/>
      <c r="B330" s="139"/>
      <c r="C330" s="139"/>
      <c r="D330" s="139"/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  <c r="AA330" s="139"/>
      <c r="AB330" s="139"/>
      <c r="AC330" s="139"/>
      <c r="AD330" s="139"/>
      <c r="AE330" s="139"/>
      <c r="AF330" s="139"/>
      <c r="AG330" s="139"/>
      <c r="AH330" s="139"/>
      <c r="AI330" s="139"/>
      <c r="AJ330" s="139"/>
    </row>
    <row r="331">
      <c r="A331" s="9"/>
      <c r="B331" s="139"/>
      <c r="C331" s="139"/>
      <c r="D331" s="139"/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  <c r="AA331" s="139"/>
      <c r="AB331" s="139"/>
      <c r="AC331" s="139"/>
      <c r="AD331" s="139"/>
      <c r="AE331" s="139"/>
      <c r="AF331" s="139"/>
      <c r="AG331" s="139"/>
      <c r="AH331" s="139"/>
      <c r="AI331" s="139"/>
      <c r="AJ331" s="139"/>
    </row>
    <row r="332">
      <c r="A332" s="9"/>
      <c r="B332" s="139"/>
      <c r="C332" s="139"/>
      <c r="D332" s="139"/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  <c r="AA332" s="139"/>
      <c r="AB332" s="139"/>
      <c r="AC332" s="139"/>
      <c r="AD332" s="139"/>
      <c r="AE332" s="139"/>
      <c r="AF332" s="139"/>
      <c r="AG332" s="139"/>
      <c r="AH332" s="139"/>
      <c r="AI332" s="139"/>
      <c r="AJ332" s="139"/>
    </row>
    <row r="333">
      <c r="A333" s="9"/>
      <c r="B333" s="139"/>
      <c r="C333" s="139"/>
      <c r="D333" s="139"/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  <c r="AA333" s="139"/>
      <c r="AB333" s="139"/>
      <c r="AC333" s="139"/>
      <c r="AD333" s="139"/>
      <c r="AE333" s="139"/>
      <c r="AF333" s="139"/>
      <c r="AG333" s="139"/>
      <c r="AH333" s="139"/>
      <c r="AI333" s="139"/>
      <c r="AJ333" s="139"/>
    </row>
    <row r="334">
      <c r="A334" s="9"/>
      <c r="B334" s="139"/>
      <c r="C334" s="139"/>
      <c r="D334" s="139"/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  <c r="AA334" s="139"/>
      <c r="AB334" s="139"/>
      <c r="AC334" s="139"/>
      <c r="AD334" s="139"/>
      <c r="AE334" s="139"/>
      <c r="AF334" s="139"/>
      <c r="AG334" s="139"/>
      <c r="AH334" s="139"/>
      <c r="AI334" s="139"/>
      <c r="AJ334" s="139"/>
    </row>
    <row r="335">
      <c r="A335" s="9"/>
      <c r="B335" s="139"/>
      <c r="C335" s="139"/>
      <c r="D335" s="139"/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  <c r="AA335" s="139"/>
      <c r="AB335" s="139"/>
      <c r="AC335" s="139"/>
      <c r="AD335" s="139"/>
      <c r="AE335" s="139"/>
      <c r="AF335" s="139"/>
      <c r="AG335" s="139"/>
      <c r="AH335" s="139"/>
      <c r="AI335" s="139"/>
      <c r="AJ335" s="139"/>
    </row>
    <row r="336">
      <c r="A336" s="9"/>
      <c r="B336" s="139"/>
      <c r="C336" s="139"/>
      <c r="D336" s="139"/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  <c r="AA336" s="139"/>
      <c r="AB336" s="139"/>
      <c r="AC336" s="139"/>
      <c r="AD336" s="139"/>
      <c r="AE336" s="139"/>
      <c r="AF336" s="139"/>
      <c r="AG336" s="139"/>
      <c r="AH336" s="139"/>
      <c r="AI336" s="139"/>
      <c r="AJ336" s="139"/>
    </row>
    <row r="337">
      <c r="A337" s="9"/>
      <c r="B337" s="139"/>
      <c r="C337" s="139"/>
      <c r="D337" s="139"/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  <c r="AA337" s="139"/>
      <c r="AB337" s="139"/>
      <c r="AC337" s="139"/>
      <c r="AD337" s="139"/>
      <c r="AE337" s="139"/>
      <c r="AF337" s="139"/>
      <c r="AG337" s="139"/>
      <c r="AH337" s="139"/>
      <c r="AI337" s="139"/>
      <c r="AJ337" s="139"/>
    </row>
    <row r="338">
      <c r="A338" s="9"/>
      <c r="B338" s="139"/>
      <c r="C338" s="139"/>
      <c r="D338" s="139"/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  <c r="AA338" s="139"/>
      <c r="AB338" s="139"/>
      <c r="AC338" s="139"/>
      <c r="AD338" s="139"/>
      <c r="AE338" s="139"/>
      <c r="AF338" s="139"/>
      <c r="AG338" s="139"/>
      <c r="AH338" s="139"/>
      <c r="AI338" s="139"/>
      <c r="AJ338" s="139"/>
    </row>
    <row r="339">
      <c r="A339" s="9"/>
      <c r="B339" s="139"/>
      <c r="C339" s="139"/>
      <c r="D339" s="139"/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  <c r="AA339" s="139"/>
      <c r="AB339" s="139"/>
      <c r="AC339" s="139"/>
      <c r="AD339" s="139"/>
      <c r="AE339" s="139"/>
      <c r="AF339" s="139"/>
      <c r="AG339" s="139"/>
      <c r="AH339" s="139"/>
      <c r="AI339" s="139"/>
      <c r="AJ339" s="139"/>
    </row>
    <row r="340">
      <c r="A340" s="9"/>
      <c r="B340" s="139"/>
      <c r="C340" s="139"/>
      <c r="D340" s="139"/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  <c r="AA340" s="139"/>
      <c r="AB340" s="139"/>
      <c r="AC340" s="139"/>
      <c r="AD340" s="139"/>
      <c r="AE340" s="139"/>
      <c r="AF340" s="139"/>
      <c r="AG340" s="139"/>
      <c r="AH340" s="139"/>
      <c r="AI340" s="139"/>
      <c r="AJ340" s="139"/>
    </row>
    <row r="341">
      <c r="A341" s="9"/>
      <c r="B341" s="139"/>
      <c r="C341" s="139"/>
      <c r="D341" s="139"/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  <c r="AA341" s="139"/>
      <c r="AB341" s="139"/>
      <c r="AC341" s="139"/>
      <c r="AD341" s="139"/>
      <c r="AE341" s="139"/>
      <c r="AF341" s="139"/>
      <c r="AG341" s="139"/>
      <c r="AH341" s="139"/>
      <c r="AI341" s="139"/>
      <c r="AJ341" s="139"/>
    </row>
    <row r="342">
      <c r="A342" s="9"/>
      <c r="B342" s="139"/>
      <c r="C342" s="139"/>
      <c r="D342" s="139"/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  <c r="AA342" s="139"/>
      <c r="AB342" s="139"/>
      <c r="AC342" s="139"/>
      <c r="AD342" s="139"/>
      <c r="AE342" s="139"/>
      <c r="AF342" s="139"/>
      <c r="AG342" s="139"/>
      <c r="AH342" s="139"/>
      <c r="AI342" s="139"/>
      <c r="AJ342" s="139"/>
    </row>
    <row r="343">
      <c r="A343" s="9"/>
      <c r="B343" s="139"/>
      <c r="C343" s="139"/>
      <c r="D343" s="139"/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  <c r="AA343" s="139"/>
      <c r="AB343" s="139"/>
      <c r="AC343" s="139"/>
      <c r="AD343" s="139"/>
      <c r="AE343" s="139"/>
      <c r="AF343" s="139"/>
      <c r="AG343" s="139"/>
      <c r="AH343" s="139"/>
      <c r="AI343" s="139"/>
      <c r="AJ343" s="139"/>
    </row>
    <row r="344">
      <c r="A344" s="9"/>
      <c r="B344" s="139"/>
      <c r="C344" s="139"/>
      <c r="D344" s="139"/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  <c r="AA344" s="139"/>
      <c r="AB344" s="139"/>
      <c r="AC344" s="139"/>
      <c r="AD344" s="139"/>
      <c r="AE344" s="139"/>
      <c r="AF344" s="139"/>
      <c r="AG344" s="139"/>
      <c r="AH344" s="139"/>
      <c r="AI344" s="139"/>
      <c r="AJ344" s="139"/>
    </row>
    <row r="345">
      <c r="A345" s="9"/>
      <c r="B345" s="139"/>
      <c r="C345" s="139"/>
      <c r="D345" s="139"/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  <c r="AA345" s="139"/>
      <c r="AB345" s="139"/>
      <c r="AC345" s="139"/>
      <c r="AD345" s="139"/>
      <c r="AE345" s="139"/>
      <c r="AF345" s="139"/>
      <c r="AG345" s="139"/>
      <c r="AH345" s="139"/>
      <c r="AI345" s="139"/>
      <c r="AJ345" s="139"/>
    </row>
    <row r="346">
      <c r="A346" s="9"/>
      <c r="B346" s="139"/>
      <c r="C346" s="139"/>
      <c r="D346" s="139"/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  <c r="AA346" s="139"/>
      <c r="AB346" s="139"/>
      <c r="AC346" s="139"/>
      <c r="AD346" s="139"/>
      <c r="AE346" s="139"/>
      <c r="AF346" s="139"/>
      <c r="AG346" s="139"/>
      <c r="AH346" s="139"/>
      <c r="AI346" s="139"/>
      <c r="AJ346" s="139"/>
    </row>
    <row r="347">
      <c r="A347" s="9"/>
      <c r="B347" s="139"/>
      <c r="C347" s="139"/>
      <c r="D347" s="139"/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  <c r="AA347" s="139"/>
      <c r="AB347" s="139"/>
      <c r="AC347" s="139"/>
      <c r="AD347" s="139"/>
      <c r="AE347" s="139"/>
      <c r="AF347" s="139"/>
      <c r="AG347" s="139"/>
      <c r="AH347" s="139"/>
      <c r="AI347" s="139"/>
      <c r="AJ347" s="139"/>
    </row>
    <row r="348">
      <c r="A348" s="9"/>
      <c r="B348" s="139"/>
      <c r="C348" s="139"/>
      <c r="D348" s="139"/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  <c r="AA348" s="139"/>
      <c r="AB348" s="139"/>
      <c r="AC348" s="139"/>
      <c r="AD348" s="139"/>
      <c r="AE348" s="139"/>
      <c r="AF348" s="139"/>
      <c r="AG348" s="139"/>
      <c r="AH348" s="139"/>
      <c r="AI348" s="139"/>
      <c r="AJ348" s="139"/>
    </row>
    <row r="349">
      <c r="A349" s="9"/>
      <c r="B349" s="139"/>
      <c r="C349" s="139"/>
      <c r="D349" s="139"/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  <c r="AA349" s="139"/>
      <c r="AB349" s="139"/>
      <c r="AC349" s="139"/>
      <c r="AD349" s="139"/>
      <c r="AE349" s="139"/>
      <c r="AF349" s="139"/>
      <c r="AG349" s="139"/>
      <c r="AH349" s="139"/>
      <c r="AI349" s="139"/>
      <c r="AJ349" s="139"/>
    </row>
    <row r="350">
      <c r="A350" s="9"/>
      <c r="B350" s="139"/>
      <c r="C350" s="139"/>
      <c r="D350" s="139"/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  <c r="AA350" s="139"/>
      <c r="AB350" s="139"/>
      <c r="AC350" s="139"/>
      <c r="AD350" s="139"/>
      <c r="AE350" s="139"/>
      <c r="AF350" s="139"/>
      <c r="AG350" s="139"/>
      <c r="AH350" s="139"/>
      <c r="AI350" s="139"/>
      <c r="AJ350" s="139"/>
    </row>
    <row r="351">
      <c r="A351" s="9"/>
      <c r="B351" s="139"/>
      <c r="C351" s="139"/>
      <c r="D351" s="139"/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  <c r="AA351" s="139"/>
      <c r="AB351" s="139"/>
      <c r="AC351" s="139"/>
      <c r="AD351" s="139"/>
      <c r="AE351" s="139"/>
      <c r="AF351" s="139"/>
      <c r="AG351" s="139"/>
      <c r="AH351" s="139"/>
      <c r="AI351" s="139"/>
      <c r="AJ351" s="139"/>
    </row>
    <row r="352">
      <c r="A352" s="9"/>
      <c r="B352" s="139"/>
      <c r="C352" s="139"/>
      <c r="D352" s="139"/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  <c r="AA352" s="139"/>
      <c r="AB352" s="139"/>
      <c r="AC352" s="139"/>
      <c r="AD352" s="139"/>
      <c r="AE352" s="139"/>
      <c r="AF352" s="139"/>
      <c r="AG352" s="139"/>
      <c r="AH352" s="139"/>
      <c r="AI352" s="139"/>
      <c r="AJ352" s="139"/>
    </row>
    <row r="353">
      <c r="A353" s="9"/>
      <c r="B353" s="139"/>
      <c r="C353" s="139"/>
      <c r="D353" s="139"/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  <c r="AA353" s="139"/>
      <c r="AB353" s="139"/>
      <c r="AC353" s="139"/>
      <c r="AD353" s="139"/>
      <c r="AE353" s="139"/>
      <c r="AF353" s="139"/>
      <c r="AG353" s="139"/>
      <c r="AH353" s="139"/>
      <c r="AI353" s="139"/>
      <c r="AJ353" s="139"/>
    </row>
    <row r="354">
      <c r="A354" s="9"/>
      <c r="B354" s="139"/>
      <c r="C354" s="139"/>
      <c r="D354" s="139"/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  <c r="AA354" s="139"/>
      <c r="AB354" s="139"/>
      <c r="AC354" s="139"/>
      <c r="AD354" s="139"/>
      <c r="AE354" s="139"/>
      <c r="AF354" s="139"/>
      <c r="AG354" s="139"/>
      <c r="AH354" s="139"/>
      <c r="AI354" s="139"/>
      <c r="AJ354" s="139"/>
    </row>
    <row r="355">
      <c r="A355" s="9"/>
      <c r="B355" s="139"/>
      <c r="C355" s="139"/>
      <c r="D355" s="139"/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  <c r="AA355" s="139"/>
      <c r="AB355" s="139"/>
      <c r="AC355" s="139"/>
      <c r="AD355" s="139"/>
      <c r="AE355" s="139"/>
      <c r="AF355" s="139"/>
      <c r="AG355" s="139"/>
      <c r="AH355" s="139"/>
      <c r="AI355" s="139"/>
      <c r="AJ355" s="139"/>
    </row>
    <row r="356">
      <c r="A356" s="9"/>
      <c r="B356" s="139"/>
      <c r="C356" s="139"/>
      <c r="D356" s="139"/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  <c r="AA356" s="139"/>
      <c r="AB356" s="139"/>
      <c r="AC356" s="139"/>
      <c r="AD356" s="139"/>
      <c r="AE356" s="139"/>
      <c r="AF356" s="139"/>
      <c r="AG356" s="139"/>
      <c r="AH356" s="139"/>
      <c r="AI356" s="139"/>
      <c r="AJ356" s="139"/>
    </row>
    <row r="357">
      <c r="A357" s="9"/>
      <c r="B357" s="139"/>
      <c r="C357" s="139"/>
      <c r="D357" s="139"/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  <c r="AA357" s="139"/>
      <c r="AB357" s="139"/>
      <c r="AC357" s="139"/>
      <c r="AD357" s="139"/>
      <c r="AE357" s="139"/>
      <c r="AF357" s="139"/>
      <c r="AG357" s="139"/>
      <c r="AH357" s="139"/>
      <c r="AI357" s="139"/>
      <c r="AJ357" s="139"/>
    </row>
    <row r="358">
      <c r="A358" s="9"/>
      <c r="B358" s="139"/>
      <c r="C358" s="139"/>
      <c r="D358" s="139"/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  <c r="AA358" s="139"/>
      <c r="AB358" s="139"/>
      <c r="AC358" s="139"/>
      <c r="AD358" s="139"/>
      <c r="AE358" s="139"/>
      <c r="AF358" s="139"/>
      <c r="AG358" s="139"/>
      <c r="AH358" s="139"/>
      <c r="AI358" s="139"/>
      <c r="AJ358" s="139"/>
    </row>
    <row r="359">
      <c r="A359" s="9"/>
      <c r="B359" s="139"/>
      <c r="C359" s="139"/>
      <c r="D359" s="139"/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  <c r="AA359" s="139"/>
      <c r="AB359" s="139"/>
      <c r="AC359" s="139"/>
      <c r="AD359" s="139"/>
      <c r="AE359" s="139"/>
      <c r="AF359" s="139"/>
      <c r="AG359" s="139"/>
      <c r="AH359" s="139"/>
      <c r="AI359" s="139"/>
      <c r="AJ359" s="139"/>
    </row>
    <row r="360">
      <c r="A360" s="9"/>
      <c r="B360" s="139"/>
      <c r="C360" s="139"/>
      <c r="D360" s="139"/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  <c r="AA360" s="139"/>
      <c r="AB360" s="139"/>
      <c r="AC360" s="139"/>
      <c r="AD360" s="139"/>
      <c r="AE360" s="139"/>
      <c r="AF360" s="139"/>
      <c r="AG360" s="139"/>
      <c r="AH360" s="139"/>
      <c r="AI360" s="139"/>
      <c r="AJ360" s="139"/>
    </row>
    <row r="361">
      <c r="A361" s="9"/>
      <c r="B361" s="139"/>
      <c r="C361" s="139"/>
      <c r="D361" s="139"/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  <c r="AA361" s="139"/>
      <c r="AB361" s="139"/>
      <c r="AC361" s="139"/>
      <c r="AD361" s="139"/>
      <c r="AE361" s="139"/>
      <c r="AF361" s="139"/>
      <c r="AG361" s="139"/>
      <c r="AH361" s="139"/>
      <c r="AI361" s="139"/>
      <c r="AJ361" s="139"/>
    </row>
    <row r="362">
      <c r="A362" s="9"/>
      <c r="B362" s="139"/>
      <c r="C362" s="139"/>
      <c r="D362" s="139"/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  <c r="AA362" s="139"/>
      <c r="AB362" s="139"/>
      <c r="AC362" s="139"/>
      <c r="AD362" s="139"/>
      <c r="AE362" s="139"/>
      <c r="AF362" s="139"/>
      <c r="AG362" s="139"/>
      <c r="AH362" s="139"/>
      <c r="AI362" s="139"/>
      <c r="AJ362" s="139"/>
    </row>
    <row r="363">
      <c r="A363" s="9"/>
      <c r="B363" s="139"/>
      <c r="C363" s="139"/>
      <c r="D363" s="139"/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  <c r="AA363" s="139"/>
      <c r="AB363" s="139"/>
      <c r="AC363" s="139"/>
      <c r="AD363" s="139"/>
      <c r="AE363" s="139"/>
      <c r="AF363" s="139"/>
      <c r="AG363" s="139"/>
      <c r="AH363" s="139"/>
      <c r="AI363" s="139"/>
      <c r="AJ363" s="139"/>
    </row>
    <row r="364">
      <c r="A364" s="9"/>
      <c r="B364" s="139"/>
      <c r="C364" s="139"/>
      <c r="D364" s="139"/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  <c r="AA364" s="139"/>
      <c r="AB364" s="139"/>
      <c r="AC364" s="139"/>
      <c r="AD364" s="139"/>
      <c r="AE364" s="139"/>
      <c r="AF364" s="139"/>
      <c r="AG364" s="139"/>
      <c r="AH364" s="139"/>
      <c r="AI364" s="139"/>
      <c r="AJ364" s="139"/>
    </row>
    <row r="365">
      <c r="A365" s="9"/>
      <c r="B365" s="139"/>
      <c r="C365" s="139"/>
      <c r="D365" s="139"/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  <c r="AA365" s="139"/>
      <c r="AB365" s="139"/>
      <c r="AC365" s="139"/>
      <c r="AD365" s="139"/>
      <c r="AE365" s="139"/>
      <c r="AF365" s="139"/>
      <c r="AG365" s="139"/>
      <c r="AH365" s="139"/>
      <c r="AI365" s="139"/>
      <c r="AJ365" s="139"/>
    </row>
    <row r="366">
      <c r="A366" s="9"/>
      <c r="B366" s="139"/>
      <c r="C366" s="139"/>
      <c r="D366" s="139"/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  <c r="AA366" s="139"/>
      <c r="AB366" s="139"/>
      <c r="AC366" s="139"/>
      <c r="AD366" s="139"/>
      <c r="AE366" s="139"/>
      <c r="AF366" s="139"/>
      <c r="AG366" s="139"/>
      <c r="AH366" s="139"/>
      <c r="AI366" s="139"/>
      <c r="AJ366" s="139"/>
    </row>
    <row r="367">
      <c r="A367" s="9"/>
      <c r="B367" s="139"/>
      <c r="C367" s="139"/>
      <c r="D367" s="139"/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  <c r="AA367" s="139"/>
      <c r="AB367" s="139"/>
      <c r="AC367" s="139"/>
      <c r="AD367" s="139"/>
      <c r="AE367" s="139"/>
      <c r="AF367" s="139"/>
      <c r="AG367" s="139"/>
      <c r="AH367" s="139"/>
      <c r="AI367" s="139"/>
      <c r="AJ367" s="139"/>
    </row>
    <row r="368">
      <c r="A368" s="9"/>
      <c r="B368" s="139"/>
      <c r="C368" s="139"/>
      <c r="D368" s="139"/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  <c r="AA368" s="139"/>
      <c r="AB368" s="139"/>
      <c r="AC368" s="139"/>
      <c r="AD368" s="139"/>
      <c r="AE368" s="139"/>
      <c r="AF368" s="139"/>
      <c r="AG368" s="139"/>
      <c r="AH368" s="139"/>
      <c r="AI368" s="139"/>
      <c r="AJ368" s="139"/>
    </row>
    <row r="369">
      <c r="A369" s="9"/>
      <c r="B369" s="139"/>
      <c r="C369" s="139"/>
      <c r="D369" s="139"/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  <c r="AA369" s="139"/>
      <c r="AB369" s="139"/>
      <c r="AC369" s="139"/>
      <c r="AD369" s="139"/>
      <c r="AE369" s="139"/>
      <c r="AF369" s="139"/>
      <c r="AG369" s="139"/>
      <c r="AH369" s="139"/>
      <c r="AI369" s="139"/>
      <c r="AJ369" s="139"/>
    </row>
    <row r="370">
      <c r="A370" s="9"/>
      <c r="B370" s="139"/>
      <c r="C370" s="139"/>
      <c r="D370" s="139"/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  <c r="AA370" s="139"/>
      <c r="AB370" s="139"/>
      <c r="AC370" s="139"/>
      <c r="AD370" s="139"/>
      <c r="AE370" s="139"/>
      <c r="AF370" s="139"/>
      <c r="AG370" s="139"/>
      <c r="AH370" s="139"/>
      <c r="AI370" s="139"/>
      <c r="AJ370" s="139"/>
    </row>
    <row r="371">
      <c r="A371" s="9"/>
      <c r="B371" s="139"/>
      <c r="C371" s="139"/>
      <c r="D371" s="139"/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  <c r="AA371" s="139"/>
      <c r="AB371" s="139"/>
      <c r="AC371" s="139"/>
      <c r="AD371" s="139"/>
      <c r="AE371" s="139"/>
      <c r="AF371" s="139"/>
      <c r="AG371" s="139"/>
      <c r="AH371" s="139"/>
      <c r="AI371" s="139"/>
      <c r="AJ371" s="139"/>
    </row>
    <row r="372">
      <c r="A372" s="9"/>
      <c r="B372" s="139"/>
      <c r="C372" s="139"/>
      <c r="D372" s="139"/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  <c r="AA372" s="139"/>
      <c r="AB372" s="139"/>
      <c r="AC372" s="139"/>
      <c r="AD372" s="139"/>
      <c r="AE372" s="139"/>
      <c r="AF372" s="139"/>
      <c r="AG372" s="139"/>
      <c r="AH372" s="139"/>
      <c r="AI372" s="139"/>
      <c r="AJ372" s="139"/>
    </row>
    <row r="373">
      <c r="A373" s="9"/>
      <c r="B373" s="139"/>
      <c r="C373" s="139"/>
      <c r="D373" s="139"/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  <c r="AA373" s="139"/>
      <c r="AB373" s="139"/>
      <c r="AC373" s="139"/>
      <c r="AD373" s="139"/>
      <c r="AE373" s="139"/>
      <c r="AF373" s="139"/>
      <c r="AG373" s="139"/>
      <c r="AH373" s="139"/>
      <c r="AI373" s="139"/>
      <c r="AJ373" s="139"/>
    </row>
    <row r="374">
      <c r="A374" s="9"/>
      <c r="B374" s="139"/>
      <c r="C374" s="139"/>
      <c r="D374" s="139"/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  <c r="AA374" s="139"/>
      <c r="AB374" s="139"/>
      <c r="AC374" s="139"/>
      <c r="AD374" s="139"/>
      <c r="AE374" s="139"/>
      <c r="AF374" s="139"/>
      <c r="AG374" s="139"/>
      <c r="AH374" s="139"/>
      <c r="AI374" s="139"/>
      <c r="AJ374" s="139"/>
    </row>
    <row r="375">
      <c r="A375" s="9"/>
      <c r="B375" s="139"/>
      <c r="C375" s="139"/>
      <c r="D375" s="139"/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  <c r="AA375" s="139"/>
      <c r="AB375" s="139"/>
      <c r="AC375" s="139"/>
      <c r="AD375" s="139"/>
      <c r="AE375" s="139"/>
      <c r="AF375" s="139"/>
      <c r="AG375" s="139"/>
      <c r="AH375" s="139"/>
      <c r="AI375" s="139"/>
      <c r="AJ375" s="139"/>
    </row>
    <row r="376">
      <c r="A376" s="9"/>
      <c r="B376" s="139"/>
      <c r="C376" s="139"/>
      <c r="D376" s="139"/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  <c r="AA376" s="139"/>
      <c r="AB376" s="139"/>
      <c r="AC376" s="139"/>
      <c r="AD376" s="139"/>
      <c r="AE376" s="139"/>
      <c r="AF376" s="139"/>
      <c r="AG376" s="139"/>
      <c r="AH376" s="139"/>
      <c r="AI376" s="139"/>
      <c r="AJ376" s="139"/>
    </row>
    <row r="377">
      <c r="A377" s="9"/>
      <c r="B377" s="139"/>
      <c r="C377" s="139"/>
      <c r="D377" s="139"/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  <c r="AA377" s="139"/>
      <c r="AB377" s="139"/>
      <c r="AC377" s="139"/>
      <c r="AD377" s="139"/>
      <c r="AE377" s="139"/>
      <c r="AF377" s="139"/>
      <c r="AG377" s="139"/>
      <c r="AH377" s="139"/>
      <c r="AI377" s="139"/>
      <c r="AJ377" s="139"/>
    </row>
    <row r="378">
      <c r="A378" s="9"/>
      <c r="B378" s="139"/>
      <c r="C378" s="139"/>
      <c r="D378" s="139"/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  <c r="AA378" s="139"/>
      <c r="AB378" s="139"/>
      <c r="AC378" s="139"/>
      <c r="AD378" s="139"/>
      <c r="AE378" s="139"/>
      <c r="AF378" s="139"/>
      <c r="AG378" s="139"/>
      <c r="AH378" s="139"/>
      <c r="AI378" s="139"/>
      <c r="AJ378" s="139"/>
    </row>
    <row r="379">
      <c r="A379" s="9"/>
      <c r="B379" s="139"/>
      <c r="C379" s="139"/>
      <c r="D379" s="139"/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  <c r="AA379" s="139"/>
      <c r="AB379" s="139"/>
      <c r="AC379" s="139"/>
      <c r="AD379" s="139"/>
      <c r="AE379" s="139"/>
      <c r="AF379" s="139"/>
      <c r="AG379" s="139"/>
      <c r="AH379" s="139"/>
      <c r="AI379" s="139"/>
      <c r="AJ379" s="139"/>
    </row>
    <row r="380">
      <c r="A380" s="9"/>
      <c r="B380" s="139"/>
      <c r="C380" s="139"/>
      <c r="D380" s="139"/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  <c r="AA380" s="139"/>
      <c r="AB380" s="139"/>
      <c r="AC380" s="139"/>
      <c r="AD380" s="139"/>
      <c r="AE380" s="139"/>
      <c r="AF380" s="139"/>
      <c r="AG380" s="139"/>
      <c r="AH380" s="139"/>
      <c r="AI380" s="139"/>
      <c r="AJ380" s="139"/>
    </row>
    <row r="381">
      <c r="A381" s="9"/>
      <c r="B381" s="139"/>
      <c r="C381" s="139"/>
      <c r="D381" s="139"/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  <c r="AA381" s="139"/>
      <c r="AB381" s="139"/>
      <c r="AC381" s="139"/>
      <c r="AD381" s="139"/>
      <c r="AE381" s="139"/>
      <c r="AF381" s="139"/>
      <c r="AG381" s="139"/>
      <c r="AH381" s="139"/>
      <c r="AI381" s="139"/>
      <c r="AJ381" s="139"/>
    </row>
    <row r="382">
      <c r="A382" s="9"/>
      <c r="B382" s="139"/>
      <c r="C382" s="139"/>
      <c r="D382" s="139"/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  <c r="AA382" s="139"/>
      <c r="AB382" s="139"/>
      <c r="AC382" s="139"/>
      <c r="AD382" s="139"/>
      <c r="AE382" s="139"/>
      <c r="AF382" s="139"/>
      <c r="AG382" s="139"/>
      <c r="AH382" s="139"/>
      <c r="AI382" s="139"/>
      <c r="AJ382" s="139"/>
    </row>
    <row r="383">
      <c r="A383" s="9"/>
      <c r="B383" s="139"/>
      <c r="C383" s="139"/>
      <c r="D383" s="139"/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  <c r="AA383" s="139"/>
      <c r="AB383" s="139"/>
      <c r="AC383" s="139"/>
      <c r="AD383" s="139"/>
      <c r="AE383" s="139"/>
      <c r="AF383" s="139"/>
      <c r="AG383" s="139"/>
      <c r="AH383" s="139"/>
      <c r="AI383" s="139"/>
      <c r="AJ383" s="139"/>
    </row>
    <row r="384">
      <c r="A384" s="9"/>
      <c r="B384" s="139"/>
      <c r="C384" s="139"/>
      <c r="D384" s="139"/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  <c r="AA384" s="139"/>
      <c r="AB384" s="139"/>
      <c r="AC384" s="139"/>
      <c r="AD384" s="139"/>
      <c r="AE384" s="139"/>
      <c r="AF384" s="139"/>
      <c r="AG384" s="139"/>
      <c r="AH384" s="139"/>
      <c r="AI384" s="139"/>
      <c r="AJ384" s="139"/>
    </row>
    <row r="385">
      <c r="A385" s="9"/>
      <c r="B385" s="139"/>
      <c r="C385" s="139"/>
      <c r="D385" s="139"/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  <c r="AA385" s="139"/>
      <c r="AB385" s="139"/>
      <c r="AC385" s="139"/>
      <c r="AD385" s="139"/>
      <c r="AE385" s="139"/>
      <c r="AF385" s="139"/>
      <c r="AG385" s="139"/>
      <c r="AH385" s="139"/>
      <c r="AI385" s="139"/>
      <c r="AJ385" s="139"/>
    </row>
    <row r="386">
      <c r="A386" s="9"/>
      <c r="B386" s="139"/>
      <c r="C386" s="139"/>
      <c r="D386" s="139"/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  <c r="AA386" s="139"/>
      <c r="AB386" s="139"/>
      <c r="AC386" s="139"/>
      <c r="AD386" s="139"/>
      <c r="AE386" s="139"/>
      <c r="AF386" s="139"/>
      <c r="AG386" s="139"/>
      <c r="AH386" s="139"/>
      <c r="AI386" s="139"/>
      <c r="AJ386" s="139"/>
    </row>
    <row r="387">
      <c r="A387" s="9"/>
      <c r="B387" s="139"/>
      <c r="C387" s="139"/>
      <c r="D387" s="139"/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  <c r="AA387" s="139"/>
      <c r="AB387" s="139"/>
      <c r="AC387" s="139"/>
      <c r="AD387" s="139"/>
      <c r="AE387" s="139"/>
      <c r="AF387" s="139"/>
      <c r="AG387" s="139"/>
      <c r="AH387" s="139"/>
      <c r="AI387" s="139"/>
      <c r="AJ387" s="139"/>
    </row>
    <row r="388">
      <c r="A388" s="9"/>
      <c r="B388" s="139"/>
      <c r="C388" s="139"/>
      <c r="D388" s="139"/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  <c r="AA388" s="139"/>
      <c r="AB388" s="139"/>
      <c r="AC388" s="139"/>
      <c r="AD388" s="139"/>
      <c r="AE388" s="139"/>
      <c r="AF388" s="139"/>
      <c r="AG388" s="139"/>
      <c r="AH388" s="139"/>
      <c r="AI388" s="139"/>
      <c r="AJ388" s="139"/>
    </row>
    <row r="389">
      <c r="A389" s="9"/>
      <c r="B389" s="139"/>
      <c r="C389" s="139"/>
      <c r="D389" s="139"/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  <c r="AA389" s="139"/>
      <c r="AB389" s="139"/>
      <c r="AC389" s="139"/>
      <c r="AD389" s="139"/>
      <c r="AE389" s="139"/>
      <c r="AF389" s="139"/>
      <c r="AG389" s="139"/>
      <c r="AH389" s="139"/>
      <c r="AI389" s="139"/>
      <c r="AJ389" s="139"/>
    </row>
    <row r="390">
      <c r="A390" s="9"/>
      <c r="B390" s="139"/>
      <c r="C390" s="139"/>
      <c r="D390" s="139"/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  <c r="AA390" s="139"/>
      <c r="AB390" s="139"/>
      <c r="AC390" s="139"/>
      <c r="AD390" s="139"/>
      <c r="AE390" s="139"/>
      <c r="AF390" s="139"/>
      <c r="AG390" s="139"/>
      <c r="AH390" s="139"/>
      <c r="AI390" s="139"/>
      <c r="AJ390" s="139"/>
    </row>
    <row r="391">
      <c r="A391" s="9"/>
      <c r="B391" s="139"/>
      <c r="C391" s="139"/>
      <c r="D391" s="139"/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  <c r="AA391" s="139"/>
      <c r="AB391" s="139"/>
      <c r="AC391" s="139"/>
      <c r="AD391" s="139"/>
      <c r="AE391" s="139"/>
      <c r="AF391" s="139"/>
      <c r="AG391" s="139"/>
      <c r="AH391" s="139"/>
      <c r="AI391" s="139"/>
      <c r="AJ391" s="139"/>
    </row>
    <row r="392">
      <c r="A392" s="9"/>
      <c r="B392" s="139"/>
      <c r="C392" s="139"/>
      <c r="D392" s="139"/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  <c r="AA392" s="139"/>
      <c r="AB392" s="139"/>
      <c r="AC392" s="139"/>
      <c r="AD392" s="139"/>
      <c r="AE392" s="139"/>
      <c r="AF392" s="139"/>
      <c r="AG392" s="139"/>
      <c r="AH392" s="139"/>
      <c r="AI392" s="139"/>
      <c r="AJ392" s="139"/>
    </row>
    <row r="393">
      <c r="A393" s="9"/>
      <c r="B393" s="139"/>
      <c r="C393" s="139"/>
      <c r="D393" s="139"/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  <c r="AA393" s="139"/>
      <c r="AB393" s="139"/>
      <c r="AC393" s="139"/>
      <c r="AD393" s="139"/>
      <c r="AE393" s="139"/>
      <c r="AF393" s="139"/>
      <c r="AG393" s="139"/>
      <c r="AH393" s="139"/>
      <c r="AI393" s="139"/>
      <c r="AJ393" s="139"/>
    </row>
    <row r="394">
      <c r="A394" s="9"/>
      <c r="B394" s="139"/>
      <c r="C394" s="139"/>
      <c r="D394" s="139"/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  <c r="AA394" s="139"/>
      <c r="AB394" s="139"/>
      <c r="AC394" s="139"/>
      <c r="AD394" s="139"/>
      <c r="AE394" s="139"/>
      <c r="AF394" s="139"/>
      <c r="AG394" s="139"/>
      <c r="AH394" s="139"/>
      <c r="AI394" s="139"/>
      <c r="AJ394" s="139"/>
    </row>
    <row r="395">
      <c r="A395" s="9"/>
      <c r="B395" s="139"/>
      <c r="C395" s="139"/>
      <c r="D395" s="139"/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  <c r="AA395" s="139"/>
      <c r="AB395" s="139"/>
      <c r="AC395" s="139"/>
      <c r="AD395" s="139"/>
      <c r="AE395" s="139"/>
      <c r="AF395" s="139"/>
      <c r="AG395" s="139"/>
      <c r="AH395" s="139"/>
      <c r="AI395" s="139"/>
      <c r="AJ395" s="139"/>
    </row>
    <row r="396">
      <c r="A396" s="9"/>
      <c r="B396" s="139"/>
      <c r="C396" s="139"/>
      <c r="D396" s="139"/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  <c r="AA396" s="139"/>
      <c r="AB396" s="139"/>
      <c r="AC396" s="139"/>
      <c r="AD396" s="139"/>
      <c r="AE396" s="139"/>
      <c r="AF396" s="139"/>
      <c r="AG396" s="139"/>
      <c r="AH396" s="139"/>
      <c r="AI396" s="139"/>
      <c r="AJ396" s="139"/>
    </row>
    <row r="397">
      <c r="A397" s="9"/>
      <c r="B397" s="139"/>
      <c r="C397" s="139"/>
      <c r="D397" s="139"/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  <c r="AA397" s="139"/>
      <c r="AB397" s="139"/>
      <c r="AC397" s="139"/>
      <c r="AD397" s="139"/>
      <c r="AE397" s="139"/>
      <c r="AF397" s="139"/>
      <c r="AG397" s="139"/>
      <c r="AH397" s="139"/>
      <c r="AI397" s="139"/>
      <c r="AJ397" s="139"/>
    </row>
    <row r="398">
      <c r="A398" s="9"/>
      <c r="B398" s="139"/>
      <c r="C398" s="139"/>
      <c r="D398" s="139"/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  <c r="AA398" s="139"/>
      <c r="AB398" s="139"/>
      <c r="AC398" s="139"/>
      <c r="AD398" s="139"/>
      <c r="AE398" s="139"/>
      <c r="AF398" s="139"/>
      <c r="AG398" s="139"/>
      <c r="AH398" s="139"/>
      <c r="AI398" s="139"/>
      <c r="AJ398" s="139"/>
    </row>
    <row r="399">
      <c r="A399" s="9"/>
      <c r="B399" s="139"/>
      <c r="C399" s="139"/>
      <c r="D399" s="139"/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  <c r="AA399" s="139"/>
      <c r="AB399" s="139"/>
      <c r="AC399" s="139"/>
      <c r="AD399" s="139"/>
      <c r="AE399" s="139"/>
      <c r="AF399" s="139"/>
      <c r="AG399" s="139"/>
      <c r="AH399" s="139"/>
      <c r="AI399" s="139"/>
      <c r="AJ399" s="139"/>
    </row>
    <row r="400">
      <c r="A400" s="9"/>
      <c r="B400" s="139"/>
      <c r="C400" s="139"/>
      <c r="D400" s="139"/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  <c r="AA400" s="139"/>
      <c r="AB400" s="139"/>
      <c r="AC400" s="139"/>
      <c r="AD400" s="139"/>
      <c r="AE400" s="139"/>
      <c r="AF400" s="139"/>
      <c r="AG400" s="139"/>
      <c r="AH400" s="139"/>
      <c r="AI400" s="139"/>
      <c r="AJ400" s="139"/>
    </row>
    <row r="401">
      <c r="A401" s="9"/>
      <c r="B401" s="139"/>
      <c r="C401" s="139"/>
      <c r="D401" s="139"/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  <c r="AA401" s="139"/>
      <c r="AB401" s="139"/>
      <c r="AC401" s="139"/>
      <c r="AD401" s="139"/>
      <c r="AE401" s="139"/>
      <c r="AF401" s="139"/>
      <c r="AG401" s="139"/>
      <c r="AH401" s="139"/>
      <c r="AI401" s="139"/>
      <c r="AJ401" s="139"/>
    </row>
    <row r="402">
      <c r="A402" s="9"/>
      <c r="B402" s="139"/>
      <c r="C402" s="139"/>
      <c r="D402" s="139"/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  <c r="AA402" s="139"/>
      <c r="AB402" s="139"/>
      <c r="AC402" s="139"/>
      <c r="AD402" s="139"/>
      <c r="AE402" s="139"/>
      <c r="AF402" s="139"/>
      <c r="AG402" s="139"/>
      <c r="AH402" s="139"/>
      <c r="AI402" s="139"/>
      <c r="AJ402" s="139"/>
    </row>
    <row r="403">
      <c r="A403" s="9"/>
      <c r="B403" s="139"/>
      <c r="C403" s="139"/>
      <c r="D403" s="139"/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  <c r="AA403" s="139"/>
      <c r="AB403" s="139"/>
      <c r="AC403" s="139"/>
      <c r="AD403" s="139"/>
      <c r="AE403" s="139"/>
      <c r="AF403" s="139"/>
      <c r="AG403" s="139"/>
      <c r="AH403" s="139"/>
      <c r="AI403" s="139"/>
      <c r="AJ403" s="139"/>
    </row>
    <row r="404">
      <c r="A404" s="9"/>
      <c r="B404" s="139"/>
      <c r="C404" s="139"/>
      <c r="D404" s="139"/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  <c r="AA404" s="139"/>
      <c r="AB404" s="139"/>
      <c r="AC404" s="139"/>
      <c r="AD404" s="139"/>
      <c r="AE404" s="139"/>
      <c r="AF404" s="139"/>
      <c r="AG404" s="139"/>
      <c r="AH404" s="139"/>
      <c r="AI404" s="139"/>
      <c r="AJ404" s="139"/>
    </row>
    <row r="405">
      <c r="A405" s="9"/>
      <c r="B405" s="139"/>
      <c r="C405" s="139"/>
      <c r="D405" s="139"/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  <c r="AA405" s="139"/>
      <c r="AB405" s="139"/>
      <c r="AC405" s="139"/>
      <c r="AD405" s="139"/>
      <c r="AE405" s="139"/>
      <c r="AF405" s="139"/>
      <c r="AG405" s="139"/>
      <c r="AH405" s="139"/>
      <c r="AI405" s="139"/>
      <c r="AJ405" s="139"/>
    </row>
    <row r="406">
      <c r="A406" s="9"/>
      <c r="B406" s="139"/>
      <c r="C406" s="139"/>
      <c r="D406" s="139"/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  <c r="AA406" s="139"/>
      <c r="AB406" s="139"/>
      <c r="AC406" s="139"/>
      <c r="AD406" s="139"/>
      <c r="AE406" s="139"/>
      <c r="AF406" s="139"/>
      <c r="AG406" s="139"/>
      <c r="AH406" s="139"/>
      <c r="AI406" s="139"/>
      <c r="AJ406" s="139"/>
    </row>
    <row r="407">
      <c r="A407" s="9"/>
      <c r="B407" s="139"/>
      <c r="C407" s="139"/>
      <c r="D407" s="139"/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  <c r="AA407" s="139"/>
      <c r="AB407" s="139"/>
      <c r="AC407" s="139"/>
      <c r="AD407" s="139"/>
      <c r="AE407" s="139"/>
      <c r="AF407" s="139"/>
      <c r="AG407" s="139"/>
      <c r="AH407" s="139"/>
      <c r="AI407" s="139"/>
      <c r="AJ407" s="139"/>
    </row>
    <row r="408">
      <c r="A408" s="9"/>
      <c r="B408" s="139"/>
      <c r="C408" s="139"/>
      <c r="D408" s="139"/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  <c r="AA408" s="139"/>
      <c r="AB408" s="139"/>
      <c r="AC408" s="139"/>
      <c r="AD408" s="139"/>
      <c r="AE408" s="139"/>
      <c r="AF408" s="139"/>
      <c r="AG408" s="139"/>
      <c r="AH408" s="139"/>
      <c r="AI408" s="139"/>
      <c r="AJ408" s="139"/>
    </row>
    <row r="409">
      <c r="A409" s="9"/>
      <c r="B409" s="139"/>
      <c r="C409" s="139"/>
      <c r="D409" s="139"/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  <c r="AA409" s="139"/>
      <c r="AB409" s="139"/>
      <c r="AC409" s="139"/>
      <c r="AD409" s="139"/>
      <c r="AE409" s="139"/>
      <c r="AF409" s="139"/>
      <c r="AG409" s="139"/>
      <c r="AH409" s="139"/>
      <c r="AI409" s="139"/>
      <c r="AJ409" s="139"/>
    </row>
    <row r="410">
      <c r="A410" s="9"/>
      <c r="B410" s="139"/>
      <c r="C410" s="139"/>
      <c r="D410" s="139"/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  <c r="AA410" s="139"/>
      <c r="AB410" s="139"/>
      <c r="AC410" s="139"/>
      <c r="AD410" s="139"/>
      <c r="AE410" s="139"/>
      <c r="AF410" s="139"/>
      <c r="AG410" s="139"/>
      <c r="AH410" s="139"/>
      <c r="AI410" s="139"/>
      <c r="AJ410" s="139"/>
    </row>
    <row r="411">
      <c r="A411" s="9"/>
      <c r="B411" s="139"/>
      <c r="C411" s="139"/>
      <c r="D411" s="139"/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  <c r="AA411" s="139"/>
      <c r="AB411" s="139"/>
      <c r="AC411" s="139"/>
      <c r="AD411" s="139"/>
      <c r="AE411" s="139"/>
      <c r="AF411" s="139"/>
      <c r="AG411" s="139"/>
      <c r="AH411" s="139"/>
      <c r="AI411" s="139"/>
      <c r="AJ411" s="139"/>
    </row>
    <row r="412">
      <c r="A412" s="9"/>
      <c r="B412" s="139"/>
      <c r="C412" s="139"/>
      <c r="D412" s="139"/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  <c r="AA412" s="139"/>
      <c r="AB412" s="139"/>
      <c r="AC412" s="139"/>
      <c r="AD412" s="139"/>
      <c r="AE412" s="139"/>
      <c r="AF412" s="139"/>
      <c r="AG412" s="139"/>
      <c r="AH412" s="139"/>
      <c r="AI412" s="139"/>
      <c r="AJ412" s="139"/>
    </row>
    <row r="413">
      <c r="A413" s="9"/>
      <c r="B413" s="139"/>
      <c r="C413" s="139"/>
      <c r="D413" s="139"/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  <c r="AA413" s="139"/>
      <c r="AB413" s="139"/>
      <c r="AC413" s="139"/>
      <c r="AD413" s="139"/>
      <c r="AE413" s="139"/>
      <c r="AF413" s="139"/>
      <c r="AG413" s="139"/>
      <c r="AH413" s="139"/>
      <c r="AI413" s="139"/>
      <c r="AJ413" s="139"/>
    </row>
    <row r="414">
      <c r="A414" s="9"/>
      <c r="B414" s="139"/>
      <c r="C414" s="139"/>
      <c r="D414" s="139"/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  <c r="AA414" s="139"/>
      <c r="AB414" s="139"/>
      <c r="AC414" s="139"/>
      <c r="AD414" s="139"/>
      <c r="AE414" s="139"/>
      <c r="AF414" s="139"/>
      <c r="AG414" s="139"/>
      <c r="AH414" s="139"/>
      <c r="AI414" s="139"/>
      <c r="AJ414" s="139"/>
    </row>
    <row r="415">
      <c r="A415" s="9"/>
      <c r="B415" s="139"/>
      <c r="C415" s="139"/>
      <c r="D415" s="139"/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  <c r="AA415" s="139"/>
      <c r="AB415" s="139"/>
      <c r="AC415" s="139"/>
      <c r="AD415" s="139"/>
      <c r="AE415" s="139"/>
      <c r="AF415" s="139"/>
      <c r="AG415" s="139"/>
      <c r="AH415" s="139"/>
      <c r="AI415" s="139"/>
      <c r="AJ415" s="139"/>
    </row>
    <row r="416">
      <c r="A416" s="9"/>
      <c r="B416" s="139"/>
      <c r="C416" s="139"/>
      <c r="D416" s="139"/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  <c r="AA416" s="139"/>
      <c r="AB416" s="139"/>
      <c r="AC416" s="139"/>
      <c r="AD416" s="139"/>
      <c r="AE416" s="139"/>
      <c r="AF416" s="139"/>
      <c r="AG416" s="139"/>
      <c r="AH416" s="139"/>
      <c r="AI416" s="139"/>
      <c r="AJ416" s="139"/>
    </row>
    <row r="417">
      <c r="A417" s="9"/>
      <c r="B417" s="139"/>
      <c r="C417" s="139"/>
      <c r="D417" s="139"/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  <c r="AA417" s="139"/>
      <c r="AB417" s="139"/>
      <c r="AC417" s="139"/>
      <c r="AD417" s="139"/>
      <c r="AE417" s="139"/>
      <c r="AF417" s="139"/>
      <c r="AG417" s="139"/>
      <c r="AH417" s="139"/>
      <c r="AI417" s="139"/>
      <c r="AJ417" s="139"/>
    </row>
    <row r="418">
      <c r="A418" s="9"/>
      <c r="B418" s="139"/>
      <c r="C418" s="139"/>
      <c r="D418" s="139"/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  <c r="AA418" s="139"/>
      <c r="AB418" s="139"/>
      <c r="AC418" s="139"/>
      <c r="AD418" s="139"/>
      <c r="AE418" s="139"/>
      <c r="AF418" s="139"/>
      <c r="AG418" s="139"/>
      <c r="AH418" s="139"/>
      <c r="AI418" s="139"/>
      <c r="AJ418" s="139"/>
    </row>
    <row r="419">
      <c r="A419" s="9"/>
      <c r="B419" s="139"/>
      <c r="C419" s="139"/>
      <c r="D419" s="139"/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  <c r="AA419" s="139"/>
      <c r="AB419" s="139"/>
      <c r="AC419" s="139"/>
      <c r="AD419" s="139"/>
      <c r="AE419" s="139"/>
      <c r="AF419" s="139"/>
      <c r="AG419" s="139"/>
      <c r="AH419" s="139"/>
      <c r="AI419" s="139"/>
      <c r="AJ419" s="139"/>
    </row>
    <row r="420">
      <c r="A420" s="9"/>
      <c r="B420" s="139"/>
      <c r="C420" s="139"/>
      <c r="D420" s="139"/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  <c r="AA420" s="139"/>
      <c r="AB420" s="139"/>
      <c r="AC420" s="139"/>
      <c r="AD420" s="139"/>
      <c r="AE420" s="139"/>
      <c r="AF420" s="139"/>
      <c r="AG420" s="139"/>
      <c r="AH420" s="139"/>
      <c r="AI420" s="139"/>
      <c r="AJ420" s="139"/>
    </row>
    <row r="421">
      <c r="A421" s="9"/>
      <c r="B421" s="139"/>
      <c r="C421" s="139"/>
      <c r="D421" s="139"/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  <c r="AA421" s="139"/>
      <c r="AB421" s="139"/>
      <c r="AC421" s="139"/>
      <c r="AD421" s="139"/>
      <c r="AE421" s="139"/>
      <c r="AF421" s="139"/>
      <c r="AG421" s="139"/>
      <c r="AH421" s="139"/>
      <c r="AI421" s="139"/>
      <c r="AJ421" s="139"/>
    </row>
    <row r="422">
      <c r="A422" s="9"/>
      <c r="B422" s="139"/>
      <c r="C422" s="139"/>
      <c r="D422" s="139"/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  <c r="AA422" s="139"/>
      <c r="AB422" s="139"/>
      <c r="AC422" s="139"/>
      <c r="AD422" s="139"/>
      <c r="AE422" s="139"/>
      <c r="AF422" s="139"/>
      <c r="AG422" s="139"/>
      <c r="AH422" s="139"/>
      <c r="AI422" s="139"/>
      <c r="AJ422" s="139"/>
    </row>
    <row r="423">
      <c r="A423" s="9"/>
      <c r="B423" s="139"/>
      <c r="C423" s="139"/>
      <c r="D423" s="139"/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  <c r="AA423" s="139"/>
      <c r="AB423" s="139"/>
      <c r="AC423" s="139"/>
      <c r="AD423" s="139"/>
      <c r="AE423" s="139"/>
      <c r="AF423" s="139"/>
      <c r="AG423" s="139"/>
      <c r="AH423" s="139"/>
      <c r="AI423" s="139"/>
      <c r="AJ423" s="139"/>
    </row>
    <row r="424">
      <c r="A424" s="9"/>
      <c r="B424" s="139"/>
      <c r="C424" s="139"/>
      <c r="D424" s="139"/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  <c r="AA424" s="139"/>
      <c r="AB424" s="139"/>
      <c r="AC424" s="139"/>
      <c r="AD424" s="139"/>
      <c r="AE424" s="139"/>
      <c r="AF424" s="139"/>
      <c r="AG424" s="139"/>
      <c r="AH424" s="139"/>
      <c r="AI424" s="139"/>
      <c r="AJ424" s="139"/>
    </row>
    <row r="425">
      <c r="A425" s="9"/>
      <c r="B425" s="139"/>
      <c r="C425" s="139"/>
      <c r="D425" s="139"/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  <c r="AA425" s="139"/>
      <c r="AB425" s="139"/>
      <c r="AC425" s="139"/>
      <c r="AD425" s="139"/>
      <c r="AE425" s="139"/>
      <c r="AF425" s="139"/>
      <c r="AG425" s="139"/>
      <c r="AH425" s="139"/>
      <c r="AI425" s="139"/>
      <c r="AJ425" s="139"/>
    </row>
    <row r="426">
      <c r="A426" s="9"/>
      <c r="B426" s="139"/>
      <c r="C426" s="139"/>
      <c r="D426" s="139"/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  <c r="AA426" s="139"/>
      <c r="AB426" s="139"/>
      <c r="AC426" s="139"/>
      <c r="AD426" s="139"/>
      <c r="AE426" s="139"/>
      <c r="AF426" s="139"/>
      <c r="AG426" s="139"/>
      <c r="AH426" s="139"/>
      <c r="AI426" s="139"/>
      <c r="AJ426" s="139"/>
    </row>
    <row r="427">
      <c r="A427" s="9"/>
      <c r="B427" s="139"/>
      <c r="C427" s="139"/>
      <c r="D427" s="139"/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  <c r="AA427" s="139"/>
      <c r="AB427" s="139"/>
      <c r="AC427" s="139"/>
      <c r="AD427" s="139"/>
      <c r="AE427" s="139"/>
      <c r="AF427" s="139"/>
      <c r="AG427" s="139"/>
      <c r="AH427" s="139"/>
      <c r="AI427" s="139"/>
      <c r="AJ427" s="139"/>
    </row>
    <row r="428">
      <c r="A428" s="9"/>
      <c r="B428" s="139"/>
      <c r="C428" s="139"/>
      <c r="D428" s="139"/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  <c r="AA428" s="139"/>
      <c r="AB428" s="139"/>
      <c r="AC428" s="139"/>
      <c r="AD428" s="139"/>
      <c r="AE428" s="139"/>
      <c r="AF428" s="139"/>
      <c r="AG428" s="139"/>
      <c r="AH428" s="139"/>
      <c r="AI428" s="139"/>
      <c r="AJ428" s="139"/>
    </row>
    <row r="429">
      <c r="A429" s="9"/>
      <c r="B429" s="139"/>
      <c r="C429" s="139"/>
      <c r="D429" s="139"/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  <c r="AA429" s="139"/>
      <c r="AB429" s="139"/>
      <c r="AC429" s="139"/>
      <c r="AD429" s="139"/>
      <c r="AE429" s="139"/>
      <c r="AF429" s="139"/>
      <c r="AG429" s="139"/>
      <c r="AH429" s="139"/>
      <c r="AI429" s="139"/>
      <c r="AJ429" s="139"/>
    </row>
    <row r="430">
      <c r="A430" s="9"/>
      <c r="B430" s="139"/>
      <c r="C430" s="139"/>
      <c r="D430" s="139"/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  <c r="AA430" s="139"/>
      <c r="AB430" s="139"/>
      <c r="AC430" s="139"/>
      <c r="AD430" s="139"/>
      <c r="AE430" s="139"/>
      <c r="AF430" s="139"/>
      <c r="AG430" s="139"/>
      <c r="AH430" s="139"/>
      <c r="AI430" s="139"/>
      <c r="AJ430" s="139"/>
    </row>
    <row r="431">
      <c r="A431" s="9"/>
      <c r="B431" s="139"/>
      <c r="C431" s="139"/>
      <c r="D431" s="139"/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  <c r="AA431" s="139"/>
      <c r="AB431" s="139"/>
      <c r="AC431" s="139"/>
      <c r="AD431" s="139"/>
      <c r="AE431" s="139"/>
      <c r="AF431" s="139"/>
      <c r="AG431" s="139"/>
      <c r="AH431" s="139"/>
      <c r="AI431" s="139"/>
      <c r="AJ431" s="139"/>
    </row>
    <row r="432">
      <c r="A432" s="9"/>
      <c r="B432" s="139"/>
      <c r="C432" s="139"/>
      <c r="D432" s="139"/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  <c r="AA432" s="139"/>
      <c r="AB432" s="139"/>
      <c r="AC432" s="139"/>
      <c r="AD432" s="139"/>
      <c r="AE432" s="139"/>
      <c r="AF432" s="139"/>
      <c r="AG432" s="139"/>
      <c r="AH432" s="139"/>
      <c r="AI432" s="139"/>
      <c r="AJ432" s="139"/>
    </row>
    <row r="433">
      <c r="A433" s="9"/>
      <c r="B433" s="139"/>
      <c r="C433" s="139"/>
      <c r="D433" s="139"/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  <c r="AA433" s="139"/>
      <c r="AB433" s="139"/>
      <c r="AC433" s="139"/>
      <c r="AD433" s="139"/>
      <c r="AE433" s="139"/>
      <c r="AF433" s="139"/>
      <c r="AG433" s="139"/>
      <c r="AH433" s="139"/>
      <c r="AI433" s="139"/>
      <c r="AJ433" s="139"/>
    </row>
    <row r="434">
      <c r="A434" s="9"/>
      <c r="B434" s="139"/>
      <c r="C434" s="139"/>
      <c r="D434" s="139"/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  <c r="AA434" s="139"/>
      <c r="AB434" s="139"/>
      <c r="AC434" s="139"/>
      <c r="AD434" s="139"/>
      <c r="AE434" s="139"/>
      <c r="AF434" s="139"/>
      <c r="AG434" s="139"/>
      <c r="AH434" s="139"/>
      <c r="AI434" s="139"/>
      <c r="AJ434" s="139"/>
    </row>
    <row r="435">
      <c r="A435" s="9"/>
      <c r="B435" s="139"/>
      <c r="C435" s="139"/>
      <c r="D435" s="139"/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  <c r="AA435" s="139"/>
      <c r="AB435" s="139"/>
      <c r="AC435" s="139"/>
      <c r="AD435" s="139"/>
      <c r="AE435" s="139"/>
      <c r="AF435" s="139"/>
      <c r="AG435" s="139"/>
      <c r="AH435" s="139"/>
      <c r="AI435" s="139"/>
      <c r="AJ435" s="139"/>
    </row>
    <row r="436">
      <c r="A436" s="9"/>
      <c r="B436" s="139"/>
      <c r="C436" s="139"/>
      <c r="D436" s="139"/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  <c r="AA436" s="139"/>
      <c r="AB436" s="139"/>
      <c r="AC436" s="139"/>
      <c r="AD436" s="139"/>
      <c r="AE436" s="139"/>
      <c r="AF436" s="139"/>
      <c r="AG436" s="139"/>
      <c r="AH436" s="139"/>
      <c r="AI436" s="139"/>
      <c r="AJ436" s="139"/>
    </row>
    <row r="437">
      <c r="A437" s="9"/>
      <c r="B437" s="139"/>
      <c r="C437" s="139"/>
      <c r="D437" s="139"/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  <c r="AA437" s="139"/>
      <c r="AB437" s="139"/>
      <c r="AC437" s="139"/>
      <c r="AD437" s="139"/>
      <c r="AE437" s="139"/>
      <c r="AF437" s="139"/>
      <c r="AG437" s="139"/>
      <c r="AH437" s="139"/>
      <c r="AI437" s="139"/>
      <c r="AJ437" s="139"/>
    </row>
    <row r="438">
      <c r="A438" s="9"/>
      <c r="B438" s="139"/>
      <c r="C438" s="139"/>
      <c r="D438" s="139"/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  <c r="AA438" s="139"/>
      <c r="AB438" s="139"/>
      <c r="AC438" s="139"/>
      <c r="AD438" s="139"/>
      <c r="AE438" s="139"/>
      <c r="AF438" s="139"/>
      <c r="AG438" s="139"/>
      <c r="AH438" s="139"/>
      <c r="AI438" s="139"/>
      <c r="AJ438" s="139"/>
    </row>
    <row r="439">
      <c r="A439" s="9"/>
      <c r="B439" s="139"/>
      <c r="C439" s="139"/>
      <c r="D439" s="139"/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  <c r="AA439" s="139"/>
      <c r="AB439" s="139"/>
      <c r="AC439" s="139"/>
      <c r="AD439" s="139"/>
      <c r="AE439" s="139"/>
      <c r="AF439" s="139"/>
      <c r="AG439" s="139"/>
      <c r="AH439" s="139"/>
      <c r="AI439" s="139"/>
      <c r="AJ439" s="139"/>
    </row>
    <row r="440">
      <c r="A440" s="9"/>
      <c r="B440" s="139"/>
      <c r="C440" s="139"/>
      <c r="D440" s="139"/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  <c r="AA440" s="139"/>
      <c r="AB440" s="139"/>
      <c r="AC440" s="139"/>
      <c r="AD440" s="139"/>
      <c r="AE440" s="139"/>
      <c r="AF440" s="139"/>
      <c r="AG440" s="139"/>
      <c r="AH440" s="139"/>
      <c r="AI440" s="139"/>
      <c r="AJ440" s="139"/>
    </row>
    <row r="441">
      <c r="A441" s="9"/>
      <c r="B441" s="139"/>
      <c r="C441" s="139"/>
      <c r="D441" s="139"/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  <c r="AA441" s="139"/>
      <c r="AB441" s="139"/>
      <c r="AC441" s="139"/>
      <c r="AD441" s="139"/>
      <c r="AE441" s="139"/>
      <c r="AF441" s="139"/>
      <c r="AG441" s="139"/>
      <c r="AH441" s="139"/>
      <c r="AI441" s="139"/>
      <c r="AJ441" s="139"/>
    </row>
    <row r="442">
      <c r="A442" s="9"/>
      <c r="B442" s="139"/>
      <c r="C442" s="139"/>
      <c r="D442" s="139"/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  <c r="AA442" s="139"/>
      <c r="AB442" s="139"/>
      <c r="AC442" s="139"/>
      <c r="AD442" s="139"/>
      <c r="AE442" s="139"/>
      <c r="AF442" s="139"/>
      <c r="AG442" s="139"/>
      <c r="AH442" s="139"/>
      <c r="AI442" s="139"/>
      <c r="AJ442" s="139"/>
    </row>
    <row r="443">
      <c r="A443" s="9"/>
      <c r="B443" s="139"/>
      <c r="C443" s="139"/>
      <c r="D443" s="139"/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  <c r="AA443" s="139"/>
      <c r="AB443" s="139"/>
      <c r="AC443" s="139"/>
      <c r="AD443" s="139"/>
      <c r="AE443" s="139"/>
      <c r="AF443" s="139"/>
      <c r="AG443" s="139"/>
      <c r="AH443" s="139"/>
      <c r="AI443" s="139"/>
      <c r="AJ443" s="139"/>
    </row>
    <row r="444">
      <c r="A444" s="9"/>
      <c r="B444" s="139"/>
      <c r="C444" s="139"/>
      <c r="D444" s="139"/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  <c r="AA444" s="139"/>
      <c r="AB444" s="139"/>
      <c r="AC444" s="139"/>
      <c r="AD444" s="139"/>
      <c r="AE444" s="139"/>
      <c r="AF444" s="139"/>
      <c r="AG444" s="139"/>
      <c r="AH444" s="139"/>
      <c r="AI444" s="139"/>
      <c r="AJ444" s="139"/>
    </row>
    <row r="445">
      <c r="A445" s="9"/>
      <c r="B445" s="139"/>
      <c r="C445" s="139"/>
      <c r="D445" s="139"/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  <c r="AA445" s="139"/>
      <c r="AB445" s="139"/>
      <c r="AC445" s="139"/>
      <c r="AD445" s="139"/>
      <c r="AE445" s="139"/>
      <c r="AF445" s="139"/>
      <c r="AG445" s="139"/>
      <c r="AH445" s="139"/>
      <c r="AI445" s="139"/>
      <c r="AJ445" s="139"/>
    </row>
    <row r="446">
      <c r="A446" s="9"/>
      <c r="B446" s="139"/>
      <c r="C446" s="139"/>
      <c r="D446" s="139"/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  <c r="AA446" s="139"/>
      <c r="AB446" s="139"/>
      <c r="AC446" s="139"/>
      <c r="AD446" s="139"/>
      <c r="AE446" s="139"/>
      <c r="AF446" s="139"/>
      <c r="AG446" s="139"/>
      <c r="AH446" s="139"/>
      <c r="AI446" s="139"/>
      <c r="AJ446" s="139"/>
    </row>
    <row r="447">
      <c r="A447" s="9"/>
      <c r="B447" s="139"/>
      <c r="C447" s="139"/>
      <c r="D447" s="139"/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  <c r="AA447" s="139"/>
      <c r="AB447" s="139"/>
      <c r="AC447" s="139"/>
      <c r="AD447" s="139"/>
      <c r="AE447" s="139"/>
      <c r="AF447" s="139"/>
      <c r="AG447" s="139"/>
      <c r="AH447" s="139"/>
      <c r="AI447" s="139"/>
      <c r="AJ447" s="139"/>
    </row>
    <row r="448">
      <c r="A448" s="9"/>
      <c r="B448" s="139"/>
      <c r="C448" s="139"/>
      <c r="D448" s="139"/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  <c r="AA448" s="139"/>
      <c r="AB448" s="139"/>
      <c r="AC448" s="139"/>
      <c r="AD448" s="139"/>
      <c r="AE448" s="139"/>
      <c r="AF448" s="139"/>
      <c r="AG448" s="139"/>
      <c r="AH448" s="139"/>
      <c r="AI448" s="139"/>
      <c r="AJ448" s="139"/>
    </row>
    <row r="449">
      <c r="A449" s="9"/>
      <c r="B449" s="139"/>
      <c r="C449" s="139"/>
      <c r="D449" s="139"/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  <c r="AA449" s="139"/>
      <c r="AB449" s="139"/>
      <c r="AC449" s="139"/>
      <c r="AD449" s="139"/>
      <c r="AE449" s="139"/>
      <c r="AF449" s="139"/>
      <c r="AG449" s="139"/>
      <c r="AH449" s="139"/>
      <c r="AI449" s="139"/>
      <c r="AJ449" s="139"/>
    </row>
    <row r="450">
      <c r="A450" s="9"/>
      <c r="B450" s="139"/>
      <c r="C450" s="139"/>
      <c r="D450" s="139"/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  <c r="AA450" s="139"/>
      <c r="AB450" s="139"/>
      <c r="AC450" s="139"/>
      <c r="AD450" s="139"/>
      <c r="AE450" s="139"/>
      <c r="AF450" s="139"/>
      <c r="AG450" s="139"/>
      <c r="AH450" s="139"/>
      <c r="AI450" s="139"/>
      <c r="AJ450" s="139"/>
    </row>
    <row r="451">
      <c r="A451" s="9"/>
      <c r="B451" s="139"/>
      <c r="C451" s="139"/>
      <c r="D451" s="139"/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  <c r="AA451" s="139"/>
      <c r="AB451" s="139"/>
      <c r="AC451" s="139"/>
      <c r="AD451" s="139"/>
      <c r="AE451" s="139"/>
      <c r="AF451" s="139"/>
      <c r="AG451" s="139"/>
      <c r="AH451" s="139"/>
      <c r="AI451" s="139"/>
      <c r="AJ451" s="139"/>
    </row>
    <row r="452">
      <c r="A452" s="9"/>
      <c r="B452" s="139"/>
      <c r="C452" s="139"/>
      <c r="D452" s="139"/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  <c r="AA452" s="139"/>
      <c r="AB452" s="139"/>
      <c r="AC452" s="139"/>
      <c r="AD452" s="139"/>
      <c r="AE452" s="139"/>
      <c r="AF452" s="139"/>
      <c r="AG452" s="139"/>
      <c r="AH452" s="139"/>
      <c r="AI452" s="139"/>
      <c r="AJ452" s="139"/>
    </row>
    <row r="453">
      <c r="A453" s="9"/>
      <c r="B453" s="139"/>
      <c r="C453" s="139"/>
      <c r="D453" s="139"/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  <c r="AA453" s="139"/>
      <c r="AB453" s="139"/>
      <c r="AC453" s="139"/>
      <c r="AD453" s="139"/>
      <c r="AE453" s="139"/>
      <c r="AF453" s="139"/>
      <c r="AG453" s="139"/>
      <c r="AH453" s="139"/>
      <c r="AI453" s="139"/>
      <c r="AJ453" s="139"/>
    </row>
    <row r="454">
      <c r="A454" s="9"/>
      <c r="B454" s="139"/>
      <c r="C454" s="139"/>
      <c r="D454" s="139"/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  <c r="AA454" s="139"/>
      <c r="AB454" s="139"/>
      <c r="AC454" s="139"/>
      <c r="AD454" s="139"/>
      <c r="AE454" s="139"/>
      <c r="AF454" s="139"/>
      <c r="AG454" s="139"/>
      <c r="AH454" s="139"/>
      <c r="AI454" s="139"/>
      <c r="AJ454" s="139"/>
    </row>
    <row r="455">
      <c r="A455" s="9"/>
      <c r="B455" s="139"/>
      <c r="C455" s="139"/>
      <c r="D455" s="139"/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  <c r="AA455" s="139"/>
      <c r="AB455" s="139"/>
      <c r="AC455" s="139"/>
      <c r="AD455" s="139"/>
      <c r="AE455" s="139"/>
      <c r="AF455" s="139"/>
      <c r="AG455" s="139"/>
      <c r="AH455" s="139"/>
      <c r="AI455" s="139"/>
      <c r="AJ455" s="139"/>
    </row>
    <row r="456">
      <c r="A456" s="9"/>
      <c r="B456" s="139"/>
      <c r="C456" s="139"/>
      <c r="D456" s="139"/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  <c r="AA456" s="139"/>
      <c r="AB456" s="139"/>
      <c r="AC456" s="139"/>
      <c r="AD456" s="139"/>
      <c r="AE456" s="139"/>
      <c r="AF456" s="139"/>
      <c r="AG456" s="139"/>
      <c r="AH456" s="139"/>
      <c r="AI456" s="139"/>
      <c r="AJ456" s="139"/>
    </row>
    <row r="457">
      <c r="A457" s="9"/>
      <c r="B457" s="139"/>
      <c r="C457" s="139"/>
      <c r="D457" s="139"/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  <c r="AA457" s="139"/>
      <c r="AB457" s="139"/>
      <c r="AC457" s="139"/>
      <c r="AD457" s="139"/>
      <c r="AE457" s="139"/>
      <c r="AF457" s="139"/>
      <c r="AG457" s="139"/>
      <c r="AH457" s="139"/>
      <c r="AI457" s="139"/>
      <c r="AJ457" s="139"/>
    </row>
    <row r="458">
      <c r="A458" s="9"/>
      <c r="B458" s="139"/>
      <c r="C458" s="139"/>
      <c r="D458" s="139"/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  <c r="AA458" s="139"/>
      <c r="AB458" s="139"/>
      <c r="AC458" s="139"/>
      <c r="AD458" s="139"/>
      <c r="AE458" s="139"/>
      <c r="AF458" s="139"/>
      <c r="AG458" s="139"/>
      <c r="AH458" s="139"/>
      <c r="AI458" s="139"/>
      <c r="AJ458" s="139"/>
    </row>
    <row r="459">
      <c r="A459" s="9"/>
      <c r="B459" s="139"/>
      <c r="C459" s="139"/>
      <c r="D459" s="139"/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  <c r="AA459" s="139"/>
      <c r="AB459" s="139"/>
      <c r="AC459" s="139"/>
      <c r="AD459" s="139"/>
      <c r="AE459" s="139"/>
      <c r="AF459" s="139"/>
      <c r="AG459" s="139"/>
      <c r="AH459" s="139"/>
      <c r="AI459" s="139"/>
      <c r="AJ459" s="139"/>
    </row>
    <row r="460">
      <c r="A460" s="9"/>
      <c r="B460" s="139"/>
      <c r="C460" s="139"/>
      <c r="D460" s="139"/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  <c r="AA460" s="139"/>
      <c r="AB460" s="139"/>
      <c r="AC460" s="139"/>
      <c r="AD460" s="139"/>
      <c r="AE460" s="139"/>
      <c r="AF460" s="139"/>
      <c r="AG460" s="139"/>
      <c r="AH460" s="139"/>
      <c r="AI460" s="139"/>
      <c r="AJ460" s="139"/>
    </row>
    <row r="461">
      <c r="A461" s="9"/>
      <c r="B461" s="139"/>
      <c r="C461" s="139"/>
      <c r="D461" s="139"/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  <c r="AA461" s="139"/>
      <c r="AB461" s="139"/>
      <c r="AC461" s="139"/>
      <c r="AD461" s="139"/>
      <c r="AE461" s="139"/>
      <c r="AF461" s="139"/>
      <c r="AG461" s="139"/>
      <c r="AH461" s="139"/>
      <c r="AI461" s="139"/>
      <c r="AJ461" s="139"/>
    </row>
    <row r="462">
      <c r="A462" s="9"/>
      <c r="B462" s="139"/>
      <c r="C462" s="139"/>
      <c r="D462" s="139"/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  <c r="AA462" s="139"/>
      <c r="AB462" s="139"/>
      <c r="AC462" s="139"/>
      <c r="AD462" s="139"/>
      <c r="AE462" s="139"/>
      <c r="AF462" s="139"/>
      <c r="AG462" s="139"/>
      <c r="AH462" s="139"/>
      <c r="AI462" s="139"/>
      <c r="AJ462" s="139"/>
    </row>
    <row r="463">
      <c r="A463" s="9"/>
      <c r="B463" s="139"/>
      <c r="C463" s="139"/>
      <c r="D463" s="139"/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  <c r="AA463" s="139"/>
      <c r="AB463" s="139"/>
      <c r="AC463" s="139"/>
      <c r="AD463" s="139"/>
      <c r="AE463" s="139"/>
      <c r="AF463" s="139"/>
      <c r="AG463" s="139"/>
      <c r="AH463" s="139"/>
      <c r="AI463" s="139"/>
      <c r="AJ463" s="139"/>
    </row>
    <row r="464">
      <c r="A464" s="9"/>
      <c r="B464" s="139"/>
      <c r="C464" s="139"/>
      <c r="D464" s="139"/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  <c r="AA464" s="139"/>
      <c r="AB464" s="139"/>
      <c r="AC464" s="139"/>
      <c r="AD464" s="139"/>
      <c r="AE464" s="139"/>
      <c r="AF464" s="139"/>
      <c r="AG464" s="139"/>
      <c r="AH464" s="139"/>
      <c r="AI464" s="139"/>
      <c r="AJ464" s="139"/>
    </row>
    <row r="465">
      <c r="A465" s="9"/>
      <c r="B465" s="139"/>
      <c r="C465" s="139"/>
      <c r="D465" s="139"/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  <c r="AA465" s="139"/>
      <c r="AB465" s="139"/>
      <c r="AC465" s="139"/>
      <c r="AD465" s="139"/>
      <c r="AE465" s="139"/>
      <c r="AF465" s="139"/>
      <c r="AG465" s="139"/>
      <c r="AH465" s="139"/>
      <c r="AI465" s="139"/>
      <c r="AJ465" s="139"/>
    </row>
    <row r="466">
      <c r="A466" s="9"/>
      <c r="B466" s="139"/>
      <c r="C466" s="139"/>
      <c r="D466" s="139"/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  <c r="AA466" s="139"/>
      <c r="AB466" s="139"/>
      <c r="AC466" s="139"/>
      <c r="AD466" s="139"/>
      <c r="AE466" s="139"/>
      <c r="AF466" s="139"/>
      <c r="AG466" s="139"/>
      <c r="AH466" s="139"/>
      <c r="AI466" s="139"/>
      <c r="AJ466" s="139"/>
    </row>
    <row r="467">
      <c r="A467" s="9"/>
      <c r="B467" s="139"/>
      <c r="C467" s="139"/>
      <c r="D467" s="139"/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  <c r="AA467" s="139"/>
      <c r="AB467" s="139"/>
      <c r="AC467" s="139"/>
      <c r="AD467" s="139"/>
      <c r="AE467" s="139"/>
      <c r="AF467" s="139"/>
      <c r="AG467" s="139"/>
      <c r="AH467" s="139"/>
      <c r="AI467" s="139"/>
      <c r="AJ467" s="139"/>
    </row>
    <row r="468">
      <c r="A468" s="9"/>
      <c r="B468" s="139"/>
      <c r="C468" s="139"/>
      <c r="D468" s="139"/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  <c r="AA468" s="139"/>
      <c r="AB468" s="139"/>
      <c r="AC468" s="139"/>
      <c r="AD468" s="139"/>
      <c r="AE468" s="139"/>
      <c r="AF468" s="139"/>
      <c r="AG468" s="139"/>
      <c r="AH468" s="139"/>
      <c r="AI468" s="139"/>
      <c r="AJ468" s="139"/>
    </row>
    <row r="469">
      <c r="A469" s="9"/>
      <c r="B469" s="139"/>
      <c r="C469" s="139"/>
      <c r="D469" s="139"/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  <c r="AA469" s="139"/>
      <c r="AB469" s="139"/>
      <c r="AC469" s="139"/>
      <c r="AD469" s="139"/>
      <c r="AE469" s="139"/>
      <c r="AF469" s="139"/>
      <c r="AG469" s="139"/>
      <c r="AH469" s="139"/>
      <c r="AI469" s="139"/>
      <c r="AJ469" s="139"/>
    </row>
    <row r="470">
      <c r="A470" s="9"/>
      <c r="B470" s="139"/>
      <c r="C470" s="139"/>
      <c r="D470" s="139"/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  <c r="AA470" s="139"/>
      <c r="AB470" s="139"/>
      <c r="AC470" s="139"/>
      <c r="AD470" s="139"/>
      <c r="AE470" s="139"/>
      <c r="AF470" s="139"/>
      <c r="AG470" s="139"/>
      <c r="AH470" s="139"/>
      <c r="AI470" s="139"/>
      <c r="AJ470" s="139"/>
    </row>
    <row r="471">
      <c r="A471" s="9"/>
      <c r="B471" s="139"/>
      <c r="C471" s="139"/>
      <c r="D471" s="139"/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  <c r="AA471" s="139"/>
      <c r="AB471" s="139"/>
      <c r="AC471" s="139"/>
      <c r="AD471" s="139"/>
      <c r="AE471" s="139"/>
      <c r="AF471" s="139"/>
      <c r="AG471" s="139"/>
      <c r="AH471" s="139"/>
      <c r="AI471" s="139"/>
      <c r="AJ471" s="139"/>
    </row>
    <row r="472">
      <c r="A472" s="9"/>
      <c r="B472" s="139"/>
      <c r="C472" s="139"/>
      <c r="D472" s="139"/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  <c r="AA472" s="139"/>
      <c r="AB472" s="139"/>
      <c r="AC472" s="139"/>
      <c r="AD472" s="139"/>
      <c r="AE472" s="139"/>
      <c r="AF472" s="139"/>
      <c r="AG472" s="139"/>
      <c r="AH472" s="139"/>
      <c r="AI472" s="139"/>
      <c r="AJ472" s="139"/>
    </row>
    <row r="473">
      <c r="A473" s="9"/>
      <c r="B473" s="139"/>
      <c r="C473" s="139"/>
      <c r="D473" s="139"/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  <c r="AA473" s="139"/>
      <c r="AB473" s="139"/>
      <c r="AC473" s="139"/>
      <c r="AD473" s="139"/>
      <c r="AE473" s="139"/>
      <c r="AF473" s="139"/>
      <c r="AG473" s="139"/>
      <c r="AH473" s="139"/>
      <c r="AI473" s="139"/>
      <c r="AJ473" s="139"/>
    </row>
    <row r="474">
      <c r="A474" s="9"/>
      <c r="B474" s="139"/>
      <c r="C474" s="139"/>
      <c r="D474" s="139"/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  <c r="AA474" s="139"/>
      <c r="AB474" s="139"/>
      <c r="AC474" s="139"/>
      <c r="AD474" s="139"/>
      <c r="AE474" s="139"/>
      <c r="AF474" s="139"/>
      <c r="AG474" s="139"/>
      <c r="AH474" s="139"/>
      <c r="AI474" s="139"/>
      <c r="AJ474" s="139"/>
    </row>
    <row r="475">
      <c r="A475" s="9"/>
      <c r="B475" s="139"/>
      <c r="C475" s="139"/>
      <c r="D475" s="139"/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  <c r="AA475" s="139"/>
      <c r="AB475" s="139"/>
      <c r="AC475" s="139"/>
      <c r="AD475" s="139"/>
      <c r="AE475" s="139"/>
      <c r="AF475" s="139"/>
      <c r="AG475" s="139"/>
      <c r="AH475" s="139"/>
      <c r="AI475" s="139"/>
      <c r="AJ475" s="139"/>
    </row>
    <row r="476">
      <c r="A476" s="9"/>
      <c r="B476" s="139"/>
      <c r="C476" s="139"/>
      <c r="D476" s="139"/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  <c r="AA476" s="139"/>
      <c r="AB476" s="139"/>
      <c r="AC476" s="139"/>
      <c r="AD476" s="139"/>
      <c r="AE476" s="139"/>
      <c r="AF476" s="139"/>
      <c r="AG476" s="139"/>
      <c r="AH476" s="139"/>
      <c r="AI476" s="139"/>
      <c r="AJ476" s="139"/>
    </row>
    <row r="477">
      <c r="A477" s="9"/>
      <c r="B477" s="139"/>
      <c r="C477" s="139"/>
      <c r="D477" s="139"/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  <c r="AA477" s="139"/>
      <c r="AB477" s="139"/>
      <c r="AC477" s="139"/>
      <c r="AD477" s="139"/>
      <c r="AE477" s="139"/>
      <c r="AF477" s="139"/>
      <c r="AG477" s="139"/>
      <c r="AH477" s="139"/>
      <c r="AI477" s="139"/>
      <c r="AJ477" s="139"/>
    </row>
    <row r="478">
      <c r="A478" s="9"/>
      <c r="B478" s="139"/>
      <c r="C478" s="139"/>
      <c r="D478" s="139"/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  <c r="AA478" s="139"/>
      <c r="AB478" s="139"/>
      <c r="AC478" s="139"/>
      <c r="AD478" s="139"/>
      <c r="AE478" s="139"/>
      <c r="AF478" s="139"/>
      <c r="AG478" s="139"/>
      <c r="AH478" s="139"/>
      <c r="AI478" s="139"/>
      <c r="AJ478" s="139"/>
    </row>
    <row r="479">
      <c r="A479" s="9"/>
      <c r="B479" s="139"/>
      <c r="C479" s="139"/>
      <c r="D479" s="139"/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  <c r="AA479" s="139"/>
      <c r="AB479" s="139"/>
      <c r="AC479" s="139"/>
      <c r="AD479" s="139"/>
      <c r="AE479" s="139"/>
      <c r="AF479" s="139"/>
      <c r="AG479" s="139"/>
      <c r="AH479" s="139"/>
      <c r="AI479" s="139"/>
      <c r="AJ479" s="139"/>
    </row>
    <row r="480">
      <c r="A480" s="9"/>
      <c r="B480" s="139"/>
      <c r="C480" s="139"/>
      <c r="D480" s="139"/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  <c r="AA480" s="139"/>
      <c r="AB480" s="139"/>
      <c r="AC480" s="139"/>
      <c r="AD480" s="139"/>
      <c r="AE480" s="139"/>
      <c r="AF480" s="139"/>
      <c r="AG480" s="139"/>
      <c r="AH480" s="139"/>
      <c r="AI480" s="139"/>
      <c r="AJ480" s="139"/>
    </row>
    <row r="481">
      <c r="A481" s="9"/>
      <c r="B481" s="139"/>
      <c r="C481" s="139"/>
      <c r="D481" s="139"/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  <c r="AA481" s="139"/>
      <c r="AB481" s="139"/>
      <c r="AC481" s="139"/>
      <c r="AD481" s="139"/>
      <c r="AE481" s="139"/>
      <c r="AF481" s="139"/>
      <c r="AG481" s="139"/>
      <c r="AH481" s="139"/>
      <c r="AI481" s="139"/>
      <c r="AJ481" s="139"/>
    </row>
    <row r="482">
      <c r="A482" s="9"/>
      <c r="B482" s="139"/>
      <c r="C482" s="139"/>
      <c r="D482" s="139"/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  <c r="AA482" s="139"/>
      <c r="AB482" s="139"/>
      <c r="AC482" s="139"/>
      <c r="AD482" s="139"/>
      <c r="AE482" s="139"/>
      <c r="AF482" s="139"/>
      <c r="AG482" s="139"/>
      <c r="AH482" s="139"/>
      <c r="AI482" s="139"/>
      <c r="AJ482" s="139"/>
    </row>
    <row r="483">
      <c r="A483" s="9"/>
      <c r="B483" s="139"/>
      <c r="C483" s="139"/>
      <c r="D483" s="139"/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  <c r="AA483" s="139"/>
      <c r="AB483" s="139"/>
      <c r="AC483" s="139"/>
      <c r="AD483" s="139"/>
      <c r="AE483" s="139"/>
      <c r="AF483" s="139"/>
      <c r="AG483" s="139"/>
      <c r="AH483" s="139"/>
      <c r="AI483" s="139"/>
      <c r="AJ483" s="139"/>
    </row>
    <row r="484">
      <c r="A484" s="9"/>
      <c r="B484" s="139"/>
      <c r="C484" s="139"/>
      <c r="D484" s="139"/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  <c r="AA484" s="139"/>
      <c r="AB484" s="139"/>
      <c r="AC484" s="139"/>
      <c r="AD484" s="139"/>
      <c r="AE484" s="139"/>
      <c r="AF484" s="139"/>
      <c r="AG484" s="139"/>
      <c r="AH484" s="139"/>
      <c r="AI484" s="139"/>
      <c r="AJ484" s="139"/>
    </row>
    <row r="485">
      <c r="A485" s="9"/>
      <c r="B485" s="139"/>
      <c r="C485" s="139"/>
      <c r="D485" s="139"/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  <c r="AA485" s="139"/>
      <c r="AB485" s="139"/>
      <c r="AC485" s="139"/>
      <c r="AD485" s="139"/>
      <c r="AE485" s="139"/>
      <c r="AF485" s="139"/>
      <c r="AG485" s="139"/>
      <c r="AH485" s="139"/>
      <c r="AI485" s="139"/>
      <c r="AJ485" s="139"/>
    </row>
    <row r="486">
      <c r="A486" s="9"/>
      <c r="B486" s="139"/>
      <c r="C486" s="139"/>
      <c r="D486" s="139"/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  <c r="AA486" s="139"/>
      <c r="AB486" s="139"/>
      <c r="AC486" s="139"/>
      <c r="AD486" s="139"/>
      <c r="AE486" s="139"/>
      <c r="AF486" s="139"/>
      <c r="AG486" s="139"/>
      <c r="AH486" s="139"/>
      <c r="AI486" s="139"/>
      <c r="AJ486" s="139"/>
    </row>
    <row r="487">
      <c r="A487" s="9"/>
      <c r="B487" s="139"/>
      <c r="C487" s="139"/>
      <c r="D487" s="139"/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  <c r="AA487" s="139"/>
      <c r="AB487" s="139"/>
      <c r="AC487" s="139"/>
      <c r="AD487" s="139"/>
      <c r="AE487" s="139"/>
      <c r="AF487" s="139"/>
      <c r="AG487" s="139"/>
      <c r="AH487" s="139"/>
      <c r="AI487" s="139"/>
      <c r="AJ487" s="139"/>
    </row>
    <row r="488">
      <c r="A488" s="9"/>
      <c r="B488" s="139"/>
      <c r="C488" s="139"/>
      <c r="D488" s="139"/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  <c r="AA488" s="139"/>
      <c r="AB488" s="139"/>
      <c r="AC488" s="139"/>
      <c r="AD488" s="139"/>
      <c r="AE488" s="139"/>
      <c r="AF488" s="139"/>
      <c r="AG488" s="139"/>
      <c r="AH488" s="139"/>
      <c r="AI488" s="139"/>
      <c r="AJ488" s="139"/>
    </row>
    <row r="489">
      <c r="A489" s="9"/>
      <c r="B489" s="139"/>
      <c r="C489" s="139"/>
      <c r="D489" s="139"/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  <c r="AA489" s="139"/>
      <c r="AB489" s="139"/>
      <c r="AC489" s="139"/>
      <c r="AD489" s="139"/>
      <c r="AE489" s="139"/>
      <c r="AF489" s="139"/>
      <c r="AG489" s="139"/>
      <c r="AH489" s="139"/>
      <c r="AI489" s="139"/>
      <c r="AJ489" s="139"/>
    </row>
    <row r="490">
      <c r="A490" s="9"/>
      <c r="B490" s="139"/>
      <c r="C490" s="139"/>
      <c r="D490" s="139"/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  <c r="AA490" s="139"/>
      <c r="AB490" s="139"/>
      <c r="AC490" s="139"/>
      <c r="AD490" s="139"/>
      <c r="AE490" s="139"/>
      <c r="AF490" s="139"/>
      <c r="AG490" s="139"/>
      <c r="AH490" s="139"/>
      <c r="AI490" s="139"/>
      <c r="AJ490" s="139"/>
    </row>
    <row r="491">
      <c r="A491" s="9"/>
      <c r="B491" s="139"/>
      <c r="C491" s="139"/>
      <c r="D491" s="139"/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  <c r="AA491" s="139"/>
      <c r="AB491" s="139"/>
      <c r="AC491" s="139"/>
      <c r="AD491" s="139"/>
      <c r="AE491" s="139"/>
      <c r="AF491" s="139"/>
      <c r="AG491" s="139"/>
      <c r="AH491" s="139"/>
      <c r="AI491" s="139"/>
      <c r="AJ491" s="139"/>
    </row>
    <row r="492">
      <c r="A492" s="9"/>
      <c r="B492" s="139"/>
      <c r="C492" s="139"/>
      <c r="D492" s="139"/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  <c r="AA492" s="139"/>
      <c r="AB492" s="139"/>
      <c r="AC492" s="139"/>
      <c r="AD492" s="139"/>
      <c r="AE492" s="139"/>
      <c r="AF492" s="139"/>
      <c r="AG492" s="139"/>
      <c r="AH492" s="139"/>
      <c r="AI492" s="139"/>
      <c r="AJ492" s="139"/>
    </row>
    <row r="493">
      <c r="A493" s="9"/>
      <c r="B493" s="139"/>
      <c r="C493" s="139"/>
      <c r="D493" s="139"/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  <c r="AA493" s="139"/>
      <c r="AB493" s="139"/>
      <c r="AC493" s="139"/>
      <c r="AD493" s="139"/>
      <c r="AE493" s="139"/>
      <c r="AF493" s="139"/>
      <c r="AG493" s="139"/>
      <c r="AH493" s="139"/>
      <c r="AI493" s="139"/>
      <c r="AJ493" s="139"/>
    </row>
    <row r="494">
      <c r="A494" s="9"/>
      <c r="B494" s="139"/>
      <c r="C494" s="139"/>
      <c r="D494" s="139"/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  <c r="AA494" s="139"/>
      <c r="AB494" s="139"/>
      <c r="AC494" s="139"/>
      <c r="AD494" s="139"/>
      <c r="AE494" s="139"/>
      <c r="AF494" s="139"/>
      <c r="AG494" s="139"/>
      <c r="AH494" s="139"/>
      <c r="AI494" s="139"/>
      <c r="AJ494" s="139"/>
    </row>
    <row r="495">
      <c r="A495" s="9"/>
      <c r="B495" s="139"/>
      <c r="C495" s="139"/>
      <c r="D495" s="139"/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  <c r="AA495" s="139"/>
      <c r="AB495" s="139"/>
      <c r="AC495" s="139"/>
      <c r="AD495" s="139"/>
      <c r="AE495" s="139"/>
      <c r="AF495" s="139"/>
      <c r="AG495" s="139"/>
      <c r="AH495" s="139"/>
      <c r="AI495" s="139"/>
      <c r="AJ495" s="139"/>
    </row>
    <row r="496">
      <c r="A496" s="9"/>
      <c r="B496" s="139"/>
      <c r="C496" s="139"/>
      <c r="D496" s="139"/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  <c r="AA496" s="139"/>
      <c r="AB496" s="139"/>
      <c r="AC496" s="139"/>
      <c r="AD496" s="139"/>
      <c r="AE496" s="139"/>
      <c r="AF496" s="139"/>
      <c r="AG496" s="139"/>
      <c r="AH496" s="139"/>
      <c r="AI496" s="139"/>
      <c r="AJ496" s="139"/>
    </row>
    <row r="497">
      <c r="A497" s="9"/>
      <c r="B497" s="139"/>
      <c r="C497" s="139"/>
      <c r="D497" s="139"/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  <c r="AA497" s="139"/>
      <c r="AB497" s="139"/>
      <c r="AC497" s="139"/>
      <c r="AD497" s="139"/>
      <c r="AE497" s="139"/>
      <c r="AF497" s="139"/>
      <c r="AG497" s="139"/>
      <c r="AH497" s="139"/>
      <c r="AI497" s="139"/>
      <c r="AJ497" s="139"/>
    </row>
    <row r="498">
      <c r="A498" s="9"/>
      <c r="B498" s="139"/>
      <c r="C498" s="139"/>
      <c r="D498" s="139"/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  <c r="AA498" s="139"/>
      <c r="AB498" s="139"/>
      <c r="AC498" s="139"/>
      <c r="AD498" s="139"/>
      <c r="AE498" s="139"/>
      <c r="AF498" s="139"/>
      <c r="AG498" s="139"/>
      <c r="AH498" s="139"/>
      <c r="AI498" s="139"/>
      <c r="AJ498" s="139"/>
    </row>
    <row r="499">
      <c r="A499" s="9"/>
      <c r="B499" s="139"/>
      <c r="C499" s="139"/>
      <c r="D499" s="139"/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  <c r="AA499" s="139"/>
      <c r="AB499" s="139"/>
      <c r="AC499" s="139"/>
      <c r="AD499" s="139"/>
      <c r="AE499" s="139"/>
      <c r="AF499" s="139"/>
      <c r="AG499" s="139"/>
      <c r="AH499" s="139"/>
      <c r="AI499" s="139"/>
      <c r="AJ499" s="139"/>
    </row>
    <row r="500">
      <c r="A500" s="9"/>
      <c r="B500" s="139"/>
      <c r="C500" s="139"/>
      <c r="D500" s="139"/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  <c r="AA500" s="139"/>
      <c r="AB500" s="139"/>
      <c r="AC500" s="139"/>
      <c r="AD500" s="139"/>
      <c r="AE500" s="139"/>
      <c r="AF500" s="139"/>
      <c r="AG500" s="139"/>
      <c r="AH500" s="139"/>
      <c r="AI500" s="139"/>
      <c r="AJ500" s="139"/>
    </row>
    <row r="501">
      <c r="A501" s="9"/>
      <c r="B501" s="139"/>
      <c r="C501" s="139"/>
      <c r="D501" s="139"/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  <c r="AA501" s="139"/>
      <c r="AB501" s="139"/>
      <c r="AC501" s="139"/>
      <c r="AD501" s="139"/>
      <c r="AE501" s="139"/>
      <c r="AF501" s="139"/>
      <c r="AG501" s="139"/>
      <c r="AH501" s="139"/>
      <c r="AI501" s="139"/>
      <c r="AJ501" s="139"/>
    </row>
    <row r="502">
      <c r="A502" s="9"/>
      <c r="B502" s="139"/>
      <c r="C502" s="139"/>
      <c r="D502" s="139"/>
      <c r="E502" s="139"/>
      <c r="F502" s="139"/>
      <c r="G502" s="139"/>
      <c r="H502" s="139"/>
      <c r="I502" s="139"/>
      <c r="J502" s="139"/>
      <c r="K502" s="139"/>
      <c r="L502" s="139"/>
      <c r="M502" s="139"/>
      <c r="N502" s="139"/>
      <c r="O502" s="139"/>
      <c r="P502" s="139"/>
      <c r="Q502" s="139"/>
      <c r="R502" s="139"/>
      <c r="S502" s="139"/>
      <c r="T502" s="139"/>
      <c r="U502" s="139"/>
      <c r="V502" s="139"/>
      <c r="W502" s="139"/>
      <c r="X502" s="139"/>
      <c r="Y502" s="139"/>
      <c r="Z502" s="139"/>
      <c r="AA502" s="139"/>
      <c r="AB502" s="139"/>
      <c r="AC502" s="139"/>
      <c r="AD502" s="139"/>
      <c r="AE502" s="139"/>
      <c r="AF502" s="139"/>
      <c r="AG502" s="139"/>
      <c r="AH502" s="139"/>
      <c r="AI502" s="139"/>
      <c r="AJ502" s="139"/>
    </row>
    <row r="503">
      <c r="A503" s="9"/>
      <c r="B503" s="139"/>
      <c r="C503" s="139"/>
      <c r="D503" s="139"/>
      <c r="E503" s="139"/>
      <c r="F503" s="139"/>
      <c r="G503" s="139"/>
      <c r="H503" s="139"/>
      <c r="I503" s="139"/>
      <c r="J503" s="139"/>
      <c r="K503" s="139"/>
      <c r="L503" s="139"/>
      <c r="M503" s="139"/>
      <c r="N503" s="139"/>
      <c r="O503" s="139"/>
      <c r="P503" s="139"/>
      <c r="Q503" s="139"/>
      <c r="R503" s="139"/>
      <c r="S503" s="139"/>
      <c r="T503" s="139"/>
      <c r="U503" s="139"/>
      <c r="V503" s="139"/>
      <c r="W503" s="139"/>
      <c r="X503" s="139"/>
      <c r="Y503" s="139"/>
      <c r="Z503" s="139"/>
      <c r="AA503" s="139"/>
      <c r="AB503" s="139"/>
      <c r="AC503" s="139"/>
      <c r="AD503" s="139"/>
      <c r="AE503" s="139"/>
      <c r="AF503" s="139"/>
      <c r="AG503" s="139"/>
      <c r="AH503" s="139"/>
      <c r="AI503" s="139"/>
      <c r="AJ503" s="139"/>
    </row>
    <row r="504">
      <c r="A504" s="9"/>
      <c r="B504" s="139"/>
      <c r="C504" s="139"/>
      <c r="D504" s="139"/>
      <c r="E504" s="139"/>
      <c r="F504" s="139"/>
      <c r="G504" s="139"/>
      <c r="H504" s="139"/>
      <c r="I504" s="139"/>
      <c r="J504" s="139"/>
      <c r="K504" s="139"/>
      <c r="L504" s="139"/>
      <c r="M504" s="139"/>
      <c r="N504" s="139"/>
      <c r="O504" s="139"/>
      <c r="P504" s="139"/>
      <c r="Q504" s="139"/>
      <c r="R504" s="139"/>
      <c r="S504" s="139"/>
      <c r="T504" s="139"/>
      <c r="U504" s="139"/>
      <c r="V504" s="139"/>
      <c r="W504" s="139"/>
      <c r="X504" s="139"/>
      <c r="Y504" s="139"/>
      <c r="Z504" s="139"/>
      <c r="AA504" s="139"/>
      <c r="AB504" s="139"/>
      <c r="AC504" s="139"/>
      <c r="AD504" s="139"/>
      <c r="AE504" s="139"/>
      <c r="AF504" s="139"/>
      <c r="AG504" s="139"/>
      <c r="AH504" s="139"/>
      <c r="AI504" s="139"/>
      <c r="AJ504" s="139"/>
    </row>
    <row r="505">
      <c r="A505" s="9"/>
      <c r="B505" s="139"/>
      <c r="C505" s="139"/>
      <c r="D505" s="139"/>
      <c r="E505" s="139"/>
      <c r="F505" s="139"/>
      <c r="G505" s="139"/>
      <c r="H505" s="139"/>
      <c r="I505" s="139"/>
      <c r="J505" s="139"/>
      <c r="K505" s="139"/>
      <c r="L505" s="139"/>
      <c r="M505" s="139"/>
      <c r="N505" s="139"/>
      <c r="O505" s="139"/>
      <c r="P505" s="139"/>
      <c r="Q505" s="139"/>
      <c r="R505" s="139"/>
      <c r="S505" s="139"/>
      <c r="T505" s="139"/>
      <c r="U505" s="139"/>
      <c r="V505" s="139"/>
      <c r="W505" s="139"/>
      <c r="X505" s="139"/>
      <c r="Y505" s="139"/>
      <c r="Z505" s="139"/>
      <c r="AA505" s="139"/>
      <c r="AB505" s="139"/>
      <c r="AC505" s="139"/>
      <c r="AD505" s="139"/>
      <c r="AE505" s="139"/>
      <c r="AF505" s="139"/>
      <c r="AG505" s="139"/>
      <c r="AH505" s="139"/>
      <c r="AI505" s="139"/>
      <c r="AJ505" s="139"/>
    </row>
    <row r="506">
      <c r="A506" s="9"/>
      <c r="B506" s="139"/>
      <c r="C506" s="139"/>
      <c r="D506" s="139"/>
      <c r="E506" s="139"/>
      <c r="F506" s="139"/>
      <c r="G506" s="139"/>
      <c r="H506" s="139"/>
      <c r="I506" s="139"/>
      <c r="J506" s="139"/>
      <c r="K506" s="139"/>
      <c r="L506" s="139"/>
      <c r="M506" s="139"/>
      <c r="N506" s="139"/>
      <c r="O506" s="139"/>
      <c r="P506" s="139"/>
      <c r="Q506" s="139"/>
      <c r="R506" s="139"/>
      <c r="S506" s="139"/>
      <c r="T506" s="139"/>
      <c r="U506" s="139"/>
      <c r="V506" s="139"/>
      <c r="W506" s="139"/>
      <c r="X506" s="139"/>
      <c r="Y506" s="139"/>
      <c r="Z506" s="139"/>
      <c r="AA506" s="139"/>
      <c r="AB506" s="139"/>
      <c r="AC506" s="139"/>
      <c r="AD506" s="139"/>
      <c r="AE506" s="139"/>
      <c r="AF506" s="139"/>
      <c r="AG506" s="139"/>
      <c r="AH506" s="139"/>
      <c r="AI506" s="139"/>
      <c r="AJ506" s="139"/>
    </row>
    <row r="507">
      <c r="A507" s="9"/>
      <c r="B507" s="139"/>
      <c r="C507" s="139"/>
      <c r="D507" s="139"/>
      <c r="E507" s="139"/>
      <c r="F507" s="139"/>
      <c r="G507" s="139"/>
      <c r="H507" s="139"/>
      <c r="I507" s="139"/>
      <c r="J507" s="139"/>
      <c r="K507" s="139"/>
      <c r="L507" s="139"/>
      <c r="M507" s="139"/>
      <c r="N507" s="139"/>
      <c r="O507" s="139"/>
      <c r="P507" s="139"/>
      <c r="Q507" s="139"/>
      <c r="R507" s="139"/>
      <c r="S507" s="139"/>
      <c r="T507" s="139"/>
      <c r="U507" s="139"/>
      <c r="V507" s="139"/>
      <c r="W507" s="139"/>
      <c r="X507" s="139"/>
      <c r="Y507" s="139"/>
      <c r="Z507" s="139"/>
      <c r="AA507" s="139"/>
      <c r="AB507" s="139"/>
      <c r="AC507" s="139"/>
      <c r="AD507" s="139"/>
      <c r="AE507" s="139"/>
      <c r="AF507" s="139"/>
      <c r="AG507" s="139"/>
      <c r="AH507" s="139"/>
      <c r="AI507" s="139"/>
      <c r="AJ507" s="139"/>
    </row>
    <row r="508">
      <c r="A508" s="9"/>
      <c r="B508" s="139"/>
      <c r="C508" s="139"/>
      <c r="D508" s="139"/>
      <c r="E508" s="139"/>
      <c r="F508" s="139"/>
      <c r="G508" s="139"/>
      <c r="H508" s="139"/>
      <c r="I508" s="139"/>
      <c r="J508" s="139"/>
      <c r="K508" s="139"/>
      <c r="L508" s="139"/>
      <c r="M508" s="139"/>
      <c r="N508" s="139"/>
      <c r="O508" s="139"/>
      <c r="P508" s="139"/>
      <c r="Q508" s="139"/>
      <c r="R508" s="139"/>
      <c r="S508" s="139"/>
      <c r="T508" s="139"/>
      <c r="U508" s="139"/>
      <c r="V508" s="139"/>
      <c r="W508" s="139"/>
      <c r="X508" s="139"/>
      <c r="Y508" s="139"/>
      <c r="Z508" s="139"/>
      <c r="AA508" s="139"/>
      <c r="AB508" s="139"/>
      <c r="AC508" s="139"/>
      <c r="AD508" s="139"/>
      <c r="AE508" s="139"/>
      <c r="AF508" s="139"/>
      <c r="AG508" s="139"/>
      <c r="AH508" s="139"/>
      <c r="AI508" s="139"/>
      <c r="AJ508" s="139"/>
    </row>
    <row r="509">
      <c r="A509" s="9"/>
      <c r="B509" s="139"/>
      <c r="C509" s="139"/>
      <c r="D509" s="139"/>
      <c r="E509" s="139"/>
      <c r="F509" s="139"/>
      <c r="G509" s="139"/>
      <c r="H509" s="139"/>
      <c r="I509" s="139"/>
      <c r="J509" s="139"/>
      <c r="K509" s="139"/>
      <c r="L509" s="139"/>
      <c r="M509" s="139"/>
      <c r="N509" s="139"/>
      <c r="O509" s="139"/>
      <c r="P509" s="139"/>
      <c r="Q509" s="139"/>
      <c r="R509" s="139"/>
      <c r="S509" s="139"/>
      <c r="T509" s="139"/>
      <c r="U509" s="139"/>
      <c r="V509" s="139"/>
      <c r="W509" s="139"/>
      <c r="X509" s="139"/>
      <c r="Y509" s="139"/>
      <c r="Z509" s="139"/>
      <c r="AA509" s="139"/>
      <c r="AB509" s="139"/>
      <c r="AC509" s="139"/>
      <c r="AD509" s="139"/>
      <c r="AE509" s="139"/>
      <c r="AF509" s="139"/>
      <c r="AG509" s="139"/>
      <c r="AH509" s="139"/>
      <c r="AI509" s="139"/>
      <c r="AJ509" s="139"/>
    </row>
    <row r="510">
      <c r="A510" s="9"/>
      <c r="B510" s="139"/>
      <c r="C510" s="139"/>
      <c r="D510" s="139"/>
      <c r="E510" s="139"/>
      <c r="F510" s="139"/>
      <c r="G510" s="139"/>
      <c r="H510" s="139"/>
      <c r="I510" s="139"/>
      <c r="J510" s="139"/>
      <c r="K510" s="139"/>
      <c r="L510" s="139"/>
      <c r="M510" s="139"/>
      <c r="N510" s="139"/>
      <c r="O510" s="139"/>
      <c r="P510" s="139"/>
      <c r="Q510" s="139"/>
      <c r="R510" s="139"/>
      <c r="S510" s="139"/>
      <c r="T510" s="139"/>
      <c r="U510" s="139"/>
      <c r="V510" s="139"/>
      <c r="W510" s="139"/>
      <c r="X510" s="139"/>
      <c r="Y510" s="139"/>
      <c r="Z510" s="139"/>
      <c r="AA510" s="139"/>
      <c r="AB510" s="139"/>
      <c r="AC510" s="139"/>
      <c r="AD510" s="139"/>
      <c r="AE510" s="139"/>
      <c r="AF510" s="139"/>
      <c r="AG510" s="139"/>
      <c r="AH510" s="139"/>
      <c r="AI510" s="139"/>
      <c r="AJ510" s="139"/>
    </row>
    <row r="511">
      <c r="A511" s="9"/>
      <c r="B511" s="139"/>
      <c r="C511" s="139"/>
      <c r="D511" s="139"/>
      <c r="E511" s="139"/>
      <c r="F511" s="139"/>
      <c r="G511" s="139"/>
      <c r="H511" s="139"/>
      <c r="I511" s="139"/>
      <c r="J511" s="139"/>
      <c r="K511" s="139"/>
      <c r="L511" s="139"/>
      <c r="M511" s="139"/>
      <c r="N511" s="139"/>
      <c r="O511" s="139"/>
      <c r="P511" s="139"/>
      <c r="Q511" s="139"/>
      <c r="R511" s="139"/>
      <c r="S511" s="139"/>
      <c r="T511" s="139"/>
      <c r="U511" s="139"/>
      <c r="V511" s="139"/>
      <c r="W511" s="139"/>
      <c r="X511" s="139"/>
      <c r="Y511" s="139"/>
      <c r="Z511" s="139"/>
      <c r="AA511" s="139"/>
      <c r="AB511" s="139"/>
      <c r="AC511" s="139"/>
      <c r="AD511" s="139"/>
      <c r="AE511" s="139"/>
      <c r="AF511" s="139"/>
      <c r="AG511" s="139"/>
      <c r="AH511" s="139"/>
      <c r="AI511" s="139"/>
      <c r="AJ511" s="139"/>
    </row>
    <row r="512">
      <c r="A512" s="9"/>
      <c r="B512" s="139"/>
      <c r="C512" s="139"/>
      <c r="D512" s="139"/>
      <c r="E512" s="139"/>
      <c r="F512" s="139"/>
      <c r="G512" s="139"/>
      <c r="H512" s="139"/>
      <c r="I512" s="139"/>
      <c r="J512" s="139"/>
      <c r="K512" s="139"/>
      <c r="L512" s="139"/>
      <c r="M512" s="139"/>
      <c r="N512" s="139"/>
      <c r="O512" s="139"/>
      <c r="P512" s="139"/>
      <c r="Q512" s="139"/>
      <c r="R512" s="139"/>
      <c r="S512" s="139"/>
      <c r="T512" s="139"/>
      <c r="U512" s="139"/>
      <c r="V512" s="139"/>
      <c r="W512" s="139"/>
      <c r="X512" s="139"/>
      <c r="Y512" s="139"/>
      <c r="Z512" s="139"/>
      <c r="AA512" s="139"/>
      <c r="AB512" s="139"/>
      <c r="AC512" s="139"/>
      <c r="AD512" s="139"/>
      <c r="AE512" s="139"/>
      <c r="AF512" s="139"/>
      <c r="AG512" s="139"/>
      <c r="AH512" s="139"/>
      <c r="AI512" s="139"/>
      <c r="AJ512" s="139"/>
    </row>
    <row r="513">
      <c r="A513" s="9"/>
      <c r="B513" s="139"/>
      <c r="C513" s="139"/>
      <c r="D513" s="139"/>
      <c r="E513" s="139"/>
      <c r="F513" s="139"/>
      <c r="G513" s="139"/>
      <c r="H513" s="139"/>
      <c r="I513" s="139"/>
      <c r="J513" s="139"/>
      <c r="K513" s="139"/>
      <c r="L513" s="139"/>
      <c r="M513" s="139"/>
      <c r="N513" s="139"/>
      <c r="O513" s="139"/>
      <c r="P513" s="139"/>
      <c r="Q513" s="139"/>
      <c r="R513" s="139"/>
      <c r="S513" s="139"/>
      <c r="T513" s="139"/>
      <c r="U513" s="139"/>
      <c r="V513" s="139"/>
      <c r="W513" s="139"/>
      <c r="X513" s="139"/>
      <c r="Y513" s="139"/>
      <c r="Z513" s="139"/>
      <c r="AA513" s="139"/>
      <c r="AB513" s="139"/>
      <c r="AC513" s="139"/>
      <c r="AD513" s="139"/>
      <c r="AE513" s="139"/>
      <c r="AF513" s="139"/>
      <c r="AG513" s="139"/>
      <c r="AH513" s="139"/>
      <c r="AI513" s="139"/>
      <c r="AJ513" s="139"/>
    </row>
    <row r="514">
      <c r="A514" s="9"/>
      <c r="B514" s="139"/>
      <c r="C514" s="139"/>
      <c r="D514" s="139"/>
      <c r="E514" s="139"/>
      <c r="F514" s="139"/>
      <c r="G514" s="139"/>
      <c r="H514" s="139"/>
      <c r="I514" s="139"/>
      <c r="J514" s="139"/>
      <c r="K514" s="139"/>
      <c r="L514" s="139"/>
      <c r="M514" s="139"/>
      <c r="N514" s="139"/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39"/>
      <c r="AA514" s="139"/>
      <c r="AB514" s="139"/>
      <c r="AC514" s="139"/>
      <c r="AD514" s="139"/>
      <c r="AE514" s="139"/>
      <c r="AF514" s="139"/>
      <c r="AG514" s="139"/>
      <c r="AH514" s="139"/>
      <c r="AI514" s="139"/>
      <c r="AJ514" s="139"/>
    </row>
    <row r="515">
      <c r="A515" s="9"/>
      <c r="B515" s="139"/>
      <c r="C515" s="139"/>
      <c r="D515" s="139"/>
      <c r="E515" s="139"/>
      <c r="F515" s="139"/>
      <c r="G515" s="139"/>
      <c r="H515" s="139"/>
      <c r="I515" s="139"/>
      <c r="J515" s="139"/>
      <c r="K515" s="139"/>
      <c r="L515" s="139"/>
      <c r="M515" s="139"/>
      <c r="N515" s="139"/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39"/>
      <c r="Z515" s="139"/>
      <c r="AA515" s="139"/>
      <c r="AB515" s="139"/>
      <c r="AC515" s="139"/>
      <c r="AD515" s="139"/>
      <c r="AE515" s="139"/>
      <c r="AF515" s="139"/>
      <c r="AG515" s="139"/>
      <c r="AH515" s="139"/>
      <c r="AI515" s="139"/>
      <c r="AJ515" s="139"/>
    </row>
    <row r="516">
      <c r="A516" s="9"/>
      <c r="B516" s="139"/>
      <c r="C516" s="139"/>
      <c r="D516" s="139"/>
      <c r="E516" s="139"/>
      <c r="F516" s="139"/>
      <c r="G516" s="139"/>
      <c r="H516" s="139"/>
      <c r="I516" s="139"/>
      <c r="J516" s="139"/>
      <c r="K516" s="139"/>
      <c r="L516" s="139"/>
      <c r="M516" s="139"/>
      <c r="N516" s="139"/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39"/>
      <c r="AA516" s="139"/>
      <c r="AB516" s="139"/>
      <c r="AC516" s="139"/>
      <c r="AD516" s="139"/>
      <c r="AE516" s="139"/>
      <c r="AF516" s="139"/>
      <c r="AG516" s="139"/>
      <c r="AH516" s="139"/>
      <c r="AI516" s="139"/>
      <c r="AJ516" s="139"/>
    </row>
    <row r="517">
      <c r="A517" s="9"/>
      <c r="B517" s="139"/>
      <c r="C517" s="139"/>
      <c r="D517" s="139"/>
      <c r="E517" s="139"/>
      <c r="F517" s="139"/>
      <c r="G517" s="139"/>
      <c r="H517" s="139"/>
      <c r="I517" s="139"/>
      <c r="J517" s="139"/>
      <c r="K517" s="139"/>
      <c r="L517" s="139"/>
      <c r="M517" s="139"/>
      <c r="N517" s="139"/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39"/>
      <c r="Z517" s="139"/>
      <c r="AA517" s="139"/>
      <c r="AB517" s="139"/>
      <c r="AC517" s="139"/>
      <c r="AD517" s="139"/>
      <c r="AE517" s="139"/>
      <c r="AF517" s="139"/>
      <c r="AG517" s="139"/>
      <c r="AH517" s="139"/>
      <c r="AI517" s="139"/>
      <c r="AJ517" s="139"/>
    </row>
    <row r="518">
      <c r="A518" s="9"/>
      <c r="B518" s="139"/>
      <c r="C518" s="139"/>
      <c r="D518" s="139"/>
      <c r="E518" s="139"/>
      <c r="F518" s="139"/>
      <c r="G518" s="139"/>
      <c r="H518" s="139"/>
      <c r="I518" s="139"/>
      <c r="J518" s="139"/>
      <c r="K518" s="139"/>
      <c r="L518" s="139"/>
      <c r="M518" s="139"/>
      <c r="N518" s="139"/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39"/>
      <c r="Z518" s="139"/>
      <c r="AA518" s="139"/>
      <c r="AB518" s="139"/>
      <c r="AC518" s="139"/>
      <c r="AD518" s="139"/>
      <c r="AE518" s="139"/>
      <c r="AF518" s="139"/>
      <c r="AG518" s="139"/>
      <c r="AH518" s="139"/>
      <c r="AI518" s="139"/>
      <c r="AJ518" s="139"/>
    </row>
    <row r="519">
      <c r="A519" s="9"/>
      <c r="B519" s="139"/>
      <c r="C519" s="139"/>
      <c r="D519" s="139"/>
      <c r="E519" s="139"/>
      <c r="F519" s="139"/>
      <c r="G519" s="139"/>
      <c r="H519" s="139"/>
      <c r="I519" s="139"/>
      <c r="J519" s="139"/>
      <c r="K519" s="139"/>
      <c r="L519" s="139"/>
      <c r="M519" s="139"/>
      <c r="N519" s="139"/>
      <c r="O519" s="139"/>
      <c r="P519" s="139"/>
      <c r="Q519" s="139"/>
      <c r="R519" s="139"/>
      <c r="S519" s="139"/>
      <c r="T519" s="139"/>
      <c r="U519" s="139"/>
      <c r="V519" s="139"/>
      <c r="W519" s="139"/>
      <c r="X519" s="139"/>
      <c r="Y519" s="139"/>
      <c r="Z519" s="139"/>
      <c r="AA519" s="139"/>
      <c r="AB519" s="139"/>
      <c r="AC519" s="139"/>
      <c r="AD519" s="139"/>
      <c r="AE519" s="139"/>
      <c r="AF519" s="139"/>
      <c r="AG519" s="139"/>
      <c r="AH519" s="139"/>
      <c r="AI519" s="139"/>
      <c r="AJ519" s="139"/>
    </row>
    <row r="520">
      <c r="A520" s="9"/>
      <c r="B520" s="139"/>
      <c r="C520" s="139"/>
      <c r="D520" s="139"/>
      <c r="E520" s="139"/>
      <c r="F520" s="139"/>
      <c r="G520" s="139"/>
      <c r="H520" s="139"/>
      <c r="I520" s="139"/>
      <c r="J520" s="139"/>
      <c r="K520" s="139"/>
      <c r="L520" s="139"/>
      <c r="M520" s="139"/>
      <c r="N520" s="139"/>
      <c r="O520" s="139"/>
      <c r="P520" s="139"/>
      <c r="Q520" s="139"/>
      <c r="R520" s="139"/>
      <c r="S520" s="139"/>
      <c r="T520" s="139"/>
      <c r="U520" s="139"/>
      <c r="V520" s="139"/>
      <c r="W520" s="139"/>
      <c r="X520" s="139"/>
      <c r="Y520" s="139"/>
      <c r="Z520" s="139"/>
      <c r="AA520" s="139"/>
      <c r="AB520" s="139"/>
      <c r="AC520" s="139"/>
      <c r="AD520" s="139"/>
      <c r="AE520" s="139"/>
      <c r="AF520" s="139"/>
      <c r="AG520" s="139"/>
      <c r="AH520" s="139"/>
      <c r="AI520" s="139"/>
      <c r="AJ520" s="139"/>
    </row>
    <row r="521">
      <c r="A521" s="9"/>
      <c r="B521" s="139"/>
      <c r="C521" s="139"/>
      <c r="D521" s="139"/>
      <c r="E521" s="139"/>
      <c r="F521" s="139"/>
      <c r="G521" s="139"/>
      <c r="H521" s="139"/>
      <c r="I521" s="139"/>
      <c r="J521" s="139"/>
      <c r="K521" s="139"/>
      <c r="L521" s="139"/>
      <c r="M521" s="139"/>
      <c r="N521" s="139"/>
      <c r="O521" s="139"/>
      <c r="P521" s="139"/>
      <c r="Q521" s="139"/>
      <c r="R521" s="139"/>
      <c r="S521" s="139"/>
      <c r="T521" s="139"/>
      <c r="U521" s="139"/>
      <c r="V521" s="139"/>
      <c r="W521" s="139"/>
      <c r="X521" s="139"/>
      <c r="Y521" s="139"/>
      <c r="Z521" s="139"/>
      <c r="AA521" s="139"/>
      <c r="AB521" s="139"/>
      <c r="AC521" s="139"/>
      <c r="AD521" s="139"/>
      <c r="AE521" s="139"/>
      <c r="AF521" s="139"/>
      <c r="AG521" s="139"/>
      <c r="AH521" s="139"/>
      <c r="AI521" s="139"/>
      <c r="AJ521" s="139"/>
    </row>
    <row r="522">
      <c r="A522" s="9"/>
      <c r="B522" s="139"/>
      <c r="C522" s="139"/>
      <c r="D522" s="139"/>
      <c r="E522" s="139"/>
      <c r="F522" s="139"/>
      <c r="G522" s="139"/>
      <c r="H522" s="139"/>
      <c r="I522" s="139"/>
      <c r="J522" s="139"/>
      <c r="K522" s="139"/>
      <c r="L522" s="139"/>
      <c r="M522" s="139"/>
      <c r="N522" s="139"/>
      <c r="O522" s="139"/>
      <c r="P522" s="139"/>
      <c r="Q522" s="139"/>
      <c r="R522" s="139"/>
      <c r="S522" s="139"/>
      <c r="T522" s="139"/>
      <c r="U522" s="139"/>
      <c r="V522" s="139"/>
      <c r="W522" s="139"/>
      <c r="X522" s="139"/>
      <c r="Y522" s="139"/>
      <c r="Z522" s="139"/>
      <c r="AA522" s="139"/>
      <c r="AB522" s="139"/>
      <c r="AC522" s="139"/>
      <c r="AD522" s="139"/>
      <c r="AE522" s="139"/>
      <c r="AF522" s="139"/>
      <c r="AG522" s="139"/>
      <c r="AH522" s="139"/>
      <c r="AI522" s="139"/>
      <c r="AJ522" s="139"/>
    </row>
    <row r="523">
      <c r="A523" s="9"/>
      <c r="B523" s="139"/>
      <c r="C523" s="139"/>
      <c r="D523" s="139"/>
      <c r="E523" s="139"/>
      <c r="F523" s="139"/>
      <c r="G523" s="139"/>
      <c r="H523" s="139"/>
      <c r="I523" s="139"/>
      <c r="J523" s="139"/>
      <c r="K523" s="139"/>
      <c r="L523" s="139"/>
      <c r="M523" s="139"/>
      <c r="N523" s="139"/>
      <c r="O523" s="139"/>
      <c r="P523" s="139"/>
      <c r="Q523" s="139"/>
      <c r="R523" s="139"/>
      <c r="S523" s="139"/>
      <c r="T523" s="139"/>
      <c r="U523" s="139"/>
      <c r="V523" s="139"/>
      <c r="W523" s="139"/>
      <c r="X523" s="139"/>
      <c r="Y523" s="139"/>
      <c r="Z523" s="139"/>
      <c r="AA523" s="139"/>
      <c r="AB523" s="139"/>
      <c r="AC523" s="139"/>
      <c r="AD523" s="139"/>
      <c r="AE523" s="139"/>
      <c r="AF523" s="139"/>
      <c r="AG523" s="139"/>
      <c r="AH523" s="139"/>
      <c r="AI523" s="139"/>
      <c r="AJ523" s="139"/>
    </row>
    <row r="524">
      <c r="A524" s="9"/>
      <c r="B524" s="139"/>
      <c r="C524" s="139"/>
      <c r="D524" s="139"/>
      <c r="E524" s="139"/>
      <c r="F524" s="139"/>
      <c r="G524" s="139"/>
      <c r="H524" s="139"/>
      <c r="I524" s="139"/>
      <c r="J524" s="139"/>
      <c r="K524" s="139"/>
      <c r="L524" s="139"/>
      <c r="M524" s="139"/>
      <c r="N524" s="139"/>
      <c r="O524" s="139"/>
      <c r="P524" s="139"/>
      <c r="Q524" s="139"/>
      <c r="R524" s="139"/>
      <c r="S524" s="139"/>
      <c r="T524" s="139"/>
      <c r="U524" s="139"/>
      <c r="V524" s="139"/>
      <c r="W524" s="139"/>
      <c r="X524" s="139"/>
      <c r="Y524" s="139"/>
      <c r="Z524" s="139"/>
      <c r="AA524" s="139"/>
      <c r="AB524" s="139"/>
      <c r="AC524" s="139"/>
      <c r="AD524" s="139"/>
      <c r="AE524" s="139"/>
      <c r="AF524" s="139"/>
      <c r="AG524" s="139"/>
      <c r="AH524" s="139"/>
      <c r="AI524" s="139"/>
      <c r="AJ524" s="139"/>
    </row>
    <row r="525">
      <c r="A525" s="9"/>
      <c r="B525" s="139"/>
      <c r="C525" s="139"/>
      <c r="D525" s="139"/>
      <c r="E525" s="139"/>
      <c r="F525" s="139"/>
      <c r="G525" s="139"/>
      <c r="H525" s="139"/>
      <c r="I525" s="139"/>
      <c r="J525" s="139"/>
      <c r="K525" s="139"/>
      <c r="L525" s="139"/>
      <c r="M525" s="139"/>
      <c r="N525" s="139"/>
      <c r="O525" s="139"/>
      <c r="P525" s="139"/>
      <c r="Q525" s="139"/>
      <c r="R525" s="139"/>
      <c r="S525" s="139"/>
      <c r="T525" s="139"/>
      <c r="U525" s="139"/>
      <c r="V525" s="139"/>
      <c r="W525" s="139"/>
      <c r="X525" s="139"/>
      <c r="Y525" s="139"/>
      <c r="Z525" s="139"/>
      <c r="AA525" s="139"/>
      <c r="AB525" s="139"/>
      <c r="AC525" s="139"/>
      <c r="AD525" s="139"/>
      <c r="AE525" s="139"/>
      <c r="AF525" s="139"/>
      <c r="AG525" s="139"/>
      <c r="AH525" s="139"/>
      <c r="AI525" s="139"/>
      <c r="AJ525" s="139"/>
    </row>
    <row r="526">
      <c r="A526" s="9"/>
      <c r="B526" s="139"/>
      <c r="C526" s="139"/>
      <c r="D526" s="139"/>
      <c r="E526" s="139"/>
      <c r="F526" s="139"/>
      <c r="G526" s="139"/>
      <c r="H526" s="139"/>
      <c r="I526" s="139"/>
      <c r="J526" s="139"/>
      <c r="K526" s="139"/>
      <c r="L526" s="139"/>
      <c r="M526" s="139"/>
      <c r="N526" s="139"/>
      <c r="O526" s="139"/>
      <c r="P526" s="139"/>
      <c r="Q526" s="139"/>
      <c r="R526" s="139"/>
      <c r="S526" s="139"/>
      <c r="T526" s="139"/>
      <c r="U526" s="139"/>
      <c r="V526" s="139"/>
      <c r="W526" s="139"/>
      <c r="X526" s="139"/>
      <c r="Y526" s="139"/>
      <c r="Z526" s="139"/>
      <c r="AA526" s="139"/>
      <c r="AB526" s="139"/>
      <c r="AC526" s="139"/>
      <c r="AD526" s="139"/>
      <c r="AE526" s="139"/>
      <c r="AF526" s="139"/>
      <c r="AG526" s="139"/>
      <c r="AH526" s="139"/>
      <c r="AI526" s="139"/>
      <c r="AJ526" s="139"/>
    </row>
    <row r="527">
      <c r="A527" s="9"/>
      <c r="B527" s="139"/>
      <c r="C527" s="139"/>
      <c r="D527" s="139"/>
      <c r="E527" s="139"/>
      <c r="F527" s="139"/>
      <c r="G527" s="139"/>
      <c r="H527" s="139"/>
      <c r="I527" s="139"/>
      <c r="J527" s="139"/>
      <c r="K527" s="139"/>
      <c r="L527" s="139"/>
      <c r="M527" s="139"/>
      <c r="N527" s="139"/>
      <c r="O527" s="139"/>
      <c r="P527" s="139"/>
      <c r="Q527" s="139"/>
      <c r="R527" s="139"/>
      <c r="S527" s="139"/>
      <c r="T527" s="139"/>
      <c r="U527" s="139"/>
      <c r="V527" s="139"/>
      <c r="W527" s="139"/>
      <c r="X527" s="139"/>
      <c r="Y527" s="139"/>
      <c r="Z527" s="139"/>
      <c r="AA527" s="139"/>
      <c r="AB527" s="139"/>
      <c r="AC527" s="139"/>
      <c r="AD527" s="139"/>
      <c r="AE527" s="139"/>
      <c r="AF527" s="139"/>
      <c r="AG527" s="139"/>
      <c r="AH527" s="139"/>
      <c r="AI527" s="139"/>
      <c r="AJ527" s="139"/>
    </row>
    <row r="528">
      <c r="A528" s="9"/>
      <c r="B528" s="139"/>
      <c r="C528" s="139"/>
      <c r="D528" s="139"/>
      <c r="E528" s="139"/>
      <c r="F528" s="139"/>
      <c r="G528" s="139"/>
      <c r="H528" s="139"/>
      <c r="I528" s="139"/>
      <c r="J528" s="139"/>
      <c r="K528" s="139"/>
      <c r="L528" s="139"/>
      <c r="M528" s="139"/>
      <c r="N528" s="139"/>
      <c r="O528" s="139"/>
      <c r="P528" s="139"/>
      <c r="Q528" s="139"/>
      <c r="R528" s="139"/>
      <c r="S528" s="139"/>
      <c r="T528" s="139"/>
      <c r="U528" s="139"/>
      <c r="V528" s="139"/>
      <c r="W528" s="139"/>
      <c r="X528" s="139"/>
      <c r="Y528" s="139"/>
      <c r="Z528" s="139"/>
      <c r="AA528" s="139"/>
      <c r="AB528" s="139"/>
      <c r="AC528" s="139"/>
      <c r="AD528" s="139"/>
      <c r="AE528" s="139"/>
      <c r="AF528" s="139"/>
      <c r="AG528" s="139"/>
      <c r="AH528" s="139"/>
      <c r="AI528" s="139"/>
      <c r="AJ528" s="139"/>
    </row>
    <row r="529">
      <c r="A529" s="9"/>
      <c r="B529" s="139"/>
      <c r="C529" s="139"/>
      <c r="D529" s="139"/>
      <c r="E529" s="139"/>
      <c r="F529" s="139"/>
      <c r="G529" s="139"/>
      <c r="H529" s="139"/>
      <c r="I529" s="139"/>
      <c r="J529" s="139"/>
      <c r="K529" s="139"/>
      <c r="L529" s="139"/>
      <c r="M529" s="139"/>
      <c r="N529" s="139"/>
      <c r="O529" s="139"/>
      <c r="P529" s="139"/>
      <c r="Q529" s="139"/>
      <c r="R529" s="139"/>
      <c r="S529" s="139"/>
      <c r="T529" s="139"/>
      <c r="U529" s="139"/>
      <c r="V529" s="139"/>
      <c r="W529" s="139"/>
      <c r="X529" s="139"/>
      <c r="Y529" s="139"/>
      <c r="Z529" s="139"/>
      <c r="AA529" s="139"/>
      <c r="AB529" s="139"/>
      <c r="AC529" s="139"/>
      <c r="AD529" s="139"/>
      <c r="AE529" s="139"/>
      <c r="AF529" s="139"/>
      <c r="AG529" s="139"/>
      <c r="AH529" s="139"/>
      <c r="AI529" s="139"/>
      <c r="AJ529" s="139"/>
    </row>
    <row r="530">
      <c r="A530" s="9"/>
      <c r="B530" s="139"/>
      <c r="C530" s="139"/>
      <c r="D530" s="139"/>
      <c r="E530" s="139"/>
      <c r="F530" s="139"/>
      <c r="G530" s="139"/>
      <c r="H530" s="139"/>
      <c r="I530" s="139"/>
      <c r="J530" s="139"/>
      <c r="K530" s="139"/>
      <c r="L530" s="139"/>
      <c r="M530" s="139"/>
      <c r="N530" s="139"/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39"/>
      <c r="AA530" s="139"/>
      <c r="AB530" s="139"/>
      <c r="AC530" s="139"/>
      <c r="AD530" s="139"/>
      <c r="AE530" s="139"/>
      <c r="AF530" s="139"/>
      <c r="AG530" s="139"/>
      <c r="AH530" s="139"/>
      <c r="AI530" s="139"/>
      <c r="AJ530" s="139"/>
    </row>
    <row r="531">
      <c r="A531" s="9"/>
      <c r="B531" s="139"/>
      <c r="C531" s="139"/>
      <c r="D531" s="139"/>
      <c r="E531" s="139"/>
      <c r="F531" s="139"/>
      <c r="G531" s="139"/>
      <c r="H531" s="139"/>
      <c r="I531" s="139"/>
      <c r="J531" s="139"/>
      <c r="K531" s="139"/>
      <c r="L531" s="139"/>
      <c r="M531" s="139"/>
      <c r="N531" s="139"/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39"/>
      <c r="AA531" s="139"/>
      <c r="AB531" s="139"/>
      <c r="AC531" s="139"/>
      <c r="AD531" s="139"/>
      <c r="AE531" s="139"/>
      <c r="AF531" s="139"/>
      <c r="AG531" s="139"/>
      <c r="AH531" s="139"/>
      <c r="AI531" s="139"/>
      <c r="AJ531" s="139"/>
    </row>
    <row r="532">
      <c r="A532" s="9"/>
      <c r="B532" s="139"/>
      <c r="C532" s="139"/>
      <c r="D532" s="139"/>
      <c r="E532" s="139"/>
      <c r="F532" s="139"/>
      <c r="G532" s="139"/>
      <c r="H532" s="139"/>
      <c r="I532" s="139"/>
      <c r="J532" s="139"/>
      <c r="K532" s="139"/>
      <c r="L532" s="139"/>
      <c r="M532" s="139"/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  <c r="AA532" s="139"/>
      <c r="AB532" s="139"/>
      <c r="AC532" s="139"/>
      <c r="AD532" s="139"/>
      <c r="AE532" s="139"/>
      <c r="AF532" s="139"/>
      <c r="AG532" s="139"/>
      <c r="AH532" s="139"/>
      <c r="AI532" s="139"/>
      <c r="AJ532" s="139"/>
    </row>
    <row r="533">
      <c r="A533" s="9"/>
      <c r="B533" s="139"/>
      <c r="C533" s="139"/>
      <c r="D533" s="139"/>
      <c r="E533" s="139"/>
      <c r="F533" s="139"/>
      <c r="G533" s="139"/>
      <c r="H533" s="139"/>
      <c r="I533" s="139"/>
      <c r="J533" s="139"/>
      <c r="K533" s="139"/>
      <c r="L533" s="139"/>
      <c r="M533" s="139"/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  <c r="AA533" s="139"/>
      <c r="AB533" s="139"/>
      <c r="AC533" s="139"/>
      <c r="AD533" s="139"/>
      <c r="AE533" s="139"/>
      <c r="AF533" s="139"/>
      <c r="AG533" s="139"/>
      <c r="AH533" s="139"/>
      <c r="AI533" s="139"/>
      <c r="AJ533" s="139"/>
    </row>
    <row r="534">
      <c r="A534" s="9"/>
      <c r="B534" s="139"/>
      <c r="C534" s="139"/>
      <c r="D534" s="139"/>
      <c r="E534" s="139"/>
      <c r="F534" s="139"/>
      <c r="G534" s="139"/>
      <c r="H534" s="139"/>
      <c r="I534" s="139"/>
      <c r="J534" s="139"/>
      <c r="K534" s="139"/>
      <c r="L534" s="139"/>
      <c r="M534" s="139"/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  <c r="AA534" s="139"/>
      <c r="AB534" s="139"/>
      <c r="AC534" s="139"/>
      <c r="AD534" s="139"/>
      <c r="AE534" s="139"/>
      <c r="AF534" s="139"/>
      <c r="AG534" s="139"/>
      <c r="AH534" s="139"/>
      <c r="AI534" s="139"/>
      <c r="AJ534" s="139"/>
    </row>
    <row r="535">
      <c r="A535" s="9"/>
      <c r="B535" s="139"/>
      <c r="C535" s="139"/>
      <c r="D535" s="139"/>
      <c r="E535" s="139"/>
      <c r="F535" s="139"/>
      <c r="G535" s="139"/>
      <c r="H535" s="139"/>
      <c r="I535" s="139"/>
      <c r="J535" s="139"/>
      <c r="K535" s="139"/>
      <c r="L535" s="139"/>
      <c r="M535" s="139"/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  <c r="AA535" s="139"/>
      <c r="AB535" s="139"/>
      <c r="AC535" s="139"/>
      <c r="AD535" s="139"/>
      <c r="AE535" s="139"/>
      <c r="AF535" s="139"/>
      <c r="AG535" s="139"/>
      <c r="AH535" s="139"/>
      <c r="AI535" s="139"/>
      <c r="AJ535" s="139"/>
    </row>
    <row r="536">
      <c r="A536" s="9"/>
      <c r="B536" s="139"/>
      <c r="C536" s="139"/>
      <c r="D536" s="139"/>
      <c r="E536" s="139"/>
      <c r="F536" s="139"/>
      <c r="G536" s="139"/>
      <c r="H536" s="139"/>
      <c r="I536" s="139"/>
      <c r="J536" s="139"/>
      <c r="K536" s="139"/>
      <c r="L536" s="139"/>
      <c r="M536" s="139"/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  <c r="AA536" s="139"/>
      <c r="AB536" s="139"/>
      <c r="AC536" s="139"/>
      <c r="AD536" s="139"/>
      <c r="AE536" s="139"/>
      <c r="AF536" s="139"/>
      <c r="AG536" s="139"/>
      <c r="AH536" s="139"/>
      <c r="AI536" s="139"/>
      <c r="AJ536" s="139"/>
    </row>
    <row r="537">
      <c r="A537" s="9"/>
      <c r="B537" s="139"/>
      <c r="C537" s="139"/>
      <c r="D537" s="139"/>
      <c r="E537" s="139"/>
      <c r="F537" s="139"/>
      <c r="G537" s="139"/>
      <c r="H537" s="139"/>
      <c r="I537" s="139"/>
      <c r="J537" s="139"/>
      <c r="K537" s="139"/>
      <c r="L537" s="139"/>
      <c r="M537" s="139"/>
      <c r="N537" s="139"/>
      <c r="O537" s="139"/>
      <c r="P537" s="139"/>
      <c r="Q537" s="139"/>
      <c r="R537" s="139"/>
      <c r="S537" s="139"/>
      <c r="T537" s="139"/>
      <c r="U537" s="139"/>
      <c r="V537" s="139"/>
      <c r="W537" s="139"/>
      <c r="X537" s="139"/>
      <c r="Y537" s="139"/>
      <c r="Z537" s="139"/>
      <c r="AA537" s="139"/>
      <c r="AB537" s="139"/>
      <c r="AC537" s="139"/>
      <c r="AD537" s="139"/>
      <c r="AE537" s="139"/>
      <c r="AF537" s="139"/>
      <c r="AG537" s="139"/>
      <c r="AH537" s="139"/>
      <c r="AI537" s="139"/>
      <c r="AJ537" s="139"/>
    </row>
    <row r="538">
      <c r="A538" s="9"/>
      <c r="B538" s="139"/>
      <c r="C538" s="139"/>
      <c r="D538" s="139"/>
      <c r="E538" s="139"/>
      <c r="F538" s="139"/>
      <c r="G538" s="139"/>
      <c r="H538" s="139"/>
      <c r="I538" s="139"/>
      <c r="J538" s="139"/>
      <c r="K538" s="139"/>
      <c r="L538" s="139"/>
      <c r="M538" s="139"/>
      <c r="N538" s="139"/>
      <c r="O538" s="139"/>
      <c r="P538" s="139"/>
      <c r="Q538" s="139"/>
      <c r="R538" s="139"/>
      <c r="S538" s="139"/>
      <c r="T538" s="139"/>
      <c r="U538" s="139"/>
      <c r="V538" s="139"/>
      <c r="W538" s="139"/>
      <c r="X538" s="139"/>
      <c r="Y538" s="139"/>
      <c r="Z538" s="139"/>
      <c r="AA538" s="139"/>
      <c r="AB538" s="139"/>
      <c r="AC538" s="139"/>
      <c r="AD538" s="139"/>
      <c r="AE538" s="139"/>
      <c r="AF538" s="139"/>
      <c r="AG538" s="139"/>
      <c r="AH538" s="139"/>
      <c r="AI538" s="139"/>
      <c r="AJ538" s="139"/>
    </row>
    <row r="539">
      <c r="A539" s="9"/>
      <c r="B539" s="139"/>
      <c r="C539" s="139"/>
      <c r="D539" s="139"/>
      <c r="E539" s="139"/>
      <c r="F539" s="139"/>
      <c r="G539" s="139"/>
      <c r="H539" s="139"/>
      <c r="I539" s="139"/>
      <c r="J539" s="139"/>
      <c r="K539" s="139"/>
      <c r="L539" s="139"/>
      <c r="M539" s="139"/>
      <c r="N539" s="139"/>
      <c r="O539" s="139"/>
      <c r="P539" s="139"/>
      <c r="Q539" s="139"/>
      <c r="R539" s="139"/>
      <c r="S539" s="139"/>
      <c r="T539" s="139"/>
      <c r="U539" s="139"/>
      <c r="V539" s="139"/>
      <c r="W539" s="139"/>
      <c r="X539" s="139"/>
      <c r="Y539" s="139"/>
      <c r="Z539" s="139"/>
      <c r="AA539" s="139"/>
      <c r="AB539" s="139"/>
      <c r="AC539" s="139"/>
      <c r="AD539" s="139"/>
      <c r="AE539" s="139"/>
      <c r="AF539" s="139"/>
      <c r="AG539" s="139"/>
      <c r="AH539" s="139"/>
      <c r="AI539" s="139"/>
      <c r="AJ539" s="139"/>
    </row>
    <row r="540">
      <c r="A540" s="9"/>
      <c r="B540" s="139"/>
      <c r="C540" s="139"/>
      <c r="D540" s="139"/>
      <c r="E540" s="139"/>
      <c r="F540" s="139"/>
      <c r="G540" s="139"/>
      <c r="H540" s="139"/>
      <c r="I540" s="139"/>
      <c r="J540" s="139"/>
      <c r="K540" s="139"/>
      <c r="L540" s="139"/>
      <c r="M540" s="139"/>
      <c r="N540" s="139"/>
      <c r="O540" s="139"/>
      <c r="P540" s="139"/>
      <c r="Q540" s="139"/>
      <c r="R540" s="139"/>
      <c r="S540" s="139"/>
      <c r="T540" s="139"/>
      <c r="U540" s="139"/>
      <c r="V540" s="139"/>
      <c r="W540" s="139"/>
      <c r="X540" s="139"/>
      <c r="Y540" s="139"/>
      <c r="Z540" s="139"/>
      <c r="AA540" s="139"/>
      <c r="AB540" s="139"/>
      <c r="AC540" s="139"/>
      <c r="AD540" s="139"/>
      <c r="AE540" s="139"/>
      <c r="AF540" s="139"/>
      <c r="AG540" s="139"/>
      <c r="AH540" s="139"/>
      <c r="AI540" s="139"/>
      <c r="AJ540" s="139"/>
    </row>
    <row r="541">
      <c r="A541" s="9"/>
      <c r="B541" s="139"/>
      <c r="C541" s="139"/>
      <c r="D541" s="139"/>
      <c r="E541" s="139"/>
      <c r="F541" s="139"/>
      <c r="G541" s="139"/>
      <c r="H541" s="139"/>
      <c r="I541" s="139"/>
      <c r="J541" s="139"/>
      <c r="K541" s="139"/>
      <c r="L541" s="139"/>
      <c r="M541" s="139"/>
      <c r="N541" s="139"/>
      <c r="O541" s="139"/>
      <c r="P541" s="139"/>
      <c r="Q541" s="139"/>
      <c r="R541" s="139"/>
      <c r="S541" s="139"/>
      <c r="T541" s="139"/>
      <c r="U541" s="139"/>
      <c r="V541" s="139"/>
      <c r="W541" s="139"/>
      <c r="X541" s="139"/>
      <c r="Y541" s="139"/>
      <c r="Z541" s="139"/>
      <c r="AA541" s="139"/>
      <c r="AB541" s="139"/>
      <c r="AC541" s="139"/>
      <c r="AD541" s="139"/>
      <c r="AE541" s="139"/>
      <c r="AF541" s="139"/>
      <c r="AG541" s="139"/>
      <c r="AH541" s="139"/>
      <c r="AI541" s="139"/>
      <c r="AJ541" s="139"/>
    </row>
    <row r="542">
      <c r="A542" s="9"/>
      <c r="B542" s="139"/>
      <c r="C542" s="139"/>
      <c r="D542" s="139"/>
      <c r="E542" s="139"/>
      <c r="F542" s="139"/>
      <c r="G542" s="139"/>
      <c r="H542" s="139"/>
      <c r="I542" s="139"/>
      <c r="J542" s="139"/>
      <c r="K542" s="139"/>
      <c r="L542" s="139"/>
      <c r="M542" s="139"/>
      <c r="N542" s="139"/>
      <c r="O542" s="139"/>
      <c r="P542" s="139"/>
      <c r="Q542" s="139"/>
      <c r="R542" s="139"/>
      <c r="S542" s="139"/>
      <c r="T542" s="139"/>
      <c r="U542" s="139"/>
      <c r="V542" s="139"/>
      <c r="W542" s="139"/>
      <c r="X542" s="139"/>
      <c r="Y542" s="139"/>
      <c r="Z542" s="139"/>
      <c r="AA542" s="139"/>
      <c r="AB542" s="139"/>
      <c r="AC542" s="139"/>
      <c r="AD542" s="139"/>
      <c r="AE542" s="139"/>
      <c r="AF542" s="139"/>
      <c r="AG542" s="139"/>
      <c r="AH542" s="139"/>
      <c r="AI542" s="139"/>
      <c r="AJ542" s="139"/>
    </row>
    <row r="543">
      <c r="A543" s="9"/>
      <c r="B543" s="139"/>
      <c r="C543" s="139"/>
      <c r="D543" s="139"/>
      <c r="E543" s="139"/>
      <c r="F543" s="139"/>
      <c r="G543" s="139"/>
      <c r="H543" s="139"/>
      <c r="I543" s="139"/>
      <c r="J543" s="139"/>
      <c r="K543" s="139"/>
      <c r="L543" s="139"/>
      <c r="M543" s="139"/>
      <c r="N543" s="139"/>
      <c r="O543" s="139"/>
      <c r="P543" s="139"/>
      <c r="Q543" s="139"/>
      <c r="R543" s="139"/>
      <c r="S543" s="139"/>
      <c r="T543" s="139"/>
      <c r="U543" s="139"/>
      <c r="V543" s="139"/>
      <c r="W543" s="139"/>
      <c r="X543" s="139"/>
      <c r="Y543" s="139"/>
      <c r="Z543" s="139"/>
      <c r="AA543" s="139"/>
      <c r="AB543" s="139"/>
      <c r="AC543" s="139"/>
      <c r="AD543" s="139"/>
      <c r="AE543" s="139"/>
      <c r="AF543" s="139"/>
      <c r="AG543" s="139"/>
      <c r="AH543" s="139"/>
      <c r="AI543" s="139"/>
      <c r="AJ543" s="139"/>
    </row>
    <row r="544">
      <c r="A544" s="9"/>
      <c r="B544" s="139"/>
      <c r="C544" s="139"/>
      <c r="D544" s="139"/>
      <c r="E544" s="139"/>
      <c r="F544" s="139"/>
      <c r="G544" s="139"/>
      <c r="H544" s="139"/>
      <c r="I544" s="139"/>
      <c r="J544" s="139"/>
      <c r="K544" s="139"/>
      <c r="L544" s="139"/>
      <c r="M544" s="139"/>
      <c r="N544" s="139"/>
      <c r="O544" s="139"/>
      <c r="P544" s="139"/>
      <c r="Q544" s="139"/>
      <c r="R544" s="139"/>
      <c r="S544" s="139"/>
      <c r="T544" s="139"/>
      <c r="U544" s="139"/>
      <c r="V544" s="139"/>
      <c r="W544" s="139"/>
      <c r="X544" s="139"/>
      <c r="Y544" s="139"/>
      <c r="Z544" s="139"/>
      <c r="AA544" s="139"/>
      <c r="AB544" s="139"/>
      <c r="AC544" s="139"/>
      <c r="AD544" s="139"/>
      <c r="AE544" s="139"/>
      <c r="AF544" s="139"/>
      <c r="AG544" s="139"/>
      <c r="AH544" s="139"/>
      <c r="AI544" s="139"/>
      <c r="AJ544" s="139"/>
    </row>
    <row r="545">
      <c r="A545" s="9"/>
      <c r="B545" s="139"/>
      <c r="C545" s="139"/>
      <c r="D545" s="139"/>
      <c r="E545" s="139"/>
      <c r="F545" s="139"/>
      <c r="G545" s="139"/>
      <c r="H545" s="139"/>
      <c r="I545" s="139"/>
      <c r="J545" s="139"/>
      <c r="K545" s="139"/>
      <c r="L545" s="139"/>
      <c r="M545" s="139"/>
      <c r="N545" s="139"/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39"/>
      <c r="AA545" s="139"/>
      <c r="AB545" s="139"/>
      <c r="AC545" s="139"/>
      <c r="AD545" s="139"/>
      <c r="AE545" s="139"/>
      <c r="AF545" s="139"/>
      <c r="AG545" s="139"/>
      <c r="AH545" s="139"/>
      <c r="AI545" s="139"/>
      <c r="AJ545" s="139"/>
    </row>
    <row r="546">
      <c r="A546" s="9"/>
      <c r="B546" s="139"/>
      <c r="C546" s="139"/>
      <c r="D546" s="139"/>
      <c r="E546" s="139"/>
      <c r="F546" s="139"/>
      <c r="G546" s="139"/>
      <c r="H546" s="139"/>
      <c r="I546" s="139"/>
      <c r="J546" s="139"/>
      <c r="K546" s="139"/>
      <c r="L546" s="139"/>
      <c r="M546" s="139"/>
      <c r="N546" s="139"/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39"/>
      <c r="Z546" s="139"/>
      <c r="AA546" s="139"/>
      <c r="AB546" s="139"/>
      <c r="AC546" s="139"/>
      <c r="AD546" s="139"/>
      <c r="AE546" s="139"/>
      <c r="AF546" s="139"/>
      <c r="AG546" s="139"/>
      <c r="AH546" s="139"/>
      <c r="AI546" s="139"/>
      <c r="AJ546" s="139"/>
    </row>
    <row r="547">
      <c r="A547" s="9"/>
      <c r="B547" s="139"/>
      <c r="C547" s="139"/>
      <c r="D547" s="139"/>
      <c r="E547" s="139"/>
      <c r="F547" s="139"/>
      <c r="G547" s="139"/>
      <c r="H547" s="139"/>
      <c r="I547" s="139"/>
      <c r="J547" s="139"/>
      <c r="K547" s="139"/>
      <c r="L547" s="139"/>
      <c r="M547" s="139"/>
      <c r="N547" s="139"/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39"/>
      <c r="Z547" s="139"/>
      <c r="AA547" s="139"/>
      <c r="AB547" s="139"/>
      <c r="AC547" s="139"/>
      <c r="AD547" s="139"/>
      <c r="AE547" s="139"/>
      <c r="AF547" s="139"/>
      <c r="AG547" s="139"/>
      <c r="AH547" s="139"/>
      <c r="AI547" s="139"/>
      <c r="AJ547" s="139"/>
    </row>
    <row r="548">
      <c r="A548" s="9"/>
      <c r="B548" s="139"/>
      <c r="C548" s="139"/>
      <c r="D548" s="139"/>
      <c r="E548" s="139"/>
      <c r="F548" s="139"/>
      <c r="G548" s="139"/>
      <c r="H548" s="139"/>
      <c r="I548" s="139"/>
      <c r="J548" s="139"/>
      <c r="K548" s="139"/>
      <c r="L548" s="139"/>
      <c r="M548" s="139"/>
      <c r="N548" s="139"/>
      <c r="O548" s="139"/>
      <c r="P548" s="139"/>
      <c r="Q548" s="139"/>
      <c r="R548" s="139"/>
      <c r="S548" s="139"/>
      <c r="T548" s="139"/>
      <c r="U548" s="139"/>
      <c r="V548" s="139"/>
      <c r="W548" s="139"/>
      <c r="X548" s="139"/>
      <c r="Y548" s="139"/>
      <c r="Z548" s="139"/>
      <c r="AA548" s="139"/>
      <c r="AB548" s="139"/>
      <c r="AC548" s="139"/>
      <c r="AD548" s="139"/>
      <c r="AE548" s="139"/>
      <c r="AF548" s="139"/>
      <c r="AG548" s="139"/>
      <c r="AH548" s="139"/>
      <c r="AI548" s="139"/>
      <c r="AJ548" s="139"/>
    </row>
    <row r="549">
      <c r="A549" s="9"/>
      <c r="B549" s="139"/>
      <c r="C549" s="139"/>
      <c r="D549" s="139"/>
      <c r="E549" s="139"/>
      <c r="F549" s="139"/>
      <c r="G549" s="139"/>
      <c r="H549" s="139"/>
      <c r="I549" s="139"/>
      <c r="J549" s="139"/>
      <c r="K549" s="139"/>
      <c r="L549" s="139"/>
      <c r="M549" s="139"/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  <c r="AA549" s="139"/>
      <c r="AB549" s="139"/>
      <c r="AC549" s="139"/>
      <c r="AD549" s="139"/>
      <c r="AE549" s="139"/>
      <c r="AF549" s="139"/>
      <c r="AG549" s="139"/>
      <c r="AH549" s="139"/>
      <c r="AI549" s="139"/>
      <c r="AJ549" s="139"/>
    </row>
    <row r="550">
      <c r="A550" s="9"/>
      <c r="B550" s="139"/>
      <c r="C550" s="139"/>
      <c r="D550" s="139"/>
      <c r="E550" s="139"/>
      <c r="F550" s="139"/>
      <c r="G550" s="139"/>
      <c r="H550" s="139"/>
      <c r="I550" s="139"/>
      <c r="J550" s="139"/>
      <c r="K550" s="139"/>
      <c r="L550" s="139"/>
      <c r="M550" s="139"/>
      <c r="N550" s="139"/>
      <c r="O550" s="139"/>
      <c r="P550" s="139"/>
      <c r="Q550" s="139"/>
      <c r="R550" s="139"/>
      <c r="S550" s="139"/>
      <c r="T550" s="139"/>
      <c r="U550" s="139"/>
      <c r="V550" s="139"/>
      <c r="W550" s="139"/>
      <c r="X550" s="139"/>
      <c r="Y550" s="139"/>
      <c r="Z550" s="139"/>
      <c r="AA550" s="139"/>
      <c r="AB550" s="139"/>
      <c r="AC550" s="139"/>
      <c r="AD550" s="139"/>
      <c r="AE550" s="139"/>
      <c r="AF550" s="139"/>
      <c r="AG550" s="139"/>
      <c r="AH550" s="139"/>
      <c r="AI550" s="139"/>
      <c r="AJ550" s="139"/>
    </row>
    <row r="551">
      <c r="A551" s="9"/>
      <c r="B551" s="139"/>
      <c r="C551" s="139"/>
      <c r="D551" s="139"/>
      <c r="E551" s="139"/>
      <c r="F551" s="139"/>
      <c r="G551" s="139"/>
      <c r="H551" s="139"/>
      <c r="I551" s="139"/>
      <c r="J551" s="139"/>
      <c r="K551" s="139"/>
      <c r="L551" s="139"/>
      <c r="M551" s="139"/>
      <c r="N551" s="139"/>
      <c r="O551" s="139"/>
      <c r="P551" s="139"/>
      <c r="Q551" s="139"/>
      <c r="R551" s="139"/>
      <c r="S551" s="139"/>
      <c r="T551" s="139"/>
      <c r="U551" s="139"/>
      <c r="V551" s="139"/>
      <c r="W551" s="139"/>
      <c r="X551" s="139"/>
      <c r="Y551" s="139"/>
      <c r="Z551" s="139"/>
      <c r="AA551" s="139"/>
      <c r="AB551" s="139"/>
      <c r="AC551" s="139"/>
      <c r="AD551" s="139"/>
      <c r="AE551" s="139"/>
      <c r="AF551" s="139"/>
      <c r="AG551" s="139"/>
      <c r="AH551" s="139"/>
      <c r="AI551" s="139"/>
      <c r="AJ551" s="139"/>
    </row>
    <row r="552">
      <c r="A552" s="9"/>
      <c r="B552" s="139"/>
      <c r="C552" s="139"/>
      <c r="D552" s="139"/>
      <c r="E552" s="139"/>
      <c r="F552" s="139"/>
      <c r="G552" s="139"/>
      <c r="H552" s="139"/>
      <c r="I552" s="139"/>
      <c r="J552" s="139"/>
      <c r="K552" s="139"/>
      <c r="L552" s="139"/>
      <c r="M552" s="139"/>
      <c r="N552" s="139"/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39"/>
      <c r="AA552" s="139"/>
      <c r="AB552" s="139"/>
      <c r="AC552" s="139"/>
      <c r="AD552" s="139"/>
      <c r="AE552" s="139"/>
      <c r="AF552" s="139"/>
      <c r="AG552" s="139"/>
      <c r="AH552" s="139"/>
      <c r="AI552" s="139"/>
      <c r="AJ552" s="139"/>
    </row>
    <row r="553">
      <c r="A553" s="9"/>
      <c r="B553" s="139"/>
      <c r="C553" s="139"/>
      <c r="D553" s="139"/>
      <c r="E553" s="139"/>
      <c r="F553" s="139"/>
      <c r="G553" s="139"/>
      <c r="H553" s="139"/>
      <c r="I553" s="139"/>
      <c r="J553" s="139"/>
      <c r="K553" s="139"/>
      <c r="L553" s="139"/>
      <c r="M553" s="139"/>
      <c r="N553" s="139"/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39"/>
      <c r="Z553" s="139"/>
      <c r="AA553" s="139"/>
      <c r="AB553" s="139"/>
      <c r="AC553" s="139"/>
      <c r="AD553" s="139"/>
      <c r="AE553" s="139"/>
      <c r="AF553" s="139"/>
      <c r="AG553" s="139"/>
      <c r="AH553" s="139"/>
      <c r="AI553" s="139"/>
      <c r="AJ553" s="139"/>
    </row>
    <row r="554">
      <c r="A554" s="9"/>
      <c r="B554" s="139"/>
      <c r="C554" s="139"/>
      <c r="D554" s="139"/>
      <c r="E554" s="139"/>
      <c r="F554" s="139"/>
      <c r="G554" s="139"/>
      <c r="H554" s="139"/>
      <c r="I554" s="139"/>
      <c r="J554" s="139"/>
      <c r="K554" s="139"/>
      <c r="L554" s="139"/>
      <c r="M554" s="139"/>
      <c r="N554" s="139"/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39"/>
      <c r="Z554" s="139"/>
      <c r="AA554" s="139"/>
      <c r="AB554" s="139"/>
      <c r="AC554" s="139"/>
      <c r="AD554" s="139"/>
      <c r="AE554" s="139"/>
      <c r="AF554" s="139"/>
      <c r="AG554" s="139"/>
      <c r="AH554" s="139"/>
      <c r="AI554" s="139"/>
      <c r="AJ554" s="139"/>
    </row>
    <row r="555">
      <c r="A555" s="9"/>
      <c r="B555" s="139"/>
      <c r="C555" s="139"/>
      <c r="D555" s="139"/>
      <c r="E555" s="139"/>
      <c r="F555" s="139"/>
      <c r="G555" s="139"/>
      <c r="H555" s="139"/>
      <c r="I555" s="139"/>
      <c r="J555" s="139"/>
      <c r="K555" s="139"/>
      <c r="L555" s="139"/>
      <c r="M555" s="139"/>
      <c r="N555" s="139"/>
      <c r="O555" s="139"/>
      <c r="P555" s="139"/>
      <c r="Q555" s="139"/>
      <c r="R555" s="139"/>
      <c r="S555" s="139"/>
      <c r="T555" s="139"/>
      <c r="U555" s="139"/>
      <c r="V555" s="139"/>
      <c r="W555" s="139"/>
      <c r="X555" s="139"/>
      <c r="Y555" s="139"/>
      <c r="Z555" s="139"/>
      <c r="AA555" s="139"/>
      <c r="AB555" s="139"/>
      <c r="AC555" s="139"/>
      <c r="AD555" s="139"/>
      <c r="AE555" s="139"/>
      <c r="AF555" s="139"/>
      <c r="AG555" s="139"/>
      <c r="AH555" s="139"/>
      <c r="AI555" s="139"/>
      <c r="AJ555" s="139"/>
    </row>
    <row r="556">
      <c r="A556" s="9"/>
      <c r="B556" s="139"/>
      <c r="C556" s="139"/>
      <c r="D556" s="139"/>
      <c r="E556" s="139"/>
      <c r="F556" s="139"/>
      <c r="G556" s="139"/>
      <c r="H556" s="139"/>
      <c r="I556" s="139"/>
      <c r="J556" s="139"/>
      <c r="K556" s="139"/>
      <c r="L556" s="139"/>
      <c r="M556" s="139"/>
      <c r="N556" s="139"/>
      <c r="O556" s="139"/>
      <c r="P556" s="139"/>
      <c r="Q556" s="139"/>
      <c r="R556" s="139"/>
      <c r="S556" s="139"/>
      <c r="T556" s="139"/>
      <c r="U556" s="139"/>
      <c r="V556" s="139"/>
      <c r="W556" s="139"/>
      <c r="X556" s="139"/>
      <c r="Y556" s="139"/>
      <c r="Z556" s="139"/>
      <c r="AA556" s="139"/>
      <c r="AB556" s="139"/>
      <c r="AC556" s="139"/>
      <c r="AD556" s="139"/>
      <c r="AE556" s="139"/>
      <c r="AF556" s="139"/>
      <c r="AG556" s="139"/>
      <c r="AH556" s="139"/>
      <c r="AI556" s="139"/>
      <c r="AJ556" s="139"/>
    </row>
    <row r="557">
      <c r="A557" s="9"/>
      <c r="B557" s="139"/>
      <c r="C557" s="139"/>
      <c r="D557" s="139"/>
      <c r="E557" s="139"/>
      <c r="F557" s="139"/>
      <c r="G557" s="139"/>
      <c r="H557" s="139"/>
      <c r="I557" s="139"/>
      <c r="J557" s="139"/>
      <c r="K557" s="139"/>
      <c r="L557" s="139"/>
      <c r="M557" s="139"/>
      <c r="N557" s="139"/>
      <c r="O557" s="139"/>
      <c r="P557" s="139"/>
      <c r="Q557" s="139"/>
      <c r="R557" s="139"/>
      <c r="S557" s="139"/>
      <c r="T557" s="139"/>
      <c r="U557" s="139"/>
      <c r="V557" s="139"/>
      <c r="W557" s="139"/>
      <c r="X557" s="139"/>
      <c r="Y557" s="139"/>
      <c r="Z557" s="139"/>
      <c r="AA557" s="139"/>
      <c r="AB557" s="139"/>
      <c r="AC557" s="139"/>
      <c r="AD557" s="139"/>
      <c r="AE557" s="139"/>
      <c r="AF557" s="139"/>
      <c r="AG557" s="139"/>
      <c r="AH557" s="139"/>
      <c r="AI557" s="139"/>
      <c r="AJ557" s="139"/>
    </row>
    <row r="558">
      <c r="A558" s="9"/>
      <c r="B558" s="139"/>
      <c r="C558" s="139"/>
      <c r="D558" s="139"/>
      <c r="E558" s="139"/>
      <c r="F558" s="139"/>
      <c r="G558" s="139"/>
      <c r="H558" s="139"/>
      <c r="I558" s="139"/>
      <c r="J558" s="139"/>
      <c r="K558" s="139"/>
      <c r="L558" s="139"/>
      <c r="M558" s="139"/>
      <c r="N558" s="139"/>
      <c r="O558" s="139"/>
      <c r="P558" s="139"/>
      <c r="Q558" s="139"/>
      <c r="R558" s="139"/>
      <c r="S558" s="139"/>
      <c r="T558" s="139"/>
      <c r="U558" s="139"/>
      <c r="V558" s="139"/>
      <c r="W558" s="139"/>
      <c r="X558" s="139"/>
      <c r="Y558" s="139"/>
      <c r="Z558" s="139"/>
      <c r="AA558" s="139"/>
      <c r="AB558" s="139"/>
      <c r="AC558" s="139"/>
      <c r="AD558" s="139"/>
      <c r="AE558" s="139"/>
      <c r="AF558" s="139"/>
      <c r="AG558" s="139"/>
      <c r="AH558" s="139"/>
      <c r="AI558" s="139"/>
      <c r="AJ558" s="139"/>
    </row>
    <row r="559">
      <c r="A559" s="9"/>
      <c r="B559" s="139"/>
      <c r="C559" s="139"/>
      <c r="D559" s="139"/>
      <c r="E559" s="139"/>
      <c r="F559" s="139"/>
      <c r="G559" s="139"/>
      <c r="H559" s="139"/>
      <c r="I559" s="139"/>
      <c r="J559" s="139"/>
      <c r="K559" s="139"/>
      <c r="L559" s="139"/>
      <c r="M559" s="139"/>
      <c r="N559" s="139"/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39"/>
      <c r="AA559" s="139"/>
      <c r="AB559" s="139"/>
      <c r="AC559" s="139"/>
      <c r="AD559" s="139"/>
      <c r="AE559" s="139"/>
      <c r="AF559" s="139"/>
      <c r="AG559" s="139"/>
      <c r="AH559" s="139"/>
      <c r="AI559" s="139"/>
      <c r="AJ559" s="139"/>
    </row>
    <row r="560">
      <c r="A560" s="9"/>
      <c r="B560" s="139"/>
      <c r="C560" s="139"/>
      <c r="D560" s="139"/>
      <c r="E560" s="139"/>
      <c r="F560" s="139"/>
      <c r="G560" s="139"/>
      <c r="H560" s="139"/>
      <c r="I560" s="139"/>
      <c r="J560" s="139"/>
      <c r="K560" s="139"/>
      <c r="L560" s="139"/>
      <c r="M560" s="139"/>
      <c r="N560" s="139"/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39"/>
      <c r="Z560" s="139"/>
      <c r="AA560" s="139"/>
      <c r="AB560" s="139"/>
      <c r="AC560" s="139"/>
      <c r="AD560" s="139"/>
      <c r="AE560" s="139"/>
      <c r="AF560" s="139"/>
      <c r="AG560" s="139"/>
      <c r="AH560" s="139"/>
      <c r="AI560" s="139"/>
      <c r="AJ560" s="139"/>
    </row>
    <row r="561">
      <c r="A561" s="9"/>
      <c r="B561" s="139"/>
      <c r="C561" s="139"/>
      <c r="D561" s="139"/>
      <c r="E561" s="139"/>
      <c r="F561" s="139"/>
      <c r="G561" s="139"/>
      <c r="H561" s="139"/>
      <c r="I561" s="139"/>
      <c r="J561" s="139"/>
      <c r="K561" s="139"/>
      <c r="L561" s="139"/>
      <c r="M561" s="139"/>
      <c r="N561" s="139"/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39"/>
      <c r="Z561" s="139"/>
      <c r="AA561" s="139"/>
      <c r="AB561" s="139"/>
      <c r="AC561" s="139"/>
      <c r="AD561" s="139"/>
      <c r="AE561" s="139"/>
      <c r="AF561" s="139"/>
      <c r="AG561" s="139"/>
      <c r="AH561" s="139"/>
      <c r="AI561" s="139"/>
      <c r="AJ561" s="139"/>
    </row>
    <row r="562">
      <c r="A562" s="9"/>
      <c r="B562" s="139"/>
      <c r="C562" s="139"/>
      <c r="D562" s="139"/>
      <c r="E562" s="139"/>
      <c r="F562" s="139"/>
      <c r="G562" s="139"/>
      <c r="H562" s="139"/>
      <c r="I562" s="139"/>
      <c r="J562" s="139"/>
      <c r="K562" s="139"/>
      <c r="L562" s="139"/>
      <c r="M562" s="139"/>
      <c r="N562" s="139"/>
      <c r="O562" s="139"/>
      <c r="P562" s="139"/>
      <c r="Q562" s="139"/>
      <c r="R562" s="139"/>
      <c r="S562" s="139"/>
      <c r="T562" s="139"/>
      <c r="U562" s="139"/>
      <c r="V562" s="139"/>
      <c r="W562" s="139"/>
      <c r="X562" s="139"/>
      <c r="Y562" s="139"/>
      <c r="Z562" s="139"/>
      <c r="AA562" s="139"/>
      <c r="AB562" s="139"/>
      <c r="AC562" s="139"/>
      <c r="AD562" s="139"/>
      <c r="AE562" s="139"/>
      <c r="AF562" s="139"/>
      <c r="AG562" s="139"/>
      <c r="AH562" s="139"/>
      <c r="AI562" s="139"/>
      <c r="AJ562" s="139"/>
    </row>
    <row r="563">
      <c r="A563" s="9"/>
      <c r="B563" s="139"/>
      <c r="C563" s="139"/>
      <c r="D563" s="139"/>
      <c r="E563" s="139"/>
      <c r="F563" s="139"/>
      <c r="G563" s="139"/>
      <c r="H563" s="139"/>
      <c r="I563" s="139"/>
      <c r="J563" s="139"/>
      <c r="K563" s="139"/>
      <c r="L563" s="139"/>
      <c r="M563" s="139"/>
      <c r="N563" s="139"/>
      <c r="O563" s="139"/>
      <c r="P563" s="139"/>
      <c r="Q563" s="139"/>
      <c r="R563" s="139"/>
      <c r="S563" s="139"/>
      <c r="T563" s="139"/>
      <c r="U563" s="139"/>
      <c r="V563" s="139"/>
      <c r="W563" s="139"/>
      <c r="X563" s="139"/>
      <c r="Y563" s="139"/>
      <c r="Z563" s="139"/>
      <c r="AA563" s="139"/>
      <c r="AB563" s="139"/>
      <c r="AC563" s="139"/>
      <c r="AD563" s="139"/>
      <c r="AE563" s="139"/>
      <c r="AF563" s="139"/>
      <c r="AG563" s="139"/>
      <c r="AH563" s="139"/>
      <c r="AI563" s="139"/>
      <c r="AJ563" s="139"/>
    </row>
    <row r="564">
      <c r="A564" s="9"/>
      <c r="B564" s="139"/>
      <c r="C564" s="139"/>
      <c r="D564" s="139"/>
      <c r="E564" s="139"/>
      <c r="F564" s="139"/>
      <c r="G564" s="139"/>
      <c r="H564" s="139"/>
      <c r="I564" s="139"/>
      <c r="J564" s="139"/>
      <c r="K564" s="139"/>
      <c r="L564" s="139"/>
      <c r="M564" s="139"/>
      <c r="N564" s="139"/>
      <c r="O564" s="139"/>
      <c r="P564" s="139"/>
      <c r="Q564" s="139"/>
      <c r="R564" s="139"/>
      <c r="S564" s="139"/>
      <c r="T564" s="139"/>
      <c r="U564" s="139"/>
      <c r="V564" s="139"/>
      <c r="W564" s="139"/>
      <c r="X564" s="139"/>
      <c r="Y564" s="139"/>
      <c r="Z564" s="139"/>
      <c r="AA564" s="139"/>
      <c r="AB564" s="139"/>
      <c r="AC564" s="139"/>
      <c r="AD564" s="139"/>
      <c r="AE564" s="139"/>
      <c r="AF564" s="139"/>
      <c r="AG564" s="139"/>
      <c r="AH564" s="139"/>
      <c r="AI564" s="139"/>
      <c r="AJ564" s="139"/>
    </row>
    <row r="565">
      <c r="A565" s="9"/>
      <c r="B565" s="139"/>
      <c r="C565" s="139"/>
      <c r="D565" s="139"/>
      <c r="E565" s="139"/>
      <c r="F565" s="139"/>
      <c r="G565" s="139"/>
      <c r="H565" s="139"/>
      <c r="I565" s="139"/>
      <c r="J565" s="139"/>
      <c r="K565" s="139"/>
      <c r="L565" s="139"/>
      <c r="M565" s="139"/>
      <c r="N565" s="139"/>
      <c r="O565" s="139"/>
      <c r="P565" s="139"/>
      <c r="Q565" s="139"/>
      <c r="R565" s="139"/>
      <c r="S565" s="139"/>
      <c r="T565" s="139"/>
      <c r="U565" s="139"/>
      <c r="V565" s="139"/>
      <c r="W565" s="139"/>
      <c r="X565" s="139"/>
      <c r="Y565" s="139"/>
      <c r="Z565" s="139"/>
      <c r="AA565" s="139"/>
      <c r="AB565" s="139"/>
      <c r="AC565" s="139"/>
      <c r="AD565" s="139"/>
      <c r="AE565" s="139"/>
      <c r="AF565" s="139"/>
      <c r="AG565" s="139"/>
      <c r="AH565" s="139"/>
      <c r="AI565" s="139"/>
      <c r="AJ565" s="139"/>
    </row>
    <row r="566">
      <c r="A566" s="9"/>
      <c r="B566" s="139"/>
      <c r="C566" s="139"/>
      <c r="D566" s="139"/>
      <c r="E566" s="139"/>
      <c r="F566" s="139"/>
      <c r="G566" s="139"/>
      <c r="H566" s="139"/>
      <c r="I566" s="139"/>
      <c r="J566" s="139"/>
      <c r="K566" s="139"/>
      <c r="L566" s="139"/>
      <c r="M566" s="139"/>
      <c r="N566" s="139"/>
      <c r="O566" s="139"/>
      <c r="P566" s="139"/>
      <c r="Q566" s="139"/>
      <c r="R566" s="139"/>
      <c r="S566" s="139"/>
      <c r="T566" s="139"/>
      <c r="U566" s="139"/>
      <c r="V566" s="139"/>
      <c r="W566" s="139"/>
      <c r="X566" s="139"/>
      <c r="Y566" s="139"/>
      <c r="Z566" s="139"/>
      <c r="AA566" s="139"/>
      <c r="AB566" s="139"/>
      <c r="AC566" s="139"/>
      <c r="AD566" s="139"/>
      <c r="AE566" s="139"/>
      <c r="AF566" s="139"/>
      <c r="AG566" s="139"/>
      <c r="AH566" s="139"/>
      <c r="AI566" s="139"/>
      <c r="AJ566" s="139"/>
    </row>
    <row r="567">
      <c r="A567" s="9"/>
      <c r="B567" s="139"/>
      <c r="C567" s="139"/>
      <c r="D567" s="139"/>
      <c r="E567" s="139"/>
      <c r="F567" s="139"/>
      <c r="G567" s="139"/>
      <c r="H567" s="139"/>
      <c r="I567" s="139"/>
      <c r="J567" s="139"/>
      <c r="K567" s="139"/>
      <c r="L567" s="139"/>
      <c r="M567" s="139"/>
      <c r="N567" s="139"/>
      <c r="O567" s="139"/>
      <c r="P567" s="139"/>
      <c r="Q567" s="139"/>
      <c r="R567" s="139"/>
      <c r="S567" s="139"/>
      <c r="T567" s="139"/>
      <c r="U567" s="139"/>
      <c r="V567" s="139"/>
      <c r="W567" s="139"/>
      <c r="X567" s="139"/>
      <c r="Y567" s="139"/>
      <c r="Z567" s="139"/>
      <c r="AA567" s="139"/>
      <c r="AB567" s="139"/>
      <c r="AC567" s="139"/>
      <c r="AD567" s="139"/>
      <c r="AE567" s="139"/>
      <c r="AF567" s="139"/>
      <c r="AG567" s="139"/>
      <c r="AH567" s="139"/>
      <c r="AI567" s="139"/>
      <c r="AJ567" s="139"/>
    </row>
    <row r="568">
      <c r="A568" s="9"/>
      <c r="B568" s="139"/>
      <c r="C568" s="139"/>
      <c r="D568" s="139"/>
      <c r="E568" s="139"/>
      <c r="F568" s="139"/>
      <c r="G568" s="139"/>
      <c r="H568" s="139"/>
      <c r="I568" s="139"/>
      <c r="J568" s="139"/>
      <c r="K568" s="139"/>
      <c r="L568" s="139"/>
      <c r="M568" s="139"/>
      <c r="N568" s="139"/>
      <c r="O568" s="139"/>
      <c r="P568" s="139"/>
      <c r="Q568" s="139"/>
      <c r="R568" s="139"/>
      <c r="S568" s="139"/>
      <c r="T568" s="139"/>
      <c r="U568" s="139"/>
      <c r="V568" s="139"/>
      <c r="W568" s="139"/>
      <c r="X568" s="139"/>
      <c r="Y568" s="139"/>
      <c r="Z568" s="139"/>
      <c r="AA568" s="139"/>
      <c r="AB568" s="139"/>
      <c r="AC568" s="139"/>
      <c r="AD568" s="139"/>
      <c r="AE568" s="139"/>
      <c r="AF568" s="139"/>
      <c r="AG568" s="139"/>
      <c r="AH568" s="139"/>
      <c r="AI568" s="139"/>
      <c r="AJ568" s="139"/>
    </row>
    <row r="569">
      <c r="A569" s="9"/>
      <c r="B569" s="139"/>
      <c r="C569" s="139"/>
      <c r="D569" s="139"/>
      <c r="E569" s="139"/>
      <c r="F569" s="139"/>
      <c r="G569" s="139"/>
      <c r="H569" s="139"/>
      <c r="I569" s="139"/>
      <c r="J569" s="139"/>
      <c r="K569" s="139"/>
      <c r="L569" s="139"/>
      <c r="M569" s="139"/>
      <c r="N569" s="139"/>
      <c r="O569" s="139"/>
      <c r="P569" s="139"/>
      <c r="Q569" s="139"/>
      <c r="R569" s="139"/>
      <c r="S569" s="139"/>
      <c r="T569" s="139"/>
      <c r="U569" s="139"/>
      <c r="V569" s="139"/>
      <c r="W569" s="139"/>
      <c r="X569" s="139"/>
      <c r="Y569" s="139"/>
      <c r="Z569" s="139"/>
      <c r="AA569" s="139"/>
      <c r="AB569" s="139"/>
      <c r="AC569" s="139"/>
      <c r="AD569" s="139"/>
      <c r="AE569" s="139"/>
      <c r="AF569" s="139"/>
      <c r="AG569" s="139"/>
      <c r="AH569" s="139"/>
      <c r="AI569" s="139"/>
      <c r="AJ569" s="139"/>
    </row>
    <row r="570">
      <c r="A570" s="9"/>
      <c r="B570" s="139"/>
      <c r="C570" s="139"/>
      <c r="D570" s="139"/>
      <c r="E570" s="139"/>
      <c r="F570" s="139"/>
      <c r="G570" s="139"/>
      <c r="H570" s="139"/>
      <c r="I570" s="139"/>
      <c r="J570" s="139"/>
      <c r="K570" s="139"/>
      <c r="L570" s="139"/>
      <c r="M570" s="139"/>
      <c r="N570" s="139"/>
      <c r="O570" s="139"/>
      <c r="P570" s="139"/>
      <c r="Q570" s="139"/>
      <c r="R570" s="139"/>
      <c r="S570" s="139"/>
      <c r="T570" s="139"/>
      <c r="U570" s="139"/>
      <c r="V570" s="139"/>
      <c r="W570" s="139"/>
      <c r="X570" s="139"/>
      <c r="Y570" s="139"/>
      <c r="Z570" s="139"/>
      <c r="AA570" s="139"/>
      <c r="AB570" s="139"/>
      <c r="AC570" s="139"/>
      <c r="AD570" s="139"/>
      <c r="AE570" s="139"/>
      <c r="AF570" s="139"/>
      <c r="AG570" s="139"/>
      <c r="AH570" s="139"/>
      <c r="AI570" s="139"/>
      <c r="AJ570" s="139"/>
    </row>
    <row r="571">
      <c r="A571" s="9"/>
      <c r="B571" s="139"/>
      <c r="C571" s="139"/>
      <c r="D571" s="139"/>
      <c r="E571" s="139"/>
      <c r="F571" s="139"/>
      <c r="G571" s="139"/>
      <c r="H571" s="139"/>
      <c r="I571" s="139"/>
      <c r="J571" s="139"/>
      <c r="K571" s="139"/>
      <c r="L571" s="139"/>
      <c r="M571" s="139"/>
      <c r="N571" s="139"/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39"/>
      <c r="AA571" s="139"/>
      <c r="AB571" s="139"/>
      <c r="AC571" s="139"/>
      <c r="AD571" s="139"/>
      <c r="AE571" s="139"/>
      <c r="AF571" s="139"/>
      <c r="AG571" s="139"/>
      <c r="AH571" s="139"/>
      <c r="AI571" s="139"/>
      <c r="AJ571" s="139"/>
    </row>
    <row r="572">
      <c r="A572" s="9"/>
      <c r="B572" s="139"/>
      <c r="C572" s="139"/>
      <c r="D572" s="139"/>
      <c r="E572" s="139"/>
      <c r="F572" s="139"/>
      <c r="G572" s="139"/>
      <c r="H572" s="139"/>
      <c r="I572" s="139"/>
      <c r="J572" s="139"/>
      <c r="K572" s="139"/>
      <c r="L572" s="139"/>
      <c r="M572" s="139"/>
      <c r="N572" s="139"/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39"/>
      <c r="Z572" s="139"/>
      <c r="AA572" s="139"/>
      <c r="AB572" s="139"/>
      <c r="AC572" s="139"/>
      <c r="AD572" s="139"/>
      <c r="AE572" s="139"/>
      <c r="AF572" s="139"/>
      <c r="AG572" s="139"/>
      <c r="AH572" s="139"/>
      <c r="AI572" s="139"/>
      <c r="AJ572" s="139"/>
    </row>
    <row r="573">
      <c r="A573" s="9"/>
      <c r="B573" s="139"/>
      <c r="C573" s="139"/>
      <c r="D573" s="139"/>
      <c r="E573" s="139"/>
      <c r="F573" s="139"/>
      <c r="G573" s="139"/>
      <c r="H573" s="139"/>
      <c r="I573" s="139"/>
      <c r="J573" s="139"/>
      <c r="K573" s="139"/>
      <c r="L573" s="139"/>
      <c r="M573" s="139"/>
      <c r="N573" s="139"/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39"/>
      <c r="Z573" s="139"/>
      <c r="AA573" s="139"/>
      <c r="AB573" s="139"/>
      <c r="AC573" s="139"/>
      <c r="AD573" s="139"/>
      <c r="AE573" s="139"/>
      <c r="AF573" s="139"/>
      <c r="AG573" s="139"/>
      <c r="AH573" s="139"/>
      <c r="AI573" s="139"/>
      <c r="AJ573" s="139"/>
    </row>
    <row r="574">
      <c r="A574" s="9"/>
      <c r="B574" s="139"/>
      <c r="C574" s="139"/>
      <c r="D574" s="139"/>
      <c r="E574" s="139"/>
      <c r="F574" s="139"/>
      <c r="G574" s="139"/>
      <c r="H574" s="139"/>
      <c r="I574" s="139"/>
      <c r="J574" s="139"/>
      <c r="K574" s="139"/>
      <c r="L574" s="139"/>
      <c r="M574" s="139"/>
      <c r="N574" s="139"/>
      <c r="O574" s="139"/>
      <c r="P574" s="139"/>
      <c r="Q574" s="139"/>
      <c r="R574" s="139"/>
      <c r="S574" s="139"/>
      <c r="T574" s="139"/>
      <c r="U574" s="139"/>
      <c r="V574" s="139"/>
      <c r="W574" s="139"/>
      <c r="X574" s="139"/>
      <c r="Y574" s="139"/>
      <c r="Z574" s="139"/>
      <c r="AA574" s="139"/>
      <c r="AB574" s="139"/>
      <c r="AC574" s="139"/>
      <c r="AD574" s="139"/>
      <c r="AE574" s="139"/>
      <c r="AF574" s="139"/>
      <c r="AG574" s="139"/>
      <c r="AH574" s="139"/>
      <c r="AI574" s="139"/>
      <c r="AJ574" s="139"/>
    </row>
    <row r="575">
      <c r="A575" s="9"/>
      <c r="B575" s="139"/>
      <c r="C575" s="139"/>
      <c r="D575" s="139"/>
      <c r="E575" s="139"/>
      <c r="F575" s="139"/>
      <c r="G575" s="139"/>
      <c r="H575" s="139"/>
      <c r="I575" s="139"/>
      <c r="J575" s="139"/>
      <c r="K575" s="139"/>
      <c r="L575" s="139"/>
      <c r="M575" s="139"/>
      <c r="N575" s="139"/>
      <c r="O575" s="139"/>
      <c r="P575" s="139"/>
      <c r="Q575" s="139"/>
      <c r="R575" s="139"/>
      <c r="S575" s="139"/>
      <c r="T575" s="139"/>
      <c r="U575" s="139"/>
      <c r="V575" s="139"/>
      <c r="W575" s="139"/>
      <c r="X575" s="139"/>
      <c r="Y575" s="139"/>
      <c r="Z575" s="139"/>
      <c r="AA575" s="139"/>
      <c r="AB575" s="139"/>
      <c r="AC575" s="139"/>
      <c r="AD575" s="139"/>
      <c r="AE575" s="139"/>
      <c r="AF575" s="139"/>
      <c r="AG575" s="139"/>
      <c r="AH575" s="139"/>
      <c r="AI575" s="139"/>
      <c r="AJ575" s="139"/>
    </row>
    <row r="576">
      <c r="A576" s="9"/>
      <c r="B576" s="139"/>
      <c r="C576" s="139"/>
      <c r="D576" s="139"/>
      <c r="E576" s="139"/>
      <c r="F576" s="139"/>
      <c r="G576" s="139"/>
      <c r="H576" s="139"/>
      <c r="I576" s="139"/>
      <c r="J576" s="139"/>
      <c r="K576" s="139"/>
      <c r="L576" s="139"/>
      <c r="M576" s="139"/>
      <c r="N576" s="139"/>
      <c r="O576" s="139"/>
      <c r="P576" s="139"/>
      <c r="Q576" s="139"/>
      <c r="R576" s="139"/>
      <c r="S576" s="139"/>
      <c r="T576" s="139"/>
      <c r="U576" s="139"/>
      <c r="V576" s="139"/>
      <c r="W576" s="139"/>
      <c r="X576" s="139"/>
      <c r="Y576" s="139"/>
      <c r="Z576" s="139"/>
      <c r="AA576" s="139"/>
      <c r="AB576" s="139"/>
      <c r="AC576" s="139"/>
      <c r="AD576" s="139"/>
      <c r="AE576" s="139"/>
      <c r="AF576" s="139"/>
      <c r="AG576" s="139"/>
      <c r="AH576" s="139"/>
      <c r="AI576" s="139"/>
      <c r="AJ576" s="139"/>
    </row>
    <row r="577">
      <c r="A577" s="9"/>
      <c r="B577" s="139"/>
      <c r="C577" s="139"/>
      <c r="D577" s="139"/>
      <c r="E577" s="139"/>
      <c r="F577" s="139"/>
      <c r="G577" s="139"/>
      <c r="H577" s="139"/>
      <c r="I577" s="139"/>
      <c r="J577" s="139"/>
      <c r="K577" s="139"/>
      <c r="L577" s="139"/>
      <c r="M577" s="139"/>
      <c r="N577" s="139"/>
      <c r="O577" s="139"/>
      <c r="P577" s="139"/>
      <c r="Q577" s="139"/>
      <c r="R577" s="139"/>
      <c r="S577" s="139"/>
      <c r="T577" s="139"/>
      <c r="U577" s="139"/>
      <c r="V577" s="139"/>
      <c r="W577" s="139"/>
      <c r="X577" s="139"/>
      <c r="Y577" s="139"/>
      <c r="Z577" s="139"/>
      <c r="AA577" s="139"/>
      <c r="AB577" s="139"/>
      <c r="AC577" s="139"/>
      <c r="AD577" s="139"/>
      <c r="AE577" s="139"/>
      <c r="AF577" s="139"/>
      <c r="AG577" s="139"/>
      <c r="AH577" s="139"/>
      <c r="AI577" s="139"/>
      <c r="AJ577" s="139"/>
    </row>
    <row r="578">
      <c r="A578" s="9"/>
      <c r="B578" s="139"/>
      <c r="C578" s="139"/>
      <c r="D578" s="139"/>
      <c r="E578" s="139"/>
      <c r="F578" s="139"/>
      <c r="G578" s="139"/>
      <c r="H578" s="139"/>
      <c r="I578" s="139"/>
      <c r="J578" s="139"/>
      <c r="K578" s="139"/>
      <c r="L578" s="139"/>
      <c r="M578" s="139"/>
      <c r="N578" s="139"/>
      <c r="O578" s="139"/>
      <c r="P578" s="139"/>
      <c r="Q578" s="139"/>
      <c r="R578" s="139"/>
      <c r="S578" s="139"/>
      <c r="T578" s="139"/>
      <c r="U578" s="139"/>
      <c r="V578" s="139"/>
      <c r="W578" s="139"/>
      <c r="X578" s="139"/>
      <c r="Y578" s="139"/>
      <c r="Z578" s="139"/>
      <c r="AA578" s="139"/>
      <c r="AB578" s="139"/>
      <c r="AC578" s="139"/>
      <c r="AD578" s="139"/>
      <c r="AE578" s="139"/>
      <c r="AF578" s="139"/>
      <c r="AG578" s="139"/>
      <c r="AH578" s="139"/>
      <c r="AI578" s="139"/>
      <c r="AJ578" s="139"/>
    </row>
    <row r="579">
      <c r="A579" s="9"/>
      <c r="B579" s="139"/>
      <c r="C579" s="139"/>
      <c r="D579" s="139"/>
      <c r="E579" s="139"/>
      <c r="F579" s="139"/>
      <c r="G579" s="139"/>
      <c r="H579" s="139"/>
      <c r="I579" s="139"/>
      <c r="J579" s="139"/>
      <c r="K579" s="139"/>
      <c r="L579" s="139"/>
      <c r="M579" s="139"/>
      <c r="N579" s="139"/>
      <c r="O579" s="139"/>
      <c r="P579" s="139"/>
      <c r="Q579" s="139"/>
      <c r="R579" s="139"/>
      <c r="S579" s="139"/>
      <c r="T579" s="139"/>
      <c r="U579" s="139"/>
      <c r="V579" s="139"/>
      <c r="W579" s="139"/>
      <c r="X579" s="139"/>
      <c r="Y579" s="139"/>
      <c r="Z579" s="139"/>
      <c r="AA579" s="139"/>
      <c r="AB579" s="139"/>
      <c r="AC579" s="139"/>
      <c r="AD579" s="139"/>
      <c r="AE579" s="139"/>
      <c r="AF579" s="139"/>
      <c r="AG579" s="139"/>
      <c r="AH579" s="139"/>
      <c r="AI579" s="139"/>
      <c r="AJ579" s="139"/>
    </row>
    <row r="580">
      <c r="A580" s="9"/>
      <c r="B580" s="139"/>
      <c r="C580" s="139"/>
      <c r="D580" s="139"/>
      <c r="E580" s="139"/>
      <c r="F580" s="139"/>
      <c r="G580" s="139"/>
      <c r="H580" s="139"/>
      <c r="I580" s="139"/>
      <c r="J580" s="139"/>
      <c r="K580" s="139"/>
      <c r="L580" s="139"/>
      <c r="M580" s="139"/>
      <c r="N580" s="139"/>
      <c r="O580" s="139"/>
      <c r="P580" s="139"/>
      <c r="Q580" s="139"/>
      <c r="R580" s="139"/>
      <c r="S580" s="139"/>
      <c r="T580" s="139"/>
      <c r="U580" s="139"/>
      <c r="V580" s="139"/>
      <c r="W580" s="139"/>
      <c r="X580" s="139"/>
      <c r="Y580" s="139"/>
      <c r="Z580" s="139"/>
      <c r="AA580" s="139"/>
      <c r="AB580" s="139"/>
      <c r="AC580" s="139"/>
      <c r="AD580" s="139"/>
      <c r="AE580" s="139"/>
      <c r="AF580" s="139"/>
      <c r="AG580" s="139"/>
      <c r="AH580" s="139"/>
      <c r="AI580" s="139"/>
      <c r="AJ580" s="139"/>
    </row>
    <row r="581">
      <c r="A581" s="9"/>
      <c r="B581" s="139"/>
      <c r="C581" s="139"/>
      <c r="D581" s="139"/>
      <c r="E581" s="139"/>
      <c r="F581" s="139"/>
      <c r="G581" s="139"/>
      <c r="H581" s="139"/>
      <c r="I581" s="139"/>
      <c r="J581" s="139"/>
      <c r="K581" s="139"/>
      <c r="L581" s="139"/>
      <c r="M581" s="139"/>
      <c r="N581" s="139"/>
      <c r="O581" s="139"/>
      <c r="P581" s="139"/>
      <c r="Q581" s="139"/>
      <c r="R581" s="139"/>
      <c r="S581" s="139"/>
      <c r="T581" s="139"/>
      <c r="U581" s="139"/>
      <c r="V581" s="139"/>
      <c r="W581" s="139"/>
      <c r="X581" s="139"/>
      <c r="Y581" s="139"/>
      <c r="Z581" s="139"/>
      <c r="AA581" s="139"/>
      <c r="AB581" s="139"/>
      <c r="AC581" s="139"/>
      <c r="AD581" s="139"/>
      <c r="AE581" s="139"/>
      <c r="AF581" s="139"/>
      <c r="AG581" s="139"/>
      <c r="AH581" s="139"/>
      <c r="AI581" s="139"/>
      <c r="AJ581" s="139"/>
    </row>
    <row r="582">
      <c r="A582" s="9"/>
      <c r="B582" s="139"/>
      <c r="C582" s="139"/>
      <c r="D582" s="139"/>
      <c r="E582" s="139"/>
      <c r="F582" s="139"/>
      <c r="G582" s="139"/>
      <c r="H582" s="139"/>
      <c r="I582" s="139"/>
      <c r="J582" s="139"/>
      <c r="K582" s="139"/>
      <c r="L582" s="139"/>
      <c r="M582" s="139"/>
      <c r="N582" s="139"/>
      <c r="O582" s="139"/>
      <c r="P582" s="139"/>
      <c r="Q582" s="139"/>
      <c r="R582" s="139"/>
      <c r="S582" s="139"/>
      <c r="T582" s="139"/>
      <c r="U582" s="139"/>
      <c r="V582" s="139"/>
      <c r="W582" s="139"/>
      <c r="X582" s="139"/>
      <c r="Y582" s="139"/>
      <c r="Z582" s="139"/>
      <c r="AA582" s="139"/>
      <c r="AB582" s="139"/>
      <c r="AC582" s="139"/>
      <c r="AD582" s="139"/>
      <c r="AE582" s="139"/>
      <c r="AF582" s="139"/>
      <c r="AG582" s="139"/>
      <c r="AH582" s="139"/>
      <c r="AI582" s="139"/>
      <c r="AJ582" s="139"/>
    </row>
    <row r="583">
      <c r="A583" s="9"/>
      <c r="B583" s="139"/>
      <c r="C583" s="139"/>
      <c r="D583" s="139"/>
      <c r="E583" s="139"/>
      <c r="F583" s="139"/>
      <c r="G583" s="139"/>
      <c r="H583" s="139"/>
      <c r="I583" s="139"/>
      <c r="J583" s="139"/>
      <c r="K583" s="139"/>
      <c r="L583" s="139"/>
      <c r="M583" s="139"/>
      <c r="N583" s="139"/>
      <c r="O583" s="139"/>
      <c r="P583" s="139"/>
      <c r="Q583" s="139"/>
      <c r="R583" s="139"/>
      <c r="S583" s="139"/>
      <c r="T583" s="139"/>
      <c r="U583" s="139"/>
      <c r="V583" s="139"/>
      <c r="W583" s="139"/>
      <c r="X583" s="139"/>
      <c r="Y583" s="139"/>
      <c r="Z583" s="139"/>
      <c r="AA583" s="139"/>
      <c r="AB583" s="139"/>
      <c r="AC583" s="139"/>
      <c r="AD583" s="139"/>
      <c r="AE583" s="139"/>
      <c r="AF583" s="139"/>
      <c r="AG583" s="139"/>
      <c r="AH583" s="139"/>
      <c r="AI583" s="139"/>
      <c r="AJ583" s="139"/>
    </row>
    <row r="584">
      <c r="A584" s="9"/>
      <c r="B584" s="139"/>
      <c r="C584" s="139"/>
      <c r="D584" s="139"/>
      <c r="E584" s="139"/>
      <c r="F584" s="139"/>
      <c r="G584" s="139"/>
      <c r="H584" s="139"/>
      <c r="I584" s="139"/>
      <c r="J584" s="139"/>
      <c r="K584" s="139"/>
      <c r="L584" s="139"/>
      <c r="M584" s="139"/>
      <c r="N584" s="139"/>
      <c r="O584" s="139"/>
      <c r="P584" s="139"/>
      <c r="Q584" s="139"/>
      <c r="R584" s="139"/>
      <c r="S584" s="139"/>
      <c r="T584" s="139"/>
      <c r="U584" s="139"/>
      <c r="V584" s="139"/>
      <c r="W584" s="139"/>
      <c r="X584" s="139"/>
      <c r="Y584" s="139"/>
      <c r="Z584" s="139"/>
      <c r="AA584" s="139"/>
      <c r="AB584" s="139"/>
      <c r="AC584" s="139"/>
      <c r="AD584" s="139"/>
      <c r="AE584" s="139"/>
      <c r="AF584" s="139"/>
      <c r="AG584" s="139"/>
      <c r="AH584" s="139"/>
      <c r="AI584" s="139"/>
      <c r="AJ584" s="139"/>
    </row>
    <row r="585">
      <c r="A585" s="9"/>
      <c r="B585" s="139"/>
      <c r="C585" s="139"/>
      <c r="D585" s="139"/>
      <c r="E585" s="139"/>
      <c r="F585" s="139"/>
      <c r="G585" s="139"/>
      <c r="H585" s="139"/>
      <c r="I585" s="139"/>
      <c r="J585" s="139"/>
      <c r="K585" s="139"/>
      <c r="L585" s="139"/>
      <c r="M585" s="139"/>
      <c r="N585" s="139"/>
      <c r="O585" s="139"/>
      <c r="P585" s="139"/>
      <c r="Q585" s="139"/>
      <c r="R585" s="139"/>
      <c r="S585" s="139"/>
      <c r="T585" s="139"/>
      <c r="U585" s="139"/>
      <c r="V585" s="139"/>
      <c r="W585" s="139"/>
      <c r="X585" s="139"/>
      <c r="Y585" s="139"/>
      <c r="Z585" s="139"/>
      <c r="AA585" s="139"/>
      <c r="AB585" s="139"/>
      <c r="AC585" s="139"/>
      <c r="AD585" s="139"/>
      <c r="AE585" s="139"/>
      <c r="AF585" s="139"/>
      <c r="AG585" s="139"/>
      <c r="AH585" s="139"/>
      <c r="AI585" s="139"/>
      <c r="AJ585" s="139"/>
    </row>
    <row r="586">
      <c r="A586" s="9"/>
      <c r="B586" s="139"/>
      <c r="C586" s="139"/>
      <c r="D586" s="139"/>
      <c r="E586" s="139"/>
      <c r="F586" s="139"/>
      <c r="G586" s="139"/>
      <c r="H586" s="139"/>
      <c r="I586" s="139"/>
      <c r="J586" s="139"/>
      <c r="K586" s="139"/>
      <c r="L586" s="139"/>
      <c r="M586" s="139"/>
      <c r="N586" s="139"/>
      <c r="O586" s="139"/>
      <c r="P586" s="139"/>
      <c r="Q586" s="139"/>
      <c r="R586" s="139"/>
      <c r="S586" s="139"/>
      <c r="T586" s="139"/>
      <c r="U586" s="139"/>
      <c r="V586" s="139"/>
      <c r="W586" s="139"/>
      <c r="X586" s="139"/>
      <c r="Y586" s="139"/>
      <c r="Z586" s="139"/>
      <c r="AA586" s="139"/>
      <c r="AB586" s="139"/>
      <c r="AC586" s="139"/>
      <c r="AD586" s="139"/>
      <c r="AE586" s="139"/>
      <c r="AF586" s="139"/>
      <c r="AG586" s="139"/>
      <c r="AH586" s="139"/>
      <c r="AI586" s="139"/>
      <c r="AJ586" s="139"/>
    </row>
    <row r="587">
      <c r="A587" s="9"/>
      <c r="B587" s="139"/>
      <c r="C587" s="139"/>
      <c r="D587" s="139"/>
      <c r="E587" s="139"/>
      <c r="F587" s="139"/>
      <c r="G587" s="139"/>
      <c r="H587" s="139"/>
      <c r="I587" s="139"/>
      <c r="J587" s="139"/>
      <c r="K587" s="139"/>
      <c r="L587" s="139"/>
      <c r="M587" s="139"/>
      <c r="N587" s="139"/>
      <c r="O587" s="139"/>
      <c r="P587" s="139"/>
      <c r="Q587" s="139"/>
      <c r="R587" s="139"/>
      <c r="S587" s="139"/>
      <c r="T587" s="139"/>
      <c r="U587" s="139"/>
      <c r="V587" s="139"/>
      <c r="W587" s="139"/>
      <c r="X587" s="139"/>
      <c r="Y587" s="139"/>
      <c r="Z587" s="139"/>
      <c r="AA587" s="139"/>
      <c r="AB587" s="139"/>
      <c r="AC587" s="139"/>
      <c r="AD587" s="139"/>
      <c r="AE587" s="139"/>
      <c r="AF587" s="139"/>
      <c r="AG587" s="139"/>
      <c r="AH587" s="139"/>
      <c r="AI587" s="139"/>
      <c r="AJ587" s="139"/>
    </row>
    <row r="588">
      <c r="A588" s="9"/>
      <c r="B588" s="139"/>
      <c r="C588" s="139"/>
      <c r="D588" s="139"/>
      <c r="E588" s="139"/>
      <c r="F588" s="139"/>
      <c r="G588" s="139"/>
      <c r="H588" s="139"/>
      <c r="I588" s="139"/>
      <c r="J588" s="139"/>
      <c r="K588" s="139"/>
      <c r="L588" s="139"/>
      <c r="M588" s="139"/>
      <c r="N588" s="139"/>
      <c r="O588" s="139"/>
      <c r="P588" s="139"/>
      <c r="Q588" s="139"/>
      <c r="R588" s="139"/>
      <c r="S588" s="139"/>
      <c r="T588" s="139"/>
      <c r="U588" s="139"/>
      <c r="V588" s="139"/>
      <c r="W588" s="139"/>
      <c r="X588" s="139"/>
      <c r="Y588" s="139"/>
      <c r="Z588" s="139"/>
      <c r="AA588" s="139"/>
      <c r="AB588" s="139"/>
      <c r="AC588" s="139"/>
      <c r="AD588" s="139"/>
      <c r="AE588" s="139"/>
      <c r="AF588" s="139"/>
      <c r="AG588" s="139"/>
      <c r="AH588" s="139"/>
      <c r="AI588" s="139"/>
      <c r="AJ588" s="139"/>
    </row>
    <row r="589">
      <c r="A589" s="9"/>
      <c r="B589" s="139"/>
      <c r="C589" s="139"/>
      <c r="D589" s="139"/>
      <c r="E589" s="139"/>
      <c r="F589" s="139"/>
      <c r="G589" s="139"/>
      <c r="H589" s="139"/>
      <c r="I589" s="139"/>
      <c r="J589" s="139"/>
      <c r="K589" s="139"/>
      <c r="L589" s="139"/>
      <c r="M589" s="139"/>
      <c r="N589" s="139"/>
      <c r="O589" s="139"/>
      <c r="P589" s="139"/>
      <c r="Q589" s="139"/>
      <c r="R589" s="139"/>
      <c r="S589" s="139"/>
      <c r="T589" s="139"/>
      <c r="U589" s="139"/>
      <c r="V589" s="139"/>
      <c r="W589" s="139"/>
      <c r="X589" s="139"/>
      <c r="Y589" s="139"/>
      <c r="Z589" s="139"/>
      <c r="AA589" s="139"/>
      <c r="AB589" s="139"/>
      <c r="AC589" s="139"/>
      <c r="AD589" s="139"/>
      <c r="AE589" s="139"/>
      <c r="AF589" s="139"/>
      <c r="AG589" s="139"/>
      <c r="AH589" s="139"/>
      <c r="AI589" s="139"/>
      <c r="AJ589" s="139"/>
    </row>
    <row r="590">
      <c r="A590" s="9"/>
      <c r="B590" s="139"/>
      <c r="C590" s="139"/>
      <c r="D590" s="139"/>
      <c r="E590" s="139"/>
      <c r="F590" s="139"/>
      <c r="G590" s="139"/>
      <c r="H590" s="139"/>
      <c r="I590" s="139"/>
      <c r="J590" s="139"/>
      <c r="K590" s="139"/>
      <c r="L590" s="139"/>
      <c r="M590" s="139"/>
      <c r="N590" s="139"/>
      <c r="O590" s="139"/>
      <c r="P590" s="139"/>
      <c r="Q590" s="139"/>
      <c r="R590" s="139"/>
      <c r="S590" s="139"/>
      <c r="T590" s="139"/>
      <c r="U590" s="139"/>
      <c r="V590" s="139"/>
      <c r="W590" s="139"/>
      <c r="X590" s="139"/>
      <c r="Y590" s="139"/>
      <c r="Z590" s="139"/>
      <c r="AA590" s="139"/>
      <c r="AB590" s="139"/>
      <c r="AC590" s="139"/>
      <c r="AD590" s="139"/>
      <c r="AE590" s="139"/>
      <c r="AF590" s="139"/>
      <c r="AG590" s="139"/>
      <c r="AH590" s="139"/>
      <c r="AI590" s="139"/>
      <c r="AJ590" s="139"/>
    </row>
    <row r="591">
      <c r="A591" s="9"/>
      <c r="B591" s="139"/>
      <c r="C591" s="139"/>
      <c r="D591" s="139"/>
      <c r="E591" s="139"/>
      <c r="F591" s="139"/>
      <c r="G591" s="139"/>
      <c r="H591" s="139"/>
      <c r="I591" s="139"/>
      <c r="J591" s="139"/>
      <c r="K591" s="139"/>
      <c r="L591" s="139"/>
      <c r="M591" s="139"/>
      <c r="N591" s="139"/>
      <c r="O591" s="139"/>
      <c r="P591" s="139"/>
      <c r="Q591" s="139"/>
      <c r="R591" s="139"/>
      <c r="S591" s="139"/>
      <c r="T591" s="139"/>
      <c r="U591" s="139"/>
      <c r="V591" s="139"/>
      <c r="W591" s="139"/>
      <c r="X591" s="139"/>
      <c r="Y591" s="139"/>
      <c r="Z591" s="139"/>
      <c r="AA591" s="139"/>
      <c r="AB591" s="139"/>
      <c r="AC591" s="139"/>
      <c r="AD591" s="139"/>
      <c r="AE591" s="139"/>
      <c r="AF591" s="139"/>
      <c r="AG591" s="139"/>
      <c r="AH591" s="139"/>
      <c r="AI591" s="139"/>
      <c r="AJ591" s="139"/>
    </row>
    <row r="592">
      <c r="A592" s="9"/>
      <c r="B592" s="139"/>
      <c r="C592" s="139"/>
      <c r="D592" s="139"/>
      <c r="E592" s="139"/>
      <c r="F592" s="139"/>
      <c r="G592" s="139"/>
      <c r="H592" s="139"/>
      <c r="I592" s="139"/>
      <c r="J592" s="139"/>
      <c r="K592" s="139"/>
      <c r="L592" s="139"/>
      <c r="M592" s="139"/>
      <c r="N592" s="139"/>
      <c r="O592" s="139"/>
      <c r="P592" s="139"/>
      <c r="Q592" s="139"/>
      <c r="R592" s="139"/>
      <c r="S592" s="139"/>
      <c r="T592" s="139"/>
      <c r="U592" s="139"/>
      <c r="V592" s="139"/>
      <c r="W592" s="139"/>
      <c r="X592" s="139"/>
      <c r="Y592" s="139"/>
      <c r="Z592" s="139"/>
      <c r="AA592" s="139"/>
      <c r="AB592" s="139"/>
      <c r="AC592" s="139"/>
      <c r="AD592" s="139"/>
      <c r="AE592" s="139"/>
      <c r="AF592" s="139"/>
      <c r="AG592" s="139"/>
      <c r="AH592" s="139"/>
      <c r="AI592" s="139"/>
      <c r="AJ592" s="139"/>
    </row>
    <row r="593">
      <c r="A593" s="9"/>
      <c r="B593" s="139"/>
      <c r="C593" s="139"/>
      <c r="D593" s="139"/>
      <c r="E593" s="139"/>
      <c r="F593" s="139"/>
      <c r="G593" s="139"/>
      <c r="H593" s="139"/>
      <c r="I593" s="139"/>
      <c r="J593" s="139"/>
      <c r="K593" s="139"/>
      <c r="L593" s="139"/>
      <c r="M593" s="139"/>
      <c r="N593" s="139"/>
      <c r="O593" s="139"/>
      <c r="P593" s="139"/>
      <c r="Q593" s="139"/>
      <c r="R593" s="139"/>
      <c r="S593" s="139"/>
      <c r="T593" s="139"/>
      <c r="U593" s="139"/>
      <c r="V593" s="139"/>
      <c r="W593" s="139"/>
      <c r="X593" s="139"/>
      <c r="Y593" s="139"/>
      <c r="Z593" s="139"/>
      <c r="AA593" s="139"/>
      <c r="AB593" s="139"/>
      <c r="AC593" s="139"/>
      <c r="AD593" s="139"/>
      <c r="AE593" s="139"/>
      <c r="AF593" s="139"/>
      <c r="AG593" s="139"/>
      <c r="AH593" s="139"/>
      <c r="AI593" s="139"/>
      <c r="AJ593" s="139"/>
    </row>
    <row r="594">
      <c r="A594" s="9"/>
      <c r="B594" s="139"/>
      <c r="C594" s="139"/>
      <c r="D594" s="139"/>
      <c r="E594" s="139"/>
      <c r="F594" s="139"/>
      <c r="G594" s="139"/>
      <c r="H594" s="139"/>
      <c r="I594" s="139"/>
      <c r="J594" s="139"/>
      <c r="K594" s="139"/>
      <c r="L594" s="139"/>
      <c r="M594" s="139"/>
      <c r="N594" s="139"/>
      <c r="O594" s="139"/>
      <c r="P594" s="139"/>
      <c r="Q594" s="139"/>
      <c r="R594" s="139"/>
      <c r="S594" s="139"/>
      <c r="T594" s="139"/>
      <c r="U594" s="139"/>
      <c r="V594" s="139"/>
      <c r="W594" s="139"/>
      <c r="X594" s="139"/>
      <c r="Y594" s="139"/>
      <c r="Z594" s="139"/>
      <c r="AA594" s="139"/>
      <c r="AB594" s="139"/>
      <c r="AC594" s="139"/>
      <c r="AD594" s="139"/>
      <c r="AE594" s="139"/>
      <c r="AF594" s="139"/>
      <c r="AG594" s="139"/>
      <c r="AH594" s="139"/>
      <c r="AI594" s="139"/>
      <c r="AJ594" s="139"/>
    </row>
    <row r="595">
      <c r="A595" s="9"/>
      <c r="B595" s="139"/>
      <c r="C595" s="139"/>
      <c r="D595" s="139"/>
      <c r="E595" s="139"/>
      <c r="F595" s="139"/>
      <c r="G595" s="139"/>
      <c r="H595" s="139"/>
      <c r="I595" s="139"/>
      <c r="J595" s="139"/>
      <c r="K595" s="139"/>
      <c r="L595" s="139"/>
      <c r="M595" s="139"/>
      <c r="N595" s="139"/>
      <c r="O595" s="139"/>
      <c r="P595" s="139"/>
      <c r="Q595" s="139"/>
      <c r="R595" s="139"/>
      <c r="S595" s="139"/>
      <c r="T595" s="139"/>
      <c r="U595" s="139"/>
      <c r="V595" s="139"/>
      <c r="W595" s="139"/>
      <c r="X595" s="139"/>
      <c r="Y595" s="139"/>
      <c r="Z595" s="139"/>
      <c r="AA595" s="139"/>
      <c r="AB595" s="139"/>
      <c r="AC595" s="139"/>
      <c r="AD595" s="139"/>
      <c r="AE595" s="139"/>
      <c r="AF595" s="139"/>
      <c r="AG595" s="139"/>
      <c r="AH595" s="139"/>
      <c r="AI595" s="139"/>
      <c r="AJ595" s="139"/>
    </row>
    <row r="596">
      <c r="A596" s="9"/>
      <c r="B596" s="139"/>
      <c r="C596" s="139"/>
      <c r="D596" s="139"/>
      <c r="E596" s="139"/>
      <c r="F596" s="139"/>
      <c r="G596" s="139"/>
      <c r="H596" s="139"/>
      <c r="I596" s="139"/>
      <c r="J596" s="139"/>
      <c r="K596" s="139"/>
      <c r="L596" s="139"/>
      <c r="M596" s="139"/>
      <c r="N596" s="139"/>
      <c r="O596" s="139"/>
      <c r="P596" s="139"/>
      <c r="Q596" s="139"/>
      <c r="R596" s="139"/>
      <c r="S596" s="139"/>
      <c r="T596" s="139"/>
      <c r="U596" s="139"/>
      <c r="V596" s="139"/>
      <c r="W596" s="139"/>
      <c r="X596" s="139"/>
      <c r="Y596" s="139"/>
      <c r="Z596" s="139"/>
      <c r="AA596" s="139"/>
      <c r="AB596" s="139"/>
      <c r="AC596" s="139"/>
      <c r="AD596" s="139"/>
      <c r="AE596" s="139"/>
      <c r="AF596" s="139"/>
      <c r="AG596" s="139"/>
      <c r="AH596" s="139"/>
      <c r="AI596" s="139"/>
      <c r="AJ596" s="139"/>
    </row>
    <row r="597">
      <c r="A597" s="9"/>
      <c r="B597" s="139"/>
      <c r="C597" s="139"/>
      <c r="D597" s="139"/>
      <c r="E597" s="139"/>
      <c r="F597" s="139"/>
      <c r="G597" s="139"/>
      <c r="H597" s="139"/>
      <c r="I597" s="139"/>
      <c r="J597" s="139"/>
      <c r="K597" s="139"/>
      <c r="L597" s="139"/>
      <c r="M597" s="139"/>
      <c r="N597" s="139"/>
      <c r="O597" s="139"/>
      <c r="P597" s="139"/>
      <c r="Q597" s="139"/>
      <c r="R597" s="139"/>
      <c r="S597" s="139"/>
      <c r="T597" s="139"/>
      <c r="U597" s="139"/>
      <c r="V597" s="139"/>
      <c r="W597" s="139"/>
      <c r="X597" s="139"/>
      <c r="Y597" s="139"/>
      <c r="Z597" s="139"/>
      <c r="AA597" s="139"/>
      <c r="AB597" s="139"/>
      <c r="AC597" s="139"/>
      <c r="AD597" s="139"/>
      <c r="AE597" s="139"/>
      <c r="AF597" s="139"/>
      <c r="AG597" s="139"/>
      <c r="AH597" s="139"/>
      <c r="AI597" s="139"/>
      <c r="AJ597" s="139"/>
    </row>
    <row r="598">
      <c r="A598" s="9"/>
      <c r="B598" s="139"/>
      <c r="C598" s="139"/>
      <c r="D598" s="139"/>
      <c r="E598" s="139"/>
      <c r="F598" s="139"/>
      <c r="G598" s="139"/>
      <c r="H598" s="139"/>
      <c r="I598" s="139"/>
      <c r="J598" s="139"/>
      <c r="K598" s="139"/>
      <c r="L598" s="139"/>
      <c r="M598" s="139"/>
      <c r="N598" s="139"/>
      <c r="O598" s="139"/>
      <c r="P598" s="139"/>
      <c r="Q598" s="139"/>
      <c r="R598" s="139"/>
      <c r="S598" s="139"/>
      <c r="T598" s="139"/>
      <c r="U598" s="139"/>
      <c r="V598" s="139"/>
      <c r="W598" s="139"/>
      <c r="X598" s="139"/>
      <c r="Y598" s="139"/>
      <c r="Z598" s="139"/>
      <c r="AA598" s="139"/>
      <c r="AB598" s="139"/>
      <c r="AC598" s="139"/>
      <c r="AD598" s="139"/>
      <c r="AE598" s="139"/>
      <c r="AF598" s="139"/>
      <c r="AG598" s="139"/>
      <c r="AH598" s="139"/>
      <c r="AI598" s="139"/>
      <c r="AJ598" s="139"/>
    </row>
    <row r="599">
      <c r="A599" s="9"/>
      <c r="B599" s="139"/>
      <c r="C599" s="139"/>
      <c r="D599" s="139"/>
      <c r="E599" s="139"/>
      <c r="F599" s="139"/>
      <c r="G599" s="139"/>
      <c r="H599" s="139"/>
      <c r="I599" s="139"/>
      <c r="J599" s="139"/>
      <c r="K599" s="139"/>
      <c r="L599" s="139"/>
      <c r="M599" s="139"/>
      <c r="N599" s="139"/>
      <c r="O599" s="139"/>
      <c r="P599" s="139"/>
      <c r="Q599" s="139"/>
      <c r="R599" s="139"/>
      <c r="S599" s="139"/>
      <c r="T599" s="139"/>
      <c r="U599" s="139"/>
      <c r="V599" s="139"/>
      <c r="W599" s="139"/>
      <c r="X599" s="139"/>
      <c r="Y599" s="139"/>
      <c r="Z599" s="139"/>
      <c r="AA599" s="139"/>
      <c r="AB599" s="139"/>
      <c r="AC599" s="139"/>
      <c r="AD599" s="139"/>
      <c r="AE599" s="139"/>
      <c r="AF599" s="139"/>
      <c r="AG599" s="139"/>
      <c r="AH599" s="139"/>
      <c r="AI599" s="139"/>
      <c r="AJ599" s="139"/>
    </row>
    <row r="600">
      <c r="A600" s="9"/>
      <c r="B600" s="139"/>
      <c r="C600" s="139"/>
      <c r="D600" s="139"/>
      <c r="E600" s="139"/>
      <c r="F600" s="139"/>
      <c r="G600" s="139"/>
      <c r="H600" s="139"/>
      <c r="I600" s="139"/>
      <c r="J600" s="139"/>
      <c r="K600" s="139"/>
      <c r="L600" s="139"/>
      <c r="M600" s="139"/>
      <c r="N600" s="139"/>
      <c r="O600" s="139"/>
      <c r="P600" s="139"/>
      <c r="Q600" s="139"/>
      <c r="R600" s="139"/>
      <c r="S600" s="139"/>
      <c r="T600" s="139"/>
      <c r="U600" s="139"/>
      <c r="V600" s="139"/>
      <c r="W600" s="139"/>
      <c r="X600" s="139"/>
      <c r="Y600" s="139"/>
      <c r="Z600" s="139"/>
      <c r="AA600" s="139"/>
      <c r="AB600" s="139"/>
      <c r="AC600" s="139"/>
      <c r="AD600" s="139"/>
      <c r="AE600" s="139"/>
      <c r="AF600" s="139"/>
      <c r="AG600" s="139"/>
      <c r="AH600" s="139"/>
      <c r="AI600" s="139"/>
      <c r="AJ600" s="139"/>
    </row>
    <row r="601">
      <c r="A601" s="9"/>
      <c r="B601" s="139"/>
      <c r="C601" s="139"/>
      <c r="D601" s="139"/>
      <c r="E601" s="139"/>
      <c r="F601" s="139"/>
      <c r="G601" s="139"/>
      <c r="H601" s="139"/>
      <c r="I601" s="139"/>
      <c r="J601" s="139"/>
      <c r="K601" s="139"/>
      <c r="L601" s="139"/>
      <c r="M601" s="139"/>
      <c r="N601" s="139"/>
      <c r="O601" s="139"/>
      <c r="P601" s="139"/>
      <c r="Q601" s="139"/>
      <c r="R601" s="139"/>
      <c r="S601" s="139"/>
      <c r="T601" s="139"/>
      <c r="U601" s="139"/>
      <c r="V601" s="139"/>
      <c r="W601" s="139"/>
      <c r="X601" s="139"/>
      <c r="Y601" s="139"/>
      <c r="Z601" s="139"/>
      <c r="AA601" s="139"/>
      <c r="AB601" s="139"/>
      <c r="AC601" s="139"/>
      <c r="AD601" s="139"/>
      <c r="AE601" s="139"/>
      <c r="AF601" s="139"/>
      <c r="AG601" s="139"/>
      <c r="AH601" s="139"/>
      <c r="AI601" s="139"/>
      <c r="AJ601" s="139"/>
    </row>
    <row r="602">
      <c r="A602" s="9"/>
      <c r="B602" s="139"/>
      <c r="C602" s="139"/>
      <c r="D602" s="139"/>
      <c r="E602" s="139"/>
      <c r="F602" s="139"/>
      <c r="G602" s="139"/>
      <c r="H602" s="139"/>
      <c r="I602" s="139"/>
      <c r="J602" s="139"/>
      <c r="K602" s="139"/>
      <c r="L602" s="139"/>
      <c r="M602" s="139"/>
      <c r="N602" s="139"/>
      <c r="O602" s="139"/>
      <c r="P602" s="139"/>
      <c r="Q602" s="139"/>
      <c r="R602" s="139"/>
      <c r="S602" s="139"/>
      <c r="T602" s="139"/>
      <c r="U602" s="139"/>
      <c r="V602" s="139"/>
      <c r="W602" s="139"/>
      <c r="X602" s="139"/>
      <c r="Y602" s="139"/>
      <c r="Z602" s="139"/>
      <c r="AA602" s="139"/>
      <c r="AB602" s="139"/>
      <c r="AC602" s="139"/>
      <c r="AD602" s="139"/>
      <c r="AE602" s="139"/>
      <c r="AF602" s="139"/>
      <c r="AG602" s="139"/>
      <c r="AH602" s="139"/>
      <c r="AI602" s="139"/>
      <c r="AJ602" s="139"/>
    </row>
    <row r="603">
      <c r="A603" s="9"/>
      <c r="B603" s="139"/>
      <c r="C603" s="139"/>
      <c r="D603" s="139"/>
      <c r="E603" s="139"/>
      <c r="F603" s="139"/>
      <c r="G603" s="139"/>
      <c r="H603" s="139"/>
      <c r="I603" s="139"/>
      <c r="J603" s="139"/>
      <c r="K603" s="139"/>
      <c r="L603" s="139"/>
      <c r="M603" s="139"/>
      <c r="N603" s="139"/>
      <c r="O603" s="139"/>
      <c r="P603" s="139"/>
      <c r="Q603" s="139"/>
      <c r="R603" s="139"/>
      <c r="S603" s="139"/>
      <c r="T603" s="139"/>
      <c r="U603" s="139"/>
      <c r="V603" s="139"/>
      <c r="W603" s="139"/>
      <c r="X603" s="139"/>
      <c r="Y603" s="139"/>
      <c r="Z603" s="139"/>
      <c r="AA603" s="139"/>
      <c r="AB603" s="139"/>
      <c r="AC603" s="139"/>
      <c r="AD603" s="139"/>
      <c r="AE603" s="139"/>
      <c r="AF603" s="139"/>
      <c r="AG603" s="139"/>
      <c r="AH603" s="139"/>
      <c r="AI603" s="139"/>
      <c r="AJ603" s="139"/>
    </row>
    <row r="604">
      <c r="A604" s="9"/>
      <c r="B604" s="139"/>
      <c r="C604" s="139"/>
      <c r="D604" s="139"/>
      <c r="E604" s="139"/>
      <c r="F604" s="139"/>
      <c r="G604" s="139"/>
      <c r="H604" s="139"/>
      <c r="I604" s="139"/>
      <c r="J604" s="139"/>
      <c r="K604" s="139"/>
      <c r="L604" s="139"/>
      <c r="M604" s="139"/>
      <c r="N604" s="139"/>
      <c r="O604" s="139"/>
      <c r="P604" s="139"/>
      <c r="Q604" s="139"/>
      <c r="R604" s="139"/>
      <c r="S604" s="139"/>
      <c r="T604" s="139"/>
      <c r="U604" s="139"/>
      <c r="V604" s="139"/>
      <c r="W604" s="139"/>
      <c r="X604" s="139"/>
      <c r="Y604" s="139"/>
      <c r="Z604" s="139"/>
      <c r="AA604" s="139"/>
      <c r="AB604" s="139"/>
      <c r="AC604" s="139"/>
      <c r="AD604" s="139"/>
      <c r="AE604" s="139"/>
      <c r="AF604" s="139"/>
      <c r="AG604" s="139"/>
      <c r="AH604" s="139"/>
      <c r="AI604" s="139"/>
      <c r="AJ604" s="139"/>
    </row>
    <row r="605">
      <c r="A605" s="9"/>
      <c r="B605" s="139"/>
      <c r="C605" s="139"/>
      <c r="D605" s="139"/>
      <c r="E605" s="139"/>
      <c r="F605" s="139"/>
      <c r="G605" s="139"/>
      <c r="H605" s="139"/>
      <c r="I605" s="139"/>
      <c r="J605" s="139"/>
      <c r="K605" s="139"/>
      <c r="L605" s="139"/>
      <c r="M605" s="139"/>
      <c r="N605" s="139"/>
      <c r="O605" s="139"/>
      <c r="P605" s="139"/>
      <c r="Q605" s="139"/>
      <c r="R605" s="139"/>
      <c r="S605" s="139"/>
      <c r="T605" s="139"/>
      <c r="U605" s="139"/>
      <c r="V605" s="139"/>
      <c r="W605" s="139"/>
      <c r="X605" s="139"/>
      <c r="Y605" s="139"/>
      <c r="Z605" s="139"/>
      <c r="AA605" s="139"/>
      <c r="AB605" s="139"/>
      <c r="AC605" s="139"/>
      <c r="AD605" s="139"/>
      <c r="AE605" s="139"/>
      <c r="AF605" s="139"/>
      <c r="AG605" s="139"/>
      <c r="AH605" s="139"/>
      <c r="AI605" s="139"/>
      <c r="AJ605" s="139"/>
    </row>
    <row r="606">
      <c r="A606" s="9"/>
      <c r="B606" s="139"/>
      <c r="C606" s="139"/>
      <c r="D606" s="139"/>
      <c r="E606" s="139"/>
      <c r="F606" s="139"/>
      <c r="G606" s="139"/>
      <c r="H606" s="139"/>
      <c r="I606" s="139"/>
      <c r="J606" s="139"/>
      <c r="K606" s="139"/>
      <c r="L606" s="139"/>
      <c r="M606" s="139"/>
      <c r="N606" s="139"/>
      <c r="O606" s="139"/>
      <c r="P606" s="139"/>
      <c r="Q606" s="139"/>
      <c r="R606" s="139"/>
      <c r="S606" s="139"/>
      <c r="T606" s="139"/>
      <c r="U606" s="139"/>
      <c r="V606" s="139"/>
      <c r="W606" s="139"/>
      <c r="X606" s="139"/>
      <c r="Y606" s="139"/>
      <c r="Z606" s="139"/>
      <c r="AA606" s="139"/>
      <c r="AB606" s="139"/>
      <c r="AC606" s="139"/>
      <c r="AD606" s="139"/>
      <c r="AE606" s="139"/>
      <c r="AF606" s="139"/>
      <c r="AG606" s="139"/>
      <c r="AH606" s="139"/>
      <c r="AI606" s="139"/>
      <c r="AJ606" s="139"/>
    </row>
    <row r="607">
      <c r="A607" s="9"/>
      <c r="B607" s="139"/>
      <c r="C607" s="139"/>
      <c r="D607" s="139"/>
      <c r="E607" s="139"/>
      <c r="F607" s="139"/>
      <c r="G607" s="139"/>
      <c r="H607" s="139"/>
      <c r="I607" s="139"/>
      <c r="J607" s="139"/>
      <c r="K607" s="139"/>
      <c r="L607" s="139"/>
      <c r="M607" s="139"/>
      <c r="N607" s="139"/>
      <c r="O607" s="139"/>
      <c r="P607" s="139"/>
      <c r="Q607" s="139"/>
      <c r="R607" s="139"/>
      <c r="S607" s="139"/>
      <c r="T607" s="139"/>
      <c r="U607" s="139"/>
      <c r="V607" s="139"/>
      <c r="W607" s="139"/>
      <c r="X607" s="139"/>
      <c r="Y607" s="139"/>
      <c r="Z607" s="139"/>
      <c r="AA607" s="139"/>
      <c r="AB607" s="139"/>
      <c r="AC607" s="139"/>
      <c r="AD607" s="139"/>
      <c r="AE607" s="139"/>
      <c r="AF607" s="139"/>
      <c r="AG607" s="139"/>
      <c r="AH607" s="139"/>
      <c r="AI607" s="139"/>
      <c r="AJ607" s="139"/>
    </row>
    <row r="608">
      <c r="A608" s="9"/>
      <c r="B608" s="139"/>
      <c r="C608" s="139"/>
      <c r="D608" s="139"/>
      <c r="E608" s="139"/>
      <c r="F608" s="139"/>
      <c r="G608" s="139"/>
      <c r="H608" s="139"/>
      <c r="I608" s="139"/>
      <c r="J608" s="139"/>
      <c r="K608" s="139"/>
      <c r="L608" s="139"/>
      <c r="M608" s="139"/>
      <c r="N608" s="139"/>
      <c r="O608" s="139"/>
      <c r="P608" s="139"/>
      <c r="Q608" s="139"/>
      <c r="R608" s="139"/>
      <c r="S608" s="139"/>
      <c r="T608" s="139"/>
      <c r="U608" s="139"/>
      <c r="V608" s="139"/>
      <c r="W608" s="139"/>
      <c r="X608" s="139"/>
      <c r="Y608" s="139"/>
      <c r="Z608" s="139"/>
      <c r="AA608" s="139"/>
      <c r="AB608" s="139"/>
      <c r="AC608" s="139"/>
      <c r="AD608" s="139"/>
      <c r="AE608" s="139"/>
      <c r="AF608" s="139"/>
      <c r="AG608" s="139"/>
      <c r="AH608" s="139"/>
      <c r="AI608" s="139"/>
      <c r="AJ608" s="139"/>
    </row>
    <row r="609">
      <c r="A609" s="9"/>
      <c r="B609" s="139"/>
      <c r="C609" s="139"/>
      <c r="D609" s="139"/>
      <c r="E609" s="139"/>
      <c r="F609" s="139"/>
      <c r="G609" s="139"/>
      <c r="H609" s="139"/>
      <c r="I609" s="139"/>
      <c r="J609" s="139"/>
      <c r="K609" s="139"/>
      <c r="L609" s="139"/>
      <c r="M609" s="139"/>
      <c r="N609" s="139"/>
      <c r="O609" s="139"/>
      <c r="P609" s="139"/>
      <c r="Q609" s="139"/>
      <c r="R609" s="139"/>
      <c r="S609" s="139"/>
      <c r="T609" s="139"/>
      <c r="U609" s="139"/>
      <c r="V609" s="139"/>
      <c r="W609" s="139"/>
      <c r="X609" s="139"/>
      <c r="Y609" s="139"/>
      <c r="Z609" s="139"/>
      <c r="AA609" s="139"/>
      <c r="AB609" s="139"/>
      <c r="AC609" s="139"/>
      <c r="AD609" s="139"/>
      <c r="AE609" s="139"/>
      <c r="AF609" s="139"/>
      <c r="AG609" s="139"/>
      <c r="AH609" s="139"/>
      <c r="AI609" s="139"/>
      <c r="AJ609" s="139"/>
    </row>
    <row r="610">
      <c r="A610" s="9"/>
      <c r="B610" s="139"/>
      <c r="C610" s="139"/>
      <c r="D610" s="139"/>
      <c r="E610" s="139"/>
      <c r="F610" s="139"/>
      <c r="G610" s="139"/>
      <c r="H610" s="139"/>
      <c r="I610" s="139"/>
      <c r="J610" s="139"/>
      <c r="K610" s="139"/>
      <c r="L610" s="139"/>
      <c r="M610" s="139"/>
      <c r="N610" s="139"/>
      <c r="O610" s="139"/>
      <c r="P610" s="139"/>
      <c r="Q610" s="139"/>
      <c r="R610" s="139"/>
      <c r="S610" s="139"/>
      <c r="T610" s="139"/>
      <c r="U610" s="139"/>
      <c r="V610" s="139"/>
      <c r="W610" s="139"/>
      <c r="X610" s="139"/>
      <c r="Y610" s="139"/>
      <c r="Z610" s="139"/>
      <c r="AA610" s="139"/>
      <c r="AB610" s="139"/>
      <c r="AC610" s="139"/>
      <c r="AD610" s="139"/>
      <c r="AE610" s="139"/>
      <c r="AF610" s="139"/>
      <c r="AG610" s="139"/>
      <c r="AH610" s="139"/>
      <c r="AI610" s="139"/>
      <c r="AJ610" s="139"/>
    </row>
    <row r="611">
      <c r="A611" s="9"/>
      <c r="B611" s="139"/>
      <c r="C611" s="139"/>
      <c r="D611" s="139"/>
      <c r="E611" s="139"/>
      <c r="F611" s="139"/>
      <c r="G611" s="139"/>
      <c r="H611" s="139"/>
      <c r="I611" s="139"/>
      <c r="J611" s="139"/>
      <c r="K611" s="139"/>
      <c r="L611" s="139"/>
      <c r="M611" s="139"/>
      <c r="N611" s="139"/>
      <c r="O611" s="139"/>
      <c r="P611" s="139"/>
      <c r="Q611" s="139"/>
      <c r="R611" s="139"/>
      <c r="S611" s="139"/>
      <c r="T611" s="139"/>
      <c r="U611" s="139"/>
      <c r="V611" s="139"/>
      <c r="W611" s="139"/>
      <c r="X611" s="139"/>
      <c r="Y611" s="139"/>
      <c r="Z611" s="139"/>
      <c r="AA611" s="139"/>
      <c r="AB611" s="139"/>
      <c r="AC611" s="139"/>
      <c r="AD611" s="139"/>
      <c r="AE611" s="139"/>
      <c r="AF611" s="139"/>
      <c r="AG611" s="139"/>
      <c r="AH611" s="139"/>
      <c r="AI611" s="139"/>
      <c r="AJ611" s="139"/>
    </row>
    <row r="612">
      <c r="A612" s="9"/>
      <c r="B612" s="139"/>
      <c r="C612" s="139"/>
      <c r="D612" s="139"/>
      <c r="E612" s="139"/>
      <c r="F612" s="139"/>
      <c r="G612" s="139"/>
      <c r="H612" s="139"/>
      <c r="I612" s="139"/>
      <c r="J612" s="139"/>
      <c r="K612" s="139"/>
      <c r="L612" s="139"/>
      <c r="M612" s="139"/>
      <c r="N612" s="139"/>
      <c r="O612" s="139"/>
      <c r="P612" s="139"/>
      <c r="Q612" s="139"/>
      <c r="R612" s="139"/>
      <c r="S612" s="139"/>
      <c r="T612" s="139"/>
      <c r="U612" s="139"/>
      <c r="V612" s="139"/>
      <c r="W612" s="139"/>
      <c r="X612" s="139"/>
      <c r="Y612" s="139"/>
      <c r="Z612" s="139"/>
      <c r="AA612" s="139"/>
      <c r="AB612" s="139"/>
      <c r="AC612" s="139"/>
      <c r="AD612" s="139"/>
      <c r="AE612" s="139"/>
      <c r="AF612" s="139"/>
      <c r="AG612" s="139"/>
      <c r="AH612" s="139"/>
      <c r="AI612" s="139"/>
      <c r="AJ612" s="139"/>
    </row>
    <row r="613">
      <c r="A613" s="9"/>
      <c r="B613" s="139"/>
      <c r="C613" s="139"/>
      <c r="D613" s="139"/>
      <c r="E613" s="139"/>
      <c r="F613" s="139"/>
      <c r="G613" s="139"/>
      <c r="H613" s="139"/>
      <c r="I613" s="139"/>
      <c r="J613" s="139"/>
      <c r="K613" s="139"/>
      <c r="L613" s="139"/>
      <c r="M613" s="139"/>
      <c r="N613" s="139"/>
      <c r="O613" s="139"/>
      <c r="P613" s="139"/>
      <c r="Q613" s="139"/>
      <c r="R613" s="139"/>
      <c r="S613" s="139"/>
      <c r="T613" s="139"/>
      <c r="U613" s="139"/>
      <c r="V613" s="139"/>
      <c r="W613" s="139"/>
      <c r="X613" s="139"/>
      <c r="Y613" s="139"/>
      <c r="Z613" s="139"/>
      <c r="AA613" s="139"/>
      <c r="AB613" s="139"/>
      <c r="AC613" s="139"/>
      <c r="AD613" s="139"/>
      <c r="AE613" s="139"/>
      <c r="AF613" s="139"/>
      <c r="AG613" s="139"/>
      <c r="AH613" s="139"/>
      <c r="AI613" s="139"/>
      <c r="AJ613" s="139"/>
    </row>
    <row r="614">
      <c r="A614" s="9"/>
      <c r="B614" s="139"/>
      <c r="C614" s="139"/>
      <c r="D614" s="139"/>
      <c r="E614" s="139"/>
      <c r="F614" s="139"/>
      <c r="G614" s="139"/>
      <c r="H614" s="139"/>
      <c r="I614" s="139"/>
      <c r="J614" s="139"/>
      <c r="K614" s="139"/>
      <c r="L614" s="139"/>
      <c r="M614" s="139"/>
      <c r="N614" s="139"/>
      <c r="O614" s="139"/>
      <c r="P614" s="139"/>
      <c r="Q614" s="139"/>
      <c r="R614" s="139"/>
      <c r="S614" s="139"/>
      <c r="T614" s="139"/>
      <c r="U614" s="139"/>
      <c r="V614" s="139"/>
      <c r="W614" s="139"/>
      <c r="X614" s="139"/>
      <c r="Y614" s="139"/>
      <c r="Z614" s="139"/>
      <c r="AA614" s="139"/>
      <c r="AB614" s="139"/>
      <c r="AC614" s="139"/>
      <c r="AD614" s="139"/>
      <c r="AE614" s="139"/>
      <c r="AF614" s="139"/>
      <c r="AG614" s="139"/>
      <c r="AH614" s="139"/>
      <c r="AI614" s="139"/>
      <c r="AJ614" s="139"/>
    </row>
    <row r="615">
      <c r="A615" s="9"/>
      <c r="B615" s="139"/>
      <c r="C615" s="139"/>
      <c r="D615" s="139"/>
      <c r="E615" s="139"/>
      <c r="F615" s="139"/>
      <c r="G615" s="139"/>
      <c r="H615" s="139"/>
      <c r="I615" s="139"/>
      <c r="J615" s="139"/>
      <c r="K615" s="139"/>
      <c r="L615" s="139"/>
      <c r="M615" s="139"/>
      <c r="N615" s="139"/>
      <c r="O615" s="139"/>
      <c r="P615" s="139"/>
      <c r="Q615" s="139"/>
      <c r="R615" s="139"/>
      <c r="S615" s="139"/>
      <c r="T615" s="139"/>
      <c r="U615" s="139"/>
      <c r="V615" s="139"/>
      <c r="W615" s="139"/>
      <c r="X615" s="139"/>
      <c r="Y615" s="139"/>
      <c r="Z615" s="139"/>
      <c r="AA615" s="139"/>
      <c r="AB615" s="139"/>
      <c r="AC615" s="139"/>
      <c r="AD615" s="139"/>
      <c r="AE615" s="139"/>
      <c r="AF615" s="139"/>
      <c r="AG615" s="139"/>
      <c r="AH615" s="139"/>
      <c r="AI615" s="139"/>
      <c r="AJ615" s="139"/>
    </row>
    <row r="616">
      <c r="A616" s="9"/>
      <c r="B616" s="139"/>
      <c r="C616" s="139"/>
      <c r="D616" s="139"/>
      <c r="E616" s="139"/>
      <c r="F616" s="139"/>
      <c r="G616" s="139"/>
      <c r="H616" s="139"/>
      <c r="I616" s="139"/>
      <c r="J616" s="139"/>
      <c r="K616" s="139"/>
      <c r="L616" s="139"/>
      <c r="M616" s="139"/>
      <c r="N616" s="139"/>
      <c r="O616" s="139"/>
      <c r="P616" s="139"/>
      <c r="Q616" s="139"/>
      <c r="R616" s="139"/>
      <c r="S616" s="139"/>
      <c r="T616" s="139"/>
      <c r="U616" s="139"/>
      <c r="V616" s="139"/>
      <c r="W616" s="139"/>
      <c r="X616" s="139"/>
      <c r="Y616" s="139"/>
      <c r="Z616" s="139"/>
      <c r="AA616" s="139"/>
      <c r="AB616" s="139"/>
      <c r="AC616" s="139"/>
      <c r="AD616" s="139"/>
      <c r="AE616" s="139"/>
      <c r="AF616" s="139"/>
      <c r="AG616" s="139"/>
      <c r="AH616" s="139"/>
      <c r="AI616" s="139"/>
      <c r="AJ616" s="139"/>
    </row>
    <row r="617">
      <c r="A617" s="9"/>
      <c r="B617" s="139"/>
      <c r="C617" s="139"/>
      <c r="D617" s="139"/>
      <c r="E617" s="139"/>
      <c r="F617" s="139"/>
      <c r="G617" s="139"/>
      <c r="H617" s="139"/>
      <c r="I617" s="139"/>
      <c r="J617" s="139"/>
      <c r="K617" s="139"/>
      <c r="L617" s="139"/>
      <c r="M617" s="139"/>
      <c r="N617" s="139"/>
      <c r="O617" s="139"/>
      <c r="P617" s="139"/>
      <c r="Q617" s="139"/>
      <c r="R617" s="139"/>
      <c r="S617" s="139"/>
      <c r="T617" s="139"/>
      <c r="U617" s="139"/>
      <c r="V617" s="139"/>
      <c r="W617" s="139"/>
      <c r="X617" s="139"/>
      <c r="Y617" s="139"/>
      <c r="Z617" s="139"/>
      <c r="AA617" s="139"/>
      <c r="AB617" s="139"/>
      <c r="AC617" s="139"/>
      <c r="AD617" s="139"/>
      <c r="AE617" s="139"/>
      <c r="AF617" s="139"/>
      <c r="AG617" s="139"/>
      <c r="AH617" s="139"/>
      <c r="AI617" s="139"/>
      <c r="AJ617" s="139"/>
    </row>
    <row r="618">
      <c r="A618" s="9"/>
      <c r="B618" s="139"/>
      <c r="C618" s="139"/>
      <c r="D618" s="139"/>
      <c r="E618" s="139"/>
      <c r="F618" s="139"/>
      <c r="G618" s="139"/>
      <c r="H618" s="139"/>
      <c r="I618" s="139"/>
      <c r="J618" s="139"/>
      <c r="K618" s="139"/>
      <c r="L618" s="139"/>
      <c r="M618" s="139"/>
      <c r="N618" s="139"/>
      <c r="O618" s="139"/>
      <c r="P618" s="139"/>
      <c r="Q618" s="139"/>
      <c r="R618" s="139"/>
      <c r="S618" s="139"/>
      <c r="T618" s="139"/>
      <c r="U618" s="139"/>
      <c r="V618" s="139"/>
      <c r="W618" s="139"/>
      <c r="X618" s="139"/>
      <c r="Y618" s="139"/>
      <c r="Z618" s="139"/>
      <c r="AA618" s="139"/>
      <c r="AB618" s="139"/>
      <c r="AC618" s="139"/>
      <c r="AD618" s="139"/>
      <c r="AE618" s="139"/>
      <c r="AF618" s="139"/>
      <c r="AG618" s="139"/>
      <c r="AH618" s="139"/>
      <c r="AI618" s="139"/>
      <c r="AJ618" s="139"/>
    </row>
    <row r="619">
      <c r="A619" s="9"/>
      <c r="B619" s="139"/>
      <c r="C619" s="139"/>
      <c r="D619" s="139"/>
      <c r="E619" s="139"/>
      <c r="F619" s="139"/>
      <c r="G619" s="139"/>
      <c r="H619" s="139"/>
      <c r="I619" s="139"/>
      <c r="J619" s="139"/>
      <c r="K619" s="139"/>
      <c r="L619" s="139"/>
      <c r="M619" s="139"/>
      <c r="N619" s="139"/>
      <c r="O619" s="139"/>
      <c r="P619" s="139"/>
      <c r="Q619" s="139"/>
      <c r="R619" s="139"/>
      <c r="S619" s="139"/>
      <c r="T619" s="139"/>
      <c r="U619" s="139"/>
      <c r="V619" s="139"/>
      <c r="W619" s="139"/>
      <c r="X619" s="139"/>
      <c r="Y619" s="139"/>
      <c r="Z619" s="139"/>
      <c r="AA619" s="139"/>
      <c r="AB619" s="139"/>
      <c r="AC619" s="139"/>
      <c r="AD619" s="139"/>
      <c r="AE619" s="139"/>
      <c r="AF619" s="139"/>
      <c r="AG619" s="139"/>
      <c r="AH619" s="139"/>
      <c r="AI619" s="139"/>
      <c r="AJ619" s="139"/>
    </row>
    <row r="620">
      <c r="A620" s="9"/>
      <c r="B620" s="139"/>
      <c r="C620" s="139"/>
      <c r="D620" s="139"/>
      <c r="E620" s="139"/>
      <c r="F620" s="139"/>
      <c r="G620" s="139"/>
      <c r="H620" s="139"/>
      <c r="I620" s="139"/>
      <c r="J620" s="139"/>
      <c r="K620" s="139"/>
      <c r="L620" s="139"/>
      <c r="M620" s="139"/>
      <c r="N620" s="139"/>
      <c r="O620" s="139"/>
      <c r="P620" s="139"/>
      <c r="Q620" s="139"/>
      <c r="R620" s="139"/>
      <c r="S620" s="139"/>
      <c r="T620" s="139"/>
      <c r="U620" s="139"/>
      <c r="V620" s="139"/>
      <c r="W620" s="139"/>
      <c r="X620" s="139"/>
      <c r="Y620" s="139"/>
      <c r="Z620" s="139"/>
      <c r="AA620" s="139"/>
      <c r="AB620" s="139"/>
      <c r="AC620" s="139"/>
      <c r="AD620" s="139"/>
      <c r="AE620" s="139"/>
      <c r="AF620" s="139"/>
      <c r="AG620" s="139"/>
      <c r="AH620" s="139"/>
      <c r="AI620" s="139"/>
      <c r="AJ620" s="139"/>
    </row>
    <row r="621">
      <c r="A621" s="9"/>
      <c r="B621" s="139"/>
      <c r="C621" s="139"/>
      <c r="D621" s="139"/>
      <c r="E621" s="139"/>
      <c r="F621" s="139"/>
      <c r="G621" s="139"/>
      <c r="H621" s="139"/>
      <c r="I621" s="139"/>
      <c r="J621" s="139"/>
      <c r="K621" s="139"/>
      <c r="L621" s="139"/>
      <c r="M621" s="139"/>
      <c r="N621" s="139"/>
      <c r="O621" s="139"/>
      <c r="P621" s="139"/>
      <c r="Q621" s="139"/>
      <c r="R621" s="139"/>
      <c r="S621" s="139"/>
      <c r="T621" s="139"/>
      <c r="U621" s="139"/>
      <c r="V621" s="139"/>
      <c r="W621" s="139"/>
      <c r="X621" s="139"/>
      <c r="Y621" s="139"/>
      <c r="Z621" s="139"/>
      <c r="AA621" s="139"/>
      <c r="AB621" s="139"/>
      <c r="AC621" s="139"/>
      <c r="AD621" s="139"/>
      <c r="AE621" s="139"/>
      <c r="AF621" s="139"/>
      <c r="AG621" s="139"/>
      <c r="AH621" s="139"/>
      <c r="AI621" s="139"/>
      <c r="AJ621" s="139"/>
    </row>
    <row r="622">
      <c r="A622" s="9"/>
      <c r="B622" s="139"/>
      <c r="C622" s="139"/>
      <c r="D622" s="139"/>
      <c r="E622" s="139"/>
      <c r="F622" s="139"/>
      <c r="G622" s="139"/>
      <c r="H622" s="139"/>
      <c r="I622" s="139"/>
      <c r="J622" s="139"/>
      <c r="K622" s="139"/>
      <c r="L622" s="139"/>
      <c r="M622" s="139"/>
      <c r="N622" s="139"/>
      <c r="O622" s="139"/>
      <c r="P622" s="139"/>
      <c r="Q622" s="139"/>
      <c r="R622" s="139"/>
      <c r="S622" s="139"/>
      <c r="T622" s="139"/>
      <c r="U622" s="139"/>
      <c r="V622" s="139"/>
      <c r="W622" s="139"/>
      <c r="X622" s="139"/>
      <c r="Y622" s="139"/>
      <c r="Z622" s="139"/>
      <c r="AA622" s="139"/>
      <c r="AB622" s="139"/>
      <c r="AC622" s="139"/>
      <c r="AD622" s="139"/>
      <c r="AE622" s="139"/>
      <c r="AF622" s="139"/>
      <c r="AG622" s="139"/>
      <c r="AH622" s="139"/>
      <c r="AI622" s="139"/>
      <c r="AJ622" s="139"/>
    </row>
    <row r="623">
      <c r="A623" s="9"/>
      <c r="B623" s="139"/>
      <c r="C623" s="139"/>
      <c r="D623" s="139"/>
      <c r="E623" s="139"/>
      <c r="F623" s="139"/>
      <c r="G623" s="139"/>
      <c r="H623" s="139"/>
      <c r="I623" s="139"/>
      <c r="J623" s="139"/>
      <c r="K623" s="139"/>
      <c r="L623" s="139"/>
      <c r="M623" s="139"/>
      <c r="N623" s="139"/>
      <c r="O623" s="139"/>
      <c r="P623" s="139"/>
      <c r="Q623" s="139"/>
      <c r="R623" s="139"/>
      <c r="S623" s="139"/>
      <c r="T623" s="139"/>
      <c r="U623" s="139"/>
      <c r="V623" s="139"/>
      <c r="W623" s="139"/>
      <c r="X623" s="139"/>
      <c r="Y623" s="139"/>
      <c r="Z623" s="139"/>
      <c r="AA623" s="139"/>
      <c r="AB623" s="139"/>
      <c r="AC623" s="139"/>
      <c r="AD623" s="139"/>
      <c r="AE623" s="139"/>
      <c r="AF623" s="139"/>
      <c r="AG623" s="139"/>
      <c r="AH623" s="139"/>
      <c r="AI623" s="139"/>
      <c r="AJ623" s="139"/>
    </row>
    <row r="624">
      <c r="A624" s="9"/>
      <c r="B624" s="139"/>
      <c r="C624" s="139"/>
      <c r="D624" s="139"/>
      <c r="E624" s="139"/>
      <c r="F624" s="139"/>
      <c r="G624" s="139"/>
      <c r="H624" s="139"/>
      <c r="I624" s="139"/>
      <c r="J624" s="139"/>
      <c r="K624" s="139"/>
      <c r="L624" s="139"/>
      <c r="M624" s="139"/>
      <c r="N624" s="139"/>
      <c r="O624" s="139"/>
      <c r="P624" s="139"/>
      <c r="Q624" s="139"/>
      <c r="R624" s="139"/>
      <c r="S624" s="139"/>
      <c r="T624" s="139"/>
      <c r="U624" s="139"/>
      <c r="V624" s="139"/>
      <c r="W624" s="139"/>
      <c r="X624" s="139"/>
      <c r="Y624" s="139"/>
      <c r="Z624" s="139"/>
      <c r="AA624" s="139"/>
      <c r="AB624" s="139"/>
      <c r="AC624" s="139"/>
      <c r="AD624" s="139"/>
      <c r="AE624" s="139"/>
      <c r="AF624" s="139"/>
      <c r="AG624" s="139"/>
      <c r="AH624" s="139"/>
      <c r="AI624" s="139"/>
      <c r="AJ624" s="139"/>
    </row>
    <row r="625">
      <c r="A625" s="9"/>
      <c r="B625" s="139"/>
      <c r="C625" s="139"/>
      <c r="D625" s="139"/>
      <c r="E625" s="139"/>
      <c r="F625" s="139"/>
      <c r="G625" s="139"/>
      <c r="H625" s="139"/>
      <c r="I625" s="139"/>
      <c r="J625" s="139"/>
      <c r="K625" s="139"/>
      <c r="L625" s="139"/>
      <c r="M625" s="139"/>
      <c r="N625" s="139"/>
      <c r="O625" s="139"/>
      <c r="P625" s="139"/>
      <c r="Q625" s="139"/>
      <c r="R625" s="139"/>
      <c r="S625" s="139"/>
      <c r="T625" s="139"/>
      <c r="U625" s="139"/>
      <c r="V625" s="139"/>
      <c r="W625" s="139"/>
      <c r="X625" s="139"/>
      <c r="Y625" s="139"/>
      <c r="Z625" s="139"/>
      <c r="AA625" s="139"/>
      <c r="AB625" s="139"/>
      <c r="AC625" s="139"/>
      <c r="AD625" s="139"/>
      <c r="AE625" s="139"/>
      <c r="AF625" s="139"/>
      <c r="AG625" s="139"/>
      <c r="AH625" s="139"/>
      <c r="AI625" s="139"/>
      <c r="AJ625" s="139"/>
    </row>
    <row r="626">
      <c r="A626" s="9"/>
      <c r="B626" s="139"/>
      <c r="C626" s="139"/>
      <c r="D626" s="139"/>
      <c r="E626" s="139"/>
      <c r="F626" s="139"/>
      <c r="G626" s="139"/>
      <c r="H626" s="139"/>
      <c r="I626" s="139"/>
      <c r="J626" s="139"/>
      <c r="K626" s="139"/>
      <c r="L626" s="139"/>
      <c r="M626" s="139"/>
      <c r="N626" s="139"/>
      <c r="O626" s="139"/>
      <c r="P626" s="139"/>
      <c r="Q626" s="139"/>
      <c r="R626" s="139"/>
      <c r="S626" s="139"/>
      <c r="T626" s="139"/>
      <c r="U626" s="139"/>
      <c r="V626" s="139"/>
      <c r="W626" s="139"/>
      <c r="X626" s="139"/>
      <c r="Y626" s="139"/>
      <c r="Z626" s="139"/>
      <c r="AA626" s="139"/>
      <c r="AB626" s="139"/>
      <c r="AC626" s="139"/>
      <c r="AD626" s="139"/>
      <c r="AE626" s="139"/>
      <c r="AF626" s="139"/>
      <c r="AG626" s="139"/>
      <c r="AH626" s="139"/>
      <c r="AI626" s="139"/>
      <c r="AJ626" s="139"/>
    </row>
    <row r="627">
      <c r="A627" s="9"/>
      <c r="B627" s="139"/>
      <c r="C627" s="139"/>
      <c r="D627" s="139"/>
      <c r="E627" s="139"/>
      <c r="F627" s="139"/>
      <c r="G627" s="139"/>
      <c r="H627" s="139"/>
      <c r="I627" s="139"/>
      <c r="J627" s="139"/>
      <c r="K627" s="139"/>
      <c r="L627" s="139"/>
      <c r="M627" s="139"/>
      <c r="N627" s="139"/>
      <c r="O627" s="139"/>
      <c r="P627" s="139"/>
      <c r="Q627" s="139"/>
      <c r="R627" s="139"/>
      <c r="S627" s="139"/>
      <c r="T627" s="139"/>
      <c r="U627" s="139"/>
      <c r="V627" s="139"/>
      <c r="W627" s="139"/>
      <c r="X627" s="139"/>
      <c r="Y627" s="139"/>
      <c r="Z627" s="139"/>
      <c r="AA627" s="139"/>
      <c r="AB627" s="139"/>
      <c r="AC627" s="139"/>
      <c r="AD627" s="139"/>
      <c r="AE627" s="139"/>
      <c r="AF627" s="139"/>
      <c r="AG627" s="139"/>
      <c r="AH627" s="139"/>
      <c r="AI627" s="139"/>
      <c r="AJ627" s="139"/>
    </row>
    <row r="628">
      <c r="A628" s="9"/>
      <c r="B628" s="139"/>
      <c r="C628" s="139"/>
      <c r="D628" s="139"/>
      <c r="E628" s="139"/>
      <c r="F628" s="139"/>
      <c r="G628" s="139"/>
      <c r="H628" s="139"/>
      <c r="I628" s="139"/>
      <c r="J628" s="139"/>
      <c r="K628" s="139"/>
      <c r="L628" s="139"/>
      <c r="M628" s="139"/>
      <c r="N628" s="139"/>
      <c r="O628" s="139"/>
      <c r="P628" s="139"/>
      <c r="Q628" s="139"/>
      <c r="R628" s="139"/>
      <c r="S628" s="139"/>
      <c r="T628" s="139"/>
      <c r="U628" s="139"/>
      <c r="V628" s="139"/>
      <c r="W628" s="139"/>
      <c r="X628" s="139"/>
      <c r="Y628" s="139"/>
      <c r="Z628" s="139"/>
      <c r="AA628" s="139"/>
      <c r="AB628" s="139"/>
      <c r="AC628" s="139"/>
      <c r="AD628" s="139"/>
      <c r="AE628" s="139"/>
      <c r="AF628" s="139"/>
      <c r="AG628" s="139"/>
      <c r="AH628" s="139"/>
      <c r="AI628" s="139"/>
      <c r="AJ628" s="139"/>
    </row>
    <row r="629">
      <c r="A629" s="9"/>
      <c r="B629" s="139"/>
      <c r="C629" s="139"/>
      <c r="D629" s="139"/>
      <c r="E629" s="139"/>
      <c r="F629" s="139"/>
      <c r="G629" s="139"/>
      <c r="H629" s="139"/>
      <c r="I629" s="139"/>
      <c r="J629" s="139"/>
      <c r="K629" s="139"/>
      <c r="L629" s="139"/>
      <c r="M629" s="139"/>
      <c r="N629" s="139"/>
      <c r="O629" s="139"/>
      <c r="P629" s="139"/>
      <c r="Q629" s="139"/>
      <c r="R629" s="139"/>
      <c r="S629" s="139"/>
      <c r="T629" s="139"/>
      <c r="U629" s="139"/>
      <c r="V629" s="139"/>
      <c r="W629" s="139"/>
      <c r="X629" s="139"/>
      <c r="Y629" s="139"/>
      <c r="Z629" s="139"/>
      <c r="AA629" s="139"/>
      <c r="AB629" s="139"/>
      <c r="AC629" s="139"/>
      <c r="AD629" s="139"/>
      <c r="AE629" s="139"/>
      <c r="AF629" s="139"/>
      <c r="AG629" s="139"/>
      <c r="AH629" s="139"/>
      <c r="AI629" s="139"/>
      <c r="AJ629" s="139"/>
    </row>
    <row r="630">
      <c r="A630" s="9"/>
      <c r="B630" s="139"/>
      <c r="C630" s="139"/>
      <c r="D630" s="139"/>
      <c r="E630" s="139"/>
      <c r="F630" s="139"/>
      <c r="G630" s="139"/>
      <c r="H630" s="139"/>
      <c r="I630" s="139"/>
      <c r="J630" s="139"/>
      <c r="K630" s="139"/>
      <c r="L630" s="139"/>
      <c r="M630" s="139"/>
      <c r="N630" s="139"/>
      <c r="O630" s="139"/>
      <c r="P630" s="139"/>
      <c r="Q630" s="139"/>
      <c r="R630" s="139"/>
      <c r="S630" s="139"/>
      <c r="T630" s="139"/>
      <c r="U630" s="139"/>
      <c r="V630" s="139"/>
      <c r="W630" s="139"/>
      <c r="X630" s="139"/>
      <c r="Y630" s="139"/>
      <c r="Z630" s="139"/>
      <c r="AA630" s="139"/>
      <c r="AB630" s="139"/>
      <c r="AC630" s="139"/>
      <c r="AD630" s="139"/>
      <c r="AE630" s="139"/>
      <c r="AF630" s="139"/>
      <c r="AG630" s="139"/>
      <c r="AH630" s="139"/>
      <c r="AI630" s="139"/>
      <c r="AJ630" s="139"/>
    </row>
    <row r="631">
      <c r="A631" s="9"/>
      <c r="B631" s="139"/>
      <c r="C631" s="139"/>
      <c r="D631" s="139"/>
      <c r="E631" s="139"/>
      <c r="F631" s="139"/>
      <c r="G631" s="139"/>
      <c r="H631" s="139"/>
      <c r="I631" s="139"/>
      <c r="J631" s="139"/>
      <c r="K631" s="139"/>
      <c r="L631" s="139"/>
      <c r="M631" s="139"/>
      <c r="N631" s="139"/>
      <c r="O631" s="139"/>
      <c r="P631" s="139"/>
      <c r="Q631" s="139"/>
      <c r="R631" s="139"/>
      <c r="S631" s="139"/>
      <c r="T631" s="139"/>
      <c r="U631" s="139"/>
      <c r="V631" s="139"/>
      <c r="W631" s="139"/>
      <c r="X631" s="139"/>
      <c r="Y631" s="139"/>
      <c r="Z631" s="139"/>
      <c r="AA631" s="139"/>
      <c r="AB631" s="139"/>
      <c r="AC631" s="139"/>
      <c r="AD631" s="139"/>
      <c r="AE631" s="139"/>
      <c r="AF631" s="139"/>
      <c r="AG631" s="139"/>
      <c r="AH631" s="139"/>
      <c r="AI631" s="139"/>
      <c r="AJ631" s="139"/>
    </row>
    <row r="632">
      <c r="A632" s="9"/>
      <c r="B632" s="139"/>
      <c r="C632" s="139"/>
      <c r="D632" s="139"/>
      <c r="E632" s="139"/>
      <c r="F632" s="139"/>
      <c r="G632" s="139"/>
      <c r="H632" s="139"/>
      <c r="I632" s="139"/>
      <c r="J632" s="139"/>
      <c r="K632" s="139"/>
      <c r="L632" s="139"/>
      <c r="M632" s="139"/>
      <c r="N632" s="139"/>
      <c r="O632" s="139"/>
      <c r="P632" s="139"/>
      <c r="Q632" s="139"/>
      <c r="R632" s="139"/>
      <c r="S632" s="139"/>
      <c r="T632" s="139"/>
      <c r="U632" s="139"/>
      <c r="V632" s="139"/>
      <c r="W632" s="139"/>
      <c r="X632" s="139"/>
      <c r="Y632" s="139"/>
      <c r="Z632" s="139"/>
      <c r="AA632" s="139"/>
      <c r="AB632" s="139"/>
      <c r="AC632" s="139"/>
      <c r="AD632" s="139"/>
      <c r="AE632" s="139"/>
      <c r="AF632" s="139"/>
      <c r="AG632" s="139"/>
      <c r="AH632" s="139"/>
      <c r="AI632" s="139"/>
      <c r="AJ632" s="139"/>
    </row>
    <row r="633">
      <c r="A633" s="9"/>
      <c r="B633" s="139"/>
      <c r="C633" s="139"/>
      <c r="D633" s="139"/>
      <c r="E633" s="139"/>
      <c r="F633" s="139"/>
      <c r="G633" s="139"/>
      <c r="H633" s="139"/>
      <c r="I633" s="139"/>
      <c r="J633" s="139"/>
      <c r="K633" s="139"/>
      <c r="L633" s="139"/>
      <c r="M633" s="139"/>
      <c r="N633" s="139"/>
      <c r="O633" s="139"/>
      <c r="P633" s="139"/>
      <c r="Q633" s="139"/>
      <c r="R633" s="139"/>
      <c r="S633" s="139"/>
      <c r="T633" s="139"/>
      <c r="U633" s="139"/>
      <c r="V633" s="139"/>
      <c r="W633" s="139"/>
      <c r="X633" s="139"/>
      <c r="Y633" s="139"/>
      <c r="Z633" s="139"/>
      <c r="AA633" s="139"/>
      <c r="AB633" s="139"/>
      <c r="AC633" s="139"/>
      <c r="AD633" s="139"/>
      <c r="AE633" s="139"/>
      <c r="AF633" s="139"/>
      <c r="AG633" s="139"/>
      <c r="AH633" s="139"/>
      <c r="AI633" s="139"/>
      <c r="AJ633" s="139"/>
    </row>
    <row r="634">
      <c r="A634" s="9"/>
      <c r="B634" s="139"/>
      <c r="C634" s="139"/>
      <c r="D634" s="139"/>
      <c r="E634" s="139"/>
      <c r="F634" s="139"/>
      <c r="G634" s="139"/>
      <c r="H634" s="139"/>
      <c r="I634" s="139"/>
      <c r="J634" s="139"/>
      <c r="K634" s="139"/>
      <c r="L634" s="139"/>
      <c r="M634" s="139"/>
      <c r="N634" s="139"/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39"/>
      <c r="AA634" s="139"/>
      <c r="AB634" s="139"/>
      <c r="AC634" s="139"/>
      <c r="AD634" s="139"/>
      <c r="AE634" s="139"/>
      <c r="AF634" s="139"/>
      <c r="AG634" s="139"/>
      <c r="AH634" s="139"/>
      <c r="AI634" s="139"/>
      <c r="AJ634" s="139"/>
    </row>
    <row r="635">
      <c r="A635" s="9"/>
      <c r="B635" s="139"/>
      <c r="C635" s="139"/>
      <c r="D635" s="139"/>
      <c r="E635" s="139"/>
      <c r="F635" s="139"/>
      <c r="G635" s="139"/>
      <c r="H635" s="139"/>
      <c r="I635" s="139"/>
      <c r="J635" s="139"/>
      <c r="K635" s="139"/>
      <c r="L635" s="139"/>
      <c r="M635" s="139"/>
      <c r="N635" s="139"/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39"/>
      <c r="AA635" s="139"/>
      <c r="AB635" s="139"/>
      <c r="AC635" s="139"/>
      <c r="AD635" s="139"/>
      <c r="AE635" s="139"/>
      <c r="AF635" s="139"/>
      <c r="AG635" s="139"/>
      <c r="AH635" s="139"/>
      <c r="AI635" s="139"/>
      <c r="AJ635" s="139"/>
    </row>
    <row r="636">
      <c r="A636" s="9"/>
      <c r="B636" s="139"/>
      <c r="C636" s="139"/>
      <c r="D636" s="139"/>
      <c r="E636" s="139"/>
      <c r="F636" s="139"/>
      <c r="G636" s="139"/>
      <c r="H636" s="139"/>
      <c r="I636" s="139"/>
      <c r="J636" s="139"/>
      <c r="K636" s="139"/>
      <c r="L636" s="139"/>
      <c r="M636" s="139"/>
      <c r="N636" s="139"/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39"/>
      <c r="AA636" s="139"/>
      <c r="AB636" s="139"/>
      <c r="AC636" s="139"/>
      <c r="AD636" s="139"/>
      <c r="AE636" s="139"/>
      <c r="AF636" s="139"/>
      <c r="AG636" s="139"/>
      <c r="AH636" s="139"/>
      <c r="AI636" s="139"/>
      <c r="AJ636" s="139"/>
    </row>
    <row r="637">
      <c r="A637" s="9"/>
      <c r="B637" s="139"/>
      <c r="C637" s="139"/>
      <c r="D637" s="139"/>
      <c r="E637" s="139"/>
      <c r="F637" s="139"/>
      <c r="G637" s="139"/>
      <c r="H637" s="139"/>
      <c r="I637" s="139"/>
      <c r="J637" s="139"/>
      <c r="K637" s="139"/>
      <c r="L637" s="139"/>
      <c r="M637" s="139"/>
      <c r="N637" s="139"/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39"/>
      <c r="AA637" s="139"/>
      <c r="AB637" s="139"/>
      <c r="AC637" s="139"/>
      <c r="AD637" s="139"/>
      <c r="AE637" s="139"/>
      <c r="AF637" s="139"/>
      <c r="AG637" s="139"/>
      <c r="AH637" s="139"/>
      <c r="AI637" s="139"/>
      <c r="AJ637" s="139"/>
    </row>
    <row r="638">
      <c r="A638" s="9"/>
      <c r="B638" s="139"/>
      <c r="C638" s="139"/>
      <c r="D638" s="139"/>
      <c r="E638" s="139"/>
      <c r="F638" s="139"/>
      <c r="G638" s="139"/>
      <c r="H638" s="139"/>
      <c r="I638" s="139"/>
      <c r="J638" s="139"/>
      <c r="K638" s="139"/>
      <c r="L638" s="139"/>
      <c r="M638" s="139"/>
      <c r="N638" s="139"/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39"/>
      <c r="AA638" s="139"/>
      <c r="AB638" s="139"/>
      <c r="AC638" s="139"/>
      <c r="AD638" s="139"/>
      <c r="AE638" s="139"/>
      <c r="AF638" s="139"/>
      <c r="AG638" s="139"/>
      <c r="AH638" s="139"/>
      <c r="AI638" s="139"/>
      <c r="AJ638" s="139"/>
    </row>
    <row r="639">
      <c r="A639" s="9"/>
      <c r="B639" s="139"/>
      <c r="C639" s="139"/>
      <c r="D639" s="139"/>
      <c r="E639" s="139"/>
      <c r="F639" s="139"/>
      <c r="G639" s="139"/>
      <c r="H639" s="139"/>
      <c r="I639" s="139"/>
      <c r="J639" s="139"/>
      <c r="K639" s="139"/>
      <c r="L639" s="139"/>
      <c r="M639" s="139"/>
      <c r="N639" s="139"/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39"/>
      <c r="AA639" s="139"/>
      <c r="AB639" s="139"/>
      <c r="AC639" s="139"/>
      <c r="AD639" s="139"/>
      <c r="AE639" s="139"/>
      <c r="AF639" s="139"/>
      <c r="AG639" s="139"/>
      <c r="AH639" s="139"/>
      <c r="AI639" s="139"/>
      <c r="AJ639" s="139"/>
    </row>
    <row r="640">
      <c r="A640" s="9"/>
      <c r="B640" s="139"/>
      <c r="C640" s="139"/>
      <c r="D640" s="139"/>
      <c r="E640" s="139"/>
      <c r="F640" s="139"/>
      <c r="G640" s="139"/>
      <c r="H640" s="139"/>
      <c r="I640" s="139"/>
      <c r="J640" s="139"/>
      <c r="K640" s="139"/>
      <c r="L640" s="139"/>
      <c r="M640" s="139"/>
      <c r="N640" s="139"/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39"/>
      <c r="AA640" s="139"/>
      <c r="AB640" s="139"/>
      <c r="AC640" s="139"/>
      <c r="AD640" s="139"/>
      <c r="AE640" s="139"/>
      <c r="AF640" s="139"/>
      <c r="AG640" s="139"/>
      <c r="AH640" s="139"/>
      <c r="AI640" s="139"/>
      <c r="AJ640" s="139"/>
    </row>
    <row r="641">
      <c r="A641" s="9"/>
      <c r="B641" s="139"/>
      <c r="C641" s="139"/>
      <c r="D641" s="139"/>
      <c r="E641" s="139"/>
      <c r="F641" s="139"/>
      <c r="G641" s="139"/>
      <c r="H641" s="139"/>
      <c r="I641" s="139"/>
      <c r="J641" s="139"/>
      <c r="K641" s="139"/>
      <c r="L641" s="139"/>
      <c r="M641" s="139"/>
      <c r="N641" s="139"/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39"/>
      <c r="AA641" s="139"/>
      <c r="AB641" s="139"/>
      <c r="AC641" s="139"/>
      <c r="AD641" s="139"/>
      <c r="AE641" s="139"/>
      <c r="AF641" s="139"/>
      <c r="AG641" s="139"/>
      <c r="AH641" s="139"/>
      <c r="AI641" s="139"/>
      <c r="AJ641" s="139"/>
    </row>
    <row r="642">
      <c r="A642" s="9"/>
      <c r="B642" s="139"/>
      <c r="C642" s="139"/>
      <c r="D642" s="139"/>
      <c r="E642" s="139"/>
      <c r="F642" s="139"/>
      <c r="G642" s="139"/>
      <c r="H642" s="139"/>
      <c r="I642" s="139"/>
      <c r="J642" s="139"/>
      <c r="K642" s="139"/>
      <c r="L642" s="139"/>
      <c r="M642" s="139"/>
      <c r="N642" s="139"/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39"/>
      <c r="AA642" s="139"/>
      <c r="AB642" s="139"/>
      <c r="AC642" s="139"/>
      <c r="AD642" s="139"/>
      <c r="AE642" s="139"/>
      <c r="AF642" s="139"/>
      <c r="AG642" s="139"/>
      <c r="AH642" s="139"/>
      <c r="AI642" s="139"/>
      <c r="AJ642" s="139"/>
    </row>
    <row r="643">
      <c r="A643" s="9"/>
      <c r="B643" s="139"/>
      <c r="C643" s="139"/>
      <c r="D643" s="139"/>
      <c r="E643" s="139"/>
      <c r="F643" s="139"/>
      <c r="G643" s="139"/>
      <c r="H643" s="139"/>
      <c r="I643" s="139"/>
      <c r="J643" s="139"/>
      <c r="K643" s="139"/>
      <c r="L643" s="139"/>
      <c r="M643" s="139"/>
      <c r="N643" s="139"/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39"/>
      <c r="AA643" s="139"/>
      <c r="AB643" s="139"/>
      <c r="AC643" s="139"/>
      <c r="AD643" s="139"/>
      <c r="AE643" s="139"/>
      <c r="AF643" s="139"/>
      <c r="AG643" s="139"/>
      <c r="AH643" s="139"/>
      <c r="AI643" s="139"/>
      <c r="AJ643" s="139"/>
    </row>
    <row r="644">
      <c r="A644" s="9"/>
      <c r="B644" s="139"/>
      <c r="C644" s="139"/>
      <c r="D644" s="139"/>
      <c r="E644" s="139"/>
      <c r="F644" s="139"/>
      <c r="G644" s="139"/>
      <c r="H644" s="139"/>
      <c r="I644" s="139"/>
      <c r="J644" s="139"/>
      <c r="K644" s="139"/>
      <c r="L644" s="139"/>
      <c r="M644" s="139"/>
      <c r="N644" s="139"/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39"/>
      <c r="Z644" s="139"/>
      <c r="AA644" s="139"/>
      <c r="AB644" s="139"/>
      <c r="AC644" s="139"/>
      <c r="AD644" s="139"/>
      <c r="AE644" s="139"/>
      <c r="AF644" s="139"/>
      <c r="AG644" s="139"/>
      <c r="AH644" s="139"/>
      <c r="AI644" s="139"/>
      <c r="AJ644" s="139"/>
    </row>
    <row r="645">
      <c r="A645" s="9"/>
      <c r="B645" s="139"/>
      <c r="C645" s="139"/>
      <c r="D645" s="139"/>
      <c r="E645" s="139"/>
      <c r="F645" s="139"/>
      <c r="G645" s="139"/>
      <c r="H645" s="139"/>
      <c r="I645" s="139"/>
      <c r="J645" s="139"/>
      <c r="K645" s="139"/>
      <c r="L645" s="139"/>
      <c r="M645" s="139"/>
      <c r="N645" s="139"/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39"/>
      <c r="Z645" s="139"/>
      <c r="AA645" s="139"/>
      <c r="AB645" s="139"/>
      <c r="AC645" s="139"/>
      <c r="AD645" s="139"/>
      <c r="AE645" s="139"/>
      <c r="AF645" s="139"/>
      <c r="AG645" s="139"/>
      <c r="AH645" s="139"/>
      <c r="AI645" s="139"/>
      <c r="AJ645" s="139"/>
    </row>
    <row r="646">
      <c r="A646" s="9"/>
      <c r="B646" s="139"/>
      <c r="C646" s="139"/>
      <c r="D646" s="139"/>
      <c r="E646" s="139"/>
      <c r="F646" s="139"/>
      <c r="G646" s="139"/>
      <c r="H646" s="139"/>
      <c r="I646" s="139"/>
      <c r="J646" s="139"/>
      <c r="K646" s="139"/>
      <c r="L646" s="139"/>
      <c r="M646" s="139"/>
      <c r="N646" s="139"/>
      <c r="O646" s="139"/>
      <c r="P646" s="139"/>
      <c r="Q646" s="139"/>
      <c r="R646" s="139"/>
      <c r="S646" s="139"/>
      <c r="T646" s="139"/>
      <c r="U646" s="139"/>
      <c r="V646" s="139"/>
      <c r="W646" s="139"/>
      <c r="X646" s="139"/>
      <c r="Y646" s="139"/>
      <c r="Z646" s="139"/>
      <c r="AA646" s="139"/>
      <c r="AB646" s="139"/>
      <c r="AC646" s="139"/>
      <c r="AD646" s="139"/>
      <c r="AE646" s="139"/>
      <c r="AF646" s="139"/>
      <c r="AG646" s="139"/>
      <c r="AH646" s="139"/>
      <c r="AI646" s="139"/>
      <c r="AJ646" s="139"/>
    </row>
    <row r="647">
      <c r="A647" s="9"/>
      <c r="B647" s="139"/>
      <c r="C647" s="139"/>
      <c r="D647" s="139"/>
      <c r="E647" s="139"/>
      <c r="F647" s="139"/>
      <c r="G647" s="139"/>
      <c r="H647" s="139"/>
      <c r="I647" s="139"/>
      <c r="J647" s="139"/>
      <c r="K647" s="139"/>
      <c r="L647" s="139"/>
      <c r="M647" s="139"/>
      <c r="N647" s="139"/>
      <c r="O647" s="139"/>
      <c r="P647" s="139"/>
      <c r="Q647" s="139"/>
      <c r="R647" s="139"/>
      <c r="S647" s="139"/>
      <c r="T647" s="139"/>
      <c r="U647" s="139"/>
      <c r="V647" s="139"/>
      <c r="W647" s="139"/>
      <c r="X647" s="139"/>
      <c r="Y647" s="139"/>
      <c r="Z647" s="139"/>
      <c r="AA647" s="139"/>
      <c r="AB647" s="139"/>
      <c r="AC647" s="139"/>
      <c r="AD647" s="139"/>
      <c r="AE647" s="139"/>
      <c r="AF647" s="139"/>
      <c r="AG647" s="139"/>
      <c r="AH647" s="139"/>
      <c r="AI647" s="139"/>
      <c r="AJ647" s="139"/>
    </row>
    <row r="648">
      <c r="A648" s="9"/>
      <c r="B648" s="139"/>
      <c r="C648" s="139"/>
      <c r="D648" s="139"/>
      <c r="E648" s="139"/>
      <c r="F648" s="139"/>
      <c r="G648" s="139"/>
      <c r="H648" s="139"/>
      <c r="I648" s="139"/>
      <c r="J648" s="139"/>
      <c r="K648" s="139"/>
      <c r="L648" s="139"/>
      <c r="M648" s="139"/>
      <c r="N648" s="139"/>
      <c r="O648" s="139"/>
      <c r="P648" s="139"/>
      <c r="Q648" s="139"/>
      <c r="R648" s="139"/>
      <c r="S648" s="139"/>
      <c r="T648" s="139"/>
      <c r="U648" s="139"/>
      <c r="V648" s="139"/>
      <c r="W648" s="139"/>
      <c r="X648" s="139"/>
      <c r="Y648" s="139"/>
      <c r="Z648" s="139"/>
      <c r="AA648" s="139"/>
      <c r="AB648" s="139"/>
      <c r="AC648" s="139"/>
      <c r="AD648" s="139"/>
      <c r="AE648" s="139"/>
      <c r="AF648" s="139"/>
      <c r="AG648" s="139"/>
      <c r="AH648" s="139"/>
      <c r="AI648" s="139"/>
      <c r="AJ648" s="139"/>
    </row>
    <row r="649">
      <c r="A649" s="9"/>
      <c r="B649" s="139"/>
      <c r="C649" s="139"/>
      <c r="D649" s="139"/>
      <c r="E649" s="139"/>
      <c r="F649" s="139"/>
      <c r="G649" s="139"/>
      <c r="H649" s="139"/>
      <c r="I649" s="139"/>
      <c r="J649" s="139"/>
      <c r="K649" s="139"/>
      <c r="L649" s="139"/>
      <c r="M649" s="139"/>
      <c r="N649" s="139"/>
      <c r="O649" s="139"/>
      <c r="P649" s="139"/>
      <c r="Q649" s="139"/>
      <c r="R649" s="139"/>
      <c r="S649" s="139"/>
      <c r="T649" s="139"/>
      <c r="U649" s="139"/>
      <c r="V649" s="139"/>
      <c r="W649" s="139"/>
      <c r="X649" s="139"/>
      <c r="Y649" s="139"/>
      <c r="Z649" s="139"/>
      <c r="AA649" s="139"/>
      <c r="AB649" s="139"/>
      <c r="AC649" s="139"/>
      <c r="AD649" s="139"/>
      <c r="AE649" s="139"/>
      <c r="AF649" s="139"/>
      <c r="AG649" s="139"/>
      <c r="AH649" s="139"/>
      <c r="AI649" s="139"/>
      <c r="AJ649" s="139"/>
    </row>
    <row r="650">
      <c r="A650" s="9"/>
      <c r="B650" s="139"/>
      <c r="C650" s="139"/>
      <c r="D650" s="139"/>
      <c r="E650" s="139"/>
      <c r="F650" s="139"/>
      <c r="G650" s="139"/>
      <c r="H650" s="139"/>
      <c r="I650" s="139"/>
      <c r="J650" s="139"/>
      <c r="K650" s="139"/>
      <c r="L650" s="139"/>
      <c r="M650" s="139"/>
      <c r="N650" s="139"/>
      <c r="O650" s="139"/>
      <c r="P650" s="139"/>
      <c r="Q650" s="139"/>
      <c r="R650" s="139"/>
      <c r="S650" s="139"/>
      <c r="T650" s="139"/>
      <c r="U650" s="139"/>
      <c r="V650" s="139"/>
      <c r="W650" s="139"/>
      <c r="X650" s="139"/>
      <c r="Y650" s="139"/>
      <c r="Z650" s="139"/>
      <c r="AA650" s="139"/>
      <c r="AB650" s="139"/>
      <c r="AC650" s="139"/>
      <c r="AD650" s="139"/>
      <c r="AE650" s="139"/>
      <c r="AF650" s="139"/>
      <c r="AG650" s="139"/>
      <c r="AH650" s="139"/>
      <c r="AI650" s="139"/>
      <c r="AJ650" s="139"/>
    </row>
    <row r="651">
      <c r="A651" s="9"/>
      <c r="B651" s="139"/>
      <c r="C651" s="139"/>
      <c r="D651" s="139"/>
      <c r="E651" s="139"/>
      <c r="F651" s="139"/>
      <c r="G651" s="139"/>
      <c r="H651" s="139"/>
      <c r="I651" s="139"/>
      <c r="J651" s="139"/>
      <c r="K651" s="139"/>
      <c r="L651" s="139"/>
      <c r="M651" s="139"/>
      <c r="N651" s="139"/>
      <c r="O651" s="139"/>
      <c r="P651" s="139"/>
      <c r="Q651" s="139"/>
      <c r="R651" s="139"/>
      <c r="S651" s="139"/>
      <c r="T651" s="139"/>
      <c r="U651" s="139"/>
      <c r="V651" s="139"/>
      <c r="W651" s="139"/>
      <c r="X651" s="139"/>
      <c r="Y651" s="139"/>
      <c r="Z651" s="139"/>
      <c r="AA651" s="139"/>
      <c r="AB651" s="139"/>
      <c r="AC651" s="139"/>
      <c r="AD651" s="139"/>
      <c r="AE651" s="139"/>
      <c r="AF651" s="139"/>
      <c r="AG651" s="139"/>
      <c r="AH651" s="139"/>
      <c r="AI651" s="139"/>
      <c r="AJ651" s="139"/>
    </row>
    <row r="652">
      <c r="A652" s="9"/>
      <c r="B652" s="139"/>
      <c r="C652" s="139"/>
      <c r="D652" s="139"/>
      <c r="E652" s="139"/>
      <c r="F652" s="139"/>
      <c r="G652" s="139"/>
      <c r="H652" s="139"/>
      <c r="I652" s="139"/>
      <c r="J652" s="139"/>
      <c r="K652" s="139"/>
      <c r="L652" s="139"/>
      <c r="M652" s="139"/>
      <c r="N652" s="139"/>
      <c r="O652" s="139"/>
      <c r="P652" s="139"/>
      <c r="Q652" s="139"/>
      <c r="R652" s="139"/>
      <c r="S652" s="139"/>
      <c r="T652" s="139"/>
      <c r="U652" s="139"/>
      <c r="V652" s="139"/>
      <c r="W652" s="139"/>
      <c r="X652" s="139"/>
      <c r="Y652" s="139"/>
      <c r="Z652" s="139"/>
      <c r="AA652" s="139"/>
      <c r="AB652" s="139"/>
      <c r="AC652" s="139"/>
      <c r="AD652" s="139"/>
      <c r="AE652" s="139"/>
      <c r="AF652" s="139"/>
      <c r="AG652" s="139"/>
      <c r="AH652" s="139"/>
      <c r="AI652" s="139"/>
      <c r="AJ652" s="139"/>
    </row>
    <row r="653">
      <c r="A653" s="9"/>
      <c r="B653" s="139"/>
      <c r="C653" s="139"/>
      <c r="D653" s="139"/>
      <c r="E653" s="139"/>
      <c r="F653" s="139"/>
      <c r="G653" s="139"/>
      <c r="H653" s="139"/>
      <c r="I653" s="139"/>
      <c r="J653" s="139"/>
      <c r="K653" s="139"/>
      <c r="L653" s="139"/>
      <c r="M653" s="139"/>
      <c r="N653" s="139"/>
      <c r="O653" s="139"/>
      <c r="P653" s="139"/>
      <c r="Q653" s="139"/>
      <c r="R653" s="139"/>
      <c r="S653" s="139"/>
      <c r="T653" s="139"/>
      <c r="U653" s="139"/>
      <c r="V653" s="139"/>
      <c r="W653" s="139"/>
      <c r="X653" s="139"/>
      <c r="Y653" s="139"/>
      <c r="Z653" s="139"/>
      <c r="AA653" s="139"/>
      <c r="AB653" s="139"/>
      <c r="AC653" s="139"/>
      <c r="AD653" s="139"/>
      <c r="AE653" s="139"/>
      <c r="AF653" s="139"/>
      <c r="AG653" s="139"/>
      <c r="AH653" s="139"/>
      <c r="AI653" s="139"/>
      <c r="AJ653" s="139"/>
    </row>
    <row r="654">
      <c r="A654" s="9"/>
      <c r="B654" s="139"/>
      <c r="C654" s="139"/>
      <c r="D654" s="139"/>
      <c r="E654" s="139"/>
      <c r="F654" s="139"/>
      <c r="G654" s="139"/>
      <c r="H654" s="139"/>
      <c r="I654" s="139"/>
      <c r="J654" s="139"/>
      <c r="K654" s="139"/>
      <c r="L654" s="139"/>
      <c r="M654" s="139"/>
      <c r="N654" s="139"/>
      <c r="O654" s="139"/>
      <c r="P654" s="139"/>
      <c r="Q654" s="139"/>
      <c r="R654" s="139"/>
      <c r="S654" s="139"/>
      <c r="T654" s="139"/>
      <c r="U654" s="139"/>
      <c r="V654" s="139"/>
      <c r="W654" s="139"/>
      <c r="X654" s="139"/>
      <c r="Y654" s="139"/>
      <c r="Z654" s="139"/>
      <c r="AA654" s="139"/>
      <c r="AB654" s="139"/>
      <c r="AC654" s="139"/>
      <c r="AD654" s="139"/>
      <c r="AE654" s="139"/>
      <c r="AF654" s="139"/>
      <c r="AG654" s="139"/>
      <c r="AH654" s="139"/>
      <c r="AI654" s="139"/>
      <c r="AJ654" s="139"/>
    </row>
    <row r="655">
      <c r="A655" s="9"/>
      <c r="B655" s="139"/>
      <c r="C655" s="139"/>
      <c r="D655" s="139"/>
      <c r="E655" s="139"/>
      <c r="F655" s="139"/>
      <c r="G655" s="139"/>
      <c r="H655" s="139"/>
      <c r="I655" s="139"/>
      <c r="J655" s="139"/>
      <c r="K655" s="139"/>
      <c r="L655" s="139"/>
      <c r="M655" s="139"/>
      <c r="N655" s="139"/>
      <c r="O655" s="139"/>
      <c r="P655" s="139"/>
      <c r="Q655" s="139"/>
      <c r="R655" s="139"/>
      <c r="S655" s="139"/>
      <c r="T655" s="139"/>
      <c r="U655" s="139"/>
      <c r="V655" s="139"/>
      <c r="W655" s="139"/>
      <c r="X655" s="139"/>
      <c r="Y655" s="139"/>
      <c r="Z655" s="139"/>
      <c r="AA655" s="139"/>
      <c r="AB655" s="139"/>
      <c r="AC655" s="139"/>
      <c r="AD655" s="139"/>
      <c r="AE655" s="139"/>
      <c r="AF655" s="139"/>
      <c r="AG655" s="139"/>
      <c r="AH655" s="139"/>
      <c r="AI655" s="139"/>
      <c r="AJ655" s="139"/>
    </row>
    <row r="656">
      <c r="A656" s="9"/>
      <c r="B656" s="139"/>
      <c r="C656" s="139"/>
      <c r="D656" s="139"/>
      <c r="E656" s="139"/>
      <c r="F656" s="139"/>
      <c r="G656" s="139"/>
      <c r="H656" s="139"/>
      <c r="I656" s="139"/>
      <c r="J656" s="139"/>
      <c r="K656" s="139"/>
      <c r="L656" s="139"/>
      <c r="M656" s="139"/>
      <c r="N656" s="139"/>
      <c r="O656" s="139"/>
      <c r="P656" s="139"/>
      <c r="Q656" s="139"/>
      <c r="R656" s="139"/>
      <c r="S656" s="139"/>
      <c r="T656" s="139"/>
      <c r="U656" s="139"/>
      <c r="V656" s="139"/>
      <c r="W656" s="139"/>
      <c r="X656" s="139"/>
      <c r="Y656" s="139"/>
      <c r="Z656" s="139"/>
      <c r="AA656" s="139"/>
      <c r="AB656" s="139"/>
      <c r="AC656" s="139"/>
      <c r="AD656" s="139"/>
      <c r="AE656" s="139"/>
      <c r="AF656" s="139"/>
      <c r="AG656" s="139"/>
      <c r="AH656" s="139"/>
      <c r="AI656" s="139"/>
      <c r="AJ656" s="139"/>
    </row>
    <row r="657">
      <c r="A657" s="9"/>
      <c r="B657" s="139"/>
      <c r="C657" s="139"/>
      <c r="D657" s="139"/>
      <c r="E657" s="139"/>
      <c r="F657" s="139"/>
      <c r="G657" s="139"/>
      <c r="H657" s="139"/>
      <c r="I657" s="139"/>
      <c r="J657" s="139"/>
      <c r="K657" s="139"/>
      <c r="L657" s="139"/>
      <c r="M657" s="139"/>
      <c r="N657" s="139"/>
      <c r="O657" s="139"/>
      <c r="P657" s="139"/>
      <c r="Q657" s="139"/>
      <c r="R657" s="139"/>
      <c r="S657" s="139"/>
      <c r="T657" s="139"/>
      <c r="U657" s="139"/>
      <c r="V657" s="139"/>
      <c r="W657" s="139"/>
      <c r="X657" s="139"/>
      <c r="Y657" s="139"/>
      <c r="Z657" s="139"/>
      <c r="AA657" s="139"/>
      <c r="AB657" s="139"/>
      <c r="AC657" s="139"/>
      <c r="AD657" s="139"/>
      <c r="AE657" s="139"/>
      <c r="AF657" s="139"/>
      <c r="AG657" s="139"/>
      <c r="AH657" s="139"/>
      <c r="AI657" s="139"/>
      <c r="AJ657" s="139"/>
    </row>
    <row r="658">
      <c r="A658" s="9"/>
      <c r="B658" s="139"/>
      <c r="C658" s="139"/>
      <c r="D658" s="139"/>
      <c r="E658" s="139"/>
      <c r="F658" s="139"/>
      <c r="G658" s="139"/>
      <c r="H658" s="139"/>
      <c r="I658" s="139"/>
      <c r="J658" s="139"/>
      <c r="K658" s="139"/>
      <c r="L658" s="139"/>
      <c r="M658" s="139"/>
      <c r="N658" s="139"/>
      <c r="O658" s="139"/>
      <c r="P658" s="139"/>
      <c r="Q658" s="139"/>
      <c r="R658" s="139"/>
      <c r="S658" s="139"/>
      <c r="T658" s="139"/>
      <c r="U658" s="139"/>
      <c r="V658" s="139"/>
      <c r="W658" s="139"/>
      <c r="X658" s="139"/>
      <c r="Y658" s="139"/>
      <c r="Z658" s="139"/>
      <c r="AA658" s="139"/>
      <c r="AB658" s="139"/>
      <c r="AC658" s="139"/>
      <c r="AD658" s="139"/>
      <c r="AE658" s="139"/>
      <c r="AF658" s="139"/>
      <c r="AG658" s="139"/>
      <c r="AH658" s="139"/>
      <c r="AI658" s="139"/>
      <c r="AJ658" s="139"/>
    </row>
    <row r="659">
      <c r="A659" s="9"/>
      <c r="B659" s="139"/>
      <c r="C659" s="139"/>
      <c r="D659" s="139"/>
      <c r="E659" s="139"/>
      <c r="F659" s="139"/>
      <c r="G659" s="139"/>
      <c r="H659" s="139"/>
      <c r="I659" s="139"/>
      <c r="J659" s="139"/>
      <c r="K659" s="139"/>
      <c r="L659" s="139"/>
      <c r="M659" s="139"/>
      <c r="N659" s="139"/>
      <c r="O659" s="139"/>
      <c r="P659" s="139"/>
      <c r="Q659" s="139"/>
      <c r="R659" s="139"/>
      <c r="S659" s="139"/>
      <c r="T659" s="139"/>
      <c r="U659" s="139"/>
      <c r="V659" s="139"/>
      <c r="W659" s="139"/>
      <c r="X659" s="139"/>
      <c r="Y659" s="139"/>
      <c r="Z659" s="139"/>
      <c r="AA659" s="139"/>
      <c r="AB659" s="139"/>
      <c r="AC659" s="139"/>
      <c r="AD659" s="139"/>
      <c r="AE659" s="139"/>
      <c r="AF659" s="139"/>
      <c r="AG659" s="139"/>
      <c r="AH659" s="139"/>
      <c r="AI659" s="139"/>
      <c r="AJ659" s="139"/>
    </row>
    <row r="660">
      <c r="A660" s="9"/>
      <c r="B660" s="139"/>
      <c r="C660" s="139"/>
      <c r="D660" s="139"/>
      <c r="E660" s="139"/>
      <c r="F660" s="139"/>
      <c r="G660" s="139"/>
      <c r="H660" s="139"/>
      <c r="I660" s="139"/>
      <c r="J660" s="139"/>
      <c r="K660" s="139"/>
      <c r="L660" s="139"/>
      <c r="M660" s="139"/>
      <c r="N660" s="139"/>
      <c r="O660" s="139"/>
      <c r="P660" s="139"/>
      <c r="Q660" s="139"/>
      <c r="R660" s="139"/>
      <c r="S660" s="139"/>
      <c r="T660" s="139"/>
      <c r="U660" s="139"/>
      <c r="V660" s="139"/>
      <c r="W660" s="139"/>
      <c r="X660" s="139"/>
      <c r="Y660" s="139"/>
      <c r="Z660" s="139"/>
      <c r="AA660" s="139"/>
      <c r="AB660" s="139"/>
      <c r="AC660" s="139"/>
      <c r="AD660" s="139"/>
      <c r="AE660" s="139"/>
      <c r="AF660" s="139"/>
      <c r="AG660" s="139"/>
      <c r="AH660" s="139"/>
      <c r="AI660" s="139"/>
      <c r="AJ660" s="139"/>
    </row>
    <row r="661">
      <c r="A661" s="9"/>
      <c r="B661" s="139"/>
      <c r="C661" s="139"/>
      <c r="D661" s="139"/>
      <c r="E661" s="139"/>
      <c r="F661" s="139"/>
      <c r="G661" s="139"/>
      <c r="H661" s="139"/>
      <c r="I661" s="139"/>
      <c r="J661" s="139"/>
      <c r="K661" s="139"/>
      <c r="L661" s="139"/>
      <c r="M661" s="139"/>
      <c r="N661" s="139"/>
      <c r="O661" s="139"/>
      <c r="P661" s="139"/>
      <c r="Q661" s="139"/>
      <c r="R661" s="139"/>
      <c r="S661" s="139"/>
      <c r="T661" s="139"/>
      <c r="U661" s="139"/>
      <c r="V661" s="139"/>
      <c r="W661" s="139"/>
      <c r="X661" s="139"/>
      <c r="Y661" s="139"/>
      <c r="Z661" s="139"/>
      <c r="AA661" s="139"/>
      <c r="AB661" s="139"/>
      <c r="AC661" s="139"/>
      <c r="AD661" s="139"/>
      <c r="AE661" s="139"/>
      <c r="AF661" s="139"/>
      <c r="AG661" s="139"/>
      <c r="AH661" s="139"/>
      <c r="AI661" s="139"/>
      <c r="AJ661" s="139"/>
    </row>
    <row r="662">
      <c r="A662" s="9"/>
      <c r="B662" s="139"/>
      <c r="C662" s="139"/>
      <c r="D662" s="139"/>
      <c r="E662" s="139"/>
      <c r="F662" s="139"/>
      <c r="G662" s="139"/>
      <c r="H662" s="139"/>
      <c r="I662" s="139"/>
      <c r="J662" s="139"/>
      <c r="K662" s="139"/>
      <c r="L662" s="139"/>
      <c r="M662" s="139"/>
      <c r="N662" s="139"/>
      <c r="O662" s="139"/>
      <c r="P662" s="139"/>
      <c r="Q662" s="139"/>
      <c r="R662" s="139"/>
      <c r="S662" s="139"/>
      <c r="T662" s="139"/>
      <c r="U662" s="139"/>
      <c r="V662" s="139"/>
      <c r="W662" s="139"/>
      <c r="X662" s="139"/>
      <c r="Y662" s="139"/>
      <c r="Z662" s="139"/>
      <c r="AA662" s="139"/>
      <c r="AB662" s="139"/>
      <c r="AC662" s="139"/>
      <c r="AD662" s="139"/>
      <c r="AE662" s="139"/>
      <c r="AF662" s="139"/>
      <c r="AG662" s="139"/>
      <c r="AH662" s="139"/>
      <c r="AI662" s="139"/>
      <c r="AJ662" s="139"/>
    </row>
    <row r="663">
      <c r="A663" s="9"/>
      <c r="B663" s="139"/>
      <c r="C663" s="139"/>
      <c r="D663" s="139"/>
      <c r="E663" s="139"/>
      <c r="F663" s="139"/>
      <c r="G663" s="139"/>
      <c r="H663" s="139"/>
      <c r="I663" s="139"/>
      <c r="J663" s="139"/>
      <c r="K663" s="139"/>
      <c r="L663" s="139"/>
      <c r="M663" s="139"/>
      <c r="N663" s="139"/>
      <c r="O663" s="139"/>
      <c r="P663" s="139"/>
      <c r="Q663" s="139"/>
      <c r="R663" s="139"/>
      <c r="S663" s="139"/>
      <c r="T663" s="139"/>
      <c r="U663" s="139"/>
      <c r="V663" s="139"/>
      <c r="W663" s="139"/>
      <c r="X663" s="139"/>
      <c r="Y663" s="139"/>
      <c r="Z663" s="139"/>
      <c r="AA663" s="139"/>
      <c r="AB663" s="139"/>
      <c r="AC663" s="139"/>
      <c r="AD663" s="139"/>
      <c r="AE663" s="139"/>
      <c r="AF663" s="139"/>
      <c r="AG663" s="139"/>
      <c r="AH663" s="139"/>
      <c r="AI663" s="139"/>
      <c r="AJ663" s="139"/>
    </row>
    <row r="664">
      <c r="A664" s="9"/>
      <c r="B664" s="139"/>
      <c r="C664" s="139"/>
      <c r="D664" s="139"/>
      <c r="E664" s="139"/>
      <c r="F664" s="139"/>
      <c r="G664" s="139"/>
      <c r="H664" s="139"/>
      <c r="I664" s="139"/>
      <c r="J664" s="139"/>
      <c r="K664" s="139"/>
      <c r="L664" s="139"/>
      <c r="M664" s="139"/>
      <c r="N664" s="139"/>
      <c r="O664" s="139"/>
      <c r="P664" s="139"/>
      <c r="Q664" s="139"/>
      <c r="R664" s="139"/>
      <c r="S664" s="139"/>
      <c r="T664" s="139"/>
      <c r="U664" s="139"/>
      <c r="V664" s="139"/>
      <c r="W664" s="139"/>
      <c r="X664" s="139"/>
      <c r="Y664" s="139"/>
      <c r="Z664" s="139"/>
      <c r="AA664" s="139"/>
      <c r="AB664" s="139"/>
      <c r="AC664" s="139"/>
      <c r="AD664" s="139"/>
      <c r="AE664" s="139"/>
      <c r="AF664" s="139"/>
      <c r="AG664" s="139"/>
      <c r="AH664" s="139"/>
      <c r="AI664" s="139"/>
      <c r="AJ664" s="139"/>
    </row>
    <row r="665">
      <c r="A665" s="9"/>
      <c r="B665" s="139"/>
      <c r="C665" s="139"/>
      <c r="D665" s="139"/>
      <c r="E665" s="139"/>
      <c r="F665" s="139"/>
      <c r="G665" s="139"/>
      <c r="H665" s="139"/>
      <c r="I665" s="139"/>
      <c r="J665" s="139"/>
      <c r="K665" s="139"/>
      <c r="L665" s="139"/>
      <c r="M665" s="139"/>
      <c r="N665" s="139"/>
      <c r="O665" s="139"/>
      <c r="P665" s="139"/>
      <c r="Q665" s="139"/>
      <c r="R665" s="139"/>
      <c r="S665" s="139"/>
      <c r="T665" s="139"/>
      <c r="U665" s="139"/>
      <c r="V665" s="139"/>
      <c r="W665" s="139"/>
      <c r="X665" s="139"/>
      <c r="Y665" s="139"/>
      <c r="Z665" s="139"/>
      <c r="AA665" s="139"/>
      <c r="AB665" s="139"/>
      <c r="AC665" s="139"/>
      <c r="AD665" s="139"/>
      <c r="AE665" s="139"/>
      <c r="AF665" s="139"/>
      <c r="AG665" s="139"/>
      <c r="AH665" s="139"/>
      <c r="AI665" s="139"/>
      <c r="AJ665" s="139"/>
    </row>
    <row r="666">
      <c r="A666" s="9"/>
      <c r="B666" s="139"/>
      <c r="C666" s="139"/>
      <c r="D666" s="139"/>
      <c r="E666" s="139"/>
      <c r="F666" s="139"/>
      <c r="G666" s="139"/>
      <c r="H666" s="139"/>
      <c r="I666" s="139"/>
      <c r="J666" s="139"/>
      <c r="K666" s="139"/>
      <c r="L666" s="139"/>
      <c r="M666" s="139"/>
      <c r="N666" s="139"/>
      <c r="O666" s="139"/>
      <c r="P666" s="139"/>
      <c r="Q666" s="139"/>
      <c r="R666" s="139"/>
      <c r="S666" s="139"/>
      <c r="T666" s="139"/>
      <c r="U666" s="139"/>
      <c r="V666" s="139"/>
      <c r="W666" s="139"/>
      <c r="X666" s="139"/>
      <c r="Y666" s="139"/>
      <c r="Z666" s="139"/>
      <c r="AA666" s="139"/>
      <c r="AB666" s="139"/>
      <c r="AC666" s="139"/>
      <c r="AD666" s="139"/>
      <c r="AE666" s="139"/>
      <c r="AF666" s="139"/>
      <c r="AG666" s="139"/>
      <c r="AH666" s="139"/>
      <c r="AI666" s="139"/>
      <c r="AJ666" s="139"/>
    </row>
    <row r="667">
      <c r="A667" s="9"/>
      <c r="B667" s="139"/>
      <c r="C667" s="139"/>
      <c r="D667" s="139"/>
      <c r="E667" s="139"/>
      <c r="F667" s="139"/>
      <c r="G667" s="139"/>
      <c r="H667" s="139"/>
      <c r="I667" s="139"/>
      <c r="J667" s="139"/>
      <c r="K667" s="139"/>
      <c r="L667" s="139"/>
      <c r="M667" s="139"/>
      <c r="N667" s="139"/>
      <c r="O667" s="139"/>
      <c r="P667" s="139"/>
      <c r="Q667" s="139"/>
      <c r="R667" s="139"/>
      <c r="S667" s="139"/>
      <c r="T667" s="139"/>
      <c r="U667" s="139"/>
      <c r="V667" s="139"/>
      <c r="W667" s="139"/>
      <c r="X667" s="139"/>
      <c r="Y667" s="139"/>
      <c r="Z667" s="139"/>
      <c r="AA667" s="139"/>
      <c r="AB667" s="139"/>
      <c r="AC667" s="139"/>
      <c r="AD667" s="139"/>
      <c r="AE667" s="139"/>
      <c r="AF667" s="139"/>
      <c r="AG667" s="139"/>
      <c r="AH667" s="139"/>
      <c r="AI667" s="139"/>
      <c r="AJ667" s="139"/>
    </row>
    <row r="668">
      <c r="A668" s="9"/>
      <c r="B668" s="139"/>
      <c r="C668" s="139"/>
      <c r="D668" s="139"/>
      <c r="E668" s="139"/>
      <c r="F668" s="139"/>
      <c r="G668" s="139"/>
      <c r="H668" s="139"/>
      <c r="I668" s="139"/>
      <c r="J668" s="139"/>
      <c r="K668" s="139"/>
      <c r="L668" s="139"/>
      <c r="M668" s="139"/>
      <c r="N668" s="139"/>
      <c r="O668" s="139"/>
      <c r="P668" s="139"/>
      <c r="Q668" s="139"/>
      <c r="R668" s="139"/>
      <c r="S668" s="139"/>
      <c r="T668" s="139"/>
      <c r="U668" s="139"/>
      <c r="V668" s="139"/>
      <c r="W668" s="139"/>
      <c r="X668" s="139"/>
      <c r="Y668" s="139"/>
      <c r="Z668" s="139"/>
      <c r="AA668" s="139"/>
      <c r="AB668" s="139"/>
      <c r="AC668" s="139"/>
      <c r="AD668" s="139"/>
      <c r="AE668" s="139"/>
      <c r="AF668" s="139"/>
      <c r="AG668" s="139"/>
      <c r="AH668" s="139"/>
      <c r="AI668" s="139"/>
      <c r="AJ668" s="139"/>
    </row>
    <row r="669">
      <c r="A669" s="9"/>
      <c r="B669" s="139"/>
      <c r="C669" s="139"/>
      <c r="D669" s="139"/>
      <c r="E669" s="139"/>
      <c r="F669" s="139"/>
      <c r="G669" s="139"/>
      <c r="H669" s="139"/>
      <c r="I669" s="139"/>
      <c r="J669" s="139"/>
      <c r="K669" s="139"/>
      <c r="L669" s="139"/>
      <c r="M669" s="139"/>
      <c r="N669" s="139"/>
      <c r="O669" s="139"/>
      <c r="P669" s="139"/>
      <c r="Q669" s="139"/>
      <c r="R669" s="139"/>
      <c r="S669" s="139"/>
      <c r="T669" s="139"/>
      <c r="U669" s="139"/>
      <c r="V669" s="139"/>
      <c r="W669" s="139"/>
      <c r="X669" s="139"/>
      <c r="Y669" s="139"/>
      <c r="Z669" s="139"/>
      <c r="AA669" s="139"/>
      <c r="AB669" s="139"/>
      <c r="AC669" s="139"/>
      <c r="AD669" s="139"/>
      <c r="AE669" s="139"/>
      <c r="AF669" s="139"/>
      <c r="AG669" s="139"/>
      <c r="AH669" s="139"/>
      <c r="AI669" s="139"/>
      <c r="AJ669" s="139"/>
    </row>
    <row r="670">
      <c r="A670" s="9"/>
      <c r="B670" s="139"/>
      <c r="C670" s="139"/>
      <c r="D670" s="139"/>
      <c r="E670" s="139"/>
      <c r="F670" s="139"/>
      <c r="G670" s="139"/>
      <c r="H670" s="139"/>
      <c r="I670" s="139"/>
      <c r="J670" s="139"/>
      <c r="K670" s="139"/>
      <c r="L670" s="139"/>
      <c r="M670" s="139"/>
      <c r="N670" s="139"/>
      <c r="O670" s="139"/>
      <c r="P670" s="139"/>
      <c r="Q670" s="139"/>
      <c r="R670" s="139"/>
      <c r="S670" s="139"/>
      <c r="T670" s="139"/>
      <c r="U670" s="139"/>
      <c r="V670" s="139"/>
      <c r="W670" s="139"/>
      <c r="X670" s="139"/>
      <c r="Y670" s="139"/>
      <c r="Z670" s="139"/>
      <c r="AA670" s="139"/>
      <c r="AB670" s="139"/>
      <c r="AC670" s="139"/>
      <c r="AD670" s="139"/>
      <c r="AE670" s="139"/>
      <c r="AF670" s="139"/>
      <c r="AG670" s="139"/>
      <c r="AH670" s="139"/>
      <c r="AI670" s="139"/>
      <c r="AJ670" s="139"/>
    </row>
    <row r="671">
      <c r="A671" s="9"/>
      <c r="B671" s="139"/>
      <c r="C671" s="139"/>
      <c r="D671" s="139"/>
      <c r="E671" s="139"/>
      <c r="F671" s="139"/>
      <c r="G671" s="139"/>
      <c r="H671" s="139"/>
      <c r="I671" s="139"/>
      <c r="J671" s="139"/>
      <c r="K671" s="139"/>
      <c r="L671" s="139"/>
      <c r="M671" s="139"/>
      <c r="N671" s="139"/>
      <c r="O671" s="139"/>
      <c r="P671" s="139"/>
      <c r="Q671" s="139"/>
      <c r="R671" s="139"/>
      <c r="S671" s="139"/>
      <c r="T671" s="139"/>
      <c r="U671" s="139"/>
      <c r="V671" s="139"/>
      <c r="W671" s="139"/>
      <c r="X671" s="139"/>
      <c r="Y671" s="139"/>
      <c r="Z671" s="139"/>
      <c r="AA671" s="139"/>
      <c r="AB671" s="139"/>
      <c r="AC671" s="139"/>
      <c r="AD671" s="139"/>
      <c r="AE671" s="139"/>
      <c r="AF671" s="139"/>
      <c r="AG671" s="139"/>
      <c r="AH671" s="139"/>
      <c r="AI671" s="139"/>
      <c r="AJ671" s="139"/>
    </row>
    <row r="672">
      <c r="A672" s="9"/>
      <c r="B672" s="139"/>
      <c r="C672" s="139"/>
      <c r="D672" s="139"/>
      <c r="E672" s="139"/>
      <c r="F672" s="139"/>
      <c r="G672" s="139"/>
      <c r="H672" s="139"/>
      <c r="I672" s="139"/>
      <c r="J672" s="139"/>
      <c r="K672" s="139"/>
      <c r="L672" s="139"/>
      <c r="M672" s="139"/>
      <c r="N672" s="139"/>
      <c r="O672" s="139"/>
      <c r="P672" s="139"/>
      <c r="Q672" s="139"/>
      <c r="R672" s="139"/>
      <c r="S672" s="139"/>
      <c r="T672" s="139"/>
      <c r="U672" s="139"/>
      <c r="V672" s="139"/>
      <c r="W672" s="139"/>
      <c r="X672" s="139"/>
      <c r="Y672" s="139"/>
      <c r="Z672" s="139"/>
      <c r="AA672" s="139"/>
      <c r="AB672" s="139"/>
      <c r="AC672" s="139"/>
      <c r="AD672" s="139"/>
      <c r="AE672" s="139"/>
      <c r="AF672" s="139"/>
      <c r="AG672" s="139"/>
      <c r="AH672" s="139"/>
      <c r="AI672" s="139"/>
      <c r="AJ672" s="139"/>
    </row>
    <row r="673">
      <c r="A673" s="9"/>
      <c r="B673" s="139"/>
      <c r="C673" s="139"/>
      <c r="D673" s="139"/>
      <c r="E673" s="139"/>
      <c r="F673" s="139"/>
      <c r="G673" s="139"/>
      <c r="H673" s="139"/>
      <c r="I673" s="139"/>
      <c r="J673" s="139"/>
      <c r="K673" s="139"/>
      <c r="L673" s="139"/>
      <c r="M673" s="139"/>
      <c r="N673" s="139"/>
      <c r="O673" s="139"/>
      <c r="P673" s="139"/>
      <c r="Q673" s="139"/>
      <c r="R673" s="139"/>
      <c r="S673" s="139"/>
      <c r="T673" s="139"/>
      <c r="U673" s="139"/>
      <c r="V673" s="139"/>
      <c r="W673" s="139"/>
      <c r="X673" s="139"/>
      <c r="Y673" s="139"/>
      <c r="Z673" s="139"/>
      <c r="AA673" s="139"/>
      <c r="AB673" s="139"/>
      <c r="AC673" s="139"/>
      <c r="AD673" s="139"/>
      <c r="AE673" s="139"/>
      <c r="AF673" s="139"/>
      <c r="AG673" s="139"/>
      <c r="AH673" s="139"/>
      <c r="AI673" s="139"/>
      <c r="AJ673" s="139"/>
    </row>
    <row r="674">
      <c r="A674" s="9"/>
      <c r="B674" s="139"/>
      <c r="C674" s="139"/>
      <c r="D674" s="139"/>
      <c r="E674" s="139"/>
      <c r="F674" s="139"/>
      <c r="G674" s="139"/>
      <c r="H674" s="139"/>
      <c r="I674" s="139"/>
      <c r="J674" s="139"/>
      <c r="K674" s="139"/>
      <c r="L674" s="139"/>
      <c r="M674" s="139"/>
      <c r="N674" s="139"/>
      <c r="O674" s="139"/>
      <c r="P674" s="139"/>
      <c r="Q674" s="139"/>
      <c r="R674" s="139"/>
      <c r="S674" s="139"/>
      <c r="T674" s="139"/>
      <c r="U674" s="139"/>
      <c r="V674" s="139"/>
      <c r="W674" s="139"/>
      <c r="X674" s="139"/>
      <c r="Y674" s="139"/>
      <c r="Z674" s="139"/>
      <c r="AA674" s="139"/>
      <c r="AB674" s="139"/>
      <c r="AC674" s="139"/>
      <c r="AD674" s="139"/>
      <c r="AE674" s="139"/>
      <c r="AF674" s="139"/>
      <c r="AG674" s="139"/>
      <c r="AH674" s="139"/>
      <c r="AI674" s="139"/>
      <c r="AJ674" s="139"/>
    </row>
    <row r="675">
      <c r="A675" s="9"/>
      <c r="B675" s="139"/>
      <c r="C675" s="139"/>
      <c r="D675" s="139"/>
      <c r="E675" s="139"/>
      <c r="F675" s="139"/>
      <c r="G675" s="139"/>
      <c r="H675" s="139"/>
      <c r="I675" s="139"/>
      <c r="J675" s="139"/>
      <c r="K675" s="139"/>
      <c r="L675" s="139"/>
      <c r="M675" s="139"/>
      <c r="N675" s="139"/>
      <c r="O675" s="139"/>
      <c r="P675" s="139"/>
      <c r="Q675" s="139"/>
      <c r="R675" s="139"/>
      <c r="S675" s="139"/>
      <c r="T675" s="139"/>
      <c r="U675" s="139"/>
      <c r="V675" s="139"/>
      <c r="W675" s="139"/>
      <c r="X675" s="139"/>
      <c r="Y675" s="139"/>
      <c r="Z675" s="139"/>
      <c r="AA675" s="139"/>
      <c r="AB675" s="139"/>
      <c r="AC675" s="139"/>
      <c r="AD675" s="139"/>
      <c r="AE675" s="139"/>
      <c r="AF675" s="139"/>
      <c r="AG675" s="139"/>
      <c r="AH675" s="139"/>
      <c r="AI675" s="139"/>
      <c r="AJ675" s="139"/>
    </row>
    <row r="676">
      <c r="A676" s="9"/>
      <c r="B676" s="139"/>
      <c r="C676" s="139"/>
      <c r="D676" s="139"/>
      <c r="E676" s="139"/>
      <c r="F676" s="139"/>
      <c r="G676" s="139"/>
      <c r="H676" s="139"/>
      <c r="I676" s="139"/>
      <c r="J676" s="139"/>
      <c r="K676" s="139"/>
      <c r="L676" s="139"/>
      <c r="M676" s="139"/>
      <c r="N676" s="139"/>
      <c r="O676" s="139"/>
      <c r="P676" s="139"/>
      <c r="Q676" s="139"/>
      <c r="R676" s="139"/>
      <c r="S676" s="139"/>
      <c r="T676" s="139"/>
      <c r="U676" s="139"/>
      <c r="V676" s="139"/>
      <c r="W676" s="139"/>
      <c r="X676" s="139"/>
      <c r="Y676" s="139"/>
      <c r="Z676" s="139"/>
      <c r="AA676" s="139"/>
      <c r="AB676" s="139"/>
      <c r="AC676" s="139"/>
      <c r="AD676" s="139"/>
      <c r="AE676" s="139"/>
      <c r="AF676" s="139"/>
      <c r="AG676" s="139"/>
      <c r="AH676" s="139"/>
      <c r="AI676" s="139"/>
      <c r="AJ676" s="139"/>
    </row>
    <row r="677">
      <c r="A677" s="9"/>
      <c r="B677" s="139"/>
      <c r="C677" s="139"/>
      <c r="D677" s="139"/>
      <c r="E677" s="139"/>
      <c r="F677" s="139"/>
      <c r="G677" s="139"/>
      <c r="H677" s="139"/>
      <c r="I677" s="139"/>
      <c r="J677" s="139"/>
      <c r="K677" s="139"/>
      <c r="L677" s="139"/>
      <c r="M677" s="139"/>
      <c r="N677" s="139"/>
      <c r="O677" s="139"/>
      <c r="P677" s="139"/>
      <c r="Q677" s="139"/>
      <c r="R677" s="139"/>
      <c r="S677" s="139"/>
      <c r="T677" s="139"/>
      <c r="U677" s="139"/>
      <c r="V677" s="139"/>
      <c r="W677" s="139"/>
      <c r="X677" s="139"/>
      <c r="Y677" s="139"/>
      <c r="Z677" s="139"/>
      <c r="AA677" s="139"/>
      <c r="AB677" s="139"/>
      <c r="AC677" s="139"/>
      <c r="AD677" s="139"/>
      <c r="AE677" s="139"/>
      <c r="AF677" s="139"/>
      <c r="AG677" s="139"/>
      <c r="AH677" s="139"/>
      <c r="AI677" s="139"/>
      <c r="AJ677" s="139"/>
    </row>
    <row r="678">
      <c r="A678" s="9"/>
      <c r="B678" s="139"/>
      <c r="C678" s="139"/>
      <c r="D678" s="139"/>
      <c r="E678" s="139"/>
      <c r="F678" s="139"/>
      <c r="G678" s="139"/>
      <c r="H678" s="139"/>
      <c r="I678" s="139"/>
      <c r="J678" s="139"/>
      <c r="K678" s="139"/>
      <c r="L678" s="139"/>
      <c r="M678" s="139"/>
      <c r="N678" s="139"/>
      <c r="O678" s="139"/>
      <c r="P678" s="139"/>
      <c r="Q678" s="139"/>
      <c r="R678" s="139"/>
      <c r="S678" s="139"/>
      <c r="T678" s="139"/>
      <c r="U678" s="139"/>
      <c r="V678" s="139"/>
      <c r="W678" s="139"/>
      <c r="X678" s="139"/>
      <c r="Y678" s="139"/>
      <c r="Z678" s="139"/>
      <c r="AA678" s="139"/>
      <c r="AB678" s="139"/>
      <c r="AC678" s="139"/>
      <c r="AD678" s="139"/>
      <c r="AE678" s="139"/>
      <c r="AF678" s="139"/>
      <c r="AG678" s="139"/>
      <c r="AH678" s="139"/>
      <c r="AI678" s="139"/>
      <c r="AJ678" s="139"/>
    </row>
    <row r="679">
      <c r="A679" s="9"/>
      <c r="B679" s="139"/>
      <c r="C679" s="139"/>
      <c r="D679" s="139"/>
      <c r="E679" s="139"/>
      <c r="F679" s="139"/>
      <c r="G679" s="139"/>
      <c r="H679" s="139"/>
      <c r="I679" s="139"/>
      <c r="J679" s="139"/>
      <c r="K679" s="139"/>
      <c r="L679" s="139"/>
      <c r="M679" s="139"/>
      <c r="N679" s="139"/>
      <c r="O679" s="139"/>
      <c r="P679" s="139"/>
      <c r="Q679" s="139"/>
      <c r="R679" s="139"/>
      <c r="S679" s="139"/>
      <c r="T679" s="139"/>
      <c r="U679" s="139"/>
      <c r="V679" s="139"/>
      <c r="W679" s="139"/>
      <c r="X679" s="139"/>
      <c r="Y679" s="139"/>
      <c r="Z679" s="139"/>
      <c r="AA679" s="139"/>
      <c r="AB679" s="139"/>
      <c r="AC679" s="139"/>
      <c r="AD679" s="139"/>
      <c r="AE679" s="139"/>
      <c r="AF679" s="139"/>
      <c r="AG679" s="139"/>
      <c r="AH679" s="139"/>
      <c r="AI679" s="139"/>
      <c r="AJ679" s="139"/>
    </row>
    <row r="680">
      <c r="A680" s="9"/>
      <c r="B680" s="139"/>
      <c r="C680" s="139"/>
      <c r="D680" s="139"/>
      <c r="E680" s="139"/>
      <c r="F680" s="139"/>
      <c r="G680" s="139"/>
      <c r="H680" s="139"/>
      <c r="I680" s="139"/>
      <c r="J680" s="139"/>
      <c r="K680" s="139"/>
      <c r="L680" s="139"/>
      <c r="M680" s="139"/>
      <c r="N680" s="139"/>
      <c r="O680" s="139"/>
      <c r="P680" s="139"/>
      <c r="Q680" s="139"/>
      <c r="R680" s="139"/>
      <c r="S680" s="139"/>
      <c r="T680" s="139"/>
      <c r="U680" s="139"/>
      <c r="V680" s="139"/>
      <c r="W680" s="139"/>
      <c r="X680" s="139"/>
      <c r="Y680" s="139"/>
      <c r="Z680" s="139"/>
      <c r="AA680" s="139"/>
      <c r="AB680" s="139"/>
      <c r="AC680" s="139"/>
      <c r="AD680" s="139"/>
      <c r="AE680" s="139"/>
      <c r="AF680" s="139"/>
      <c r="AG680" s="139"/>
      <c r="AH680" s="139"/>
      <c r="AI680" s="139"/>
      <c r="AJ680" s="139"/>
    </row>
    <row r="681">
      <c r="A681" s="9"/>
      <c r="B681" s="139"/>
      <c r="C681" s="139"/>
      <c r="D681" s="139"/>
      <c r="E681" s="139"/>
      <c r="F681" s="139"/>
      <c r="G681" s="139"/>
      <c r="H681" s="139"/>
      <c r="I681" s="139"/>
      <c r="J681" s="139"/>
      <c r="K681" s="139"/>
      <c r="L681" s="139"/>
      <c r="M681" s="139"/>
      <c r="N681" s="139"/>
      <c r="O681" s="139"/>
      <c r="P681" s="139"/>
      <c r="Q681" s="139"/>
      <c r="R681" s="139"/>
      <c r="S681" s="139"/>
      <c r="T681" s="139"/>
      <c r="U681" s="139"/>
      <c r="V681" s="139"/>
      <c r="W681" s="139"/>
      <c r="X681" s="139"/>
      <c r="Y681" s="139"/>
      <c r="Z681" s="139"/>
      <c r="AA681" s="139"/>
      <c r="AB681" s="139"/>
      <c r="AC681" s="139"/>
      <c r="AD681" s="139"/>
      <c r="AE681" s="139"/>
      <c r="AF681" s="139"/>
      <c r="AG681" s="139"/>
      <c r="AH681" s="139"/>
      <c r="AI681" s="139"/>
      <c r="AJ681" s="139"/>
    </row>
    <row r="682">
      <c r="A682" s="9"/>
      <c r="B682" s="139"/>
      <c r="C682" s="139"/>
      <c r="D682" s="139"/>
      <c r="E682" s="139"/>
      <c r="F682" s="139"/>
      <c r="G682" s="139"/>
      <c r="H682" s="139"/>
      <c r="I682" s="139"/>
      <c r="J682" s="139"/>
      <c r="K682" s="139"/>
      <c r="L682" s="139"/>
      <c r="M682" s="139"/>
      <c r="N682" s="139"/>
      <c r="O682" s="139"/>
      <c r="P682" s="139"/>
      <c r="Q682" s="139"/>
      <c r="R682" s="139"/>
      <c r="S682" s="139"/>
      <c r="T682" s="139"/>
      <c r="U682" s="139"/>
      <c r="V682" s="139"/>
      <c r="W682" s="139"/>
      <c r="X682" s="139"/>
      <c r="Y682" s="139"/>
      <c r="Z682" s="139"/>
      <c r="AA682" s="139"/>
      <c r="AB682" s="139"/>
      <c r="AC682" s="139"/>
      <c r="AD682" s="139"/>
      <c r="AE682" s="139"/>
      <c r="AF682" s="139"/>
      <c r="AG682" s="139"/>
      <c r="AH682" s="139"/>
      <c r="AI682" s="139"/>
      <c r="AJ682" s="139"/>
    </row>
    <row r="683">
      <c r="A683" s="9"/>
      <c r="B683" s="139"/>
      <c r="C683" s="139"/>
      <c r="D683" s="139"/>
      <c r="E683" s="139"/>
      <c r="F683" s="139"/>
      <c r="G683" s="139"/>
      <c r="H683" s="139"/>
      <c r="I683" s="139"/>
      <c r="J683" s="139"/>
      <c r="K683" s="139"/>
      <c r="L683" s="139"/>
      <c r="M683" s="139"/>
      <c r="N683" s="139"/>
      <c r="O683" s="139"/>
      <c r="P683" s="139"/>
      <c r="Q683" s="139"/>
      <c r="R683" s="139"/>
      <c r="S683" s="139"/>
      <c r="T683" s="139"/>
      <c r="U683" s="139"/>
      <c r="V683" s="139"/>
      <c r="W683" s="139"/>
      <c r="X683" s="139"/>
      <c r="Y683" s="139"/>
      <c r="Z683" s="139"/>
      <c r="AA683" s="139"/>
      <c r="AB683" s="139"/>
      <c r="AC683" s="139"/>
      <c r="AD683" s="139"/>
      <c r="AE683" s="139"/>
      <c r="AF683" s="139"/>
      <c r="AG683" s="139"/>
      <c r="AH683" s="139"/>
      <c r="AI683" s="139"/>
      <c r="AJ683" s="139"/>
    </row>
    <row r="684">
      <c r="A684" s="9"/>
      <c r="B684" s="139"/>
      <c r="C684" s="139"/>
      <c r="D684" s="139"/>
      <c r="E684" s="139"/>
      <c r="F684" s="139"/>
      <c r="G684" s="139"/>
      <c r="H684" s="139"/>
      <c r="I684" s="139"/>
      <c r="J684" s="139"/>
      <c r="K684" s="139"/>
      <c r="L684" s="139"/>
      <c r="M684" s="139"/>
      <c r="N684" s="139"/>
      <c r="O684" s="139"/>
      <c r="P684" s="139"/>
      <c r="Q684" s="139"/>
      <c r="R684" s="139"/>
      <c r="S684" s="139"/>
      <c r="T684" s="139"/>
      <c r="U684" s="139"/>
      <c r="V684" s="139"/>
      <c r="W684" s="139"/>
      <c r="X684" s="139"/>
      <c r="Y684" s="139"/>
      <c r="Z684" s="139"/>
      <c r="AA684" s="139"/>
      <c r="AB684" s="139"/>
      <c r="AC684" s="139"/>
      <c r="AD684" s="139"/>
      <c r="AE684" s="139"/>
      <c r="AF684" s="139"/>
      <c r="AG684" s="139"/>
      <c r="AH684" s="139"/>
      <c r="AI684" s="139"/>
      <c r="AJ684" s="139"/>
    </row>
    <row r="685">
      <c r="A685" s="9"/>
      <c r="B685" s="139"/>
      <c r="C685" s="139"/>
      <c r="D685" s="139"/>
      <c r="E685" s="139"/>
      <c r="F685" s="139"/>
      <c r="G685" s="139"/>
      <c r="H685" s="139"/>
      <c r="I685" s="139"/>
      <c r="J685" s="139"/>
      <c r="K685" s="139"/>
      <c r="L685" s="139"/>
      <c r="M685" s="139"/>
      <c r="N685" s="139"/>
      <c r="O685" s="139"/>
      <c r="P685" s="139"/>
      <c r="Q685" s="139"/>
      <c r="R685" s="139"/>
      <c r="S685" s="139"/>
      <c r="T685" s="139"/>
      <c r="U685" s="139"/>
      <c r="V685" s="139"/>
      <c r="W685" s="139"/>
      <c r="X685" s="139"/>
      <c r="Y685" s="139"/>
      <c r="Z685" s="139"/>
      <c r="AA685" s="139"/>
      <c r="AB685" s="139"/>
      <c r="AC685" s="139"/>
      <c r="AD685" s="139"/>
      <c r="AE685" s="139"/>
      <c r="AF685" s="139"/>
      <c r="AG685" s="139"/>
      <c r="AH685" s="139"/>
      <c r="AI685" s="139"/>
      <c r="AJ685" s="139"/>
    </row>
    <row r="686">
      <c r="A686" s="9"/>
      <c r="B686" s="139"/>
      <c r="C686" s="139"/>
      <c r="D686" s="139"/>
      <c r="E686" s="139"/>
      <c r="F686" s="139"/>
      <c r="G686" s="139"/>
      <c r="H686" s="139"/>
      <c r="I686" s="139"/>
      <c r="J686" s="139"/>
      <c r="K686" s="139"/>
      <c r="L686" s="139"/>
      <c r="M686" s="139"/>
      <c r="N686" s="139"/>
      <c r="O686" s="139"/>
      <c r="P686" s="139"/>
      <c r="Q686" s="139"/>
      <c r="R686" s="139"/>
      <c r="S686" s="139"/>
      <c r="T686" s="139"/>
      <c r="U686" s="139"/>
      <c r="V686" s="139"/>
      <c r="W686" s="139"/>
      <c r="X686" s="139"/>
      <c r="Y686" s="139"/>
      <c r="Z686" s="139"/>
      <c r="AA686" s="139"/>
      <c r="AB686" s="139"/>
      <c r="AC686" s="139"/>
      <c r="AD686" s="139"/>
      <c r="AE686" s="139"/>
      <c r="AF686" s="139"/>
      <c r="AG686" s="139"/>
      <c r="AH686" s="139"/>
      <c r="AI686" s="139"/>
      <c r="AJ686" s="139"/>
    </row>
    <row r="687">
      <c r="A687" s="9"/>
      <c r="B687" s="139"/>
      <c r="C687" s="139"/>
      <c r="D687" s="139"/>
      <c r="E687" s="139"/>
      <c r="F687" s="139"/>
      <c r="G687" s="139"/>
      <c r="H687" s="139"/>
      <c r="I687" s="139"/>
      <c r="J687" s="139"/>
      <c r="K687" s="139"/>
      <c r="L687" s="139"/>
      <c r="M687" s="139"/>
      <c r="N687" s="139"/>
      <c r="O687" s="139"/>
      <c r="P687" s="139"/>
      <c r="Q687" s="139"/>
      <c r="R687" s="139"/>
      <c r="S687" s="139"/>
      <c r="T687" s="139"/>
      <c r="U687" s="139"/>
      <c r="V687" s="139"/>
      <c r="W687" s="139"/>
      <c r="X687" s="139"/>
      <c r="Y687" s="139"/>
      <c r="Z687" s="139"/>
      <c r="AA687" s="139"/>
      <c r="AB687" s="139"/>
      <c r="AC687" s="139"/>
      <c r="AD687" s="139"/>
      <c r="AE687" s="139"/>
      <c r="AF687" s="139"/>
      <c r="AG687" s="139"/>
      <c r="AH687" s="139"/>
      <c r="AI687" s="139"/>
      <c r="AJ687" s="139"/>
    </row>
    <row r="688">
      <c r="A688" s="9"/>
      <c r="B688" s="139"/>
      <c r="C688" s="139"/>
      <c r="D688" s="139"/>
      <c r="E688" s="139"/>
      <c r="F688" s="139"/>
      <c r="G688" s="139"/>
      <c r="H688" s="139"/>
      <c r="I688" s="139"/>
      <c r="J688" s="139"/>
      <c r="K688" s="139"/>
      <c r="L688" s="139"/>
      <c r="M688" s="139"/>
      <c r="N688" s="139"/>
      <c r="O688" s="139"/>
      <c r="P688" s="139"/>
      <c r="Q688" s="139"/>
      <c r="R688" s="139"/>
      <c r="S688" s="139"/>
      <c r="T688" s="139"/>
      <c r="U688" s="139"/>
      <c r="V688" s="139"/>
      <c r="W688" s="139"/>
      <c r="X688" s="139"/>
      <c r="Y688" s="139"/>
      <c r="Z688" s="139"/>
      <c r="AA688" s="139"/>
      <c r="AB688" s="139"/>
      <c r="AC688" s="139"/>
      <c r="AD688" s="139"/>
      <c r="AE688" s="139"/>
      <c r="AF688" s="139"/>
      <c r="AG688" s="139"/>
      <c r="AH688" s="139"/>
      <c r="AI688" s="139"/>
      <c r="AJ688" s="139"/>
    </row>
    <row r="689">
      <c r="A689" s="9"/>
      <c r="B689" s="139"/>
      <c r="C689" s="139"/>
      <c r="D689" s="139"/>
      <c r="E689" s="139"/>
      <c r="F689" s="139"/>
      <c r="G689" s="139"/>
      <c r="H689" s="139"/>
      <c r="I689" s="139"/>
      <c r="J689" s="139"/>
      <c r="K689" s="139"/>
      <c r="L689" s="139"/>
      <c r="M689" s="139"/>
      <c r="N689" s="139"/>
      <c r="O689" s="139"/>
      <c r="P689" s="139"/>
      <c r="Q689" s="139"/>
      <c r="R689" s="139"/>
      <c r="S689" s="139"/>
      <c r="T689" s="139"/>
      <c r="U689" s="139"/>
      <c r="V689" s="139"/>
      <c r="W689" s="139"/>
      <c r="X689" s="139"/>
      <c r="Y689" s="139"/>
      <c r="Z689" s="139"/>
      <c r="AA689" s="139"/>
      <c r="AB689" s="139"/>
      <c r="AC689" s="139"/>
      <c r="AD689" s="139"/>
      <c r="AE689" s="139"/>
      <c r="AF689" s="139"/>
      <c r="AG689" s="139"/>
      <c r="AH689" s="139"/>
      <c r="AI689" s="139"/>
      <c r="AJ689" s="139"/>
    </row>
    <row r="690">
      <c r="A690" s="9"/>
      <c r="B690" s="139"/>
      <c r="C690" s="139"/>
      <c r="D690" s="139"/>
      <c r="E690" s="139"/>
      <c r="F690" s="139"/>
      <c r="G690" s="139"/>
      <c r="H690" s="139"/>
      <c r="I690" s="139"/>
      <c r="J690" s="139"/>
      <c r="K690" s="139"/>
      <c r="L690" s="139"/>
      <c r="M690" s="139"/>
      <c r="N690" s="139"/>
      <c r="O690" s="139"/>
      <c r="P690" s="139"/>
      <c r="Q690" s="139"/>
      <c r="R690" s="139"/>
      <c r="S690" s="139"/>
      <c r="T690" s="139"/>
      <c r="U690" s="139"/>
      <c r="V690" s="139"/>
      <c r="W690" s="139"/>
      <c r="X690" s="139"/>
      <c r="Y690" s="139"/>
      <c r="Z690" s="139"/>
      <c r="AA690" s="139"/>
      <c r="AB690" s="139"/>
      <c r="AC690" s="139"/>
      <c r="AD690" s="139"/>
      <c r="AE690" s="139"/>
      <c r="AF690" s="139"/>
      <c r="AG690" s="139"/>
      <c r="AH690" s="139"/>
      <c r="AI690" s="139"/>
      <c r="AJ690" s="139"/>
    </row>
    <row r="691">
      <c r="A691" s="9"/>
      <c r="B691" s="139"/>
      <c r="C691" s="139"/>
      <c r="D691" s="139"/>
      <c r="E691" s="139"/>
      <c r="F691" s="139"/>
      <c r="G691" s="139"/>
      <c r="H691" s="139"/>
      <c r="I691" s="139"/>
      <c r="J691" s="139"/>
      <c r="K691" s="139"/>
      <c r="L691" s="139"/>
      <c r="M691" s="139"/>
      <c r="N691" s="139"/>
      <c r="O691" s="139"/>
      <c r="P691" s="139"/>
      <c r="Q691" s="139"/>
      <c r="R691" s="139"/>
      <c r="S691" s="139"/>
      <c r="T691" s="139"/>
      <c r="U691" s="139"/>
      <c r="V691" s="139"/>
      <c r="W691" s="139"/>
      <c r="X691" s="139"/>
      <c r="Y691" s="139"/>
      <c r="Z691" s="139"/>
      <c r="AA691" s="139"/>
      <c r="AB691" s="139"/>
      <c r="AC691" s="139"/>
      <c r="AD691" s="139"/>
      <c r="AE691" s="139"/>
      <c r="AF691" s="139"/>
      <c r="AG691" s="139"/>
      <c r="AH691" s="139"/>
      <c r="AI691" s="139"/>
      <c r="AJ691" s="139"/>
    </row>
    <row r="692">
      <c r="A692" s="9"/>
      <c r="B692" s="139"/>
      <c r="C692" s="139"/>
      <c r="D692" s="139"/>
      <c r="E692" s="139"/>
      <c r="F692" s="139"/>
      <c r="G692" s="139"/>
      <c r="H692" s="139"/>
      <c r="I692" s="139"/>
      <c r="J692" s="139"/>
      <c r="K692" s="139"/>
      <c r="L692" s="139"/>
      <c r="M692" s="139"/>
      <c r="N692" s="139"/>
      <c r="O692" s="139"/>
      <c r="P692" s="139"/>
      <c r="Q692" s="139"/>
      <c r="R692" s="139"/>
      <c r="S692" s="139"/>
      <c r="T692" s="139"/>
      <c r="U692" s="139"/>
      <c r="V692" s="139"/>
      <c r="W692" s="139"/>
      <c r="X692" s="139"/>
      <c r="Y692" s="139"/>
      <c r="Z692" s="139"/>
      <c r="AA692" s="139"/>
      <c r="AB692" s="139"/>
      <c r="AC692" s="139"/>
      <c r="AD692" s="139"/>
      <c r="AE692" s="139"/>
      <c r="AF692" s="139"/>
      <c r="AG692" s="139"/>
      <c r="AH692" s="139"/>
      <c r="AI692" s="139"/>
      <c r="AJ692" s="139"/>
    </row>
    <row r="693">
      <c r="A693" s="9"/>
      <c r="B693" s="139"/>
      <c r="C693" s="139"/>
      <c r="D693" s="139"/>
      <c r="E693" s="139"/>
      <c r="F693" s="139"/>
      <c r="G693" s="139"/>
      <c r="H693" s="139"/>
      <c r="I693" s="139"/>
      <c r="J693" s="139"/>
      <c r="K693" s="139"/>
      <c r="L693" s="139"/>
      <c r="M693" s="139"/>
      <c r="N693" s="139"/>
      <c r="O693" s="139"/>
      <c r="P693" s="139"/>
      <c r="Q693" s="139"/>
      <c r="R693" s="139"/>
      <c r="S693" s="139"/>
      <c r="T693" s="139"/>
      <c r="U693" s="139"/>
      <c r="V693" s="139"/>
      <c r="W693" s="139"/>
      <c r="X693" s="139"/>
      <c r="Y693" s="139"/>
      <c r="Z693" s="139"/>
      <c r="AA693" s="139"/>
      <c r="AB693" s="139"/>
      <c r="AC693" s="139"/>
      <c r="AD693" s="139"/>
      <c r="AE693" s="139"/>
      <c r="AF693" s="139"/>
      <c r="AG693" s="139"/>
      <c r="AH693" s="139"/>
      <c r="AI693" s="139"/>
      <c r="AJ693" s="139"/>
    </row>
    <row r="694">
      <c r="A694" s="9"/>
      <c r="B694" s="139"/>
      <c r="C694" s="139"/>
      <c r="D694" s="139"/>
      <c r="E694" s="139"/>
      <c r="F694" s="139"/>
      <c r="G694" s="139"/>
      <c r="H694" s="139"/>
      <c r="I694" s="139"/>
      <c r="J694" s="139"/>
      <c r="K694" s="139"/>
      <c r="L694" s="139"/>
      <c r="M694" s="139"/>
      <c r="N694" s="139"/>
      <c r="O694" s="139"/>
      <c r="P694" s="139"/>
      <c r="Q694" s="139"/>
      <c r="R694" s="139"/>
      <c r="S694" s="139"/>
      <c r="T694" s="139"/>
      <c r="U694" s="139"/>
      <c r="V694" s="139"/>
      <c r="W694" s="139"/>
      <c r="X694" s="139"/>
      <c r="Y694" s="139"/>
      <c r="Z694" s="139"/>
      <c r="AA694" s="139"/>
      <c r="AB694" s="139"/>
      <c r="AC694" s="139"/>
      <c r="AD694" s="139"/>
      <c r="AE694" s="139"/>
      <c r="AF694" s="139"/>
      <c r="AG694" s="139"/>
      <c r="AH694" s="139"/>
      <c r="AI694" s="139"/>
      <c r="AJ694" s="139"/>
    </row>
    <row r="695">
      <c r="A695" s="9"/>
      <c r="B695" s="139"/>
      <c r="C695" s="139"/>
      <c r="D695" s="139"/>
      <c r="E695" s="139"/>
      <c r="F695" s="139"/>
      <c r="G695" s="139"/>
      <c r="H695" s="139"/>
      <c r="I695" s="139"/>
      <c r="J695" s="139"/>
      <c r="K695" s="139"/>
      <c r="L695" s="139"/>
      <c r="M695" s="139"/>
      <c r="N695" s="139"/>
      <c r="O695" s="139"/>
      <c r="P695" s="139"/>
      <c r="Q695" s="139"/>
      <c r="R695" s="139"/>
      <c r="S695" s="139"/>
      <c r="T695" s="139"/>
      <c r="U695" s="139"/>
      <c r="V695" s="139"/>
      <c r="W695" s="139"/>
      <c r="X695" s="139"/>
      <c r="Y695" s="139"/>
      <c r="Z695" s="139"/>
      <c r="AA695" s="139"/>
      <c r="AB695" s="139"/>
      <c r="AC695" s="139"/>
      <c r="AD695" s="139"/>
      <c r="AE695" s="139"/>
      <c r="AF695" s="139"/>
      <c r="AG695" s="139"/>
      <c r="AH695" s="139"/>
      <c r="AI695" s="139"/>
      <c r="AJ695" s="139"/>
    </row>
    <row r="696">
      <c r="A696" s="9"/>
      <c r="B696" s="139"/>
      <c r="C696" s="139"/>
      <c r="D696" s="139"/>
      <c r="E696" s="139"/>
      <c r="F696" s="139"/>
      <c r="G696" s="139"/>
      <c r="H696" s="139"/>
      <c r="I696" s="139"/>
      <c r="J696" s="139"/>
      <c r="K696" s="139"/>
      <c r="L696" s="139"/>
      <c r="M696" s="139"/>
      <c r="N696" s="139"/>
      <c r="O696" s="139"/>
      <c r="P696" s="139"/>
      <c r="Q696" s="139"/>
      <c r="R696" s="139"/>
      <c r="S696" s="139"/>
      <c r="T696" s="139"/>
      <c r="U696" s="139"/>
      <c r="V696" s="139"/>
      <c r="W696" s="139"/>
      <c r="X696" s="139"/>
      <c r="Y696" s="139"/>
      <c r="Z696" s="139"/>
      <c r="AA696" s="139"/>
      <c r="AB696" s="139"/>
      <c r="AC696" s="139"/>
      <c r="AD696" s="139"/>
      <c r="AE696" s="139"/>
      <c r="AF696" s="139"/>
      <c r="AG696" s="139"/>
      <c r="AH696" s="139"/>
      <c r="AI696" s="139"/>
      <c r="AJ696" s="139"/>
    </row>
    <row r="697">
      <c r="A697" s="9"/>
      <c r="B697" s="139"/>
      <c r="C697" s="139"/>
      <c r="D697" s="139"/>
      <c r="E697" s="139"/>
      <c r="F697" s="139"/>
      <c r="G697" s="139"/>
      <c r="H697" s="139"/>
      <c r="I697" s="139"/>
      <c r="J697" s="139"/>
      <c r="K697" s="139"/>
      <c r="L697" s="139"/>
      <c r="M697" s="139"/>
      <c r="N697" s="139"/>
      <c r="O697" s="139"/>
      <c r="P697" s="139"/>
      <c r="Q697" s="139"/>
      <c r="R697" s="139"/>
      <c r="S697" s="139"/>
      <c r="T697" s="139"/>
      <c r="U697" s="139"/>
      <c r="V697" s="139"/>
      <c r="W697" s="139"/>
      <c r="X697" s="139"/>
      <c r="Y697" s="139"/>
      <c r="Z697" s="139"/>
      <c r="AA697" s="139"/>
      <c r="AB697" s="139"/>
      <c r="AC697" s="139"/>
      <c r="AD697" s="139"/>
      <c r="AE697" s="139"/>
      <c r="AF697" s="139"/>
      <c r="AG697" s="139"/>
      <c r="AH697" s="139"/>
      <c r="AI697" s="139"/>
      <c r="AJ697" s="139"/>
    </row>
    <row r="698">
      <c r="A698" s="9"/>
      <c r="B698" s="139"/>
      <c r="C698" s="139"/>
      <c r="D698" s="139"/>
      <c r="E698" s="139"/>
      <c r="F698" s="139"/>
      <c r="G698" s="139"/>
      <c r="H698" s="139"/>
      <c r="I698" s="139"/>
      <c r="J698" s="139"/>
      <c r="K698" s="139"/>
      <c r="L698" s="139"/>
      <c r="M698" s="139"/>
      <c r="N698" s="139"/>
      <c r="O698" s="139"/>
      <c r="P698" s="139"/>
      <c r="Q698" s="139"/>
      <c r="R698" s="139"/>
      <c r="S698" s="139"/>
      <c r="T698" s="139"/>
      <c r="U698" s="139"/>
      <c r="V698" s="139"/>
      <c r="W698" s="139"/>
      <c r="X698" s="139"/>
      <c r="Y698" s="139"/>
      <c r="Z698" s="139"/>
      <c r="AA698" s="139"/>
      <c r="AB698" s="139"/>
      <c r="AC698" s="139"/>
      <c r="AD698" s="139"/>
      <c r="AE698" s="139"/>
      <c r="AF698" s="139"/>
      <c r="AG698" s="139"/>
      <c r="AH698" s="139"/>
      <c r="AI698" s="139"/>
      <c r="AJ698" s="139"/>
    </row>
    <row r="699">
      <c r="A699" s="9"/>
      <c r="B699" s="139"/>
      <c r="C699" s="139"/>
      <c r="D699" s="139"/>
      <c r="E699" s="139"/>
      <c r="F699" s="139"/>
      <c r="G699" s="139"/>
      <c r="H699" s="139"/>
      <c r="I699" s="139"/>
      <c r="J699" s="139"/>
      <c r="K699" s="139"/>
      <c r="L699" s="139"/>
      <c r="M699" s="139"/>
      <c r="N699" s="139"/>
      <c r="O699" s="139"/>
      <c r="P699" s="139"/>
      <c r="Q699" s="139"/>
      <c r="R699" s="139"/>
      <c r="S699" s="139"/>
      <c r="T699" s="139"/>
      <c r="U699" s="139"/>
      <c r="V699" s="139"/>
      <c r="W699" s="139"/>
      <c r="X699" s="139"/>
      <c r="Y699" s="139"/>
      <c r="Z699" s="139"/>
      <c r="AA699" s="139"/>
      <c r="AB699" s="139"/>
      <c r="AC699" s="139"/>
      <c r="AD699" s="139"/>
      <c r="AE699" s="139"/>
      <c r="AF699" s="139"/>
      <c r="AG699" s="139"/>
      <c r="AH699" s="139"/>
      <c r="AI699" s="139"/>
      <c r="AJ699" s="139"/>
    </row>
    <row r="700">
      <c r="A700" s="9"/>
      <c r="B700" s="139"/>
      <c r="C700" s="139"/>
      <c r="D700" s="139"/>
      <c r="E700" s="139"/>
      <c r="F700" s="139"/>
      <c r="G700" s="139"/>
      <c r="H700" s="139"/>
      <c r="I700" s="139"/>
      <c r="J700" s="139"/>
      <c r="K700" s="139"/>
      <c r="L700" s="139"/>
      <c r="M700" s="139"/>
      <c r="N700" s="139"/>
      <c r="O700" s="139"/>
      <c r="P700" s="139"/>
      <c r="Q700" s="139"/>
      <c r="R700" s="139"/>
      <c r="S700" s="139"/>
      <c r="T700" s="139"/>
      <c r="U700" s="139"/>
      <c r="V700" s="139"/>
      <c r="W700" s="139"/>
      <c r="X700" s="139"/>
      <c r="Y700" s="139"/>
      <c r="Z700" s="139"/>
      <c r="AA700" s="139"/>
      <c r="AB700" s="139"/>
      <c r="AC700" s="139"/>
      <c r="AD700" s="139"/>
      <c r="AE700" s="139"/>
      <c r="AF700" s="139"/>
      <c r="AG700" s="139"/>
      <c r="AH700" s="139"/>
      <c r="AI700" s="139"/>
      <c r="AJ700" s="139"/>
    </row>
    <row r="701">
      <c r="A701" s="9"/>
      <c r="B701" s="139"/>
      <c r="C701" s="139"/>
      <c r="D701" s="139"/>
      <c r="E701" s="139"/>
      <c r="F701" s="139"/>
      <c r="G701" s="139"/>
      <c r="H701" s="139"/>
      <c r="I701" s="139"/>
      <c r="J701" s="139"/>
      <c r="K701" s="139"/>
      <c r="L701" s="139"/>
      <c r="M701" s="139"/>
      <c r="N701" s="139"/>
      <c r="O701" s="139"/>
      <c r="P701" s="139"/>
      <c r="Q701" s="139"/>
      <c r="R701" s="139"/>
      <c r="S701" s="139"/>
      <c r="T701" s="139"/>
      <c r="U701" s="139"/>
      <c r="V701" s="139"/>
      <c r="W701" s="139"/>
      <c r="X701" s="139"/>
      <c r="Y701" s="139"/>
      <c r="Z701" s="139"/>
      <c r="AA701" s="139"/>
      <c r="AB701" s="139"/>
      <c r="AC701" s="139"/>
      <c r="AD701" s="139"/>
      <c r="AE701" s="139"/>
      <c r="AF701" s="139"/>
      <c r="AG701" s="139"/>
      <c r="AH701" s="139"/>
      <c r="AI701" s="139"/>
      <c r="AJ701" s="139"/>
    </row>
    <row r="702">
      <c r="A702" s="9"/>
      <c r="B702" s="139"/>
      <c r="C702" s="139"/>
      <c r="D702" s="139"/>
      <c r="E702" s="139"/>
      <c r="F702" s="139"/>
      <c r="G702" s="139"/>
      <c r="H702" s="139"/>
      <c r="I702" s="139"/>
      <c r="J702" s="139"/>
      <c r="K702" s="139"/>
      <c r="L702" s="139"/>
      <c r="M702" s="139"/>
      <c r="N702" s="139"/>
      <c r="O702" s="139"/>
      <c r="P702" s="139"/>
      <c r="Q702" s="139"/>
      <c r="R702" s="139"/>
      <c r="S702" s="139"/>
      <c r="T702" s="139"/>
      <c r="U702" s="139"/>
      <c r="V702" s="139"/>
      <c r="W702" s="139"/>
      <c r="X702" s="139"/>
      <c r="Y702" s="139"/>
      <c r="Z702" s="139"/>
      <c r="AA702" s="139"/>
      <c r="AB702" s="139"/>
      <c r="AC702" s="139"/>
      <c r="AD702" s="139"/>
      <c r="AE702" s="139"/>
      <c r="AF702" s="139"/>
      <c r="AG702" s="139"/>
      <c r="AH702" s="139"/>
      <c r="AI702" s="139"/>
      <c r="AJ702" s="139"/>
    </row>
    <row r="703">
      <c r="A703" s="9"/>
      <c r="B703" s="139"/>
      <c r="C703" s="139"/>
      <c r="D703" s="139"/>
      <c r="E703" s="139"/>
      <c r="F703" s="139"/>
      <c r="G703" s="139"/>
      <c r="H703" s="139"/>
      <c r="I703" s="139"/>
      <c r="J703" s="139"/>
      <c r="K703" s="139"/>
      <c r="L703" s="139"/>
      <c r="M703" s="139"/>
      <c r="N703" s="139"/>
      <c r="O703" s="139"/>
      <c r="P703" s="139"/>
      <c r="Q703" s="139"/>
      <c r="R703" s="139"/>
      <c r="S703" s="139"/>
      <c r="T703" s="139"/>
      <c r="U703" s="139"/>
      <c r="V703" s="139"/>
      <c r="W703" s="139"/>
      <c r="X703" s="139"/>
      <c r="Y703" s="139"/>
      <c r="Z703" s="139"/>
      <c r="AA703" s="139"/>
      <c r="AB703" s="139"/>
      <c r="AC703" s="139"/>
      <c r="AD703" s="139"/>
      <c r="AE703" s="139"/>
      <c r="AF703" s="139"/>
      <c r="AG703" s="139"/>
      <c r="AH703" s="139"/>
      <c r="AI703" s="139"/>
      <c r="AJ703" s="139"/>
    </row>
    <row r="704">
      <c r="A704" s="9"/>
      <c r="B704" s="139"/>
      <c r="C704" s="139"/>
      <c r="D704" s="139"/>
      <c r="E704" s="139"/>
      <c r="F704" s="139"/>
      <c r="G704" s="139"/>
      <c r="H704" s="139"/>
      <c r="I704" s="139"/>
      <c r="J704" s="139"/>
      <c r="K704" s="139"/>
      <c r="L704" s="139"/>
      <c r="M704" s="139"/>
      <c r="N704" s="139"/>
      <c r="O704" s="139"/>
      <c r="P704" s="139"/>
      <c r="Q704" s="139"/>
      <c r="R704" s="139"/>
      <c r="S704" s="139"/>
      <c r="T704" s="139"/>
      <c r="U704" s="139"/>
      <c r="V704" s="139"/>
      <c r="W704" s="139"/>
      <c r="X704" s="139"/>
      <c r="Y704" s="139"/>
      <c r="Z704" s="139"/>
      <c r="AA704" s="139"/>
      <c r="AB704" s="139"/>
      <c r="AC704" s="139"/>
      <c r="AD704" s="139"/>
      <c r="AE704" s="139"/>
      <c r="AF704" s="139"/>
      <c r="AG704" s="139"/>
      <c r="AH704" s="139"/>
      <c r="AI704" s="139"/>
      <c r="AJ704" s="139"/>
    </row>
    <row r="705">
      <c r="A705" s="9"/>
      <c r="B705" s="139"/>
      <c r="C705" s="139"/>
      <c r="D705" s="139"/>
      <c r="E705" s="139"/>
      <c r="F705" s="139"/>
      <c r="G705" s="139"/>
      <c r="H705" s="139"/>
      <c r="I705" s="139"/>
      <c r="J705" s="139"/>
      <c r="K705" s="139"/>
      <c r="L705" s="139"/>
      <c r="M705" s="139"/>
      <c r="N705" s="139"/>
      <c r="O705" s="139"/>
      <c r="P705" s="139"/>
      <c r="Q705" s="139"/>
      <c r="R705" s="139"/>
      <c r="S705" s="139"/>
      <c r="T705" s="139"/>
      <c r="U705" s="139"/>
      <c r="V705" s="139"/>
      <c r="W705" s="139"/>
      <c r="X705" s="139"/>
      <c r="Y705" s="139"/>
      <c r="Z705" s="139"/>
      <c r="AA705" s="139"/>
      <c r="AB705" s="139"/>
      <c r="AC705" s="139"/>
      <c r="AD705" s="139"/>
      <c r="AE705" s="139"/>
      <c r="AF705" s="139"/>
      <c r="AG705" s="139"/>
      <c r="AH705" s="139"/>
      <c r="AI705" s="139"/>
      <c r="AJ705" s="139"/>
    </row>
    <row r="706">
      <c r="A706" s="9"/>
      <c r="B706" s="139"/>
      <c r="C706" s="139"/>
      <c r="D706" s="139"/>
      <c r="E706" s="139"/>
      <c r="F706" s="139"/>
      <c r="G706" s="139"/>
      <c r="H706" s="139"/>
      <c r="I706" s="139"/>
      <c r="J706" s="139"/>
      <c r="K706" s="139"/>
      <c r="L706" s="139"/>
      <c r="M706" s="139"/>
      <c r="N706" s="139"/>
      <c r="O706" s="139"/>
      <c r="P706" s="139"/>
      <c r="Q706" s="139"/>
      <c r="R706" s="139"/>
      <c r="S706" s="139"/>
      <c r="T706" s="139"/>
      <c r="U706" s="139"/>
      <c r="V706" s="139"/>
      <c r="W706" s="139"/>
      <c r="X706" s="139"/>
      <c r="Y706" s="139"/>
      <c r="Z706" s="139"/>
      <c r="AA706" s="139"/>
      <c r="AB706" s="139"/>
      <c r="AC706" s="139"/>
      <c r="AD706" s="139"/>
      <c r="AE706" s="139"/>
      <c r="AF706" s="139"/>
      <c r="AG706" s="139"/>
      <c r="AH706" s="139"/>
      <c r="AI706" s="139"/>
      <c r="AJ706" s="139"/>
    </row>
    <row r="707">
      <c r="A707" s="9"/>
      <c r="B707" s="139"/>
      <c r="C707" s="139"/>
      <c r="D707" s="139"/>
      <c r="E707" s="139"/>
      <c r="F707" s="139"/>
      <c r="G707" s="139"/>
      <c r="H707" s="139"/>
      <c r="I707" s="139"/>
      <c r="J707" s="139"/>
      <c r="K707" s="139"/>
      <c r="L707" s="139"/>
      <c r="M707" s="139"/>
      <c r="N707" s="139"/>
      <c r="O707" s="139"/>
      <c r="P707" s="139"/>
      <c r="Q707" s="139"/>
      <c r="R707" s="139"/>
      <c r="S707" s="139"/>
      <c r="T707" s="139"/>
      <c r="U707" s="139"/>
      <c r="V707" s="139"/>
      <c r="W707" s="139"/>
      <c r="X707" s="139"/>
      <c r="Y707" s="139"/>
      <c r="Z707" s="139"/>
      <c r="AA707" s="139"/>
      <c r="AB707" s="139"/>
      <c r="AC707" s="139"/>
      <c r="AD707" s="139"/>
      <c r="AE707" s="139"/>
      <c r="AF707" s="139"/>
      <c r="AG707" s="139"/>
      <c r="AH707" s="139"/>
      <c r="AI707" s="139"/>
      <c r="AJ707" s="139"/>
    </row>
    <row r="708">
      <c r="A708" s="9"/>
      <c r="B708" s="139"/>
      <c r="C708" s="139"/>
      <c r="D708" s="139"/>
      <c r="E708" s="139"/>
      <c r="F708" s="139"/>
      <c r="G708" s="139"/>
      <c r="H708" s="139"/>
      <c r="I708" s="139"/>
      <c r="J708" s="139"/>
      <c r="K708" s="139"/>
      <c r="L708" s="139"/>
      <c r="M708" s="139"/>
      <c r="N708" s="139"/>
      <c r="O708" s="139"/>
      <c r="P708" s="139"/>
      <c r="Q708" s="139"/>
      <c r="R708" s="139"/>
      <c r="S708" s="139"/>
      <c r="T708" s="139"/>
      <c r="U708" s="139"/>
      <c r="V708" s="139"/>
      <c r="W708" s="139"/>
      <c r="X708" s="139"/>
      <c r="Y708" s="139"/>
      <c r="Z708" s="139"/>
      <c r="AA708" s="139"/>
      <c r="AB708" s="139"/>
      <c r="AC708" s="139"/>
      <c r="AD708" s="139"/>
      <c r="AE708" s="139"/>
      <c r="AF708" s="139"/>
      <c r="AG708" s="139"/>
      <c r="AH708" s="139"/>
      <c r="AI708" s="139"/>
      <c r="AJ708" s="139"/>
    </row>
    <row r="709">
      <c r="A709" s="9"/>
      <c r="B709" s="139"/>
      <c r="C709" s="139"/>
      <c r="D709" s="139"/>
      <c r="E709" s="139"/>
      <c r="F709" s="139"/>
      <c r="G709" s="139"/>
      <c r="H709" s="139"/>
      <c r="I709" s="139"/>
      <c r="J709" s="139"/>
      <c r="K709" s="139"/>
      <c r="L709" s="139"/>
      <c r="M709" s="139"/>
      <c r="N709" s="139"/>
      <c r="O709" s="139"/>
      <c r="P709" s="139"/>
      <c r="Q709" s="139"/>
      <c r="R709" s="139"/>
      <c r="S709" s="139"/>
      <c r="T709" s="139"/>
      <c r="U709" s="139"/>
      <c r="V709" s="139"/>
      <c r="W709" s="139"/>
      <c r="X709" s="139"/>
      <c r="Y709" s="139"/>
      <c r="Z709" s="139"/>
      <c r="AA709" s="139"/>
      <c r="AB709" s="139"/>
      <c r="AC709" s="139"/>
      <c r="AD709" s="139"/>
      <c r="AE709" s="139"/>
      <c r="AF709" s="139"/>
      <c r="AG709" s="139"/>
      <c r="AH709" s="139"/>
      <c r="AI709" s="139"/>
      <c r="AJ709" s="139"/>
    </row>
    <row r="710">
      <c r="A710" s="9"/>
      <c r="B710" s="139"/>
      <c r="C710" s="139"/>
      <c r="D710" s="139"/>
      <c r="E710" s="139"/>
      <c r="F710" s="139"/>
      <c r="G710" s="139"/>
      <c r="H710" s="139"/>
      <c r="I710" s="139"/>
      <c r="J710" s="139"/>
      <c r="K710" s="139"/>
      <c r="L710" s="139"/>
      <c r="M710" s="139"/>
      <c r="N710" s="139"/>
      <c r="O710" s="139"/>
      <c r="P710" s="139"/>
      <c r="Q710" s="139"/>
      <c r="R710" s="139"/>
      <c r="S710" s="139"/>
      <c r="T710" s="139"/>
      <c r="U710" s="139"/>
      <c r="V710" s="139"/>
      <c r="W710" s="139"/>
      <c r="X710" s="139"/>
      <c r="Y710" s="139"/>
      <c r="Z710" s="139"/>
      <c r="AA710" s="139"/>
      <c r="AB710" s="139"/>
      <c r="AC710" s="139"/>
      <c r="AD710" s="139"/>
      <c r="AE710" s="139"/>
      <c r="AF710" s="139"/>
      <c r="AG710" s="139"/>
      <c r="AH710" s="139"/>
      <c r="AI710" s="139"/>
      <c r="AJ710" s="139"/>
    </row>
    <row r="711">
      <c r="A711" s="9"/>
      <c r="B711" s="139"/>
      <c r="C711" s="139"/>
      <c r="D711" s="139"/>
      <c r="E711" s="139"/>
      <c r="F711" s="139"/>
      <c r="G711" s="139"/>
      <c r="H711" s="139"/>
      <c r="I711" s="139"/>
      <c r="J711" s="139"/>
      <c r="K711" s="139"/>
      <c r="L711" s="139"/>
      <c r="M711" s="139"/>
      <c r="N711" s="139"/>
      <c r="O711" s="139"/>
      <c r="P711" s="139"/>
      <c r="Q711" s="139"/>
      <c r="R711" s="139"/>
      <c r="S711" s="139"/>
      <c r="T711" s="139"/>
      <c r="U711" s="139"/>
      <c r="V711" s="139"/>
      <c r="W711" s="139"/>
      <c r="X711" s="139"/>
      <c r="Y711" s="139"/>
      <c r="Z711" s="139"/>
      <c r="AA711" s="139"/>
      <c r="AB711" s="139"/>
      <c r="AC711" s="139"/>
      <c r="AD711" s="139"/>
      <c r="AE711" s="139"/>
      <c r="AF711" s="139"/>
      <c r="AG711" s="139"/>
      <c r="AH711" s="139"/>
      <c r="AI711" s="139"/>
      <c r="AJ711" s="139"/>
    </row>
    <row r="712">
      <c r="A712" s="9"/>
      <c r="B712" s="139"/>
      <c r="C712" s="139"/>
      <c r="D712" s="139"/>
      <c r="E712" s="139"/>
      <c r="F712" s="139"/>
      <c r="G712" s="139"/>
      <c r="H712" s="139"/>
      <c r="I712" s="139"/>
      <c r="J712" s="139"/>
      <c r="K712" s="139"/>
      <c r="L712" s="139"/>
      <c r="M712" s="139"/>
      <c r="N712" s="139"/>
      <c r="O712" s="139"/>
      <c r="P712" s="139"/>
      <c r="Q712" s="139"/>
      <c r="R712" s="139"/>
      <c r="S712" s="139"/>
      <c r="T712" s="139"/>
      <c r="U712" s="139"/>
      <c r="V712" s="139"/>
      <c r="W712" s="139"/>
      <c r="X712" s="139"/>
      <c r="Y712" s="139"/>
      <c r="Z712" s="139"/>
      <c r="AA712" s="139"/>
      <c r="AB712" s="139"/>
      <c r="AC712" s="139"/>
      <c r="AD712" s="139"/>
      <c r="AE712" s="139"/>
      <c r="AF712" s="139"/>
      <c r="AG712" s="139"/>
      <c r="AH712" s="139"/>
      <c r="AI712" s="139"/>
      <c r="AJ712" s="139"/>
    </row>
    <row r="713">
      <c r="A713" s="9"/>
      <c r="B713" s="139"/>
      <c r="C713" s="139"/>
      <c r="D713" s="139"/>
      <c r="E713" s="139"/>
      <c r="F713" s="139"/>
      <c r="G713" s="139"/>
      <c r="H713" s="139"/>
      <c r="I713" s="139"/>
      <c r="J713" s="139"/>
      <c r="K713" s="139"/>
      <c r="L713" s="139"/>
      <c r="M713" s="139"/>
      <c r="N713" s="139"/>
      <c r="O713" s="139"/>
      <c r="P713" s="139"/>
      <c r="Q713" s="139"/>
      <c r="R713" s="139"/>
      <c r="S713" s="139"/>
      <c r="T713" s="139"/>
      <c r="U713" s="139"/>
      <c r="V713" s="139"/>
      <c r="W713" s="139"/>
      <c r="X713" s="139"/>
      <c r="Y713" s="139"/>
      <c r="Z713" s="139"/>
      <c r="AA713" s="139"/>
      <c r="AB713" s="139"/>
      <c r="AC713" s="139"/>
      <c r="AD713" s="139"/>
      <c r="AE713" s="139"/>
      <c r="AF713" s="139"/>
      <c r="AG713" s="139"/>
      <c r="AH713" s="139"/>
      <c r="AI713" s="139"/>
      <c r="AJ713" s="139"/>
    </row>
    <row r="714">
      <c r="A714" s="9"/>
      <c r="B714" s="139"/>
      <c r="C714" s="139"/>
      <c r="D714" s="139"/>
      <c r="E714" s="139"/>
      <c r="F714" s="139"/>
      <c r="G714" s="139"/>
      <c r="H714" s="139"/>
      <c r="I714" s="139"/>
      <c r="J714" s="139"/>
      <c r="K714" s="139"/>
      <c r="L714" s="139"/>
      <c r="M714" s="139"/>
      <c r="N714" s="139"/>
      <c r="O714" s="139"/>
      <c r="P714" s="139"/>
      <c r="Q714" s="139"/>
      <c r="R714" s="139"/>
      <c r="S714" s="139"/>
      <c r="T714" s="139"/>
      <c r="U714" s="139"/>
      <c r="V714" s="139"/>
      <c r="W714" s="139"/>
      <c r="X714" s="139"/>
      <c r="Y714" s="139"/>
      <c r="Z714" s="139"/>
      <c r="AA714" s="139"/>
      <c r="AB714" s="139"/>
      <c r="AC714" s="139"/>
      <c r="AD714" s="139"/>
      <c r="AE714" s="139"/>
      <c r="AF714" s="139"/>
      <c r="AG714" s="139"/>
      <c r="AH714" s="139"/>
      <c r="AI714" s="139"/>
      <c r="AJ714" s="139"/>
    </row>
    <row r="715">
      <c r="A715" s="9"/>
      <c r="B715" s="139"/>
      <c r="C715" s="139"/>
      <c r="D715" s="139"/>
      <c r="E715" s="139"/>
      <c r="F715" s="139"/>
      <c r="G715" s="139"/>
      <c r="H715" s="139"/>
      <c r="I715" s="139"/>
      <c r="J715" s="139"/>
      <c r="K715" s="139"/>
      <c r="L715" s="139"/>
      <c r="M715" s="139"/>
      <c r="N715" s="139"/>
      <c r="O715" s="139"/>
      <c r="P715" s="139"/>
      <c r="Q715" s="139"/>
      <c r="R715" s="139"/>
      <c r="S715" s="139"/>
      <c r="T715" s="139"/>
      <c r="U715" s="139"/>
      <c r="V715" s="139"/>
      <c r="W715" s="139"/>
      <c r="X715" s="139"/>
      <c r="Y715" s="139"/>
      <c r="Z715" s="139"/>
      <c r="AA715" s="139"/>
      <c r="AB715" s="139"/>
      <c r="AC715" s="139"/>
      <c r="AD715" s="139"/>
      <c r="AE715" s="139"/>
      <c r="AF715" s="139"/>
      <c r="AG715" s="139"/>
      <c r="AH715" s="139"/>
      <c r="AI715" s="139"/>
      <c r="AJ715" s="139"/>
    </row>
    <row r="716">
      <c r="A716" s="9"/>
      <c r="B716" s="139"/>
      <c r="C716" s="139"/>
      <c r="D716" s="139"/>
      <c r="E716" s="139"/>
      <c r="F716" s="139"/>
      <c r="G716" s="139"/>
      <c r="H716" s="139"/>
      <c r="I716" s="139"/>
      <c r="J716" s="139"/>
      <c r="K716" s="139"/>
      <c r="L716" s="139"/>
      <c r="M716" s="139"/>
      <c r="N716" s="139"/>
      <c r="O716" s="139"/>
      <c r="P716" s="139"/>
      <c r="Q716" s="139"/>
      <c r="R716" s="139"/>
      <c r="S716" s="139"/>
      <c r="T716" s="139"/>
      <c r="U716" s="139"/>
      <c r="V716" s="139"/>
      <c r="W716" s="139"/>
      <c r="X716" s="139"/>
      <c r="Y716" s="139"/>
      <c r="Z716" s="139"/>
      <c r="AA716" s="139"/>
      <c r="AB716" s="139"/>
      <c r="AC716" s="139"/>
      <c r="AD716" s="139"/>
      <c r="AE716" s="139"/>
      <c r="AF716" s="139"/>
      <c r="AG716" s="139"/>
      <c r="AH716" s="139"/>
      <c r="AI716" s="139"/>
      <c r="AJ716" s="139"/>
    </row>
    <row r="717">
      <c r="A717" s="9"/>
      <c r="B717" s="139"/>
      <c r="C717" s="139"/>
      <c r="D717" s="139"/>
      <c r="E717" s="139"/>
      <c r="F717" s="139"/>
      <c r="G717" s="139"/>
      <c r="H717" s="139"/>
      <c r="I717" s="139"/>
      <c r="J717" s="139"/>
      <c r="K717" s="139"/>
      <c r="L717" s="139"/>
      <c r="M717" s="139"/>
      <c r="N717" s="139"/>
      <c r="O717" s="139"/>
      <c r="P717" s="139"/>
      <c r="Q717" s="139"/>
      <c r="R717" s="139"/>
      <c r="S717" s="139"/>
      <c r="T717" s="139"/>
      <c r="U717" s="139"/>
      <c r="V717" s="139"/>
      <c r="W717" s="139"/>
      <c r="X717" s="139"/>
      <c r="Y717" s="139"/>
      <c r="Z717" s="139"/>
      <c r="AA717" s="139"/>
      <c r="AB717" s="139"/>
      <c r="AC717" s="139"/>
      <c r="AD717" s="139"/>
      <c r="AE717" s="139"/>
      <c r="AF717" s="139"/>
      <c r="AG717" s="139"/>
      <c r="AH717" s="139"/>
      <c r="AI717" s="139"/>
      <c r="AJ717" s="139"/>
    </row>
    <row r="718">
      <c r="A718" s="9"/>
      <c r="B718" s="139"/>
      <c r="C718" s="139"/>
      <c r="D718" s="139"/>
      <c r="E718" s="139"/>
      <c r="F718" s="139"/>
      <c r="G718" s="139"/>
      <c r="H718" s="139"/>
      <c r="I718" s="139"/>
      <c r="J718" s="139"/>
      <c r="K718" s="139"/>
      <c r="L718" s="139"/>
      <c r="M718" s="139"/>
      <c r="N718" s="139"/>
      <c r="O718" s="139"/>
      <c r="P718" s="139"/>
      <c r="Q718" s="139"/>
      <c r="R718" s="139"/>
      <c r="S718" s="139"/>
      <c r="T718" s="139"/>
      <c r="U718" s="139"/>
      <c r="V718" s="139"/>
      <c r="W718" s="139"/>
      <c r="X718" s="139"/>
      <c r="Y718" s="139"/>
      <c r="Z718" s="139"/>
      <c r="AA718" s="139"/>
      <c r="AB718" s="139"/>
      <c r="AC718" s="139"/>
      <c r="AD718" s="139"/>
      <c r="AE718" s="139"/>
      <c r="AF718" s="139"/>
      <c r="AG718" s="139"/>
      <c r="AH718" s="139"/>
      <c r="AI718" s="139"/>
      <c r="AJ718" s="139"/>
    </row>
    <row r="719">
      <c r="A719" s="9"/>
      <c r="B719" s="139"/>
      <c r="C719" s="139"/>
      <c r="D719" s="139"/>
      <c r="E719" s="139"/>
      <c r="F719" s="139"/>
      <c r="G719" s="139"/>
      <c r="H719" s="139"/>
      <c r="I719" s="139"/>
      <c r="J719" s="139"/>
      <c r="K719" s="139"/>
      <c r="L719" s="139"/>
      <c r="M719" s="139"/>
      <c r="N719" s="139"/>
      <c r="O719" s="139"/>
      <c r="P719" s="139"/>
      <c r="Q719" s="139"/>
      <c r="R719" s="139"/>
      <c r="S719" s="139"/>
      <c r="T719" s="139"/>
      <c r="U719" s="139"/>
      <c r="V719" s="139"/>
      <c r="W719" s="139"/>
      <c r="X719" s="139"/>
      <c r="Y719" s="139"/>
      <c r="Z719" s="139"/>
      <c r="AA719" s="139"/>
      <c r="AB719" s="139"/>
      <c r="AC719" s="139"/>
      <c r="AD719" s="139"/>
      <c r="AE719" s="139"/>
      <c r="AF719" s="139"/>
      <c r="AG719" s="139"/>
      <c r="AH719" s="139"/>
      <c r="AI719" s="139"/>
      <c r="AJ719" s="139"/>
    </row>
    <row r="720">
      <c r="A720" s="9"/>
      <c r="B720" s="139"/>
      <c r="C720" s="139"/>
      <c r="D720" s="139"/>
      <c r="E720" s="139"/>
      <c r="F720" s="139"/>
      <c r="G720" s="139"/>
      <c r="H720" s="139"/>
      <c r="I720" s="139"/>
      <c r="J720" s="139"/>
      <c r="K720" s="139"/>
      <c r="L720" s="139"/>
      <c r="M720" s="139"/>
      <c r="N720" s="139"/>
      <c r="O720" s="139"/>
      <c r="P720" s="139"/>
      <c r="Q720" s="139"/>
      <c r="R720" s="139"/>
      <c r="S720" s="139"/>
      <c r="T720" s="139"/>
      <c r="U720" s="139"/>
      <c r="V720" s="139"/>
      <c r="W720" s="139"/>
      <c r="X720" s="139"/>
      <c r="Y720" s="139"/>
      <c r="Z720" s="139"/>
      <c r="AA720" s="139"/>
      <c r="AB720" s="139"/>
      <c r="AC720" s="139"/>
      <c r="AD720" s="139"/>
      <c r="AE720" s="139"/>
      <c r="AF720" s="139"/>
      <c r="AG720" s="139"/>
      <c r="AH720" s="139"/>
      <c r="AI720" s="139"/>
      <c r="AJ720" s="139"/>
    </row>
    <row r="721">
      <c r="A721" s="9"/>
      <c r="B721" s="139"/>
      <c r="C721" s="139"/>
      <c r="D721" s="139"/>
      <c r="E721" s="139"/>
      <c r="F721" s="139"/>
      <c r="G721" s="139"/>
      <c r="H721" s="139"/>
      <c r="I721" s="139"/>
      <c r="J721" s="139"/>
      <c r="K721" s="139"/>
      <c r="L721" s="139"/>
      <c r="M721" s="139"/>
      <c r="N721" s="139"/>
      <c r="O721" s="139"/>
      <c r="P721" s="139"/>
      <c r="Q721" s="139"/>
      <c r="R721" s="139"/>
      <c r="S721" s="139"/>
      <c r="T721" s="139"/>
      <c r="U721" s="139"/>
      <c r="V721" s="139"/>
      <c r="W721" s="139"/>
      <c r="X721" s="139"/>
      <c r="Y721" s="139"/>
      <c r="Z721" s="139"/>
      <c r="AA721" s="139"/>
      <c r="AB721" s="139"/>
      <c r="AC721" s="139"/>
      <c r="AD721" s="139"/>
      <c r="AE721" s="139"/>
      <c r="AF721" s="139"/>
      <c r="AG721" s="139"/>
      <c r="AH721" s="139"/>
      <c r="AI721" s="139"/>
      <c r="AJ721" s="139"/>
    </row>
    <row r="722">
      <c r="A722" s="9"/>
      <c r="B722" s="139"/>
      <c r="C722" s="139"/>
      <c r="D722" s="139"/>
      <c r="E722" s="139"/>
      <c r="F722" s="139"/>
      <c r="G722" s="139"/>
      <c r="H722" s="139"/>
      <c r="I722" s="139"/>
      <c r="J722" s="139"/>
      <c r="K722" s="139"/>
      <c r="L722" s="139"/>
      <c r="M722" s="139"/>
      <c r="N722" s="139"/>
      <c r="O722" s="139"/>
      <c r="P722" s="139"/>
      <c r="Q722" s="139"/>
      <c r="R722" s="139"/>
      <c r="S722" s="139"/>
      <c r="T722" s="139"/>
      <c r="U722" s="139"/>
      <c r="V722" s="139"/>
      <c r="W722" s="139"/>
      <c r="X722" s="139"/>
      <c r="Y722" s="139"/>
      <c r="Z722" s="139"/>
      <c r="AA722" s="139"/>
      <c r="AB722" s="139"/>
      <c r="AC722" s="139"/>
      <c r="AD722" s="139"/>
      <c r="AE722" s="139"/>
      <c r="AF722" s="139"/>
      <c r="AG722" s="139"/>
      <c r="AH722" s="139"/>
      <c r="AI722" s="139"/>
      <c r="AJ722" s="139"/>
    </row>
    <row r="723">
      <c r="A723" s="9"/>
      <c r="B723" s="139"/>
      <c r="C723" s="139"/>
      <c r="D723" s="139"/>
      <c r="E723" s="139"/>
      <c r="F723" s="139"/>
      <c r="G723" s="139"/>
      <c r="H723" s="139"/>
      <c r="I723" s="139"/>
      <c r="J723" s="139"/>
      <c r="K723" s="139"/>
      <c r="L723" s="139"/>
      <c r="M723" s="139"/>
      <c r="N723" s="139"/>
      <c r="O723" s="139"/>
      <c r="P723" s="139"/>
      <c r="Q723" s="139"/>
      <c r="R723" s="139"/>
      <c r="S723" s="139"/>
      <c r="T723" s="139"/>
      <c r="U723" s="139"/>
      <c r="V723" s="139"/>
      <c r="W723" s="139"/>
      <c r="X723" s="139"/>
      <c r="Y723" s="139"/>
      <c r="Z723" s="139"/>
      <c r="AA723" s="139"/>
      <c r="AB723" s="139"/>
      <c r="AC723" s="139"/>
      <c r="AD723" s="139"/>
      <c r="AE723" s="139"/>
      <c r="AF723" s="139"/>
      <c r="AG723" s="139"/>
      <c r="AH723" s="139"/>
      <c r="AI723" s="139"/>
      <c r="AJ723" s="139"/>
    </row>
    <row r="724">
      <c r="A724" s="9"/>
      <c r="B724" s="139"/>
      <c r="C724" s="139"/>
      <c r="D724" s="139"/>
      <c r="E724" s="139"/>
      <c r="F724" s="139"/>
      <c r="G724" s="139"/>
      <c r="H724" s="139"/>
      <c r="I724" s="139"/>
      <c r="J724" s="139"/>
      <c r="K724" s="139"/>
      <c r="L724" s="139"/>
      <c r="M724" s="139"/>
      <c r="N724" s="139"/>
      <c r="O724" s="139"/>
      <c r="P724" s="139"/>
      <c r="Q724" s="139"/>
      <c r="R724" s="139"/>
      <c r="S724" s="139"/>
      <c r="T724" s="139"/>
      <c r="U724" s="139"/>
      <c r="V724" s="139"/>
      <c r="W724" s="139"/>
      <c r="X724" s="139"/>
      <c r="Y724" s="139"/>
      <c r="Z724" s="139"/>
      <c r="AA724" s="139"/>
      <c r="AB724" s="139"/>
      <c r="AC724" s="139"/>
      <c r="AD724" s="139"/>
      <c r="AE724" s="139"/>
      <c r="AF724" s="139"/>
      <c r="AG724" s="139"/>
      <c r="AH724" s="139"/>
      <c r="AI724" s="139"/>
      <c r="AJ724" s="139"/>
    </row>
    <row r="725">
      <c r="A725" s="9"/>
      <c r="B725" s="139"/>
      <c r="C725" s="139"/>
      <c r="D725" s="139"/>
      <c r="E725" s="139"/>
      <c r="F725" s="139"/>
      <c r="G725" s="139"/>
      <c r="H725" s="139"/>
      <c r="I725" s="139"/>
      <c r="J725" s="139"/>
      <c r="K725" s="139"/>
      <c r="L725" s="139"/>
      <c r="M725" s="139"/>
      <c r="N725" s="139"/>
      <c r="O725" s="139"/>
      <c r="P725" s="139"/>
      <c r="Q725" s="139"/>
      <c r="R725" s="139"/>
      <c r="S725" s="139"/>
      <c r="T725" s="139"/>
      <c r="U725" s="139"/>
      <c r="V725" s="139"/>
      <c r="W725" s="139"/>
      <c r="X725" s="139"/>
      <c r="Y725" s="139"/>
      <c r="Z725" s="139"/>
      <c r="AA725" s="139"/>
      <c r="AB725" s="139"/>
      <c r="AC725" s="139"/>
      <c r="AD725" s="139"/>
      <c r="AE725" s="139"/>
      <c r="AF725" s="139"/>
      <c r="AG725" s="139"/>
      <c r="AH725" s="139"/>
      <c r="AI725" s="139"/>
      <c r="AJ725" s="139"/>
    </row>
    <row r="726">
      <c r="A726" s="9"/>
      <c r="B726" s="139"/>
      <c r="C726" s="139"/>
      <c r="D726" s="139"/>
      <c r="E726" s="139"/>
      <c r="F726" s="139"/>
      <c r="G726" s="139"/>
      <c r="H726" s="139"/>
      <c r="I726" s="139"/>
      <c r="J726" s="139"/>
      <c r="K726" s="139"/>
      <c r="L726" s="139"/>
      <c r="M726" s="139"/>
      <c r="N726" s="139"/>
      <c r="O726" s="139"/>
      <c r="P726" s="139"/>
      <c r="Q726" s="139"/>
      <c r="R726" s="139"/>
      <c r="S726" s="139"/>
      <c r="T726" s="139"/>
      <c r="U726" s="139"/>
      <c r="V726" s="139"/>
      <c r="W726" s="139"/>
      <c r="X726" s="139"/>
      <c r="Y726" s="139"/>
      <c r="Z726" s="139"/>
      <c r="AA726" s="139"/>
      <c r="AB726" s="139"/>
      <c r="AC726" s="139"/>
      <c r="AD726" s="139"/>
      <c r="AE726" s="139"/>
      <c r="AF726" s="139"/>
      <c r="AG726" s="139"/>
      <c r="AH726" s="139"/>
      <c r="AI726" s="139"/>
      <c r="AJ726" s="139"/>
    </row>
    <row r="727">
      <c r="A727" s="9"/>
      <c r="B727" s="139"/>
      <c r="C727" s="139"/>
      <c r="D727" s="139"/>
      <c r="E727" s="139"/>
      <c r="F727" s="139"/>
      <c r="G727" s="139"/>
      <c r="H727" s="139"/>
      <c r="I727" s="139"/>
      <c r="J727" s="139"/>
      <c r="K727" s="139"/>
      <c r="L727" s="139"/>
      <c r="M727" s="139"/>
      <c r="N727" s="139"/>
      <c r="O727" s="139"/>
      <c r="P727" s="139"/>
      <c r="Q727" s="139"/>
      <c r="R727" s="139"/>
      <c r="S727" s="139"/>
      <c r="T727" s="139"/>
      <c r="U727" s="139"/>
      <c r="V727" s="139"/>
      <c r="W727" s="139"/>
      <c r="X727" s="139"/>
      <c r="Y727" s="139"/>
      <c r="Z727" s="139"/>
      <c r="AA727" s="139"/>
      <c r="AB727" s="139"/>
      <c r="AC727" s="139"/>
      <c r="AD727" s="139"/>
      <c r="AE727" s="139"/>
      <c r="AF727" s="139"/>
      <c r="AG727" s="139"/>
      <c r="AH727" s="139"/>
      <c r="AI727" s="139"/>
      <c r="AJ727" s="139"/>
    </row>
    <row r="728">
      <c r="A728" s="9"/>
      <c r="B728" s="139"/>
      <c r="C728" s="139"/>
      <c r="D728" s="139"/>
      <c r="E728" s="139"/>
      <c r="F728" s="139"/>
      <c r="G728" s="139"/>
      <c r="H728" s="139"/>
      <c r="I728" s="139"/>
      <c r="J728" s="139"/>
      <c r="K728" s="139"/>
      <c r="L728" s="139"/>
      <c r="M728" s="139"/>
      <c r="N728" s="139"/>
      <c r="O728" s="139"/>
      <c r="P728" s="139"/>
      <c r="Q728" s="139"/>
      <c r="R728" s="139"/>
      <c r="S728" s="139"/>
      <c r="T728" s="139"/>
      <c r="U728" s="139"/>
      <c r="V728" s="139"/>
      <c r="W728" s="139"/>
      <c r="X728" s="139"/>
      <c r="Y728" s="139"/>
      <c r="Z728" s="139"/>
      <c r="AA728" s="139"/>
      <c r="AB728" s="139"/>
      <c r="AC728" s="139"/>
      <c r="AD728" s="139"/>
      <c r="AE728" s="139"/>
      <c r="AF728" s="139"/>
      <c r="AG728" s="139"/>
      <c r="AH728" s="139"/>
      <c r="AI728" s="139"/>
      <c r="AJ728" s="139"/>
    </row>
    <row r="729">
      <c r="A729" s="9"/>
      <c r="B729" s="139"/>
      <c r="C729" s="139"/>
      <c r="D729" s="139"/>
      <c r="E729" s="139"/>
      <c r="F729" s="139"/>
      <c r="G729" s="139"/>
      <c r="H729" s="139"/>
      <c r="I729" s="139"/>
      <c r="J729" s="139"/>
      <c r="K729" s="139"/>
      <c r="L729" s="139"/>
      <c r="M729" s="139"/>
      <c r="N729" s="139"/>
      <c r="O729" s="139"/>
      <c r="P729" s="139"/>
      <c r="Q729" s="139"/>
      <c r="R729" s="139"/>
      <c r="S729" s="139"/>
      <c r="T729" s="139"/>
      <c r="U729" s="139"/>
      <c r="V729" s="139"/>
      <c r="W729" s="139"/>
      <c r="X729" s="139"/>
      <c r="Y729" s="139"/>
      <c r="Z729" s="139"/>
      <c r="AA729" s="139"/>
      <c r="AB729" s="139"/>
      <c r="AC729" s="139"/>
      <c r="AD729" s="139"/>
      <c r="AE729" s="139"/>
      <c r="AF729" s="139"/>
      <c r="AG729" s="139"/>
      <c r="AH729" s="139"/>
      <c r="AI729" s="139"/>
      <c r="AJ729" s="139"/>
    </row>
    <row r="730">
      <c r="A730" s="9"/>
      <c r="B730" s="139"/>
      <c r="C730" s="139"/>
      <c r="D730" s="139"/>
      <c r="E730" s="139"/>
      <c r="F730" s="139"/>
      <c r="G730" s="139"/>
      <c r="H730" s="139"/>
      <c r="I730" s="139"/>
      <c r="J730" s="139"/>
      <c r="K730" s="139"/>
      <c r="L730" s="139"/>
      <c r="M730" s="139"/>
      <c r="N730" s="139"/>
      <c r="O730" s="139"/>
      <c r="P730" s="139"/>
      <c r="Q730" s="139"/>
      <c r="R730" s="139"/>
      <c r="S730" s="139"/>
      <c r="T730" s="139"/>
      <c r="U730" s="139"/>
      <c r="V730" s="139"/>
      <c r="W730" s="139"/>
      <c r="X730" s="139"/>
      <c r="Y730" s="139"/>
      <c r="Z730" s="139"/>
      <c r="AA730" s="139"/>
      <c r="AB730" s="139"/>
      <c r="AC730" s="139"/>
      <c r="AD730" s="139"/>
      <c r="AE730" s="139"/>
      <c r="AF730" s="139"/>
      <c r="AG730" s="139"/>
      <c r="AH730" s="139"/>
      <c r="AI730" s="139"/>
      <c r="AJ730" s="139"/>
    </row>
    <row r="731">
      <c r="A731" s="9"/>
      <c r="B731" s="139"/>
      <c r="C731" s="139"/>
      <c r="D731" s="139"/>
      <c r="E731" s="139"/>
      <c r="F731" s="139"/>
      <c r="G731" s="139"/>
      <c r="H731" s="139"/>
      <c r="I731" s="139"/>
      <c r="J731" s="139"/>
      <c r="K731" s="139"/>
      <c r="L731" s="139"/>
      <c r="M731" s="139"/>
      <c r="N731" s="139"/>
      <c r="O731" s="139"/>
      <c r="P731" s="139"/>
      <c r="Q731" s="139"/>
      <c r="R731" s="139"/>
      <c r="S731" s="139"/>
      <c r="T731" s="139"/>
      <c r="U731" s="139"/>
      <c r="V731" s="139"/>
      <c r="W731" s="139"/>
      <c r="X731" s="139"/>
      <c r="Y731" s="139"/>
      <c r="Z731" s="139"/>
      <c r="AA731" s="139"/>
      <c r="AB731" s="139"/>
      <c r="AC731" s="139"/>
      <c r="AD731" s="139"/>
      <c r="AE731" s="139"/>
      <c r="AF731" s="139"/>
      <c r="AG731" s="139"/>
      <c r="AH731" s="139"/>
      <c r="AI731" s="139"/>
      <c r="AJ731" s="139"/>
    </row>
    <row r="732">
      <c r="A732" s="9"/>
      <c r="B732" s="139"/>
      <c r="C732" s="139"/>
      <c r="D732" s="139"/>
      <c r="E732" s="139"/>
      <c r="F732" s="139"/>
      <c r="G732" s="139"/>
      <c r="H732" s="139"/>
      <c r="I732" s="139"/>
      <c r="J732" s="139"/>
      <c r="K732" s="139"/>
      <c r="L732" s="139"/>
      <c r="M732" s="139"/>
      <c r="N732" s="139"/>
      <c r="O732" s="139"/>
      <c r="P732" s="139"/>
      <c r="Q732" s="139"/>
      <c r="R732" s="139"/>
      <c r="S732" s="139"/>
      <c r="T732" s="139"/>
      <c r="U732" s="139"/>
      <c r="V732" s="139"/>
      <c r="W732" s="139"/>
      <c r="X732" s="139"/>
      <c r="Y732" s="139"/>
      <c r="Z732" s="139"/>
      <c r="AA732" s="139"/>
      <c r="AB732" s="139"/>
      <c r="AC732" s="139"/>
      <c r="AD732" s="139"/>
      <c r="AE732" s="139"/>
      <c r="AF732" s="139"/>
      <c r="AG732" s="139"/>
      <c r="AH732" s="139"/>
      <c r="AI732" s="139"/>
      <c r="AJ732" s="139"/>
    </row>
    <row r="733">
      <c r="A733" s="9"/>
      <c r="B733" s="139"/>
      <c r="C733" s="139"/>
      <c r="D733" s="139"/>
      <c r="E733" s="139"/>
      <c r="F733" s="139"/>
      <c r="G733" s="139"/>
      <c r="H733" s="139"/>
      <c r="I733" s="139"/>
      <c r="J733" s="139"/>
      <c r="K733" s="139"/>
      <c r="L733" s="139"/>
      <c r="M733" s="139"/>
      <c r="N733" s="139"/>
      <c r="O733" s="139"/>
      <c r="P733" s="139"/>
      <c r="Q733" s="139"/>
      <c r="R733" s="139"/>
      <c r="S733" s="139"/>
      <c r="T733" s="139"/>
      <c r="U733" s="139"/>
      <c r="V733" s="139"/>
      <c r="W733" s="139"/>
      <c r="X733" s="139"/>
      <c r="Y733" s="139"/>
      <c r="Z733" s="139"/>
      <c r="AA733" s="139"/>
      <c r="AB733" s="139"/>
      <c r="AC733" s="139"/>
      <c r="AD733" s="139"/>
      <c r="AE733" s="139"/>
      <c r="AF733" s="139"/>
      <c r="AG733" s="139"/>
      <c r="AH733" s="139"/>
      <c r="AI733" s="139"/>
      <c r="AJ733" s="139"/>
    </row>
    <row r="734">
      <c r="A734" s="9"/>
      <c r="B734" s="139"/>
      <c r="C734" s="139"/>
      <c r="D734" s="139"/>
      <c r="E734" s="139"/>
      <c r="F734" s="139"/>
      <c r="G734" s="139"/>
      <c r="H734" s="139"/>
      <c r="I734" s="139"/>
      <c r="J734" s="139"/>
      <c r="K734" s="139"/>
      <c r="L734" s="139"/>
      <c r="M734" s="139"/>
      <c r="N734" s="139"/>
      <c r="O734" s="139"/>
      <c r="P734" s="139"/>
      <c r="Q734" s="139"/>
      <c r="R734" s="139"/>
      <c r="S734" s="139"/>
      <c r="T734" s="139"/>
      <c r="U734" s="139"/>
      <c r="V734" s="139"/>
      <c r="W734" s="139"/>
      <c r="X734" s="139"/>
      <c r="Y734" s="139"/>
      <c r="Z734" s="139"/>
      <c r="AA734" s="139"/>
      <c r="AB734" s="139"/>
      <c r="AC734" s="139"/>
      <c r="AD734" s="139"/>
      <c r="AE734" s="139"/>
      <c r="AF734" s="139"/>
      <c r="AG734" s="139"/>
      <c r="AH734" s="139"/>
      <c r="AI734" s="139"/>
      <c r="AJ734" s="139"/>
    </row>
    <row r="735">
      <c r="A735" s="9"/>
      <c r="B735" s="139"/>
      <c r="C735" s="139"/>
      <c r="D735" s="139"/>
      <c r="E735" s="139"/>
      <c r="F735" s="139"/>
      <c r="G735" s="139"/>
      <c r="H735" s="139"/>
      <c r="I735" s="139"/>
      <c r="J735" s="139"/>
      <c r="K735" s="139"/>
      <c r="L735" s="139"/>
      <c r="M735" s="139"/>
      <c r="N735" s="139"/>
      <c r="O735" s="139"/>
      <c r="P735" s="139"/>
      <c r="Q735" s="139"/>
      <c r="R735" s="139"/>
      <c r="S735" s="139"/>
      <c r="T735" s="139"/>
      <c r="U735" s="139"/>
      <c r="V735" s="139"/>
      <c r="W735" s="139"/>
      <c r="X735" s="139"/>
      <c r="Y735" s="139"/>
      <c r="Z735" s="139"/>
      <c r="AA735" s="139"/>
      <c r="AB735" s="139"/>
      <c r="AC735" s="139"/>
      <c r="AD735" s="139"/>
      <c r="AE735" s="139"/>
      <c r="AF735" s="139"/>
      <c r="AG735" s="139"/>
      <c r="AH735" s="139"/>
      <c r="AI735" s="139"/>
      <c r="AJ735" s="139"/>
    </row>
    <row r="736">
      <c r="A736" s="9"/>
      <c r="B736" s="139"/>
      <c r="C736" s="139"/>
      <c r="D736" s="139"/>
      <c r="E736" s="139"/>
      <c r="F736" s="139"/>
      <c r="G736" s="139"/>
      <c r="H736" s="139"/>
      <c r="I736" s="139"/>
      <c r="J736" s="139"/>
      <c r="K736" s="139"/>
      <c r="L736" s="139"/>
      <c r="M736" s="139"/>
      <c r="N736" s="139"/>
      <c r="O736" s="139"/>
      <c r="P736" s="139"/>
      <c r="Q736" s="139"/>
      <c r="R736" s="139"/>
      <c r="S736" s="139"/>
      <c r="T736" s="139"/>
      <c r="U736" s="139"/>
      <c r="V736" s="139"/>
      <c r="W736" s="139"/>
      <c r="X736" s="139"/>
      <c r="Y736" s="139"/>
      <c r="Z736" s="139"/>
      <c r="AA736" s="139"/>
      <c r="AB736" s="139"/>
      <c r="AC736" s="139"/>
      <c r="AD736" s="139"/>
      <c r="AE736" s="139"/>
      <c r="AF736" s="139"/>
      <c r="AG736" s="139"/>
      <c r="AH736" s="139"/>
      <c r="AI736" s="139"/>
      <c r="AJ736" s="139"/>
    </row>
    <row r="737">
      <c r="A737" s="9"/>
      <c r="B737" s="139"/>
      <c r="C737" s="139"/>
      <c r="D737" s="139"/>
      <c r="E737" s="139"/>
      <c r="F737" s="139"/>
      <c r="G737" s="139"/>
      <c r="H737" s="139"/>
      <c r="I737" s="139"/>
      <c r="J737" s="139"/>
      <c r="K737" s="139"/>
      <c r="L737" s="139"/>
      <c r="M737" s="139"/>
      <c r="N737" s="139"/>
      <c r="O737" s="139"/>
      <c r="P737" s="139"/>
      <c r="Q737" s="139"/>
      <c r="R737" s="139"/>
      <c r="S737" s="139"/>
      <c r="T737" s="139"/>
      <c r="U737" s="139"/>
      <c r="V737" s="139"/>
      <c r="W737" s="139"/>
      <c r="X737" s="139"/>
      <c r="Y737" s="139"/>
      <c r="Z737" s="139"/>
      <c r="AA737" s="139"/>
      <c r="AB737" s="139"/>
      <c r="AC737" s="139"/>
      <c r="AD737" s="139"/>
      <c r="AE737" s="139"/>
      <c r="AF737" s="139"/>
      <c r="AG737" s="139"/>
      <c r="AH737" s="139"/>
      <c r="AI737" s="139"/>
      <c r="AJ737" s="139"/>
    </row>
    <row r="738">
      <c r="A738" s="9"/>
      <c r="B738" s="139"/>
      <c r="C738" s="139"/>
      <c r="D738" s="139"/>
      <c r="E738" s="139"/>
      <c r="F738" s="139"/>
      <c r="G738" s="139"/>
      <c r="H738" s="139"/>
      <c r="I738" s="139"/>
      <c r="J738" s="139"/>
      <c r="K738" s="139"/>
      <c r="L738" s="139"/>
      <c r="M738" s="139"/>
      <c r="N738" s="139"/>
      <c r="O738" s="139"/>
      <c r="P738" s="139"/>
      <c r="Q738" s="139"/>
      <c r="R738" s="139"/>
      <c r="S738" s="139"/>
      <c r="T738" s="139"/>
      <c r="U738" s="139"/>
      <c r="V738" s="139"/>
      <c r="W738" s="139"/>
      <c r="X738" s="139"/>
      <c r="Y738" s="139"/>
      <c r="Z738" s="139"/>
      <c r="AA738" s="139"/>
      <c r="AB738" s="139"/>
      <c r="AC738" s="139"/>
      <c r="AD738" s="139"/>
      <c r="AE738" s="139"/>
      <c r="AF738" s="139"/>
      <c r="AG738" s="139"/>
      <c r="AH738" s="139"/>
      <c r="AI738" s="139"/>
      <c r="AJ738" s="139"/>
    </row>
    <row r="739">
      <c r="A739" s="9"/>
      <c r="B739" s="139"/>
      <c r="C739" s="139"/>
      <c r="D739" s="139"/>
      <c r="E739" s="139"/>
      <c r="F739" s="139"/>
      <c r="G739" s="139"/>
      <c r="H739" s="139"/>
      <c r="I739" s="139"/>
      <c r="J739" s="139"/>
      <c r="K739" s="139"/>
      <c r="L739" s="139"/>
      <c r="M739" s="139"/>
      <c r="N739" s="139"/>
      <c r="O739" s="139"/>
      <c r="P739" s="139"/>
      <c r="Q739" s="139"/>
      <c r="R739" s="139"/>
      <c r="S739" s="139"/>
      <c r="T739" s="139"/>
      <c r="U739" s="139"/>
      <c r="V739" s="139"/>
      <c r="W739" s="139"/>
      <c r="X739" s="139"/>
      <c r="Y739" s="139"/>
      <c r="Z739" s="139"/>
      <c r="AA739" s="139"/>
      <c r="AB739" s="139"/>
      <c r="AC739" s="139"/>
      <c r="AD739" s="139"/>
      <c r="AE739" s="139"/>
      <c r="AF739" s="139"/>
      <c r="AG739" s="139"/>
      <c r="AH739" s="139"/>
      <c r="AI739" s="139"/>
      <c r="AJ739" s="139"/>
    </row>
    <row r="740">
      <c r="A740" s="9"/>
      <c r="B740" s="139"/>
      <c r="C740" s="139"/>
      <c r="D740" s="139"/>
      <c r="E740" s="139"/>
      <c r="F740" s="139"/>
      <c r="G740" s="139"/>
      <c r="H740" s="139"/>
      <c r="I740" s="139"/>
      <c r="J740" s="139"/>
      <c r="K740" s="139"/>
      <c r="L740" s="139"/>
      <c r="M740" s="139"/>
      <c r="N740" s="139"/>
      <c r="O740" s="139"/>
      <c r="P740" s="139"/>
      <c r="Q740" s="139"/>
      <c r="R740" s="139"/>
      <c r="S740" s="139"/>
      <c r="T740" s="139"/>
      <c r="U740" s="139"/>
      <c r="V740" s="139"/>
      <c r="W740" s="139"/>
      <c r="X740" s="139"/>
      <c r="Y740" s="139"/>
      <c r="Z740" s="139"/>
      <c r="AA740" s="139"/>
      <c r="AB740" s="139"/>
      <c r="AC740" s="139"/>
      <c r="AD740" s="139"/>
      <c r="AE740" s="139"/>
      <c r="AF740" s="139"/>
      <c r="AG740" s="139"/>
      <c r="AH740" s="139"/>
      <c r="AI740" s="139"/>
      <c r="AJ740" s="139"/>
    </row>
    <row r="741">
      <c r="A741" s="9"/>
      <c r="B741" s="139"/>
      <c r="C741" s="139"/>
      <c r="D741" s="139"/>
      <c r="E741" s="139"/>
      <c r="F741" s="139"/>
      <c r="G741" s="139"/>
      <c r="H741" s="139"/>
      <c r="I741" s="139"/>
      <c r="J741" s="139"/>
      <c r="K741" s="139"/>
      <c r="L741" s="139"/>
      <c r="M741" s="139"/>
      <c r="N741" s="139"/>
      <c r="O741" s="139"/>
      <c r="P741" s="139"/>
      <c r="Q741" s="139"/>
      <c r="R741" s="139"/>
      <c r="S741" s="139"/>
      <c r="T741" s="139"/>
      <c r="U741" s="139"/>
      <c r="V741" s="139"/>
      <c r="W741" s="139"/>
      <c r="X741" s="139"/>
      <c r="Y741" s="139"/>
      <c r="Z741" s="139"/>
      <c r="AA741" s="139"/>
      <c r="AB741" s="139"/>
      <c r="AC741" s="139"/>
      <c r="AD741" s="139"/>
      <c r="AE741" s="139"/>
      <c r="AF741" s="139"/>
      <c r="AG741" s="139"/>
      <c r="AH741" s="139"/>
      <c r="AI741" s="139"/>
      <c r="AJ741" s="139"/>
    </row>
    <row r="742">
      <c r="A742" s="9"/>
      <c r="B742" s="139"/>
      <c r="C742" s="139"/>
      <c r="D742" s="139"/>
      <c r="E742" s="139"/>
      <c r="F742" s="139"/>
      <c r="G742" s="139"/>
      <c r="H742" s="139"/>
      <c r="I742" s="139"/>
      <c r="J742" s="139"/>
      <c r="K742" s="139"/>
      <c r="L742" s="139"/>
      <c r="M742" s="139"/>
      <c r="N742" s="139"/>
      <c r="O742" s="139"/>
      <c r="P742" s="139"/>
      <c r="Q742" s="139"/>
      <c r="R742" s="139"/>
      <c r="S742" s="139"/>
      <c r="T742" s="139"/>
      <c r="U742" s="139"/>
      <c r="V742" s="139"/>
      <c r="W742" s="139"/>
      <c r="X742" s="139"/>
      <c r="Y742" s="139"/>
      <c r="Z742" s="139"/>
      <c r="AA742" s="139"/>
      <c r="AB742" s="139"/>
      <c r="AC742" s="139"/>
      <c r="AD742" s="139"/>
      <c r="AE742" s="139"/>
      <c r="AF742" s="139"/>
      <c r="AG742" s="139"/>
      <c r="AH742" s="139"/>
      <c r="AI742" s="139"/>
      <c r="AJ742" s="139"/>
    </row>
    <row r="743">
      <c r="A743" s="9"/>
      <c r="B743" s="139"/>
      <c r="C743" s="139"/>
      <c r="D743" s="139"/>
      <c r="E743" s="139"/>
      <c r="F743" s="139"/>
      <c r="G743" s="139"/>
      <c r="H743" s="139"/>
      <c r="I743" s="139"/>
      <c r="J743" s="139"/>
      <c r="K743" s="139"/>
      <c r="L743" s="139"/>
      <c r="M743" s="139"/>
      <c r="N743" s="139"/>
      <c r="O743" s="139"/>
      <c r="P743" s="139"/>
      <c r="Q743" s="139"/>
      <c r="R743" s="139"/>
      <c r="S743" s="139"/>
      <c r="T743" s="139"/>
      <c r="U743" s="139"/>
      <c r="V743" s="139"/>
      <c r="W743" s="139"/>
      <c r="X743" s="139"/>
      <c r="Y743" s="139"/>
      <c r="Z743" s="139"/>
      <c r="AA743" s="139"/>
      <c r="AB743" s="139"/>
      <c r="AC743" s="139"/>
      <c r="AD743" s="139"/>
      <c r="AE743" s="139"/>
      <c r="AF743" s="139"/>
      <c r="AG743" s="139"/>
      <c r="AH743" s="139"/>
      <c r="AI743" s="139"/>
      <c r="AJ743" s="139"/>
    </row>
    <row r="744">
      <c r="A744" s="9"/>
      <c r="B744" s="139"/>
      <c r="C744" s="139"/>
      <c r="D744" s="139"/>
      <c r="E744" s="139"/>
      <c r="F744" s="139"/>
      <c r="G744" s="139"/>
      <c r="H744" s="139"/>
      <c r="I744" s="139"/>
      <c r="J744" s="139"/>
      <c r="K744" s="139"/>
      <c r="L744" s="139"/>
      <c r="M744" s="139"/>
      <c r="N744" s="139"/>
      <c r="O744" s="139"/>
      <c r="P744" s="139"/>
      <c r="Q744" s="139"/>
      <c r="R744" s="139"/>
      <c r="S744" s="139"/>
      <c r="T744" s="139"/>
      <c r="U744" s="139"/>
      <c r="V744" s="139"/>
      <c r="W744" s="139"/>
      <c r="X744" s="139"/>
      <c r="Y744" s="139"/>
      <c r="Z744" s="139"/>
      <c r="AA744" s="139"/>
      <c r="AB744" s="139"/>
      <c r="AC744" s="139"/>
      <c r="AD744" s="139"/>
      <c r="AE744" s="139"/>
      <c r="AF744" s="139"/>
      <c r="AG744" s="139"/>
      <c r="AH744" s="139"/>
      <c r="AI744" s="139"/>
      <c r="AJ744" s="139"/>
    </row>
    <row r="745">
      <c r="A745" s="9"/>
      <c r="B745" s="139"/>
      <c r="C745" s="139"/>
      <c r="D745" s="139"/>
      <c r="E745" s="139"/>
      <c r="F745" s="139"/>
      <c r="G745" s="139"/>
      <c r="H745" s="139"/>
      <c r="I745" s="139"/>
      <c r="J745" s="139"/>
      <c r="K745" s="139"/>
      <c r="L745" s="139"/>
      <c r="M745" s="139"/>
      <c r="N745" s="139"/>
      <c r="O745" s="139"/>
      <c r="P745" s="139"/>
      <c r="Q745" s="139"/>
      <c r="R745" s="139"/>
      <c r="S745" s="139"/>
      <c r="T745" s="139"/>
      <c r="U745" s="139"/>
      <c r="V745" s="139"/>
      <c r="W745" s="139"/>
      <c r="X745" s="139"/>
      <c r="Y745" s="139"/>
      <c r="Z745" s="139"/>
      <c r="AA745" s="139"/>
      <c r="AB745" s="139"/>
      <c r="AC745" s="139"/>
      <c r="AD745" s="139"/>
      <c r="AE745" s="139"/>
      <c r="AF745" s="139"/>
      <c r="AG745" s="139"/>
      <c r="AH745" s="139"/>
      <c r="AI745" s="139"/>
      <c r="AJ745" s="139"/>
    </row>
    <row r="746">
      <c r="A746" s="9"/>
      <c r="B746" s="139"/>
      <c r="C746" s="139"/>
      <c r="D746" s="139"/>
      <c r="E746" s="139"/>
      <c r="F746" s="139"/>
      <c r="G746" s="139"/>
      <c r="H746" s="139"/>
      <c r="I746" s="139"/>
      <c r="J746" s="139"/>
      <c r="K746" s="139"/>
      <c r="L746" s="139"/>
      <c r="M746" s="139"/>
      <c r="N746" s="139"/>
      <c r="O746" s="139"/>
      <c r="P746" s="139"/>
      <c r="Q746" s="139"/>
      <c r="R746" s="139"/>
      <c r="S746" s="139"/>
      <c r="T746" s="139"/>
      <c r="U746" s="139"/>
      <c r="V746" s="139"/>
      <c r="W746" s="139"/>
      <c r="X746" s="139"/>
      <c r="Y746" s="139"/>
      <c r="Z746" s="139"/>
      <c r="AA746" s="139"/>
      <c r="AB746" s="139"/>
      <c r="AC746" s="139"/>
      <c r="AD746" s="139"/>
      <c r="AE746" s="139"/>
      <c r="AF746" s="139"/>
      <c r="AG746" s="139"/>
      <c r="AH746" s="139"/>
      <c r="AI746" s="139"/>
      <c r="AJ746" s="139"/>
    </row>
    <row r="747">
      <c r="A747" s="9"/>
      <c r="B747" s="139"/>
      <c r="C747" s="139"/>
      <c r="D747" s="139"/>
      <c r="E747" s="139"/>
      <c r="F747" s="139"/>
      <c r="G747" s="139"/>
      <c r="H747" s="139"/>
      <c r="I747" s="139"/>
      <c r="J747" s="139"/>
      <c r="K747" s="139"/>
      <c r="L747" s="139"/>
      <c r="M747" s="139"/>
      <c r="N747" s="139"/>
      <c r="O747" s="139"/>
      <c r="P747" s="139"/>
      <c r="Q747" s="139"/>
      <c r="R747" s="139"/>
      <c r="S747" s="139"/>
      <c r="T747" s="139"/>
      <c r="U747" s="139"/>
      <c r="V747" s="139"/>
      <c r="W747" s="139"/>
      <c r="X747" s="139"/>
      <c r="Y747" s="139"/>
      <c r="Z747" s="139"/>
      <c r="AA747" s="139"/>
      <c r="AB747" s="139"/>
      <c r="AC747" s="139"/>
      <c r="AD747" s="139"/>
      <c r="AE747" s="139"/>
      <c r="AF747" s="139"/>
      <c r="AG747" s="139"/>
      <c r="AH747" s="139"/>
      <c r="AI747" s="139"/>
      <c r="AJ747" s="139"/>
    </row>
    <row r="748">
      <c r="A748" s="9"/>
      <c r="B748" s="139"/>
      <c r="C748" s="139"/>
      <c r="D748" s="139"/>
      <c r="E748" s="139"/>
      <c r="F748" s="139"/>
      <c r="G748" s="139"/>
      <c r="H748" s="139"/>
      <c r="I748" s="139"/>
      <c r="J748" s="139"/>
      <c r="K748" s="139"/>
      <c r="L748" s="139"/>
      <c r="M748" s="139"/>
      <c r="N748" s="139"/>
      <c r="O748" s="139"/>
      <c r="P748" s="139"/>
      <c r="Q748" s="139"/>
      <c r="R748" s="139"/>
      <c r="S748" s="139"/>
      <c r="T748" s="139"/>
      <c r="U748" s="139"/>
      <c r="V748" s="139"/>
      <c r="W748" s="139"/>
      <c r="X748" s="139"/>
      <c r="Y748" s="139"/>
      <c r="Z748" s="139"/>
      <c r="AA748" s="139"/>
      <c r="AB748" s="139"/>
      <c r="AC748" s="139"/>
      <c r="AD748" s="139"/>
      <c r="AE748" s="139"/>
      <c r="AF748" s="139"/>
      <c r="AG748" s="139"/>
      <c r="AH748" s="139"/>
      <c r="AI748" s="139"/>
      <c r="AJ748" s="139"/>
    </row>
    <row r="749">
      <c r="A749" s="9"/>
      <c r="B749" s="139"/>
      <c r="C749" s="139"/>
      <c r="D749" s="139"/>
      <c r="E749" s="139"/>
      <c r="F749" s="139"/>
      <c r="G749" s="139"/>
      <c r="H749" s="139"/>
      <c r="I749" s="139"/>
      <c r="J749" s="139"/>
      <c r="K749" s="139"/>
      <c r="L749" s="139"/>
      <c r="M749" s="139"/>
      <c r="N749" s="139"/>
      <c r="O749" s="139"/>
      <c r="P749" s="139"/>
      <c r="Q749" s="139"/>
      <c r="R749" s="139"/>
      <c r="S749" s="139"/>
      <c r="T749" s="139"/>
      <c r="U749" s="139"/>
      <c r="V749" s="139"/>
      <c r="W749" s="139"/>
      <c r="X749" s="139"/>
      <c r="Y749" s="139"/>
      <c r="Z749" s="139"/>
      <c r="AA749" s="139"/>
      <c r="AB749" s="139"/>
      <c r="AC749" s="139"/>
      <c r="AD749" s="139"/>
      <c r="AE749" s="139"/>
      <c r="AF749" s="139"/>
      <c r="AG749" s="139"/>
      <c r="AH749" s="139"/>
      <c r="AI749" s="139"/>
      <c r="AJ749" s="139"/>
    </row>
    <row r="750">
      <c r="A750" s="9"/>
      <c r="B750" s="139"/>
      <c r="C750" s="139"/>
      <c r="D750" s="139"/>
      <c r="E750" s="139"/>
      <c r="F750" s="139"/>
      <c r="G750" s="139"/>
      <c r="H750" s="139"/>
      <c r="I750" s="139"/>
      <c r="J750" s="139"/>
      <c r="K750" s="139"/>
      <c r="L750" s="139"/>
      <c r="M750" s="139"/>
      <c r="N750" s="139"/>
      <c r="O750" s="139"/>
      <c r="P750" s="139"/>
      <c r="Q750" s="139"/>
      <c r="R750" s="139"/>
      <c r="S750" s="139"/>
      <c r="T750" s="139"/>
      <c r="U750" s="139"/>
      <c r="V750" s="139"/>
      <c r="W750" s="139"/>
      <c r="X750" s="139"/>
      <c r="Y750" s="139"/>
      <c r="Z750" s="139"/>
      <c r="AA750" s="139"/>
      <c r="AB750" s="139"/>
      <c r="AC750" s="139"/>
      <c r="AD750" s="139"/>
      <c r="AE750" s="139"/>
      <c r="AF750" s="139"/>
      <c r="AG750" s="139"/>
      <c r="AH750" s="139"/>
      <c r="AI750" s="139"/>
      <c r="AJ750" s="139"/>
    </row>
    <row r="751">
      <c r="A751" s="9"/>
      <c r="B751" s="139"/>
      <c r="C751" s="139"/>
      <c r="D751" s="139"/>
      <c r="E751" s="139"/>
      <c r="F751" s="139"/>
      <c r="G751" s="139"/>
      <c r="H751" s="139"/>
      <c r="I751" s="139"/>
      <c r="J751" s="139"/>
      <c r="K751" s="139"/>
      <c r="L751" s="139"/>
      <c r="M751" s="139"/>
      <c r="N751" s="139"/>
      <c r="O751" s="139"/>
      <c r="P751" s="139"/>
      <c r="Q751" s="139"/>
      <c r="R751" s="139"/>
      <c r="S751" s="139"/>
      <c r="T751" s="139"/>
      <c r="U751" s="139"/>
      <c r="V751" s="139"/>
      <c r="W751" s="139"/>
      <c r="X751" s="139"/>
      <c r="Y751" s="139"/>
      <c r="Z751" s="139"/>
      <c r="AA751" s="139"/>
      <c r="AB751" s="139"/>
      <c r="AC751" s="139"/>
      <c r="AD751" s="139"/>
      <c r="AE751" s="139"/>
      <c r="AF751" s="139"/>
      <c r="AG751" s="139"/>
      <c r="AH751" s="139"/>
      <c r="AI751" s="139"/>
      <c r="AJ751" s="139"/>
    </row>
    <row r="752">
      <c r="A752" s="9"/>
      <c r="B752" s="139"/>
      <c r="C752" s="139"/>
      <c r="D752" s="139"/>
      <c r="E752" s="139"/>
      <c r="F752" s="139"/>
      <c r="G752" s="139"/>
      <c r="H752" s="139"/>
      <c r="I752" s="139"/>
      <c r="J752" s="139"/>
      <c r="K752" s="139"/>
      <c r="L752" s="139"/>
      <c r="M752" s="139"/>
      <c r="N752" s="139"/>
      <c r="O752" s="139"/>
      <c r="P752" s="139"/>
      <c r="Q752" s="139"/>
      <c r="R752" s="139"/>
      <c r="S752" s="139"/>
      <c r="T752" s="139"/>
      <c r="U752" s="139"/>
      <c r="V752" s="139"/>
      <c r="W752" s="139"/>
      <c r="X752" s="139"/>
      <c r="Y752" s="139"/>
      <c r="Z752" s="139"/>
      <c r="AA752" s="139"/>
      <c r="AB752" s="139"/>
      <c r="AC752" s="139"/>
      <c r="AD752" s="139"/>
      <c r="AE752" s="139"/>
      <c r="AF752" s="139"/>
      <c r="AG752" s="139"/>
      <c r="AH752" s="139"/>
      <c r="AI752" s="139"/>
      <c r="AJ752" s="139"/>
    </row>
    <row r="753">
      <c r="A753" s="9"/>
      <c r="B753" s="139"/>
      <c r="C753" s="139"/>
      <c r="D753" s="139"/>
      <c r="E753" s="139"/>
      <c r="F753" s="139"/>
      <c r="G753" s="139"/>
      <c r="H753" s="139"/>
      <c r="I753" s="139"/>
      <c r="J753" s="139"/>
      <c r="K753" s="139"/>
      <c r="L753" s="139"/>
      <c r="M753" s="139"/>
      <c r="N753" s="139"/>
      <c r="O753" s="139"/>
      <c r="P753" s="139"/>
      <c r="Q753" s="139"/>
      <c r="R753" s="139"/>
      <c r="S753" s="139"/>
      <c r="T753" s="139"/>
      <c r="U753" s="139"/>
      <c r="V753" s="139"/>
      <c r="W753" s="139"/>
      <c r="X753" s="139"/>
      <c r="Y753" s="139"/>
      <c r="Z753" s="139"/>
      <c r="AA753" s="139"/>
      <c r="AB753" s="139"/>
      <c r="AC753" s="139"/>
      <c r="AD753" s="139"/>
      <c r="AE753" s="139"/>
      <c r="AF753" s="139"/>
      <c r="AG753" s="139"/>
      <c r="AH753" s="139"/>
      <c r="AI753" s="139"/>
      <c r="AJ753" s="139"/>
    </row>
    <row r="754">
      <c r="A754" s="9"/>
      <c r="B754" s="139"/>
      <c r="C754" s="139"/>
      <c r="D754" s="139"/>
      <c r="E754" s="139"/>
      <c r="F754" s="139"/>
      <c r="G754" s="139"/>
      <c r="H754" s="139"/>
      <c r="I754" s="139"/>
      <c r="J754" s="139"/>
      <c r="K754" s="139"/>
      <c r="L754" s="139"/>
      <c r="M754" s="139"/>
      <c r="N754" s="139"/>
      <c r="O754" s="139"/>
      <c r="P754" s="139"/>
      <c r="Q754" s="139"/>
      <c r="R754" s="139"/>
      <c r="S754" s="139"/>
      <c r="T754" s="139"/>
      <c r="U754" s="139"/>
      <c r="V754" s="139"/>
      <c r="W754" s="139"/>
      <c r="X754" s="139"/>
      <c r="Y754" s="139"/>
      <c r="Z754" s="139"/>
      <c r="AA754" s="139"/>
      <c r="AB754" s="139"/>
      <c r="AC754" s="139"/>
      <c r="AD754" s="139"/>
      <c r="AE754" s="139"/>
      <c r="AF754" s="139"/>
      <c r="AG754" s="139"/>
      <c r="AH754" s="139"/>
      <c r="AI754" s="139"/>
      <c r="AJ754" s="139"/>
    </row>
    <row r="755">
      <c r="A755" s="9"/>
      <c r="B755" s="139"/>
      <c r="C755" s="139"/>
      <c r="D755" s="139"/>
      <c r="E755" s="139"/>
      <c r="F755" s="139"/>
      <c r="G755" s="139"/>
      <c r="H755" s="139"/>
      <c r="I755" s="139"/>
      <c r="J755" s="139"/>
      <c r="K755" s="139"/>
      <c r="L755" s="139"/>
      <c r="M755" s="139"/>
      <c r="N755" s="139"/>
      <c r="O755" s="139"/>
      <c r="P755" s="139"/>
      <c r="Q755" s="139"/>
      <c r="R755" s="139"/>
      <c r="S755" s="139"/>
      <c r="T755" s="139"/>
      <c r="U755" s="139"/>
      <c r="V755" s="139"/>
      <c r="W755" s="139"/>
      <c r="X755" s="139"/>
      <c r="Y755" s="139"/>
      <c r="Z755" s="139"/>
      <c r="AA755" s="139"/>
      <c r="AB755" s="139"/>
      <c r="AC755" s="139"/>
      <c r="AD755" s="139"/>
      <c r="AE755" s="139"/>
      <c r="AF755" s="139"/>
      <c r="AG755" s="139"/>
      <c r="AH755" s="139"/>
      <c r="AI755" s="139"/>
      <c r="AJ755" s="139"/>
    </row>
    <row r="756">
      <c r="A756" s="9"/>
      <c r="B756" s="139"/>
      <c r="C756" s="139"/>
      <c r="D756" s="139"/>
      <c r="E756" s="139"/>
      <c r="F756" s="139"/>
      <c r="G756" s="139"/>
      <c r="H756" s="139"/>
      <c r="I756" s="139"/>
      <c r="J756" s="139"/>
      <c r="K756" s="139"/>
      <c r="L756" s="139"/>
      <c r="M756" s="139"/>
      <c r="N756" s="139"/>
      <c r="O756" s="139"/>
      <c r="P756" s="139"/>
      <c r="Q756" s="139"/>
      <c r="R756" s="139"/>
      <c r="S756" s="139"/>
      <c r="T756" s="139"/>
      <c r="U756" s="139"/>
      <c r="V756" s="139"/>
      <c r="W756" s="139"/>
      <c r="X756" s="139"/>
      <c r="Y756" s="139"/>
      <c r="Z756" s="139"/>
      <c r="AA756" s="139"/>
      <c r="AB756" s="139"/>
      <c r="AC756" s="139"/>
      <c r="AD756" s="139"/>
      <c r="AE756" s="139"/>
      <c r="AF756" s="139"/>
      <c r="AG756" s="139"/>
      <c r="AH756" s="139"/>
      <c r="AI756" s="139"/>
      <c r="AJ756" s="139"/>
    </row>
    <row r="757">
      <c r="A757" s="9"/>
      <c r="B757" s="139"/>
      <c r="C757" s="139"/>
      <c r="D757" s="139"/>
      <c r="E757" s="139"/>
      <c r="F757" s="139"/>
      <c r="G757" s="139"/>
      <c r="H757" s="139"/>
      <c r="I757" s="139"/>
      <c r="J757" s="139"/>
      <c r="K757" s="139"/>
      <c r="L757" s="139"/>
      <c r="M757" s="139"/>
      <c r="N757" s="139"/>
      <c r="O757" s="139"/>
      <c r="P757" s="139"/>
      <c r="Q757" s="139"/>
      <c r="R757" s="139"/>
      <c r="S757" s="139"/>
      <c r="T757" s="139"/>
      <c r="U757" s="139"/>
      <c r="V757" s="139"/>
      <c r="W757" s="139"/>
      <c r="X757" s="139"/>
      <c r="Y757" s="139"/>
      <c r="Z757" s="139"/>
      <c r="AA757" s="139"/>
      <c r="AB757" s="139"/>
      <c r="AC757" s="139"/>
      <c r="AD757" s="139"/>
      <c r="AE757" s="139"/>
      <c r="AF757" s="139"/>
      <c r="AG757" s="139"/>
      <c r="AH757" s="139"/>
      <c r="AI757" s="139"/>
      <c r="AJ757" s="139"/>
    </row>
    <row r="758">
      <c r="A758" s="9"/>
      <c r="B758" s="139"/>
      <c r="C758" s="139"/>
      <c r="D758" s="139"/>
      <c r="E758" s="139"/>
      <c r="F758" s="139"/>
      <c r="G758" s="139"/>
      <c r="H758" s="139"/>
      <c r="I758" s="139"/>
      <c r="J758" s="139"/>
      <c r="K758" s="139"/>
      <c r="L758" s="139"/>
      <c r="M758" s="139"/>
      <c r="N758" s="139"/>
      <c r="O758" s="139"/>
      <c r="P758" s="139"/>
      <c r="Q758" s="139"/>
      <c r="R758" s="139"/>
      <c r="S758" s="139"/>
      <c r="T758" s="139"/>
      <c r="U758" s="139"/>
      <c r="V758" s="139"/>
      <c r="W758" s="139"/>
      <c r="X758" s="139"/>
      <c r="Y758" s="139"/>
      <c r="Z758" s="139"/>
      <c r="AA758" s="139"/>
      <c r="AB758" s="139"/>
      <c r="AC758" s="139"/>
      <c r="AD758" s="139"/>
      <c r="AE758" s="139"/>
      <c r="AF758" s="139"/>
      <c r="AG758" s="139"/>
      <c r="AH758" s="139"/>
      <c r="AI758" s="139"/>
      <c r="AJ758" s="139"/>
    </row>
    <row r="759">
      <c r="A759" s="9"/>
      <c r="B759" s="139"/>
      <c r="C759" s="139"/>
      <c r="D759" s="139"/>
      <c r="E759" s="139"/>
      <c r="F759" s="139"/>
      <c r="G759" s="139"/>
      <c r="H759" s="139"/>
      <c r="I759" s="139"/>
      <c r="J759" s="139"/>
      <c r="K759" s="139"/>
      <c r="L759" s="139"/>
      <c r="M759" s="139"/>
      <c r="N759" s="139"/>
      <c r="O759" s="139"/>
      <c r="P759" s="139"/>
      <c r="Q759" s="139"/>
      <c r="R759" s="139"/>
      <c r="S759" s="139"/>
      <c r="T759" s="139"/>
      <c r="U759" s="139"/>
      <c r="V759" s="139"/>
      <c r="W759" s="139"/>
      <c r="X759" s="139"/>
      <c r="Y759" s="139"/>
      <c r="Z759" s="139"/>
      <c r="AA759" s="139"/>
      <c r="AB759" s="139"/>
      <c r="AC759" s="139"/>
      <c r="AD759" s="139"/>
      <c r="AE759" s="139"/>
      <c r="AF759" s="139"/>
      <c r="AG759" s="139"/>
      <c r="AH759" s="139"/>
      <c r="AI759" s="139"/>
      <c r="AJ759" s="139"/>
    </row>
    <row r="760">
      <c r="A760" s="9"/>
      <c r="B760" s="139"/>
      <c r="C760" s="139"/>
      <c r="D760" s="139"/>
      <c r="E760" s="139"/>
      <c r="F760" s="139"/>
      <c r="G760" s="139"/>
      <c r="H760" s="139"/>
      <c r="I760" s="139"/>
      <c r="J760" s="139"/>
      <c r="K760" s="139"/>
      <c r="L760" s="139"/>
      <c r="M760" s="139"/>
      <c r="N760" s="139"/>
      <c r="O760" s="139"/>
      <c r="P760" s="139"/>
      <c r="Q760" s="139"/>
      <c r="R760" s="139"/>
      <c r="S760" s="139"/>
      <c r="T760" s="139"/>
      <c r="U760" s="139"/>
      <c r="V760" s="139"/>
      <c r="W760" s="139"/>
      <c r="X760" s="139"/>
      <c r="Y760" s="139"/>
      <c r="Z760" s="139"/>
      <c r="AA760" s="139"/>
      <c r="AB760" s="139"/>
      <c r="AC760" s="139"/>
      <c r="AD760" s="139"/>
      <c r="AE760" s="139"/>
      <c r="AF760" s="139"/>
      <c r="AG760" s="139"/>
      <c r="AH760" s="139"/>
      <c r="AI760" s="139"/>
      <c r="AJ760" s="139"/>
    </row>
    <row r="761">
      <c r="A761" s="9"/>
      <c r="B761" s="139"/>
      <c r="C761" s="139"/>
      <c r="D761" s="139"/>
      <c r="E761" s="139"/>
      <c r="F761" s="139"/>
      <c r="G761" s="139"/>
      <c r="H761" s="139"/>
      <c r="I761" s="139"/>
      <c r="J761" s="139"/>
      <c r="K761" s="139"/>
      <c r="L761" s="139"/>
      <c r="M761" s="139"/>
      <c r="N761" s="139"/>
      <c r="O761" s="139"/>
      <c r="P761" s="139"/>
      <c r="Q761" s="139"/>
      <c r="R761" s="139"/>
      <c r="S761" s="139"/>
      <c r="T761" s="139"/>
      <c r="U761" s="139"/>
      <c r="V761" s="139"/>
      <c r="W761" s="139"/>
      <c r="X761" s="139"/>
      <c r="Y761" s="139"/>
      <c r="Z761" s="139"/>
      <c r="AA761" s="139"/>
      <c r="AB761" s="139"/>
      <c r="AC761" s="139"/>
      <c r="AD761" s="139"/>
      <c r="AE761" s="139"/>
      <c r="AF761" s="139"/>
      <c r="AG761" s="139"/>
      <c r="AH761" s="139"/>
      <c r="AI761" s="139"/>
      <c r="AJ761" s="139"/>
    </row>
    <row r="762">
      <c r="A762" s="9"/>
      <c r="B762" s="139"/>
      <c r="C762" s="139"/>
      <c r="D762" s="139"/>
      <c r="E762" s="139"/>
      <c r="F762" s="139"/>
      <c r="G762" s="139"/>
      <c r="H762" s="139"/>
      <c r="I762" s="139"/>
      <c r="J762" s="139"/>
      <c r="K762" s="139"/>
      <c r="L762" s="139"/>
      <c r="M762" s="139"/>
      <c r="N762" s="139"/>
      <c r="O762" s="139"/>
      <c r="P762" s="139"/>
      <c r="Q762" s="139"/>
      <c r="R762" s="139"/>
      <c r="S762" s="139"/>
      <c r="T762" s="139"/>
      <c r="U762" s="139"/>
      <c r="V762" s="139"/>
      <c r="W762" s="139"/>
      <c r="X762" s="139"/>
      <c r="Y762" s="139"/>
      <c r="Z762" s="139"/>
      <c r="AA762" s="139"/>
      <c r="AB762" s="139"/>
      <c r="AC762" s="139"/>
      <c r="AD762" s="139"/>
      <c r="AE762" s="139"/>
      <c r="AF762" s="139"/>
      <c r="AG762" s="139"/>
      <c r="AH762" s="139"/>
      <c r="AI762" s="139"/>
      <c r="AJ762" s="139"/>
    </row>
    <row r="763">
      <c r="A763" s="9"/>
      <c r="B763" s="139"/>
      <c r="C763" s="139"/>
      <c r="D763" s="139"/>
      <c r="E763" s="139"/>
      <c r="F763" s="139"/>
      <c r="G763" s="139"/>
      <c r="H763" s="139"/>
      <c r="I763" s="139"/>
      <c r="J763" s="139"/>
      <c r="K763" s="139"/>
      <c r="L763" s="139"/>
      <c r="M763" s="139"/>
      <c r="N763" s="139"/>
      <c r="O763" s="139"/>
      <c r="P763" s="139"/>
      <c r="Q763" s="139"/>
      <c r="R763" s="139"/>
      <c r="S763" s="139"/>
      <c r="T763" s="139"/>
      <c r="U763" s="139"/>
      <c r="V763" s="139"/>
      <c r="W763" s="139"/>
      <c r="X763" s="139"/>
      <c r="Y763" s="139"/>
      <c r="Z763" s="139"/>
      <c r="AA763" s="139"/>
      <c r="AB763" s="139"/>
      <c r="AC763" s="139"/>
      <c r="AD763" s="139"/>
      <c r="AE763" s="139"/>
      <c r="AF763" s="139"/>
      <c r="AG763" s="139"/>
      <c r="AH763" s="139"/>
      <c r="AI763" s="139"/>
      <c r="AJ763" s="139"/>
    </row>
    <row r="764">
      <c r="A764" s="9"/>
      <c r="B764" s="139"/>
      <c r="C764" s="139"/>
      <c r="D764" s="139"/>
      <c r="E764" s="139"/>
      <c r="F764" s="139"/>
      <c r="G764" s="139"/>
      <c r="H764" s="139"/>
      <c r="I764" s="139"/>
      <c r="J764" s="139"/>
      <c r="K764" s="139"/>
      <c r="L764" s="139"/>
      <c r="M764" s="139"/>
      <c r="N764" s="139"/>
      <c r="O764" s="139"/>
      <c r="P764" s="139"/>
      <c r="Q764" s="139"/>
      <c r="R764" s="139"/>
      <c r="S764" s="139"/>
      <c r="T764" s="139"/>
      <c r="U764" s="139"/>
      <c r="V764" s="139"/>
      <c r="W764" s="139"/>
      <c r="X764" s="139"/>
      <c r="Y764" s="139"/>
      <c r="Z764" s="139"/>
      <c r="AA764" s="139"/>
      <c r="AB764" s="139"/>
      <c r="AC764" s="139"/>
      <c r="AD764" s="139"/>
      <c r="AE764" s="139"/>
      <c r="AF764" s="139"/>
      <c r="AG764" s="139"/>
      <c r="AH764" s="139"/>
      <c r="AI764" s="139"/>
      <c r="AJ764" s="139"/>
    </row>
    <row r="765">
      <c r="A765" s="9"/>
      <c r="B765" s="139"/>
      <c r="C765" s="139"/>
      <c r="D765" s="139"/>
      <c r="E765" s="139"/>
      <c r="F765" s="139"/>
      <c r="G765" s="139"/>
      <c r="H765" s="139"/>
      <c r="I765" s="139"/>
      <c r="J765" s="139"/>
      <c r="K765" s="139"/>
      <c r="L765" s="139"/>
      <c r="M765" s="139"/>
      <c r="N765" s="139"/>
      <c r="O765" s="139"/>
      <c r="P765" s="139"/>
      <c r="Q765" s="139"/>
      <c r="R765" s="139"/>
      <c r="S765" s="139"/>
      <c r="T765" s="139"/>
      <c r="U765" s="139"/>
      <c r="V765" s="139"/>
      <c r="W765" s="139"/>
      <c r="X765" s="139"/>
      <c r="Y765" s="139"/>
      <c r="Z765" s="139"/>
      <c r="AA765" s="139"/>
      <c r="AB765" s="139"/>
      <c r="AC765" s="139"/>
      <c r="AD765" s="139"/>
      <c r="AE765" s="139"/>
      <c r="AF765" s="139"/>
      <c r="AG765" s="139"/>
      <c r="AH765" s="139"/>
      <c r="AI765" s="139"/>
      <c r="AJ765" s="139"/>
    </row>
    <row r="766">
      <c r="A766" s="9"/>
      <c r="B766" s="139"/>
      <c r="C766" s="139"/>
      <c r="D766" s="139"/>
      <c r="E766" s="139"/>
      <c r="F766" s="139"/>
      <c r="G766" s="139"/>
      <c r="H766" s="139"/>
      <c r="I766" s="139"/>
      <c r="J766" s="139"/>
      <c r="K766" s="139"/>
      <c r="L766" s="139"/>
      <c r="M766" s="139"/>
      <c r="N766" s="139"/>
      <c r="O766" s="139"/>
      <c r="P766" s="139"/>
      <c r="Q766" s="139"/>
      <c r="R766" s="139"/>
      <c r="S766" s="139"/>
      <c r="T766" s="139"/>
      <c r="U766" s="139"/>
      <c r="V766" s="139"/>
      <c r="W766" s="139"/>
      <c r="X766" s="139"/>
      <c r="Y766" s="139"/>
      <c r="Z766" s="139"/>
      <c r="AA766" s="139"/>
      <c r="AB766" s="139"/>
      <c r="AC766" s="139"/>
      <c r="AD766" s="139"/>
      <c r="AE766" s="139"/>
      <c r="AF766" s="139"/>
      <c r="AG766" s="139"/>
      <c r="AH766" s="139"/>
      <c r="AI766" s="139"/>
      <c r="AJ766" s="139"/>
    </row>
    <row r="767">
      <c r="A767" s="9"/>
      <c r="B767" s="139"/>
      <c r="C767" s="139"/>
      <c r="D767" s="139"/>
      <c r="E767" s="139"/>
      <c r="F767" s="139"/>
      <c r="G767" s="139"/>
      <c r="H767" s="139"/>
      <c r="I767" s="139"/>
      <c r="J767" s="139"/>
      <c r="K767" s="139"/>
      <c r="L767" s="139"/>
      <c r="M767" s="139"/>
      <c r="N767" s="139"/>
      <c r="O767" s="139"/>
      <c r="P767" s="139"/>
      <c r="Q767" s="139"/>
      <c r="R767" s="139"/>
      <c r="S767" s="139"/>
      <c r="T767" s="139"/>
      <c r="U767" s="139"/>
      <c r="V767" s="139"/>
      <c r="W767" s="139"/>
      <c r="X767" s="139"/>
      <c r="Y767" s="139"/>
      <c r="Z767" s="139"/>
      <c r="AA767" s="139"/>
      <c r="AB767" s="139"/>
      <c r="AC767" s="139"/>
      <c r="AD767" s="139"/>
      <c r="AE767" s="139"/>
      <c r="AF767" s="139"/>
      <c r="AG767" s="139"/>
      <c r="AH767" s="139"/>
      <c r="AI767" s="139"/>
      <c r="AJ767" s="139"/>
    </row>
    <row r="768">
      <c r="A768" s="9"/>
      <c r="B768" s="139"/>
      <c r="C768" s="139"/>
      <c r="D768" s="139"/>
      <c r="E768" s="139"/>
      <c r="F768" s="139"/>
      <c r="G768" s="139"/>
      <c r="H768" s="139"/>
      <c r="I768" s="139"/>
      <c r="J768" s="139"/>
      <c r="K768" s="139"/>
      <c r="L768" s="139"/>
      <c r="M768" s="139"/>
      <c r="N768" s="139"/>
      <c r="O768" s="139"/>
      <c r="P768" s="139"/>
      <c r="Q768" s="139"/>
      <c r="R768" s="139"/>
      <c r="S768" s="139"/>
      <c r="T768" s="139"/>
      <c r="U768" s="139"/>
      <c r="V768" s="139"/>
      <c r="W768" s="139"/>
      <c r="X768" s="139"/>
      <c r="Y768" s="139"/>
      <c r="Z768" s="139"/>
      <c r="AA768" s="139"/>
      <c r="AB768" s="139"/>
      <c r="AC768" s="139"/>
      <c r="AD768" s="139"/>
      <c r="AE768" s="139"/>
      <c r="AF768" s="139"/>
      <c r="AG768" s="139"/>
      <c r="AH768" s="139"/>
      <c r="AI768" s="139"/>
      <c r="AJ768" s="139"/>
    </row>
    <row r="769">
      <c r="A769" s="9"/>
      <c r="B769" s="139"/>
      <c r="C769" s="139"/>
      <c r="D769" s="139"/>
      <c r="E769" s="139"/>
      <c r="F769" s="139"/>
      <c r="G769" s="139"/>
      <c r="H769" s="139"/>
      <c r="I769" s="139"/>
      <c r="J769" s="139"/>
      <c r="K769" s="139"/>
      <c r="L769" s="139"/>
      <c r="M769" s="139"/>
      <c r="N769" s="139"/>
      <c r="O769" s="139"/>
      <c r="P769" s="139"/>
      <c r="Q769" s="139"/>
      <c r="R769" s="139"/>
      <c r="S769" s="139"/>
      <c r="T769" s="139"/>
      <c r="U769" s="139"/>
      <c r="V769" s="139"/>
      <c r="W769" s="139"/>
      <c r="X769" s="139"/>
      <c r="Y769" s="139"/>
      <c r="Z769" s="139"/>
      <c r="AA769" s="139"/>
      <c r="AB769" s="139"/>
      <c r="AC769" s="139"/>
      <c r="AD769" s="139"/>
      <c r="AE769" s="139"/>
      <c r="AF769" s="139"/>
      <c r="AG769" s="139"/>
      <c r="AH769" s="139"/>
      <c r="AI769" s="139"/>
      <c r="AJ769" s="139"/>
    </row>
    <row r="770">
      <c r="A770" s="9"/>
      <c r="B770" s="139"/>
      <c r="C770" s="139"/>
      <c r="D770" s="139"/>
      <c r="E770" s="139"/>
      <c r="F770" s="139"/>
      <c r="G770" s="139"/>
      <c r="H770" s="139"/>
      <c r="I770" s="139"/>
      <c r="J770" s="139"/>
      <c r="K770" s="139"/>
      <c r="L770" s="139"/>
      <c r="M770" s="139"/>
      <c r="N770" s="139"/>
      <c r="O770" s="139"/>
      <c r="P770" s="139"/>
      <c r="Q770" s="139"/>
      <c r="R770" s="139"/>
      <c r="S770" s="139"/>
      <c r="T770" s="139"/>
      <c r="U770" s="139"/>
      <c r="V770" s="139"/>
      <c r="W770" s="139"/>
      <c r="X770" s="139"/>
      <c r="Y770" s="139"/>
      <c r="Z770" s="139"/>
      <c r="AA770" s="139"/>
      <c r="AB770" s="139"/>
      <c r="AC770" s="139"/>
      <c r="AD770" s="139"/>
      <c r="AE770" s="139"/>
      <c r="AF770" s="139"/>
      <c r="AG770" s="139"/>
      <c r="AH770" s="139"/>
      <c r="AI770" s="139"/>
      <c r="AJ770" s="139"/>
    </row>
    <row r="771">
      <c r="A771" s="9"/>
      <c r="B771" s="139"/>
      <c r="C771" s="139"/>
      <c r="D771" s="139"/>
      <c r="E771" s="139"/>
      <c r="F771" s="139"/>
      <c r="G771" s="139"/>
      <c r="H771" s="139"/>
      <c r="I771" s="139"/>
      <c r="J771" s="139"/>
      <c r="K771" s="139"/>
      <c r="L771" s="139"/>
      <c r="M771" s="139"/>
      <c r="N771" s="139"/>
      <c r="O771" s="139"/>
      <c r="P771" s="139"/>
      <c r="Q771" s="139"/>
      <c r="R771" s="139"/>
      <c r="S771" s="139"/>
      <c r="T771" s="139"/>
      <c r="U771" s="139"/>
      <c r="V771" s="139"/>
      <c r="W771" s="139"/>
      <c r="X771" s="139"/>
      <c r="Y771" s="139"/>
      <c r="Z771" s="139"/>
      <c r="AA771" s="139"/>
      <c r="AB771" s="139"/>
      <c r="AC771" s="139"/>
      <c r="AD771" s="139"/>
      <c r="AE771" s="139"/>
      <c r="AF771" s="139"/>
      <c r="AG771" s="139"/>
      <c r="AH771" s="139"/>
      <c r="AI771" s="139"/>
      <c r="AJ771" s="139"/>
    </row>
    <row r="772">
      <c r="A772" s="9"/>
      <c r="B772" s="139"/>
      <c r="C772" s="139"/>
      <c r="D772" s="139"/>
      <c r="E772" s="139"/>
      <c r="F772" s="139"/>
      <c r="G772" s="139"/>
      <c r="H772" s="139"/>
      <c r="I772" s="139"/>
      <c r="J772" s="139"/>
      <c r="K772" s="139"/>
      <c r="L772" s="139"/>
      <c r="M772" s="139"/>
      <c r="N772" s="139"/>
      <c r="O772" s="139"/>
      <c r="P772" s="139"/>
      <c r="Q772" s="139"/>
      <c r="R772" s="139"/>
      <c r="S772" s="139"/>
      <c r="T772" s="139"/>
      <c r="U772" s="139"/>
      <c r="V772" s="139"/>
      <c r="W772" s="139"/>
      <c r="X772" s="139"/>
      <c r="Y772" s="139"/>
      <c r="Z772" s="139"/>
      <c r="AA772" s="139"/>
      <c r="AB772" s="139"/>
      <c r="AC772" s="139"/>
      <c r="AD772" s="139"/>
      <c r="AE772" s="139"/>
      <c r="AF772" s="139"/>
      <c r="AG772" s="139"/>
      <c r="AH772" s="139"/>
      <c r="AI772" s="139"/>
      <c r="AJ772" s="139"/>
    </row>
    <row r="773">
      <c r="A773" s="9"/>
      <c r="B773" s="139"/>
      <c r="C773" s="139"/>
      <c r="D773" s="139"/>
      <c r="E773" s="139"/>
      <c r="F773" s="139"/>
      <c r="G773" s="139"/>
      <c r="H773" s="139"/>
      <c r="I773" s="139"/>
      <c r="J773" s="139"/>
      <c r="K773" s="139"/>
      <c r="L773" s="139"/>
      <c r="M773" s="139"/>
      <c r="N773" s="139"/>
      <c r="O773" s="139"/>
      <c r="P773" s="139"/>
      <c r="Q773" s="139"/>
      <c r="R773" s="139"/>
      <c r="S773" s="139"/>
      <c r="T773" s="139"/>
      <c r="U773" s="139"/>
      <c r="V773" s="139"/>
      <c r="W773" s="139"/>
      <c r="X773" s="139"/>
      <c r="Y773" s="139"/>
      <c r="Z773" s="139"/>
      <c r="AA773" s="139"/>
      <c r="AB773" s="139"/>
      <c r="AC773" s="139"/>
      <c r="AD773" s="139"/>
      <c r="AE773" s="139"/>
      <c r="AF773" s="139"/>
      <c r="AG773" s="139"/>
      <c r="AH773" s="139"/>
      <c r="AI773" s="139"/>
      <c r="AJ773" s="139"/>
    </row>
    <row r="774">
      <c r="A774" s="9"/>
      <c r="B774" s="139"/>
      <c r="C774" s="139"/>
      <c r="D774" s="139"/>
      <c r="E774" s="139"/>
      <c r="F774" s="139"/>
      <c r="G774" s="139"/>
      <c r="H774" s="139"/>
      <c r="I774" s="139"/>
      <c r="J774" s="139"/>
      <c r="K774" s="139"/>
      <c r="L774" s="139"/>
      <c r="M774" s="139"/>
      <c r="N774" s="139"/>
      <c r="O774" s="139"/>
      <c r="P774" s="139"/>
      <c r="Q774" s="139"/>
      <c r="R774" s="139"/>
      <c r="S774" s="139"/>
      <c r="T774" s="139"/>
      <c r="U774" s="139"/>
      <c r="V774" s="139"/>
      <c r="W774" s="139"/>
      <c r="X774" s="139"/>
      <c r="Y774" s="139"/>
      <c r="Z774" s="139"/>
      <c r="AA774" s="139"/>
      <c r="AB774" s="139"/>
      <c r="AC774" s="139"/>
      <c r="AD774" s="139"/>
      <c r="AE774" s="139"/>
      <c r="AF774" s="139"/>
      <c r="AG774" s="139"/>
      <c r="AH774" s="139"/>
      <c r="AI774" s="139"/>
      <c r="AJ774" s="139"/>
    </row>
    <row r="775">
      <c r="A775" s="9"/>
      <c r="B775" s="139"/>
      <c r="C775" s="139"/>
      <c r="D775" s="139"/>
      <c r="E775" s="139"/>
      <c r="F775" s="139"/>
      <c r="G775" s="139"/>
      <c r="H775" s="139"/>
      <c r="I775" s="139"/>
      <c r="J775" s="139"/>
      <c r="K775" s="139"/>
      <c r="L775" s="139"/>
      <c r="M775" s="139"/>
      <c r="N775" s="139"/>
      <c r="O775" s="139"/>
      <c r="P775" s="139"/>
      <c r="Q775" s="139"/>
      <c r="R775" s="139"/>
      <c r="S775" s="139"/>
      <c r="T775" s="139"/>
      <c r="U775" s="139"/>
      <c r="V775" s="139"/>
      <c r="W775" s="139"/>
      <c r="X775" s="139"/>
      <c r="Y775" s="139"/>
      <c r="Z775" s="139"/>
      <c r="AA775" s="139"/>
      <c r="AB775" s="139"/>
      <c r="AC775" s="139"/>
      <c r="AD775" s="139"/>
      <c r="AE775" s="139"/>
      <c r="AF775" s="139"/>
      <c r="AG775" s="139"/>
      <c r="AH775" s="139"/>
      <c r="AI775" s="139"/>
      <c r="AJ775" s="139"/>
    </row>
    <row r="776">
      <c r="A776" s="9"/>
      <c r="B776" s="139"/>
      <c r="C776" s="139"/>
      <c r="D776" s="139"/>
      <c r="E776" s="139"/>
      <c r="F776" s="139"/>
      <c r="G776" s="139"/>
      <c r="H776" s="139"/>
      <c r="I776" s="139"/>
      <c r="J776" s="139"/>
      <c r="K776" s="139"/>
      <c r="L776" s="139"/>
      <c r="M776" s="139"/>
      <c r="N776" s="139"/>
      <c r="O776" s="139"/>
      <c r="P776" s="139"/>
      <c r="Q776" s="139"/>
      <c r="R776" s="139"/>
      <c r="S776" s="139"/>
      <c r="T776" s="139"/>
      <c r="U776" s="139"/>
      <c r="V776" s="139"/>
      <c r="W776" s="139"/>
      <c r="X776" s="139"/>
      <c r="Y776" s="139"/>
      <c r="Z776" s="139"/>
      <c r="AA776" s="139"/>
      <c r="AB776" s="139"/>
      <c r="AC776" s="139"/>
      <c r="AD776" s="139"/>
      <c r="AE776" s="139"/>
      <c r="AF776" s="139"/>
      <c r="AG776" s="139"/>
      <c r="AH776" s="139"/>
      <c r="AI776" s="139"/>
      <c r="AJ776" s="139"/>
    </row>
    <row r="777">
      <c r="A777" s="9"/>
      <c r="B777" s="139"/>
      <c r="C777" s="139"/>
      <c r="D777" s="139"/>
      <c r="E777" s="139"/>
      <c r="F777" s="139"/>
      <c r="G777" s="139"/>
      <c r="H777" s="139"/>
      <c r="I777" s="139"/>
      <c r="J777" s="139"/>
      <c r="K777" s="139"/>
      <c r="L777" s="139"/>
      <c r="M777" s="139"/>
      <c r="N777" s="139"/>
      <c r="O777" s="139"/>
      <c r="P777" s="139"/>
      <c r="Q777" s="139"/>
      <c r="R777" s="139"/>
      <c r="S777" s="139"/>
      <c r="T777" s="139"/>
      <c r="U777" s="139"/>
      <c r="V777" s="139"/>
      <c r="W777" s="139"/>
      <c r="X777" s="139"/>
      <c r="Y777" s="139"/>
      <c r="Z777" s="139"/>
      <c r="AA777" s="139"/>
      <c r="AB777" s="139"/>
      <c r="AC777" s="139"/>
      <c r="AD777" s="139"/>
      <c r="AE777" s="139"/>
      <c r="AF777" s="139"/>
      <c r="AG777" s="139"/>
      <c r="AH777" s="139"/>
      <c r="AI777" s="139"/>
      <c r="AJ777" s="139"/>
    </row>
    <row r="778">
      <c r="A778" s="9"/>
      <c r="B778" s="139"/>
      <c r="C778" s="139"/>
      <c r="D778" s="139"/>
      <c r="E778" s="139"/>
      <c r="F778" s="139"/>
      <c r="G778" s="139"/>
      <c r="H778" s="139"/>
      <c r="I778" s="139"/>
      <c r="J778" s="139"/>
      <c r="K778" s="139"/>
      <c r="L778" s="139"/>
      <c r="M778" s="139"/>
      <c r="N778" s="139"/>
      <c r="O778" s="139"/>
      <c r="P778" s="139"/>
      <c r="Q778" s="139"/>
      <c r="R778" s="139"/>
      <c r="S778" s="139"/>
      <c r="T778" s="139"/>
      <c r="U778" s="139"/>
      <c r="V778" s="139"/>
      <c r="W778" s="139"/>
      <c r="X778" s="139"/>
      <c r="Y778" s="139"/>
      <c r="Z778" s="139"/>
      <c r="AA778" s="139"/>
      <c r="AB778" s="139"/>
      <c r="AC778" s="139"/>
      <c r="AD778" s="139"/>
      <c r="AE778" s="139"/>
      <c r="AF778" s="139"/>
      <c r="AG778" s="139"/>
      <c r="AH778" s="139"/>
      <c r="AI778" s="139"/>
      <c r="AJ778" s="139"/>
    </row>
    <row r="779">
      <c r="A779" s="9"/>
      <c r="B779" s="139"/>
      <c r="C779" s="139"/>
      <c r="D779" s="139"/>
      <c r="E779" s="139"/>
      <c r="F779" s="139"/>
      <c r="G779" s="139"/>
      <c r="H779" s="139"/>
      <c r="I779" s="139"/>
      <c r="J779" s="139"/>
      <c r="K779" s="139"/>
      <c r="L779" s="139"/>
      <c r="M779" s="139"/>
      <c r="N779" s="139"/>
      <c r="O779" s="139"/>
      <c r="P779" s="139"/>
      <c r="Q779" s="139"/>
      <c r="R779" s="139"/>
      <c r="S779" s="139"/>
      <c r="T779" s="139"/>
      <c r="U779" s="139"/>
      <c r="V779" s="139"/>
      <c r="W779" s="139"/>
      <c r="X779" s="139"/>
      <c r="Y779" s="139"/>
      <c r="Z779" s="139"/>
      <c r="AA779" s="139"/>
      <c r="AB779" s="139"/>
      <c r="AC779" s="139"/>
      <c r="AD779" s="139"/>
      <c r="AE779" s="139"/>
      <c r="AF779" s="139"/>
      <c r="AG779" s="139"/>
      <c r="AH779" s="139"/>
      <c r="AI779" s="139"/>
      <c r="AJ779" s="139"/>
    </row>
    <row r="780">
      <c r="A780" s="9"/>
      <c r="B780" s="139"/>
      <c r="C780" s="139"/>
      <c r="D780" s="139"/>
      <c r="E780" s="139"/>
      <c r="F780" s="139"/>
      <c r="G780" s="139"/>
      <c r="H780" s="139"/>
      <c r="I780" s="139"/>
      <c r="J780" s="139"/>
      <c r="K780" s="139"/>
      <c r="L780" s="139"/>
      <c r="M780" s="139"/>
      <c r="N780" s="139"/>
      <c r="O780" s="139"/>
      <c r="P780" s="139"/>
      <c r="Q780" s="139"/>
      <c r="R780" s="139"/>
      <c r="S780" s="139"/>
      <c r="T780" s="139"/>
      <c r="U780" s="139"/>
      <c r="V780" s="139"/>
      <c r="W780" s="139"/>
      <c r="X780" s="139"/>
      <c r="Y780" s="139"/>
      <c r="Z780" s="139"/>
      <c r="AA780" s="139"/>
      <c r="AB780" s="139"/>
      <c r="AC780" s="139"/>
      <c r="AD780" s="139"/>
      <c r="AE780" s="139"/>
      <c r="AF780" s="139"/>
      <c r="AG780" s="139"/>
      <c r="AH780" s="139"/>
      <c r="AI780" s="139"/>
      <c r="AJ780" s="139"/>
    </row>
    <row r="781">
      <c r="A781" s="9"/>
      <c r="B781" s="139"/>
      <c r="C781" s="139"/>
      <c r="D781" s="139"/>
      <c r="E781" s="139"/>
      <c r="F781" s="139"/>
      <c r="G781" s="139"/>
      <c r="H781" s="139"/>
      <c r="I781" s="139"/>
      <c r="J781" s="139"/>
      <c r="K781" s="139"/>
      <c r="L781" s="139"/>
      <c r="M781" s="139"/>
      <c r="N781" s="139"/>
      <c r="O781" s="139"/>
      <c r="P781" s="139"/>
      <c r="Q781" s="139"/>
      <c r="R781" s="139"/>
      <c r="S781" s="139"/>
      <c r="T781" s="139"/>
      <c r="U781" s="139"/>
      <c r="V781" s="139"/>
      <c r="W781" s="139"/>
      <c r="X781" s="139"/>
      <c r="Y781" s="139"/>
      <c r="Z781" s="139"/>
      <c r="AA781" s="139"/>
      <c r="AB781" s="139"/>
      <c r="AC781" s="139"/>
      <c r="AD781" s="139"/>
      <c r="AE781" s="139"/>
      <c r="AF781" s="139"/>
      <c r="AG781" s="139"/>
      <c r="AH781" s="139"/>
      <c r="AI781" s="139"/>
      <c r="AJ781" s="139"/>
    </row>
    <row r="782">
      <c r="A782" s="9"/>
      <c r="B782" s="139"/>
      <c r="C782" s="139"/>
      <c r="D782" s="139"/>
      <c r="E782" s="139"/>
      <c r="F782" s="139"/>
      <c r="G782" s="139"/>
      <c r="H782" s="139"/>
      <c r="I782" s="139"/>
      <c r="J782" s="139"/>
      <c r="K782" s="139"/>
      <c r="L782" s="139"/>
      <c r="M782" s="139"/>
      <c r="N782" s="139"/>
      <c r="O782" s="139"/>
      <c r="P782" s="139"/>
      <c r="Q782" s="139"/>
      <c r="R782" s="139"/>
      <c r="S782" s="139"/>
      <c r="T782" s="139"/>
      <c r="U782" s="139"/>
      <c r="V782" s="139"/>
      <c r="W782" s="139"/>
      <c r="X782" s="139"/>
      <c r="Y782" s="139"/>
      <c r="Z782" s="139"/>
      <c r="AA782" s="139"/>
      <c r="AB782" s="139"/>
      <c r="AC782" s="139"/>
      <c r="AD782" s="139"/>
      <c r="AE782" s="139"/>
      <c r="AF782" s="139"/>
      <c r="AG782" s="139"/>
      <c r="AH782" s="139"/>
      <c r="AI782" s="139"/>
      <c r="AJ782" s="139"/>
    </row>
    <row r="783">
      <c r="A783" s="9"/>
      <c r="B783" s="139"/>
      <c r="C783" s="139"/>
      <c r="D783" s="139"/>
      <c r="E783" s="139"/>
      <c r="F783" s="139"/>
      <c r="G783" s="139"/>
      <c r="H783" s="139"/>
      <c r="I783" s="139"/>
      <c r="J783" s="139"/>
      <c r="K783" s="139"/>
      <c r="L783" s="139"/>
      <c r="M783" s="139"/>
      <c r="N783" s="139"/>
      <c r="O783" s="139"/>
      <c r="P783" s="139"/>
      <c r="Q783" s="139"/>
      <c r="R783" s="139"/>
      <c r="S783" s="139"/>
      <c r="T783" s="139"/>
      <c r="U783" s="139"/>
      <c r="V783" s="139"/>
      <c r="W783" s="139"/>
      <c r="X783" s="139"/>
      <c r="Y783" s="139"/>
      <c r="Z783" s="139"/>
      <c r="AA783" s="139"/>
      <c r="AB783" s="139"/>
      <c r="AC783" s="139"/>
      <c r="AD783" s="139"/>
      <c r="AE783" s="139"/>
      <c r="AF783" s="139"/>
      <c r="AG783" s="139"/>
      <c r="AH783" s="139"/>
      <c r="AI783" s="139"/>
      <c r="AJ783" s="139"/>
    </row>
    <row r="784">
      <c r="A784" s="9"/>
      <c r="B784" s="139"/>
      <c r="C784" s="139"/>
      <c r="D784" s="139"/>
      <c r="E784" s="139"/>
      <c r="F784" s="139"/>
      <c r="G784" s="139"/>
      <c r="H784" s="139"/>
      <c r="I784" s="139"/>
      <c r="J784" s="139"/>
      <c r="K784" s="139"/>
      <c r="L784" s="139"/>
      <c r="M784" s="139"/>
      <c r="N784" s="139"/>
      <c r="O784" s="139"/>
      <c r="P784" s="139"/>
      <c r="Q784" s="139"/>
      <c r="R784" s="139"/>
      <c r="S784" s="139"/>
      <c r="T784" s="139"/>
      <c r="U784" s="139"/>
      <c r="V784" s="139"/>
      <c r="W784" s="139"/>
      <c r="X784" s="139"/>
      <c r="Y784" s="139"/>
      <c r="Z784" s="139"/>
      <c r="AA784" s="139"/>
      <c r="AB784" s="139"/>
      <c r="AC784" s="139"/>
      <c r="AD784" s="139"/>
      <c r="AE784" s="139"/>
      <c r="AF784" s="139"/>
      <c r="AG784" s="139"/>
      <c r="AH784" s="139"/>
      <c r="AI784" s="139"/>
      <c r="AJ784" s="139"/>
    </row>
    <row r="785">
      <c r="A785" s="9"/>
      <c r="B785" s="139"/>
      <c r="C785" s="139"/>
      <c r="D785" s="139"/>
      <c r="E785" s="139"/>
      <c r="F785" s="139"/>
      <c r="G785" s="139"/>
      <c r="H785" s="139"/>
      <c r="I785" s="139"/>
      <c r="J785" s="139"/>
      <c r="K785" s="139"/>
      <c r="L785" s="139"/>
      <c r="M785" s="139"/>
      <c r="N785" s="139"/>
      <c r="O785" s="139"/>
      <c r="P785" s="139"/>
      <c r="Q785" s="139"/>
      <c r="R785" s="139"/>
      <c r="S785" s="139"/>
      <c r="T785" s="139"/>
      <c r="U785" s="139"/>
      <c r="V785" s="139"/>
      <c r="W785" s="139"/>
      <c r="X785" s="139"/>
      <c r="Y785" s="139"/>
      <c r="Z785" s="139"/>
      <c r="AA785" s="139"/>
      <c r="AB785" s="139"/>
      <c r="AC785" s="139"/>
      <c r="AD785" s="139"/>
      <c r="AE785" s="139"/>
      <c r="AF785" s="139"/>
      <c r="AG785" s="139"/>
      <c r="AH785" s="139"/>
      <c r="AI785" s="139"/>
      <c r="AJ785" s="139"/>
    </row>
    <row r="786">
      <c r="A786" s="9"/>
      <c r="B786" s="139"/>
      <c r="C786" s="139"/>
      <c r="D786" s="139"/>
      <c r="E786" s="139"/>
      <c r="F786" s="139"/>
      <c r="G786" s="139"/>
      <c r="H786" s="139"/>
      <c r="I786" s="139"/>
      <c r="J786" s="139"/>
      <c r="K786" s="139"/>
      <c r="L786" s="139"/>
      <c r="M786" s="139"/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  <c r="AA786" s="139"/>
      <c r="AB786" s="139"/>
      <c r="AC786" s="139"/>
      <c r="AD786" s="139"/>
      <c r="AE786" s="139"/>
      <c r="AF786" s="139"/>
      <c r="AG786" s="139"/>
      <c r="AH786" s="139"/>
      <c r="AI786" s="139"/>
      <c r="AJ786" s="139"/>
    </row>
    <row r="787">
      <c r="A787" s="9"/>
      <c r="B787" s="139"/>
      <c r="C787" s="139"/>
      <c r="D787" s="139"/>
      <c r="E787" s="139"/>
      <c r="F787" s="139"/>
      <c r="G787" s="139"/>
      <c r="H787" s="139"/>
      <c r="I787" s="139"/>
      <c r="J787" s="139"/>
      <c r="K787" s="139"/>
      <c r="L787" s="139"/>
      <c r="M787" s="139"/>
      <c r="N787" s="139"/>
      <c r="O787" s="139"/>
      <c r="P787" s="139"/>
      <c r="Q787" s="139"/>
      <c r="R787" s="139"/>
      <c r="S787" s="139"/>
      <c r="T787" s="139"/>
      <c r="U787" s="139"/>
      <c r="V787" s="139"/>
      <c r="W787" s="139"/>
      <c r="X787" s="139"/>
      <c r="Y787" s="139"/>
      <c r="Z787" s="139"/>
      <c r="AA787" s="139"/>
      <c r="AB787" s="139"/>
      <c r="AC787" s="139"/>
      <c r="AD787" s="139"/>
      <c r="AE787" s="139"/>
      <c r="AF787" s="139"/>
      <c r="AG787" s="139"/>
      <c r="AH787" s="139"/>
      <c r="AI787" s="139"/>
      <c r="AJ787" s="139"/>
    </row>
    <row r="788">
      <c r="A788" s="9"/>
      <c r="B788" s="139"/>
      <c r="C788" s="139"/>
      <c r="D788" s="139"/>
      <c r="E788" s="139"/>
      <c r="F788" s="139"/>
      <c r="G788" s="139"/>
      <c r="H788" s="139"/>
      <c r="I788" s="139"/>
      <c r="J788" s="139"/>
      <c r="K788" s="139"/>
      <c r="L788" s="139"/>
      <c r="M788" s="139"/>
      <c r="N788" s="139"/>
      <c r="O788" s="139"/>
      <c r="P788" s="139"/>
      <c r="Q788" s="139"/>
      <c r="R788" s="139"/>
      <c r="S788" s="139"/>
      <c r="T788" s="139"/>
      <c r="U788" s="139"/>
      <c r="V788" s="139"/>
      <c r="W788" s="139"/>
      <c r="X788" s="139"/>
      <c r="Y788" s="139"/>
      <c r="Z788" s="139"/>
      <c r="AA788" s="139"/>
      <c r="AB788" s="139"/>
      <c r="AC788" s="139"/>
      <c r="AD788" s="139"/>
      <c r="AE788" s="139"/>
      <c r="AF788" s="139"/>
      <c r="AG788" s="139"/>
      <c r="AH788" s="139"/>
      <c r="AI788" s="139"/>
      <c r="AJ788" s="139"/>
    </row>
    <row r="789">
      <c r="A789" s="9"/>
      <c r="B789" s="139"/>
      <c r="C789" s="139"/>
      <c r="D789" s="139"/>
      <c r="E789" s="139"/>
      <c r="F789" s="139"/>
      <c r="G789" s="139"/>
      <c r="H789" s="139"/>
      <c r="I789" s="139"/>
      <c r="J789" s="139"/>
      <c r="K789" s="139"/>
      <c r="L789" s="139"/>
      <c r="M789" s="139"/>
      <c r="N789" s="139"/>
      <c r="O789" s="139"/>
      <c r="P789" s="139"/>
      <c r="Q789" s="139"/>
      <c r="R789" s="139"/>
      <c r="S789" s="139"/>
      <c r="T789" s="139"/>
      <c r="U789" s="139"/>
      <c r="V789" s="139"/>
      <c r="W789" s="139"/>
      <c r="X789" s="139"/>
      <c r="Y789" s="139"/>
      <c r="Z789" s="139"/>
      <c r="AA789" s="139"/>
      <c r="AB789" s="139"/>
      <c r="AC789" s="139"/>
      <c r="AD789" s="139"/>
      <c r="AE789" s="139"/>
      <c r="AF789" s="139"/>
      <c r="AG789" s="139"/>
      <c r="AH789" s="139"/>
      <c r="AI789" s="139"/>
      <c r="AJ789" s="139"/>
    </row>
    <row r="790">
      <c r="A790" s="9"/>
      <c r="B790" s="139"/>
      <c r="C790" s="139"/>
      <c r="D790" s="139"/>
      <c r="E790" s="139"/>
      <c r="F790" s="139"/>
      <c r="G790" s="139"/>
      <c r="H790" s="139"/>
      <c r="I790" s="139"/>
      <c r="J790" s="139"/>
      <c r="K790" s="139"/>
      <c r="L790" s="139"/>
      <c r="M790" s="139"/>
      <c r="N790" s="139"/>
      <c r="O790" s="139"/>
      <c r="P790" s="139"/>
      <c r="Q790" s="139"/>
      <c r="R790" s="139"/>
      <c r="S790" s="139"/>
      <c r="T790" s="139"/>
      <c r="U790" s="139"/>
      <c r="V790" s="139"/>
      <c r="W790" s="139"/>
      <c r="X790" s="139"/>
      <c r="Y790" s="139"/>
      <c r="Z790" s="139"/>
      <c r="AA790" s="139"/>
      <c r="AB790" s="139"/>
      <c r="AC790" s="139"/>
      <c r="AD790" s="139"/>
      <c r="AE790" s="139"/>
      <c r="AF790" s="139"/>
      <c r="AG790" s="139"/>
      <c r="AH790" s="139"/>
      <c r="AI790" s="139"/>
      <c r="AJ790" s="139"/>
    </row>
    <row r="791">
      <c r="A791" s="9"/>
      <c r="B791" s="139"/>
      <c r="C791" s="139"/>
      <c r="D791" s="139"/>
      <c r="E791" s="139"/>
      <c r="F791" s="139"/>
      <c r="G791" s="139"/>
      <c r="H791" s="139"/>
      <c r="I791" s="139"/>
      <c r="J791" s="139"/>
      <c r="K791" s="139"/>
      <c r="L791" s="139"/>
      <c r="M791" s="139"/>
      <c r="N791" s="139"/>
      <c r="O791" s="139"/>
      <c r="P791" s="139"/>
      <c r="Q791" s="139"/>
      <c r="R791" s="139"/>
      <c r="S791" s="139"/>
      <c r="T791" s="139"/>
      <c r="U791" s="139"/>
      <c r="V791" s="139"/>
      <c r="W791" s="139"/>
      <c r="X791" s="139"/>
      <c r="Y791" s="139"/>
      <c r="Z791" s="139"/>
      <c r="AA791" s="139"/>
      <c r="AB791" s="139"/>
      <c r="AC791" s="139"/>
      <c r="AD791" s="139"/>
      <c r="AE791" s="139"/>
      <c r="AF791" s="139"/>
      <c r="AG791" s="139"/>
      <c r="AH791" s="139"/>
      <c r="AI791" s="139"/>
      <c r="AJ791" s="139"/>
    </row>
    <row r="792">
      <c r="A792" s="9"/>
      <c r="B792" s="139"/>
      <c r="C792" s="139"/>
      <c r="D792" s="139"/>
      <c r="E792" s="139"/>
      <c r="F792" s="139"/>
      <c r="G792" s="139"/>
      <c r="H792" s="139"/>
      <c r="I792" s="139"/>
      <c r="J792" s="139"/>
      <c r="K792" s="139"/>
      <c r="L792" s="139"/>
      <c r="M792" s="139"/>
      <c r="N792" s="139"/>
      <c r="O792" s="139"/>
      <c r="P792" s="139"/>
      <c r="Q792" s="139"/>
      <c r="R792" s="139"/>
      <c r="S792" s="139"/>
      <c r="T792" s="139"/>
      <c r="U792" s="139"/>
      <c r="V792" s="139"/>
      <c r="W792" s="139"/>
      <c r="X792" s="139"/>
      <c r="Y792" s="139"/>
      <c r="Z792" s="139"/>
      <c r="AA792" s="139"/>
      <c r="AB792" s="139"/>
      <c r="AC792" s="139"/>
      <c r="AD792" s="139"/>
      <c r="AE792" s="139"/>
      <c r="AF792" s="139"/>
      <c r="AG792" s="139"/>
      <c r="AH792" s="139"/>
      <c r="AI792" s="139"/>
      <c r="AJ792" s="139"/>
    </row>
    <row r="793">
      <c r="A793" s="9"/>
      <c r="B793" s="139"/>
      <c r="C793" s="139"/>
      <c r="D793" s="139"/>
      <c r="E793" s="139"/>
      <c r="F793" s="139"/>
      <c r="G793" s="139"/>
      <c r="H793" s="139"/>
      <c r="I793" s="139"/>
      <c r="J793" s="139"/>
      <c r="K793" s="139"/>
      <c r="L793" s="139"/>
      <c r="M793" s="139"/>
      <c r="N793" s="139"/>
      <c r="O793" s="139"/>
      <c r="P793" s="139"/>
      <c r="Q793" s="139"/>
      <c r="R793" s="139"/>
      <c r="S793" s="139"/>
      <c r="T793" s="139"/>
      <c r="U793" s="139"/>
      <c r="V793" s="139"/>
      <c r="W793" s="139"/>
      <c r="X793" s="139"/>
      <c r="Y793" s="139"/>
      <c r="Z793" s="139"/>
      <c r="AA793" s="139"/>
      <c r="AB793" s="139"/>
      <c r="AC793" s="139"/>
      <c r="AD793" s="139"/>
      <c r="AE793" s="139"/>
      <c r="AF793" s="139"/>
      <c r="AG793" s="139"/>
      <c r="AH793" s="139"/>
      <c r="AI793" s="139"/>
      <c r="AJ793" s="139"/>
    </row>
    <row r="794">
      <c r="A794" s="9"/>
      <c r="B794" s="139"/>
      <c r="C794" s="139"/>
      <c r="D794" s="139"/>
      <c r="E794" s="139"/>
      <c r="F794" s="139"/>
      <c r="G794" s="139"/>
      <c r="H794" s="139"/>
      <c r="I794" s="139"/>
      <c r="J794" s="139"/>
      <c r="K794" s="139"/>
      <c r="L794" s="139"/>
      <c r="M794" s="139"/>
      <c r="N794" s="139"/>
      <c r="O794" s="139"/>
      <c r="P794" s="139"/>
      <c r="Q794" s="139"/>
      <c r="R794" s="139"/>
      <c r="S794" s="139"/>
      <c r="T794" s="139"/>
      <c r="U794" s="139"/>
      <c r="V794" s="139"/>
      <c r="W794" s="139"/>
      <c r="X794" s="139"/>
      <c r="Y794" s="139"/>
      <c r="Z794" s="139"/>
      <c r="AA794" s="139"/>
      <c r="AB794" s="139"/>
      <c r="AC794" s="139"/>
      <c r="AD794" s="139"/>
      <c r="AE794" s="139"/>
      <c r="AF794" s="139"/>
      <c r="AG794" s="139"/>
      <c r="AH794" s="139"/>
      <c r="AI794" s="139"/>
      <c r="AJ794" s="139"/>
    </row>
    <row r="795">
      <c r="A795" s="9"/>
      <c r="B795" s="139"/>
      <c r="C795" s="139"/>
      <c r="D795" s="139"/>
      <c r="E795" s="139"/>
      <c r="F795" s="139"/>
      <c r="G795" s="139"/>
      <c r="H795" s="139"/>
      <c r="I795" s="139"/>
      <c r="J795" s="139"/>
      <c r="K795" s="139"/>
      <c r="L795" s="139"/>
      <c r="M795" s="139"/>
      <c r="N795" s="139"/>
      <c r="O795" s="139"/>
      <c r="P795" s="139"/>
      <c r="Q795" s="139"/>
      <c r="R795" s="139"/>
      <c r="S795" s="139"/>
      <c r="T795" s="139"/>
      <c r="U795" s="139"/>
      <c r="V795" s="139"/>
      <c r="W795" s="139"/>
      <c r="X795" s="139"/>
      <c r="Y795" s="139"/>
      <c r="Z795" s="139"/>
      <c r="AA795" s="139"/>
      <c r="AB795" s="139"/>
      <c r="AC795" s="139"/>
      <c r="AD795" s="139"/>
      <c r="AE795" s="139"/>
      <c r="AF795" s="139"/>
      <c r="AG795" s="139"/>
      <c r="AH795" s="139"/>
      <c r="AI795" s="139"/>
      <c r="AJ795" s="139"/>
    </row>
    <row r="796">
      <c r="A796" s="9"/>
      <c r="B796" s="139"/>
      <c r="C796" s="139"/>
      <c r="D796" s="139"/>
      <c r="E796" s="139"/>
      <c r="F796" s="139"/>
      <c r="G796" s="139"/>
      <c r="H796" s="139"/>
      <c r="I796" s="139"/>
      <c r="J796" s="139"/>
      <c r="K796" s="139"/>
      <c r="L796" s="139"/>
      <c r="M796" s="139"/>
      <c r="N796" s="139"/>
      <c r="O796" s="139"/>
      <c r="P796" s="139"/>
      <c r="Q796" s="139"/>
      <c r="R796" s="139"/>
      <c r="S796" s="139"/>
      <c r="T796" s="139"/>
      <c r="U796" s="139"/>
      <c r="V796" s="139"/>
      <c r="W796" s="139"/>
      <c r="X796" s="139"/>
      <c r="Y796" s="139"/>
      <c r="Z796" s="139"/>
      <c r="AA796" s="139"/>
      <c r="AB796" s="139"/>
      <c r="AC796" s="139"/>
      <c r="AD796" s="139"/>
      <c r="AE796" s="139"/>
      <c r="AF796" s="139"/>
      <c r="AG796" s="139"/>
      <c r="AH796" s="139"/>
      <c r="AI796" s="139"/>
      <c r="AJ796" s="139"/>
    </row>
    <row r="797">
      <c r="A797" s="9"/>
      <c r="B797" s="139"/>
      <c r="C797" s="139"/>
      <c r="D797" s="139"/>
      <c r="E797" s="139"/>
      <c r="F797" s="139"/>
      <c r="G797" s="139"/>
      <c r="H797" s="139"/>
      <c r="I797" s="139"/>
      <c r="J797" s="139"/>
      <c r="K797" s="139"/>
      <c r="L797" s="139"/>
      <c r="M797" s="139"/>
      <c r="N797" s="139"/>
      <c r="O797" s="139"/>
      <c r="P797" s="139"/>
      <c r="Q797" s="139"/>
      <c r="R797" s="139"/>
      <c r="S797" s="139"/>
      <c r="T797" s="139"/>
      <c r="U797" s="139"/>
      <c r="V797" s="139"/>
      <c r="W797" s="139"/>
      <c r="X797" s="139"/>
      <c r="Y797" s="139"/>
      <c r="Z797" s="139"/>
      <c r="AA797" s="139"/>
      <c r="AB797" s="139"/>
      <c r="AC797" s="139"/>
      <c r="AD797" s="139"/>
      <c r="AE797" s="139"/>
      <c r="AF797" s="139"/>
      <c r="AG797" s="139"/>
      <c r="AH797" s="139"/>
      <c r="AI797" s="139"/>
      <c r="AJ797" s="139"/>
    </row>
    <row r="798">
      <c r="A798" s="9"/>
      <c r="B798" s="139"/>
      <c r="C798" s="139"/>
      <c r="D798" s="139"/>
      <c r="E798" s="139"/>
      <c r="F798" s="139"/>
      <c r="G798" s="139"/>
      <c r="H798" s="139"/>
      <c r="I798" s="139"/>
      <c r="J798" s="139"/>
      <c r="K798" s="139"/>
      <c r="L798" s="139"/>
      <c r="M798" s="139"/>
      <c r="N798" s="139"/>
      <c r="O798" s="139"/>
      <c r="P798" s="139"/>
      <c r="Q798" s="139"/>
      <c r="R798" s="139"/>
      <c r="S798" s="139"/>
      <c r="T798" s="139"/>
      <c r="U798" s="139"/>
      <c r="V798" s="139"/>
      <c r="W798" s="139"/>
      <c r="X798" s="139"/>
      <c r="Y798" s="139"/>
      <c r="Z798" s="139"/>
      <c r="AA798" s="139"/>
      <c r="AB798" s="139"/>
      <c r="AC798" s="139"/>
      <c r="AD798" s="139"/>
      <c r="AE798" s="139"/>
      <c r="AF798" s="139"/>
      <c r="AG798" s="139"/>
      <c r="AH798" s="139"/>
      <c r="AI798" s="139"/>
      <c r="AJ798" s="139"/>
    </row>
    <row r="799">
      <c r="A799" s="9"/>
      <c r="B799" s="139"/>
      <c r="C799" s="139"/>
      <c r="D799" s="139"/>
      <c r="E799" s="139"/>
      <c r="F799" s="139"/>
      <c r="G799" s="139"/>
      <c r="H799" s="139"/>
      <c r="I799" s="139"/>
      <c r="J799" s="139"/>
      <c r="K799" s="139"/>
      <c r="L799" s="139"/>
      <c r="M799" s="139"/>
      <c r="N799" s="139"/>
      <c r="O799" s="139"/>
      <c r="P799" s="139"/>
      <c r="Q799" s="139"/>
      <c r="R799" s="139"/>
      <c r="S799" s="139"/>
      <c r="T799" s="139"/>
      <c r="U799" s="139"/>
      <c r="V799" s="139"/>
      <c r="W799" s="139"/>
      <c r="X799" s="139"/>
      <c r="Y799" s="139"/>
      <c r="Z799" s="139"/>
      <c r="AA799" s="139"/>
      <c r="AB799" s="139"/>
      <c r="AC799" s="139"/>
      <c r="AD799" s="139"/>
      <c r="AE799" s="139"/>
      <c r="AF799" s="139"/>
      <c r="AG799" s="139"/>
      <c r="AH799" s="139"/>
      <c r="AI799" s="139"/>
      <c r="AJ799" s="139"/>
    </row>
    <row r="800">
      <c r="A800" s="9"/>
      <c r="B800" s="139"/>
      <c r="C800" s="139"/>
      <c r="D800" s="139"/>
      <c r="E800" s="139"/>
      <c r="F800" s="139"/>
      <c r="G800" s="139"/>
      <c r="H800" s="139"/>
      <c r="I800" s="139"/>
      <c r="J800" s="139"/>
      <c r="K800" s="139"/>
      <c r="L800" s="139"/>
      <c r="M800" s="139"/>
      <c r="N800" s="139"/>
      <c r="O800" s="139"/>
      <c r="P800" s="139"/>
      <c r="Q800" s="139"/>
      <c r="R800" s="139"/>
      <c r="S800" s="139"/>
      <c r="T800" s="139"/>
      <c r="U800" s="139"/>
      <c r="V800" s="139"/>
      <c r="W800" s="139"/>
      <c r="X800" s="139"/>
      <c r="Y800" s="139"/>
      <c r="Z800" s="139"/>
      <c r="AA800" s="139"/>
      <c r="AB800" s="139"/>
      <c r="AC800" s="139"/>
      <c r="AD800" s="139"/>
      <c r="AE800" s="139"/>
      <c r="AF800" s="139"/>
      <c r="AG800" s="139"/>
      <c r="AH800" s="139"/>
      <c r="AI800" s="139"/>
      <c r="AJ800" s="139"/>
    </row>
    <row r="801">
      <c r="A801" s="9"/>
      <c r="B801" s="139"/>
      <c r="C801" s="139"/>
      <c r="D801" s="139"/>
      <c r="E801" s="139"/>
      <c r="F801" s="139"/>
      <c r="G801" s="139"/>
      <c r="H801" s="139"/>
      <c r="I801" s="139"/>
      <c r="J801" s="139"/>
      <c r="K801" s="139"/>
      <c r="L801" s="139"/>
      <c r="M801" s="139"/>
      <c r="N801" s="139"/>
      <c r="O801" s="139"/>
      <c r="P801" s="139"/>
      <c r="Q801" s="139"/>
      <c r="R801" s="139"/>
      <c r="S801" s="139"/>
      <c r="T801" s="139"/>
      <c r="U801" s="139"/>
      <c r="V801" s="139"/>
      <c r="W801" s="139"/>
      <c r="X801" s="139"/>
      <c r="Y801" s="139"/>
      <c r="Z801" s="139"/>
      <c r="AA801" s="139"/>
      <c r="AB801" s="139"/>
      <c r="AC801" s="139"/>
      <c r="AD801" s="139"/>
      <c r="AE801" s="139"/>
      <c r="AF801" s="139"/>
      <c r="AG801" s="139"/>
      <c r="AH801" s="139"/>
      <c r="AI801" s="139"/>
      <c r="AJ801" s="139"/>
    </row>
    <row r="802">
      <c r="A802" s="9"/>
      <c r="B802" s="139"/>
      <c r="C802" s="139"/>
      <c r="D802" s="139"/>
      <c r="E802" s="139"/>
      <c r="F802" s="139"/>
      <c r="G802" s="139"/>
      <c r="H802" s="139"/>
      <c r="I802" s="139"/>
      <c r="J802" s="139"/>
      <c r="K802" s="139"/>
      <c r="L802" s="139"/>
      <c r="M802" s="139"/>
      <c r="N802" s="139"/>
      <c r="O802" s="139"/>
      <c r="P802" s="139"/>
      <c r="Q802" s="139"/>
      <c r="R802" s="139"/>
      <c r="S802" s="139"/>
      <c r="T802" s="139"/>
      <c r="U802" s="139"/>
      <c r="V802" s="139"/>
      <c r="W802" s="139"/>
      <c r="X802" s="139"/>
      <c r="Y802" s="139"/>
      <c r="Z802" s="139"/>
      <c r="AA802" s="139"/>
      <c r="AB802" s="139"/>
      <c r="AC802" s="139"/>
      <c r="AD802" s="139"/>
      <c r="AE802" s="139"/>
      <c r="AF802" s="139"/>
      <c r="AG802" s="139"/>
      <c r="AH802" s="139"/>
      <c r="AI802" s="139"/>
      <c r="AJ802" s="139"/>
    </row>
    <row r="803">
      <c r="A803" s="9"/>
      <c r="B803" s="139"/>
      <c r="C803" s="139"/>
      <c r="D803" s="139"/>
      <c r="E803" s="139"/>
      <c r="F803" s="139"/>
      <c r="G803" s="139"/>
      <c r="H803" s="139"/>
      <c r="I803" s="139"/>
      <c r="J803" s="139"/>
      <c r="K803" s="139"/>
      <c r="L803" s="139"/>
      <c r="M803" s="139"/>
      <c r="N803" s="139"/>
      <c r="O803" s="139"/>
      <c r="P803" s="139"/>
      <c r="Q803" s="139"/>
      <c r="R803" s="139"/>
      <c r="S803" s="139"/>
      <c r="T803" s="139"/>
      <c r="U803" s="139"/>
      <c r="V803" s="139"/>
      <c r="W803" s="139"/>
      <c r="X803" s="139"/>
      <c r="Y803" s="139"/>
      <c r="Z803" s="139"/>
      <c r="AA803" s="139"/>
      <c r="AB803" s="139"/>
      <c r="AC803" s="139"/>
      <c r="AD803" s="139"/>
      <c r="AE803" s="139"/>
      <c r="AF803" s="139"/>
      <c r="AG803" s="139"/>
      <c r="AH803" s="139"/>
      <c r="AI803" s="139"/>
      <c r="AJ803" s="139"/>
    </row>
    <row r="804">
      <c r="A804" s="9"/>
      <c r="B804" s="139"/>
      <c r="C804" s="139"/>
      <c r="D804" s="139"/>
      <c r="E804" s="139"/>
      <c r="F804" s="139"/>
      <c r="G804" s="139"/>
      <c r="H804" s="139"/>
      <c r="I804" s="139"/>
      <c r="J804" s="139"/>
      <c r="K804" s="139"/>
      <c r="L804" s="139"/>
      <c r="M804" s="139"/>
      <c r="N804" s="139"/>
      <c r="O804" s="139"/>
      <c r="P804" s="139"/>
      <c r="Q804" s="139"/>
      <c r="R804" s="139"/>
      <c r="S804" s="139"/>
      <c r="T804" s="139"/>
      <c r="U804" s="139"/>
      <c r="V804" s="139"/>
      <c r="W804" s="139"/>
      <c r="X804" s="139"/>
      <c r="Y804" s="139"/>
      <c r="Z804" s="139"/>
      <c r="AA804" s="139"/>
      <c r="AB804" s="139"/>
      <c r="AC804" s="139"/>
      <c r="AD804" s="139"/>
      <c r="AE804" s="139"/>
      <c r="AF804" s="139"/>
      <c r="AG804" s="139"/>
      <c r="AH804" s="139"/>
      <c r="AI804" s="139"/>
      <c r="AJ804" s="139"/>
    </row>
    <row r="805">
      <c r="A805" s="9"/>
      <c r="B805" s="139"/>
      <c r="C805" s="139"/>
      <c r="D805" s="139"/>
      <c r="E805" s="139"/>
      <c r="F805" s="139"/>
      <c r="G805" s="139"/>
      <c r="H805" s="139"/>
      <c r="I805" s="139"/>
      <c r="J805" s="139"/>
      <c r="K805" s="139"/>
      <c r="L805" s="139"/>
      <c r="M805" s="139"/>
      <c r="N805" s="139"/>
      <c r="O805" s="139"/>
      <c r="P805" s="139"/>
      <c r="Q805" s="139"/>
      <c r="R805" s="139"/>
      <c r="S805" s="139"/>
      <c r="T805" s="139"/>
      <c r="U805" s="139"/>
      <c r="V805" s="139"/>
      <c r="W805" s="139"/>
      <c r="X805" s="139"/>
      <c r="Y805" s="139"/>
      <c r="Z805" s="139"/>
      <c r="AA805" s="139"/>
      <c r="AB805" s="139"/>
      <c r="AC805" s="139"/>
      <c r="AD805" s="139"/>
      <c r="AE805" s="139"/>
      <c r="AF805" s="139"/>
      <c r="AG805" s="139"/>
      <c r="AH805" s="139"/>
      <c r="AI805" s="139"/>
      <c r="AJ805" s="139"/>
    </row>
    <row r="806">
      <c r="A806" s="9"/>
      <c r="B806" s="139"/>
      <c r="C806" s="139"/>
      <c r="D806" s="139"/>
      <c r="E806" s="139"/>
      <c r="F806" s="139"/>
      <c r="G806" s="139"/>
      <c r="H806" s="139"/>
      <c r="I806" s="139"/>
      <c r="J806" s="139"/>
      <c r="K806" s="139"/>
      <c r="L806" s="139"/>
      <c r="M806" s="139"/>
      <c r="N806" s="139"/>
      <c r="O806" s="139"/>
      <c r="P806" s="139"/>
      <c r="Q806" s="139"/>
      <c r="R806" s="139"/>
      <c r="S806" s="139"/>
      <c r="T806" s="139"/>
      <c r="U806" s="139"/>
      <c r="V806" s="139"/>
      <c r="W806" s="139"/>
      <c r="X806" s="139"/>
      <c r="Y806" s="139"/>
      <c r="Z806" s="139"/>
      <c r="AA806" s="139"/>
      <c r="AB806" s="139"/>
      <c r="AC806" s="139"/>
      <c r="AD806" s="139"/>
      <c r="AE806" s="139"/>
      <c r="AF806" s="139"/>
      <c r="AG806" s="139"/>
      <c r="AH806" s="139"/>
      <c r="AI806" s="139"/>
      <c r="AJ806" s="139"/>
    </row>
    <row r="807">
      <c r="A807" s="9"/>
      <c r="B807" s="139"/>
      <c r="C807" s="139"/>
      <c r="D807" s="139"/>
      <c r="E807" s="139"/>
      <c r="F807" s="139"/>
      <c r="G807" s="139"/>
      <c r="H807" s="139"/>
      <c r="I807" s="139"/>
      <c r="J807" s="139"/>
      <c r="K807" s="139"/>
      <c r="L807" s="139"/>
      <c r="M807" s="139"/>
      <c r="N807" s="139"/>
      <c r="O807" s="139"/>
      <c r="P807" s="139"/>
      <c r="Q807" s="139"/>
      <c r="R807" s="139"/>
      <c r="S807" s="139"/>
      <c r="T807" s="139"/>
      <c r="U807" s="139"/>
      <c r="V807" s="139"/>
      <c r="W807" s="139"/>
      <c r="X807" s="139"/>
      <c r="Y807" s="139"/>
      <c r="Z807" s="139"/>
      <c r="AA807" s="139"/>
      <c r="AB807" s="139"/>
      <c r="AC807" s="139"/>
      <c r="AD807" s="139"/>
      <c r="AE807" s="139"/>
      <c r="AF807" s="139"/>
      <c r="AG807" s="139"/>
      <c r="AH807" s="139"/>
      <c r="AI807" s="139"/>
      <c r="AJ807" s="139"/>
    </row>
    <row r="808">
      <c r="A808" s="9"/>
      <c r="B808" s="139"/>
      <c r="C808" s="139"/>
      <c r="D808" s="139"/>
      <c r="E808" s="139"/>
      <c r="F808" s="139"/>
      <c r="G808" s="139"/>
      <c r="H808" s="139"/>
      <c r="I808" s="139"/>
      <c r="J808" s="139"/>
      <c r="K808" s="139"/>
      <c r="L808" s="139"/>
      <c r="M808" s="139"/>
      <c r="N808" s="139"/>
      <c r="O808" s="139"/>
      <c r="P808" s="139"/>
      <c r="Q808" s="139"/>
      <c r="R808" s="139"/>
      <c r="S808" s="139"/>
      <c r="T808" s="139"/>
      <c r="U808" s="139"/>
      <c r="V808" s="139"/>
      <c r="W808" s="139"/>
      <c r="X808" s="139"/>
      <c r="Y808" s="139"/>
      <c r="Z808" s="139"/>
      <c r="AA808" s="139"/>
      <c r="AB808" s="139"/>
      <c r="AC808" s="139"/>
      <c r="AD808" s="139"/>
      <c r="AE808" s="139"/>
      <c r="AF808" s="139"/>
      <c r="AG808" s="139"/>
      <c r="AH808" s="139"/>
      <c r="AI808" s="139"/>
      <c r="AJ808" s="139"/>
    </row>
    <row r="809">
      <c r="A809" s="9"/>
      <c r="B809" s="139"/>
      <c r="C809" s="139"/>
      <c r="D809" s="139"/>
      <c r="E809" s="139"/>
      <c r="F809" s="139"/>
      <c r="G809" s="139"/>
      <c r="H809" s="139"/>
      <c r="I809" s="139"/>
      <c r="J809" s="139"/>
      <c r="K809" s="139"/>
      <c r="L809" s="139"/>
      <c r="M809" s="139"/>
      <c r="N809" s="139"/>
      <c r="O809" s="139"/>
      <c r="P809" s="139"/>
      <c r="Q809" s="139"/>
      <c r="R809" s="139"/>
      <c r="S809" s="139"/>
      <c r="T809" s="139"/>
      <c r="U809" s="139"/>
      <c r="V809" s="139"/>
      <c r="W809" s="139"/>
      <c r="X809" s="139"/>
      <c r="Y809" s="139"/>
      <c r="Z809" s="139"/>
      <c r="AA809" s="139"/>
      <c r="AB809" s="139"/>
      <c r="AC809" s="139"/>
      <c r="AD809" s="139"/>
      <c r="AE809" s="139"/>
      <c r="AF809" s="139"/>
      <c r="AG809" s="139"/>
      <c r="AH809" s="139"/>
      <c r="AI809" s="139"/>
      <c r="AJ809" s="139"/>
    </row>
    <row r="810">
      <c r="A810" s="9"/>
      <c r="B810" s="139"/>
      <c r="C810" s="139"/>
      <c r="D810" s="139"/>
      <c r="E810" s="139"/>
      <c r="F810" s="139"/>
      <c r="G810" s="139"/>
      <c r="H810" s="139"/>
      <c r="I810" s="139"/>
      <c r="J810" s="139"/>
      <c r="K810" s="139"/>
      <c r="L810" s="139"/>
      <c r="M810" s="139"/>
      <c r="N810" s="139"/>
      <c r="O810" s="139"/>
      <c r="P810" s="139"/>
      <c r="Q810" s="139"/>
      <c r="R810" s="139"/>
      <c r="S810" s="139"/>
      <c r="T810" s="139"/>
      <c r="U810" s="139"/>
      <c r="V810" s="139"/>
      <c r="W810" s="139"/>
      <c r="X810" s="139"/>
      <c r="Y810" s="139"/>
      <c r="Z810" s="139"/>
      <c r="AA810" s="139"/>
      <c r="AB810" s="139"/>
      <c r="AC810" s="139"/>
      <c r="AD810" s="139"/>
      <c r="AE810" s="139"/>
      <c r="AF810" s="139"/>
      <c r="AG810" s="139"/>
      <c r="AH810" s="139"/>
      <c r="AI810" s="139"/>
      <c r="AJ810" s="139"/>
    </row>
    <row r="811">
      <c r="A811" s="9"/>
      <c r="B811" s="139"/>
      <c r="C811" s="139"/>
      <c r="D811" s="139"/>
      <c r="E811" s="139"/>
      <c r="F811" s="139"/>
      <c r="G811" s="139"/>
      <c r="H811" s="139"/>
      <c r="I811" s="139"/>
      <c r="J811" s="139"/>
      <c r="K811" s="139"/>
      <c r="L811" s="139"/>
      <c r="M811" s="139"/>
      <c r="N811" s="139"/>
      <c r="O811" s="139"/>
      <c r="P811" s="139"/>
      <c r="Q811" s="139"/>
      <c r="R811" s="139"/>
      <c r="S811" s="139"/>
      <c r="T811" s="139"/>
      <c r="U811" s="139"/>
      <c r="V811" s="139"/>
      <c r="W811" s="139"/>
      <c r="X811" s="139"/>
      <c r="Y811" s="139"/>
      <c r="Z811" s="139"/>
      <c r="AA811" s="139"/>
      <c r="AB811" s="139"/>
      <c r="AC811" s="139"/>
      <c r="AD811" s="139"/>
      <c r="AE811" s="139"/>
      <c r="AF811" s="139"/>
      <c r="AG811" s="139"/>
      <c r="AH811" s="139"/>
      <c r="AI811" s="139"/>
      <c r="AJ811" s="139"/>
    </row>
    <row r="812">
      <c r="A812" s="9"/>
      <c r="B812" s="139"/>
      <c r="C812" s="139"/>
      <c r="D812" s="139"/>
      <c r="E812" s="139"/>
      <c r="F812" s="139"/>
      <c r="G812" s="139"/>
      <c r="H812" s="139"/>
      <c r="I812" s="139"/>
      <c r="J812" s="139"/>
      <c r="K812" s="139"/>
      <c r="L812" s="139"/>
      <c r="M812" s="139"/>
      <c r="N812" s="139"/>
      <c r="O812" s="139"/>
      <c r="P812" s="139"/>
      <c r="Q812" s="139"/>
      <c r="R812" s="139"/>
      <c r="S812" s="139"/>
      <c r="T812" s="139"/>
      <c r="U812" s="139"/>
      <c r="V812" s="139"/>
      <c r="W812" s="139"/>
      <c r="X812" s="139"/>
      <c r="Y812" s="139"/>
      <c r="Z812" s="139"/>
      <c r="AA812" s="139"/>
      <c r="AB812" s="139"/>
      <c r="AC812" s="139"/>
      <c r="AD812" s="139"/>
      <c r="AE812" s="139"/>
      <c r="AF812" s="139"/>
      <c r="AG812" s="139"/>
      <c r="AH812" s="139"/>
      <c r="AI812" s="139"/>
      <c r="AJ812" s="139"/>
    </row>
    <row r="813">
      <c r="A813" s="9"/>
      <c r="B813" s="139"/>
      <c r="C813" s="139"/>
      <c r="D813" s="139"/>
      <c r="E813" s="139"/>
      <c r="F813" s="139"/>
      <c r="G813" s="139"/>
      <c r="H813" s="139"/>
      <c r="I813" s="139"/>
      <c r="J813" s="139"/>
      <c r="K813" s="139"/>
      <c r="L813" s="139"/>
      <c r="M813" s="139"/>
      <c r="N813" s="139"/>
      <c r="O813" s="139"/>
      <c r="P813" s="139"/>
      <c r="Q813" s="139"/>
      <c r="R813" s="139"/>
      <c r="S813" s="139"/>
      <c r="T813" s="139"/>
      <c r="U813" s="139"/>
      <c r="V813" s="139"/>
      <c r="W813" s="139"/>
      <c r="X813" s="139"/>
      <c r="Y813" s="139"/>
      <c r="Z813" s="139"/>
      <c r="AA813" s="139"/>
      <c r="AB813" s="139"/>
      <c r="AC813" s="139"/>
      <c r="AD813" s="139"/>
      <c r="AE813" s="139"/>
      <c r="AF813" s="139"/>
      <c r="AG813" s="139"/>
      <c r="AH813" s="139"/>
      <c r="AI813" s="139"/>
      <c r="AJ813" s="139"/>
    </row>
    <row r="814">
      <c r="A814" s="9"/>
      <c r="B814" s="139"/>
      <c r="C814" s="139"/>
      <c r="D814" s="139"/>
      <c r="E814" s="139"/>
      <c r="F814" s="139"/>
      <c r="G814" s="139"/>
      <c r="H814" s="139"/>
      <c r="I814" s="139"/>
      <c r="J814" s="139"/>
      <c r="K814" s="139"/>
      <c r="L814" s="139"/>
      <c r="M814" s="139"/>
      <c r="N814" s="139"/>
      <c r="O814" s="139"/>
      <c r="P814" s="139"/>
      <c r="Q814" s="139"/>
      <c r="R814" s="139"/>
      <c r="S814" s="139"/>
      <c r="T814" s="139"/>
      <c r="U814" s="139"/>
      <c r="V814" s="139"/>
      <c r="W814" s="139"/>
      <c r="X814" s="139"/>
      <c r="Y814" s="139"/>
      <c r="Z814" s="139"/>
      <c r="AA814" s="139"/>
      <c r="AB814" s="139"/>
      <c r="AC814" s="139"/>
      <c r="AD814" s="139"/>
      <c r="AE814" s="139"/>
      <c r="AF814" s="139"/>
      <c r="AG814" s="139"/>
      <c r="AH814" s="139"/>
      <c r="AI814" s="139"/>
      <c r="AJ814" s="139"/>
    </row>
    <row r="815">
      <c r="A815" s="9"/>
      <c r="B815" s="139"/>
      <c r="C815" s="139"/>
      <c r="D815" s="139"/>
      <c r="E815" s="139"/>
      <c r="F815" s="139"/>
      <c r="G815" s="139"/>
      <c r="H815" s="139"/>
      <c r="I815" s="139"/>
      <c r="J815" s="139"/>
      <c r="K815" s="139"/>
      <c r="L815" s="139"/>
      <c r="M815" s="139"/>
      <c r="N815" s="139"/>
      <c r="O815" s="139"/>
      <c r="P815" s="139"/>
      <c r="Q815" s="139"/>
      <c r="R815" s="139"/>
      <c r="S815" s="139"/>
      <c r="T815" s="139"/>
      <c r="U815" s="139"/>
      <c r="V815" s="139"/>
      <c r="W815" s="139"/>
      <c r="X815" s="139"/>
      <c r="Y815" s="139"/>
      <c r="Z815" s="139"/>
      <c r="AA815" s="139"/>
      <c r="AB815" s="139"/>
      <c r="AC815" s="139"/>
      <c r="AD815" s="139"/>
      <c r="AE815" s="139"/>
      <c r="AF815" s="139"/>
      <c r="AG815" s="139"/>
      <c r="AH815" s="139"/>
      <c r="AI815" s="139"/>
      <c r="AJ815" s="139"/>
    </row>
    <row r="816">
      <c r="A816" s="9"/>
      <c r="B816" s="139"/>
      <c r="C816" s="139"/>
      <c r="D816" s="139"/>
      <c r="E816" s="139"/>
      <c r="F816" s="139"/>
      <c r="G816" s="139"/>
      <c r="H816" s="139"/>
      <c r="I816" s="139"/>
      <c r="J816" s="139"/>
      <c r="K816" s="139"/>
      <c r="L816" s="139"/>
      <c r="M816" s="139"/>
      <c r="N816" s="139"/>
      <c r="O816" s="139"/>
      <c r="P816" s="139"/>
      <c r="Q816" s="139"/>
      <c r="R816" s="139"/>
      <c r="S816" s="139"/>
      <c r="T816" s="139"/>
      <c r="U816" s="139"/>
      <c r="V816" s="139"/>
      <c r="W816" s="139"/>
      <c r="X816" s="139"/>
      <c r="Y816" s="139"/>
      <c r="Z816" s="139"/>
      <c r="AA816" s="139"/>
      <c r="AB816" s="139"/>
      <c r="AC816" s="139"/>
      <c r="AD816" s="139"/>
      <c r="AE816" s="139"/>
      <c r="AF816" s="139"/>
      <c r="AG816" s="139"/>
      <c r="AH816" s="139"/>
      <c r="AI816" s="139"/>
      <c r="AJ816" s="139"/>
    </row>
    <row r="817">
      <c r="A817" s="9"/>
      <c r="B817" s="139"/>
      <c r="C817" s="139"/>
      <c r="D817" s="139"/>
      <c r="E817" s="139"/>
      <c r="F817" s="139"/>
      <c r="G817" s="139"/>
      <c r="H817" s="139"/>
      <c r="I817" s="139"/>
      <c r="J817" s="139"/>
      <c r="K817" s="139"/>
      <c r="L817" s="139"/>
      <c r="M817" s="139"/>
      <c r="N817" s="139"/>
      <c r="O817" s="139"/>
      <c r="P817" s="139"/>
      <c r="Q817" s="139"/>
      <c r="R817" s="139"/>
      <c r="S817" s="139"/>
      <c r="T817" s="139"/>
      <c r="U817" s="139"/>
      <c r="V817" s="139"/>
      <c r="W817" s="139"/>
      <c r="X817" s="139"/>
      <c r="Y817" s="139"/>
      <c r="Z817" s="139"/>
      <c r="AA817" s="139"/>
      <c r="AB817" s="139"/>
      <c r="AC817" s="139"/>
      <c r="AD817" s="139"/>
      <c r="AE817" s="139"/>
      <c r="AF817" s="139"/>
      <c r="AG817" s="139"/>
      <c r="AH817" s="139"/>
      <c r="AI817" s="139"/>
      <c r="AJ817" s="139"/>
    </row>
    <row r="818">
      <c r="A818" s="9"/>
      <c r="B818" s="139"/>
      <c r="C818" s="139"/>
      <c r="D818" s="139"/>
      <c r="E818" s="139"/>
      <c r="F818" s="139"/>
      <c r="G818" s="139"/>
      <c r="H818" s="139"/>
      <c r="I818" s="139"/>
      <c r="J818" s="139"/>
      <c r="K818" s="139"/>
      <c r="L818" s="139"/>
      <c r="M818" s="139"/>
      <c r="N818" s="139"/>
      <c r="O818" s="139"/>
      <c r="P818" s="139"/>
      <c r="Q818" s="139"/>
      <c r="R818" s="139"/>
      <c r="S818" s="139"/>
      <c r="T818" s="139"/>
      <c r="U818" s="139"/>
      <c r="V818" s="139"/>
      <c r="W818" s="139"/>
      <c r="X818" s="139"/>
      <c r="Y818" s="139"/>
      <c r="Z818" s="139"/>
      <c r="AA818" s="139"/>
      <c r="AB818" s="139"/>
      <c r="AC818" s="139"/>
      <c r="AD818" s="139"/>
      <c r="AE818" s="139"/>
      <c r="AF818" s="139"/>
      <c r="AG818" s="139"/>
      <c r="AH818" s="139"/>
      <c r="AI818" s="139"/>
      <c r="AJ818" s="139"/>
    </row>
    <row r="819">
      <c r="A819" s="9"/>
      <c r="B819" s="139"/>
      <c r="C819" s="139"/>
      <c r="D819" s="139"/>
      <c r="E819" s="139"/>
      <c r="F819" s="139"/>
      <c r="G819" s="139"/>
      <c r="H819" s="139"/>
      <c r="I819" s="139"/>
      <c r="J819" s="139"/>
      <c r="K819" s="139"/>
      <c r="L819" s="139"/>
      <c r="M819" s="139"/>
      <c r="N819" s="139"/>
      <c r="O819" s="139"/>
      <c r="P819" s="139"/>
      <c r="Q819" s="139"/>
      <c r="R819" s="139"/>
      <c r="S819" s="139"/>
      <c r="T819" s="139"/>
      <c r="U819" s="139"/>
      <c r="V819" s="139"/>
      <c r="W819" s="139"/>
      <c r="X819" s="139"/>
      <c r="Y819" s="139"/>
      <c r="Z819" s="139"/>
      <c r="AA819" s="139"/>
      <c r="AB819" s="139"/>
      <c r="AC819" s="139"/>
      <c r="AD819" s="139"/>
      <c r="AE819" s="139"/>
      <c r="AF819" s="139"/>
      <c r="AG819" s="139"/>
      <c r="AH819" s="139"/>
      <c r="AI819" s="139"/>
      <c r="AJ819" s="139"/>
    </row>
    <row r="820">
      <c r="A820" s="9"/>
      <c r="B820" s="139"/>
      <c r="C820" s="139"/>
      <c r="D820" s="139"/>
      <c r="E820" s="139"/>
      <c r="F820" s="139"/>
      <c r="G820" s="139"/>
      <c r="H820" s="139"/>
      <c r="I820" s="139"/>
      <c r="J820" s="139"/>
      <c r="K820" s="139"/>
      <c r="L820" s="139"/>
      <c r="M820" s="139"/>
      <c r="N820" s="139"/>
      <c r="O820" s="139"/>
      <c r="P820" s="139"/>
      <c r="Q820" s="139"/>
      <c r="R820" s="139"/>
      <c r="S820" s="139"/>
      <c r="T820" s="139"/>
      <c r="U820" s="139"/>
      <c r="V820" s="139"/>
      <c r="W820" s="139"/>
      <c r="X820" s="139"/>
      <c r="Y820" s="139"/>
      <c r="Z820" s="139"/>
      <c r="AA820" s="139"/>
      <c r="AB820" s="139"/>
      <c r="AC820" s="139"/>
      <c r="AD820" s="139"/>
      <c r="AE820" s="139"/>
      <c r="AF820" s="139"/>
      <c r="AG820" s="139"/>
      <c r="AH820" s="139"/>
      <c r="AI820" s="139"/>
      <c r="AJ820" s="139"/>
    </row>
    <row r="821">
      <c r="A821" s="9"/>
      <c r="B821" s="139"/>
      <c r="C821" s="139"/>
      <c r="D821" s="139"/>
      <c r="E821" s="139"/>
      <c r="F821" s="139"/>
      <c r="G821" s="139"/>
      <c r="H821" s="139"/>
      <c r="I821" s="139"/>
      <c r="J821" s="139"/>
      <c r="K821" s="139"/>
      <c r="L821" s="139"/>
      <c r="M821" s="139"/>
      <c r="N821" s="139"/>
      <c r="O821" s="139"/>
      <c r="P821" s="139"/>
      <c r="Q821" s="139"/>
      <c r="R821" s="139"/>
      <c r="S821" s="139"/>
      <c r="T821" s="139"/>
      <c r="U821" s="139"/>
      <c r="V821" s="139"/>
      <c r="W821" s="139"/>
      <c r="X821" s="139"/>
      <c r="Y821" s="139"/>
      <c r="Z821" s="139"/>
      <c r="AA821" s="139"/>
      <c r="AB821" s="139"/>
      <c r="AC821" s="139"/>
      <c r="AD821" s="139"/>
      <c r="AE821" s="139"/>
      <c r="AF821" s="139"/>
      <c r="AG821" s="139"/>
      <c r="AH821" s="139"/>
      <c r="AI821" s="139"/>
      <c r="AJ821" s="139"/>
    </row>
    <row r="822">
      <c r="A822" s="9"/>
      <c r="B822" s="139"/>
      <c r="C822" s="139"/>
      <c r="D822" s="139"/>
      <c r="E822" s="139"/>
      <c r="F822" s="139"/>
      <c r="G822" s="139"/>
      <c r="H822" s="139"/>
      <c r="I822" s="139"/>
      <c r="J822" s="139"/>
      <c r="K822" s="139"/>
      <c r="L822" s="139"/>
      <c r="M822" s="139"/>
      <c r="N822" s="139"/>
      <c r="O822" s="139"/>
      <c r="P822" s="139"/>
      <c r="Q822" s="139"/>
      <c r="R822" s="139"/>
      <c r="S822" s="139"/>
      <c r="T822" s="139"/>
      <c r="U822" s="139"/>
      <c r="V822" s="139"/>
      <c r="W822" s="139"/>
      <c r="X822" s="139"/>
      <c r="Y822" s="139"/>
      <c r="Z822" s="139"/>
      <c r="AA822" s="139"/>
      <c r="AB822" s="139"/>
      <c r="AC822" s="139"/>
      <c r="AD822" s="139"/>
      <c r="AE822" s="139"/>
      <c r="AF822" s="139"/>
      <c r="AG822" s="139"/>
      <c r="AH822" s="139"/>
      <c r="AI822" s="139"/>
      <c r="AJ822" s="139"/>
    </row>
    <row r="823">
      <c r="A823" s="9"/>
      <c r="B823" s="139"/>
      <c r="C823" s="139"/>
      <c r="D823" s="139"/>
      <c r="E823" s="139"/>
      <c r="F823" s="139"/>
      <c r="G823" s="139"/>
      <c r="H823" s="139"/>
      <c r="I823" s="139"/>
      <c r="J823" s="139"/>
      <c r="K823" s="139"/>
      <c r="L823" s="139"/>
      <c r="M823" s="139"/>
      <c r="N823" s="139"/>
      <c r="O823" s="139"/>
      <c r="P823" s="139"/>
      <c r="Q823" s="139"/>
      <c r="R823" s="139"/>
      <c r="S823" s="139"/>
      <c r="T823" s="139"/>
      <c r="U823" s="139"/>
      <c r="V823" s="139"/>
      <c r="W823" s="139"/>
      <c r="X823" s="139"/>
      <c r="Y823" s="139"/>
      <c r="Z823" s="139"/>
      <c r="AA823" s="139"/>
      <c r="AB823" s="139"/>
      <c r="AC823" s="139"/>
      <c r="AD823" s="139"/>
      <c r="AE823" s="139"/>
      <c r="AF823" s="139"/>
      <c r="AG823" s="139"/>
      <c r="AH823" s="139"/>
      <c r="AI823" s="139"/>
      <c r="AJ823" s="139"/>
    </row>
    <row r="824">
      <c r="A824" s="9"/>
      <c r="B824" s="139"/>
      <c r="C824" s="139"/>
      <c r="D824" s="139"/>
      <c r="E824" s="139"/>
      <c r="F824" s="139"/>
      <c r="G824" s="139"/>
      <c r="H824" s="139"/>
      <c r="I824" s="139"/>
      <c r="J824" s="139"/>
      <c r="K824" s="139"/>
      <c r="L824" s="139"/>
      <c r="M824" s="139"/>
      <c r="N824" s="139"/>
      <c r="O824" s="139"/>
      <c r="P824" s="139"/>
      <c r="Q824" s="139"/>
      <c r="R824" s="139"/>
      <c r="S824" s="139"/>
      <c r="T824" s="139"/>
      <c r="U824" s="139"/>
      <c r="V824" s="139"/>
      <c r="W824" s="139"/>
      <c r="X824" s="139"/>
      <c r="Y824" s="139"/>
      <c r="Z824" s="139"/>
      <c r="AA824" s="139"/>
      <c r="AB824" s="139"/>
      <c r="AC824" s="139"/>
      <c r="AD824" s="139"/>
      <c r="AE824" s="139"/>
      <c r="AF824" s="139"/>
      <c r="AG824" s="139"/>
      <c r="AH824" s="139"/>
      <c r="AI824" s="139"/>
      <c r="AJ824" s="139"/>
    </row>
    <row r="825">
      <c r="A825" s="9"/>
      <c r="B825" s="139"/>
      <c r="C825" s="139"/>
      <c r="D825" s="139"/>
      <c r="E825" s="139"/>
      <c r="F825" s="139"/>
      <c r="G825" s="139"/>
      <c r="H825" s="139"/>
      <c r="I825" s="139"/>
      <c r="J825" s="139"/>
      <c r="K825" s="139"/>
      <c r="L825" s="139"/>
      <c r="M825" s="139"/>
      <c r="N825" s="139"/>
      <c r="O825" s="139"/>
      <c r="P825" s="139"/>
      <c r="Q825" s="139"/>
      <c r="R825" s="139"/>
      <c r="S825" s="139"/>
      <c r="T825" s="139"/>
      <c r="U825" s="139"/>
      <c r="V825" s="139"/>
      <c r="W825" s="139"/>
      <c r="X825" s="139"/>
      <c r="Y825" s="139"/>
      <c r="Z825" s="139"/>
      <c r="AA825" s="139"/>
      <c r="AB825" s="139"/>
      <c r="AC825" s="139"/>
      <c r="AD825" s="139"/>
      <c r="AE825" s="139"/>
      <c r="AF825" s="139"/>
      <c r="AG825" s="139"/>
      <c r="AH825" s="139"/>
      <c r="AI825" s="139"/>
      <c r="AJ825" s="139"/>
    </row>
    <row r="826">
      <c r="A826" s="9"/>
      <c r="B826" s="139"/>
      <c r="C826" s="139"/>
      <c r="D826" s="139"/>
      <c r="E826" s="139"/>
      <c r="F826" s="139"/>
      <c r="G826" s="139"/>
      <c r="H826" s="139"/>
      <c r="I826" s="139"/>
      <c r="J826" s="139"/>
      <c r="K826" s="139"/>
      <c r="L826" s="139"/>
      <c r="M826" s="139"/>
      <c r="N826" s="139"/>
      <c r="O826" s="139"/>
      <c r="P826" s="139"/>
      <c r="Q826" s="139"/>
      <c r="R826" s="139"/>
      <c r="S826" s="139"/>
      <c r="T826" s="139"/>
      <c r="U826" s="139"/>
      <c r="V826" s="139"/>
      <c r="W826" s="139"/>
      <c r="X826" s="139"/>
      <c r="Y826" s="139"/>
      <c r="Z826" s="139"/>
      <c r="AA826" s="139"/>
      <c r="AB826" s="139"/>
      <c r="AC826" s="139"/>
      <c r="AD826" s="139"/>
      <c r="AE826" s="139"/>
      <c r="AF826" s="139"/>
      <c r="AG826" s="139"/>
      <c r="AH826" s="139"/>
      <c r="AI826" s="139"/>
      <c r="AJ826" s="139"/>
    </row>
    <row r="827">
      <c r="A827" s="9"/>
      <c r="B827" s="139"/>
      <c r="C827" s="139"/>
      <c r="D827" s="139"/>
      <c r="E827" s="139"/>
      <c r="F827" s="139"/>
      <c r="G827" s="139"/>
      <c r="H827" s="139"/>
      <c r="I827" s="139"/>
      <c r="J827" s="139"/>
      <c r="K827" s="139"/>
      <c r="L827" s="139"/>
      <c r="M827" s="139"/>
      <c r="N827" s="139"/>
      <c r="O827" s="139"/>
      <c r="P827" s="139"/>
      <c r="Q827" s="139"/>
      <c r="R827" s="139"/>
      <c r="S827" s="139"/>
      <c r="T827" s="139"/>
      <c r="U827" s="139"/>
      <c r="V827" s="139"/>
      <c r="W827" s="139"/>
      <c r="X827" s="139"/>
      <c r="Y827" s="139"/>
      <c r="Z827" s="139"/>
      <c r="AA827" s="139"/>
      <c r="AB827" s="139"/>
      <c r="AC827" s="139"/>
      <c r="AD827" s="139"/>
      <c r="AE827" s="139"/>
      <c r="AF827" s="139"/>
      <c r="AG827" s="139"/>
      <c r="AH827" s="139"/>
      <c r="AI827" s="139"/>
      <c r="AJ827" s="139"/>
    </row>
    <row r="828">
      <c r="A828" s="9"/>
      <c r="B828" s="139"/>
      <c r="C828" s="139"/>
      <c r="D828" s="139"/>
      <c r="E828" s="139"/>
      <c r="F828" s="139"/>
      <c r="G828" s="139"/>
      <c r="H828" s="139"/>
      <c r="I828" s="139"/>
      <c r="J828" s="139"/>
      <c r="K828" s="139"/>
      <c r="L828" s="139"/>
      <c r="M828" s="139"/>
      <c r="N828" s="139"/>
      <c r="O828" s="139"/>
      <c r="P828" s="139"/>
      <c r="Q828" s="139"/>
      <c r="R828" s="139"/>
      <c r="S828" s="139"/>
      <c r="T828" s="139"/>
      <c r="U828" s="139"/>
      <c r="V828" s="139"/>
      <c r="W828" s="139"/>
      <c r="X828" s="139"/>
      <c r="Y828" s="139"/>
      <c r="Z828" s="139"/>
      <c r="AA828" s="139"/>
      <c r="AB828" s="139"/>
      <c r="AC828" s="139"/>
      <c r="AD828" s="139"/>
      <c r="AE828" s="139"/>
      <c r="AF828" s="139"/>
      <c r="AG828" s="139"/>
      <c r="AH828" s="139"/>
      <c r="AI828" s="139"/>
      <c r="AJ828" s="139"/>
    </row>
    <row r="829">
      <c r="A829" s="9"/>
      <c r="B829" s="139"/>
      <c r="C829" s="139"/>
      <c r="D829" s="139"/>
      <c r="E829" s="139"/>
      <c r="F829" s="139"/>
      <c r="G829" s="139"/>
      <c r="H829" s="139"/>
      <c r="I829" s="139"/>
      <c r="J829" s="139"/>
      <c r="K829" s="139"/>
      <c r="L829" s="139"/>
      <c r="M829" s="139"/>
      <c r="N829" s="139"/>
      <c r="O829" s="139"/>
      <c r="P829" s="139"/>
      <c r="Q829" s="139"/>
      <c r="R829" s="139"/>
      <c r="S829" s="139"/>
      <c r="T829" s="139"/>
      <c r="U829" s="139"/>
      <c r="V829" s="139"/>
      <c r="W829" s="139"/>
      <c r="X829" s="139"/>
      <c r="Y829" s="139"/>
      <c r="Z829" s="139"/>
      <c r="AA829" s="139"/>
      <c r="AB829" s="139"/>
      <c r="AC829" s="139"/>
      <c r="AD829" s="139"/>
      <c r="AE829" s="139"/>
      <c r="AF829" s="139"/>
      <c r="AG829" s="139"/>
      <c r="AH829" s="139"/>
      <c r="AI829" s="139"/>
      <c r="AJ829" s="139"/>
    </row>
    <row r="830">
      <c r="A830" s="9"/>
      <c r="B830" s="139"/>
      <c r="C830" s="139"/>
      <c r="D830" s="139"/>
      <c r="E830" s="139"/>
      <c r="F830" s="139"/>
      <c r="G830" s="139"/>
      <c r="H830" s="139"/>
      <c r="I830" s="139"/>
      <c r="J830" s="139"/>
      <c r="K830" s="139"/>
      <c r="L830" s="139"/>
      <c r="M830" s="139"/>
      <c r="N830" s="139"/>
      <c r="O830" s="139"/>
      <c r="P830" s="139"/>
      <c r="Q830" s="139"/>
      <c r="R830" s="139"/>
      <c r="S830" s="139"/>
      <c r="T830" s="139"/>
      <c r="U830" s="139"/>
      <c r="V830" s="139"/>
      <c r="W830" s="139"/>
      <c r="X830" s="139"/>
      <c r="Y830" s="139"/>
      <c r="Z830" s="139"/>
      <c r="AA830" s="139"/>
      <c r="AB830" s="139"/>
      <c r="AC830" s="139"/>
      <c r="AD830" s="139"/>
      <c r="AE830" s="139"/>
      <c r="AF830" s="139"/>
      <c r="AG830" s="139"/>
      <c r="AH830" s="139"/>
      <c r="AI830" s="139"/>
      <c r="AJ830" s="139"/>
    </row>
    <row r="831">
      <c r="A831" s="9"/>
      <c r="B831" s="139"/>
      <c r="C831" s="139"/>
      <c r="D831" s="139"/>
      <c r="E831" s="139"/>
      <c r="F831" s="139"/>
      <c r="G831" s="139"/>
      <c r="H831" s="139"/>
      <c r="I831" s="139"/>
      <c r="J831" s="139"/>
      <c r="K831" s="139"/>
      <c r="L831" s="139"/>
      <c r="M831" s="139"/>
      <c r="N831" s="139"/>
      <c r="O831" s="139"/>
      <c r="P831" s="139"/>
      <c r="Q831" s="139"/>
      <c r="R831" s="139"/>
      <c r="S831" s="139"/>
      <c r="T831" s="139"/>
      <c r="U831" s="139"/>
      <c r="V831" s="139"/>
      <c r="W831" s="139"/>
      <c r="X831" s="139"/>
      <c r="Y831" s="139"/>
      <c r="Z831" s="139"/>
      <c r="AA831" s="139"/>
      <c r="AB831" s="139"/>
      <c r="AC831" s="139"/>
      <c r="AD831" s="139"/>
      <c r="AE831" s="139"/>
      <c r="AF831" s="139"/>
      <c r="AG831" s="139"/>
      <c r="AH831" s="139"/>
      <c r="AI831" s="139"/>
      <c r="AJ831" s="139"/>
    </row>
    <row r="832">
      <c r="A832" s="9"/>
      <c r="B832" s="139"/>
      <c r="C832" s="139"/>
      <c r="D832" s="139"/>
      <c r="E832" s="139"/>
      <c r="F832" s="139"/>
      <c r="G832" s="139"/>
      <c r="H832" s="139"/>
      <c r="I832" s="139"/>
      <c r="J832" s="139"/>
      <c r="K832" s="139"/>
      <c r="L832" s="139"/>
      <c r="M832" s="139"/>
      <c r="N832" s="139"/>
      <c r="O832" s="139"/>
      <c r="P832" s="139"/>
      <c r="Q832" s="139"/>
      <c r="R832" s="139"/>
      <c r="S832" s="139"/>
      <c r="T832" s="139"/>
      <c r="U832" s="139"/>
      <c r="V832" s="139"/>
      <c r="W832" s="139"/>
      <c r="X832" s="139"/>
      <c r="Y832" s="139"/>
      <c r="Z832" s="139"/>
      <c r="AA832" s="139"/>
      <c r="AB832" s="139"/>
      <c r="AC832" s="139"/>
      <c r="AD832" s="139"/>
      <c r="AE832" s="139"/>
      <c r="AF832" s="139"/>
      <c r="AG832" s="139"/>
      <c r="AH832" s="139"/>
      <c r="AI832" s="139"/>
      <c r="AJ832" s="139"/>
    </row>
    <row r="833">
      <c r="A833" s="9"/>
      <c r="B833" s="139"/>
      <c r="C833" s="139"/>
      <c r="D833" s="139"/>
      <c r="E833" s="139"/>
      <c r="F833" s="139"/>
      <c r="G833" s="139"/>
      <c r="H833" s="139"/>
      <c r="I833" s="139"/>
      <c r="J833" s="139"/>
      <c r="K833" s="139"/>
      <c r="L833" s="139"/>
      <c r="M833" s="139"/>
      <c r="N833" s="139"/>
      <c r="O833" s="139"/>
      <c r="P833" s="139"/>
      <c r="Q833" s="139"/>
      <c r="R833" s="139"/>
      <c r="S833" s="139"/>
      <c r="T833" s="139"/>
      <c r="U833" s="139"/>
      <c r="V833" s="139"/>
      <c r="W833" s="139"/>
      <c r="X833" s="139"/>
      <c r="Y833" s="139"/>
      <c r="Z833" s="139"/>
      <c r="AA833" s="139"/>
      <c r="AB833" s="139"/>
      <c r="AC833" s="139"/>
      <c r="AD833" s="139"/>
      <c r="AE833" s="139"/>
      <c r="AF833" s="139"/>
      <c r="AG833" s="139"/>
      <c r="AH833" s="139"/>
      <c r="AI833" s="139"/>
      <c r="AJ833" s="139"/>
    </row>
    <row r="834">
      <c r="A834" s="9"/>
      <c r="B834" s="139"/>
      <c r="C834" s="139"/>
      <c r="D834" s="139"/>
      <c r="E834" s="139"/>
      <c r="F834" s="139"/>
      <c r="G834" s="139"/>
      <c r="H834" s="139"/>
      <c r="I834" s="139"/>
      <c r="J834" s="139"/>
      <c r="K834" s="139"/>
      <c r="L834" s="139"/>
      <c r="M834" s="139"/>
      <c r="N834" s="139"/>
      <c r="O834" s="139"/>
      <c r="P834" s="139"/>
      <c r="Q834" s="139"/>
      <c r="R834" s="139"/>
      <c r="S834" s="139"/>
      <c r="T834" s="139"/>
      <c r="U834" s="139"/>
      <c r="V834" s="139"/>
      <c r="W834" s="139"/>
      <c r="X834" s="139"/>
      <c r="Y834" s="139"/>
      <c r="Z834" s="139"/>
      <c r="AA834" s="139"/>
      <c r="AB834" s="139"/>
      <c r="AC834" s="139"/>
      <c r="AD834" s="139"/>
      <c r="AE834" s="139"/>
      <c r="AF834" s="139"/>
      <c r="AG834" s="139"/>
      <c r="AH834" s="139"/>
      <c r="AI834" s="139"/>
      <c r="AJ834" s="139"/>
    </row>
    <row r="835">
      <c r="A835" s="9"/>
      <c r="B835" s="139"/>
      <c r="C835" s="139"/>
      <c r="D835" s="139"/>
      <c r="E835" s="139"/>
      <c r="F835" s="139"/>
      <c r="G835" s="139"/>
      <c r="H835" s="139"/>
      <c r="I835" s="139"/>
      <c r="J835" s="139"/>
      <c r="K835" s="139"/>
      <c r="L835" s="139"/>
      <c r="M835" s="139"/>
      <c r="N835" s="139"/>
      <c r="O835" s="139"/>
      <c r="P835" s="139"/>
      <c r="Q835" s="139"/>
      <c r="R835" s="139"/>
      <c r="S835" s="139"/>
      <c r="T835" s="139"/>
      <c r="U835" s="139"/>
      <c r="V835" s="139"/>
      <c r="W835" s="139"/>
      <c r="X835" s="139"/>
      <c r="Y835" s="139"/>
      <c r="Z835" s="139"/>
      <c r="AA835" s="139"/>
      <c r="AB835" s="139"/>
      <c r="AC835" s="139"/>
      <c r="AD835" s="139"/>
      <c r="AE835" s="139"/>
      <c r="AF835" s="139"/>
      <c r="AG835" s="139"/>
      <c r="AH835" s="139"/>
      <c r="AI835" s="139"/>
      <c r="AJ835" s="139"/>
    </row>
    <row r="836">
      <c r="A836" s="9"/>
      <c r="B836" s="139"/>
      <c r="C836" s="139"/>
      <c r="D836" s="139"/>
      <c r="E836" s="139"/>
      <c r="F836" s="139"/>
      <c r="G836" s="139"/>
      <c r="H836" s="139"/>
      <c r="I836" s="139"/>
      <c r="J836" s="139"/>
      <c r="K836" s="139"/>
      <c r="L836" s="139"/>
      <c r="M836" s="139"/>
      <c r="N836" s="139"/>
      <c r="O836" s="139"/>
      <c r="P836" s="139"/>
      <c r="Q836" s="139"/>
      <c r="R836" s="139"/>
      <c r="S836" s="139"/>
      <c r="T836" s="139"/>
      <c r="U836" s="139"/>
      <c r="V836" s="139"/>
      <c r="W836" s="139"/>
      <c r="X836" s="139"/>
      <c r="Y836" s="139"/>
      <c r="Z836" s="139"/>
      <c r="AA836" s="139"/>
      <c r="AB836" s="139"/>
      <c r="AC836" s="139"/>
      <c r="AD836" s="139"/>
      <c r="AE836" s="139"/>
      <c r="AF836" s="139"/>
      <c r="AG836" s="139"/>
      <c r="AH836" s="139"/>
      <c r="AI836" s="139"/>
      <c r="AJ836" s="139"/>
    </row>
    <row r="837">
      <c r="A837" s="9"/>
      <c r="B837" s="139"/>
      <c r="C837" s="139"/>
      <c r="D837" s="139"/>
      <c r="E837" s="139"/>
      <c r="F837" s="139"/>
      <c r="G837" s="139"/>
      <c r="H837" s="139"/>
      <c r="I837" s="139"/>
      <c r="J837" s="139"/>
      <c r="K837" s="139"/>
      <c r="L837" s="139"/>
      <c r="M837" s="139"/>
      <c r="N837" s="139"/>
      <c r="O837" s="139"/>
      <c r="P837" s="139"/>
      <c r="Q837" s="139"/>
      <c r="R837" s="139"/>
      <c r="S837" s="139"/>
      <c r="T837" s="139"/>
      <c r="U837" s="139"/>
      <c r="V837" s="139"/>
      <c r="W837" s="139"/>
      <c r="X837" s="139"/>
      <c r="Y837" s="139"/>
      <c r="Z837" s="139"/>
      <c r="AA837" s="139"/>
      <c r="AB837" s="139"/>
      <c r="AC837" s="139"/>
      <c r="AD837" s="139"/>
      <c r="AE837" s="139"/>
      <c r="AF837" s="139"/>
      <c r="AG837" s="139"/>
      <c r="AH837" s="139"/>
      <c r="AI837" s="139"/>
      <c r="AJ837" s="139"/>
    </row>
    <row r="838">
      <c r="A838" s="9"/>
      <c r="B838" s="139"/>
      <c r="C838" s="139"/>
      <c r="D838" s="139"/>
      <c r="E838" s="139"/>
      <c r="F838" s="139"/>
      <c r="G838" s="139"/>
      <c r="H838" s="139"/>
      <c r="I838" s="139"/>
      <c r="J838" s="139"/>
      <c r="K838" s="139"/>
      <c r="L838" s="139"/>
      <c r="M838" s="139"/>
      <c r="N838" s="139"/>
      <c r="O838" s="139"/>
      <c r="P838" s="139"/>
      <c r="Q838" s="139"/>
      <c r="R838" s="139"/>
      <c r="S838" s="139"/>
      <c r="T838" s="139"/>
      <c r="U838" s="139"/>
      <c r="V838" s="139"/>
      <c r="W838" s="139"/>
      <c r="X838" s="139"/>
      <c r="Y838" s="139"/>
      <c r="Z838" s="139"/>
      <c r="AA838" s="139"/>
      <c r="AB838" s="139"/>
      <c r="AC838" s="139"/>
      <c r="AD838" s="139"/>
      <c r="AE838" s="139"/>
      <c r="AF838" s="139"/>
      <c r="AG838" s="139"/>
      <c r="AH838" s="139"/>
      <c r="AI838" s="139"/>
      <c r="AJ838" s="139"/>
    </row>
    <row r="839">
      <c r="A839" s="9"/>
      <c r="B839" s="139"/>
      <c r="C839" s="139"/>
      <c r="D839" s="139"/>
      <c r="E839" s="139"/>
      <c r="F839" s="139"/>
      <c r="G839" s="139"/>
      <c r="H839" s="139"/>
      <c r="I839" s="139"/>
      <c r="J839" s="139"/>
      <c r="K839" s="139"/>
      <c r="L839" s="139"/>
      <c r="M839" s="139"/>
      <c r="N839" s="139"/>
      <c r="O839" s="139"/>
      <c r="P839" s="139"/>
      <c r="Q839" s="139"/>
      <c r="R839" s="139"/>
      <c r="S839" s="139"/>
      <c r="T839" s="139"/>
      <c r="U839" s="139"/>
      <c r="V839" s="139"/>
      <c r="W839" s="139"/>
      <c r="X839" s="139"/>
      <c r="Y839" s="139"/>
      <c r="Z839" s="139"/>
      <c r="AA839" s="139"/>
      <c r="AB839" s="139"/>
      <c r="AC839" s="139"/>
      <c r="AD839" s="139"/>
      <c r="AE839" s="139"/>
      <c r="AF839" s="139"/>
      <c r="AG839" s="139"/>
      <c r="AH839" s="139"/>
      <c r="AI839" s="139"/>
      <c r="AJ839" s="139"/>
    </row>
    <row r="840">
      <c r="A840" s="9"/>
      <c r="B840" s="139"/>
      <c r="C840" s="139"/>
      <c r="D840" s="139"/>
      <c r="E840" s="139"/>
      <c r="F840" s="139"/>
      <c r="G840" s="139"/>
      <c r="H840" s="139"/>
      <c r="I840" s="139"/>
      <c r="J840" s="139"/>
      <c r="K840" s="139"/>
      <c r="L840" s="139"/>
      <c r="M840" s="139"/>
      <c r="N840" s="139"/>
      <c r="O840" s="139"/>
      <c r="P840" s="139"/>
      <c r="Q840" s="139"/>
      <c r="R840" s="139"/>
      <c r="S840" s="139"/>
      <c r="T840" s="139"/>
      <c r="U840" s="139"/>
      <c r="V840" s="139"/>
      <c r="W840" s="139"/>
      <c r="X840" s="139"/>
      <c r="Y840" s="139"/>
      <c r="Z840" s="139"/>
      <c r="AA840" s="139"/>
      <c r="AB840" s="139"/>
      <c r="AC840" s="139"/>
      <c r="AD840" s="139"/>
      <c r="AE840" s="139"/>
      <c r="AF840" s="139"/>
      <c r="AG840" s="139"/>
      <c r="AH840" s="139"/>
      <c r="AI840" s="139"/>
      <c r="AJ840" s="139"/>
    </row>
    <row r="841">
      <c r="A841" s="9"/>
      <c r="B841" s="139"/>
      <c r="C841" s="139"/>
      <c r="D841" s="139"/>
      <c r="E841" s="139"/>
      <c r="F841" s="139"/>
      <c r="G841" s="139"/>
      <c r="H841" s="139"/>
      <c r="I841" s="139"/>
      <c r="J841" s="139"/>
      <c r="K841" s="139"/>
      <c r="L841" s="139"/>
      <c r="M841" s="139"/>
      <c r="N841" s="139"/>
      <c r="O841" s="139"/>
      <c r="P841" s="139"/>
      <c r="Q841" s="139"/>
      <c r="R841" s="139"/>
      <c r="S841" s="139"/>
      <c r="T841" s="139"/>
      <c r="U841" s="139"/>
      <c r="V841" s="139"/>
      <c r="W841" s="139"/>
      <c r="X841" s="139"/>
      <c r="Y841" s="139"/>
      <c r="Z841" s="139"/>
      <c r="AA841" s="139"/>
      <c r="AB841" s="139"/>
      <c r="AC841" s="139"/>
      <c r="AD841" s="139"/>
      <c r="AE841" s="139"/>
      <c r="AF841" s="139"/>
      <c r="AG841" s="139"/>
      <c r="AH841" s="139"/>
      <c r="AI841" s="139"/>
      <c r="AJ841" s="139"/>
    </row>
    <row r="842">
      <c r="A842" s="9"/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  <c r="AA842" s="139"/>
      <c r="AB842" s="139"/>
      <c r="AC842" s="139"/>
      <c r="AD842" s="139"/>
      <c r="AE842" s="139"/>
      <c r="AF842" s="139"/>
      <c r="AG842" s="139"/>
      <c r="AH842" s="139"/>
      <c r="AI842" s="139"/>
      <c r="AJ842" s="139"/>
    </row>
    <row r="843">
      <c r="A843" s="9"/>
      <c r="B843" s="139"/>
      <c r="C843" s="139"/>
      <c r="D843" s="139"/>
      <c r="E843" s="139"/>
      <c r="F843" s="139"/>
      <c r="G843" s="139"/>
      <c r="H843" s="139"/>
      <c r="I843" s="139"/>
      <c r="J843" s="139"/>
      <c r="K843" s="139"/>
      <c r="L843" s="139"/>
      <c r="M843" s="139"/>
      <c r="N843" s="139"/>
      <c r="O843" s="139"/>
      <c r="P843" s="139"/>
      <c r="Q843" s="139"/>
      <c r="R843" s="139"/>
      <c r="S843" s="139"/>
      <c r="T843" s="139"/>
      <c r="U843" s="139"/>
      <c r="V843" s="139"/>
      <c r="W843" s="139"/>
      <c r="X843" s="139"/>
      <c r="Y843" s="139"/>
      <c r="Z843" s="139"/>
      <c r="AA843" s="139"/>
      <c r="AB843" s="139"/>
      <c r="AC843" s="139"/>
      <c r="AD843" s="139"/>
      <c r="AE843" s="139"/>
      <c r="AF843" s="139"/>
      <c r="AG843" s="139"/>
      <c r="AH843" s="139"/>
      <c r="AI843" s="139"/>
      <c r="AJ843" s="139"/>
    </row>
    <row r="844">
      <c r="A844" s="9"/>
      <c r="B844" s="139"/>
      <c r="C844" s="139"/>
      <c r="D844" s="139"/>
      <c r="E844" s="139"/>
      <c r="F844" s="139"/>
      <c r="G844" s="139"/>
      <c r="H844" s="139"/>
      <c r="I844" s="139"/>
      <c r="J844" s="139"/>
      <c r="K844" s="139"/>
      <c r="L844" s="139"/>
      <c r="M844" s="139"/>
      <c r="N844" s="139"/>
      <c r="O844" s="139"/>
      <c r="P844" s="139"/>
      <c r="Q844" s="139"/>
      <c r="R844" s="139"/>
      <c r="S844" s="139"/>
      <c r="T844" s="139"/>
      <c r="U844" s="139"/>
      <c r="V844" s="139"/>
      <c r="W844" s="139"/>
      <c r="X844" s="139"/>
      <c r="Y844" s="139"/>
      <c r="Z844" s="139"/>
      <c r="AA844" s="139"/>
      <c r="AB844" s="139"/>
      <c r="AC844" s="139"/>
      <c r="AD844" s="139"/>
      <c r="AE844" s="139"/>
      <c r="AF844" s="139"/>
      <c r="AG844" s="139"/>
      <c r="AH844" s="139"/>
      <c r="AI844" s="139"/>
      <c r="AJ844" s="139"/>
    </row>
    <row r="845">
      <c r="A845" s="9"/>
      <c r="B845" s="139"/>
      <c r="C845" s="139"/>
      <c r="D845" s="139"/>
      <c r="E845" s="139"/>
      <c r="F845" s="139"/>
      <c r="G845" s="139"/>
      <c r="H845" s="139"/>
      <c r="I845" s="139"/>
      <c r="J845" s="139"/>
      <c r="K845" s="139"/>
      <c r="L845" s="139"/>
      <c r="M845" s="139"/>
      <c r="N845" s="139"/>
      <c r="O845" s="139"/>
      <c r="P845" s="139"/>
      <c r="Q845" s="139"/>
      <c r="R845" s="139"/>
      <c r="S845" s="139"/>
      <c r="T845" s="139"/>
      <c r="U845" s="139"/>
      <c r="V845" s="139"/>
      <c r="W845" s="139"/>
      <c r="X845" s="139"/>
      <c r="Y845" s="139"/>
      <c r="Z845" s="139"/>
      <c r="AA845" s="139"/>
      <c r="AB845" s="139"/>
      <c r="AC845" s="139"/>
      <c r="AD845" s="139"/>
      <c r="AE845" s="139"/>
      <c r="AF845" s="139"/>
      <c r="AG845" s="139"/>
      <c r="AH845" s="139"/>
      <c r="AI845" s="139"/>
      <c r="AJ845" s="139"/>
    </row>
    <row r="846">
      <c r="A846" s="9"/>
      <c r="B846" s="139"/>
      <c r="C846" s="139"/>
      <c r="D846" s="139"/>
      <c r="E846" s="139"/>
      <c r="F846" s="139"/>
      <c r="G846" s="139"/>
      <c r="H846" s="139"/>
      <c r="I846" s="139"/>
      <c r="J846" s="139"/>
      <c r="K846" s="139"/>
      <c r="L846" s="139"/>
      <c r="M846" s="139"/>
      <c r="N846" s="139"/>
      <c r="O846" s="139"/>
      <c r="P846" s="139"/>
      <c r="Q846" s="139"/>
      <c r="R846" s="139"/>
      <c r="S846" s="139"/>
      <c r="T846" s="139"/>
      <c r="U846" s="139"/>
      <c r="V846" s="139"/>
      <c r="W846" s="139"/>
      <c r="X846" s="139"/>
      <c r="Y846" s="139"/>
      <c r="Z846" s="139"/>
      <c r="AA846" s="139"/>
      <c r="AB846" s="139"/>
      <c r="AC846" s="139"/>
      <c r="AD846" s="139"/>
      <c r="AE846" s="139"/>
      <c r="AF846" s="139"/>
      <c r="AG846" s="139"/>
      <c r="AH846" s="139"/>
      <c r="AI846" s="139"/>
      <c r="AJ846" s="139"/>
    </row>
    <row r="847">
      <c r="A847" s="9"/>
      <c r="B847" s="139"/>
      <c r="C847" s="139"/>
      <c r="D847" s="139"/>
      <c r="E847" s="139"/>
      <c r="F847" s="139"/>
      <c r="G847" s="139"/>
      <c r="H847" s="139"/>
      <c r="I847" s="139"/>
      <c r="J847" s="139"/>
      <c r="K847" s="139"/>
      <c r="L847" s="139"/>
      <c r="M847" s="139"/>
      <c r="N847" s="139"/>
      <c r="O847" s="139"/>
      <c r="P847" s="139"/>
      <c r="Q847" s="139"/>
      <c r="R847" s="139"/>
      <c r="S847" s="139"/>
      <c r="T847" s="139"/>
      <c r="U847" s="139"/>
      <c r="V847" s="139"/>
      <c r="W847" s="139"/>
      <c r="X847" s="139"/>
      <c r="Y847" s="139"/>
      <c r="Z847" s="139"/>
      <c r="AA847" s="139"/>
      <c r="AB847" s="139"/>
      <c r="AC847" s="139"/>
      <c r="AD847" s="139"/>
      <c r="AE847" s="139"/>
      <c r="AF847" s="139"/>
      <c r="AG847" s="139"/>
      <c r="AH847" s="139"/>
      <c r="AI847" s="139"/>
      <c r="AJ847" s="139"/>
    </row>
    <row r="848">
      <c r="A848" s="9"/>
      <c r="B848" s="139"/>
      <c r="C848" s="139"/>
      <c r="D848" s="139"/>
      <c r="E848" s="139"/>
      <c r="F848" s="139"/>
      <c r="G848" s="139"/>
      <c r="H848" s="139"/>
      <c r="I848" s="139"/>
      <c r="J848" s="139"/>
      <c r="K848" s="139"/>
      <c r="L848" s="139"/>
      <c r="M848" s="139"/>
      <c r="N848" s="139"/>
      <c r="O848" s="139"/>
      <c r="P848" s="139"/>
      <c r="Q848" s="139"/>
      <c r="R848" s="139"/>
      <c r="S848" s="139"/>
      <c r="T848" s="139"/>
      <c r="U848" s="139"/>
      <c r="V848" s="139"/>
      <c r="W848" s="139"/>
      <c r="X848" s="139"/>
      <c r="Y848" s="139"/>
      <c r="Z848" s="139"/>
      <c r="AA848" s="139"/>
      <c r="AB848" s="139"/>
      <c r="AC848" s="139"/>
      <c r="AD848" s="139"/>
      <c r="AE848" s="139"/>
      <c r="AF848" s="139"/>
      <c r="AG848" s="139"/>
      <c r="AH848" s="139"/>
      <c r="AI848" s="139"/>
      <c r="AJ848" s="139"/>
    </row>
    <row r="849">
      <c r="A849" s="9"/>
      <c r="B849" s="139"/>
      <c r="C849" s="139"/>
      <c r="D849" s="139"/>
      <c r="E849" s="139"/>
      <c r="F849" s="139"/>
      <c r="G849" s="139"/>
      <c r="H849" s="139"/>
      <c r="I849" s="139"/>
      <c r="J849" s="139"/>
      <c r="K849" s="139"/>
      <c r="L849" s="139"/>
      <c r="M849" s="139"/>
      <c r="N849" s="139"/>
      <c r="O849" s="139"/>
      <c r="P849" s="139"/>
      <c r="Q849" s="139"/>
      <c r="R849" s="139"/>
      <c r="S849" s="139"/>
      <c r="T849" s="139"/>
      <c r="U849" s="139"/>
      <c r="V849" s="139"/>
      <c r="W849" s="139"/>
      <c r="X849" s="139"/>
      <c r="Y849" s="139"/>
      <c r="Z849" s="139"/>
      <c r="AA849" s="139"/>
      <c r="AB849" s="139"/>
      <c r="AC849" s="139"/>
      <c r="AD849" s="139"/>
      <c r="AE849" s="139"/>
      <c r="AF849" s="139"/>
      <c r="AG849" s="139"/>
      <c r="AH849" s="139"/>
      <c r="AI849" s="139"/>
      <c r="AJ849" s="139"/>
    </row>
    <row r="850">
      <c r="A850" s="9"/>
      <c r="B850" s="139"/>
      <c r="C850" s="139"/>
      <c r="D850" s="139"/>
      <c r="E850" s="139"/>
      <c r="F850" s="139"/>
      <c r="G850" s="139"/>
      <c r="H850" s="139"/>
      <c r="I850" s="139"/>
      <c r="J850" s="139"/>
      <c r="K850" s="139"/>
      <c r="L850" s="139"/>
      <c r="M850" s="139"/>
      <c r="N850" s="139"/>
      <c r="O850" s="139"/>
      <c r="P850" s="139"/>
      <c r="Q850" s="139"/>
      <c r="R850" s="139"/>
      <c r="S850" s="139"/>
      <c r="T850" s="139"/>
      <c r="U850" s="139"/>
      <c r="V850" s="139"/>
      <c r="W850" s="139"/>
      <c r="X850" s="139"/>
      <c r="Y850" s="139"/>
      <c r="Z850" s="139"/>
      <c r="AA850" s="139"/>
      <c r="AB850" s="139"/>
      <c r="AC850" s="139"/>
      <c r="AD850" s="139"/>
      <c r="AE850" s="139"/>
      <c r="AF850" s="139"/>
      <c r="AG850" s="139"/>
      <c r="AH850" s="139"/>
      <c r="AI850" s="139"/>
      <c r="AJ850" s="139"/>
    </row>
    <row r="851">
      <c r="A851" s="9"/>
      <c r="B851" s="139"/>
      <c r="C851" s="139"/>
      <c r="D851" s="139"/>
      <c r="E851" s="139"/>
      <c r="F851" s="139"/>
      <c r="G851" s="139"/>
      <c r="H851" s="139"/>
      <c r="I851" s="139"/>
      <c r="J851" s="139"/>
      <c r="K851" s="139"/>
      <c r="L851" s="139"/>
      <c r="M851" s="139"/>
      <c r="N851" s="139"/>
      <c r="O851" s="139"/>
      <c r="P851" s="139"/>
      <c r="Q851" s="139"/>
      <c r="R851" s="139"/>
      <c r="S851" s="139"/>
      <c r="T851" s="139"/>
      <c r="U851" s="139"/>
      <c r="V851" s="139"/>
      <c r="W851" s="139"/>
      <c r="X851" s="139"/>
      <c r="Y851" s="139"/>
      <c r="Z851" s="139"/>
      <c r="AA851" s="139"/>
      <c r="AB851" s="139"/>
      <c r="AC851" s="139"/>
      <c r="AD851" s="139"/>
      <c r="AE851" s="139"/>
      <c r="AF851" s="139"/>
      <c r="AG851" s="139"/>
      <c r="AH851" s="139"/>
      <c r="AI851" s="139"/>
      <c r="AJ851" s="139"/>
    </row>
    <row r="852">
      <c r="A852" s="9"/>
      <c r="B852" s="139"/>
      <c r="C852" s="139"/>
      <c r="D852" s="139"/>
      <c r="E852" s="139"/>
      <c r="F852" s="139"/>
      <c r="G852" s="139"/>
      <c r="H852" s="139"/>
      <c r="I852" s="139"/>
      <c r="J852" s="139"/>
      <c r="K852" s="139"/>
      <c r="L852" s="139"/>
      <c r="M852" s="139"/>
      <c r="N852" s="139"/>
      <c r="O852" s="139"/>
      <c r="P852" s="139"/>
      <c r="Q852" s="139"/>
      <c r="R852" s="139"/>
      <c r="S852" s="139"/>
      <c r="T852" s="139"/>
      <c r="U852" s="139"/>
      <c r="V852" s="139"/>
      <c r="W852" s="139"/>
      <c r="X852" s="139"/>
      <c r="Y852" s="139"/>
      <c r="Z852" s="139"/>
      <c r="AA852" s="139"/>
      <c r="AB852" s="139"/>
      <c r="AC852" s="139"/>
      <c r="AD852" s="139"/>
      <c r="AE852" s="139"/>
      <c r="AF852" s="139"/>
      <c r="AG852" s="139"/>
      <c r="AH852" s="139"/>
      <c r="AI852" s="139"/>
      <c r="AJ852" s="139"/>
    </row>
    <row r="853">
      <c r="A853" s="9"/>
      <c r="B853" s="139"/>
      <c r="C853" s="139"/>
      <c r="D853" s="139"/>
      <c r="E853" s="139"/>
      <c r="F853" s="139"/>
      <c r="G853" s="139"/>
      <c r="H853" s="139"/>
      <c r="I853" s="139"/>
      <c r="J853" s="139"/>
      <c r="K853" s="139"/>
      <c r="L853" s="139"/>
      <c r="M853" s="139"/>
      <c r="N853" s="139"/>
      <c r="O853" s="139"/>
      <c r="P853" s="139"/>
      <c r="Q853" s="139"/>
      <c r="R853" s="139"/>
      <c r="S853" s="139"/>
      <c r="T853" s="139"/>
      <c r="U853" s="139"/>
      <c r="V853" s="139"/>
      <c r="W853" s="139"/>
      <c r="X853" s="139"/>
      <c r="Y853" s="139"/>
      <c r="Z853" s="139"/>
      <c r="AA853" s="139"/>
      <c r="AB853" s="139"/>
      <c r="AC853" s="139"/>
      <c r="AD853" s="139"/>
      <c r="AE853" s="139"/>
      <c r="AF853" s="139"/>
      <c r="AG853" s="139"/>
      <c r="AH853" s="139"/>
      <c r="AI853" s="139"/>
      <c r="AJ853" s="139"/>
    </row>
    <row r="854">
      <c r="A854" s="9"/>
      <c r="B854" s="139"/>
      <c r="C854" s="139"/>
      <c r="D854" s="139"/>
      <c r="E854" s="139"/>
      <c r="F854" s="139"/>
      <c r="G854" s="139"/>
      <c r="H854" s="139"/>
      <c r="I854" s="139"/>
      <c r="J854" s="139"/>
      <c r="K854" s="139"/>
      <c r="L854" s="139"/>
      <c r="M854" s="139"/>
      <c r="N854" s="139"/>
      <c r="O854" s="139"/>
      <c r="P854" s="139"/>
      <c r="Q854" s="139"/>
      <c r="R854" s="139"/>
      <c r="S854" s="139"/>
      <c r="T854" s="139"/>
      <c r="U854" s="139"/>
      <c r="V854" s="139"/>
      <c r="W854" s="139"/>
      <c r="X854" s="139"/>
      <c r="Y854" s="139"/>
      <c r="Z854" s="139"/>
      <c r="AA854" s="139"/>
      <c r="AB854" s="139"/>
      <c r="AC854" s="139"/>
      <c r="AD854" s="139"/>
      <c r="AE854" s="139"/>
      <c r="AF854" s="139"/>
      <c r="AG854" s="139"/>
      <c r="AH854" s="139"/>
      <c r="AI854" s="139"/>
      <c r="AJ854" s="139"/>
    </row>
    <row r="855">
      <c r="A855" s="9"/>
      <c r="B855" s="139"/>
      <c r="C855" s="139"/>
      <c r="D855" s="139"/>
      <c r="E855" s="139"/>
      <c r="F855" s="139"/>
      <c r="G855" s="139"/>
      <c r="H855" s="139"/>
      <c r="I855" s="139"/>
      <c r="J855" s="139"/>
      <c r="K855" s="139"/>
      <c r="L855" s="139"/>
      <c r="M855" s="139"/>
      <c r="N855" s="139"/>
      <c r="O855" s="139"/>
      <c r="P855" s="139"/>
      <c r="Q855" s="139"/>
      <c r="R855" s="139"/>
      <c r="S855" s="139"/>
      <c r="T855" s="139"/>
      <c r="U855" s="139"/>
      <c r="V855" s="139"/>
      <c r="W855" s="139"/>
      <c r="X855" s="139"/>
      <c r="Y855" s="139"/>
      <c r="Z855" s="139"/>
      <c r="AA855" s="139"/>
      <c r="AB855" s="139"/>
      <c r="AC855" s="139"/>
      <c r="AD855" s="139"/>
      <c r="AE855" s="139"/>
      <c r="AF855" s="139"/>
      <c r="AG855" s="139"/>
      <c r="AH855" s="139"/>
      <c r="AI855" s="139"/>
      <c r="AJ855" s="139"/>
    </row>
    <row r="856">
      <c r="A856" s="9"/>
      <c r="B856" s="139"/>
      <c r="C856" s="139"/>
      <c r="D856" s="139"/>
      <c r="E856" s="139"/>
      <c r="F856" s="139"/>
      <c r="G856" s="139"/>
      <c r="H856" s="139"/>
      <c r="I856" s="139"/>
      <c r="J856" s="139"/>
      <c r="K856" s="139"/>
      <c r="L856" s="139"/>
      <c r="M856" s="139"/>
      <c r="N856" s="139"/>
      <c r="O856" s="139"/>
      <c r="P856" s="139"/>
      <c r="Q856" s="139"/>
      <c r="R856" s="139"/>
      <c r="S856" s="139"/>
      <c r="T856" s="139"/>
      <c r="U856" s="139"/>
      <c r="V856" s="139"/>
      <c r="W856" s="139"/>
      <c r="X856" s="139"/>
      <c r="Y856" s="139"/>
      <c r="Z856" s="139"/>
      <c r="AA856" s="139"/>
      <c r="AB856" s="139"/>
      <c r="AC856" s="139"/>
      <c r="AD856" s="139"/>
      <c r="AE856" s="139"/>
      <c r="AF856" s="139"/>
      <c r="AG856" s="139"/>
      <c r="AH856" s="139"/>
      <c r="AI856" s="139"/>
      <c r="AJ856" s="139"/>
    </row>
    <row r="857">
      <c r="A857" s="9"/>
      <c r="B857" s="139"/>
      <c r="C857" s="139"/>
      <c r="D857" s="139"/>
      <c r="E857" s="139"/>
      <c r="F857" s="139"/>
      <c r="G857" s="139"/>
      <c r="H857" s="139"/>
      <c r="I857" s="139"/>
      <c r="J857" s="139"/>
      <c r="K857" s="139"/>
      <c r="L857" s="139"/>
      <c r="M857" s="139"/>
      <c r="N857" s="139"/>
      <c r="O857" s="139"/>
      <c r="P857" s="139"/>
      <c r="Q857" s="139"/>
      <c r="R857" s="139"/>
      <c r="S857" s="139"/>
      <c r="T857" s="139"/>
      <c r="U857" s="139"/>
      <c r="V857" s="139"/>
      <c r="W857" s="139"/>
      <c r="X857" s="139"/>
      <c r="Y857" s="139"/>
      <c r="Z857" s="139"/>
      <c r="AA857" s="139"/>
      <c r="AB857" s="139"/>
      <c r="AC857" s="139"/>
      <c r="AD857" s="139"/>
      <c r="AE857" s="139"/>
      <c r="AF857" s="139"/>
      <c r="AG857" s="139"/>
      <c r="AH857" s="139"/>
      <c r="AI857" s="139"/>
      <c r="AJ857" s="139"/>
    </row>
    <row r="858">
      <c r="A858" s="9"/>
      <c r="B858" s="139"/>
      <c r="C858" s="139"/>
      <c r="D858" s="139"/>
      <c r="E858" s="139"/>
      <c r="F858" s="139"/>
      <c r="G858" s="139"/>
      <c r="H858" s="139"/>
      <c r="I858" s="139"/>
      <c r="J858" s="139"/>
      <c r="K858" s="139"/>
      <c r="L858" s="139"/>
      <c r="M858" s="139"/>
      <c r="N858" s="139"/>
      <c r="O858" s="139"/>
      <c r="P858" s="139"/>
      <c r="Q858" s="139"/>
      <c r="R858" s="139"/>
      <c r="S858" s="139"/>
      <c r="T858" s="139"/>
      <c r="U858" s="139"/>
      <c r="V858" s="139"/>
      <c r="W858" s="139"/>
      <c r="X858" s="139"/>
      <c r="Y858" s="139"/>
      <c r="Z858" s="139"/>
      <c r="AA858" s="139"/>
      <c r="AB858" s="139"/>
      <c r="AC858" s="139"/>
      <c r="AD858" s="139"/>
      <c r="AE858" s="139"/>
      <c r="AF858" s="139"/>
      <c r="AG858" s="139"/>
      <c r="AH858" s="139"/>
      <c r="AI858" s="139"/>
      <c r="AJ858" s="139"/>
    </row>
    <row r="859">
      <c r="A859" s="9"/>
      <c r="B859" s="139"/>
      <c r="C859" s="139"/>
      <c r="D859" s="139"/>
      <c r="E859" s="139"/>
      <c r="F859" s="139"/>
      <c r="G859" s="139"/>
      <c r="H859" s="139"/>
      <c r="I859" s="139"/>
      <c r="J859" s="139"/>
      <c r="K859" s="139"/>
      <c r="L859" s="139"/>
      <c r="M859" s="139"/>
      <c r="N859" s="139"/>
      <c r="O859" s="139"/>
      <c r="P859" s="139"/>
      <c r="Q859" s="139"/>
      <c r="R859" s="139"/>
      <c r="S859" s="139"/>
      <c r="T859" s="139"/>
      <c r="U859" s="139"/>
      <c r="V859" s="139"/>
      <c r="W859" s="139"/>
      <c r="X859" s="139"/>
      <c r="Y859" s="139"/>
      <c r="Z859" s="139"/>
      <c r="AA859" s="139"/>
      <c r="AB859" s="139"/>
      <c r="AC859" s="139"/>
      <c r="AD859" s="139"/>
      <c r="AE859" s="139"/>
      <c r="AF859" s="139"/>
      <c r="AG859" s="139"/>
      <c r="AH859" s="139"/>
      <c r="AI859" s="139"/>
      <c r="AJ859" s="139"/>
    </row>
    <row r="860">
      <c r="A860" s="9"/>
      <c r="B860" s="139"/>
      <c r="C860" s="139"/>
      <c r="D860" s="139"/>
      <c r="E860" s="139"/>
      <c r="F860" s="139"/>
      <c r="G860" s="139"/>
      <c r="H860" s="139"/>
      <c r="I860" s="139"/>
      <c r="J860" s="139"/>
      <c r="K860" s="139"/>
      <c r="L860" s="139"/>
      <c r="M860" s="139"/>
      <c r="N860" s="139"/>
      <c r="O860" s="139"/>
      <c r="P860" s="139"/>
      <c r="Q860" s="139"/>
      <c r="R860" s="139"/>
      <c r="S860" s="139"/>
      <c r="T860" s="139"/>
      <c r="U860" s="139"/>
      <c r="V860" s="139"/>
      <c r="W860" s="139"/>
      <c r="X860" s="139"/>
      <c r="Y860" s="139"/>
      <c r="Z860" s="139"/>
      <c r="AA860" s="139"/>
      <c r="AB860" s="139"/>
      <c r="AC860" s="139"/>
      <c r="AD860" s="139"/>
      <c r="AE860" s="139"/>
      <c r="AF860" s="139"/>
      <c r="AG860" s="139"/>
      <c r="AH860" s="139"/>
      <c r="AI860" s="139"/>
      <c r="AJ860" s="139"/>
    </row>
    <row r="861">
      <c r="A861" s="9"/>
      <c r="B861" s="139"/>
      <c r="C861" s="139"/>
      <c r="D861" s="139"/>
      <c r="E861" s="139"/>
      <c r="F861" s="139"/>
      <c r="G861" s="139"/>
      <c r="H861" s="139"/>
      <c r="I861" s="139"/>
      <c r="J861" s="139"/>
      <c r="K861" s="139"/>
      <c r="L861" s="139"/>
      <c r="M861" s="139"/>
      <c r="N861" s="139"/>
      <c r="O861" s="139"/>
      <c r="P861" s="139"/>
      <c r="Q861" s="139"/>
      <c r="R861" s="139"/>
      <c r="S861" s="139"/>
      <c r="T861" s="139"/>
      <c r="U861" s="139"/>
      <c r="V861" s="139"/>
      <c r="W861" s="139"/>
      <c r="X861" s="139"/>
      <c r="Y861" s="139"/>
      <c r="Z861" s="139"/>
      <c r="AA861" s="139"/>
      <c r="AB861" s="139"/>
      <c r="AC861" s="139"/>
      <c r="AD861" s="139"/>
      <c r="AE861" s="139"/>
      <c r="AF861" s="139"/>
      <c r="AG861" s="139"/>
      <c r="AH861" s="139"/>
      <c r="AI861" s="139"/>
      <c r="AJ861" s="139"/>
    </row>
    <row r="862">
      <c r="A862" s="9"/>
      <c r="B862" s="139"/>
      <c r="C862" s="139"/>
      <c r="D862" s="139"/>
      <c r="E862" s="139"/>
      <c r="F862" s="139"/>
      <c r="G862" s="139"/>
      <c r="H862" s="139"/>
      <c r="I862" s="139"/>
      <c r="J862" s="139"/>
      <c r="K862" s="139"/>
      <c r="L862" s="139"/>
      <c r="M862" s="139"/>
      <c r="N862" s="139"/>
      <c r="O862" s="139"/>
      <c r="P862" s="139"/>
      <c r="Q862" s="139"/>
      <c r="R862" s="139"/>
      <c r="S862" s="139"/>
      <c r="T862" s="139"/>
      <c r="U862" s="139"/>
      <c r="V862" s="139"/>
      <c r="W862" s="139"/>
      <c r="X862" s="139"/>
      <c r="Y862" s="139"/>
      <c r="Z862" s="139"/>
      <c r="AA862" s="139"/>
      <c r="AB862" s="139"/>
      <c r="AC862" s="139"/>
      <c r="AD862" s="139"/>
      <c r="AE862" s="139"/>
      <c r="AF862" s="139"/>
      <c r="AG862" s="139"/>
      <c r="AH862" s="139"/>
      <c r="AI862" s="139"/>
      <c r="AJ862" s="139"/>
    </row>
    <row r="863">
      <c r="A863" s="9"/>
      <c r="B863" s="139"/>
      <c r="C863" s="139"/>
      <c r="D863" s="139"/>
      <c r="E863" s="139"/>
      <c r="F863" s="139"/>
      <c r="G863" s="139"/>
      <c r="H863" s="139"/>
      <c r="I863" s="139"/>
      <c r="J863" s="139"/>
      <c r="K863" s="139"/>
      <c r="L863" s="139"/>
      <c r="M863" s="139"/>
      <c r="N863" s="139"/>
      <c r="O863" s="139"/>
      <c r="P863" s="139"/>
      <c r="Q863" s="139"/>
      <c r="R863" s="139"/>
      <c r="S863" s="139"/>
      <c r="T863" s="139"/>
      <c r="U863" s="139"/>
      <c r="V863" s="139"/>
      <c r="W863" s="139"/>
      <c r="X863" s="139"/>
      <c r="Y863" s="139"/>
      <c r="Z863" s="139"/>
      <c r="AA863" s="139"/>
      <c r="AB863" s="139"/>
      <c r="AC863" s="139"/>
      <c r="AD863" s="139"/>
      <c r="AE863" s="139"/>
      <c r="AF863" s="139"/>
      <c r="AG863" s="139"/>
      <c r="AH863" s="139"/>
      <c r="AI863" s="139"/>
      <c r="AJ863" s="139"/>
    </row>
    <row r="864">
      <c r="A864" s="9"/>
      <c r="B864" s="139"/>
      <c r="C864" s="139"/>
      <c r="D864" s="139"/>
      <c r="E864" s="139"/>
      <c r="F864" s="139"/>
      <c r="G864" s="139"/>
      <c r="H864" s="139"/>
      <c r="I864" s="139"/>
      <c r="J864" s="139"/>
      <c r="K864" s="139"/>
      <c r="L864" s="139"/>
      <c r="M864" s="139"/>
      <c r="N864" s="139"/>
      <c r="O864" s="139"/>
      <c r="P864" s="139"/>
      <c r="Q864" s="139"/>
      <c r="R864" s="139"/>
      <c r="S864" s="139"/>
      <c r="T864" s="139"/>
      <c r="U864" s="139"/>
      <c r="V864" s="139"/>
      <c r="W864" s="139"/>
      <c r="X864" s="139"/>
      <c r="Y864" s="139"/>
      <c r="Z864" s="139"/>
      <c r="AA864" s="139"/>
      <c r="AB864" s="139"/>
      <c r="AC864" s="139"/>
      <c r="AD864" s="139"/>
      <c r="AE864" s="139"/>
      <c r="AF864" s="139"/>
      <c r="AG864" s="139"/>
      <c r="AH864" s="139"/>
      <c r="AI864" s="139"/>
      <c r="AJ864" s="139"/>
    </row>
    <row r="865">
      <c r="A865" s="9"/>
      <c r="B865" s="139"/>
      <c r="C865" s="139"/>
      <c r="D865" s="139"/>
      <c r="E865" s="139"/>
      <c r="F865" s="139"/>
      <c r="G865" s="139"/>
      <c r="H865" s="139"/>
      <c r="I865" s="139"/>
      <c r="J865" s="139"/>
      <c r="K865" s="139"/>
      <c r="L865" s="139"/>
      <c r="M865" s="139"/>
      <c r="N865" s="139"/>
      <c r="O865" s="139"/>
      <c r="P865" s="139"/>
      <c r="Q865" s="139"/>
      <c r="R865" s="139"/>
      <c r="S865" s="139"/>
      <c r="T865" s="139"/>
      <c r="U865" s="139"/>
      <c r="V865" s="139"/>
      <c r="W865" s="139"/>
      <c r="X865" s="139"/>
      <c r="Y865" s="139"/>
      <c r="Z865" s="139"/>
      <c r="AA865" s="139"/>
      <c r="AB865" s="139"/>
      <c r="AC865" s="139"/>
      <c r="AD865" s="139"/>
      <c r="AE865" s="139"/>
      <c r="AF865" s="139"/>
      <c r="AG865" s="139"/>
      <c r="AH865" s="139"/>
      <c r="AI865" s="139"/>
      <c r="AJ865" s="139"/>
    </row>
    <row r="866">
      <c r="A866" s="9"/>
      <c r="B866" s="139"/>
      <c r="C866" s="139"/>
      <c r="D866" s="139"/>
      <c r="E866" s="139"/>
      <c r="F866" s="139"/>
      <c r="G866" s="139"/>
      <c r="H866" s="139"/>
      <c r="I866" s="139"/>
      <c r="J866" s="139"/>
      <c r="K866" s="139"/>
      <c r="L866" s="139"/>
      <c r="M866" s="139"/>
      <c r="N866" s="139"/>
      <c r="O866" s="139"/>
      <c r="P866" s="139"/>
      <c r="Q866" s="139"/>
      <c r="R866" s="139"/>
      <c r="S866" s="139"/>
      <c r="T866" s="139"/>
      <c r="U866" s="139"/>
      <c r="V866" s="139"/>
      <c r="W866" s="139"/>
      <c r="X866" s="139"/>
      <c r="Y866" s="139"/>
      <c r="Z866" s="139"/>
      <c r="AA866" s="139"/>
      <c r="AB866" s="139"/>
      <c r="AC866" s="139"/>
      <c r="AD866" s="139"/>
      <c r="AE866" s="139"/>
      <c r="AF866" s="139"/>
      <c r="AG866" s="139"/>
      <c r="AH866" s="139"/>
      <c r="AI866" s="139"/>
      <c r="AJ866" s="139"/>
    </row>
    <row r="867">
      <c r="A867" s="9"/>
      <c r="B867" s="139"/>
      <c r="C867" s="139"/>
      <c r="D867" s="139"/>
      <c r="E867" s="139"/>
      <c r="F867" s="139"/>
      <c r="G867" s="139"/>
      <c r="H867" s="139"/>
      <c r="I867" s="139"/>
      <c r="J867" s="139"/>
      <c r="K867" s="139"/>
      <c r="L867" s="139"/>
      <c r="M867" s="139"/>
      <c r="N867" s="139"/>
      <c r="O867" s="139"/>
      <c r="P867" s="139"/>
      <c r="Q867" s="139"/>
      <c r="R867" s="139"/>
      <c r="S867" s="139"/>
      <c r="T867" s="139"/>
      <c r="U867" s="139"/>
      <c r="V867" s="139"/>
      <c r="W867" s="139"/>
      <c r="X867" s="139"/>
      <c r="Y867" s="139"/>
      <c r="Z867" s="139"/>
      <c r="AA867" s="139"/>
      <c r="AB867" s="139"/>
      <c r="AC867" s="139"/>
      <c r="AD867" s="139"/>
      <c r="AE867" s="139"/>
      <c r="AF867" s="139"/>
      <c r="AG867" s="139"/>
      <c r="AH867" s="139"/>
      <c r="AI867" s="139"/>
      <c r="AJ867" s="139"/>
    </row>
    <row r="868">
      <c r="A868" s="9"/>
      <c r="B868" s="139"/>
      <c r="C868" s="139"/>
      <c r="D868" s="139"/>
      <c r="E868" s="139"/>
      <c r="F868" s="139"/>
      <c r="G868" s="139"/>
      <c r="H868" s="139"/>
      <c r="I868" s="139"/>
      <c r="J868" s="139"/>
      <c r="K868" s="139"/>
      <c r="L868" s="139"/>
      <c r="M868" s="139"/>
      <c r="N868" s="139"/>
      <c r="O868" s="139"/>
      <c r="P868" s="139"/>
      <c r="Q868" s="139"/>
      <c r="R868" s="139"/>
      <c r="S868" s="139"/>
      <c r="T868" s="139"/>
      <c r="U868" s="139"/>
      <c r="V868" s="139"/>
      <c r="W868" s="139"/>
      <c r="X868" s="139"/>
      <c r="Y868" s="139"/>
      <c r="Z868" s="139"/>
      <c r="AA868" s="139"/>
      <c r="AB868" s="139"/>
      <c r="AC868" s="139"/>
      <c r="AD868" s="139"/>
      <c r="AE868" s="139"/>
      <c r="AF868" s="139"/>
      <c r="AG868" s="139"/>
      <c r="AH868" s="139"/>
      <c r="AI868" s="139"/>
      <c r="AJ868" s="139"/>
    </row>
    <row r="869">
      <c r="A869" s="9"/>
      <c r="B869" s="139"/>
      <c r="C869" s="139"/>
      <c r="D869" s="139"/>
      <c r="E869" s="139"/>
      <c r="F869" s="139"/>
      <c r="G869" s="139"/>
      <c r="H869" s="139"/>
      <c r="I869" s="139"/>
      <c r="J869" s="139"/>
      <c r="K869" s="139"/>
      <c r="L869" s="139"/>
      <c r="M869" s="139"/>
      <c r="N869" s="139"/>
      <c r="O869" s="139"/>
      <c r="P869" s="139"/>
      <c r="Q869" s="139"/>
      <c r="R869" s="139"/>
      <c r="S869" s="139"/>
      <c r="T869" s="139"/>
      <c r="U869" s="139"/>
      <c r="V869" s="139"/>
      <c r="W869" s="139"/>
      <c r="X869" s="139"/>
      <c r="Y869" s="139"/>
      <c r="Z869" s="139"/>
      <c r="AA869" s="139"/>
      <c r="AB869" s="139"/>
      <c r="AC869" s="139"/>
      <c r="AD869" s="139"/>
      <c r="AE869" s="139"/>
      <c r="AF869" s="139"/>
      <c r="AG869" s="139"/>
      <c r="AH869" s="139"/>
      <c r="AI869" s="139"/>
      <c r="AJ869" s="139"/>
    </row>
    <row r="870">
      <c r="A870" s="9"/>
      <c r="B870" s="139"/>
      <c r="C870" s="139"/>
      <c r="D870" s="139"/>
      <c r="E870" s="139"/>
      <c r="F870" s="139"/>
      <c r="G870" s="139"/>
      <c r="H870" s="139"/>
      <c r="I870" s="139"/>
      <c r="J870" s="139"/>
      <c r="K870" s="139"/>
      <c r="L870" s="139"/>
      <c r="M870" s="139"/>
      <c r="N870" s="139"/>
      <c r="O870" s="139"/>
      <c r="P870" s="139"/>
      <c r="Q870" s="139"/>
      <c r="R870" s="139"/>
      <c r="S870" s="139"/>
      <c r="T870" s="139"/>
      <c r="U870" s="139"/>
      <c r="V870" s="139"/>
      <c r="W870" s="139"/>
      <c r="X870" s="139"/>
      <c r="Y870" s="139"/>
      <c r="Z870" s="139"/>
      <c r="AA870" s="139"/>
      <c r="AB870" s="139"/>
      <c r="AC870" s="139"/>
      <c r="AD870" s="139"/>
      <c r="AE870" s="139"/>
      <c r="AF870" s="139"/>
      <c r="AG870" s="139"/>
      <c r="AH870" s="139"/>
      <c r="AI870" s="139"/>
      <c r="AJ870" s="139"/>
    </row>
    <row r="871">
      <c r="A871" s="9"/>
      <c r="B871" s="139"/>
      <c r="C871" s="139"/>
      <c r="D871" s="139"/>
      <c r="E871" s="139"/>
      <c r="F871" s="139"/>
      <c r="G871" s="139"/>
      <c r="H871" s="139"/>
      <c r="I871" s="139"/>
      <c r="J871" s="139"/>
      <c r="K871" s="139"/>
      <c r="L871" s="139"/>
      <c r="M871" s="139"/>
      <c r="N871" s="139"/>
      <c r="O871" s="139"/>
      <c r="P871" s="139"/>
      <c r="Q871" s="139"/>
      <c r="R871" s="139"/>
      <c r="S871" s="139"/>
      <c r="T871" s="139"/>
      <c r="U871" s="139"/>
      <c r="V871" s="139"/>
      <c r="W871" s="139"/>
      <c r="X871" s="139"/>
      <c r="Y871" s="139"/>
      <c r="Z871" s="139"/>
      <c r="AA871" s="139"/>
      <c r="AB871" s="139"/>
      <c r="AC871" s="139"/>
      <c r="AD871" s="139"/>
      <c r="AE871" s="139"/>
      <c r="AF871" s="139"/>
      <c r="AG871" s="139"/>
      <c r="AH871" s="139"/>
      <c r="AI871" s="139"/>
      <c r="AJ871" s="139"/>
    </row>
    <row r="872">
      <c r="A872" s="9"/>
      <c r="B872" s="139"/>
      <c r="C872" s="139"/>
      <c r="D872" s="139"/>
      <c r="E872" s="139"/>
      <c r="F872" s="139"/>
      <c r="G872" s="139"/>
      <c r="H872" s="139"/>
      <c r="I872" s="139"/>
      <c r="J872" s="139"/>
      <c r="K872" s="139"/>
      <c r="L872" s="139"/>
      <c r="M872" s="139"/>
      <c r="N872" s="139"/>
      <c r="O872" s="139"/>
      <c r="P872" s="139"/>
      <c r="Q872" s="139"/>
      <c r="R872" s="139"/>
      <c r="S872" s="139"/>
      <c r="T872" s="139"/>
      <c r="U872" s="139"/>
      <c r="V872" s="139"/>
      <c r="W872" s="139"/>
      <c r="X872" s="139"/>
      <c r="Y872" s="139"/>
      <c r="Z872" s="139"/>
      <c r="AA872" s="139"/>
      <c r="AB872" s="139"/>
      <c r="AC872" s="139"/>
      <c r="AD872" s="139"/>
      <c r="AE872" s="139"/>
      <c r="AF872" s="139"/>
      <c r="AG872" s="139"/>
      <c r="AH872" s="139"/>
      <c r="AI872" s="139"/>
      <c r="AJ872" s="139"/>
    </row>
    <row r="873">
      <c r="A873" s="9"/>
      <c r="B873" s="139"/>
      <c r="C873" s="139"/>
      <c r="D873" s="139"/>
      <c r="E873" s="139"/>
      <c r="F873" s="139"/>
      <c r="G873" s="139"/>
      <c r="H873" s="139"/>
      <c r="I873" s="139"/>
      <c r="J873" s="139"/>
      <c r="K873" s="139"/>
      <c r="L873" s="139"/>
      <c r="M873" s="139"/>
      <c r="N873" s="139"/>
      <c r="O873" s="139"/>
      <c r="P873" s="139"/>
      <c r="Q873" s="139"/>
      <c r="R873" s="139"/>
      <c r="S873" s="139"/>
      <c r="T873" s="139"/>
      <c r="U873" s="139"/>
      <c r="V873" s="139"/>
      <c r="W873" s="139"/>
      <c r="X873" s="139"/>
      <c r="Y873" s="139"/>
      <c r="Z873" s="139"/>
      <c r="AA873" s="139"/>
      <c r="AB873" s="139"/>
      <c r="AC873" s="139"/>
      <c r="AD873" s="139"/>
      <c r="AE873" s="139"/>
      <c r="AF873" s="139"/>
      <c r="AG873" s="139"/>
      <c r="AH873" s="139"/>
      <c r="AI873" s="139"/>
      <c r="AJ873" s="139"/>
    </row>
    <row r="874">
      <c r="A874" s="9"/>
      <c r="B874" s="139"/>
      <c r="C874" s="139"/>
      <c r="D874" s="139"/>
      <c r="E874" s="139"/>
      <c r="F874" s="139"/>
      <c r="G874" s="139"/>
      <c r="H874" s="139"/>
      <c r="I874" s="139"/>
      <c r="J874" s="139"/>
      <c r="K874" s="139"/>
      <c r="L874" s="139"/>
      <c r="M874" s="139"/>
      <c r="N874" s="139"/>
      <c r="O874" s="139"/>
      <c r="P874" s="139"/>
      <c r="Q874" s="139"/>
      <c r="R874" s="139"/>
      <c r="S874" s="139"/>
      <c r="T874" s="139"/>
      <c r="U874" s="139"/>
      <c r="V874" s="139"/>
      <c r="W874" s="139"/>
      <c r="X874" s="139"/>
      <c r="Y874" s="139"/>
      <c r="Z874" s="139"/>
      <c r="AA874" s="139"/>
      <c r="AB874" s="139"/>
      <c r="AC874" s="139"/>
      <c r="AD874" s="139"/>
      <c r="AE874" s="139"/>
      <c r="AF874" s="139"/>
      <c r="AG874" s="139"/>
      <c r="AH874" s="139"/>
      <c r="AI874" s="139"/>
      <c r="AJ874" s="139"/>
    </row>
    <row r="875">
      <c r="A875" s="9"/>
      <c r="B875" s="139"/>
      <c r="C875" s="139"/>
      <c r="D875" s="139"/>
      <c r="E875" s="139"/>
      <c r="F875" s="139"/>
      <c r="G875" s="139"/>
      <c r="H875" s="139"/>
      <c r="I875" s="139"/>
      <c r="J875" s="139"/>
      <c r="K875" s="139"/>
      <c r="L875" s="139"/>
      <c r="M875" s="139"/>
      <c r="N875" s="139"/>
      <c r="O875" s="139"/>
      <c r="P875" s="139"/>
      <c r="Q875" s="139"/>
      <c r="R875" s="139"/>
      <c r="S875" s="139"/>
      <c r="T875" s="139"/>
      <c r="U875" s="139"/>
      <c r="V875" s="139"/>
      <c r="W875" s="139"/>
      <c r="X875" s="139"/>
      <c r="Y875" s="139"/>
      <c r="Z875" s="139"/>
      <c r="AA875" s="139"/>
      <c r="AB875" s="139"/>
      <c r="AC875" s="139"/>
      <c r="AD875" s="139"/>
      <c r="AE875" s="139"/>
      <c r="AF875" s="139"/>
      <c r="AG875" s="139"/>
      <c r="AH875" s="139"/>
      <c r="AI875" s="139"/>
      <c r="AJ875" s="139"/>
    </row>
    <row r="876">
      <c r="A876" s="9"/>
      <c r="B876" s="139"/>
      <c r="C876" s="139"/>
      <c r="D876" s="139"/>
      <c r="E876" s="139"/>
      <c r="F876" s="139"/>
      <c r="G876" s="139"/>
      <c r="H876" s="139"/>
      <c r="I876" s="139"/>
      <c r="J876" s="139"/>
      <c r="K876" s="139"/>
      <c r="L876" s="139"/>
      <c r="M876" s="139"/>
      <c r="N876" s="139"/>
      <c r="O876" s="139"/>
      <c r="P876" s="139"/>
      <c r="Q876" s="139"/>
      <c r="R876" s="139"/>
      <c r="S876" s="139"/>
      <c r="T876" s="139"/>
      <c r="U876" s="139"/>
      <c r="V876" s="139"/>
      <c r="W876" s="139"/>
      <c r="X876" s="139"/>
      <c r="Y876" s="139"/>
      <c r="Z876" s="139"/>
      <c r="AA876" s="139"/>
      <c r="AB876" s="139"/>
      <c r="AC876" s="139"/>
      <c r="AD876" s="139"/>
      <c r="AE876" s="139"/>
      <c r="AF876" s="139"/>
      <c r="AG876" s="139"/>
      <c r="AH876" s="139"/>
      <c r="AI876" s="139"/>
      <c r="AJ876" s="139"/>
    </row>
    <row r="877">
      <c r="A877" s="9"/>
      <c r="B877" s="139"/>
      <c r="C877" s="139"/>
      <c r="D877" s="139"/>
      <c r="E877" s="139"/>
      <c r="F877" s="139"/>
      <c r="G877" s="139"/>
      <c r="H877" s="139"/>
      <c r="I877" s="139"/>
      <c r="J877" s="139"/>
      <c r="K877" s="139"/>
      <c r="L877" s="139"/>
      <c r="M877" s="139"/>
      <c r="N877" s="139"/>
      <c r="O877" s="139"/>
      <c r="P877" s="139"/>
      <c r="Q877" s="139"/>
      <c r="R877" s="139"/>
      <c r="S877" s="139"/>
      <c r="T877" s="139"/>
      <c r="U877" s="139"/>
      <c r="V877" s="139"/>
      <c r="W877" s="139"/>
      <c r="X877" s="139"/>
      <c r="Y877" s="139"/>
      <c r="Z877" s="139"/>
      <c r="AA877" s="139"/>
      <c r="AB877" s="139"/>
      <c r="AC877" s="139"/>
      <c r="AD877" s="139"/>
      <c r="AE877" s="139"/>
      <c r="AF877" s="139"/>
      <c r="AG877" s="139"/>
      <c r="AH877" s="139"/>
      <c r="AI877" s="139"/>
      <c r="AJ877" s="139"/>
    </row>
    <row r="878">
      <c r="A878" s="9"/>
      <c r="B878" s="139"/>
      <c r="C878" s="139"/>
      <c r="D878" s="139"/>
      <c r="E878" s="139"/>
      <c r="F878" s="139"/>
      <c r="G878" s="139"/>
      <c r="H878" s="139"/>
      <c r="I878" s="139"/>
      <c r="J878" s="139"/>
      <c r="K878" s="139"/>
      <c r="L878" s="139"/>
      <c r="M878" s="139"/>
      <c r="N878" s="139"/>
      <c r="O878" s="139"/>
      <c r="P878" s="139"/>
      <c r="Q878" s="139"/>
      <c r="R878" s="139"/>
      <c r="S878" s="139"/>
      <c r="T878" s="139"/>
      <c r="U878" s="139"/>
      <c r="V878" s="139"/>
      <c r="W878" s="139"/>
      <c r="X878" s="139"/>
      <c r="Y878" s="139"/>
      <c r="Z878" s="139"/>
      <c r="AA878" s="139"/>
      <c r="AB878" s="139"/>
      <c r="AC878" s="139"/>
      <c r="AD878" s="139"/>
      <c r="AE878" s="139"/>
      <c r="AF878" s="139"/>
      <c r="AG878" s="139"/>
      <c r="AH878" s="139"/>
      <c r="AI878" s="139"/>
      <c r="AJ878" s="139"/>
    </row>
    <row r="879">
      <c r="A879" s="9"/>
      <c r="B879" s="139"/>
      <c r="C879" s="139"/>
      <c r="D879" s="139"/>
      <c r="E879" s="139"/>
      <c r="F879" s="139"/>
      <c r="G879" s="139"/>
      <c r="H879" s="139"/>
      <c r="I879" s="139"/>
      <c r="J879" s="139"/>
      <c r="K879" s="139"/>
      <c r="L879" s="139"/>
      <c r="M879" s="139"/>
      <c r="N879" s="139"/>
      <c r="O879" s="139"/>
      <c r="P879" s="139"/>
      <c r="Q879" s="139"/>
      <c r="R879" s="139"/>
      <c r="S879" s="139"/>
      <c r="T879" s="139"/>
      <c r="U879" s="139"/>
      <c r="V879" s="139"/>
      <c r="W879" s="139"/>
      <c r="X879" s="139"/>
      <c r="Y879" s="139"/>
      <c r="Z879" s="139"/>
      <c r="AA879" s="139"/>
      <c r="AB879" s="139"/>
      <c r="AC879" s="139"/>
      <c r="AD879" s="139"/>
      <c r="AE879" s="139"/>
      <c r="AF879" s="139"/>
      <c r="AG879" s="139"/>
      <c r="AH879" s="139"/>
      <c r="AI879" s="139"/>
      <c r="AJ879" s="139"/>
    </row>
    <row r="880">
      <c r="A880" s="9"/>
      <c r="B880" s="139"/>
      <c r="C880" s="139"/>
      <c r="D880" s="139"/>
      <c r="E880" s="139"/>
      <c r="F880" s="139"/>
      <c r="G880" s="139"/>
      <c r="H880" s="139"/>
      <c r="I880" s="139"/>
      <c r="J880" s="139"/>
      <c r="K880" s="139"/>
      <c r="L880" s="139"/>
      <c r="M880" s="139"/>
      <c r="N880" s="139"/>
      <c r="O880" s="139"/>
      <c r="P880" s="139"/>
      <c r="Q880" s="139"/>
      <c r="R880" s="139"/>
      <c r="S880" s="139"/>
      <c r="T880" s="139"/>
      <c r="U880" s="139"/>
      <c r="V880" s="139"/>
      <c r="W880" s="139"/>
      <c r="X880" s="139"/>
      <c r="Y880" s="139"/>
      <c r="Z880" s="139"/>
      <c r="AA880" s="139"/>
      <c r="AB880" s="139"/>
      <c r="AC880" s="139"/>
      <c r="AD880" s="139"/>
      <c r="AE880" s="139"/>
      <c r="AF880" s="139"/>
      <c r="AG880" s="139"/>
      <c r="AH880" s="139"/>
      <c r="AI880" s="139"/>
      <c r="AJ880" s="139"/>
    </row>
    <row r="881">
      <c r="A881" s="9"/>
      <c r="B881" s="139"/>
      <c r="C881" s="139"/>
      <c r="D881" s="139"/>
      <c r="E881" s="139"/>
      <c r="F881" s="139"/>
      <c r="G881" s="139"/>
      <c r="H881" s="139"/>
      <c r="I881" s="139"/>
      <c r="J881" s="139"/>
      <c r="K881" s="139"/>
      <c r="L881" s="139"/>
      <c r="M881" s="139"/>
      <c r="N881" s="139"/>
      <c r="O881" s="139"/>
      <c r="P881" s="139"/>
      <c r="Q881" s="139"/>
      <c r="R881" s="139"/>
      <c r="S881" s="139"/>
      <c r="T881" s="139"/>
      <c r="U881" s="139"/>
      <c r="V881" s="139"/>
      <c r="W881" s="139"/>
      <c r="X881" s="139"/>
      <c r="Y881" s="139"/>
      <c r="Z881" s="139"/>
      <c r="AA881" s="139"/>
      <c r="AB881" s="139"/>
      <c r="AC881" s="139"/>
      <c r="AD881" s="139"/>
      <c r="AE881" s="139"/>
      <c r="AF881" s="139"/>
      <c r="AG881" s="139"/>
      <c r="AH881" s="139"/>
      <c r="AI881" s="139"/>
      <c r="AJ881" s="139"/>
    </row>
    <row r="882">
      <c r="A882" s="9"/>
      <c r="B882" s="139"/>
      <c r="C882" s="139"/>
      <c r="D882" s="139"/>
      <c r="E882" s="139"/>
      <c r="F882" s="139"/>
      <c r="G882" s="139"/>
      <c r="H882" s="139"/>
      <c r="I882" s="139"/>
      <c r="J882" s="139"/>
      <c r="K882" s="139"/>
      <c r="L882" s="139"/>
      <c r="M882" s="139"/>
      <c r="N882" s="139"/>
      <c r="O882" s="139"/>
      <c r="P882" s="139"/>
      <c r="Q882" s="139"/>
      <c r="R882" s="139"/>
      <c r="S882" s="139"/>
      <c r="T882" s="139"/>
      <c r="U882" s="139"/>
      <c r="V882" s="139"/>
      <c r="W882" s="139"/>
      <c r="X882" s="139"/>
      <c r="Y882" s="139"/>
      <c r="Z882" s="139"/>
      <c r="AA882" s="139"/>
      <c r="AB882" s="139"/>
      <c r="AC882" s="139"/>
      <c r="AD882" s="139"/>
      <c r="AE882" s="139"/>
      <c r="AF882" s="139"/>
      <c r="AG882" s="139"/>
      <c r="AH882" s="139"/>
      <c r="AI882" s="139"/>
      <c r="AJ882" s="139"/>
    </row>
    <row r="883">
      <c r="A883" s="9"/>
      <c r="B883" s="139"/>
      <c r="C883" s="139"/>
      <c r="D883" s="139"/>
      <c r="E883" s="139"/>
      <c r="F883" s="139"/>
      <c r="G883" s="139"/>
      <c r="H883" s="139"/>
      <c r="I883" s="139"/>
      <c r="J883" s="139"/>
      <c r="K883" s="139"/>
      <c r="L883" s="139"/>
      <c r="M883" s="139"/>
      <c r="N883" s="139"/>
      <c r="O883" s="139"/>
      <c r="P883" s="139"/>
      <c r="Q883" s="139"/>
      <c r="R883" s="139"/>
      <c r="S883" s="139"/>
      <c r="T883" s="139"/>
      <c r="U883" s="139"/>
      <c r="V883" s="139"/>
      <c r="W883" s="139"/>
      <c r="X883" s="139"/>
      <c r="Y883" s="139"/>
      <c r="Z883" s="139"/>
      <c r="AA883" s="139"/>
      <c r="AB883" s="139"/>
      <c r="AC883" s="139"/>
      <c r="AD883" s="139"/>
      <c r="AE883" s="139"/>
      <c r="AF883" s="139"/>
      <c r="AG883" s="139"/>
      <c r="AH883" s="139"/>
      <c r="AI883" s="139"/>
      <c r="AJ883" s="139"/>
    </row>
    <row r="884">
      <c r="A884" s="9"/>
      <c r="B884" s="139"/>
      <c r="C884" s="139"/>
      <c r="D884" s="139"/>
      <c r="E884" s="139"/>
      <c r="F884" s="139"/>
      <c r="G884" s="139"/>
      <c r="H884" s="139"/>
      <c r="I884" s="139"/>
      <c r="J884" s="139"/>
      <c r="K884" s="139"/>
      <c r="L884" s="139"/>
      <c r="M884" s="139"/>
      <c r="N884" s="139"/>
      <c r="O884" s="139"/>
      <c r="P884" s="139"/>
      <c r="Q884" s="139"/>
      <c r="R884" s="139"/>
      <c r="S884" s="139"/>
      <c r="T884" s="139"/>
      <c r="U884" s="139"/>
      <c r="V884" s="139"/>
      <c r="W884" s="139"/>
      <c r="X884" s="139"/>
      <c r="Y884" s="139"/>
      <c r="Z884" s="139"/>
      <c r="AA884" s="139"/>
      <c r="AB884" s="139"/>
      <c r="AC884" s="139"/>
      <c r="AD884" s="139"/>
      <c r="AE884" s="139"/>
      <c r="AF884" s="139"/>
      <c r="AG884" s="139"/>
      <c r="AH884" s="139"/>
      <c r="AI884" s="139"/>
      <c r="AJ884" s="139"/>
    </row>
    <row r="885">
      <c r="A885" s="9"/>
      <c r="B885" s="139"/>
      <c r="C885" s="139"/>
      <c r="D885" s="139"/>
      <c r="E885" s="139"/>
      <c r="F885" s="139"/>
      <c r="G885" s="139"/>
      <c r="H885" s="139"/>
      <c r="I885" s="139"/>
      <c r="J885" s="139"/>
      <c r="K885" s="139"/>
      <c r="L885" s="139"/>
      <c r="M885" s="139"/>
      <c r="N885" s="139"/>
      <c r="O885" s="139"/>
      <c r="P885" s="139"/>
      <c r="Q885" s="139"/>
      <c r="R885" s="139"/>
      <c r="S885" s="139"/>
      <c r="T885" s="139"/>
      <c r="U885" s="139"/>
      <c r="V885" s="139"/>
      <c r="W885" s="139"/>
      <c r="X885" s="139"/>
      <c r="Y885" s="139"/>
      <c r="Z885" s="139"/>
      <c r="AA885" s="139"/>
      <c r="AB885" s="139"/>
      <c r="AC885" s="139"/>
      <c r="AD885" s="139"/>
      <c r="AE885" s="139"/>
      <c r="AF885" s="139"/>
      <c r="AG885" s="139"/>
      <c r="AH885" s="139"/>
      <c r="AI885" s="139"/>
      <c r="AJ885" s="139"/>
    </row>
    <row r="886">
      <c r="A886" s="9"/>
      <c r="B886" s="139"/>
      <c r="C886" s="139"/>
      <c r="D886" s="139"/>
      <c r="E886" s="139"/>
      <c r="F886" s="139"/>
      <c r="G886" s="139"/>
      <c r="H886" s="139"/>
      <c r="I886" s="139"/>
      <c r="J886" s="139"/>
      <c r="K886" s="139"/>
      <c r="L886" s="139"/>
      <c r="M886" s="139"/>
      <c r="N886" s="139"/>
      <c r="O886" s="139"/>
      <c r="P886" s="139"/>
      <c r="Q886" s="139"/>
      <c r="R886" s="139"/>
      <c r="S886" s="139"/>
      <c r="T886" s="139"/>
      <c r="U886" s="139"/>
      <c r="V886" s="139"/>
      <c r="W886" s="139"/>
      <c r="X886" s="139"/>
      <c r="Y886" s="139"/>
      <c r="Z886" s="139"/>
      <c r="AA886" s="139"/>
      <c r="AB886" s="139"/>
      <c r="AC886" s="139"/>
      <c r="AD886" s="139"/>
      <c r="AE886" s="139"/>
      <c r="AF886" s="139"/>
      <c r="AG886" s="139"/>
      <c r="AH886" s="139"/>
      <c r="AI886" s="139"/>
      <c r="AJ886" s="139"/>
    </row>
    <row r="887">
      <c r="A887" s="9"/>
      <c r="B887" s="139"/>
      <c r="C887" s="139"/>
      <c r="D887" s="139"/>
      <c r="E887" s="139"/>
      <c r="F887" s="139"/>
      <c r="G887" s="139"/>
      <c r="H887" s="139"/>
      <c r="I887" s="139"/>
      <c r="J887" s="139"/>
      <c r="K887" s="139"/>
      <c r="L887" s="139"/>
      <c r="M887" s="139"/>
      <c r="N887" s="139"/>
      <c r="O887" s="139"/>
      <c r="P887" s="139"/>
      <c r="Q887" s="139"/>
      <c r="R887" s="139"/>
      <c r="S887" s="139"/>
      <c r="T887" s="139"/>
      <c r="U887" s="139"/>
      <c r="V887" s="139"/>
      <c r="W887" s="139"/>
      <c r="X887" s="139"/>
      <c r="Y887" s="139"/>
      <c r="Z887" s="139"/>
      <c r="AA887" s="139"/>
      <c r="AB887" s="139"/>
      <c r="AC887" s="139"/>
      <c r="AD887" s="139"/>
      <c r="AE887" s="139"/>
      <c r="AF887" s="139"/>
      <c r="AG887" s="139"/>
      <c r="AH887" s="139"/>
      <c r="AI887" s="139"/>
      <c r="AJ887" s="139"/>
    </row>
    <row r="888">
      <c r="A888" s="9"/>
      <c r="B888" s="139"/>
      <c r="C888" s="139"/>
      <c r="D888" s="139"/>
      <c r="E888" s="139"/>
      <c r="F888" s="139"/>
      <c r="G888" s="139"/>
      <c r="H888" s="139"/>
      <c r="I888" s="139"/>
      <c r="J888" s="139"/>
      <c r="K888" s="139"/>
      <c r="L888" s="139"/>
      <c r="M888" s="139"/>
      <c r="N888" s="139"/>
      <c r="O888" s="139"/>
      <c r="P888" s="139"/>
      <c r="Q888" s="139"/>
      <c r="R888" s="139"/>
      <c r="S888" s="139"/>
      <c r="T888" s="139"/>
      <c r="U888" s="139"/>
      <c r="V888" s="139"/>
      <c r="W888" s="139"/>
      <c r="X888" s="139"/>
      <c r="Y888" s="139"/>
      <c r="Z888" s="139"/>
      <c r="AA888" s="139"/>
      <c r="AB888" s="139"/>
      <c r="AC888" s="139"/>
      <c r="AD888" s="139"/>
      <c r="AE888" s="139"/>
      <c r="AF888" s="139"/>
      <c r="AG888" s="139"/>
      <c r="AH888" s="139"/>
      <c r="AI888" s="139"/>
      <c r="AJ888" s="139"/>
    </row>
    <row r="889">
      <c r="A889" s="9"/>
      <c r="B889" s="139"/>
      <c r="C889" s="139"/>
      <c r="D889" s="139"/>
      <c r="E889" s="139"/>
      <c r="F889" s="139"/>
      <c r="G889" s="139"/>
      <c r="H889" s="139"/>
      <c r="I889" s="139"/>
      <c r="J889" s="139"/>
      <c r="K889" s="139"/>
      <c r="L889" s="139"/>
      <c r="M889" s="139"/>
      <c r="N889" s="139"/>
      <c r="O889" s="139"/>
      <c r="P889" s="139"/>
      <c r="Q889" s="139"/>
      <c r="R889" s="139"/>
      <c r="S889" s="139"/>
      <c r="T889" s="139"/>
      <c r="U889" s="139"/>
      <c r="V889" s="139"/>
      <c r="W889" s="139"/>
      <c r="X889" s="139"/>
      <c r="Y889" s="139"/>
      <c r="Z889" s="139"/>
      <c r="AA889" s="139"/>
      <c r="AB889" s="139"/>
      <c r="AC889" s="139"/>
      <c r="AD889" s="139"/>
      <c r="AE889" s="139"/>
      <c r="AF889" s="139"/>
      <c r="AG889" s="139"/>
      <c r="AH889" s="139"/>
      <c r="AI889" s="139"/>
      <c r="AJ889" s="139"/>
    </row>
    <row r="890">
      <c r="A890" s="9"/>
      <c r="B890" s="139"/>
      <c r="C890" s="139"/>
      <c r="D890" s="139"/>
      <c r="E890" s="139"/>
      <c r="F890" s="139"/>
      <c r="G890" s="139"/>
      <c r="H890" s="139"/>
      <c r="I890" s="139"/>
      <c r="J890" s="139"/>
      <c r="K890" s="139"/>
      <c r="L890" s="139"/>
      <c r="M890" s="139"/>
      <c r="N890" s="139"/>
      <c r="O890" s="139"/>
      <c r="P890" s="139"/>
      <c r="Q890" s="139"/>
      <c r="R890" s="139"/>
      <c r="S890" s="139"/>
      <c r="T890" s="139"/>
      <c r="U890" s="139"/>
      <c r="V890" s="139"/>
      <c r="W890" s="139"/>
      <c r="X890" s="139"/>
      <c r="Y890" s="139"/>
      <c r="Z890" s="139"/>
      <c r="AA890" s="139"/>
      <c r="AB890" s="139"/>
      <c r="AC890" s="139"/>
      <c r="AD890" s="139"/>
      <c r="AE890" s="139"/>
      <c r="AF890" s="139"/>
      <c r="AG890" s="139"/>
      <c r="AH890" s="139"/>
      <c r="AI890" s="139"/>
      <c r="AJ890" s="139"/>
    </row>
    <row r="891">
      <c r="A891" s="9"/>
      <c r="B891" s="139"/>
      <c r="C891" s="139"/>
      <c r="D891" s="139"/>
      <c r="E891" s="139"/>
      <c r="F891" s="139"/>
      <c r="G891" s="139"/>
      <c r="H891" s="139"/>
      <c r="I891" s="139"/>
      <c r="J891" s="139"/>
      <c r="K891" s="139"/>
      <c r="L891" s="139"/>
      <c r="M891" s="139"/>
      <c r="N891" s="139"/>
      <c r="O891" s="139"/>
      <c r="P891" s="139"/>
      <c r="Q891" s="139"/>
      <c r="R891" s="139"/>
      <c r="S891" s="139"/>
      <c r="T891" s="139"/>
      <c r="U891" s="139"/>
      <c r="V891" s="139"/>
      <c r="W891" s="139"/>
      <c r="X891" s="139"/>
      <c r="Y891" s="139"/>
      <c r="Z891" s="139"/>
      <c r="AA891" s="139"/>
      <c r="AB891" s="139"/>
      <c r="AC891" s="139"/>
      <c r="AD891" s="139"/>
      <c r="AE891" s="139"/>
      <c r="AF891" s="139"/>
      <c r="AG891" s="139"/>
      <c r="AH891" s="139"/>
      <c r="AI891" s="139"/>
      <c r="AJ891" s="139"/>
    </row>
    <row r="892">
      <c r="A892" s="9"/>
      <c r="B892" s="139"/>
      <c r="C892" s="139"/>
      <c r="D892" s="139"/>
      <c r="E892" s="139"/>
      <c r="F892" s="139"/>
      <c r="G892" s="139"/>
      <c r="H892" s="139"/>
      <c r="I892" s="139"/>
      <c r="J892" s="139"/>
      <c r="K892" s="139"/>
      <c r="L892" s="139"/>
      <c r="M892" s="139"/>
      <c r="N892" s="139"/>
      <c r="O892" s="139"/>
      <c r="P892" s="139"/>
      <c r="Q892" s="139"/>
      <c r="R892" s="139"/>
      <c r="S892" s="139"/>
      <c r="T892" s="139"/>
      <c r="U892" s="139"/>
      <c r="V892" s="139"/>
      <c r="W892" s="139"/>
      <c r="X892" s="139"/>
      <c r="Y892" s="139"/>
      <c r="Z892" s="139"/>
      <c r="AA892" s="139"/>
      <c r="AB892" s="139"/>
      <c r="AC892" s="139"/>
      <c r="AD892" s="139"/>
      <c r="AE892" s="139"/>
      <c r="AF892" s="139"/>
      <c r="AG892" s="139"/>
      <c r="AH892" s="139"/>
      <c r="AI892" s="139"/>
      <c r="AJ892" s="139"/>
    </row>
    <row r="893">
      <c r="A893" s="9"/>
      <c r="B893" s="139"/>
      <c r="C893" s="139"/>
      <c r="D893" s="139"/>
      <c r="E893" s="139"/>
      <c r="F893" s="139"/>
      <c r="G893" s="139"/>
      <c r="H893" s="139"/>
      <c r="I893" s="139"/>
      <c r="J893" s="139"/>
      <c r="K893" s="139"/>
      <c r="L893" s="139"/>
      <c r="M893" s="139"/>
      <c r="N893" s="139"/>
      <c r="O893" s="139"/>
      <c r="P893" s="139"/>
      <c r="Q893" s="139"/>
      <c r="R893" s="139"/>
      <c r="S893" s="139"/>
      <c r="T893" s="139"/>
      <c r="U893" s="139"/>
      <c r="V893" s="139"/>
      <c r="W893" s="139"/>
      <c r="X893" s="139"/>
      <c r="Y893" s="139"/>
      <c r="Z893" s="139"/>
      <c r="AA893" s="139"/>
      <c r="AB893" s="139"/>
      <c r="AC893" s="139"/>
      <c r="AD893" s="139"/>
      <c r="AE893" s="139"/>
      <c r="AF893" s="139"/>
      <c r="AG893" s="139"/>
      <c r="AH893" s="139"/>
      <c r="AI893" s="139"/>
      <c r="AJ893" s="139"/>
    </row>
    <row r="894">
      <c r="A894" s="9"/>
      <c r="B894" s="139"/>
      <c r="C894" s="139"/>
      <c r="D894" s="139"/>
      <c r="E894" s="139"/>
      <c r="F894" s="139"/>
      <c r="G894" s="139"/>
      <c r="H894" s="139"/>
      <c r="I894" s="139"/>
      <c r="J894" s="139"/>
      <c r="K894" s="139"/>
      <c r="L894" s="139"/>
      <c r="M894" s="139"/>
      <c r="N894" s="139"/>
      <c r="O894" s="139"/>
      <c r="P894" s="139"/>
      <c r="Q894" s="139"/>
      <c r="R894" s="139"/>
      <c r="S894" s="139"/>
      <c r="T894" s="139"/>
      <c r="U894" s="139"/>
      <c r="V894" s="139"/>
      <c r="W894" s="139"/>
      <c r="X894" s="139"/>
      <c r="Y894" s="139"/>
      <c r="Z894" s="139"/>
      <c r="AA894" s="139"/>
      <c r="AB894" s="139"/>
      <c r="AC894" s="139"/>
      <c r="AD894" s="139"/>
      <c r="AE894" s="139"/>
      <c r="AF894" s="139"/>
      <c r="AG894" s="139"/>
      <c r="AH894" s="139"/>
      <c r="AI894" s="139"/>
      <c r="AJ894" s="139"/>
    </row>
    <row r="895">
      <c r="A895" s="9"/>
      <c r="B895" s="139"/>
      <c r="C895" s="139"/>
      <c r="D895" s="139"/>
      <c r="E895" s="139"/>
      <c r="F895" s="139"/>
      <c r="G895" s="139"/>
      <c r="H895" s="139"/>
      <c r="I895" s="139"/>
      <c r="J895" s="139"/>
      <c r="K895" s="139"/>
      <c r="L895" s="139"/>
      <c r="M895" s="139"/>
      <c r="N895" s="139"/>
      <c r="O895" s="139"/>
      <c r="P895" s="139"/>
      <c r="Q895" s="139"/>
      <c r="R895" s="139"/>
      <c r="S895" s="139"/>
      <c r="T895" s="139"/>
      <c r="U895" s="139"/>
      <c r="V895" s="139"/>
      <c r="W895" s="139"/>
      <c r="X895" s="139"/>
      <c r="Y895" s="139"/>
      <c r="Z895" s="139"/>
      <c r="AA895" s="139"/>
      <c r="AB895" s="139"/>
      <c r="AC895" s="139"/>
      <c r="AD895" s="139"/>
      <c r="AE895" s="139"/>
      <c r="AF895" s="139"/>
      <c r="AG895" s="139"/>
      <c r="AH895" s="139"/>
      <c r="AI895" s="139"/>
      <c r="AJ895" s="139"/>
    </row>
    <row r="896">
      <c r="A896" s="9"/>
      <c r="B896" s="139"/>
      <c r="C896" s="139"/>
      <c r="D896" s="139"/>
      <c r="E896" s="139"/>
      <c r="F896" s="139"/>
      <c r="G896" s="139"/>
      <c r="H896" s="139"/>
      <c r="I896" s="139"/>
      <c r="J896" s="139"/>
      <c r="K896" s="139"/>
      <c r="L896" s="139"/>
      <c r="M896" s="139"/>
      <c r="N896" s="139"/>
      <c r="O896" s="139"/>
      <c r="P896" s="139"/>
      <c r="Q896" s="139"/>
      <c r="R896" s="139"/>
      <c r="S896" s="139"/>
      <c r="T896" s="139"/>
      <c r="U896" s="139"/>
      <c r="V896" s="139"/>
      <c r="W896" s="139"/>
      <c r="X896" s="139"/>
      <c r="Y896" s="139"/>
      <c r="Z896" s="139"/>
      <c r="AA896" s="139"/>
      <c r="AB896" s="139"/>
      <c r="AC896" s="139"/>
      <c r="AD896" s="139"/>
      <c r="AE896" s="139"/>
      <c r="AF896" s="139"/>
      <c r="AG896" s="139"/>
      <c r="AH896" s="139"/>
      <c r="AI896" s="139"/>
      <c r="AJ896" s="139"/>
    </row>
    <row r="897">
      <c r="A897" s="9"/>
      <c r="B897" s="139"/>
      <c r="C897" s="139"/>
      <c r="D897" s="139"/>
      <c r="E897" s="139"/>
      <c r="F897" s="139"/>
      <c r="G897" s="139"/>
      <c r="H897" s="139"/>
      <c r="I897" s="139"/>
      <c r="J897" s="139"/>
      <c r="K897" s="139"/>
      <c r="L897" s="139"/>
      <c r="M897" s="139"/>
      <c r="N897" s="139"/>
      <c r="O897" s="139"/>
      <c r="P897" s="139"/>
      <c r="Q897" s="139"/>
      <c r="R897" s="139"/>
      <c r="S897" s="139"/>
      <c r="T897" s="139"/>
      <c r="U897" s="139"/>
      <c r="V897" s="139"/>
      <c r="W897" s="139"/>
      <c r="X897" s="139"/>
      <c r="Y897" s="139"/>
      <c r="Z897" s="139"/>
      <c r="AA897" s="139"/>
      <c r="AB897" s="139"/>
      <c r="AC897" s="139"/>
      <c r="AD897" s="139"/>
      <c r="AE897" s="139"/>
      <c r="AF897" s="139"/>
      <c r="AG897" s="139"/>
      <c r="AH897" s="139"/>
      <c r="AI897" s="139"/>
      <c r="AJ897" s="139"/>
    </row>
    <row r="898">
      <c r="A898" s="9"/>
      <c r="B898" s="139"/>
      <c r="C898" s="139"/>
      <c r="D898" s="139"/>
      <c r="E898" s="139"/>
      <c r="F898" s="139"/>
      <c r="G898" s="139"/>
      <c r="H898" s="139"/>
      <c r="I898" s="139"/>
      <c r="J898" s="139"/>
      <c r="K898" s="139"/>
      <c r="L898" s="139"/>
      <c r="M898" s="139"/>
      <c r="N898" s="139"/>
      <c r="O898" s="139"/>
      <c r="P898" s="139"/>
      <c r="Q898" s="139"/>
      <c r="R898" s="139"/>
      <c r="S898" s="139"/>
      <c r="T898" s="139"/>
      <c r="U898" s="139"/>
      <c r="V898" s="139"/>
      <c r="W898" s="139"/>
      <c r="X898" s="139"/>
      <c r="Y898" s="139"/>
      <c r="Z898" s="139"/>
      <c r="AA898" s="139"/>
      <c r="AB898" s="139"/>
      <c r="AC898" s="139"/>
      <c r="AD898" s="139"/>
      <c r="AE898" s="139"/>
      <c r="AF898" s="139"/>
      <c r="AG898" s="139"/>
      <c r="AH898" s="139"/>
      <c r="AI898" s="139"/>
      <c r="AJ898" s="139"/>
    </row>
    <row r="899">
      <c r="A899" s="9"/>
      <c r="B899" s="139"/>
      <c r="C899" s="139"/>
      <c r="D899" s="139"/>
      <c r="E899" s="139"/>
      <c r="F899" s="139"/>
      <c r="G899" s="139"/>
      <c r="H899" s="139"/>
      <c r="I899" s="139"/>
      <c r="J899" s="139"/>
      <c r="K899" s="139"/>
      <c r="L899" s="139"/>
      <c r="M899" s="139"/>
      <c r="N899" s="139"/>
      <c r="O899" s="139"/>
      <c r="P899" s="139"/>
      <c r="Q899" s="139"/>
      <c r="R899" s="139"/>
      <c r="S899" s="139"/>
      <c r="T899" s="139"/>
      <c r="U899" s="139"/>
      <c r="V899" s="139"/>
      <c r="W899" s="139"/>
      <c r="X899" s="139"/>
      <c r="Y899" s="139"/>
      <c r="Z899" s="139"/>
      <c r="AA899" s="139"/>
      <c r="AB899" s="139"/>
      <c r="AC899" s="139"/>
      <c r="AD899" s="139"/>
      <c r="AE899" s="139"/>
      <c r="AF899" s="139"/>
      <c r="AG899" s="139"/>
      <c r="AH899" s="139"/>
      <c r="AI899" s="139"/>
      <c r="AJ899" s="139"/>
    </row>
    <row r="900">
      <c r="A900" s="9"/>
      <c r="B900" s="139"/>
      <c r="C900" s="139"/>
      <c r="D900" s="139"/>
      <c r="E900" s="139"/>
      <c r="F900" s="139"/>
      <c r="G900" s="139"/>
      <c r="H900" s="139"/>
      <c r="I900" s="139"/>
      <c r="J900" s="139"/>
      <c r="K900" s="139"/>
      <c r="L900" s="139"/>
      <c r="M900" s="139"/>
      <c r="N900" s="139"/>
      <c r="O900" s="139"/>
      <c r="P900" s="139"/>
      <c r="Q900" s="139"/>
      <c r="R900" s="139"/>
      <c r="S900" s="139"/>
      <c r="T900" s="139"/>
      <c r="U900" s="139"/>
      <c r="V900" s="139"/>
      <c r="W900" s="139"/>
      <c r="X900" s="139"/>
      <c r="Y900" s="139"/>
      <c r="Z900" s="139"/>
      <c r="AA900" s="139"/>
      <c r="AB900" s="139"/>
      <c r="AC900" s="139"/>
      <c r="AD900" s="139"/>
      <c r="AE900" s="139"/>
      <c r="AF900" s="139"/>
      <c r="AG900" s="139"/>
      <c r="AH900" s="139"/>
      <c r="AI900" s="139"/>
      <c r="AJ900" s="139"/>
    </row>
    <row r="901">
      <c r="A901" s="9"/>
      <c r="B901" s="139"/>
      <c r="C901" s="139"/>
      <c r="D901" s="139"/>
      <c r="E901" s="139"/>
      <c r="F901" s="139"/>
      <c r="G901" s="139"/>
      <c r="H901" s="139"/>
      <c r="I901" s="139"/>
      <c r="J901" s="139"/>
      <c r="K901" s="139"/>
      <c r="L901" s="139"/>
      <c r="M901" s="139"/>
      <c r="N901" s="139"/>
      <c r="O901" s="139"/>
      <c r="P901" s="139"/>
      <c r="Q901" s="139"/>
      <c r="R901" s="139"/>
      <c r="S901" s="139"/>
      <c r="T901" s="139"/>
      <c r="U901" s="139"/>
      <c r="V901" s="139"/>
      <c r="W901" s="139"/>
      <c r="X901" s="139"/>
      <c r="Y901" s="139"/>
      <c r="Z901" s="139"/>
      <c r="AA901" s="139"/>
      <c r="AB901" s="139"/>
      <c r="AC901" s="139"/>
      <c r="AD901" s="139"/>
      <c r="AE901" s="139"/>
      <c r="AF901" s="139"/>
      <c r="AG901" s="139"/>
      <c r="AH901" s="139"/>
      <c r="AI901" s="139"/>
      <c r="AJ901" s="139"/>
    </row>
    <row r="902">
      <c r="A902" s="9"/>
      <c r="B902" s="139"/>
      <c r="C902" s="139"/>
      <c r="D902" s="139"/>
      <c r="E902" s="139"/>
      <c r="F902" s="139"/>
      <c r="G902" s="139"/>
      <c r="H902" s="139"/>
      <c r="I902" s="139"/>
      <c r="J902" s="139"/>
      <c r="K902" s="139"/>
      <c r="L902" s="139"/>
      <c r="M902" s="139"/>
      <c r="N902" s="139"/>
      <c r="O902" s="139"/>
      <c r="P902" s="139"/>
      <c r="Q902" s="139"/>
      <c r="R902" s="139"/>
      <c r="S902" s="139"/>
      <c r="T902" s="139"/>
      <c r="U902" s="139"/>
      <c r="V902" s="139"/>
      <c r="W902" s="139"/>
      <c r="X902" s="139"/>
      <c r="Y902" s="139"/>
      <c r="Z902" s="139"/>
      <c r="AA902" s="139"/>
      <c r="AB902" s="139"/>
      <c r="AC902" s="139"/>
      <c r="AD902" s="139"/>
      <c r="AE902" s="139"/>
      <c r="AF902" s="139"/>
      <c r="AG902" s="139"/>
      <c r="AH902" s="139"/>
      <c r="AI902" s="139"/>
      <c r="AJ902" s="139"/>
    </row>
    <row r="903">
      <c r="A903" s="9"/>
      <c r="B903" s="139"/>
      <c r="C903" s="139"/>
      <c r="D903" s="139"/>
      <c r="E903" s="139"/>
      <c r="F903" s="139"/>
      <c r="G903" s="139"/>
      <c r="H903" s="139"/>
      <c r="I903" s="139"/>
      <c r="J903" s="139"/>
      <c r="K903" s="139"/>
      <c r="L903" s="139"/>
      <c r="M903" s="139"/>
      <c r="N903" s="139"/>
      <c r="O903" s="139"/>
      <c r="P903" s="139"/>
      <c r="Q903" s="139"/>
      <c r="R903" s="139"/>
      <c r="S903" s="139"/>
      <c r="T903" s="139"/>
      <c r="U903" s="139"/>
      <c r="V903" s="139"/>
      <c r="W903" s="139"/>
      <c r="X903" s="139"/>
      <c r="Y903" s="139"/>
      <c r="Z903" s="139"/>
      <c r="AA903" s="139"/>
      <c r="AB903" s="139"/>
      <c r="AC903" s="139"/>
      <c r="AD903" s="139"/>
      <c r="AE903" s="139"/>
      <c r="AF903" s="139"/>
      <c r="AG903" s="139"/>
      <c r="AH903" s="139"/>
      <c r="AI903" s="139"/>
      <c r="AJ903" s="139"/>
    </row>
    <row r="904">
      <c r="A904" s="9"/>
      <c r="B904" s="139"/>
      <c r="C904" s="139"/>
      <c r="D904" s="139"/>
      <c r="E904" s="139"/>
      <c r="F904" s="139"/>
      <c r="G904" s="139"/>
      <c r="H904" s="139"/>
      <c r="I904" s="139"/>
      <c r="J904" s="139"/>
      <c r="K904" s="139"/>
      <c r="L904" s="139"/>
      <c r="M904" s="139"/>
      <c r="N904" s="139"/>
      <c r="O904" s="139"/>
      <c r="P904" s="139"/>
      <c r="Q904" s="139"/>
      <c r="R904" s="139"/>
      <c r="S904" s="139"/>
      <c r="T904" s="139"/>
      <c r="U904" s="139"/>
      <c r="V904" s="139"/>
      <c r="W904" s="139"/>
      <c r="X904" s="139"/>
      <c r="Y904" s="139"/>
      <c r="Z904" s="139"/>
      <c r="AA904" s="139"/>
      <c r="AB904" s="139"/>
      <c r="AC904" s="139"/>
      <c r="AD904" s="139"/>
      <c r="AE904" s="139"/>
      <c r="AF904" s="139"/>
      <c r="AG904" s="139"/>
      <c r="AH904" s="139"/>
      <c r="AI904" s="139"/>
      <c r="AJ904" s="139"/>
    </row>
    <row r="905">
      <c r="A905" s="9"/>
      <c r="B905" s="139"/>
      <c r="C905" s="139"/>
      <c r="D905" s="139"/>
      <c r="E905" s="139"/>
      <c r="F905" s="139"/>
      <c r="G905" s="139"/>
      <c r="H905" s="139"/>
      <c r="I905" s="139"/>
      <c r="J905" s="139"/>
      <c r="K905" s="139"/>
      <c r="L905" s="139"/>
      <c r="M905" s="139"/>
      <c r="N905" s="139"/>
      <c r="O905" s="139"/>
      <c r="P905" s="139"/>
      <c r="Q905" s="139"/>
      <c r="R905" s="139"/>
      <c r="S905" s="139"/>
      <c r="T905" s="139"/>
      <c r="U905" s="139"/>
      <c r="V905" s="139"/>
      <c r="W905" s="139"/>
      <c r="X905" s="139"/>
      <c r="Y905" s="139"/>
      <c r="Z905" s="139"/>
      <c r="AA905" s="139"/>
      <c r="AB905" s="139"/>
      <c r="AC905" s="139"/>
      <c r="AD905" s="139"/>
      <c r="AE905" s="139"/>
      <c r="AF905" s="139"/>
      <c r="AG905" s="139"/>
      <c r="AH905" s="139"/>
      <c r="AI905" s="139"/>
      <c r="AJ905" s="139"/>
    </row>
    <row r="906">
      <c r="A906" s="9"/>
      <c r="B906" s="139"/>
      <c r="C906" s="139"/>
      <c r="D906" s="139"/>
      <c r="E906" s="139"/>
      <c r="F906" s="139"/>
      <c r="G906" s="139"/>
      <c r="H906" s="139"/>
      <c r="I906" s="139"/>
      <c r="J906" s="139"/>
      <c r="K906" s="139"/>
      <c r="L906" s="139"/>
      <c r="M906" s="139"/>
      <c r="N906" s="139"/>
      <c r="O906" s="139"/>
      <c r="P906" s="139"/>
      <c r="Q906" s="139"/>
      <c r="R906" s="139"/>
      <c r="S906" s="139"/>
      <c r="T906" s="139"/>
      <c r="U906" s="139"/>
      <c r="V906" s="139"/>
      <c r="W906" s="139"/>
      <c r="X906" s="139"/>
      <c r="Y906" s="139"/>
      <c r="Z906" s="139"/>
      <c r="AA906" s="139"/>
      <c r="AB906" s="139"/>
      <c r="AC906" s="139"/>
      <c r="AD906" s="139"/>
      <c r="AE906" s="139"/>
      <c r="AF906" s="139"/>
      <c r="AG906" s="139"/>
      <c r="AH906" s="139"/>
      <c r="AI906" s="139"/>
      <c r="AJ906" s="139"/>
    </row>
    <row r="907">
      <c r="A907" s="9"/>
      <c r="B907" s="139"/>
      <c r="C907" s="139"/>
      <c r="D907" s="139"/>
      <c r="E907" s="139"/>
      <c r="F907" s="139"/>
      <c r="G907" s="139"/>
      <c r="H907" s="139"/>
      <c r="I907" s="139"/>
      <c r="J907" s="139"/>
      <c r="K907" s="139"/>
      <c r="L907" s="139"/>
      <c r="M907" s="139"/>
      <c r="N907" s="139"/>
      <c r="O907" s="139"/>
      <c r="P907" s="139"/>
      <c r="Q907" s="139"/>
      <c r="R907" s="139"/>
      <c r="S907" s="139"/>
      <c r="T907" s="139"/>
      <c r="U907" s="139"/>
      <c r="V907" s="139"/>
      <c r="W907" s="139"/>
      <c r="X907" s="139"/>
      <c r="Y907" s="139"/>
      <c r="Z907" s="139"/>
      <c r="AA907" s="139"/>
      <c r="AB907" s="139"/>
      <c r="AC907" s="139"/>
      <c r="AD907" s="139"/>
      <c r="AE907" s="139"/>
      <c r="AF907" s="139"/>
      <c r="AG907" s="139"/>
      <c r="AH907" s="139"/>
      <c r="AI907" s="139"/>
      <c r="AJ907" s="139"/>
    </row>
    <row r="908">
      <c r="A908" s="9"/>
      <c r="B908" s="139"/>
      <c r="C908" s="139"/>
      <c r="D908" s="139"/>
      <c r="E908" s="139"/>
      <c r="F908" s="139"/>
      <c r="G908" s="139"/>
      <c r="H908" s="139"/>
      <c r="I908" s="139"/>
      <c r="J908" s="139"/>
      <c r="K908" s="139"/>
      <c r="L908" s="139"/>
      <c r="M908" s="139"/>
      <c r="N908" s="139"/>
      <c r="O908" s="139"/>
      <c r="P908" s="139"/>
      <c r="Q908" s="139"/>
      <c r="R908" s="139"/>
      <c r="S908" s="139"/>
      <c r="T908" s="139"/>
      <c r="U908" s="139"/>
      <c r="V908" s="139"/>
      <c r="W908" s="139"/>
      <c r="X908" s="139"/>
      <c r="Y908" s="139"/>
      <c r="Z908" s="139"/>
      <c r="AA908" s="139"/>
      <c r="AB908" s="139"/>
      <c r="AC908" s="139"/>
      <c r="AD908" s="139"/>
      <c r="AE908" s="139"/>
      <c r="AF908" s="139"/>
      <c r="AG908" s="139"/>
      <c r="AH908" s="139"/>
      <c r="AI908" s="139"/>
      <c r="AJ908" s="139"/>
    </row>
    <row r="909">
      <c r="A909" s="9"/>
      <c r="B909" s="139"/>
      <c r="C909" s="139"/>
      <c r="D909" s="139"/>
      <c r="E909" s="139"/>
      <c r="F909" s="139"/>
      <c r="G909" s="139"/>
      <c r="H909" s="139"/>
      <c r="I909" s="139"/>
      <c r="J909" s="139"/>
      <c r="K909" s="139"/>
      <c r="L909" s="139"/>
      <c r="M909" s="139"/>
      <c r="N909" s="139"/>
      <c r="O909" s="139"/>
      <c r="P909" s="139"/>
      <c r="Q909" s="139"/>
      <c r="R909" s="139"/>
      <c r="S909" s="139"/>
      <c r="T909" s="139"/>
      <c r="U909" s="139"/>
      <c r="V909" s="139"/>
      <c r="W909" s="139"/>
      <c r="X909" s="139"/>
      <c r="Y909" s="139"/>
      <c r="Z909" s="139"/>
      <c r="AA909" s="139"/>
      <c r="AB909" s="139"/>
      <c r="AC909" s="139"/>
      <c r="AD909" s="139"/>
      <c r="AE909" s="139"/>
      <c r="AF909" s="139"/>
      <c r="AG909" s="139"/>
      <c r="AH909" s="139"/>
      <c r="AI909" s="139"/>
      <c r="AJ909" s="139"/>
    </row>
    <row r="910">
      <c r="A910" s="9"/>
      <c r="B910" s="139"/>
      <c r="C910" s="139"/>
      <c r="D910" s="139"/>
      <c r="E910" s="139"/>
      <c r="F910" s="139"/>
      <c r="G910" s="139"/>
      <c r="H910" s="139"/>
      <c r="I910" s="139"/>
      <c r="J910" s="139"/>
      <c r="K910" s="139"/>
      <c r="L910" s="139"/>
      <c r="M910" s="139"/>
      <c r="N910" s="139"/>
      <c r="O910" s="139"/>
      <c r="P910" s="139"/>
      <c r="Q910" s="139"/>
      <c r="R910" s="139"/>
      <c r="S910" s="139"/>
      <c r="T910" s="139"/>
      <c r="U910" s="139"/>
      <c r="V910" s="139"/>
      <c r="W910" s="139"/>
      <c r="X910" s="139"/>
      <c r="Y910" s="139"/>
      <c r="Z910" s="139"/>
      <c r="AA910" s="139"/>
      <c r="AB910" s="139"/>
      <c r="AC910" s="139"/>
      <c r="AD910" s="139"/>
      <c r="AE910" s="139"/>
      <c r="AF910" s="139"/>
      <c r="AG910" s="139"/>
      <c r="AH910" s="139"/>
      <c r="AI910" s="139"/>
      <c r="AJ910" s="139"/>
    </row>
    <row r="911">
      <c r="A911" s="9"/>
      <c r="B911" s="139"/>
      <c r="C911" s="139"/>
      <c r="D911" s="139"/>
      <c r="E911" s="139"/>
      <c r="F911" s="139"/>
      <c r="G911" s="139"/>
      <c r="H911" s="139"/>
      <c r="I911" s="139"/>
      <c r="J911" s="139"/>
      <c r="K911" s="139"/>
      <c r="L911" s="139"/>
      <c r="M911" s="139"/>
      <c r="N911" s="139"/>
      <c r="O911" s="139"/>
      <c r="P911" s="139"/>
      <c r="Q911" s="139"/>
      <c r="R911" s="139"/>
      <c r="S911" s="139"/>
      <c r="T911" s="139"/>
      <c r="U911" s="139"/>
      <c r="V911" s="139"/>
      <c r="W911" s="139"/>
      <c r="X911" s="139"/>
      <c r="Y911" s="139"/>
      <c r="Z911" s="139"/>
      <c r="AA911" s="139"/>
      <c r="AB911" s="139"/>
      <c r="AC911" s="139"/>
      <c r="AD911" s="139"/>
      <c r="AE911" s="139"/>
      <c r="AF911" s="139"/>
      <c r="AG911" s="139"/>
      <c r="AH911" s="139"/>
      <c r="AI911" s="139"/>
      <c r="AJ911" s="139"/>
    </row>
    <row r="912">
      <c r="A912" s="9"/>
      <c r="B912" s="139"/>
      <c r="C912" s="139"/>
      <c r="D912" s="139"/>
      <c r="E912" s="139"/>
      <c r="F912" s="139"/>
      <c r="G912" s="139"/>
      <c r="H912" s="139"/>
      <c r="I912" s="139"/>
      <c r="J912" s="139"/>
      <c r="K912" s="139"/>
      <c r="L912" s="139"/>
      <c r="M912" s="139"/>
      <c r="N912" s="139"/>
      <c r="O912" s="139"/>
      <c r="P912" s="139"/>
      <c r="Q912" s="139"/>
      <c r="R912" s="139"/>
      <c r="S912" s="139"/>
      <c r="T912" s="139"/>
      <c r="U912" s="139"/>
      <c r="V912" s="139"/>
      <c r="W912" s="139"/>
      <c r="X912" s="139"/>
      <c r="Y912" s="139"/>
      <c r="Z912" s="139"/>
      <c r="AA912" s="139"/>
      <c r="AB912" s="139"/>
      <c r="AC912" s="139"/>
      <c r="AD912" s="139"/>
      <c r="AE912" s="139"/>
      <c r="AF912" s="139"/>
      <c r="AG912" s="139"/>
      <c r="AH912" s="139"/>
      <c r="AI912" s="139"/>
      <c r="AJ912" s="139"/>
    </row>
    <row r="913">
      <c r="A913" s="9"/>
      <c r="B913" s="139"/>
      <c r="C913" s="139"/>
      <c r="D913" s="139"/>
      <c r="E913" s="139"/>
      <c r="F913" s="139"/>
      <c r="G913" s="139"/>
      <c r="H913" s="139"/>
      <c r="I913" s="139"/>
      <c r="J913" s="139"/>
      <c r="K913" s="139"/>
      <c r="L913" s="139"/>
      <c r="M913" s="139"/>
      <c r="N913" s="139"/>
      <c r="O913" s="139"/>
      <c r="P913" s="139"/>
      <c r="Q913" s="139"/>
      <c r="R913" s="139"/>
      <c r="S913" s="139"/>
      <c r="T913" s="139"/>
      <c r="U913" s="139"/>
      <c r="V913" s="139"/>
      <c r="W913" s="139"/>
      <c r="X913" s="139"/>
      <c r="Y913" s="139"/>
      <c r="Z913" s="139"/>
      <c r="AA913" s="139"/>
      <c r="AB913" s="139"/>
      <c r="AC913" s="139"/>
      <c r="AD913" s="139"/>
      <c r="AE913" s="139"/>
      <c r="AF913" s="139"/>
      <c r="AG913" s="139"/>
      <c r="AH913" s="139"/>
      <c r="AI913" s="139"/>
      <c r="AJ913" s="139"/>
    </row>
    <row r="914">
      <c r="A914" s="9"/>
      <c r="B914" s="139"/>
      <c r="C914" s="139"/>
      <c r="D914" s="139"/>
      <c r="E914" s="139"/>
      <c r="F914" s="139"/>
      <c r="G914" s="139"/>
      <c r="H914" s="139"/>
      <c r="I914" s="139"/>
      <c r="J914" s="139"/>
      <c r="K914" s="139"/>
      <c r="L914" s="139"/>
      <c r="M914" s="139"/>
      <c r="N914" s="139"/>
      <c r="O914" s="139"/>
      <c r="P914" s="139"/>
      <c r="Q914" s="139"/>
      <c r="R914" s="139"/>
      <c r="S914" s="139"/>
      <c r="T914" s="139"/>
      <c r="U914" s="139"/>
      <c r="V914" s="139"/>
      <c r="W914" s="139"/>
      <c r="X914" s="139"/>
      <c r="Y914" s="139"/>
      <c r="Z914" s="139"/>
      <c r="AA914" s="139"/>
      <c r="AB914" s="139"/>
      <c r="AC914" s="139"/>
      <c r="AD914" s="139"/>
      <c r="AE914" s="139"/>
      <c r="AF914" s="139"/>
      <c r="AG914" s="139"/>
      <c r="AH914" s="139"/>
      <c r="AI914" s="139"/>
      <c r="AJ914" s="139"/>
    </row>
    <row r="915">
      <c r="A915" s="9"/>
      <c r="B915" s="139"/>
      <c r="C915" s="139"/>
      <c r="D915" s="139"/>
      <c r="E915" s="139"/>
      <c r="F915" s="139"/>
      <c r="G915" s="139"/>
      <c r="H915" s="139"/>
      <c r="I915" s="139"/>
      <c r="J915" s="139"/>
      <c r="K915" s="139"/>
      <c r="L915" s="139"/>
      <c r="M915" s="139"/>
      <c r="N915" s="139"/>
      <c r="O915" s="139"/>
      <c r="P915" s="139"/>
      <c r="Q915" s="139"/>
      <c r="R915" s="139"/>
      <c r="S915" s="139"/>
      <c r="T915" s="139"/>
      <c r="U915" s="139"/>
      <c r="V915" s="139"/>
      <c r="W915" s="139"/>
      <c r="X915" s="139"/>
      <c r="Y915" s="139"/>
      <c r="Z915" s="139"/>
      <c r="AA915" s="139"/>
      <c r="AB915" s="139"/>
      <c r="AC915" s="139"/>
      <c r="AD915" s="139"/>
      <c r="AE915" s="139"/>
      <c r="AF915" s="139"/>
      <c r="AG915" s="139"/>
      <c r="AH915" s="139"/>
      <c r="AI915" s="139"/>
      <c r="AJ915" s="139"/>
    </row>
    <row r="916">
      <c r="A916" s="9"/>
      <c r="B916" s="139"/>
      <c r="C916" s="139"/>
      <c r="D916" s="139"/>
      <c r="E916" s="139"/>
      <c r="F916" s="139"/>
      <c r="G916" s="139"/>
      <c r="H916" s="139"/>
      <c r="I916" s="139"/>
      <c r="J916" s="139"/>
      <c r="K916" s="139"/>
      <c r="L916" s="139"/>
      <c r="M916" s="139"/>
      <c r="N916" s="139"/>
      <c r="O916" s="139"/>
      <c r="P916" s="139"/>
      <c r="Q916" s="139"/>
      <c r="R916" s="139"/>
      <c r="S916" s="139"/>
      <c r="T916" s="139"/>
      <c r="U916" s="139"/>
      <c r="V916" s="139"/>
      <c r="W916" s="139"/>
      <c r="X916" s="139"/>
      <c r="Y916" s="139"/>
      <c r="Z916" s="139"/>
      <c r="AA916" s="139"/>
      <c r="AB916" s="139"/>
      <c r="AC916" s="139"/>
      <c r="AD916" s="139"/>
      <c r="AE916" s="139"/>
      <c r="AF916" s="139"/>
      <c r="AG916" s="139"/>
      <c r="AH916" s="139"/>
      <c r="AI916" s="139"/>
      <c r="AJ916" s="139"/>
    </row>
    <row r="917">
      <c r="A917" s="9"/>
      <c r="B917" s="139"/>
      <c r="C917" s="139"/>
      <c r="D917" s="139"/>
      <c r="E917" s="139"/>
      <c r="F917" s="139"/>
      <c r="G917" s="139"/>
      <c r="H917" s="139"/>
      <c r="I917" s="139"/>
      <c r="J917" s="139"/>
      <c r="K917" s="139"/>
      <c r="L917" s="139"/>
      <c r="M917" s="139"/>
      <c r="N917" s="139"/>
      <c r="O917" s="139"/>
      <c r="P917" s="139"/>
      <c r="Q917" s="139"/>
      <c r="R917" s="139"/>
      <c r="S917" s="139"/>
      <c r="T917" s="139"/>
      <c r="U917" s="139"/>
      <c r="V917" s="139"/>
      <c r="W917" s="139"/>
      <c r="X917" s="139"/>
      <c r="Y917" s="139"/>
      <c r="Z917" s="139"/>
      <c r="AA917" s="139"/>
      <c r="AB917" s="139"/>
      <c r="AC917" s="139"/>
      <c r="AD917" s="139"/>
      <c r="AE917" s="139"/>
      <c r="AF917" s="139"/>
      <c r="AG917" s="139"/>
      <c r="AH917" s="139"/>
      <c r="AI917" s="139"/>
      <c r="AJ917" s="139"/>
    </row>
    <row r="918">
      <c r="A918" s="9"/>
      <c r="B918" s="139"/>
      <c r="C918" s="139"/>
      <c r="D918" s="139"/>
      <c r="E918" s="139"/>
      <c r="F918" s="139"/>
      <c r="G918" s="139"/>
      <c r="H918" s="139"/>
      <c r="I918" s="139"/>
      <c r="J918" s="139"/>
      <c r="K918" s="139"/>
      <c r="L918" s="139"/>
      <c r="M918" s="139"/>
      <c r="N918" s="139"/>
      <c r="O918" s="139"/>
      <c r="P918" s="139"/>
      <c r="Q918" s="139"/>
      <c r="R918" s="139"/>
      <c r="S918" s="139"/>
      <c r="T918" s="139"/>
      <c r="U918" s="139"/>
      <c r="V918" s="139"/>
      <c r="W918" s="139"/>
      <c r="X918" s="139"/>
      <c r="Y918" s="139"/>
      <c r="Z918" s="139"/>
      <c r="AA918" s="139"/>
      <c r="AB918" s="139"/>
      <c r="AC918" s="139"/>
      <c r="AD918" s="139"/>
      <c r="AE918" s="139"/>
      <c r="AF918" s="139"/>
      <c r="AG918" s="139"/>
      <c r="AH918" s="139"/>
      <c r="AI918" s="139"/>
      <c r="AJ918" s="139"/>
    </row>
    <row r="919">
      <c r="A919" s="9"/>
      <c r="B919" s="139"/>
      <c r="C919" s="139"/>
      <c r="D919" s="139"/>
      <c r="E919" s="139"/>
      <c r="F919" s="139"/>
      <c r="G919" s="139"/>
      <c r="H919" s="139"/>
      <c r="I919" s="139"/>
      <c r="J919" s="139"/>
      <c r="K919" s="139"/>
      <c r="L919" s="139"/>
      <c r="M919" s="139"/>
      <c r="N919" s="139"/>
      <c r="O919" s="139"/>
      <c r="P919" s="139"/>
      <c r="Q919" s="139"/>
      <c r="R919" s="139"/>
      <c r="S919" s="139"/>
      <c r="T919" s="139"/>
      <c r="U919" s="139"/>
      <c r="V919" s="139"/>
      <c r="W919" s="139"/>
      <c r="X919" s="139"/>
      <c r="Y919" s="139"/>
      <c r="Z919" s="139"/>
      <c r="AA919" s="139"/>
      <c r="AB919" s="139"/>
      <c r="AC919" s="139"/>
      <c r="AD919" s="139"/>
      <c r="AE919" s="139"/>
      <c r="AF919" s="139"/>
      <c r="AG919" s="139"/>
      <c r="AH919" s="139"/>
      <c r="AI919" s="139"/>
      <c r="AJ919" s="139"/>
    </row>
    <row r="920">
      <c r="A920" s="9"/>
      <c r="B920" s="139"/>
      <c r="C920" s="139"/>
      <c r="D920" s="139"/>
      <c r="E920" s="139"/>
      <c r="F920" s="139"/>
      <c r="G920" s="139"/>
      <c r="H920" s="139"/>
      <c r="I920" s="139"/>
      <c r="J920" s="139"/>
      <c r="K920" s="139"/>
      <c r="L920" s="139"/>
      <c r="M920" s="139"/>
      <c r="N920" s="139"/>
      <c r="O920" s="139"/>
      <c r="P920" s="139"/>
      <c r="Q920" s="139"/>
      <c r="R920" s="139"/>
      <c r="S920" s="139"/>
      <c r="T920" s="139"/>
      <c r="U920" s="139"/>
      <c r="V920" s="139"/>
      <c r="W920" s="139"/>
      <c r="X920" s="139"/>
      <c r="Y920" s="139"/>
      <c r="Z920" s="139"/>
      <c r="AA920" s="139"/>
      <c r="AB920" s="139"/>
      <c r="AC920" s="139"/>
      <c r="AD920" s="139"/>
      <c r="AE920" s="139"/>
      <c r="AF920" s="139"/>
      <c r="AG920" s="139"/>
      <c r="AH920" s="139"/>
      <c r="AI920" s="139"/>
      <c r="AJ920" s="139"/>
    </row>
    <row r="921">
      <c r="A921" s="9"/>
      <c r="B921" s="139"/>
      <c r="C921" s="139"/>
      <c r="D921" s="139"/>
      <c r="E921" s="139"/>
      <c r="F921" s="139"/>
      <c r="G921" s="139"/>
      <c r="H921" s="139"/>
      <c r="I921" s="139"/>
      <c r="J921" s="139"/>
      <c r="K921" s="139"/>
      <c r="L921" s="139"/>
      <c r="M921" s="139"/>
      <c r="N921" s="139"/>
      <c r="O921" s="139"/>
      <c r="P921" s="139"/>
      <c r="Q921" s="139"/>
      <c r="R921" s="139"/>
      <c r="S921" s="139"/>
      <c r="T921" s="139"/>
      <c r="U921" s="139"/>
      <c r="V921" s="139"/>
      <c r="W921" s="139"/>
      <c r="X921" s="139"/>
      <c r="Y921" s="139"/>
      <c r="Z921" s="139"/>
      <c r="AA921" s="139"/>
      <c r="AB921" s="139"/>
      <c r="AC921" s="139"/>
      <c r="AD921" s="139"/>
      <c r="AE921" s="139"/>
      <c r="AF921" s="139"/>
      <c r="AG921" s="139"/>
      <c r="AH921" s="139"/>
      <c r="AI921" s="139"/>
      <c r="AJ921" s="139"/>
    </row>
    <row r="922">
      <c r="A922" s="9"/>
      <c r="B922" s="139"/>
      <c r="C922" s="139"/>
      <c r="D922" s="139"/>
      <c r="E922" s="139"/>
      <c r="F922" s="139"/>
      <c r="G922" s="139"/>
      <c r="H922" s="139"/>
      <c r="I922" s="139"/>
      <c r="J922" s="139"/>
      <c r="K922" s="139"/>
      <c r="L922" s="139"/>
      <c r="M922" s="139"/>
      <c r="N922" s="139"/>
      <c r="O922" s="139"/>
      <c r="P922" s="139"/>
      <c r="Q922" s="139"/>
      <c r="R922" s="139"/>
      <c r="S922" s="139"/>
      <c r="T922" s="139"/>
      <c r="U922" s="139"/>
      <c r="V922" s="139"/>
      <c r="W922" s="139"/>
      <c r="X922" s="139"/>
      <c r="Y922" s="139"/>
      <c r="Z922" s="139"/>
      <c r="AA922" s="139"/>
      <c r="AB922" s="139"/>
      <c r="AC922" s="139"/>
      <c r="AD922" s="139"/>
      <c r="AE922" s="139"/>
      <c r="AF922" s="139"/>
      <c r="AG922" s="139"/>
      <c r="AH922" s="139"/>
      <c r="AI922" s="139"/>
      <c r="AJ922" s="139"/>
    </row>
    <row r="923">
      <c r="A923" s="9"/>
      <c r="B923" s="139"/>
      <c r="C923" s="139"/>
      <c r="D923" s="139"/>
      <c r="E923" s="139"/>
      <c r="F923" s="139"/>
      <c r="G923" s="139"/>
      <c r="H923" s="139"/>
      <c r="I923" s="139"/>
      <c r="J923" s="139"/>
      <c r="K923" s="139"/>
      <c r="L923" s="139"/>
      <c r="M923" s="139"/>
      <c r="N923" s="139"/>
      <c r="O923" s="139"/>
      <c r="P923" s="139"/>
      <c r="Q923" s="139"/>
      <c r="R923" s="139"/>
      <c r="S923" s="139"/>
      <c r="T923" s="139"/>
      <c r="U923" s="139"/>
      <c r="V923" s="139"/>
      <c r="W923" s="139"/>
      <c r="X923" s="139"/>
      <c r="Y923" s="139"/>
      <c r="Z923" s="139"/>
      <c r="AA923" s="139"/>
      <c r="AB923" s="139"/>
      <c r="AC923" s="139"/>
      <c r="AD923" s="139"/>
      <c r="AE923" s="139"/>
      <c r="AF923" s="139"/>
      <c r="AG923" s="139"/>
      <c r="AH923" s="139"/>
      <c r="AI923" s="139"/>
      <c r="AJ923" s="139"/>
    </row>
    <row r="924">
      <c r="A924" s="9"/>
      <c r="B924" s="139"/>
      <c r="C924" s="139"/>
      <c r="D924" s="139"/>
      <c r="E924" s="139"/>
      <c r="F924" s="139"/>
      <c r="G924" s="139"/>
      <c r="H924" s="139"/>
      <c r="I924" s="139"/>
      <c r="J924" s="139"/>
      <c r="K924" s="139"/>
      <c r="L924" s="139"/>
      <c r="M924" s="139"/>
      <c r="N924" s="139"/>
      <c r="O924" s="139"/>
      <c r="P924" s="139"/>
      <c r="Q924" s="139"/>
      <c r="R924" s="139"/>
      <c r="S924" s="139"/>
      <c r="T924" s="139"/>
      <c r="U924" s="139"/>
      <c r="V924" s="139"/>
      <c r="W924" s="139"/>
      <c r="X924" s="139"/>
      <c r="Y924" s="139"/>
      <c r="Z924" s="139"/>
      <c r="AA924" s="139"/>
      <c r="AB924" s="139"/>
      <c r="AC924" s="139"/>
      <c r="AD924" s="139"/>
      <c r="AE924" s="139"/>
      <c r="AF924" s="139"/>
      <c r="AG924" s="139"/>
      <c r="AH924" s="139"/>
      <c r="AI924" s="139"/>
      <c r="AJ924" s="139"/>
    </row>
    <row r="925">
      <c r="A925" s="9"/>
      <c r="B925" s="139"/>
      <c r="C925" s="139"/>
      <c r="D925" s="139"/>
      <c r="E925" s="139"/>
      <c r="F925" s="139"/>
      <c r="G925" s="139"/>
      <c r="H925" s="139"/>
      <c r="I925" s="139"/>
      <c r="J925" s="139"/>
      <c r="K925" s="139"/>
      <c r="L925" s="139"/>
      <c r="M925" s="139"/>
      <c r="N925" s="139"/>
      <c r="O925" s="139"/>
      <c r="P925" s="139"/>
      <c r="Q925" s="139"/>
      <c r="R925" s="139"/>
      <c r="S925" s="139"/>
      <c r="T925" s="139"/>
      <c r="U925" s="139"/>
      <c r="V925" s="139"/>
      <c r="W925" s="139"/>
      <c r="X925" s="139"/>
      <c r="Y925" s="139"/>
      <c r="Z925" s="139"/>
      <c r="AA925" s="139"/>
      <c r="AB925" s="139"/>
      <c r="AC925" s="139"/>
      <c r="AD925" s="139"/>
      <c r="AE925" s="139"/>
      <c r="AF925" s="139"/>
      <c r="AG925" s="139"/>
      <c r="AH925" s="139"/>
      <c r="AI925" s="139"/>
      <c r="AJ925" s="139"/>
    </row>
    <row r="926">
      <c r="A926" s="9"/>
      <c r="B926" s="139"/>
      <c r="C926" s="139"/>
      <c r="D926" s="139"/>
      <c r="E926" s="139"/>
      <c r="F926" s="139"/>
      <c r="G926" s="139"/>
      <c r="H926" s="139"/>
      <c r="I926" s="139"/>
      <c r="J926" s="139"/>
      <c r="K926" s="139"/>
      <c r="L926" s="139"/>
      <c r="M926" s="139"/>
      <c r="N926" s="139"/>
      <c r="O926" s="139"/>
      <c r="P926" s="139"/>
      <c r="Q926" s="139"/>
      <c r="R926" s="139"/>
      <c r="S926" s="139"/>
      <c r="T926" s="139"/>
      <c r="U926" s="139"/>
      <c r="V926" s="139"/>
      <c r="W926" s="139"/>
      <c r="X926" s="139"/>
      <c r="Y926" s="139"/>
      <c r="Z926" s="139"/>
      <c r="AA926" s="139"/>
      <c r="AB926" s="139"/>
      <c r="AC926" s="139"/>
      <c r="AD926" s="139"/>
      <c r="AE926" s="139"/>
      <c r="AF926" s="139"/>
      <c r="AG926" s="139"/>
      <c r="AH926" s="139"/>
      <c r="AI926" s="139"/>
      <c r="AJ926" s="139"/>
    </row>
    <row r="927">
      <c r="A927" s="9"/>
      <c r="B927" s="139"/>
      <c r="C927" s="139"/>
      <c r="D927" s="139"/>
      <c r="E927" s="139"/>
      <c r="F927" s="139"/>
      <c r="G927" s="139"/>
      <c r="H927" s="139"/>
      <c r="I927" s="139"/>
      <c r="J927" s="139"/>
      <c r="K927" s="139"/>
      <c r="L927" s="139"/>
      <c r="M927" s="139"/>
      <c r="N927" s="139"/>
      <c r="O927" s="139"/>
      <c r="P927" s="139"/>
      <c r="Q927" s="139"/>
      <c r="R927" s="139"/>
      <c r="S927" s="139"/>
      <c r="T927" s="139"/>
      <c r="U927" s="139"/>
      <c r="V927" s="139"/>
      <c r="W927" s="139"/>
      <c r="X927" s="139"/>
      <c r="Y927" s="139"/>
      <c r="Z927" s="139"/>
      <c r="AA927" s="139"/>
      <c r="AB927" s="139"/>
      <c r="AC927" s="139"/>
      <c r="AD927" s="139"/>
      <c r="AE927" s="139"/>
      <c r="AF927" s="139"/>
      <c r="AG927" s="139"/>
      <c r="AH927" s="139"/>
      <c r="AI927" s="139"/>
      <c r="AJ927" s="139"/>
    </row>
    <row r="928">
      <c r="A928" s="9"/>
      <c r="B928" s="139"/>
      <c r="C928" s="139"/>
      <c r="D928" s="139"/>
      <c r="E928" s="139"/>
      <c r="F928" s="139"/>
      <c r="G928" s="139"/>
      <c r="H928" s="139"/>
      <c r="I928" s="139"/>
      <c r="J928" s="139"/>
      <c r="K928" s="139"/>
      <c r="L928" s="139"/>
      <c r="M928" s="139"/>
      <c r="N928" s="139"/>
      <c r="O928" s="139"/>
      <c r="P928" s="139"/>
      <c r="Q928" s="139"/>
      <c r="R928" s="139"/>
      <c r="S928" s="139"/>
      <c r="T928" s="139"/>
      <c r="U928" s="139"/>
      <c r="V928" s="139"/>
      <c r="W928" s="139"/>
      <c r="X928" s="139"/>
      <c r="Y928" s="139"/>
      <c r="Z928" s="139"/>
      <c r="AA928" s="139"/>
      <c r="AB928" s="139"/>
      <c r="AC928" s="139"/>
      <c r="AD928" s="139"/>
      <c r="AE928" s="139"/>
      <c r="AF928" s="139"/>
      <c r="AG928" s="139"/>
      <c r="AH928" s="139"/>
      <c r="AI928" s="139"/>
      <c r="AJ928" s="139"/>
    </row>
    <row r="929">
      <c r="A929" s="9"/>
      <c r="B929" s="139"/>
      <c r="C929" s="139"/>
      <c r="D929" s="139"/>
      <c r="E929" s="139"/>
      <c r="F929" s="139"/>
      <c r="G929" s="139"/>
      <c r="H929" s="139"/>
      <c r="I929" s="139"/>
      <c r="J929" s="139"/>
      <c r="K929" s="139"/>
      <c r="L929" s="139"/>
      <c r="M929" s="139"/>
      <c r="N929" s="139"/>
      <c r="O929" s="139"/>
      <c r="P929" s="139"/>
      <c r="Q929" s="139"/>
      <c r="R929" s="139"/>
      <c r="S929" s="139"/>
      <c r="T929" s="139"/>
      <c r="U929" s="139"/>
      <c r="V929" s="139"/>
      <c r="W929" s="139"/>
      <c r="X929" s="139"/>
      <c r="Y929" s="139"/>
      <c r="Z929" s="139"/>
      <c r="AA929" s="139"/>
      <c r="AB929" s="139"/>
      <c r="AC929" s="139"/>
      <c r="AD929" s="139"/>
      <c r="AE929" s="139"/>
      <c r="AF929" s="139"/>
      <c r="AG929" s="139"/>
      <c r="AH929" s="139"/>
      <c r="AI929" s="139"/>
      <c r="AJ929" s="139"/>
    </row>
    <row r="930">
      <c r="A930" s="9"/>
      <c r="B930" s="139"/>
      <c r="C930" s="139"/>
      <c r="D930" s="139"/>
      <c r="E930" s="139"/>
      <c r="F930" s="139"/>
      <c r="G930" s="139"/>
      <c r="H930" s="139"/>
      <c r="I930" s="139"/>
      <c r="J930" s="139"/>
      <c r="K930" s="139"/>
      <c r="L930" s="139"/>
      <c r="M930" s="139"/>
      <c r="N930" s="139"/>
      <c r="O930" s="139"/>
      <c r="P930" s="139"/>
      <c r="Q930" s="139"/>
      <c r="R930" s="139"/>
      <c r="S930" s="139"/>
      <c r="T930" s="139"/>
      <c r="U930" s="139"/>
      <c r="V930" s="139"/>
      <c r="W930" s="139"/>
      <c r="X930" s="139"/>
      <c r="Y930" s="139"/>
      <c r="Z930" s="139"/>
      <c r="AA930" s="139"/>
      <c r="AB930" s="139"/>
      <c r="AC930" s="139"/>
      <c r="AD930" s="139"/>
      <c r="AE930" s="139"/>
      <c r="AF930" s="139"/>
      <c r="AG930" s="139"/>
      <c r="AH930" s="139"/>
      <c r="AI930" s="139"/>
      <c r="AJ930" s="139"/>
    </row>
    <row r="931">
      <c r="A931" s="9"/>
      <c r="B931" s="139"/>
      <c r="C931" s="139"/>
      <c r="D931" s="139"/>
      <c r="E931" s="139"/>
      <c r="F931" s="139"/>
      <c r="G931" s="139"/>
      <c r="H931" s="139"/>
      <c r="I931" s="139"/>
      <c r="J931" s="139"/>
      <c r="K931" s="139"/>
      <c r="L931" s="139"/>
      <c r="M931" s="139"/>
      <c r="N931" s="139"/>
      <c r="O931" s="139"/>
      <c r="P931" s="139"/>
      <c r="Q931" s="139"/>
      <c r="R931" s="139"/>
      <c r="S931" s="139"/>
      <c r="T931" s="139"/>
      <c r="U931" s="139"/>
      <c r="V931" s="139"/>
      <c r="W931" s="139"/>
      <c r="X931" s="139"/>
      <c r="Y931" s="139"/>
      <c r="Z931" s="139"/>
      <c r="AA931" s="139"/>
      <c r="AB931" s="139"/>
      <c r="AC931" s="139"/>
      <c r="AD931" s="139"/>
      <c r="AE931" s="139"/>
      <c r="AF931" s="139"/>
      <c r="AG931" s="139"/>
      <c r="AH931" s="139"/>
      <c r="AI931" s="139"/>
      <c r="AJ931" s="139"/>
    </row>
    <row r="932">
      <c r="A932" s="9"/>
      <c r="B932" s="139"/>
      <c r="C932" s="139"/>
      <c r="D932" s="139"/>
      <c r="E932" s="139"/>
      <c r="F932" s="139"/>
      <c r="G932" s="139"/>
      <c r="H932" s="139"/>
      <c r="I932" s="139"/>
      <c r="J932" s="139"/>
      <c r="K932" s="139"/>
      <c r="L932" s="139"/>
      <c r="M932" s="139"/>
      <c r="N932" s="139"/>
      <c r="O932" s="139"/>
      <c r="P932" s="139"/>
      <c r="Q932" s="139"/>
      <c r="R932" s="139"/>
      <c r="S932" s="139"/>
      <c r="T932" s="139"/>
      <c r="U932" s="139"/>
      <c r="V932" s="139"/>
      <c r="W932" s="139"/>
      <c r="X932" s="139"/>
      <c r="Y932" s="139"/>
      <c r="Z932" s="139"/>
      <c r="AA932" s="139"/>
      <c r="AB932" s="139"/>
      <c r="AC932" s="139"/>
      <c r="AD932" s="139"/>
      <c r="AE932" s="139"/>
      <c r="AF932" s="139"/>
      <c r="AG932" s="139"/>
      <c r="AH932" s="139"/>
      <c r="AI932" s="139"/>
      <c r="AJ932" s="139"/>
    </row>
    <row r="933">
      <c r="A933" s="9"/>
      <c r="B933" s="139"/>
      <c r="C933" s="139"/>
      <c r="D933" s="139"/>
      <c r="E933" s="139"/>
      <c r="F933" s="139"/>
      <c r="G933" s="139"/>
      <c r="H933" s="139"/>
      <c r="I933" s="139"/>
      <c r="J933" s="139"/>
      <c r="K933" s="139"/>
      <c r="L933" s="139"/>
      <c r="M933" s="139"/>
      <c r="N933" s="139"/>
      <c r="O933" s="139"/>
      <c r="P933" s="139"/>
      <c r="Q933" s="139"/>
      <c r="R933" s="139"/>
      <c r="S933" s="139"/>
      <c r="T933" s="139"/>
      <c r="U933" s="139"/>
      <c r="V933" s="139"/>
      <c r="W933" s="139"/>
      <c r="X933" s="139"/>
      <c r="Y933" s="139"/>
      <c r="Z933" s="139"/>
      <c r="AA933" s="139"/>
      <c r="AB933" s="139"/>
      <c r="AC933" s="139"/>
      <c r="AD933" s="139"/>
      <c r="AE933" s="139"/>
      <c r="AF933" s="139"/>
      <c r="AG933" s="139"/>
      <c r="AH933" s="139"/>
      <c r="AI933" s="139"/>
      <c r="AJ933" s="139"/>
    </row>
    <row r="934">
      <c r="A934" s="9"/>
      <c r="B934" s="139"/>
      <c r="C934" s="139"/>
      <c r="D934" s="139"/>
      <c r="E934" s="139"/>
      <c r="F934" s="139"/>
      <c r="G934" s="139"/>
      <c r="H934" s="139"/>
      <c r="I934" s="139"/>
      <c r="J934" s="139"/>
      <c r="K934" s="139"/>
      <c r="L934" s="139"/>
      <c r="M934" s="139"/>
      <c r="N934" s="139"/>
      <c r="O934" s="139"/>
      <c r="P934" s="139"/>
      <c r="Q934" s="139"/>
      <c r="R934" s="139"/>
      <c r="S934" s="139"/>
      <c r="T934" s="139"/>
      <c r="U934" s="139"/>
      <c r="V934" s="139"/>
      <c r="W934" s="139"/>
      <c r="X934" s="139"/>
      <c r="Y934" s="139"/>
      <c r="Z934" s="139"/>
      <c r="AA934" s="139"/>
      <c r="AB934" s="139"/>
      <c r="AC934" s="139"/>
      <c r="AD934" s="139"/>
      <c r="AE934" s="139"/>
      <c r="AF934" s="139"/>
      <c r="AG934" s="139"/>
      <c r="AH934" s="139"/>
      <c r="AI934" s="139"/>
      <c r="AJ934" s="139"/>
    </row>
    <row r="935">
      <c r="A935" s="9"/>
      <c r="B935" s="139"/>
      <c r="C935" s="139"/>
      <c r="D935" s="139"/>
      <c r="E935" s="139"/>
      <c r="F935" s="139"/>
      <c r="G935" s="139"/>
      <c r="H935" s="139"/>
      <c r="I935" s="139"/>
      <c r="J935" s="139"/>
      <c r="K935" s="139"/>
      <c r="L935" s="139"/>
      <c r="M935" s="139"/>
      <c r="N935" s="139"/>
      <c r="O935" s="139"/>
      <c r="P935" s="139"/>
      <c r="Q935" s="139"/>
      <c r="R935" s="139"/>
      <c r="S935" s="139"/>
      <c r="T935" s="139"/>
      <c r="U935" s="139"/>
      <c r="V935" s="139"/>
      <c r="W935" s="139"/>
      <c r="X935" s="139"/>
      <c r="Y935" s="139"/>
      <c r="Z935" s="139"/>
      <c r="AA935" s="139"/>
      <c r="AB935" s="139"/>
      <c r="AC935" s="139"/>
      <c r="AD935" s="139"/>
      <c r="AE935" s="139"/>
      <c r="AF935" s="139"/>
      <c r="AG935" s="139"/>
      <c r="AH935" s="139"/>
      <c r="AI935" s="139"/>
      <c r="AJ935" s="139"/>
    </row>
    <row r="936">
      <c r="A936" s="9"/>
      <c r="B936" s="139"/>
      <c r="C936" s="139"/>
      <c r="D936" s="139"/>
      <c r="E936" s="139"/>
      <c r="F936" s="139"/>
      <c r="G936" s="139"/>
      <c r="H936" s="139"/>
      <c r="I936" s="139"/>
      <c r="J936" s="139"/>
      <c r="K936" s="139"/>
      <c r="L936" s="139"/>
      <c r="M936" s="139"/>
      <c r="N936" s="139"/>
      <c r="O936" s="139"/>
      <c r="P936" s="139"/>
      <c r="Q936" s="139"/>
      <c r="R936" s="139"/>
      <c r="S936" s="139"/>
      <c r="T936" s="139"/>
      <c r="U936" s="139"/>
      <c r="V936" s="139"/>
      <c r="W936" s="139"/>
      <c r="X936" s="139"/>
      <c r="Y936" s="139"/>
      <c r="Z936" s="139"/>
      <c r="AA936" s="139"/>
      <c r="AB936" s="139"/>
      <c r="AC936" s="139"/>
      <c r="AD936" s="139"/>
      <c r="AE936" s="139"/>
      <c r="AF936" s="139"/>
      <c r="AG936" s="139"/>
      <c r="AH936" s="139"/>
      <c r="AI936" s="139"/>
      <c r="AJ936" s="139"/>
    </row>
    <row r="937">
      <c r="A937" s="9"/>
      <c r="B937" s="139"/>
      <c r="C937" s="139"/>
      <c r="D937" s="139"/>
      <c r="E937" s="139"/>
      <c r="F937" s="139"/>
      <c r="G937" s="139"/>
      <c r="H937" s="139"/>
      <c r="I937" s="139"/>
      <c r="J937" s="139"/>
      <c r="K937" s="139"/>
      <c r="L937" s="139"/>
      <c r="M937" s="139"/>
      <c r="N937" s="139"/>
      <c r="O937" s="139"/>
      <c r="P937" s="139"/>
      <c r="Q937" s="139"/>
      <c r="R937" s="139"/>
      <c r="S937" s="139"/>
      <c r="T937" s="139"/>
      <c r="U937" s="139"/>
      <c r="V937" s="139"/>
      <c r="W937" s="139"/>
      <c r="X937" s="139"/>
      <c r="Y937" s="139"/>
      <c r="Z937" s="139"/>
      <c r="AA937" s="139"/>
      <c r="AB937" s="139"/>
      <c r="AC937" s="139"/>
      <c r="AD937" s="139"/>
      <c r="AE937" s="139"/>
      <c r="AF937" s="139"/>
      <c r="AG937" s="139"/>
      <c r="AH937" s="139"/>
      <c r="AI937" s="139"/>
      <c r="AJ937" s="139"/>
    </row>
    <row r="938">
      <c r="A938" s="9"/>
      <c r="B938" s="139"/>
      <c r="C938" s="139"/>
      <c r="D938" s="139"/>
      <c r="E938" s="139"/>
      <c r="F938" s="139"/>
      <c r="G938" s="139"/>
      <c r="H938" s="139"/>
      <c r="I938" s="139"/>
      <c r="J938" s="139"/>
      <c r="K938" s="139"/>
      <c r="L938" s="139"/>
      <c r="M938" s="139"/>
      <c r="N938" s="139"/>
      <c r="O938" s="139"/>
      <c r="P938" s="139"/>
      <c r="Q938" s="139"/>
      <c r="R938" s="139"/>
      <c r="S938" s="139"/>
      <c r="T938" s="139"/>
      <c r="U938" s="139"/>
      <c r="V938" s="139"/>
      <c r="W938" s="139"/>
      <c r="X938" s="139"/>
      <c r="Y938" s="139"/>
      <c r="Z938" s="139"/>
      <c r="AA938" s="139"/>
      <c r="AB938" s="139"/>
      <c r="AC938" s="139"/>
      <c r="AD938" s="139"/>
      <c r="AE938" s="139"/>
      <c r="AF938" s="139"/>
      <c r="AG938" s="139"/>
      <c r="AH938" s="139"/>
      <c r="AI938" s="139"/>
      <c r="AJ938" s="139"/>
    </row>
    <row r="939">
      <c r="A939" s="9"/>
      <c r="B939" s="139"/>
      <c r="C939" s="139"/>
      <c r="D939" s="139"/>
      <c r="E939" s="139"/>
      <c r="F939" s="139"/>
      <c r="G939" s="139"/>
      <c r="H939" s="139"/>
      <c r="I939" s="139"/>
      <c r="J939" s="139"/>
      <c r="K939" s="139"/>
      <c r="L939" s="139"/>
      <c r="M939" s="139"/>
      <c r="N939" s="139"/>
      <c r="O939" s="139"/>
      <c r="P939" s="139"/>
      <c r="Q939" s="139"/>
      <c r="R939" s="139"/>
      <c r="S939" s="139"/>
      <c r="T939" s="139"/>
      <c r="U939" s="139"/>
      <c r="V939" s="139"/>
      <c r="W939" s="139"/>
      <c r="X939" s="139"/>
      <c r="Y939" s="139"/>
      <c r="Z939" s="139"/>
      <c r="AA939" s="139"/>
      <c r="AB939" s="139"/>
      <c r="AC939" s="139"/>
      <c r="AD939" s="139"/>
      <c r="AE939" s="139"/>
      <c r="AF939" s="139"/>
      <c r="AG939" s="139"/>
      <c r="AH939" s="139"/>
      <c r="AI939" s="139"/>
      <c r="AJ939" s="139"/>
    </row>
    <row r="940">
      <c r="A940" s="9"/>
      <c r="B940" s="139"/>
      <c r="C940" s="139"/>
      <c r="D940" s="139"/>
      <c r="E940" s="139"/>
      <c r="F940" s="139"/>
      <c r="G940" s="139"/>
      <c r="H940" s="139"/>
      <c r="I940" s="139"/>
      <c r="J940" s="139"/>
      <c r="K940" s="139"/>
      <c r="L940" s="139"/>
      <c r="M940" s="139"/>
      <c r="N940" s="139"/>
      <c r="O940" s="139"/>
      <c r="P940" s="139"/>
      <c r="Q940" s="139"/>
      <c r="R940" s="139"/>
      <c r="S940" s="139"/>
      <c r="T940" s="139"/>
      <c r="U940" s="139"/>
      <c r="V940" s="139"/>
      <c r="W940" s="139"/>
      <c r="X940" s="139"/>
      <c r="Y940" s="139"/>
      <c r="Z940" s="139"/>
      <c r="AA940" s="139"/>
      <c r="AB940" s="139"/>
      <c r="AC940" s="139"/>
      <c r="AD940" s="139"/>
      <c r="AE940" s="139"/>
      <c r="AF940" s="139"/>
      <c r="AG940" s="139"/>
      <c r="AH940" s="139"/>
      <c r="AI940" s="139"/>
      <c r="AJ940" s="139"/>
    </row>
    <row r="941">
      <c r="A941" s="9"/>
      <c r="B941" s="139"/>
      <c r="C941" s="139"/>
      <c r="D941" s="139"/>
      <c r="E941" s="139"/>
      <c r="F941" s="139"/>
      <c r="G941" s="139"/>
      <c r="H941" s="139"/>
      <c r="I941" s="139"/>
      <c r="J941" s="139"/>
      <c r="K941" s="139"/>
      <c r="L941" s="139"/>
      <c r="M941" s="139"/>
      <c r="N941" s="139"/>
      <c r="O941" s="139"/>
      <c r="P941" s="139"/>
      <c r="Q941" s="139"/>
      <c r="R941" s="139"/>
      <c r="S941" s="139"/>
      <c r="T941" s="139"/>
      <c r="U941" s="139"/>
      <c r="V941" s="139"/>
      <c r="W941" s="139"/>
      <c r="X941" s="139"/>
      <c r="Y941" s="139"/>
      <c r="Z941" s="139"/>
      <c r="AA941" s="139"/>
      <c r="AB941" s="139"/>
      <c r="AC941" s="139"/>
      <c r="AD941" s="139"/>
      <c r="AE941" s="139"/>
      <c r="AF941" s="139"/>
      <c r="AG941" s="139"/>
      <c r="AH941" s="139"/>
      <c r="AI941" s="139"/>
      <c r="AJ941" s="139"/>
    </row>
    <row r="942">
      <c r="A942" s="9"/>
      <c r="B942" s="139"/>
      <c r="C942" s="139"/>
      <c r="D942" s="139"/>
      <c r="E942" s="139"/>
      <c r="F942" s="139"/>
      <c r="G942" s="139"/>
      <c r="H942" s="139"/>
      <c r="I942" s="139"/>
      <c r="J942" s="139"/>
      <c r="K942" s="139"/>
      <c r="L942" s="139"/>
      <c r="M942" s="139"/>
      <c r="N942" s="139"/>
      <c r="O942" s="139"/>
      <c r="P942" s="139"/>
      <c r="Q942" s="139"/>
      <c r="R942" s="139"/>
      <c r="S942" s="139"/>
      <c r="T942" s="139"/>
      <c r="U942" s="139"/>
      <c r="V942" s="139"/>
      <c r="W942" s="139"/>
      <c r="X942" s="139"/>
      <c r="Y942" s="139"/>
      <c r="Z942" s="139"/>
      <c r="AA942" s="139"/>
      <c r="AB942" s="139"/>
      <c r="AC942" s="139"/>
      <c r="AD942" s="139"/>
      <c r="AE942" s="139"/>
      <c r="AF942" s="139"/>
      <c r="AG942" s="139"/>
      <c r="AH942" s="139"/>
      <c r="AI942" s="139"/>
      <c r="AJ942" s="139"/>
    </row>
    <row r="943">
      <c r="A943" s="9"/>
      <c r="B943" s="139"/>
      <c r="C943" s="139"/>
      <c r="D943" s="139"/>
      <c r="E943" s="139"/>
      <c r="F943" s="139"/>
      <c r="G943" s="139"/>
      <c r="H943" s="139"/>
      <c r="I943" s="139"/>
      <c r="J943" s="139"/>
      <c r="K943" s="139"/>
      <c r="L943" s="139"/>
      <c r="M943" s="139"/>
      <c r="N943" s="139"/>
      <c r="O943" s="139"/>
      <c r="P943" s="139"/>
      <c r="Q943" s="139"/>
      <c r="R943" s="139"/>
      <c r="S943" s="139"/>
      <c r="T943" s="139"/>
      <c r="U943" s="139"/>
      <c r="V943" s="139"/>
      <c r="W943" s="139"/>
      <c r="X943" s="139"/>
      <c r="Y943" s="139"/>
      <c r="Z943" s="139"/>
      <c r="AA943" s="139"/>
      <c r="AB943" s="139"/>
      <c r="AC943" s="139"/>
      <c r="AD943" s="139"/>
      <c r="AE943" s="139"/>
      <c r="AF943" s="139"/>
      <c r="AG943" s="139"/>
      <c r="AH943" s="139"/>
      <c r="AI943" s="139"/>
      <c r="AJ943" s="139"/>
    </row>
    <row r="944">
      <c r="A944" s="9"/>
      <c r="B944" s="139"/>
      <c r="C944" s="139"/>
      <c r="D944" s="139"/>
      <c r="E944" s="139"/>
      <c r="F944" s="139"/>
      <c r="G944" s="139"/>
      <c r="H944" s="139"/>
      <c r="I944" s="139"/>
      <c r="J944" s="139"/>
      <c r="K944" s="139"/>
      <c r="L944" s="139"/>
      <c r="M944" s="139"/>
      <c r="N944" s="139"/>
      <c r="O944" s="139"/>
      <c r="P944" s="139"/>
      <c r="Q944" s="139"/>
      <c r="R944" s="139"/>
      <c r="S944" s="139"/>
      <c r="T944" s="139"/>
      <c r="U944" s="139"/>
      <c r="V944" s="139"/>
      <c r="W944" s="139"/>
      <c r="X944" s="139"/>
      <c r="Y944" s="139"/>
      <c r="Z944" s="139"/>
      <c r="AA944" s="139"/>
      <c r="AB944" s="139"/>
      <c r="AC944" s="139"/>
      <c r="AD944" s="139"/>
      <c r="AE944" s="139"/>
      <c r="AF944" s="139"/>
      <c r="AG944" s="139"/>
      <c r="AH944" s="139"/>
      <c r="AI944" s="139"/>
      <c r="AJ944" s="139"/>
    </row>
    <row r="945">
      <c r="A945" s="9"/>
      <c r="B945" s="139"/>
      <c r="C945" s="139"/>
      <c r="D945" s="139"/>
      <c r="E945" s="139"/>
      <c r="F945" s="139"/>
      <c r="G945" s="139"/>
      <c r="H945" s="139"/>
      <c r="I945" s="139"/>
      <c r="J945" s="139"/>
      <c r="K945" s="139"/>
      <c r="L945" s="139"/>
      <c r="M945" s="139"/>
      <c r="N945" s="139"/>
      <c r="O945" s="139"/>
      <c r="P945" s="139"/>
      <c r="Q945" s="139"/>
      <c r="R945" s="139"/>
      <c r="S945" s="139"/>
      <c r="T945" s="139"/>
      <c r="U945" s="139"/>
      <c r="V945" s="139"/>
      <c r="W945" s="139"/>
      <c r="X945" s="139"/>
      <c r="Y945" s="139"/>
      <c r="Z945" s="139"/>
      <c r="AA945" s="139"/>
      <c r="AB945" s="139"/>
      <c r="AC945" s="139"/>
      <c r="AD945" s="139"/>
      <c r="AE945" s="139"/>
      <c r="AF945" s="139"/>
      <c r="AG945" s="139"/>
      <c r="AH945" s="139"/>
      <c r="AI945" s="139"/>
      <c r="AJ945" s="139"/>
    </row>
    <row r="946">
      <c r="A946" s="9"/>
      <c r="B946" s="139"/>
      <c r="C946" s="139"/>
      <c r="D946" s="139"/>
      <c r="E946" s="139"/>
      <c r="F946" s="139"/>
      <c r="G946" s="139"/>
      <c r="H946" s="139"/>
      <c r="I946" s="139"/>
      <c r="J946" s="139"/>
      <c r="K946" s="139"/>
      <c r="L946" s="139"/>
      <c r="M946" s="139"/>
      <c r="N946" s="139"/>
      <c r="O946" s="139"/>
      <c r="P946" s="139"/>
      <c r="Q946" s="139"/>
      <c r="R946" s="139"/>
      <c r="S946" s="139"/>
      <c r="T946" s="139"/>
      <c r="U946" s="139"/>
      <c r="V946" s="139"/>
      <c r="W946" s="139"/>
      <c r="X946" s="139"/>
      <c r="Y946" s="139"/>
      <c r="Z946" s="139"/>
      <c r="AA946" s="139"/>
      <c r="AB946" s="139"/>
      <c r="AC946" s="139"/>
      <c r="AD946" s="139"/>
      <c r="AE946" s="139"/>
      <c r="AF946" s="139"/>
      <c r="AG946" s="139"/>
      <c r="AH946" s="139"/>
      <c r="AI946" s="139"/>
      <c r="AJ946" s="139"/>
    </row>
    <row r="947">
      <c r="A947" s="9"/>
      <c r="B947" s="139"/>
      <c r="C947" s="139"/>
      <c r="D947" s="139"/>
      <c r="E947" s="139"/>
      <c r="F947" s="139"/>
      <c r="G947" s="139"/>
      <c r="H947" s="139"/>
      <c r="I947" s="139"/>
      <c r="J947" s="139"/>
      <c r="K947" s="139"/>
      <c r="L947" s="139"/>
      <c r="M947" s="139"/>
      <c r="N947" s="139"/>
      <c r="O947" s="139"/>
      <c r="P947" s="139"/>
      <c r="Q947" s="139"/>
      <c r="R947" s="139"/>
      <c r="S947" s="139"/>
      <c r="T947" s="139"/>
      <c r="U947" s="139"/>
      <c r="V947" s="139"/>
      <c r="W947" s="139"/>
      <c r="X947" s="139"/>
      <c r="Y947" s="139"/>
      <c r="Z947" s="139"/>
      <c r="AA947" s="139"/>
      <c r="AB947" s="139"/>
      <c r="AC947" s="139"/>
      <c r="AD947" s="139"/>
      <c r="AE947" s="139"/>
      <c r="AF947" s="139"/>
      <c r="AG947" s="139"/>
      <c r="AH947" s="139"/>
      <c r="AI947" s="139"/>
      <c r="AJ947" s="139"/>
    </row>
    <row r="948">
      <c r="A948" s="9"/>
      <c r="B948" s="139"/>
      <c r="C948" s="139"/>
      <c r="D948" s="139"/>
      <c r="E948" s="139"/>
      <c r="F948" s="139"/>
      <c r="G948" s="139"/>
      <c r="H948" s="139"/>
      <c r="I948" s="139"/>
      <c r="J948" s="139"/>
      <c r="K948" s="139"/>
      <c r="L948" s="139"/>
      <c r="M948" s="139"/>
      <c r="N948" s="139"/>
      <c r="O948" s="139"/>
      <c r="P948" s="139"/>
      <c r="Q948" s="139"/>
      <c r="R948" s="139"/>
      <c r="S948" s="139"/>
      <c r="T948" s="139"/>
      <c r="U948" s="139"/>
      <c r="V948" s="139"/>
      <c r="W948" s="139"/>
      <c r="X948" s="139"/>
      <c r="Y948" s="139"/>
      <c r="Z948" s="139"/>
      <c r="AA948" s="139"/>
      <c r="AB948" s="139"/>
      <c r="AC948" s="139"/>
      <c r="AD948" s="139"/>
      <c r="AE948" s="139"/>
      <c r="AF948" s="139"/>
      <c r="AG948" s="139"/>
      <c r="AH948" s="139"/>
      <c r="AI948" s="139"/>
      <c r="AJ948" s="139"/>
    </row>
    <row r="949">
      <c r="A949" s="9"/>
      <c r="B949" s="139"/>
      <c r="C949" s="139"/>
      <c r="D949" s="139"/>
      <c r="E949" s="139"/>
      <c r="F949" s="139"/>
      <c r="G949" s="139"/>
      <c r="H949" s="139"/>
      <c r="I949" s="139"/>
      <c r="J949" s="139"/>
      <c r="K949" s="139"/>
      <c r="L949" s="139"/>
      <c r="M949" s="139"/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  <c r="AA949" s="139"/>
      <c r="AB949" s="139"/>
      <c r="AC949" s="139"/>
      <c r="AD949" s="139"/>
      <c r="AE949" s="139"/>
      <c r="AF949" s="139"/>
      <c r="AG949" s="139"/>
      <c r="AH949" s="139"/>
      <c r="AI949" s="139"/>
      <c r="AJ949" s="139"/>
    </row>
    <row r="950">
      <c r="A950" s="9"/>
      <c r="B950" s="139"/>
      <c r="C950" s="139"/>
      <c r="D950" s="139"/>
      <c r="E950" s="139"/>
      <c r="F950" s="139"/>
      <c r="G950" s="139"/>
      <c r="H950" s="139"/>
      <c r="I950" s="139"/>
      <c r="J950" s="139"/>
      <c r="K950" s="139"/>
      <c r="L950" s="139"/>
      <c r="M950" s="139"/>
      <c r="N950" s="139"/>
      <c r="O950" s="139"/>
      <c r="P950" s="139"/>
      <c r="Q950" s="139"/>
      <c r="R950" s="139"/>
      <c r="S950" s="139"/>
      <c r="T950" s="139"/>
      <c r="U950" s="139"/>
      <c r="V950" s="139"/>
      <c r="W950" s="139"/>
      <c r="X950" s="139"/>
      <c r="Y950" s="139"/>
      <c r="Z950" s="139"/>
      <c r="AA950" s="139"/>
      <c r="AB950" s="139"/>
      <c r="AC950" s="139"/>
      <c r="AD950" s="139"/>
      <c r="AE950" s="139"/>
      <c r="AF950" s="139"/>
      <c r="AG950" s="139"/>
      <c r="AH950" s="139"/>
      <c r="AI950" s="139"/>
      <c r="AJ950" s="139"/>
    </row>
    <row r="951">
      <c r="A951" s="9"/>
      <c r="B951" s="139"/>
      <c r="C951" s="139"/>
      <c r="D951" s="139"/>
      <c r="E951" s="139"/>
      <c r="F951" s="139"/>
      <c r="G951" s="139"/>
      <c r="H951" s="139"/>
      <c r="I951" s="139"/>
      <c r="J951" s="139"/>
      <c r="K951" s="139"/>
      <c r="L951" s="139"/>
      <c r="M951" s="139"/>
      <c r="N951" s="139"/>
      <c r="O951" s="139"/>
      <c r="P951" s="139"/>
      <c r="Q951" s="139"/>
      <c r="R951" s="139"/>
      <c r="S951" s="139"/>
      <c r="T951" s="139"/>
      <c r="U951" s="139"/>
      <c r="V951" s="139"/>
      <c r="W951" s="139"/>
      <c r="X951" s="139"/>
      <c r="Y951" s="139"/>
      <c r="Z951" s="139"/>
      <c r="AA951" s="139"/>
      <c r="AB951" s="139"/>
      <c r="AC951" s="139"/>
      <c r="AD951" s="139"/>
      <c r="AE951" s="139"/>
      <c r="AF951" s="139"/>
      <c r="AG951" s="139"/>
      <c r="AH951" s="139"/>
      <c r="AI951" s="139"/>
      <c r="AJ951" s="139"/>
    </row>
    <row r="952">
      <c r="A952" s="9"/>
      <c r="B952" s="139"/>
      <c r="C952" s="139"/>
      <c r="D952" s="139"/>
      <c r="E952" s="139"/>
      <c r="F952" s="139"/>
      <c r="G952" s="139"/>
      <c r="H952" s="139"/>
      <c r="I952" s="139"/>
      <c r="J952" s="139"/>
      <c r="K952" s="139"/>
      <c r="L952" s="139"/>
      <c r="M952" s="139"/>
      <c r="N952" s="139"/>
      <c r="O952" s="139"/>
      <c r="P952" s="139"/>
      <c r="Q952" s="139"/>
      <c r="R952" s="139"/>
      <c r="S952" s="139"/>
      <c r="T952" s="139"/>
      <c r="U952" s="139"/>
      <c r="V952" s="139"/>
      <c r="W952" s="139"/>
      <c r="X952" s="139"/>
      <c r="Y952" s="139"/>
      <c r="Z952" s="139"/>
      <c r="AA952" s="139"/>
      <c r="AB952" s="139"/>
      <c r="AC952" s="139"/>
      <c r="AD952" s="139"/>
      <c r="AE952" s="139"/>
      <c r="AF952" s="139"/>
      <c r="AG952" s="139"/>
      <c r="AH952" s="139"/>
      <c r="AI952" s="139"/>
      <c r="AJ952" s="139"/>
    </row>
    <row r="953">
      <c r="A953" s="9"/>
      <c r="B953" s="139"/>
      <c r="C953" s="139"/>
      <c r="D953" s="139"/>
      <c r="E953" s="139"/>
      <c r="F953" s="139"/>
      <c r="G953" s="139"/>
      <c r="H953" s="139"/>
      <c r="I953" s="139"/>
      <c r="J953" s="139"/>
      <c r="K953" s="139"/>
      <c r="L953" s="139"/>
      <c r="M953" s="139"/>
      <c r="N953" s="139"/>
      <c r="O953" s="139"/>
      <c r="P953" s="139"/>
      <c r="Q953" s="139"/>
      <c r="R953" s="139"/>
      <c r="S953" s="139"/>
      <c r="T953" s="139"/>
      <c r="U953" s="139"/>
      <c r="V953" s="139"/>
      <c r="W953" s="139"/>
      <c r="X953" s="139"/>
      <c r="Y953" s="139"/>
      <c r="Z953" s="139"/>
      <c r="AA953" s="139"/>
      <c r="AB953" s="139"/>
      <c r="AC953" s="139"/>
      <c r="AD953" s="139"/>
      <c r="AE953" s="139"/>
      <c r="AF953" s="139"/>
      <c r="AG953" s="139"/>
      <c r="AH953" s="139"/>
      <c r="AI953" s="139"/>
      <c r="AJ953" s="139"/>
    </row>
    <row r="954">
      <c r="A954" s="9"/>
      <c r="B954" s="139"/>
      <c r="C954" s="139"/>
      <c r="D954" s="139"/>
      <c r="E954" s="139"/>
      <c r="F954" s="139"/>
      <c r="G954" s="139"/>
      <c r="H954" s="139"/>
      <c r="I954" s="139"/>
      <c r="J954" s="139"/>
      <c r="K954" s="139"/>
      <c r="L954" s="139"/>
      <c r="M954" s="139"/>
      <c r="N954" s="139"/>
      <c r="O954" s="139"/>
      <c r="P954" s="139"/>
      <c r="Q954" s="139"/>
      <c r="R954" s="139"/>
      <c r="S954" s="139"/>
      <c r="T954" s="139"/>
      <c r="U954" s="139"/>
      <c r="V954" s="139"/>
      <c r="W954" s="139"/>
      <c r="X954" s="139"/>
      <c r="Y954" s="139"/>
      <c r="Z954" s="139"/>
      <c r="AA954" s="139"/>
      <c r="AB954" s="139"/>
      <c r="AC954" s="139"/>
      <c r="AD954" s="139"/>
      <c r="AE954" s="139"/>
      <c r="AF954" s="139"/>
      <c r="AG954" s="139"/>
      <c r="AH954" s="139"/>
      <c r="AI954" s="139"/>
      <c r="AJ954" s="139"/>
    </row>
    <row r="955">
      <c r="A955" s="9"/>
      <c r="B955" s="139"/>
      <c r="C955" s="139"/>
      <c r="D955" s="139"/>
      <c r="E955" s="139"/>
      <c r="F955" s="139"/>
      <c r="G955" s="139"/>
      <c r="H955" s="139"/>
      <c r="I955" s="139"/>
      <c r="J955" s="139"/>
      <c r="K955" s="139"/>
      <c r="L955" s="139"/>
      <c r="M955" s="139"/>
      <c r="N955" s="139"/>
      <c r="O955" s="139"/>
      <c r="P955" s="139"/>
      <c r="Q955" s="139"/>
      <c r="R955" s="139"/>
      <c r="S955" s="139"/>
      <c r="T955" s="139"/>
      <c r="U955" s="139"/>
      <c r="V955" s="139"/>
      <c r="W955" s="139"/>
      <c r="X955" s="139"/>
      <c r="Y955" s="139"/>
      <c r="Z955" s="139"/>
      <c r="AA955" s="139"/>
      <c r="AB955" s="139"/>
      <c r="AC955" s="139"/>
      <c r="AD955" s="139"/>
      <c r="AE955" s="139"/>
      <c r="AF955" s="139"/>
      <c r="AG955" s="139"/>
      <c r="AH955" s="139"/>
      <c r="AI955" s="139"/>
      <c r="AJ955" s="139"/>
    </row>
    <row r="956">
      <c r="A956" s="9"/>
      <c r="B956" s="139"/>
      <c r="C956" s="139"/>
      <c r="D956" s="139"/>
      <c r="E956" s="139"/>
      <c r="F956" s="139"/>
      <c r="G956" s="139"/>
      <c r="H956" s="139"/>
      <c r="I956" s="139"/>
      <c r="J956" s="139"/>
      <c r="K956" s="139"/>
      <c r="L956" s="139"/>
      <c r="M956" s="139"/>
      <c r="N956" s="139"/>
      <c r="O956" s="139"/>
      <c r="P956" s="139"/>
      <c r="Q956" s="139"/>
      <c r="R956" s="139"/>
      <c r="S956" s="139"/>
      <c r="T956" s="139"/>
      <c r="U956" s="139"/>
      <c r="V956" s="139"/>
      <c r="W956" s="139"/>
      <c r="X956" s="139"/>
      <c r="Y956" s="139"/>
      <c r="Z956" s="139"/>
      <c r="AA956" s="139"/>
      <c r="AB956" s="139"/>
      <c r="AC956" s="139"/>
      <c r="AD956" s="139"/>
      <c r="AE956" s="139"/>
      <c r="AF956" s="139"/>
      <c r="AG956" s="139"/>
      <c r="AH956" s="139"/>
      <c r="AI956" s="139"/>
      <c r="AJ956" s="139"/>
    </row>
    <row r="957">
      <c r="A957" s="9"/>
      <c r="B957" s="139"/>
      <c r="C957" s="139"/>
      <c r="D957" s="139"/>
      <c r="E957" s="139"/>
      <c r="F957" s="139"/>
      <c r="G957" s="139"/>
      <c r="H957" s="139"/>
      <c r="I957" s="139"/>
      <c r="J957" s="139"/>
      <c r="K957" s="139"/>
      <c r="L957" s="139"/>
      <c r="M957" s="139"/>
      <c r="N957" s="139"/>
      <c r="O957" s="139"/>
      <c r="P957" s="139"/>
      <c r="Q957" s="139"/>
      <c r="R957" s="139"/>
      <c r="S957" s="139"/>
      <c r="T957" s="139"/>
      <c r="U957" s="139"/>
      <c r="V957" s="139"/>
      <c r="W957" s="139"/>
      <c r="X957" s="139"/>
      <c r="Y957" s="139"/>
      <c r="Z957" s="139"/>
      <c r="AA957" s="139"/>
      <c r="AB957" s="139"/>
      <c r="AC957" s="139"/>
      <c r="AD957" s="139"/>
      <c r="AE957" s="139"/>
      <c r="AF957" s="139"/>
      <c r="AG957" s="139"/>
      <c r="AH957" s="139"/>
      <c r="AI957" s="139"/>
      <c r="AJ957" s="139"/>
    </row>
    <row r="958">
      <c r="A958" s="9"/>
      <c r="B958" s="139"/>
      <c r="C958" s="139"/>
      <c r="D958" s="139"/>
      <c r="E958" s="139"/>
      <c r="F958" s="139"/>
      <c r="G958" s="139"/>
      <c r="H958" s="139"/>
      <c r="I958" s="139"/>
      <c r="J958" s="139"/>
      <c r="K958" s="139"/>
      <c r="L958" s="139"/>
      <c r="M958" s="139"/>
      <c r="N958" s="139"/>
      <c r="O958" s="139"/>
      <c r="P958" s="139"/>
      <c r="Q958" s="139"/>
      <c r="R958" s="139"/>
      <c r="S958" s="139"/>
      <c r="T958" s="139"/>
      <c r="U958" s="139"/>
      <c r="V958" s="139"/>
      <c r="W958" s="139"/>
      <c r="X958" s="139"/>
      <c r="Y958" s="139"/>
      <c r="Z958" s="139"/>
      <c r="AA958" s="139"/>
      <c r="AB958" s="139"/>
      <c r="AC958" s="139"/>
      <c r="AD958" s="139"/>
      <c r="AE958" s="139"/>
      <c r="AF958" s="139"/>
      <c r="AG958" s="139"/>
      <c r="AH958" s="139"/>
      <c r="AI958" s="139"/>
      <c r="AJ958" s="139"/>
    </row>
    <row r="959">
      <c r="A959" s="9"/>
      <c r="B959" s="139"/>
      <c r="C959" s="139"/>
      <c r="D959" s="139"/>
      <c r="E959" s="139"/>
      <c r="F959" s="139"/>
      <c r="G959" s="139"/>
      <c r="H959" s="139"/>
      <c r="I959" s="139"/>
      <c r="J959" s="139"/>
      <c r="K959" s="139"/>
      <c r="L959" s="139"/>
      <c r="M959" s="139"/>
      <c r="N959" s="139"/>
      <c r="O959" s="139"/>
      <c r="P959" s="139"/>
      <c r="Q959" s="139"/>
      <c r="R959" s="139"/>
      <c r="S959" s="139"/>
      <c r="T959" s="139"/>
      <c r="U959" s="139"/>
      <c r="V959" s="139"/>
      <c r="W959" s="139"/>
      <c r="X959" s="139"/>
      <c r="Y959" s="139"/>
      <c r="Z959" s="139"/>
      <c r="AA959" s="139"/>
      <c r="AB959" s="139"/>
      <c r="AC959" s="139"/>
      <c r="AD959" s="139"/>
      <c r="AE959" s="139"/>
      <c r="AF959" s="139"/>
      <c r="AG959" s="139"/>
      <c r="AH959" s="139"/>
      <c r="AI959" s="139"/>
      <c r="AJ959" s="139"/>
    </row>
    <row r="960">
      <c r="A960" s="9"/>
      <c r="B960" s="139"/>
      <c r="C960" s="139"/>
      <c r="D960" s="139"/>
      <c r="E960" s="139"/>
      <c r="F960" s="139"/>
      <c r="G960" s="139"/>
      <c r="H960" s="139"/>
      <c r="I960" s="139"/>
      <c r="J960" s="139"/>
      <c r="K960" s="139"/>
      <c r="L960" s="139"/>
      <c r="M960" s="139"/>
      <c r="N960" s="139"/>
      <c r="O960" s="139"/>
      <c r="P960" s="139"/>
      <c r="Q960" s="139"/>
      <c r="R960" s="139"/>
      <c r="S960" s="139"/>
      <c r="T960" s="139"/>
      <c r="U960" s="139"/>
      <c r="V960" s="139"/>
      <c r="W960" s="139"/>
      <c r="X960" s="139"/>
      <c r="Y960" s="139"/>
      <c r="Z960" s="139"/>
      <c r="AA960" s="139"/>
      <c r="AB960" s="139"/>
      <c r="AC960" s="139"/>
      <c r="AD960" s="139"/>
      <c r="AE960" s="139"/>
      <c r="AF960" s="139"/>
      <c r="AG960" s="139"/>
      <c r="AH960" s="139"/>
      <c r="AI960" s="139"/>
      <c r="AJ960" s="139"/>
    </row>
    <row r="961">
      <c r="A961" s="9"/>
      <c r="B961" s="139"/>
      <c r="C961" s="139"/>
      <c r="D961" s="139"/>
      <c r="E961" s="139"/>
      <c r="F961" s="139"/>
      <c r="G961" s="139"/>
      <c r="H961" s="139"/>
      <c r="I961" s="139"/>
      <c r="J961" s="139"/>
      <c r="K961" s="139"/>
      <c r="L961" s="139"/>
      <c r="M961" s="139"/>
      <c r="N961" s="139"/>
      <c r="O961" s="139"/>
      <c r="P961" s="139"/>
      <c r="Q961" s="139"/>
      <c r="R961" s="139"/>
      <c r="S961" s="139"/>
      <c r="T961" s="139"/>
      <c r="U961" s="139"/>
      <c r="V961" s="139"/>
      <c r="W961" s="139"/>
      <c r="X961" s="139"/>
      <c r="Y961" s="139"/>
      <c r="Z961" s="139"/>
      <c r="AA961" s="139"/>
      <c r="AB961" s="139"/>
      <c r="AC961" s="139"/>
      <c r="AD961" s="139"/>
      <c r="AE961" s="139"/>
      <c r="AF961" s="139"/>
      <c r="AG961" s="139"/>
      <c r="AH961" s="139"/>
      <c r="AI961" s="139"/>
      <c r="AJ961" s="139"/>
    </row>
    <row r="962">
      <c r="A962" s="9"/>
      <c r="B962" s="139"/>
      <c r="C962" s="139"/>
      <c r="D962" s="139"/>
      <c r="E962" s="139"/>
      <c r="F962" s="139"/>
      <c r="G962" s="139"/>
      <c r="H962" s="139"/>
      <c r="I962" s="139"/>
      <c r="J962" s="139"/>
      <c r="K962" s="139"/>
      <c r="L962" s="139"/>
      <c r="M962" s="139"/>
      <c r="N962" s="139"/>
      <c r="O962" s="139"/>
      <c r="P962" s="139"/>
      <c r="Q962" s="139"/>
      <c r="R962" s="139"/>
      <c r="S962" s="139"/>
      <c r="T962" s="139"/>
      <c r="U962" s="139"/>
      <c r="V962" s="139"/>
      <c r="W962" s="139"/>
      <c r="X962" s="139"/>
      <c r="Y962" s="139"/>
      <c r="Z962" s="139"/>
      <c r="AA962" s="139"/>
      <c r="AB962" s="139"/>
      <c r="AC962" s="139"/>
      <c r="AD962" s="139"/>
      <c r="AE962" s="139"/>
      <c r="AF962" s="139"/>
      <c r="AG962" s="139"/>
      <c r="AH962" s="139"/>
      <c r="AI962" s="139"/>
      <c r="AJ962" s="139"/>
    </row>
    <row r="963">
      <c r="A963" s="9"/>
      <c r="B963" s="139"/>
      <c r="C963" s="139"/>
      <c r="D963" s="139"/>
      <c r="E963" s="139"/>
      <c r="F963" s="139"/>
      <c r="G963" s="139"/>
      <c r="H963" s="139"/>
      <c r="I963" s="139"/>
      <c r="J963" s="139"/>
      <c r="K963" s="139"/>
      <c r="L963" s="139"/>
      <c r="M963" s="139"/>
      <c r="N963" s="139"/>
      <c r="O963" s="139"/>
      <c r="P963" s="139"/>
      <c r="Q963" s="139"/>
      <c r="R963" s="139"/>
      <c r="S963" s="139"/>
      <c r="T963" s="139"/>
      <c r="U963" s="139"/>
      <c r="V963" s="139"/>
      <c r="W963" s="139"/>
      <c r="X963" s="139"/>
      <c r="Y963" s="139"/>
      <c r="Z963" s="139"/>
      <c r="AA963" s="139"/>
      <c r="AB963" s="139"/>
      <c r="AC963" s="139"/>
      <c r="AD963" s="139"/>
      <c r="AE963" s="139"/>
      <c r="AF963" s="139"/>
      <c r="AG963" s="139"/>
      <c r="AH963" s="139"/>
      <c r="AI963" s="139"/>
      <c r="AJ963" s="139"/>
    </row>
    <row r="964">
      <c r="A964" s="9"/>
      <c r="B964" s="139"/>
      <c r="C964" s="139"/>
      <c r="D964" s="139"/>
      <c r="E964" s="139"/>
      <c r="F964" s="139"/>
      <c r="G964" s="139"/>
      <c r="H964" s="139"/>
      <c r="I964" s="139"/>
      <c r="J964" s="139"/>
      <c r="K964" s="139"/>
      <c r="L964" s="139"/>
      <c r="M964" s="139"/>
      <c r="N964" s="139"/>
      <c r="O964" s="139"/>
      <c r="P964" s="139"/>
      <c r="Q964" s="139"/>
      <c r="R964" s="139"/>
      <c r="S964" s="139"/>
      <c r="T964" s="139"/>
      <c r="U964" s="139"/>
      <c r="V964" s="139"/>
      <c r="W964" s="139"/>
      <c r="X964" s="139"/>
      <c r="Y964" s="139"/>
      <c r="Z964" s="139"/>
      <c r="AA964" s="139"/>
      <c r="AB964" s="139"/>
      <c r="AC964" s="139"/>
      <c r="AD964" s="139"/>
      <c r="AE964" s="139"/>
      <c r="AF964" s="139"/>
      <c r="AG964" s="139"/>
      <c r="AH964" s="139"/>
      <c r="AI964" s="139"/>
      <c r="AJ964" s="139"/>
    </row>
    <row r="965">
      <c r="A965" s="9"/>
      <c r="B965" s="139"/>
      <c r="C965" s="139"/>
      <c r="D965" s="139"/>
      <c r="E965" s="139"/>
      <c r="F965" s="139"/>
      <c r="G965" s="139"/>
      <c r="H965" s="139"/>
      <c r="I965" s="139"/>
      <c r="J965" s="139"/>
      <c r="K965" s="139"/>
      <c r="L965" s="139"/>
      <c r="M965" s="139"/>
      <c r="N965" s="139"/>
      <c r="O965" s="139"/>
      <c r="P965" s="139"/>
      <c r="Q965" s="139"/>
      <c r="R965" s="139"/>
      <c r="S965" s="139"/>
      <c r="T965" s="139"/>
      <c r="U965" s="139"/>
      <c r="V965" s="139"/>
      <c r="W965" s="139"/>
      <c r="X965" s="139"/>
      <c r="Y965" s="139"/>
      <c r="Z965" s="139"/>
      <c r="AA965" s="139"/>
      <c r="AB965" s="139"/>
      <c r="AC965" s="139"/>
      <c r="AD965" s="139"/>
      <c r="AE965" s="139"/>
      <c r="AF965" s="139"/>
      <c r="AG965" s="139"/>
      <c r="AH965" s="139"/>
      <c r="AI965" s="139"/>
      <c r="AJ965" s="139"/>
    </row>
    <row r="966">
      <c r="A966" s="9"/>
      <c r="B966" s="139"/>
      <c r="C966" s="139"/>
      <c r="D966" s="139"/>
      <c r="E966" s="139"/>
      <c r="F966" s="139"/>
      <c r="G966" s="139"/>
      <c r="H966" s="139"/>
      <c r="I966" s="139"/>
      <c r="J966" s="139"/>
      <c r="K966" s="139"/>
      <c r="L966" s="139"/>
      <c r="M966" s="139"/>
      <c r="N966" s="139"/>
      <c r="O966" s="139"/>
      <c r="P966" s="139"/>
      <c r="Q966" s="139"/>
      <c r="R966" s="139"/>
      <c r="S966" s="139"/>
      <c r="T966" s="139"/>
      <c r="U966" s="139"/>
      <c r="V966" s="139"/>
      <c r="W966" s="139"/>
      <c r="X966" s="139"/>
      <c r="Y966" s="139"/>
      <c r="Z966" s="139"/>
      <c r="AA966" s="139"/>
      <c r="AB966" s="139"/>
      <c r="AC966" s="139"/>
      <c r="AD966" s="139"/>
      <c r="AE966" s="139"/>
      <c r="AF966" s="139"/>
      <c r="AG966" s="139"/>
      <c r="AH966" s="139"/>
      <c r="AI966" s="139"/>
      <c r="AJ966" s="139"/>
    </row>
    <row r="967">
      <c r="A967" s="9"/>
      <c r="B967" s="139"/>
      <c r="C967" s="139"/>
      <c r="D967" s="139"/>
      <c r="E967" s="139"/>
      <c r="F967" s="139"/>
      <c r="G967" s="139"/>
      <c r="H967" s="139"/>
      <c r="I967" s="139"/>
      <c r="J967" s="139"/>
      <c r="K967" s="139"/>
      <c r="L967" s="139"/>
      <c r="M967" s="139"/>
      <c r="N967" s="139"/>
      <c r="O967" s="139"/>
      <c r="P967" s="139"/>
      <c r="Q967" s="139"/>
      <c r="R967" s="139"/>
      <c r="S967" s="139"/>
      <c r="T967" s="139"/>
      <c r="U967" s="139"/>
      <c r="V967" s="139"/>
      <c r="W967" s="139"/>
      <c r="X967" s="139"/>
      <c r="Y967" s="139"/>
      <c r="Z967" s="139"/>
      <c r="AA967" s="139"/>
      <c r="AB967" s="139"/>
      <c r="AC967" s="139"/>
      <c r="AD967" s="139"/>
      <c r="AE967" s="139"/>
      <c r="AF967" s="139"/>
      <c r="AG967" s="139"/>
      <c r="AH967" s="139"/>
      <c r="AI967" s="139"/>
      <c r="AJ967" s="139"/>
    </row>
    <row r="968">
      <c r="A968" s="9"/>
      <c r="B968" s="139"/>
      <c r="C968" s="139"/>
      <c r="D968" s="139"/>
      <c r="E968" s="139"/>
      <c r="F968" s="139"/>
      <c r="G968" s="139"/>
      <c r="H968" s="139"/>
      <c r="I968" s="139"/>
      <c r="J968" s="139"/>
      <c r="K968" s="139"/>
      <c r="L968" s="139"/>
      <c r="M968" s="139"/>
      <c r="N968" s="139"/>
      <c r="O968" s="139"/>
      <c r="P968" s="139"/>
      <c r="Q968" s="139"/>
      <c r="R968" s="139"/>
      <c r="S968" s="139"/>
      <c r="T968" s="139"/>
      <c r="U968" s="139"/>
      <c r="V968" s="139"/>
      <c r="W968" s="139"/>
      <c r="X968" s="139"/>
      <c r="Y968" s="139"/>
      <c r="Z968" s="139"/>
      <c r="AA968" s="139"/>
      <c r="AB968" s="139"/>
      <c r="AC968" s="139"/>
      <c r="AD968" s="139"/>
      <c r="AE968" s="139"/>
      <c r="AF968" s="139"/>
      <c r="AG968" s="139"/>
      <c r="AH968" s="139"/>
      <c r="AI968" s="139"/>
      <c r="AJ968" s="139"/>
    </row>
    <row r="969">
      <c r="A969" s="9"/>
      <c r="B969" s="139"/>
      <c r="C969" s="139"/>
      <c r="D969" s="139"/>
      <c r="E969" s="139"/>
      <c r="F969" s="139"/>
      <c r="G969" s="139"/>
      <c r="H969" s="139"/>
      <c r="I969" s="139"/>
      <c r="J969" s="139"/>
      <c r="K969" s="139"/>
      <c r="L969" s="139"/>
      <c r="M969" s="139"/>
      <c r="N969" s="139"/>
      <c r="O969" s="139"/>
      <c r="P969" s="139"/>
      <c r="Q969" s="139"/>
      <c r="R969" s="139"/>
      <c r="S969" s="139"/>
      <c r="T969" s="139"/>
      <c r="U969" s="139"/>
      <c r="V969" s="139"/>
      <c r="W969" s="139"/>
      <c r="X969" s="139"/>
      <c r="Y969" s="139"/>
      <c r="Z969" s="139"/>
      <c r="AA969" s="139"/>
      <c r="AB969" s="139"/>
      <c r="AC969" s="139"/>
      <c r="AD969" s="139"/>
      <c r="AE969" s="139"/>
      <c r="AF969" s="139"/>
      <c r="AG969" s="139"/>
      <c r="AH969" s="139"/>
      <c r="AI969" s="139"/>
      <c r="AJ969" s="139"/>
    </row>
    <row r="970">
      <c r="A970" s="9"/>
      <c r="B970" s="139"/>
      <c r="C970" s="139"/>
      <c r="D970" s="139"/>
      <c r="E970" s="139"/>
      <c r="F970" s="139"/>
      <c r="G970" s="139"/>
      <c r="H970" s="139"/>
      <c r="I970" s="139"/>
      <c r="J970" s="139"/>
      <c r="K970" s="139"/>
      <c r="L970" s="139"/>
      <c r="M970" s="139"/>
      <c r="N970" s="139"/>
      <c r="O970" s="139"/>
      <c r="P970" s="139"/>
      <c r="Q970" s="139"/>
      <c r="R970" s="139"/>
      <c r="S970" s="139"/>
      <c r="T970" s="139"/>
      <c r="U970" s="139"/>
      <c r="V970" s="139"/>
      <c r="W970" s="139"/>
      <c r="X970" s="139"/>
      <c r="Y970" s="139"/>
      <c r="Z970" s="139"/>
      <c r="AA970" s="139"/>
      <c r="AB970" s="139"/>
      <c r="AC970" s="139"/>
      <c r="AD970" s="139"/>
      <c r="AE970" s="139"/>
      <c r="AF970" s="139"/>
      <c r="AG970" s="139"/>
      <c r="AH970" s="139"/>
      <c r="AI970" s="139"/>
      <c r="AJ970" s="139"/>
    </row>
    <row r="971">
      <c r="A971" s="9"/>
      <c r="B971" s="139"/>
      <c r="C971" s="139"/>
      <c r="D971" s="139"/>
      <c r="E971" s="139"/>
      <c r="F971" s="139"/>
      <c r="G971" s="139"/>
      <c r="H971" s="139"/>
      <c r="I971" s="139"/>
      <c r="J971" s="139"/>
      <c r="K971" s="139"/>
      <c r="L971" s="139"/>
      <c r="M971" s="139"/>
      <c r="N971" s="139"/>
      <c r="O971" s="139"/>
      <c r="P971" s="139"/>
      <c r="Q971" s="139"/>
      <c r="R971" s="139"/>
      <c r="S971" s="139"/>
      <c r="T971" s="139"/>
      <c r="U971" s="139"/>
      <c r="V971" s="139"/>
      <c r="W971" s="139"/>
      <c r="X971" s="139"/>
      <c r="Y971" s="139"/>
      <c r="Z971" s="139"/>
      <c r="AA971" s="139"/>
      <c r="AB971" s="139"/>
      <c r="AC971" s="139"/>
      <c r="AD971" s="139"/>
      <c r="AE971" s="139"/>
      <c r="AF971" s="139"/>
      <c r="AG971" s="139"/>
      <c r="AH971" s="139"/>
      <c r="AI971" s="139"/>
      <c r="AJ971" s="139"/>
    </row>
    <row r="972">
      <c r="A972" s="9"/>
      <c r="B972" s="139"/>
      <c r="C972" s="139"/>
      <c r="D972" s="139"/>
      <c r="E972" s="139"/>
      <c r="F972" s="139"/>
      <c r="G972" s="139"/>
      <c r="H972" s="139"/>
      <c r="I972" s="139"/>
      <c r="J972" s="139"/>
      <c r="K972" s="139"/>
      <c r="L972" s="139"/>
      <c r="M972" s="139"/>
      <c r="N972" s="139"/>
      <c r="O972" s="139"/>
      <c r="P972" s="139"/>
      <c r="Q972" s="139"/>
      <c r="R972" s="139"/>
      <c r="S972" s="139"/>
      <c r="T972" s="139"/>
      <c r="U972" s="139"/>
      <c r="V972" s="139"/>
      <c r="W972" s="139"/>
      <c r="X972" s="139"/>
      <c r="Y972" s="139"/>
      <c r="Z972" s="139"/>
      <c r="AA972" s="139"/>
      <c r="AB972" s="139"/>
      <c r="AC972" s="139"/>
      <c r="AD972" s="139"/>
      <c r="AE972" s="139"/>
      <c r="AF972" s="139"/>
      <c r="AG972" s="139"/>
      <c r="AH972" s="139"/>
      <c r="AI972" s="139"/>
      <c r="AJ972" s="139"/>
    </row>
    <row r="973">
      <c r="A973" s="9"/>
      <c r="B973" s="139"/>
      <c r="C973" s="139"/>
      <c r="D973" s="139"/>
      <c r="E973" s="139"/>
      <c r="F973" s="139"/>
      <c r="G973" s="139"/>
      <c r="H973" s="139"/>
      <c r="I973" s="139"/>
      <c r="J973" s="139"/>
      <c r="K973" s="139"/>
      <c r="L973" s="139"/>
      <c r="M973" s="139"/>
      <c r="N973" s="139"/>
      <c r="O973" s="139"/>
      <c r="P973" s="139"/>
      <c r="Q973" s="139"/>
      <c r="R973" s="139"/>
      <c r="S973" s="139"/>
      <c r="T973" s="139"/>
      <c r="U973" s="139"/>
      <c r="V973" s="139"/>
      <c r="W973" s="139"/>
      <c r="X973" s="139"/>
      <c r="Y973" s="139"/>
      <c r="Z973" s="139"/>
      <c r="AA973" s="139"/>
      <c r="AB973" s="139"/>
      <c r="AC973" s="139"/>
      <c r="AD973" s="139"/>
      <c r="AE973" s="139"/>
      <c r="AF973" s="139"/>
      <c r="AG973" s="139"/>
      <c r="AH973" s="139"/>
      <c r="AI973" s="139"/>
      <c r="AJ973" s="139"/>
    </row>
    <row r="974">
      <c r="A974" s="9"/>
      <c r="B974" s="139"/>
      <c r="C974" s="139"/>
      <c r="D974" s="139"/>
      <c r="E974" s="139"/>
      <c r="F974" s="139"/>
      <c r="G974" s="139"/>
      <c r="H974" s="139"/>
      <c r="I974" s="139"/>
      <c r="J974" s="139"/>
      <c r="K974" s="139"/>
      <c r="L974" s="139"/>
      <c r="M974" s="139"/>
      <c r="N974" s="139"/>
      <c r="O974" s="139"/>
      <c r="P974" s="139"/>
      <c r="Q974" s="139"/>
      <c r="R974" s="139"/>
      <c r="S974" s="139"/>
      <c r="T974" s="139"/>
      <c r="U974" s="139"/>
      <c r="V974" s="139"/>
      <c r="W974" s="139"/>
      <c r="X974" s="139"/>
      <c r="Y974" s="139"/>
      <c r="Z974" s="139"/>
      <c r="AA974" s="139"/>
      <c r="AB974" s="139"/>
      <c r="AC974" s="139"/>
      <c r="AD974" s="139"/>
      <c r="AE974" s="139"/>
      <c r="AF974" s="139"/>
      <c r="AG974" s="139"/>
      <c r="AH974" s="139"/>
      <c r="AI974" s="139"/>
      <c r="AJ974" s="139"/>
    </row>
    <row r="975">
      <c r="A975" s="9"/>
      <c r="B975" s="139"/>
      <c r="C975" s="139"/>
      <c r="D975" s="139"/>
      <c r="E975" s="139"/>
      <c r="F975" s="139"/>
      <c r="G975" s="139"/>
      <c r="H975" s="139"/>
      <c r="I975" s="139"/>
      <c r="J975" s="139"/>
      <c r="K975" s="139"/>
      <c r="L975" s="139"/>
      <c r="M975" s="139"/>
      <c r="N975" s="139"/>
      <c r="O975" s="139"/>
      <c r="P975" s="139"/>
      <c r="Q975" s="139"/>
      <c r="R975" s="139"/>
      <c r="S975" s="139"/>
      <c r="T975" s="139"/>
      <c r="U975" s="139"/>
      <c r="V975" s="139"/>
      <c r="W975" s="139"/>
      <c r="X975" s="139"/>
      <c r="Y975" s="139"/>
      <c r="Z975" s="139"/>
      <c r="AA975" s="139"/>
      <c r="AB975" s="139"/>
      <c r="AC975" s="139"/>
      <c r="AD975" s="139"/>
      <c r="AE975" s="139"/>
      <c r="AF975" s="139"/>
      <c r="AG975" s="139"/>
      <c r="AH975" s="139"/>
      <c r="AI975" s="139"/>
      <c r="AJ975" s="139"/>
    </row>
    <row r="976">
      <c r="A976" s="9"/>
      <c r="B976" s="139"/>
      <c r="C976" s="139"/>
      <c r="D976" s="139"/>
      <c r="E976" s="139"/>
      <c r="F976" s="139"/>
      <c r="G976" s="139"/>
      <c r="H976" s="139"/>
      <c r="I976" s="139"/>
      <c r="J976" s="139"/>
      <c r="K976" s="139"/>
      <c r="L976" s="139"/>
      <c r="M976" s="139"/>
      <c r="N976" s="139"/>
      <c r="O976" s="139"/>
      <c r="P976" s="139"/>
      <c r="Q976" s="139"/>
      <c r="R976" s="139"/>
      <c r="S976" s="139"/>
      <c r="T976" s="139"/>
      <c r="U976" s="139"/>
      <c r="V976" s="139"/>
      <c r="W976" s="139"/>
      <c r="X976" s="139"/>
      <c r="Y976" s="139"/>
      <c r="Z976" s="139"/>
      <c r="AA976" s="139"/>
      <c r="AB976" s="139"/>
      <c r="AC976" s="139"/>
      <c r="AD976" s="139"/>
      <c r="AE976" s="139"/>
      <c r="AF976" s="139"/>
      <c r="AG976" s="139"/>
      <c r="AH976" s="139"/>
      <c r="AI976" s="139"/>
      <c r="AJ976" s="139"/>
    </row>
    <row r="977">
      <c r="A977" s="9"/>
      <c r="B977" s="139"/>
      <c r="C977" s="139"/>
      <c r="D977" s="139"/>
      <c r="E977" s="139"/>
      <c r="F977" s="139"/>
      <c r="G977" s="139"/>
      <c r="H977" s="139"/>
      <c r="I977" s="139"/>
      <c r="J977" s="139"/>
      <c r="K977" s="139"/>
      <c r="L977" s="139"/>
      <c r="M977" s="139"/>
      <c r="N977" s="139"/>
      <c r="O977" s="139"/>
      <c r="P977" s="139"/>
      <c r="Q977" s="139"/>
      <c r="R977" s="139"/>
      <c r="S977" s="139"/>
      <c r="T977" s="139"/>
      <c r="U977" s="139"/>
      <c r="V977" s="139"/>
      <c r="W977" s="139"/>
      <c r="X977" s="139"/>
      <c r="Y977" s="139"/>
      <c r="Z977" s="139"/>
      <c r="AA977" s="139"/>
      <c r="AB977" s="139"/>
      <c r="AC977" s="139"/>
      <c r="AD977" s="139"/>
      <c r="AE977" s="139"/>
      <c r="AF977" s="139"/>
      <c r="AG977" s="139"/>
      <c r="AH977" s="139"/>
      <c r="AI977" s="139"/>
      <c r="AJ977" s="139"/>
    </row>
    <row r="978">
      <c r="A978" s="9"/>
      <c r="B978" s="139"/>
      <c r="C978" s="139"/>
      <c r="D978" s="139"/>
      <c r="E978" s="139"/>
      <c r="F978" s="139"/>
      <c r="G978" s="139"/>
      <c r="H978" s="139"/>
      <c r="I978" s="139"/>
      <c r="J978" s="139"/>
      <c r="K978" s="139"/>
      <c r="L978" s="139"/>
      <c r="M978" s="139"/>
      <c r="N978" s="139"/>
      <c r="O978" s="139"/>
      <c r="P978" s="139"/>
      <c r="Q978" s="139"/>
      <c r="R978" s="139"/>
      <c r="S978" s="139"/>
      <c r="T978" s="139"/>
      <c r="U978" s="139"/>
      <c r="V978" s="139"/>
      <c r="W978" s="139"/>
      <c r="X978" s="139"/>
      <c r="Y978" s="139"/>
      <c r="Z978" s="139"/>
      <c r="AA978" s="139"/>
      <c r="AB978" s="139"/>
      <c r="AC978" s="139"/>
      <c r="AD978" s="139"/>
      <c r="AE978" s="139"/>
      <c r="AF978" s="139"/>
      <c r="AG978" s="139"/>
      <c r="AH978" s="139"/>
      <c r="AI978" s="139"/>
      <c r="AJ978" s="139"/>
    </row>
    <row r="979">
      <c r="A979" s="9"/>
      <c r="B979" s="139"/>
      <c r="C979" s="139"/>
      <c r="D979" s="139"/>
      <c r="E979" s="139"/>
      <c r="F979" s="139"/>
      <c r="G979" s="139"/>
      <c r="H979" s="139"/>
      <c r="I979" s="139"/>
      <c r="J979" s="139"/>
      <c r="K979" s="139"/>
      <c r="L979" s="139"/>
      <c r="M979" s="139"/>
      <c r="N979" s="139"/>
      <c r="O979" s="139"/>
      <c r="P979" s="139"/>
      <c r="Q979" s="139"/>
      <c r="R979" s="139"/>
      <c r="S979" s="139"/>
      <c r="T979" s="139"/>
      <c r="U979" s="139"/>
      <c r="V979" s="139"/>
      <c r="W979" s="139"/>
      <c r="X979" s="139"/>
      <c r="Y979" s="139"/>
      <c r="Z979" s="139"/>
      <c r="AA979" s="139"/>
      <c r="AB979" s="139"/>
      <c r="AC979" s="139"/>
      <c r="AD979" s="139"/>
      <c r="AE979" s="139"/>
      <c r="AF979" s="139"/>
      <c r="AG979" s="139"/>
      <c r="AH979" s="139"/>
      <c r="AI979" s="139"/>
      <c r="AJ979" s="139"/>
    </row>
    <row r="980">
      <c r="A980" s="9"/>
      <c r="B980" s="139"/>
      <c r="C980" s="139"/>
      <c r="D980" s="139"/>
      <c r="E980" s="139"/>
      <c r="F980" s="139"/>
      <c r="G980" s="139"/>
      <c r="H980" s="139"/>
      <c r="I980" s="139"/>
      <c r="J980" s="139"/>
      <c r="K980" s="139"/>
      <c r="L980" s="139"/>
      <c r="M980" s="139"/>
      <c r="N980" s="139"/>
      <c r="O980" s="139"/>
      <c r="P980" s="139"/>
      <c r="Q980" s="139"/>
      <c r="R980" s="139"/>
      <c r="S980" s="139"/>
      <c r="T980" s="139"/>
      <c r="U980" s="139"/>
      <c r="V980" s="139"/>
      <c r="W980" s="139"/>
      <c r="X980" s="139"/>
      <c r="Y980" s="139"/>
      <c r="Z980" s="139"/>
      <c r="AA980" s="139"/>
      <c r="AB980" s="139"/>
      <c r="AC980" s="139"/>
      <c r="AD980" s="139"/>
      <c r="AE980" s="139"/>
      <c r="AF980" s="139"/>
      <c r="AG980" s="139"/>
      <c r="AH980" s="139"/>
      <c r="AI980" s="139"/>
      <c r="AJ980" s="139"/>
    </row>
    <row r="981">
      <c r="A981" s="9"/>
      <c r="B981" s="139"/>
      <c r="C981" s="139"/>
      <c r="D981" s="139"/>
      <c r="E981" s="139"/>
      <c r="F981" s="139"/>
      <c r="G981" s="139"/>
      <c r="H981" s="139"/>
      <c r="I981" s="139"/>
      <c r="J981" s="139"/>
      <c r="K981" s="139"/>
      <c r="L981" s="139"/>
      <c r="M981" s="139"/>
      <c r="N981" s="139"/>
      <c r="O981" s="139"/>
      <c r="P981" s="139"/>
      <c r="Q981" s="139"/>
      <c r="R981" s="139"/>
      <c r="S981" s="139"/>
      <c r="T981" s="139"/>
      <c r="U981" s="139"/>
      <c r="V981" s="139"/>
      <c r="W981" s="139"/>
      <c r="X981" s="139"/>
      <c r="Y981" s="139"/>
      <c r="Z981" s="139"/>
      <c r="AA981" s="139"/>
      <c r="AB981" s="139"/>
      <c r="AC981" s="139"/>
      <c r="AD981" s="139"/>
      <c r="AE981" s="139"/>
      <c r="AF981" s="139"/>
      <c r="AG981" s="139"/>
      <c r="AH981" s="139"/>
      <c r="AI981" s="139"/>
      <c r="AJ981" s="139"/>
    </row>
    <row r="982">
      <c r="A982" s="9"/>
      <c r="B982" s="139"/>
      <c r="C982" s="139"/>
      <c r="D982" s="139"/>
      <c r="E982" s="139"/>
      <c r="F982" s="139"/>
      <c r="G982" s="139"/>
      <c r="H982" s="139"/>
      <c r="I982" s="139"/>
      <c r="J982" s="139"/>
      <c r="K982" s="139"/>
      <c r="L982" s="139"/>
      <c r="M982" s="139"/>
      <c r="N982" s="139"/>
      <c r="O982" s="139"/>
      <c r="P982" s="139"/>
      <c r="Q982" s="139"/>
      <c r="R982" s="139"/>
      <c r="S982" s="139"/>
      <c r="T982" s="139"/>
      <c r="U982" s="139"/>
      <c r="V982" s="139"/>
      <c r="W982" s="139"/>
      <c r="X982" s="139"/>
      <c r="Y982" s="139"/>
      <c r="Z982" s="139"/>
      <c r="AA982" s="139"/>
      <c r="AB982" s="139"/>
      <c r="AC982" s="139"/>
      <c r="AD982" s="139"/>
      <c r="AE982" s="139"/>
      <c r="AF982" s="139"/>
      <c r="AG982" s="139"/>
      <c r="AH982" s="139"/>
      <c r="AI982" s="139"/>
      <c r="AJ982" s="139"/>
    </row>
    <row r="983">
      <c r="A983" s="9"/>
      <c r="B983" s="139"/>
      <c r="C983" s="139"/>
      <c r="D983" s="139"/>
      <c r="E983" s="139"/>
      <c r="F983" s="139"/>
      <c r="G983" s="139"/>
      <c r="H983" s="139"/>
      <c r="I983" s="139"/>
      <c r="J983" s="139"/>
      <c r="K983" s="139"/>
      <c r="L983" s="139"/>
      <c r="M983" s="139"/>
      <c r="N983" s="139"/>
      <c r="O983" s="139"/>
      <c r="P983" s="139"/>
      <c r="Q983" s="139"/>
      <c r="R983" s="139"/>
      <c r="S983" s="139"/>
      <c r="T983" s="139"/>
      <c r="U983" s="139"/>
      <c r="V983" s="139"/>
      <c r="W983" s="139"/>
      <c r="X983" s="139"/>
      <c r="Y983" s="139"/>
      <c r="Z983" s="139"/>
      <c r="AA983" s="139"/>
      <c r="AB983" s="139"/>
      <c r="AC983" s="139"/>
      <c r="AD983" s="139"/>
      <c r="AE983" s="139"/>
      <c r="AF983" s="139"/>
      <c r="AG983" s="139"/>
      <c r="AH983" s="139"/>
      <c r="AI983" s="139"/>
      <c r="AJ983" s="139"/>
    </row>
    <row r="984">
      <c r="A984" s="9"/>
      <c r="B984" s="139"/>
      <c r="C984" s="139"/>
      <c r="D984" s="139"/>
      <c r="E984" s="139"/>
      <c r="F984" s="139"/>
      <c r="G984" s="139"/>
      <c r="H984" s="139"/>
      <c r="I984" s="139"/>
      <c r="J984" s="139"/>
      <c r="K984" s="139"/>
      <c r="L984" s="139"/>
      <c r="M984" s="139"/>
      <c r="N984" s="139"/>
      <c r="O984" s="139"/>
      <c r="P984" s="139"/>
      <c r="Q984" s="139"/>
      <c r="R984" s="139"/>
      <c r="S984" s="139"/>
      <c r="T984" s="139"/>
      <c r="U984" s="139"/>
      <c r="V984" s="139"/>
      <c r="W984" s="139"/>
      <c r="X984" s="139"/>
      <c r="Y984" s="139"/>
      <c r="Z984" s="139"/>
      <c r="AA984" s="139"/>
      <c r="AB984" s="139"/>
      <c r="AC984" s="139"/>
      <c r="AD984" s="139"/>
      <c r="AE984" s="139"/>
      <c r="AF984" s="139"/>
      <c r="AG984" s="139"/>
      <c r="AH984" s="139"/>
      <c r="AI984" s="139"/>
      <c r="AJ984" s="139"/>
    </row>
    <row r="985">
      <c r="A985" s="9"/>
      <c r="B985" s="139"/>
      <c r="C985" s="139"/>
      <c r="D985" s="139"/>
      <c r="E985" s="139"/>
      <c r="F985" s="139"/>
      <c r="G985" s="139"/>
      <c r="H985" s="139"/>
      <c r="I985" s="139"/>
      <c r="J985" s="139"/>
      <c r="K985" s="139"/>
      <c r="L985" s="139"/>
      <c r="M985" s="139"/>
      <c r="N985" s="139"/>
      <c r="O985" s="139"/>
      <c r="P985" s="139"/>
      <c r="Q985" s="139"/>
      <c r="R985" s="139"/>
      <c r="S985" s="139"/>
      <c r="T985" s="139"/>
      <c r="U985" s="139"/>
      <c r="V985" s="139"/>
      <c r="W985" s="139"/>
      <c r="X985" s="139"/>
      <c r="Y985" s="139"/>
      <c r="Z985" s="139"/>
      <c r="AA985" s="139"/>
      <c r="AB985" s="139"/>
      <c r="AC985" s="139"/>
      <c r="AD985" s="139"/>
      <c r="AE985" s="139"/>
      <c r="AF985" s="139"/>
      <c r="AG985" s="139"/>
      <c r="AH985" s="139"/>
      <c r="AI985" s="139"/>
      <c r="AJ985" s="139"/>
    </row>
    <row r="986">
      <c r="A986" s="9"/>
      <c r="B986" s="139"/>
      <c r="C986" s="139"/>
      <c r="D986" s="139"/>
      <c r="E986" s="139"/>
      <c r="F986" s="139"/>
      <c r="G986" s="139"/>
      <c r="H986" s="139"/>
      <c r="I986" s="139"/>
      <c r="J986" s="139"/>
      <c r="K986" s="139"/>
      <c r="L986" s="139"/>
      <c r="M986" s="139"/>
      <c r="N986" s="139"/>
      <c r="O986" s="139"/>
      <c r="P986" s="139"/>
      <c r="Q986" s="139"/>
      <c r="R986" s="139"/>
      <c r="S986" s="139"/>
      <c r="T986" s="139"/>
      <c r="U986" s="139"/>
      <c r="V986" s="139"/>
      <c r="W986" s="139"/>
      <c r="X986" s="139"/>
      <c r="Y986" s="139"/>
      <c r="Z986" s="139"/>
      <c r="AA986" s="139"/>
      <c r="AB986" s="139"/>
      <c r="AC986" s="139"/>
      <c r="AD986" s="139"/>
      <c r="AE986" s="139"/>
      <c r="AF986" s="139"/>
      <c r="AG986" s="139"/>
      <c r="AH986" s="139"/>
      <c r="AI986" s="139"/>
      <c r="AJ986" s="139"/>
    </row>
    <row r="987">
      <c r="A987" s="9"/>
      <c r="B987" s="139"/>
      <c r="C987" s="139"/>
      <c r="D987" s="139"/>
      <c r="E987" s="139"/>
      <c r="F987" s="139"/>
      <c r="G987" s="139"/>
      <c r="H987" s="139"/>
      <c r="I987" s="139"/>
      <c r="J987" s="139"/>
      <c r="K987" s="139"/>
      <c r="L987" s="139"/>
      <c r="M987" s="139"/>
      <c r="N987" s="139"/>
      <c r="O987" s="139"/>
      <c r="P987" s="139"/>
      <c r="Q987" s="139"/>
      <c r="R987" s="139"/>
      <c r="S987" s="139"/>
      <c r="T987" s="139"/>
      <c r="U987" s="139"/>
      <c r="V987" s="139"/>
      <c r="W987" s="139"/>
      <c r="X987" s="139"/>
      <c r="Y987" s="139"/>
      <c r="Z987" s="139"/>
      <c r="AA987" s="139"/>
      <c r="AB987" s="139"/>
      <c r="AC987" s="139"/>
      <c r="AD987" s="139"/>
      <c r="AE987" s="139"/>
      <c r="AF987" s="139"/>
      <c r="AG987" s="139"/>
      <c r="AH987" s="139"/>
      <c r="AI987" s="139"/>
      <c r="AJ987" s="139"/>
    </row>
    <row r="988">
      <c r="A988" s="9"/>
      <c r="B988" s="139"/>
      <c r="C988" s="139"/>
      <c r="D988" s="139"/>
      <c r="E988" s="139"/>
      <c r="F988" s="139"/>
      <c r="G988" s="139"/>
      <c r="H988" s="139"/>
      <c r="I988" s="139"/>
      <c r="J988" s="139"/>
      <c r="K988" s="139"/>
      <c r="L988" s="139"/>
      <c r="M988" s="139"/>
      <c r="N988" s="139"/>
      <c r="O988" s="139"/>
      <c r="P988" s="139"/>
      <c r="Q988" s="139"/>
      <c r="R988" s="139"/>
      <c r="S988" s="139"/>
      <c r="T988" s="139"/>
      <c r="U988" s="139"/>
      <c r="V988" s="139"/>
      <c r="W988" s="139"/>
      <c r="X988" s="139"/>
      <c r="Y988" s="139"/>
      <c r="Z988" s="139"/>
      <c r="AA988" s="139"/>
      <c r="AB988" s="139"/>
      <c r="AC988" s="139"/>
      <c r="AD988" s="139"/>
      <c r="AE988" s="139"/>
      <c r="AF988" s="139"/>
      <c r="AG988" s="139"/>
      <c r="AH988" s="139"/>
      <c r="AI988" s="139"/>
      <c r="AJ988" s="139"/>
    </row>
    <row r="989">
      <c r="A989" s="9"/>
      <c r="B989" s="139"/>
      <c r="C989" s="139"/>
      <c r="D989" s="139"/>
      <c r="E989" s="139"/>
      <c r="F989" s="139"/>
      <c r="G989" s="139"/>
      <c r="H989" s="139"/>
      <c r="I989" s="139"/>
      <c r="J989" s="139"/>
      <c r="K989" s="139"/>
      <c r="L989" s="139"/>
      <c r="M989" s="139"/>
      <c r="N989" s="139"/>
      <c r="O989" s="139"/>
      <c r="P989" s="139"/>
      <c r="Q989" s="139"/>
      <c r="R989" s="139"/>
      <c r="S989" s="139"/>
      <c r="T989" s="139"/>
      <c r="U989" s="139"/>
      <c r="V989" s="139"/>
      <c r="W989" s="139"/>
      <c r="X989" s="139"/>
      <c r="Y989" s="139"/>
      <c r="Z989" s="139"/>
      <c r="AA989" s="139"/>
      <c r="AB989" s="139"/>
      <c r="AC989" s="139"/>
      <c r="AD989" s="139"/>
      <c r="AE989" s="139"/>
      <c r="AF989" s="139"/>
      <c r="AG989" s="139"/>
      <c r="AH989" s="139"/>
      <c r="AI989" s="139"/>
      <c r="AJ989" s="139"/>
    </row>
    <row r="990">
      <c r="A990" s="9"/>
      <c r="B990" s="139"/>
      <c r="C990" s="139"/>
      <c r="D990" s="139"/>
      <c r="E990" s="139"/>
      <c r="F990" s="139"/>
      <c r="G990" s="139"/>
      <c r="H990" s="139"/>
      <c r="I990" s="139"/>
      <c r="J990" s="139"/>
      <c r="K990" s="139"/>
      <c r="L990" s="139"/>
      <c r="M990" s="139"/>
      <c r="N990" s="139"/>
      <c r="O990" s="139"/>
      <c r="P990" s="139"/>
      <c r="Q990" s="139"/>
      <c r="R990" s="139"/>
      <c r="S990" s="139"/>
      <c r="T990" s="139"/>
      <c r="U990" s="139"/>
      <c r="V990" s="139"/>
      <c r="W990" s="139"/>
      <c r="X990" s="139"/>
      <c r="Y990" s="139"/>
      <c r="Z990" s="139"/>
      <c r="AA990" s="139"/>
      <c r="AB990" s="139"/>
      <c r="AC990" s="139"/>
      <c r="AD990" s="139"/>
      <c r="AE990" s="139"/>
      <c r="AF990" s="139"/>
      <c r="AG990" s="139"/>
      <c r="AH990" s="139"/>
      <c r="AI990" s="139"/>
      <c r="AJ990" s="139"/>
    </row>
    <row r="991">
      <c r="A991" s="9"/>
      <c r="B991" s="139"/>
      <c r="C991" s="139"/>
      <c r="D991" s="139"/>
      <c r="E991" s="139"/>
      <c r="F991" s="139"/>
      <c r="G991" s="139"/>
      <c r="H991" s="139"/>
      <c r="I991" s="139"/>
      <c r="J991" s="139"/>
      <c r="K991" s="139"/>
      <c r="L991" s="139"/>
      <c r="M991" s="139"/>
      <c r="N991" s="139"/>
      <c r="O991" s="139"/>
      <c r="P991" s="139"/>
      <c r="Q991" s="139"/>
      <c r="R991" s="139"/>
      <c r="S991" s="139"/>
      <c r="T991" s="139"/>
      <c r="U991" s="139"/>
      <c r="V991" s="139"/>
      <c r="W991" s="139"/>
      <c r="X991" s="139"/>
      <c r="Y991" s="139"/>
      <c r="Z991" s="139"/>
      <c r="AA991" s="139"/>
      <c r="AB991" s="139"/>
      <c r="AC991" s="139"/>
      <c r="AD991" s="139"/>
      <c r="AE991" s="139"/>
      <c r="AF991" s="139"/>
      <c r="AG991" s="139"/>
      <c r="AH991" s="139"/>
      <c r="AI991" s="139"/>
      <c r="AJ991" s="139"/>
    </row>
    <row r="992">
      <c r="A992" s="9"/>
      <c r="B992" s="139"/>
      <c r="C992" s="139"/>
      <c r="D992" s="139"/>
      <c r="E992" s="139"/>
      <c r="F992" s="139"/>
      <c r="G992" s="139"/>
      <c r="H992" s="139"/>
      <c r="I992" s="139"/>
      <c r="J992" s="139"/>
      <c r="K992" s="139"/>
      <c r="L992" s="139"/>
      <c r="M992" s="139"/>
      <c r="N992" s="139"/>
      <c r="O992" s="139"/>
      <c r="P992" s="139"/>
      <c r="Q992" s="139"/>
      <c r="R992" s="139"/>
      <c r="S992" s="139"/>
      <c r="T992" s="139"/>
      <c r="U992" s="139"/>
      <c r="V992" s="139"/>
      <c r="W992" s="139"/>
      <c r="X992" s="139"/>
      <c r="Y992" s="139"/>
      <c r="Z992" s="139"/>
      <c r="AA992" s="139"/>
      <c r="AB992" s="139"/>
      <c r="AC992" s="139"/>
      <c r="AD992" s="139"/>
      <c r="AE992" s="139"/>
      <c r="AF992" s="139"/>
      <c r="AG992" s="139"/>
      <c r="AH992" s="139"/>
      <c r="AI992" s="139"/>
      <c r="AJ992" s="139"/>
    </row>
    <row r="993">
      <c r="A993" s="9"/>
      <c r="B993" s="139"/>
      <c r="C993" s="139"/>
      <c r="D993" s="139"/>
      <c r="E993" s="139"/>
      <c r="F993" s="139"/>
      <c r="G993" s="139"/>
      <c r="H993" s="139"/>
      <c r="I993" s="139"/>
      <c r="J993" s="139"/>
      <c r="K993" s="139"/>
      <c r="L993" s="139"/>
      <c r="M993" s="139"/>
      <c r="N993" s="139"/>
      <c r="O993" s="139"/>
      <c r="P993" s="139"/>
      <c r="Q993" s="139"/>
      <c r="R993" s="139"/>
      <c r="S993" s="139"/>
      <c r="T993" s="139"/>
      <c r="U993" s="139"/>
      <c r="V993" s="139"/>
      <c r="W993" s="139"/>
      <c r="X993" s="139"/>
      <c r="Y993" s="139"/>
      <c r="Z993" s="139"/>
      <c r="AA993" s="139"/>
      <c r="AB993" s="139"/>
      <c r="AC993" s="139"/>
      <c r="AD993" s="139"/>
      <c r="AE993" s="139"/>
      <c r="AF993" s="139"/>
      <c r="AG993" s="139"/>
      <c r="AH993" s="139"/>
      <c r="AI993" s="139"/>
      <c r="AJ993" s="139"/>
    </row>
    <row r="994">
      <c r="A994" s="9"/>
      <c r="B994" s="139"/>
      <c r="C994" s="139"/>
      <c r="D994" s="139"/>
      <c r="E994" s="139"/>
      <c r="F994" s="139"/>
      <c r="G994" s="139"/>
      <c r="H994" s="139"/>
      <c r="I994" s="139"/>
      <c r="J994" s="139"/>
      <c r="K994" s="139"/>
      <c r="L994" s="139"/>
      <c r="M994" s="139"/>
      <c r="N994" s="139"/>
      <c r="O994" s="139"/>
      <c r="P994" s="139"/>
      <c r="Q994" s="139"/>
      <c r="R994" s="139"/>
      <c r="S994" s="139"/>
      <c r="T994" s="139"/>
      <c r="U994" s="139"/>
      <c r="V994" s="139"/>
      <c r="W994" s="139"/>
      <c r="X994" s="139"/>
      <c r="Y994" s="139"/>
      <c r="Z994" s="139"/>
      <c r="AA994" s="139"/>
      <c r="AB994" s="139"/>
      <c r="AC994" s="139"/>
      <c r="AD994" s="139"/>
      <c r="AE994" s="139"/>
      <c r="AF994" s="139"/>
      <c r="AG994" s="139"/>
      <c r="AH994" s="139"/>
      <c r="AI994" s="139"/>
      <c r="AJ994" s="139"/>
    </row>
    <row r="995">
      <c r="A995" s="9"/>
      <c r="B995" s="139"/>
      <c r="C995" s="139"/>
      <c r="D995" s="139"/>
      <c r="E995" s="139"/>
      <c r="F995" s="139"/>
      <c r="G995" s="139"/>
      <c r="H995" s="139"/>
      <c r="I995" s="139"/>
      <c r="J995" s="139"/>
      <c r="K995" s="139"/>
      <c r="L995" s="139"/>
      <c r="M995" s="139"/>
      <c r="N995" s="139"/>
      <c r="O995" s="139"/>
      <c r="P995" s="139"/>
      <c r="Q995" s="139"/>
      <c r="R995" s="139"/>
      <c r="S995" s="139"/>
      <c r="T995" s="139"/>
      <c r="U995" s="139"/>
      <c r="V995" s="139"/>
      <c r="W995" s="139"/>
      <c r="X995" s="139"/>
      <c r="Y995" s="139"/>
      <c r="Z995" s="139"/>
      <c r="AA995" s="139"/>
      <c r="AB995" s="139"/>
      <c r="AC995" s="139"/>
      <c r="AD995" s="139"/>
      <c r="AE995" s="139"/>
      <c r="AF995" s="139"/>
      <c r="AG995" s="139"/>
      <c r="AH995" s="139"/>
      <c r="AI995" s="139"/>
      <c r="AJ995" s="139"/>
    </row>
    <row r="996">
      <c r="A996" s="9"/>
      <c r="B996" s="139"/>
      <c r="C996" s="139"/>
      <c r="D996" s="139"/>
      <c r="E996" s="139"/>
      <c r="F996" s="139"/>
      <c r="G996" s="139"/>
      <c r="H996" s="139"/>
      <c r="I996" s="139"/>
      <c r="J996" s="139"/>
      <c r="K996" s="139"/>
      <c r="L996" s="139"/>
      <c r="M996" s="139"/>
      <c r="N996" s="139"/>
      <c r="O996" s="139"/>
      <c r="P996" s="139"/>
      <c r="Q996" s="139"/>
      <c r="R996" s="139"/>
      <c r="S996" s="139"/>
      <c r="T996" s="139"/>
      <c r="U996" s="139"/>
      <c r="V996" s="139"/>
      <c r="W996" s="139"/>
      <c r="X996" s="139"/>
      <c r="Y996" s="139"/>
      <c r="Z996" s="139"/>
      <c r="AA996" s="139"/>
      <c r="AB996" s="139"/>
      <c r="AC996" s="139"/>
      <c r="AD996" s="139"/>
      <c r="AE996" s="139"/>
      <c r="AF996" s="139"/>
      <c r="AG996" s="139"/>
      <c r="AH996" s="139"/>
      <c r="AI996" s="139"/>
      <c r="AJ996" s="139"/>
    </row>
    <row r="997">
      <c r="A997" s="9"/>
      <c r="B997" s="139"/>
      <c r="C997" s="139"/>
      <c r="D997" s="139"/>
      <c r="E997" s="139"/>
      <c r="F997" s="139"/>
      <c r="G997" s="139"/>
      <c r="H997" s="139"/>
      <c r="I997" s="139"/>
      <c r="J997" s="139"/>
      <c r="K997" s="139"/>
      <c r="L997" s="139"/>
      <c r="M997" s="139"/>
      <c r="N997" s="139"/>
      <c r="O997" s="139"/>
      <c r="P997" s="139"/>
      <c r="Q997" s="139"/>
      <c r="R997" s="139"/>
      <c r="S997" s="139"/>
      <c r="T997" s="139"/>
      <c r="U997" s="139"/>
      <c r="V997" s="139"/>
      <c r="W997" s="139"/>
      <c r="X997" s="139"/>
      <c r="Y997" s="139"/>
      <c r="Z997" s="139"/>
      <c r="AA997" s="139"/>
      <c r="AB997" s="139"/>
      <c r="AC997" s="139"/>
      <c r="AD997" s="139"/>
      <c r="AE997" s="139"/>
      <c r="AF997" s="139"/>
      <c r="AG997" s="139"/>
      <c r="AH997" s="139"/>
      <c r="AI997" s="139"/>
      <c r="AJ997" s="139"/>
    </row>
    <row r="998">
      <c r="A998" s="9"/>
      <c r="B998" s="139"/>
      <c r="C998" s="139"/>
      <c r="D998" s="139"/>
      <c r="E998" s="139"/>
      <c r="F998" s="139"/>
      <c r="G998" s="139"/>
      <c r="H998" s="139"/>
      <c r="I998" s="139"/>
      <c r="J998" s="139"/>
      <c r="K998" s="139"/>
      <c r="L998" s="139"/>
      <c r="M998" s="139"/>
      <c r="N998" s="139"/>
      <c r="O998" s="139"/>
      <c r="P998" s="139"/>
      <c r="Q998" s="139"/>
      <c r="R998" s="139"/>
      <c r="S998" s="139"/>
      <c r="T998" s="139"/>
      <c r="U998" s="139"/>
      <c r="V998" s="139"/>
      <c r="W998" s="139"/>
      <c r="X998" s="139"/>
      <c r="Y998" s="139"/>
      <c r="Z998" s="139"/>
      <c r="AA998" s="139"/>
      <c r="AB998" s="139"/>
      <c r="AC998" s="139"/>
      <c r="AD998" s="139"/>
      <c r="AE998" s="139"/>
      <c r="AF998" s="139"/>
      <c r="AG998" s="139"/>
      <c r="AH998" s="139"/>
      <c r="AI998" s="139"/>
      <c r="AJ998" s="139"/>
    </row>
    <row r="999">
      <c r="A999" s="9"/>
      <c r="B999" s="139"/>
      <c r="C999" s="139"/>
      <c r="D999" s="139"/>
      <c r="E999" s="139"/>
      <c r="F999" s="139"/>
      <c r="G999" s="139"/>
      <c r="H999" s="139"/>
      <c r="I999" s="139"/>
      <c r="J999" s="139"/>
      <c r="K999" s="139"/>
      <c r="L999" s="139"/>
      <c r="M999" s="139"/>
      <c r="N999" s="139"/>
      <c r="O999" s="139"/>
      <c r="P999" s="139"/>
      <c r="Q999" s="139"/>
      <c r="R999" s="139"/>
      <c r="S999" s="139"/>
      <c r="T999" s="139"/>
      <c r="U999" s="139"/>
      <c r="V999" s="139"/>
      <c r="W999" s="139"/>
      <c r="X999" s="139"/>
      <c r="Y999" s="139"/>
      <c r="Z999" s="139"/>
      <c r="AA999" s="139"/>
      <c r="AB999" s="139"/>
      <c r="AC999" s="139"/>
      <c r="AD999" s="139"/>
      <c r="AE999" s="139"/>
      <c r="AF999" s="139"/>
      <c r="AG999" s="139"/>
      <c r="AH999" s="139"/>
      <c r="AI999" s="139"/>
      <c r="AJ999" s="13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23.13"/>
    <col customWidth="1" min="2" max="4" width="12.75"/>
    <col customWidth="1" min="5" max="6" width="12.63"/>
    <col customWidth="1" min="7" max="7" width="15.75"/>
  </cols>
  <sheetData>
    <row r="1">
      <c r="A1" s="134" t="s">
        <v>461</v>
      </c>
      <c r="B1" s="135" t="s">
        <v>44</v>
      </c>
      <c r="C1" s="135" t="s">
        <v>46</v>
      </c>
      <c r="D1" s="135" t="s">
        <v>45</v>
      </c>
      <c r="E1" s="136">
        <v>46054.0</v>
      </c>
      <c r="F1" s="136">
        <v>46055.0</v>
      </c>
      <c r="G1" s="136">
        <v>46056.0</v>
      </c>
      <c r="H1" s="136">
        <v>46057.0</v>
      </c>
      <c r="I1" s="136">
        <v>46058.0</v>
      </c>
      <c r="J1" s="136">
        <v>46059.0</v>
      </c>
      <c r="K1" s="136">
        <v>46060.0</v>
      </c>
      <c r="L1" s="136">
        <v>46061.0</v>
      </c>
      <c r="M1" s="136">
        <v>46062.0</v>
      </c>
      <c r="N1" s="136">
        <v>46063.0</v>
      </c>
      <c r="O1" s="136">
        <v>46064.0</v>
      </c>
      <c r="P1" s="136">
        <v>46065.0</v>
      </c>
      <c r="Q1" s="136">
        <v>46066.0</v>
      </c>
      <c r="R1" s="136">
        <v>46067.0</v>
      </c>
      <c r="S1" s="136">
        <v>46068.0</v>
      </c>
      <c r="T1" s="136">
        <v>46069.0</v>
      </c>
      <c r="U1" s="136">
        <v>46070.0</v>
      </c>
      <c r="V1" s="136">
        <v>46071.0</v>
      </c>
      <c r="W1" s="136">
        <v>46072.0</v>
      </c>
      <c r="X1" s="136">
        <v>46073.0</v>
      </c>
      <c r="Y1" s="136">
        <v>46074.0</v>
      </c>
      <c r="Z1" s="136">
        <v>46075.0</v>
      </c>
      <c r="AA1" s="136">
        <v>46076.0</v>
      </c>
      <c r="AB1" s="136">
        <v>46077.0</v>
      </c>
      <c r="AC1" s="136">
        <v>46078.0</v>
      </c>
      <c r="AD1" s="136">
        <v>46079.0</v>
      </c>
      <c r="AE1" s="136">
        <v>46080.0</v>
      </c>
      <c r="AF1" s="136">
        <v>46081.0</v>
      </c>
      <c r="AG1" s="136"/>
      <c r="AH1" s="136"/>
      <c r="AI1" s="136"/>
      <c r="AJ1" s="137"/>
    </row>
    <row r="2">
      <c r="A2" s="138" t="s">
        <v>56</v>
      </c>
      <c r="B2" s="41"/>
      <c r="C2" s="41">
        <f t="shared" ref="C2:C7" si="1">sum(E2:AI2)</f>
        <v>1335</v>
      </c>
      <c r="D2" s="41"/>
      <c r="E2" s="41">
        <f>sumifs(raw_data!$E:$E,raw_data!$A:$A,E1,raw_data!$D:$D,"Primary_Walkin")</f>
        <v>34</v>
      </c>
      <c r="F2" s="41">
        <f>sumifs(raw_data!$E:$E,raw_data!$A:$A,F1,raw_data!$D:$D,"Primary_Walkin")</f>
        <v>36</v>
      </c>
      <c r="G2" s="41">
        <f>sumifs(raw_data!$E:$E,raw_data!$A:$A,G1,raw_data!$D:$D,"Primary_Walkin")</f>
        <v>50</v>
      </c>
      <c r="H2" s="41">
        <f>sumifs(raw_data!$E:$E,raw_data!$A:$A,H1,raw_data!$D:$D,"Primary_Walkin")</f>
        <v>58</v>
      </c>
      <c r="I2" s="41">
        <f>sumifs(raw_data!$E:$E,raw_data!$A:$A,I1,raw_data!$D:$D,"Primary_Walkin")</f>
        <v>51</v>
      </c>
      <c r="J2" s="41">
        <f>sumifs(raw_data!$E:$E,raw_data!$A:$A,J1,raw_data!$D:$D,"Primary_Walkin")</f>
        <v>42</v>
      </c>
      <c r="K2" s="41">
        <f>sumifs(raw_data!$E:$E,raw_data!$A:$A,K1,raw_data!$D:$D,"Primary_Walkin")</f>
        <v>64</v>
      </c>
      <c r="L2" s="41">
        <f>sumifs(raw_data!$E:$E,raw_data!$A:$A,L1,raw_data!$D:$D,"Primary_Walkin")</f>
        <v>47</v>
      </c>
      <c r="M2" s="41">
        <f>sumifs(raw_data!$E:$E,raw_data!$A:$A,M1,raw_data!$D:$D,"Primary_Walkin")</f>
        <v>65</v>
      </c>
      <c r="N2" s="41">
        <f>sumifs(raw_data!$E:$E,raw_data!$A:$A,N1,raw_data!$D:$D,"Primary_Walkin")</f>
        <v>53</v>
      </c>
      <c r="O2" s="41">
        <f>sumifs(raw_data!$E:$E,raw_data!$A:$A,O1,raw_data!$D:$D,"Primary_Walkin")</f>
        <v>53</v>
      </c>
      <c r="P2" s="41">
        <f>sumifs(raw_data!$E:$E,raw_data!$A:$A,P1,raw_data!$D:$D,"Primary_Walkin")</f>
        <v>74</v>
      </c>
      <c r="Q2" s="41">
        <f>sumifs(raw_data!$E:$E,raw_data!$A:$A,Q1,raw_data!$D:$D,"Primary_Walkin")</f>
        <v>47</v>
      </c>
      <c r="R2" s="41">
        <f>sumifs(raw_data!$E:$E,raw_data!$A:$A,R1,raw_data!$D:$D,"Primary_Walkin")</f>
        <v>55</v>
      </c>
      <c r="S2" s="41">
        <f>sumifs(raw_data!$E:$E,raw_data!$A:$A,S1,raw_data!$D:$D,"Primary_Walkin")</f>
        <v>21</v>
      </c>
      <c r="T2" s="41">
        <f>sumifs(raw_data!$E:$E,raw_data!$A:$A,T1,raw_data!$D:$D,"Primary_Walkin")</f>
        <v>54</v>
      </c>
      <c r="U2" s="41">
        <f>sumifs(raw_data!$E:$E,raw_data!$A:$A,U1,raw_data!$D:$D,"Primary_Walkin")</f>
        <v>50</v>
      </c>
      <c r="V2" s="41">
        <f>sumifs(raw_data!$E:$E,raw_data!$A:$A,V1,raw_data!$D:$D,"Primary_Walkin")</f>
        <v>50</v>
      </c>
      <c r="W2" s="41">
        <f>sumifs(raw_data!$E:$E,raw_data!$A:$A,W1,raw_data!$D:$D,"Primary_Walkin")</f>
        <v>53</v>
      </c>
      <c r="X2" s="41">
        <f>sumifs(raw_data!$E:$E,raw_data!$A:$A,X1,raw_data!$D:$D,"Primary_Walkin")</f>
        <v>48</v>
      </c>
      <c r="Y2" s="41">
        <f>sumifs(raw_data!$E:$E,raw_data!$A:$A,Y1,raw_data!$D:$D,"Primary_Walkin")</f>
        <v>49</v>
      </c>
      <c r="Z2" s="41">
        <f>sumifs(raw_data!$E:$E,raw_data!$A:$A,Z1,raw_data!$D:$D,"Primary_Walkin")</f>
        <v>55</v>
      </c>
      <c r="AA2" s="41">
        <f>sumifs(raw_data!$E:$E,raw_data!$A:$A,AA1,raw_data!$D:$D,"Primary_Walkin")</f>
        <v>39</v>
      </c>
      <c r="AB2" s="41">
        <f>sumifs(raw_data!$E:$E,raw_data!$A:$A,AB1,raw_data!$D:$D,"Primary_Walkin")</f>
        <v>38</v>
      </c>
      <c r="AC2" s="41">
        <f>sumifs(raw_data!$E:$E,raw_data!$A:$A,AC1,raw_data!$D:$D,"Primary_Walkin")</f>
        <v>35</v>
      </c>
      <c r="AD2" s="41">
        <f>sumifs(raw_data!$E:$E,raw_data!$A:$A,AD1,raw_data!$D:$D,"Primary_Walkin")</f>
        <v>53</v>
      </c>
      <c r="AE2" s="41">
        <f>sumifs(raw_data!$E:$E,raw_data!$A:$A,AE1,raw_data!$D:$D,"Primary_Walkin")</f>
        <v>29</v>
      </c>
      <c r="AF2" s="41">
        <f>sumifs(raw_data!$E:$E,raw_data!$A:$A,AF1,raw_data!$D:$D,"Primary_Walkin")</f>
        <v>32</v>
      </c>
      <c r="AG2" s="41"/>
      <c r="AH2" s="41"/>
      <c r="AI2" s="41"/>
      <c r="AJ2" s="139"/>
    </row>
    <row r="3">
      <c r="A3" s="138" t="s">
        <v>462</v>
      </c>
      <c r="B3" s="41"/>
      <c r="C3" s="41">
        <f t="shared" si="1"/>
        <v>128</v>
      </c>
      <c r="D3" s="41"/>
      <c r="E3" s="41">
        <f>sumifs(raw_data!$E:$E,raw_data!$A:$A,E1,raw_data!$D:$D,"Secondary_Walkin")</f>
        <v>1</v>
      </c>
      <c r="F3" s="41">
        <f>sumifs(raw_data!$E:$E,raw_data!$A:$A,F1,raw_data!$D:$D,"Secondary_Walkin")</f>
        <v>5</v>
      </c>
      <c r="G3" s="41">
        <f>sumifs(raw_data!$E:$E,raw_data!$A:$A,G1,raw_data!$D:$D,"Secondary_Walkin")</f>
        <v>5</v>
      </c>
      <c r="H3" s="41">
        <f>sumifs(raw_data!$E:$E,raw_data!$A:$A,H1,raw_data!$D:$D,"Secondary_Walkin")</f>
        <v>7</v>
      </c>
      <c r="I3" s="41">
        <f>sumifs(raw_data!$E:$E,raw_data!$A:$A,I1,raw_data!$D:$D,"Secondary_Walkin")</f>
        <v>4</v>
      </c>
      <c r="J3" s="41">
        <f>sumifs(raw_data!$E:$E,raw_data!$A:$A,J1,raw_data!$D:$D,"Secondary_Walkin")</f>
        <v>4</v>
      </c>
      <c r="K3" s="41">
        <f>sumifs(raw_data!$E:$E,raw_data!$A:$A,K1,raw_data!$D:$D,"Secondary_Walkin")</f>
        <v>5</v>
      </c>
      <c r="L3" s="41">
        <f>sumifs(raw_data!$E:$E,raw_data!$A:$A,L1,raw_data!$D:$D,"Secondary_Walkin")</f>
        <v>4</v>
      </c>
      <c r="M3" s="41">
        <f>sumifs(raw_data!$E:$E,raw_data!$A:$A,M1,raw_data!$D:$D,"Secondary_Walkin")</f>
        <v>8</v>
      </c>
      <c r="N3" s="41">
        <f>sumifs(raw_data!$E:$E,raw_data!$A:$A,N1,raw_data!$D:$D,"Secondary_Walkin")</f>
        <v>1</v>
      </c>
      <c r="O3" s="41">
        <f>sumifs(raw_data!$E:$E,raw_data!$A:$A,O1,raw_data!$D:$D,"Secondary_Walkin")</f>
        <v>6</v>
      </c>
      <c r="P3" s="41">
        <f>sumifs(raw_data!$E:$E,raw_data!$A:$A,P1,raw_data!$D:$D,"Secondary_Walkin")</f>
        <v>5</v>
      </c>
      <c r="Q3" s="41">
        <f>sumifs(raw_data!$E:$E,raw_data!$A:$A,Q1,raw_data!$D:$D,"Secondary_Walkin")</f>
        <v>7</v>
      </c>
      <c r="R3" s="41">
        <f>sumifs(raw_data!$E:$E,raw_data!$A:$A,R1,raw_data!$D:$D,"Secondary_Walkin")</f>
        <v>4</v>
      </c>
      <c r="S3" s="41">
        <f>sumifs(raw_data!$E:$E,raw_data!$A:$A,S1,raw_data!$D:$D,"Secondary_Walkin")</f>
        <v>3</v>
      </c>
      <c r="T3" s="41">
        <f>sumifs(raw_data!$E:$E,raw_data!$A:$A,T1,raw_data!$D:$D,"Secondary_Walkin")</f>
        <v>2</v>
      </c>
      <c r="U3" s="41">
        <f>sumifs(raw_data!$E:$E,raw_data!$A:$A,U1,raw_data!$D:$D,"Secondary_Walkin")</f>
        <v>5</v>
      </c>
      <c r="V3" s="41">
        <f>sumifs(raw_data!$E:$E,raw_data!$A:$A,V1,raw_data!$D:$D,"Secondary_Walkin")</f>
        <v>6</v>
      </c>
      <c r="W3" s="41">
        <f>sumifs(raw_data!$E:$E,raw_data!$A:$A,W1,raw_data!$D:$D,"Secondary_Walkin")</f>
        <v>6</v>
      </c>
      <c r="X3" s="41">
        <f>sumifs(raw_data!$E:$E,raw_data!$A:$A,X1,raw_data!$D:$D,"Secondary_Walkin")</f>
        <v>7</v>
      </c>
      <c r="Y3" s="41">
        <f>sumifs(raw_data!$E:$E,raw_data!$A:$A,Y1,raw_data!$D:$D,"Secondary_Walkin")</f>
        <v>4</v>
      </c>
      <c r="Z3" s="41">
        <f>sumifs(raw_data!$E:$E,raw_data!$A:$A,Z1,raw_data!$D:$D,"Secondary_Walkin")</f>
        <v>3</v>
      </c>
      <c r="AA3" s="41">
        <f>sumifs(raw_data!$E:$E,raw_data!$A:$A,AA1,raw_data!$D:$D,"Secondary_Walkin")</f>
        <v>5</v>
      </c>
      <c r="AB3" s="41">
        <f>sumifs(raw_data!$E:$E,raw_data!$A:$A,AB1,raw_data!$D:$D,"Secondary_Walkin")</f>
        <v>7</v>
      </c>
      <c r="AC3" s="41">
        <f>sumifs(raw_data!$E:$E,raw_data!$A:$A,AC1,raw_data!$D:$D,"Secondary_Walkin")</f>
        <v>3</v>
      </c>
      <c r="AD3" s="41">
        <f>sumifs(raw_data!$E:$E,raw_data!$A:$A,AD1,raw_data!$D:$D,"Secondary_Walkin")</f>
        <v>5</v>
      </c>
      <c r="AE3" s="41">
        <f>sumifs(raw_data!$E:$E,raw_data!$A:$A,AE1,raw_data!$D:$D,"Secondary_Walkin")</f>
        <v>3</v>
      </c>
      <c r="AF3" s="41">
        <f>sumifs(raw_data!$E:$E,raw_data!$A:$A,AF1,raw_data!$D:$D,"Secondary_Walkin")</f>
        <v>3</v>
      </c>
      <c r="AG3" s="41"/>
      <c r="AH3" s="41"/>
      <c r="AI3" s="41"/>
      <c r="AJ3" s="139"/>
    </row>
    <row r="4">
      <c r="A4" s="138" t="s">
        <v>39</v>
      </c>
      <c r="B4" s="41"/>
      <c r="C4" s="41">
        <f t="shared" si="1"/>
        <v>497</v>
      </c>
      <c r="D4" s="41"/>
      <c r="E4" s="41">
        <f>sumifs(raw_data!$Z:$Z,raw_data!$U:$U,"Telephony",raw_data!$T:$T,E1)</f>
        <v>14</v>
      </c>
      <c r="F4" s="41">
        <f>sumifs(raw_data!$Z:$Z,raw_data!$U:$U,"Telephony",raw_data!$T:$T,F1)</f>
        <v>35</v>
      </c>
      <c r="G4" s="41">
        <f>sumifs(raw_data!$Z:$Z,raw_data!$U:$U,"Telephony",raw_data!$T:$T,G1)</f>
        <v>19</v>
      </c>
      <c r="H4" s="41">
        <f>sumifs(raw_data!$Z:$Z,raw_data!$U:$U,"Telephony",raw_data!$T:$T,H1)</f>
        <v>24</v>
      </c>
      <c r="I4" s="41">
        <f>sumifs(raw_data!$Z:$Z,raw_data!$U:$U,"Telephony",raw_data!$T:$T,I1)</f>
        <v>24</v>
      </c>
      <c r="J4" s="41">
        <f>sumifs(raw_data!$Z:$Z,raw_data!$U:$U,"Telephony",raw_data!$T:$T,J1)</f>
        <v>29</v>
      </c>
      <c r="K4" s="41">
        <f>sumifs(raw_data!$Z:$Z,raw_data!$U:$U,"Telephony",raw_data!$T:$T,K1)</f>
        <v>23</v>
      </c>
      <c r="L4" s="41">
        <f>sumifs(raw_data!$Z:$Z,raw_data!$U:$U,"Telephony",raw_data!$T:$T,L1)</f>
        <v>7</v>
      </c>
      <c r="M4" s="41">
        <f>sumifs(raw_data!$Z:$Z,raw_data!$U:$U,"Telephony",raw_data!$T:$T,M1)</f>
        <v>13</v>
      </c>
      <c r="N4" s="41">
        <f>sumifs(raw_data!$Z:$Z,raw_data!$U:$U,"Telephony",raw_data!$T:$T,N1)</f>
        <v>14</v>
      </c>
      <c r="O4" s="41">
        <f>sumifs(raw_data!$Z:$Z,raw_data!$U:$U,"Telephony",raw_data!$T:$T,O1)</f>
        <v>13</v>
      </c>
      <c r="P4" s="41">
        <f>sumifs(raw_data!$Z:$Z,raw_data!$U:$U,"Telephony",raw_data!$T:$T,P1)</f>
        <v>18</v>
      </c>
      <c r="Q4" s="41">
        <f>sumifs(raw_data!$Z:$Z,raw_data!$U:$U,"Telephony",raw_data!$T:$T,Q1)</f>
        <v>8</v>
      </c>
      <c r="R4" s="41">
        <f>sumifs(raw_data!$Z:$Z,raw_data!$U:$U,"Telephony",raw_data!$T:$T,R1)</f>
        <v>10</v>
      </c>
      <c r="S4" s="41">
        <f>sumifs(raw_data!$Z:$Z,raw_data!$U:$U,"Telephony",raw_data!$T:$T,S1)</f>
        <v>11</v>
      </c>
      <c r="T4" s="41">
        <f>sumifs(raw_data!$Z:$Z,raw_data!$U:$U,"Telephony",raw_data!$T:$T,T1)</f>
        <v>11</v>
      </c>
      <c r="U4" s="41">
        <f>sumifs(raw_data!$Z:$Z,raw_data!$U:$U,"Telephony",raw_data!$T:$T,U1)</f>
        <v>10</v>
      </c>
      <c r="V4" s="41">
        <f>sumifs(raw_data!$Z:$Z,raw_data!$U:$U,"Telephony",raw_data!$T:$T,V1)</f>
        <v>11</v>
      </c>
      <c r="W4" s="41">
        <f>sumifs(raw_data!$Z:$Z,raw_data!$U:$U,"Telephony",raw_data!$T:$T,W1)</f>
        <v>14</v>
      </c>
      <c r="X4" s="41">
        <f>sumifs(raw_data!$Z:$Z,raw_data!$U:$U,"Telephony",raw_data!$T:$T,X1)</f>
        <v>14</v>
      </c>
      <c r="Y4" s="41">
        <f>sumifs(raw_data!$Z:$Z,raw_data!$U:$U,"Telephony",raw_data!$T:$T,Y1)</f>
        <v>11</v>
      </c>
      <c r="Z4" s="41">
        <f>sumifs(raw_data!$Z:$Z,raw_data!$U:$U,"Telephony",raw_data!$T:$T,Z1)</f>
        <v>12</v>
      </c>
      <c r="AA4" s="41">
        <f>sumifs(raw_data!$Z:$Z,raw_data!$U:$U,"Telephony",raw_data!$T:$T,AA1)</f>
        <v>19</v>
      </c>
      <c r="AB4" s="41">
        <f>sumifs(raw_data!$Z:$Z,raw_data!$U:$U,"Telephony",raw_data!$T:$T,AB1)</f>
        <v>19</v>
      </c>
      <c r="AC4" s="41">
        <f>sumifs(raw_data!$Z:$Z,raw_data!$U:$U,"Telephony",raw_data!$T:$T,AC1)</f>
        <v>32</v>
      </c>
      <c r="AD4" s="41">
        <f>sumifs(raw_data!$Z:$Z,raw_data!$U:$U,"Telephony",raw_data!$T:$T,AD1)</f>
        <v>29</v>
      </c>
      <c r="AE4" s="41">
        <f>sumifs(raw_data!$Z:$Z,raw_data!$U:$U,"Telephony",raw_data!$T:$T,AE1)</f>
        <v>25</v>
      </c>
      <c r="AF4" s="41">
        <f>sumifs(raw_data!$Z:$Z,raw_data!$U:$U,"Telephony",raw_data!$T:$T,AF1)</f>
        <v>28</v>
      </c>
      <c r="AG4" s="41"/>
      <c r="AH4" s="41"/>
      <c r="AI4" s="41"/>
      <c r="AJ4" s="139"/>
    </row>
    <row r="5">
      <c r="A5" s="138" t="s">
        <v>463</v>
      </c>
      <c r="B5" s="41"/>
      <c r="C5" s="41">
        <f t="shared" si="1"/>
        <v>255</v>
      </c>
      <c r="D5" s="41"/>
      <c r="E5" s="41">
        <f>sumifs(raw_data!$Z:$Z,raw_data!$U:$U,"Paid Ads",raw_data!$T:$T,E1)</f>
        <v>3</v>
      </c>
      <c r="F5" s="41">
        <f>sumifs(raw_data!$Z:$Z,raw_data!$U:$U,"Paid Ads",raw_data!$T:$T,F1)</f>
        <v>2</v>
      </c>
      <c r="G5" s="41">
        <f>sumifs(raw_data!$Z:$Z,raw_data!$U:$U,"Paid Ads",raw_data!$T:$T,G1)</f>
        <v>0</v>
      </c>
      <c r="H5" s="41">
        <f>sumifs(raw_data!$Z:$Z,raw_data!$U:$U,"Paid Ads",raw_data!$T:$T,H1)</f>
        <v>117</v>
      </c>
      <c r="I5" s="41">
        <f>sumifs(raw_data!$Z:$Z,raw_data!$U:$U,"Paid Ads",raw_data!$T:$T,I1)</f>
        <v>0</v>
      </c>
      <c r="J5" s="41">
        <f>sumifs(raw_data!$Z:$Z,raw_data!$U:$U,"Paid Ads",raw_data!$T:$T,J1)</f>
        <v>58</v>
      </c>
      <c r="K5" s="41">
        <f>sumifs(raw_data!$Z:$Z,raw_data!$U:$U,"Paid Ads",raw_data!$T:$T,K1)</f>
        <v>0</v>
      </c>
      <c r="L5" s="41">
        <f>sumifs(raw_data!$Z:$Z,raw_data!$U:$U,"Paid Ads",raw_data!$T:$T,L1)</f>
        <v>3</v>
      </c>
      <c r="M5" s="41">
        <f>sumifs(raw_data!$Z:$Z,raw_data!$U:$U,"Paid Ads",raw_data!$T:$T,M1)</f>
        <v>0</v>
      </c>
      <c r="N5" s="41">
        <f>sumifs(raw_data!$Z:$Z,raw_data!$U:$U,"Paid Ads",raw_data!$T:$T,N1)</f>
        <v>2</v>
      </c>
      <c r="O5" s="41">
        <f>sumifs(raw_data!$Z:$Z,raw_data!$U:$U,"Paid Ads",raw_data!$T:$T,O1)</f>
        <v>1</v>
      </c>
      <c r="P5" s="41">
        <f>sumifs(raw_data!$Z:$Z,raw_data!$U:$U,"Paid Ads",raw_data!$T:$T,P1)</f>
        <v>0</v>
      </c>
      <c r="Q5" s="41">
        <f>sumifs(raw_data!$Z:$Z,raw_data!$U:$U,"Paid Ads",raw_data!$T:$T,Q1)</f>
        <v>1</v>
      </c>
      <c r="R5" s="41">
        <f>sumifs(raw_data!$Z:$Z,raw_data!$U:$U,"Paid Ads",raw_data!$T:$T,R1)</f>
        <v>1</v>
      </c>
      <c r="S5" s="41">
        <f>sumifs(raw_data!$Z:$Z,raw_data!$U:$U,"Paid Ads",raw_data!$T:$T,S1)</f>
        <v>0</v>
      </c>
      <c r="T5" s="41">
        <f>sumifs(raw_data!$Z:$Z,raw_data!$U:$U,"Paid Ads",raw_data!$T:$T,T1)</f>
        <v>1</v>
      </c>
      <c r="U5" s="41">
        <f>sumifs(raw_data!$Z:$Z,raw_data!$U:$U,"Paid Ads",raw_data!$T:$T,U1)</f>
        <v>64</v>
      </c>
      <c r="V5" s="41">
        <f>sumifs(raw_data!$Z:$Z,raw_data!$U:$U,"Paid Ads",raw_data!$T:$T,V1)</f>
        <v>0</v>
      </c>
      <c r="W5" s="41">
        <f>sumifs(raw_data!$Z:$Z,raw_data!$U:$U,"Paid Ads",raw_data!$T:$T,W1)</f>
        <v>1</v>
      </c>
      <c r="X5" s="41">
        <f>sumifs(raw_data!$Z:$Z,raw_data!$U:$U,"Paid Ads",raw_data!$T:$T,X1)</f>
        <v>0</v>
      </c>
      <c r="Y5" s="41">
        <f>sumifs(raw_data!$Z:$Z,raw_data!$U:$U,"Paid Ads",raw_data!$T:$T,Y1)</f>
        <v>0</v>
      </c>
      <c r="Z5" s="41">
        <f>sumifs(raw_data!$Z:$Z,raw_data!$U:$U,"Paid Ads",raw_data!$T:$T,Z1)</f>
        <v>0</v>
      </c>
      <c r="AA5" s="41">
        <f>sumifs(raw_data!$Z:$Z,raw_data!$U:$U,"Paid Ads",raw_data!$T:$T,AA1)</f>
        <v>0</v>
      </c>
      <c r="AB5" s="41">
        <f>sumifs(raw_data!$Z:$Z,raw_data!$U:$U,"Paid Ads",raw_data!$T:$T,AB1)</f>
        <v>1</v>
      </c>
      <c r="AC5" s="41">
        <f>sumifs(raw_data!$Z:$Z,raw_data!$U:$U,"Paid Ads",raw_data!$T:$T,AC1)</f>
        <v>0</v>
      </c>
      <c r="AD5" s="41">
        <f>sumifs(raw_data!$Z:$Z,raw_data!$U:$U,"Paid Ads",raw_data!$T:$T,AD1)</f>
        <v>0</v>
      </c>
      <c r="AE5" s="41">
        <f>sumifs(raw_data!$Z:$Z,raw_data!$U:$U,"Paid Ads",raw_data!$T:$T,AE1)</f>
        <v>0</v>
      </c>
      <c r="AF5" s="41">
        <f>sumifs(raw_data!$Z:$Z,raw_data!$U:$U,"Paid Ads",raw_data!$T:$T,AF1)</f>
        <v>0</v>
      </c>
      <c r="AG5" s="41"/>
      <c r="AH5" s="41"/>
      <c r="AI5" s="41"/>
      <c r="AJ5" s="139"/>
    </row>
    <row r="6">
      <c r="A6" s="138" t="s">
        <v>41</v>
      </c>
      <c r="B6" s="41"/>
      <c r="C6" s="41">
        <f t="shared" si="1"/>
        <v>0</v>
      </c>
      <c r="D6" s="41"/>
      <c r="E6" s="41">
        <f t="shared" ref="E6:AF6" si="2">E16+E25+E34+E43+E52</f>
        <v>0</v>
      </c>
      <c r="F6" s="41">
        <f t="shared" si="2"/>
        <v>0</v>
      </c>
      <c r="G6" s="41">
        <f t="shared" si="2"/>
        <v>0</v>
      </c>
      <c r="H6" s="41">
        <f t="shared" si="2"/>
        <v>0</v>
      </c>
      <c r="I6" s="41">
        <f t="shared" si="2"/>
        <v>0</v>
      </c>
      <c r="J6" s="41">
        <f t="shared" si="2"/>
        <v>0</v>
      </c>
      <c r="K6" s="41">
        <f t="shared" si="2"/>
        <v>0</v>
      </c>
      <c r="L6" s="41">
        <f t="shared" si="2"/>
        <v>0</v>
      </c>
      <c r="M6" s="41">
        <f t="shared" si="2"/>
        <v>0</v>
      </c>
      <c r="N6" s="41">
        <f t="shared" si="2"/>
        <v>0</v>
      </c>
      <c r="O6" s="41">
        <f t="shared" si="2"/>
        <v>0</v>
      </c>
      <c r="P6" s="41">
        <f t="shared" si="2"/>
        <v>0</v>
      </c>
      <c r="Q6" s="41">
        <f t="shared" si="2"/>
        <v>0</v>
      </c>
      <c r="R6" s="41">
        <f t="shared" si="2"/>
        <v>0</v>
      </c>
      <c r="S6" s="41">
        <f t="shared" si="2"/>
        <v>0</v>
      </c>
      <c r="T6" s="41">
        <f t="shared" si="2"/>
        <v>0</v>
      </c>
      <c r="U6" s="41">
        <f t="shared" si="2"/>
        <v>0</v>
      </c>
      <c r="V6" s="41">
        <f t="shared" si="2"/>
        <v>0</v>
      </c>
      <c r="W6" s="41">
        <f t="shared" si="2"/>
        <v>0</v>
      </c>
      <c r="X6" s="41">
        <f t="shared" si="2"/>
        <v>0</v>
      </c>
      <c r="Y6" s="41">
        <f t="shared" si="2"/>
        <v>0</v>
      </c>
      <c r="Z6" s="41">
        <f t="shared" si="2"/>
        <v>0</v>
      </c>
      <c r="AA6" s="41">
        <f t="shared" si="2"/>
        <v>0</v>
      </c>
      <c r="AB6" s="41">
        <f t="shared" si="2"/>
        <v>0</v>
      </c>
      <c r="AC6" s="41">
        <f t="shared" si="2"/>
        <v>0</v>
      </c>
      <c r="AD6" s="41">
        <f t="shared" si="2"/>
        <v>0</v>
      </c>
      <c r="AE6" s="41">
        <f t="shared" si="2"/>
        <v>0</v>
      </c>
      <c r="AF6" s="41">
        <f t="shared" si="2"/>
        <v>0</v>
      </c>
      <c r="AG6" s="41"/>
      <c r="AH6" s="41"/>
      <c r="AI6" s="41"/>
      <c r="AJ6" s="139"/>
    </row>
    <row r="7">
      <c r="A7" s="138" t="s">
        <v>43</v>
      </c>
      <c r="B7" s="41"/>
      <c r="C7" s="41">
        <f t="shared" si="1"/>
        <v>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139"/>
    </row>
    <row r="8">
      <c r="A8" s="140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</row>
    <row r="9">
      <c r="A9" s="140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</row>
    <row r="10">
      <c r="A10" s="140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</row>
    <row r="11">
      <c r="A11" s="141" t="s">
        <v>22</v>
      </c>
      <c r="B11" s="135" t="s">
        <v>44</v>
      </c>
      <c r="C11" s="135" t="s">
        <v>46</v>
      </c>
      <c r="D11" s="135" t="s">
        <v>45</v>
      </c>
      <c r="E11" s="136">
        <v>46054.0</v>
      </c>
      <c r="F11" s="136">
        <v>46055.0</v>
      </c>
      <c r="G11" s="136">
        <v>46056.0</v>
      </c>
      <c r="H11" s="136">
        <v>46057.0</v>
      </c>
      <c r="I11" s="136">
        <v>46058.0</v>
      </c>
      <c r="J11" s="136">
        <v>46059.0</v>
      </c>
      <c r="K11" s="136">
        <v>46060.0</v>
      </c>
      <c r="L11" s="136">
        <v>46061.0</v>
      </c>
      <c r="M11" s="136">
        <v>46062.0</v>
      </c>
      <c r="N11" s="136">
        <v>46063.0</v>
      </c>
      <c r="O11" s="136">
        <v>46064.0</v>
      </c>
      <c r="P11" s="136">
        <v>46065.0</v>
      </c>
      <c r="Q11" s="136">
        <v>46066.0</v>
      </c>
      <c r="R11" s="136">
        <v>46067.0</v>
      </c>
      <c r="S11" s="136">
        <v>46068.0</v>
      </c>
      <c r="T11" s="136">
        <v>46069.0</v>
      </c>
      <c r="U11" s="136">
        <v>46070.0</v>
      </c>
      <c r="V11" s="136">
        <v>46071.0</v>
      </c>
      <c r="W11" s="136">
        <v>46072.0</v>
      </c>
      <c r="X11" s="136">
        <v>46073.0</v>
      </c>
      <c r="Y11" s="136">
        <v>46074.0</v>
      </c>
      <c r="Z11" s="136">
        <v>46075.0</v>
      </c>
      <c r="AA11" s="136">
        <v>46076.0</v>
      </c>
      <c r="AB11" s="136">
        <v>46077.0</v>
      </c>
      <c r="AC11" s="136">
        <v>46078.0</v>
      </c>
      <c r="AD11" s="136">
        <v>46079.0</v>
      </c>
      <c r="AE11" s="136">
        <v>46080.0</v>
      </c>
      <c r="AF11" s="136">
        <v>46081.0</v>
      </c>
      <c r="AG11" s="136"/>
      <c r="AH11" s="136"/>
      <c r="AI11" s="136"/>
      <c r="AJ11" s="139"/>
    </row>
    <row r="12">
      <c r="A12" s="138" t="s">
        <v>56</v>
      </c>
      <c r="B12" s="41"/>
      <c r="C12" s="41">
        <f t="shared" ref="C12:C17" si="3">sum(E12:AI12)</f>
        <v>450</v>
      </c>
      <c r="D12" s="41"/>
      <c r="E12" s="41">
        <f>sumifs(raw_data!$E:$E,raw_data!$A:$A,E11,raw_data!$C:$C,$A$11)</f>
        <v>19</v>
      </c>
      <c r="F12" s="41">
        <f>sumifs(raw_data!$E:$E,raw_data!$A:$A,F11,raw_data!$C:$C,$A$11,raw_data!$D:$D,"Primary_Walkin")</f>
        <v>16</v>
      </c>
      <c r="G12" s="41">
        <f>sumifs(raw_data!$E:$E,raw_data!$A:$A,G11,raw_data!$C:$C,$A$11,raw_data!$D:$D,"Primary_Walkin")</f>
        <v>23</v>
      </c>
      <c r="H12" s="41">
        <f>sumifs(raw_data!$E:$E,raw_data!$A:$A,H11,raw_data!$C:$C,$A$11,raw_data!$D:$D,"Primary_Walkin")</f>
        <v>16</v>
      </c>
      <c r="I12" s="41">
        <f>sumifs(raw_data!$E:$E,raw_data!$A:$A,I11,raw_data!$C:$C,$A$11,raw_data!$D:$D,"Primary_Walkin")</f>
        <v>21</v>
      </c>
      <c r="J12" s="41">
        <f>sumifs(raw_data!$E:$E,raw_data!$A:$A,J11,raw_data!$C:$C,$A$11,raw_data!$D:$D,"Primary_Walkin")</f>
        <v>10</v>
      </c>
      <c r="K12" s="41">
        <f>sumifs(raw_data!$E:$E,raw_data!$A:$A,K11,raw_data!$C:$C,$A$11,raw_data!$D:$D,"Primary_Walkin")</f>
        <v>29</v>
      </c>
      <c r="L12" s="41">
        <f>sumifs(raw_data!$E:$E,raw_data!$A:$A,L11,raw_data!$C:$C,$A$11,raw_data!$D:$D,"Primary_Walkin")</f>
        <v>22</v>
      </c>
      <c r="M12" s="41">
        <f>sumifs(raw_data!$E:$E,raw_data!$A:$A,M11,raw_data!$C:$C,$A$11,raw_data!$D:$D,"Primary_Walkin")</f>
        <v>13</v>
      </c>
      <c r="N12" s="41">
        <f>sumifs(raw_data!$E:$E,raw_data!$A:$A,N11,raw_data!$C:$C,$A$11,raw_data!$D:$D,"Primary_Walkin")</f>
        <v>19</v>
      </c>
      <c r="O12" s="41">
        <f>sumifs(raw_data!$E:$E,raw_data!$A:$A,O11,raw_data!$C:$C,$A$11,raw_data!$D:$D,"Primary_Walkin")</f>
        <v>11</v>
      </c>
      <c r="P12" s="41">
        <f>sumifs(raw_data!$E:$E,raw_data!$A:$A,P11,raw_data!$C:$C,$A$11,raw_data!$D:$D,"Primary_Walkin")</f>
        <v>27</v>
      </c>
      <c r="Q12" s="41">
        <f>sumifs(raw_data!$E:$E,raw_data!$A:$A,Q11,raw_data!$C:$C,$A$11,raw_data!$D:$D,"Primary_Walkin")</f>
        <v>13</v>
      </c>
      <c r="R12" s="41">
        <f>sumifs(raw_data!$E:$E,raw_data!$A:$A,R11,raw_data!$C:$C,$A$11,raw_data!$D:$D,"Primary_Walkin")</f>
        <v>14</v>
      </c>
      <c r="S12" s="41">
        <f>sumifs(raw_data!$E:$E,raw_data!$A:$A,S11,raw_data!$C:$C,$A$11,raw_data!$D:$D,"Primary_Walkin")</f>
        <v>8</v>
      </c>
      <c r="T12" s="41">
        <f>sumifs(raw_data!$E:$E,raw_data!$A:$A,T11,raw_data!$C:$C,$A$11,raw_data!$D:$D,"Primary_Walkin")</f>
        <v>12</v>
      </c>
      <c r="U12" s="41">
        <f>sumifs(raw_data!$E:$E,raw_data!$A:$A,U11,raw_data!$C:$C,$A$11,raw_data!$D:$D,"Primary_Walkin")</f>
        <v>18</v>
      </c>
      <c r="V12" s="41">
        <f>sumifs(raw_data!$E:$E,raw_data!$A:$A,V11,raw_data!$C:$C,$A$11,raw_data!$D:$D,"Primary_Walkin")</f>
        <v>11</v>
      </c>
      <c r="W12" s="41">
        <f>sumifs(raw_data!$E:$E,raw_data!$A:$A,W11,raw_data!$C:$C,$A$11,raw_data!$D:$D,"Primary_Walkin")</f>
        <v>12</v>
      </c>
      <c r="X12" s="41">
        <f>sumifs(raw_data!$E:$E,raw_data!$A:$A,X11,raw_data!$C:$C,$A$11,raw_data!$D:$D,"Primary_Walkin")</f>
        <v>13</v>
      </c>
      <c r="Y12" s="41">
        <f>sumifs(raw_data!$E:$E,raw_data!$A:$A,Y11,raw_data!$C:$C,$A$11,raw_data!$D:$D,"Primary_Walkin")</f>
        <v>19</v>
      </c>
      <c r="Z12" s="41">
        <f>sumifs(raw_data!$E:$E,raw_data!$A:$A,Z11,raw_data!$C:$C,$A$11,raw_data!$D:$D,"Primary_Walkin")</f>
        <v>14</v>
      </c>
      <c r="AA12" s="41">
        <f>sumifs(raw_data!$E:$E,raw_data!$A:$A,AA11,raw_data!$C:$C,$A$11,raw_data!$D:$D,"Primary_Walkin")</f>
        <v>15</v>
      </c>
      <c r="AB12" s="41">
        <f>sumifs(raw_data!$E:$E,raw_data!$A:$A,AB11,raw_data!$C:$C,$A$11,raw_data!$D:$D,"Primary_Walkin")</f>
        <v>16</v>
      </c>
      <c r="AC12" s="41">
        <f>sumifs(raw_data!$E:$E,raw_data!$A:$A,AC11,raw_data!$C:$C,$A$11,raw_data!$D:$D,"Primary_Walkin")</f>
        <v>13</v>
      </c>
      <c r="AD12" s="41">
        <f>sumifs(raw_data!$E:$E,raw_data!$A:$A,AD11,raw_data!$C:$C,$A$11,raw_data!$D:$D,"Primary_Walkin")</f>
        <v>18</v>
      </c>
      <c r="AE12" s="41">
        <f>sumifs(raw_data!$E:$E,raw_data!$A:$A,AE11,raw_data!$C:$C,$A$11,raw_data!$D:$D,"Primary_Walkin")</f>
        <v>13</v>
      </c>
      <c r="AF12" s="41">
        <f>sumifs(raw_data!$E:$E,raw_data!$A:$A,AF11,raw_data!$C:$C,$A$11,raw_data!$D:$D,"Primary_Walkin")</f>
        <v>15</v>
      </c>
      <c r="AG12" s="41"/>
      <c r="AH12" s="41"/>
      <c r="AI12" s="41"/>
      <c r="AJ12" s="139"/>
    </row>
    <row r="13">
      <c r="A13" s="138" t="s">
        <v>462</v>
      </c>
      <c r="B13" s="41"/>
      <c r="C13" s="41">
        <f t="shared" si="3"/>
        <v>47</v>
      </c>
      <c r="D13" s="41"/>
      <c r="E13" s="41">
        <f>sumifs(raw_data!$E:$E,raw_data!$A:$A,E11,raw_data!$C:$C,$A$11,raw_data!$D:$D,"Secondary_Walkin")</f>
        <v>0</v>
      </c>
      <c r="F13" s="41">
        <f>sumifs(raw_data!$E:$E,raw_data!$A:$A,F11,raw_data!$C:$C,$A$11,raw_data!$D:$D,"Secondary_Walkin")</f>
        <v>1</v>
      </c>
      <c r="G13" s="41">
        <f>sumifs(raw_data!$E:$E,raw_data!$A:$A,G11,raw_data!$C:$C,$A$11,raw_data!$D:$D,"Secondary_Walkin")</f>
        <v>4</v>
      </c>
      <c r="H13" s="41">
        <f>sumifs(raw_data!$E:$E,raw_data!$A:$A,H11,raw_data!$C:$C,$A$11,raw_data!$D:$D,"Secondary_Walkin")</f>
        <v>0</v>
      </c>
      <c r="I13" s="41">
        <f>sumifs(raw_data!$E:$E,raw_data!$A:$A,I11,raw_data!$C:$C,$A$11,raw_data!$D:$D,"Secondary_Walkin")</f>
        <v>1</v>
      </c>
      <c r="J13" s="41">
        <f>sumifs(raw_data!$E:$E,raw_data!$A:$A,J11,raw_data!$C:$C,$A$11,raw_data!$D:$D,"Secondary_Walkin")</f>
        <v>3</v>
      </c>
      <c r="K13" s="41">
        <f>sumifs(raw_data!$E:$E,raw_data!$A:$A,K11,raw_data!$C:$C,$A$11,raw_data!$D:$D,"Secondary_Walkin")</f>
        <v>2</v>
      </c>
      <c r="L13" s="41">
        <f>sumifs(raw_data!$E:$E,raw_data!$A:$A,L11,raw_data!$C:$C,$A$11,raw_data!$D:$D,"Secondary_Walkin")</f>
        <v>2</v>
      </c>
      <c r="M13" s="41">
        <f>sumifs(raw_data!$E:$E,raw_data!$A:$A,M11,raw_data!$C:$C,$A$11,raw_data!$D:$D,"Secondary_Walkin")</f>
        <v>2</v>
      </c>
      <c r="N13" s="41">
        <f>sumifs(raw_data!$E:$E,raw_data!$A:$A,N11,raw_data!$C:$C,$A$11,raw_data!$D:$D,"Secondary_Walkin")</f>
        <v>0</v>
      </c>
      <c r="O13" s="41">
        <f>sumifs(raw_data!$E:$E,raw_data!$A:$A,O11,raw_data!$C:$C,$A$11,raw_data!$D:$D,"Secondary_Walkin")</f>
        <v>4</v>
      </c>
      <c r="P13" s="41">
        <f>sumifs(raw_data!$E:$E,raw_data!$A:$A,P11,raw_data!$C:$C,$A$11,raw_data!$D:$D,"Secondary_Walkin")</f>
        <v>3</v>
      </c>
      <c r="Q13" s="41">
        <f>sumifs(raw_data!$E:$E,raw_data!$A:$A,Q11,raw_data!$C:$C,$A$11,raw_data!$D:$D,"Secondary_Walkin")</f>
        <v>3</v>
      </c>
      <c r="R13" s="41">
        <f>sumifs(raw_data!$E:$E,raw_data!$A:$A,R11,raw_data!$C:$C,$A$11,raw_data!$D:$D,"Secondary_Walkin")</f>
        <v>1</v>
      </c>
      <c r="S13" s="41">
        <f>sumifs(raw_data!$E:$E,raw_data!$A:$A,S11,raw_data!$C:$C,$A$11,raw_data!$D:$D,"Secondary_Walkin")</f>
        <v>1</v>
      </c>
      <c r="T13" s="41">
        <f>sumifs(raw_data!$E:$E,raw_data!$A:$A,T11,raw_data!$C:$C,$A$11,raw_data!$D:$D,"Secondary_Walkin")</f>
        <v>1</v>
      </c>
      <c r="U13" s="41">
        <f>sumifs(raw_data!$E:$E,raw_data!$A:$A,U11,raw_data!$C:$C,$A$11,raw_data!$D:$D,"Secondary_Walkin")</f>
        <v>2</v>
      </c>
      <c r="V13" s="41">
        <f>sumifs(raw_data!$E:$E,raw_data!$A:$A,V11,raw_data!$C:$C,$A$11,raw_data!$D:$D,"Secondary_Walkin")</f>
        <v>2</v>
      </c>
      <c r="W13" s="41">
        <f>sumifs(raw_data!$E:$E,raw_data!$A:$A,W11,raw_data!$C:$C,$A$11,raw_data!$D:$D,"Secondary_Walkin")</f>
        <v>2</v>
      </c>
      <c r="X13" s="41">
        <f>sumifs(raw_data!$E:$E,raw_data!$A:$A,X11,raw_data!$C:$C,$A$11,raw_data!$D:$D,"Secondary_Walkin")</f>
        <v>1</v>
      </c>
      <c r="Y13" s="41">
        <f>sumifs(raw_data!$E:$E,raw_data!$A:$A,Y11,raw_data!$C:$C,$A$11,raw_data!$D:$D,"Secondary_Walkin")</f>
        <v>2</v>
      </c>
      <c r="Z13" s="41">
        <f>sumifs(raw_data!$E:$E,raw_data!$A:$A,Z11,raw_data!$C:$C,$A$11,raw_data!$D:$D,"Secondary_Walkin")</f>
        <v>1</v>
      </c>
      <c r="AA13" s="41">
        <f>sumifs(raw_data!$E:$E,raw_data!$A:$A,AA11,raw_data!$C:$C,$A$11,raw_data!$D:$D,"Secondary_Walkin")</f>
        <v>0</v>
      </c>
      <c r="AB13" s="41">
        <f>sumifs(raw_data!$E:$E,raw_data!$A:$A,AB11,raw_data!$C:$C,$A$11,raw_data!$D:$D,"Secondary_Walkin")</f>
        <v>3</v>
      </c>
      <c r="AC13" s="41">
        <f>sumifs(raw_data!$E:$E,raw_data!$A:$A,AC11,raw_data!$C:$C,$A$11,raw_data!$D:$D,"Secondary_Walkin")</f>
        <v>1</v>
      </c>
      <c r="AD13" s="41">
        <f>sumifs(raw_data!$E:$E,raw_data!$A:$A,AD11,raw_data!$C:$C,$A$11,raw_data!$D:$D,"Secondary_Walkin")</f>
        <v>3</v>
      </c>
      <c r="AE13" s="41">
        <f>sumifs(raw_data!$E:$E,raw_data!$A:$A,AE11,raw_data!$C:$C,$A$11,raw_data!$D:$D,"Secondary_Walkin")</f>
        <v>1</v>
      </c>
      <c r="AF13" s="41">
        <f>sumifs(raw_data!$E:$E,raw_data!$A:$A,AF11,raw_data!$C:$C,$A$11,raw_data!$D:$D,"Secondary_Walkin")</f>
        <v>1</v>
      </c>
      <c r="AG13" s="41"/>
      <c r="AH13" s="41"/>
      <c r="AI13" s="41"/>
      <c r="AJ13" s="139"/>
    </row>
    <row r="14">
      <c r="A14" s="138" t="s">
        <v>39</v>
      </c>
      <c r="B14" s="41"/>
      <c r="C14" s="41">
        <f t="shared" si="3"/>
        <v>90</v>
      </c>
      <c r="D14" s="41"/>
      <c r="E14" s="41">
        <f>sumifs(raw_data!$Z:$Z,raw_data!$U:$U,"Telephony",raw_data!$T:$T,E11,raw_data!$Y:$Y,$A$11)</f>
        <v>1</v>
      </c>
      <c r="F14" s="41">
        <f>sumifs(raw_data!$Z:$Z,raw_data!$U:$U,"Telephony",raw_data!$T:$T,F11,raw_data!$Y:$Y,$A$11)</f>
        <v>4</v>
      </c>
      <c r="G14" s="41">
        <f>sumifs(raw_data!$Z:$Z,raw_data!$U:$U,"Telephony",raw_data!$T:$T,G11,raw_data!$Y:$Y,$A$11)</f>
        <v>2</v>
      </c>
      <c r="H14" s="41">
        <f>sumifs(raw_data!$Z:$Z,raw_data!$U:$U,"Telephony",raw_data!$T:$T,H11,raw_data!$Y:$Y,$A$11)</f>
        <v>2</v>
      </c>
      <c r="I14" s="41">
        <f>sumifs(raw_data!$Z:$Z,raw_data!$U:$U,"Telephony",raw_data!$T:$T,I11,raw_data!$Y:$Y,$A$11)</f>
        <v>1</v>
      </c>
      <c r="J14" s="41">
        <f>sumifs(raw_data!$Z:$Z,raw_data!$U:$U,"Telephony",raw_data!$T:$T,J11,raw_data!$Y:$Y,$A$11)</f>
        <v>2</v>
      </c>
      <c r="K14" s="41">
        <f>sumifs(raw_data!$Z:$Z,raw_data!$U:$U,"Telephony",raw_data!$T:$T,K11,raw_data!$Y:$Y,$A$11)</f>
        <v>0</v>
      </c>
      <c r="L14" s="41">
        <f>sumifs(raw_data!$Z:$Z,raw_data!$U:$U,"Telephony",raw_data!$T:$T,L11,raw_data!$Y:$Y,$A$11)</f>
        <v>0</v>
      </c>
      <c r="M14" s="41">
        <f>sumifs(raw_data!$Z:$Z,raw_data!$U:$U,"Telephony",raw_data!$T:$T,M11,raw_data!$Y:$Y,$A$11)</f>
        <v>0</v>
      </c>
      <c r="N14" s="41">
        <f>sumifs(raw_data!$Z:$Z,raw_data!$U:$U,"Telephony",raw_data!$T:$T,N11,raw_data!$Y:$Y,$A$11)</f>
        <v>0</v>
      </c>
      <c r="O14" s="41">
        <f>sumifs(raw_data!$Z:$Z,raw_data!$U:$U,"Telephony",raw_data!$T:$T,O11,raw_data!$Y:$Y,$A$11)</f>
        <v>0</v>
      </c>
      <c r="P14" s="41">
        <f>sumifs(raw_data!$Z:$Z,raw_data!$U:$U,"Telephony",raw_data!$T:$T,P11,raw_data!$Y:$Y,$A$11)</f>
        <v>0</v>
      </c>
      <c r="Q14" s="41">
        <f>sumifs(raw_data!$Z:$Z,raw_data!$U:$U,"Telephony",raw_data!$T:$T,Q11,raw_data!$Y:$Y,$A$11)</f>
        <v>0</v>
      </c>
      <c r="R14" s="41">
        <f>sumifs(raw_data!$Z:$Z,raw_data!$U:$U,"Telephony",raw_data!$T:$T,R11,raw_data!$Y:$Y,$A$11)</f>
        <v>0</v>
      </c>
      <c r="S14" s="41">
        <f>sumifs(raw_data!$Z:$Z,raw_data!$U:$U,"Telephony",raw_data!$T:$T,S11,raw_data!$Y:$Y,$A$11)</f>
        <v>0</v>
      </c>
      <c r="T14" s="41">
        <f>sumifs(raw_data!$Z:$Z,raw_data!$U:$U,"Telephony",raw_data!$T:$T,T11,raw_data!$Y:$Y,$A$11)</f>
        <v>0</v>
      </c>
      <c r="U14" s="41">
        <f>sumifs(raw_data!$Z:$Z,raw_data!$U:$U,"Telephony",raw_data!$T:$T,U11,raw_data!$Y:$Y,$A$11)</f>
        <v>0</v>
      </c>
      <c r="V14" s="41">
        <f>sumifs(raw_data!$Z:$Z,raw_data!$U:$U,"Telephony",raw_data!$T:$T,V11,raw_data!$Y:$Y,$A$11)</f>
        <v>0</v>
      </c>
      <c r="W14" s="41">
        <f>sumifs(raw_data!$Z:$Z,raw_data!$U:$U,"Telephony",raw_data!$T:$T,W11,raw_data!$Y:$Y,$A$11)</f>
        <v>0</v>
      </c>
      <c r="X14" s="41">
        <f>sumifs(raw_data!$Z:$Z,raw_data!$U:$U,"Telephony",raw_data!$T:$T,X11,raw_data!$Y:$Y,$A$11)</f>
        <v>0</v>
      </c>
      <c r="Y14" s="41">
        <f>sumifs(raw_data!$Z:$Z,raw_data!$U:$U,"Telephony",raw_data!$T:$T,Y11,raw_data!$Y:$Y,$A$11)</f>
        <v>0</v>
      </c>
      <c r="Z14" s="41">
        <f>sumifs(raw_data!$Z:$Z,raw_data!$U:$U,"Telephony",raw_data!$T:$T,Z11,raw_data!$Y:$Y,$A$11)</f>
        <v>0</v>
      </c>
      <c r="AA14" s="41">
        <f>sumifs(raw_data!$Z:$Z,raw_data!$U:$U,"Telephony",raw_data!$T:$T,AA11,raw_data!$Y:$Y,$A$11)</f>
        <v>8</v>
      </c>
      <c r="AB14" s="41">
        <f>sumifs(raw_data!$Z:$Z,raw_data!$U:$U,"Telephony",raw_data!$T:$T,AB11,raw_data!$Y:$Y,$A$11)</f>
        <v>4</v>
      </c>
      <c r="AC14" s="41">
        <f>sumifs(raw_data!$Z:$Z,raw_data!$U:$U,"Telephony",raw_data!$T:$T,AC11,raw_data!$Y:$Y,$A$11)</f>
        <v>19</v>
      </c>
      <c r="AD14" s="41">
        <f>sumifs(raw_data!$Z:$Z,raw_data!$U:$U,"Telephony",raw_data!$T:$T,AD11,raw_data!$Y:$Y,$A$11)</f>
        <v>14</v>
      </c>
      <c r="AE14" s="41">
        <f>sumifs(raw_data!$Z:$Z,raw_data!$U:$U,"Telephony",raw_data!$T:$T,AE11,raw_data!$Y:$Y,$A$11)</f>
        <v>15</v>
      </c>
      <c r="AF14" s="41">
        <f>sumifs(raw_data!$Z:$Z,raw_data!$U:$U,"Telephony",raw_data!$T:$T,AF11,raw_data!$Y:$Y,$A$11)</f>
        <v>18</v>
      </c>
      <c r="AG14" s="41"/>
      <c r="AH14" s="41"/>
      <c r="AI14" s="41"/>
      <c r="AJ14" s="139"/>
    </row>
    <row r="15">
      <c r="A15" s="138" t="s">
        <v>463</v>
      </c>
      <c r="B15" s="41"/>
      <c r="C15" s="41">
        <f t="shared" si="3"/>
        <v>65</v>
      </c>
      <c r="D15" s="41"/>
      <c r="E15" s="41">
        <f>sumifs(raw_data!$Z:$Z,raw_data!$U:$U,"Paid Ads",raw_data!$T:$T,E11,raw_data!$Y:$Y,$A$11)</f>
        <v>1</v>
      </c>
      <c r="F15" s="41">
        <f>sumifs(raw_data!$Z:$Z,raw_data!$U:$U,"Paid Ads",raw_data!$T:$T,F11,raw_data!$Y:$Y,$A$11)</f>
        <v>0</v>
      </c>
      <c r="G15" s="41">
        <f>sumifs(raw_data!$Z:$Z,raw_data!$U:$U,"Paid Ads",raw_data!$T:$T,G11,raw_data!$Y:$Y,$A$11)</f>
        <v>0</v>
      </c>
      <c r="H15" s="41">
        <f>sumifs(raw_data!$Z:$Z,raw_data!$U:$U,"Paid Ads",raw_data!$T:$T,H11,raw_data!$Y:$Y,$A$11)</f>
        <v>0</v>
      </c>
      <c r="I15" s="41">
        <f>sumifs(raw_data!$Z:$Z,raw_data!$U:$U,"Paid Ads",raw_data!$T:$T,I11,raw_data!$Y:$Y,$A$11)</f>
        <v>0</v>
      </c>
      <c r="J15" s="41">
        <f>sumifs(raw_data!$Z:$Z,raw_data!$U:$U,"Paid Ads",raw_data!$T:$T,J11,raw_data!$Y:$Y,$A$11)</f>
        <v>58</v>
      </c>
      <c r="K15" s="41">
        <f>sumifs(raw_data!$Z:$Z,raw_data!$U:$U,"Paid Ads",raw_data!$T:$T,K11,raw_data!$Y:$Y,$A$11)</f>
        <v>0</v>
      </c>
      <c r="L15" s="41">
        <f>sumifs(raw_data!$Z:$Z,raw_data!$U:$U,"Paid Ads",raw_data!$T:$T,L11,raw_data!$Y:$Y,$A$11)</f>
        <v>1</v>
      </c>
      <c r="M15" s="41">
        <f>sumifs(raw_data!$Z:$Z,raw_data!$U:$U,"Paid Ads",raw_data!$T:$T,M11,raw_data!$Y:$Y,$A$11)</f>
        <v>0</v>
      </c>
      <c r="N15" s="41">
        <f>sumifs(raw_data!$Z:$Z,raw_data!$U:$U,"Paid Ads",raw_data!$T:$T,N11,raw_data!$Y:$Y,$A$11)</f>
        <v>0</v>
      </c>
      <c r="O15" s="41">
        <f>sumifs(raw_data!$Z:$Z,raw_data!$U:$U,"Paid Ads",raw_data!$T:$T,O11,raw_data!$Y:$Y,$A$11)</f>
        <v>1</v>
      </c>
      <c r="P15" s="41">
        <f>sumifs(raw_data!$Z:$Z,raw_data!$U:$U,"Paid Ads",raw_data!$T:$T,P11,raw_data!$Y:$Y,$A$11)</f>
        <v>0</v>
      </c>
      <c r="Q15" s="41">
        <f>sumifs(raw_data!$Z:$Z,raw_data!$U:$U,"Paid Ads",raw_data!$T:$T,Q11,raw_data!$Y:$Y,$A$11)</f>
        <v>1</v>
      </c>
      <c r="R15" s="41">
        <f>sumifs(raw_data!$Z:$Z,raw_data!$U:$U,"Paid Ads",raw_data!$T:$T,R11,raw_data!$Y:$Y,$A$11)</f>
        <v>0</v>
      </c>
      <c r="S15" s="41">
        <f>sumifs(raw_data!$Z:$Z,raw_data!$U:$U,"Paid Ads",raw_data!$T:$T,S11,raw_data!$Y:$Y,$A$11)</f>
        <v>0</v>
      </c>
      <c r="T15" s="41">
        <f>sumifs(raw_data!$Z:$Z,raw_data!$U:$U,"Paid Ads",raw_data!$T:$T,T11,raw_data!$Y:$Y,$A$11)</f>
        <v>1</v>
      </c>
      <c r="U15" s="41">
        <f>sumifs(raw_data!$Z:$Z,raw_data!$U:$U,"Paid Ads",raw_data!$T:$T,U11,raw_data!$Y:$Y,$A$11)</f>
        <v>1</v>
      </c>
      <c r="V15" s="41">
        <f>sumifs(raw_data!$Z:$Z,raw_data!$U:$U,"Paid Ads",raw_data!$T:$T,V11,raw_data!$Y:$Y,$A$11)</f>
        <v>0</v>
      </c>
      <c r="W15" s="41">
        <f>sumifs(raw_data!$Z:$Z,raw_data!$U:$U,"Paid Ads",raw_data!$T:$T,W11,raw_data!$Y:$Y,$A$11)</f>
        <v>0</v>
      </c>
      <c r="X15" s="41">
        <f>sumifs(raw_data!$Z:$Z,raw_data!$U:$U,"Paid Ads",raw_data!$T:$T,X11,raw_data!$Y:$Y,$A$11)</f>
        <v>0</v>
      </c>
      <c r="Y15" s="41">
        <f>sumifs(raw_data!$Z:$Z,raw_data!$U:$U,"Paid Ads",raw_data!$T:$T,Y11,raw_data!$Y:$Y,$A$11)</f>
        <v>0</v>
      </c>
      <c r="Z15" s="41">
        <f>sumifs(raw_data!$Z:$Z,raw_data!$U:$U,"Paid Ads",raw_data!$T:$T,Z11,raw_data!$Y:$Y,$A$11)</f>
        <v>0</v>
      </c>
      <c r="AA15" s="41">
        <f>sumifs(raw_data!$Z:$Z,raw_data!$U:$U,"Paid Ads",raw_data!$T:$T,AA11,raw_data!$Y:$Y,$A$11)</f>
        <v>0</v>
      </c>
      <c r="AB15" s="41">
        <f>sumifs(raw_data!$Z:$Z,raw_data!$U:$U,"Paid Ads",raw_data!$T:$T,AB11,raw_data!$Y:$Y,$A$11)</f>
        <v>1</v>
      </c>
      <c r="AC15" s="41">
        <f>sumifs(raw_data!$Z:$Z,raw_data!$U:$U,"Paid Ads",raw_data!$T:$T,AC11,raw_data!$Y:$Y,$A$11)</f>
        <v>0</v>
      </c>
      <c r="AD15" s="41">
        <f>sumifs(raw_data!$Z:$Z,raw_data!$U:$U,"Paid Ads",raw_data!$T:$T,AD11,raw_data!$Y:$Y,$A$11)</f>
        <v>0</v>
      </c>
      <c r="AE15" s="41">
        <f>sumifs(raw_data!$Z:$Z,raw_data!$U:$U,"Paid Ads",raw_data!$T:$T,AE11,raw_data!$Y:$Y,$A$11)</f>
        <v>0</v>
      </c>
      <c r="AF15" s="41">
        <f>sumifs(raw_data!$Z:$Z,raw_data!$U:$U,"Paid Ads",raw_data!$T:$T,AF11,raw_data!$Y:$Y,$A$11)</f>
        <v>0</v>
      </c>
      <c r="AG15" s="41"/>
      <c r="AH15" s="41"/>
      <c r="AI15" s="41"/>
      <c r="AJ15" s="139"/>
    </row>
    <row r="16">
      <c r="A16" s="138" t="s">
        <v>41</v>
      </c>
      <c r="B16" s="41"/>
      <c r="C16" s="41">
        <f t="shared" si="3"/>
        <v>0</v>
      </c>
      <c r="D16" s="41"/>
      <c r="E16" s="41">
        <f>sumifs(raw_data!$M:$M,raw_data!$K:$K,E11,raw_data!$N:$N,$A$11)</f>
        <v>0</v>
      </c>
      <c r="F16" s="41">
        <f>sumifs(raw_data!$M:$M,raw_data!$K:$K,F11,raw_data!$N:$N,$A$11)</f>
        <v>0</v>
      </c>
      <c r="G16" s="41">
        <f>sumifs(raw_data!$M:$M,raw_data!$K:$K,G11,raw_data!$N:$N,$A$11)</f>
        <v>0</v>
      </c>
      <c r="H16" s="41">
        <f>sumifs(raw_data!$M:$M,raw_data!$K:$K,H11,raw_data!$N:$N,$A$11)</f>
        <v>0</v>
      </c>
      <c r="I16" s="41">
        <f>sumifs(raw_data!$M:$M,raw_data!$K:$K,I11,raw_data!$N:$N,$A$11)</f>
        <v>0</v>
      </c>
      <c r="J16" s="41">
        <f>sumifs(raw_data!$M:$M,raw_data!$K:$K,J11,raw_data!$N:$N,$A$11)</f>
        <v>0</v>
      </c>
      <c r="K16" s="41">
        <f>sumifs(raw_data!$M:$M,raw_data!$K:$K,K11,raw_data!$N:$N,$A$11)</f>
        <v>0</v>
      </c>
      <c r="L16" s="41">
        <f>sumifs(raw_data!$M:$M,raw_data!$K:$K,L11,raw_data!$N:$N,$A$11)</f>
        <v>0</v>
      </c>
      <c r="M16" s="41">
        <f>sumifs(raw_data!$M:$M,raw_data!$K:$K,M11,raw_data!$N:$N,$A$11)</f>
        <v>0</v>
      </c>
      <c r="N16" s="41">
        <f>sumifs(raw_data!$M:$M,raw_data!$K:$K,N11,raw_data!$N:$N,$A$11)</f>
        <v>0</v>
      </c>
      <c r="O16" s="41">
        <f>sumifs(raw_data!$M:$M,raw_data!$K:$K,O11,raw_data!$N:$N,$A$11)</f>
        <v>0</v>
      </c>
      <c r="P16" s="41">
        <f>sumifs(raw_data!$M:$M,raw_data!$K:$K,P11,raw_data!$N:$N,$A$11)</f>
        <v>0</v>
      </c>
      <c r="Q16" s="41">
        <f>sumifs(raw_data!$M:$M,raw_data!$K:$K,Q11,raw_data!$N:$N,$A$11)</f>
        <v>0</v>
      </c>
      <c r="R16" s="41">
        <f>sumifs(raw_data!$M:$M,raw_data!$K:$K,R11,raw_data!$N:$N,$A$11)</f>
        <v>0</v>
      </c>
      <c r="S16" s="41">
        <f>sumifs(raw_data!$M:$M,raw_data!$K:$K,S11,raw_data!$N:$N,$A$11)</f>
        <v>0</v>
      </c>
      <c r="T16" s="41">
        <f>sumifs(raw_data!$M:$M,raw_data!$K:$K,T11,raw_data!$N:$N,$A$11)</f>
        <v>0</v>
      </c>
      <c r="U16" s="41">
        <f>sumifs(raw_data!$M:$M,raw_data!$K:$K,U11,raw_data!$N:$N,$A$11)</f>
        <v>0</v>
      </c>
      <c r="V16" s="41">
        <f>sumifs(raw_data!$M:$M,raw_data!$K:$K,V11,raw_data!$N:$N,$A$11)</f>
        <v>0</v>
      </c>
      <c r="W16" s="41">
        <f>sumifs(raw_data!$M:$M,raw_data!$K:$K,W11,raw_data!$N:$N,$A$11)</f>
        <v>0</v>
      </c>
      <c r="X16" s="41">
        <f>sumifs(raw_data!$M:$M,raw_data!$K:$K,X11,raw_data!$N:$N,$A$11)</f>
        <v>0</v>
      </c>
      <c r="Y16" s="41">
        <f>sumifs(raw_data!$M:$M,raw_data!$K:$K,Y11,raw_data!$N:$N,$A$11)</f>
        <v>0</v>
      </c>
      <c r="Z16" s="41">
        <f>sumifs(raw_data!$M:$M,raw_data!$K:$K,Z11,raw_data!$N:$N,$A$11)</f>
        <v>0</v>
      </c>
      <c r="AA16" s="41">
        <f>sumifs(raw_data!$M:$M,raw_data!$K:$K,AA11,raw_data!$N:$N,$A$11)</f>
        <v>0</v>
      </c>
      <c r="AB16" s="41">
        <f>sumifs(raw_data!$M:$M,raw_data!$K:$K,AB11,raw_data!$N:$N,$A$11)</f>
        <v>0</v>
      </c>
      <c r="AC16" s="41">
        <f>sumifs(raw_data!$M:$M,raw_data!$K:$K,AC11,raw_data!$N:$N,$A$11)</f>
        <v>0</v>
      </c>
      <c r="AD16" s="41">
        <f>sumifs(raw_data!$M:$M,raw_data!$K:$K,AD11,raw_data!$N:$N,$A$11)</f>
        <v>0</v>
      </c>
      <c r="AE16" s="41">
        <f>sumifs(raw_data!$M:$M,raw_data!$K:$K,AE11,raw_data!$N:$N,$A$11)</f>
        <v>0</v>
      </c>
      <c r="AF16" s="41">
        <f>sumifs(raw_data!$M:$M,raw_data!$K:$K,AF11,raw_data!$N:$N,$A$11)</f>
        <v>0</v>
      </c>
      <c r="AG16" s="41"/>
      <c r="AH16" s="41"/>
      <c r="AI16" s="41"/>
      <c r="AJ16" s="139"/>
    </row>
    <row r="17">
      <c r="A17" s="138" t="s">
        <v>43</v>
      </c>
      <c r="B17" s="41"/>
      <c r="C17" s="41">
        <f t="shared" si="3"/>
        <v>0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139"/>
    </row>
    <row r="18">
      <c r="A18" s="140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</row>
    <row r="19">
      <c r="A19" s="140"/>
      <c r="B19" s="139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</row>
    <row r="20">
      <c r="A20" s="141" t="s">
        <v>61</v>
      </c>
      <c r="B20" s="135" t="s">
        <v>44</v>
      </c>
      <c r="C20" s="135" t="s">
        <v>46</v>
      </c>
      <c r="D20" s="135" t="s">
        <v>45</v>
      </c>
      <c r="E20" s="136">
        <v>46054.0</v>
      </c>
      <c r="F20" s="136">
        <v>46055.0</v>
      </c>
      <c r="G20" s="136">
        <v>46056.0</v>
      </c>
      <c r="H20" s="136">
        <v>46057.0</v>
      </c>
      <c r="I20" s="136">
        <v>46058.0</v>
      </c>
      <c r="J20" s="136">
        <v>46059.0</v>
      </c>
      <c r="K20" s="136">
        <v>46060.0</v>
      </c>
      <c r="L20" s="136">
        <v>46061.0</v>
      </c>
      <c r="M20" s="136">
        <v>46062.0</v>
      </c>
      <c r="N20" s="136">
        <v>46063.0</v>
      </c>
      <c r="O20" s="136">
        <v>46064.0</v>
      </c>
      <c r="P20" s="136">
        <v>46065.0</v>
      </c>
      <c r="Q20" s="136">
        <v>46066.0</v>
      </c>
      <c r="R20" s="136">
        <v>46067.0</v>
      </c>
      <c r="S20" s="136">
        <v>46068.0</v>
      </c>
      <c r="T20" s="136">
        <v>46069.0</v>
      </c>
      <c r="U20" s="136">
        <v>46070.0</v>
      </c>
      <c r="V20" s="136">
        <v>46071.0</v>
      </c>
      <c r="W20" s="136">
        <v>46072.0</v>
      </c>
      <c r="X20" s="136">
        <v>46073.0</v>
      </c>
      <c r="Y20" s="136">
        <v>46074.0</v>
      </c>
      <c r="Z20" s="136">
        <v>46075.0</v>
      </c>
      <c r="AA20" s="136">
        <v>46076.0</v>
      </c>
      <c r="AB20" s="136">
        <v>46077.0</v>
      </c>
      <c r="AC20" s="136">
        <v>46078.0</v>
      </c>
      <c r="AD20" s="136">
        <v>46079.0</v>
      </c>
      <c r="AE20" s="136">
        <v>46080.0</v>
      </c>
      <c r="AF20" s="136">
        <v>46081.0</v>
      </c>
      <c r="AG20" s="136"/>
      <c r="AH20" s="136"/>
      <c r="AI20" s="136"/>
      <c r="AJ20" s="139"/>
    </row>
    <row r="21">
      <c r="A21" s="138" t="s">
        <v>56</v>
      </c>
      <c r="B21" s="41"/>
      <c r="C21" s="41">
        <f t="shared" ref="C21:C26" si="4">sum(E21:AI21)</f>
        <v>79</v>
      </c>
      <c r="D21" s="41"/>
      <c r="E21" s="41">
        <f>sumifs(raw_data!$E:$E,raw_data!$A:$A,E20,raw_data!$C:$C,$A$20,raw_data!$D:$D,"Primary_Walkin")</f>
        <v>0</v>
      </c>
      <c r="F21" s="41">
        <f>sumifs(raw_data!$E:$E,raw_data!$A:$A,F20,raw_data!$C:$C,$A$20,raw_data!$D:$D,"Primary_Walkin")</f>
        <v>3</v>
      </c>
      <c r="G21" s="41">
        <f>sumifs(raw_data!$E:$E,raw_data!$A:$A,G20,raw_data!$C:$C,$A$20,raw_data!$D:$D,"Primary_Walkin")</f>
        <v>1</v>
      </c>
      <c r="H21" s="41">
        <f>sumifs(raw_data!$E:$E,raw_data!$A:$A,H20,raw_data!$C:$C,$A$20,raw_data!$D:$D,"Primary_Walkin")</f>
        <v>1</v>
      </c>
      <c r="I21" s="41">
        <f>sumifs(raw_data!$E:$E,raw_data!$A:$A,I20,raw_data!$C:$C,$A$20,raw_data!$D:$D,"Primary_Walkin")</f>
        <v>1</v>
      </c>
      <c r="J21" s="41">
        <f>sumifs(raw_data!$E:$E,raw_data!$A:$A,J20,raw_data!$C:$C,$A$20,raw_data!$D:$D,"Primary_Walkin")</f>
        <v>2</v>
      </c>
      <c r="K21" s="41">
        <f>sumifs(raw_data!$E:$E,raw_data!$A:$A,K20,raw_data!$C:$C,$A$20,raw_data!$D:$D,"Primary_Walkin")</f>
        <v>7</v>
      </c>
      <c r="L21" s="41">
        <f>sumifs(raw_data!$E:$E,raw_data!$A:$A,L20,raw_data!$C:$C,$A$20,raw_data!$D:$D,"Primary_Walkin")</f>
        <v>2</v>
      </c>
      <c r="M21" s="41">
        <f>sumifs(raw_data!$E:$E,raw_data!$A:$A,M20,raw_data!$C:$C,$A$20,raw_data!$D:$D,"Primary_Walkin")</f>
        <v>8</v>
      </c>
      <c r="N21" s="41">
        <f>sumifs(raw_data!$E:$E,raw_data!$A:$A,N20,raw_data!$C:$C,$A$20,raw_data!$D:$D,"Primary_Walkin")</f>
        <v>5</v>
      </c>
      <c r="O21" s="41">
        <f>sumifs(raw_data!$E:$E,raw_data!$A:$A,O20,raw_data!$C:$C,$A$20,raw_data!$D:$D,"Primary_Walkin")</f>
        <v>1</v>
      </c>
      <c r="P21" s="41">
        <f>sumifs(raw_data!$E:$E,raw_data!$A:$A,P20,raw_data!$C:$C,$A$20,raw_data!$D:$D,"Primary_Walkin")</f>
        <v>4</v>
      </c>
      <c r="Q21" s="41">
        <f>sumifs(raw_data!$E:$E,raw_data!$A:$A,Q20,raw_data!$C:$C,$A$20,raw_data!$D:$D,"Primary_Walkin")</f>
        <v>2</v>
      </c>
      <c r="R21" s="41">
        <f>sumifs(raw_data!$E:$E,raw_data!$A:$A,R20,raw_data!$C:$C,$A$20,raw_data!$D:$D,"Primary_Walkin")</f>
        <v>5</v>
      </c>
      <c r="S21" s="41">
        <f>sumifs(raw_data!$E:$E,raw_data!$A:$A,S20,raw_data!$C:$C,$A$20,raw_data!$D:$D,"Primary_Walkin")</f>
        <v>3</v>
      </c>
      <c r="T21" s="41">
        <f>sumifs(raw_data!$E:$E,raw_data!$A:$A,T20,raw_data!$C:$C,$A$20,raw_data!$D:$D,"Primary_Walkin")</f>
        <v>3</v>
      </c>
      <c r="U21" s="41">
        <f>sumifs(raw_data!$E:$E,raw_data!$A:$A,U20,raw_data!$C:$C,$A$20,raw_data!$D:$D,"Primary_Walkin")</f>
        <v>0</v>
      </c>
      <c r="V21" s="41">
        <f>sumifs(raw_data!$E:$E,raw_data!$A:$A,V20,raw_data!$C:$C,$A$20,raw_data!$D:$D,"Primary_Walkin")</f>
        <v>9</v>
      </c>
      <c r="W21" s="41">
        <f>sumifs(raw_data!$E:$E,raw_data!$A:$A,W20,raw_data!$C:$C,$A$20,raw_data!$D:$D,"Primary_Walkin")</f>
        <v>4</v>
      </c>
      <c r="X21" s="41">
        <f>sumifs(raw_data!$E:$E,raw_data!$A:$A,X20,raw_data!$C:$C,$A$20,raw_data!$D:$D,"Primary_Walkin")</f>
        <v>3</v>
      </c>
      <c r="Y21" s="41">
        <f>sumifs(raw_data!$E:$E,raw_data!$A:$A,Y20,raw_data!$C:$C,$A$20,raw_data!$D:$D,"Primary_Walkin")</f>
        <v>1</v>
      </c>
      <c r="Z21" s="41">
        <f>sumifs(raw_data!$E:$E,raw_data!$A:$A,Z20,raw_data!$C:$C,$A$20,raw_data!$D:$D,"Primary_Walkin")</f>
        <v>2</v>
      </c>
      <c r="AA21" s="41">
        <f>sumifs(raw_data!$E:$E,raw_data!$A:$A,AA20,raw_data!$C:$C,$A$20,raw_data!$D:$D,"Primary_Walkin")</f>
        <v>6</v>
      </c>
      <c r="AB21" s="41">
        <f>sumifs(raw_data!$E:$E,raw_data!$A:$A,AB20,raw_data!$C:$C,$A$20,raw_data!$D:$D,"Primary_Walkin")</f>
        <v>1</v>
      </c>
      <c r="AC21" s="41">
        <f>sumifs(raw_data!$E:$E,raw_data!$A:$A,AC20,raw_data!$C:$C,$A$20,raw_data!$D:$D,"Primary_Walkin")</f>
        <v>2</v>
      </c>
      <c r="AD21" s="41">
        <f>sumifs(raw_data!$E:$E,raw_data!$A:$A,AD20,raw_data!$C:$C,$A$20,raw_data!$D:$D,"Primary_Walkin")</f>
        <v>3</v>
      </c>
      <c r="AE21" s="41">
        <f>sumifs(raw_data!$E:$E,raw_data!$A:$A,AE20,raw_data!$C:$C,$A$20,raw_data!$D:$D,"Primary_Walkin")</f>
        <v>0</v>
      </c>
      <c r="AF21" s="41">
        <f>sumifs(raw_data!$E:$E,raw_data!$A:$A,AF20,raw_data!$C:$C,$A$20,raw_data!$D:$D,"Primary_Walkin")</f>
        <v>0</v>
      </c>
      <c r="AG21" s="41"/>
      <c r="AH21" s="41"/>
      <c r="AI21" s="41"/>
      <c r="AJ21" s="139"/>
    </row>
    <row r="22">
      <c r="A22" s="138" t="s">
        <v>462</v>
      </c>
      <c r="B22" s="41"/>
      <c r="C22" s="41">
        <f t="shared" si="4"/>
        <v>14</v>
      </c>
      <c r="D22" s="41"/>
      <c r="E22" s="41">
        <f>sumifs(raw_data!$E:$E,raw_data!$A:$A,E20,raw_data!$C:$C,$A$20,raw_data!$D:$D,"Secondary_Walkin")</f>
        <v>0</v>
      </c>
      <c r="F22" s="41">
        <f>sumifs(raw_data!$E:$E,raw_data!$A:$A,F20,raw_data!$C:$C,$A$20,raw_data!$D:$D,"Secondary_Walkin")</f>
        <v>0</v>
      </c>
      <c r="G22" s="41">
        <f>sumifs(raw_data!$E:$E,raw_data!$A:$A,G20,raw_data!$C:$C,$A$20,raw_data!$D:$D,"Secondary_Walkin")</f>
        <v>0</v>
      </c>
      <c r="H22" s="41">
        <f>sumifs(raw_data!$E:$E,raw_data!$A:$A,H20,raw_data!$C:$C,$A$20,raw_data!$D:$D,"Secondary_Walkin")</f>
        <v>1</v>
      </c>
      <c r="I22" s="41">
        <f>sumifs(raw_data!$E:$E,raw_data!$A:$A,I20,raw_data!$C:$C,$A$20,raw_data!$D:$D,"Secondary_Walkin")</f>
        <v>1</v>
      </c>
      <c r="J22" s="41">
        <f>sumifs(raw_data!$E:$E,raw_data!$A:$A,J20,raw_data!$C:$C,$A$20,raw_data!$D:$D,"Secondary_Walkin")</f>
        <v>0</v>
      </c>
      <c r="K22" s="41">
        <f>sumifs(raw_data!$E:$E,raw_data!$A:$A,K20,raw_data!$C:$C,$A$20,raw_data!$D:$D,"Secondary_Walkin")</f>
        <v>0</v>
      </c>
      <c r="L22" s="41">
        <f>sumifs(raw_data!$E:$E,raw_data!$A:$A,L20,raw_data!$C:$C,$A$20,raw_data!$D:$D,"Secondary_Walkin")</f>
        <v>1</v>
      </c>
      <c r="M22" s="41">
        <f>sumifs(raw_data!$E:$E,raw_data!$A:$A,M20,raw_data!$C:$C,$A$20,raw_data!$D:$D,"Secondary_Walkin")</f>
        <v>2</v>
      </c>
      <c r="N22" s="41">
        <f>sumifs(raw_data!$E:$E,raw_data!$A:$A,N20,raw_data!$C:$C,$A$20,raw_data!$D:$D,"Secondary_Walkin")</f>
        <v>0</v>
      </c>
      <c r="O22" s="41">
        <f>sumifs(raw_data!$E:$E,raw_data!$A:$A,O20,raw_data!$C:$C,$A$20,raw_data!$D:$D,"Secondary_Walkin")</f>
        <v>1</v>
      </c>
      <c r="P22" s="41">
        <f>sumifs(raw_data!$E:$E,raw_data!$A:$A,P20,raw_data!$C:$C,$A$20,raw_data!$D:$D,"Secondary_Walkin")</f>
        <v>0</v>
      </c>
      <c r="Q22" s="41">
        <f>sumifs(raw_data!$E:$E,raw_data!$A:$A,Q20,raw_data!$C:$C,$A$20,raw_data!$D:$D,"Secondary_Walkin")</f>
        <v>1</v>
      </c>
      <c r="R22" s="41">
        <f>sumifs(raw_data!$E:$E,raw_data!$A:$A,R20,raw_data!$C:$C,$A$20,raw_data!$D:$D,"Secondary_Walkin")</f>
        <v>0</v>
      </c>
      <c r="S22" s="41">
        <f>sumifs(raw_data!$E:$E,raw_data!$A:$A,S20,raw_data!$C:$C,$A$20,raw_data!$D:$D,"Secondary_Walkin")</f>
        <v>1</v>
      </c>
      <c r="T22" s="41">
        <f>sumifs(raw_data!$E:$E,raw_data!$A:$A,T20,raw_data!$C:$C,$A$20,raw_data!$D:$D,"Secondary_Walkin")</f>
        <v>0</v>
      </c>
      <c r="U22" s="41">
        <f>sumifs(raw_data!$E:$E,raw_data!$A:$A,U20,raw_data!$C:$C,$A$20,raw_data!$D:$D,"Secondary_Walkin")</f>
        <v>0</v>
      </c>
      <c r="V22" s="41">
        <f>sumifs(raw_data!$E:$E,raw_data!$A:$A,V20,raw_data!$C:$C,$A$20,raw_data!$D:$D,"Secondary_Walkin")</f>
        <v>1</v>
      </c>
      <c r="W22" s="41">
        <f>sumifs(raw_data!$E:$E,raw_data!$A:$A,W20,raw_data!$C:$C,$A$20,raw_data!$D:$D,"Secondary_Walkin")</f>
        <v>0</v>
      </c>
      <c r="X22" s="41">
        <f>sumifs(raw_data!$E:$E,raw_data!$A:$A,X20,raw_data!$C:$C,$A$20,raw_data!$D:$D,"Secondary_Walkin")</f>
        <v>1</v>
      </c>
      <c r="Y22" s="41">
        <f>sumifs(raw_data!$E:$E,raw_data!$A:$A,Y20,raw_data!$C:$C,$A$20,raw_data!$D:$D,"Secondary_Walkin")</f>
        <v>2</v>
      </c>
      <c r="Z22" s="41">
        <f>sumifs(raw_data!$E:$E,raw_data!$A:$A,Z20,raw_data!$C:$C,$A$20,raw_data!$D:$D,"Secondary_Walkin")</f>
        <v>0</v>
      </c>
      <c r="AA22" s="41">
        <f>sumifs(raw_data!$E:$E,raw_data!$A:$A,AA20,raw_data!$C:$C,$A$20,raw_data!$D:$D,"Secondary_Walkin")</f>
        <v>1</v>
      </c>
      <c r="AB22" s="41">
        <f>sumifs(raw_data!$E:$E,raw_data!$A:$A,AB20,raw_data!$C:$C,$A$20,raw_data!$D:$D,"Secondary_Walkin")</f>
        <v>0</v>
      </c>
      <c r="AC22" s="41">
        <f>sumifs(raw_data!$E:$E,raw_data!$A:$A,AC20,raw_data!$C:$C,$A$20,raw_data!$D:$D,"Secondary_Walkin")</f>
        <v>1</v>
      </c>
      <c r="AD22" s="41">
        <f>sumifs(raw_data!$E:$E,raw_data!$A:$A,AD20,raw_data!$C:$C,$A$20,raw_data!$D:$D,"Secondary_Walkin")</f>
        <v>0</v>
      </c>
      <c r="AE22" s="41">
        <f>sumifs(raw_data!$E:$E,raw_data!$A:$A,AE20,raw_data!$C:$C,$A$20,raw_data!$D:$D,"Secondary_Walkin")</f>
        <v>0</v>
      </c>
      <c r="AF22" s="41">
        <f>sumifs(raw_data!$E:$E,raw_data!$A:$A,AF20,raw_data!$C:$C,$A$20,raw_data!$D:$D,"Secondary_Walkin")</f>
        <v>0</v>
      </c>
      <c r="AG22" s="41"/>
      <c r="AH22" s="41"/>
      <c r="AI22" s="41"/>
      <c r="AJ22" s="139"/>
    </row>
    <row r="23">
      <c r="A23" s="138" t="s">
        <v>39</v>
      </c>
      <c r="B23" s="41"/>
      <c r="C23" s="41">
        <f t="shared" si="4"/>
        <v>4</v>
      </c>
      <c r="D23" s="41"/>
      <c r="E23" s="41">
        <f>sumifs(raw_data!$Z:$Z,raw_data!$U:$U,"Telephony",raw_data!$T:$T,E20,raw_data!$Y:$Y,$A$20)</f>
        <v>0</v>
      </c>
      <c r="F23" s="41">
        <f>sumifs(raw_data!$Z:$Z,raw_data!$U:$U,"Telephony",raw_data!$T:$T,F20,raw_data!$Y:$Y,$A$20)</f>
        <v>0</v>
      </c>
      <c r="G23" s="41">
        <f>sumifs(raw_data!$Z:$Z,raw_data!$U:$U,"Telephony",raw_data!$T:$T,G20,raw_data!$Y:$Y,$A$20)</f>
        <v>0</v>
      </c>
      <c r="H23" s="41">
        <f>sumifs(raw_data!$Z:$Z,raw_data!$U:$U,"Telephony",raw_data!$T:$T,H20,raw_data!$Y:$Y,$A$20)</f>
        <v>0</v>
      </c>
      <c r="I23" s="41">
        <f>sumifs(raw_data!$Z:$Z,raw_data!$U:$U,"Telephony",raw_data!$T:$T,I20,raw_data!$Y:$Y,$A$20)</f>
        <v>1</v>
      </c>
      <c r="J23" s="41">
        <f>sumifs(raw_data!$Z:$Z,raw_data!$U:$U,"Telephony",raw_data!$T:$T,J20,raw_data!$Y:$Y,$A$20)</f>
        <v>0</v>
      </c>
      <c r="K23" s="41">
        <f>sumifs(raw_data!$Z:$Z,raw_data!$U:$U,"Telephony",raw_data!$T:$T,K20,raw_data!$Y:$Y,$A$20)</f>
        <v>0</v>
      </c>
      <c r="L23" s="41">
        <f>sumifs(raw_data!$Z:$Z,raw_data!$U:$U,"Telephony",raw_data!$T:$T,L20,raw_data!$Y:$Y,$A$20)</f>
        <v>0</v>
      </c>
      <c r="M23" s="41">
        <f>sumifs(raw_data!$Z:$Z,raw_data!$U:$U,"Telephony",raw_data!$T:$T,M20,raw_data!$Y:$Y,$A$20)</f>
        <v>0</v>
      </c>
      <c r="N23" s="41">
        <f>sumifs(raw_data!$Z:$Z,raw_data!$U:$U,"Telephony",raw_data!$T:$T,N20,raw_data!$Y:$Y,$A$20)</f>
        <v>0</v>
      </c>
      <c r="O23" s="41">
        <f>sumifs(raw_data!$Z:$Z,raw_data!$U:$U,"Telephony",raw_data!$T:$T,O20,raw_data!$Y:$Y,$A$20)</f>
        <v>1</v>
      </c>
      <c r="P23" s="41">
        <f>sumifs(raw_data!$Z:$Z,raw_data!$U:$U,"Telephony",raw_data!$T:$T,P20,raw_data!$Y:$Y,$A$20)</f>
        <v>1</v>
      </c>
      <c r="Q23" s="41">
        <f>sumifs(raw_data!$Z:$Z,raw_data!$U:$U,"Telephony",raw_data!$T:$T,Q20,raw_data!$Y:$Y,$A$20)</f>
        <v>0</v>
      </c>
      <c r="R23" s="41">
        <f>sumifs(raw_data!$Z:$Z,raw_data!$U:$U,"Telephony",raw_data!$T:$T,R20,raw_data!$Y:$Y,$A$20)</f>
        <v>0</v>
      </c>
      <c r="S23" s="41">
        <f>sumifs(raw_data!$Z:$Z,raw_data!$U:$U,"Telephony",raw_data!$T:$T,S20,raw_data!$Y:$Y,$A$20)</f>
        <v>0</v>
      </c>
      <c r="T23" s="41">
        <f>sumifs(raw_data!$Z:$Z,raw_data!$U:$U,"Telephony",raw_data!$T:$T,T20,raw_data!$Y:$Y,$A$20)</f>
        <v>0</v>
      </c>
      <c r="U23" s="41">
        <f>sumifs(raw_data!$Z:$Z,raw_data!$U:$U,"Telephony",raw_data!$T:$T,U20,raw_data!$Y:$Y,$A$20)</f>
        <v>0</v>
      </c>
      <c r="V23" s="41">
        <f>sumifs(raw_data!$Z:$Z,raw_data!$U:$U,"Telephony",raw_data!$T:$T,V20,raw_data!$Y:$Y,$A$20)</f>
        <v>1</v>
      </c>
      <c r="W23" s="41">
        <f>sumifs(raw_data!$Z:$Z,raw_data!$U:$U,"Telephony",raw_data!$T:$T,W20,raw_data!$Y:$Y,$A$20)</f>
        <v>0</v>
      </c>
      <c r="X23" s="41">
        <f>sumifs(raw_data!$Z:$Z,raw_data!$U:$U,"Telephony",raw_data!$T:$T,X20,raw_data!$Y:$Y,$A$20)</f>
        <v>0</v>
      </c>
      <c r="Y23" s="41">
        <f>sumifs(raw_data!$Z:$Z,raw_data!$U:$U,"Telephony",raw_data!$T:$T,Y20,raw_data!$Y:$Y,$A$20)</f>
        <v>0</v>
      </c>
      <c r="Z23" s="41">
        <f>sumifs(raw_data!$Z:$Z,raw_data!$U:$U,"Telephony",raw_data!$T:$T,Z20,raw_data!$Y:$Y,$A$20)</f>
        <v>0</v>
      </c>
      <c r="AA23" s="41">
        <f>sumifs(raw_data!$Z:$Z,raw_data!$U:$U,"Telephony",raw_data!$T:$T,AA20,raw_data!$Y:$Y,$A$20)</f>
        <v>0</v>
      </c>
      <c r="AB23" s="41">
        <f>sumifs(raw_data!$Z:$Z,raw_data!$U:$U,"Telephony",raw_data!$T:$T,AB20,raw_data!$Y:$Y,$A$20)</f>
        <v>0</v>
      </c>
      <c r="AC23" s="41">
        <f>sumifs(raw_data!$Z:$Z,raw_data!$U:$U,"Telephony",raw_data!$T:$T,AC20,raw_data!$Y:$Y,$A$20)</f>
        <v>0</v>
      </c>
      <c r="AD23" s="41">
        <f>sumifs(raw_data!$Z:$Z,raw_data!$U:$U,"Telephony",raw_data!$T:$T,AD20,raw_data!$Y:$Y,$A$20)</f>
        <v>0</v>
      </c>
      <c r="AE23" s="41">
        <f>sumifs(raw_data!$Z:$Z,raw_data!$U:$U,"Telephony",raw_data!$T:$T,AE20,raw_data!$Y:$Y,$A$20)</f>
        <v>0</v>
      </c>
      <c r="AF23" s="41">
        <f>sumifs(raw_data!$Z:$Z,raw_data!$U:$U,"Telephony",raw_data!$T:$T,AF20,raw_data!$Y:$Y,$A$20)</f>
        <v>0</v>
      </c>
      <c r="AG23" s="41"/>
      <c r="AH23" s="41"/>
      <c r="AI23" s="41"/>
      <c r="AJ23" s="139"/>
    </row>
    <row r="24">
      <c r="A24" s="138" t="s">
        <v>463</v>
      </c>
      <c r="B24" s="41"/>
      <c r="C24" s="41">
        <f t="shared" si="4"/>
        <v>145</v>
      </c>
      <c r="D24" s="41"/>
      <c r="E24" s="41">
        <f>sumifs(raw_data!$Z:$Z,raw_data!$U:$U,"Paid Ads",raw_data!$T:$T,E20,raw_data!$Y:$Y,$A$20)</f>
        <v>2</v>
      </c>
      <c r="F24" s="41">
        <f>sumifs(raw_data!$Z:$Z,raw_data!$U:$U,"Paid Ads",raw_data!$T:$T,F20,raw_data!$Y:$Y,$A$20)</f>
        <v>0</v>
      </c>
      <c r="G24" s="41">
        <f>sumifs(raw_data!$Z:$Z,raw_data!$U:$U,"Paid Ads",raw_data!$T:$T,G20,raw_data!$Y:$Y,$A$20)</f>
        <v>0</v>
      </c>
      <c r="H24" s="41">
        <f>sumifs(raw_data!$Z:$Z,raw_data!$U:$U,"Paid Ads",raw_data!$T:$T,H20,raw_data!$Y:$Y,$A$20)</f>
        <v>117</v>
      </c>
      <c r="I24" s="41">
        <f>sumifs(raw_data!$Z:$Z,raw_data!$U:$U,"Paid Ads",raw_data!$T:$T,I20,raw_data!$Y:$Y,$A$20)</f>
        <v>0</v>
      </c>
      <c r="J24" s="41">
        <f>sumifs(raw_data!$Z:$Z,raw_data!$U:$U,"Paid Ads",raw_data!$T:$T,J20,raw_data!$Y:$Y,$A$20)</f>
        <v>0</v>
      </c>
      <c r="K24" s="41">
        <f>sumifs(raw_data!$Z:$Z,raw_data!$U:$U,"Paid Ads",raw_data!$T:$T,K20,raw_data!$Y:$Y,$A$20)</f>
        <v>0</v>
      </c>
      <c r="L24" s="41">
        <f>sumifs(raw_data!$Z:$Z,raw_data!$U:$U,"Paid Ads",raw_data!$T:$T,L20,raw_data!$Y:$Y,$A$20)</f>
        <v>0</v>
      </c>
      <c r="M24" s="41">
        <f>sumifs(raw_data!$Z:$Z,raw_data!$U:$U,"Paid Ads",raw_data!$T:$T,M20,raw_data!$Y:$Y,$A$20)</f>
        <v>0</v>
      </c>
      <c r="N24" s="41">
        <f>sumifs(raw_data!$Z:$Z,raw_data!$U:$U,"Paid Ads",raw_data!$T:$T,N20,raw_data!$Y:$Y,$A$20)</f>
        <v>0</v>
      </c>
      <c r="O24" s="41">
        <f>sumifs(raw_data!$Z:$Z,raw_data!$U:$U,"Paid Ads",raw_data!$T:$T,O20,raw_data!$Y:$Y,$A$20)</f>
        <v>0</v>
      </c>
      <c r="P24" s="41">
        <f>sumifs(raw_data!$Z:$Z,raw_data!$U:$U,"Paid Ads",raw_data!$T:$T,P20,raw_data!$Y:$Y,$A$20)</f>
        <v>0</v>
      </c>
      <c r="Q24" s="41">
        <f>sumifs(raw_data!$Z:$Z,raw_data!$U:$U,"Paid Ads",raw_data!$T:$T,Q20,raw_data!$Y:$Y,$A$20)</f>
        <v>0</v>
      </c>
      <c r="R24" s="41">
        <f>sumifs(raw_data!$Z:$Z,raw_data!$U:$U,"Paid Ads",raw_data!$T:$T,R20,raw_data!$Y:$Y,$A$20)</f>
        <v>0</v>
      </c>
      <c r="S24" s="41">
        <f>sumifs(raw_data!$Z:$Z,raw_data!$U:$U,"Paid Ads",raw_data!$T:$T,S20,raw_data!$Y:$Y,$A$20)</f>
        <v>0</v>
      </c>
      <c r="T24" s="41">
        <f>sumifs(raw_data!$Z:$Z,raw_data!$U:$U,"Paid Ads",raw_data!$T:$T,T20,raw_data!$Y:$Y,$A$20)</f>
        <v>0</v>
      </c>
      <c r="U24" s="41">
        <f>sumifs(raw_data!$Z:$Z,raw_data!$U:$U,"Paid Ads",raw_data!$T:$T,U20,raw_data!$Y:$Y,$A$20)</f>
        <v>26</v>
      </c>
      <c r="V24" s="41">
        <f>sumifs(raw_data!$Z:$Z,raw_data!$U:$U,"Paid Ads",raw_data!$T:$T,V20,raw_data!$Y:$Y,$A$20)</f>
        <v>0</v>
      </c>
      <c r="W24" s="41">
        <f>sumifs(raw_data!$Z:$Z,raw_data!$U:$U,"Paid Ads",raw_data!$T:$T,W20,raw_data!$Y:$Y,$A$20)</f>
        <v>0</v>
      </c>
      <c r="X24" s="41">
        <f>sumifs(raw_data!$Z:$Z,raw_data!$U:$U,"Paid Ads",raw_data!$T:$T,X20,raw_data!$Y:$Y,$A$20)</f>
        <v>0</v>
      </c>
      <c r="Y24" s="41">
        <f>sumifs(raw_data!$Z:$Z,raw_data!$U:$U,"Paid Ads",raw_data!$T:$T,Y20,raw_data!$Y:$Y,$A$20)</f>
        <v>0</v>
      </c>
      <c r="Z24" s="41">
        <f>sumifs(raw_data!$Z:$Z,raw_data!$U:$U,"Paid Ads",raw_data!$T:$T,Z20,raw_data!$Y:$Y,$A$20)</f>
        <v>0</v>
      </c>
      <c r="AA24" s="41">
        <f>sumifs(raw_data!$Z:$Z,raw_data!$U:$U,"Paid Ads",raw_data!$T:$T,AA20,raw_data!$Y:$Y,$A$20)</f>
        <v>0</v>
      </c>
      <c r="AB24" s="41">
        <f>sumifs(raw_data!$Z:$Z,raw_data!$U:$U,"Paid Ads",raw_data!$T:$T,AB20,raw_data!$Y:$Y,$A$20)</f>
        <v>0</v>
      </c>
      <c r="AC24" s="41">
        <f>sumifs(raw_data!$Z:$Z,raw_data!$U:$U,"Paid Ads",raw_data!$T:$T,AC20,raw_data!$Y:$Y,$A$20)</f>
        <v>0</v>
      </c>
      <c r="AD24" s="41">
        <f>sumifs(raw_data!$Z:$Z,raw_data!$U:$U,"Paid Ads",raw_data!$T:$T,AD20,raw_data!$Y:$Y,$A$20)</f>
        <v>0</v>
      </c>
      <c r="AE24" s="41">
        <f>sumifs(raw_data!$Z:$Z,raw_data!$U:$U,"Paid Ads",raw_data!$T:$T,AE20,raw_data!$Y:$Y,$A$20)</f>
        <v>0</v>
      </c>
      <c r="AF24" s="41">
        <f>sumifs(raw_data!$Z:$Z,raw_data!$U:$U,"Paid Ads",raw_data!$T:$T,AF20,raw_data!$Y:$Y,$A$20)</f>
        <v>0</v>
      </c>
      <c r="AG24" s="41"/>
      <c r="AH24" s="41"/>
      <c r="AI24" s="41"/>
      <c r="AJ24" s="139"/>
    </row>
    <row r="25">
      <c r="A25" s="138" t="s">
        <v>41</v>
      </c>
      <c r="B25" s="41"/>
      <c r="C25" s="41">
        <f t="shared" si="4"/>
        <v>0</v>
      </c>
      <c r="D25" s="41"/>
      <c r="E25" s="41">
        <f>sumifs(raw_data!$M:$M,raw_data!$K:$K,E20,raw_data!$N:$N,$A$20)</f>
        <v>0</v>
      </c>
      <c r="F25" s="41">
        <f>sumifs(raw_data!$M:$M,raw_data!$K:$K,F20,raw_data!$N:$N,$A$20)</f>
        <v>0</v>
      </c>
      <c r="G25" s="41">
        <f>sumifs(raw_data!$M:$M,raw_data!$K:$K,G20,raw_data!$N:$N,$A$20)</f>
        <v>0</v>
      </c>
      <c r="H25" s="41">
        <f>sumifs(raw_data!$M:$M,raw_data!$K:$K,H20,raw_data!$N:$N,$A$20)</f>
        <v>0</v>
      </c>
      <c r="I25" s="41">
        <f>sumifs(raw_data!$M:$M,raw_data!$K:$K,I20,raw_data!$N:$N,$A$20)</f>
        <v>0</v>
      </c>
      <c r="J25" s="41">
        <f>sumifs(raw_data!$M:$M,raw_data!$K:$K,J20,raw_data!$N:$N,$A$20)</f>
        <v>0</v>
      </c>
      <c r="K25" s="41">
        <f>sumifs(raw_data!$M:$M,raw_data!$K:$K,K20,raw_data!$N:$N,$A$20)</f>
        <v>0</v>
      </c>
      <c r="L25" s="41">
        <f>sumifs(raw_data!$M:$M,raw_data!$K:$K,L20,raw_data!$N:$N,$A$20)</f>
        <v>0</v>
      </c>
      <c r="M25" s="41">
        <f>sumifs(raw_data!$M:$M,raw_data!$K:$K,M20,raw_data!$N:$N,$A$20)</f>
        <v>0</v>
      </c>
      <c r="N25" s="41">
        <f>sumifs(raw_data!$M:$M,raw_data!$K:$K,N20,raw_data!$N:$N,$A$20)</f>
        <v>0</v>
      </c>
      <c r="O25" s="41">
        <f>sumifs(raw_data!$M:$M,raw_data!$K:$K,O20,raw_data!$N:$N,$A$20)</f>
        <v>0</v>
      </c>
      <c r="P25" s="41">
        <f>sumifs(raw_data!$M:$M,raw_data!$K:$K,P20,raw_data!$N:$N,$A$20)</f>
        <v>0</v>
      </c>
      <c r="Q25" s="41">
        <f>sumifs(raw_data!$M:$M,raw_data!$K:$K,Q20,raw_data!$N:$N,$A$20)</f>
        <v>0</v>
      </c>
      <c r="R25" s="41">
        <f>sumifs(raw_data!$M:$M,raw_data!$K:$K,R20,raw_data!$N:$N,$A$20)</f>
        <v>0</v>
      </c>
      <c r="S25" s="41">
        <f>sumifs(raw_data!$M:$M,raw_data!$K:$K,S20,raw_data!$N:$N,$A$20)</f>
        <v>0</v>
      </c>
      <c r="T25" s="41">
        <f>sumifs(raw_data!$M:$M,raw_data!$K:$K,T20,raw_data!$N:$N,$A$20)</f>
        <v>0</v>
      </c>
      <c r="U25" s="41">
        <f>sumifs(raw_data!$M:$M,raw_data!$K:$K,U20,raw_data!$N:$N,$A$20)</f>
        <v>0</v>
      </c>
      <c r="V25" s="41">
        <f>sumifs(raw_data!$M:$M,raw_data!$K:$K,V20,raw_data!$N:$N,$A$20)</f>
        <v>0</v>
      </c>
      <c r="W25" s="41">
        <f>sumifs(raw_data!$M:$M,raw_data!$K:$K,W20,raw_data!$N:$N,$A$20)</f>
        <v>0</v>
      </c>
      <c r="X25" s="41">
        <f>sumifs(raw_data!$M:$M,raw_data!$K:$K,X20,raw_data!$N:$N,$A$20)</f>
        <v>0</v>
      </c>
      <c r="Y25" s="41">
        <f>sumifs(raw_data!$M:$M,raw_data!$K:$K,Y20,raw_data!$N:$N,$A$20)</f>
        <v>0</v>
      </c>
      <c r="Z25" s="41">
        <f>sumifs(raw_data!$M:$M,raw_data!$K:$K,Z20,raw_data!$N:$N,$A$20)</f>
        <v>0</v>
      </c>
      <c r="AA25" s="41">
        <f>sumifs(raw_data!$M:$M,raw_data!$K:$K,AA20,raw_data!$N:$N,$A$20)</f>
        <v>0</v>
      </c>
      <c r="AB25" s="41">
        <f>sumifs(raw_data!$M:$M,raw_data!$K:$K,AB20,raw_data!$N:$N,$A$20)</f>
        <v>0</v>
      </c>
      <c r="AC25" s="41">
        <f>sumifs(raw_data!$M:$M,raw_data!$K:$K,AC20,raw_data!$N:$N,$A$20)</f>
        <v>0</v>
      </c>
      <c r="AD25" s="41">
        <f>sumifs(raw_data!$M:$M,raw_data!$K:$K,AD20,raw_data!$N:$N,$A$20)</f>
        <v>0</v>
      </c>
      <c r="AE25" s="41">
        <f>sumifs(raw_data!$M:$M,raw_data!$K:$K,AE20,raw_data!$N:$N,$A$20)</f>
        <v>0</v>
      </c>
      <c r="AF25" s="41">
        <f>sumifs(raw_data!$M:$M,raw_data!$K:$K,AF20,raw_data!$N:$N,$A$20)</f>
        <v>0</v>
      </c>
      <c r="AG25" s="41"/>
      <c r="AH25" s="41"/>
      <c r="AI25" s="41"/>
      <c r="AJ25" s="139"/>
    </row>
    <row r="26">
      <c r="A26" s="138" t="s">
        <v>43</v>
      </c>
      <c r="B26" s="41"/>
      <c r="C26" s="41">
        <f t="shared" si="4"/>
        <v>0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139"/>
    </row>
    <row r="27">
      <c r="A27" s="140"/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</row>
    <row r="28">
      <c r="A28" s="140"/>
      <c r="B28" s="139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</row>
    <row r="29">
      <c r="A29" s="134" t="s">
        <v>62</v>
      </c>
      <c r="B29" s="135" t="s">
        <v>44</v>
      </c>
      <c r="C29" s="135" t="s">
        <v>46</v>
      </c>
      <c r="D29" s="135" t="s">
        <v>45</v>
      </c>
      <c r="E29" s="136">
        <v>46054.0</v>
      </c>
      <c r="F29" s="136">
        <v>46055.0</v>
      </c>
      <c r="G29" s="136">
        <v>46056.0</v>
      </c>
      <c r="H29" s="136">
        <v>46057.0</v>
      </c>
      <c r="I29" s="136">
        <v>46058.0</v>
      </c>
      <c r="J29" s="136">
        <v>46059.0</v>
      </c>
      <c r="K29" s="136">
        <v>46060.0</v>
      </c>
      <c r="L29" s="136">
        <v>46061.0</v>
      </c>
      <c r="M29" s="136">
        <v>46062.0</v>
      </c>
      <c r="N29" s="136">
        <v>46063.0</v>
      </c>
      <c r="O29" s="136">
        <v>46064.0</v>
      </c>
      <c r="P29" s="136">
        <v>46065.0</v>
      </c>
      <c r="Q29" s="136">
        <v>46066.0</v>
      </c>
      <c r="R29" s="136">
        <v>46067.0</v>
      </c>
      <c r="S29" s="136">
        <v>46068.0</v>
      </c>
      <c r="T29" s="136">
        <v>46069.0</v>
      </c>
      <c r="U29" s="136">
        <v>46070.0</v>
      </c>
      <c r="V29" s="136">
        <v>46071.0</v>
      </c>
      <c r="W29" s="136">
        <v>46072.0</v>
      </c>
      <c r="X29" s="136">
        <v>46073.0</v>
      </c>
      <c r="Y29" s="136">
        <v>46074.0</v>
      </c>
      <c r="Z29" s="136">
        <v>46075.0</v>
      </c>
      <c r="AA29" s="136">
        <v>46076.0</v>
      </c>
      <c r="AB29" s="136">
        <v>46077.0</v>
      </c>
      <c r="AC29" s="136">
        <v>46078.0</v>
      </c>
      <c r="AD29" s="136">
        <v>46079.0</v>
      </c>
      <c r="AE29" s="136">
        <v>46080.0</v>
      </c>
      <c r="AF29" s="136">
        <v>46081.0</v>
      </c>
      <c r="AG29" s="136"/>
      <c r="AH29" s="136"/>
      <c r="AI29" s="136"/>
      <c r="AJ29" s="139"/>
    </row>
    <row r="30">
      <c r="A30" s="138" t="s">
        <v>56</v>
      </c>
      <c r="B30" s="41"/>
      <c r="C30" s="41">
        <f t="shared" ref="C30:C35" si="5">sum(E30:AI30)</f>
        <v>267</v>
      </c>
      <c r="D30" s="41"/>
      <c r="E30" s="41">
        <f>sumifs(raw_data!$E:$E,raw_data!$A:$A,E29,raw_data!$C:$C,$A$29,raw_data!$D:$D,"Primary_Walkin")</f>
        <v>5</v>
      </c>
      <c r="F30" s="41">
        <f>sumifs(raw_data!$E:$E,raw_data!$A:$A,F29,raw_data!$C:$C,$A$29,raw_data!$D:$D,"Primary_Walkin")</f>
        <v>5</v>
      </c>
      <c r="G30" s="41">
        <f>sumifs(raw_data!$E:$E,raw_data!$A:$A,G29,raw_data!$C:$C,$A$29,raw_data!$D:$D,"Primary_Walkin")</f>
        <v>8</v>
      </c>
      <c r="H30" s="41">
        <f>sumifs(raw_data!$E:$E,raw_data!$A:$A,H29,raw_data!$C:$C,$A$29,raw_data!$D:$D,"Primary_Walkin")</f>
        <v>15</v>
      </c>
      <c r="I30" s="41">
        <f>sumifs(raw_data!$E:$E,raw_data!$A:$A,I29,raw_data!$C:$C,$A$29,raw_data!$D:$D,"Primary_Walkin")</f>
        <v>9</v>
      </c>
      <c r="J30" s="41">
        <f>sumifs(raw_data!$E:$E,raw_data!$A:$A,J29,raw_data!$C:$C,$A$29,raw_data!$D:$D,"Primary_Walkin")</f>
        <v>7</v>
      </c>
      <c r="K30" s="41">
        <f>sumifs(raw_data!$E:$E,raw_data!$A:$A,K29,raw_data!$C:$C,$A$29,raw_data!$D:$D,"Primary_Walkin")</f>
        <v>6</v>
      </c>
      <c r="L30" s="41">
        <f>sumifs(raw_data!$E:$E,raw_data!$A:$A,L29,raw_data!$C:$C,$A$29,raw_data!$D:$D,"Primary_Walkin")</f>
        <v>8</v>
      </c>
      <c r="M30" s="41">
        <f>sumifs(raw_data!$E:$E,raw_data!$A:$A,M29,raw_data!$C:$C,$A$29,raw_data!$D:$D,"Primary_Walkin")</f>
        <v>19</v>
      </c>
      <c r="N30" s="41">
        <f>sumifs(raw_data!$E:$E,raw_data!$A:$A,N29,raw_data!$C:$C,$A$29,raw_data!$D:$D,"Primary_Walkin")</f>
        <v>12</v>
      </c>
      <c r="O30" s="41">
        <f>sumifs(raw_data!$E:$E,raw_data!$A:$A,O29,raw_data!$C:$C,$A$29,raw_data!$D:$D,"Primary_Walkin")</f>
        <v>10</v>
      </c>
      <c r="P30" s="41">
        <f>sumifs(raw_data!$E:$E,raw_data!$A:$A,P29,raw_data!$C:$C,$A$29,raw_data!$D:$D,"Primary_Walkin")</f>
        <v>10</v>
      </c>
      <c r="Q30" s="41">
        <f>sumifs(raw_data!$E:$E,raw_data!$A:$A,Q29,raw_data!$C:$C,$A$29,raw_data!$D:$D,"Primary_Walkin")</f>
        <v>7</v>
      </c>
      <c r="R30" s="41">
        <f>sumifs(raw_data!$E:$E,raw_data!$A:$A,R29,raw_data!$C:$C,$A$29,raw_data!$D:$D,"Primary_Walkin")</f>
        <v>13</v>
      </c>
      <c r="S30" s="41">
        <f>sumifs(raw_data!$E:$E,raw_data!$A:$A,S29,raw_data!$C:$C,$A$29,raw_data!$D:$D,"Primary_Walkin")</f>
        <v>2</v>
      </c>
      <c r="T30" s="41">
        <f>sumifs(raw_data!$E:$E,raw_data!$A:$A,T29,raw_data!$C:$C,$A$29,raw_data!$D:$D,"Primary_Walkin")</f>
        <v>14</v>
      </c>
      <c r="U30" s="41">
        <f>sumifs(raw_data!$E:$E,raw_data!$A:$A,U29,raw_data!$C:$C,$A$29,raw_data!$D:$D,"Primary_Walkin")</f>
        <v>12</v>
      </c>
      <c r="V30" s="41">
        <f>sumifs(raw_data!$E:$E,raw_data!$A:$A,V29,raw_data!$C:$C,$A$29,raw_data!$D:$D,"Primary_Walkin")</f>
        <v>13</v>
      </c>
      <c r="W30" s="41">
        <f>sumifs(raw_data!$E:$E,raw_data!$A:$A,W29,raw_data!$C:$C,$A$29,raw_data!$D:$D,"Primary_Walkin")</f>
        <v>13</v>
      </c>
      <c r="X30" s="41">
        <f>sumifs(raw_data!$E:$E,raw_data!$A:$A,X29,raw_data!$C:$C,$A$29,raw_data!$D:$D,"Primary_Walkin")</f>
        <v>10</v>
      </c>
      <c r="Y30" s="41">
        <f>sumifs(raw_data!$E:$E,raw_data!$A:$A,Y29,raw_data!$C:$C,$A$29,raw_data!$D:$D,"Primary_Walkin")</f>
        <v>10</v>
      </c>
      <c r="Z30" s="41">
        <f>sumifs(raw_data!$E:$E,raw_data!$A:$A,Z29,raw_data!$C:$C,$A$29,raw_data!$D:$D,"Primary_Walkin")</f>
        <v>15</v>
      </c>
      <c r="AA30" s="41">
        <f>sumifs(raw_data!$E:$E,raw_data!$A:$A,AA29,raw_data!$C:$C,$A$29,raw_data!$D:$D,"Primary_Walkin")</f>
        <v>7</v>
      </c>
      <c r="AB30" s="41">
        <f>sumifs(raw_data!$E:$E,raw_data!$A:$A,AB29,raw_data!$C:$C,$A$29,raw_data!$D:$D,"Primary_Walkin")</f>
        <v>9</v>
      </c>
      <c r="AC30" s="41">
        <f>sumifs(raw_data!$E:$E,raw_data!$A:$A,AC29,raw_data!$C:$C,$A$29,raw_data!$D:$D,"Primary_Walkin")</f>
        <v>5</v>
      </c>
      <c r="AD30" s="41">
        <f>sumifs(raw_data!$E:$E,raw_data!$A:$A,AD29,raw_data!$C:$C,$A$29,raw_data!$D:$D,"Primary_Walkin")</f>
        <v>10</v>
      </c>
      <c r="AE30" s="41">
        <f>sumifs(raw_data!$E:$E,raw_data!$A:$A,AE29,raw_data!$C:$C,$A$29,raw_data!$D:$D,"Primary_Walkin")</f>
        <v>7</v>
      </c>
      <c r="AF30" s="41">
        <f>sumifs(raw_data!$E:$E,raw_data!$A:$A,AF29,raw_data!$C:$C,$A$29,raw_data!$D:$D,"Primary_Walkin")</f>
        <v>6</v>
      </c>
      <c r="AG30" s="41"/>
      <c r="AH30" s="41"/>
      <c r="AI30" s="41"/>
      <c r="AJ30" s="139"/>
    </row>
    <row r="31">
      <c r="A31" s="138" t="s">
        <v>462</v>
      </c>
      <c r="B31" s="41"/>
      <c r="C31" s="41">
        <f t="shared" si="5"/>
        <v>26</v>
      </c>
      <c r="D31" s="41"/>
      <c r="E31" s="41">
        <f>sumifs(raw_data!$E:$E,raw_data!$A:$A,E29,raw_data!$C:$C,$A$29,raw_data!$D:$D,"Secondary_Walkin")</f>
        <v>1</v>
      </c>
      <c r="F31" s="41">
        <f>sumifs(raw_data!$E:$E,raw_data!$A:$A,F29,raw_data!$C:$C,$A$29,raw_data!$D:$D,"Secondary_Walkin")</f>
        <v>2</v>
      </c>
      <c r="G31" s="41">
        <f>sumifs(raw_data!$E:$E,raw_data!$A:$A,G29,raw_data!$C:$C,$A$29,raw_data!$D:$D,"Secondary_Walkin")</f>
        <v>1</v>
      </c>
      <c r="H31" s="41">
        <f>sumifs(raw_data!$E:$E,raw_data!$A:$A,H29,raw_data!$C:$C,$A$29,raw_data!$D:$D,"Secondary_Walkin")</f>
        <v>2</v>
      </c>
      <c r="I31" s="41">
        <f>sumifs(raw_data!$E:$E,raw_data!$A:$A,I29,raw_data!$C:$C,$A$29,raw_data!$D:$D,"Secondary_Walkin")</f>
        <v>1</v>
      </c>
      <c r="J31" s="41">
        <f>sumifs(raw_data!$E:$E,raw_data!$A:$A,J29,raw_data!$C:$C,$A$29,raw_data!$D:$D,"Secondary_Walkin")</f>
        <v>0</v>
      </c>
      <c r="K31" s="41">
        <f>sumifs(raw_data!$E:$E,raw_data!$A:$A,K29,raw_data!$C:$C,$A$29,raw_data!$D:$D,"Secondary_Walkin")</f>
        <v>1</v>
      </c>
      <c r="L31" s="41">
        <f>sumifs(raw_data!$E:$E,raw_data!$A:$A,L29,raw_data!$C:$C,$A$29,raw_data!$D:$D,"Secondary_Walkin")</f>
        <v>0</v>
      </c>
      <c r="M31" s="41">
        <f>sumifs(raw_data!$E:$E,raw_data!$A:$A,M29,raw_data!$C:$C,$A$29,raw_data!$D:$D,"Secondary_Walkin")</f>
        <v>1</v>
      </c>
      <c r="N31" s="41">
        <f>sumifs(raw_data!$E:$E,raw_data!$A:$A,N29,raw_data!$C:$C,$A$29,raw_data!$D:$D,"Secondary_Walkin")</f>
        <v>0</v>
      </c>
      <c r="O31" s="41">
        <f>sumifs(raw_data!$E:$E,raw_data!$A:$A,O29,raw_data!$C:$C,$A$29,raw_data!$D:$D,"Secondary_Walkin")</f>
        <v>0</v>
      </c>
      <c r="P31" s="41">
        <f>sumifs(raw_data!$E:$E,raw_data!$A:$A,P29,raw_data!$C:$C,$A$29,raw_data!$D:$D,"Secondary_Walkin")</f>
        <v>1</v>
      </c>
      <c r="Q31" s="41">
        <f>sumifs(raw_data!$E:$E,raw_data!$A:$A,Q29,raw_data!$C:$C,$A$29,raw_data!$D:$D,"Secondary_Walkin")</f>
        <v>2</v>
      </c>
      <c r="R31" s="41">
        <f>sumifs(raw_data!$E:$E,raw_data!$A:$A,R29,raw_data!$C:$C,$A$29,raw_data!$D:$D,"Secondary_Walkin")</f>
        <v>1</v>
      </c>
      <c r="S31" s="41">
        <f>sumifs(raw_data!$E:$E,raw_data!$A:$A,S29,raw_data!$C:$C,$A$29,raw_data!$D:$D,"Secondary_Walkin")</f>
        <v>1</v>
      </c>
      <c r="T31" s="41">
        <f>sumifs(raw_data!$E:$E,raw_data!$A:$A,T29,raw_data!$C:$C,$A$29,raw_data!$D:$D,"Secondary_Walkin")</f>
        <v>0</v>
      </c>
      <c r="U31" s="41">
        <f>sumifs(raw_data!$E:$E,raw_data!$A:$A,U29,raw_data!$C:$C,$A$29,raw_data!$D:$D,"Secondary_Walkin")</f>
        <v>1</v>
      </c>
      <c r="V31" s="41">
        <f>sumifs(raw_data!$E:$E,raw_data!$A:$A,V29,raw_data!$C:$C,$A$29,raw_data!$D:$D,"Secondary_Walkin")</f>
        <v>1</v>
      </c>
      <c r="W31" s="41">
        <f>sumifs(raw_data!$E:$E,raw_data!$A:$A,W29,raw_data!$C:$C,$A$29,raw_data!$D:$D,"Secondary_Walkin")</f>
        <v>2</v>
      </c>
      <c r="X31" s="41">
        <f>sumifs(raw_data!$E:$E,raw_data!$A:$A,X29,raw_data!$C:$C,$A$29,raw_data!$D:$D,"Secondary_Walkin")</f>
        <v>2</v>
      </c>
      <c r="Y31" s="41">
        <f>sumifs(raw_data!$E:$E,raw_data!$A:$A,Y29,raw_data!$C:$C,$A$29,raw_data!$D:$D,"Secondary_Walkin")</f>
        <v>0</v>
      </c>
      <c r="Z31" s="41">
        <f>sumifs(raw_data!$E:$E,raw_data!$A:$A,Z29,raw_data!$C:$C,$A$29,raw_data!$D:$D,"Secondary_Walkin")</f>
        <v>0</v>
      </c>
      <c r="AA31" s="41">
        <f>sumifs(raw_data!$E:$E,raw_data!$A:$A,AA29,raw_data!$C:$C,$A$29,raw_data!$D:$D,"Secondary_Walkin")</f>
        <v>1</v>
      </c>
      <c r="AB31" s="41">
        <f>sumifs(raw_data!$E:$E,raw_data!$A:$A,AB29,raw_data!$C:$C,$A$29,raw_data!$D:$D,"Secondary_Walkin")</f>
        <v>2</v>
      </c>
      <c r="AC31" s="41">
        <f>sumifs(raw_data!$E:$E,raw_data!$A:$A,AC29,raw_data!$C:$C,$A$29,raw_data!$D:$D,"Secondary_Walkin")</f>
        <v>0</v>
      </c>
      <c r="AD31" s="41">
        <f>sumifs(raw_data!$E:$E,raw_data!$A:$A,AD29,raw_data!$C:$C,$A$29,raw_data!$D:$D,"Secondary_Walkin")</f>
        <v>0</v>
      </c>
      <c r="AE31" s="41">
        <f>sumifs(raw_data!$E:$E,raw_data!$A:$A,AE29,raw_data!$C:$C,$A$29,raw_data!$D:$D,"Secondary_Walkin")</f>
        <v>1</v>
      </c>
      <c r="AF31" s="41">
        <f>sumifs(raw_data!$E:$E,raw_data!$A:$A,AF29,raw_data!$C:$C,$A$29,raw_data!$D:$D,"Secondary_Walkin")</f>
        <v>2</v>
      </c>
      <c r="AG31" s="41"/>
      <c r="AH31" s="41"/>
      <c r="AI31" s="41"/>
      <c r="AJ31" s="139"/>
    </row>
    <row r="32">
      <c r="A32" s="138" t="s">
        <v>39</v>
      </c>
      <c r="B32" s="41"/>
      <c r="C32" s="41">
        <f t="shared" si="5"/>
        <v>12</v>
      </c>
      <c r="D32" s="41"/>
      <c r="E32" s="41">
        <f>sumifs(raw_data!$Z:$Z,raw_data!$U:$U,"Telephony",raw_data!$T:$T,E29,raw_data!$Y:$Y,$A$29)</f>
        <v>0</v>
      </c>
      <c r="F32" s="41">
        <f>sumifs(raw_data!$Z:$Z,raw_data!$U:$U,"Telephony",raw_data!$T:$T,F29,raw_data!$Y:$Y,$A$29)</f>
        <v>1</v>
      </c>
      <c r="G32" s="41">
        <f>sumifs(raw_data!$Z:$Z,raw_data!$U:$U,"Telephony",raw_data!$T:$T,G29,raw_data!$Y:$Y,$A$29)</f>
        <v>0</v>
      </c>
      <c r="H32" s="41">
        <f>sumifs(raw_data!$Z:$Z,raw_data!$U:$U,"Telephony",raw_data!$T:$T,H29,raw_data!$Y:$Y,$A$29)</f>
        <v>0</v>
      </c>
      <c r="I32" s="41">
        <f>sumifs(raw_data!$Z:$Z,raw_data!$U:$U,"Telephony",raw_data!$T:$T,I29,raw_data!$Y:$Y,$A$29)</f>
        <v>0</v>
      </c>
      <c r="J32" s="41">
        <f>sumifs(raw_data!$Z:$Z,raw_data!$U:$U,"Telephony",raw_data!$T:$T,J29,raw_data!$Y:$Y,$A$29)</f>
        <v>1</v>
      </c>
      <c r="K32" s="41">
        <f>sumifs(raw_data!$Z:$Z,raw_data!$U:$U,"Telephony",raw_data!$T:$T,K29,raw_data!$Y:$Y,$A$29)</f>
        <v>0</v>
      </c>
      <c r="L32" s="41">
        <f>sumifs(raw_data!$Z:$Z,raw_data!$U:$U,"Telephony",raw_data!$T:$T,L29,raw_data!$Y:$Y,$A$29)</f>
        <v>0</v>
      </c>
      <c r="M32" s="41">
        <f>sumifs(raw_data!$Z:$Z,raw_data!$U:$U,"Telephony",raw_data!$T:$T,M29,raw_data!$Y:$Y,$A$29)</f>
        <v>0</v>
      </c>
      <c r="N32" s="41">
        <f>sumifs(raw_data!$Z:$Z,raw_data!$U:$U,"Telephony",raw_data!$T:$T,N29,raw_data!$Y:$Y,$A$29)</f>
        <v>1</v>
      </c>
      <c r="O32" s="41">
        <f>sumifs(raw_data!$Z:$Z,raw_data!$U:$U,"Telephony",raw_data!$T:$T,O29,raw_data!$Y:$Y,$A$29)</f>
        <v>1</v>
      </c>
      <c r="P32" s="41">
        <f>sumifs(raw_data!$Z:$Z,raw_data!$U:$U,"Telephony",raw_data!$T:$T,P29,raw_data!$Y:$Y,$A$29)</f>
        <v>0</v>
      </c>
      <c r="Q32" s="41">
        <f>sumifs(raw_data!$Z:$Z,raw_data!$U:$U,"Telephony",raw_data!$T:$T,Q29,raw_data!$Y:$Y,$A$29)</f>
        <v>0</v>
      </c>
      <c r="R32" s="41">
        <f>sumifs(raw_data!$Z:$Z,raw_data!$U:$U,"Telephony",raw_data!$T:$T,R29,raw_data!$Y:$Y,$A$29)</f>
        <v>0</v>
      </c>
      <c r="S32" s="41">
        <f>sumifs(raw_data!$Z:$Z,raw_data!$U:$U,"Telephony",raw_data!$T:$T,S29,raw_data!$Y:$Y,$A$29)</f>
        <v>0</v>
      </c>
      <c r="T32" s="41">
        <f>sumifs(raw_data!$Z:$Z,raw_data!$U:$U,"Telephony",raw_data!$T:$T,T29,raw_data!$Y:$Y,$A$29)</f>
        <v>0</v>
      </c>
      <c r="U32" s="41">
        <f>sumifs(raw_data!$Z:$Z,raw_data!$U:$U,"Telephony",raw_data!$T:$T,U29,raw_data!$Y:$Y,$A$29)</f>
        <v>0</v>
      </c>
      <c r="V32" s="41">
        <f>sumifs(raw_data!$Z:$Z,raw_data!$U:$U,"Telephony",raw_data!$T:$T,V29,raw_data!$Y:$Y,$A$29)</f>
        <v>0</v>
      </c>
      <c r="W32" s="41">
        <f>sumifs(raw_data!$Z:$Z,raw_data!$U:$U,"Telephony",raw_data!$T:$T,W29,raw_data!$Y:$Y,$A$29)</f>
        <v>0</v>
      </c>
      <c r="X32" s="41">
        <f>sumifs(raw_data!$Z:$Z,raw_data!$U:$U,"Telephony",raw_data!$T:$T,X29,raw_data!$Y:$Y,$A$29)</f>
        <v>1</v>
      </c>
      <c r="Y32" s="41">
        <f>sumifs(raw_data!$Z:$Z,raw_data!$U:$U,"Telephony",raw_data!$T:$T,Y29,raw_data!$Y:$Y,$A$29)</f>
        <v>0</v>
      </c>
      <c r="Z32" s="41">
        <f>sumifs(raw_data!$Z:$Z,raw_data!$U:$U,"Telephony",raw_data!$T:$T,Z29,raw_data!$Y:$Y,$A$29)</f>
        <v>0</v>
      </c>
      <c r="AA32" s="41">
        <f>sumifs(raw_data!$Z:$Z,raw_data!$U:$U,"Telephony",raw_data!$T:$T,AA29,raw_data!$Y:$Y,$A$29)</f>
        <v>0</v>
      </c>
      <c r="AB32" s="41">
        <f>sumifs(raw_data!$Z:$Z,raw_data!$U:$U,"Telephony",raw_data!$T:$T,AB29,raw_data!$Y:$Y,$A$29)</f>
        <v>0</v>
      </c>
      <c r="AC32" s="41">
        <f>sumifs(raw_data!$Z:$Z,raw_data!$U:$U,"Telephony",raw_data!$T:$T,AC29,raw_data!$Y:$Y,$A$29)</f>
        <v>1</v>
      </c>
      <c r="AD32" s="41">
        <f>sumifs(raw_data!$Z:$Z,raw_data!$U:$U,"Telephony",raw_data!$T:$T,AD29,raw_data!$Y:$Y,$A$29)</f>
        <v>4</v>
      </c>
      <c r="AE32" s="41">
        <f>sumifs(raw_data!$Z:$Z,raw_data!$U:$U,"Telephony",raw_data!$T:$T,AE29,raw_data!$Y:$Y,$A$29)</f>
        <v>1</v>
      </c>
      <c r="AF32" s="41">
        <f>sumifs(raw_data!$Z:$Z,raw_data!$U:$U,"Telephony",raw_data!$T:$T,AF29,raw_data!$Y:$Y,$A$29)</f>
        <v>1</v>
      </c>
      <c r="AG32" s="41"/>
      <c r="AH32" s="41"/>
      <c r="AI32" s="41"/>
      <c r="AJ32" s="139"/>
    </row>
    <row r="33">
      <c r="A33" s="138" t="s">
        <v>463</v>
      </c>
      <c r="B33" s="41"/>
      <c r="C33" s="41">
        <f t="shared" si="5"/>
        <v>2</v>
      </c>
      <c r="D33" s="41"/>
      <c r="E33" s="41">
        <f>sumifs(raw_data!$Z:$Z,raw_data!$U:$U,"Paid Ads",raw_data!$T:$T,E29,raw_data!$Y:$Y,$A$29)</f>
        <v>0</v>
      </c>
      <c r="F33" s="41">
        <f>sumifs(raw_data!$Z:$Z,raw_data!$U:$U,"Paid Ads",raw_data!$T:$T,F29,raw_data!$Y:$Y,$A$29)</f>
        <v>0</v>
      </c>
      <c r="G33" s="41">
        <f>sumifs(raw_data!$Z:$Z,raw_data!$U:$U,"Paid Ads",raw_data!$T:$T,G29,raw_data!$Y:$Y,$A$29)</f>
        <v>0</v>
      </c>
      <c r="H33" s="41">
        <f>sumifs(raw_data!$Z:$Z,raw_data!$U:$U,"Paid Ads",raw_data!$T:$T,H29,raw_data!$Y:$Y,$A$29)</f>
        <v>0</v>
      </c>
      <c r="I33" s="41">
        <f>sumifs(raw_data!$Z:$Z,raw_data!$U:$U,"Paid Ads",raw_data!$T:$T,I29,raw_data!$Y:$Y,$A$29)</f>
        <v>0</v>
      </c>
      <c r="J33" s="41">
        <f>sumifs(raw_data!$Z:$Z,raw_data!$U:$U,"Paid Ads",raw_data!$T:$T,J29,raw_data!$Y:$Y,$A$29)</f>
        <v>0</v>
      </c>
      <c r="K33" s="41">
        <f>sumifs(raw_data!$Z:$Z,raw_data!$U:$U,"Paid Ads",raw_data!$T:$T,K29,raw_data!$Y:$Y,$A$29)</f>
        <v>0</v>
      </c>
      <c r="L33" s="41">
        <f>sumifs(raw_data!$Z:$Z,raw_data!$U:$U,"Paid Ads",raw_data!$T:$T,L29,raw_data!$Y:$Y,$A$29)</f>
        <v>0</v>
      </c>
      <c r="M33" s="41">
        <f>sumifs(raw_data!$Z:$Z,raw_data!$U:$U,"Paid Ads",raw_data!$T:$T,M29,raw_data!$Y:$Y,$A$29)</f>
        <v>0</v>
      </c>
      <c r="N33" s="41">
        <f>sumifs(raw_data!$Z:$Z,raw_data!$U:$U,"Paid Ads",raw_data!$T:$T,N29,raw_data!$Y:$Y,$A$29)</f>
        <v>2</v>
      </c>
      <c r="O33" s="41">
        <f>sumifs(raw_data!$Z:$Z,raw_data!$U:$U,"Paid Ads",raw_data!$T:$T,O29,raw_data!$Y:$Y,$A$29)</f>
        <v>0</v>
      </c>
      <c r="P33" s="41">
        <f>sumifs(raw_data!$Z:$Z,raw_data!$U:$U,"Paid Ads",raw_data!$T:$T,P29,raw_data!$Y:$Y,$A$29)</f>
        <v>0</v>
      </c>
      <c r="Q33" s="41">
        <f>sumifs(raw_data!$Z:$Z,raw_data!$U:$U,"Paid Ads",raw_data!$T:$T,Q29,raw_data!$Y:$Y,$A$29)</f>
        <v>0</v>
      </c>
      <c r="R33" s="41">
        <f>sumifs(raw_data!$Z:$Z,raw_data!$U:$U,"Paid Ads",raw_data!$T:$T,R29,raw_data!$Y:$Y,$A$29)</f>
        <v>0</v>
      </c>
      <c r="S33" s="41">
        <f>sumifs(raw_data!$Z:$Z,raw_data!$U:$U,"Paid Ads",raw_data!$T:$T,S29,raw_data!$Y:$Y,$A$29)</f>
        <v>0</v>
      </c>
      <c r="T33" s="41">
        <f>sumifs(raw_data!$Z:$Z,raw_data!$U:$U,"Paid Ads",raw_data!$T:$T,T29,raw_data!$Y:$Y,$A$29)</f>
        <v>0</v>
      </c>
      <c r="U33" s="41">
        <f>sumifs(raw_data!$Z:$Z,raw_data!$U:$U,"Paid Ads",raw_data!$T:$T,U29,raw_data!$Y:$Y,$A$29)</f>
        <v>0</v>
      </c>
      <c r="V33" s="41">
        <f>sumifs(raw_data!$Z:$Z,raw_data!$U:$U,"Paid Ads",raw_data!$T:$T,V29,raw_data!$Y:$Y,$A$29)</f>
        <v>0</v>
      </c>
      <c r="W33" s="41">
        <f>sumifs(raw_data!$Z:$Z,raw_data!$U:$U,"Paid Ads",raw_data!$T:$T,W29,raw_data!$Y:$Y,$A$29)</f>
        <v>0</v>
      </c>
      <c r="X33" s="41">
        <f>sumifs(raw_data!$Z:$Z,raw_data!$U:$U,"Paid Ads",raw_data!$T:$T,X29,raw_data!$Y:$Y,$A$29)</f>
        <v>0</v>
      </c>
      <c r="Y33" s="41">
        <f>sumifs(raw_data!$Z:$Z,raw_data!$U:$U,"Paid Ads",raw_data!$T:$T,Y29,raw_data!$Y:$Y,$A$29)</f>
        <v>0</v>
      </c>
      <c r="Z33" s="41">
        <f>sumifs(raw_data!$Z:$Z,raw_data!$U:$U,"Paid Ads",raw_data!$T:$T,Z29,raw_data!$Y:$Y,$A$29)</f>
        <v>0</v>
      </c>
      <c r="AA33" s="41">
        <f>sumifs(raw_data!$Z:$Z,raw_data!$U:$U,"Paid Ads",raw_data!$T:$T,AA29,raw_data!$Y:$Y,$A$29)</f>
        <v>0</v>
      </c>
      <c r="AB33" s="41">
        <f>sumifs(raw_data!$Z:$Z,raw_data!$U:$U,"Paid Ads",raw_data!$T:$T,AB29,raw_data!$Y:$Y,$A$29)</f>
        <v>0</v>
      </c>
      <c r="AC33" s="41">
        <f>sumifs(raw_data!$Z:$Z,raw_data!$U:$U,"Paid Ads",raw_data!$T:$T,AC29,raw_data!$Y:$Y,$A$29)</f>
        <v>0</v>
      </c>
      <c r="AD33" s="41">
        <f>sumifs(raw_data!$Z:$Z,raw_data!$U:$U,"Paid Ads",raw_data!$T:$T,AD29,raw_data!$Y:$Y,$A$29)</f>
        <v>0</v>
      </c>
      <c r="AE33" s="41">
        <f>sumifs(raw_data!$Z:$Z,raw_data!$U:$U,"Paid Ads",raw_data!$T:$T,AE29,raw_data!$Y:$Y,$A$29)</f>
        <v>0</v>
      </c>
      <c r="AF33" s="41">
        <f>sumifs(raw_data!$Z:$Z,raw_data!$U:$U,"Paid Ads",raw_data!$T:$T,AF29,raw_data!$Y:$Y,$A$29)</f>
        <v>0</v>
      </c>
      <c r="AG33" s="41"/>
      <c r="AH33" s="41"/>
      <c r="AI33" s="41"/>
      <c r="AJ33" s="139"/>
    </row>
    <row r="34">
      <c r="A34" s="138" t="s">
        <v>41</v>
      </c>
      <c r="B34" s="41"/>
      <c r="C34" s="41">
        <f t="shared" si="5"/>
        <v>0</v>
      </c>
      <c r="D34" s="41"/>
      <c r="E34" s="41">
        <f>sumifs(raw_data!$M:$M,raw_data!$K:$K,E29,raw_data!$N:$N,$A$29)</f>
        <v>0</v>
      </c>
      <c r="F34" s="41">
        <f>sumifs(raw_data!$M:$M,raw_data!$K:$K,F29,raw_data!$N:$N,$A$29)</f>
        <v>0</v>
      </c>
      <c r="G34" s="41">
        <f>sumifs(raw_data!$M:$M,raw_data!$K:$K,G29,raw_data!$N:$N,$A$29)</f>
        <v>0</v>
      </c>
      <c r="H34" s="41">
        <f>sumifs(raw_data!$M:$M,raw_data!$K:$K,H29,raw_data!$N:$N,$A$29)</f>
        <v>0</v>
      </c>
      <c r="I34" s="41">
        <f>sumifs(raw_data!$M:$M,raw_data!$K:$K,I29,raw_data!$N:$N,$A$29)</f>
        <v>0</v>
      </c>
      <c r="J34" s="41">
        <f>sumifs(raw_data!$M:$M,raw_data!$K:$K,J29,raw_data!$N:$N,$A$29)</f>
        <v>0</v>
      </c>
      <c r="K34" s="41">
        <f>sumifs(raw_data!$M:$M,raw_data!$K:$K,K29,raw_data!$N:$N,$A$29)</f>
        <v>0</v>
      </c>
      <c r="L34" s="41">
        <f>sumifs(raw_data!$M:$M,raw_data!$K:$K,L29,raw_data!$N:$N,$A$29)</f>
        <v>0</v>
      </c>
      <c r="M34" s="41">
        <f>sumifs(raw_data!$M:$M,raw_data!$K:$K,M29,raw_data!$N:$N,$A$29)</f>
        <v>0</v>
      </c>
      <c r="N34" s="41">
        <f>sumifs(raw_data!$M:$M,raw_data!$K:$K,N29,raw_data!$N:$N,$A$29)</f>
        <v>0</v>
      </c>
      <c r="O34" s="41">
        <f>sumifs(raw_data!$M:$M,raw_data!$K:$K,O29,raw_data!$N:$N,$A$29)</f>
        <v>0</v>
      </c>
      <c r="P34" s="41">
        <f>sumifs(raw_data!$M:$M,raw_data!$K:$K,P29,raw_data!$N:$N,$A$29)</f>
        <v>0</v>
      </c>
      <c r="Q34" s="41">
        <f>sumifs(raw_data!$M:$M,raw_data!$K:$K,Q29,raw_data!$N:$N,$A$29)</f>
        <v>0</v>
      </c>
      <c r="R34" s="41">
        <f>sumifs(raw_data!$M:$M,raw_data!$K:$K,R29,raw_data!$N:$N,$A$29)</f>
        <v>0</v>
      </c>
      <c r="S34" s="41">
        <f>sumifs(raw_data!$M:$M,raw_data!$K:$K,S29,raw_data!$N:$N,$A$29)</f>
        <v>0</v>
      </c>
      <c r="T34" s="41">
        <f>sumifs(raw_data!$M:$M,raw_data!$K:$K,T29,raw_data!$N:$N,$A$29)</f>
        <v>0</v>
      </c>
      <c r="U34" s="41">
        <f>sumifs(raw_data!$M:$M,raw_data!$K:$K,U29,raw_data!$N:$N,$A$29)</f>
        <v>0</v>
      </c>
      <c r="V34" s="41">
        <f>sumifs(raw_data!$M:$M,raw_data!$K:$K,V29,raw_data!$N:$N,$A$29)</f>
        <v>0</v>
      </c>
      <c r="W34" s="41">
        <f>sumifs(raw_data!$M:$M,raw_data!$K:$K,W29,raw_data!$N:$N,$A$29)</f>
        <v>0</v>
      </c>
      <c r="X34" s="41">
        <f>sumifs(raw_data!$M:$M,raw_data!$K:$K,X29,raw_data!$N:$N,$A$29)</f>
        <v>0</v>
      </c>
      <c r="Y34" s="41">
        <f>sumifs(raw_data!$M:$M,raw_data!$K:$K,Y29,raw_data!$N:$N,$A$29)</f>
        <v>0</v>
      </c>
      <c r="Z34" s="41">
        <f>sumifs(raw_data!$M:$M,raw_data!$K:$K,Z29,raw_data!$N:$N,$A$29)</f>
        <v>0</v>
      </c>
      <c r="AA34" s="41">
        <f>sumifs(raw_data!$M:$M,raw_data!$K:$K,AA29,raw_data!$N:$N,$A$29)</f>
        <v>0</v>
      </c>
      <c r="AB34" s="41">
        <f>sumifs(raw_data!$M:$M,raw_data!$K:$K,AB29,raw_data!$N:$N,$A$29)</f>
        <v>0</v>
      </c>
      <c r="AC34" s="41">
        <f>sumifs(raw_data!$M:$M,raw_data!$K:$K,AC29,raw_data!$N:$N,$A$29)</f>
        <v>0</v>
      </c>
      <c r="AD34" s="41">
        <f>sumifs(raw_data!$M:$M,raw_data!$K:$K,AD29,raw_data!$N:$N,$A$29)</f>
        <v>0</v>
      </c>
      <c r="AE34" s="41">
        <f>sumifs(raw_data!$M:$M,raw_data!$K:$K,AE29,raw_data!$N:$N,$A$29)</f>
        <v>0</v>
      </c>
      <c r="AF34" s="41">
        <f>sumifs(raw_data!$M:$M,raw_data!$K:$K,AF29,raw_data!$N:$N,$A$29)</f>
        <v>0</v>
      </c>
      <c r="AG34" s="41"/>
      <c r="AH34" s="41"/>
      <c r="AI34" s="41"/>
      <c r="AJ34" s="139"/>
    </row>
    <row r="35">
      <c r="A35" s="138" t="s">
        <v>43</v>
      </c>
      <c r="B35" s="41"/>
      <c r="C35" s="41">
        <f t="shared" si="5"/>
        <v>0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139"/>
    </row>
    <row r="36">
      <c r="A36" s="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</row>
    <row r="37">
      <c r="A37" s="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  <c r="AG37" s="139"/>
      <c r="AH37" s="139"/>
      <c r="AI37" s="139"/>
      <c r="AJ37" s="139"/>
    </row>
    <row r="38">
      <c r="A38" s="134" t="s">
        <v>63</v>
      </c>
      <c r="B38" s="135" t="s">
        <v>44</v>
      </c>
      <c r="C38" s="135" t="s">
        <v>46</v>
      </c>
      <c r="D38" s="135" t="s">
        <v>45</v>
      </c>
      <c r="E38" s="136">
        <v>46054.0</v>
      </c>
      <c r="F38" s="136">
        <v>46055.0</v>
      </c>
      <c r="G38" s="136">
        <v>46056.0</v>
      </c>
      <c r="H38" s="136">
        <v>46057.0</v>
      </c>
      <c r="I38" s="136">
        <v>46058.0</v>
      </c>
      <c r="J38" s="136">
        <v>46059.0</v>
      </c>
      <c r="K38" s="136">
        <v>46060.0</v>
      </c>
      <c r="L38" s="136">
        <v>46061.0</v>
      </c>
      <c r="M38" s="136">
        <v>46062.0</v>
      </c>
      <c r="N38" s="136">
        <v>46063.0</v>
      </c>
      <c r="O38" s="136">
        <v>46064.0</v>
      </c>
      <c r="P38" s="136">
        <v>46065.0</v>
      </c>
      <c r="Q38" s="136">
        <v>46066.0</v>
      </c>
      <c r="R38" s="136">
        <v>46067.0</v>
      </c>
      <c r="S38" s="136">
        <v>46068.0</v>
      </c>
      <c r="T38" s="136">
        <v>46069.0</v>
      </c>
      <c r="U38" s="136">
        <v>46070.0</v>
      </c>
      <c r="V38" s="136">
        <v>46071.0</v>
      </c>
      <c r="W38" s="136">
        <v>46072.0</v>
      </c>
      <c r="X38" s="136">
        <v>46073.0</v>
      </c>
      <c r="Y38" s="136">
        <v>46074.0</v>
      </c>
      <c r="Z38" s="136">
        <v>46075.0</v>
      </c>
      <c r="AA38" s="136">
        <v>46076.0</v>
      </c>
      <c r="AB38" s="136">
        <v>46077.0</v>
      </c>
      <c r="AC38" s="136">
        <v>46078.0</v>
      </c>
      <c r="AD38" s="136">
        <v>46079.0</v>
      </c>
      <c r="AE38" s="136">
        <v>46080.0</v>
      </c>
      <c r="AF38" s="136">
        <v>46081.0</v>
      </c>
      <c r="AG38" s="136"/>
      <c r="AH38" s="136"/>
      <c r="AI38" s="136"/>
      <c r="AJ38" s="139"/>
    </row>
    <row r="39">
      <c r="A39" s="138" t="s">
        <v>56</v>
      </c>
      <c r="B39" s="41"/>
      <c r="C39" s="41">
        <f t="shared" ref="C39:C44" si="6">sum(E39:AI39)</f>
        <v>178</v>
      </c>
      <c r="D39" s="41"/>
      <c r="E39" s="41">
        <f>sumifs(raw_data!$E:$E,raw_data!$A:$A,E38,raw_data!$C:$C,$A$38,raw_data!$D:$D,"Primary_Walkin")</f>
        <v>5</v>
      </c>
      <c r="F39" s="41">
        <f>sumifs(raw_data!$E:$E,raw_data!$A:$A,F38,raw_data!$C:$C,$A$38,raw_data!$D:$D,"Primary_Walkin")</f>
        <v>5</v>
      </c>
      <c r="G39" s="41">
        <f>sumifs(raw_data!$E:$E,raw_data!$A:$A,G38,raw_data!$C:$C,$A$38,raw_data!$D:$D,"Primary_Walkin")</f>
        <v>7</v>
      </c>
      <c r="H39" s="41">
        <f>sumifs(raw_data!$E:$E,raw_data!$A:$A,H38,raw_data!$C:$C,$A$38,raw_data!$D:$D,"Primary_Walkin")</f>
        <v>7</v>
      </c>
      <c r="I39" s="41">
        <f>sumifs(raw_data!$E:$E,raw_data!$A:$A,I38,raw_data!$C:$C,$A$38,raw_data!$D:$D,"Primary_Walkin")</f>
        <v>7</v>
      </c>
      <c r="J39" s="41">
        <f>sumifs(raw_data!$E:$E,raw_data!$A:$A,J38,raw_data!$C:$C,$A$38,raw_data!$D:$D,"Primary_Walkin")</f>
        <v>4</v>
      </c>
      <c r="K39" s="41">
        <f>sumifs(raw_data!$E:$E,raw_data!$A:$A,K38,raw_data!$C:$C,$A$38,raw_data!$D:$D,"Primary_Walkin")</f>
        <v>10</v>
      </c>
      <c r="L39" s="41">
        <f>sumifs(raw_data!$E:$E,raw_data!$A:$A,L38,raw_data!$C:$C,$A$38,raw_data!$D:$D,"Primary_Walkin")</f>
        <v>4</v>
      </c>
      <c r="M39" s="41">
        <f>sumifs(raw_data!$E:$E,raw_data!$A:$A,M38,raw_data!$C:$C,$A$38,raw_data!$D:$D,"Primary_Walkin")</f>
        <v>7</v>
      </c>
      <c r="N39" s="41">
        <f>sumifs(raw_data!$E:$E,raw_data!$A:$A,N38,raw_data!$C:$C,$A$38,raw_data!$D:$D,"Primary_Walkin")</f>
        <v>7</v>
      </c>
      <c r="O39" s="41">
        <f>sumifs(raw_data!$E:$E,raw_data!$A:$A,O38,raw_data!$C:$C,$A$38,raw_data!$D:$D,"Primary_Walkin")</f>
        <v>13</v>
      </c>
      <c r="P39" s="41">
        <f>sumifs(raw_data!$E:$E,raw_data!$A:$A,P38,raw_data!$C:$C,$A$38,raw_data!$D:$D,"Primary_Walkin")</f>
        <v>7</v>
      </c>
      <c r="Q39" s="41">
        <f>sumifs(raw_data!$E:$E,raw_data!$A:$A,Q38,raw_data!$C:$C,$A$38,raw_data!$D:$D,"Primary_Walkin")</f>
        <v>7</v>
      </c>
      <c r="R39" s="41">
        <f>sumifs(raw_data!$E:$E,raw_data!$A:$A,R38,raw_data!$C:$C,$A$38,raw_data!$D:$D,"Primary_Walkin")</f>
        <v>4</v>
      </c>
      <c r="S39" s="41">
        <f>sumifs(raw_data!$E:$E,raw_data!$A:$A,S38,raw_data!$C:$C,$A$38,raw_data!$D:$D,"Primary_Walkin")</f>
        <v>2</v>
      </c>
      <c r="T39" s="41">
        <f>sumifs(raw_data!$E:$E,raw_data!$A:$A,T38,raw_data!$C:$C,$A$38,raw_data!$D:$D,"Primary_Walkin")</f>
        <v>9</v>
      </c>
      <c r="U39" s="41">
        <f>sumifs(raw_data!$E:$E,raw_data!$A:$A,U38,raw_data!$C:$C,$A$38,raw_data!$D:$D,"Primary_Walkin")</f>
        <v>4</v>
      </c>
      <c r="V39" s="41">
        <f>sumifs(raw_data!$E:$E,raw_data!$A:$A,V38,raw_data!$C:$C,$A$38,raw_data!$D:$D,"Primary_Walkin")</f>
        <v>5</v>
      </c>
      <c r="W39" s="41">
        <f>sumifs(raw_data!$E:$E,raw_data!$A:$A,W38,raw_data!$C:$C,$A$38,raw_data!$D:$D,"Primary_Walkin")</f>
        <v>10</v>
      </c>
      <c r="X39" s="41">
        <f>sumifs(raw_data!$E:$E,raw_data!$A:$A,X38,raw_data!$C:$C,$A$38,raw_data!$D:$D,"Primary_Walkin")</f>
        <v>8</v>
      </c>
      <c r="Y39" s="41">
        <f>sumifs(raw_data!$E:$E,raw_data!$A:$A,Y38,raw_data!$C:$C,$A$38,raw_data!$D:$D,"Primary_Walkin")</f>
        <v>10</v>
      </c>
      <c r="Z39" s="41">
        <f>sumifs(raw_data!$E:$E,raw_data!$A:$A,Z38,raw_data!$C:$C,$A$38,raw_data!$D:$D,"Primary_Walkin")</f>
        <v>5</v>
      </c>
      <c r="AA39" s="41">
        <f>sumifs(raw_data!$E:$E,raw_data!$A:$A,AA38,raw_data!$C:$C,$A$38,raw_data!$D:$D,"Primary_Walkin")</f>
        <v>6</v>
      </c>
      <c r="AB39" s="41">
        <f>sumifs(raw_data!$E:$E,raw_data!$A:$A,AB38,raw_data!$C:$C,$A$38,raw_data!$D:$D,"Primary_Walkin")</f>
        <v>5</v>
      </c>
      <c r="AC39" s="41">
        <f>sumifs(raw_data!$E:$E,raw_data!$A:$A,AC38,raw_data!$C:$C,$A$38,raw_data!$D:$D,"Primary_Walkin")</f>
        <v>2</v>
      </c>
      <c r="AD39" s="41">
        <f>sumifs(raw_data!$E:$E,raw_data!$A:$A,AD38,raw_data!$C:$C,$A$38,raw_data!$D:$D,"Primary_Walkin")</f>
        <v>9</v>
      </c>
      <c r="AE39" s="41">
        <f>sumifs(raw_data!$E:$E,raw_data!$A:$A,AE38,raw_data!$C:$C,$A$38,raw_data!$D:$D,"Primary_Walkin")</f>
        <v>2</v>
      </c>
      <c r="AF39" s="41">
        <f>sumifs(raw_data!$E:$E,raw_data!$A:$A,AF38,raw_data!$C:$C,$A$38,raw_data!$D:$D,"Primary_Walkin")</f>
        <v>7</v>
      </c>
      <c r="AG39" s="41"/>
      <c r="AH39" s="41"/>
      <c r="AI39" s="41"/>
      <c r="AJ39" s="139"/>
    </row>
    <row r="40">
      <c r="A40" s="138" t="s">
        <v>462</v>
      </c>
      <c r="B40" s="41"/>
      <c r="C40" s="41">
        <f t="shared" si="6"/>
        <v>22</v>
      </c>
      <c r="D40" s="41"/>
      <c r="E40" s="41">
        <f>sumifs(raw_data!$E:$E,raw_data!$A:$A,E38,raw_data!$C:$C,$A$38,raw_data!$D:$D,"Secondary_Walkin")</f>
        <v>0</v>
      </c>
      <c r="F40" s="41">
        <f>sumifs(raw_data!$E:$E,raw_data!$A:$A,F38,raw_data!$C:$C,$A$38,raw_data!$D:$D,"Secondary_Walkin")</f>
        <v>1</v>
      </c>
      <c r="G40" s="41">
        <f>sumifs(raw_data!$E:$E,raw_data!$A:$A,G38,raw_data!$C:$C,$A$38,raw_data!$D:$D,"Secondary_Walkin")</f>
        <v>0</v>
      </c>
      <c r="H40" s="41">
        <f>sumifs(raw_data!$E:$E,raw_data!$A:$A,H38,raw_data!$C:$C,$A$38,raw_data!$D:$D,"Secondary_Walkin")</f>
        <v>1</v>
      </c>
      <c r="I40" s="41">
        <f>sumifs(raw_data!$E:$E,raw_data!$A:$A,I38,raw_data!$C:$C,$A$38,raw_data!$D:$D,"Secondary_Walkin")</f>
        <v>1</v>
      </c>
      <c r="J40" s="41">
        <f>sumifs(raw_data!$E:$E,raw_data!$A:$A,J38,raw_data!$C:$C,$A$38,raw_data!$D:$D,"Secondary_Walkin")</f>
        <v>1</v>
      </c>
      <c r="K40" s="41">
        <f>sumifs(raw_data!$E:$E,raw_data!$A:$A,K38,raw_data!$C:$C,$A$38,raw_data!$D:$D,"Secondary_Walkin")</f>
        <v>1</v>
      </c>
      <c r="L40" s="41">
        <f>sumifs(raw_data!$E:$E,raw_data!$A:$A,L38,raw_data!$C:$C,$A$38,raw_data!$D:$D,"Secondary_Walkin")</f>
        <v>1</v>
      </c>
      <c r="M40" s="41">
        <f>sumifs(raw_data!$E:$E,raw_data!$A:$A,M38,raw_data!$C:$C,$A$38,raw_data!$D:$D,"Secondary_Walkin")</f>
        <v>3</v>
      </c>
      <c r="N40" s="41">
        <f>sumifs(raw_data!$E:$E,raw_data!$A:$A,N38,raw_data!$C:$C,$A$38,raw_data!$D:$D,"Secondary_Walkin")</f>
        <v>0</v>
      </c>
      <c r="O40" s="41">
        <f>sumifs(raw_data!$E:$E,raw_data!$A:$A,O38,raw_data!$C:$C,$A$38,raw_data!$D:$D,"Secondary_Walkin")</f>
        <v>1</v>
      </c>
      <c r="P40" s="41">
        <f>sumifs(raw_data!$E:$E,raw_data!$A:$A,P38,raw_data!$C:$C,$A$38,raw_data!$D:$D,"Secondary_Walkin")</f>
        <v>0</v>
      </c>
      <c r="Q40" s="41">
        <f>sumifs(raw_data!$E:$E,raw_data!$A:$A,Q38,raw_data!$C:$C,$A$38,raw_data!$D:$D,"Secondary_Walkin")</f>
        <v>0</v>
      </c>
      <c r="R40" s="41">
        <f>sumifs(raw_data!$E:$E,raw_data!$A:$A,R38,raw_data!$C:$C,$A$38,raw_data!$D:$D,"Secondary_Walkin")</f>
        <v>0</v>
      </c>
      <c r="S40" s="41">
        <f>sumifs(raw_data!$E:$E,raw_data!$A:$A,S38,raw_data!$C:$C,$A$38,raw_data!$D:$D,"Secondary_Walkin")</f>
        <v>0</v>
      </c>
      <c r="T40" s="41">
        <f>sumifs(raw_data!$E:$E,raw_data!$A:$A,T38,raw_data!$C:$C,$A$38,raw_data!$D:$D,"Secondary_Walkin")</f>
        <v>1</v>
      </c>
      <c r="U40" s="41">
        <f>sumifs(raw_data!$E:$E,raw_data!$A:$A,U38,raw_data!$C:$C,$A$38,raw_data!$D:$D,"Secondary_Walkin")</f>
        <v>1</v>
      </c>
      <c r="V40" s="41">
        <f>sumifs(raw_data!$E:$E,raw_data!$A:$A,V38,raw_data!$C:$C,$A$38,raw_data!$D:$D,"Secondary_Walkin")</f>
        <v>1</v>
      </c>
      <c r="W40" s="41">
        <f>sumifs(raw_data!$E:$E,raw_data!$A:$A,W38,raw_data!$C:$C,$A$38,raw_data!$D:$D,"Secondary_Walkin")</f>
        <v>1</v>
      </c>
      <c r="X40" s="41">
        <f>sumifs(raw_data!$E:$E,raw_data!$A:$A,X38,raw_data!$C:$C,$A$38,raw_data!$D:$D,"Secondary_Walkin")</f>
        <v>2</v>
      </c>
      <c r="Y40" s="41">
        <f>sumifs(raw_data!$E:$E,raw_data!$A:$A,Y38,raw_data!$C:$C,$A$38,raw_data!$D:$D,"Secondary_Walkin")</f>
        <v>0</v>
      </c>
      <c r="Z40" s="41">
        <f>sumifs(raw_data!$E:$E,raw_data!$A:$A,Z38,raw_data!$C:$C,$A$38,raw_data!$D:$D,"Secondary_Walkin")</f>
        <v>1</v>
      </c>
      <c r="AA40" s="41">
        <f>sumifs(raw_data!$E:$E,raw_data!$A:$A,AA38,raw_data!$C:$C,$A$38,raw_data!$D:$D,"Secondary_Walkin")</f>
        <v>3</v>
      </c>
      <c r="AB40" s="41">
        <f>sumifs(raw_data!$E:$E,raw_data!$A:$A,AB38,raw_data!$C:$C,$A$38,raw_data!$D:$D,"Secondary_Walkin")</f>
        <v>0</v>
      </c>
      <c r="AC40" s="41">
        <f>sumifs(raw_data!$E:$E,raw_data!$A:$A,AC38,raw_data!$C:$C,$A$38,raw_data!$D:$D,"Secondary_Walkin")</f>
        <v>0</v>
      </c>
      <c r="AD40" s="41">
        <f>sumifs(raw_data!$E:$E,raw_data!$A:$A,AD38,raw_data!$C:$C,$A$38,raw_data!$D:$D,"Secondary_Walkin")</f>
        <v>2</v>
      </c>
      <c r="AE40" s="41">
        <f>sumifs(raw_data!$E:$E,raw_data!$A:$A,AE38,raw_data!$C:$C,$A$38,raw_data!$D:$D,"Secondary_Walkin")</f>
        <v>0</v>
      </c>
      <c r="AF40" s="41">
        <f>sumifs(raw_data!$E:$E,raw_data!$A:$A,AF38,raw_data!$C:$C,$A$38,raw_data!$D:$D,"Secondary_Walkin")</f>
        <v>0</v>
      </c>
      <c r="AG40" s="41"/>
      <c r="AH40" s="41"/>
      <c r="AI40" s="41"/>
      <c r="AJ40" s="139"/>
    </row>
    <row r="41">
      <c r="A41" s="138" t="s">
        <v>39</v>
      </c>
      <c r="B41" s="41"/>
      <c r="C41" s="41">
        <f t="shared" si="6"/>
        <v>93</v>
      </c>
      <c r="D41" s="41"/>
      <c r="E41" s="41">
        <f>sumifs(raw_data!$Z:$Z,raw_data!$U:$U,"Telephony",raw_data!$T:$T,E38,raw_data!$Y:$Y,$A$38)</f>
        <v>1</v>
      </c>
      <c r="F41" s="41">
        <f>sumifs(raw_data!$Z:$Z,raw_data!$U:$U,"Telephony",raw_data!$T:$T,F38,raw_data!$Y:$Y,$A$38)</f>
        <v>6</v>
      </c>
      <c r="G41" s="41">
        <f>sumifs(raw_data!$Z:$Z,raw_data!$U:$U,"Telephony",raw_data!$T:$T,G38,raw_data!$Y:$Y,$A$38)</f>
        <v>1</v>
      </c>
      <c r="H41" s="41">
        <f>sumifs(raw_data!$Z:$Z,raw_data!$U:$U,"Telephony",raw_data!$T:$T,H38,raw_data!$Y:$Y,$A$38)</f>
        <v>7</v>
      </c>
      <c r="I41" s="41">
        <f>sumifs(raw_data!$Z:$Z,raw_data!$U:$U,"Telephony",raw_data!$T:$T,I38,raw_data!$Y:$Y,$A$38)</f>
        <v>3</v>
      </c>
      <c r="J41" s="41">
        <f>sumifs(raw_data!$Z:$Z,raw_data!$U:$U,"Telephony",raw_data!$T:$T,J38,raw_data!$Y:$Y,$A$38)</f>
        <v>7</v>
      </c>
      <c r="K41" s="41">
        <f>sumifs(raw_data!$Z:$Z,raw_data!$U:$U,"Telephony",raw_data!$T:$T,K38,raw_data!$Y:$Y,$A$38)</f>
        <v>5</v>
      </c>
      <c r="L41" s="41">
        <f>sumifs(raw_data!$Z:$Z,raw_data!$U:$U,"Telephony",raw_data!$T:$T,L38,raw_data!$Y:$Y,$A$38)</f>
        <v>1</v>
      </c>
      <c r="M41" s="41">
        <f>sumifs(raw_data!$Z:$Z,raw_data!$U:$U,"Telephony",raw_data!$T:$T,M38,raw_data!$Y:$Y,$A$38)</f>
        <v>6</v>
      </c>
      <c r="N41" s="41">
        <f>sumifs(raw_data!$Z:$Z,raw_data!$U:$U,"Telephony",raw_data!$T:$T,N38,raw_data!$Y:$Y,$A$38)</f>
        <v>4</v>
      </c>
      <c r="O41" s="41">
        <f>sumifs(raw_data!$Z:$Z,raw_data!$U:$U,"Telephony",raw_data!$T:$T,O38,raw_data!$Y:$Y,$A$38)</f>
        <v>4</v>
      </c>
      <c r="P41" s="41">
        <f>sumifs(raw_data!$Z:$Z,raw_data!$U:$U,"Telephony",raw_data!$T:$T,P38,raw_data!$Y:$Y,$A$38)</f>
        <v>4</v>
      </c>
      <c r="Q41" s="41">
        <f>sumifs(raw_data!$Z:$Z,raw_data!$U:$U,"Telephony",raw_data!$T:$T,Q38,raw_data!$Y:$Y,$A$38)</f>
        <v>1</v>
      </c>
      <c r="R41" s="41">
        <f>sumifs(raw_data!$Z:$Z,raw_data!$U:$U,"Telephony",raw_data!$T:$T,R38,raw_data!$Y:$Y,$A$38)</f>
        <v>1</v>
      </c>
      <c r="S41" s="41">
        <f>sumifs(raw_data!$Z:$Z,raw_data!$U:$U,"Telephony",raw_data!$T:$T,S38,raw_data!$Y:$Y,$A$38)</f>
        <v>5</v>
      </c>
      <c r="T41" s="41">
        <f>sumifs(raw_data!$Z:$Z,raw_data!$U:$U,"Telephony",raw_data!$T:$T,T38,raw_data!$Y:$Y,$A$38)</f>
        <v>3</v>
      </c>
      <c r="U41" s="41">
        <f>sumifs(raw_data!$Z:$Z,raw_data!$U:$U,"Telephony",raw_data!$T:$T,U38,raw_data!$Y:$Y,$A$38)</f>
        <v>3</v>
      </c>
      <c r="V41" s="41">
        <f>sumifs(raw_data!$Z:$Z,raw_data!$U:$U,"Telephony",raw_data!$T:$T,V38,raw_data!$Y:$Y,$A$38)</f>
        <v>3</v>
      </c>
      <c r="W41" s="41">
        <f>sumifs(raw_data!$Z:$Z,raw_data!$U:$U,"Telephony",raw_data!$T:$T,W38,raw_data!$Y:$Y,$A$38)</f>
        <v>2</v>
      </c>
      <c r="X41" s="41">
        <f>sumifs(raw_data!$Z:$Z,raw_data!$U:$U,"Telephony",raw_data!$T:$T,X38,raw_data!$Y:$Y,$A$38)</f>
        <v>5</v>
      </c>
      <c r="Y41" s="41">
        <f>sumifs(raw_data!$Z:$Z,raw_data!$U:$U,"Telephony",raw_data!$T:$T,Y38,raw_data!$Y:$Y,$A$38)</f>
        <v>3</v>
      </c>
      <c r="Z41" s="41">
        <f>sumifs(raw_data!$Z:$Z,raw_data!$U:$U,"Telephony",raw_data!$T:$T,Z38,raw_data!$Y:$Y,$A$38)</f>
        <v>2</v>
      </c>
      <c r="AA41" s="41">
        <f>sumifs(raw_data!$Z:$Z,raw_data!$U:$U,"Telephony",raw_data!$T:$T,AA38,raw_data!$Y:$Y,$A$38)</f>
        <v>1</v>
      </c>
      <c r="AB41" s="41">
        <f>sumifs(raw_data!$Z:$Z,raw_data!$U:$U,"Telephony",raw_data!$T:$T,AB38,raw_data!$Y:$Y,$A$38)</f>
        <v>2</v>
      </c>
      <c r="AC41" s="41">
        <f>sumifs(raw_data!$Z:$Z,raw_data!$U:$U,"Telephony",raw_data!$T:$T,AC38,raw_data!$Y:$Y,$A$38)</f>
        <v>2</v>
      </c>
      <c r="AD41" s="41">
        <f>sumifs(raw_data!$Z:$Z,raw_data!$U:$U,"Telephony",raw_data!$T:$T,AD38,raw_data!$Y:$Y,$A$38)</f>
        <v>4</v>
      </c>
      <c r="AE41" s="41">
        <f>sumifs(raw_data!$Z:$Z,raw_data!$U:$U,"Telephony",raw_data!$T:$T,AE38,raw_data!$Y:$Y,$A$38)</f>
        <v>5</v>
      </c>
      <c r="AF41" s="41">
        <f>sumifs(raw_data!$Z:$Z,raw_data!$U:$U,"Telephony",raw_data!$T:$T,AF38,raw_data!$Y:$Y,$A$38)</f>
        <v>2</v>
      </c>
      <c r="AG41" s="41"/>
      <c r="AH41" s="41"/>
      <c r="AI41" s="41"/>
      <c r="AJ41" s="139"/>
    </row>
    <row r="42">
      <c r="A42" s="138" t="s">
        <v>463</v>
      </c>
      <c r="B42" s="41"/>
      <c r="C42" s="41">
        <f t="shared" si="6"/>
        <v>42</v>
      </c>
      <c r="D42" s="41"/>
      <c r="E42" s="41">
        <f>sumifs(raw_data!$Z:$Z,raw_data!$U:$U,"Paid Ads",raw_data!$T:$T,E38,raw_data!$Y:$Y,$A$38)</f>
        <v>0</v>
      </c>
      <c r="F42" s="41">
        <f>sumifs(raw_data!$Z:$Z,raw_data!$U:$U,"Paid Ads",raw_data!$T:$T,F38,raw_data!$Y:$Y,$A$38)</f>
        <v>1</v>
      </c>
      <c r="G42" s="41">
        <f>sumifs(raw_data!$Z:$Z,raw_data!$U:$U,"Paid Ads",raw_data!$T:$T,G38,raw_data!$Y:$Y,$A$38)</f>
        <v>0</v>
      </c>
      <c r="H42" s="41">
        <f>sumifs(raw_data!$Z:$Z,raw_data!$U:$U,"Paid Ads",raw_data!$T:$T,H38,raw_data!$Y:$Y,$A$38)</f>
        <v>0</v>
      </c>
      <c r="I42" s="41">
        <f>sumifs(raw_data!$Z:$Z,raw_data!$U:$U,"Paid Ads",raw_data!$T:$T,I38,raw_data!$Y:$Y,$A$38)</f>
        <v>0</v>
      </c>
      <c r="J42" s="41">
        <f>sumifs(raw_data!$Z:$Z,raw_data!$U:$U,"Paid Ads",raw_data!$T:$T,J38,raw_data!$Y:$Y,$A$38)</f>
        <v>0</v>
      </c>
      <c r="K42" s="41">
        <f>sumifs(raw_data!$Z:$Z,raw_data!$U:$U,"Paid Ads",raw_data!$T:$T,K38,raw_data!$Y:$Y,$A$38)</f>
        <v>0</v>
      </c>
      <c r="L42" s="41">
        <f>sumifs(raw_data!$Z:$Z,raw_data!$U:$U,"Paid Ads",raw_data!$T:$T,L38,raw_data!$Y:$Y,$A$38)</f>
        <v>2</v>
      </c>
      <c r="M42" s="41">
        <f>sumifs(raw_data!$Z:$Z,raw_data!$U:$U,"Paid Ads",raw_data!$T:$T,M38,raw_data!$Y:$Y,$A$38)</f>
        <v>0</v>
      </c>
      <c r="N42" s="41">
        <f>sumifs(raw_data!$Z:$Z,raw_data!$U:$U,"Paid Ads",raw_data!$T:$T,N38,raw_data!$Y:$Y,$A$38)</f>
        <v>0</v>
      </c>
      <c r="O42" s="41">
        <f>sumifs(raw_data!$Z:$Z,raw_data!$U:$U,"Paid Ads",raw_data!$T:$T,O38,raw_data!$Y:$Y,$A$38)</f>
        <v>0</v>
      </c>
      <c r="P42" s="41">
        <f>sumifs(raw_data!$Z:$Z,raw_data!$U:$U,"Paid Ads",raw_data!$T:$T,P38,raw_data!$Y:$Y,$A$38)</f>
        <v>0</v>
      </c>
      <c r="Q42" s="41">
        <f>sumifs(raw_data!$Z:$Z,raw_data!$U:$U,"Paid Ads",raw_data!$T:$T,Q38,raw_data!$Y:$Y,$A$38)</f>
        <v>0</v>
      </c>
      <c r="R42" s="41">
        <f>sumifs(raw_data!$Z:$Z,raw_data!$U:$U,"Paid Ads",raw_data!$T:$T,R38,raw_data!$Y:$Y,$A$38)</f>
        <v>1</v>
      </c>
      <c r="S42" s="41">
        <f>sumifs(raw_data!$Z:$Z,raw_data!$U:$U,"Paid Ads",raw_data!$T:$T,S38,raw_data!$Y:$Y,$A$38)</f>
        <v>0</v>
      </c>
      <c r="T42" s="41">
        <f>sumifs(raw_data!$Z:$Z,raw_data!$U:$U,"Paid Ads",raw_data!$T:$T,T38,raw_data!$Y:$Y,$A$38)</f>
        <v>0</v>
      </c>
      <c r="U42" s="41">
        <f>sumifs(raw_data!$Z:$Z,raw_data!$U:$U,"Paid Ads",raw_data!$T:$T,U38,raw_data!$Y:$Y,$A$38)</f>
        <v>37</v>
      </c>
      <c r="V42" s="41">
        <f>sumifs(raw_data!$Z:$Z,raw_data!$U:$U,"Paid Ads",raw_data!$T:$T,V38,raw_data!$Y:$Y,$A$38)</f>
        <v>0</v>
      </c>
      <c r="W42" s="41">
        <f>sumifs(raw_data!$Z:$Z,raw_data!$U:$U,"Paid Ads",raw_data!$T:$T,W38,raw_data!$Y:$Y,$A$38)</f>
        <v>1</v>
      </c>
      <c r="X42" s="41">
        <f>sumifs(raw_data!$Z:$Z,raw_data!$U:$U,"Paid Ads",raw_data!$T:$T,X38,raw_data!$Y:$Y,$A$38)</f>
        <v>0</v>
      </c>
      <c r="Y42" s="41">
        <f>sumifs(raw_data!$Z:$Z,raw_data!$U:$U,"Paid Ads",raw_data!$T:$T,Y38,raw_data!$Y:$Y,$A$38)</f>
        <v>0</v>
      </c>
      <c r="Z42" s="41">
        <f>sumifs(raw_data!$Z:$Z,raw_data!$U:$U,"Paid Ads",raw_data!$T:$T,Z38,raw_data!$Y:$Y,$A$38)</f>
        <v>0</v>
      </c>
      <c r="AA42" s="41">
        <f>sumifs(raw_data!$Z:$Z,raw_data!$U:$U,"Paid Ads",raw_data!$T:$T,AA38,raw_data!$Y:$Y,$A$38)</f>
        <v>0</v>
      </c>
      <c r="AB42" s="41">
        <f>sumifs(raw_data!$Z:$Z,raw_data!$U:$U,"Paid Ads",raw_data!$T:$T,AB38,raw_data!$Y:$Y,$A$38)</f>
        <v>0</v>
      </c>
      <c r="AC42" s="41">
        <f>sumifs(raw_data!$Z:$Z,raw_data!$U:$U,"Paid Ads",raw_data!$T:$T,AC38,raw_data!$Y:$Y,$A$38)</f>
        <v>0</v>
      </c>
      <c r="AD42" s="41">
        <f>sumifs(raw_data!$Z:$Z,raw_data!$U:$U,"Paid Ads",raw_data!$T:$T,AD38,raw_data!$Y:$Y,$A$38)</f>
        <v>0</v>
      </c>
      <c r="AE42" s="41">
        <f>sumifs(raw_data!$Z:$Z,raw_data!$U:$U,"Paid Ads",raw_data!$T:$T,AE38,raw_data!$Y:$Y,$A$38)</f>
        <v>0</v>
      </c>
      <c r="AF42" s="41">
        <f>sumifs(raw_data!$Z:$Z,raw_data!$U:$U,"Paid Ads",raw_data!$T:$T,AF38,raw_data!$Y:$Y,$A$38)</f>
        <v>0</v>
      </c>
      <c r="AG42" s="41"/>
      <c r="AH42" s="41"/>
      <c r="AI42" s="41"/>
      <c r="AJ42" s="139"/>
    </row>
    <row r="43">
      <c r="A43" s="138" t="s">
        <v>41</v>
      </c>
      <c r="B43" s="41"/>
      <c r="C43" s="41">
        <f t="shared" si="6"/>
        <v>0</v>
      </c>
      <c r="D43" s="41"/>
      <c r="E43" s="41">
        <f>sumifs(raw_data!$M:$M,raw_data!$K:$K,E38,raw_data!$N:$N,$A$38)</f>
        <v>0</v>
      </c>
      <c r="F43" s="41">
        <f>sumifs(raw_data!$M:$M,raw_data!$K:$K,F38,raw_data!$N:$N,$A$38)</f>
        <v>0</v>
      </c>
      <c r="G43" s="41">
        <f>sumifs(raw_data!$M:$M,raw_data!$K:$K,G38,raw_data!$N:$N,$A$38)</f>
        <v>0</v>
      </c>
      <c r="H43" s="41">
        <f>sumifs(raw_data!$M:$M,raw_data!$K:$K,H38,raw_data!$N:$N,$A$38)</f>
        <v>0</v>
      </c>
      <c r="I43" s="41">
        <f>sumifs(raw_data!$M:$M,raw_data!$K:$K,I38,raw_data!$N:$N,$A$38)</f>
        <v>0</v>
      </c>
      <c r="J43" s="41">
        <f>sumifs(raw_data!$M:$M,raw_data!$K:$K,J38,raw_data!$N:$N,$A$38)</f>
        <v>0</v>
      </c>
      <c r="K43" s="41">
        <f>sumifs(raw_data!$M:$M,raw_data!$K:$K,K38,raw_data!$N:$N,$A$38)</f>
        <v>0</v>
      </c>
      <c r="L43" s="41">
        <f>sumifs(raw_data!$M:$M,raw_data!$K:$K,L38,raw_data!$N:$N,$A$38)</f>
        <v>0</v>
      </c>
      <c r="M43" s="41">
        <f>sumifs(raw_data!$M:$M,raw_data!$K:$K,M38,raw_data!$N:$N,$A$38)</f>
        <v>0</v>
      </c>
      <c r="N43" s="41">
        <f>sumifs(raw_data!$M:$M,raw_data!$K:$K,N38,raw_data!$N:$N,$A$38)</f>
        <v>0</v>
      </c>
      <c r="O43" s="41">
        <f>sumifs(raw_data!$M:$M,raw_data!$K:$K,O38,raw_data!$N:$N,$A$38)</f>
        <v>0</v>
      </c>
      <c r="P43" s="41">
        <f>sumifs(raw_data!$M:$M,raw_data!$K:$K,P38,raw_data!$N:$N,$A$38)</f>
        <v>0</v>
      </c>
      <c r="Q43" s="41">
        <f>sumifs(raw_data!$M:$M,raw_data!$K:$K,Q38,raw_data!$N:$N,$A$38)</f>
        <v>0</v>
      </c>
      <c r="R43" s="41">
        <f>sumifs(raw_data!$M:$M,raw_data!$K:$K,R38,raw_data!$N:$N,$A$38)</f>
        <v>0</v>
      </c>
      <c r="S43" s="41">
        <f>sumifs(raw_data!$M:$M,raw_data!$K:$K,S38,raw_data!$N:$N,$A$38)</f>
        <v>0</v>
      </c>
      <c r="T43" s="41">
        <f>sumifs(raw_data!$M:$M,raw_data!$K:$K,T38,raw_data!$N:$N,$A$38)</f>
        <v>0</v>
      </c>
      <c r="U43" s="41">
        <f>sumifs(raw_data!$M:$M,raw_data!$K:$K,U38,raw_data!$N:$N,$A$38)</f>
        <v>0</v>
      </c>
      <c r="V43" s="41">
        <f>sumifs(raw_data!$M:$M,raw_data!$K:$K,V38,raw_data!$N:$N,$A$38)</f>
        <v>0</v>
      </c>
      <c r="W43" s="41">
        <f>sumifs(raw_data!$M:$M,raw_data!$K:$K,W38,raw_data!$N:$N,$A$38)</f>
        <v>0</v>
      </c>
      <c r="X43" s="41">
        <f>sumifs(raw_data!$M:$M,raw_data!$K:$K,X38,raw_data!$N:$N,$A$38)</f>
        <v>0</v>
      </c>
      <c r="Y43" s="41">
        <f>sumifs(raw_data!$M:$M,raw_data!$K:$K,Y38,raw_data!$N:$N,$A$38)</f>
        <v>0</v>
      </c>
      <c r="Z43" s="41">
        <f>sumifs(raw_data!$M:$M,raw_data!$K:$K,Z38,raw_data!$N:$N,$A$38)</f>
        <v>0</v>
      </c>
      <c r="AA43" s="41">
        <f>sumifs(raw_data!$M:$M,raw_data!$K:$K,AA38,raw_data!$N:$N,$A$38)</f>
        <v>0</v>
      </c>
      <c r="AB43" s="41">
        <f>sumifs(raw_data!$M:$M,raw_data!$K:$K,AB38,raw_data!$N:$N,$A$38)</f>
        <v>0</v>
      </c>
      <c r="AC43" s="41">
        <f>sumifs(raw_data!$M:$M,raw_data!$K:$K,AC38,raw_data!$N:$N,$A$38)</f>
        <v>0</v>
      </c>
      <c r="AD43" s="41">
        <f>sumifs(raw_data!$M:$M,raw_data!$K:$K,AD38,raw_data!$N:$N,$A$38)</f>
        <v>0</v>
      </c>
      <c r="AE43" s="41">
        <f>sumifs(raw_data!$M:$M,raw_data!$K:$K,AE38,raw_data!$N:$N,$A$38)</f>
        <v>0</v>
      </c>
      <c r="AF43" s="41">
        <f>sumifs(raw_data!$M:$M,raw_data!$K:$K,AF38,raw_data!$N:$N,$A$38)</f>
        <v>0</v>
      </c>
      <c r="AG43" s="41"/>
      <c r="AH43" s="41"/>
      <c r="AI43" s="41"/>
      <c r="AJ43" s="139"/>
    </row>
    <row r="44">
      <c r="A44" s="138" t="s">
        <v>43</v>
      </c>
      <c r="B44" s="41"/>
      <c r="C44" s="41">
        <f t="shared" si="6"/>
        <v>0</v>
      </c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139"/>
    </row>
    <row r="45">
      <c r="A45" s="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  <c r="AG45" s="139"/>
      <c r="AH45" s="139"/>
      <c r="AI45" s="139"/>
      <c r="AJ45" s="139"/>
    </row>
    <row r="46">
      <c r="A46" s="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  <c r="AG46" s="139"/>
      <c r="AH46" s="139"/>
      <c r="AI46" s="139"/>
      <c r="AJ46" s="139"/>
    </row>
    <row r="47">
      <c r="A47" s="134" t="s">
        <v>60</v>
      </c>
      <c r="B47" s="135" t="s">
        <v>44</v>
      </c>
      <c r="C47" s="135" t="s">
        <v>46</v>
      </c>
      <c r="D47" s="135" t="s">
        <v>45</v>
      </c>
      <c r="E47" s="136">
        <v>46054.0</v>
      </c>
      <c r="F47" s="136">
        <v>46055.0</v>
      </c>
      <c r="G47" s="136">
        <v>46056.0</v>
      </c>
      <c r="H47" s="136">
        <v>46057.0</v>
      </c>
      <c r="I47" s="136">
        <v>46058.0</v>
      </c>
      <c r="J47" s="136">
        <v>46059.0</v>
      </c>
      <c r="K47" s="136">
        <v>46060.0</v>
      </c>
      <c r="L47" s="136">
        <v>46061.0</v>
      </c>
      <c r="M47" s="136">
        <v>46062.0</v>
      </c>
      <c r="N47" s="136">
        <v>46063.0</v>
      </c>
      <c r="O47" s="136">
        <v>46064.0</v>
      </c>
      <c r="P47" s="136">
        <v>46065.0</v>
      </c>
      <c r="Q47" s="136">
        <v>46066.0</v>
      </c>
      <c r="R47" s="136">
        <v>46067.0</v>
      </c>
      <c r="S47" s="136">
        <v>46068.0</v>
      </c>
      <c r="T47" s="136">
        <v>46069.0</v>
      </c>
      <c r="U47" s="136">
        <v>46070.0</v>
      </c>
      <c r="V47" s="136">
        <v>46071.0</v>
      </c>
      <c r="W47" s="136">
        <v>46072.0</v>
      </c>
      <c r="X47" s="136">
        <v>46073.0</v>
      </c>
      <c r="Y47" s="136">
        <v>46074.0</v>
      </c>
      <c r="Z47" s="136">
        <v>46075.0</v>
      </c>
      <c r="AA47" s="136">
        <v>46076.0</v>
      </c>
      <c r="AB47" s="136">
        <v>46077.0</v>
      </c>
      <c r="AC47" s="136">
        <v>46078.0</v>
      </c>
      <c r="AD47" s="136">
        <v>46079.0</v>
      </c>
      <c r="AE47" s="136">
        <v>46080.0</v>
      </c>
      <c r="AF47" s="136">
        <v>46081.0</v>
      </c>
      <c r="AG47" s="136"/>
      <c r="AH47" s="136"/>
      <c r="AI47" s="136"/>
      <c r="AJ47" s="139"/>
    </row>
    <row r="48">
      <c r="A48" s="138" t="s">
        <v>56</v>
      </c>
      <c r="B48" s="41"/>
      <c r="C48" s="41">
        <f t="shared" ref="C48:C53" si="7">sum(E48:AI48)</f>
        <v>351</v>
      </c>
      <c r="D48" s="41"/>
      <c r="E48" s="41">
        <f>sumifs(raw_data!$E:$E,raw_data!$A:$A,E47,raw_data!$C:$C,$A$47,raw_data!$D:$D,"Primary_Walkin")</f>
        <v>5</v>
      </c>
      <c r="F48" s="41">
        <f>sumifs(raw_data!$E:$E,raw_data!$A:$A,F47,raw_data!$C:$C,$A$47,raw_data!$D:$D,"Primary_Walkin")</f>
        <v>7</v>
      </c>
      <c r="G48" s="41">
        <f>sumifs(raw_data!$E:$E,raw_data!$A:$A,G47,raw_data!$C:$C,$A$47,raw_data!$D:$D,"Primary_Walkin")</f>
        <v>11</v>
      </c>
      <c r="H48" s="41">
        <f>sumifs(raw_data!$E:$E,raw_data!$A:$A,H47,raw_data!$C:$C,$A$47,raw_data!$D:$D,"Primary_Walkin")</f>
        <v>16</v>
      </c>
      <c r="I48" s="41">
        <f>sumifs(raw_data!$E:$E,raw_data!$A:$A,I47,raw_data!$C:$C,$A$47,raw_data!$D:$D,"Primary_Walkin")</f>
        <v>12</v>
      </c>
      <c r="J48" s="41">
        <f>sumifs(raw_data!$E:$E,raw_data!$A:$A,J47,raw_data!$C:$C,$A$47,raw_data!$D:$D,"Primary_Walkin")</f>
        <v>19</v>
      </c>
      <c r="K48" s="41">
        <f>sumifs(raw_data!$E:$E,raw_data!$A:$A,K47,raw_data!$C:$C,$A$47,raw_data!$D:$D,"Primary_Walkin")</f>
        <v>12</v>
      </c>
      <c r="L48" s="41">
        <f>sumifs(raw_data!$E:$E,raw_data!$A:$A,L47,raw_data!$C:$C,$A$47,raw_data!$D:$D,"Primary_Walkin")</f>
        <v>11</v>
      </c>
      <c r="M48" s="41">
        <f>sumifs(raw_data!$E:$E,raw_data!$A:$A,M47,raw_data!$C:$C,$A$47,raw_data!$D:$D,"Primary_Walkin")</f>
        <v>18</v>
      </c>
      <c r="N48" s="41">
        <f>sumifs(raw_data!$E:$E,raw_data!$A:$A,N47,raw_data!$C:$C,$A$47,raw_data!$D:$D,"Primary_Walkin")</f>
        <v>10</v>
      </c>
      <c r="O48" s="41">
        <f>sumifs(raw_data!$E:$E,raw_data!$A:$A,O47,raw_data!$C:$C,$A$47,raw_data!$D:$D,"Primary_Walkin")</f>
        <v>18</v>
      </c>
      <c r="P48" s="41">
        <f>sumifs(raw_data!$E:$E,raw_data!$A:$A,P47,raw_data!$C:$C,$A$47,raw_data!$D:$D,"Primary_Walkin")</f>
        <v>26</v>
      </c>
      <c r="Q48" s="41">
        <f>sumifs(raw_data!$E:$E,raw_data!$A:$A,Q47,raw_data!$C:$C,$A$47,raw_data!$D:$D,"Primary_Walkin")</f>
        <v>15</v>
      </c>
      <c r="R48" s="41">
        <f>sumifs(raw_data!$E:$E,raw_data!$A:$A,R47,raw_data!$C:$C,$A$47,raw_data!$D:$D,"Primary_Walkin")</f>
        <v>19</v>
      </c>
      <c r="S48" s="41">
        <f>sumifs(raw_data!$E:$E,raw_data!$A:$A,S47,raw_data!$C:$C,$A$47,raw_data!$D:$D,"Primary_Walkin")</f>
        <v>6</v>
      </c>
      <c r="T48" s="41">
        <f>sumifs(raw_data!$E:$E,raw_data!$A:$A,T47,raw_data!$C:$C,$A$47,raw_data!$D:$D,"Primary_Walkin")</f>
        <v>16</v>
      </c>
      <c r="U48" s="41">
        <f>sumifs(raw_data!$E:$E,raw_data!$A:$A,U47,raw_data!$C:$C,$A$47,raw_data!$D:$D,"Primary_Walkin")</f>
        <v>16</v>
      </c>
      <c r="V48" s="41">
        <f>sumifs(raw_data!$E:$E,raw_data!$A:$A,V47,raw_data!$C:$C,$A$47,raw_data!$D:$D,"Primary_Walkin")</f>
        <v>12</v>
      </c>
      <c r="W48" s="41">
        <f>sumifs(raw_data!$E:$E,raw_data!$A:$A,W47,raw_data!$C:$C,$A$47,raw_data!$D:$D,"Primary_Walkin")</f>
        <v>14</v>
      </c>
      <c r="X48" s="41">
        <f>sumifs(raw_data!$E:$E,raw_data!$A:$A,X47,raw_data!$C:$C,$A$47,raw_data!$D:$D,"Primary_Walkin")</f>
        <v>11</v>
      </c>
      <c r="Y48" s="41">
        <f>sumifs(raw_data!$E:$E,raw_data!$A:$A,Y47,raw_data!$C:$C,$A$47,raw_data!$D:$D,"Primary_Walkin")</f>
        <v>9</v>
      </c>
      <c r="Z48" s="41">
        <f>sumifs(raw_data!$E:$E,raw_data!$A:$A,Z47,raw_data!$C:$C,$A$47,raw_data!$D:$D,"Primary_Walkin")</f>
        <v>19</v>
      </c>
      <c r="AA48" s="41">
        <f>sumifs(raw_data!$E:$E,raw_data!$A:$A,AA47,raw_data!$C:$C,$A$47,raw_data!$D:$D,"Primary_Walkin")</f>
        <v>5</v>
      </c>
      <c r="AB48" s="41">
        <f>sumifs(raw_data!$E:$E,raw_data!$A:$A,AB47,raw_data!$C:$C,$A$47,raw_data!$D:$D,"Primary_Walkin")</f>
        <v>7</v>
      </c>
      <c r="AC48" s="41">
        <f>sumifs(raw_data!$E:$E,raw_data!$A:$A,AC47,raw_data!$C:$C,$A$47,raw_data!$D:$D,"Primary_Walkin")</f>
        <v>13</v>
      </c>
      <c r="AD48" s="41">
        <f>sumifs(raw_data!$E:$E,raw_data!$A:$A,AD47,raw_data!$C:$C,$A$47,raw_data!$D:$D,"Primary_Walkin")</f>
        <v>13</v>
      </c>
      <c r="AE48" s="41">
        <f>sumifs(raw_data!$E:$E,raw_data!$A:$A,AE47,raw_data!$C:$C,$A$47,raw_data!$D:$D,"Primary_Walkin")</f>
        <v>7</v>
      </c>
      <c r="AF48" s="41">
        <f>sumifs(raw_data!$E:$E,raw_data!$A:$A,AF47,raw_data!$C:$C,$A$47,raw_data!$D:$D,"Primary_Walkin")</f>
        <v>4</v>
      </c>
      <c r="AG48" s="41"/>
      <c r="AH48" s="41"/>
      <c r="AI48" s="41"/>
      <c r="AJ48" s="139"/>
    </row>
    <row r="49">
      <c r="A49" s="138" t="s">
        <v>462</v>
      </c>
      <c r="B49" s="41"/>
      <c r="C49" s="41">
        <f t="shared" si="7"/>
        <v>18</v>
      </c>
      <c r="D49" s="41"/>
      <c r="E49" s="41">
        <f>sumifs(raw_data!$E:$E,raw_data!$A:$A,E47,raw_data!$C:$C,$A$47,raw_data!$D:$D,"Secondary_Walkin")</f>
        <v>0</v>
      </c>
      <c r="F49" s="41">
        <f>sumifs(raw_data!$E:$E,raw_data!$A:$A,F47,raw_data!$C:$C,$A$47,raw_data!$D:$D,"Secondary_Walkin")</f>
        <v>1</v>
      </c>
      <c r="G49" s="41">
        <f>sumifs(raw_data!$E:$E,raw_data!$A:$A,G47,raw_data!$C:$C,$A$47,raw_data!$D:$D,"Secondary_Walkin")</f>
        <v>0</v>
      </c>
      <c r="H49" s="41">
        <f>sumifs(raw_data!$E:$E,raw_data!$A:$A,H47,raw_data!$C:$C,$A$47,raw_data!$D:$D,"Secondary_Walkin")</f>
        <v>2</v>
      </c>
      <c r="I49" s="41">
        <f>sumifs(raw_data!$E:$E,raw_data!$A:$A,I47,raw_data!$C:$C,$A$47,raw_data!$D:$D,"Secondary_Walkin")</f>
        <v>0</v>
      </c>
      <c r="J49" s="41">
        <f>sumifs(raw_data!$E:$E,raw_data!$A:$A,J47,raw_data!$C:$C,$A$47,raw_data!$D:$D,"Secondary_Walkin")</f>
        <v>0</v>
      </c>
      <c r="K49" s="41">
        <f>sumifs(raw_data!$E:$E,raw_data!$A:$A,K47,raw_data!$C:$C,$A$47,raw_data!$D:$D,"Secondary_Walkin")</f>
        <v>1</v>
      </c>
      <c r="L49" s="41">
        <f>sumifs(raw_data!$E:$E,raw_data!$A:$A,L47,raw_data!$C:$C,$A$47,raw_data!$D:$D,"Secondary_Walkin")</f>
        <v>0</v>
      </c>
      <c r="M49" s="41">
        <f>sumifs(raw_data!$E:$E,raw_data!$A:$A,M47,raw_data!$C:$C,$A$47,raw_data!$D:$D,"Secondary_Walkin")</f>
        <v>0</v>
      </c>
      <c r="N49" s="41">
        <f>sumifs(raw_data!$E:$E,raw_data!$A:$A,N47,raw_data!$C:$C,$A$47,raw_data!$D:$D,"Secondary_Walkin")</f>
        <v>1</v>
      </c>
      <c r="O49" s="41">
        <f>sumifs(raw_data!$E:$E,raw_data!$A:$A,O47,raw_data!$C:$C,$A$47,raw_data!$D:$D,"Secondary_Walkin")</f>
        <v>0</v>
      </c>
      <c r="P49" s="41">
        <f>sumifs(raw_data!$E:$E,raw_data!$A:$A,P47,raw_data!$C:$C,$A$47,raw_data!$D:$D,"Secondary_Walkin")</f>
        <v>1</v>
      </c>
      <c r="Q49" s="41">
        <f>sumifs(raw_data!$E:$E,raw_data!$A:$A,Q47,raw_data!$C:$C,$A$47,raw_data!$D:$D,"Secondary_Walkin")</f>
        <v>1</v>
      </c>
      <c r="R49" s="41">
        <f>sumifs(raw_data!$E:$E,raw_data!$A:$A,R47,raw_data!$C:$C,$A$47,raw_data!$D:$D,"Secondary_Walkin")</f>
        <v>2</v>
      </c>
      <c r="S49" s="41">
        <f>sumifs(raw_data!$E:$E,raw_data!$A:$A,S47,raw_data!$C:$C,$A$47,raw_data!$D:$D,"Secondary_Walkin")</f>
        <v>0</v>
      </c>
      <c r="T49" s="41">
        <f>sumifs(raw_data!$E:$E,raw_data!$A:$A,T47,raw_data!$C:$C,$A$47,raw_data!$D:$D,"Secondary_Walkin")</f>
        <v>0</v>
      </c>
      <c r="U49" s="41">
        <f>sumifs(raw_data!$E:$E,raw_data!$A:$A,U47,raw_data!$C:$C,$A$47,raw_data!$D:$D,"Secondary_Walkin")</f>
        <v>1</v>
      </c>
      <c r="V49" s="41">
        <f>sumifs(raw_data!$E:$E,raw_data!$A:$A,V47,raw_data!$C:$C,$A$47,raw_data!$D:$D,"Secondary_Walkin")</f>
        <v>1</v>
      </c>
      <c r="W49" s="41">
        <f>sumifs(raw_data!$E:$E,raw_data!$A:$A,W47,raw_data!$C:$C,$A$47,raw_data!$D:$D,"Secondary_Walkin")</f>
        <v>1</v>
      </c>
      <c r="X49" s="41">
        <f>sumifs(raw_data!$E:$E,raw_data!$A:$A,X47,raw_data!$C:$C,$A$47,raw_data!$D:$D,"Secondary_Walkin")</f>
        <v>1</v>
      </c>
      <c r="Y49" s="41">
        <f>sumifs(raw_data!$E:$E,raw_data!$A:$A,Y47,raw_data!$C:$C,$A$47,raw_data!$D:$D,"Secondary_Walkin")</f>
        <v>0</v>
      </c>
      <c r="Z49" s="41">
        <f>sumifs(raw_data!$E:$E,raw_data!$A:$A,Z47,raw_data!$C:$C,$A$47,raw_data!$D:$D,"Secondary_Walkin")</f>
        <v>1</v>
      </c>
      <c r="AA49" s="41">
        <f>sumifs(raw_data!$E:$E,raw_data!$A:$A,AA47,raw_data!$C:$C,$A$47,raw_data!$D:$D,"Secondary_Walkin")</f>
        <v>0</v>
      </c>
      <c r="AB49" s="41">
        <f>sumifs(raw_data!$E:$E,raw_data!$A:$A,AB47,raw_data!$C:$C,$A$47,raw_data!$D:$D,"Secondary_Walkin")</f>
        <v>2</v>
      </c>
      <c r="AC49" s="41">
        <f>sumifs(raw_data!$E:$E,raw_data!$A:$A,AC47,raw_data!$C:$C,$A$47,raw_data!$D:$D,"Secondary_Walkin")</f>
        <v>1</v>
      </c>
      <c r="AD49" s="41">
        <f>sumifs(raw_data!$E:$E,raw_data!$A:$A,AD47,raw_data!$C:$C,$A$47,raw_data!$D:$D,"Secondary_Walkin")</f>
        <v>0</v>
      </c>
      <c r="AE49" s="41">
        <f>sumifs(raw_data!$E:$E,raw_data!$A:$A,AE47,raw_data!$C:$C,$A$47,raw_data!$D:$D,"Secondary_Walkin")</f>
        <v>1</v>
      </c>
      <c r="AF49" s="41">
        <f>sumifs(raw_data!$E:$E,raw_data!$A:$A,AF47,raw_data!$C:$C,$A$47,raw_data!$D:$D,"Secondary_Walkin")</f>
        <v>0</v>
      </c>
      <c r="AG49" s="41"/>
      <c r="AH49" s="41"/>
      <c r="AI49" s="41"/>
      <c r="AJ49" s="139"/>
    </row>
    <row r="50">
      <c r="A50" s="138" t="s">
        <v>39</v>
      </c>
      <c r="B50" s="41"/>
      <c r="C50" s="41">
        <f t="shared" si="7"/>
        <v>13</v>
      </c>
      <c r="D50" s="41"/>
      <c r="E50" s="41">
        <f>sumifs(raw_data!$Z:$Z,raw_data!$U:$U,"Telephony",raw_data!$T:$T,E47,raw_data!$Y:$Y,$A$47)</f>
        <v>0</v>
      </c>
      <c r="F50" s="41">
        <f>sumifs(raw_data!$Z:$Z,raw_data!$U:$U,"Telephony",raw_data!$T:$T,F47,raw_data!$Y:$Y,$A$47)</f>
        <v>1</v>
      </c>
      <c r="G50" s="41">
        <f>sumifs(raw_data!$Z:$Z,raw_data!$U:$U,"Telephony",raw_data!$T:$T,G47,raw_data!$Y:$Y,$A$47)</f>
        <v>0</v>
      </c>
      <c r="H50" s="41">
        <f>sumifs(raw_data!$Z:$Z,raw_data!$U:$U,"Telephony",raw_data!$T:$T,H47,raw_data!$Y:$Y,$A$47)</f>
        <v>2</v>
      </c>
      <c r="I50" s="41">
        <f>sumifs(raw_data!$Z:$Z,raw_data!$U:$U,"Telephony",raw_data!$T:$T,I47,raw_data!$Y:$Y,$A$47)</f>
        <v>1</v>
      </c>
      <c r="J50" s="41">
        <f>sumifs(raw_data!$Z:$Z,raw_data!$U:$U,"Telephony",raw_data!$T:$T,J47,raw_data!$Y:$Y,$A$47)</f>
        <v>0</v>
      </c>
      <c r="K50" s="41">
        <f>sumifs(raw_data!$Z:$Z,raw_data!$U:$U,"Telephony",raw_data!$T:$T,K47,raw_data!$Y:$Y,$A$47)</f>
        <v>2</v>
      </c>
      <c r="L50" s="41">
        <f>sumifs(raw_data!$Z:$Z,raw_data!$U:$U,"Telephony",raw_data!$T:$T,L47,raw_data!$Y:$Y,$A$47)</f>
        <v>0</v>
      </c>
      <c r="M50" s="41">
        <f>sumifs(raw_data!$Z:$Z,raw_data!$U:$U,"Telephony",raw_data!$T:$T,M47,raw_data!$Y:$Y,$A$47)</f>
        <v>0</v>
      </c>
      <c r="N50" s="41">
        <f>sumifs(raw_data!$Z:$Z,raw_data!$U:$U,"Telephony",raw_data!$T:$T,N47,raw_data!$Y:$Y,$A$47)</f>
        <v>1</v>
      </c>
      <c r="O50" s="41">
        <f>sumifs(raw_data!$Z:$Z,raw_data!$U:$U,"Telephony",raw_data!$T:$T,O47,raw_data!$Y:$Y,$A$47)</f>
        <v>0</v>
      </c>
      <c r="P50" s="41">
        <f>sumifs(raw_data!$Z:$Z,raw_data!$U:$U,"Telephony",raw_data!$T:$T,P47,raw_data!$Y:$Y,$A$47)</f>
        <v>0</v>
      </c>
      <c r="Q50" s="41">
        <f>sumifs(raw_data!$Z:$Z,raw_data!$U:$U,"Telephony",raw_data!$T:$T,Q47,raw_data!$Y:$Y,$A$47)</f>
        <v>0</v>
      </c>
      <c r="R50" s="41">
        <f>sumifs(raw_data!$Z:$Z,raw_data!$U:$U,"Telephony",raw_data!$T:$T,R47,raw_data!$Y:$Y,$A$47)</f>
        <v>0</v>
      </c>
      <c r="S50" s="41">
        <f>sumifs(raw_data!$Z:$Z,raw_data!$U:$U,"Telephony",raw_data!$T:$T,S47,raw_data!$Y:$Y,$A$47)</f>
        <v>0</v>
      </c>
      <c r="T50" s="41">
        <f>sumifs(raw_data!$Z:$Z,raw_data!$U:$U,"Telephony",raw_data!$T:$T,T47,raw_data!$Y:$Y,$A$47)</f>
        <v>0</v>
      </c>
      <c r="U50" s="41">
        <f>sumifs(raw_data!$Z:$Z,raw_data!$U:$U,"Telephony",raw_data!$T:$T,U47,raw_data!$Y:$Y,$A$47)</f>
        <v>0</v>
      </c>
      <c r="V50" s="41">
        <f>sumifs(raw_data!$Z:$Z,raw_data!$U:$U,"Telephony",raw_data!$T:$T,V47,raw_data!$Y:$Y,$A$47)</f>
        <v>1</v>
      </c>
      <c r="W50" s="41">
        <f>sumifs(raw_data!$Z:$Z,raw_data!$U:$U,"Telephony",raw_data!$T:$T,W47,raw_data!$Y:$Y,$A$47)</f>
        <v>0</v>
      </c>
      <c r="X50" s="41">
        <f>sumifs(raw_data!$Z:$Z,raw_data!$U:$U,"Telephony",raw_data!$T:$T,X47,raw_data!$Y:$Y,$A$47)</f>
        <v>0</v>
      </c>
      <c r="Y50" s="41">
        <f>sumifs(raw_data!$Z:$Z,raw_data!$U:$U,"Telephony",raw_data!$T:$T,Y47,raw_data!$Y:$Y,$A$47)</f>
        <v>1</v>
      </c>
      <c r="Z50" s="41">
        <f>sumifs(raw_data!$Z:$Z,raw_data!$U:$U,"Telephony",raw_data!$T:$T,Z47,raw_data!$Y:$Y,$A$47)</f>
        <v>0</v>
      </c>
      <c r="AA50" s="41">
        <f>sumifs(raw_data!$Z:$Z,raw_data!$U:$U,"Telephony",raw_data!$T:$T,AA47,raw_data!$Y:$Y,$A$47)</f>
        <v>0</v>
      </c>
      <c r="AB50" s="41">
        <f>sumifs(raw_data!$Z:$Z,raw_data!$U:$U,"Telephony",raw_data!$T:$T,AB47,raw_data!$Y:$Y,$A$47)</f>
        <v>1</v>
      </c>
      <c r="AC50" s="41">
        <f>sumifs(raw_data!$Z:$Z,raw_data!$U:$U,"Telephony",raw_data!$T:$T,AC47,raw_data!$Y:$Y,$A$47)</f>
        <v>1</v>
      </c>
      <c r="AD50" s="41">
        <f>sumifs(raw_data!$Z:$Z,raw_data!$U:$U,"Telephony",raw_data!$T:$T,AD47,raw_data!$Y:$Y,$A$47)</f>
        <v>1</v>
      </c>
      <c r="AE50" s="41">
        <f>sumifs(raw_data!$Z:$Z,raw_data!$U:$U,"Telephony",raw_data!$T:$T,AE47,raw_data!$Y:$Y,$A$47)</f>
        <v>0</v>
      </c>
      <c r="AF50" s="41">
        <f>sumifs(raw_data!$Z:$Z,raw_data!$U:$U,"Telephony",raw_data!$T:$T,AF47,raw_data!$Y:$Y,$A$47)</f>
        <v>1</v>
      </c>
      <c r="AG50" s="41"/>
      <c r="AH50" s="41"/>
      <c r="AI50" s="41"/>
      <c r="AJ50" s="139"/>
    </row>
    <row r="51">
      <c r="A51" s="138" t="s">
        <v>463</v>
      </c>
      <c r="B51" s="41"/>
      <c r="C51" s="41">
        <f t="shared" si="7"/>
        <v>0</v>
      </c>
      <c r="D51" s="41"/>
      <c r="E51" s="41">
        <f>sumifs(raw_data!$Z:$Z,raw_data!$U:$U,"Paid Ads",raw_data!$T:$T,E47,raw_data!$Y:$Y,$A$47)</f>
        <v>0</v>
      </c>
      <c r="F51" s="41">
        <f>sumifs(raw_data!$Z:$Z,raw_data!$U:$U,"Paid Ads",raw_data!$T:$T,F47,raw_data!$Y:$Y,$A$47)</f>
        <v>0</v>
      </c>
      <c r="G51" s="41">
        <f>sumifs(raw_data!$Z:$Z,raw_data!$U:$U,"Paid Ads",raw_data!$T:$T,G47,raw_data!$Y:$Y,$A$47)</f>
        <v>0</v>
      </c>
      <c r="H51" s="41">
        <f>sumifs(raw_data!$Z:$Z,raw_data!$U:$U,"Paid Ads",raw_data!$T:$T,H47,raw_data!$Y:$Y,$A$47)</f>
        <v>0</v>
      </c>
      <c r="I51" s="41">
        <f>sumifs(raw_data!$Z:$Z,raw_data!$U:$U,"Paid Ads",raw_data!$T:$T,I47,raw_data!$Y:$Y,$A$47)</f>
        <v>0</v>
      </c>
      <c r="J51" s="41">
        <f>sumifs(raw_data!$Z:$Z,raw_data!$U:$U,"Paid Ads",raw_data!$T:$T,J47,raw_data!$Y:$Y,$A$47)</f>
        <v>0</v>
      </c>
      <c r="K51" s="41">
        <f>sumifs(raw_data!$Z:$Z,raw_data!$U:$U,"Paid Ads",raw_data!$T:$T,K47,raw_data!$Y:$Y,$A$47)</f>
        <v>0</v>
      </c>
      <c r="L51" s="41">
        <f>sumifs(raw_data!$Z:$Z,raw_data!$U:$U,"Paid Ads",raw_data!$T:$T,L47,raw_data!$Y:$Y,$A$47)</f>
        <v>0</v>
      </c>
      <c r="M51" s="41">
        <f>sumifs(raw_data!$Z:$Z,raw_data!$U:$U,"Paid Ads",raw_data!$T:$T,M47,raw_data!$Y:$Y,$A$47)</f>
        <v>0</v>
      </c>
      <c r="N51" s="41">
        <f>sumifs(raw_data!$Z:$Z,raw_data!$U:$U,"Paid Ads",raw_data!$T:$T,N47,raw_data!$Y:$Y,$A$47)</f>
        <v>0</v>
      </c>
      <c r="O51" s="41">
        <f>sumifs(raw_data!$Z:$Z,raw_data!$U:$U,"Paid Ads",raw_data!$T:$T,O47,raw_data!$Y:$Y,$A$47)</f>
        <v>0</v>
      </c>
      <c r="P51" s="41">
        <f>sumifs(raw_data!$Z:$Z,raw_data!$U:$U,"Paid Ads",raw_data!$T:$T,P47,raw_data!$Y:$Y,$A$47)</f>
        <v>0</v>
      </c>
      <c r="Q51" s="41">
        <f>sumifs(raw_data!$Z:$Z,raw_data!$U:$U,"Paid Ads",raw_data!$T:$T,Q47,raw_data!$Y:$Y,$A$47)</f>
        <v>0</v>
      </c>
      <c r="R51" s="41">
        <f>sumifs(raw_data!$Z:$Z,raw_data!$U:$U,"Paid Ads",raw_data!$T:$T,R47,raw_data!$Y:$Y,$A$47)</f>
        <v>0</v>
      </c>
      <c r="S51" s="41">
        <f>sumifs(raw_data!$Z:$Z,raw_data!$U:$U,"Paid Ads",raw_data!$T:$T,S47,raw_data!$Y:$Y,$A$47)</f>
        <v>0</v>
      </c>
      <c r="T51" s="41">
        <f>sumifs(raw_data!$Z:$Z,raw_data!$U:$U,"Paid Ads",raw_data!$T:$T,T47,raw_data!$Y:$Y,$A$47)</f>
        <v>0</v>
      </c>
      <c r="U51" s="41">
        <f>sumifs(raw_data!$Z:$Z,raw_data!$U:$U,"Paid Ads",raw_data!$T:$T,U47,raw_data!$Y:$Y,$A$47)</f>
        <v>0</v>
      </c>
      <c r="V51" s="41">
        <f>sumifs(raw_data!$Z:$Z,raw_data!$U:$U,"Paid Ads",raw_data!$T:$T,V47,raw_data!$Y:$Y,$A$47)</f>
        <v>0</v>
      </c>
      <c r="W51" s="41">
        <f>sumifs(raw_data!$Z:$Z,raw_data!$U:$U,"Paid Ads",raw_data!$T:$T,W47,raw_data!$Y:$Y,$A$47)</f>
        <v>0</v>
      </c>
      <c r="X51" s="41">
        <f>sumifs(raw_data!$Z:$Z,raw_data!$U:$U,"Paid Ads",raw_data!$T:$T,X47,raw_data!$Y:$Y,$A$47)</f>
        <v>0</v>
      </c>
      <c r="Y51" s="41">
        <f>sumifs(raw_data!$Z:$Z,raw_data!$U:$U,"Paid Ads",raw_data!$T:$T,Y47,raw_data!$Y:$Y,$A$47)</f>
        <v>0</v>
      </c>
      <c r="Z51" s="41">
        <f>sumifs(raw_data!$Z:$Z,raw_data!$U:$U,"Paid Ads",raw_data!$T:$T,Z47,raw_data!$Y:$Y,$A$47)</f>
        <v>0</v>
      </c>
      <c r="AA51" s="41">
        <f>sumifs(raw_data!$Z:$Z,raw_data!$U:$U,"Paid Ads",raw_data!$T:$T,AA47,raw_data!$Y:$Y,$A$47)</f>
        <v>0</v>
      </c>
      <c r="AB51" s="41">
        <f>sumifs(raw_data!$Z:$Z,raw_data!$U:$U,"Paid Ads",raw_data!$T:$T,AB47,raw_data!$Y:$Y,$A$47)</f>
        <v>0</v>
      </c>
      <c r="AC51" s="41">
        <f>sumifs(raw_data!$Z:$Z,raw_data!$U:$U,"Paid Ads",raw_data!$T:$T,AC47,raw_data!$Y:$Y,$A$47)</f>
        <v>0</v>
      </c>
      <c r="AD51" s="41">
        <f>sumifs(raw_data!$Z:$Z,raw_data!$U:$U,"Paid Ads",raw_data!$T:$T,AD47,raw_data!$Y:$Y,$A$47)</f>
        <v>0</v>
      </c>
      <c r="AE51" s="41">
        <f>sumifs(raw_data!$Z:$Z,raw_data!$U:$U,"Paid Ads",raw_data!$T:$T,AE47,raw_data!$Y:$Y,$A$47)</f>
        <v>0</v>
      </c>
      <c r="AF51" s="41">
        <f>sumifs(raw_data!$Z:$Z,raw_data!$U:$U,"Paid Ads",raw_data!$T:$T,AF47,raw_data!$Y:$Y,$A$47)</f>
        <v>0</v>
      </c>
      <c r="AG51" s="41"/>
      <c r="AH51" s="41"/>
      <c r="AI51" s="41"/>
      <c r="AJ51" s="139"/>
    </row>
    <row r="52">
      <c r="A52" s="138" t="s">
        <v>41</v>
      </c>
      <c r="B52" s="41"/>
      <c r="C52" s="41">
        <f t="shared" si="7"/>
        <v>0</v>
      </c>
      <c r="D52" s="41"/>
      <c r="E52" s="41">
        <f>sumifs(raw_data!$M:$M,raw_data!$K:$K,E47,raw_data!$N:$N,$A$47)</f>
        <v>0</v>
      </c>
      <c r="F52" s="41">
        <f>sumifs(raw_data!$M:$M,raw_data!$K:$K,F47,raw_data!$N:$N,$A$47)</f>
        <v>0</v>
      </c>
      <c r="G52" s="41">
        <f>sumifs(raw_data!$M:$M,raw_data!$K:$K,G47,raw_data!$N:$N,$A$47)</f>
        <v>0</v>
      </c>
      <c r="H52" s="41">
        <f>sumifs(raw_data!$M:$M,raw_data!$K:$K,H47,raw_data!$N:$N,$A$47)</f>
        <v>0</v>
      </c>
      <c r="I52" s="41">
        <f>sumifs(raw_data!$M:$M,raw_data!$K:$K,I47,raw_data!$N:$N,$A$47)</f>
        <v>0</v>
      </c>
      <c r="J52" s="41">
        <f>sumifs(raw_data!$M:$M,raw_data!$K:$K,J47,raw_data!$N:$N,$A$47)</f>
        <v>0</v>
      </c>
      <c r="K52" s="41">
        <f>sumifs(raw_data!$M:$M,raw_data!$K:$K,K47,raw_data!$N:$N,$A$47)</f>
        <v>0</v>
      </c>
      <c r="L52" s="41">
        <f>sumifs(raw_data!$M:$M,raw_data!$K:$K,L47,raw_data!$N:$N,$A$47)</f>
        <v>0</v>
      </c>
      <c r="M52" s="41">
        <f>sumifs(raw_data!$M:$M,raw_data!$K:$K,M47,raw_data!$N:$N,$A$47)</f>
        <v>0</v>
      </c>
      <c r="N52" s="41">
        <f>sumifs(raw_data!$M:$M,raw_data!$K:$K,N47,raw_data!$N:$N,$A$47)</f>
        <v>0</v>
      </c>
      <c r="O52" s="41">
        <f>sumifs(raw_data!$M:$M,raw_data!$K:$K,O47,raw_data!$N:$N,$A$47)</f>
        <v>0</v>
      </c>
      <c r="P52" s="41">
        <f>sumifs(raw_data!$M:$M,raw_data!$K:$K,P47,raw_data!$N:$N,$A$47)</f>
        <v>0</v>
      </c>
      <c r="Q52" s="41">
        <f>sumifs(raw_data!$M:$M,raw_data!$K:$K,Q47,raw_data!$N:$N,$A$47)</f>
        <v>0</v>
      </c>
      <c r="R52" s="41">
        <f>sumifs(raw_data!$M:$M,raw_data!$K:$K,R47,raw_data!$N:$N,$A$47)</f>
        <v>0</v>
      </c>
      <c r="S52" s="41">
        <f>sumifs(raw_data!$M:$M,raw_data!$K:$K,S47,raw_data!$N:$N,$A$47)</f>
        <v>0</v>
      </c>
      <c r="T52" s="41">
        <f>sumifs(raw_data!$M:$M,raw_data!$K:$K,T47,raw_data!$N:$N,$A$47)</f>
        <v>0</v>
      </c>
      <c r="U52" s="41">
        <f>sumifs(raw_data!$M:$M,raw_data!$K:$K,U47,raw_data!$N:$N,$A$47)</f>
        <v>0</v>
      </c>
      <c r="V52" s="41">
        <f>sumifs(raw_data!$M:$M,raw_data!$K:$K,V47,raw_data!$N:$N,$A$47)</f>
        <v>0</v>
      </c>
      <c r="W52" s="41">
        <f>sumifs(raw_data!$M:$M,raw_data!$K:$K,W47,raw_data!$N:$N,$A$47)</f>
        <v>0</v>
      </c>
      <c r="X52" s="41">
        <f>sumifs(raw_data!$M:$M,raw_data!$K:$K,X47,raw_data!$N:$N,$A$47)</f>
        <v>0</v>
      </c>
      <c r="Y52" s="41">
        <f>sumifs(raw_data!$M:$M,raw_data!$K:$K,Y47,raw_data!$N:$N,$A$47)</f>
        <v>0</v>
      </c>
      <c r="Z52" s="41">
        <f>sumifs(raw_data!$M:$M,raw_data!$K:$K,Z47,raw_data!$N:$N,$A$47)</f>
        <v>0</v>
      </c>
      <c r="AA52" s="41">
        <f>sumifs(raw_data!$M:$M,raw_data!$K:$K,AA47,raw_data!$N:$N,$A$47)</f>
        <v>0</v>
      </c>
      <c r="AB52" s="41">
        <f>sumifs(raw_data!$M:$M,raw_data!$K:$K,AB47,raw_data!$N:$N,$A$47)</f>
        <v>0</v>
      </c>
      <c r="AC52" s="41">
        <f>sumifs(raw_data!$M:$M,raw_data!$K:$K,AC47,raw_data!$N:$N,$A$47)</f>
        <v>0</v>
      </c>
      <c r="AD52" s="41">
        <f>sumifs(raw_data!$M:$M,raw_data!$K:$K,AD47,raw_data!$N:$N,$A$47)</f>
        <v>0</v>
      </c>
      <c r="AE52" s="41">
        <f>sumifs(raw_data!$M:$M,raw_data!$K:$K,AE47,raw_data!$N:$N,$A$47)</f>
        <v>0</v>
      </c>
      <c r="AF52" s="41">
        <f>sumifs(raw_data!$M:$M,raw_data!$K:$K,AF47,raw_data!$N:$N,$A$47)</f>
        <v>0</v>
      </c>
      <c r="AG52" s="41"/>
      <c r="AH52" s="41"/>
      <c r="AI52" s="41"/>
      <c r="AJ52" s="139"/>
    </row>
    <row r="53">
      <c r="A53" s="138" t="s">
        <v>43</v>
      </c>
      <c r="B53" s="41"/>
      <c r="C53" s="41">
        <f t="shared" si="7"/>
        <v>0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139"/>
    </row>
    <row r="54">
      <c r="A54" s="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  <c r="AG54" s="139"/>
      <c r="AH54" s="139"/>
      <c r="AI54" s="139"/>
      <c r="AJ54" s="139"/>
    </row>
    <row r="55">
      <c r="A55" s="12" t="s">
        <v>464</v>
      </c>
      <c r="B55" s="46" t="s">
        <v>465</v>
      </c>
      <c r="C55" s="46" t="s">
        <v>43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  <c r="AG55" s="139"/>
      <c r="AH55" s="139"/>
      <c r="AI55" s="139"/>
      <c r="AJ55" s="139"/>
    </row>
    <row r="56">
      <c r="A56" s="142" t="s">
        <v>466</v>
      </c>
      <c r="B56" s="143"/>
      <c r="C56" s="143"/>
      <c r="D56" s="143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39"/>
    </row>
    <row r="57">
      <c r="A57" s="142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39"/>
    </row>
    <row r="58">
      <c r="A58" s="142"/>
      <c r="B58" s="145"/>
      <c r="C58" s="145"/>
      <c r="D58" s="145"/>
      <c r="E58" s="145"/>
      <c r="F58" s="146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  <c r="AF58" s="145"/>
      <c r="AG58" s="145"/>
      <c r="AH58" s="145"/>
      <c r="AI58" s="145"/>
      <c r="AJ58" s="139"/>
    </row>
    <row r="59">
      <c r="A59" s="142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39"/>
    </row>
    <row r="60">
      <c r="A60" s="142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  <c r="AF60" s="145"/>
      <c r="AG60" s="145"/>
      <c r="AH60" s="145"/>
      <c r="AI60" s="145"/>
      <c r="AJ60" s="139"/>
    </row>
    <row r="61">
      <c r="A61" s="142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39"/>
    </row>
    <row r="62">
      <c r="A62" s="142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  <c r="AF62" s="145"/>
      <c r="AG62" s="145"/>
      <c r="AH62" s="145"/>
      <c r="AI62" s="145"/>
      <c r="AJ62" s="139"/>
    </row>
    <row r="63">
      <c r="A63" s="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  <c r="AD63" s="139"/>
      <c r="AE63" s="139"/>
      <c r="AF63" s="139"/>
      <c r="AG63" s="139"/>
      <c r="AH63" s="139"/>
      <c r="AI63" s="139"/>
      <c r="AJ63" s="139"/>
    </row>
    <row r="64">
      <c r="A64" s="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  <c r="AD64" s="139"/>
      <c r="AE64" s="139"/>
      <c r="AF64" s="139"/>
      <c r="AG64" s="139"/>
      <c r="AH64" s="139"/>
      <c r="AI64" s="139"/>
      <c r="AJ64" s="139"/>
    </row>
    <row r="65">
      <c r="A65" s="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  <c r="AD65" s="139"/>
      <c r="AE65" s="139"/>
      <c r="AF65" s="139"/>
      <c r="AG65" s="139"/>
      <c r="AH65" s="139"/>
      <c r="AI65" s="139"/>
      <c r="AJ65" s="139"/>
    </row>
    <row r="66">
      <c r="A66" s="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  <c r="AD66" s="139"/>
      <c r="AE66" s="139"/>
      <c r="AF66" s="139"/>
      <c r="AG66" s="139"/>
      <c r="AH66" s="139"/>
      <c r="AI66" s="139"/>
      <c r="AJ66" s="139"/>
    </row>
    <row r="67">
      <c r="A67" s="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  <c r="AG67" s="139"/>
      <c r="AH67" s="139"/>
      <c r="AI67" s="139"/>
      <c r="AJ67" s="139"/>
    </row>
    <row r="68">
      <c r="A68" s="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  <c r="AG68" s="139"/>
      <c r="AH68" s="139"/>
      <c r="AI68" s="139"/>
      <c r="AJ68" s="139"/>
    </row>
    <row r="69">
      <c r="A69" s="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  <c r="AD69" s="139"/>
      <c r="AE69" s="139"/>
      <c r="AF69" s="139"/>
      <c r="AG69" s="139"/>
      <c r="AH69" s="139"/>
      <c r="AI69" s="139"/>
      <c r="AJ69" s="139"/>
    </row>
    <row r="70">
      <c r="A70" s="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  <c r="AD70" s="139"/>
      <c r="AE70" s="139"/>
      <c r="AF70" s="139"/>
      <c r="AG70" s="139"/>
      <c r="AH70" s="139"/>
      <c r="AI70" s="139"/>
      <c r="AJ70" s="139"/>
    </row>
    <row r="71">
      <c r="A71" s="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  <c r="AD71" s="139"/>
      <c r="AE71" s="139"/>
      <c r="AF71" s="139"/>
      <c r="AG71" s="139"/>
      <c r="AH71" s="139"/>
      <c r="AI71" s="139"/>
      <c r="AJ71" s="139"/>
    </row>
    <row r="72">
      <c r="A72" s="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  <c r="AD72" s="139"/>
      <c r="AE72" s="139"/>
      <c r="AF72" s="139"/>
      <c r="AG72" s="139"/>
      <c r="AH72" s="139"/>
      <c r="AI72" s="139"/>
      <c r="AJ72" s="139"/>
    </row>
    <row r="73">
      <c r="A73" s="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  <c r="AD73" s="139"/>
      <c r="AE73" s="139"/>
      <c r="AF73" s="139"/>
      <c r="AG73" s="139"/>
      <c r="AH73" s="139"/>
      <c r="AI73" s="139"/>
      <c r="AJ73" s="139"/>
    </row>
    <row r="74">
      <c r="A74" s="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  <c r="AG74" s="139"/>
      <c r="AH74" s="139"/>
      <c r="AI74" s="139"/>
      <c r="AJ74" s="139"/>
    </row>
    <row r="75">
      <c r="A75" s="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  <c r="AI75" s="139"/>
      <c r="AJ75" s="139"/>
    </row>
    <row r="76">
      <c r="A76" s="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  <c r="AD76" s="139"/>
      <c r="AE76" s="139"/>
      <c r="AF76" s="139"/>
      <c r="AG76" s="139"/>
      <c r="AH76" s="139"/>
      <c r="AI76" s="139"/>
      <c r="AJ76" s="139"/>
    </row>
    <row r="77">
      <c r="A77" s="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  <c r="AD77" s="139"/>
      <c r="AE77" s="139"/>
      <c r="AF77" s="139"/>
      <c r="AG77" s="139"/>
      <c r="AH77" s="139"/>
      <c r="AI77" s="139"/>
      <c r="AJ77" s="139"/>
    </row>
    <row r="78">
      <c r="A78" s="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  <c r="AD78" s="139"/>
      <c r="AE78" s="139"/>
      <c r="AF78" s="139"/>
      <c r="AG78" s="139"/>
      <c r="AH78" s="139"/>
      <c r="AI78" s="139"/>
      <c r="AJ78" s="139"/>
    </row>
    <row r="79">
      <c r="A79" s="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  <c r="AD79" s="139"/>
      <c r="AE79" s="139"/>
      <c r="AF79" s="139"/>
      <c r="AG79" s="139"/>
      <c r="AH79" s="139"/>
      <c r="AI79" s="139"/>
      <c r="AJ79" s="139"/>
    </row>
    <row r="80">
      <c r="A80" s="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  <c r="AD80" s="139"/>
      <c r="AE80" s="139"/>
      <c r="AF80" s="139"/>
      <c r="AG80" s="139"/>
      <c r="AH80" s="139"/>
      <c r="AI80" s="139"/>
      <c r="AJ80" s="139"/>
    </row>
    <row r="81">
      <c r="A81" s="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  <c r="AD81" s="139"/>
      <c r="AE81" s="139"/>
      <c r="AF81" s="139"/>
      <c r="AG81" s="139"/>
      <c r="AH81" s="139"/>
      <c r="AI81" s="139"/>
      <c r="AJ81" s="139"/>
    </row>
    <row r="82">
      <c r="A82" s="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  <c r="AD82" s="139"/>
      <c r="AE82" s="139"/>
      <c r="AF82" s="139"/>
      <c r="AG82" s="139"/>
      <c r="AH82" s="139"/>
      <c r="AI82" s="139"/>
      <c r="AJ82" s="139"/>
    </row>
    <row r="83">
      <c r="A83" s="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  <c r="AD83" s="139"/>
      <c r="AE83" s="139"/>
      <c r="AF83" s="139"/>
      <c r="AG83" s="139"/>
      <c r="AH83" s="139"/>
      <c r="AI83" s="139"/>
      <c r="AJ83" s="139"/>
    </row>
    <row r="84">
      <c r="A84" s="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  <c r="AG84" s="139"/>
      <c r="AH84" s="139"/>
      <c r="AI84" s="139"/>
      <c r="AJ84" s="139"/>
    </row>
    <row r="85">
      <c r="A85" s="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  <c r="AD85" s="139"/>
      <c r="AE85" s="139"/>
      <c r="AF85" s="139"/>
      <c r="AG85" s="139"/>
      <c r="AH85" s="139"/>
      <c r="AI85" s="139"/>
      <c r="AJ85" s="139"/>
    </row>
    <row r="86">
      <c r="A86" s="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  <c r="AD86" s="139"/>
      <c r="AE86" s="139"/>
      <c r="AF86" s="139"/>
      <c r="AG86" s="139"/>
      <c r="AH86" s="139"/>
      <c r="AI86" s="139"/>
      <c r="AJ86" s="139"/>
    </row>
    <row r="87">
      <c r="A87" s="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  <c r="AD87" s="139"/>
      <c r="AE87" s="139"/>
      <c r="AF87" s="139"/>
      <c r="AG87" s="139"/>
      <c r="AH87" s="139"/>
      <c r="AI87" s="139"/>
      <c r="AJ87" s="139"/>
    </row>
    <row r="88">
      <c r="A88" s="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  <c r="AG88" s="139"/>
      <c r="AH88" s="139"/>
      <c r="AI88" s="139"/>
      <c r="AJ88" s="139"/>
    </row>
    <row r="89">
      <c r="A89" s="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  <c r="AD89" s="139"/>
      <c r="AE89" s="139"/>
      <c r="AF89" s="139"/>
      <c r="AG89" s="139"/>
      <c r="AH89" s="139"/>
      <c r="AI89" s="139"/>
      <c r="AJ89" s="139"/>
    </row>
    <row r="90">
      <c r="A90" s="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  <c r="AD90" s="139"/>
      <c r="AE90" s="139"/>
      <c r="AF90" s="139"/>
      <c r="AG90" s="139"/>
      <c r="AH90" s="139"/>
      <c r="AI90" s="139"/>
      <c r="AJ90" s="139"/>
    </row>
    <row r="91">
      <c r="A91" s="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  <c r="AD91" s="139"/>
      <c r="AE91" s="139"/>
      <c r="AF91" s="139"/>
      <c r="AG91" s="139"/>
      <c r="AH91" s="139"/>
      <c r="AI91" s="139"/>
      <c r="AJ91" s="139"/>
    </row>
    <row r="92">
      <c r="A92" s="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  <c r="AD92" s="139"/>
      <c r="AE92" s="139"/>
      <c r="AF92" s="139"/>
      <c r="AG92" s="139"/>
      <c r="AH92" s="139"/>
      <c r="AI92" s="139"/>
      <c r="AJ92" s="139"/>
    </row>
    <row r="93">
      <c r="A93" s="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  <c r="AG93" s="139"/>
      <c r="AH93" s="139"/>
      <c r="AI93" s="139"/>
      <c r="AJ93" s="139"/>
    </row>
    <row r="94">
      <c r="A94" s="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  <c r="AG94" s="139"/>
      <c r="AH94" s="139"/>
      <c r="AI94" s="139"/>
      <c r="AJ94" s="139"/>
    </row>
    <row r="95">
      <c r="A95" s="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  <c r="AD95" s="139"/>
      <c r="AE95" s="139"/>
      <c r="AF95" s="139"/>
      <c r="AG95" s="139"/>
      <c r="AH95" s="139"/>
      <c r="AI95" s="139"/>
      <c r="AJ95" s="139"/>
    </row>
    <row r="96">
      <c r="A96" s="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  <c r="AG96" s="139"/>
      <c r="AH96" s="139"/>
      <c r="AI96" s="139"/>
      <c r="AJ96" s="139"/>
    </row>
    <row r="97">
      <c r="A97" s="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  <c r="AG97" s="139"/>
      <c r="AH97" s="139"/>
      <c r="AI97" s="139"/>
      <c r="AJ97" s="139"/>
    </row>
    <row r="98">
      <c r="A98" s="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  <c r="AD98" s="139"/>
      <c r="AE98" s="139"/>
      <c r="AF98" s="139"/>
      <c r="AG98" s="139"/>
      <c r="AH98" s="139"/>
      <c r="AI98" s="139"/>
      <c r="AJ98" s="139"/>
    </row>
    <row r="99">
      <c r="A99" s="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139"/>
      <c r="AG99" s="139"/>
      <c r="AH99" s="139"/>
      <c r="AI99" s="139"/>
      <c r="AJ99" s="139"/>
    </row>
    <row r="100">
      <c r="A100" s="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  <c r="AD100" s="139"/>
      <c r="AE100" s="139"/>
      <c r="AF100" s="139"/>
      <c r="AG100" s="139"/>
      <c r="AH100" s="139"/>
      <c r="AI100" s="139"/>
      <c r="AJ100" s="139"/>
    </row>
    <row r="101">
      <c r="A101" s="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  <c r="AD101" s="139"/>
      <c r="AE101" s="139"/>
      <c r="AF101" s="139"/>
      <c r="AG101" s="139"/>
      <c r="AH101" s="139"/>
      <c r="AI101" s="139"/>
      <c r="AJ101" s="139"/>
    </row>
    <row r="102">
      <c r="A102" s="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  <c r="AD102" s="139"/>
      <c r="AE102" s="139"/>
      <c r="AF102" s="139"/>
      <c r="AG102" s="139"/>
      <c r="AH102" s="139"/>
      <c r="AI102" s="139"/>
      <c r="AJ102" s="139"/>
    </row>
    <row r="103">
      <c r="A103" s="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  <c r="AD103" s="139"/>
      <c r="AE103" s="139"/>
      <c r="AF103" s="139"/>
      <c r="AG103" s="139"/>
      <c r="AH103" s="139"/>
      <c r="AI103" s="139"/>
      <c r="AJ103" s="139"/>
    </row>
    <row r="104">
      <c r="A104" s="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  <c r="AD104" s="139"/>
      <c r="AE104" s="139"/>
      <c r="AF104" s="139"/>
      <c r="AG104" s="139"/>
      <c r="AH104" s="139"/>
      <c r="AI104" s="139"/>
      <c r="AJ104" s="139"/>
    </row>
    <row r="105">
      <c r="A105" s="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  <c r="AD105" s="139"/>
      <c r="AE105" s="139"/>
      <c r="AF105" s="139"/>
      <c r="AG105" s="139"/>
      <c r="AH105" s="139"/>
      <c r="AI105" s="139"/>
      <c r="AJ105" s="139"/>
    </row>
    <row r="106">
      <c r="A106" s="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  <c r="AD106" s="139"/>
      <c r="AE106" s="139"/>
      <c r="AF106" s="139"/>
      <c r="AG106" s="139"/>
      <c r="AH106" s="139"/>
      <c r="AI106" s="139"/>
      <c r="AJ106" s="139"/>
    </row>
    <row r="107">
      <c r="A107" s="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39"/>
      <c r="AF107" s="139"/>
      <c r="AG107" s="139"/>
      <c r="AH107" s="139"/>
      <c r="AI107" s="139"/>
      <c r="AJ107" s="139"/>
    </row>
    <row r="108">
      <c r="A108" s="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  <c r="AG108" s="139"/>
      <c r="AH108" s="139"/>
      <c r="AI108" s="139"/>
      <c r="AJ108" s="139"/>
    </row>
    <row r="109">
      <c r="A109" s="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  <c r="AG109" s="139"/>
      <c r="AH109" s="139"/>
      <c r="AI109" s="139"/>
      <c r="AJ109" s="139"/>
    </row>
    <row r="110">
      <c r="A110" s="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  <c r="AG110" s="139"/>
      <c r="AH110" s="139"/>
      <c r="AI110" s="139"/>
      <c r="AJ110" s="139"/>
    </row>
    <row r="111">
      <c r="A111" s="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  <c r="AG111" s="139"/>
      <c r="AH111" s="139"/>
      <c r="AI111" s="139"/>
      <c r="AJ111" s="139"/>
    </row>
    <row r="112">
      <c r="A112" s="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  <c r="AG112" s="139"/>
      <c r="AH112" s="139"/>
      <c r="AI112" s="139"/>
      <c r="AJ112" s="139"/>
    </row>
    <row r="113">
      <c r="A113" s="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  <c r="AG113" s="139"/>
      <c r="AH113" s="139"/>
      <c r="AI113" s="139"/>
      <c r="AJ113" s="139"/>
    </row>
    <row r="114">
      <c r="A114" s="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  <c r="AG114" s="139"/>
      <c r="AH114" s="139"/>
      <c r="AI114" s="139"/>
      <c r="AJ114" s="139"/>
    </row>
    <row r="115">
      <c r="A115" s="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  <c r="AG115" s="139"/>
      <c r="AH115" s="139"/>
      <c r="AI115" s="139"/>
      <c r="AJ115" s="139"/>
    </row>
    <row r="116">
      <c r="A116" s="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  <c r="AG116" s="139"/>
      <c r="AH116" s="139"/>
      <c r="AI116" s="139"/>
      <c r="AJ116" s="139"/>
    </row>
    <row r="117">
      <c r="A117" s="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  <c r="AG117" s="139"/>
      <c r="AH117" s="139"/>
      <c r="AI117" s="139"/>
      <c r="AJ117" s="139"/>
    </row>
    <row r="118">
      <c r="A118" s="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  <c r="AG118" s="139"/>
      <c r="AH118" s="139"/>
      <c r="AI118" s="139"/>
      <c r="AJ118" s="139"/>
    </row>
    <row r="119">
      <c r="A119" s="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</row>
    <row r="120">
      <c r="A120" s="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  <c r="AG120" s="139"/>
      <c r="AH120" s="139"/>
      <c r="AI120" s="139"/>
      <c r="AJ120" s="139"/>
    </row>
    <row r="121">
      <c r="A121" s="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  <c r="AG121" s="139"/>
      <c r="AH121" s="139"/>
      <c r="AI121" s="139"/>
      <c r="AJ121" s="139"/>
    </row>
    <row r="122">
      <c r="A122" s="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  <c r="AG122" s="139"/>
      <c r="AH122" s="139"/>
      <c r="AI122" s="139"/>
      <c r="AJ122" s="139"/>
    </row>
    <row r="123">
      <c r="A123" s="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  <c r="AG123" s="139"/>
      <c r="AH123" s="139"/>
      <c r="AI123" s="139"/>
      <c r="AJ123" s="139"/>
    </row>
    <row r="124">
      <c r="A124" s="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  <c r="AG124" s="139"/>
      <c r="AH124" s="139"/>
      <c r="AI124" s="139"/>
      <c r="AJ124" s="139"/>
    </row>
    <row r="125">
      <c r="A125" s="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  <c r="AG125" s="139"/>
      <c r="AH125" s="139"/>
      <c r="AI125" s="139"/>
      <c r="AJ125" s="139"/>
    </row>
    <row r="126">
      <c r="A126" s="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  <c r="AG126" s="139"/>
      <c r="AH126" s="139"/>
      <c r="AI126" s="139"/>
      <c r="AJ126" s="139"/>
    </row>
    <row r="127">
      <c r="A127" s="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  <c r="AG127" s="139"/>
      <c r="AH127" s="139"/>
      <c r="AI127" s="139"/>
      <c r="AJ127" s="139"/>
    </row>
    <row r="128">
      <c r="A128" s="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  <c r="AG128" s="139"/>
      <c r="AH128" s="139"/>
      <c r="AI128" s="139"/>
      <c r="AJ128" s="139"/>
    </row>
    <row r="129">
      <c r="A129" s="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  <c r="AG129" s="139"/>
      <c r="AH129" s="139"/>
      <c r="AI129" s="139"/>
      <c r="AJ129" s="139"/>
    </row>
    <row r="130">
      <c r="A130" s="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  <c r="AG130" s="139"/>
      <c r="AH130" s="139"/>
      <c r="AI130" s="139"/>
      <c r="AJ130" s="139"/>
    </row>
    <row r="131">
      <c r="A131" s="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  <c r="AG131" s="139"/>
      <c r="AH131" s="139"/>
      <c r="AI131" s="139"/>
      <c r="AJ131" s="139"/>
    </row>
    <row r="132">
      <c r="A132" s="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  <c r="AG132" s="139"/>
      <c r="AH132" s="139"/>
      <c r="AI132" s="139"/>
      <c r="AJ132" s="139"/>
    </row>
    <row r="133">
      <c r="A133" s="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  <c r="AG133" s="139"/>
      <c r="AH133" s="139"/>
      <c r="AI133" s="139"/>
      <c r="AJ133" s="139"/>
    </row>
    <row r="134">
      <c r="A134" s="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  <c r="AG134" s="139"/>
      <c r="AH134" s="139"/>
      <c r="AI134" s="139"/>
      <c r="AJ134" s="139"/>
    </row>
    <row r="135">
      <c r="A135" s="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  <c r="AG135" s="139"/>
      <c r="AH135" s="139"/>
      <c r="AI135" s="139"/>
      <c r="AJ135" s="139"/>
    </row>
    <row r="136">
      <c r="A136" s="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  <c r="AG136" s="139"/>
      <c r="AH136" s="139"/>
      <c r="AI136" s="139"/>
      <c r="AJ136" s="139"/>
    </row>
    <row r="137">
      <c r="A137" s="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  <c r="AG137" s="139"/>
      <c r="AH137" s="139"/>
      <c r="AI137" s="139"/>
      <c r="AJ137" s="139"/>
    </row>
    <row r="138">
      <c r="A138" s="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  <c r="AG138" s="139"/>
      <c r="AH138" s="139"/>
      <c r="AI138" s="139"/>
      <c r="AJ138" s="139"/>
    </row>
    <row r="139">
      <c r="A139" s="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  <c r="AG139" s="139"/>
      <c r="AH139" s="139"/>
      <c r="AI139" s="139"/>
      <c r="AJ139" s="139"/>
    </row>
    <row r="140">
      <c r="A140" s="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  <c r="AG140" s="139"/>
      <c r="AH140" s="139"/>
      <c r="AI140" s="139"/>
      <c r="AJ140" s="139"/>
    </row>
    <row r="141">
      <c r="A141" s="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  <c r="AG141" s="139"/>
      <c r="AH141" s="139"/>
      <c r="AI141" s="139"/>
      <c r="AJ141" s="139"/>
    </row>
    <row r="142">
      <c r="A142" s="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  <c r="AG142" s="139"/>
      <c r="AH142" s="139"/>
      <c r="AI142" s="139"/>
      <c r="AJ142" s="139"/>
    </row>
    <row r="143">
      <c r="A143" s="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  <c r="AG143" s="139"/>
      <c r="AH143" s="139"/>
      <c r="AI143" s="139"/>
      <c r="AJ143" s="139"/>
    </row>
    <row r="144">
      <c r="A144" s="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  <c r="AG144" s="139"/>
      <c r="AH144" s="139"/>
      <c r="AI144" s="139"/>
      <c r="AJ144" s="139"/>
    </row>
    <row r="145">
      <c r="A145" s="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  <c r="AG145" s="139"/>
      <c r="AH145" s="139"/>
      <c r="AI145" s="139"/>
      <c r="AJ145" s="139"/>
    </row>
    <row r="146">
      <c r="A146" s="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  <c r="AG146" s="139"/>
      <c r="AH146" s="139"/>
      <c r="AI146" s="139"/>
      <c r="AJ146" s="139"/>
    </row>
    <row r="147">
      <c r="A147" s="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  <c r="AI147" s="139"/>
      <c r="AJ147" s="139"/>
    </row>
    <row r="148">
      <c r="A148" s="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  <c r="AG148" s="139"/>
      <c r="AH148" s="139"/>
      <c r="AI148" s="139"/>
      <c r="AJ148" s="139"/>
    </row>
    <row r="149">
      <c r="A149" s="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  <c r="AG149" s="139"/>
      <c r="AH149" s="139"/>
      <c r="AI149" s="139"/>
      <c r="AJ149" s="139"/>
    </row>
    <row r="150">
      <c r="A150" s="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  <c r="AG150" s="139"/>
      <c r="AH150" s="139"/>
      <c r="AI150" s="139"/>
      <c r="AJ150" s="139"/>
    </row>
    <row r="151">
      <c r="A151" s="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  <c r="AG151" s="139"/>
      <c r="AH151" s="139"/>
      <c r="AI151" s="139"/>
      <c r="AJ151" s="139"/>
    </row>
    <row r="152">
      <c r="A152" s="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  <c r="AG152" s="139"/>
      <c r="AH152" s="139"/>
      <c r="AI152" s="139"/>
      <c r="AJ152" s="139"/>
    </row>
    <row r="153">
      <c r="A153" s="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  <c r="AG153" s="139"/>
      <c r="AH153" s="139"/>
      <c r="AI153" s="139"/>
      <c r="AJ153" s="139"/>
    </row>
    <row r="154">
      <c r="A154" s="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  <c r="AG154" s="139"/>
      <c r="AH154" s="139"/>
      <c r="AI154" s="139"/>
      <c r="AJ154" s="139"/>
    </row>
    <row r="155">
      <c r="A155" s="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  <c r="AG155" s="139"/>
      <c r="AH155" s="139"/>
      <c r="AI155" s="139"/>
      <c r="AJ155" s="139"/>
    </row>
    <row r="156">
      <c r="A156" s="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  <c r="AG156" s="139"/>
      <c r="AH156" s="139"/>
      <c r="AI156" s="139"/>
      <c r="AJ156" s="139"/>
    </row>
    <row r="157">
      <c r="A157" s="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  <c r="AG157" s="139"/>
      <c r="AH157" s="139"/>
      <c r="AI157" s="139"/>
      <c r="AJ157" s="139"/>
    </row>
    <row r="158">
      <c r="A158" s="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  <c r="AG158" s="139"/>
      <c r="AH158" s="139"/>
      <c r="AI158" s="139"/>
      <c r="AJ158" s="139"/>
    </row>
    <row r="159">
      <c r="A159" s="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  <c r="AG159" s="139"/>
      <c r="AH159" s="139"/>
      <c r="AI159" s="139"/>
      <c r="AJ159" s="139"/>
    </row>
    <row r="160">
      <c r="A160" s="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  <c r="AG160" s="139"/>
      <c r="AH160" s="139"/>
      <c r="AI160" s="139"/>
      <c r="AJ160" s="139"/>
    </row>
    <row r="161">
      <c r="A161" s="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  <c r="AG161" s="139"/>
      <c r="AH161" s="139"/>
      <c r="AI161" s="139"/>
      <c r="AJ161" s="139"/>
    </row>
    <row r="162">
      <c r="A162" s="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  <c r="AG162" s="139"/>
      <c r="AH162" s="139"/>
      <c r="AI162" s="139"/>
      <c r="AJ162" s="139"/>
    </row>
    <row r="163">
      <c r="A163" s="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  <c r="AG163" s="139"/>
      <c r="AH163" s="139"/>
      <c r="AI163" s="139"/>
      <c r="AJ163" s="139"/>
    </row>
    <row r="164">
      <c r="A164" s="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  <c r="AG164" s="139"/>
      <c r="AH164" s="139"/>
      <c r="AI164" s="139"/>
      <c r="AJ164" s="139"/>
    </row>
    <row r="165">
      <c r="A165" s="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  <c r="AG165" s="139"/>
      <c r="AH165" s="139"/>
      <c r="AI165" s="139"/>
      <c r="AJ165" s="139"/>
    </row>
    <row r="166">
      <c r="A166" s="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  <c r="AG166" s="139"/>
      <c r="AH166" s="139"/>
      <c r="AI166" s="139"/>
      <c r="AJ166" s="139"/>
    </row>
    <row r="167">
      <c r="A167" s="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  <c r="AG167" s="139"/>
      <c r="AH167" s="139"/>
      <c r="AI167" s="139"/>
      <c r="AJ167" s="139"/>
    </row>
    <row r="168">
      <c r="A168" s="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  <c r="AG168" s="139"/>
      <c r="AH168" s="139"/>
      <c r="AI168" s="139"/>
      <c r="AJ168" s="139"/>
    </row>
    <row r="169">
      <c r="A169" s="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  <c r="AG169" s="139"/>
      <c r="AH169" s="139"/>
      <c r="AI169" s="139"/>
      <c r="AJ169" s="139"/>
    </row>
    <row r="170">
      <c r="A170" s="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  <c r="AD170" s="139"/>
      <c r="AE170" s="139"/>
      <c r="AF170" s="139"/>
      <c r="AG170" s="139"/>
      <c r="AH170" s="139"/>
      <c r="AI170" s="139"/>
      <c r="AJ170" s="139"/>
    </row>
    <row r="171">
      <c r="A171" s="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  <c r="AD171" s="139"/>
      <c r="AE171" s="139"/>
      <c r="AF171" s="139"/>
      <c r="AG171" s="139"/>
      <c r="AH171" s="139"/>
      <c r="AI171" s="139"/>
      <c r="AJ171" s="139"/>
    </row>
    <row r="172">
      <c r="A172" s="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  <c r="AD172" s="139"/>
      <c r="AE172" s="139"/>
      <c r="AF172" s="139"/>
      <c r="AG172" s="139"/>
      <c r="AH172" s="139"/>
      <c r="AI172" s="139"/>
      <c r="AJ172" s="139"/>
    </row>
    <row r="173">
      <c r="A173" s="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  <c r="AD173" s="139"/>
      <c r="AE173" s="139"/>
      <c r="AF173" s="139"/>
      <c r="AG173" s="139"/>
      <c r="AH173" s="139"/>
      <c r="AI173" s="139"/>
      <c r="AJ173" s="139"/>
    </row>
    <row r="174">
      <c r="A174" s="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  <c r="AD174" s="139"/>
      <c r="AE174" s="139"/>
      <c r="AF174" s="139"/>
      <c r="AG174" s="139"/>
      <c r="AH174" s="139"/>
      <c r="AI174" s="139"/>
      <c r="AJ174" s="139"/>
    </row>
    <row r="175">
      <c r="A175" s="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  <c r="AD175" s="139"/>
      <c r="AE175" s="139"/>
      <c r="AF175" s="139"/>
      <c r="AG175" s="139"/>
      <c r="AH175" s="139"/>
      <c r="AI175" s="139"/>
      <c r="AJ175" s="139"/>
    </row>
    <row r="176">
      <c r="A176" s="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  <c r="AD176" s="139"/>
      <c r="AE176" s="139"/>
      <c r="AF176" s="139"/>
      <c r="AG176" s="139"/>
      <c r="AH176" s="139"/>
      <c r="AI176" s="139"/>
      <c r="AJ176" s="139"/>
    </row>
    <row r="177">
      <c r="A177" s="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  <c r="AD177" s="139"/>
      <c r="AE177" s="139"/>
      <c r="AF177" s="139"/>
      <c r="AG177" s="139"/>
      <c r="AH177" s="139"/>
      <c r="AI177" s="139"/>
      <c r="AJ177" s="139"/>
    </row>
    <row r="178">
      <c r="A178" s="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  <c r="AD178" s="139"/>
      <c r="AE178" s="139"/>
      <c r="AF178" s="139"/>
      <c r="AG178" s="139"/>
      <c r="AH178" s="139"/>
      <c r="AI178" s="139"/>
      <c r="AJ178" s="139"/>
    </row>
    <row r="179">
      <c r="A179" s="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  <c r="AD179" s="139"/>
      <c r="AE179" s="139"/>
      <c r="AF179" s="139"/>
      <c r="AG179" s="139"/>
      <c r="AH179" s="139"/>
      <c r="AI179" s="139"/>
      <c r="AJ179" s="139"/>
    </row>
    <row r="180">
      <c r="A180" s="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  <c r="AF180" s="139"/>
      <c r="AG180" s="139"/>
      <c r="AH180" s="139"/>
      <c r="AI180" s="139"/>
      <c r="AJ180" s="139"/>
    </row>
    <row r="181">
      <c r="A181" s="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  <c r="AD181" s="139"/>
      <c r="AE181" s="139"/>
      <c r="AF181" s="139"/>
      <c r="AG181" s="139"/>
      <c r="AH181" s="139"/>
      <c r="AI181" s="139"/>
      <c r="AJ181" s="139"/>
    </row>
    <row r="182">
      <c r="A182" s="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  <c r="AD182" s="139"/>
      <c r="AE182" s="139"/>
      <c r="AF182" s="139"/>
      <c r="AG182" s="139"/>
      <c r="AH182" s="139"/>
      <c r="AI182" s="139"/>
      <c r="AJ182" s="139"/>
    </row>
    <row r="183">
      <c r="A183" s="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  <c r="AD183" s="139"/>
      <c r="AE183" s="139"/>
      <c r="AF183" s="139"/>
      <c r="AG183" s="139"/>
      <c r="AH183" s="139"/>
      <c r="AI183" s="139"/>
      <c r="AJ183" s="139"/>
    </row>
    <row r="184">
      <c r="A184" s="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  <c r="AD184" s="139"/>
      <c r="AE184" s="139"/>
      <c r="AF184" s="139"/>
      <c r="AG184" s="139"/>
      <c r="AH184" s="139"/>
      <c r="AI184" s="139"/>
      <c r="AJ184" s="139"/>
    </row>
    <row r="185">
      <c r="A185" s="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  <c r="AD185" s="139"/>
      <c r="AE185" s="139"/>
      <c r="AF185" s="139"/>
      <c r="AG185" s="139"/>
      <c r="AH185" s="139"/>
      <c r="AI185" s="139"/>
      <c r="AJ185" s="139"/>
    </row>
    <row r="186">
      <c r="A186" s="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  <c r="AD186" s="139"/>
      <c r="AE186" s="139"/>
      <c r="AF186" s="139"/>
      <c r="AG186" s="139"/>
      <c r="AH186" s="139"/>
      <c r="AI186" s="139"/>
      <c r="AJ186" s="139"/>
    </row>
    <row r="187">
      <c r="A187" s="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  <c r="AD187" s="139"/>
      <c r="AE187" s="139"/>
      <c r="AF187" s="139"/>
      <c r="AG187" s="139"/>
      <c r="AH187" s="139"/>
      <c r="AI187" s="139"/>
      <c r="AJ187" s="139"/>
    </row>
    <row r="188">
      <c r="A188" s="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  <c r="AD188" s="139"/>
      <c r="AE188" s="139"/>
      <c r="AF188" s="139"/>
      <c r="AG188" s="139"/>
      <c r="AH188" s="139"/>
      <c r="AI188" s="139"/>
      <c r="AJ188" s="139"/>
    </row>
    <row r="189">
      <c r="A189" s="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  <c r="AD189" s="139"/>
      <c r="AE189" s="139"/>
      <c r="AF189" s="139"/>
      <c r="AG189" s="139"/>
      <c r="AH189" s="139"/>
      <c r="AI189" s="139"/>
      <c r="AJ189" s="139"/>
    </row>
    <row r="190">
      <c r="A190" s="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  <c r="AG190" s="139"/>
      <c r="AH190" s="139"/>
      <c r="AI190" s="139"/>
      <c r="AJ190" s="139"/>
    </row>
    <row r="191">
      <c r="A191" s="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  <c r="AD191" s="139"/>
      <c r="AE191" s="139"/>
      <c r="AF191" s="139"/>
      <c r="AG191" s="139"/>
      <c r="AH191" s="139"/>
      <c r="AI191" s="139"/>
      <c r="AJ191" s="139"/>
    </row>
    <row r="192">
      <c r="A192" s="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  <c r="AD192" s="139"/>
      <c r="AE192" s="139"/>
      <c r="AF192" s="139"/>
      <c r="AG192" s="139"/>
      <c r="AH192" s="139"/>
      <c r="AI192" s="139"/>
      <c r="AJ192" s="139"/>
    </row>
    <row r="193">
      <c r="A193" s="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  <c r="AD193" s="139"/>
      <c r="AE193" s="139"/>
      <c r="AF193" s="139"/>
      <c r="AG193" s="139"/>
      <c r="AH193" s="139"/>
      <c r="AI193" s="139"/>
      <c r="AJ193" s="139"/>
    </row>
    <row r="194">
      <c r="A194" s="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  <c r="AD194" s="139"/>
      <c r="AE194" s="139"/>
      <c r="AF194" s="139"/>
      <c r="AG194" s="139"/>
      <c r="AH194" s="139"/>
      <c r="AI194" s="139"/>
      <c r="AJ194" s="139"/>
    </row>
    <row r="195">
      <c r="A195" s="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  <c r="AD195" s="139"/>
      <c r="AE195" s="139"/>
      <c r="AF195" s="139"/>
      <c r="AG195" s="139"/>
      <c r="AH195" s="139"/>
      <c r="AI195" s="139"/>
      <c r="AJ195" s="139"/>
    </row>
    <row r="196">
      <c r="A196" s="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  <c r="AD196" s="139"/>
      <c r="AE196" s="139"/>
      <c r="AF196" s="139"/>
      <c r="AG196" s="139"/>
      <c r="AH196" s="139"/>
      <c r="AI196" s="139"/>
      <c r="AJ196" s="139"/>
    </row>
    <row r="197">
      <c r="A197" s="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  <c r="AD197" s="139"/>
      <c r="AE197" s="139"/>
      <c r="AF197" s="139"/>
      <c r="AG197" s="139"/>
      <c r="AH197" s="139"/>
      <c r="AI197" s="139"/>
      <c r="AJ197" s="139"/>
    </row>
    <row r="198">
      <c r="A198" s="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  <c r="AD198" s="139"/>
      <c r="AE198" s="139"/>
      <c r="AF198" s="139"/>
      <c r="AG198" s="139"/>
      <c r="AH198" s="139"/>
      <c r="AI198" s="139"/>
      <c r="AJ198" s="139"/>
    </row>
    <row r="199">
      <c r="A199" s="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  <c r="AD199" s="139"/>
      <c r="AE199" s="139"/>
      <c r="AF199" s="139"/>
      <c r="AG199" s="139"/>
      <c r="AH199" s="139"/>
      <c r="AI199" s="139"/>
      <c r="AJ199" s="139"/>
    </row>
    <row r="200">
      <c r="A200" s="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  <c r="AD200" s="139"/>
      <c r="AE200" s="139"/>
      <c r="AF200" s="139"/>
      <c r="AG200" s="139"/>
      <c r="AH200" s="139"/>
      <c r="AI200" s="139"/>
      <c r="AJ200" s="139"/>
    </row>
    <row r="201">
      <c r="A201" s="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  <c r="AD201" s="139"/>
      <c r="AE201" s="139"/>
      <c r="AF201" s="139"/>
      <c r="AG201" s="139"/>
      <c r="AH201" s="139"/>
      <c r="AI201" s="139"/>
      <c r="AJ201" s="139"/>
    </row>
    <row r="202">
      <c r="A202" s="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9"/>
      <c r="AF202" s="139"/>
      <c r="AG202" s="139"/>
      <c r="AH202" s="139"/>
      <c r="AI202" s="139"/>
      <c r="AJ202" s="139"/>
    </row>
    <row r="203">
      <c r="A203" s="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  <c r="AD203" s="139"/>
      <c r="AE203" s="139"/>
      <c r="AF203" s="139"/>
      <c r="AG203" s="139"/>
      <c r="AH203" s="139"/>
      <c r="AI203" s="139"/>
      <c r="AJ203" s="139"/>
    </row>
    <row r="204">
      <c r="A204" s="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9"/>
      <c r="AF204" s="139"/>
      <c r="AG204" s="139"/>
      <c r="AH204" s="139"/>
      <c r="AI204" s="139"/>
      <c r="AJ204" s="139"/>
    </row>
    <row r="205">
      <c r="A205" s="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9"/>
      <c r="AF205" s="139"/>
      <c r="AG205" s="139"/>
      <c r="AH205" s="139"/>
      <c r="AI205" s="139"/>
      <c r="AJ205" s="139"/>
    </row>
    <row r="206">
      <c r="A206" s="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9"/>
      <c r="AF206" s="139"/>
      <c r="AG206" s="139"/>
      <c r="AH206" s="139"/>
      <c r="AI206" s="139"/>
      <c r="AJ206" s="139"/>
    </row>
    <row r="207">
      <c r="A207" s="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9"/>
      <c r="AF207" s="139"/>
      <c r="AG207" s="139"/>
      <c r="AH207" s="139"/>
      <c r="AI207" s="139"/>
      <c r="AJ207" s="139"/>
    </row>
    <row r="208">
      <c r="A208" s="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9"/>
      <c r="AF208" s="139"/>
      <c r="AG208" s="139"/>
      <c r="AH208" s="139"/>
      <c r="AI208" s="139"/>
      <c r="AJ208" s="139"/>
    </row>
    <row r="209">
      <c r="A209" s="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9"/>
      <c r="AF209" s="139"/>
      <c r="AG209" s="139"/>
      <c r="AH209" s="139"/>
      <c r="AI209" s="139"/>
      <c r="AJ209" s="139"/>
    </row>
    <row r="210">
      <c r="A210" s="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9"/>
      <c r="AF210" s="139"/>
      <c r="AG210" s="139"/>
      <c r="AH210" s="139"/>
      <c r="AI210" s="139"/>
      <c r="AJ210" s="139"/>
    </row>
    <row r="211">
      <c r="A211" s="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  <c r="AG211" s="139"/>
      <c r="AH211" s="139"/>
      <c r="AI211" s="139"/>
      <c r="AJ211" s="139"/>
    </row>
    <row r="212">
      <c r="A212" s="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  <c r="AD212" s="139"/>
      <c r="AE212" s="139"/>
      <c r="AF212" s="139"/>
      <c r="AG212" s="139"/>
      <c r="AH212" s="139"/>
      <c r="AI212" s="139"/>
      <c r="AJ212" s="139"/>
    </row>
    <row r="213">
      <c r="A213" s="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  <c r="AD213" s="139"/>
      <c r="AE213" s="139"/>
      <c r="AF213" s="139"/>
      <c r="AG213" s="139"/>
      <c r="AH213" s="139"/>
      <c r="AI213" s="139"/>
      <c r="AJ213" s="139"/>
    </row>
    <row r="214">
      <c r="A214" s="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  <c r="AD214" s="139"/>
      <c r="AE214" s="139"/>
      <c r="AF214" s="139"/>
      <c r="AG214" s="139"/>
      <c r="AH214" s="139"/>
      <c r="AI214" s="139"/>
      <c r="AJ214" s="139"/>
    </row>
    <row r="215">
      <c r="A215" s="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  <c r="AD215" s="139"/>
      <c r="AE215" s="139"/>
      <c r="AF215" s="139"/>
      <c r="AG215" s="139"/>
      <c r="AH215" s="139"/>
      <c r="AI215" s="139"/>
      <c r="AJ215" s="139"/>
    </row>
    <row r="216">
      <c r="A216" s="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  <c r="AD216" s="139"/>
      <c r="AE216" s="139"/>
      <c r="AF216" s="139"/>
      <c r="AG216" s="139"/>
      <c r="AH216" s="139"/>
      <c r="AI216" s="139"/>
      <c r="AJ216" s="139"/>
    </row>
    <row r="217">
      <c r="A217" s="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  <c r="AD217" s="139"/>
      <c r="AE217" s="139"/>
      <c r="AF217" s="139"/>
      <c r="AG217" s="139"/>
      <c r="AH217" s="139"/>
      <c r="AI217" s="139"/>
      <c r="AJ217" s="139"/>
    </row>
    <row r="218">
      <c r="A218" s="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  <c r="AD218" s="139"/>
      <c r="AE218" s="139"/>
      <c r="AF218" s="139"/>
      <c r="AG218" s="139"/>
      <c r="AH218" s="139"/>
      <c r="AI218" s="139"/>
      <c r="AJ218" s="139"/>
    </row>
    <row r="219">
      <c r="A219" s="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  <c r="AF219" s="139"/>
      <c r="AG219" s="139"/>
      <c r="AH219" s="139"/>
      <c r="AI219" s="139"/>
      <c r="AJ219" s="139"/>
    </row>
    <row r="220">
      <c r="A220" s="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  <c r="AD220" s="139"/>
      <c r="AE220" s="139"/>
      <c r="AF220" s="139"/>
      <c r="AG220" s="139"/>
      <c r="AH220" s="139"/>
      <c r="AI220" s="139"/>
      <c r="AJ220" s="139"/>
    </row>
    <row r="221">
      <c r="A221" s="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  <c r="AD221" s="139"/>
      <c r="AE221" s="139"/>
      <c r="AF221" s="139"/>
      <c r="AG221" s="139"/>
      <c r="AH221" s="139"/>
      <c r="AI221" s="139"/>
      <c r="AJ221" s="139"/>
    </row>
    <row r="222">
      <c r="A222" s="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  <c r="AD222" s="139"/>
      <c r="AE222" s="139"/>
      <c r="AF222" s="139"/>
      <c r="AG222" s="139"/>
      <c r="AH222" s="139"/>
      <c r="AI222" s="139"/>
      <c r="AJ222" s="139"/>
    </row>
    <row r="223">
      <c r="A223" s="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  <c r="AD223" s="139"/>
      <c r="AE223" s="139"/>
      <c r="AF223" s="139"/>
      <c r="AG223" s="139"/>
      <c r="AH223" s="139"/>
      <c r="AI223" s="139"/>
      <c r="AJ223" s="139"/>
    </row>
    <row r="224">
      <c r="A224" s="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  <c r="AD224" s="139"/>
      <c r="AE224" s="139"/>
      <c r="AF224" s="139"/>
      <c r="AG224" s="139"/>
      <c r="AH224" s="139"/>
      <c r="AI224" s="139"/>
      <c r="AJ224" s="139"/>
    </row>
    <row r="225">
      <c r="A225" s="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39"/>
      <c r="AH225" s="139"/>
      <c r="AI225" s="139"/>
      <c r="AJ225" s="139"/>
    </row>
    <row r="226">
      <c r="A226" s="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  <c r="AD226" s="139"/>
      <c r="AE226" s="139"/>
      <c r="AF226" s="139"/>
      <c r="AG226" s="139"/>
      <c r="AH226" s="139"/>
      <c r="AI226" s="139"/>
      <c r="AJ226" s="139"/>
    </row>
    <row r="227">
      <c r="A227" s="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  <c r="AD227" s="139"/>
      <c r="AE227" s="139"/>
      <c r="AF227" s="139"/>
      <c r="AG227" s="139"/>
      <c r="AH227" s="139"/>
      <c r="AI227" s="139"/>
      <c r="AJ227" s="139"/>
    </row>
    <row r="228">
      <c r="A228" s="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  <c r="AG228" s="139"/>
      <c r="AH228" s="139"/>
      <c r="AI228" s="139"/>
      <c r="AJ228" s="139"/>
    </row>
    <row r="229">
      <c r="A229" s="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  <c r="AD229" s="139"/>
      <c r="AE229" s="139"/>
      <c r="AF229" s="139"/>
      <c r="AG229" s="139"/>
      <c r="AH229" s="139"/>
      <c r="AI229" s="139"/>
      <c r="AJ229" s="139"/>
    </row>
    <row r="230">
      <c r="A230" s="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  <c r="AD230" s="139"/>
      <c r="AE230" s="139"/>
      <c r="AF230" s="139"/>
      <c r="AG230" s="139"/>
      <c r="AH230" s="139"/>
      <c r="AI230" s="139"/>
      <c r="AJ230" s="139"/>
    </row>
    <row r="231">
      <c r="A231" s="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  <c r="AD231" s="139"/>
      <c r="AE231" s="139"/>
      <c r="AF231" s="139"/>
      <c r="AG231" s="139"/>
      <c r="AH231" s="139"/>
      <c r="AI231" s="139"/>
      <c r="AJ231" s="139"/>
    </row>
    <row r="232">
      <c r="A232" s="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  <c r="AD232" s="139"/>
      <c r="AE232" s="139"/>
      <c r="AF232" s="139"/>
      <c r="AG232" s="139"/>
      <c r="AH232" s="139"/>
      <c r="AI232" s="139"/>
      <c r="AJ232" s="139"/>
    </row>
    <row r="233">
      <c r="A233" s="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  <c r="AD233" s="139"/>
      <c r="AE233" s="139"/>
      <c r="AF233" s="139"/>
      <c r="AG233" s="139"/>
      <c r="AH233" s="139"/>
      <c r="AI233" s="139"/>
      <c r="AJ233" s="139"/>
    </row>
    <row r="234">
      <c r="A234" s="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  <c r="AD234" s="139"/>
      <c r="AE234" s="139"/>
      <c r="AF234" s="139"/>
      <c r="AG234" s="139"/>
      <c r="AH234" s="139"/>
      <c r="AI234" s="139"/>
      <c r="AJ234" s="139"/>
    </row>
    <row r="235">
      <c r="A235" s="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  <c r="AD235" s="139"/>
      <c r="AE235" s="139"/>
      <c r="AF235" s="139"/>
      <c r="AG235" s="139"/>
      <c r="AH235" s="139"/>
      <c r="AI235" s="139"/>
      <c r="AJ235" s="139"/>
    </row>
    <row r="236">
      <c r="A236" s="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  <c r="AD236" s="139"/>
      <c r="AE236" s="139"/>
      <c r="AF236" s="139"/>
      <c r="AG236" s="139"/>
      <c r="AH236" s="139"/>
      <c r="AI236" s="139"/>
      <c r="AJ236" s="139"/>
    </row>
    <row r="237">
      <c r="A237" s="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  <c r="AD237" s="139"/>
      <c r="AE237" s="139"/>
      <c r="AF237" s="139"/>
      <c r="AG237" s="139"/>
      <c r="AH237" s="139"/>
      <c r="AI237" s="139"/>
      <c r="AJ237" s="139"/>
    </row>
    <row r="238">
      <c r="A238" s="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  <c r="AD238" s="139"/>
      <c r="AE238" s="139"/>
      <c r="AF238" s="139"/>
      <c r="AG238" s="139"/>
      <c r="AH238" s="139"/>
      <c r="AI238" s="139"/>
      <c r="AJ238" s="139"/>
    </row>
    <row r="239">
      <c r="A239" s="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  <c r="AD239" s="139"/>
      <c r="AE239" s="139"/>
      <c r="AF239" s="139"/>
      <c r="AG239" s="139"/>
      <c r="AH239" s="139"/>
      <c r="AI239" s="139"/>
      <c r="AJ239" s="139"/>
    </row>
    <row r="240">
      <c r="A240" s="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  <c r="AD240" s="139"/>
      <c r="AE240" s="139"/>
      <c r="AF240" s="139"/>
      <c r="AG240" s="139"/>
      <c r="AH240" s="139"/>
      <c r="AI240" s="139"/>
      <c r="AJ240" s="139"/>
    </row>
    <row r="241">
      <c r="A241" s="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  <c r="AD241" s="139"/>
      <c r="AE241" s="139"/>
      <c r="AF241" s="139"/>
      <c r="AG241" s="139"/>
      <c r="AH241" s="139"/>
      <c r="AI241" s="139"/>
      <c r="AJ241" s="139"/>
    </row>
    <row r="242">
      <c r="A242" s="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  <c r="AD242" s="139"/>
      <c r="AE242" s="139"/>
      <c r="AF242" s="139"/>
      <c r="AG242" s="139"/>
      <c r="AH242" s="139"/>
      <c r="AI242" s="139"/>
      <c r="AJ242" s="139"/>
    </row>
    <row r="243">
      <c r="A243" s="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  <c r="AD243" s="139"/>
      <c r="AE243" s="139"/>
      <c r="AF243" s="139"/>
      <c r="AG243" s="139"/>
      <c r="AH243" s="139"/>
      <c r="AI243" s="139"/>
      <c r="AJ243" s="139"/>
    </row>
    <row r="244">
      <c r="A244" s="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  <c r="AD244" s="139"/>
      <c r="AE244" s="139"/>
      <c r="AF244" s="139"/>
      <c r="AG244" s="139"/>
      <c r="AH244" s="139"/>
      <c r="AI244" s="139"/>
      <c r="AJ244" s="139"/>
    </row>
    <row r="245">
      <c r="A245" s="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  <c r="AD245" s="139"/>
      <c r="AE245" s="139"/>
      <c r="AF245" s="139"/>
      <c r="AG245" s="139"/>
      <c r="AH245" s="139"/>
      <c r="AI245" s="139"/>
      <c r="AJ245" s="139"/>
    </row>
    <row r="246">
      <c r="A246" s="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  <c r="AD246" s="139"/>
      <c r="AE246" s="139"/>
      <c r="AF246" s="139"/>
      <c r="AG246" s="139"/>
      <c r="AH246" s="139"/>
      <c r="AI246" s="139"/>
      <c r="AJ246" s="139"/>
    </row>
    <row r="247">
      <c r="A247" s="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  <c r="AD247" s="139"/>
      <c r="AE247" s="139"/>
      <c r="AF247" s="139"/>
      <c r="AG247" s="139"/>
      <c r="AH247" s="139"/>
      <c r="AI247" s="139"/>
      <c r="AJ247" s="139"/>
    </row>
    <row r="248">
      <c r="A248" s="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  <c r="AD248" s="139"/>
      <c r="AE248" s="139"/>
      <c r="AF248" s="139"/>
      <c r="AG248" s="139"/>
      <c r="AH248" s="139"/>
      <c r="AI248" s="139"/>
      <c r="AJ248" s="139"/>
    </row>
    <row r="249">
      <c r="A249" s="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  <c r="AD249" s="139"/>
      <c r="AE249" s="139"/>
      <c r="AF249" s="139"/>
      <c r="AG249" s="139"/>
      <c r="AH249" s="139"/>
      <c r="AI249" s="139"/>
      <c r="AJ249" s="139"/>
    </row>
    <row r="250">
      <c r="A250" s="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  <c r="AD250" s="139"/>
      <c r="AE250" s="139"/>
      <c r="AF250" s="139"/>
      <c r="AG250" s="139"/>
      <c r="AH250" s="139"/>
      <c r="AI250" s="139"/>
      <c r="AJ250" s="139"/>
    </row>
    <row r="251">
      <c r="A251" s="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  <c r="AD251" s="139"/>
      <c r="AE251" s="139"/>
      <c r="AF251" s="139"/>
      <c r="AG251" s="139"/>
      <c r="AH251" s="139"/>
      <c r="AI251" s="139"/>
      <c r="AJ251" s="139"/>
    </row>
    <row r="252">
      <c r="A252" s="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  <c r="AD252" s="139"/>
      <c r="AE252" s="139"/>
      <c r="AF252" s="139"/>
      <c r="AG252" s="139"/>
      <c r="AH252" s="139"/>
      <c r="AI252" s="139"/>
      <c r="AJ252" s="139"/>
    </row>
    <row r="253">
      <c r="A253" s="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  <c r="AD253" s="139"/>
      <c r="AE253" s="139"/>
      <c r="AF253" s="139"/>
      <c r="AG253" s="139"/>
      <c r="AH253" s="139"/>
      <c r="AI253" s="139"/>
      <c r="AJ253" s="139"/>
    </row>
    <row r="254">
      <c r="A254" s="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  <c r="AD254" s="139"/>
      <c r="AE254" s="139"/>
      <c r="AF254" s="139"/>
      <c r="AG254" s="139"/>
      <c r="AH254" s="139"/>
      <c r="AI254" s="139"/>
      <c r="AJ254" s="139"/>
    </row>
    <row r="255">
      <c r="A255" s="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  <c r="AA255" s="139"/>
      <c r="AB255" s="139"/>
      <c r="AC255" s="139"/>
      <c r="AD255" s="139"/>
      <c r="AE255" s="139"/>
      <c r="AF255" s="139"/>
      <c r="AG255" s="139"/>
      <c r="AH255" s="139"/>
      <c r="AI255" s="139"/>
      <c r="AJ255" s="139"/>
    </row>
    <row r="256">
      <c r="A256" s="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  <c r="AA256" s="139"/>
      <c r="AB256" s="139"/>
      <c r="AC256" s="139"/>
      <c r="AD256" s="139"/>
      <c r="AE256" s="139"/>
      <c r="AF256" s="139"/>
      <c r="AG256" s="139"/>
      <c r="AH256" s="139"/>
      <c r="AI256" s="139"/>
      <c r="AJ256" s="139"/>
    </row>
    <row r="257">
      <c r="A257" s="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  <c r="AA257" s="139"/>
      <c r="AB257" s="139"/>
      <c r="AC257" s="139"/>
      <c r="AD257" s="139"/>
      <c r="AE257" s="139"/>
      <c r="AF257" s="139"/>
      <c r="AG257" s="139"/>
      <c r="AH257" s="139"/>
      <c r="AI257" s="139"/>
      <c r="AJ257" s="139"/>
    </row>
    <row r="258">
      <c r="A258" s="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  <c r="AA258" s="139"/>
      <c r="AB258" s="139"/>
      <c r="AC258" s="139"/>
      <c r="AD258" s="139"/>
      <c r="AE258" s="139"/>
      <c r="AF258" s="139"/>
      <c r="AG258" s="139"/>
      <c r="AH258" s="139"/>
      <c r="AI258" s="139"/>
      <c r="AJ258" s="139"/>
    </row>
    <row r="259">
      <c r="A259" s="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  <c r="AD259" s="139"/>
      <c r="AE259" s="139"/>
      <c r="AF259" s="139"/>
      <c r="AG259" s="139"/>
      <c r="AH259" s="139"/>
      <c r="AI259" s="139"/>
      <c r="AJ259" s="139"/>
    </row>
    <row r="260">
      <c r="A260" s="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  <c r="AA260" s="139"/>
      <c r="AB260" s="139"/>
      <c r="AC260" s="139"/>
      <c r="AD260" s="139"/>
      <c r="AE260" s="139"/>
      <c r="AF260" s="139"/>
      <c r="AG260" s="139"/>
      <c r="AH260" s="139"/>
      <c r="AI260" s="139"/>
      <c r="AJ260" s="139"/>
    </row>
    <row r="261">
      <c r="A261" s="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  <c r="AA261" s="139"/>
      <c r="AB261" s="139"/>
      <c r="AC261" s="139"/>
      <c r="AD261" s="139"/>
      <c r="AE261" s="139"/>
      <c r="AF261" s="139"/>
      <c r="AG261" s="139"/>
      <c r="AH261" s="139"/>
      <c r="AI261" s="139"/>
      <c r="AJ261" s="139"/>
    </row>
    <row r="262">
      <c r="A262" s="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  <c r="AA262" s="139"/>
      <c r="AB262" s="139"/>
      <c r="AC262" s="139"/>
      <c r="AD262" s="139"/>
      <c r="AE262" s="139"/>
      <c r="AF262" s="139"/>
      <c r="AG262" s="139"/>
      <c r="AH262" s="139"/>
      <c r="AI262" s="139"/>
      <c r="AJ262" s="139"/>
    </row>
    <row r="263">
      <c r="A263" s="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  <c r="AA263" s="139"/>
      <c r="AB263" s="139"/>
      <c r="AC263" s="139"/>
      <c r="AD263" s="139"/>
      <c r="AE263" s="139"/>
      <c r="AF263" s="139"/>
      <c r="AG263" s="139"/>
      <c r="AH263" s="139"/>
      <c r="AI263" s="139"/>
      <c r="AJ263" s="139"/>
    </row>
    <row r="264">
      <c r="A264" s="9"/>
      <c r="B264" s="139"/>
      <c r="C264" s="139"/>
      <c r="D264" s="139"/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  <c r="AA264" s="139"/>
      <c r="AB264" s="139"/>
      <c r="AC264" s="139"/>
      <c r="AD264" s="139"/>
      <c r="AE264" s="139"/>
      <c r="AF264" s="139"/>
      <c r="AG264" s="139"/>
      <c r="AH264" s="139"/>
      <c r="AI264" s="139"/>
      <c r="AJ264" s="139"/>
    </row>
    <row r="265">
      <c r="A265" s="9"/>
      <c r="B265" s="139"/>
      <c r="C265" s="139"/>
      <c r="D265" s="139"/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  <c r="AA265" s="139"/>
      <c r="AB265" s="139"/>
      <c r="AC265" s="139"/>
      <c r="AD265" s="139"/>
      <c r="AE265" s="139"/>
      <c r="AF265" s="139"/>
      <c r="AG265" s="139"/>
      <c r="AH265" s="139"/>
      <c r="AI265" s="139"/>
      <c r="AJ265" s="139"/>
    </row>
    <row r="266">
      <c r="A266" s="9"/>
      <c r="B266" s="139"/>
      <c r="C266" s="139"/>
      <c r="D266" s="139"/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  <c r="AA266" s="139"/>
      <c r="AB266" s="139"/>
      <c r="AC266" s="139"/>
      <c r="AD266" s="139"/>
      <c r="AE266" s="139"/>
      <c r="AF266" s="139"/>
      <c r="AG266" s="139"/>
      <c r="AH266" s="139"/>
      <c r="AI266" s="139"/>
      <c r="AJ266" s="139"/>
    </row>
    <row r="267">
      <c r="A267" s="9"/>
      <c r="B267" s="139"/>
      <c r="C267" s="139"/>
      <c r="D267" s="139"/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  <c r="AA267" s="139"/>
      <c r="AB267" s="139"/>
      <c r="AC267" s="139"/>
      <c r="AD267" s="139"/>
      <c r="AE267" s="139"/>
      <c r="AF267" s="139"/>
      <c r="AG267" s="139"/>
      <c r="AH267" s="139"/>
      <c r="AI267" s="139"/>
      <c r="AJ267" s="139"/>
    </row>
    <row r="268">
      <c r="A268" s="9"/>
      <c r="B268" s="139"/>
      <c r="C268" s="139"/>
      <c r="D268" s="139"/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  <c r="AA268" s="139"/>
      <c r="AB268" s="139"/>
      <c r="AC268" s="139"/>
      <c r="AD268" s="139"/>
      <c r="AE268" s="139"/>
      <c r="AF268" s="139"/>
      <c r="AG268" s="139"/>
      <c r="AH268" s="139"/>
      <c r="AI268" s="139"/>
      <c r="AJ268" s="139"/>
    </row>
    <row r="269">
      <c r="A269" s="9"/>
      <c r="B269" s="139"/>
      <c r="C269" s="139"/>
      <c r="D269" s="139"/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  <c r="AA269" s="139"/>
      <c r="AB269" s="139"/>
      <c r="AC269" s="139"/>
      <c r="AD269" s="139"/>
      <c r="AE269" s="139"/>
      <c r="AF269" s="139"/>
      <c r="AG269" s="139"/>
      <c r="AH269" s="139"/>
      <c r="AI269" s="139"/>
      <c r="AJ269" s="139"/>
    </row>
    <row r="270">
      <c r="A270" s="9"/>
      <c r="B270" s="139"/>
      <c r="C270" s="139"/>
      <c r="D270" s="139"/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  <c r="AA270" s="139"/>
      <c r="AB270" s="139"/>
      <c r="AC270" s="139"/>
      <c r="AD270" s="139"/>
      <c r="AE270" s="139"/>
      <c r="AF270" s="139"/>
      <c r="AG270" s="139"/>
      <c r="AH270" s="139"/>
      <c r="AI270" s="139"/>
      <c r="AJ270" s="139"/>
    </row>
    <row r="271">
      <c r="A271" s="9"/>
      <c r="B271" s="139"/>
      <c r="C271" s="139"/>
      <c r="D271" s="139"/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  <c r="AA271" s="139"/>
      <c r="AB271" s="139"/>
      <c r="AC271" s="139"/>
      <c r="AD271" s="139"/>
      <c r="AE271" s="139"/>
      <c r="AF271" s="139"/>
      <c r="AG271" s="139"/>
      <c r="AH271" s="139"/>
      <c r="AI271" s="139"/>
      <c r="AJ271" s="139"/>
    </row>
    <row r="272">
      <c r="A272" s="9"/>
      <c r="B272" s="139"/>
      <c r="C272" s="139"/>
      <c r="D272" s="139"/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  <c r="AA272" s="139"/>
      <c r="AB272" s="139"/>
      <c r="AC272" s="139"/>
      <c r="AD272" s="139"/>
      <c r="AE272" s="139"/>
      <c r="AF272" s="139"/>
      <c r="AG272" s="139"/>
      <c r="AH272" s="139"/>
      <c r="AI272" s="139"/>
      <c r="AJ272" s="139"/>
    </row>
    <row r="273">
      <c r="A273" s="9"/>
      <c r="B273" s="139"/>
      <c r="C273" s="139"/>
      <c r="D273" s="139"/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  <c r="AA273" s="139"/>
      <c r="AB273" s="139"/>
      <c r="AC273" s="139"/>
      <c r="AD273" s="139"/>
      <c r="AE273" s="139"/>
      <c r="AF273" s="139"/>
      <c r="AG273" s="139"/>
      <c r="AH273" s="139"/>
      <c r="AI273" s="139"/>
      <c r="AJ273" s="139"/>
    </row>
    <row r="274">
      <c r="A274" s="9"/>
      <c r="B274" s="139"/>
      <c r="C274" s="139"/>
      <c r="D274" s="139"/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  <c r="AA274" s="139"/>
      <c r="AB274" s="139"/>
      <c r="AC274" s="139"/>
      <c r="AD274" s="139"/>
      <c r="AE274" s="139"/>
      <c r="AF274" s="139"/>
      <c r="AG274" s="139"/>
      <c r="AH274" s="139"/>
      <c r="AI274" s="139"/>
      <c r="AJ274" s="139"/>
    </row>
    <row r="275">
      <c r="A275" s="9"/>
      <c r="B275" s="139"/>
      <c r="C275" s="139"/>
      <c r="D275" s="139"/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  <c r="AA275" s="139"/>
      <c r="AB275" s="139"/>
      <c r="AC275" s="139"/>
      <c r="AD275" s="139"/>
      <c r="AE275" s="139"/>
      <c r="AF275" s="139"/>
      <c r="AG275" s="139"/>
      <c r="AH275" s="139"/>
      <c r="AI275" s="139"/>
      <c r="AJ275" s="139"/>
    </row>
    <row r="276">
      <c r="A276" s="9"/>
      <c r="B276" s="139"/>
      <c r="C276" s="139"/>
      <c r="D276" s="139"/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  <c r="AA276" s="139"/>
      <c r="AB276" s="139"/>
      <c r="AC276" s="139"/>
      <c r="AD276" s="139"/>
      <c r="AE276" s="139"/>
      <c r="AF276" s="139"/>
      <c r="AG276" s="139"/>
      <c r="AH276" s="139"/>
      <c r="AI276" s="139"/>
      <c r="AJ276" s="139"/>
    </row>
    <row r="277">
      <c r="A277" s="9"/>
      <c r="B277" s="139"/>
      <c r="C277" s="139"/>
      <c r="D277" s="139"/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  <c r="AA277" s="139"/>
      <c r="AB277" s="139"/>
      <c r="AC277" s="139"/>
      <c r="AD277" s="139"/>
      <c r="AE277" s="139"/>
      <c r="AF277" s="139"/>
      <c r="AG277" s="139"/>
      <c r="AH277" s="139"/>
      <c r="AI277" s="139"/>
      <c r="AJ277" s="139"/>
    </row>
    <row r="278">
      <c r="A278" s="9"/>
      <c r="B278" s="139"/>
      <c r="C278" s="139"/>
      <c r="D278" s="139"/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  <c r="AA278" s="139"/>
      <c r="AB278" s="139"/>
      <c r="AC278" s="139"/>
      <c r="AD278" s="139"/>
      <c r="AE278" s="139"/>
      <c r="AF278" s="139"/>
      <c r="AG278" s="139"/>
      <c r="AH278" s="139"/>
      <c r="AI278" s="139"/>
      <c r="AJ278" s="139"/>
    </row>
    <row r="279">
      <c r="A279" s="9"/>
      <c r="B279" s="139"/>
      <c r="C279" s="139"/>
      <c r="D279" s="139"/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  <c r="AA279" s="139"/>
      <c r="AB279" s="139"/>
      <c r="AC279" s="139"/>
      <c r="AD279" s="139"/>
      <c r="AE279" s="139"/>
      <c r="AF279" s="139"/>
      <c r="AG279" s="139"/>
      <c r="AH279" s="139"/>
      <c r="AI279" s="139"/>
      <c r="AJ279" s="139"/>
    </row>
    <row r="280">
      <c r="A280" s="9"/>
      <c r="B280" s="139"/>
      <c r="C280" s="139"/>
      <c r="D280" s="139"/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  <c r="AA280" s="139"/>
      <c r="AB280" s="139"/>
      <c r="AC280" s="139"/>
      <c r="AD280" s="139"/>
      <c r="AE280" s="139"/>
      <c r="AF280" s="139"/>
      <c r="AG280" s="139"/>
      <c r="AH280" s="139"/>
      <c r="AI280" s="139"/>
      <c r="AJ280" s="139"/>
    </row>
    <row r="281">
      <c r="A281" s="9"/>
      <c r="B281" s="139"/>
      <c r="C281" s="139"/>
      <c r="D281" s="139"/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  <c r="AA281" s="139"/>
      <c r="AB281" s="139"/>
      <c r="AC281" s="139"/>
      <c r="AD281" s="139"/>
      <c r="AE281" s="139"/>
      <c r="AF281" s="139"/>
      <c r="AG281" s="139"/>
      <c r="AH281" s="139"/>
      <c r="AI281" s="139"/>
      <c r="AJ281" s="139"/>
    </row>
    <row r="282">
      <c r="A282" s="9"/>
      <c r="B282" s="139"/>
      <c r="C282" s="139"/>
      <c r="D282" s="139"/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  <c r="AA282" s="139"/>
      <c r="AB282" s="139"/>
      <c r="AC282" s="139"/>
      <c r="AD282" s="139"/>
      <c r="AE282" s="139"/>
      <c r="AF282" s="139"/>
      <c r="AG282" s="139"/>
      <c r="AH282" s="139"/>
      <c r="AI282" s="139"/>
      <c r="AJ282" s="139"/>
    </row>
    <row r="283">
      <c r="A283" s="9"/>
      <c r="B283" s="139"/>
      <c r="C283" s="139"/>
      <c r="D283" s="139"/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  <c r="AA283" s="139"/>
      <c r="AB283" s="139"/>
      <c r="AC283" s="139"/>
      <c r="AD283" s="139"/>
      <c r="AE283" s="139"/>
      <c r="AF283" s="139"/>
      <c r="AG283" s="139"/>
      <c r="AH283" s="139"/>
      <c r="AI283" s="139"/>
      <c r="AJ283" s="139"/>
    </row>
    <row r="284">
      <c r="A284" s="9"/>
      <c r="B284" s="139"/>
      <c r="C284" s="139"/>
      <c r="D284" s="139"/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  <c r="AA284" s="139"/>
      <c r="AB284" s="139"/>
      <c r="AC284" s="139"/>
      <c r="AD284" s="139"/>
      <c r="AE284" s="139"/>
      <c r="AF284" s="139"/>
      <c r="AG284" s="139"/>
      <c r="AH284" s="139"/>
      <c r="AI284" s="139"/>
      <c r="AJ284" s="139"/>
    </row>
    <row r="285">
      <c r="A285" s="9"/>
      <c r="B285" s="139"/>
      <c r="C285" s="139"/>
      <c r="D285" s="139"/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  <c r="AA285" s="139"/>
      <c r="AB285" s="139"/>
      <c r="AC285" s="139"/>
      <c r="AD285" s="139"/>
      <c r="AE285" s="139"/>
      <c r="AF285" s="139"/>
      <c r="AG285" s="139"/>
      <c r="AH285" s="139"/>
      <c r="AI285" s="139"/>
      <c r="AJ285" s="139"/>
    </row>
    <row r="286">
      <c r="A286" s="9"/>
      <c r="B286" s="139"/>
      <c r="C286" s="139"/>
      <c r="D286" s="139"/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  <c r="AA286" s="139"/>
      <c r="AB286" s="139"/>
      <c r="AC286" s="139"/>
      <c r="AD286" s="139"/>
      <c r="AE286" s="139"/>
      <c r="AF286" s="139"/>
      <c r="AG286" s="139"/>
      <c r="AH286" s="139"/>
      <c r="AI286" s="139"/>
      <c r="AJ286" s="139"/>
    </row>
    <row r="287">
      <c r="A287" s="9"/>
      <c r="B287" s="139"/>
      <c r="C287" s="139"/>
      <c r="D287" s="139"/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  <c r="AA287" s="139"/>
      <c r="AB287" s="139"/>
      <c r="AC287" s="139"/>
      <c r="AD287" s="139"/>
      <c r="AE287" s="139"/>
      <c r="AF287" s="139"/>
      <c r="AG287" s="139"/>
      <c r="AH287" s="139"/>
      <c r="AI287" s="139"/>
      <c r="AJ287" s="139"/>
    </row>
    <row r="288">
      <c r="A288" s="9"/>
      <c r="B288" s="139"/>
      <c r="C288" s="139"/>
      <c r="D288" s="139"/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  <c r="AA288" s="139"/>
      <c r="AB288" s="139"/>
      <c r="AC288" s="139"/>
      <c r="AD288" s="139"/>
      <c r="AE288" s="139"/>
      <c r="AF288" s="139"/>
      <c r="AG288" s="139"/>
      <c r="AH288" s="139"/>
      <c r="AI288" s="139"/>
      <c r="AJ288" s="139"/>
    </row>
    <row r="289">
      <c r="A289" s="9"/>
      <c r="B289" s="139"/>
      <c r="C289" s="139"/>
      <c r="D289" s="139"/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  <c r="AA289" s="139"/>
      <c r="AB289" s="139"/>
      <c r="AC289" s="139"/>
      <c r="AD289" s="139"/>
      <c r="AE289" s="139"/>
      <c r="AF289" s="139"/>
      <c r="AG289" s="139"/>
      <c r="AH289" s="139"/>
      <c r="AI289" s="139"/>
      <c r="AJ289" s="139"/>
    </row>
    <row r="290">
      <c r="A290" s="9"/>
      <c r="B290" s="139"/>
      <c r="C290" s="139"/>
      <c r="D290" s="139"/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  <c r="AA290" s="139"/>
      <c r="AB290" s="139"/>
      <c r="AC290" s="139"/>
      <c r="AD290" s="139"/>
      <c r="AE290" s="139"/>
      <c r="AF290" s="139"/>
      <c r="AG290" s="139"/>
      <c r="AH290" s="139"/>
      <c r="AI290" s="139"/>
      <c r="AJ290" s="139"/>
    </row>
    <row r="291">
      <c r="A291" s="9"/>
      <c r="B291" s="139"/>
      <c r="C291" s="139"/>
      <c r="D291" s="139"/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  <c r="AA291" s="139"/>
      <c r="AB291" s="139"/>
      <c r="AC291" s="139"/>
      <c r="AD291" s="139"/>
      <c r="AE291" s="139"/>
      <c r="AF291" s="139"/>
      <c r="AG291" s="139"/>
      <c r="AH291" s="139"/>
      <c r="AI291" s="139"/>
      <c r="AJ291" s="139"/>
    </row>
    <row r="292">
      <c r="A292" s="9"/>
      <c r="B292" s="139"/>
      <c r="C292" s="139"/>
      <c r="D292" s="139"/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  <c r="AA292" s="139"/>
      <c r="AB292" s="139"/>
      <c r="AC292" s="139"/>
      <c r="AD292" s="139"/>
      <c r="AE292" s="139"/>
      <c r="AF292" s="139"/>
      <c r="AG292" s="139"/>
      <c r="AH292" s="139"/>
      <c r="AI292" s="139"/>
      <c r="AJ292" s="139"/>
    </row>
    <row r="293">
      <c r="A293" s="9"/>
      <c r="B293" s="139"/>
      <c r="C293" s="139"/>
      <c r="D293" s="139"/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  <c r="AA293" s="139"/>
      <c r="AB293" s="139"/>
      <c r="AC293" s="139"/>
      <c r="AD293" s="139"/>
      <c r="AE293" s="139"/>
      <c r="AF293" s="139"/>
      <c r="AG293" s="139"/>
      <c r="AH293" s="139"/>
      <c r="AI293" s="139"/>
      <c r="AJ293" s="139"/>
    </row>
    <row r="294">
      <c r="A294" s="9"/>
      <c r="B294" s="139"/>
      <c r="C294" s="139"/>
      <c r="D294" s="139"/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  <c r="AA294" s="139"/>
      <c r="AB294" s="139"/>
      <c r="AC294" s="139"/>
      <c r="AD294" s="139"/>
      <c r="AE294" s="139"/>
      <c r="AF294" s="139"/>
      <c r="AG294" s="139"/>
      <c r="AH294" s="139"/>
      <c r="AI294" s="139"/>
      <c r="AJ294" s="139"/>
    </row>
    <row r="295">
      <c r="A295" s="9"/>
      <c r="B295" s="139"/>
      <c r="C295" s="139"/>
      <c r="D295" s="139"/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  <c r="AA295" s="139"/>
      <c r="AB295" s="139"/>
      <c r="AC295" s="139"/>
      <c r="AD295" s="139"/>
      <c r="AE295" s="139"/>
      <c r="AF295" s="139"/>
      <c r="AG295" s="139"/>
      <c r="AH295" s="139"/>
      <c r="AI295" s="139"/>
      <c r="AJ295" s="139"/>
    </row>
    <row r="296">
      <c r="A296" s="9"/>
      <c r="B296" s="139"/>
      <c r="C296" s="139"/>
      <c r="D296" s="139"/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  <c r="AA296" s="139"/>
      <c r="AB296" s="139"/>
      <c r="AC296" s="139"/>
      <c r="AD296" s="139"/>
      <c r="AE296" s="139"/>
      <c r="AF296" s="139"/>
      <c r="AG296" s="139"/>
      <c r="AH296" s="139"/>
      <c r="AI296" s="139"/>
      <c r="AJ296" s="139"/>
    </row>
    <row r="297">
      <c r="A297" s="9"/>
      <c r="B297" s="139"/>
      <c r="C297" s="139"/>
      <c r="D297" s="139"/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  <c r="AA297" s="139"/>
      <c r="AB297" s="139"/>
      <c r="AC297" s="139"/>
      <c r="AD297" s="139"/>
      <c r="AE297" s="139"/>
      <c r="AF297" s="139"/>
      <c r="AG297" s="139"/>
      <c r="AH297" s="139"/>
      <c r="AI297" s="139"/>
      <c r="AJ297" s="139"/>
    </row>
    <row r="298">
      <c r="A298" s="9"/>
      <c r="B298" s="139"/>
      <c r="C298" s="139"/>
      <c r="D298" s="139"/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  <c r="AA298" s="139"/>
      <c r="AB298" s="139"/>
      <c r="AC298" s="139"/>
      <c r="AD298" s="139"/>
      <c r="AE298" s="139"/>
      <c r="AF298" s="139"/>
      <c r="AG298" s="139"/>
      <c r="AH298" s="139"/>
      <c r="AI298" s="139"/>
      <c r="AJ298" s="139"/>
    </row>
    <row r="299">
      <c r="A299" s="9"/>
      <c r="B299" s="139"/>
      <c r="C299" s="139"/>
      <c r="D299" s="139"/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  <c r="AA299" s="139"/>
      <c r="AB299" s="139"/>
      <c r="AC299" s="139"/>
      <c r="AD299" s="139"/>
      <c r="AE299" s="139"/>
      <c r="AF299" s="139"/>
      <c r="AG299" s="139"/>
      <c r="AH299" s="139"/>
      <c r="AI299" s="139"/>
      <c r="AJ299" s="139"/>
    </row>
    <row r="300">
      <c r="A300" s="9"/>
      <c r="B300" s="139"/>
      <c r="C300" s="139"/>
      <c r="D300" s="139"/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  <c r="AA300" s="139"/>
      <c r="AB300" s="139"/>
      <c r="AC300" s="139"/>
      <c r="AD300" s="139"/>
      <c r="AE300" s="139"/>
      <c r="AF300" s="139"/>
      <c r="AG300" s="139"/>
      <c r="AH300" s="139"/>
      <c r="AI300" s="139"/>
      <c r="AJ300" s="139"/>
    </row>
    <row r="301">
      <c r="A301" s="9"/>
      <c r="B301" s="139"/>
      <c r="C301" s="139"/>
      <c r="D301" s="139"/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  <c r="AA301" s="139"/>
      <c r="AB301" s="139"/>
      <c r="AC301" s="139"/>
      <c r="AD301" s="139"/>
      <c r="AE301" s="139"/>
      <c r="AF301" s="139"/>
      <c r="AG301" s="139"/>
      <c r="AH301" s="139"/>
      <c r="AI301" s="139"/>
      <c r="AJ301" s="139"/>
    </row>
    <row r="302">
      <c r="A302" s="9"/>
      <c r="B302" s="139"/>
      <c r="C302" s="139"/>
      <c r="D302" s="139"/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  <c r="AA302" s="139"/>
      <c r="AB302" s="139"/>
      <c r="AC302" s="139"/>
      <c r="AD302" s="139"/>
      <c r="AE302" s="139"/>
      <c r="AF302" s="139"/>
      <c r="AG302" s="139"/>
      <c r="AH302" s="139"/>
      <c r="AI302" s="139"/>
      <c r="AJ302" s="139"/>
    </row>
    <row r="303">
      <c r="A303" s="9"/>
      <c r="B303" s="139"/>
      <c r="C303" s="139"/>
      <c r="D303" s="139"/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  <c r="AA303" s="139"/>
      <c r="AB303" s="139"/>
      <c r="AC303" s="139"/>
      <c r="AD303" s="139"/>
      <c r="AE303" s="139"/>
      <c r="AF303" s="139"/>
      <c r="AG303" s="139"/>
      <c r="AH303" s="139"/>
      <c r="AI303" s="139"/>
      <c r="AJ303" s="139"/>
    </row>
    <row r="304">
      <c r="A304" s="9"/>
      <c r="B304" s="139"/>
      <c r="C304" s="139"/>
      <c r="D304" s="139"/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  <c r="AA304" s="139"/>
      <c r="AB304" s="139"/>
      <c r="AC304" s="139"/>
      <c r="AD304" s="139"/>
      <c r="AE304" s="139"/>
      <c r="AF304" s="139"/>
      <c r="AG304" s="139"/>
      <c r="AH304" s="139"/>
      <c r="AI304" s="139"/>
      <c r="AJ304" s="139"/>
    </row>
    <row r="305">
      <c r="A305" s="9"/>
      <c r="B305" s="139"/>
      <c r="C305" s="139"/>
      <c r="D305" s="139"/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  <c r="AA305" s="139"/>
      <c r="AB305" s="139"/>
      <c r="AC305" s="139"/>
      <c r="AD305" s="139"/>
      <c r="AE305" s="139"/>
      <c r="AF305" s="139"/>
      <c r="AG305" s="139"/>
      <c r="AH305" s="139"/>
      <c r="AI305" s="139"/>
      <c r="AJ305" s="139"/>
    </row>
    <row r="306">
      <c r="A306" s="9"/>
      <c r="B306" s="139"/>
      <c r="C306" s="139"/>
      <c r="D306" s="139"/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  <c r="AA306" s="139"/>
      <c r="AB306" s="139"/>
      <c r="AC306" s="139"/>
      <c r="AD306" s="139"/>
      <c r="AE306" s="139"/>
      <c r="AF306" s="139"/>
      <c r="AG306" s="139"/>
      <c r="AH306" s="139"/>
      <c r="AI306" s="139"/>
      <c r="AJ306" s="139"/>
    </row>
    <row r="307">
      <c r="A307" s="9"/>
      <c r="B307" s="139"/>
      <c r="C307" s="139"/>
      <c r="D307" s="139"/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  <c r="AA307" s="139"/>
      <c r="AB307" s="139"/>
      <c r="AC307" s="139"/>
      <c r="AD307" s="139"/>
      <c r="AE307" s="139"/>
      <c r="AF307" s="139"/>
      <c r="AG307" s="139"/>
      <c r="AH307" s="139"/>
      <c r="AI307" s="139"/>
      <c r="AJ307" s="139"/>
    </row>
    <row r="308">
      <c r="A308" s="9"/>
      <c r="B308" s="139"/>
      <c r="C308" s="139"/>
      <c r="D308" s="139"/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  <c r="AA308" s="139"/>
      <c r="AB308" s="139"/>
      <c r="AC308" s="139"/>
      <c r="AD308" s="139"/>
      <c r="AE308" s="139"/>
      <c r="AF308" s="139"/>
      <c r="AG308" s="139"/>
      <c r="AH308" s="139"/>
      <c r="AI308" s="139"/>
      <c r="AJ308" s="139"/>
    </row>
    <row r="309">
      <c r="A309" s="9"/>
      <c r="B309" s="139"/>
      <c r="C309" s="139"/>
      <c r="D309" s="139"/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  <c r="AA309" s="139"/>
      <c r="AB309" s="139"/>
      <c r="AC309" s="139"/>
      <c r="AD309" s="139"/>
      <c r="AE309" s="139"/>
      <c r="AF309" s="139"/>
      <c r="AG309" s="139"/>
      <c r="AH309" s="139"/>
      <c r="AI309" s="139"/>
      <c r="AJ309" s="139"/>
    </row>
    <row r="310">
      <c r="A310" s="9"/>
      <c r="B310" s="139"/>
      <c r="C310" s="139"/>
      <c r="D310" s="139"/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  <c r="AA310" s="139"/>
      <c r="AB310" s="139"/>
      <c r="AC310" s="139"/>
      <c r="AD310" s="139"/>
      <c r="AE310" s="139"/>
      <c r="AF310" s="139"/>
      <c r="AG310" s="139"/>
      <c r="AH310" s="139"/>
      <c r="AI310" s="139"/>
      <c r="AJ310" s="139"/>
    </row>
    <row r="311">
      <c r="A311" s="9"/>
      <c r="B311" s="139"/>
      <c r="C311" s="139"/>
      <c r="D311" s="139"/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  <c r="AA311" s="139"/>
      <c r="AB311" s="139"/>
      <c r="AC311" s="139"/>
      <c r="AD311" s="139"/>
      <c r="AE311" s="139"/>
      <c r="AF311" s="139"/>
      <c r="AG311" s="139"/>
      <c r="AH311" s="139"/>
      <c r="AI311" s="139"/>
      <c r="AJ311" s="139"/>
    </row>
    <row r="312">
      <c r="A312" s="9"/>
      <c r="B312" s="139"/>
      <c r="C312" s="139"/>
      <c r="D312" s="139"/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  <c r="AA312" s="139"/>
      <c r="AB312" s="139"/>
      <c r="AC312" s="139"/>
      <c r="AD312" s="139"/>
      <c r="AE312" s="139"/>
      <c r="AF312" s="139"/>
      <c r="AG312" s="139"/>
      <c r="AH312" s="139"/>
      <c r="AI312" s="139"/>
      <c r="AJ312" s="139"/>
    </row>
    <row r="313">
      <c r="A313" s="9"/>
      <c r="B313" s="139"/>
      <c r="C313" s="139"/>
      <c r="D313" s="139"/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  <c r="AA313" s="139"/>
      <c r="AB313" s="139"/>
      <c r="AC313" s="139"/>
      <c r="AD313" s="139"/>
      <c r="AE313" s="139"/>
      <c r="AF313" s="139"/>
      <c r="AG313" s="139"/>
      <c r="AH313" s="139"/>
      <c r="AI313" s="139"/>
      <c r="AJ313" s="139"/>
    </row>
    <row r="314">
      <c r="A314" s="9"/>
      <c r="B314" s="139"/>
      <c r="C314" s="139"/>
      <c r="D314" s="139"/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  <c r="AA314" s="139"/>
      <c r="AB314" s="139"/>
      <c r="AC314" s="139"/>
      <c r="AD314" s="139"/>
      <c r="AE314" s="139"/>
      <c r="AF314" s="139"/>
      <c r="AG314" s="139"/>
      <c r="AH314" s="139"/>
      <c r="AI314" s="139"/>
      <c r="AJ314" s="139"/>
    </row>
    <row r="315">
      <c r="A315" s="9"/>
      <c r="B315" s="139"/>
      <c r="C315" s="139"/>
      <c r="D315" s="139"/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  <c r="AA315" s="139"/>
      <c r="AB315" s="139"/>
      <c r="AC315" s="139"/>
      <c r="AD315" s="139"/>
      <c r="AE315" s="139"/>
      <c r="AF315" s="139"/>
      <c r="AG315" s="139"/>
      <c r="AH315" s="139"/>
      <c r="AI315" s="139"/>
      <c r="AJ315" s="139"/>
    </row>
    <row r="316">
      <c r="A316" s="9"/>
      <c r="B316" s="139"/>
      <c r="C316" s="139"/>
      <c r="D316" s="139"/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  <c r="AA316" s="139"/>
      <c r="AB316" s="139"/>
      <c r="AC316" s="139"/>
      <c r="AD316" s="139"/>
      <c r="AE316" s="139"/>
      <c r="AF316" s="139"/>
      <c r="AG316" s="139"/>
      <c r="AH316" s="139"/>
      <c r="AI316" s="139"/>
      <c r="AJ316" s="139"/>
    </row>
    <row r="317">
      <c r="A317" s="9"/>
      <c r="B317" s="139"/>
      <c r="C317" s="139"/>
      <c r="D317" s="139"/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  <c r="AA317" s="139"/>
      <c r="AB317" s="139"/>
      <c r="AC317" s="139"/>
      <c r="AD317" s="139"/>
      <c r="AE317" s="139"/>
      <c r="AF317" s="139"/>
      <c r="AG317" s="139"/>
      <c r="AH317" s="139"/>
      <c r="AI317" s="139"/>
      <c r="AJ317" s="139"/>
    </row>
    <row r="318">
      <c r="A318" s="9"/>
      <c r="B318" s="139"/>
      <c r="C318" s="139"/>
      <c r="D318" s="139"/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  <c r="AA318" s="139"/>
      <c r="AB318" s="139"/>
      <c r="AC318" s="139"/>
      <c r="AD318" s="139"/>
      <c r="AE318" s="139"/>
      <c r="AF318" s="139"/>
      <c r="AG318" s="139"/>
      <c r="AH318" s="139"/>
      <c r="AI318" s="139"/>
      <c r="AJ318" s="139"/>
    </row>
    <row r="319">
      <c r="A319" s="9"/>
      <c r="B319" s="139"/>
      <c r="C319" s="139"/>
      <c r="D319" s="139"/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  <c r="AA319" s="139"/>
      <c r="AB319" s="139"/>
      <c r="AC319" s="139"/>
      <c r="AD319" s="139"/>
      <c r="AE319" s="139"/>
      <c r="AF319" s="139"/>
      <c r="AG319" s="139"/>
      <c r="AH319" s="139"/>
      <c r="AI319" s="139"/>
      <c r="AJ319" s="139"/>
    </row>
    <row r="320">
      <c r="A320" s="9"/>
      <c r="B320" s="139"/>
      <c r="C320" s="139"/>
      <c r="D320" s="139"/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  <c r="AA320" s="139"/>
      <c r="AB320" s="139"/>
      <c r="AC320" s="139"/>
      <c r="AD320" s="139"/>
      <c r="AE320" s="139"/>
      <c r="AF320" s="139"/>
      <c r="AG320" s="139"/>
      <c r="AH320" s="139"/>
      <c r="AI320" s="139"/>
      <c r="AJ320" s="139"/>
    </row>
    <row r="321">
      <c r="A321" s="9"/>
      <c r="B321" s="139"/>
      <c r="C321" s="139"/>
      <c r="D321" s="139"/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  <c r="AA321" s="139"/>
      <c r="AB321" s="139"/>
      <c r="AC321" s="139"/>
      <c r="AD321" s="139"/>
      <c r="AE321" s="139"/>
      <c r="AF321" s="139"/>
      <c r="AG321" s="139"/>
      <c r="AH321" s="139"/>
      <c r="AI321" s="139"/>
      <c r="AJ321" s="139"/>
    </row>
    <row r="322">
      <c r="A322" s="9"/>
      <c r="B322" s="139"/>
      <c r="C322" s="139"/>
      <c r="D322" s="139"/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  <c r="AA322" s="139"/>
      <c r="AB322" s="139"/>
      <c r="AC322" s="139"/>
      <c r="AD322" s="139"/>
      <c r="AE322" s="139"/>
      <c r="AF322" s="139"/>
      <c r="AG322" s="139"/>
      <c r="AH322" s="139"/>
      <c r="AI322" s="139"/>
      <c r="AJ322" s="139"/>
    </row>
    <row r="323">
      <c r="A323" s="9"/>
      <c r="B323" s="139"/>
      <c r="C323" s="139"/>
      <c r="D323" s="139"/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  <c r="AA323" s="139"/>
      <c r="AB323" s="139"/>
      <c r="AC323" s="139"/>
      <c r="AD323" s="139"/>
      <c r="AE323" s="139"/>
      <c r="AF323" s="139"/>
      <c r="AG323" s="139"/>
      <c r="AH323" s="139"/>
      <c r="AI323" s="139"/>
      <c r="AJ323" s="139"/>
    </row>
    <row r="324">
      <c r="A324" s="9"/>
      <c r="B324" s="139"/>
      <c r="C324" s="139"/>
      <c r="D324" s="139"/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  <c r="AA324" s="139"/>
      <c r="AB324" s="139"/>
      <c r="AC324" s="139"/>
      <c r="AD324" s="139"/>
      <c r="AE324" s="139"/>
      <c r="AF324" s="139"/>
      <c r="AG324" s="139"/>
      <c r="AH324" s="139"/>
      <c r="AI324" s="139"/>
      <c r="AJ324" s="139"/>
    </row>
    <row r="325">
      <c r="A325" s="9"/>
      <c r="B325" s="139"/>
      <c r="C325" s="139"/>
      <c r="D325" s="139"/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  <c r="AA325" s="139"/>
      <c r="AB325" s="139"/>
      <c r="AC325" s="139"/>
      <c r="AD325" s="139"/>
      <c r="AE325" s="139"/>
      <c r="AF325" s="139"/>
      <c r="AG325" s="139"/>
      <c r="AH325" s="139"/>
      <c r="AI325" s="139"/>
      <c r="AJ325" s="139"/>
    </row>
    <row r="326">
      <c r="A326" s="9"/>
      <c r="B326" s="139"/>
      <c r="C326" s="139"/>
      <c r="D326" s="139"/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  <c r="AA326" s="139"/>
      <c r="AB326" s="139"/>
      <c r="AC326" s="139"/>
      <c r="AD326" s="139"/>
      <c r="AE326" s="139"/>
      <c r="AF326" s="139"/>
      <c r="AG326" s="139"/>
      <c r="AH326" s="139"/>
      <c r="AI326" s="139"/>
      <c r="AJ326" s="139"/>
    </row>
    <row r="327">
      <c r="A327" s="9"/>
      <c r="B327" s="139"/>
      <c r="C327" s="139"/>
      <c r="D327" s="139"/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  <c r="AA327" s="139"/>
      <c r="AB327" s="139"/>
      <c r="AC327" s="139"/>
      <c r="AD327" s="139"/>
      <c r="AE327" s="139"/>
      <c r="AF327" s="139"/>
      <c r="AG327" s="139"/>
      <c r="AH327" s="139"/>
      <c r="AI327" s="139"/>
      <c r="AJ327" s="139"/>
    </row>
    <row r="328">
      <c r="A328" s="9"/>
      <c r="B328" s="139"/>
      <c r="C328" s="139"/>
      <c r="D328" s="139"/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  <c r="AA328" s="139"/>
      <c r="AB328" s="139"/>
      <c r="AC328" s="139"/>
      <c r="AD328" s="139"/>
      <c r="AE328" s="139"/>
      <c r="AF328" s="139"/>
      <c r="AG328" s="139"/>
      <c r="AH328" s="139"/>
      <c r="AI328" s="139"/>
      <c r="AJ328" s="139"/>
    </row>
    <row r="329">
      <c r="A329" s="9"/>
      <c r="B329" s="139"/>
      <c r="C329" s="139"/>
      <c r="D329" s="139"/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  <c r="AA329" s="139"/>
      <c r="AB329" s="139"/>
      <c r="AC329" s="139"/>
      <c r="AD329" s="139"/>
      <c r="AE329" s="139"/>
      <c r="AF329" s="139"/>
      <c r="AG329" s="139"/>
      <c r="AH329" s="139"/>
      <c r="AI329" s="139"/>
      <c r="AJ329" s="139"/>
    </row>
    <row r="330">
      <c r="A330" s="9"/>
      <c r="B330" s="139"/>
      <c r="C330" s="139"/>
      <c r="D330" s="139"/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  <c r="AA330" s="139"/>
      <c r="AB330" s="139"/>
      <c r="AC330" s="139"/>
      <c r="AD330" s="139"/>
      <c r="AE330" s="139"/>
      <c r="AF330" s="139"/>
      <c r="AG330" s="139"/>
      <c r="AH330" s="139"/>
      <c r="AI330" s="139"/>
      <c r="AJ330" s="139"/>
    </row>
    <row r="331">
      <c r="A331" s="9"/>
      <c r="B331" s="139"/>
      <c r="C331" s="139"/>
      <c r="D331" s="139"/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  <c r="AA331" s="139"/>
      <c r="AB331" s="139"/>
      <c r="AC331" s="139"/>
      <c r="AD331" s="139"/>
      <c r="AE331" s="139"/>
      <c r="AF331" s="139"/>
      <c r="AG331" s="139"/>
      <c r="AH331" s="139"/>
      <c r="AI331" s="139"/>
      <c r="AJ331" s="139"/>
    </row>
    <row r="332">
      <c r="A332" s="9"/>
      <c r="B332" s="139"/>
      <c r="C332" s="139"/>
      <c r="D332" s="139"/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  <c r="AA332" s="139"/>
      <c r="AB332" s="139"/>
      <c r="AC332" s="139"/>
      <c r="AD332" s="139"/>
      <c r="AE332" s="139"/>
      <c r="AF332" s="139"/>
      <c r="AG332" s="139"/>
      <c r="AH332" s="139"/>
      <c r="AI332" s="139"/>
      <c r="AJ332" s="139"/>
    </row>
    <row r="333">
      <c r="A333" s="9"/>
      <c r="B333" s="139"/>
      <c r="C333" s="139"/>
      <c r="D333" s="139"/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  <c r="AA333" s="139"/>
      <c r="AB333" s="139"/>
      <c r="AC333" s="139"/>
      <c r="AD333" s="139"/>
      <c r="AE333" s="139"/>
      <c r="AF333" s="139"/>
      <c r="AG333" s="139"/>
      <c r="AH333" s="139"/>
      <c r="AI333" s="139"/>
      <c r="AJ333" s="139"/>
    </row>
    <row r="334">
      <c r="A334" s="9"/>
      <c r="B334" s="139"/>
      <c r="C334" s="139"/>
      <c r="D334" s="139"/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  <c r="AA334" s="139"/>
      <c r="AB334" s="139"/>
      <c r="AC334" s="139"/>
      <c r="AD334" s="139"/>
      <c r="AE334" s="139"/>
      <c r="AF334" s="139"/>
      <c r="AG334" s="139"/>
      <c r="AH334" s="139"/>
      <c r="AI334" s="139"/>
      <c r="AJ334" s="139"/>
    </row>
    <row r="335">
      <c r="A335" s="9"/>
      <c r="B335" s="139"/>
      <c r="C335" s="139"/>
      <c r="D335" s="139"/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  <c r="AA335" s="139"/>
      <c r="AB335" s="139"/>
      <c r="AC335" s="139"/>
      <c r="AD335" s="139"/>
      <c r="AE335" s="139"/>
      <c r="AF335" s="139"/>
      <c r="AG335" s="139"/>
      <c r="AH335" s="139"/>
      <c r="AI335" s="139"/>
      <c r="AJ335" s="139"/>
    </row>
    <row r="336">
      <c r="A336" s="9"/>
      <c r="B336" s="139"/>
      <c r="C336" s="139"/>
      <c r="D336" s="139"/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  <c r="AA336" s="139"/>
      <c r="AB336" s="139"/>
      <c r="AC336" s="139"/>
      <c r="AD336" s="139"/>
      <c r="AE336" s="139"/>
      <c r="AF336" s="139"/>
      <c r="AG336" s="139"/>
      <c r="AH336" s="139"/>
      <c r="AI336" s="139"/>
      <c r="AJ336" s="139"/>
    </row>
    <row r="337">
      <c r="A337" s="9"/>
      <c r="B337" s="139"/>
      <c r="C337" s="139"/>
      <c r="D337" s="139"/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  <c r="AA337" s="139"/>
      <c r="AB337" s="139"/>
      <c r="AC337" s="139"/>
      <c r="AD337" s="139"/>
      <c r="AE337" s="139"/>
      <c r="AF337" s="139"/>
      <c r="AG337" s="139"/>
      <c r="AH337" s="139"/>
      <c r="AI337" s="139"/>
      <c r="AJ337" s="139"/>
    </row>
    <row r="338">
      <c r="A338" s="9"/>
      <c r="B338" s="139"/>
      <c r="C338" s="139"/>
      <c r="D338" s="139"/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  <c r="AA338" s="139"/>
      <c r="AB338" s="139"/>
      <c r="AC338" s="139"/>
      <c r="AD338" s="139"/>
      <c r="AE338" s="139"/>
      <c r="AF338" s="139"/>
      <c r="AG338" s="139"/>
      <c r="AH338" s="139"/>
      <c r="AI338" s="139"/>
      <c r="AJ338" s="139"/>
    </row>
    <row r="339">
      <c r="A339" s="9"/>
      <c r="B339" s="139"/>
      <c r="C339" s="139"/>
      <c r="D339" s="139"/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  <c r="AA339" s="139"/>
      <c r="AB339" s="139"/>
      <c r="AC339" s="139"/>
      <c r="AD339" s="139"/>
      <c r="AE339" s="139"/>
      <c r="AF339" s="139"/>
      <c r="AG339" s="139"/>
      <c r="AH339" s="139"/>
      <c r="AI339" s="139"/>
      <c r="AJ339" s="139"/>
    </row>
    <row r="340">
      <c r="A340" s="9"/>
      <c r="B340" s="139"/>
      <c r="C340" s="139"/>
      <c r="D340" s="139"/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  <c r="AA340" s="139"/>
      <c r="AB340" s="139"/>
      <c r="AC340" s="139"/>
      <c r="AD340" s="139"/>
      <c r="AE340" s="139"/>
      <c r="AF340" s="139"/>
      <c r="AG340" s="139"/>
      <c r="AH340" s="139"/>
      <c r="AI340" s="139"/>
      <c r="AJ340" s="139"/>
    </row>
    <row r="341">
      <c r="A341" s="9"/>
      <c r="B341" s="139"/>
      <c r="C341" s="139"/>
      <c r="D341" s="139"/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  <c r="AA341" s="139"/>
      <c r="AB341" s="139"/>
      <c r="AC341" s="139"/>
      <c r="AD341" s="139"/>
      <c r="AE341" s="139"/>
      <c r="AF341" s="139"/>
      <c r="AG341" s="139"/>
      <c r="AH341" s="139"/>
      <c r="AI341" s="139"/>
      <c r="AJ341" s="139"/>
    </row>
    <row r="342">
      <c r="A342" s="9"/>
      <c r="B342" s="139"/>
      <c r="C342" s="139"/>
      <c r="D342" s="139"/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  <c r="AA342" s="139"/>
      <c r="AB342" s="139"/>
      <c r="AC342" s="139"/>
      <c r="AD342" s="139"/>
      <c r="AE342" s="139"/>
      <c r="AF342" s="139"/>
      <c r="AG342" s="139"/>
      <c r="AH342" s="139"/>
      <c r="AI342" s="139"/>
      <c r="AJ342" s="139"/>
    </row>
    <row r="343">
      <c r="A343" s="9"/>
      <c r="B343" s="139"/>
      <c r="C343" s="139"/>
      <c r="D343" s="139"/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  <c r="AA343" s="139"/>
      <c r="AB343" s="139"/>
      <c r="AC343" s="139"/>
      <c r="AD343" s="139"/>
      <c r="AE343" s="139"/>
      <c r="AF343" s="139"/>
      <c r="AG343" s="139"/>
      <c r="AH343" s="139"/>
      <c r="AI343" s="139"/>
      <c r="AJ343" s="139"/>
    </row>
    <row r="344">
      <c r="A344" s="9"/>
      <c r="B344" s="139"/>
      <c r="C344" s="139"/>
      <c r="D344" s="139"/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  <c r="AA344" s="139"/>
      <c r="AB344" s="139"/>
      <c r="AC344" s="139"/>
      <c r="AD344" s="139"/>
      <c r="AE344" s="139"/>
      <c r="AF344" s="139"/>
      <c r="AG344" s="139"/>
      <c r="AH344" s="139"/>
      <c r="AI344" s="139"/>
      <c r="AJ344" s="139"/>
    </row>
    <row r="345">
      <c r="A345" s="9"/>
      <c r="B345" s="139"/>
      <c r="C345" s="139"/>
      <c r="D345" s="139"/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  <c r="AA345" s="139"/>
      <c r="AB345" s="139"/>
      <c r="AC345" s="139"/>
      <c r="AD345" s="139"/>
      <c r="AE345" s="139"/>
      <c r="AF345" s="139"/>
      <c r="AG345" s="139"/>
      <c r="AH345" s="139"/>
      <c r="AI345" s="139"/>
      <c r="AJ345" s="139"/>
    </row>
    <row r="346">
      <c r="A346" s="9"/>
      <c r="B346" s="139"/>
      <c r="C346" s="139"/>
      <c r="D346" s="139"/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  <c r="AA346" s="139"/>
      <c r="AB346" s="139"/>
      <c r="AC346" s="139"/>
      <c r="AD346" s="139"/>
      <c r="AE346" s="139"/>
      <c r="AF346" s="139"/>
      <c r="AG346" s="139"/>
      <c r="AH346" s="139"/>
      <c r="AI346" s="139"/>
      <c r="AJ346" s="139"/>
    </row>
    <row r="347">
      <c r="A347" s="9"/>
      <c r="B347" s="139"/>
      <c r="C347" s="139"/>
      <c r="D347" s="139"/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  <c r="AA347" s="139"/>
      <c r="AB347" s="139"/>
      <c r="AC347" s="139"/>
      <c r="AD347" s="139"/>
      <c r="AE347" s="139"/>
      <c r="AF347" s="139"/>
      <c r="AG347" s="139"/>
      <c r="AH347" s="139"/>
      <c r="AI347" s="139"/>
      <c r="AJ347" s="139"/>
    </row>
    <row r="348">
      <c r="A348" s="9"/>
      <c r="B348" s="139"/>
      <c r="C348" s="139"/>
      <c r="D348" s="139"/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  <c r="AA348" s="139"/>
      <c r="AB348" s="139"/>
      <c r="AC348" s="139"/>
      <c r="AD348" s="139"/>
      <c r="AE348" s="139"/>
      <c r="AF348" s="139"/>
      <c r="AG348" s="139"/>
      <c r="AH348" s="139"/>
      <c r="AI348" s="139"/>
      <c r="AJ348" s="139"/>
    </row>
    <row r="349">
      <c r="A349" s="9"/>
      <c r="B349" s="139"/>
      <c r="C349" s="139"/>
      <c r="D349" s="139"/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  <c r="AA349" s="139"/>
      <c r="AB349" s="139"/>
      <c r="AC349" s="139"/>
      <c r="AD349" s="139"/>
      <c r="AE349" s="139"/>
      <c r="AF349" s="139"/>
      <c r="AG349" s="139"/>
      <c r="AH349" s="139"/>
      <c r="AI349" s="139"/>
      <c r="AJ349" s="139"/>
    </row>
    <row r="350">
      <c r="A350" s="9"/>
      <c r="B350" s="139"/>
      <c r="C350" s="139"/>
      <c r="D350" s="139"/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  <c r="AA350" s="139"/>
      <c r="AB350" s="139"/>
      <c r="AC350" s="139"/>
      <c r="AD350" s="139"/>
      <c r="AE350" s="139"/>
      <c r="AF350" s="139"/>
      <c r="AG350" s="139"/>
      <c r="AH350" s="139"/>
      <c r="AI350" s="139"/>
      <c r="AJ350" s="139"/>
    </row>
    <row r="351">
      <c r="A351" s="9"/>
      <c r="B351" s="139"/>
      <c r="C351" s="139"/>
      <c r="D351" s="139"/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  <c r="AA351" s="139"/>
      <c r="AB351" s="139"/>
      <c r="AC351" s="139"/>
      <c r="AD351" s="139"/>
      <c r="AE351" s="139"/>
      <c r="AF351" s="139"/>
      <c r="AG351" s="139"/>
      <c r="AH351" s="139"/>
      <c r="AI351" s="139"/>
      <c r="AJ351" s="139"/>
    </row>
    <row r="352">
      <c r="A352" s="9"/>
      <c r="B352" s="139"/>
      <c r="C352" s="139"/>
      <c r="D352" s="139"/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  <c r="AA352" s="139"/>
      <c r="AB352" s="139"/>
      <c r="AC352" s="139"/>
      <c r="AD352" s="139"/>
      <c r="AE352" s="139"/>
      <c r="AF352" s="139"/>
      <c r="AG352" s="139"/>
      <c r="AH352" s="139"/>
      <c r="AI352" s="139"/>
      <c r="AJ352" s="139"/>
    </row>
    <row r="353">
      <c r="A353" s="9"/>
      <c r="B353" s="139"/>
      <c r="C353" s="139"/>
      <c r="D353" s="139"/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  <c r="AA353" s="139"/>
      <c r="AB353" s="139"/>
      <c r="AC353" s="139"/>
      <c r="AD353" s="139"/>
      <c r="AE353" s="139"/>
      <c r="AF353" s="139"/>
      <c r="AG353" s="139"/>
      <c r="AH353" s="139"/>
      <c r="AI353" s="139"/>
      <c r="AJ353" s="139"/>
    </row>
    <row r="354">
      <c r="A354" s="9"/>
      <c r="B354" s="139"/>
      <c r="C354" s="139"/>
      <c r="D354" s="139"/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  <c r="AA354" s="139"/>
      <c r="AB354" s="139"/>
      <c r="AC354" s="139"/>
      <c r="AD354" s="139"/>
      <c r="AE354" s="139"/>
      <c r="AF354" s="139"/>
      <c r="AG354" s="139"/>
      <c r="AH354" s="139"/>
      <c r="AI354" s="139"/>
      <c r="AJ354" s="139"/>
    </row>
    <row r="355">
      <c r="A355" s="9"/>
      <c r="B355" s="139"/>
      <c r="C355" s="139"/>
      <c r="D355" s="139"/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  <c r="AA355" s="139"/>
      <c r="AB355" s="139"/>
      <c r="AC355" s="139"/>
      <c r="AD355" s="139"/>
      <c r="AE355" s="139"/>
      <c r="AF355" s="139"/>
      <c r="AG355" s="139"/>
      <c r="AH355" s="139"/>
      <c r="AI355" s="139"/>
      <c r="AJ355" s="139"/>
    </row>
    <row r="356">
      <c r="A356" s="9"/>
      <c r="B356" s="139"/>
      <c r="C356" s="139"/>
      <c r="D356" s="139"/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  <c r="AA356" s="139"/>
      <c r="AB356" s="139"/>
      <c r="AC356" s="139"/>
      <c r="AD356" s="139"/>
      <c r="AE356" s="139"/>
      <c r="AF356" s="139"/>
      <c r="AG356" s="139"/>
      <c r="AH356" s="139"/>
      <c r="AI356" s="139"/>
      <c r="AJ356" s="139"/>
    </row>
    <row r="357">
      <c r="A357" s="9"/>
      <c r="B357" s="139"/>
      <c r="C357" s="139"/>
      <c r="D357" s="139"/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  <c r="AA357" s="139"/>
      <c r="AB357" s="139"/>
      <c r="AC357" s="139"/>
      <c r="AD357" s="139"/>
      <c r="AE357" s="139"/>
      <c r="AF357" s="139"/>
      <c r="AG357" s="139"/>
      <c r="AH357" s="139"/>
      <c r="AI357" s="139"/>
      <c r="AJ357" s="139"/>
    </row>
    <row r="358">
      <c r="A358" s="9"/>
      <c r="B358" s="139"/>
      <c r="C358" s="139"/>
      <c r="D358" s="139"/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  <c r="AA358" s="139"/>
      <c r="AB358" s="139"/>
      <c r="AC358" s="139"/>
      <c r="AD358" s="139"/>
      <c r="AE358" s="139"/>
      <c r="AF358" s="139"/>
      <c r="AG358" s="139"/>
      <c r="AH358" s="139"/>
      <c r="AI358" s="139"/>
      <c r="AJ358" s="139"/>
    </row>
    <row r="359">
      <c r="A359" s="9"/>
      <c r="B359" s="139"/>
      <c r="C359" s="139"/>
      <c r="D359" s="139"/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  <c r="AA359" s="139"/>
      <c r="AB359" s="139"/>
      <c r="AC359" s="139"/>
      <c r="AD359" s="139"/>
      <c r="AE359" s="139"/>
      <c r="AF359" s="139"/>
      <c r="AG359" s="139"/>
      <c r="AH359" s="139"/>
      <c r="AI359" s="139"/>
      <c r="AJ359" s="139"/>
    </row>
    <row r="360">
      <c r="A360" s="9"/>
      <c r="B360" s="139"/>
      <c r="C360" s="139"/>
      <c r="D360" s="139"/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  <c r="AA360" s="139"/>
      <c r="AB360" s="139"/>
      <c r="AC360" s="139"/>
      <c r="AD360" s="139"/>
      <c r="AE360" s="139"/>
      <c r="AF360" s="139"/>
      <c r="AG360" s="139"/>
      <c r="AH360" s="139"/>
      <c r="AI360" s="139"/>
      <c r="AJ360" s="139"/>
    </row>
    <row r="361">
      <c r="A361" s="9"/>
      <c r="B361" s="139"/>
      <c r="C361" s="139"/>
      <c r="D361" s="139"/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  <c r="AA361" s="139"/>
      <c r="AB361" s="139"/>
      <c r="AC361" s="139"/>
      <c r="AD361" s="139"/>
      <c r="AE361" s="139"/>
      <c r="AF361" s="139"/>
      <c r="AG361" s="139"/>
      <c r="AH361" s="139"/>
      <c r="AI361" s="139"/>
      <c r="AJ361" s="139"/>
    </row>
    <row r="362">
      <c r="A362" s="9"/>
      <c r="B362" s="139"/>
      <c r="C362" s="139"/>
      <c r="D362" s="139"/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  <c r="AA362" s="139"/>
      <c r="AB362" s="139"/>
      <c r="AC362" s="139"/>
      <c r="AD362" s="139"/>
      <c r="AE362" s="139"/>
      <c r="AF362" s="139"/>
      <c r="AG362" s="139"/>
      <c r="AH362" s="139"/>
      <c r="AI362" s="139"/>
      <c r="AJ362" s="139"/>
    </row>
    <row r="363">
      <c r="A363" s="9"/>
      <c r="B363" s="139"/>
      <c r="C363" s="139"/>
      <c r="D363" s="139"/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  <c r="AA363" s="139"/>
      <c r="AB363" s="139"/>
      <c r="AC363" s="139"/>
      <c r="AD363" s="139"/>
      <c r="AE363" s="139"/>
      <c r="AF363" s="139"/>
      <c r="AG363" s="139"/>
      <c r="AH363" s="139"/>
      <c r="AI363" s="139"/>
      <c r="AJ363" s="139"/>
    </row>
    <row r="364">
      <c r="A364" s="9"/>
      <c r="B364" s="139"/>
      <c r="C364" s="139"/>
      <c r="D364" s="139"/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  <c r="AA364" s="139"/>
      <c r="AB364" s="139"/>
      <c r="AC364" s="139"/>
      <c r="AD364" s="139"/>
      <c r="AE364" s="139"/>
      <c r="AF364" s="139"/>
      <c r="AG364" s="139"/>
      <c r="AH364" s="139"/>
      <c r="AI364" s="139"/>
      <c r="AJ364" s="139"/>
    </row>
    <row r="365">
      <c r="A365" s="9"/>
      <c r="B365" s="139"/>
      <c r="C365" s="139"/>
      <c r="D365" s="139"/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  <c r="AA365" s="139"/>
      <c r="AB365" s="139"/>
      <c r="AC365" s="139"/>
      <c r="AD365" s="139"/>
      <c r="AE365" s="139"/>
      <c r="AF365" s="139"/>
      <c r="AG365" s="139"/>
      <c r="AH365" s="139"/>
      <c r="AI365" s="139"/>
      <c r="AJ365" s="139"/>
    </row>
    <row r="366">
      <c r="A366" s="9"/>
      <c r="B366" s="139"/>
      <c r="C366" s="139"/>
      <c r="D366" s="139"/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  <c r="AA366" s="139"/>
      <c r="AB366" s="139"/>
      <c r="AC366" s="139"/>
      <c r="AD366" s="139"/>
      <c r="AE366" s="139"/>
      <c r="AF366" s="139"/>
      <c r="AG366" s="139"/>
      <c r="AH366" s="139"/>
      <c r="AI366" s="139"/>
      <c r="AJ366" s="139"/>
    </row>
    <row r="367">
      <c r="A367" s="9"/>
      <c r="B367" s="139"/>
      <c r="C367" s="139"/>
      <c r="D367" s="139"/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  <c r="AA367" s="139"/>
      <c r="AB367" s="139"/>
      <c r="AC367" s="139"/>
      <c r="AD367" s="139"/>
      <c r="AE367" s="139"/>
      <c r="AF367" s="139"/>
      <c r="AG367" s="139"/>
      <c r="AH367" s="139"/>
      <c r="AI367" s="139"/>
      <c r="AJ367" s="139"/>
    </row>
    <row r="368">
      <c r="A368" s="9"/>
      <c r="B368" s="139"/>
      <c r="C368" s="139"/>
      <c r="D368" s="139"/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  <c r="AA368" s="139"/>
      <c r="AB368" s="139"/>
      <c r="AC368" s="139"/>
      <c r="AD368" s="139"/>
      <c r="AE368" s="139"/>
      <c r="AF368" s="139"/>
      <c r="AG368" s="139"/>
      <c r="AH368" s="139"/>
      <c r="AI368" s="139"/>
      <c r="AJ368" s="139"/>
    </row>
    <row r="369">
      <c r="A369" s="9"/>
      <c r="B369" s="139"/>
      <c r="C369" s="139"/>
      <c r="D369" s="139"/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  <c r="AA369" s="139"/>
      <c r="AB369" s="139"/>
      <c r="AC369" s="139"/>
      <c r="AD369" s="139"/>
      <c r="AE369" s="139"/>
      <c r="AF369" s="139"/>
      <c r="AG369" s="139"/>
      <c r="AH369" s="139"/>
      <c r="AI369" s="139"/>
      <c r="AJ369" s="139"/>
    </row>
    <row r="370">
      <c r="A370" s="9"/>
      <c r="B370" s="139"/>
      <c r="C370" s="139"/>
      <c r="D370" s="139"/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  <c r="AA370" s="139"/>
      <c r="AB370" s="139"/>
      <c r="AC370" s="139"/>
      <c r="AD370" s="139"/>
      <c r="AE370" s="139"/>
      <c r="AF370" s="139"/>
      <c r="AG370" s="139"/>
      <c r="AH370" s="139"/>
      <c r="AI370" s="139"/>
      <c r="AJ370" s="139"/>
    </row>
    <row r="371">
      <c r="A371" s="9"/>
      <c r="B371" s="139"/>
      <c r="C371" s="139"/>
      <c r="D371" s="139"/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  <c r="AA371" s="139"/>
      <c r="AB371" s="139"/>
      <c r="AC371" s="139"/>
      <c r="AD371" s="139"/>
      <c r="AE371" s="139"/>
      <c r="AF371" s="139"/>
      <c r="AG371" s="139"/>
      <c r="AH371" s="139"/>
      <c r="AI371" s="139"/>
      <c r="AJ371" s="139"/>
    </row>
    <row r="372">
      <c r="A372" s="9"/>
      <c r="B372" s="139"/>
      <c r="C372" s="139"/>
      <c r="D372" s="139"/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  <c r="AA372" s="139"/>
      <c r="AB372" s="139"/>
      <c r="AC372" s="139"/>
      <c r="AD372" s="139"/>
      <c r="AE372" s="139"/>
      <c r="AF372" s="139"/>
      <c r="AG372" s="139"/>
      <c r="AH372" s="139"/>
      <c r="AI372" s="139"/>
      <c r="AJ372" s="139"/>
    </row>
    <row r="373">
      <c r="A373" s="9"/>
      <c r="B373" s="139"/>
      <c r="C373" s="139"/>
      <c r="D373" s="139"/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  <c r="AA373" s="139"/>
      <c r="AB373" s="139"/>
      <c r="AC373" s="139"/>
      <c r="AD373" s="139"/>
      <c r="AE373" s="139"/>
      <c r="AF373" s="139"/>
      <c r="AG373" s="139"/>
      <c r="AH373" s="139"/>
      <c r="AI373" s="139"/>
      <c r="AJ373" s="139"/>
    </row>
    <row r="374">
      <c r="A374" s="9"/>
      <c r="B374" s="139"/>
      <c r="C374" s="139"/>
      <c r="D374" s="139"/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  <c r="AA374" s="139"/>
      <c r="AB374" s="139"/>
      <c r="AC374" s="139"/>
      <c r="AD374" s="139"/>
      <c r="AE374" s="139"/>
      <c r="AF374" s="139"/>
      <c r="AG374" s="139"/>
      <c r="AH374" s="139"/>
      <c r="AI374" s="139"/>
      <c r="AJ374" s="139"/>
    </row>
    <row r="375">
      <c r="A375" s="9"/>
      <c r="B375" s="139"/>
      <c r="C375" s="139"/>
      <c r="D375" s="139"/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  <c r="AA375" s="139"/>
      <c r="AB375" s="139"/>
      <c r="AC375" s="139"/>
      <c r="AD375" s="139"/>
      <c r="AE375" s="139"/>
      <c r="AF375" s="139"/>
      <c r="AG375" s="139"/>
      <c r="AH375" s="139"/>
      <c r="AI375" s="139"/>
      <c r="AJ375" s="139"/>
    </row>
    <row r="376">
      <c r="A376" s="9"/>
      <c r="B376" s="139"/>
      <c r="C376" s="139"/>
      <c r="D376" s="139"/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  <c r="AA376" s="139"/>
      <c r="AB376" s="139"/>
      <c r="AC376" s="139"/>
      <c r="AD376" s="139"/>
      <c r="AE376" s="139"/>
      <c r="AF376" s="139"/>
      <c r="AG376" s="139"/>
      <c r="AH376" s="139"/>
      <c r="AI376" s="139"/>
      <c r="AJ376" s="139"/>
    </row>
    <row r="377">
      <c r="A377" s="9"/>
      <c r="B377" s="139"/>
      <c r="C377" s="139"/>
      <c r="D377" s="139"/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  <c r="AA377" s="139"/>
      <c r="AB377" s="139"/>
      <c r="AC377" s="139"/>
      <c r="AD377" s="139"/>
      <c r="AE377" s="139"/>
      <c r="AF377" s="139"/>
      <c r="AG377" s="139"/>
      <c r="AH377" s="139"/>
      <c r="AI377" s="139"/>
      <c r="AJ377" s="139"/>
    </row>
    <row r="378">
      <c r="A378" s="9"/>
      <c r="B378" s="139"/>
      <c r="C378" s="139"/>
      <c r="D378" s="139"/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  <c r="AA378" s="139"/>
      <c r="AB378" s="139"/>
      <c r="AC378" s="139"/>
      <c r="AD378" s="139"/>
      <c r="AE378" s="139"/>
      <c r="AF378" s="139"/>
      <c r="AG378" s="139"/>
      <c r="AH378" s="139"/>
      <c r="AI378" s="139"/>
      <c r="AJ378" s="139"/>
    </row>
    <row r="379">
      <c r="A379" s="9"/>
      <c r="B379" s="139"/>
      <c r="C379" s="139"/>
      <c r="D379" s="139"/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  <c r="AA379" s="139"/>
      <c r="AB379" s="139"/>
      <c r="AC379" s="139"/>
      <c r="AD379" s="139"/>
      <c r="AE379" s="139"/>
      <c r="AF379" s="139"/>
      <c r="AG379" s="139"/>
      <c r="AH379" s="139"/>
      <c r="AI379" s="139"/>
      <c r="AJ379" s="139"/>
    </row>
    <row r="380">
      <c r="A380" s="9"/>
      <c r="B380" s="139"/>
      <c r="C380" s="139"/>
      <c r="D380" s="139"/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  <c r="AA380" s="139"/>
      <c r="AB380" s="139"/>
      <c r="AC380" s="139"/>
      <c r="AD380" s="139"/>
      <c r="AE380" s="139"/>
      <c r="AF380" s="139"/>
      <c r="AG380" s="139"/>
      <c r="AH380" s="139"/>
      <c r="AI380" s="139"/>
      <c r="AJ380" s="139"/>
    </row>
    <row r="381">
      <c r="A381" s="9"/>
      <c r="B381" s="139"/>
      <c r="C381" s="139"/>
      <c r="D381" s="139"/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  <c r="AA381" s="139"/>
      <c r="AB381" s="139"/>
      <c r="AC381" s="139"/>
      <c r="AD381" s="139"/>
      <c r="AE381" s="139"/>
      <c r="AF381" s="139"/>
      <c r="AG381" s="139"/>
      <c r="AH381" s="139"/>
      <c r="AI381" s="139"/>
      <c r="AJ381" s="139"/>
    </row>
    <row r="382">
      <c r="A382" s="9"/>
      <c r="B382" s="139"/>
      <c r="C382" s="139"/>
      <c r="D382" s="139"/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  <c r="AA382" s="139"/>
      <c r="AB382" s="139"/>
      <c r="AC382" s="139"/>
      <c r="AD382" s="139"/>
      <c r="AE382" s="139"/>
      <c r="AF382" s="139"/>
      <c r="AG382" s="139"/>
      <c r="AH382" s="139"/>
      <c r="AI382" s="139"/>
      <c r="AJ382" s="139"/>
    </row>
    <row r="383">
      <c r="A383" s="9"/>
      <c r="B383" s="139"/>
      <c r="C383" s="139"/>
      <c r="D383" s="139"/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  <c r="AA383" s="139"/>
      <c r="AB383" s="139"/>
      <c r="AC383" s="139"/>
      <c r="AD383" s="139"/>
      <c r="AE383" s="139"/>
      <c r="AF383" s="139"/>
      <c r="AG383" s="139"/>
      <c r="AH383" s="139"/>
      <c r="AI383" s="139"/>
      <c r="AJ383" s="139"/>
    </row>
    <row r="384">
      <c r="A384" s="9"/>
      <c r="B384" s="139"/>
      <c r="C384" s="139"/>
      <c r="D384" s="139"/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  <c r="AA384" s="139"/>
      <c r="AB384" s="139"/>
      <c r="AC384" s="139"/>
      <c r="AD384" s="139"/>
      <c r="AE384" s="139"/>
      <c r="AF384" s="139"/>
      <c r="AG384" s="139"/>
      <c r="AH384" s="139"/>
      <c r="AI384" s="139"/>
      <c r="AJ384" s="139"/>
    </row>
    <row r="385">
      <c r="A385" s="9"/>
      <c r="B385" s="139"/>
      <c r="C385" s="139"/>
      <c r="D385" s="139"/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  <c r="AA385" s="139"/>
      <c r="AB385" s="139"/>
      <c r="AC385" s="139"/>
      <c r="AD385" s="139"/>
      <c r="AE385" s="139"/>
      <c r="AF385" s="139"/>
      <c r="AG385" s="139"/>
      <c r="AH385" s="139"/>
      <c r="AI385" s="139"/>
      <c r="AJ385" s="139"/>
    </row>
    <row r="386">
      <c r="A386" s="9"/>
      <c r="B386" s="139"/>
      <c r="C386" s="139"/>
      <c r="D386" s="139"/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  <c r="AA386" s="139"/>
      <c r="AB386" s="139"/>
      <c r="AC386" s="139"/>
      <c r="AD386" s="139"/>
      <c r="AE386" s="139"/>
      <c r="AF386" s="139"/>
      <c r="AG386" s="139"/>
      <c r="AH386" s="139"/>
      <c r="AI386" s="139"/>
      <c r="AJ386" s="139"/>
    </row>
    <row r="387">
      <c r="A387" s="9"/>
      <c r="B387" s="139"/>
      <c r="C387" s="139"/>
      <c r="D387" s="139"/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  <c r="AA387" s="139"/>
      <c r="AB387" s="139"/>
      <c r="AC387" s="139"/>
      <c r="AD387" s="139"/>
      <c r="AE387" s="139"/>
      <c r="AF387" s="139"/>
      <c r="AG387" s="139"/>
      <c r="AH387" s="139"/>
      <c r="AI387" s="139"/>
      <c r="AJ387" s="139"/>
    </row>
    <row r="388">
      <c r="A388" s="9"/>
      <c r="B388" s="139"/>
      <c r="C388" s="139"/>
      <c r="D388" s="139"/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  <c r="AA388" s="139"/>
      <c r="AB388" s="139"/>
      <c r="AC388" s="139"/>
      <c r="AD388" s="139"/>
      <c r="AE388" s="139"/>
      <c r="AF388" s="139"/>
      <c r="AG388" s="139"/>
      <c r="AH388" s="139"/>
      <c r="AI388" s="139"/>
      <c r="AJ388" s="139"/>
    </row>
    <row r="389">
      <c r="A389" s="9"/>
      <c r="B389" s="139"/>
      <c r="C389" s="139"/>
      <c r="D389" s="139"/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  <c r="AA389" s="139"/>
      <c r="AB389" s="139"/>
      <c r="AC389" s="139"/>
      <c r="AD389" s="139"/>
      <c r="AE389" s="139"/>
      <c r="AF389" s="139"/>
      <c r="AG389" s="139"/>
      <c r="AH389" s="139"/>
      <c r="AI389" s="139"/>
      <c r="AJ389" s="139"/>
    </row>
    <row r="390">
      <c r="A390" s="9"/>
      <c r="B390" s="139"/>
      <c r="C390" s="139"/>
      <c r="D390" s="139"/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  <c r="AA390" s="139"/>
      <c r="AB390" s="139"/>
      <c r="AC390" s="139"/>
      <c r="AD390" s="139"/>
      <c r="AE390" s="139"/>
      <c r="AF390" s="139"/>
      <c r="AG390" s="139"/>
      <c r="AH390" s="139"/>
      <c r="AI390" s="139"/>
      <c r="AJ390" s="139"/>
    </row>
    <row r="391">
      <c r="A391" s="9"/>
      <c r="B391" s="139"/>
      <c r="C391" s="139"/>
      <c r="D391" s="139"/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  <c r="AA391" s="139"/>
      <c r="AB391" s="139"/>
      <c r="AC391" s="139"/>
      <c r="AD391" s="139"/>
      <c r="AE391" s="139"/>
      <c r="AF391" s="139"/>
      <c r="AG391" s="139"/>
      <c r="AH391" s="139"/>
      <c r="AI391" s="139"/>
      <c r="AJ391" s="139"/>
    </row>
    <row r="392">
      <c r="A392" s="9"/>
      <c r="B392" s="139"/>
      <c r="C392" s="139"/>
      <c r="D392" s="139"/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  <c r="AA392" s="139"/>
      <c r="AB392" s="139"/>
      <c r="AC392" s="139"/>
      <c r="AD392" s="139"/>
      <c r="AE392" s="139"/>
      <c r="AF392" s="139"/>
      <c r="AG392" s="139"/>
      <c r="AH392" s="139"/>
      <c r="AI392" s="139"/>
      <c r="AJ392" s="139"/>
    </row>
    <row r="393">
      <c r="A393" s="9"/>
      <c r="B393" s="139"/>
      <c r="C393" s="139"/>
      <c r="D393" s="139"/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  <c r="AA393" s="139"/>
      <c r="AB393" s="139"/>
      <c r="AC393" s="139"/>
      <c r="AD393" s="139"/>
      <c r="AE393" s="139"/>
      <c r="AF393" s="139"/>
      <c r="AG393" s="139"/>
      <c r="AH393" s="139"/>
      <c r="AI393" s="139"/>
      <c r="AJ393" s="139"/>
    </row>
    <row r="394">
      <c r="A394" s="9"/>
      <c r="B394" s="139"/>
      <c r="C394" s="139"/>
      <c r="D394" s="139"/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  <c r="AA394" s="139"/>
      <c r="AB394" s="139"/>
      <c r="AC394" s="139"/>
      <c r="AD394" s="139"/>
      <c r="AE394" s="139"/>
      <c r="AF394" s="139"/>
      <c r="AG394" s="139"/>
      <c r="AH394" s="139"/>
      <c r="AI394" s="139"/>
      <c r="AJ394" s="139"/>
    </row>
    <row r="395">
      <c r="A395" s="9"/>
      <c r="B395" s="139"/>
      <c r="C395" s="139"/>
      <c r="D395" s="139"/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  <c r="AA395" s="139"/>
      <c r="AB395" s="139"/>
      <c r="AC395" s="139"/>
      <c r="AD395" s="139"/>
      <c r="AE395" s="139"/>
      <c r="AF395" s="139"/>
      <c r="AG395" s="139"/>
      <c r="AH395" s="139"/>
      <c r="AI395" s="139"/>
      <c r="AJ395" s="139"/>
    </row>
    <row r="396">
      <c r="A396" s="9"/>
      <c r="B396" s="139"/>
      <c r="C396" s="139"/>
      <c r="D396" s="139"/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  <c r="AA396" s="139"/>
      <c r="AB396" s="139"/>
      <c r="AC396" s="139"/>
      <c r="AD396" s="139"/>
      <c r="AE396" s="139"/>
      <c r="AF396" s="139"/>
      <c r="AG396" s="139"/>
      <c r="AH396" s="139"/>
      <c r="AI396" s="139"/>
      <c r="AJ396" s="139"/>
    </row>
    <row r="397">
      <c r="A397" s="9"/>
      <c r="B397" s="139"/>
      <c r="C397" s="139"/>
      <c r="D397" s="139"/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  <c r="AA397" s="139"/>
      <c r="AB397" s="139"/>
      <c r="AC397" s="139"/>
      <c r="AD397" s="139"/>
      <c r="AE397" s="139"/>
      <c r="AF397" s="139"/>
      <c r="AG397" s="139"/>
      <c r="AH397" s="139"/>
      <c r="AI397" s="139"/>
      <c r="AJ397" s="139"/>
    </row>
    <row r="398">
      <c r="A398" s="9"/>
      <c r="B398" s="139"/>
      <c r="C398" s="139"/>
      <c r="D398" s="139"/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  <c r="AA398" s="139"/>
      <c r="AB398" s="139"/>
      <c r="AC398" s="139"/>
      <c r="AD398" s="139"/>
      <c r="AE398" s="139"/>
      <c r="AF398" s="139"/>
      <c r="AG398" s="139"/>
      <c r="AH398" s="139"/>
      <c r="AI398" s="139"/>
      <c r="AJ398" s="139"/>
    </row>
    <row r="399">
      <c r="A399" s="9"/>
      <c r="B399" s="139"/>
      <c r="C399" s="139"/>
      <c r="D399" s="139"/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  <c r="AA399" s="139"/>
      <c r="AB399" s="139"/>
      <c r="AC399" s="139"/>
      <c r="AD399" s="139"/>
      <c r="AE399" s="139"/>
      <c r="AF399" s="139"/>
      <c r="AG399" s="139"/>
      <c r="AH399" s="139"/>
      <c r="AI399" s="139"/>
      <c r="AJ399" s="139"/>
    </row>
    <row r="400">
      <c r="A400" s="9"/>
      <c r="B400" s="139"/>
      <c r="C400" s="139"/>
      <c r="D400" s="139"/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  <c r="AA400" s="139"/>
      <c r="AB400" s="139"/>
      <c r="AC400" s="139"/>
      <c r="AD400" s="139"/>
      <c r="AE400" s="139"/>
      <c r="AF400" s="139"/>
      <c r="AG400" s="139"/>
      <c r="AH400" s="139"/>
      <c r="AI400" s="139"/>
      <c r="AJ400" s="139"/>
    </row>
    <row r="401">
      <c r="A401" s="9"/>
      <c r="B401" s="139"/>
      <c r="C401" s="139"/>
      <c r="D401" s="139"/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  <c r="AA401" s="139"/>
      <c r="AB401" s="139"/>
      <c r="AC401" s="139"/>
      <c r="AD401" s="139"/>
      <c r="AE401" s="139"/>
      <c r="AF401" s="139"/>
      <c r="AG401" s="139"/>
      <c r="AH401" s="139"/>
      <c r="AI401" s="139"/>
      <c r="AJ401" s="139"/>
    </row>
    <row r="402">
      <c r="A402" s="9"/>
      <c r="B402" s="139"/>
      <c r="C402" s="139"/>
      <c r="D402" s="139"/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  <c r="AA402" s="139"/>
      <c r="AB402" s="139"/>
      <c r="AC402" s="139"/>
      <c r="AD402" s="139"/>
      <c r="AE402" s="139"/>
      <c r="AF402" s="139"/>
      <c r="AG402" s="139"/>
      <c r="AH402" s="139"/>
      <c r="AI402" s="139"/>
      <c r="AJ402" s="139"/>
    </row>
    <row r="403">
      <c r="A403" s="9"/>
      <c r="B403" s="139"/>
      <c r="C403" s="139"/>
      <c r="D403" s="139"/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  <c r="AA403" s="139"/>
      <c r="AB403" s="139"/>
      <c r="AC403" s="139"/>
      <c r="AD403" s="139"/>
      <c r="AE403" s="139"/>
      <c r="AF403" s="139"/>
      <c r="AG403" s="139"/>
      <c r="AH403" s="139"/>
      <c r="AI403" s="139"/>
      <c r="AJ403" s="139"/>
    </row>
    <row r="404">
      <c r="A404" s="9"/>
      <c r="B404" s="139"/>
      <c r="C404" s="139"/>
      <c r="D404" s="139"/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  <c r="AA404" s="139"/>
      <c r="AB404" s="139"/>
      <c r="AC404" s="139"/>
      <c r="AD404" s="139"/>
      <c r="AE404" s="139"/>
      <c r="AF404" s="139"/>
      <c r="AG404" s="139"/>
      <c r="AH404" s="139"/>
      <c r="AI404" s="139"/>
      <c r="AJ404" s="139"/>
    </row>
    <row r="405">
      <c r="A405" s="9"/>
      <c r="B405" s="139"/>
      <c r="C405" s="139"/>
      <c r="D405" s="139"/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  <c r="AA405" s="139"/>
      <c r="AB405" s="139"/>
      <c r="AC405" s="139"/>
      <c r="AD405" s="139"/>
      <c r="AE405" s="139"/>
      <c r="AF405" s="139"/>
      <c r="AG405" s="139"/>
      <c r="AH405" s="139"/>
      <c r="AI405" s="139"/>
      <c r="AJ405" s="139"/>
    </row>
    <row r="406">
      <c r="A406" s="9"/>
      <c r="B406" s="139"/>
      <c r="C406" s="139"/>
      <c r="D406" s="139"/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  <c r="AA406" s="139"/>
      <c r="AB406" s="139"/>
      <c r="AC406" s="139"/>
      <c r="AD406" s="139"/>
      <c r="AE406" s="139"/>
      <c r="AF406" s="139"/>
      <c r="AG406" s="139"/>
      <c r="AH406" s="139"/>
      <c r="AI406" s="139"/>
      <c r="AJ406" s="139"/>
    </row>
    <row r="407">
      <c r="A407" s="9"/>
      <c r="B407" s="139"/>
      <c r="C407" s="139"/>
      <c r="D407" s="139"/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  <c r="AA407" s="139"/>
      <c r="AB407" s="139"/>
      <c r="AC407" s="139"/>
      <c r="AD407" s="139"/>
      <c r="AE407" s="139"/>
      <c r="AF407" s="139"/>
      <c r="AG407" s="139"/>
      <c r="AH407" s="139"/>
      <c r="AI407" s="139"/>
      <c r="AJ407" s="139"/>
    </row>
    <row r="408">
      <c r="A408" s="9"/>
      <c r="B408" s="139"/>
      <c r="C408" s="139"/>
      <c r="D408" s="139"/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  <c r="AA408" s="139"/>
      <c r="AB408" s="139"/>
      <c r="AC408" s="139"/>
      <c r="AD408" s="139"/>
      <c r="AE408" s="139"/>
      <c r="AF408" s="139"/>
      <c r="AG408" s="139"/>
      <c r="AH408" s="139"/>
      <c r="AI408" s="139"/>
      <c r="AJ408" s="139"/>
    </row>
    <row r="409">
      <c r="A409" s="9"/>
      <c r="B409" s="139"/>
      <c r="C409" s="139"/>
      <c r="D409" s="139"/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  <c r="AA409" s="139"/>
      <c r="AB409" s="139"/>
      <c r="AC409" s="139"/>
      <c r="AD409" s="139"/>
      <c r="AE409" s="139"/>
      <c r="AF409" s="139"/>
      <c r="AG409" s="139"/>
      <c r="AH409" s="139"/>
      <c r="AI409" s="139"/>
      <c r="AJ409" s="139"/>
    </row>
    <row r="410">
      <c r="A410" s="9"/>
      <c r="B410" s="139"/>
      <c r="C410" s="139"/>
      <c r="D410" s="139"/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  <c r="AA410" s="139"/>
      <c r="AB410" s="139"/>
      <c r="AC410" s="139"/>
      <c r="AD410" s="139"/>
      <c r="AE410" s="139"/>
      <c r="AF410" s="139"/>
      <c r="AG410" s="139"/>
      <c r="AH410" s="139"/>
      <c r="AI410" s="139"/>
      <c r="AJ410" s="139"/>
    </row>
    <row r="411">
      <c r="A411" s="9"/>
      <c r="B411" s="139"/>
      <c r="C411" s="139"/>
      <c r="D411" s="139"/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  <c r="AA411" s="139"/>
      <c r="AB411" s="139"/>
      <c r="AC411" s="139"/>
      <c r="AD411" s="139"/>
      <c r="AE411" s="139"/>
      <c r="AF411" s="139"/>
      <c r="AG411" s="139"/>
      <c r="AH411" s="139"/>
      <c r="AI411" s="139"/>
      <c r="AJ411" s="139"/>
    </row>
    <row r="412">
      <c r="A412" s="9"/>
      <c r="B412" s="139"/>
      <c r="C412" s="139"/>
      <c r="D412" s="139"/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  <c r="AA412" s="139"/>
      <c r="AB412" s="139"/>
      <c r="AC412" s="139"/>
      <c r="AD412" s="139"/>
      <c r="AE412" s="139"/>
      <c r="AF412" s="139"/>
      <c r="AG412" s="139"/>
      <c r="AH412" s="139"/>
      <c r="AI412" s="139"/>
      <c r="AJ412" s="139"/>
    </row>
    <row r="413">
      <c r="A413" s="9"/>
      <c r="B413" s="139"/>
      <c r="C413" s="139"/>
      <c r="D413" s="139"/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  <c r="AA413" s="139"/>
      <c r="AB413" s="139"/>
      <c r="AC413" s="139"/>
      <c r="AD413" s="139"/>
      <c r="AE413" s="139"/>
      <c r="AF413" s="139"/>
      <c r="AG413" s="139"/>
      <c r="AH413" s="139"/>
      <c r="AI413" s="139"/>
      <c r="AJ413" s="139"/>
    </row>
    <row r="414">
      <c r="A414" s="9"/>
      <c r="B414" s="139"/>
      <c r="C414" s="139"/>
      <c r="D414" s="139"/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  <c r="AA414" s="139"/>
      <c r="AB414" s="139"/>
      <c r="AC414" s="139"/>
      <c r="AD414" s="139"/>
      <c r="AE414" s="139"/>
      <c r="AF414" s="139"/>
      <c r="AG414" s="139"/>
      <c r="AH414" s="139"/>
      <c r="AI414" s="139"/>
      <c r="AJ414" s="139"/>
    </row>
    <row r="415">
      <c r="A415" s="9"/>
      <c r="B415" s="139"/>
      <c r="C415" s="139"/>
      <c r="D415" s="139"/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  <c r="AA415" s="139"/>
      <c r="AB415" s="139"/>
      <c r="AC415" s="139"/>
      <c r="AD415" s="139"/>
      <c r="AE415" s="139"/>
      <c r="AF415" s="139"/>
      <c r="AG415" s="139"/>
      <c r="AH415" s="139"/>
      <c r="AI415" s="139"/>
      <c r="AJ415" s="139"/>
    </row>
    <row r="416">
      <c r="A416" s="9"/>
      <c r="B416" s="139"/>
      <c r="C416" s="139"/>
      <c r="D416" s="139"/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  <c r="AA416" s="139"/>
      <c r="AB416" s="139"/>
      <c r="AC416" s="139"/>
      <c r="AD416" s="139"/>
      <c r="AE416" s="139"/>
      <c r="AF416" s="139"/>
      <c r="AG416" s="139"/>
      <c r="AH416" s="139"/>
      <c r="AI416" s="139"/>
      <c r="AJ416" s="139"/>
    </row>
    <row r="417">
      <c r="A417" s="9"/>
      <c r="B417" s="139"/>
      <c r="C417" s="139"/>
      <c r="D417" s="139"/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  <c r="AA417" s="139"/>
      <c r="AB417" s="139"/>
      <c r="AC417" s="139"/>
      <c r="AD417" s="139"/>
      <c r="AE417" s="139"/>
      <c r="AF417" s="139"/>
      <c r="AG417" s="139"/>
      <c r="AH417" s="139"/>
      <c r="AI417" s="139"/>
      <c r="AJ417" s="139"/>
    </row>
    <row r="418">
      <c r="A418" s="9"/>
      <c r="B418" s="139"/>
      <c r="C418" s="139"/>
      <c r="D418" s="139"/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  <c r="AA418" s="139"/>
      <c r="AB418" s="139"/>
      <c r="AC418" s="139"/>
      <c r="AD418" s="139"/>
      <c r="AE418" s="139"/>
      <c r="AF418" s="139"/>
      <c r="AG418" s="139"/>
      <c r="AH418" s="139"/>
      <c r="AI418" s="139"/>
      <c r="AJ418" s="139"/>
    </row>
    <row r="419">
      <c r="A419" s="9"/>
      <c r="B419" s="139"/>
      <c r="C419" s="139"/>
      <c r="D419" s="139"/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  <c r="AA419" s="139"/>
      <c r="AB419" s="139"/>
      <c r="AC419" s="139"/>
      <c r="AD419" s="139"/>
      <c r="AE419" s="139"/>
      <c r="AF419" s="139"/>
      <c r="AG419" s="139"/>
      <c r="AH419" s="139"/>
      <c r="AI419" s="139"/>
      <c r="AJ419" s="139"/>
    </row>
    <row r="420">
      <c r="A420" s="9"/>
      <c r="B420" s="139"/>
      <c r="C420" s="139"/>
      <c r="D420" s="139"/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  <c r="AA420" s="139"/>
      <c r="AB420" s="139"/>
      <c r="AC420" s="139"/>
      <c r="AD420" s="139"/>
      <c r="AE420" s="139"/>
      <c r="AF420" s="139"/>
      <c r="AG420" s="139"/>
      <c r="AH420" s="139"/>
      <c r="AI420" s="139"/>
      <c r="AJ420" s="139"/>
    </row>
    <row r="421">
      <c r="A421" s="9"/>
      <c r="B421" s="139"/>
      <c r="C421" s="139"/>
      <c r="D421" s="139"/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  <c r="AA421" s="139"/>
      <c r="AB421" s="139"/>
      <c r="AC421" s="139"/>
      <c r="AD421" s="139"/>
      <c r="AE421" s="139"/>
      <c r="AF421" s="139"/>
      <c r="AG421" s="139"/>
      <c r="AH421" s="139"/>
      <c r="AI421" s="139"/>
      <c r="AJ421" s="139"/>
    </row>
    <row r="422">
      <c r="A422" s="9"/>
      <c r="B422" s="139"/>
      <c r="C422" s="139"/>
      <c r="D422" s="139"/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  <c r="AA422" s="139"/>
      <c r="AB422" s="139"/>
      <c r="AC422" s="139"/>
      <c r="AD422" s="139"/>
      <c r="AE422" s="139"/>
      <c r="AF422" s="139"/>
      <c r="AG422" s="139"/>
      <c r="AH422" s="139"/>
      <c r="AI422" s="139"/>
      <c r="AJ422" s="139"/>
    </row>
    <row r="423">
      <c r="A423" s="9"/>
      <c r="B423" s="139"/>
      <c r="C423" s="139"/>
      <c r="D423" s="139"/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  <c r="AA423" s="139"/>
      <c r="AB423" s="139"/>
      <c r="AC423" s="139"/>
      <c r="AD423" s="139"/>
      <c r="AE423" s="139"/>
      <c r="AF423" s="139"/>
      <c r="AG423" s="139"/>
      <c r="AH423" s="139"/>
      <c r="AI423" s="139"/>
      <c r="AJ423" s="139"/>
    </row>
    <row r="424">
      <c r="A424" s="9"/>
      <c r="B424" s="139"/>
      <c r="C424" s="139"/>
      <c r="D424" s="139"/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  <c r="AA424" s="139"/>
      <c r="AB424" s="139"/>
      <c r="AC424" s="139"/>
      <c r="AD424" s="139"/>
      <c r="AE424" s="139"/>
      <c r="AF424" s="139"/>
      <c r="AG424" s="139"/>
      <c r="AH424" s="139"/>
      <c r="AI424" s="139"/>
      <c r="AJ424" s="139"/>
    </row>
    <row r="425">
      <c r="A425" s="9"/>
      <c r="B425" s="139"/>
      <c r="C425" s="139"/>
      <c r="D425" s="139"/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  <c r="AA425" s="139"/>
      <c r="AB425" s="139"/>
      <c r="AC425" s="139"/>
      <c r="AD425" s="139"/>
      <c r="AE425" s="139"/>
      <c r="AF425" s="139"/>
      <c r="AG425" s="139"/>
      <c r="AH425" s="139"/>
      <c r="AI425" s="139"/>
      <c r="AJ425" s="139"/>
    </row>
    <row r="426">
      <c r="A426" s="9"/>
      <c r="B426" s="139"/>
      <c r="C426" s="139"/>
      <c r="D426" s="139"/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  <c r="AA426" s="139"/>
      <c r="AB426" s="139"/>
      <c r="AC426" s="139"/>
      <c r="AD426" s="139"/>
      <c r="AE426" s="139"/>
      <c r="AF426" s="139"/>
      <c r="AG426" s="139"/>
      <c r="AH426" s="139"/>
      <c r="AI426" s="139"/>
      <c r="AJ426" s="139"/>
    </row>
    <row r="427">
      <c r="A427" s="9"/>
      <c r="B427" s="139"/>
      <c r="C427" s="139"/>
      <c r="D427" s="139"/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  <c r="AA427" s="139"/>
      <c r="AB427" s="139"/>
      <c r="AC427" s="139"/>
      <c r="AD427" s="139"/>
      <c r="AE427" s="139"/>
      <c r="AF427" s="139"/>
      <c r="AG427" s="139"/>
      <c r="AH427" s="139"/>
      <c r="AI427" s="139"/>
      <c r="AJ427" s="139"/>
    </row>
    <row r="428">
      <c r="A428" s="9"/>
      <c r="B428" s="139"/>
      <c r="C428" s="139"/>
      <c r="D428" s="139"/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  <c r="AA428" s="139"/>
      <c r="AB428" s="139"/>
      <c r="AC428" s="139"/>
      <c r="AD428" s="139"/>
      <c r="AE428" s="139"/>
      <c r="AF428" s="139"/>
      <c r="AG428" s="139"/>
      <c r="AH428" s="139"/>
      <c r="AI428" s="139"/>
      <c r="AJ428" s="139"/>
    </row>
    <row r="429">
      <c r="A429" s="9"/>
      <c r="B429" s="139"/>
      <c r="C429" s="139"/>
      <c r="D429" s="139"/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  <c r="AA429" s="139"/>
      <c r="AB429" s="139"/>
      <c r="AC429" s="139"/>
      <c r="AD429" s="139"/>
      <c r="AE429" s="139"/>
      <c r="AF429" s="139"/>
      <c r="AG429" s="139"/>
      <c r="AH429" s="139"/>
      <c r="AI429" s="139"/>
      <c r="AJ429" s="139"/>
    </row>
    <row r="430">
      <c r="A430" s="9"/>
      <c r="B430" s="139"/>
      <c r="C430" s="139"/>
      <c r="D430" s="139"/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  <c r="AA430" s="139"/>
      <c r="AB430" s="139"/>
      <c r="AC430" s="139"/>
      <c r="AD430" s="139"/>
      <c r="AE430" s="139"/>
      <c r="AF430" s="139"/>
      <c r="AG430" s="139"/>
      <c r="AH430" s="139"/>
      <c r="AI430" s="139"/>
      <c r="AJ430" s="139"/>
    </row>
    <row r="431">
      <c r="A431" s="9"/>
      <c r="B431" s="139"/>
      <c r="C431" s="139"/>
      <c r="D431" s="139"/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  <c r="AA431" s="139"/>
      <c r="AB431" s="139"/>
      <c r="AC431" s="139"/>
      <c r="AD431" s="139"/>
      <c r="AE431" s="139"/>
      <c r="AF431" s="139"/>
      <c r="AG431" s="139"/>
      <c r="AH431" s="139"/>
      <c r="AI431" s="139"/>
      <c r="AJ431" s="139"/>
    </row>
    <row r="432">
      <c r="A432" s="9"/>
      <c r="B432" s="139"/>
      <c r="C432" s="139"/>
      <c r="D432" s="139"/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  <c r="AA432" s="139"/>
      <c r="AB432" s="139"/>
      <c r="AC432" s="139"/>
      <c r="AD432" s="139"/>
      <c r="AE432" s="139"/>
      <c r="AF432" s="139"/>
      <c r="AG432" s="139"/>
      <c r="AH432" s="139"/>
      <c r="AI432" s="139"/>
      <c r="AJ432" s="139"/>
    </row>
    <row r="433">
      <c r="A433" s="9"/>
      <c r="B433" s="139"/>
      <c r="C433" s="139"/>
      <c r="D433" s="139"/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  <c r="AA433" s="139"/>
      <c r="AB433" s="139"/>
      <c r="AC433" s="139"/>
      <c r="AD433" s="139"/>
      <c r="AE433" s="139"/>
      <c r="AF433" s="139"/>
      <c r="AG433" s="139"/>
      <c r="AH433" s="139"/>
      <c r="AI433" s="139"/>
      <c r="AJ433" s="139"/>
    </row>
    <row r="434">
      <c r="A434" s="9"/>
      <c r="B434" s="139"/>
      <c r="C434" s="139"/>
      <c r="D434" s="139"/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  <c r="AA434" s="139"/>
      <c r="AB434" s="139"/>
      <c r="AC434" s="139"/>
      <c r="AD434" s="139"/>
      <c r="AE434" s="139"/>
      <c r="AF434" s="139"/>
      <c r="AG434" s="139"/>
      <c r="AH434" s="139"/>
      <c r="AI434" s="139"/>
      <c r="AJ434" s="139"/>
    </row>
    <row r="435">
      <c r="A435" s="9"/>
      <c r="B435" s="139"/>
      <c r="C435" s="139"/>
      <c r="D435" s="139"/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  <c r="AA435" s="139"/>
      <c r="AB435" s="139"/>
      <c r="AC435" s="139"/>
      <c r="AD435" s="139"/>
      <c r="AE435" s="139"/>
      <c r="AF435" s="139"/>
      <c r="AG435" s="139"/>
      <c r="AH435" s="139"/>
      <c r="AI435" s="139"/>
      <c r="AJ435" s="139"/>
    </row>
    <row r="436">
      <c r="A436" s="9"/>
      <c r="B436" s="139"/>
      <c r="C436" s="139"/>
      <c r="D436" s="139"/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  <c r="AA436" s="139"/>
      <c r="AB436" s="139"/>
      <c r="AC436" s="139"/>
      <c r="AD436" s="139"/>
      <c r="AE436" s="139"/>
      <c r="AF436" s="139"/>
      <c r="AG436" s="139"/>
      <c r="AH436" s="139"/>
      <c r="AI436" s="139"/>
      <c r="AJ436" s="139"/>
    </row>
    <row r="437">
      <c r="A437" s="9"/>
      <c r="B437" s="139"/>
      <c r="C437" s="139"/>
      <c r="D437" s="139"/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  <c r="AA437" s="139"/>
      <c r="AB437" s="139"/>
      <c r="AC437" s="139"/>
      <c r="AD437" s="139"/>
      <c r="AE437" s="139"/>
      <c r="AF437" s="139"/>
      <c r="AG437" s="139"/>
      <c r="AH437" s="139"/>
      <c r="AI437" s="139"/>
      <c r="AJ437" s="139"/>
    </row>
    <row r="438">
      <c r="A438" s="9"/>
      <c r="B438" s="139"/>
      <c r="C438" s="139"/>
      <c r="D438" s="139"/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  <c r="AA438" s="139"/>
      <c r="AB438" s="139"/>
      <c r="AC438" s="139"/>
      <c r="AD438" s="139"/>
      <c r="AE438" s="139"/>
      <c r="AF438" s="139"/>
      <c r="AG438" s="139"/>
      <c r="AH438" s="139"/>
      <c r="AI438" s="139"/>
      <c r="AJ438" s="139"/>
    </row>
    <row r="439">
      <c r="A439" s="9"/>
      <c r="B439" s="139"/>
      <c r="C439" s="139"/>
      <c r="D439" s="139"/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  <c r="AA439" s="139"/>
      <c r="AB439" s="139"/>
      <c r="AC439" s="139"/>
      <c r="AD439" s="139"/>
      <c r="AE439" s="139"/>
      <c r="AF439" s="139"/>
      <c r="AG439" s="139"/>
      <c r="AH439" s="139"/>
      <c r="AI439" s="139"/>
      <c r="AJ439" s="139"/>
    </row>
    <row r="440">
      <c r="A440" s="9"/>
      <c r="B440" s="139"/>
      <c r="C440" s="139"/>
      <c r="D440" s="139"/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  <c r="AA440" s="139"/>
      <c r="AB440" s="139"/>
      <c r="AC440" s="139"/>
      <c r="AD440" s="139"/>
      <c r="AE440" s="139"/>
      <c r="AF440" s="139"/>
      <c r="AG440" s="139"/>
      <c r="AH440" s="139"/>
      <c r="AI440" s="139"/>
      <c r="AJ440" s="139"/>
    </row>
    <row r="441">
      <c r="A441" s="9"/>
      <c r="B441" s="139"/>
      <c r="C441" s="139"/>
      <c r="D441" s="139"/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  <c r="AA441" s="139"/>
      <c r="AB441" s="139"/>
      <c r="AC441" s="139"/>
      <c r="AD441" s="139"/>
      <c r="AE441" s="139"/>
      <c r="AF441" s="139"/>
      <c r="AG441" s="139"/>
      <c r="AH441" s="139"/>
      <c r="AI441" s="139"/>
      <c r="AJ441" s="139"/>
    </row>
    <row r="442">
      <c r="A442" s="9"/>
      <c r="B442" s="139"/>
      <c r="C442" s="139"/>
      <c r="D442" s="139"/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  <c r="AA442" s="139"/>
      <c r="AB442" s="139"/>
      <c r="AC442" s="139"/>
      <c r="AD442" s="139"/>
      <c r="AE442" s="139"/>
      <c r="AF442" s="139"/>
      <c r="AG442" s="139"/>
      <c r="AH442" s="139"/>
      <c r="AI442" s="139"/>
      <c r="AJ442" s="139"/>
    </row>
    <row r="443">
      <c r="A443" s="9"/>
      <c r="B443" s="139"/>
      <c r="C443" s="139"/>
      <c r="D443" s="139"/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  <c r="AA443" s="139"/>
      <c r="AB443" s="139"/>
      <c r="AC443" s="139"/>
      <c r="AD443" s="139"/>
      <c r="AE443" s="139"/>
      <c r="AF443" s="139"/>
      <c r="AG443" s="139"/>
      <c r="AH443" s="139"/>
      <c r="AI443" s="139"/>
      <c r="AJ443" s="139"/>
    </row>
    <row r="444">
      <c r="A444" s="9"/>
      <c r="B444" s="139"/>
      <c r="C444" s="139"/>
      <c r="D444" s="139"/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  <c r="AA444" s="139"/>
      <c r="AB444" s="139"/>
      <c r="AC444" s="139"/>
      <c r="AD444" s="139"/>
      <c r="AE444" s="139"/>
      <c r="AF444" s="139"/>
      <c r="AG444" s="139"/>
      <c r="AH444" s="139"/>
      <c r="AI444" s="139"/>
      <c r="AJ444" s="139"/>
    </row>
    <row r="445">
      <c r="A445" s="9"/>
      <c r="B445" s="139"/>
      <c r="C445" s="139"/>
      <c r="D445" s="139"/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  <c r="AA445" s="139"/>
      <c r="AB445" s="139"/>
      <c r="AC445" s="139"/>
      <c r="AD445" s="139"/>
      <c r="AE445" s="139"/>
      <c r="AF445" s="139"/>
      <c r="AG445" s="139"/>
      <c r="AH445" s="139"/>
      <c r="AI445" s="139"/>
      <c r="AJ445" s="139"/>
    </row>
    <row r="446">
      <c r="A446" s="9"/>
      <c r="B446" s="139"/>
      <c r="C446" s="139"/>
      <c r="D446" s="139"/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  <c r="AA446" s="139"/>
      <c r="AB446" s="139"/>
      <c r="AC446" s="139"/>
      <c r="AD446" s="139"/>
      <c r="AE446" s="139"/>
      <c r="AF446" s="139"/>
      <c r="AG446" s="139"/>
      <c r="AH446" s="139"/>
      <c r="AI446" s="139"/>
      <c r="AJ446" s="139"/>
    </row>
    <row r="447">
      <c r="A447" s="9"/>
      <c r="B447" s="139"/>
      <c r="C447" s="139"/>
      <c r="D447" s="139"/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  <c r="AA447" s="139"/>
      <c r="AB447" s="139"/>
      <c r="AC447" s="139"/>
      <c r="AD447" s="139"/>
      <c r="AE447" s="139"/>
      <c r="AF447" s="139"/>
      <c r="AG447" s="139"/>
      <c r="AH447" s="139"/>
      <c r="AI447" s="139"/>
      <c r="AJ447" s="139"/>
    </row>
    <row r="448">
      <c r="A448" s="9"/>
      <c r="B448" s="139"/>
      <c r="C448" s="139"/>
      <c r="D448" s="139"/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  <c r="AA448" s="139"/>
      <c r="AB448" s="139"/>
      <c r="AC448" s="139"/>
      <c r="AD448" s="139"/>
      <c r="AE448" s="139"/>
      <c r="AF448" s="139"/>
      <c r="AG448" s="139"/>
      <c r="AH448" s="139"/>
      <c r="AI448" s="139"/>
      <c r="AJ448" s="139"/>
    </row>
    <row r="449">
      <c r="A449" s="9"/>
      <c r="B449" s="139"/>
      <c r="C449" s="139"/>
      <c r="D449" s="139"/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  <c r="AA449" s="139"/>
      <c r="AB449" s="139"/>
      <c r="AC449" s="139"/>
      <c r="AD449" s="139"/>
      <c r="AE449" s="139"/>
      <c r="AF449" s="139"/>
      <c r="AG449" s="139"/>
      <c r="AH449" s="139"/>
      <c r="AI449" s="139"/>
      <c r="AJ449" s="139"/>
    </row>
    <row r="450">
      <c r="A450" s="9"/>
      <c r="B450" s="139"/>
      <c r="C450" s="139"/>
      <c r="D450" s="139"/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  <c r="AA450" s="139"/>
      <c r="AB450" s="139"/>
      <c r="AC450" s="139"/>
      <c r="AD450" s="139"/>
      <c r="AE450" s="139"/>
      <c r="AF450" s="139"/>
      <c r="AG450" s="139"/>
      <c r="AH450" s="139"/>
      <c r="AI450" s="139"/>
      <c r="AJ450" s="139"/>
    </row>
    <row r="451">
      <c r="A451" s="9"/>
      <c r="B451" s="139"/>
      <c r="C451" s="139"/>
      <c r="D451" s="139"/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  <c r="AA451" s="139"/>
      <c r="AB451" s="139"/>
      <c r="AC451" s="139"/>
      <c r="AD451" s="139"/>
      <c r="AE451" s="139"/>
      <c r="AF451" s="139"/>
      <c r="AG451" s="139"/>
      <c r="AH451" s="139"/>
      <c r="AI451" s="139"/>
      <c r="AJ451" s="139"/>
    </row>
    <row r="452">
      <c r="A452" s="9"/>
      <c r="B452" s="139"/>
      <c r="C452" s="139"/>
      <c r="D452" s="139"/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  <c r="AA452" s="139"/>
      <c r="AB452" s="139"/>
      <c r="AC452" s="139"/>
      <c r="AD452" s="139"/>
      <c r="AE452" s="139"/>
      <c r="AF452" s="139"/>
      <c r="AG452" s="139"/>
      <c r="AH452" s="139"/>
      <c r="AI452" s="139"/>
      <c r="AJ452" s="139"/>
    </row>
    <row r="453">
      <c r="A453" s="9"/>
      <c r="B453" s="139"/>
      <c r="C453" s="139"/>
      <c r="D453" s="139"/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  <c r="AA453" s="139"/>
      <c r="AB453" s="139"/>
      <c r="AC453" s="139"/>
      <c r="AD453" s="139"/>
      <c r="AE453" s="139"/>
      <c r="AF453" s="139"/>
      <c r="AG453" s="139"/>
      <c r="AH453" s="139"/>
      <c r="AI453" s="139"/>
      <c r="AJ453" s="139"/>
    </row>
    <row r="454">
      <c r="A454" s="9"/>
      <c r="B454" s="139"/>
      <c r="C454" s="139"/>
      <c r="D454" s="139"/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  <c r="AA454" s="139"/>
      <c r="AB454" s="139"/>
      <c r="AC454" s="139"/>
      <c r="AD454" s="139"/>
      <c r="AE454" s="139"/>
      <c r="AF454" s="139"/>
      <c r="AG454" s="139"/>
      <c r="AH454" s="139"/>
      <c r="AI454" s="139"/>
      <c r="AJ454" s="139"/>
    </row>
    <row r="455">
      <c r="A455" s="9"/>
      <c r="B455" s="139"/>
      <c r="C455" s="139"/>
      <c r="D455" s="139"/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  <c r="AA455" s="139"/>
      <c r="AB455" s="139"/>
      <c r="AC455" s="139"/>
      <c r="AD455" s="139"/>
      <c r="AE455" s="139"/>
      <c r="AF455" s="139"/>
      <c r="AG455" s="139"/>
      <c r="AH455" s="139"/>
      <c r="AI455" s="139"/>
      <c r="AJ455" s="139"/>
    </row>
    <row r="456">
      <c r="A456" s="9"/>
      <c r="B456" s="139"/>
      <c r="C456" s="139"/>
      <c r="D456" s="139"/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  <c r="AA456" s="139"/>
      <c r="AB456" s="139"/>
      <c r="AC456" s="139"/>
      <c r="AD456" s="139"/>
      <c r="AE456" s="139"/>
      <c r="AF456" s="139"/>
      <c r="AG456" s="139"/>
      <c r="AH456" s="139"/>
      <c r="AI456" s="139"/>
      <c r="AJ456" s="139"/>
    </row>
    <row r="457">
      <c r="A457" s="9"/>
      <c r="B457" s="139"/>
      <c r="C457" s="139"/>
      <c r="D457" s="139"/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  <c r="AA457" s="139"/>
      <c r="AB457" s="139"/>
      <c r="AC457" s="139"/>
      <c r="AD457" s="139"/>
      <c r="AE457" s="139"/>
      <c r="AF457" s="139"/>
      <c r="AG457" s="139"/>
      <c r="AH457" s="139"/>
      <c r="AI457" s="139"/>
      <c r="AJ457" s="139"/>
    </row>
    <row r="458">
      <c r="A458" s="9"/>
      <c r="B458" s="139"/>
      <c r="C458" s="139"/>
      <c r="D458" s="139"/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  <c r="AA458" s="139"/>
      <c r="AB458" s="139"/>
      <c r="AC458" s="139"/>
      <c r="AD458" s="139"/>
      <c r="AE458" s="139"/>
      <c r="AF458" s="139"/>
      <c r="AG458" s="139"/>
      <c r="AH458" s="139"/>
      <c r="AI458" s="139"/>
      <c r="AJ458" s="139"/>
    </row>
    <row r="459">
      <c r="A459" s="9"/>
      <c r="B459" s="139"/>
      <c r="C459" s="139"/>
      <c r="D459" s="139"/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  <c r="AA459" s="139"/>
      <c r="AB459" s="139"/>
      <c r="AC459" s="139"/>
      <c r="AD459" s="139"/>
      <c r="AE459" s="139"/>
      <c r="AF459" s="139"/>
      <c r="AG459" s="139"/>
      <c r="AH459" s="139"/>
      <c r="AI459" s="139"/>
      <c r="AJ459" s="139"/>
    </row>
    <row r="460">
      <c r="A460" s="9"/>
      <c r="B460" s="139"/>
      <c r="C460" s="139"/>
      <c r="D460" s="139"/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  <c r="AA460" s="139"/>
      <c r="AB460" s="139"/>
      <c r="AC460" s="139"/>
      <c r="AD460" s="139"/>
      <c r="AE460" s="139"/>
      <c r="AF460" s="139"/>
      <c r="AG460" s="139"/>
      <c r="AH460" s="139"/>
      <c r="AI460" s="139"/>
      <c r="AJ460" s="139"/>
    </row>
    <row r="461">
      <c r="A461" s="9"/>
      <c r="B461" s="139"/>
      <c r="C461" s="139"/>
      <c r="D461" s="139"/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  <c r="AA461" s="139"/>
      <c r="AB461" s="139"/>
      <c r="AC461" s="139"/>
      <c r="AD461" s="139"/>
      <c r="AE461" s="139"/>
      <c r="AF461" s="139"/>
      <c r="AG461" s="139"/>
      <c r="AH461" s="139"/>
      <c r="AI461" s="139"/>
      <c r="AJ461" s="139"/>
    </row>
    <row r="462">
      <c r="A462" s="9"/>
      <c r="B462" s="139"/>
      <c r="C462" s="139"/>
      <c r="D462" s="139"/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  <c r="AA462" s="139"/>
      <c r="AB462" s="139"/>
      <c r="AC462" s="139"/>
      <c r="AD462" s="139"/>
      <c r="AE462" s="139"/>
      <c r="AF462" s="139"/>
      <c r="AG462" s="139"/>
      <c r="AH462" s="139"/>
      <c r="AI462" s="139"/>
      <c r="AJ462" s="139"/>
    </row>
    <row r="463">
      <c r="A463" s="9"/>
      <c r="B463" s="139"/>
      <c r="C463" s="139"/>
      <c r="D463" s="139"/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  <c r="AA463" s="139"/>
      <c r="AB463" s="139"/>
      <c r="AC463" s="139"/>
      <c r="AD463" s="139"/>
      <c r="AE463" s="139"/>
      <c r="AF463" s="139"/>
      <c r="AG463" s="139"/>
      <c r="AH463" s="139"/>
      <c r="AI463" s="139"/>
      <c r="AJ463" s="139"/>
    </row>
    <row r="464">
      <c r="A464" s="9"/>
      <c r="B464" s="139"/>
      <c r="C464" s="139"/>
      <c r="D464" s="139"/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  <c r="AA464" s="139"/>
      <c r="AB464" s="139"/>
      <c r="AC464" s="139"/>
      <c r="AD464" s="139"/>
      <c r="AE464" s="139"/>
      <c r="AF464" s="139"/>
      <c r="AG464" s="139"/>
      <c r="AH464" s="139"/>
      <c r="AI464" s="139"/>
      <c r="AJ464" s="139"/>
    </row>
    <row r="465">
      <c r="A465" s="9"/>
      <c r="B465" s="139"/>
      <c r="C465" s="139"/>
      <c r="D465" s="139"/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  <c r="AA465" s="139"/>
      <c r="AB465" s="139"/>
      <c r="AC465" s="139"/>
      <c r="AD465" s="139"/>
      <c r="AE465" s="139"/>
      <c r="AF465" s="139"/>
      <c r="AG465" s="139"/>
      <c r="AH465" s="139"/>
      <c r="AI465" s="139"/>
      <c r="AJ465" s="139"/>
    </row>
    <row r="466">
      <c r="A466" s="9"/>
      <c r="B466" s="139"/>
      <c r="C466" s="139"/>
      <c r="D466" s="139"/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  <c r="AA466" s="139"/>
      <c r="AB466" s="139"/>
      <c r="AC466" s="139"/>
      <c r="AD466" s="139"/>
      <c r="AE466" s="139"/>
      <c r="AF466" s="139"/>
      <c r="AG466" s="139"/>
      <c r="AH466" s="139"/>
      <c r="AI466" s="139"/>
      <c r="AJ466" s="139"/>
    </row>
    <row r="467">
      <c r="A467" s="9"/>
      <c r="B467" s="139"/>
      <c r="C467" s="139"/>
      <c r="D467" s="139"/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  <c r="AA467" s="139"/>
      <c r="AB467" s="139"/>
      <c r="AC467" s="139"/>
      <c r="AD467" s="139"/>
      <c r="AE467" s="139"/>
      <c r="AF467" s="139"/>
      <c r="AG467" s="139"/>
      <c r="AH467" s="139"/>
      <c r="AI467" s="139"/>
      <c r="AJ467" s="139"/>
    </row>
    <row r="468">
      <c r="A468" s="9"/>
      <c r="B468" s="139"/>
      <c r="C468" s="139"/>
      <c r="D468" s="139"/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  <c r="AA468" s="139"/>
      <c r="AB468" s="139"/>
      <c r="AC468" s="139"/>
      <c r="AD468" s="139"/>
      <c r="AE468" s="139"/>
      <c r="AF468" s="139"/>
      <c r="AG468" s="139"/>
      <c r="AH468" s="139"/>
      <c r="AI468" s="139"/>
      <c r="AJ468" s="139"/>
    </row>
    <row r="469">
      <c r="A469" s="9"/>
      <c r="B469" s="139"/>
      <c r="C469" s="139"/>
      <c r="D469" s="139"/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  <c r="AA469" s="139"/>
      <c r="AB469" s="139"/>
      <c r="AC469" s="139"/>
      <c r="AD469" s="139"/>
      <c r="AE469" s="139"/>
      <c r="AF469" s="139"/>
      <c r="AG469" s="139"/>
      <c r="AH469" s="139"/>
      <c r="AI469" s="139"/>
      <c r="AJ469" s="139"/>
    </row>
    <row r="470">
      <c r="A470" s="9"/>
      <c r="B470" s="139"/>
      <c r="C470" s="139"/>
      <c r="D470" s="139"/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  <c r="AA470" s="139"/>
      <c r="AB470" s="139"/>
      <c r="AC470" s="139"/>
      <c r="AD470" s="139"/>
      <c r="AE470" s="139"/>
      <c r="AF470" s="139"/>
      <c r="AG470" s="139"/>
      <c r="AH470" s="139"/>
      <c r="AI470" s="139"/>
      <c r="AJ470" s="139"/>
    </row>
    <row r="471">
      <c r="A471" s="9"/>
      <c r="B471" s="139"/>
      <c r="C471" s="139"/>
      <c r="D471" s="139"/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  <c r="AA471" s="139"/>
      <c r="AB471" s="139"/>
      <c r="AC471" s="139"/>
      <c r="AD471" s="139"/>
      <c r="AE471" s="139"/>
      <c r="AF471" s="139"/>
      <c r="AG471" s="139"/>
      <c r="AH471" s="139"/>
      <c r="AI471" s="139"/>
      <c r="AJ471" s="139"/>
    </row>
    <row r="472">
      <c r="A472" s="9"/>
      <c r="B472" s="139"/>
      <c r="C472" s="139"/>
      <c r="D472" s="139"/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  <c r="AA472" s="139"/>
      <c r="AB472" s="139"/>
      <c r="AC472" s="139"/>
      <c r="AD472" s="139"/>
      <c r="AE472" s="139"/>
      <c r="AF472" s="139"/>
      <c r="AG472" s="139"/>
      <c r="AH472" s="139"/>
      <c r="AI472" s="139"/>
      <c r="AJ472" s="139"/>
    </row>
    <row r="473">
      <c r="A473" s="9"/>
      <c r="B473" s="139"/>
      <c r="C473" s="139"/>
      <c r="D473" s="139"/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  <c r="AA473" s="139"/>
      <c r="AB473" s="139"/>
      <c r="AC473" s="139"/>
      <c r="AD473" s="139"/>
      <c r="AE473" s="139"/>
      <c r="AF473" s="139"/>
      <c r="AG473" s="139"/>
      <c r="AH473" s="139"/>
      <c r="AI473" s="139"/>
      <c r="AJ473" s="139"/>
    </row>
    <row r="474">
      <c r="A474" s="9"/>
      <c r="B474" s="139"/>
      <c r="C474" s="139"/>
      <c r="D474" s="139"/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  <c r="AA474" s="139"/>
      <c r="AB474" s="139"/>
      <c r="AC474" s="139"/>
      <c r="AD474" s="139"/>
      <c r="AE474" s="139"/>
      <c r="AF474" s="139"/>
      <c r="AG474" s="139"/>
      <c r="AH474" s="139"/>
      <c r="AI474" s="139"/>
      <c r="AJ474" s="139"/>
    </row>
    <row r="475">
      <c r="A475" s="9"/>
      <c r="B475" s="139"/>
      <c r="C475" s="139"/>
      <c r="D475" s="139"/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  <c r="AA475" s="139"/>
      <c r="AB475" s="139"/>
      <c r="AC475" s="139"/>
      <c r="AD475" s="139"/>
      <c r="AE475" s="139"/>
      <c r="AF475" s="139"/>
      <c r="AG475" s="139"/>
      <c r="AH475" s="139"/>
      <c r="AI475" s="139"/>
      <c r="AJ475" s="139"/>
    </row>
    <row r="476">
      <c r="A476" s="9"/>
      <c r="B476" s="139"/>
      <c r="C476" s="139"/>
      <c r="D476" s="139"/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  <c r="AA476" s="139"/>
      <c r="AB476" s="139"/>
      <c r="AC476" s="139"/>
      <c r="AD476" s="139"/>
      <c r="AE476" s="139"/>
      <c r="AF476" s="139"/>
      <c r="AG476" s="139"/>
      <c r="AH476" s="139"/>
      <c r="AI476" s="139"/>
      <c r="AJ476" s="139"/>
    </row>
    <row r="477">
      <c r="A477" s="9"/>
      <c r="B477" s="139"/>
      <c r="C477" s="139"/>
      <c r="D477" s="139"/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  <c r="AA477" s="139"/>
      <c r="AB477" s="139"/>
      <c r="AC477" s="139"/>
      <c r="AD477" s="139"/>
      <c r="AE477" s="139"/>
      <c r="AF477" s="139"/>
      <c r="AG477" s="139"/>
      <c r="AH477" s="139"/>
      <c r="AI477" s="139"/>
      <c r="AJ477" s="139"/>
    </row>
    <row r="478">
      <c r="A478" s="9"/>
      <c r="B478" s="139"/>
      <c r="C478" s="139"/>
      <c r="D478" s="139"/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  <c r="AA478" s="139"/>
      <c r="AB478" s="139"/>
      <c r="AC478" s="139"/>
      <c r="AD478" s="139"/>
      <c r="AE478" s="139"/>
      <c r="AF478" s="139"/>
      <c r="AG478" s="139"/>
      <c r="AH478" s="139"/>
      <c r="AI478" s="139"/>
      <c r="AJ478" s="139"/>
    </row>
    <row r="479">
      <c r="A479" s="9"/>
      <c r="B479" s="139"/>
      <c r="C479" s="139"/>
      <c r="D479" s="139"/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  <c r="AA479" s="139"/>
      <c r="AB479" s="139"/>
      <c r="AC479" s="139"/>
      <c r="AD479" s="139"/>
      <c r="AE479" s="139"/>
      <c r="AF479" s="139"/>
      <c r="AG479" s="139"/>
      <c r="AH479" s="139"/>
      <c r="AI479" s="139"/>
      <c r="AJ479" s="139"/>
    </row>
    <row r="480">
      <c r="A480" s="9"/>
      <c r="B480" s="139"/>
      <c r="C480" s="139"/>
      <c r="D480" s="139"/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  <c r="AA480" s="139"/>
      <c r="AB480" s="139"/>
      <c r="AC480" s="139"/>
      <c r="AD480" s="139"/>
      <c r="AE480" s="139"/>
      <c r="AF480" s="139"/>
      <c r="AG480" s="139"/>
      <c r="AH480" s="139"/>
      <c r="AI480" s="139"/>
      <c r="AJ480" s="139"/>
    </row>
    <row r="481">
      <c r="A481" s="9"/>
      <c r="B481" s="139"/>
      <c r="C481" s="139"/>
      <c r="D481" s="139"/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  <c r="AA481" s="139"/>
      <c r="AB481" s="139"/>
      <c r="AC481" s="139"/>
      <c r="AD481" s="139"/>
      <c r="AE481" s="139"/>
      <c r="AF481" s="139"/>
      <c r="AG481" s="139"/>
      <c r="AH481" s="139"/>
      <c r="AI481" s="139"/>
      <c r="AJ481" s="139"/>
    </row>
    <row r="482">
      <c r="A482" s="9"/>
      <c r="B482" s="139"/>
      <c r="C482" s="139"/>
      <c r="D482" s="139"/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  <c r="AA482" s="139"/>
      <c r="AB482" s="139"/>
      <c r="AC482" s="139"/>
      <c r="AD482" s="139"/>
      <c r="AE482" s="139"/>
      <c r="AF482" s="139"/>
      <c r="AG482" s="139"/>
      <c r="AH482" s="139"/>
      <c r="AI482" s="139"/>
      <c r="AJ482" s="139"/>
    </row>
    <row r="483">
      <c r="A483" s="9"/>
      <c r="B483" s="139"/>
      <c r="C483" s="139"/>
      <c r="D483" s="139"/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  <c r="AA483" s="139"/>
      <c r="AB483" s="139"/>
      <c r="AC483" s="139"/>
      <c r="AD483" s="139"/>
      <c r="AE483" s="139"/>
      <c r="AF483" s="139"/>
      <c r="AG483" s="139"/>
      <c r="AH483" s="139"/>
      <c r="AI483" s="139"/>
      <c r="AJ483" s="139"/>
    </row>
    <row r="484">
      <c r="A484" s="9"/>
      <c r="B484" s="139"/>
      <c r="C484" s="139"/>
      <c r="D484" s="139"/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  <c r="AA484" s="139"/>
      <c r="AB484" s="139"/>
      <c r="AC484" s="139"/>
      <c r="AD484" s="139"/>
      <c r="AE484" s="139"/>
      <c r="AF484" s="139"/>
      <c r="AG484" s="139"/>
      <c r="AH484" s="139"/>
      <c r="AI484" s="139"/>
      <c r="AJ484" s="139"/>
    </row>
    <row r="485">
      <c r="A485" s="9"/>
      <c r="B485" s="139"/>
      <c r="C485" s="139"/>
      <c r="D485" s="139"/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  <c r="AA485" s="139"/>
      <c r="AB485" s="139"/>
      <c r="AC485" s="139"/>
      <c r="AD485" s="139"/>
      <c r="AE485" s="139"/>
      <c r="AF485" s="139"/>
      <c r="AG485" s="139"/>
      <c r="AH485" s="139"/>
      <c r="AI485" s="139"/>
      <c r="AJ485" s="139"/>
    </row>
    <row r="486">
      <c r="A486" s="9"/>
      <c r="B486" s="139"/>
      <c r="C486" s="139"/>
      <c r="D486" s="139"/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  <c r="AA486" s="139"/>
      <c r="AB486" s="139"/>
      <c r="AC486" s="139"/>
      <c r="AD486" s="139"/>
      <c r="AE486" s="139"/>
      <c r="AF486" s="139"/>
      <c r="AG486" s="139"/>
      <c r="AH486" s="139"/>
      <c r="AI486" s="139"/>
      <c r="AJ486" s="139"/>
    </row>
    <row r="487">
      <c r="A487" s="9"/>
      <c r="B487" s="139"/>
      <c r="C487" s="139"/>
      <c r="D487" s="139"/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  <c r="AA487" s="139"/>
      <c r="AB487" s="139"/>
      <c r="AC487" s="139"/>
      <c r="AD487" s="139"/>
      <c r="AE487" s="139"/>
      <c r="AF487" s="139"/>
      <c r="AG487" s="139"/>
      <c r="AH487" s="139"/>
      <c r="AI487" s="139"/>
      <c r="AJ487" s="139"/>
    </row>
    <row r="488">
      <c r="A488" s="9"/>
      <c r="B488" s="139"/>
      <c r="C488" s="139"/>
      <c r="D488" s="139"/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  <c r="AA488" s="139"/>
      <c r="AB488" s="139"/>
      <c r="AC488" s="139"/>
      <c r="AD488" s="139"/>
      <c r="AE488" s="139"/>
      <c r="AF488" s="139"/>
      <c r="AG488" s="139"/>
      <c r="AH488" s="139"/>
      <c r="AI488" s="139"/>
      <c r="AJ488" s="139"/>
    </row>
    <row r="489">
      <c r="A489" s="9"/>
      <c r="B489" s="139"/>
      <c r="C489" s="139"/>
      <c r="D489" s="139"/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  <c r="AA489" s="139"/>
      <c r="AB489" s="139"/>
      <c r="AC489" s="139"/>
      <c r="AD489" s="139"/>
      <c r="AE489" s="139"/>
      <c r="AF489" s="139"/>
      <c r="AG489" s="139"/>
      <c r="AH489" s="139"/>
      <c r="AI489" s="139"/>
      <c r="AJ489" s="139"/>
    </row>
    <row r="490">
      <c r="A490" s="9"/>
      <c r="B490" s="139"/>
      <c r="C490" s="139"/>
      <c r="D490" s="139"/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  <c r="AA490" s="139"/>
      <c r="AB490" s="139"/>
      <c r="AC490" s="139"/>
      <c r="AD490" s="139"/>
      <c r="AE490" s="139"/>
      <c r="AF490" s="139"/>
      <c r="AG490" s="139"/>
      <c r="AH490" s="139"/>
      <c r="AI490" s="139"/>
      <c r="AJ490" s="139"/>
    </row>
    <row r="491">
      <c r="A491" s="9"/>
      <c r="B491" s="139"/>
      <c r="C491" s="139"/>
      <c r="D491" s="139"/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  <c r="AA491" s="139"/>
      <c r="AB491" s="139"/>
      <c r="AC491" s="139"/>
      <c r="AD491" s="139"/>
      <c r="AE491" s="139"/>
      <c r="AF491" s="139"/>
      <c r="AG491" s="139"/>
      <c r="AH491" s="139"/>
      <c r="AI491" s="139"/>
      <c r="AJ491" s="139"/>
    </row>
    <row r="492">
      <c r="A492" s="9"/>
      <c r="B492" s="139"/>
      <c r="C492" s="139"/>
      <c r="D492" s="139"/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  <c r="AA492" s="139"/>
      <c r="AB492" s="139"/>
      <c r="AC492" s="139"/>
      <c r="AD492" s="139"/>
      <c r="AE492" s="139"/>
      <c r="AF492" s="139"/>
      <c r="AG492" s="139"/>
      <c r="AH492" s="139"/>
      <c r="AI492" s="139"/>
      <c r="AJ492" s="139"/>
    </row>
    <row r="493">
      <c r="A493" s="9"/>
      <c r="B493" s="139"/>
      <c r="C493" s="139"/>
      <c r="D493" s="139"/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  <c r="AA493" s="139"/>
      <c r="AB493" s="139"/>
      <c r="AC493" s="139"/>
      <c r="AD493" s="139"/>
      <c r="AE493" s="139"/>
      <c r="AF493" s="139"/>
      <c r="AG493" s="139"/>
      <c r="AH493" s="139"/>
      <c r="AI493" s="139"/>
      <c r="AJ493" s="139"/>
    </row>
    <row r="494">
      <c r="A494" s="9"/>
      <c r="B494" s="139"/>
      <c r="C494" s="139"/>
      <c r="D494" s="139"/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  <c r="AA494" s="139"/>
      <c r="AB494" s="139"/>
      <c r="AC494" s="139"/>
      <c r="AD494" s="139"/>
      <c r="AE494" s="139"/>
      <c r="AF494" s="139"/>
      <c r="AG494" s="139"/>
      <c r="AH494" s="139"/>
      <c r="AI494" s="139"/>
      <c r="AJ494" s="139"/>
    </row>
    <row r="495">
      <c r="A495" s="9"/>
      <c r="B495" s="139"/>
      <c r="C495" s="139"/>
      <c r="D495" s="139"/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  <c r="AA495" s="139"/>
      <c r="AB495" s="139"/>
      <c r="AC495" s="139"/>
      <c r="AD495" s="139"/>
      <c r="AE495" s="139"/>
      <c r="AF495" s="139"/>
      <c r="AG495" s="139"/>
      <c r="AH495" s="139"/>
      <c r="AI495" s="139"/>
      <c r="AJ495" s="139"/>
    </row>
    <row r="496">
      <c r="A496" s="9"/>
      <c r="B496" s="139"/>
      <c r="C496" s="139"/>
      <c r="D496" s="139"/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  <c r="AA496" s="139"/>
      <c r="AB496" s="139"/>
      <c r="AC496" s="139"/>
      <c r="AD496" s="139"/>
      <c r="AE496" s="139"/>
      <c r="AF496" s="139"/>
      <c r="AG496" s="139"/>
      <c r="AH496" s="139"/>
      <c r="AI496" s="139"/>
      <c r="AJ496" s="139"/>
    </row>
    <row r="497">
      <c r="A497" s="9"/>
      <c r="B497" s="139"/>
      <c r="C497" s="139"/>
      <c r="D497" s="139"/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  <c r="AA497" s="139"/>
      <c r="AB497" s="139"/>
      <c r="AC497" s="139"/>
      <c r="AD497" s="139"/>
      <c r="AE497" s="139"/>
      <c r="AF497" s="139"/>
      <c r="AG497" s="139"/>
      <c r="AH497" s="139"/>
      <c r="AI497" s="139"/>
      <c r="AJ497" s="139"/>
    </row>
    <row r="498">
      <c r="A498" s="9"/>
      <c r="B498" s="139"/>
      <c r="C498" s="139"/>
      <c r="D498" s="139"/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  <c r="AA498" s="139"/>
      <c r="AB498" s="139"/>
      <c r="AC498" s="139"/>
      <c r="AD498" s="139"/>
      <c r="AE498" s="139"/>
      <c r="AF498" s="139"/>
      <c r="AG498" s="139"/>
      <c r="AH498" s="139"/>
      <c r="AI498" s="139"/>
      <c r="AJ498" s="139"/>
    </row>
    <row r="499">
      <c r="A499" s="9"/>
      <c r="B499" s="139"/>
      <c r="C499" s="139"/>
      <c r="D499" s="139"/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  <c r="AA499" s="139"/>
      <c r="AB499" s="139"/>
      <c r="AC499" s="139"/>
      <c r="AD499" s="139"/>
      <c r="AE499" s="139"/>
      <c r="AF499" s="139"/>
      <c r="AG499" s="139"/>
      <c r="AH499" s="139"/>
      <c r="AI499" s="139"/>
      <c r="AJ499" s="139"/>
    </row>
    <row r="500">
      <c r="A500" s="9"/>
      <c r="B500" s="139"/>
      <c r="C500" s="139"/>
      <c r="D500" s="139"/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  <c r="AA500" s="139"/>
      <c r="AB500" s="139"/>
      <c r="AC500" s="139"/>
      <c r="AD500" s="139"/>
      <c r="AE500" s="139"/>
      <c r="AF500" s="139"/>
      <c r="AG500" s="139"/>
      <c r="AH500" s="139"/>
      <c r="AI500" s="139"/>
      <c r="AJ500" s="139"/>
    </row>
    <row r="501">
      <c r="A501" s="9"/>
      <c r="B501" s="139"/>
      <c r="C501" s="139"/>
      <c r="D501" s="139"/>
      <c r="E501" s="139"/>
      <c r="F501" s="139"/>
      <c r="G501" s="139"/>
      <c r="H501" s="139"/>
      <c r="I501" s="139"/>
      <c r="J501" s="139"/>
      <c r="K501" s="139"/>
      <c r="L501" s="139"/>
      <c r="M501" s="139"/>
      <c r="N501" s="139"/>
      <c r="O501" s="139"/>
      <c r="P501" s="139"/>
      <c r="Q501" s="139"/>
      <c r="R501" s="139"/>
      <c r="S501" s="139"/>
      <c r="T501" s="139"/>
      <c r="U501" s="139"/>
      <c r="V501" s="139"/>
      <c r="W501" s="139"/>
      <c r="X501" s="139"/>
      <c r="Y501" s="139"/>
      <c r="Z501" s="139"/>
      <c r="AA501" s="139"/>
      <c r="AB501" s="139"/>
      <c r="AC501" s="139"/>
      <c r="AD501" s="139"/>
      <c r="AE501" s="139"/>
      <c r="AF501" s="139"/>
      <c r="AG501" s="139"/>
      <c r="AH501" s="139"/>
      <c r="AI501" s="139"/>
      <c r="AJ501" s="139"/>
    </row>
    <row r="502">
      <c r="A502" s="9"/>
      <c r="B502" s="139"/>
      <c r="C502" s="139"/>
      <c r="D502" s="139"/>
      <c r="E502" s="139"/>
      <c r="F502" s="139"/>
      <c r="G502" s="139"/>
      <c r="H502" s="139"/>
      <c r="I502" s="139"/>
      <c r="J502" s="139"/>
      <c r="K502" s="139"/>
      <c r="L502" s="139"/>
      <c r="M502" s="139"/>
      <c r="N502" s="139"/>
      <c r="O502" s="139"/>
      <c r="P502" s="139"/>
      <c r="Q502" s="139"/>
      <c r="R502" s="139"/>
      <c r="S502" s="139"/>
      <c r="T502" s="139"/>
      <c r="U502" s="139"/>
      <c r="V502" s="139"/>
      <c r="W502" s="139"/>
      <c r="X502" s="139"/>
      <c r="Y502" s="139"/>
      <c r="Z502" s="139"/>
      <c r="AA502" s="139"/>
      <c r="AB502" s="139"/>
      <c r="AC502" s="139"/>
      <c r="AD502" s="139"/>
      <c r="AE502" s="139"/>
      <c r="AF502" s="139"/>
      <c r="AG502" s="139"/>
      <c r="AH502" s="139"/>
      <c r="AI502" s="139"/>
      <c r="AJ502" s="139"/>
    </row>
    <row r="503">
      <c r="A503" s="9"/>
      <c r="B503" s="139"/>
      <c r="C503" s="139"/>
      <c r="D503" s="139"/>
      <c r="E503" s="139"/>
      <c r="F503" s="139"/>
      <c r="G503" s="139"/>
      <c r="H503" s="139"/>
      <c r="I503" s="139"/>
      <c r="J503" s="139"/>
      <c r="K503" s="139"/>
      <c r="L503" s="139"/>
      <c r="M503" s="139"/>
      <c r="N503" s="139"/>
      <c r="O503" s="139"/>
      <c r="P503" s="139"/>
      <c r="Q503" s="139"/>
      <c r="R503" s="139"/>
      <c r="S503" s="139"/>
      <c r="T503" s="139"/>
      <c r="U503" s="139"/>
      <c r="V503" s="139"/>
      <c r="W503" s="139"/>
      <c r="X503" s="139"/>
      <c r="Y503" s="139"/>
      <c r="Z503" s="139"/>
      <c r="AA503" s="139"/>
      <c r="AB503" s="139"/>
      <c r="AC503" s="139"/>
      <c r="AD503" s="139"/>
      <c r="AE503" s="139"/>
      <c r="AF503" s="139"/>
      <c r="AG503" s="139"/>
      <c r="AH503" s="139"/>
      <c r="AI503" s="139"/>
      <c r="AJ503" s="139"/>
    </row>
    <row r="504">
      <c r="A504" s="9"/>
      <c r="B504" s="139"/>
      <c r="C504" s="139"/>
      <c r="D504" s="139"/>
      <c r="E504" s="139"/>
      <c r="F504" s="139"/>
      <c r="G504" s="139"/>
      <c r="H504" s="139"/>
      <c r="I504" s="139"/>
      <c r="J504" s="139"/>
      <c r="K504" s="139"/>
      <c r="L504" s="139"/>
      <c r="M504" s="139"/>
      <c r="N504" s="139"/>
      <c r="O504" s="139"/>
      <c r="P504" s="139"/>
      <c r="Q504" s="139"/>
      <c r="R504" s="139"/>
      <c r="S504" s="139"/>
      <c r="T504" s="139"/>
      <c r="U504" s="139"/>
      <c r="V504" s="139"/>
      <c r="W504" s="139"/>
      <c r="X504" s="139"/>
      <c r="Y504" s="139"/>
      <c r="Z504" s="139"/>
      <c r="AA504" s="139"/>
      <c r="AB504" s="139"/>
      <c r="AC504" s="139"/>
      <c r="AD504" s="139"/>
      <c r="AE504" s="139"/>
      <c r="AF504" s="139"/>
      <c r="AG504" s="139"/>
      <c r="AH504" s="139"/>
      <c r="AI504" s="139"/>
      <c r="AJ504" s="139"/>
    </row>
    <row r="505">
      <c r="A505" s="9"/>
      <c r="B505" s="139"/>
      <c r="C505" s="139"/>
      <c r="D505" s="139"/>
      <c r="E505" s="139"/>
      <c r="F505" s="139"/>
      <c r="G505" s="139"/>
      <c r="H505" s="139"/>
      <c r="I505" s="139"/>
      <c r="J505" s="139"/>
      <c r="K505" s="139"/>
      <c r="L505" s="139"/>
      <c r="M505" s="139"/>
      <c r="N505" s="139"/>
      <c r="O505" s="139"/>
      <c r="P505" s="139"/>
      <c r="Q505" s="139"/>
      <c r="R505" s="139"/>
      <c r="S505" s="139"/>
      <c r="T505" s="139"/>
      <c r="U505" s="139"/>
      <c r="V505" s="139"/>
      <c r="W505" s="139"/>
      <c r="X505" s="139"/>
      <c r="Y505" s="139"/>
      <c r="Z505" s="139"/>
      <c r="AA505" s="139"/>
      <c r="AB505" s="139"/>
      <c r="AC505" s="139"/>
      <c r="AD505" s="139"/>
      <c r="AE505" s="139"/>
      <c r="AF505" s="139"/>
      <c r="AG505" s="139"/>
      <c r="AH505" s="139"/>
      <c r="AI505" s="139"/>
      <c r="AJ505" s="139"/>
    </row>
    <row r="506">
      <c r="A506" s="9"/>
      <c r="B506" s="139"/>
      <c r="C506" s="139"/>
      <c r="D506" s="139"/>
      <c r="E506" s="139"/>
      <c r="F506" s="139"/>
      <c r="G506" s="139"/>
      <c r="H506" s="139"/>
      <c r="I506" s="139"/>
      <c r="J506" s="139"/>
      <c r="K506" s="139"/>
      <c r="L506" s="139"/>
      <c r="M506" s="139"/>
      <c r="N506" s="139"/>
      <c r="O506" s="139"/>
      <c r="P506" s="139"/>
      <c r="Q506" s="139"/>
      <c r="R506" s="139"/>
      <c r="S506" s="139"/>
      <c r="T506" s="139"/>
      <c r="U506" s="139"/>
      <c r="V506" s="139"/>
      <c r="W506" s="139"/>
      <c r="X506" s="139"/>
      <c r="Y506" s="139"/>
      <c r="Z506" s="139"/>
      <c r="AA506" s="139"/>
      <c r="AB506" s="139"/>
      <c r="AC506" s="139"/>
      <c r="AD506" s="139"/>
      <c r="AE506" s="139"/>
      <c r="AF506" s="139"/>
      <c r="AG506" s="139"/>
      <c r="AH506" s="139"/>
      <c r="AI506" s="139"/>
      <c r="AJ506" s="139"/>
    </row>
    <row r="507">
      <c r="A507" s="9"/>
      <c r="B507" s="139"/>
      <c r="C507" s="139"/>
      <c r="D507" s="139"/>
      <c r="E507" s="139"/>
      <c r="F507" s="139"/>
      <c r="G507" s="139"/>
      <c r="H507" s="139"/>
      <c r="I507" s="139"/>
      <c r="J507" s="139"/>
      <c r="K507" s="139"/>
      <c r="L507" s="139"/>
      <c r="M507" s="139"/>
      <c r="N507" s="139"/>
      <c r="O507" s="139"/>
      <c r="P507" s="139"/>
      <c r="Q507" s="139"/>
      <c r="R507" s="139"/>
      <c r="S507" s="139"/>
      <c r="T507" s="139"/>
      <c r="U507" s="139"/>
      <c r="V507" s="139"/>
      <c r="W507" s="139"/>
      <c r="X507" s="139"/>
      <c r="Y507" s="139"/>
      <c r="Z507" s="139"/>
      <c r="AA507" s="139"/>
      <c r="AB507" s="139"/>
      <c r="AC507" s="139"/>
      <c r="AD507" s="139"/>
      <c r="AE507" s="139"/>
      <c r="AF507" s="139"/>
      <c r="AG507" s="139"/>
      <c r="AH507" s="139"/>
      <c r="AI507" s="139"/>
      <c r="AJ507" s="139"/>
    </row>
    <row r="508">
      <c r="A508" s="9"/>
      <c r="B508" s="139"/>
      <c r="C508" s="139"/>
      <c r="D508" s="139"/>
      <c r="E508" s="139"/>
      <c r="F508" s="139"/>
      <c r="G508" s="139"/>
      <c r="H508" s="139"/>
      <c r="I508" s="139"/>
      <c r="J508" s="139"/>
      <c r="K508" s="139"/>
      <c r="L508" s="139"/>
      <c r="M508" s="139"/>
      <c r="N508" s="139"/>
      <c r="O508" s="139"/>
      <c r="P508" s="139"/>
      <c r="Q508" s="139"/>
      <c r="R508" s="139"/>
      <c r="S508" s="139"/>
      <c r="T508" s="139"/>
      <c r="U508" s="139"/>
      <c r="V508" s="139"/>
      <c r="W508" s="139"/>
      <c r="X508" s="139"/>
      <c r="Y508" s="139"/>
      <c r="Z508" s="139"/>
      <c r="AA508" s="139"/>
      <c r="AB508" s="139"/>
      <c r="AC508" s="139"/>
      <c r="AD508" s="139"/>
      <c r="AE508" s="139"/>
      <c r="AF508" s="139"/>
      <c r="AG508" s="139"/>
      <c r="AH508" s="139"/>
      <c r="AI508" s="139"/>
      <c r="AJ508" s="139"/>
    </row>
    <row r="509">
      <c r="A509" s="9"/>
      <c r="B509" s="139"/>
      <c r="C509" s="139"/>
      <c r="D509" s="139"/>
      <c r="E509" s="139"/>
      <c r="F509" s="139"/>
      <c r="G509" s="139"/>
      <c r="H509" s="139"/>
      <c r="I509" s="139"/>
      <c r="J509" s="139"/>
      <c r="K509" s="139"/>
      <c r="L509" s="139"/>
      <c r="M509" s="139"/>
      <c r="N509" s="139"/>
      <c r="O509" s="139"/>
      <c r="P509" s="139"/>
      <c r="Q509" s="139"/>
      <c r="R509" s="139"/>
      <c r="S509" s="139"/>
      <c r="T509" s="139"/>
      <c r="U509" s="139"/>
      <c r="V509" s="139"/>
      <c r="W509" s="139"/>
      <c r="X509" s="139"/>
      <c r="Y509" s="139"/>
      <c r="Z509" s="139"/>
      <c r="AA509" s="139"/>
      <c r="AB509" s="139"/>
      <c r="AC509" s="139"/>
      <c r="AD509" s="139"/>
      <c r="AE509" s="139"/>
      <c r="AF509" s="139"/>
      <c r="AG509" s="139"/>
      <c r="AH509" s="139"/>
      <c r="AI509" s="139"/>
      <c r="AJ509" s="139"/>
    </row>
    <row r="510">
      <c r="A510" s="9"/>
      <c r="B510" s="139"/>
      <c r="C510" s="139"/>
      <c r="D510" s="139"/>
      <c r="E510" s="139"/>
      <c r="F510" s="139"/>
      <c r="G510" s="139"/>
      <c r="H510" s="139"/>
      <c r="I510" s="139"/>
      <c r="J510" s="139"/>
      <c r="K510" s="139"/>
      <c r="L510" s="139"/>
      <c r="M510" s="139"/>
      <c r="N510" s="139"/>
      <c r="O510" s="139"/>
      <c r="P510" s="139"/>
      <c r="Q510" s="139"/>
      <c r="R510" s="139"/>
      <c r="S510" s="139"/>
      <c r="T510" s="139"/>
      <c r="U510" s="139"/>
      <c r="V510" s="139"/>
      <c r="W510" s="139"/>
      <c r="X510" s="139"/>
      <c r="Y510" s="139"/>
      <c r="Z510" s="139"/>
      <c r="AA510" s="139"/>
      <c r="AB510" s="139"/>
      <c r="AC510" s="139"/>
      <c r="AD510" s="139"/>
      <c r="AE510" s="139"/>
      <c r="AF510" s="139"/>
      <c r="AG510" s="139"/>
      <c r="AH510" s="139"/>
      <c r="AI510" s="139"/>
      <c r="AJ510" s="139"/>
    </row>
    <row r="511">
      <c r="A511" s="9"/>
      <c r="B511" s="139"/>
      <c r="C511" s="139"/>
      <c r="D511" s="139"/>
      <c r="E511" s="139"/>
      <c r="F511" s="139"/>
      <c r="G511" s="139"/>
      <c r="H511" s="139"/>
      <c r="I511" s="139"/>
      <c r="J511" s="139"/>
      <c r="K511" s="139"/>
      <c r="L511" s="139"/>
      <c r="M511" s="139"/>
      <c r="N511" s="139"/>
      <c r="O511" s="139"/>
      <c r="P511" s="139"/>
      <c r="Q511" s="139"/>
      <c r="R511" s="139"/>
      <c r="S511" s="139"/>
      <c r="T511" s="139"/>
      <c r="U511" s="139"/>
      <c r="V511" s="139"/>
      <c r="W511" s="139"/>
      <c r="X511" s="139"/>
      <c r="Y511" s="139"/>
      <c r="Z511" s="139"/>
      <c r="AA511" s="139"/>
      <c r="AB511" s="139"/>
      <c r="AC511" s="139"/>
      <c r="AD511" s="139"/>
      <c r="AE511" s="139"/>
      <c r="AF511" s="139"/>
      <c r="AG511" s="139"/>
      <c r="AH511" s="139"/>
      <c r="AI511" s="139"/>
      <c r="AJ511" s="139"/>
    </row>
    <row r="512">
      <c r="A512" s="9"/>
      <c r="B512" s="139"/>
      <c r="C512" s="139"/>
      <c r="D512" s="139"/>
      <c r="E512" s="139"/>
      <c r="F512" s="139"/>
      <c r="G512" s="139"/>
      <c r="H512" s="139"/>
      <c r="I512" s="139"/>
      <c r="J512" s="139"/>
      <c r="K512" s="139"/>
      <c r="L512" s="139"/>
      <c r="M512" s="139"/>
      <c r="N512" s="139"/>
      <c r="O512" s="139"/>
      <c r="P512" s="139"/>
      <c r="Q512" s="139"/>
      <c r="R512" s="139"/>
      <c r="S512" s="139"/>
      <c r="T512" s="139"/>
      <c r="U512" s="139"/>
      <c r="V512" s="139"/>
      <c r="W512" s="139"/>
      <c r="X512" s="139"/>
      <c r="Y512" s="139"/>
      <c r="Z512" s="139"/>
      <c r="AA512" s="139"/>
      <c r="AB512" s="139"/>
      <c r="AC512" s="139"/>
      <c r="AD512" s="139"/>
      <c r="AE512" s="139"/>
      <c r="AF512" s="139"/>
      <c r="AG512" s="139"/>
      <c r="AH512" s="139"/>
      <c r="AI512" s="139"/>
      <c r="AJ512" s="139"/>
    </row>
    <row r="513">
      <c r="A513" s="9"/>
      <c r="B513" s="139"/>
      <c r="C513" s="139"/>
      <c r="D513" s="139"/>
      <c r="E513" s="139"/>
      <c r="F513" s="139"/>
      <c r="G513" s="139"/>
      <c r="H513" s="139"/>
      <c r="I513" s="139"/>
      <c r="J513" s="139"/>
      <c r="K513" s="139"/>
      <c r="L513" s="139"/>
      <c r="M513" s="139"/>
      <c r="N513" s="139"/>
      <c r="O513" s="139"/>
      <c r="P513" s="139"/>
      <c r="Q513" s="139"/>
      <c r="R513" s="139"/>
      <c r="S513" s="139"/>
      <c r="T513" s="139"/>
      <c r="U513" s="139"/>
      <c r="V513" s="139"/>
      <c r="W513" s="139"/>
      <c r="X513" s="139"/>
      <c r="Y513" s="139"/>
      <c r="Z513" s="139"/>
      <c r="AA513" s="139"/>
      <c r="AB513" s="139"/>
      <c r="AC513" s="139"/>
      <c r="AD513" s="139"/>
      <c r="AE513" s="139"/>
      <c r="AF513" s="139"/>
      <c r="AG513" s="139"/>
      <c r="AH513" s="139"/>
      <c r="AI513" s="139"/>
      <c r="AJ513" s="139"/>
    </row>
    <row r="514">
      <c r="A514" s="9"/>
      <c r="B514" s="139"/>
      <c r="C514" s="139"/>
      <c r="D514" s="139"/>
      <c r="E514" s="139"/>
      <c r="F514" s="139"/>
      <c r="G514" s="139"/>
      <c r="H514" s="139"/>
      <c r="I514" s="139"/>
      <c r="J514" s="139"/>
      <c r="K514" s="139"/>
      <c r="L514" s="139"/>
      <c r="M514" s="139"/>
      <c r="N514" s="139"/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39"/>
      <c r="AA514" s="139"/>
      <c r="AB514" s="139"/>
      <c r="AC514" s="139"/>
      <c r="AD514" s="139"/>
      <c r="AE514" s="139"/>
      <c r="AF514" s="139"/>
      <c r="AG514" s="139"/>
      <c r="AH514" s="139"/>
      <c r="AI514" s="139"/>
      <c r="AJ514" s="139"/>
    </row>
    <row r="515">
      <c r="A515" s="9"/>
      <c r="B515" s="139"/>
      <c r="C515" s="139"/>
      <c r="D515" s="139"/>
      <c r="E515" s="139"/>
      <c r="F515" s="139"/>
      <c r="G515" s="139"/>
      <c r="H515" s="139"/>
      <c r="I515" s="139"/>
      <c r="J515" s="139"/>
      <c r="K515" s="139"/>
      <c r="L515" s="139"/>
      <c r="M515" s="139"/>
      <c r="N515" s="139"/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39"/>
      <c r="Z515" s="139"/>
      <c r="AA515" s="139"/>
      <c r="AB515" s="139"/>
      <c r="AC515" s="139"/>
      <c r="AD515" s="139"/>
      <c r="AE515" s="139"/>
      <c r="AF515" s="139"/>
      <c r="AG515" s="139"/>
      <c r="AH515" s="139"/>
      <c r="AI515" s="139"/>
      <c r="AJ515" s="139"/>
    </row>
    <row r="516">
      <c r="A516" s="9"/>
      <c r="B516" s="139"/>
      <c r="C516" s="139"/>
      <c r="D516" s="139"/>
      <c r="E516" s="139"/>
      <c r="F516" s="139"/>
      <c r="G516" s="139"/>
      <c r="H516" s="139"/>
      <c r="I516" s="139"/>
      <c r="J516" s="139"/>
      <c r="K516" s="139"/>
      <c r="L516" s="139"/>
      <c r="M516" s="139"/>
      <c r="N516" s="139"/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39"/>
      <c r="AA516" s="139"/>
      <c r="AB516" s="139"/>
      <c r="AC516" s="139"/>
      <c r="AD516" s="139"/>
      <c r="AE516" s="139"/>
      <c r="AF516" s="139"/>
      <c r="AG516" s="139"/>
      <c r="AH516" s="139"/>
      <c r="AI516" s="139"/>
      <c r="AJ516" s="139"/>
    </row>
    <row r="517">
      <c r="A517" s="9"/>
      <c r="B517" s="139"/>
      <c r="C517" s="139"/>
      <c r="D517" s="139"/>
      <c r="E517" s="139"/>
      <c r="F517" s="139"/>
      <c r="G517" s="139"/>
      <c r="H517" s="139"/>
      <c r="I517" s="139"/>
      <c r="J517" s="139"/>
      <c r="K517" s="139"/>
      <c r="L517" s="139"/>
      <c r="M517" s="139"/>
      <c r="N517" s="139"/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39"/>
      <c r="Z517" s="139"/>
      <c r="AA517" s="139"/>
      <c r="AB517" s="139"/>
      <c r="AC517" s="139"/>
      <c r="AD517" s="139"/>
      <c r="AE517" s="139"/>
      <c r="AF517" s="139"/>
      <c r="AG517" s="139"/>
      <c r="AH517" s="139"/>
      <c r="AI517" s="139"/>
      <c r="AJ517" s="139"/>
    </row>
    <row r="518">
      <c r="A518" s="9"/>
      <c r="B518" s="139"/>
      <c r="C518" s="139"/>
      <c r="D518" s="139"/>
      <c r="E518" s="139"/>
      <c r="F518" s="139"/>
      <c r="G518" s="139"/>
      <c r="H518" s="139"/>
      <c r="I518" s="139"/>
      <c r="J518" s="139"/>
      <c r="K518" s="139"/>
      <c r="L518" s="139"/>
      <c r="M518" s="139"/>
      <c r="N518" s="139"/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39"/>
      <c r="Z518" s="139"/>
      <c r="AA518" s="139"/>
      <c r="AB518" s="139"/>
      <c r="AC518" s="139"/>
      <c r="AD518" s="139"/>
      <c r="AE518" s="139"/>
      <c r="AF518" s="139"/>
      <c r="AG518" s="139"/>
      <c r="AH518" s="139"/>
      <c r="AI518" s="139"/>
      <c r="AJ518" s="139"/>
    </row>
    <row r="519">
      <c r="A519" s="9"/>
      <c r="B519" s="139"/>
      <c r="C519" s="139"/>
      <c r="D519" s="139"/>
      <c r="E519" s="139"/>
      <c r="F519" s="139"/>
      <c r="G519" s="139"/>
      <c r="H519" s="139"/>
      <c r="I519" s="139"/>
      <c r="J519" s="139"/>
      <c r="K519" s="139"/>
      <c r="L519" s="139"/>
      <c r="M519" s="139"/>
      <c r="N519" s="139"/>
      <c r="O519" s="139"/>
      <c r="P519" s="139"/>
      <c r="Q519" s="139"/>
      <c r="R519" s="139"/>
      <c r="S519" s="139"/>
      <c r="T519" s="139"/>
      <c r="U519" s="139"/>
      <c r="V519" s="139"/>
      <c r="W519" s="139"/>
      <c r="X519" s="139"/>
      <c r="Y519" s="139"/>
      <c r="Z519" s="139"/>
      <c r="AA519" s="139"/>
      <c r="AB519" s="139"/>
      <c r="AC519" s="139"/>
      <c r="AD519" s="139"/>
      <c r="AE519" s="139"/>
      <c r="AF519" s="139"/>
      <c r="AG519" s="139"/>
      <c r="AH519" s="139"/>
      <c r="AI519" s="139"/>
      <c r="AJ519" s="139"/>
    </row>
    <row r="520">
      <c r="A520" s="9"/>
      <c r="B520" s="139"/>
      <c r="C520" s="139"/>
      <c r="D520" s="139"/>
      <c r="E520" s="139"/>
      <c r="F520" s="139"/>
      <c r="G520" s="139"/>
      <c r="H520" s="139"/>
      <c r="I520" s="139"/>
      <c r="J520" s="139"/>
      <c r="K520" s="139"/>
      <c r="L520" s="139"/>
      <c r="M520" s="139"/>
      <c r="N520" s="139"/>
      <c r="O520" s="139"/>
      <c r="P520" s="139"/>
      <c r="Q520" s="139"/>
      <c r="R520" s="139"/>
      <c r="S520" s="139"/>
      <c r="T520" s="139"/>
      <c r="U520" s="139"/>
      <c r="V520" s="139"/>
      <c r="W520" s="139"/>
      <c r="X520" s="139"/>
      <c r="Y520" s="139"/>
      <c r="Z520" s="139"/>
      <c r="AA520" s="139"/>
      <c r="AB520" s="139"/>
      <c r="AC520" s="139"/>
      <c r="AD520" s="139"/>
      <c r="AE520" s="139"/>
      <c r="AF520" s="139"/>
      <c r="AG520" s="139"/>
      <c r="AH520" s="139"/>
      <c r="AI520" s="139"/>
      <c r="AJ520" s="139"/>
    </row>
    <row r="521">
      <c r="A521" s="9"/>
      <c r="B521" s="139"/>
      <c r="C521" s="139"/>
      <c r="D521" s="139"/>
      <c r="E521" s="139"/>
      <c r="F521" s="139"/>
      <c r="G521" s="139"/>
      <c r="H521" s="139"/>
      <c r="I521" s="139"/>
      <c r="J521" s="139"/>
      <c r="K521" s="139"/>
      <c r="L521" s="139"/>
      <c r="M521" s="139"/>
      <c r="N521" s="139"/>
      <c r="O521" s="139"/>
      <c r="P521" s="139"/>
      <c r="Q521" s="139"/>
      <c r="R521" s="139"/>
      <c r="S521" s="139"/>
      <c r="T521" s="139"/>
      <c r="U521" s="139"/>
      <c r="V521" s="139"/>
      <c r="W521" s="139"/>
      <c r="X521" s="139"/>
      <c r="Y521" s="139"/>
      <c r="Z521" s="139"/>
      <c r="AA521" s="139"/>
      <c r="AB521" s="139"/>
      <c r="AC521" s="139"/>
      <c r="AD521" s="139"/>
      <c r="AE521" s="139"/>
      <c r="AF521" s="139"/>
      <c r="AG521" s="139"/>
      <c r="AH521" s="139"/>
      <c r="AI521" s="139"/>
      <c r="AJ521" s="139"/>
    </row>
    <row r="522">
      <c r="A522" s="9"/>
      <c r="B522" s="139"/>
      <c r="C522" s="139"/>
      <c r="D522" s="139"/>
      <c r="E522" s="139"/>
      <c r="F522" s="139"/>
      <c r="G522" s="139"/>
      <c r="H522" s="139"/>
      <c r="I522" s="139"/>
      <c r="J522" s="139"/>
      <c r="K522" s="139"/>
      <c r="L522" s="139"/>
      <c r="M522" s="139"/>
      <c r="N522" s="139"/>
      <c r="O522" s="139"/>
      <c r="P522" s="139"/>
      <c r="Q522" s="139"/>
      <c r="R522" s="139"/>
      <c r="S522" s="139"/>
      <c r="T522" s="139"/>
      <c r="U522" s="139"/>
      <c r="V522" s="139"/>
      <c r="W522" s="139"/>
      <c r="X522" s="139"/>
      <c r="Y522" s="139"/>
      <c r="Z522" s="139"/>
      <c r="AA522" s="139"/>
      <c r="AB522" s="139"/>
      <c r="AC522" s="139"/>
      <c r="AD522" s="139"/>
      <c r="AE522" s="139"/>
      <c r="AF522" s="139"/>
      <c r="AG522" s="139"/>
      <c r="AH522" s="139"/>
      <c r="AI522" s="139"/>
      <c r="AJ522" s="139"/>
    </row>
    <row r="523">
      <c r="A523" s="9"/>
      <c r="B523" s="139"/>
      <c r="C523" s="139"/>
      <c r="D523" s="139"/>
      <c r="E523" s="139"/>
      <c r="F523" s="139"/>
      <c r="G523" s="139"/>
      <c r="H523" s="139"/>
      <c r="I523" s="139"/>
      <c r="J523" s="139"/>
      <c r="K523" s="139"/>
      <c r="L523" s="139"/>
      <c r="M523" s="139"/>
      <c r="N523" s="139"/>
      <c r="O523" s="139"/>
      <c r="P523" s="139"/>
      <c r="Q523" s="139"/>
      <c r="R523" s="139"/>
      <c r="S523" s="139"/>
      <c r="T523" s="139"/>
      <c r="U523" s="139"/>
      <c r="V523" s="139"/>
      <c r="W523" s="139"/>
      <c r="X523" s="139"/>
      <c r="Y523" s="139"/>
      <c r="Z523" s="139"/>
      <c r="AA523" s="139"/>
      <c r="AB523" s="139"/>
      <c r="AC523" s="139"/>
      <c r="AD523" s="139"/>
      <c r="AE523" s="139"/>
      <c r="AF523" s="139"/>
      <c r="AG523" s="139"/>
      <c r="AH523" s="139"/>
      <c r="AI523" s="139"/>
      <c r="AJ523" s="139"/>
    </row>
    <row r="524">
      <c r="A524" s="9"/>
      <c r="B524" s="139"/>
      <c r="C524" s="139"/>
      <c r="D524" s="139"/>
      <c r="E524" s="139"/>
      <c r="F524" s="139"/>
      <c r="G524" s="139"/>
      <c r="H524" s="139"/>
      <c r="I524" s="139"/>
      <c r="J524" s="139"/>
      <c r="K524" s="139"/>
      <c r="L524" s="139"/>
      <c r="M524" s="139"/>
      <c r="N524" s="139"/>
      <c r="O524" s="139"/>
      <c r="P524" s="139"/>
      <c r="Q524" s="139"/>
      <c r="R524" s="139"/>
      <c r="S524" s="139"/>
      <c r="T524" s="139"/>
      <c r="U524" s="139"/>
      <c r="V524" s="139"/>
      <c r="W524" s="139"/>
      <c r="X524" s="139"/>
      <c r="Y524" s="139"/>
      <c r="Z524" s="139"/>
      <c r="AA524" s="139"/>
      <c r="AB524" s="139"/>
      <c r="AC524" s="139"/>
      <c r="AD524" s="139"/>
      <c r="AE524" s="139"/>
      <c r="AF524" s="139"/>
      <c r="AG524" s="139"/>
      <c r="AH524" s="139"/>
      <c r="AI524" s="139"/>
      <c r="AJ524" s="139"/>
    </row>
    <row r="525">
      <c r="A525" s="9"/>
      <c r="B525" s="139"/>
      <c r="C525" s="139"/>
      <c r="D525" s="139"/>
      <c r="E525" s="139"/>
      <c r="F525" s="139"/>
      <c r="G525" s="139"/>
      <c r="H525" s="139"/>
      <c r="I525" s="139"/>
      <c r="J525" s="139"/>
      <c r="K525" s="139"/>
      <c r="L525" s="139"/>
      <c r="M525" s="139"/>
      <c r="N525" s="139"/>
      <c r="O525" s="139"/>
      <c r="P525" s="139"/>
      <c r="Q525" s="139"/>
      <c r="R525" s="139"/>
      <c r="S525" s="139"/>
      <c r="T525" s="139"/>
      <c r="U525" s="139"/>
      <c r="V525" s="139"/>
      <c r="W525" s="139"/>
      <c r="X525" s="139"/>
      <c r="Y525" s="139"/>
      <c r="Z525" s="139"/>
      <c r="AA525" s="139"/>
      <c r="AB525" s="139"/>
      <c r="AC525" s="139"/>
      <c r="AD525" s="139"/>
      <c r="AE525" s="139"/>
      <c r="AF525" s="139"/>
      <c r="AG525" s="139"/>
      <c r="AH525" s="139"/>
      <c r="AI525" s="139"/>
      <c r="AJ525" s="139"/>
    </row>
    <row r="526">
      <c r="A526" s="9"/>
      <c r="B526" s="139"/>
      <c r="C526" s="139"/>
      <c r="D526" s="139"/>
      <c r="E526" s="139"/>
      <c r="F526" s="139"/>
      <c r="G526" s="139"/>
      <c r="H526" s="139"/>
      <c r="I526" s="139"/>
      <c r="J526" s="139"/>
      <c r="K526" s="139"/>
      <c r="L526" s="139"/>
      <c r="M526" s="139"/>
      <c r="N526" s="139"/>
      <c r="O526" s="139"/>
      <c r="P526" s="139"/>
      <c r="Q526" s="139"/>
      <c r="R526" s="139"/>
      <c r="S526" s="139"/>
      <c r="T526" s="139"/>
      <c r="U526" s="139"/>
      <c r="V526" s="139"/>
      <c r="W526" s="139"/>
      <c r="X526" s="139"/>
      <c r="Y526" s="139"/>
      <c r="Z526" s="139"/>
      <c r="AA526" s="139"/>
      <c r="AB526" s="139"/>
      <c r="AC526" s="139"/>
      <c r="AD526" s="139"/>
      <c r="AE526" s="139"/>
      <c r="AF526" s="139"/>
      <c r="AG526" s="139"/>
      <c r="AH526" s="139"/>
      <c r="AI526" s="139"/>
      <c r="AJ526" s="139"/>
    </row>
    <row r="527">
      <c r="A527" s="9"/>
      <c r="B527" s="139"/>
      <c r="C527" s="139"/>
      <c r="D527" s="139"/>
      <c r="E527" s="139"/>
      <c r="F527" s="139"/>
      <c r="G527" s="139"/>
      <c r="H527" s="139"/>
      <c r="I527" s="139"/>
      <c r="J527" s="139"/>
      <c r="K527" s="139"/>
      <c r="L527" s="139"/>
      <c r="M527" s="139"/>
      <c r="N527" s="139"/>
      <c r="O527" s="139"/>
      <c r="P527" s="139"/>
      <c r="Q527" s="139"/>
      <c r="R527" s="139"/>
      <c r="S527" s="139"/>
      <c r="T527" s="139"/>
      <c r="U527" s="139"/>
      <c r="V527" s="139"/>
      <c r="W527" s="139"/>
      <c r="X527" s="139"/>
      <c r="Y527" s="139"/>
      <c r="Z527" s="139"/>
      <c r="AA527" s="139"/>
      <c r="AB527" s="139"/>
      <c r="AC527" s="139"/>
      <c r="AD527" s="139"/>
      <c r="AE527" s="139"/>
      <c r="AF527" s="139"/>
      <c r="AG527" s="139"/>
      <c r="AH527" s="139"/>
      <c r="AI527" s="139"/>
      <c r="AJ527" s="139"/>
    </row>
    <row r="528">
      <c r="A528" s="9"/>
      <c r="B528" s="139"/>
      <c r="C528" s="139"/>
      <c r="D528" s="139"/>
      <c r="E528" s="139"/>
      <c r="F528" s="139"/>
      <c r="G528" s="139"/>
      <c r="H528" s="139"/>
      <c r="I528" s="139"/>
      <c r="J528" s="139"/>
      <c r="K528" s="139"/>
      <c r="L528" s="139"/>
      <c r="M528" s="139"/>
      <c r="N528" s="139"/>
      <c r="O528" s="139"/>
      <c r="P528" s="139"/>
      <c r="Q528" s="139"/>
      <c r="R528" s="139"/>
      <c r="S528" s="139"/>
      <c r="T528" s="139"/>
      <c r="U528" s="139"/>
      <c r="V528" s="139"/>
      <c r="W528" s="139"/>
      <c r="X528" s="139"/>
      <c r="Y528" s="139"/>
      <c r="Z528" s="139"/>
      <c r="AA528" s="139"/>
      <c r="AB528" s="139"/>
      <c r="AC528" s="139"/>
      <c r="AD528" s="139"/>
      <c r="AE528" s="139"/>
      <c r="AF528" s="139"/>
      <c r="AG528" s="139"/>
      <c r="AH528" s="139"/>
      <c r="AI528" s="139"/>
      <c r="AJ528" s="139"/>
    </row>
    <row r="529">
      <c r="A529" s="9"/>
      <c r="B529" s="139"/>
      <c r="C529" s="139"/>
      <c r="D529" s="139"/>
      <c r="E529" s="139"/>
      <c r="F529" s="139"/>
      <c r="G529" s="139"/>
      <c r="H529" s="139"/>
      <c r="I529" s="139"/>
      <c r="J529" s="139"/>
      <c r="K529" s="139"/>
      <c r="L529" s="139"/>
      <c r="M529" s="139"/>
      <c r="N529" s="139"/>
      <c r="O529" s="139"/>
      <c r="P529" s="139"/>
      <c r="Q529" s="139"/>
      <c r="R529" s="139"/>
      <c r="S529" s="139"/>
      <c r="T529" s="139"/>
      <c r="U529" s="139"/>
      <c r="V529" s="139"/>
      <c r="W529" s="139"/>
      <c r="X529" s="139"/>
      <c r="Y529" s="139"/>
      <c r="Z529" s="139"/>
      <c r="AA529" s="139"/>
      <c r="AB529" s="139"/>
      <c r="AC529" s="139"/>
      <c r="AD529" s="139"/>
      <c r="AE529" s="139"/>
      <c r="AF529" s="139"/>
      <c r="AG529" s="139"/>
      <c r="AH529" s="139"/>
      <c r="AI529" s="139"/>
      <c r="AJ529" s="139"/>
    </row>
    <row r="530">
      <c r="A530" s="9"/>
      <c r="B530" s="139"/>
      <c r="C530" s="139"/>
      <c r="D530" s="139"/>
      <c r="E530" s="139"/>
      <c r="F530" s="139"/>
      <c r="G530" s="139"/>
      <c r="H530" s="139"/>
      <c r="I530" s="139"/>
      <c r="J530" s="139"/>
      <c r="K530" s="139"/>
      <c r="L530" s="139"/>
      <c r="M530" s="139"/>
      <c r="N530" s="139"/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39"/>
      <c r="AA530" s="139"/>
      <c r="AB530" s="139"/>
      <c r="AC530" s="139"/>
      <c r="AD530" s="139"/>
      <c r="AE530" s="139"/>
      <c r="AF530" s="139"/>
      <c r="AG530" s="139"/>
      <c r="AH530" s="139"/>
      <c r="AI530" s="139"/>
      <c r="AJ530" s="139"/>
    </row>
    <row r="531">
      <c r="A531" s="9"/>
      <c r="B531" s="139"/>
      <c r="C531" s="139"/>
      <c r="D531" s="139"/>
      <c r="E531" s="139"/>
      <c r="F531" s="139"/>
      <c r="G531" s="139"/>
      <c r="H531" s="139"/>
      <c r="I531" s="139"/>
      <c r="J531" s="139"/>
      <c r="K531" s="139"/>
      <c r="L531" s="139"/>
      <c r="M531" s="139"/>
      <c r="N531" s="139"/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39"/>
      <c r="AA531" s="139"/>
      <c r="AB531" s="139"/>
      <c r="AC531" s="139"/>
      <c r="AD531" s="139"/>
      <c r="AE531" s="139"/>
      <c r="AF531" s="139"/>
      <c r="AG531" s="139"/>
      <c r="AH531" s="139"/>
      <c r="AI531" s="139"/>
      <c r="AJ531" s="139"/>
    </row>
    <row r="532">
      <c r="A532" s="9"/>
      <c r="B532" s="139"/>
      <c r="C532" s="139"/>
      <c r="D532" s="139"/>
      <c r="E532" s="139"/>
      <c r="F532" s="139"/>
      <c r="G532" s="139"/>
      <c r="H532" s="139"/>
      <c r="I532" s="139"/>
      <c r="J532" s="139"/>
      <c r="K532" s="139"/>
      <c r="L532" s="139"/>
      <c r="M532" s="139"/>
      <c r="N532" s="139"/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39"/>
      <c r="Z532" s="139"/>
      <c r="AA532" s="139"/>
      <c r="AB532" s="139"/>
      <c r="AC532" s="139"/>
      <c r="AD532" s="139"/>
      <c r="AE532" s="139"/>
      <c r="AF532" s="139"/>
      <c r="AG532" s="139"/>
      <c r="AH532" s="139"/>
      <c r="AI532" s="139"/>
      <c r="AJ532" s="139"/>
    </row>
    <row r="533">
      <c r="A533" s="9"/>
      <c r="B533" s="139"/>
      <c r="C533" s="139"/>
      <c r="D533" s="139"/>
      <c r="E533" s="139"/>
      <c r="F533" s="139"/>
      <c r="G533" s="139"/>
      <c r="H533" s="139"/>
      <c r="I533" s="139"/>
      <c r="J533" s="139"/>
      <c r="K533" s="139"/>
      <c r="L533" s="139"/>
      <c r="M533" s="139"/>
      <c r="N533" s="139"/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39"/>
      <c r="Z533" s="139"/>
      <c r="AA533" s="139"/>
      <c r="AB533" s="139"/>
      <c r="AC533" s="139"/>
      <c r="AD533" s="139"/>
      <c r="AE533" s="139"/>
      <c r="AF533" s="139"/>
      <c r="AG533" s="139"/>
      <c r="AH533" s="139"/>
      <c r="AI533" s="139"/>
      <c r="AJ533" s="139"/>
    </row>
    <row r="534">
      <c r="A534" s="9"/>
      <c r="B534" s="139"/>
      <c r="C534" s="139"/>
      <c r="D534" s="139"/>
      <c r="E534" s="139"/>
      <c r="F534" s="139"/>
      <c r="G534" s="139"/>
      <c r="H534" s="139"/>
      <c r="I534" s="139"/>
      <c r="J534" s="139"/>
      <c r="K534" s="139"/>
      <c r="L534" s="139"/>
      <c r="M534" s="139"/>
      <c r="N534" s="139"/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39"/>
      <c r="AA534" s="139"/>
      <c r="AB534" s="139"/>
      <c r="AC534" s="139"/>
      <c r="AD534" s="139"/>
      <c r="AE534" s="139"/>
      <c r="AF534" s="139"/>
      <c r="AG534" s="139"/>
      <c r="AH534" s="139"/>
      <c r="AI534" s="139"/>
      <c r="AJ534" s="139"/>
    </row>
    <row r="535">
      <c r="A535" s="9"/>
      <c r="B535" s="139"/>
      <c r="C535" s="139"/>
      <c r="D535" s="139"/>
      <c r="E535" s="139"/>
      <c r="F535" s="139"/>
      <c r="G535" s="139"/>
      <c r="H535" s="139"/>
      <c r="I535" s="139"/>
      <c r="J535" s="139"/>
      <c r="K535" s="139"/>
      <c r="L535" s="139"/>
      <c r="M535" s="139"/>
      <c r="N535" s="139"/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39"/>
      <c r="Z535" s="139"/>
      <c r="AA535" s="139"/>
      <c r="AB535" s="139"/>
      <c r="AC535" s="139"/>
      <c r="AD535" s="139"/>
      <c r="AE535" s="139"/>
      <c r="AF535" s="139"/>
      <c r="AG535" s="139"/>
      <c r="AH535" s="139"/>
      <c r="AI535" s="139"/>
      <c r="AJ535" s="139"/>
    </row>
    <row r="536">
      <c r="A536" s="9"/>
      <c r="B536" s="139"/>
      <c r="C536" s="139"/>
      <c r="D536" s="139"/>
      <c r="E536" s="139"/>
      <c r="F536" s="139"/>
      <c r="G536" s="139"/>
      <c r="H536" s="139"/>
      <c r="I536" s="139"/>
      <c r="J536" s="139"/>
      <c r="K536" s="139"/>
      <c r="L536" s="139"/>
      <c r="M536" s="139"/>
      <c r="N536" s="139"/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39"/>
      <c r="Z536" s="139"/>
      <c r="AA536" s="139"/>
      <c r="AB536" s="139"/>
      <c r="AC536" s="139"/>
      <c r="AD536" s="139"/>
      <c r="AE536" s="139"/>
      <c r="AF536" s="139"/>
      <c r="AG536" s="139"/>
      <c r="AH536" s="139"/>
      <c r="AI536" s="139"/>
      <c r="AJ536" s="139"/>
    </row>
    <row r="537">
      <c r="A537" s="9"/>
      <c r="B537" s="139"/>
      <c r="C537" s="139"/>
      <c r="D537" s="139"/>
      <c r="E537" s="139"/>
      <c r="F537" s="139"/>
      <c r="G537" s="139"/>
      <c r="H537" s="139"/>
      <c r="I537" s="139"/>
      <c r="J537" s="139"/>
      <c r="K537" s="139"/>
      <c r="L537" s="139"/>
      <c r="M537" s="139"/>
      <c r="N537" s="139"/>
      <c r="O537" s="139"/>
      <c r="P537" s="139"/>
      <c r="Q537" s="139"/>
      <c r="R537" s="139"/>
      <c r="S537" s="139"/>
      <c r="T537" s="139"/>
      <c r="U537" s="139"/>
      <c r="V537" s="139"/>
      <c r="W537" s="139"/>
      <c r="X537" s="139"/>
      <c r="Y537" s="139"/>
      <c r="Z537" s="139"/>
      <c r="AA537" s="139"/>
      <c r="AB537" s="139"/>
      <c r="AC537" s="139"/>
      <c r="AD537" s="139"/>
      <c r="AE537" s="139"/>
      <c r="AF537" s="139"/>
      <c r="AG537" s="139"/>
      <c r="AH537" s="139"/>
      <c r="AI537" s="139"/>
      <c r="AJ537" s="139"/>
    </row>
    <row r="538">
      <c r="A538" s="9"/>
      <c r="B538" s="139"/>
      <c r="C538" s="139"/>
      <c r="D538" s="139"/>
      <c r="E538" s="139"/>
      <c r="F538" s="139"/>
      <c r="G538" s="139"/>
      <c r="H538" s="139"/>
      <c r="I538" s="139"/>
      <c r="J538" s="139"/>
      <c r="K538" s="139"/>
      <c r="L538" s="139"/>
      <c r="M538" s="139"/>
      <c r="N538" s="139"/>
      <c r="O538" s="139"/>
      <c r="P538" s="139"/>
      <c r="Q538" s="139"/>
      <c r="R538" s="139"/>
      <c r="S538" s="139"/>
      <c r="T538" s="139"/>
      <c r="U538" s="139"/>
      <c r="V538" s="139"/>
      <c r="W538" s="139"/>
      <c r="X538" s="139"/>
      <c r="Y538" s="139"/>
      <c r="Z538" s="139"/>
      <c r="AA538" s="139"/>
      <c r="AB538" s="139"/>
      <c r="AC538" s="139"/>
      <c r="AD538" s="139"/>
      <c r="AE538" s="139"/>
      <c r="AF538" s="139"/>
      <c r="AG538" s="139"/>
      <c r="AH538" s="139"/>
      <c r="AI538" s="139"/>
      <c r="AJ538" s="139"/>
    </row>
    <row r="539">
      <c r="A539" s="9"/>
      <c r="B539" s="139"/>
      <c r="C539" s="139"/>
      <c r="D539" s="139"/>
      <c r="E539" s="139"/>
      <c r="F539" s="139"/>
      <c r="G539" s="139"/>
      <c r="H539" s="139"/>
      <c r="I539" s="139"/>
      <c r="J539" s="139"/>
      <c r="K539" s="139"/>
      <c r="L539" s="139"/>
      <c r="M539" s="139"/>
      <c r="N539" s="139"/>
      <c r="O539" s="139"/>
      <c r="P539" s="139"/>
      <c r="Q539" s="139"/>
      <c r="R539" s="139"/>
      <c r="S539" s="139"/>
      <c r="T539" s="139"/>
      <c r="U539" s="139"/>
      <c r="V539" s="139"/>
      <c r="W539" s="139"/>
      <c r="X539" s="139"/>
      <c r="Y539" s="139"/>
      <c r="Z539" s="139"/>
      <c r="AA539" s="139"/>
      <c r="AB539" s="139"/>
      <c r="AC539" s="139"/>
      <c r="AD539" s="139"/>
      <c r="AE539" s="139"/>
      <c r="AF539" s="139"/>
      <c r="AG539" s="139"/>
      <c r="AH539" s="139"/>
      <c r="AI539" s="139"/>
      <c r="AJ539" s="139"/>
    </row>
    <row r="540">
      <c r="A540" s="9"/>
      <c r="B540" s="139"/>
      <c r="C540" s="139"/>
      <c r="D540" s="139"/>
      <c r="E540" s="139"/>
      <c r="F540" s="139"/>
      <c r="G540" s="139"/>
      <c r="H540" s="139"/>
      <c r="I540" s="139"/>
      <c r="J540" s="139"/>
      <c r="K540" s="139"/>
      <c r="L540" s="139"/>
      <c r="M540" s="139"/>
      <c r="N540" s="139"/>
      <c r="O540" s="139"/>
      <c r="P540" s="139"/>
      <c r="Q540" s="139"/>
      <c r="R540" s="139"/>
      <c r="S540" s="139"/>
      <c r="T540" s="139"/>
      <c r="U540" s="139"/>
      <c r="V540" s="139"/>
      <c r="W540" s="139"/>
      <c r="X540" s="139"/>
      <c r="Y540" s="139"/>
      <c r="Z540" s="139"/>
      <c r="AA540" s="139"/>
      <c r="AB540" s="139"/>
      <c r="AC540" s="139"/>
      <c r="AD540" s="139"/>
      <c r="AE540" s="139"/>
      <c r="AF540" s="139"/>
      <c r="AG540" s="139"/>
      <c r="AH540" s="139"/>
      <c r="AI540" s="139"/>
      <c r="AJ540" s="139"/>
    </row>
    <row r="541">
      <c r="A541" s="9"/>
      <c r="B541" s="139"/>
      <c r="C541" s="139"/>
      <c r="D541" s="139"/>
      <c r="E541" s="139"/>
      <c r="F541" s="139"/>
      <c r="G541" s="139"/>
      <c r="H541" s="139"/>
      <c r="I541" s="139"/>
      <c r="J541" s="139"/>
      <c r="K541" s="139"/>
      <c r="L541" s="139"/>
      <c r="M541" s="139"/>
      <c r="N541" s="139"/>
      <c r="O541" s="139"/>
      <c r="P541" s="139"/>
      <c r="Q541" s="139"/>
      <c r="R541" s="139"/>
      <c r="S541" s="139"/>
      <c r="T541" s="139"/>
      <c r="U541" s="139"/>
      <c r="V541" s="139"/>
      <c r="W541" s="139"/>
      <c r="X541" s="139"/>
      <c r="Y541" s="139"/>
      <c r="Z541" s="139"/>
      <c r="AA541" s="139"/>
      <c r="AB541" s="139"/>
      <c r="AC541" s="139"/>
      <c r="AD541" s="139"/>
      <c r="AE541" s="139"/>
      <c r="AF541" s="139"/>
      <c r="AG541" s="139"/>
      <c r="AH541" s="139"/>
      <c r="AI541" s="139"/>
      <c r="AJ541" s="139"/>
    </row>
    <row r="542">
      <c r="A542" s="9"/>
      <c r="B542" s="139"/>
      <c r="C542" s="139"/>
      <c r="D542" s="139"/>
      <c r="E542" s="139"/>
      <c r="F542" s="139"/>
      <c r="G542" s="139"/>
      <c r="H542" s="139"/>
      <c r="I542" s="139"/>
      <c r="J542" s="139"/>
      <c r="K542" s="139"/>
      <c r="L542" s="139"/>
      <c r="M542" s="139"/>
      <c r="N542" s="139"/>
      <c r="O542" s="139"/>
      <c r="P542" s="139"/>
      <c r="Q542" s="139"/>
      <c r="R542" s="139"/>
      <c r="S542" s="139"/>
      <c r="T542" s="139"/>
      <c r="U542" s="139"/>
      <c r="V542" s="139"/>
      <c r="W542" s="139"/>
      <c r="X542" s="139"/>
      <c r="Y542" s="139"/>
      <c r="Z542" s="139"/>
      <c r="AA542" s="139"/>
      <c r="AB542" s="139"/>
      <c r="AC542" s="139"/>
      <c r="AD542" s="139"/>
      <c r="AE542" s="139"/>
      <c r="AF542" s="139"/>
      <c r="AG542" s="139"/>
      <c r="AH542" s="139"/>
      <c r="AI542" s="139"/>
      <c r="AJ542" s="139"/>
    </row>
    <row r="543">
      <c r="A543" s="9"/>
      <c r="B543" s="139"/>
      <c r="C543" s="139"/>
      <c r="D543" s="139"/>
      <c r="E543" s="139"/>
      <c r="F543" s="139"/>
      <c r="G543" s="139"/>
      <c r="H543" s="139"/>
      <c r="I543" s="139"/>
      <c r="J543" s="139"/>
      <c r="K543" s="139"/>
      <c r="L543" s="139"/>
      <c r="M543" s="139"/>
      <c r="N543" s="139"/>
      <c r="O543" s="139"/>
      <c r="P543" s="139"/>
      <c r="Q543" s="139"/>
      <c r="R543" s="139"/>
      <c r="S543" s="139"/>
      <c r="T543" s="139"/>
      <c r="U543" s="139"/>
      <c r="V543" s="139"/>
      <c r="W543" s="139"/>
      <c r="X543" s="139"/>
      <c r="Y543" s="139"/>
      <c r="Z543" s="139"/>
      <c r="AA543" s="139"/>
      <c r="AB543" s="139"/>
      <c r="AC543" s="139"/>
      <c r="AD543" s="139"/>
      <c r="AE543" s="139"/>
      <c r="AF543" s="139"/>
      <c r="AG543" s="139"/>
      <c r="AH543" s="139"/>
      <c r="AI543" s="139"/>
      <c r="AJ543" s="139"/>
    </row>
    <row r="544">
      <c r="A544" s="9"/>
      <c r="B544" s="139"/>
      <c r="C544" s="139"/>
      <c r="D544" s="139"/>
      <c r="E544" s="139"/>
      <c r="F544" s="139"/>
      <c r="G544" s="139"/>
      <c r="H544" s="139"/>
      <c r="I544" s="139"/>
      <c r="J544" s="139"/>
      <c r="K544" s="139"/>
      <c r="L544" s="139"/>
      <c r="M544" s="139"/>
      <c r="N544" s="139"/>
      <c r="O544" s="139"/>
      <c r="P544" s="139"/>
      <c r="Q544" s="139"/>
      <c r="R544" s="139"/>
      <c r="S544" s="139"/>
      <c r="T544" s="139"/>
      <c r="U544" s="139"/>
      <c r="V544" s="139"/>
      <c r="W544" s="139"/>
      <c r="X544" s="139"/>
      <c r="Y544" s="139"/>
      <c r="Z544" s="139"/>
      <c r="AA544" s="139"/>
      <c r="AB544" s="139"/>
      <c r="AC544" s="139"/>
      <c r="AD544" s="139"/>
      <c r="AE544" s="139"/>
      <c r="AF544" s="139"/>
      <c r="AG544" s="139"/>
      <c r="AH544" s="139"/>
      <c r="AI544" s="139"/>
      <c r="AJ544" s="139"/>
    </row>
    <row r="545">
      <c r="A545" s="9"/>
      <c r="B545" s="139"/>
      <c r="C545" s="139"/>
      <c r="D545" s="139"/>
      <c r="E545" s="139"/>
      <c r="F545" s="139"/>
      <c r="G545" s="139"/>
      <c r="H545" s="139"/>
      <c r="I545" s="139"/>
      <c r="J545" s="139"/>
      <c r="K545" s="139"/>
      <c r="L545" s="139"/>
      <c r="M545" s="139"/>
      <c r="N545" s="139"/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39"/>
      <c r="AA545" s="139"/>
      <c r="AB545" s="139"/>
      <c r="AC545" s="139"/>
      <c r="AD545" s="139"/>
      <c r="AE545" s="139"/>
      <c r="AF545" s="139"/>
      <c r="AG545" s="139"/>
      <c r="AH545" s="139"/>
      <c r="AI545" s="139"/>
      <c r="AJ545" s="139"/>
    </row>
    <row r="546">
      <c r="A546" s="9"/>
      <c r="B546" s="139"/>
      <c r="C546" s="139"/>
      <c r="D546" s="139"/>
      <c r="E546" s="139"/>
      <c r="F546" s="139"/>
      <c r="G546" s="139"/>
      <c r="H546" s="139"/>
      <c r="I546" s="139"/>
      <c r="J546" s="139"/>
      <c r="K546" s="139"/>
      <c r="L546" s="139"/>
      <c r="M546" s="139"/>
      <c r="N546" s="139"/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39"/>
      <c r="Z546" s="139"/>
      <c r="AA546" s="139"/>
      <c r="AB546" s="139"/>
      <c r="AC546" s="139"/>
      <c r="AD546" s="139"/>
      <c r="AE546" s="139"/>
      <c r="AF546" s="139"/>
      <c r="AG546" s="139"/>
      <c r="AH546" s="139"/>
      <c r="AI546" s="139"/>
      <c r="AJ546" s="139"/>
    </row>
    <row r="547">
      <c r="A547" s="9"/>
      <c r="B547" s="139"/>
      <c r="C547" s="139"/>
      <c r="D547" s="139"/>
      <c r="E547" s="139"/>
      <c r="F547" s="139"/>
      <c r="G547" s="139"/>
      <c r="H547" s="139"/>
      <c r="I547" s="139"/>
      <c r="J547" s="139"/>
      <c r="K547" s="139"/>
      <c r="L547" s="139"/>
      <c r="M547" s="139"/>
      <c r="N547" s="139"/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39"/>
      <c r="Z547" s="139"/>
      <c r="AA547" s="139"/>
      <c r="AB547" s="139"/>
      <c r="AC547" s="139"/>
      <c r="AD547" s="139"/>
      <c r="AE547" s="139"/>
      <c r="AF547" s="139"/>
      <c r="AG547" s="139"/>
      <c r="AH547" s="139"/>
      <c r="AI547" s="139"/>
      <c r="AJ547" s="139"/>
    </row>
    <row r="548">
      <c r="A548" s="9"/>
      <c r="B548" s="139"/>
      <c r="C548" s="139"/>
      <c r="D548" s="139"/>
      <c r="E548" s="139"/>
      <c r="F548" s="139"/>
      <c r="G548" s="139"/>
      <c r="H548" s="139"/>
      <c r="I548" s="139"/>
      <c r="J548" s="139"/>
      <c r="K548" s="139"/>
      <c r="L548" s="139"/>
      <c r="M548" s="139"/>
      <c r="N548" s="139"/>
      <c r="O548" s="139"/>
      <c r="P548" s="139"/>
      <c r="Q548" s="139"/>
      <c r="R548" s="139"/>
      <c r="S548" s="139"/>
      <c r="T548" s="139"/>
      <c r="U548" s="139"/>
      <c r="V548" s="139"/>
      <c r="W548" s="139"/>
      <c r="X548" s="139"/>
      <c r="Y548" s="139"/>
      <c r="Z548" s="139"/>
      <c r="AA548" s="139"/>
      <c r="AB548" s="139"/>
      <c r="AC548" s="139"/>
      <c r="AD548" s="139"/>
      <c r="AE548" s="139"/>
      <c r="AF548" s="139"/>
      <c r="AG548" s="139"/>
      <c r="AH548" s="139"/>
      <c r="AI548" s="139"/>
      <c r="AJ548" s="139"/>
    </row>
    <row r="549">
      <c r="A549" s="9"/>
      <c r="B549" s="139"/>
      <c r="C549" s="139"/>
      <c r="D549" s="139"/>
      <c r="E549" s="139"/>
      <c r="F549" s="139"/>
      <c r="G549" s="139"/>
      <c r="H549" s="139"/>
      <c r="I549" s="139"/>
      <c r="J549" s="139"/>
      <c r="K549" s="139"/>
      <c r="L549" s="139"/>
      <c r="M549" s="139"/>
      <c r="N549" s="139"/>
      <c r="O549" s="139"/>
      <c r="P549" s="139"/>
      <c r="Q549" s="139"/>
      <c r="R549" s="139"/>
      <c r="S549" s="139"/>
      <c r="T549" s="139"/>
      <c r="U549" s="139"/>
      <c r="V549" s="139"/>
      <c r="W549" s="139"/>
      <c r="X549" s="139"/>
      <c r="Y549" s="139"/>
      <c r="Z549" s="139"/>
      <c r="AA549" s="139"/>
      <c r="AB549" s="139"/>
      <c r="AC549" s="139"/>
      <c r="AD549" s="139"/>
      <c r="AE549" s="139"/>
      <c r="AF549" s="139"/>
      <c r="AG549" s="139"/>
      <c r="AH549" s="139"/>
      <c r="AI549" s="139"/>
      <c r="AJ549" s="139"/>
    </row>
    <row r="550">
      <c r="A550" s="9"/>
      <c r="B550" s="139"/>
      <c r="C550" s="139"/>
      <c r="D550" s="139"/>
      <c r="E550" s="139"/>
      <c r="F550" s="139"/>
      <c r="G550" s="139"/>
      <c r="H550" s="139"/>
      <c r="I550" s="139"/>
      <c r="J550" s="139"/>
      <c r="K550" s="139"/>
      <c r="L550" s="139"/>
      <c r="M550" s="139"/>
      <c r="N550" s="139"/>
      <c r="O550" s="139"/>
      <c r="P550" s="139"/>
      <c r="Q550" s="139"/>
      <c r="R550" s="139"/>
      <c r="S550" s="139"/>
      <c r="T550" s="139"/>
      <c r="U550" s="139"/>
      <c r="V550" s="139"/>
      <c r="W550" s="139"/>
      <c r="X550" s="139"/>
      <c r="Y550" s="139"/>
      <c r="Z550" s="139"/>
      <c r="AA550" s="139"/>
      <c r="AB550" s="139"/>
      <c r="AC550" s="139"/>
      <c r="AD550" s="139"/>
      <c r="AE550" s="139"/>
      <c r="AF550" s="139"/>
      <c r="AG550" s="139"/>
      <c r="AH550" s="139"/>
      <c r="AI550" s="139"/>
      <c r="AJ550" s="139"/>
    </row>
    <row r="551">
      <c r="A551" s="9"/>
      <c r="B551" s="139"/>
      <c r="C551" s="139"/>
      <c r="D551" s="139"/>
      <c r="E551" s="139"/>
      <c r="F551" s="139"/>
      <c r="G551" s="139"/>
      <c r="H551" s="139"/>
      <c r="I551" s="139"/>
      <c r="J551" s="139"/>
      <c r="K551" s="139"/>
      <c r="L551" s="139"/>
      <c r="M551" s="139"/>
      <c r="N551" s="139"/>
      <c r="O551" s="139"/>
      <c r="P551" s="139"/>
      <c r="Q551" s="139"/>
      <c r="R551" s="139"/>
      <c r="S551" s="139"/>
      <c r="T551" s="139"/>
      <c r="U551" s="139"/>
      <c r="V551" s="139"/>
      <c r="W551" s="139"/>
      <c r="X551" s="139"/>
      <c r="Y551" s="139"/>
      <c r="Z551" s="139"/>
      <c r="AA551" s="139"/>
      <c r="AB551" s="139"/>
      <c r="AC551" s="139"/>
      <c r="AD551" s="139"/>
      <c r="AE551" s="139"/>
      <c r="AF551" s="139"/>
      <c r="AG551" s="139"/>
      <c r="AH551" s="139"/>
      <c r="AI551" s="139"/>
      <c r="AJ551" s="139"/>
    </row>
    <row r="552">
      <c r="A552" s="9"/>
      <c r="B552" s="139"/>
      <c r="C552" s="139"/>
      <c r="D552" s="139"/>
      <c r="E552" s="139"/>
      <c r="F552" s="139"/>
      <c r="G552" s="139"/>
      <c r="H552" s="139"/>
      <c r="I552" s="139"/>
      <c r="J552" s="139"/>
      <c r="K552" s="139"/>
      <c r="L552" s="139"/>
      <c r="M552" s="139"/>
      <c r="N552" s="139"/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39"/>
      <c r="AA552" s="139"/>
      <c r="AB552" s="139"/>
      <c r="AC552" s="139"/>
      <c r="AD552" s="139"/>
      <c r="AE552" s="139"/>
      <c r="AF552" s="139"/>
      <c r="AG552" s="139"/>
      <c r="AH552" s="139"/>
      <c r="AI552" s="139"/>
      <c r="AJ552" s="139"/>
    </row>
    <row r="553">
      <c r="A553" s="9"/>
      <c r="B553" s="139"/>
      <c r="C553" s="139"/>
      <c r="D553" s="139"/>
      <c r="E553" s="139"/>
      <c r="F553" s="139"/>
      <c r="G553" s="139"/>
      <c r="H553" s="139"/>
      <c r="I553" s="139"/>
      <c r="J553" s="139"/>
      <c r="K553" s="139"/>
      <c r="L553" s="139"/>
      <c r="M553" s="139"/>
      <c r="N553" s="139"/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39"/>
      <c r="Z553" s="139"/>
      <c r="AA553" s="139"/>
      <c r="AB553" s="139"/>
      <c r="AC553" s="139"/>
      <c r="AD553" s="139"/>
      <c r="AE553" s="139"/>
      <c r="AF553" s="139"/>
      <c r="AG553" s="139"/>
      <c r="AH553" s="139"/>
      <c r="AI553" s="139"/>
      <c r="AJ553" s="139"/>
    </row>
    <row r="554">
      <c r="A554" s="9"/>
      <c r="B554" s="139"/>
      <c r="C554" s="139"/>
      <c r="D554" s="139"/>
      <c r="E554" s="139"/>
      <c r="F554" s="139"/>
      <c r="G554" s="139"/>
      <c r="H554" s="139"/>
      <c r="I554" s="139"/>
      <c r="J554" s="139"/>
      <c r="K554" s="139"/>
      <c r="L554" s="139"/>
      <c r="M554" s="139"/>
      <c r="N554" s="139"/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39"/>
      <c r="Z554" s="139"/>
      <c r="AA554" s="139"/>
      <c r="AB554" s="139"/>
      <c r="AC554" s="139"/>
      <c r="AD554" s="139"/>
      <c r="AE554" s="139"/>
      <c r="AF554" s="139"/>
      <c r="AG554" s="139"/>
      <c r="AH554" s="139"/>
      <c r="AI554" s="139"/>
      <c r="AJ554" s="139"/>
    </row>
    <row r="555">
      <c r="A555" s="9"/>
      <c r="B555" s="139"/>
      <c r="C555" s="139"/>
      <c r="D555" s="139"/>
      <c r="E555" s="139"/>
      <c r="F555" s="139"/>
      <c r="G555" s="139"/>
      <c r="H555" s="139"/>
      <c r="I555" s="139"/>
      <c r="J555" s="139"/>
      <c r="K555" s="139"/>
      <c r="L555" s="139"/>
      <c r="M555" s="139"/>
      <c r="N555" s="139"/>
      <c r="O555" s="139"/>
      <c r="P555" s="139"/>
      <c r="Q555" s="139"/>
      <c r="R555" s="139"/>
      <c r="S555" s="139"/>
      <c r="T555" s="139"/>
      <c r="U555" s="139"/>
      <c r="V555" s="139"/>
      <c r="W555" s="139"/>
      <c r="X555" s="139"/>
      <c r="Y555" s="139"/>
      <c r="Z555" s="139"/>
      <c r="AA555" s="139"/>
      <c r="AB555" s="139"/>
      <c r="AC555" s="139"/>
      <c r="AD555" s="139"/>
      <c r="AE555" s="139"/>
      <c r="AF555" s="139"/>
      <c r="AG555" s="139"/>
      <c r="AH555" s="139"/>
      <c r="AI555" s="139"/>
      <c r="AJ555" s="139"/>
    </row>
    <row r="556">
      <c r="A556" s="9"/>
      <c r="B556" s="139"/>
      <c r="C556" s="139"/>
      <c r="D556" s="139"/>
      <c r="E556" s="139"/>
      <c r="F556" s="139"/>
      <c r="G556" s="139"/>
      <c r="H556" s="139"/>
      <c r="I556" s="139"/>
      <c r="J556" s="139"/>
      <c r="K556" s="139"/>
      <c r="L556" s="139"/>
      <c r="M556" s="139"/>
      <c r="N556" s="139"/>
      <c r="O556" s="139"/>
      <c r="P556" s="139"/>
      <c r="Q556" s="139"/>
      <c r="R556" s="139"/>
      <c r="S556" s="139"/>
      <c r="T556" s="139"/>
      <c r="U556" s="139"/>
      <c r="V556" s="139"/>
      <c r="W556" s="139"/>
      <c r="X556" s="139"/>
      <c r="Y556" s="139"/>
      <c r="Z556" s="139"/>
      <c r="AA556" s="139"/>
      <c r="AB556" s="139"/>
      <c r="AC556" s="139"/>
      <c r="AD556" s="139"/>
      <c r="AE556" s="139"/>
      <c r="AF556" s="139"/>
      <c r="AG556" s="139"/>
      <c r="AH556" s="139"/>
      <c r="AI556" s="139"/>
      <c r="AJ556" s="139"/>
    </row>
    <row r="557">
      <c r="A557" s="9"/>
      <c r="B557" s="139"/>
      <c r="C557" s="139"/>
      <c r="D557" s="139"/>
      <c r="E557" s="139"/>
      <c r="F557" s="139"/>
      <c r="G557" s="139"/>
      <c r="H557" s="139"/>
      <c r="I557" s="139"/>
      <c r="J557" s="139"/>
      <c r="K557" s="139"/>
      <c r="L557" s="139"/>
      <c r="M557" s="139"/>
      <c r="N557" s="139"/>
      <c r="O557" s="139"/>
      <c r="P557" s="139"/>
      <c r="Q557" s="139"/>
      <c r="R557" s="139"/>
      <c r="S557" s="139"/>
      <c r="T557" s="139"/>
      <c r="U557" s="139"/>
      <c r="V557" s="139"/>
      <c r="W557" s="139"/>
      <c r="X557" s="139"/>
      <c r="Y557" s="139"/>
      <c r="Z557" s="139"/>
      <c r="AA557" s="139"/>
      <c r="AB557" s="139"/>
      <c r="AC557" s="139"/>
      <c r="AD557" s="139"/>
      <c r="AE557" s="139"/>
      <c r="AF557" s="139"/>
      <c r="AG557" s="139"/>
      <c r="AH557" s="139"/>
      <c r="AI557" s="139"/>
      <c r="AJ557" s="139"/>
    </row>
    <row r="558">
      <c r="A558" s="9"/>
      <c r="B558" s="139"/>
      <c r="C558" s="139"/>
      <c r="D558" s="139"/>
      <c r="E558" s="139"/>
      <c r="F558" s="139"/>
      <c r="G558" s="139"/>
      <c r="H558" s="139"/>
      <c r="I558" s="139"/>
      <c r="J558" s="139"/>
      <c r="K558" s="139"/>
      <c r="L558" s="139"/>
      <c r="M558" s="139"/>
      <c r="N558" s="139"/>
      <c r="O558" s="139"/>
      <c r="P558" s="139"/>
      <c r="Q558" s="139"/>
      <c r="R558" s="139"/>
      <c r="S558" s="139"/>
      <c r="T558" s="139"/>
      <c r="U558" s="139"/>
      <c r="V558" s="139"/>
      <c r="W558" s="139"/>
      <c r="X558" s="139"/>
      <c r="Y558" s="139"/>
      <c r="Z558" s="139"/>
      <c r="AA558" s="139"/>
      <c r="AB558" s="139"/>
      <c r="AC558" s="139"/>
      <c r="AD558" s="139"/>
      <c r="AE558" s="139"/>
      <c r="AF558" s="139"/>
      <c r="AG558" s="139"/>
      <c r="AH558" s="139"/>
      <c r="AI558" s="139"/>
      <c r="AJ558" s="139"/>
    </row>
    <row r="559">
      <c r="A559" s="9"/>
      <c r="B559" s="139"/>
      <c r="C559" s="139"/>
      <c r="D559" s="139"/>
      <c r="E559" s="139"/>
      <c r="F559" s="139"/>
      <c r="G559" s="139"/>
      <c r="H559" s="139"/>
      <c r="I559" s="139"/>
      <c r="J559" s="139"/>
      <c r="K559" s="139"/>
      <c r="L559" s="139"/>
      <c r="M559" s="139"/>
      <c r="N559" s="139"/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39"/>
      <c r="AA559" s="139"/>
      <c r="AB559" s="139"/>
      <c r="AC559" s="139"/>
      <c r="AD559" s="139"/>
      <c r="AE559" s="139"/>
      <c r="AF559" s="139"/>
      <c r="AG559" s="139"/>
      <c r="AH559" s="139"/>
      <c r="AI559" s="139"/>
      <c r="AJ559" s="139"/>
    </row>
    <row r="560">
      <c r="A560" s="9"/>
      <c r="B560" s="139"/>
      <c r="C560" s="139"/>
      <c r="D560" s="139"/>
      <c r="E560" s="139"/>
      <c r="F560" s="139"/>
      <c r="G560" s="139"/>
      <c r="H560" s="139"/>
      <c r="I560" s="139"/>
      <c r="J560" s="139"/>
      <c r="K560" s="139"/>
      <c r="L560" s="139"/>
      <c r="M560" s="139"/>
      <c r="N560" s="139"/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39"/>
      <c r="Z560" s="139"/>
      <c r="AA560" s="139"/>
      <c r="AB560" s="139"/>
      <c r="AC560" s="139"/>
      <c r="AD560" s="139"/>
      <c r="AE560" s="139"/>
      <c r="AF560" s="139"/>
      <c r="AG560" s="139"/>
      <c r="AH560" s="139"/>
      <c r="AI560" s="139"/>
      <c r="AJ560" s="139"/>
    </row>
    <row r="561">
      <c r="A561" s="9"/>
      <c r="B561" s="139"/>
      <c r="C561" s="139"/>
      <c r="D561" s="139"/>
      <c r="E561" s="139"/>
      <c r="F561" s="139"/>
      <c r="G561" s="139"/>
      <c r="H561" s="139"/>
      <c r="I561" s="139"/>
      <c r="J561" s="139"/>
      <c r="K561" s="139"/>
      <c r="L561" s="139"/>
      <c r="M561" s="139"/>
      <c r="N561" s="139"/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39"/>
      <c r="Z561" s="139"/>
      <c r="AA561" s="139"/>
      <c r="AB561" s="139"/>
      <c r="AC561" s="139"/>
      <c r="AD561" s="139"/>
      <c r="AE561" s="139"/>
      <c r="AF561" s="139"/>
      <c r="AG561" s="139"/>
      <c r="AH561" s="139"/>
      <c r="AI561" s="139"/>
      <c r="AJ561" s="139"/>
    </row>
    <row r="562">
      <c r="A562" s="9"/>
      <c r="B562" s="139"/>
      <c r="C562" s="139"/>
      <c r="D562" s="139"/>
      <c r="E562" s="139"/>
      <c r="F562" s="139"/>
      <c r="G562" s="139"/>
      <c r="H562" s="139"/>
      <c r="I562" s="139"/>
      <c r="J562" s="139"/>
      <c r="K562" s="139"/>
      <c r="L562" s="139"/>
      <c r="M562" s="139"/>
      <c r="N562" s="139"/>
      <c r="O562" s="139"/>
      <c r="P562" s="139"/>
      <c r="Q562" s="139"/>
      <c r="R562" s="139"/>
      <c r="S562" s="139"/>
      <c r="T562" s="139"/>
      <c r="U562" s="139"/>
      <c r="V562" s="139"/>
      <c r="W562" s="139"/>
      <c r="X562" s="139"/>
      <c r="Y562" s="139"/>
      <c r="Z562" s="139"/>
      <c r="AA562" s="139"/>
      <c r="AB562" s="139"/>
      <c r="AC562" s="139"/>
      <c r="AD562" s="139"/>
      <c r="AE562" s="139"/>
      <c r="AF562" s="139"/>
      <c r="AG562" s="139"/>
      <c r="AH562" s="139"/>
      <c r="AI562" s="139"/>
      <c r="AJ562" s="139"/>
    </row>
    <row r="563">
      <c r="A563" s="9"/>
      <c r="B563" s="139"/>
      <c r="C563" s="139"/>
      <c r="D563" s="139"/>
      <c r="E563" s="139"/>
      <c r="F563" s="139"/>
      <c r="G563" s="139"/>
      <c r="H563" s="139"/>
      <c r="I563" s="139"/>
      <c r="J563" s="139"/>
      <c r="K563" s="139"/>
      <c r="L563" s="139"/>
      <c r="M563" s="139"/>
      <c r="N563" s="139"/>
      <c r="O563" s="139"/>
      <c r="P563" s="139"/>
      <c r="Q563" s="139"/>
      <c r="R563" s="139"/>
      <c r="S563" s="139"/>
      <c r="T563" s="139"/>
      <c r="U563" s="139"/>
      <c r="V563" s="139"/>
      <c r="W563" s="139"/>
      <c r="X563" s="139"/>
      <c r="Y563" s="139"/>
      <c r="Z563" s="139"/>
      <c r="AA563" s="139"/>
      <c r="AB563" s="139"/>
      <c r="AC563" s="139"/>
      <c r="AD563" s="139"/>
      <c r="AE563" s="139"/>
      <c r="AF563" s="139"/>
      <c r="AG563" s="139"/>
      <c r="AH563" s="139"/>
      <c r="AI563" s="139"/>
      <c r="AJ563" s="139"/>
    </row>
    <row r="564">
      <c r="A564" s="9"/>
      <c r="B564" s="139"/>
      <c r="C564" s="139"/>
      <c r="D564" s="139"/>
      <c r="E564" s="139"/>
      <c r="F564" s="139"/>
      <c r="G564" s="139"/>
      <c r="H564" s="139"/>
      <c r="I564" s="139"/>
      <c r="J564" s="139"/>
      <c r="K564" s="139"/>
      <c r="L564" s="139"/>
      <c r="M564" s="139"/>
      <c r="N564" s="139"/>
      <c r="O564" s="139"/>
      <c r="P564" s="139"/>
      <c r="Q564" s="139"/>
      <c r="R564" s="139"/>
      <c r="S564" s="139"/>
      <c r="T564" s="139"/>
      <c r="U564" s="139"/>
      <c r="V564" s="139"/>
      <c r="W564" s="139"/>
      <c r="X564" s="139"/>
      <c r="Y564" s="139"/>
      <c r="Z564" s="139"/>
      <c r="AA564" s="139"/>
      <c r="AB564" s="139"/>
      <c r="AC564" s="139"/>
      <c r="AD564" s="139"/>
      <c r="AE564" s="139"/>
      <c r="AF564" s="139"/>
      <c r="AG564" s="139"/>
      <c r="AH564" s="139"/>
      <c r="AI564" s="139"/>
      <c r="AJ564" s="139"/>
    </row>
    <row r="565">
      <c r="A565" s="9"/>
      <c r="B565" s="139"/>
      <c r="C565" s="139"/>
      <c r="D565" s="139"/>
      <c r="E565" s="139"/>
      <c r="F565" s="139"/>
      <c r="G565" s="139"/>
      <c r="H565" s="139"/>
      <c r="I565" s="139"/>
      <c r="J565" s="139"/>
      <c r="K565" s="139"/>
      <c r="L565" s="139"/>
      <c r="M565" s="139"/>
      <c r="N565" s="139"/>
      <c r="O565" s="139"/>
      <c r="P565" s="139"/>
      <c r="Q565" s="139"/>
      <c r="R565" s="139"/>
      <c r="S565" s="139"/>
      <c r="T565" s="139"/>
      <c r="U565" s="139"/>
      <c r="V565" s="139"/>
      <c r="W565" s="139"/>
      <c r="X565" s="139"/>
      <c r="Y565" s="139"/>
      <c r="Z565" s="139"/>
      <c r="AA565" s="139"/>
      <c r="AB565" s="139"/>
      <c r="AC565" s="139"/>
      <c r="AD565" s="139"/>
      <c r="AE565" s="139"/>
      <c r="AF565" s="139"/>
      <c r="AG565" s="139"/>
      <c r="AH565" s="139"/>
      <c r="AI565" s="139"/>
      <c r="AJ565" s="139"/>
    </row>
    <row r="566">
      <c r="A566" s="9"/>
      <c r="B566" s="139"/>
      <c r="C566" s="139"/>
      <c r="D566" s="139"/>
      <c r="E566" s="139"/>
      <c r="F566" s="139"/>
      <c r="G566" s="139"/>
      <c r="H566" s="139"/>
      <c r="I566" s="139"/>
      <c r="J566" s="139"/>
      <c r="K566" s="139"/>
      <c r="L566" s="139"/>
      <c r="M566" s="139"/>
      <c r="N566" s="139"/>
      <c r="O566" s="139"/>
      <c r="P566" s="139"/>
      <c r="Q566" s="139"/>
      <c r="R566" s="139"/>
      <c r="S566" s="139"/>
      <c r="T566" s="139"/>
      <c r="U566" s="139"/>
      <c r="V566" s="139"/>
      <c r="W566" s="139"/>
      <c r="X566" s="139"/>
      <c r="Y566" s="139"/>
      <c r="Z566" s="139"/>
      <c r="AA566" s="139"/>
      <c r="AB566" s="139"/>
      <c r="AC566" s="139"/>
      <c r="AD566" s="139"/>
      <c r="AE566" s="139"/>
      <c r="AF566" s="139"/>
      <c r="AG566" s="139"/>
      <c r="AH566" s="139"/>
      <c r="AI566" s="139"/>
      <c r="AJ566" s="139"/>
    </row>
    <row r="567">
      <c r="A567" s="9"/>
      <c r="B567" s="139"/>
      <c r="C567" s="139"/>
      <c r="D567" s="139"/>
      <c r="E567" s="139"/>
      <c r="F567" s="139"/>
      <c r="G567" s="139"/>
      <c r="H567" s="139"/>
      <c r="I567" s="139"/>
      <c r="J567" s="139"/>
      <c r="K567" s="139"/>
      <c r="L567" s="139"/>
      <c r="M567" s="139"/>
      <c r="N567" s="139"/>
      <c r="O567" s="139"/>
      <c r="P567" s="139"/>
      <c r="Q567" s="139"/>
      <c r="R567" s="139"/>
      <c r="S567" s="139"/>
      <c r="T567" s="139"/>
      <c r="U567" s="139"/>
      <c r="V567" s="139"/>
      <c r="W567" s="139"/>
      <c r="X567" s="139"/>
      <c r="Y567" s="139"/>
      <c r="Z567" s="139"/>
      <c r="AA567" s="139"/>
      <c r="AB567" s="139"/>
      <c r="AC567" s="139"/>
      <c r="AD567" s="139"/>
      <c r="AE567" s="139"/>
      <c r="AF567" s="139"/>
      <c r="AG567" s="139"/>
      <c r="AH567" s="139"/>
      <c r="AI567" s="139"/>
      <c r="AJ567" s="139"/>
    </row>
    <row r="568">
      <c r="A568" s="9"/>
      <c r="B568" s="139"/>
      <c r="C568" s="139"/>
      <c r="D568" s="139"/>
      <c r="E568" s="139"/>
      <c r="F568" s="139"/>
      <c r="G568" s="139"/>
      <c r="H568" s="139"/>
      <c r="I568" s="139"/>
      <c r="J568" s="139"/>
      <c r="K568" s="139"/>
      <c r="L568" s="139"/>
      <c r="M568" s="139"/>
      <c r="N568" s="139"/>
      <c r="O568" s="139"/>
      <c r="P568" s="139"/>
      <c r="Q568" s="139"/>
      <c r="R568" s="139"/>
      <c r="S568" s="139"/>
      <c r="T568" s="139"/>
      <c r="U568" s="139"/>
      <c r="V568" s="139"/>
      <c r="W568" s="139"/>
      <c r="X568" s="139"/>
      <c r="Y568" s="139"/>
      <c r="Z568" s="139"/>
      <c r="AA568" s="139"/>
      <c r="AB568" s="139"/>
      <c r="AC568" s="139"/>
      <c r="AD568" s="139"/>
      <c r="AE568" s="139"/>
      <c r="AF568" s="139"/>
      <c r="AG568" s="139"/>
      <c r="AH568" s="139"/>
      <c r="AI568" s="139"/>
      <c r="AJ568" s="139"/>
    </row>
    <row r="569">
      <c r="A569" s="9"/>
      <c r="B569" s="139"/>
      <c r="C569" s="139"/>
      <c r="D569" s="139"/>
      <c r="E569" s="139"/>
      <c r="F569" s="139"/>
      <c r="G569" s="139"/>
      <c r="H569" s="139"/>
      <c r="I569" s="139"/>
      <c r="J569" s="139"/>
      <c r="K569" s="139"/>
      <c r="L569" s="139"/>
      <c r="M569" s="139"/>
      <c r="N569" s="139"/>
      <c r="O569" s="139"/>
      <c r="P569" s="139"/>
      <c r="Q569" s="139"/>
      <c r="R569" s="139"/>
      <c r="S569" s="139"/>
      <c r="T569" s="139"/>
      <c r="U569" s="139"/>
      <c r="V569" s="139"/>
      <c r="W569" s="139"/>
      <c r="X569" s="139"/>
      <c r="Y569" s="139"/>
      <c r="Z569" s="139"/>
      <c r="AA569" s="139"/>
      <c r="AB569" s="139"/>
      <c r="AC569" s="139"/>
      <c r="AD569" s="139"/>
      <c r="AE569" s="139"/>
      <c r="AF569" s="139"/>
      <c r="AG569" s="139"/>
      <c r="AH569" s="139"/>
      <c r="AI569" s="139"/>
      <c r="AJ569" s="139"/>
    </row>
    <row r="570">
      <c r="A570" s="9"/>
      <c r="B570" s="139"/>
      <c r="C570" s="139"/>
      <c r="D570" s="139"/>
      <c r="E570" s="139"/>
      <c r="F570" s="139"/>
      <c r="G570" s="139"/>
      <c r="H570" s="139"/>
      <c r="I570" s="139"/>
      <c r="J570" s="139"/>
      <c r="K570" s="139"/>
      <c r="L570" s="139"/>
      <c r="M570" s="139"/>
      <c r="N570" s="139"/>
      <c r="O570" s="139"/>
      <c r="P570" s="139"/>
      <c r="Q570" s="139"/>
      <c r="R570" s="139"/>
      <c r="S570" s="139"/>
      <c r="T570" s="139"/>
      <c r="U570" s="139"/>
      <c r="V570" s="139"/>
      <c r="W570" s="139"/>
      <c r="X570" s="139"/>
      <c r="Y570" s="139"/>
      <c r="Z570" s="139"/>
      <c r="AA570" s="139"/>
      <c r="AB570" s="139"/>
      <c r="AC570" s="139"/>
      <c r="AD570" s="139"/>
      <c r="AE570" s="139"/>
      <c r="AF570" s="139"/>
      <c r="AG570" s="139"/>
      <c r="AH570" s="139"/>
      <c r="AI570" s="139"/>
      <c r="AJ570" s="139"/>
    </row>
    <row r="571">
      <c r="A571" s="9"/>
      <c r="B571" s="139"/>
      <c r="C571" s="139"/>
      <c r="D571" s="139"/>
      <c r="E571" s="139"/>
      <c r="F571" s="139"/>
      <c r="G571" s="139"/>
      <c r="H571" s="139"/>
      <c r="I571" s="139"/>
      <c r="J571" s="139"/>
      <c r="K571" s="139"/>
      <c r="L571" s="139"/>
      <c r="M571" s="139"/>
      <c r="N571" s="139"/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39"/>
      <c r="AA571" s="139"/>
      <c r="AB571" s="139"/>
      <c r="AC571" s="139"/>
      <c r="AD571" s="139"/>
      <c r="AE571" s="139"/>
      <c r="AF571" s="139"/>
      <c r="AG571" s="139"/>
      <c r="AH571" s="139"/>
      <c r="AI571" s="139"/>
      <c r="AJ571" s="139"/>
    </row>
    <row r="572">
      <c r="A572" s="9"/>
      <c r="B572" s="139"/>
      <c r="C572" s="139"/>
      <c r="D572" s="139"/>
      <c r="E572" s="139"/>
      <c r="F572" s="139"/>
      <c r="G572" s="139"/>
      <c r="H572" s="139"/>
      <c r="I572" s="139"/>
      <c r="J572" s="139"/>
      <c r="K572" s="139"/>
      <c r="L572" s="139"/>
      <c r="M572" s="139"/>
      <c r="N572" s="139"/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39"/>
      <c r="Z572" s="139"/>
      <c r="AA572" s="139"/>
      <c r="AB572" s="139"/>
      <c r="AC572" s="139"/>
      <c r="AD572" s="139"/>
      <c r="AE572" s="139"/>
      <c r="AF572" s="139"/>
      <c r="AG572" s="139"/>
      <c r="AH572" s="139"/>
      <c r="AI572" s="139"/>
      <c r="AJ572" s="139"/>
    </row>
    <row r="573">
      <c r="A573" s="9"/>
      <c r="B573" s="139"/>
      <c r="C573" s="139"/>
      <c r="D573" s="139"/>
      <c r="E573" s="139"/>
      <c r="F573" s="139"/>
      <c r="G573" s="139"/>
      <c r="H573" s="139"/>
      <c r="I573" s="139"/>
      <c r="J573" s="139"/>
      <c r="K573" s="139"/>
      <c r="L573" s="139"/>
      <c r="M573" s="139"/>
      <c r="N573" s="139"/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39"/>
      <c r="Z573" s="139"/>
      <c r="AA573" s="139"/>
      <c r="AB573" s="139"/>
      <c r="AC573" s="139"/>
      <c r="AD573" s="139"/>
      <c r="AE573" s="139"/>
      <c r="AF573" s="139"/>
      <c r="AG573" s="139"/>
      <c r="AH573" s="139"/>
      <c r="AI573" s="139"/>
      <c r="AJ573" s="139"/>
    </row>
    <row r="574">
      <c r="A574" s="9"/>
      <c r="B574" s="139"/>
      <c r="C574" s="139"/>
      <c r="D574" s="139"/>
      <c r="E574" s="139"/>
      <c r="F574" s="139"/>
      <c r="G574" s="139"/>
      <c r="H574" s="139"/>
      <c r="I574" s="139"/>
      <c r="J574" s="139"/>
      <c r="K574" s="139"/>
      <c r="L574" s="139"/>
      <c r="M574" s="139"/>
      <c r="N574" s="139"/>
      <c r="O574" s="139"/>
      <c r="P574" s="139"/>
      <c r="Q574" s="139"/>
      <c r="R574" s="139"/>
      <c r="S574" s="139"/>
      <c r="T574" s="139"/>
      <c r="U574" s="139"/>
      <c r="V574" s="139"/>
      <c r="W574" s="139"/>
      <c r="X574" s="139"/>
      <c r="Y574" s="139"/>
      <c r="Z574" s="139"/>
      <c r="AA574" s="139"/>
      <c r="AB574" s="139"/>
      <c r="AC574" s="139"/>
      <c r="AD574" s="139"/>
      <c r="AE574" s="139"/>
      <c r="AF574" s="139"/>
      <c r="AG574" s="139"/>
      <c r="AH574" s="139"/>
      <c r="AI574" s="139"/>
      <c r="AJ574" s="139"/>
    </row>
    <row r="575">
      <c r="A575" s="9"/>
      <c r="B575" s="139"/>
      <c r="C575" s="139"/>
      <c r="D575" s="139"/>
      <c r="E575" s="139"/>
      <c r="F575" s="139"/>
      <c r="G575" s="139"/>
      <c r="H575" s="139"/>
      <c r="I575" s="139"/>
      <c r="J575" s="139"/>
      <c r="K575" s="139"/>
      <c r="L575" s="139"/>
      <c r="M575" s="139"/>
      <c r="N575" s="139"/>
      <c r="O575" s="139"/>
      <c r="P575" s="139"/>
      <c r="Q575" s="139"/>
      <c r="R575" s="139"/>
      <c r="S575" s="139"/>
      <c r="T575" s="139"/>
      <c r="U575" s="139"/>
      <c r="V575" s="139"/>
      <c r="W575" s="139"/>
      <c r="X575" s="139"/>
      <c r="Y575" s="139"/>
      <c r="Z575" s="139"/>
      <c r="AA575" s="139"/>
      <c r="AB575" s="139"/>
      <c r="AC575" s="139"/>
      <c r="AD575" s="139"/>
      <c r="AE575" s="139"/>
      <c r="AF575" s="139"/>
      <c r="AG575" s="139"/>
      <c r="AH575" s="139"/>
      <c r="AI575" s="139"/>
      <c r="AJ575" s="139"/>
    </row>
    <row r="576">
      <c r="A576" s="9"/>
      <c r="B576" s="139"/>
      <c r="C576" s="139"/>
      <c r="D576" s="139"/>
      <c r="E576" s="139"/>
      <c r="F576" s="139"/>
      <c r="G576" s="139"/>
      <c r="H576" s="139"/>
      <c r="I576" s="139"/>
      <c r="J576" s="139"/>
      <c r="K576" s="139"/>
      <c r="L576" s="139"/>
      <c r="M576" s="139"/>
      <c r="N576" s="139"/>
      <c r="O576" s="139"/>
      <c r="P576" s="139"/>
      <c r="Q576" s="139"/>
      <c r="R576" s="139"/>
      <c r="S576" s="139"/>
      <c r="T576" s="139"/>
      <c r="U576" s="139"/>
      <c r="V576" s="139"/>
      <c r="W576" s="139"/>
      <c r="X576" s="139"/>
      <c r="Y576" s="139"/>
      <c r="Z576" s="139"/>
      <c r="AA576" s="139"/>
      <c r="AB576" s="139"/>
      <c r="AC576" s="139"/>
      <c r="AD576" s="139"/>
      <c r="AE576" s="139"/>
      <c r="AF576" s="139"/>
      <c r="AG576" s="139"/>
      <c r="AH576" s="139"/>
      <c r="AI576" s="139"/>
      <c r="AJ576" s="139"/>
    </row>
    <row r="577">
      <c r="A577" s="9"/>
      <c r="B577" s="139"/>
      <c r="C577" s="139"/>
      <c r="D577" s="139"/>
      <c r="E577" s="139"/>
      <c r="F577" s="139"/>
      <c r="G577" s="139"/>
      <c r="H577" s="139"/>
      <c r="I577" s="139"/>
      <c r="J577" s="139"/>
      <c r="K577" s="139"/>
      <c r="L577" s="139"/>
      <c r="M577" s="139"/>
      <c r="N577" s="139"/>
      <c r="O577" s="139"/>
      <c r="P577" s="139"/>
      <c r="Q577" s="139"/>
      <c r="R577" s="139"/>
      <c r="S577" s="139"/>
      <c r="T577" s="139"/>
      <c r="U577" s="139"/>
      <c r="V577" s="139"/>
      <c r="W577" s="139"/>
      <c r="X577" s="139"/>
      <c r="Y577" s="139"/>
      <c r="Z577" s="139"/>
      <c r="AA577" s="139"/>
      <c r="AB577" s="139"/>
      <c r="AC577" s="139"/>
      <c r="AD577" s="139"/>
      <c r="AE577" s="139"/>
      <c r="AF577" s="139"/>
      <c r="AG577" s="139"/>
      <c r="AH577" s="139"/>
      <c r="AI577" s="139"/>
      <c r="AJ577" s="139"/>
    </row>
    <row r="578">
      <c r="A578" s="9"/>
      <c r="B578" s="139"/>
      <c r="C578" s="139"/>
      <c r="D578" s="139"/>
      <c r="E578" s="139"/>
      <c r="F578" s="139"/>
      <c r="G578" s="139"/>
      <c r="H578" s="139"/>
      <c r="I578" s="139"/>
      <c r="J578" s="139"/>
      <c r="K578" s="139"/>
      <c r="L578" s="139"/>
      <c r="M578" s="139"/>
      <c r="N578" s="139"/>
      <c r="O578" s="139"/>
      <c r="P578" s="139"/>
      <c r="Q578" s="139"/>
      <c r="R578" s="139"/>
      <c r="S578" s="139"/>
      <c r="T578" s="139"/>
      <c r="U578" s="139"/>
      <c r="V578" s="139"/>
      <c r="W578" s="139"/>
      <c r="X578" s="139"/>
      <c r="Y578" s="139"/>
      <c r="Z578" s="139"/>
      <c r="AA578" s="139"/>
      <c r="AB578" s="139"/>
      <c r="AC578" s="139"/>
      <c r="AD578" s="139"/>
      <c r="AE578" s="139"/>
      <c r="AF578" s="139"/>
      <c r="AG578" s="139"/>
      <c r="AH578" s="139"/>
      <c r="AI578" s="139"/>
      <c r="AJ578" s="139"/>
    </row>
    <row r="579">
      <c r="A579" s="9"/>
      <c r="B579" s="139"/>
      <c r="C579" s="139"/>
      <c r="D579" s="139"/>
      <c r="E579" s="139"/>
      <c r="F579" s="139"/>
      <c r="G579" s="139"/>
      <c r="H579" s="139"/>
      <c r="I579" s="139"/>
      <c r="J579" s="139"/>
      <c r="K579" s="139"/>
      <c r="L579" s="139"/>
      <c r="M579" s="139"/>
      <c r="N579" s="139"/>
      <c r="O579" s="139"/>
      <c r="P579" s="139"/>
      <c r="Q579" s="139"/>
      <c r="R579" s="139"/>
      <c r="S579" s="139"/>
      <c r="T579" s="139"/>
      <c r="U579" s="139"/>
      <c r="V579" s="139"/>
      <c r="W579" s="139"/>
      <c r="X579" s="139"/>
      <c r="Y579" s="139"/>
      <c r="Z579" s="139"/>
      <c r="AA579" s="139"/>
      <c r="AB579" s="139"/>
      <c r="AC579" s="139"/>
      <c r="AD579" s="139"/>
      <c r="AE579" s="139"/>
      <c r="AF579" s="139"/>
      <c r="AG579" s="139"/>
      <c r="AH579" s="139"/>
      <c r="AI579" s="139"/>
      <c r="AJ579" s="139"/>
    </row>
    <row r="580">
      <c r="A580" s="9"/>
      <c r="B580" s="139"/>
      <c r="C580" s="139"/>
      <c r="D580" s="139"/>
      <c r="E580" s="139"/>
      <c r="F580" s="139"/>
      <c r="G580" s="139"/>
      <c r="H580" s="139"/>
      <c r="I580" s="139"/>
      <c r="J580" s="139"/>
      <c r="K580" s="139"/>
      <c r="L580" s="139"/>
      <c r="M580" s="139"/>
      <c r="N580" s="139"/>
      <c r="O580" s="139"/>
      <c r="P580" s="139"/>
      <c r="Q580" s="139"/>
      <c r="R580" s="139"/>
      <c r="S580" s="139"/>
      <c r="T580" s="139"/>
      <c r="U580" s="139"/>
      <c r="V580" s="139"/>
      <c r="W580" s="139"/>
      <c r="X580" s="139"/>
      <c r="Y580" s="139"/>
      <c r="Z580" s="139"/>
      <c r="AA580" s="139"/>
      <c r="AB580" s="139"/>
      <c r="AC580" s="139"/>
      <c r="AD580" s="139"/>
      <c r="AE580" s="139"/>
      <c r="AF580" s="139"/>
      <c r="AG580" s="139"/>
      <c r="AH580" s="139"/>
      <c r="AI580" s="139"/>
      <c r="AJ580" s="139"/>
    </row>
    <row r="581">
      <c r="A581" s="9"/>
      <c r="B581" s="139"/>
      <c r="C581" s="139"/>
      <c r="D581" s="139"/>
      <c r="E581" s="139"/>
      <c r="F581" s="139"/>
      <c r="G581" s="139"/>
      <c r="H581" s="139"/>
      <c r="I581" s="139"/>
      <c r="J581" s="139"/>
      <c r="K581" s="139"/>
      <c r="L581" s="139"/>
      <c r="M581" s="139"/>
      <c r="N581" s="139"/>
      <c r="O581" s="139"/>
      <c r="P581" s="139"/>
      <c r="Q581" s="139"/>
      <c r="R581" s="139"/>
      <c r="S581" s="139"/>
      <c r="T581" s="139"/>
      <c r="U581" s="139"/>
      <c r="V581" s="139"/>
      <c r="W581" s="139"/>
      <c r="X581" s="139"/>
      <c r="Y581" s="139"/>
      <c r="Z581" s="139"/>
      <c r="AA581" s="139"/>
      <c r="AB581" s="139"/>
      <c r="AC581" s="139"/>
      <c r="AD581" s="139"/>
      <c r="AE581" s="139"/>
      <c r="AF581" s="139"/>
      <c r="AG581" s="139"/>
      <c r="AH581" s="139"/>
      <c r="AI581" s="139"/>
      <c r="AJ581" s="139"/>
    </row>
    <row r="582">
      <c r="A582" s="9"/>
      <c r="B582" s="139"/>
      <c r="C582" s="139"/>
      <c r="D582" s="139"/>
      <c r="E582" s="139"/>
      <c r="F582" s="139"/>
      <c r="G582" s="139"/>
      <c r="H582" s="139"/>
      <c r="I582" s="139"/>
      <c r="J582" s="139"/>
      <c r="K582" s="139"/>
      <c r="L582" s="139"/>
      <c r="M582" s="139"/>
      <c r="N582" s="139"/>
      <c r="O582" s="139"/>
      <c r="P582" s="139"/>
      <c r="Q582" s="139"/>
      <c r="R582" s="139"/>
      <c r="S582" s="139"/>
      <c r="T582" s="139"/>
      <c r="U582" s="139"/>
      <c r="V582" s="139"/>
      <c r="W582" s="139"/>
      <c r="X582" s="139"/>
      <c r="Y582" s="139"/>
      <c r="Z582" s="139"/>
      <c r="AA582" s="139"/>
      <c r="AB582" s="139"/>
      <c r="AC582" s="139"/>
      <c r="AD582" s="139"/>
      <c r="AE582" s="139"/>
      <c r="AF582" s="139"/>
      <c r="AG582" s="139"/>
      <c r="AH582" s="139"/>
      <c r="AI582" s="139"/>
      <c r="AJ582" s="139"/>
    </row>
    <row r="583">
      <c r="A583" s="9"/>
      <c r="B583" s="139"/>
      <c r="C583" s="139"/>
      <c r="D583" s="139"/>
      <c r="E583" s="139"/>
      <c r="F583" s="139"/>
      <c r="G583" s="139"/>
      <c r="H583" s="139"/>
      <c r="I583" s="139"/>
      <c r="J583" s="139"/>
      <c r="K583" s="139"/>
      <c r="L583" s="139"/>
      <c r="M583" s="139"/>
      <c r="N583" s="139"/>
      <c r="O583" s="139"/>
      <c r="P583" s="139"/>
      <c r="Q583" s="139"/>
      <c r="R583" s="139"/>
      <c r="S583" s="139"/>
      <c r="T583" s="139"/>
      <c r="U583" s="139"/>
      <c r="V583" s="139"/>
      <c r="W583" s="139"/>
      <c r="X583" s="139"/>
      <c r="Y583" s="139"/>
      <c r="Z583" s="139"/>
      <c r="AA583" s="139"/>
      <c r="AB583" s="139"/>
      <c r="AC583" s="139"/>
      <c r="AD583" s="139"/>
      <c r="AE583" s="139"/>
      <c r="AF583" s="139"/>
      <c r="AG583" s="139"/>
      <c r="AH583" s="139"/>
      <c r="AI583" s="139"/>
      <c r="AJ583" s="139"/>
    </row>
    <row r="584">
      <c r="A584" s="9"/>
      <c r="B584" s="139"/>
      <c r="C584" s="139"/>
      <c r="D584" s="139"/>
      <c r="E584" s="139"/>
      <c r="F584" s="139"/>
      <c r="G584" s="139"/>
      <c r="H584" s="139"/>
      <c r="I584" s="139"/>
      <c r="J584" s="139"/>
      <c r="K584" s="139"/>
      <c r="L584" s="139"/>
      <c r="M584" s="139"/>
      <c r="N584" s="139"/>
      <c r="O584" s="139"/>
      <c r="P584" s="139"/>
      <c r="Q584" s="139"/>
      <c r="R584" s="139"/>
      <c r="S584" s="139"/>
      <c r="T584" s="139"/>
      <c r="U584" s="139"/>
      <c r="V584" s="139"/>
      <c r="W584" s="139"/>
      <c r="X584" s="139"/>
      <c r="Y584" s="139"/>
      <c r="Z584" s="139"/>
      <c r="AA584" s="139"/>
      <c r="AB584" s="139"/>
      <c r="AC584" s="139"/>
      <c r="AD584" s="139"/>
      <c r="AE584" s="139"/>
      <c r="AF584" s="139"/>
      <c r="AG584" s="139"/>
      <c r="AH584" s="139"/>
      <c r="AI584" s="139"/>
      <c r="AJ584" s="139"/>
    </row>
    <row r="585">
      <c r="A585" s="9"/>
      <c r="B585" s="139"/>
      <c r="C585" s="139"/>
      <c r="D585" s="139"/>
      <c r="E585" s="139"/>
      <c r="F585" s="139"/>
      <c r="G585" s="139"/>
      <c r="H585" s="139"/>
      <c r="I585" s="139"/>
      <c r="J585" s="139"/>
      <c r="K585" s="139"/>
      <c r="L585" s="139"/>
      <c r="M585" s="139"/>
      <c r="N585" s="139"/>
      <c r="O585" s="139"/>
      <c r="P585" s="139"/>
      <c r="Q585" s="139"/>
      <c r="R585" s="139"/>
      <c r="S585" s="139"/>
      <c r="T585" s="139"/>
      <c r="U585" s="139"/>
      <c r="V585" s="139"/>
      <c r="W585" s="139"/>
      <c r="X585" s="139"/>
      <c r="Y585" s="139"/>
      <c r="Z585" s="139"/>
      <c r="AA585" s="139"/>
      <c r="AB585" s="139"/>
      <c r="AC585" s="139"/>
      <c r="AD585" s="139"/>
      <c r="AE585" s="139"/>
      <c r="AF585" s="139"/>
      <c r="AG585" s="139"/>
      <c r="AH585" s="139"/>
      <c r="AI585" s="139"/>
      <c r="AJ585" s="139"/>
    </row>
    <row r="586">
      <c r="A586" s="9"/>
      <c r="B586" s="139"/>
      <c r="C586" s="139"/>
      <c r="D586" s="139"/>
      <c r="E586" s="139"/>
      <c r="F586" s="139"/>
      <c r="G586" s="139"/>
      <c r="H586" s="139"/>
      <c r="I586" s="139"/>
      <c r="J586" s="139"/>
      <c r="K586" s="139"/>
      <c r="L586" s="139"/>
      <c r="M586" s="139"/>
      <c r="N586" s="139"/>
      <c r="O586" s="139"/>
      <c r="P586" s="139"/>
      <c r="Q586" s="139"/>
      <c r="R586" s="139"/>
      <c r="S586" s="139"/>
      <c r="T586" s="139"/>
      <c r="U586" s="139"/>
      <c r="V586" s="139"/>
      <c r="W586" s="139"/>
      <c r="X586" s="139"/>
      <c r="Y586" s="139"/>
      <c r="Z586" s="139"/>
      <c r="AA586" s="139"/>
      <c r="AB586" s="139"/>
      <c r="AC586" s="139"/>
      <c r="AD586" s="139"/>
      <c r="AE586" s="139"/>
      <c r="AF586" s="139"/>
      <c r="AG586" s="139"/>
      <c r="AH586" s="139"/>
      <c r="AI586" s="139"/>
      <c r="AJ586" s="139"/>
    </row>
    <row r="587">
      <c r="A587" s="9"/>
      <c r="B587" s="139"/>
      <c r="C587" s="139"/>
      <c r="D587" s="139"/>
      <c r="E587" s="139"/>
      <c r="F587" s="139"/>
      <c r="G587" s="139"/>
      <c r="H587" s="139"/>
      <c r="I587" s="139"/>
      <c r="J587" s="139"/>
      <c r="K587" s="139"/>
      <c r="L587" s="139"/>
      <c r="M587" s="139"/>
      <c r="N587" s="139"/>
      <c r="O587" s="139"/>
      <c r="P587" s="139"/>
      <c r="Q587" s="139"/>
      <c r="R587" s="139"/>
      <c r="S587" s="139"/>
      <c r="T587" s="139"/>
      <c r="U587" s="139"/>
      <c r="V587" s="139"/>
      <c r="W587" s="139"/>
      <c r="X587" s="139"/>
      <c r="Y587" s="139"/>
      <c r="Z587" s="139"/>
      <c r="AA587" s="139"/>
      <c r="AB587" s="139"/>
      <c r="AC587" s="139"/>
      <c r="AD587" s="139"/>
      <c r="AE587" s="139"/>
      <c r="AF587" s="139"/>
      <c r="AG587" s="139"/>
      <c r="AH587" s="139"/>
      <c r="AI587" s="139"/>
      <c r="AJ587" s="139"/>
    </row>
    <row r="588">
      <c r="A588" s="9"/>
      <c r="B588" s="139"/>
      <c r="C588" s="139"/>
      <c r="D588" s="139"/>
      <c r="E588" s="139"/>
      <c r="F588" s="139"/>
      <c r="G588" s="139"/>
      <c r="H588" s="139"/>
      <c r="I588" s="139"/>
      <c r="J588" s="139"/>
      <c r="K588" s="139"/>
      <c r="L588" s="139"/>
      <c r="M588" s="139"/>
      <c r="N588" s="139"/>
      <c r="O588" s="139"/>
      <c r="P588" s="139"/>
      <c r="Q588" s="139"/>
      <c r="R588" s="139"/>
      <c r="S588" s="139"/>
      <c r="T588" s="139"/>
      <c r="U588" s="139"/>
      <c r="V588" s="139"/>
      <c r="W588" s="139"/>
      <c r="X588" s="139"/>
      <c r="Y588" s="139"/>
      <c r="Z588" s="139"/>
      <c r="AA588" s="139"/>
      <c r="AB588" s="139"/>
      <c r="AC588" s="139"/>
      <c r="AD588" s="139"/>
      <c r="AE588" s="139"/>
      <c r="AF588" s="139"/>
      <c r="AG588" s="139"/>
      <c r="AH588" s="139"/>
      <c r="AI588" s="139"/>
      <c r="AJ588" s="139"/>
    </row>
    <row r="589">
      <c r="A589" s="9"/>
      <c r="B589" s="139"/>
      <c r="C589" s="139"/>
      <c r="D589" s="139"/>
      <c r="E589" s="139"/>
      <c r="F589" s="139"/>
      <c r="G589" s="139"/>
      <c r="H589" s="139"/>
      <c r="I589" s="139"/>
      <c r="J589" s="139"/>
      <c r="K589" s="139"/>
      <c r="L589" s="139"/>
      <c r="M589" s="139"/>
      <c r="N589" s="139"/>
      <c r="O589" s="139"/>
      <c r="P589" s="139"/>
      <c r="Q589" s="139"/>
      <c r="R589" s="139"/>
      <c r="S589" s="139"/>
      <c r="T589" s="139"/>
      <c r="U589" s="139"/>
      <c r="V589" s="139"/>
      <c r="W589" s="139"/>
      <c r="X589" s="139"/>
      <c r="Y589" s="139"/>
      <c r="Z589" s="139"/>
      <c r="AA589" s="139"/>
      <c r="AB589" s="139"/>
      <c r="AC589" s="139"/>
      <c r="AD589" s="139"/>
      <c r="AE589" s="139"/>
      <c r="AF589" s="139"/>
      <c r="AG589" s="139"/>
      <c r="AH589" s="139"/>
      <c r="AI589" s="139"/>
      <c r="AJ589" s="139"/>
    </row>
    <row r="590">
      <c r="A590" s="9"/>
      <c r="B590" s="139"/>
      <c r="C590" s="139"/>
      <c r="D590" s="139"/>
      <c r="E590" s="139"/>
      <c r="F590" s="139"/>
      <c r="G590" s="139"/>
      <c r="H590" s="139"/>
      <c r="I590" s="139"/>
      <c r="J590" s="139"/>
      <c r="K590" s="139"/>
      <c r="L590" s="139"/>
      <c r="M590" s="139"/>
      <c r="N590" s="139"/>
      <c r="O590" s="139"/>
      <c r="P590" s="139"/>
      <c r="Q590" s="139"/>
      <c r="R590" s="139"/>
      <c r="S590" s="139"/>
      <c r="T590" s="139"/>
      <c r="U590" s="139"/>
      <c r="V590" s="139"/>
      <c r="W590" s="139"/>
      <c r="X590" s="139"/>
      <c r="Y590" s="139"/>
      <c r="Z590" s="139"/>
      <c r="AA590" s="139"/>
      <c r="AB590" s="139"/>
      <c r="AC590" s="139"/>
      <c r="AD590" s="139"/>
      <c r="AE590" s="139"/>
      <c r="AF590" s="139"/>
      <c r="AG590" s="139"/>
      <c r="AH590" s="139"/>
      <c r="AI590" s="139"/>
      <c r="AJ590" s="139"/>
    </row>
    <row r="591">
      <c r="A591" s="9"/>
      <c r="B591" s="139"/>
      <c r="C591" s="139"/>
      <c r="D591" s="139"/>
      <c r="E591" s="139"/>
      <c r="F591" s="139"/>
      <c r="G591" s="139"/>
      <c r="H591" s="139"/>
      <c r="I591" s="139"/>
      <c r="J591" s="139"/>
      <c r="K591" s="139"/>
      <c r="L591" s="139"/>
      <c r="M591" s="139"/>
      <c r="N591" s="139"/>
      <c r="O591" s="139"/>
      <c r="P591" s="139"/>
      <c r="Q591" s="139"/>
      <c r="R591" s="139"/>
      <c r="S591" s="139"/>
      <c r="T591" s="139"/>
      <c r="U591" s="139"/>
      <c r="V591" s="139"/>
      <c r="W591" s="139"/>
      <c r="X591" s="139"/>
      <c r="Y591" s="139"/>
      <c r="Z591" s="139"/>
      <c r="AA591" s="139"/>
      <c r="AB591" s="139"/>
      <c r="AC591" s="139"/>
      <c r="AD591" s="139"/>
      <c r="AE591" s="139"/>
      <c r="AF591" s="139"/>
      <c r="AG591" s="139"/>
      <c r="AH591" s="139"/>
      <c r="AI591" s="139"/>
      <c r="AJ591" s="139"/>
    </row>
    <row r="592">
      <c r="A592" s="9"/>
      <c r="B592" s="139"/>
      <c r="C592" s="139"/>
      <c r="D592" s="139"/>
      <c r="E592" s="139"/>
      <c r="F592" s="139"/>
      <c r="G592" s="139"/>
      <c r="H592" s="139"/>
      <c r="I592" s="139"/>
      <c r="J592" s="139"/>
      <c r="K592" s="139"/>
      <c r="L592" s="139"/>
      <c r="M592" s="139"/>
      <c r="N592" s="139"/>
      <c r="O592" s="139"/>
      <c r="P592" s="139"/>
      <c r="Q592" s="139"/>
      <c r="R592" s="139"/>
      <c r="S592" s="139"/>
      <c r="T592" s="139"/>
      <c r="U592" s="139"/>
      <c r="V592" s="139"/>
      <c r="W592" s="139"/>
      <c r="X592" s="139"/>
      <c r="Y592" s="139"/>
      <c r="Z592" s="139"/>
      <c r="AA592" s="139"/>
      <c r="AB592" s="139"/>
      <c r="AC592" s="139"/>
      <c r="AD592" s="139"/>
      <c r="AE592" s="139"/>
      <c r="AF592" s="139"/>
      <c r="AG592" s="139"/>
      <c r="AH592" s="139"/>
      <c r="AI592" s="139"/>
      <c r="AJ592" s="139"/>
    </row>
    <row r="593">
      <c r="A593" s="9"/>
      <c r="B593" s="139"/>
      <c r="C593" s="139"/>
      <c r="D593" s="139"/>
      <c r="E593" s="139"/>
      <c r="F593" s="139"/>
      <c r="G593" s="139"/>
      <c r="H593" s="139"/>
      <c r="I593" s="139"/>
      <c r="J593" s="139"/>
      <c r="K593" s="139"/>
      <c r="L593" s="139"/>
      <c r="M593" s="139"/>
      <c r="N593" s="139"/>
      <c r="O593" s="139"/>
      <c r="P593" s="139"/>
      <c r="Q593" s="139"/>
      <c r="R593" s="139"/>
      <c r="S593" s="139"/>
      <c r="T593" s="139"/>
      <c r="U593" s="139"/>
      <c r="V593" s="139"/>
      <c r="W593" s="139"/>
      <c r="X593" s="139"/>
      <c r="Y593" s="139"/>
      <c r="Z593" s="139"/>
      <c r="AA593" s="139"/>
      <c r="AB593" s="139"/>
      <c r="AC593" s="139"/>
      <c r="AD593" s="139"/>
      <c r="AE593" s="139"/>
      <c r="AF593" s="139"/>
      <c r="AG593" s="139"/>
      <c r="AH593" s="139"/>
      <c r="AI593" s="139"/>
      <c r="AJ593" s="139"/>
    </row>
    <row r="594">
      <c r="A594" s="9"/>
      <c r="B594" s="139"/>
      <c r="C594" s="139"/>
      <c r="D594" s="139"/>
      <c r="E594" s="139"/>
      <c r="F594" s="139"/>
      <c r="G594" s="139"/>
      <c r="H594" s="139"/>
      <c r="I594" s="139"/>
      <c r="J594" s="139"/>
      <c r="K594" s="139"/>
      <c r="L594" s="139"/>
      <c r="M594" s="139"/>
      <c r="N594" s="139"/>
      <c r="O594" s="139"/>
      <c r="P594" s="139"/>
      <c r="Q594" s="139"/>
      <c r="R594" s="139"/>
      <c r="S594" s="139"/>
      <c r="T594" s="139"/>
      <c r="U594" s="139"/>
      <c r="V594" s="139"/>
      <c r="W594" s="139"/>
      <c r="X594" s="139"/>
      <c r="Y594" s="139"/>
      <c r="Z594" s="139"/>
      <c r="AA594" s="139"/>
      <c r="AB594" s="139"/>
      <c r="AC594" s="139"/>
      <c r="AD594" s="139"/>
      <c r="AE594" s="139"/>
      <c r="AF594" s="139"/>
      <c r="AG594" s="139"/>
      <c r="AH594" s="139"/>
      <c r="AI594" s="139"/>
      <c r="AJ594" s="139"/>
    </row>
    <row r="595">
      <c r="A595" s="9"/>
      <c r="B595" s="139"/>
      <c r="C595" s="139"/>
      <c r="D595" s="139"/>
      <c r="E595" s="139"/>
      <c r="F595" s="139"/>
      <c r="G595" s="139"/>
      <c r="H595" s="139"/>
      <c r="I595" s="139"/>
      <c r="J595" s="139"/>
      <c r="K595" s="139"/>
      <c r="L595" s="139"/>
      <c r="M595" s="139"/>
      <c r="N595" s="139"/>
      <c r="O595" s="139"/>
      <c r="P595" s="139"/>
      <c r="Q595" s="139"/>
      <c r="R595" s="139"/>
      <c r="S595" s="139"/>
      <c r="T595" s="139"/>
      <c r="U595" s="139"/>
      <c r="V595" s="139"/>
      <c r="W595" s="139"/>
      <c r="X595" s="139"/>
      <c r="Y595" s="139"/>
      <c r="Z595" s="139"/>
      <c r="AA595" s="139"/>
      <c r="AB595" s="139"/>
      <c r="AC595" s="139"/>
      <c r="AD595" s="139"/>
      <c r="AE595" s="139"/>
      <c r="AF595" s="139"/>
      <c r="AG595" s="139"/>
      <c r="AH595" s="139"/>
      <c r="AI595" s="139"/>
      <c r="AJ595" s="139"/>
    </row>
    <row r="596">
      <c r="A596" s="9"/>
      <c r="B596" s="139"/>
      <c r="C596" s="139"/>
      <c r="D596" s="139"/>
      <c r="E596" s="139"/>
      <c r="F596" s="139"/>
      <c r="G596" s="139"/>
      <c r="H596" s="139"/>
      <c r="I596" s="139"/>
      <c r="J596" s="139"/>
      <c r="K596" s="139"/>
      <c r="L596" s="139"/>
      <c r="M596" s="139"/>
      <c r="N596" s="139"/>
      <c r="O596" s="139"/>
      <c r="P596" s="139"/>
      <c r="Q596" s="139"/>
      <c r="R596" s="139"/>
      <c r="S596" s="139"/>
      <c r="T596" s="139"/>
      <c r="U596" s="139"/>
      <c r="V596" s="139"/>
      <c r="W596" s="139"/>
      <c r="X596" s="139"/>
      <c r="Y596" s="139"/>
      <c r="Z596" s="139"/>
      <c r="AA596" s="139"/>
      <c r="AB596" s="139"/>
      <c r="AC596" s="139"/>
      <c r="AD596" s="139"/>
      <c r="AE596" s="139"/>
      <c r="AF596" s="139"/>
      <c r="AG596" s="139"/>
      <c r="AH596" s="139"/>
      <c r="AI596" s="139"/>
      <c r="AJ596" s="139"/>
    </row>
    <row r="597">
      <c r="A597" s="9"/>
      <c r="B597" s="139"/>
      <c r="C597" s="139"/>
      <c r="D597" s="139"/>
      <c r="E597" s="139"/>
      <c r="F597" s="139"/>
      <c r="G597" s="139"/>
      <c r="H597" s="139"/>
      <c r="I597" s="139"/>
      <c r="J597" s="139"/>
      <c r="K597" s="139"/>
      <c r="L597" s="139"/>
      <c r="M597" s="139"/>
      <c r="N597" s="139"/>
      <c r="O597" s="139"/>
      <c r="P597" s="139"/>
      <c r="Q597" s="139"/>
      <c r="R597" s="139"/>
      <c r="S597" s="139"/>
      <c r="T597" s="139"/>
      <c r="U597" s="139"/>
      <c r="V597" s="139"/>
      <c r="W597" s="139"/>
      <c r="X597" s="139"/>
      <c r="Y597" s="139"/>
      <c r="Z597" s="139"/>
      <c r="AA597" s="139"/>
      <c r="AB597" s="139"/>
      <c r="AC597" s="139"/>
      <c r="AD597" s="139"/>
      <c r="AE597" s="139"/>
      <c r="AF597" s="139"/>
      <c r="AG597" s="139"/>
      <c r="AH597" s="139"/>
      <c r="AI597" s="139"/>
      <c r="AJ597" s="139"/>
    </row>
    <row r="598">
      <c r="A598" s="9"/>
      <c r="B598" s="139"/>
      <c r="C598" s="139"/>
      <c r="D598" s="139"/>
      <c r="E598" s="139"/>
      <c r="F598" s="139"/>
      <c r="G598" s="139"/>
      <c r="H598" s="139"/>
      <c r="I598" s="139"/>
      <c r="J598" s="139"/>
      <c r="K598" s="139"/>
      <c r="L598" s="139"/>
      <c r="M598" s="139"/>
      <c r="N598" s="139"/>
      <c r="O598" s="139"/>
      <c r="P598" s="139"/>
      <c r="Q598" s="139"/>
      <c r="R598" s="139"/>
      <c r="S598" s="139"/>
      <c r="T598" s="139"/>
      <c r="U598" s="139"/>
      <c r="V598" s="139"/>
      <c r="W598" s="139"/>
      <c r="X598" s="139"/>
      <c r="Y598" s="139"/>
      <c r="Z598" s="139"/>
      <c r="AA598" s="139"/>
      <c r="AB598" s="139"/>
      <c r="AC598" s="139"/>
      <c r="AD598" s="139"/>
      <c r="AE598" s="139"/>
      <c r="AF598" s="139"/>
      <c r="AG598" s="139"/>
      <c r="AH598" s="139"/>
      <c r="AI598" s="139"/>
      <c r="AJ598" s="139"/>
    </row>
    <row r="599">
      <c r="A599" s="9"/>
      <c r="B599" s="139"/>
      <c r="C599" s="139"/>
      <c r="D599" s="139"/>
      <c r="E599" s="139"/>
      <c r="F599" s="139"/>
      <c r="G599" s="139"/>
      <c r="H599" s="139"/>
      <c r="I599" s="139"/>
      <c r="J599" s="139"/>
      <c r="K599" s="139"/>
      <c r="L599" s="139"/>
      <c r="M599" s="139"/>
      <c r="N599" s="139"/>
      <c r="O599" s="139"/>
      <c r="P599" s="139"/>
      <c r="Q599" s="139"/>
      <c r="R599" s="139"/>
      <c r="S599" s="139"/>
      <c r="T599" s="139"/>
      <c r="U599" s="139"/>
      <c r="V599" s="139"/>
      <c r="W599" s="139"/>
      <c r="X599" s="139"/>
      <c r="Y599" s="139"/>
      <c r="Z599" s="139"/>
      <c r="AA599" s="139"/>
      <c r="AB599" s="139"/>
      <c r="AC599" s="139"/>
      <c r="AD599" s="139"/>
      <c r="AE599" s="139"/>
      <c r="AF599" s="139"/>
      <c r="AG599" s="139"/>
      <c r="AH599" s="139"/>
      <c r="AI599" s="139"/>
      <c r="AJ599" s="139"/>
    </row>
    <row r="600">
      <c r="A600" s="9"/>
      <c r="B600" s="139"/>
      <c r="C600" s="139"/>
      <c r="D600" s="139"/>
      <c r="E600" s="139"/>
      <c r="F600" s="139"/>
      <c r="G600" s="139"/>
      <c r="H600" s="139"/>
      <c r="I600" s="139"/>
      <c r="J600" s="139"/>
      <c r="K600" s="139"/>
      <c r="L600" s="139"/>
      <c r="M600" s="139"/>
      <c r="N600" s="139"/>
      <c r="O600" s="139"/>
      <c r="P600" s="139"/>
      <c r="Q600" s="139"/>
      <c r="R600" s="139"/>
      <c r="S600" s="139"/>
      <c r="T600" s="139"/>
      <c r="U600" s="139"/>
      <c r="V600" s="139"/>
      <c r="W600" s="139"/>
      <c r="X600" s="139"/>
      <c r="Y600" s="139"/>
      <c r="Z600" s="139"/>
      <c r="AA600" s="139"/>
      <c r="AB600" s="139"/>
      <c r="AC600" s="139"/>
      <c r="AD600" s="139"/>
      <c r="AE600" s="139"/>
      <c r="AF600" s="139"/>
      <c r="AG600" s="139"/>
      <c r="AH600" s="139"/>
      <c r="AI600" s="139"/>
      <c r="AJ600" s="139"/>
    </row>
    <row r="601">
      <c r="A601" s="9"/>
      <c r="B601" s="139"/>
      <c r="C601" s="139"/>
      <c r="D601" s="139"/>
      <c r="E601" s="139"/>
      <c r="F601" s="139"/>
      <c r="G601" s="139"/>
      <c r="H601" s="139"/>
      <c r="I601" s="139"/>
      <c r="J601" s="139"/>
      <c r="K601" s="139"/>
      <c r="L601" s="139"/>
      <c r="M601" s="139"/>
      <c r="N601" s="139"/>
      <c r="O601" s="139"/>
      <c r="P601" s="139"/>
      <c r="Q601" s="139"/>
      <c r="R601" s="139"/>
      <c r="S601" s="139"/>
      <c r="T601" s="139"/>
      <c r="U601" s="139"/>
      <c r="V601" s="139"/>
      <c r="W601" s="139"/>
      <c r="X601" s="139"/>
      <c r="Y601" s="139"/>
      <c r="Z601" s="139"/>
      <c r="AA601" s="139"/>
      <c r="AB601" s="139"/>
      <c r="AC601" s="139"/>
      <c r="AD601" s="139"/>
      <c r="AE601" s="139"/>
      <c r="AF601" s="139"/>
      <c r="AG601" s="139"/>
      <c r="AH601" s="139"/>
      <c r="AI601" s="139"/>
      <c r="AJ601" s="139"/>
    </row>
    <row r="602">
      <c r="A602" s="9"/>
      <c r="B602" s="139"/>
      <c r="C602" s="139"/>
      <c r="D602" s="139"/>
      <c r="E602" s="139"/>
      <c r="F602" s="139"/>
      <c r="G602" s="139"/>
      <c r="H602" s="139"/>
      <c r="I602" s="139"/>
      <c r="J602" s="139"/>
      <c r="K602" s="139"/>
      <c r="L602" s="139"/>
      <c r="M602" s="139"/>
      <c r="N602" s="139"/>
      <c r="O602" s="139"/>
      <c r="P602" s="139"/>
      <c r="Q602" s="139"/>
      <c r="R602" s="139"/>
      <c r="S602" s="139"/>
      <c r="T602" s="139"/>
      <c r="U602" s="139"/>
      <c r="V602" s="139"/>
      <c r="W602" s="139"/>
      <c r="X602" s="139"/>
      <c r="Y602" s="139"/>
      <c r="Z602" s="139"/>
      <c r="AA602" s="139"/>
      <c r="AB602" s="139"/>
      <c r="AC602" s="139"/>
      <c r="AD602" s="139"/>
      <c r="AE602" s="139"/>
      <c r="AF602" s="139"/>
      <c r="AG602" s="139"/>
      <c r="AH602" s="139"/>
      <c r="AI602" s="139"/>
      <c r="AJ602" s="139"/>
    </row>
    <row r="603">
      <c r="A603" s="9"/>
      <c r="B603" s="139"/>
      <c r="C603" s="139"/>
      <c r="D603" s="139"/>
      <c r="E603" s="139"/>
      <c r="F603" s="139"/>
      <c r="G603" s="139"/>
      <c r="H603" s="139"/>
      <c r="I603" s="139"/>
      <c r="J603" s="139"/>
      <c r="K603" s="139"/>
      <c r="L603" s="139"/>
      <c r="M603" s="139"/>
      <c r="N603" s="139"/>
      <c r="O603" s="139"/>
      <c r="P603" s="139"/>
      <c r="Q603" s="139"/>
      <c r="R603" s="139"/>
      <c r="S603" s="139"/>
      <c r="T603" s="139"/>
      <c r="U603" s="139"/>
      <c r="V603" s="139"/>
      <c r="W603" s="139"/>
      <c r="X603" s="139"/>
      <c r="Y603" s="139"/>
      <c r="Z603" s="139"/>
      <c r="AA603" s="139"/>
      <c r="AB603" s="139"/>
      <c r="AC603" s="139"/>
      <c r="AD603" s="139"/>
      <c r="AE603" s="139"/>
      <c r="AF603" s="139"/>
      <c r="AG603" s="139"/>
      <c r="AH603" s="139"/>
      <c r="AI603" s="139"/>
      <c r="AJ603" s="139"/>
    </row>
    <row r="604">
      <c r="A604" s="9"/>
      <c r="B604" s="139"/>
      <c r="C604" s="139"/>
      <c r="D604" s="139"/>
      <c r="E604" s="139"/>
      <c r="F604" s="139"/>
      <c r="G604" s="139"/>
      <c r="H604" s="139"/>
      <c r="I604" s="139"/>
      <c r="J604" s="139"/>
      <c r="K604" s="139"/>
      <c r="L604" s="139"/>
      <c r="M604" s="139"/>
      <c r="N604" s="139"/>
      <c r="O604" s="139"/>
      <c r="P604" s="139"/>
      <c r="Q604" s="139"/>
      <c r="R604" s="139"/>
      <c r="S604" s="139"/>
      <c r="T604" s="139"/>
      <c r="U604" s="139"/>
      <c r="V604" s="139"/>
      <c r="W604" s="139"/>
      <c r="X604" s="139"/>
      <c r="Y604" s="139"/>
      <c r="Z604" s="139"/>
      <c r="AA604" s="139"/>
      <c r="AB604" s="139"/>
      <c r="AC604" s="139"/>
      <c r="AD604" s="139"/>
      <c r="AE604" s="139"/>
      <c r="AF604" s="139"/>
      <c r="AG604" s="139"/>
      <c r="AH604" s="139"/>
      <c r="AI604" s="139"/>
      <c r="AJ604" s="139"/>
    </row>
    <row r="605">
      <c r="A605" s="9"/>
      <c r="B605" s="139"/>
      <c r="C605" s="139"/>
      <c r="D605" s="139"/>
      <c r="E605" s="139"/>
      <c r="F605" s="139"/>
      <c r="G605" s="139"/>
      <c r="H605" s="139"/>
      <c r="I605" s="139"/>
      <c r="J605" s="139"/>
      <c r="K605" s="139"/>
      <c r="L605" s="139"/>
      <c r="M605" s="139"/>
      <c r="N605" s="139"/>
      <c r="O605" s="139"/>
      <c r="P605" s="139"/>
      <c r="Q605" s="139"/>
      <c r="R605" s="139"/>
      <c r="S605" s="139"/>
      <c r="T605" s="139"/>
      <c r="U605" s="139"/>
      <c r="V605" s="139"/>
      <c r="W605" s="139"/>
      <c r="X605" s="139"/>
      <c r="Y605" s="139"/>
      <c r="Z605" s="139"/>
      <c r="AA605" s="139"/>
      <c r="AB605" s="139"/>
      <c r="AC605" s="139"/>
      <c r="AD605" s="139"/>
      <c r="AE605" s="139"/>
      <c r="AF605" s="139"/>
      <c r="AG605" s="139"/>
      <c r="AH605" s="139"/>
      <c r="AI605" s="139"/>
      <c r="AJ605" s="139"/>
    </row>
    <row r="606">
      <c r="A606" s="9"/>
      <c r="B606" s="139"/>
      <c r="C606" s="139"/>
      <c r="D606" s="139"/>
      <c r="E606" s="139"/>
      <c r="F606" s="139"/>
      <c r="G606" s="139"/>
      <c r="H606" s="139"/>
      <c r="I606" s="139"/>
      <c r="J606" s="139"/>
      <c r="K606" s="139"/>
      <c r="L606" s="139"/>
      <c r="M606" s="139"/>
      <c r="N606" s="139"/>
      <c r="O606" s="139"/>
      <c r="P606" s="139"/>
      <c r="Q606" s="139"/>
      <c r="R606" s="139"/>
      <c r="S606" s="139"/>
      <c r="T606" s="139"/>
      <c r="U606" s="139"/>
      <c r="V606" s="139"/>
      <c r="W606" s="139"/>
      <c r="X606" s="139"/>
      <c r="Y606" s="139"/>
      <c r="Z606" s="139"/>
      <c r="AA606" s="139"/>
      <c r="AB606" s="139"/>
      <c r="AC606" s="139"/>
      <c r="AD606" s="139"/>
      <c r="AE606" s="139"/>
      <c r="AF606" s="139"/>
      <c r="AG606" s="139"/>
      <c r="AH606" s="139"/>
      <c r="AI606" s="139"/>
      <c r="AJ606" s="139"/>
    </row>
    <row r="607">
      <c r="A607" s="9"/>
      <c r="B607" s="139"/>
      <c r="C607" s="139"/>
      <c r="D607" s="139"/>
      <c r="E607" s="139"/>
      <c r="F607" s="139"/>
      <c r="G607" s="139"/>
      <c r="H607" s="139"/>
      <c r="I607" s="139"/>
      <c r="J607" s="139"/>
      <c r="K607" s="139"/>
      <c r="L607" s="139"/>
      <c r="M607" s="139"/>
      <c r="N607" s="139"/>
      <c r="O607" s="139"/>
      <c r="P607" s="139"/>
      <c r="Q607" s="139"/>
      <c r="R607" s="139"/>
      <c r="S607" s="139"/>
      <c r="T607" s="139"/>
      <c r="U607" s="139"/>
      <c r="V607" s="139"/>
      <c r="W607" s="139"/>
      <c r="X607" s="139"/>
      <c r="Y607" s="139"/>
      <c r="Z607" s="139"/>
      <c r="AA607" s="139"/>
      <c r="AB607" s="139"/>
      <c r="AC607" s="139"/>
      <c r="AD607" s="139"/>
      <c r="AE607" s="139"/>
      <c r="AF607" s="139"/>
      <c r="AG607" s="139"/>
      <c r="AH607" s="139"/>
      <c r="AI607" s="139"/>
      <c r="AJ607" s="139"/>
    </row>
    <row r="608">
      <c r="A608" s="9"/>
      <c r="B608" s="139"/>
      <c r="C608" s="139"/>
      <c r="D608" s="139"/>
      <c r="E608" s="139"/>
      <c r="F608" s="139"/>
      <c r="G608" s="139"/>
      <c r="H608" s="139"/>
      <c r="I608" s="139"/>
      <c r="J608" s="139"/>
      <c r="K608" s="139"/>
      <c r="L608" s="139"/>
      <c r="M608" s="139"/>
      <c r="N608" s="139"/>
      <c r="O608" s="139"/>
      <c r="P608" s="139"/>
      <c r="Q608" s="139"/>
      <c r="R608" s="139"/>
      <c r="S608" s="139"/>
      <c r="T608" s="139"/>
      <c r="U608" s="139"/>
      <c r="V608" s="139"/>
      <c r="W608" s="139"/>
      <c r="X608" s="139"/>
      <c r="Y608" s="139"/>
      <c r="Z608" s="139"/>
      <c r="AA608" s="139"/>
      <c r="AB608" s="139"/>
      <c r="AC608" s="139"/>
      <c r="AD608" s="139"/>
      <c r="AE608" s="139"/>
      <c r="AF608" s="139"/>
      <c r="AG608" s="139"/>
      <c r="AH608" s="139"/>
      <c r="AI608" s="139"/>
      <c r="AJ608" s="139"/>
    </row>
    <row r="609">
      <c r="A609" s="9"/>
      <c r="B609" s="139"/>
      <c r="C609" s="139"/>
      <c r="D609" s="139"/>
      <c r="E609" s="139"/>
      <c r="F609" s="139"/>
      <c r="G609" s="139"/>
      <c r="H609" s="139"/>
      <c r="I609" s="139"/>
      <c r="J609" s="139"/>
      <c r="K609" s="139"/>
      <c r="L609" s="139"/>
      <c r="M609" s="139"/>
      <c r="N609" s="139"/>
      <c r="O609" s="139"/>
      <c r="P609" s="139"/>
      <c r="Q609" s="139"/>
      <c r="R609" s="139"/>
      <c r="S609" s="139"/>
      <c r="T609" s="139"/>
      <c r="U609" s="139"/>
      <c r="V609" s="139"/>
      <c r="W609" s="139"/>
      <c r="X609" s="139"/>
      <c r="Y609" s="139"/>
      <c r="Z609" s="139"/>
      <c r="AA609" s="139"/>
      <c r="AB609" s="139"/>
      <c r="AC609" s="139"/>
      <c r="AD609" s="139"/>
      <c r="AE609" s="139"/>
      <c r="AF609" s="139"/>
      <c r="AG609" s="139"/>
      <c r="AH609" s="139"/>
      <c r="AI609" s="139"/>
      <c r="AJ609" s="139"/>
    </row>
    <row r="610">
      <c r="A610" s="9"/>
      <c r="B610" s="139"/>
      <c r="C610" s="139"/>
      <c r="D610" s="139"/>
      <c r="E610" s="139"/>
      <c r="F610" s="139"/>
      <c r="G610" s="139"/>
      <c r="H610" s="139"/>
      <c r="I610" s="139"/>
      <c r="J610" s="139"/>
      <c r="K610" s="139"/>
      <c r="L610" s="139"/>
      <c r="M610" s="139"/>
      <c r="N610" s="139"/>
      <c r="O610" s="139"/>
      <c r="P610" s="139"/>
      <c r="Q610" s="139"/>
      <c r="R610" s="139"/>
      <c r="S610" s="139"/>
      <c r="T610" s="139"/>
      <c r="U610" s="139"/>
      <c r="V610" s="139"/>
      <c r="W610" s="139"/>
      <c r="X610" s="139"/>
      <c r="Y610" s="139"/>
      <c r="Z610" s="139"/>
      <c r="AA610" s="139"/>
      <c r="AB610" s="139"/>
      <c r="AC610" s="139"/>
      <c r="AD610" s="139"/>
      <c r="AE610" s="139"/>
      <c r="AF610" s="139"/>
      <c r="AG610" s="139"/>
      <c r="AH610" s="139"/>
      <c r="AI610" s="139"/>
      <c r="AJ610" s="139"/>
    </row>
    <row r="611">
      <c r="A611" s="9"/>
      <c r="B611" s="139"/>
      <c r="C611" s="139"/>
      <c r="D611" s="139"/>
      <c r="E611" s="139"/>
      <c r="F611" s="139"/>
      <c r="G611" s="139"/>
      <c r="H611" s="139"/>
      <c r="I611" s="139"/>
      <c r="J611" s="139"/>
      <c r="K611" s="139"/>
      <c r="L611" s="139"/>
      <c r="M611" s="139"/>
      <c r="N611" s="139"/>
      <c r="O611" s="139"/>
      <c r="P611" s="139"/>
      <c r="Q611" s="139"/>
      <c r="R611" s="139"/>
      <c r="S611" s="139"/>
      <c r="T611" s="139"/>
      <c r="U611" s="139"/>
      <c r="V611" s="139"/>
      <c r="W611" s="139"/>
      <c r="X611" s="139"/>
      <c r="Y611" s="139"/>
      <c r="Z611" s="139"/>
      <c r="AA611" s="139"/>
      <c r="AB611" s="139"/>
      <c r="AC611" s="139"/>
      <c r="AD611" s="139"/>
      <c r="AE611" s="139"/>
      <c r="AF611" s="139"/>
      <c r="AG611" s="139"/>
      <c r="AH611" s="139"/>
      <c r="AI611" s="139"/>
      <c r="AJ611" s="139"/>
    </row>
    <row r="612">
      <c r="A612" s="9"/>
      <c r="B612" s="139"/>
      <c r="C612" s="139"/>
      <c r="D612" s="139"/>
      <c r="E612" s="139"/>
      <c r="F612" s="139"/>
      <c r="G612" s="139"/>
      <c r="H612" s="139"/>
      <c r="I612" s="139"/>
      <c r="J612" s="139"/>
      <c r="K612" s="139"/>
      <c r="L612" s="139"/>
      <c r="M612" s="139"/>
      <c r="N612" s="139"/>
      <c r="O612" s="139"/>
      <c r="P612" s="139"/>
      <c r="Q612" s="139"/>
      <c r="R612" s="139"/>
      <c r="S612" s="139"/>
      <c r="T612" s="139"/>
      <c r="U612" s="139"/>
      <c r="V612" s="139"/>
      <c r="W612" s="139"/>
      <c r="X612" s="139"/>
      <c r="Y612" s="139"/>
      <c r="Z612" s="139"/>
      <c r="AA612" s="139"/>
      <c r="AB612" s="139"/>
      <c r="AC612" s="139"/>
      <c r="AD612" s="139"/>
      <c r="AE612" s="139"/>
      <c r="AF612" s="139"/>
      <c r="AG612" s="139"/>
      <c r="AH612" s="139"/>
      <c r="AI612" s="139"/>
      <c r="AJ612" s="139"/>
    </row>
    <row r="613">
      <c r="A613" s="9"/>
      <c r="B613" s="139"/>
      <c r="C613" s="139"/>
      <c r="D613" s="139"/>
      <c r="E613" s="139"/>
      <c r="F613" s="139"/>
      <c r="G613" s="139"/>
      <c r="H613" s="139"/>
      <c r="I613" s="139"/>
      <c r="J613" s="139"/>
      <c r="K613" s="139"/>
      <c r="L613" s="139"/>
      <c r="M613" s="139"/>
      <c r="N613" s="139"/>
      <c r="O613" s="139"/>
      <c r="P613" s="139"/>
      <c r="Q613" s="139"/>
      <c r="R613" s="139"/>
      <c r="S613" s="139"/>
      <c r="T613" s="139"/>
      <c r="U613" s="139"/>
      <c r="V613" s="139"/>
      <c r="W613" s="139"/>
      <c r="X613" s="139"/>
      <c r="Y613" s="139"/>
      <c r="Z613" s="139"/>
      <c r="AA613" s="139"/>
      <c r="AB613" s="139"/>
      <c r="AC613" s="139"/>
      <c r="AD613" s="139"/>
      <c r="AE613" s="139"/>
      <c r="AF613" s="139"/>
      <c r="AG613" s="139"/>
      <c r="AH613" s="139"/>
      <c r="AI613" s="139"/>
      <c r="AJ613" s="139"/>
    </row>
    <row r="614">
      <c r="A614" s="9"/>
      <c r="B614" s="139"/>
      <c r="C614" s="139"/>
      <c r="D614" s="139"/>
      <c r="E614" s="139"/>
      <c r="F614" s="139"/>
      <c r="G614" s="139"/>
      <c r="H614" s="139"/>
      <c r="I614" s="139"/>
      <c r="J614" s="139"/>
      <c r="K614" s="139"/>
      <c r="L614" s="139"/>
      <c r="M614" s="139"/>
      <c r="N614" s="139"/>
      <c r="O614" s="139"/>
      <c r="P614" s="139"/>
      <c r="Q614" s="139"/>
      <c r="R614" s="139"/>
      <c r="S614" s="139"/>
      <c r="T614" s="139"/>
      <c r="U614" s="139"/>
      <c r="V614" s="139"/>
      <c r="W614" s="139"/>
      <c r="X614" s="139"/>
      <c r="Y614" s="139"/>
      <c r="Z614" s="139"/>
      <c r="AA614" s="139"/>
      <c r="AB614" s="139"/>
      <c r="AC614" s="139"/>
      <c r="AD614" s="139"/>
      <c r="AE614" s="139"/>
      <c r="AF614" s="139"/>
      <c r="AG614" s="139"/>
      <c r="AH614" s="139"/>
      <c r="AI614" s="139"/>
      <c r="AJ614" s="139"/>
    </row>
    <row r="615">
      <c r="A615" s="9"/>
      <c r="B615" s="139"/>
      <c r="C615" s="139"/>
      <c r="D615" s="139"/>
      <c r="E615" s="139"/>
      <c r="F615" s="139"/>
      <c r="G615" s="139"/>
      <c r="H615" s="139"/>
      <c r="I615" s="139"/>
      <c r="J615" s="139"/>
      <c r="K615" s="139"/>
      <c r="L615" s="139"/>
      <c r="M615" s="139"/>
      <c r="N615" s="139"/>
      <c r="O615" s="139"/>
      <c r="P615" s="139"/>
      <c r="Q615" s="139"/>
      <c r="R615" s="139"/>
      <c r="S615" s="139"/>
      <c r="T615" s="139"/>
      <c r="U615" s="139"/>
      <c r="V615" s="139"/>
      <c r="W615" s="139"/>
      <c r="X615" s="139"/>
      <c r="Y615" s="139"/>
      <c r="Z615" s="139"/>
      <c r="AA615" s="139"/>
      <c r="AB615" s="139"/>
      <c r="AC615" s="139"/>
      <c r="AD615" s="139"/>
      <c r="AE615" s="139"/>
      <c r="AF615" s="139"/>
      <c r="AG615" s="139"/>
      <c r="AH615" s="139"/>
      <c r="AI615" s="139"/>
      <c r="AJ615" s="139"/>
    </row>
    <row r="616">
      <c r="A616" s="9"/>
      <c r="B616" s="139"/>
      <c r="C616" s="139"/>
      <c r="D616" s="139"/>
      <c r="E616" s="139"/>
      <c r="F616" s="139"/>
      <c r="G616" s="139"/>
      <c r="H616" s="139"/>
      <c r="I616" s="139"/>
      <c r="J616" s="139"/>
      <c r="K616" s="139"/>
      <c r="L616" s="139"/>
      <c r="M616" s="139"/>
      <c r="N616" s="139"/>
      <c r="O616" s="139"/>
      <c r="P616" s="139"/>
      <c r="Q616" s="139"/>
      <c r="R616" s="139"/>
      <c r="S616" s="139"/>
      <c r="T616" s="139"/>
      <c r="U616" s="139"/>
      <c r="V616" s="139"/>
      <c r="W616" s="139"/>
      <c r="X616" s="139"/>
      <c r="Y616" s="139"/>
      <c r="Z616" s="139"/>
      <c r="AA616" s="139"/>
      <c r="AB616" s="139"/>
      <c r="AC616" s="139"/>
      <c r="AD616" s="139"/>
      <c r="AE616" s="139"/>
      <c r="AF616" s="139"/>
      <c r="AG616" s="139"/>
      <c r="AH616" s="139"/>
      <c r="AI616" s="139"/>
      <c r="AJ616" s="139"/>
    </row>
    <row r="617">
      <c r="A617" s="9"/>
      <c r="B617" s="139"/>
      <c r="C617" s="139"/>
      <c r="D617" s="139"/>
      <c r="E617" s="139"/>
      <c r="F617" s="139"/>
      <c r="G617" s="139"/>
      <c r="H617" s="139"/>
      <c r="I617" s="139"/>
      <c r="J617" s="139"/>
      <c r="K617" s="139"/>
      <c r="L617" s="139"/>
      <c r="M617" s="139"/>
      <c r="N617" s="139"/>
      <c r="O617" s="139"/>
      <c r="P617" s="139"/>
      <c r="Q617" s="139"/>
      <c r="R617" s="139"/>
      <c r="S617" s="139"/>
      <c r="T617" s="139"/>
      <c r="U617" s="139"/>
      <c r="V617" s="139"/>
      <c r="W617" s="139"/>
      <c r="X617" s="139"/>
      <c r="Y617" s="139"/>
      <c r="Z617" s="139"/>
      <c r="AA617" s="139"/>
      <c r="AB617" s="139"/>
      <c r="AC617" s="139"/>
      <c r="AD617" s="139"/>
      <c r="AE617" s="139"/>
      <c r="AF617" s="139"/>
      <c r="AG617" s="139"/>
      <c r="AH617" s="139"/>
      <c r="AI617" s="139"/>
      <c r="AJ617" s="139"/>
    </row>
    <row r="618">
      <c r="A618" s="9"/>
      <c r="B618" s="139"/>
      <c r="C618" s="139"/>
      <c r="D618" s="139"/>
      <c r="E618" s="139"/>
      <c r="F618" s="139"/>
      <c r="G618" s="139"/>
      <c r="H618" s="139"/>
      <c r="I618" s="139"/>
      <c r="J618" s="139"/>
      <c r="K618" s="139"/>
      <c r="L618" s="139"/>
      <c r="M618" s="139"/>
      <c r="N618" s="139"/>
      <c r="O618" s="139"/>
      <c r="P618" s="139"/>
      <c r="Q618" s="139"/>
      <c r="R618" s="139"/>
      <c r="S618" s="139"/>
      <c r="T618" s="139"/>
      <c r="U618" s="139"/>
      <c r="V618" s="139"/>
      <c r="W618" s="139"/>
      <c r="X618" s="139"/>
      <c r="Y618" s="139"/>
      <c r="Z618" s="139"/>
      <c r="AA618" s="139"/>
      <c r="AB618" s="139"/>
      <c r="AC618" s="139"/>
      <c r="AD618" s="139"/>
      <c r="AE618" s="139"/>
      <c r="AF618" s="139"/>
      <c r="AG618" s="139"/>
      <c r="AH618" s="139"/>
      <c r="AI618" s="139"/>
      <c r="AJ618" s="139"/>
    </row>
    <row r="619">
      <c r="A619" s="9"/>
      <c r="B619" s="139"/>
      <c r="C619" s="139"/>
      <c r="D619" s="139"/>
      <c r="E619" s="139"/>
      <c r="F619" s="139"/>
      <c r="G619" s="139"/>
      <c r="H619" s="139"/>
      <c r="I619" s="139"/>
      <c r="J619" s="139"/>
      <c r="K619" s="139"/>
      <c r="L619" s="139"/>
      <c r="M619" s="139"/>
      <c r="N619" s="139"/>
      <c r="O619" s="139"/>
      <c r="P619" s="139"/>
      <c r="Q619" s="139"/>
      <c r="R619" s="139"/>
      <c r="S619" s="139"/>
      <c r="T619" s="139"/>
      <c r="U619" s="139"/>
      <c r="V619" s="139"/>
      <c r="W619" s="139"/>
      <c r="X619" s="139"/>
      <c r="Y619" s="139"/>
      <c r="Z619" s="139"/>
      <c r="AA619" s="139"/>
      <c r="AB619" s="139"/>
      <c r="AC619" s="139"/>
      <c r="AD619" s="139"/>
      <c r="AE619" s="139"/>
      <c r="AF619" s="139"/>
      <c r="AG619" s="139"/>
      <c r="AH619" s="139"/>
      <c r="AI619" s="139"/>
      <c r="AJ619" s="139"/>
    </row>
    <row r="620">
      <c r="A620" s="9"/>
      <c r="B620" s="139"/>
      <c r="C620" s="139"/>
      <c r="D620" s="139"/>
      <c r="E620" s="139"/>
      <c r="F620" s="139"/>
      <c r="G620" s="139"/>
      <c r="H620" s="139"/>
      <c r="I620" s="139"/>
      <c r="J620" s="139"/>
      <c r="K620" s="139"/>
      <c r="L620" s="139"/>
      <c r="M620" s="139"/>
      <c r="N620" s="139"/>
      <c r="O620" s="139"/>
      <c r="P620" s="139"/>
      <c r="Q620" s="139"/>
      <c r="R620" s="139"/>
      <c r="S620" s="139"/>
      <c r="T620" s="139"/>
      <c r="U620" s="139"/>
      <c r="V620" s="139"/>
      <c r="W620" s="139"/>
      <c r="X620" s="139"/>
      <c r="Y620" s="139"/>
      <c r="Z620" s="139"/>
      <c r="AA620" s="139"/>
      <c r="AB620" s="139"/>
      <c r="AC620" s="139"/>
      <c r="AD620" s="139"/>
      <c r="AE620" s="139"/>
      <c r="AF620" s="139"/>
      <c r="AG620" s="139"/>
      <c r="AH620" s="139"/>
      <c r="AI620" s="139"/>
      <c r="AJ620" s="139"/>
    </row>
    <row r="621">
      <c r="A621" s="9"/>
      <c r="B621" s="139"/>
      <c r="C621" s="139"/>
      <c r="D621" s="139"/>
      <c r="E621" s="139"/>
      <c r="F621" s="139"/>
      <c r="G621" s="139"/>
      <c r="H621" s="139"/>
      <c r="I621" s="139"/>
      <c r="J621" s="139"/>
      <c r="K621" s="139"/>
      <c r="L621" s="139"/>
      <c r="M621" s="139"/>
      <c r="N621" s="139"/>
      <c r="O621" s="139"/>
      <c r="P621" s="139"/>
      <c r="Q621" s="139"/>
      <c r="R621" s="139"/>
      <c r="S621" s="139"/>
      <c r="T621" s="139"/>
      <c r="U621" s="139"/>
      <c r="V621" s="139"/>
      <c r="W621" s="139"/>
      <c r="X621" s="139"/>
      <c r="Y621" s="139"/>
      <c r="Z621" s="139"/>
      <c r="AA621" s="139"/>
      <c r="AB621" s="139"/>
      <c r="AC621" s="139"/>
      <c r="AD621" s="139"/>
      <c r="AE621" s="139"/>
      <c r="AF621" s="139"/>
      <c r="AG621" s="139"/>
      <c r="AH621" s="139"/>
      <c r="AI621" s="139"/>
      <c r="AJ621" s="139"/>
    </row>
    <row r="622">
      <c r="A622" s="9"/>
      <c r="B622" s="139"/>
      <c r="C622" s="139"/>
      <c r="D622" s="139"/>
      <c r="E622" s="139"/>
      <c r="F622" s="139"/>
      <c r="G622" s="139"/>
      <c r="H622" s="139"/>
      <c r="I622" s="139"/>
      <c r="J622" s="139"/>
      <c r="K622" s="139"/>
      <c r="L622" s="139"/>
      <c r="M622" s="139"/>
      <c r="N622" s="139"/>
      <c r="O622" s="139"/>
      <c r="P622" s="139"/>
      <c r="Q622" s="139"/>
      <c r="R622" s="139"/>
      <c r="S622" s="139"/>
      <c r="T622" s="139"/>
      <c r="U622" s="139"/>
      <c r="V622" s="139"/>
      <c r="W622" s="139"/>
      <c r="X622" s="139"/>
      <c r="Y622" s="139"/>
      <c r="Z622" s="139"/>
      <c r="AA622" s="139"/>
      <c r="AB622" s="139"/>
      <c r="AC622" s="139"/>
      <c r="AD622" s="139"/>
      <c r="AE622" s="139"/>
      <c r="AF622" s="139"/>
      <c r="AG622" s="139"/>
      <c r="AH622" s="139"/>
      <c r="AI622" s="139"/>
      <c r="AJ622" s="139"/>
    </row>
    <row r="623">
      <c r="A623" s="9"/>
      <c r="B623" s="139"/>
      <c r="C623" s="139"/>
      <c r="D623" s="139"/>
      <c r="E623" s="139"/>
      <c r="F623" s="139"/>
      <c r="G623" s="139"/>
      <c r="H623" s="139"/>
      <c r="I623" s="139"/>
      <c r="J623" s="139"/>
      <c r="K623" s="139"/>
      <c r="L623" s="139"/>
      <c r="M623" s="139"/>
      <c r="N623" s="139"/>
      <c r="O623" s="139"/>
      <c r="P623" s="139"/>
      <c r="Q623" s="139"/>
      <c r="R623" s="139"/>
      <c r="S623" s="139"/>
      <c r="T623" s="139"/>
      <c r="U623" s="139"/>
      <c r="V623" s="139"/>
      <c r="W623" s="139"/>
      <c r="X623" s="139"/>
      <c r="Y623" s="139"/>
      <c r="Z623" s="139"/>
      <c r="AA623" s="139"/>
      <c r="AB623" s="139"/>
      <c r="AC623" s="139"/>
      <c r="AD623" s="139"/>
      <c r="AE623" s="139"/>
      <c r="AF623" s="139"/>
      <c r="AG623" s="139"/>
      <c r="AH623" s="139"/>
      <c r="AI623" s="139"/>
      <c r="AJ623" s="139"/>
    </row>
    <row r="624">
      <c r="A624" s="9"/>
      <c r="B624" s="139"/>
      <c r="C624" s="139"/>
      <c r="D624" s="139"/>
      <c r="E624" s="139"/>
      <c r="F624" s="139"/>
      <c r="G624" s="139"/>
      <c r="H624" s="139"/>
      <c r="I624" s="139"/>
      <c r="J624" s="139"/>
      <c r="K624" s="139"/>
      <c r="L624" s="139"/>
      <c r="M624" s="139"/>
      <c r="N624" s="139"/>
      <c r="O624" s="139"/>
      <c r="P624" s="139"/>
      <c r="Q624" s="139"/>
      <c r="R624" s="139"/>
      <c r="S624" s="139"/>
      <c r="T624" s="139"/>
      <c r="U624" s="139"/>
      <c r="V624" s="139"/>
      <c r="W624" s="139"/>
      <c r="X624" s="139"/>
      <c r="Y624" s="139"/>
      <c r="Z624" s="139"/>
      <c r="AA624" s="139"/>
      <c r="AB624" s="139"/>
      <c r="AC624" s="139"/>
      <c r="AD624" s="139"/>
      <c r="AE624" s="139"/>
      <c r="AF624" s="139"/>
      <c r="AG624" s="139"/>
      <c r="AH624" s="139"/>
      <c r="AI624" s="139"/>
      <c r="AJ624" s="139"/>
    </row>
    <row r="625">
      <c r="A625" s="9"/>
      <c r="B625" s="139"/>
      <c r="C625" s="139"/>
      <c r="D625" s="139"/>
      <c r="E625" s="139"/>
      <c r="F625" s="139"/>
      <c r="G625" s="139"/>
      <c r="H625" s="139"/>
      <c r="I625" s="139"/>
      <c r="J625" s="139"/>
      <c r="K625" s="139"/>
      <c r="L625" s="139"/>
      <c r="M625" s="139"/>
      <c r="N625" s="139"/>
      <c r="O625" s="139"/>
      <c r="P625" s="139"/>
      <c r="Q625" s="139"/>
      <c r="R625" s="139"/>
      <c r="S625" s="139"/>
      <c r="T625" s="139"/>
      <c r="U625" s="139"/>
      <c r="V625" s="139"/>
      <c r="W625" s="139"/>
      <c r="X625" s="139"/>
      <c r="Y625" s="139"/>
      <c r="Z625" s="139"/>
      <c r="AA625" s="139"/>
      <c r="AB625" s="139"/>
      <c r="AC625" s="139"/>
      <c r="AD625" s="139"/>
      <c r="AE625" s="139"/>
      <c r="AF625" s="139"/>
      <c r="AG625" s="139"/>
      <c r="AH625" s="139"/>
      <c r="AI625" s="139"/>
      <c r="AJ625" s="139"/>
    </row>
    <row r="626">
      <c r="A626" s="9"/>
      <c r="B626" s="139"/>
      <c r="C626" s="139"/>
      <c r="D626" s="139"/>
      <c r="E626" s="139"/>
      <c r="F626" s="139"/>
      <c r="G626" s="139"/>
      <c r="H626" s="139"/>
      <c r="I626" s="139"/>
      <c r="J626" s="139"/>
      <c r="K626" s="139"/>
      <c r="L626" s="139"/>
      <c r="M626" s="139"/>
      <c r="N626" s="139"/>
      <c r="O626" s="139"/>
      <c r="P626" s="139"/>
      <c r="Q626" s="139"/>
      <c r="R626" s="139"/>
      <c r="S626" s="139"/>
      <c r="T626" s="139"/>
      <c r="U626" s="139"/>
      <c r="V626" s="139"/>
      <c r="W626" s="139"/>
      <c r="X626" s="139"/>
      <c r="Y626" s="139"/>
      <c r="Z626" s="139"/>
      <c r="AA626" s="139"/>
      <c r="AB626" s="139"/>
      <c r="AC626" s="139"/>
      <c r="AD626" s="139"/>
      <c r="AE626" s="139"/>
      <c r="AF626" s="139"/>
      <c r="AG626" s="139"/>
      <c r="AH626" s="139"/>
      <c r="AI626" s="139"/>
      <c r="AJ626" s="139"/>
    </row>
    <row r="627">
      <c r="A627" s="9"/>
      <c r="B627" s="139"/>
      <c r="C627" s="139"/>
      <c r="D627" s="139"/>
      <c r="E627" s="139"/>
      <c r="F627" s="139"/>
      <c r="G627" s="139"/>
      <c r="H627" s="139"/>
      <c r="I627" s="139"/>
      <c r="J627" s="139"/>
      <c r="K627" s="139"/>
      <c r="L627" s="139"/>
      <c r="M627" s="139"/>
      <c r="N627" s="139"/>
      <c r="O627" s="139"/>
      <c r="P627" s="139"/>
      <c r="Q627" s="139"/>
      <c r="R627" s="139"/>
      <c r="S627" s="139"/>
      <c r="T627" s="139"/>
      <c r="U627" s="139"/>
      <c r="V627" s="139"/>
      <c r="W627" s="139"/>
      <c r="X627" s="139"/>
      <c r="Y627" s="139"/>
      <c r="Z627" s="139"/>
      <c r="AA627" s="139"/>
      <c r="AB627" s="139"/>
      <c r="AC627" s="139"/>
      <c r="AD627" s="139"/>
      <c r="AE627" s="139"/>
      <c r="AF627" s="139"/>
      <c r="AG627" s="139"/>
      <c r="AH627" s="139"/>
      <c r="AI627" s="139"/>
      <c r="AJ627" s="139"/>
    </row>
    <row r="628">
      <c r="A628" s="9"/>
      <c r="B628" s="139"/>
      <c r="C628" s="139"/>
      <c r="D628" s="139"/>
      <c r="E628" s="139"/>
      <c r="F628" s="139"/>
      <c r="G628" s="139"/>
      <c r="H628" s="139"/>
      <c r="I628" s="139"/>
      <c r="J628" s="139"/>
      <c r="K628" s="139"/>
      <c r="L628" s="139"/>
      <c r="M628" s="139"/>
      <c r="N628" s="139"/>
      <c r="O628" s="139"/>
      <c r="P628" s="139"/>
      <c r="Q628" s="139"/>
      <c r="R628" s="139"/>
      <c r="S628" s="139"/>
      <c r="T628" s="139"/>
      <c r="U628" s="139"/>
      <c r="V628" s="139"/>
      <c r="W628" s="139"/>
      <c r="X628" s="139"/>
      <c r="Y628" s="139"/>
      <c r="Z628" s="139"/>
      <c r="AA628" s="139"/>
      <c r="AB628" s="139"/>
      <c r="AC628" s="139"/>
      <c r="AD628" s="139"/>
      <c r="AE628" s="139"/>
      <c r="AF628" s="139"/>
      <c r="AG628" s="139"/>
      <c r="AH628" s="139"/>
      <c r="AI628" s="139"/>
      <c r="AJ628" s="139"/>
    </row>
    <row r="629">
      <c r="A629" s="9"/>
      <c r="B629" s="139"/>
      <c r="C629" s="139"/>
      <c r="D629" s="139"/>
      <c r="E629" s="139"/>
      <c r="F629" s="139"/>
      <c r="G629" s="139"/>
      <c r="H629" s="139"/>
      <c r="I629" s="139"/>
      <c r="J629" s="139"/>
      <c r="K629" s="139"/>
      <c r="L629" s="139"/>
      <c r="M629" s="139"/>
      <c r="N629" s="139"/>
      <c r="O629" s="139"/>
      <c r="P629" s="139"/>
      <c r="Q629" s="139"/>
      <c r="R629" s="139"/>
      <c r="S629" s="139"/>
      <c r="T629" s="139"/>
      <c r="U629" s="139"/>
      <c r="V629" s="139"/>
      <c r="W629" s="139"/>
      <c r="X629" s="139"/>
      <c r="Y629" s="139"/>
      <c r="Z629" s="139"/>
      <c r="AA629" s="139"/>
      <c r="AB629" s="139"/>
      <c r="AC629" s="139"/>
      <c r="AD629" s="139"/>
      <c r="AE629" s="139"/>
      <c r="AF629" s="139"/>
      <c r="AG629" s="139"/>
      <c r="AH629" s="139"/>
      <c r="AI629" s="139"/>
      <c r="AJ629" s="139"/>
    </row>
    <row r="630">
      <c r="A630" s="9"/>
      <c r="B630" s="139"/>
      <c r="C630" s="139"/>
      <c r="D630" s="139"/>
      <c r="E630" s="139"/>
      <c r="F630" s="139"/>
      <c r="G630" s="139"/>
      <c r="H630" s="139"/>
      <c r="I630" s="139"/>
      <c r="J630" s="139"/>
      <c r="K630" s="139"/>
      <c r="L630" s="139"/>
      <c r="M630" s="139"/>
      <c r="N630" s="139"/>
      <c r="O630" s="139"/>
      <c r="P630" s="139"/>
      <c r="Q630" s="139"/>
      <c r="R630" s="139"/>
      <c r="S630" s="139"/>
      <c r="T630" s="139"/>
      <c r="U630" s="139"/>
      <c r="V630" s="139"/>
      <c r="W630" s="139"/>
      <c r="X630" s="139"/>
      <c r="Y630" s="139"/>
      <c r="Z630" s="139"/>
      <c r="AA630" s="139"/>
      <c r="AB630" s="139"/>
      <c r="AC630" s="139"/>
      <c r="AD630" s="139"/>
      <c r="AE630" s="139"/>
      <c r="AF630" s="139"/>
      <c r="AG630" s="139"/>
      <c r="AH630" s="139"/>
      <c r="AI630" s="139"/>
      <c r="AJ630" s="139"/>
    </row>
    <row r="631">
      <c r="A631" s="9"/>
      <c r="B631" s="139"/>
      <c r="C631" s="139"/>
      <c r="D631" s="139"/>
      <c r="E631" s="139"/>
      <c r="F631" s="139"/>
      <c r="G631" s="139"/>
      <c r="H631" s="139"/>
      <c r="I631" s="139"/>
      <c r="J631" s="139"/>
      <c r="K631" s="139"/>
      <c r="L631" s="139"/>
      <c r="M631" s="139"/>
      <c r="N631" s="139"/>
      <c r="O631" s="139"/>
      <c r="P631" s="139"/>
      <c r="Q631" s="139"/>
      <c r="R631" s="139"/>
      <c r="S631" s="139"/>
      <c r="T631" s="139"/>
      <c r="U631" s="139"/>
      <c r="V631" s="139"/>
      <c r="W631" s="139"/>
      <c r="X631" s="139"/>
      <c r="Y631" s="139"/>
      <c r="Z631" s="139"/>
      <c r="AA631" s="139"/>
      <c r="AB631" s="139"/>
      <c r="AC631" s="139"/>
      <c r="AD631" s="139"/>
      <c r="AE631" s="139"/>
      <c r="AF631" s="139"/>
      <c r="AG631" s="139"/>
      <c r="AH631" s="139"/>
      <c r="AI631" s="139"/>
      <c r="AJ631" s="139"/>
    </row>
    <row r="632">
      <c r="A632" s="9"/>
      <c r="B632" s="139"/>
      <c r="C632" s="139"/>
      <c r="D632" s="139"/>
      <c r="E632" s="139"/>
      <c r="F632" s="139"/>
      <c r="G632" s="139"/>
      <c r="H632" s="139"/>
      <c r="I632" s="139"/>
      <c r="J632" s="139"/>
      <c r="K632" s="139"/>
      <c r="L632" s="139"/>
      <c r="M632" s="139"/>
      <c r="N632" s="139"/>
      <c r="O632" s="139"/>
      <c r="P632" s="139"/>
      <c r="Q632" s="139"/>
      <c r="R632" s="139"/>
      <c r="S632" s="139"/>
      <c r="T632" s="139"/>
      <c r="U632" s="139"/>
      <c r="V632" s="139"/>
      <c r="W632" s="139"/>
      <c r="X632" s="139"/>
      <c r="Y632" s="139"/>
      <c r="Z632" s="139"/>
      <c r="AA632" s="139"/>
      <c r="AB632" s="139"/>
      <c r="AC632" s="139"/>
      <c r="AD632" s="139"/>
      <c r="AE632" s="139"/>
      <c r="AF632" s="139"/>
      <c r="AG632" s="139"/>
      <c r="AH632" s="139"/>
      <c r="AI632" s="139"/>
      <c r="AJ632" s="139"/>
    </row>
    <row r="633">
      <c r="A633" s="9"/>
      <c r="B633" s="139"/>
      <c r="C633" s="139"/>
      <c r="D633" s="139"/>
      <c r="E633" s="139"/>
      <c r="F633" s="139"/>
      <c r="G633" s="139"/>
      <c r="H633" s="139"/>
      <c r="I633" s="139"/>
      <c r="J633" s="139"/>
      <c r="K633" s="139"/>
      <c r="L633" s="139"/>
      <c r="M633" s="139"/>
      <c r="N633" s="139"/>
      <c r="O633" s="139"/>
      <c r="P633" s="139"/>
      <c r="Q633" s="139"/>
      <c r="R633" s="139"/>
      <c r="S633" s="139"/>
      <c r="T633" s="139"/>
      <c r="U633" s="139"/>
      <c r="V633" s="139"/>
      <c r="W633" s="139"/>
      <c r="X633" s="139"/>
      <c r="Y633" s="139"/>
      <c r="Z633" s="139"/>
      <c r="AA633" s="139"/>
      <c r="AB633" s="139"/>
      <c r="AC633" s="139"/>
      <c r="AD633" s="139"/>
      <c r="AE633" s="139"/>
      <c r="AF633" s="139"/>
      <c r="AG633" s="139"/>
      <c r="AH633" s="139"/>
      <c r="AI633" s="139"/>
      <c r="AJ633" s="139"/>
    </row>
    <row r="634">
      <c r="A634" s="9"/>
      <c r="B634" s="139"/>
      <c r="C634" s="139"/>
      <c r="D634" s="139"/>
      <c r="E634" s="139"/>
      <c r="F634" s="139"/>
      <c r="G634" s="139"/>
      <c r="H634" s="139"/>
      <c r="I634" s="139"/>
      <c r="J634" s="139"/>
      <c r="K634" s="139"/>
      <c r="L634" s="139"/>
      <c r="M634" s="139"/>
      <c r="N634" s="139"/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39"/>
      <c r="AA634" s="139"/>
      <c r="AB634" s="139"/>
      <c r="AC634" s="139"/>
      <c r="AD634" s="139"/>
      <c r="AE634" s="139"/>
      <c r="AF634" s="139"/>
      <c r="AG634" s="139"/>
      <c r="AH634" s="139"/>
      <c r="AI634" s="139"/>
      <c r="AJ634" s="139"/>
    </row>
    <row r="635">
      <c r="A635" s="9"/>
      <c r="B635" s="139"/>
      <c r="C635" s="139"/>
      <c r="D635" s="139"/>
      <c r="E635" s="139"/>
      <c r="F635" s="139"/>
      <c r="G635" s="139"/>
      <c r="H635" s="139"/>
      <c r="I635" s="139"/>
      <c r="J635" s="139"/>
      <c r="K635" s="139"/>
      <c r="L635" s="139"/>
      <c r="M635" s="139"/>
      <c r="N635" s="139"/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39"/>
      <c r="AA635" s="139"/>
      <c r="AB635" s="139"/>
      <c r="AC635" s="139"/>
      <c r="AD635" s="139"/>
      <c r="AE635" s="139"/>
      <c r="AF635" s="139"/>
      <c r="AG635" s="139"/>
      <c r="AH635" s="139"/>
      <c r="AI635" s="139"/>
      <c r="AJ635" s="139"/>
    </row>
    <row r="636">
      <c r="A636" s="9"/>
      <c r="B636" s="139"/>
      <c r="C636" s="139"/>
      <c r="D636" s="139"/>
      <c r="E636" s="139"/>
      <c r="F636" s="139"/>
      <c r="G636" s="139"/>
      <c r="H636" s="139"/>
      <c r="I636" s="139"/>
      <c r="J636" s="139"/>
      <c r="K636" s="139"/>
      <c r="L636" s="139"/>
      <c r="M636" s="139"/>
      <c r="N636" s="139"/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39"/>
      <c r="AA636" s="139"/>
      <c r="AB636" s="139"/>
      <c r="AC636" s="139"/>
      <c r="AD636" s="139"/>
      <c r="AE636" s="139"/>
      <c r="AF636" s="139"/>
      <c r="AG636" s="139"/>
      <c r="AH636" s="139"/>
      <c r="AI636" s="139"/>
      <c r="AJ636" s="139"/>
    </row>
    <row r="637">
      <c r="A637" s="9"/>
      <c r="B637" s="139"/>
      <c r="C637" s="139"/>
      <c r="D637" s="139"/>
      <c r="E637" s="139"/>
      <c r="F637" s="139"/>
      <c r="G637" s="139"/>
      <c r="H637" s="139"/>
      <c r="I637" s="139"/>
      <c r="J637" s="139"/>
      <c r="K637" s="139"/>
      <c r="L637" s="139"/>
      <c r="M637" s="139"/>
      <c r="N637" s="139"/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39"/>
      <c r="AA637" s="139"/>
      <c r="AB637" s="139"/>
      <c r="AC637" s="139"/>
      <c r="AD637" s="139"/>
      <c r="AE637" s="139"/>
      <c r="AF637" s="139"/>
      <c r="AG637" s="139"/>
      <c r="AH637" s="139"/>
      <c r="AI637" s="139"/>
      <c r="AJ637" s="139"/>
    </row>
    <row r="638">
      <c r="A638" s="9"/>
      <c r="B638" s="139"/>
      <c r="C638" s="139"/>
      <c r="D638" s="139"/>
      <c r="E638" s="139"/>
      <c r="F638" s="139"/>
      <c r="G638" s="139"/>
      <c r="H638" s="139"/>
      <c r="I638" s="139"/>
      <c r="J638" s="139"/>
      <c r="K638" s="139"/>
      <c r="L638" s="139"/>
      <c r="M638" s="139"/>
      <c r="N638" s="139"/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39"/>
      <c r="AA638" s="139"/>
      <c r="AB638" s="139"/>
      <c r="AC638" s="139"/>
      <c r="AD638" s="139"/>
      <c r="AE638" s="139"/>
      <c r="AF638" s="139"/>
      <c r="AG638" s="139"/>
      <c r="AH638" s="139"/>
      <c r="AI638" s="139"/>
      <c r="AJ638" s="139"/>
    </row>
    <row r="639">
      <c r="A639" s="9"/>
      <c r="B639" s="139"/>
      <c r="C639" s="139"/>
      <c r="D639" s="139"/>
      <c r="E639" s="139"/>
      <c r="F639" s="139"/>
      <c r="G639" s="139"/>
      <c r="H639" s="139"/>
      <c r="I639" s="139"/>
      <c r="J639" s="139"/>
      <c r="K639" s="139"/>
      <c r="L639" s="139"/>
      <c r="M639" s="139"/>
      <c r="N639" s="139"/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39"/>
      <c r="AA639" s="139"/>
      <c r="AB639" s="139"/>
      <c r="AC639" s="139"/>
      <c r="AD639" s="139"/>
      <c r="AE639" s="139"/>
      <c r="AF639" s="139"/>
      <c r="AG639" s="139"/>
      <c r="AH639" s="139"/>
      <c r="AI639" s="139"/>
      <c r="AJ639" s="139"/>
    </row>
    <row r="640">
      <c r="A640" s="9"/>
      <c r="B640" s="139"/>
      <c r="C640" s="139"/>
      <c r="D640" s="139"/>
      <c r="E640" s="139"/>
      <c r="F640" s="139"/>
      <c r="G640" s="139"/>
      <c r="H640" s="139"/>
      <c r="I640" s="139"/>
      <c r="J640" s="139"/>
      <c r="K640" s="139"/>
      <c r="L640" s="139"/>
      <c r="M640" s="139"/>
      <c r="N640" s="139"/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39"/>
      <c r="AA640" s="139"/>
      <c r="AB640" s="139"/>
      <c r="AC640" s="139"/>
      <c r="AD640" s="139"/>
      <c r="AE640" s="139"/>
      <c r="AF640" s="139"/>
      <c r="AG640" s="139"/>
      <c r="AH640" s="139"/>
      <c r="AI640" s="139"/>
      <c r="AJ640" s="139"/>
    </row>
    <row r="641">
      <c r="A641" s="9"/>
      <c r="B641" s="139"/>
      <c r="C641" s="139"/>
      <c r="D641" s="139"/>
      <c r="E641" s="139"/>
      <c r="F641" s="139"/>
      <c r="G641" s="139"/>
      <c r="H641" s="139"/>
      <c r="I641" s="139"/>
      <c r="J641" s="139"/>
      <c r="K641" s="139"/>
      <c r="L641" s="139"/>
      <c r="M641" s="139"/>
      <c r="N641" s="139"/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39"/>
      <c r="AA641" s="139"/>
      <c r="AB641" s="139"/>
      <c r="AC641" s="139"/>
      <c r="AD641" s="139"/>
      <c r="AE641" s="139"/>
      <c r="AF641" s="139"/>
      <c r="AG641" s="139"/>
      <c r="AH641" s="139"/>
      <c r="AI641" s="139"/>
      <c r="AJ641" s="139"/>
    </row>
    <row r="642">
      <c r="A642" s="9"/>
      <c r="B642" s="139"/>
      <c r="C642" s="139"/>
      <c r="D642" s="139"/>
      <c r="E642" s="139"/>
      <c r="F642" s="139"/>
      <c r="G642" s="139"/>
      <c r="H642" s="139"/>
      <c r="I642" s="139"/>
      <c r="J642" s="139"/>
      <c r="K642" s="139"/>
      <c r="L642" s="139"/>
      <c r="M642" s="139"/>
      <c r="N642" s="139"/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39"/>
      <c r="AA642" s="139"/>
      <c r="AB642" s="139"/>
      <c r="AC642" s="139"/>
      <c r="AD642" s="139"/>
      <c r="AE642" s="139"/>
      <c r="AF642" s="139"/>
      <c r="AG642" s="139"/>
      <c r="AH642" s="139"/>
      <c r="AI642" s="139"/>
      <c r="AJ642" s="139"/>
    </row>
    <row r="643">
      <c r="A643" s="9"/>
      <c r="B643" s="139"/>
      <c r="C643" s="139"/>
      <c r="D643" s="139"/>
      <c r="E643" s="139"/>
      <c r="F643" s="139"/>
      <c r="G643" s="139"/>
      <c r="H643" s="139"/>
      <c r="I643" s="139"/>
      <c r="J643" s="139"/>
      <c r="K643" s="139"/>
      <c r="L643" s="139"/>
      <c r="M643" s="139"/>
      <c r="N643" s="139"/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39"/>
      <c r="AA643" s="139"/>
      <c r="AB643" s="139"/>
      <c r="AC643" s="139"/>
      <c r="AD643" s="139"/>
      <c r="AE643" s="139"/>
      <c r="AF643" s="139"/>
      <c r="AG643" s="139"/>
      <c r="AH643" s="139"/>
      <c r="AI643" s="139"/>
      <c r="AJ643" s="139"/>
    </row>
    <row r="644">
      <c r="A644" s="9"/>
      <c r="B644" s="139"/>
      <c r="C644" s="139"/>
      <c r="D644" s="139"/>
      <c r="E644" s="139"/>
      <c r="F644" s="139"/>
      <c r="G644" s="139"/>
      <c r="H644" s="139"/>
      <c r="I644" s="139"/>
      <c r="J644" s="139"/>
      <c r="K644" s="139"/>
      <c r="L644" s="139"/>
      <c r="M644" s="139"/>
      <c r="N644" s="139"/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39"/>
      <c r="Z644" s="139"/>
      <c r="AA644" s="139"/>
      <c r="AB644" s="139"/>
      <c r="AC644" s="139"/>
      <c r="AD644" s="139"/>
      <c r="AE644" s="139"/>
      <c r="AF644" s="139"/>
      <c r="AG644" s="139"/>
      <c r="AH644" s="139"/>
      <c r="AI644" s="139"/>
      <c r="AJ644" s="139"/>
    </row>
    <row r="645">
      <c r="A645" s="9"/>
      <c r="B645" s="139"/>
      <c r="C645" s="139"/>
      <c r="D645" s="139"/>
      <c r="E645" s="139"/>
      <c r="F645" s="139"/>
      <c r="G645" s="139"/>
      <c r="H645" s="139"/>
      <c r="I645" s="139"/>
      <c r="J645" s="139"/>
      <c r="K645" s="139"/>
      <c r="L645" s="139"/>
      <c r="M645" s="139"/>
      <c r="N645" s="139"/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39"/>
      <c r="Z645" s="139"/>
      <c r="AA645" s="139"/>
      <c r="AB645" s="139"/>
      <c r="AC645" s="139"/>
      <c r="AD645" s="139"/>
      <c r="AE645" s="139"/>
      <c r="AF645" s="139"/>
      <c r="AG645" s="139"/>
      <c r="AH645" s="139"/>
      <c r="AI645" s="139"/>
      <c r="AJ645" s="139"/>
    </row>
    <row r="646">
      <c r="A646" s="9"/>
      <c r="B646" s="139"/>
      <c r="C646" s="139"/>
      <c r="D646" s="139"/>
      <c r="E646" s="139"/>
      <c r="F646" s="139"/>
      <c r="G646" s="139"/>
      <c r="H646" s="139"/>
      <c r="I646" s="139"/>
      <c r="J646" s="139"/>
      <c r="K646" s="139"/>
      <c r="L646" s="139"/>
      <c r="M646" s="139"/>
      <c r="N646" s="139"/>
      <c r="O646" s="139"/>
      <c r="P646" s="139"/>
      <c r="Q646" s="139"/>
      <c r="R646" s="139"/>
      <c r="S646" s="139"/>
      <c r="T646" s="139"/>
      <c r="U646" s="139"/>
      <c r="V646" s="139"/>
      <c r="W646" s="139"/>
      <c r="X646" s="139"/>
      <c r="Y646" s="139"/>
      <c r="Z646" s="139"/>
      <c r="AA646" s="139"/>
      <c r="AB646" s="139"/>
      <c r="AC646" s="139"/>
      <c r="AD646" s="139"/>
      <c r="AE646" s="139"/>
      <c r="AF646" s="139"/>
      <c r="AG646" s="139"/>
      <c r="AH646" s="139"/>
      <c r="AI646" s="139"/>
      <c r="AJ646" s="139"/>
    </row>
    <row r="647">
      <c r="A647" s="9"/>
      <c r="B647" s="139"/>
      <c r="C647" s="139"/>
      <c r="D647" s="139"/>
      <c r="E647" s="139"/>
      <c r="F647" s="139"/>
      <c r="G647" s="139"/>
      <c r="H647" s="139"/>
      <c r="I647" s="139"/>
      <c r="J647" s="139"/>
      <c r="K647" s="139"/>
      <c r="L647" s="139"/>
      <c r="M647" s="139"/>
      <c r="N647" s="139"/>
      <c r="O647" s="139"/>
      <c r="P647" s="139"/>
      <c r="Q647" s="139"/>
      <c r="R647" s="139"/>
      <c r="S647" s="139"/>
      <c r="T647" s="139"/>
      <c r="U647" s="139"/>
      <c r="V647" s="139"/>
      <c r="W647" s="139"/>
      <c r="X647" s="139"/>
      <c r="Y647" s="139"/>
      <c r="Z647" s="139"/>
      <c r="AA647" s="139"/>
      <c r="AB647" s="139"/>
      <c r="AC647" s="139"/>
      <c r="AD647" s="139"/>
      <c r="AE647" s="139"/>
      <c r="AF647" s="139"/>
      <c r="AG647" s="139"/>
      <c r="AH647" s="139"/>
      <c r="AI647" s="139"/>
      <c r="AJ647" s="139"/>
    </row>
    <row r="648">
      <c r="A648" s="9"/>
      <c r="B648" s="139"/>
      <c r="C648" s="139"/>
      <c r="D648" s="139"/>
      <c r="E648" s="139"/>
      <c r="F648" s="139"/>
      <c r="G648" s="139"/>
      <c r="H648" s="139"/>
      <c r="I648" s="139"/>
      <c r="J648" s="139"/>
      <c r="K648" s="139"/>
      <c r="L648" s="139"/>
      <c r="M648" s="139"/>
      <c r="N648" s="139"/>
      <c r="O648" s="139"/>
      <c r="P648" s="139"/>
      <c r="Q648" s="139"/>
      <c r="R648" s="139"/>
      <c r="S648" s="139"/>
      <c r="T648" s="139"/>
      <c r="U648" s="139"/>
      <c r="V648" s="139"/>
      <c r="W648" s="139"/>
      <c r="X648" s="139"/>
      <c r="Y648" s="139"/>
      <c r="Z648" s="139"/>
      <c r="AA648" s="139"/>
      <c r="AB648" s="139"/>
      <c r="AC648" s="139"/>
      <c r="AD648" s="139"/>
      <c r="AE648" s="139"/>
      <c r="AF648" s="139"/>
      <c r="AG648" s="139"/>
      <c r="AH648" s="139"/>
      <c r="AI648" s="139"/>
      <c r="AJ648" s="139"/>
    </row>
    <row r="649">
      <c r="A649" s="9"/>
      <c r="B649" s="139"/>
      <c r="C649" s="139"/>
      <c r="D649" s="139"/>
      <c r="E649" s="139"/>
      <c r="F649" s="139"/>
      <c r="G649" s="139"/>
      <c r="H649" s="139"/>
      <c r="I649" s="139"/>
      <c r="J649" s="139"/>
      <c r="K649" s="139"/>
      <c r="L649" s="139"/>
      <c r="M649" s="139"/>
      <c r="N649" s="139"/>
      <c r="O649" s="139"/>
      <c r="P649" s="139"/>
      <c r="Q649" s="139"/>
      <c r="R649" s="139"/>
      <c r="S649" s="139"/>
      <c r="T649" s="139"/>
      <c r="U649" s="139"/>
      <c r="V649" s="139"/>
      <c r="W649" s="139"/>
      <c r="X649" s="139"/>
      <c r="Y649" s="139"/>
      <c r="Z649" s="139"/>
      <c r="AA649" s="139"/>
      <c r="AB649" s="139"/>
      <c r="AC649" s="139"/>
      <c r="AD649" s="139"/>
      <c r="AE649" s="139"/>
      <c r="AF649" s="139"/>
      <c r="AG649" s="139"/>
      <c r="AH649" s="139"/>
      <c r="AI649" s="139"/>
      <c r="AJ649" s="139"/>
    </row>
    <row r="650">
      <c r="A650" s="9"/>
      <c r="B650" s="139"/>
      <c r="C650" s="139"/>
      <c r="D650" s="139"/>
      <c r="E650" s="139"/>
      <c r="F650" s="139"/>
      <c r="G650" s="139"/>
      <c r="H650" s="139"/>
      <c r="I650" s="139"/>
      <c r="J650" s="139"/>
      <c r="K650" s="139"/>
      <c r="L650" s="139"/>
      <c r="M650" s="139"/>
      <c r="N650" s="139"/>
      <c r="O650" s="139"/>
      <c r="P650" s="139"/>
      <c r="Q650" s="139"/>
      <c r="R650" s="139"/>
      <c r="S650" s="139"/>
      <c r="T650" s="139"/>
      <c r="U650" s="139"/>
      <c r="V650" s="139"/>
      <c r="W650" s="139"/>
      <c r="X650" s="139"/>
      <c r="Y650" s="139"/>
      <c r="Z650" s="139"/>
      <c r="AA650" s="139"/>
      <c r="AB650" s="139"/>
      <c r="AC650" s="139"/>
      <c r="AD650" s="139"/>
      <c r="AE650" s="139"/>
      <c r="AF650" s="139"/>
      <c r="AG650" s="139"/>
      <c r="AH650" s="139"/>
      <c r="AI650" s="139"/>
      <c r="AJ650" s="139"/>
    </row>
    <row r="651">
      <c r="A651" s="9"/>
      <c r="B651" s="139"/>
      <c r="C651" s="139"/>
      <c r="D651" s="139"/>
      <c r="E651" s="139"/>
      <c r="F651" s="139"/>
      <c r="G651" s="139"/>
      <c r="H651" s="139"/>
      <c r="I651" s="139"/>
      <c r="J651" s="139"/>
      <c r="K651" s="139"/>
      <c r="L651" s="139"/>
      <c r="M651" s="139"/>
      <c r="N651" s="139"/>
      <c r="O651" s="139"/>
      <c r="P651" s="139"/>
      <c r="Q651" s="139"/>
      <c r="R651" s="139"/>
      <c r="S651" s="139"/>
      <c r="T651" s="139"/>
      <c r="U651" s="139"/>
      <c r="V651" s="139"/>
      <c r="W651" s="139"/>
      <c r="X651" s="139"/>
      <c r="Y651" s="139"/>
      <c r="Z651" s="139"/>
      <c r="AA651" s="139"/>
      <c r="AB651" s="139"/>
      <c r="AC651" s="139"/>
      <c r="AD651" s="139"/>
      <c r="AE651" s="139"/>
      <c r="AF651" s="139"/>
      <c r="AG651" s="139"/>
      <c r="AH651" s="139"/>
      <c r="AI651" s="139"/>
      <c r="AJ651" s="139"/>
    </row>
    <row r="652">
      <c r="A652" s="9"/>
      <c r="B652" s="139"/>
      <c r="C652" s="139"/>
      <c r="D652" s="139"/>
      <c r="E652" s="139"/>
      <c r="F652" s="139"/>
      <c r="G652" s="139"/>
      <c r="H652" s="139"/>
      <c r="I652" s="139"/>
      <c r="J652" s="139"/>
      <c r="K652" s="139"/>
      <c r="L652" s="139"/>
      <c r="M652" s="139"/>
      <c r="N652" s="139"/>
      <c r="O652" s="139"/>
      <c r="P652" s="139"/>
      <c r="Q652" s="139"/>
      <c r="R652" s="139"/>
      <c r="S652" s="139"/>
      <c r="T652" s="139"/>
      <c r="U652" s="139"/>
      <c r="V652" s="139"/>
      <c r="W652" s="139"/>
      <c r="X652" s="139"/>
      <c r="Y652" s="139"/>
      <c r="Z652" s="139"/>
      <c r="AA652" s="139"/>
      <c r="AB652" s="139"/>
      <c r="AC652" s="139"/>
      <c r="AD652" s="139"/>
      <c r="AE652" s="139"/>
      <c r="AF652" s="139"/>
      <c r="AG652" s="139"/>
      <c r="AH652" s="139"/>
      <c r="AI652" s="139"/>
      <c r="AJ652" s="139"/>
    </row>
    <row r="653">
      <c r="A653" s="9"/>
      <c r="B653" s="139"/>
      <c r="C653" s="139"/>
      <c r="D653" s="139"/>
      <c r="E653" s="139"/>
      <c r="F653" s="139"/>
      <c r="G653" s="139"/>
      <c r="H653" s="139"/>
      <c r="I653" s="139"/>
      <c r="J653" s="139"/>
      <c r="K653" s="139"/>
      <c r="L653" s="139"/>
      <c r="M653" s="139"/>
      <c r="N653" s="139"/>
      <c r="O653" s="139"/>
      <c r="P653" s="139"/>
      <c r="Q653" s="139"/>
      <c r="R653" s="139"/>
      <c r="S653" s="139"/>
      <c r="T653" s="139"/>
      <c r="U653" s="139"/>
      <c r="V653" s="139"/>
      <c r="W653" s="139"/>
      <c r="X653" s="139"/>
      <c r="Y653" s="139"/>
      <c r="Z653" s="139"/>
      <c r="AA653" s="139"/>
      <c r="AB653" s="139"/>
      <c r="AC653" s="139"/>
      <c r="AD653" s="139"/>
      <c r="AE653" s="139"/>
      <c r="AF653" s="139"/>
      <c r="AG653" s="139"/>
      <c r="AH653" s="139"/>
      <c r="AI653" s="139"/>
      <c r="AJ653" s="139"/>
    </row>
    <row r="654">
      <c r="A654" s="9"/>
      <c r="B654" s="139"/>
      <c r="C654" s="139"/>
      <c r="D654" s="139"/>
      <c r="E654" s="139"/>
      <c r="F654" s="139"/>
      <c r="G654" s="139"/>
      <c r="H654" s="139"/>
      <c r="I654" s="139"/>
      <c r="J654" s="139"/>
      <c r="K654" s="139"/>
      <c r="L654" s="139"/>
      <c r="M654" s="139"/>
      <c r="N654" s="139"/>
      <c r="O654" s="139"/>
      <c r="P654" s="139"/>
      <c r="Q654" s="139"/>
      <c r="R654" s="139"/>
      <c r="S654" s="139"/>
      <c r="T654" s="139"/>
      <c r="U654" s="139"/>
      <c r="V654" s="139"/>
      <c r="W654" s="139"/>
      <c r="X654" s="139"/>
      <c r="Y654" s="139"/>
      <c r="Z654" s="139"/>
      <c r="AA654" s="139"/>
      <c r="AB654" s="139"/>
      <c r="AC654" s="139"/>
      <c r="AD654" s="139"/>
      <c r="AE654" s="139"/>
      <c r="AF654" s="139"/>
      <c r="AG654" s="139"/>
      <c r="AH654" s="139"/>
      <c r="AI654" s="139"/>
      <c r="AJ654" s="139"/>
    </row>
    <row r="655">
      <c r="A655" s="9"/>
      <c r="B655" s="139"/>
      <c r="C655" s="139"/>
      <c r="D655" s="139"/>
      <c r="E655" s="139"/>
      <c r="F655" s="139"/>
      <c r="G655" s="139"/>
      <c r="H655" s="139"/>
      <c r="I655" s="139"/>
      <c r="J655" s="139"/>
      <c r="K655" s="139"/>
      <c r="L655" s="139"/>
      <c r="M655" s="139"/>
      <c r="N655" s="139"/>
      <c r="O655" s="139"/>
      <c r="P655" s="139"/>
      <c r="Q655" s="139"/>
      <c r="R655" s="139"/>
      <c r="S655" s="139"/>
      <c r="T655" s="139"/>
      <c r="U655" s="139"/>
      <c r="V655" s="139"/>
      <c r="W655" s="139"/>
      <c r="X655" s="139"/>
      <c r="Y655" s="139"/>
      <c r="Z655" s="139"/>
      <c r="AA655" s="139"/>
      <c r="AB655" s="139"/>
      <c r="AC655" s="139"/>
      <c r="AD655" s="139"/>
      <c r="AE655" s="139"/>
      <c r="AF655" s="139"/>
      <c r="AG655" s="139"/>
      <c r="AH655" s="139"/>
      <c r="AI655" s="139"/>
      <c r="AJ655" s="139"/>
    </row>
    <row r="656">
      <c r="A656" s="9"/>
      <c r="B656" s="139"/>
      <c r="C656" s="139"/>
      <c r="D656" s="139"/>
      <c r="E656" s="139"/>
      <c r="F656" s="139"/>
      <c r="G656" s="139"/>
      <c r="H656" s="139"/>
      <c r="I656" s="139"/>
      <c r="J656" s="139"/>
      <c r="K656" s="139"/>
      <c r="L656" s="139"/>
      <c r="M656" s="139"/>
      <c r="N656" s="139"/>
      <c r="O656" s="139"/>
      <c r="P656" s="139"/>
      <c r="Q656" s="139"/>
      <c r="R656" s="139"/>
      <c r="S656" s="139"/>
      <c r="T656" s="139"/>
      <c r="U656" s="139"/>
      <c r="V656" s="139"/>
      <c r="W656" s="139"/>
      <c r="X656" s="139"/>
      <c r="Y656" s="139"/>
      <c r="Z656" s="139"/>
      <c r="AA656" s="139"/>
      <c r="AB656" s="139"/>
      <c r="AC656" s="139"/>
      <c r="AD656" s="139"/>
      <c r="AE656" s="139"/>
      <c r="AF656" s="139"/>
      <c r="AG656" s="139"/>
      <c r="AH656" s="139"/>
      <c r="AI656" s="139"/>
      <c r="AJ656" s="139"/>
    </row>
    <row r="657">
      <c r="A657" s="9"/>
      <c r="B657" s="139"/>
      <c r="C657" s="139"/>
      <c r="D657" s="139"/>
      <c r="E657" s="139"/>
      <c r="F657" s="139"/>
      <c r="G657" s="139"/>
      <c r="H657" s="139"/>
      <c r="I657" s="139"/>
      <c r="J657" s="139"/>
      <c r="K657" s="139"/>
      <c r="L657" s="139"/>
      <c r="M657" s="139"/>
      <c r="N657" s="139"/>
      <c r="O657" s="139"/>
      <c r="P657" s="139"/>
      <c r="Q657" s="139"/>
      <c r="R657" s="139"/>
      <c r="S657" s="139"/>
      <c r="T657" s="139"/>
      <c r="U657" s="139"/>
      <c r="V657" s="139"/>
      <c r="W657" s="139"/>
      <c r="X657" s="139"/>
      <c r="Y657" s="139"/>
      <c r="Z657" s="139"/>
      <c r="AA657" s="139"/>
      <c r="AB657" s="139"/>
      <c r="AC657" s="139"/>
      <c r="AD657" s="139"/>
      <c r="AE657" s="139"/>
      <c r="AF657" s="139"/>
      <c r="AG657" s="139"/>
      <c r="AH657" s="139"/>
      <c r="AI657" s="139"/>
      <c r="AJ657" s="139"/>
    </row>
    <row r="658">
      <c r="A658" s="9"/>
      <c r="B658" s="139"/>
      <c r="C658" s="139"/>
      <c r="D658" s="139"/>
      <c r="E658" s="139"/>
      <c r="F658" s="139"/>
      <c r="G658" s="139"/>
      <c r="H658" s="139"/>
      <c r="I658" s="139"/>
      <c r="J658" s="139"/>
      <c r="K658" s="139"/>
      <c r="L658" s="139"/>
      <c r="M658" s="139"/>
      <c r="N658" s="139"/>
      <c r="O658" s="139"/>
      <c r="P658" s="139"/>
      <c r="Q658" s="139"/>
      <c r="R658" s="139"/>
      <c r="S658" s="139"/>
      <c r="T658" s="139"/>
      <c r="U658" s="139"/>
      <c r="V658" s="139"/>
      <c r="W658" s="139"/>
      <c r="X658" s="139"/>
      <c r="Y658" s="139"/>
      <c r="Z658" s="139"/>
      <c r="AA658" s="139"/>
      <c r="AB658" s="139"/>
      <c r="AC658" s="139"/>
      <c r="AD658" s="139"/>
      <c r="AE658" s="139"/>
      <c r="AF658" s="139"/>
      <c r="AG658" s="139"/>
      <c r="AH658" s="139"/>
      <c r="AI658" s="139"/>
      <c r="AJ658" s="139"/>
    </row>
    <row r="659">
      <c r="A659" s="9"/>
      <c r="B659" s="139"/>
      <c r="C659" s="139"/>
      <c r="D659" s="139"/>
      <c r="E659" s="139"/>
      <c r="F659" s="139"/>
      <c r="G659" s="139"/>
      <c r="H659" s="139"/>
      <c r="I659" s="139"/>
      <c r="J659" s="139"/>
      <c r="K659" s="139"/>
      <c r="L659" s="139"/>
      <c r="M659" s="139"/>
      <c r="N659" s="139"/>
      <c r="O659" s="139"/>
      <c r="P659" s="139"/>
      <c r="Q659" s="139"/>
      <c r="R659" s="139"/>
      <c r="S659" s="139"/>
      <c r="T659" s="139"/>
      <c r="U659" s="139"/>
      <c r="V659" s="139"/>
      <c r="W659" s="139"/>
      <c r="X659" s="139"/>
      <c r="Y659" s="139"/>
      <c r="Z659" s="139"/>
      <c r="AA659" s="139"/>
      <c r="AB659" s="139"/>
      <c r="AC659" s="139"/>
      <c r="AD659" s="139"/>
      <c r="AE659" s="139"/>
      <c r="AF659" s="139"/>
      <c r="AG659" s="139"/>
      <c r="AH659" s="139"/>
      <c r="AI659" s="139"/>
      <c r="AJ659" s="139"/>
    </row>
    <row r="660">
      <c r="A660" s="9"/>
      <c r="B660" s="139"/>
      <c r="C660" s="139"/>
      <c r="D660" s="139"/>
      <c r="E660" s="139"/>
      <c r="F660" s="139"/>
      <c r="G660" s="139"/>
      <c r="H660" s="139"/>
      <c r="I660" s="139"/>
      <c r="J660" s="139"/>
      <c r="K660" s="139"/>
      <c r="L660" s="139"/>
      <c r="M660" s="139"/>
      <c r="N660" s="139"/>
      <c r="O660" s="139"/>
      <c r="P660" s="139"/>
      <c r="Q660" s="139"/>
      <c r="R660" s="139"/>
      <c r="S660" s="139"/>
      <c r="T660" s="139"/>
      <c r="U660" s="139"/>
      <c r="V660" s="139"/>
      <c r="W660" s="139"/>
      <c r="X660" s="139"/>
      <c r="Y660" s="139"/>
      <c r="Z660" s="139"/>
      <c r="AA660" s="139"/>
      <c r="AB660" s="139"/>
      <c r="AC660" s="139"/>
      <c r="AD660" s="139"/>
      <c r="AE660" s="139"/>
      <c r="AF660" s="139"/>
      <c r="AG660" s="139"/>
      <c r="AH660" s="139"/>
      <c r="AI660" s="139"/>
      <c r="AJ660" s="139"/>
    </row>
    <row r="661">
      <c r="A661" s="9"/>
      <c r="B661" s="139"/>
      <c r="C661" s="139"/>
      <c r="D661" s="139"/>
      <c r="E661" s="139"/>
      <c r="F661" s="139"/>
      <c r="G661" s="139"/>
      <c r="H661" s="139"/>
      <c r="I661" s="139"/>
      <c r="J661" s="139"/>
      <c r="K661" s="139"/>
      <c r="L661" s="139"/>
      <c r="M661" s="139"/>
      <c r="N661" s="139"/>
      <c r="O661" s="139"/>
      <c r="P661" s="139"/>
      <c r="Q661" s="139"/>
      <c r="R661" s="139"/>
      <c r="S661" s="139"/>
      <c r="T661" s="139"/>
      <c r="U661" s="139"/>
      <c r="V661" s="139"/>
      <c r="W661" s="139"/>
      <c r="X661" s="139"/>
      <c r="Y661" s="139"/>
      <c r="Z661" s="139"/>
      <c r="AA661" s="139"/>
      <c r="AB661" s="139"/>
      <c r="AC661" s="139"/>
      <c r="AD661" s="139"/>
      <c r="AE661" s="139"/>
      <c r="AF661" s="139"/>
      <c r="AG661" s="139"/>
      <c r="AH661" s="139"/>
      <c r="AI661" s="139"/>
      <c r="AJ661" s="139"/>
    </row>
    <row r="662">
      <c r="A662" s="9"/>
      <c r="B662" s="139"/>
      <c r="C662" s="139"/>
      <c r="D662" s="139"/>
      <c r="E662" s="139"/>
      <c r="F662" s="139"/>
      <c r="G662" s="139"/>
      <c r="H662" s="139"/>
      <c r="I662" s="139"/>
      <c r="J662" s="139"/>
      <c r="K662" s="139"/>
      <c r="L662" s="139"/>
      <c r="M662" s="139"/>
      <c r="N662" s="139"/>
      <c r="O662" s="139"/>
      <c r="P662" s="139"/>
      <c r="Q662" s="139"/>
      <c r="R662" s="139"/>
      <c r="S662" s="139"/>
      <c r="T662" s="139"/>
      <c r="U662" s="139"/>
      <c r="V662" s="139"/>
      <c r="W662" s="139"/>
      <c r="X662" s="139"/>
      <c r="Y662" s="139"/>
      <c r="Z662" s="139"/>
      <c r="AA662" s="139"/>
      <c r="AB662" s="139"/>
      <c r="AC662" s="139"/>
      <c r="AD662" s="139"/>
      <c r="AE662" s="139"/>
      <c r="AF662" s="139"/>
      <c r="AG662" s="139"/>
      <c r="AH662" s="139"/>
      <c r="AI662" s="139"/>
      <c r="AJ662" s="139"/>
    </row>
    <row r="663">
      <c r="A663" s="9"/>
      <c r="B663" s="139"/>
      <c r="C663" s="139"/>
      <c r="D663" s="139"/>
      <c r="E663" s="139"/>
      <c r="F663" s="139"/>
      <c r="G663" s="139"/>
      <c r="H663" s="139"/>
      <c r="I663" s="139"/>
      <c r="J663" s="139"/>
      <c r="K663" s="139"/>
      <c r="L663" s="139"/>
      <c r="M663" s="139"/>
      <c r="N663" s="139"/>
      <c r="O663" s="139"/>
      <c r="P663" s="139"/>
      <c r="Q663" s="139"/>
      <c r="R663" s="139"/>
      <c r="S663" s="139"/>
      <c r="T663" s="139"/>
      <c r="U663" s="139"/>
      <c r="V663" s="139"/>
      <c r="W663" s="139"/>
      <c r="X663" s="139"/>
      <c r="Y663" s="139"/>
      <c r="Z663" s="139"/>
      <c r="AA663" s="139"/>
      <c r="AB663" s="139"/>
      <c r="AC663" s="139"/>
      <c r="AD663" s="139"/>
      <c r="AE663" s="139"/>
      <c r="AF663" s="139"/>
      <c r="AG663" s="139"/>
      <c r="AH663" s="139"/>
      <c r="AI663" s="139"/>
      <c r="AJ663" s="139"/>
    </row>
    <row r="664">
      <c r="A664" s="9"/>
      <c r="B664" s="139"/>
      <c r="C664" s="139"/>
      <c r="D664" s="139"/>
      <c r="E664" s="139"/>
      <c r="F664" s="139"/>
      <c r="G664" s="139"/>
      <c r="H664" s="139"/>
      <c r="I664" s="139"/>
      <c r="J664" s="139"/>
      <c r="K664" s="139"/>
      <c r="L664" s="139"/>
      <c r="M664" s="139"/>
      <c r="N664" s="139"/>
      <c r="O664" s="139"/>
      <c r="P664" s="139"/>
      <c r="Q664" s="139"/>
      <c r="R664" s="139"/>
      <c r="S664" s="139"/>
      <c r="T664" s="139"/>
      <c r="U664" s="139"/>
      <c r="V664" s="139"/>
      <c r="W664" s="139"/>
      <c r="X664" s="139"/>
      <c r="Y664" s="139"/>
      <c r="Z664" s="139"/>
      <c r="AA664" s="139"/>
      <c r="AB664" s="139"/>
      <c r="AC664" s="139"/>
      <c r="AD664" s="139"/>
      <c r="AE664" s="139"/>
      <c r="AF664" s="139"/>
      <c r="AG664" s="139"/>
      <c r="AH664" s="139"/>
      <c r="AI664" s="139"/>
      <c r="AJ664" s="139"/>
    </row>
    <row r="665">
      <c r="A665" s="9"/>
      <c r="B665" s="139"/>
      <c r="C665" s="139"/>
      <c r="D665" s="139"/>
      <c r="E665" s="139"/>
      <c r="F665" s="139"/>
      <c r="G665" s="139"/>
      <c r="H665" s="139"/>
      <c r="I665" s="139"/>
      <c r="J665" s="139"/>
      <c r="K665" s="139"/>
      <c r="L665" s="139"/>
      <c r="M665" s="139"/>
      <c r="N665" s="139"/>
      <c r="O665" s="139"/>
      <c r="P665" s="139"/>
      <c r="Q665" s="139"/>
      <c r="R665" s="139"/>
      <c r="S665" s="139"/>
      <c r="T665" s="139"/>
      <c r="U665" s="139"/>
      <c r="V665" s="139"/>
      <c r="W665" s="139"/>
      <c r="X665" s="139"/>
      <c r="Y665" s="139"/>
      <c r="Z665" s="139"/>
      <c r="AA665" s="139"/>
      <c r="AB665" s="139"/>
      <c r="AC665" s="139"/>
      <c r="AD665" s="139"/>
      <c r="AE665" s="139"/>
      <c r="AF665" s="139"/>
      <c r="AG665" s="139"/>
      <c r="AH665" s="139"/>
      <c r="AI665" s="139"/>
      <c r="AJ665" s="139"/>
    </row>
    <row r="666">
      <c r="A666" s="9"/>
      <c r="B666" s="139"/>
      <c r="C666" s="139"/>
      <c r="D666" s="139"/>
      <c r="E666" s="139"/>
      <c r="F666" s="139"/>
      <c r="G666" s="139"/>
      <c r="H666" s="139"/>
      <c r="I666" s="139"/>
      <c r="J666" s="139"/>
      <c r="K666" s="139"/>
      <c r="L666" s="139"/>
      <c r="M666" s="139"/>
      <c r="N666" s="139"/>
      <c r="O666" s="139"/>
      <c r="P666" s="139"/>
      <c r="Q666" s="139"/>
      <c r="R666" s="139"/>
      <c r="S666" s="139"/>
      <c r="T666" s="139"/>
      <c r="U666" s="139"/>
      <c r="V666" s="139"/>
      <c r="W666" s="139"/>
      <c r="X666" s="139"/>
      <c r="Y666" s="139"/>
      <c r="Z666" s="139"/>
      <c r="AA666" s="139"/>
      <c r="AB666" s="139"/>
      <c r="AC666" s="139"/>
      <c r="AD666" s="139"/>
      <c r="AE666" s="139"/>
      <c r="AF666" s="139"/>
      <c r="AG666" s="139"/>
      <c r="AH666" s="139"/>
      <c r="AI666" s="139"/>
      <c r="AJ666" s="139"/>
    </row>
    <row r="667">
      <c r="A667" s="9"/>
      <c r="B667" s="139"/>
      <c r="C667" s="139"/>
      <c r="D667" s="139"/>
      <c r="E667" s="139"/>
      <c r="F667" s="139"/>
      <c r="G667" s="139"/>
      <c r="H667" s="139"/>
      <c r="I667" s="139"/>
      <c r="J667" s="139"/>
      <c r="K667" s="139"/>
      <c r="L667" s="139"/>
      <c r="M667" s="139"/>
      <c r="N667" s="139"/>
      <c r="O667" s="139"/>
      <c r="P667" s="139"/>
      <c r="Q667" s="139"/>
      <c r="R667" s="139"/>
      <c r="S667" s="139"/>
      <c r="T667" s="139"/>
      <c r="U667" s="139"/>
      <c r="V667" s="139"/>
      <c r="W667" s="139"/>
      <c r="X667" s="139"/>
      <c r="Y667" s="139"/>
      <c r="Z667" s="139"/>
      <c r="AA667" s="139"/>
      <c r="AB667" s="139"/>
      <c r="AC667" s="139"/>
      <c r="AD667" s="139"/>
      <c r="AE667" s="139"/>
      <c r="AF667" s="139"/>
      <c r="AG667" s="139"/>
      <c r="AH667" s="139"/>
      <c r="AI667" s="139"/>
      <c r="AJ667" s="139"/>
    </row>
    <row r="668">
      <c r="A668" s="9"/>
      <c r="B668" s="139"/>
      <c r="C668" s="139"/>
      <c r="D668" s="139"/>
      <c r="E668" s="139"/>
      <c r="F668" s="139"/>
      <c r="G668" s="139"/>
      <c r="H668" s="139"/>
      <c r="I668" s="139"/>
      <c r="J668" s="139"/>
      <c r="K668" s="139"/>
      <c r="L668" s="139"/>
      <c r="M668" s="139"/>
      <c r="N668" s="139"/>
      <c r="O668" s="139"/>
      <c r="P668" s="139"/>
      <c r="Q668" s="139"/>
      <c r="R668" s="139"/>
      <c r="S668" s="139"/>
      <c r="T668" s="139"/>
      <c r="U668" s="139"/>
      <c r="V668" s="139"/>
      <c r="W668" s="139"/>
      <c r="X668" s="139"/>
      <c r="Y668" s="139"/>
      <c r="Z668" s="139"/>
      <c r="AA668" s="139"/>
      <c r="AB668" s="139"/>
      <c r="AC668" s="139"/>
      <c r="AD668" s="139"/>
      <c r="AE668" s="139"/>
      <c r="AF668" s="139"/>
      <c r="AG668" s="139"/>
      <c r="AH668" s="139"/>
      <c r="AI668" s="139"/>
      <c r="AJ668" s="139"/>
    </row>
    <row r="669">
      <c r="A669" s="9"/>
      <c r="B669" s="139"/>
      <c r="C669" s="139"/>
      <c r="D669" s="139"/>
      <c r="E669" s="139"/>
      <c r="F669" s="139"/>
      <c r="G669" s="139"/>
      <c r="H669" s="139"/>
      <c r="I669" s="139"/>
      <c r="J669" s="139"/>
      <c r="K669" s="139"/>
      <c r="L669" s="139"/>
      <c r="M669" s="139"/>
      <c r="N669" s="139"/>
      <c r="O669" s="139"/>
      <c r="P669" s="139"/>
      <c r="Q669" s="139"/>
      <c r="R669" s="139"/>
      <c r="S669" s="139"/>
      <c r="T669" s="139"/>
      <c r="U669" s="139"/>
      <c r="V669" s="139"/>
      <c r="W669" s="139"/>
      <c r="X669" s="139"/>
      <c r="Y669" s="139"/>
      <c r="Z669" s="139"/>
      <c r="AA669" s="139"/>
      <c r="AB669" s="139"/>
      <c r="AC669" s="139"/>
      <c r="AD669" s="139"/>
      <c r="AE669" s="139"/>
      <c r="AF669" s="139"/>
      <c r="AG669" s="139"/>
      <c r="AH669" s="139"/>
      <c r="AI669" s="139"/>
      <c r="AJ669" s="139"/>
    </row>
    <row r="670">
      <c r="A670" s="9"/>
      <c r="B670" s="139"/>
      <c r="C670" s="139"/>
      <c r="D670" s="139"/>
      <c r="E670" s="139"/>
      <c r="F670" s="139"/>
      <c r="G670" s="139"/>
      <c r="H670" s="139"/>
      <c r="I670" s="139"/>
      <c r="J670" s="139"/>
      <c r="K670" s="139"/>
      <c r="L670" s="139"/>
      <c r="M670" s="139"/>
      <c r="N670" s="139"/>
      <c r="O670" s="139"/>
      <c r="P670" s="139"/>
      <c r="Q670" s="139"/>
      <c r="R670" s="139"/>
      <c r="S670" s="139"/>
      <c r="T670" s="139"/>
      <c r="U670" s="139"/>
      <c r="V670" s="139"/>
      <c r="W670" s="139"/>
      <c r="X670" s="139"/>
      <c r="Y670" s="139"/>
      <c r="Z670" s="139"/>
      <c r="AA670" s="139"/>
      <c r="AB670" s="139"/>
      <c r="AC670" s="139"/>
      <c r="AD670" s="139"/>
      <c r="AE670" s="139"/>
      <c r="AF670" s="139"/>
      <c r="AG670" s="139"/>
      <c r="AH670" s="139"/>
      <c r="AI670" s="139"/>
      <c r="AJ670" s="139"/>
    </row>
    <row r="671">
      <c r="A671" s="9"/>
      <c r="B671" s="139"/>
      <c r="C671" s="139"/>
      <c r="D671" s="139"/>
      <c r="E671" s="139"/>
      <c r="F671" s="139"/>
      <c r="G671" s="139"/>
      <c r="H671" s="139"/>
      <c r="I671" s="139"/>
      <c r="J671" s="139"/>
      <c r="K671" s="139"/>
      <c r="L671" s="139"/>
      <c r="M671" s="139"/>
      <c r="N671" s="139"/>
      <c r="O671" s="139"/>
      <c r="P671" s="139"/>
      <c r="Q671" s="139"/>
      <c r="R671" s="139"/>
      <c r="S671" s="139"/>
      <c r="T671" s="139"/>
      <c r="U671" s="139"/>
      <c r="V671" s="139"/>
      <c r="W671" s="139"/>
      <c r="X671" s="139"/>
      <c r="Y671" s="139"/>
      <c r="Z671" s="139"/>
      <c r="AA671" s="139"/>
      <c r="AB671" s="139"/>
      <c r="AC671" s="139"/>
      <c r="AD671" s="139"/>
      <c r="AE671" s="139"/>
      <c r="AF671" s="139"/>
      <c r="AG671" s="139"/>
      <c r="AH671" s="139"/>
      <c r="AI671" s="139"/>
      <c r="AJ671" s="139"/>
    </row>
    <row r="672">
      <c r="A672" s="9"/>
      <c r="B672" s="139"/>
      <c r="C672" s="139"/>
      <c r="D672" s="139"/>
      <c r="E672" s="139"/>
      <c r="F672" s="139"/>
      <c r="G672" s="139"/>
      <c r="H672" s="139"/>
      <c r="I672" s="139"/>
      <c r="J672" s="139"/>
      <c r="K672" s="139"/>
      <c r="L672" s="139"/>
      <c r="M672" s="139"/>
      <c r="N672" s="139"/>
      <c r="O672" s="139"/>
      <c r="P672" s="139"/>
      <c r="Q672" s="139"/>
      <c r="R672" s="139"/>
      <c r="S672" s="139"/>
      <c r="T672" s="139"/>
      <c r="U672" s="139"/>
      <c r="V672" s="139"/>
      <c r="W672" s="139"/>
      <c r="X672" s="139"/>
      <c r="Y672" s="139"/>
      <c r="Z672" s="139"/>
      <c r="AA672" s="139"/>
      <c r="AB672" s="139"/>
      <c r="AC672" s="139"/>
      <c r="AD672" s="139"/>
      <c r="AE672" s="139"/>
      <c r="AF672" s="139"/>
      <c r="AG672" s="139"/>
      <c r="AH672" s="139"/>
      <c r="AI672" s="139"/>
      <c r="AJ672" s="139"/>
    </row>
    <row r="673">
      <c r="A673" s="9"/>
      <c r="B673" s="139"/>
      <c r="C673" s="139"/>
      <c r="D673" s="139"/>
      <c r="E673" s="139"/>
      <c r="F673" s="139"/>
      <c r="G673" s="139"/>
      <c r="H673" s="139"/>
      <c r="I673" s="139"/>
      <c r="J673" s="139"/>
      <c r="K673" s="139"/>
      <c r="L673" s="139"/>
      <c r="M673" s="139"/>
      <c r="N673" s="139"/>
      <c r="O673" s="139"/>
      <c r="P673" s="139"/>
      <c r="Q673" s="139"/>
      <c r="R673" s="139"/>
      <c r="S673" s="139"/>
      <c r="T673" s="139"/>
      <c r="U673" s="139"/>
      <c r="V673" s="139"/>
      <c r="W673" s="139"/>
      <c r="X673" s="139"/>
      <c r="Y673" s="139"/>
      <c r="Z673" s="139"/>
      <c r="AA673" s="139"/>
      <c r="AB673" s="139"/>
      <c r="AC673" s="139"/>
      <c r="AD673" s="139"/>
      <c r="AE673" s="139"/>
      <c r="AF673" s="139"/>
      <c r="AG673" s="139"/>
      <c r="AH673" s="139"/>
      <c r="AI673" s="139"/>
      <c r="AJ673" s="139"/>
    </row>
    <row r="674">
      <c r="A674" s="9"/>
      <c r="B674" s="139"/>
      <c r="C674" s="139"/>
      <c r="D674" s="139"/>
      <c r="E674" s="139"/>
      <c r="F674" s="139"/>
      <c r="G674" s="139"/>
      <c r="H674" s="139"/>
      <c r="I674" s="139"/>
      <c r="J674" s="139"/>
      <c r="K674" s="139"/>
      <c r="L674" s="139"/>
      <c r="M674" s="139"/>
      <c r="N674" s="139"/>
      <c r="O674" s="139"/>
      <c r="P674" s="139"/>
      <c r="Q674" s="139"/>
      <c r="R674" s="139"/>
      <c r="S674" s="139"/>
      <c r="T674" s="139"/>
      <c r="U674" s="139"/>
      <c r="V674" s="139"/>
      <c r="W674" s="139"/>
      <c r="X674" s="139"/>
      <c r="Y674" s="139"/>
      <c r="Z674" s="139"/>
      <c r="AA674" s="139"/>
      <c r="AB674" s="139"/>
      <c r="AC674" s="139"/>
      <c r="AD674" s="139"/>
      <c r="AE674" s="139"/>
      <c r="AF674" s="139"/>
      <c r="AG674" s="139"/>
      <c r="AH674" s="139"/>
      <c r="AI674" s="139"/>
      <c r="AJ674" s="139"/>
    </row>
    <row r="675">
      <c r="A675" s="9"/>
      <c r="B675" s="139"/>
      <c r="C675" s="139"/>
      <c r="D675" s="139"/>
      <c r="E675" s="139"/>
      <c r="F675" s="139"/>
      <c r="G675" s="139"/>
      <c r="H675" s="139"/>
      <c r="I675" s="139"/>
      <c r="J675" s="139"/>
      <c r="K675" s="139"/>
      <c r="L675" s="139"/>
      <c r="M675" s="139"/>
      <c r="N675" s="139"/>
      <c r="O675" s="139"/>
      <c r="P675" s="139"/>
      <c r="Q675" s="139"/>
      <c r="R675" s="139"/>
      <c r="S675" s="139"/>
      <c r="T675" s="139"/>
      <c r="U675" s="139"/>
      <c r="V675" s="139"/>
      <c r="W675" s="139"/>
      <c r="X675" s="139"/>
      <c r="Y675" s="139"/>
      <c r="Z675" s="139"/>
      <c r="AA675" s="139"/>
      <c r="AB675" s="139"/>
      <c r="AC675" s="139"/>
      <c r="AD675" s="139"/>
      <c r="AE675" s="139"/>
      <c r="AF675" s="139"/>
      <c r="AG675" s="139"/>
      <c r="AH675" s="139"/>
      <c r="AI675" s="139"/>
      <c r="AJ675" s="139"/>
    </row>
    <row r="676">
      <c r="A676" s="9"/>
      <c r="B676" s="139"/>
      <c r="C676" s="139"/>
      <c r="D676" s="139"/>
      <c r="E676" s="139"/>
      <c r="F676" s="139"/>
      <c r="G676" s="139"/>
      <c r="H676" s="139"/>
      <c r="I676" s="139"/>
      <c r="J676" s="139"/>
      <c r="K676" s="139"/>
      <c r="L676" s="139"/>
      <c r="M676" s="139"/>
      <c r="N676" s="139"/>
      <c r="O676" s="139"/>
      <c r="P676" s="139"/>
      <c r="Q676" s="139"/>
      <c r="R676" s="139"/>
      <c r="S676" s="139"/>
      <c r="T676" s="139"/>
      <c r="U676" s="139"/>
      <c r="V676" s="139"/>
      <c r="W676" s="139"/>
      <c r="X676" s="139"/>
      <c r="Y676" s="139"/>
      <c r="Z676" s="139"/>
      <c r="AA676" s="139"/>
      <c r="AB676" s="139"/>
      <c r="AC676" s="139"/>
      <c r="AD676" s="139"/>
      <c r="AE676" s="139"/>
      <c r="AF676" s="139"/>
      <c r="AG676" s="139"/>
      <c r="AH676" s="139"/>
      <c r="AI676" s="139"/>
      <c r="AJ676" s="139"/>
    </row>
    <row r="677">
      <c r="A677" s="9"/>
      <c r="B677" s="139"/>
      <c r="C677" s="139"/>
      <c r="D677" s="139"/>
      <c r="E677" s="139"/>
      <c r="F677" s="139"/>
      <c r="G677" s="139"/>
      <c r="H677" s="139"/>
      <c r="I677" s="139"/>
      <c r="J677" s="139"/>
      <c r="K677" s="139"/>
      <c r="L677" s="139"/>
      <c r="M677" s="139"/>
      <c r="N677" s="139"/>
      <c r="O677" s="139"/>
      <c r="P677" s="139"/>
      <c r="Q677" s="139"/>
      <c r="R677" s="139"/>
      <c r="S677" s="139"/>
      <c r="T677" s="139"/>
      <c r="U677" s="139"/>
      <c r="V677" s="139"/>
      <c r="W677" s="139"/>
      <c r="X677" s="139"/>
      <c r="Y677" s="139"/>
      <c r="Z677" s="139"/>
      <c r="AA677" s="139"/>
      <c r="AB677" s="139"/>
      <c r="AC677" s="139"/>
      <c r="AD677" s="139"/>
      <c r="AE677" s="139"/>
      <c r="AF677" s="139"/>
      <c r="AG677" s="139"/>
      <c r="AH677" s="139"/>
      <c r="AI677" s="139"/>
      <c r="AJ677" s="139"/>
    </row>
    <row r="678">
      <c r="A678" s="9"/>
      <c r="B678" s="139"/>
      <c r="C678" s="139"/>
      <c r="D678" s="139"/>
      <c r="E678" s="139"/>
      <c r="F678" s="139"/>
      <c r="G678" s="139"/>
      <c r="H678" s="139"/>
      <c r="I678" s="139"/>
      <c r="J678" s="139"/>
      <c r="K678" s="139"/>
      <c r="L678" s="139"/>
      <c r="M678" s="139"/>
      <c r="N678" s="139"/>
      <c r="O678" s="139"/>
      <c r="P678" s="139"/>
      <c r="Q678" s="139"/>
      <c r="R678" s="139"/>
      <c r="S678" s="139"/>
      <c r="T678" s="139"/>
      <c r="U678" s="139"/>
      <c r="V678" s="139"/>
      <c r="W678" s="139"/>
      <c r="X678" s="139"/>
      <c r="Y678" s="139"/>
      <c r="Z678" s="139"/>
      <c r="AA678" s="139"/>
      <c r="AB678" s="139"/>
      <c r="AC678" s="139"/>
      <c r="AD678" s="139"/>
      <c r="AE678" s="139"/>
      <c r="AF678" s="139"/>
      <c r="AG678" s="139"/>
      <c r="AH678" s="139"/>
      <c r="AI678" s="139"/>
      <c r="AJ678" s="139"/>
    </row>
    <row r="679">
      <c r="A679" s="9"/>
      <c r="B679" s="139"/>
      <c r="C679" s="139"/>
      <c r="D679" s="139"/>
      <c r="E679" s="139"/>
      <c r="F679" s="139"/>
      <c r="G679" s="139"/>
      <c r="H679" s="139"/>
      <c r="I679" s="139"/>
      <c r="J679" s="139"/>
      <c r="K679" s="139"/>
      <c r="L679" s="139"/>
      <c r="M679" s="139"/>
      <c r="N679" s="139"/>
      <c r="O679" s="139"/>
      <c r="P679" s="139"/>
      <c r="Q679" s="139"/>
      <c r="R679" s="139"/>
      <c r="S679" s="139"/>
      <c r="T679" s="139"/>
      <c r="U679" s="139"/>
      <c r="V679" s="139"/>
      <c r="W679" s="139"/>
      <c r="X679" s="139"/>
      <c r="Y679" s="139"/>
      <c r="Z679" s="139"/>
      <c r="AA679" s="139"/>
      <c r="AB679" s="139"/>
      <c r="AC679" s="139"/>
      <c r="AD679" s="139"/>
      <c r="AE679" s="139"/>
      <c r="AF679" s="139"/>
      <c r="AG679" s="139"/>
      <c r="AH679" s="139"/>
      <c r="AI679" s="139"/>
      <c r="AJ679" s="139"/>
    </row>
    <row r="680">
      <c r="A680" s="9"/>
      <c r="B680" s="139"/>
      <c r="C680" s="139"/>
      <c r="D680" s="139"/>
      <c r="E680" s="139"/>
      <c r="F680" s="139"/>
      <c r="G680" s="139"/>
      <c r="H680" s="139"/>
      <c r="I680" s="139"/>
      <c r="J680" s="139"/>
      <c r="K680" s="139"/>
      <c r="L680" s="139"/>
      <c r="M680" s="139"/>
      <c r="N680" s="139"/>
      <c r="O680" s="139"/>
      <c r="P680" s="139"/>
      <c r="Q680" s="139"/>
      <c r="R680" s="139"/>
      <c r="S680" s="139"/>
      <c r="T680" s="139"/>
      <c r="U680" s="139"/>
      <c r="V680" s="139"/>
      <c r="W680" s="139"/>
      <c r="X680" s="139"/>
      <c r="Y680" s="139"/>
      <c r="Z680" s="139"/>
      <c r="AA680" s="139"/>
      <c r="AB680" s="139"/>
      <c r="AC680" s="139"/>
      <c r="AD680" s="139"/>
      <c r="AE680" s="139"/>
      <c r="AF680" s="139"/>
      <c r="AG680" s="139"/>
      <c r="AH680" s="139"/>
      <c r="AI680" s="139"/>
      <c r="AJ680" s="139"/>
    </row>
    <row r="681">
      <c r="A681" s="9"/>
      <c r="B681" s="139"/>
      <c r="C681" s="139"/>
      <c r="D681" s="139"/>
      <c r="E681" s="139"/>
      <c r="F681" s="139"/>
      <c r="G681" s="139"/>
      <c r="H681" s="139"/>
      <c r="I681" s="139"/>
      <c r="J681" s="139"/>
      <c r="K681" s="139"/>
      <c r="L681" s="139"/>
      <c r="M681" s="139"/>
      <c r="N681" s="139"/>
      <c r="O681" s="139"/>
      <c r="P681" s="139"/>
      <c r="Q681" s="139"/>
      <c r="R681" s="139"/>
      <c r="S681" s="139"/>
      <c r="T681" s="139"/>
      <c r="U681" s="139"/>
      <c r="V681" s="139"/>
      <c r="W681" s="139"/>
      <c r="X681" s="139"/>
      <c r="Y681" s="139"/>
      <c r="Z681" s="139"/>
      <c r="AA681" s="139"/>
      <c r="AB681" s="139"/>
      <c r="AC681" s="139"/>
      <c r="AD681" s="139"/>
      <c r="AE681" s="139"/>
      <c r="AF681" s="139"/>
      <c r="AG681" s="139"/>
      <c r="AH681" s="139"/>
      <c r="AI681" s="139"/>
      <c r="AJ681" s="139"/>
    </row>
    <row r="682">
      <c r="A682" s="9"/>
      <c r="B682" s="139"/>
      <c r="C682" s="139"/>
      <c r="D682" s="139"/>
      <c r="E682" s="139"/>
      <c r="F682" s="139"/>
      <c r="G682" s="139"/>
      <c r="H682" s="139"/>
      <c r="I682" s="139"/>
      <c r="J682" s="139"/>
      <c r="K682" s="139"/>
      <c r="L682" s="139"/>
      <c r="M682" s="139"/>
      <c r="N682" s="139"/>
      <c r="O682" s="139"/>
      <c r="P682" s="139"/>
      <c r="Q682" s="139"/>
      <c r="R682" s="139"/>
      <c r="S682" s="139"/>
      <c r="T682" s="139"/>
      <c r="U682" s="139"/>
      <c r="V682" s="139"/>
      <c r="W682" s="139"/>
      <c r="X682" s="139"/>
      <c r="Y682" s="139"/>
      <c r="Z682" s="139"/>
      <c r="AA682" s="139"/>
      <c r="AB682" s="139"/>
      <c r="AC682" s="139"/>
      <c r="AD682" s="139"/>
      <c r="AE682" s="139"/>
      <c r="AF682" s="139"/>
      <c r="AG682" s="139"/>
      <c r="AH682" s="139"/>
      <c r="AI682" s="139"/>
      <c r="AJ682" s="139"/>
    </row>
    <row r="683">
      <c r="A683" s="9"/>
      <c r="B683" s="139"/>
      <c r="C683" s="139"/>
      <c r="D683" s="139"/>
      <c r="E683" s="139"/>
      <c r="F683" s="139"/>
      <c r="G683" s="139"/>
      <c r="H683" s="139"/>
      <c r="I683" s="139"/>
      <c r="J683" s="139"/>
      <c r="K683" s="139"/>
      <c r="L683" s="139"/>
      <c r="M683" s="139"/>
      <c r="N683" s="139"/>
      <c r="O683" s="139"/>
      <c r="P683" s="139"/>
      <c r="Q683" s="139"/>
      <c r="R683" s="139"/>
      <c r="S683" s="139"/>
      <c r="T683" s="139"/>
      <c r="U683" s="139"/>
      <c r="V683" s="139"/>
      <c r="W683" s="139"/>
      <c r="X683" s="139"/>
      <c r="Y683" s="139"/>
      <c r="Z683" s="139"/>
      <c r="AA683" s="139"/>
      <c r="AB683" s="139"/>
      <c r="AC683" s="139"/>
      <c r="AD683" s="139"/>
      <c r="AE683" s="139"/>
      <c r="AF683" s="139"/>
      <c r="AG683" s="139"/>
      <c r="AH683" s="139"/>
      <c r="AI683" s="139"/>
      <c r="AJ683" s="139"/>
    </row>
    <row r="684">
      <c r="A684" s="9"/>
      <c r="B684" s="139"/>
      <c r="C684" s="139"/>
      <c r="D684" s="139"/>
      <c r="E684" s="139"/>
      <c r="F684" s="139"/>
      <c r="G684" s="139"/>
      <c r="H684" s="139"/>
      <c r="I684" s="139"/>
      <c r="J684" s="139"/>
      <c r="K684" s="139"/>
      <c r="L684" s="139"/>
      <c r="M684" s="139"/>
      <c r="N684" s="139"/>
      <c r="O684" s="139"/>
      <c r="P684" s="139"/>
      <c r="Q684" s="139"/>
      <c r="R684" s="139"/>
      <c r="S684" s="139"/>
      <c r="T684" s="139"/>
      <c r="U684" s="139"/>
      <c r="V684" s="139"/>
      <c r="W684" s="139"/>
      <c r="X684" s="139"/>
      <c r="Y684" s="139"/>
      <c r="Z684" s="139"/>
      <c r="AA684" s="139"/>
      <c r="AB684" s="139"/>
      <c r="AC684" s="139"/>
      <c r="AD684" s="139"/>
      <c r="AE684" s="139"/>
      <c r="AF684" s="139"/>
      <c r="AG684" s="139"/>
      <c r="AH684" s="139"/>
      <c r="AI684" s="139"/>
      <c r="AJ684" s="139"/>
    </row>
    <row r="685">
      <c r="A685" s="9"/>
      <c r="B685" s="139"/>
      <c r="C685" s="139"/>
      <c r="D685" s="139"/>
      <c r="E685" s="139"/>
      <c r="F685" s="139"/>
      <c r="G685" s="139"/>
      <c r="H685" s="139"/>
      <c r="I685" s="139"/>
      <c r="J685" s="139"/>
      <c r="K685" s="139"/>
      <c r="L685" s="139"/>
      <c r="M685" s="139"/>
      <c r="N685" s="139"/>
      <c r="O685" s="139"/>
      <c r="P685" s="139"/>
      <c r="Q685" s="139"/>
      <c r="R685" s="139"/>
      <c r="S685" s="139"/>
      <c r="T685" s="139"/>
      <c r="U685" s="139"/>
      <c r="V685" s="139"/>
      <c r="W685" s="139"/>
      <c r="X685" s="139"/>
      <c r="Y685" s="139"/>
      <c r="Z685" s="139"/>
      <c r="AA685" s="139"/>
      <c r="AB685" s="139"/>
      <c r="AC685" s="139"/>
      <c r="AD685" s="139"/>
      <c r="AE685" s="139"/>
      <c r="AF685" s="139"/>
      <c r="AG685" s="139"/>
      <c r="AH685" s="139"/>
      <c r="AI685" s="139"/>
      <c r="AJ685" s="139"/>
    </row>
    <row r="686">
      <c r="A686" s="9"/>
      <c r="B686" s="139"/>
      <c r="C686" s="139"/>
      <c r="D686" s="139"/>
      <c r="E686" s="139"/>
      <c r="F686" s="139"/>
      <c r="G686" s="139"/>
      <c r="H686" s="139"/>
      <c r="I686" s="139"/>
      <c r="J686" s="139"/>
      <c r="K686" s="139"/>
      <c r="L686" s="139"/>
      <c r="M686" s="139"/>
      <c r="N686" s="139"/>
      <c r="O686" s="139"/>
      <c r="P686" s="139"/>
      <c r="Q686" s="139"/>
      <c r="R686" s="139"/>
      <c r="S686" s="139"/>
      <c r="T686" s="139"/>
      <c r="U686" s="139"/>
      <c r="V686" s="139"/>
      <c r="W686" s="139"/>
      <c r="X686" s="139"/>
      <c r="Y686" s="139"/>
      <c r="Z686" s="139"/>
      <c r="AA686" s="139"/>
      <c r="AB686" s="139"/>
      <c r="AC686" s="139"/>
      <c r="AD686" s="139"/>
      <c r="AE686" s="139"/>
      <c r="AF686" s="139"/>
      <c r="AG686" s="139"/>
      <c r="AH686" s="139"/>
      <c r="AI686" s="139"/>
      <c r="AJ686" s="139"/>
    </row>
    <row r="687">
      <c r="A687" s="9"/>
      <c r="B687" s="139"/>
      <c r="C687" s="139"/>
      <c r="D687" s="139"/>
      <c r="E687" s="139"/>
      <c r="F687" s="139"/>
      <c r="G687" s="139"/>
      <c r="H687" s="139"/>
      <c r="I687" s="139"/>
      <c r="J687" s="139"/>
      <c r="K687" s="139"/>
      <c r="L687" s="139"/>
      <c r="M687" s="139"/>
      <c r="N687" s="139"/>
      <c r="O687" s="139"/>
      <c r="P687" s="139"/>
      <c r="Q687" s="139"/>
      <c r="R687" s="139"/>
      <c r="S687" s="139"/>
      <c r="T687" s="139"/>
      <c r="U687" s="139"/>
      <c r="V687" s="139"/>
      <c r="W687" s="139"/>
      <c r="X687" s="139"/>
      <c r="Y687" s="139"/>
      <c r="Z687" s="139"/>
      <c r="AA687" s="139"/>
      <c r="AB687" s="139"/>
      <c r="AC687" s="139"/>
      <c r="AD687" s="139"/>
      <c r="AE687" s="139"/>
      <c r="AF687" s="139"/>
      <c r="AG687" s="139"/>
      <c r="AH687" s="139"/>
      <c r="AI687" s="139"/>
      <c r="AJ687" s="139"/>
    </row>
    <row r="688">
      <c r="A688" s="9"/>
      <c r="B688" s="139"/>
      <c r="C688" s="139"/>
      <c r="D688" s="139"/>
      <c r="E688" s="139"/>
      <c r="F688" s="139"/>
      <c r="G688" s="139"/>
      <c r="H688" s="139"/>
      <c r="I688" s="139"/>
      <c r="J688" s="139"/>
      <c r="K688" s="139"/>
      <c r="L688" s="139"/>
      <c r="M688" s="139"/>
      <c r="N688" s="139"/>
      <c r="O688" s="139"/>
      <c r="P688" s="139"/>
      <c r="Q688" s="139"/>
      <c r="R688" s="139"/>
      <c r="S688" s="139"/>
      <c r="T688" s="139"/>
      <c r="U688" s="139"/>
      <c r="V688" s="139"/>
      <c r="W688" s="139"/>
      <c r="X688" s="139"/>
      <c r="Y688" s="139"/>
      <c r="Z688" s="139"/>
      <c r="AA688" s="139"/>
      <c r="AB688" s="139"/>
      <c r="AC688" s="139"/>
      <c r="AD688" s="139"/>
      <c r="AE688" s="139"/>
      <c r="AF688" s="139"/>
      <c r="AG688" s="139"/>
      <c r="AH688" s="139"/>
      <c r="AI688" s="139"/>
      <c r="AJ688" s="139"/>
    </row>
    <row r="689">
      <c r="A689" s="9"/>
      <c r="B689" s="139"/>
      <c r="C689" s="139"/>
      <c r="D689" s="139"/>
      <c r="E689" s="139"/>
      <c r="F689" s="139"/>
      <c r="G689" s="139"/>
      <c r="H689" s="139"/>
      <c r="I689" s="139"/>
      <c r="J689" s="139"/>
      <c r="K689" s="139"/>
      <c r="L689" s="139"/>
      <c r="M689" s="139"/>
      <c r="N689" s="139"/>
      <c r="O689" s="139"/>
      <c r="P689" s="139"/>
      <c r="Q689" s="139"/>
      <c r="R689" s="139"/>
      <c r="S689" s="139"/>
      <c r="T689" s="139"/>
      <c r="U689" s="139"/>
      <c r="V689" s="139"/>
      <c r="W689" s="139"/>
      <c r="X689" s="139"/>
      <c r="Y689" s="139"/>
      <c r="Z689" s="139"/>
      <c r="AA689" s="139"/>
      <c r="AB689" s="139"/>
      <c r="AC689" s="139"/>
      <c r="AD689" s="139"/>
      <c r="AE689" s="139"/>
      <c r="AF689" s="139"/>
      <c r="AG689" s="139"/>
      <c r="AH689" s="139"/>
      <c r="AI689" s="139"/>
      <c r="AJ689" s="139"/>
    </row>
    <row r="690">
      <c r="A690" s="9"/>
      <c r="B690" s="139"/>
      <c r="C690" s="139"/>
      <c r="D690" s="139"/>
      <c r="E690" s="139"/>
      <c r="F690" s="139"/>
      <c r="G690" s="139"/>
      <c r="H690" s="139"/>
      <c r="I690" s="139"/>
      <c r="J690" s="139"/>
      <c r="K690" s="139"/>
      <c r="L690" s="139"/>
      <c r="M690" s="139"/>
      <c r="N690" s="139"/>
      <c r="O690" s="139"/>
      <c r="P690" s="139"/>
      <c r="Q690" s="139"/>
      <c r="R690" s="139"/>
      <c r="S690" s="139"/>
      <c r="T690" s="139"/>
      <c r="U690" s="139"/>
      <c r="V690" s="139"/>
      <c r="W690" s="139"/>
      <c r="X690" s="139"/>
      <c r="Y690" s="139"/>
      <c r="Z690" s="139"/>
      <c r="AA690" s="139"/>
      <c r="AB690" s="139"/>
      <c r="AC690" s="139"/>
      <c r="AD690" s="139"/>
      <c r="AE690" s="139"/>
      <c r="AF690" s="139"/>
      <c r="AG690" s="139"/>
      <c r="AH690" s="139"/>
      <c r="AI690" s="139"/>
      <c r="AJ690" s="139"/>
    </row>
    <row r="691">
      <c r="A691" s="9"/>
      <c r="B691" s="139"/>
      <c r="C691" s="139"/>
      <c r="D691" s="139"/>
      <c r="E691" s="139"/>
      <c r="F691" s="139"/>
      <c r="G691" s="139"/>
      <c r="H691" s="139"/>
      <c r="I691" s="139"/>
      <c r="J691" s="139"/>
      <c r="K691" s="139"/>
      <c r="L691" s="139"/>
      <c r="M691" s="139"/>
      <c r="N691" s="139"/>
      <c r="O691" s="139"/>
      <c r="P691" s="139"/>
      <c r="Q691" s="139"/>
      <c r="R691" s="139"/>
      <c r="S691" s="139"/>
      <c r="T691" s="139"/>
      <c r="U691" s="139"/>
      <c r="V691" s="139"/>
      <c r="W691" s="139"/>
      <c r="X691" s="139"/>
      <c r="Y691" s="139"/>
      <c r="Z691" s="139"/>
      <c r="AA691" s="139"/>
      <c r="AB691" s="139"/>
      <c r="AC691" s="139"/>
      <c r="AD691" s="139"/>
      <c r="AE691" s="139"/>
      <c r="AF691" s="139"/>
      <c r="AG691" s="139"/>
      <c r="AH691" s="139"/>
      <c r="AI691" s="139"/>
      <c r="AJ691" s="139"/>
    </row>
    <row r="692">
      <c r="A692" s="9"/>
      <c r="B692" s="139"/>
      <c r="C692" s="139"/>
      <c r="D692" s="139"/>
      <c r="E692" s="139"/>
      <c r="F692" s="139"/>
      <c r="G692" s="139"/>
      <c r="H692" s="139"/>
      <c r="I692" s="139"/>
      <c r="J692" s="139"/>
      <c r="K692" s="139"/>
      <c r="L692" s="139"/>
      <c r="M692" s="139"/>
      <c r="N692" s="139"/>
      <c r="O692" s="139"/>
      <c r="P692" s="139"/>
      <c r="Q692" s="139"/>
      <c r="R692" s="139"/>
      <c r="S692" s="139"/>
      <c r="T692" s="139"/>
      <c r="U692" s="139"/>
      <c r="V692" s="139"/>
      <c r="W692" s="139"/>
      <c r="X692" s="139"/>
      <c r="Y692" s="139"/>
      <c r="Z692" s="139"/>
      <c r="AA692" s="139"/>
      <c r="AB692" s="139"/>
      <c r="AC692" s="139"/>
      <c r="AD692" s="139"/>
      <c r="AE692" s="139"/>
      <c r="AF692" s="139"/>
      <c r="AG692" s="139"/>
      <c r="AH692" s="139"/>
      <c r="AI692" s="139"/>
      <c r="AJ692" s="139"/>
    </row>
    <row r="693">
      <c r="A693" s="9"/>
      <c r="B693" s="139"/>
      <c r="C693" s="139"/>
      <c r="D693" s="139"/>
      <c r="E693" s="139"/>
      <c r="F693" s="139"/>
      <c r="G693" s="139"/>
      <c r="H693" s="139"/>
      <c r="I693" s="139"/>
      <c r="J693" s="139"/>
      <c r="K693" s="139"/>
      <c r="L693" s="139"/>
      <c r="M693" s="139"/>
      <c r="N693" s="139"/>
      <c r="O693" s="139"/>
      <c r="P693" s="139"/>
      <c r="Q693" s="139"/>
      <c r="R693" s="139"/>
      <c r="S693" s="139"/>
      <c r="T693" s="139"/>
      <c r="U693" s="139"/>
      <c r="V693" s="139"/>
      <c r="W693" s="139"/>
      <c r="X693" s="139"/>
      <c r="Y693" s="139"/>
      <c r="Z693" s="139"/>
      <c r="AA693" s="139"/>
      <c r="AB693" s="139"/>
      <c r="AC693" s="139"/>
      <c r="AD693" s="139"/>
      <c r="AE693" s="139"/>
      <c r="AF693" s="139"/>
      <c r="AG693" s="139"/>
      <c r="AH693" s="139"/>
      <c r="AI693" s="139"/>
      <c r="AJ693" s="139"/>
    </row>
    <row r="694">
      <c r="A694" s="9"/>
      <c r="B694" s="139"/>
      <c r="C694" s="139"/>
      <c r="D694" s="139"/>
      <c r="E694" s="139"/>
      <c r="F694" s="139"/>
      <c r="G694" s="139"/>
      <c r="H694" s="139"/>
      <c r="I694" s="139"/>
      <c r="J694" s="139"/>
      <c r="K694" s="139"/>
      <c r="L694" s="139"/>
      <c r="M694" s="139"/>
      <c r="N694" s="139"/>
      <c r="O694" s="139"/>
      <c r="P694" s="139"/>
      <c r="Q694" s="139"/>
      <c r="R694" s="139"/>
      <c r="S694" s="139"/>
      <c r="T694" s="139"/>
      <c r="U694" s="139"/>
      <c r="V694" s="139"/>
      <c r="W694" s="139"/>
      <c r="X694" s="139"/>
      <c r="Y694" s="139"/>
      <c r="Z694" s="139"/>
      <c r="AA694" s="139"/>
      <c r="AB694" s="139"/>
      <c r="AC694" s="139"/>
      <c r="AD694" s="139"/>
      <c r="AE694" s="139"/>
      <c r="AF694" s="139"/>
      <c r="AG694" s="139"/>
      <c r="AH694" s="139"/>
      <c r="AI694" s="139"/>
      <c r="AJ694" s="139"/>
    </row>
    <row r="695">
      <c r="A695" s="9"/>
      <c r="B695" s="139"/>
      <c r="C695" s="139"/>
      <c r="D695" s="139"/>
      <c r="E695" s="139"/>
      <c r="F695" s="139"/>
      <c r="G695" s="139"/>
      <c r="H695" s="139"/>
      <c r="I695" s="139"/>
      <c r="J695" s="139"/>
      <c r="K695" s="139"/>
      <c r="L695" s="139"/>
      <c r="M695" s="139"/>
      <c r="N695" s="139"/>
      <c r="O695" s="139"/>
      <c r="P695" s="139"/>
      <c r="Q695" s="139"/>
      <c r="R695" s="139"/>
      <c r="S695" s="139"/>
      <c r="T695" s="139"/>
      <c r="U695" s="139"/>
      <c r="V695" s="139"/>
      <c r="W695" s="139"/>
      <c r="X695" s="139"/>
      <c r="Y695" s="139"/>
      <c r="Z695" s="139"/>
      <c r="AA695" s="139"/>
      <c r="AB695" s="139"/>
      <c r="AC695" s="139"/>
      <c r="AD695" s="139"/>
      <c r="AE695" s="139"/>
      <c r="AF695" s="139"/>
      <c r="AG695" s="139"/>
      <c r="AH695" s="139"/>
      <c r="AI695" s="139"/>
      <c r="AJ695" s="139"/>
    </row>
    <row r="696">
      <c r="A696" s="9"/>
      <c r="B696" s="139"/>
      <c r="C696" s="139"/>
      <c r="D696" s="139"/>
      <c r="E696" s="139"/>
      <c r="F696" s="139"/>
      <c r="G696" s="139"/>
      <c r="H696" s="139"/>
      <c r="I696" s="139"/>
      <c r="J696" s="139"/>
      <c r="K696" s="139"/>
      <c r="L696" s="139"/>
      <c r="M696" s="139"/>
      <c r="N696" s="139"/>
      <c r="O696" s="139"/>
      <c r="P696" s="139"/>
      <c r="Q696" s="139"/>
      <c r="R696" s="139"/>
      <c r="S696" s="139"/>
      <c r="T696" s="139"/>
      <c r="U696" s="139"/>
      <c r="V696" s="139"/>
      <c r="W696" s="139"/>
      <c r="X696" s="139"/>
      <c r="Y696" s="139"/>
      <c r="Z696" s="139"/>
      <c r="AA696" s="139"/>
      <c r="AB696" s="139"/>
      <c r="AC696" s="139"/>
      <c r="AD696" s="139"/>
      <c r="AE696" s="139"/>
      <c r="AF696" s="139"/>
      <c r="AG696" s="139"/>
      <c r="AH696" s="139"/>
      <c r="AI696" s="139"/>
      <c r="AJ696" s="139"/>
    </row>
    <row r="697">
      <c r="A697" s="9"/>
      <c r="B697" s="139"/>
      <c r="C697" s="139"/>
      <c r="D697" s="139"/>
      <c r="E697" s="139"/>
      <c r="F697" s="139"/>
      <c r="G697" s="139"/>
      <c r="H697" s="139"/>
      <c r="I697" s="139"/>
      <c r="J697" s="139"/>
      <c r="K697" s="139"/>
      <c r="L697" s="139"/>
      <c r="M697" s="139"/>
      <c r="N697" s="139"/>
      <c r="O697" s="139"/>
      <c r="P697" s="139"/>
      <c r="Q697" s="139"/>
      <c r="R697" s="139"/>
      <c r="S697" s="139"/>
      <c r="T697" s="139"/>
      <c r="U697" s="139"/>
      <c r="V697" s="139"/>
      <c r="W697" s="139"/>
      <c r="X697" s="139"/>
      <c r="Y697" s="139"/>
      <c r="Z697" s="139"/>
      <c r="AA697" s="139"/>
      <c r="AB697" s="139"/>
      <c r="AC697" s="139"/>
      <c r="AD697" s="139"/>
      <c r="AE697" s="139"/>
      <c r="AF697" s="139"/>
      <c r="AG697" s="139"/>
      <c r="AH697" s="139"/>
      <c r="AI697" s="139"/>
      <c r="AJ697" s="139"/>
    </row>
    <row r="698">
      <c r="A698" s="9"/>
      <c r="B698" s="139"/>
      <c r="C698" s="139"/>
      <c r="D698" s="139"/>
      <c r="E698" s="139"/>
      <c r="F698" s="139"/>
      <c r="G698" s="139"/>
      <c r="H698" s="139"/>
      <c r="I698" s="139"/>
      <c r="J698" s="139"/>
      <c r="K698" s="139"/>
      <c r="L698" s="139"/>
      <c r="M698" s="139"/>
      <c r="N698" s="139"/>
      <c r="O698" s="139"/>
      <c r="P698" s="139"/>
      <c r="Q698" s="139"/>
      <c r="R698" s="139"/>
      <c r="S698" s="139"/>
      <c r="T698" s="139"/>
      <c r="U698" s="139"/>
      <c r="V698" s="139"/>
      <c r="W698" s="139"/>
      <c r="X698" s="139"/>
      <c r="Y698" s="139"/>
      <c r="Z698" s="139"/>
      <c r="AA698" s="139"/>
      <c r="AB698" s="139"/>
      <c r="AC698" s="139"/>
      <c r="AD698" s="139"/>
      <c r="AE698" s="139"/>
      <c r="AF698" s="139"/>
      <c r="AG698" s="139"/>
      <c r="AH698" s="139"/>
      <c r="AI698" s="139"/>
      <c r="AJ698" s="139"/>
    </row>
    <row r="699">
      <c r="A699" s="9"/>
      <c r="B699" s="139"/>
      <c r="C699" s="139"/>
      <c r="D699" s="139"/>
      <c r="E699" s="139"/>
      <c r="F699" s="139"/>
      <c r="G699" s="139"/>
      <c r="H699" s="139"/>
      <c r="I699" s="139"/>
      <c r="J699" s="139"/>
      <c r="K699" s="139"/>
      <c r="L699" s="139"/>
      <c r="M699" s="139"/>
      <c r="N699" s="139"/>
      <c r="O699" s="139"/>
      <c r="P699" s="139"/>
      <c r="Q699" s="139"/>
      <c r="R699" s="139"/>
      <c r="S699" s="139"/>
      <c r="T699" s="139"/>
      <c r="U699" s="139"/>
      <c r="V699" s="139"/>
      <c r="W699" s="139"/>
      <c r="X699" s="139"/>
      <c r="Y699" s="139"/>
      <c r="Z699" s="139"/>
      <c r="AA699" s="139"/>
      <c r="AB699" s="139"/>
      <c r="AC699" s="139"/>
      <c r="AD699" s="139"/>
      <c r="AE699" s="139"/>
      <c r="AF699" s="139"/>
      <c r="AG699" s="139"/>
      <c r="AH699" s="139"/>
      <c r="AI699" s="139"/>
      <c r="AJ699" s="139"/>
    </row>
    <row r="700">
      <c r="A700" s="9"/>
      <c r="B700" s="139"/>
      <c r="C700" s="139"/>
      <c r="D700" s="139"/>
      <c r="E700" s="139"/>
      <c r="F700" s="139"/>
      <c r="G700" s="139"/>
      <c r="H700" s="139"/>
      <c r="I700" s="139"/>
      <c r="J700" s="139"/>
      <c r="K700" s="139"/>
      <c r="L700" s="139"/>
      <c r="M700" s="139"/>
      <c r="N700" s="139"/>
      <c r="O700" s="139"/>
      <c r="P700" s="139"/>
      <c r="Q700" s="139"/>
      <c r="R700" s="139"/>
      <c r="S700" s="139"/>
      <c r="T700" s="139"/>
      <c r="U700" s="139"/>
      <c r="V700" s="139"/>
      <c r="W700" s="139"/>
      <c r="X700" s="139"/>
      <c r="Y700" s="139"/>
      <c r="Z700" s="139"/>
      <c r="AA700" s="139"/>
      <c r="AB700" s="139"/>
      <c r="AC700" s="139"/>
      <c r="AD700" s="139"/>
      <c r="AE700" s="139"/>
      <c r="AF700" s="139"/>
      <c r="AG700" s="139"/>
      <c r="AH700" s="139"/>
      <c r="AI700" s="139"/>
      <c r="AJ700" s="139"/>
    </row>
    <row r="701">
      <c r="A701" s="9"/>
      <c r="B701" s="139"/>
      <c r="C701" s="139"/>
      <c r="D701" s="139"/>
      <c r="E701" s="139"/>
      <c r="F701" s="139"/>
      <c r="G701" s="139"/>
      <c r="H701" s="139"/>
      <c r="I701" s="139"/>
      <c r="J701" s="139"/>
      <c r="K701" s="139"/>
      <c r="L701" s="139"/>
      <c r="M701" s="139"/>
      <c r="N701" s="139"/>
      <c r="O701" s="139"/>
      <c r="P701" s="139"/>
      <c r="Q701" s="139"/>
      <c r="R701" s="139"/>
      <c r="S701" s="139"/>
      <c r="T701" s="139"/>
      <c r="U701" s="139"/>
      <c r="V701" s="139"/>
      <c r="W701" s="139"/>
      <c r="X701" s="139"/>
      <c r="Y701" s="139"/>
      <c r="Z701" s="139"/>
      <c r="AA701" s="139"/>
      <c r="AB701" s="139"/>
      <c r="AC701" s="139"/>
      <c r="AD701" s="139"/>
      <c r="AE701" s="139"/>
      <c r="AF701" s="139"/>
      <c r="AG701" s="139"/>
      <c r="AH701" s="139"/>
      <c r="AI701" s="139"/>
      <c r="AJ701" s="139"/>
    </row>
    <row r="702">
      <c r="A702" s="9"/>
      <c r="B702" s="139"/>
      <c r="C702" s="139"/>
      <c r="D702" s="139"/>
      <c r="E702" s="139"/>
      <c r="F702" s="139"/>
      <c r="G702" s="139"/>
      <c r="H702" s="139"/>
      <c r="I702" s="139"/>
      <c r="J702" s="139"/>
      <c r="K702" s="139"/>
      <c r="L702" s="139"/>
      <c r="M702" s="139"/>
      <c r="N702" s="139"/>
      <c r="O702" s="139"/>
      <c r="P702" s="139"/>
      <c r="Q702" s="139"/>
      <c r="R702" s="139"/>
      <c r="S702" s="139"/>
      <c r="T702" s="139"/>
      <c r="U702" s="139"/>
      <c r="V702" s="139"/>
      <c r="W702" s="139"/>
      <c r="X702" s="139"/>
      <c r="Y702" s="139"/>
      <c r="Z702" s="139"/>
      <c r="AA702" s="139"/>
      <c r="AB702" s="139"/>
      <c r="AC702" s="139"/>
      <c r="AD702" s="139"/>
      <c r="AE702" s="139"/>
      <c r="AF702" s="139"/>
      <c r="AG702" s="139"/>
      <c r="AH702" s="139"/>
      <c r="AI702" s="139"/>
      <c r="AJ702" s="139"/>
    </row>
    <row r="703">
      <c r="A703" s="9"/>
      <c r="B703" s="139"/>
      <c r="C703" s="139"/>
      <c r="D703" s="139"/>
      <c r="E703" s="139"/>
      <c r="F703" s="139"/>
      <c r="G703" s="139"/>
      <c r="H703" s="139"/>
      <c r="I703" s="139"/>
      <c r="J703" s="139"/>
      <c r="K703" s="139"/>
      <c r="L703" s="139"/>
      <c r="M703" s="139"/>
      <c r="N703" s="139"/>
      <c r="O703" s="139"/>
      <c r="P703" s="139"/>
      <c r="Q703" s="139"/>
      <c r="R703" s="139"/>
      <c r="S703" s="139"/>
      <c r="T703" s="139"/>
      <c r="U703" s="139"/>
      <c r="V703" s="139"/>
      <c r="W703" s="139"/>
      <c r="X703" s="139"/>
      <c r="Y703" s="139"/>
      <c r="Z703" s="139"/>
      <c r="AA703" s="139"/>
      <c r="AB703" s="139"/>
      <c r="AC703" s="139"/>
      <c r="AD703" s="139"/>
      <c r="AE703" s="139"/>
      <c r="AF703" s="139"/>
      <c r="AG703" s="139"/>
      <c r="AH703" s="139"/>
      <c r="AI703" s="139"/>
      <c r="AJ703" s="139"/>
    </row>
    <row r="704">
      <c r="A704" s="9"/>
      <c r="B704" s="139"/>
      <c r="C704" s="139"/>
      <c r="D704" s="139"/>
      <c r="E704" s="139"/>
      <c r="F704" s="139"/>
      <c r="G704" s="139"/>
      <c r="H704" s="139"/>
      <c r="I704" s="139"/>
      <c r="J704" s="139"/>
      <c r="K704" s="139"/>
      <c r="L704" s="139"/>
      <c r="M704" s="139"/>
      <c r="N704" s="139"/>
      <c r="O704" s="139"/>
      <c r="P704" s="139"/>
      <c r="Q704" s="139"/>
      <c r="R704" s="139"/>
      <c r="S704" s="139"/>
      <c r="T704" s="139"/>
      <c r="U704" s="139"/>
      <c r="V704" s="139"/>
      <c r="W704" s="139"/>
      <c r="X704" s="139"/>
      <c r="Y704" s="139"/>
      <c r="Z704" s="139"/>
      <c r="AA704" s="139"/>
      <c r="AB704" s="139"/>
      <c r="AC704" s="139"/>
      <c r="AD704" s="139"/>
      <c r="AE704" s="139"/>
      <c r="AF704" s="139"/>
      <c r="AG704" s="139"/>
      <c r="AH704" s="139"/>
      <c r="AI704" s="139"/>
      <c r="AJ704" s="139"/>
    </row>
    <row r="705">
      <c r="A705" s="9"/>
      <c r="B705" s="139"/>
      <c r="C705" s="139"/>
      <c r="D705" s="139"/>
      <c r="E705" s="139"/>
      <c r="F705" s="139"/>
      <c r="G705" s="139"/>
      <c r="H705" s="139"/>
      <c r="I705" s="139"/>
      <c r="J705" s="139"/>
      <c r="K705" s="139"/>
      <c r="L705" s="139"/>
      <c r="M705" s="139"/>
      <c r="N705" s="139"/>
      <c r="O705" s="139"/>
      <c r="P705" s="139"/>
      <c r="Q705" s="139"/>
      <c r="R705" s="139"/>
      <c r="S705" s="139"/>
      <c r="T705" s="139"/>
      <c r="U705" s="139"/>
      <c r="V705" s="139"/>
      <c r="W705" s="139"/>
      <c r="X705" s="139"/>
      <c r="Y705" s="139"/>
      <c r="Z705" s="139"/>
      <c r="AA705" s="139"/>
      <c r="AB705" s="139"/>
      <c r="AC705" s="139"/>
      <c r="AD705" s="139"/>
      <c r="AE705" s="139"/>
      <c r="AF705" s="139"/>
      <c r="AG705" s="139"/>
      <c r="AH705" s="139"/>
      <c r="AI705" s="139"/>
      <c r="AJ705" s="139"/>
    </row>
    <row r="706">
      <c r="A706" s="9"/>
      <c r="B706" s="139"/>
      <c r="C706" s="139"/>
      <c r="D706" s="139"/>
      <c r="E706" s="139"/>
      <c r="F706" s="139"/>
      <c r="G706" s="139"/>
      <c r="H706" s="139"/>
      <c r="I706" s="139"/>
      <c r="J706" s="139"/>
      <c r="K706" s="139"/>
      <c r="L706" s="139"/>
      <c r="M706" s="139"/>
      <c r="N706" s="139"/>
      <c r="O706" s="139"/>
      <c r="P706" s="139"/>
      <c r="Q706" s="139"/>
      <c r="R706" s="139"/>
      <c r="S706" s="139"/>
      <c r="T706" s="139"/>
      <c r="U706" s="139"/>
      <c r="V706" s="139"/>
      <c r="W706" s="139"/>
      <c r="X706" s="139"/>
      <c r="Y706" s="139"/>
      <c r="Z706" s="139"/>
      <c r="AA706" s="139"/>
      <c r="AB706" s="139"/>
      <c r="AC706" s="139"/>
      <c r="AD706" s="139"/>
      <c r="AE706" s="139"/>
      <c r="AF706" s="139"/>
      <c r="AG706" s="139"/>
      <c r="AH706" s="139"/>
      <c r="AI706" s="139"/>
      <c r="AJ706" s="139"/>
    </row>
    <row r="707">
      <c r="A707" s="9"/>
      <c r="B707" s="139"/>
      <c r="C707" s="139"/>
      <c r="D707" s="139"/>
      <c r="E707" s="139"/>
      <c r="F707" s="139"/>
      <c r="G707" s="139"/>
      <c r="H707" s="139"/>
      <c r="I707" s="139"/>
      <c r="J707" s="139"/>
      <c r="K707" s="139"/>
      <c r="L707" s="139"/>
      <c r="M707" s="139"/>
      <c r="N707" s="139"/>
      <c r="O707" s="139"/>
      <c r="P707" s="139"/>
      <c r="Q707" s="139"/>
      <c r="R707" s="139"/>
      <c r="S707" s="139"/>
      <c r="T707" s="139"/>
      <c r="U707" s="139"/>
      <c r="V707" s="139"/>
      <c r="W707" s="139"/>
      <c r="X707" s="139"/>
      <c r="Y707" s="139"/>
      <c r="Z707" s="139"/>
      <c r="AA707" s="139"/>
      <c r="AB707" s="139"/>
      <c r="AC707" s="139"/>
      <c r="AD707" s="139"/>
      <c r="AE707" s="139"/>
      <c r="AF707" s="139"/>
      <c r="AG707" s="139"/>
      <c r="AH707" s="139"/>
      <c r="AI707" s="139"/>
      <c r="AJ707" s="139"/>
    </row>
    <row r="708">
      <c r="A708" s="9"/>
      <c r="B708" s="139"/>
      <c r="C708" s="139"/>
      <c r="D708" s="139"/>
      <c r="E708" s="139"/>
      <c r="F708" s="139"/>
      <c r="G708" s="139"/>
      <c r="H708" s="139"/>
      <c r="I708" s="139"/>
      <c r="J708" s="139"/>
      <c r="K708" s="139"/>
      <c r="L708" s="139"/>
      <c r="M708" s="139"/>
      <c r="N708" s="139"/>
      <c r="O708" s="139"/>
      <c r="P708" s="139"/>
      <c r="Q708" s="139"/>
      <c r="R708" s="139"/>
      <c r="S708" s="139"/>
      <c r="T708" s="139"/>
      <c r="U708" s="139"/>
      <c r="V708" s="139"/>
      <c r="W708" s="139"/>
      <c r="X708" s="139"/>
      <c r="Y708" s="139"/>
      <c r="Z708" s="139"/>
      <c r="AA708" s="139"/>
      <c r="AB708" s="139"/>
      <c r="AC708" s="139"/>
      <c r="AD708" s="139"/>
      <c r="AE708" s="139"/>
      <c r="AF708" s="139"/>
      <c r="AG708" s="139"/>
      <c r="AH708" s="139"/>
      <c r="AI708" s="139"/>
      <c r="AJ708" s="139"/>
    </row>
    <row r="709">
      <c r="A709" s="9"/>
      <c r="B709" s="139"/>
      <c r="C709" s="139"/>
      <c r="D709" s="139"/>
      <c r="E709" s="139"/>
      <c r="F709" s="139"/>
      <c r="G709" s="139"/>
      <c r="H709" s="139"/>
      <c r="I709" s="139"/>
      <c r="J709" s="139"/>
      <c r="K709" s="139"/>
      <c r="L709" s="139"/>
      <c r="M709" s="139"/>
      <c r="N709" s="139"/>
      <c r="O709" s="139"/>
      <c r="P709" s="139"/>
      <c r="Q709" s="139"/>
      <c r="R709" s="139"/>
      <c r="S709" s="139"/>
      <c r="T709" s="139"/>
      <c r="U709" s="139"/>
      <c r="V709" s="139"/>
      <c r="W709" s="139"/>
      <c r="X709" s="139"/>
      <c r="Y709" s="139"/>
      <c r="Z709" s="139"/>
      <c r="AA709" s="139"/>
      <c r="AB709" s="139"/>
      <c r="AC709" s="139"/>
      <c r="AD709" s="139"/>
      <c r="AE709" s="139"/>
      <c r="AF709" s="139"/>
      <c r="AG709" s="139"/>
      <c r="AH709" s="139"/>
      <c r="AI709" s="139"/>
      <c r="AJ709" s="139"/>
    </row>
    <row r="710">
      <c r="A710" s="9"/>
      <c r="B710" s="139"/>
      <c r="C710" s="139"/>
      <c r="D710" s="139"/>
      <c r="E710" s="139"/>
      <c r="F710" s="139"/>
      <c r="G710" s="139"/>
      <c r="H710" s="139"/>
      <c r="I710" s="139"/>
      <c r="J710" s="139"/>
      <c r="K710" s="139"/>
      <c r="L710" s="139"/>
      <c r="M710" s="139"/>
      <c r="N710" s="139"/>
      <c r="O710" s="139"/>
      <c r="P710" s="139"/>
      <c r="Q710" s="139"/>
      <c r="R710" s="139"/>
      <c r="S710" s="139"/>
      <c r="T710" s="139"/>
      <c r="U710" s="139"/>
      <c r="V710" s="139"/>
      <c r="W710" s="139"/>
      <c r="X710" s="139"/>
      <c r="Y710" s="139"/>
      <c r="Z710" s="139"/>
      <c r="AA710" s="139"/>
      <c r="AB710" s="139"/>
      <c r="AC710" s="139"/>
      <c r="AD710" s="139"/>
      <c r="AE710" s="139"/>
      <c r="AF710" s="139"/>
      <c r="AG710" s="139"/>
      <c r="AH710" s="139"/>
      <c r="AI710" s="139"/>
      <c r="AJ710" s="139"/>
    </row>
    <row r="711">
      <c r="A711" s="9"/>
      <c r="B711" s="139"/>
      <c r="C711" s="139"/>
      <c r="D711" s="139"/>
      <c r="E711" s="139"/>
      <c r="F711" s="139"/>
      <c r="G711" s="139"/>
      <c r="H711" s="139"/>
      <c r="I711" s="139"/>
      <c r="J711" s="139"/>
      <c r="K711" s="139"/>
      <c r="L711" s="139"/>
      <c r="M711" s="139"/>
      <c r="N711" s="139"/>
      <c r="O711" s="139"/>
      <c r="P711" s="139"/>
      <c r="Q711" s="139"/>
      <c r="R711" s="139"/>
      <c r="S711" s="139"/>
      <c r="T711" s="139"/>
      <c r="U711" s="139"/>
      <c r="V711" s="139"/>
      <c r="W711" s="139"/>
      <c r="X711" s="139"/>
      <c r="Y711" s="139"/>
      <c r="Z711" s="139"/>
      <c r="AA711" s="139"/>
      <c r="AB711" s="139"/>
      <c r="AC711" s="139"/>
      <c r="AD711" s="139"/>
      <c r="AE711" s="139"/>
      <c r="AF711" s="139"/>
      <c r="AG711" s="139"/>
      <c r="AH711" s="139"/>
      <c r="AI711" s="139"/>
      <c r="AJ711" s="139"/>
    </row>
    <row r="712">
      <c r="A712" s="9"/>
      <c r="B712" s="139"/>
      <c r="C712" s="139"/>
      <c r="D712" s="139"/>
      <c r="E712" s="139"/>
      <c r="F712" s="139"/>
      <c r="G712" s="139"/>
      <c r="H712" s="139"/>
      <c r="I712" s="139"/>
      <c r="J712" s="139"/>
      <c r="K712" s="139"/>
      <c r="L712" s="139"/>
      <c r="M712" s="139"/>
      <c r="N712" s="139"/>
      <c r="O712" s="139"/>
      <c r="P712" s="139"/>
      <c r="Q712" s="139"/>
      <c r="R712" s="139"/>
      <c r="S712" s="139"/>
      <c r="T712" s="139"/>
      <c r="U712" s="139"/>
      <c r="V712" s="139"/>
      <c r="W712" s="139"/>
      <c r="X712" s="139"/>
      <c r="Y712" s="139"/>
      <c r="Z712" s="139"/>
      <c r="AA712" s="139"/>
      <c r="AB712" s="139"/>
      <c r="AC712" s="139"/>
      <c r="AD712" s="139"/>
      <c r="AE712" s="139"/>
      <c r="AF712" s="139"/>
      <c r="AG712" s="139"/>
      <c r="AH712" s="139"/>
      <c r="AI712" s="139"/>
      <c r="AJ712" s="139"/>
    </row>
    <row r="713">
      <c r="A713" s="9"/>
      <c r="B713" s="139"/>
      <c r="C713" s="139"/>
      <c r="D713" s="139"/>
      <c r="E713" s="139"/>
      <c r="F713" s="139"/>
      <c r="G713" s="139"/>
      <c r="H713" s="139"/>
      <c r="I713" s="139"/>
      <c r="J713" s="139"/>
      <c r="K713" s="139"/>
      <c r="L713" s="139"/>
      <c r="M713" s="139"/>
      <c r="N713" s="139"/>
      <c r="O713" s="139"/>
      <c r="P713" s="139"/>
      <c r="Q713" s="139"/>
      <c r="R713" s="139"/>
      <c r="S713" s="139"/>
      <c r="T713" s="139"/>
      <c r="U713" s="139"/>
      <c r="V713" s="139"/>
      <c r="W713" s="139"/>
      <c r="X713" s="139"/>
      <c r="Y713" s="139"/>
      <c r="Z713" s="139"/>
      <c r="AA713" s="139"/>
      <c r="AB713" s="139"/>
      <c r="AC713" s="139"/>
      <c r="AD713" s="139"/>
      <c r="AE713" s="139"/>
      <c r="AF713" s="139"/>
      <c r="AG713" s="139"/>
      <c r="AH713" s="139"/>
      <c r="AI713" s="139"/>
      <c r="AJ713" s="139"/>
    </row>
    <row r="714">
      <c r="A714" s="9"/>
      <c r="B714" s="139"/>
      <c r="C714" s="139"/>
      <c r="D714" s="139"/>
      <c r="E714" s="139"/>
      <c r="F714" s="139"/>
      <c r="G714" s="139"/>
      <c r="H714" s="139"/>
      <c r="I714" s="139"/>
      <c r="J714" s="139"/>
      <c r="K714" s="139"/>
      <c r="L714" s="139"/>
      <c r="M714" s="139"/>
      <c r="N714" s="139"/>
      <c r="O714" s="139"/>
      <c r="P714" s="139"/>
      <c r="Q714" s="139"/>
      <c r="R714" s="139"/>
      <c r="S714" s="139"/>
      <c r="T714" s="139"/>
      <c r="U714" s="139"/>
      <c r="V714" s="139"/>
      <c r="W714" s="139"/>
      <c r="X714" s="139"/>
      <c r="Y714" s="139"/>
      <c r="Z714" s="139"/>
      <c r="AA714" s="139"/>
      <c r="AB714" s="139"/>
      <c r="AC714" s="139"/>
      <c r="AD714" s="139"/>
      <c r="AE714" s="139"/>
      <c r="AF714" s="139"/>
      <c r="AG714" s="139"/>
      <c r="AH714" s="139"/>
      <c r="AI714" s="139"/>
      <c r="AJ714" s="139"/>
    </row>
    <row r="715">
      <c r="A715" s="9"/>
      <c r="B715" s="139"/>
      <c r="C715" s="139"/>
      <c r="D715" s="139"/>
      <c r="E715" s="139"/>
      <c r="F715" s="139"/>
      <c r="G715" s="139"/>
      <c r="H715" s="139"/>
      <c r="I715" s="139"/>
      <c r="J715" s="139"/>
      <c r="K715" s="139"/>
      <c r="L715" s="139"/>
      <c r="M715" s="139"/>
      <c r="N715" s="139"/>
      <c r="O715" s="139"/>
      <c r="P715" s="139"/>
      <c r="Q715" s="139"/>
      <c r="R715" s="139"/>
      <c r="S715" s="139"/>
      <c r="T715" s="139"/>
      <c r="U715" s="139"/>
      <c r="V715" s="139"/>
      <c r="W715" s="139"/>
      <c r="X715" s="139"/>
      <c r="Y715" s="139"/>
      <c r="Z715" s="139"/>
      <c r="AA715" s="139"/>
      <c r="AB715" s="139"/>
      <c r="AC715" s="139"/>
      <c r="AD715" s="139"/>
      <c r="AE715" s="139"/>
      <c r="AF715" s="139"/>
      <c r="AG715" s="139"/>
      <c r="AH715" s="139"/>
      <c r="AI715" s="139"/>
      <c r="AJ715" s="139"/>
    </row>
    <row r="716">
      <c r="A716" s="9"/>
      <c r="B716" s="139"/>
      <c r="C716" s="139"/>
      <c r="D716" s="139"/>
      <c r="E716" s="139"/>
      <c r="F716" s="139"/>
      <c r="G716" s="139"/>
      <c r="H716" s="139"/>
      <c r="I716" s="139"/>
      <c r="J716" s="139"/>
      <c r="K716" s="139"/>
      <c r="L716" s="139"/>
      <c r="M716" s="139"/>
      <c r="N716" s="139"/>
      <c r="O716" s="139"/>
      <c r="P716" s="139"/>
      <c r="Q716" s="139"/>
      <c r="R716" s="139"/>
      <c r="S716" s="139"/>
      <c r="T716" s="139"/>
      <c r="U716" s="139"/>
      <c r="V716" s="139"/>
      <c r="W716" s="139"/>
      <c r="X716" s="139"/>
      <c r="Y716" s="139"/>
      <c r="Z716" s="139"/>
      <c r="AA716" s="139"/>
      <c r="AB716" s="139"/>
      <c r="AC716" s="139"/>
      <c r="AD716" s="139"/>
      <c r="AE716" s="139"/>
      <c r="AF716" s="139"/>
      <c r="AG716" s="139"/>
      <c r="AH716" s="139"/>
      <c r="AI716" s="139"/>
      <c r="AJ716" s="139"/>
    </row>
    <row r="717">
      <c r="A717" s="9"/>
      <c r="B717" s="139"/>
      <c r="C717" s="139"/>
      <c r="D717" s="139"/>
      <c r="E717" s="139"/>
      <c r="F717" s="139"/>
      <c r="G717" s="139"/>
      <c r="H717" s="139"/>
      <c r="I717" s="139"/>
      <c r="J717" s="139"/>
      <c r="K717" s="139"/>
      <c r="L717" s="139"/>
      <c r="M717" s="139"/>
      <c r="N717" s="139"/>
      <c r="O717" s="139"/>
      <c r="P717" s="139"/>
      <c r="Q717" s="139"/>
      <c r="R717" s="139"/>
      <c r="S717" s="139"/>
      <c r="T717" s="139"/>
      <c r="U717" s="139"/>
      <c r="V717" s="139"/>
      <c r="W717" s="139"/>
      <c r="X717" s="139"/>
      <c r="Y717" s="139"/>
      <c r="Z717" s="139"/>
      <c r="AA717" s="139"/>
      <c r="AB717" s="139"/>
      <c r="AC717" s="139"/>
      <c r="AD717" s="139"/>
      <c r="AE717" s="139"/>
      <c r="AF717" s="139"/>
      <c r="AG717" s="139"/>
      <c r="AH717" s="139"/>
      <c r="AI717" s="139"/>
      <c r="AJ717" s="139"/>
    </row>
    <row r="718">
      <c r="A718" s="9"/>
      <c r="B718" s="139"/>
      <c r="C718" s="139"/>
      <c r="D718" s="139"/>
      <c r="E718" s="139"/>
      <c r="F718" s="139"/>
      <c r="G718" s="139"/>
      <c r="H718" s="139"/>
      <c r="I718" s="139"/>
      <c r="J718" s="139"/>
      <c r="K718" s="139"/>
      <c r="L718" s="139"/>
      <c r="M718" s="139"/>
      <c r="N718" s="139"/>
      <c r="O718" s="139"/>
      <c r="P718" s="139"/>
      <c r="Q718" s="139"/>
      <c r="R718" s="139"/>
      <c r="S718" s="139"/>
      <c r="T718" s="139"/>
      <c r="U718" s="139"/>
      <c r="V718" s="139"/>
      <c r="W718" s="139"/>
      <c r="X718" s="139"/>
      <c r="Y718" s="139"/>
      <c r="Z718" s="139"/>
      <c r="AA718" s="139"/>
      <c r="AB718" s="139"/>
      <c r="AC718" s="139"/>
      <c r="AD718" s="139"/>
      <c r="AE718" s="139"/>
      <c r="AF718" s="139"/>
      <c r="AG718" s="139"/>
      <c r="AH718" s="139"/>
      <c r="AI718" s="139"/>
      <c r="AJ718" s="139"/>
    </row>
    <row r="719">
      <c r="A719" s="9"/>
      <c r="B719" s="139"/>
      <c r="C719" s="139"/>
      <c r="D719" s="139"/>
      <c r="E719" s="139"/>
      <c r="F719" s="139"/>
      <c r="G719" s="139"/>
      <c r="H719" s="139"/>
      <c r="I719" s="139"/>
      <c r="J719" s="139"/>
      <c r="K719" s="139"/>
      <c r="L719" s="139"/>
      <c r="M719" s="139"/>
      <c r="N719" s="139"/>
      <c r="O719" s="139"/>
      <c r="P719" s="139"/>
      <c r="Q719" s="139"/>
      <c r="R719" s="139"/>
      <c r="S719" s="139"/>
      <c r="T719" s="139"/>
      <c r="U719" s="139"/>
      <c r="V719" s="139"/>
      <c r="W719" s="139"/>
      <c r="X719" s="139"/>
      <c r="Y719" s="139"/>
      <c r="Z719" s="139"/>
      <c r="AA719" s="139"/>
      <c r="AB719" s="139"/>
      <c r="AC719" s="139"/>
      <c r="AD719" s="139"/>
      <c r="AE719" s="139"/>
      <c r="AF719" s="139"/>
      <c r="AG719" s="139"/>
      <c r="AH719" s="139"/>
      <c r="AI719" s="139"/>
      <c r="AJ719" s="139"/>
    </row>
    <row r="720">
      <c r="A720" s="9"/>
      <c r="B720" s="139"/>
      <c r="C720" s="139"/>
      <c r="D720" s="139"/>
      <c r="E720" s="139"/>
      <c r="F720" s="139"/>
      <c r="G720" s="139"/>
      <c r="H720" s="139"/>
      <c r="I720" s="139"/>
      <c r="J720" s="139"/>
      <c r="K720" s="139"/>
      <c r="L720" s="139"/>
      <c r="M720" s="139"/>
      <c r="N720" s="139"/>
      <c r="O720" s="139"/>
      <c r="P720" s="139"/>
      <c r="Q720" s="139"/>
      <c r="R720" s="139"/>
      <c r="S720" s="139"/>
      <c r="T720" s="139"/>
      <c r="U720" s="139"/>
      <c r="V720" s="139"/>
      <c r="W720" s="139"/>
      <c r="X720" s="139"/>
      <c r="Y720" s="139"/>
      <c r="Z720" s="139"/>
      <c r="AA720" s="139"/>
      <c r="AB720" s="139"/>
      <c r="AC720" s="139"/>
      <c r="AD720" s="139"/>
      <c r="AE720" s="139"/>
      <c r="AF720" s="139"/>
      <c r="AG720" s="139"/>
      <c r="AH720" s="139"/>
      <c r="AI720" s="139"/>
      <c r="AJ720" s="139"/>
    </row>
    <row r="721">
      <c r="A721" s="9"/>
      <c r="B721" s="139"/>
      <c r="C721" s="139"/>
      <c r="D721" s="139"/>
      <c r="E721" s="139"/>
      <c r="F721" s="139"/>
      <c r="G721" s="139"/>
      <c r="H721" s="139"/>
      <c r="I721" s="139"/>
      <c r="J721" s="139"/>
      <c r="K721" s="139"/>
      <c r="L721" s="139"/>
      <c r="M721" s="139"/>
      <c r="N721" s="139"/>
      <c r="O721" s="139"/>
      <c r="P721" s="139"/>
      <c r="Q721" s="139"/>
      <c r="R721" s="139"/>
      <c r="S721" s="139"/>
      <c r="T721" s="139"/>
      <c r="U721" s="139"/>
      <c r="V721" s="139"/>
      <c r="W721" s="139"/>
      <c r="X721" s="139"/>
      <c r="Y721" s="139"/>
      <c r="Z721" s="139"/>
      <c r="AA721" s="139"/>
      <c r="AB721" s="139"/>
      <c r="AC721" s="139"/>
      <c r="AD721" s="139"/>
      <c r="AE721" s="139"/>
      <c r="AF721" s="139"/>
      <c r="AG721" s="139"/>
      <c r="AH721" s="139"/>
      <c r="AI721" s="139"/>
      <c r="AJ721" s="139"/>
    </row>
    <row r="722">
      <c r="A722" s="9"/>
      <c r="B722" s="139"/>
      <c r="C722" s="139"/>
      <c r="D722" s="139"/>
      <c r="E722" s="139"/>
      <c r="F722" s="139"/>
      <c r="G722" s="139"/>
      <c r="H722" s="139"/>
      <c r="I722" s="139"/>
      <c r="J722" s="139"/>
      <c r="K722" s="139"/>
      <c r="L722" s="139"/>
      <c r="M722" s="139"/>
      <c r="N722" s="139"/>
      <c r="O722" s="139"/>
      <c r="P722" s="139"/>
      <c r="Q722" s="139"/>
      <c r="R722" s="139"/>
      <c r="S722" s="139"/>
      <c r="T722" s="139"/>
      <c r="U722" s="139"/>
      <c r="V722" s="139"/>
      <c r="W722" s="139"/>
      <c r="X722" s="139"/>
      <c r="Y722" s="139"/>
      <c r="Z722" s="139"/>
      <c r="AA722" s="139"/>
      <c r="AB722" s="139"/>
      <c r="AC722" s="139"/>
      <c r="AD722" s="139"/>
      <c r="AE722" s="139"/>
      <c r="AF722" s="139"/>
      <c r="AG722" s="139"/>
      <c r="AH722" s="139"/>
      <c r="AI722" s="139"/>
      <c r="AJ722" s="139"/>
    </row>
    <row r="723">
      <c r="A723" s="9"/>
      <c r="B723" s="139"/>
      <c r="C723" s="139"/>
      <c r="D723" s="139"/>
      <c r="E723" s="139"/>
      <c r="F723" s="139"/>
      <c r="G723" s="139"/>
      <c r="H723" s="139"/>
      <c r="I723" s="139"/>
      <c r="J723" s="139"/>
      <c r="K723" s="139"/>
      <c r="L723" s="139"/>
      <c r="M723" s="139"/>
      <c r="N723" s="139"/>
      <c r="O723" s="139"/>
      <c r="P723" s="139"/>
      <c r="Q723" s="139"/>
      <c r="R723" s="139"/>
      <c r="S723" s="139"/>
      <c r="T723" s="139"/>
      <c r="U723" s="139"/>
      <c r="V723" s="139"/>
      <c r="W723" s="139"/>
      <c r="X723" s="139"/>
      <c r="Y723" s="139"/>
      <c r="Z723" s="139"/>
      <c r="AA723" s="139"/>
      <c r="AB723" s="139"/>
      <c r="AC723" s="139"/>
      <c r="AD723" s="139"/>
      <c r="AE723" s="139"/>
      <c r="AF723" s="139"/>
      <c r="AG723" s="139"/>
      <c r="AH723" s="139"/>
      <c r="AI723" s="139"/>
      <c r="AJ723" s="139"/>
    </row>
    <row r="724">
      <c r="A724" s="9"/>
      <c r="B724" s="139"/>
      <c r="C724" s="139"/>
      <c r="D724" s="139"/>
      <c r="E724" s="139"/>
      <c r="F724" s="139"/>
      <c r="G724" s="139"/>
      <c r="H724" s="139"/>
      <c r="I724" s="139"/>
      <c r="J724" s="139"/>
      <c r="K724" s="139"/>
      <c r="L724" s="139"/>
      <c r="M724" s="139"/>
      <c r="N724" s="139"/>
      <c r="O724" s="139"/>
      <c r="P724" s="139"/>
      <c r="Q724" s="139"/>
      <c r="R724" s="139"/>
      <c r="S724" s="139"/>
      <c r="T724" s="139"/>
      <c r="U724" s="139"/>
      <c r="V724" s="139"/>
      <c r="W724" s="139"/>
      <c r="X724" s="139"/>
      <c r="Y724" s="139"/>
      <c r="Z724" s="139"/>
      <c r="AA724" s="139"/>
      <c r="AB724" s="139"/>
      <c r="AC724" s="139"/>
      <c r="AD724" s="139"/>
      <c r="AE724" s="139"/>
      <c r="AF724" s="139"/>
      <c r="AG724" s="139"/>
      <c r="AH724" s="139"/>
      <c r="AI724" s="139"/>
      <c r="AJ724" s="139"/>
    </row>
    <row r="725">
      <c r="A725" s="9"/>
      <c r="B725" s="139"/>
      <c r="C725" s="139"/>
      <c r="D725" s="139"/>
      <c r="E725" s="139"/>
      <c r="F725" s="139"/>
      <c r="G725" s="139"/>
      <c r="H725" s="139"/>
      <c r="I725" s="139"/>
      <c r="J725" s="139"/>
      <c r="K725" s="139"/>
      <c r="L725" s="139"/>
      <c r="M725" s="139"/>
      <c r="N725" s="139"/>
      <c r="O725" s="139"/>
      <c r="P725" s="139"/>
      <c r="Q725" s="139"/>
      <c r="R725" s="139"/>
      <c r="S725" s="139"/>
      <c r="T725" s="139"/>
      <c r="U725" s="139"/>
      <c r="V725" s="139"/>
      <c r="W725" s="139"/>
      <c r="X725" s="139"/>
      <c r="Y725" s="139"/>
      <c r="Z725" s="139"/>
      <c r="AA725" s="139"/>
      <c r="AB725" s="139"/>
      <c r="AC725" s="139"/>
      <c r="AD725" s="139"/>
      <c r="AE725" s="139"/>
      <c r="AF725" s="139"/>
      <c r="AG725" s="139"/>
      <c r="AH725" s="139"/>
      <c r="AI725" s="139"/>
      <c r="AJ725" s="139"/>
    </row>
    <row r="726">
      <c r="A726" s="9"/>
      <c r="B726" s="139"/>
      <c r="C726" s="139"/>
      <c r="D726" s="139"/>
      <c r="E726" s="139"/>
      <c r="F726" s="139"/>
      <c r="G726" s="139"/>
      <c r="H726" s="139"/>
      <c r="I726" s="139"/>
      <c r="J726" s="139"/>
      <c r="K726" s="139"/>
      <c r="L726" s="139"/>
      <c r="M726" s="139"/>
      <c r="N726" s="139"/>
      <c r="O726" s="139"/>
      <c r="P726" s="139"/>
      <c r="Q726" s="139"/>
      <c r="R726" s="139"/>
      <c r="S726" s="139"/>
      <c r="T726" s="139"/>
      <c r="U726" s="139"/>
      <c r="V726" s="139"/>
      <c r="W726" s="139"/>
      <c r="X726" s="139"/>
      <c r="Y726" s="139"/>
      <c r="Z726" s="139"/>
      <c r="AA726" s="139"/>
      <c r="AB726" s="139"/>
      <c r="AC726" s="139"/>
      <c r="AD726" s="139"/>
      <c r="AE726" s="139"/>
      <c r="AF726" s="139"/>
      <c r="AG726" s="139"/>
      <c r="AH726" s="139"/>
      <c r="AI726" s="139"/>
      <c r="AJ726" s="139"/>
    </row>
    <row r="727">
      <c r="A727" s="9"/>
      <c r="B727" s="139"/>
      <c r="C727" s="139"/>
      <c r="D727" s="139"/>
      <c r="E727" s="139"/>
      <c r="F727" s="139"/>
      <c r="G727" s="139"/>
      <c r="H727" s="139"/>
      <c r="I727" s="139"/>
      <c r="J727" s="139"/>
      <c r="K727" s="139"/>
      <c r="L727" s="139"/>
      <c r="M727" s="139"/>
      <c r="N727" s="139"/>
      <c r="O727" s="139"/>
      <c r="P727" s="139"/>
      <c r="Q727" s="139"/>
      <c r="R727" s="139"/>
      <c r="S727" s="139"/>
      <c r="T727" s="139"/>
      <c r="U727" s="139"/>
      <c r="V727" s="139"/>
      <c r="W727" s="139"/>
      <c r="X727" s="139"/>
      <c r="Y727" s="139"/>
      <c r="Z727" s="139"/>
      <c r="AA727" s="139"/>
      <c r="AB727" s="139"/>
      <c r="AC727" s="139"/>
      <c r="AD727" s="139"/>
      <c r="AE727" s="139"/>
      <c r="AF727" s="139"/>
      <c r="AG727" s="139"/>
      <c r="AH727" s="139"/>
      <c r="AI727" s="139"/>
      <c r="AJ727" s="139"/>
    </row>
    <row r="728">
      <c r="A728" s="9"/>
      <c r="B728" s="139"/>
      <c r="C728" s="139"/>
      <c r="D728" s="139"/>
      <c r="E728" s="139"/>
      <c r="F728" s="139"/>
      <c r="G728" s="139"/>
      <c r="H728" s="139"/>
      <c r="I728" s="139"/>
      <c r="J728" s="139"/>
      <c r="K728" s="139"/>
      <c r="L728" s="139"/>
      <c r="M728" s="139"/>
      <c r="N728" s="139"/>
      <c r="O728" s="139"/>
      <c r="P728" s="139"/>
      <c r="Q728" s="139"/>
      <c r="R728" s="139"/>
      <c r="S728" s="139"/>
      <c r="T728" s="139"/>
      <c r="U728" s="139"/>
      <c r="V728" s="139"/>
      <c r="W728" s="139"/>
      <c r="X728" s="139"/>
      <c r="Y728" s="139"/>
      <c r="Z728" s="139"/>
      <c r="AA728" s="139"/>
      <c r="AB728" s="139"/>
      <c r="AC728" s="139"/>
      <c r="AD728" s="139"/>
      <c r="AE728" s="139"/>
      <c r="AF728" s="139"/>
      <c r="AG728" s="139"/>
      <c r="AH728" s="139"/>
      <c r="AI728" s="139"/>
      <c r="AJ728" s="139"/>
    </row>
    <row r="729">
      <c r="A729" s="9"/>
      <c r="B729" s="139"/>
      <c r="C729" s="139"/>
      <c r="D729" s="139"/>
      <c r="E729" s="139"/>
      <c r="F729" s="139"/>
      <c r="G729" s="139"/>
      <c r="H729" s="139"/>
      <c r="I729" s="139"/>
      <c r="J729" s="139"/>
      <c r="K729" s="139"/>
      <c r="L729" s="139"/>
      <c r="M729" s="139"/>
      <c r="N729" s="139"/>
      <c r="O729" s="139"/>
      <c r="P729" s="139"/>
      <c r="Q729" s="139"/>
      <c r="R729" s="139"/>
      <c r="S729" s="139"/>
      <c r="T729" s="139"/>
      <c r="U729" s="139"/>
      <c r="V729" s="139"/>
      <c r="W729" s="139"/>
      <c r="X729" s="139"/>
      <c r="Y729" s="139"/>
      <c r="Z729" s="139"/>
      <c r="AA729" s="139"/>
      <c r="AB729" s="139"/>
      <c r="AC729" s="139"/>
      <c r="AD729" s="139"/>
      <c r="AE729" s="139"/>
      <c r="AF729" s="139"/>
      <c r="AG729" s="139"/>
      <c r="AH729" s="139"/>
      <c r="AI729" s="139"/>
      <c r="AJ729" s="139"/>
    </row>
    <row r="730">
      <c r="A730" s="9"/>
      <c r="B730" s="139"/>
      <c r="C730" s="139"/>
      <c r="D730" s="139"/>
      <c r="E730" s="139"/>
      <c r="F730" s="139"/>
      <c r="G730" s="139"/>
      <c r="H730" s="139"/>
      <c r="I730" s="139"/>
      <c r="J730" s="139"/>
      <c r="K730" s="139"/>
      <c r="L730" s="139"/>
      <c r="M730" s="139"/>
      <c r="N730" s="139"/>
      <c r="O730" s="139"/>
      <c r="P730" s="139"/>
      <c r="Q730" s="139"/>
      <c r="R730" s="139"/>
      <c r="S730" s="139"/>
      <c r="T730" s="139"/>
      <c r="U730" s="139"/>
      <c r="V730" s="139"/>
      <c r="W730" s="139"/>
      <c r="X730" s="139"/>
      <c r="Y730" s="139"/>
      <c r="Z730" s="139"/>
      <c r="AA730" s="139"/>
      <c r="AB730" s="139"/>
      <c r="AC730" s="139"/>
      <c r="AD730" s="139"/>
      <c r="AE730" s="139"/>
      <c r="AF730" s="139"/>
      <c r="AG730" s="139"/>
      <c r="AH730" s="139"/>
      <c r="AI730" s="139"/>
      <c r="AJ730" s="139"/>
    </row>
    <row r="731">
      <c r="A731" s="9"/>
      <c r="B731" s="139"/>
      <c r="C731" s="139"/>
      <c r="D731" s="139"/>
      <c r="E731" s="139"/>
      <c r="F731" s="139"/>
      <c r="G731" s="139"/>
      <c r="H731" s="139"/>
      <c r="I731" s="139"/>
      <c r="J731" s="139"/>
      <c r="K731" s="139"/>
      <c r="L731" s="139"/>
      <c r="M731" s="139"/>
      <c r="N731" s="139"/>
      <c r="O731" s="139"/>
      <c r="P731" s="139"/>
      <c r="Q731" s="139"/>
      <c r="R731" s="139"/>
      <c r="S731" s="139"/>
      <c r="T731" s="139"/>
      <c r="U731" s="139"/>
      <c r="V731" s="139"/>
      <c r="W731" s="139"/>
      <c r="X731" s="139"/>
      <c r="Y731" s="139"/>
      <c r="Z731" s="139"/>
      <c r="AA731" s="139"/>
      <c r="AB731" s="139"/>
      <c r="AC731" s="139"/>
      <c r="AD731" s="139"/>
      <c r="AE731" s="139"/>
      <c r="AF731" s="139"/>
      <c r="AG731" s="139"/>
      <c r="AH731" s="139"/>
      <c r="AI731" s="139"/>
      <c r="AJ731" s="139"/>
    </row>
    <row r="732">
      <c r="A732" s="9"/>
      <c r="B732" s="139"/>
      <c r="C732" s="139"/>
      <c r="D732" s="139"/>
      <c r="E732" s="139"/>
      <c r="F732" s="139"/>
      <c r="G732" s="139"/>
      <c r="H732" s="139"/>
      <c r="I732" s="139"/>
      <c r="J732" s="139"/>
      <c r="K732" s="139"/>
      <c r="L732" s="139"/>
      <c r="M732" s="139"/>
      <c r="N732" s="139"/>
      <c r="O732" s="139"/>
      <c r="P732" s="139"/>
      <c r="Q732" s="139"/>
      <c r="R732" s="139"/>
      <c r="S732" s="139"/>
      <c r="T732" s="139"/>
      <c r="U732" s="139"/>
      <c r="V732" s="139"/>
      <c r="W732" s="139"/>
      <c r="X732" s="139"/>
      <c r="Y732" s="139"/>
      <c r="Z732" s="139"/>
      <c r="AA732" s="139"/>
      <c r="AB732" s="139"/>
      <c r="AC732" s="139"/>
      <c r="AD732" s="139"/>
      <c r="AE732" s="139"/>
      <c r="AF732" s="139"/>
      <c r="AG732" s="139"/>
      <c r="AH732" s="139"/>
      <c r="AI732" s="139"/>
      <c r="AJ732" s="139"/>
    </row>
    <row r="733">
      <c r="A733" s="9"/>
      <c r="B733" s="139"/>
      <c r="C733" s="139"/>
      <c r="D733" s="139"/>
      <c r="E733" s="139"/>
      <c r="F733" s="139"/>
      <c r="G733" s="139"/>
      <c r="H733" s="139"/>
      <c r="I733" s="139"/>
      <c r="J733" s="139"/>
      <c r="K733" s="139"/>
      <c r="L733" s="139"/>
      <c r="M733" s="139"/>
      <c r="N733" s="139"/>
      <c r="O733" s="139"/>
      <c r="P733" s="139"/>
      <c r="Q733" s="139"/>
      <c r="R733" s="139"/>
      <c r="S733" s="139"/>
      <c r="T733" s="139"/>
      <c r="U733" s="139"/>
      <c r="V733" s="139"/>
      <c r="W733" s="139"/>
      <c r="X733" s="139"/>
      <c r="Y733" s="139"/>
      <c r="Z733" s="139"/>
      <c r="AA733" s="139"/>
      <c r="AB733" s="139"/>
      <c r="AC733" s="139"/>
      <c r="AD733" s="139"/>
      <c r="AE733" s="139"/>
      <c r="AF733" s="139"/>
      <c r="AG733" s="139"/>
      <c r="AH733" s="139"/>
      <c r="AI733" s="139"/>
      <c r="AJ733" s="139"/>
    </row>
    <row r="734">
      <c r="A734" s="9"/>
      <c r="B734" s="139"/>
      <c r="C734" s="139"/>
      <c r="D734" s="139"/>
      <c r="E734" s="139"/>
      <c r="F734" s="139"/>
      <c r="G734" s="139"/>
      <c r="H734" s="139"/>
      <c r="I734" s="139"/>
      <c r="J734" s="139"/>
      <c r="K734" s="139"/>
      <c r="L734" s="139"/>
      <c r="M734" s="139"/>
      <c r="N734" s="139"/>
      <c r="O734" s="139"/>
      <c r="P734" s="139"/>
      <c r="Q734" s="139"/>
      <c r="R734" s="139"/>
      <c r="S734" s="139"/>
      <c r="T734" s="139"/>
      <c r="U734" s="139"/>
      <c r="V734" s="139"/>
      <c r="W734" s="139"/>
      <c r="X734" s="139"/>
      <c r="Y734" s="139"/>
      <c r="Z734" s="139"/>
      <c r="AA734" s="139"/>
      <c r="AB734" s="139"/>
      <c r="AC734" s="139"/>
      <c r="AD734" s="139"/>
      <c r="AE734" s="139"/>
      <c r="AF734" s="139"/>
      <c r="AG734" s="139"/>
      <c r="AH734" s="139"/>
      <c r="AI734" s="139"/>
      <c r="AJ734" s="139"/>
    </row>
    <row r="735">
      <c r="A735" s="9"/>
      <c r="B735" s="139"/>
      <c r="C735" s="139"/>
      <c r="D735" s="139"/>
      <c r="E735" s="139"/>
      <c r="F735" s="139"/>
      <c r="G735" s="139"/>
      <c r="H735" s="139"/>
      <c r="I735" s="139"/>
      <c r="J735" s="139"/>
      <c r="K735" s="139"/>
      <c r="L735" s="139"/>
      <c r="M735" s="139"/>
      <c r="N735" s="139"/>
      <c r="O735" s="139"/>
      <c r="P735" s="139"/>
      <c r="Q735" s="139"/>
      <c r="R735" s="139"/>
      <c r="S735" s="139"/>
      <c r="T735" s="139"/>
      <c r="U735" s="139"/>
      <c r="V735" s="139"/>
      <c r="W735" s="139"/>
      <c r="X735" s="139"/>
      <c r="Y735" s="139"/>
      <c r="Z735" s="139"/>
      <c r="AA735" s="139"/>
      <c r="AB735" s="139"/>
      <c r="AC735" s="139"/>
      <c r="AD735" s="139"/>
      <c r="AE735" s="139"/>
      <c r="AF735" s="139"/>
      <c r="AG735" s="139"/>
      <c r="AH735" s="139"/>
      <c r="AI735" s="139"/>
      <c r="AJ735" s="139"/>
    </row>
    <row r="736">
      <c r="A736" s="9"/>
      <c r="B736" s="139"/>
      <c r="C736" s="139"/>
      <c r="D736" s="139"/>
      <c r="E736" s="139"/>
      <c r="F736" s="139"/>
      <c r="G736" s="139"/>
      <c r="H736" s="139"/>
      <c r="I736" s="139"/>
      <c r="J736" s="139"/>
      <c r="K736" s="139"/>
      <c r="L736" s="139"/>
      <c r="M736" s="139"/>
      <c r="N736" s="139"/>
      <c r="O736" s="139"/>
      <c r="P736" s="139"/>
      <c r="Q736" s="139"/>
      <c r="R736" s="139"/>
      <c r="S736" s="139"/>
      <c r="T736" s="139"/>
      <c r="U736" s="139"/>
      <c r="V736" s="139"/>
      <c r="W736" s="139"/>
      <c r="X736" s="139"/>
      <c r="Y736" s="139"/>
      <c r="Z736" s="139"/>
      <c r="AA736" s="139"/>
      <c r="AB736" s="139"/>
      <c r="AC736" s="139"/>
      <c r="AD736" s="139"/>
      <c r="AE736" s="139"/>
      <c r="AF736" s="139"/>
      <c r="AG736" s="139"/>
      <c r="AH736" s="139"/>
      <c r="AI736" s="139"/>
      <c r="AJ736" s="139"/>
    </row>
    <row r="737">
      <c r="A737" s="9"/>
      <c r="B737" s="139"/>
      <c r="C737" s="139"/>
      <c r="D737" s="139"/>
      <c r="E737" s="139"/>
      <c r="F737" s="139"/>
      <c r="G737" s="139"/>
      <c r="H737" s="139"/>
      <c r="I737" s="139"/>
      <c r="J737" s="139"/>
      <c r="K737" s="139"/>
      <c r="L737" s="139"/>
      <c r="M737" s="139"/>
      <c r="N737" s="139"/>
      <c r="O737" s="139"/>
      <c r="P737" s="139"/>
      <c r="Q737" s="139"/>
      <c r="R737" s="139"/>
      <c r="S737" s="139"/>
      <c r="T737" s="139"/>
      <c r="U737" s="139"/>
      <c r="V737" s="139"/>
      <c r="W737" s="139"/>
      <c r="X737" s="139"/>
      <c r="Y737" s="139"/>
      <c r="Z737" s="139"/>
      <c r="AA737" s="139"/>
      <c r="AB737" s="139"/>
      <c r="AC737" s="139"/>
      <c r="AD737" s="139"/>
      <c r="AE737" s="139"/>
      <c r="AF737" s="139"/>
      <c r="AG737" s="139"/>
      <c r="AH737" s="139"/>
      <c r="AI737" s="139"/>
      <c r="AJ737" s="139"/>
    </row>
    <row r="738">
      <c r="A738" s="9"/>
      <c r="B738" s="139"/>
      <c r="C738" s="139"/>
      <c r="D738" s="139"/>
      <c r="E738" s="139"/>
      <c r="F738" s="139"/>
      <c r="G738" s="139"/>
      <c r="H738" s="139"/>
      <c r="I738" s="139"/>
      <c r="J738" s="139"/>
      <c r="K738" s="139"/>
      <c r="L738" s="139"/>
      <c r="M738" s="139"/>
      <c r="N738" s="139"/>
      <c r="O738" s="139"/>
      <c r="P738" s="139"/>
      <c r="Q738" s="139"/>
      <c r="R738" s="139"/>
      <c r="S738" s="139"/>
      <c r="T738" s="139"/>
      <c r="U738" s="139"/>
      <c r="V738" s="139"/>
      <c r="W738" s="139"/>
      <c r="X738" s="139"/>
      <c r="Y738" s="139"/>
      <c r="Z738" s="139"/>
      <c r="AA738" s="139"/>
      <c r="AB738" s="139"/>
      <c r="AC738" s="139"/>
      <c r="AD738" s="139"/>
      <c r="AE738" s="139"/>
      <c r="AF738" s="139"/>
      <c r="AG738" s="139"/>
      <c r="AH738" s="139"/>
      <c r="AI738" s="139"/>
      <c r="AJ738" s="139"/>
    </row>
    <row r="739">
      <c r="A739" s="9"/>
      <c r="B739" s="139"/>
      <c r="C739" s="139"/>
      <c r="D739" s="139"/>
      <c r="E739" s="139"/>
      <c r="F739" s="139"/>
      <c r="G739" s="139"/>
      <c r="H739" s="139"/>
      <c r="I739" s="139"/>
      <c r="J739" s="139"/>
      <c r="K739" s="139"/>
      <c r="L739" s="139"/>
      <c r="M739" s="139"/>
      <c r="N739" s="139"/>
      <c r="O739" s="139"/>
      <c r="P739" s="139"/>
      <c r="Q739" s="139"/>
      <c r="R739" s="139"/>
      <c r="S739" s="139"/>
      <c r="T739" s="139"/>
      <c r="U739" s="139"/>
      <c r="V739" s="139"/>
      <c r="W739" s="139"/>
      <c r="X739" s="139"/>
      <c r="Y739" s="139"/>
      <c r="Z739" s="139"/>
      <c r="AA739" s="139"/>
      <c r="AB739" s="139"/>
      <c r="AC739" s="139"/>
      <c r="AD739" s="139"/>
      <c r="AE739" s="139"/>
      <c r="AF739" s="139"/>
      <c r="AG739" s="139"/>
      <c r="AH739" s="139"/>
      <c r="AI739" s="139"/>
      <c r="AJ739" s="139"/>
    </row>
    <row r="740">
      <c r="A740" s="9"/>
      <c r="B740" s="139"/>
      <c r="C740" s="139"/>
      <c r="D740" s="139"/>
      <c r="E740" s="139"/>
      <c r="F740" s="139"/>
      <c r="G740" s="139"/>
      <c r="H740" s="139"/>
      <c r="I740" s="139"/>
      <c r="J740" s="139"/>
      <c r="K740" s="139"/>
      <c r="L740" s="139"/>
      <c r="M740" s="139"/>
      <c r="N740" s="139"/>
      <c r="O740" s="139"/>
      <c r="P740" s="139"/>
      <c r="Q740" s="139"/>
      <c r="R740" s="139"/>
      <c r="S740" s="139"/>
      <c r="T740" s="139"/>
      <c r="U740" s="139"/>
      <c r="V740" s="139"/>
      <c r="W740" s="139"/>
      <c r="X740" s="139"/>
      <c r="Y740" s="139"/>
      <c r="Z740" s="139"/>
      <c r="AA740" s="139"/>
      <c r="AB740" s="139"/>
      <c r="AC740" s="139"/>
      <c r="AD740" s="139"/>
      <c r="AE740" s="139"/>
      <c r="AF740" s="139"/>
      <c r="AG740" s="139"/>
      <c r="AH740" s="139"/>
      <c r="AI740" s="139"/>
      <c r="AJ740" s="139"/>
    </row>
    <row r="741">
      <c r="A741" s="9"/>
      <c r="B741" s="139"/>
      <c r="C741" s="139"/>
      <c r="D741" s="139"/>
      <c r="E741" s="139"/>
      <c r="F741" s="139"/>
      <c r="G741" s="139"/>
      <c r="H741" s="139"/>
      <c r="I741" s="139"/>
      <c r="J741" s="139"/>
      <c r="K741" s="139"/>
      <c r="L741" s="139"/>
      <c r="M741" s="139"/>
      <c r="N741" s="139"/>
      <c r="O741" s="139"/>
      <c r="P741" s="139"/>
      <c r="Q741" s="139"/>
      <c r="R741" s="139"/>
      <c r="S741" s="139"/>
      <c r="T741" s="139"/>
      <c r="U741" s="139"/>
      <c r="V741" s="139"/>
      <c r="W741" s="139"/>
      <c r="X741" s="139"/>
      <c r="Y741" s="139"/>
      <c r="Z741" s="139"/>
      <c r="AA741" s="139"/>
      <c r="AB741" s="139"/>
      <c r="AC741" s="139"/>
      <c r="AD741" s="139"/>
      <c r="AE741" s="139"/>
      <c r="AF741" s="139"/>
      <c r="AG741" s="139"/>
      <c r="AH741" s="139"/>
      <c r="AI741" s="139"/>
      <c r="AJ741" s="139"/>
    </row>
    <row r="742">
      <c r="A742" s="9"/>
      <c r="B742" s="139"/>
      <c r="C742" s="139"/>
      <c r="D742" s="139"/>
      <c r="E742" s="139"/>
      <c r="F742" s="139"/>
      <c r="G742" s="139"/>
      <c r="H742" s="139"/>
      <c r="I742" s="139"/>
      <c r="J742" s="139"/>
      <c r="K742" s="139"/>
      <c r="L742" s="139"/>
      <c r="M742" s="139"/>
      <c r="N742" s="139"/>
      <c r="O742" s="139"/>
      <c r="P742" s="139"/>
      <c r="Q742" s="139"/>
      <c r="R742" s="139"/>
      <c r="S742" s="139"/>
      <c r="T742" s="139"/>
      <c r="U742" s="139"/>
      <c r="V742" s="139"/>
      <c r="W742" s="139"/>
      <c r="X742" s="139"/>
      <c r="Y742" s="139"/>
      <c r="Z742" s="139"/>
      <c r="AA742" s="139"/>
      <c r="AB742" s="139"/>
      <c r="AC742" s="139"/>
      <c r="AD742" s="139"/>
      <c r="AE742" s="139"/>
      <c r="AF742" s="139"/>
      <c r="AG742" s="139"/>
      <c r="AH742" s="139"/>
      <c r="AI742" s="139"/>
      <c r="AJ742" s="139"/>
    </row>
    <row r="743">
      <c r="A743" s="9"/>
      <c r="B743" s="139"/>
      <c r="C743" s="139"/>
      <c r="D743" s="139"/>
      <c r="E743" s="139"/>
      <c r="F743" s="139"/>
      <c r="G743" s="139"/>
      <c r="H743" s="139"/>
      <c r="I743" s="139"/>
      <c r="J743" s="139"/>
      <c r="K743" s="139"/>
      <c r="L743" s="139"/>
      <c r="M743" s="139"/>
      <c r="N743" s="139"/>
      <c r="O743" s="139"/>
      <c r="P743" s="139"/>
      <c r="Q743" s="139"/>
      <c r="R743" s="139"/>
      <c r="S743" s="139"/>
      <c r="T743" s="139"/>
      <c r="U743" s="139"/>
      <c r="V743" s="139"/>
      <c r="W743" s="139"/>
      <c r="X743" s="139"/>
      <c r="Y743" s="139"/>
      <c r="Z743" s="139"/>
      <c r="AA743" s="139"/>
      <c r="AB743" s="139"/>
      <c r="AC743" s="139"/>
      <c r="AD743" s="139"/>
      <c r="AE743" s="139"/>
      <c r="AF743" s="139"/>
      <c r="AG743" s="139"/>
      <c r="AH743" s="139"/>
      <c r="AI743" s="139"/>
      <c r="AJ743" s="139"/>
    </row>
    <row r="744">
      <c r="A744" s="9"/>
      <c r="B744" s="139"/>
      <c r="C744" s="139"/>
      <c r="D744" s="139"/>
      <c r="E744" s="139"/>
      <c r="F744" s="139"/>
      <c r="G744" s="139"/>
      <c r="H744" s="139"/>
      <c r="I744" s="139"/>
      <c r="J744" s="139"/>
      <c r="K744" s="139"/>
      <c r="L744" s="139"/>
      <c r="M744" s="139"/>
      <c r="N744" s="139"/>
      <c r="O744" s="139"/>
      <c r="P744" s="139"/>
      <c r="Q744" s="139"/>
      <c r="R744" s="139"/>
      <c r="S744" s="139"/>
      <c r="T744" s="139"/>
      <c r="U744" s="139"/>
      <c r="V744" s="139"/>
      <c r="W744" s="139"/>
      <c r="X744" s="139"/>
      <c r="Y744" s="139"/>
      <c r="Z744" s="139"/>
      <c r="AA744" s="139"/>
      <c r="AB744" s="139"/>
      <c r="AC744" s="139"/>
      <c r="AD744" s="139"/>
      <c r="AE744" s="139"/>
      <c r="AF744" s="139"/>
      <c r="AG744" s="139"/>
      <c r="AH744" s="139"/>
      <c r="AI744" s="139"/>
      <c r="AJ744" s="139"/>
    </row>
    <row r="745">
      <c r="A745" s="9"/>
      <c r="B745" s="139"/>
      <c r="C745" s="139"/>
      <c r="D745" s="139"/>
      <c r="E745" s="139"/>
      <c r="F745" s="139"/>
      <c r="G745" s="139"/>
      <c r="H745" s="139"/>
      <c r="I745" s="139"/>
      <c r="J745" s="139"/>
      <c r="K745" s="139"/>
      <c r="L745" s="139"/>
      <c r="M745" s="139"/>
      <c r="N745" s="139"/>
      <c r="O745" s="139"/>
      <c r="P745" s="139"/>
      <c r="Q745" s="139"/>
      <c r="R745" s="139"/>
      <c r="S745" s="139"/>
      <c r="T745" s="139"/>
      <c r="U745" s="139"/>
      <c r="V745" s="139"/>
      <c r="W745" s="139"/>
      <c r="X745" s="139"/>
      <c r="Y745" s="139"/>
      <c r="Z745" s="139"/>
      <c r="AA745" s="139"/>
      <c r="AB745" s="139"/>
      <c r="AC745" s="139"/>
      <c r="AD745" s="139"/>
      <c r="AE745" s="139"/>
      <c r="AF745" s="139"/>
      <c r="AG745" s="139"/>
      <c r="AH745" s="139"/>
      <c r="AI745" s="139"/>
      <c r="AJ745" s="139"/>
    </row>
    <row r="746">
      <c r="A746" s="9"/>
      <c r="B746" s="139"/>
      <c r="C746" s="139"/>
      <c r="D746" s="139"/>
      <c r="E746" s="139"/>
      <c r="F746" s="139"/>
      <c r="G746" s="139"/>
      <c r="H746" s="139"/>
      <c r="I746" s="139"/>
      <c r="J746" s="139"/>
      <c r="K746" s="139"/>
      <c r="L746" s="139"/>
      <c r="M746" s="139"/>
      <c r="N746" s="139"/>
      <c r="O746" s="139"/>
      <c r="P746" s="139"/>
      <c r="Q746" s="139"/>
      <c r="R746" s="139"/>
      <c r="S746" s="139"/>
      <c r="T746" s="139"/>
      <c r="U746" s="139"/>
      <c r="V746" s="139"/>
      <c r="W746" s="139"/>
      <c r="X746" s="139"/>
      <c r="Y746" s="139"/>
      <c r="Z746" s="139"/>
      <c r="AA746" s="139"/>
      <c r="AB746" s="139"/>
      <c r="AC746" s="139"/>
      <c r="AD746" s="139"/>
      <c r="AE746" s="139"/>
      <c r="AF746" s="139"/>
      <c r="AG746" s="139"/>
      <c r="AH746" s="139"/>
      <c r="AI746" s="139"/>
      <c r="AJ746" s="139"/>
    </row>
    <row r="747">
      <c r="A747" s="9"/>
      <c r="B747" s="139"/>
      <c r="C747" s="139"/>
      <c r="D747" s="139"/>
      <c r="E747" s="139"/>
      <c r="F747" s="139"/>
      <c r="G747" s="139"/>
      <c r="H747" s="139"/>
      <c r="I747" s="139"/>
      <c r="J747" s="139"/>
      <c r="K747" s="139"/>
      <c r="L747" s="139"/>
      <c r="M747" s="139"/>
      <c r="N747" s="139"/>
      <c r="O747" s="139"/>
      <c r="P747" s="139"/>
      <c r="Q747" s="139"/>
      <c r="R747" s="139"/>
      <c r="S747" s="139"/>
      <c r="T747" s="139"/>
      <c r="U747" s="139"/>
      <c r="V747" s="139"/>
      <c r="W747" s="139"/>
      <c r="X747" s="139"/>
      <c r="Y747" s="139"/>
      <c r="Z747" s="139"/>
      <c r="AA747" s="139"/>
      <c r="AB747" s="139"/>
      <c r="AC747" s="139"/>
      <c r="AD747" s="139"/>
      <c r="AE747" s="139"/>
      <c r="AF747" s="139"/>
      <c r="AG747" s="139"/>
      <c r="AH747" s="139"/>
      <c r="AI747" s="139"/>
      <c r="AJ747" s="139"/>
    </row>
    <row r="748">
      <c r="A748" s="9"/>
      <c r="B748" s="139"/>
      <c r="C748" s="139"/>
      <c r="D748" s="139"/>
      <c r="E748" s="139"/>
      <c r="F748" s="139"/>
      <c r="G748" s="139"/>
      <c r="H748" s="139"/>
      <c r="I748" s="139"/>
      <c r="J748" s="139"/>
      <c r="K748" s="139"/>
      <c r="L748" s="139"/>
      <c r="M748" s="139"/>
      <c r="N748" s="139"/>
      <c r="O748" s="139"/>
      <c r="P748" s="139"/>
      <c r="Q748" s="139"/>
      <c r="R748" s="139"/>
      <c r="S748" s="139"/>
      <c r="T748" s="139"/>
      <c r="U748" s="139"/>
      <c r="V748" s="139"/>
      <c r="W748" s="139"/>
      <c r="X748" s="139"/>
      <c r="Y748" s="139"/>
      <c r="Z748" s="139"/>
      <c r="AA748" s="139"/>
      <c r="AB748" s="139"/>
      <c r="AC748" s="139"/>
      <c r="AD748" s="139"/>
      <c r="AE748" s="139"/>
      <c r="AF748" s="139"/>
      <c r="AG748" s="139"/>
      <c r="AH748" s="139"/>
      <c r="AI748" s="139"/>
      <c r="AJ748" s="139"/>
    </row>
    <row r="749">
      <c r="A749" s="9"/>
      <c r="B749" s="139"/>
      <c r="C749" s="139"/>
      <c r="D749" s="139"/>
      <c r="E749" s="139"/>
      <c r="F749" s="139"/>
      <c r="G749" s="139"/>
      <c r="H749" s="139"/>
      <c r="I749" s="139"/>
      <c r="J749" s="139"/>
      <c r="K749" s="139"/>
      <c r="L749" s="139"/>
      <c r="M749" s="139"/>
      <c r="N749" s="139"/>
      <c r="O749" s="139"/>
      <c r="P749" s="139"/>
      <c r="Q749" s="139"/>
      <c r="R749" s="139"/>
      <c r="S749" s="139"/>
      <c r="T749" s="139"/>
      <c r="U749" s="139"/>
      <c r="V749" s="139"/>
      <c r="W749" s="139"/>
      <c r="X749" s="139"/>
      <c r="Y749" s="139"/>
      <c r="Z749" s="139"/>
      <c r="AA749" s="139"/>
      <c r="AB749" s="139"/>
      <c r="AC749" s="139"/>
      <c r="AD749" s="139"/>
      <c r="AE749" s="139"/>
      <c r="AF749" s="139"/>
      <c r="AG749" s="139"/>
      <c r="AH749" s="139"/>
      <c r="AI749" s="139"/>
      <c r="AJ749" s="139"/>
    </row>
    <row r="750">
      <c r="A750" s="9"/>
      <c r="B750" s="139"/>
      <c r="C750" s="139"/>
      <c r="D750" s="139"/>
      <c r="E750" s="139"/>
      <c r="F750" s="139"/>
      <c r="G750" s="139"/>
      <c r="H750" s="139"/>
      <c r="I750" s="139"/>
      <c r="J750" s="139"/>
      <c r="K750" s="139"/>
      <c r="L750" s="139"/>
      <c r="M750" s="139"/>
      <c r="N750" s="139"/>
      <c r="O750" s="139"/>
      <c r="P750" s="139"/>
      <c r="Q750" s="139"/>
      <c r="R750" s="139"/>
      <c r="S750" s="139"/>
      <c r="T750" s="139"/>
      <c r="U750" s="139"/>
      <c r="V750" s="139"/>
      <c r="W750" s="139"/>
      <c r="X750" s="139"/>
      <c r="Y750" s="139"/>
      <c r="Z750" s="139"/>
      <c r="AA750" s="139"/>
      <c r="AB750" s="139"/>
      <c r="AC750" s="139"/>
      <c r="AD750" s="139"/>
      <c r="AE750" s="139"/>
      <c r="AF750" s="139"/>
      <c r="AG750" s="139"/>
      <c r="AH750" s="139"/>
      <c r="AI750" s="139"/>
      <c r="AJ750" s="139"/>
    </row>
    <row r="751">
      <c r="A751" s="9"/>
      <c r="B751" s="139"/>
      <c r="C751" s="139"/>
      <c r="D751" s="139"/>
      <c r="E751" s="139"/>
      <c r="F751" s="139"/>
      <c r="G751" s="139"/>
      <c r="H751" s="139"/>
      <c r="I751" s="139"/>
      <c r="J751" s="139"/>
      <c r="K751" s="139"/>
      <c r="L751" s="139"/>
      <c r="M751" s="139"/>
      <c r="N751" s="139"/>
      <c r="O751" s="139"/>
      <c r="P751" s="139"/>
      <c r="Q751" s="139"/>
      <c r="R751" s="139"/>
      <c r="S751" s="139"/>
      <c r="T751" s="139"/>
      <c r="U751" s="139"/>
      <c r="V751" s="139"/>
      <c r="W751" s="139"/>
      <c r="X751" s="139"/>
      <c r="Y751" s="139"/>
      <c r="Z751" s="139"/>
      <c r="AA751" s="139"/>
      <c r="AB751" s="139"/>
      <c r="AC751" s="139"/>
      <c r="AD751" s="139"/>
      <c r="AE751" s="139"/>
      <c r="AF751" s="139"/>
      <c r="AG751" s="139"/>
      <c r="AH751" s="139"/>
      <c r="AI751" s="139"/>
      <c r="AJ751" s="139"/>
    </row>
    <row r="752">
      <c r="A752" s="9"/>
      <c r="B752" s="139"/>
      <c r="C752" s="139"/>
      <c r="D752" s="139"/>
      <c r="E752" s="139"/>
      <c r="F752" s="139"/>
      <c r="G752" s="139"/>
      <c r="H752" s="139"/>
      <c r="I752" s="139"/>
      <c r="J752" s="139"/>
      <c r="K752" s="139"/>
      <c r="L752" s="139"/>
      <c r="M752" s="139"/>
      <c r="N752" s="139"/>
      <c r="O752" s="139"/>
      <c r="P752" s="139"/>
      <c r="Q752" s="139"/>
      <c r="R752" s="139"/>
      <c r="S752" s="139"/>
      <c r="T752" s="139"/>
      <c r="U752" s="139"/>
      <c r="V752" s="139"/>
      <c r="W752" s="139"/>
      <c r="X752" s="139"/>
      <c r="Y752" s="139"/>
      <c r="Z752" s="139"/>
      <c r="AA752" s="139"/>
      <c r="AB752" s="139"/>
      <c r="AC752" s="139"/>
      <c r="AD752" s="139"/>
      <c r="AE752" s="139"/>
      <c r="AF752" s="139"/>
      <c r="AG752" s="139"/>
      <c r="AH752" s="139"/>
      <c r="AI752" s="139"/>
      <c r="AJ752" s="139"/>
    </row>
    <row r="753">
      <c r="A753" s="9"/>
      <c r="B753" s="139"/>
      <c r="C753" s="139"/>
      <c r="D753" s="139"/>
      <c r="E753" s="139"/>
      <c r="F753" s="139"/>
      <c r="G753" s="139"/>
      <c r="H753" s="139"/>
      <c r="I753" s="139"/>
      <c r="J753" s="139"/>
      <c r="K753" s="139"/>
      <c r="L753" s="139"/>
      <c r="M753" s="139"/>
      <c r="N753" s="139"/>
      <c r="O753" s="139"/>
      <c r="P753" s="139"/>
      <c r="Q753" s="139"/>
      <c r="R753" s="139"/>
      <c r="S753" s="139"/>
      <c r="T753" s="139"/>
      <c r="U753" s="139"/>
      <c r="V753" s="139"/>
      <c r="W753" s="139"/>
      <c r="X753" s="139"/>
      <c r="Y753" s="139"/>
      <c r="Z753" s="139"/>
      <c r="AA753" s="139"/>
      <c r="AB753" s="139"/>
      <c r="AC753" s="139"/>
      <c r="AD753" s="139"/>
      <c r="AE753" s="139"/>
      <c r="AF753" s="139"/>
      <c r="AG753" s="139"/>
      <c r="AH753" s="139"/>
      <c r="AI753" s="139"/>
      <c r="AJ753" s="139"/>
    </row>
    <row r="754">
      <c r="A754" s="9"/>
      <c r="B754" s="139"/>
      <c r="C754" s="139"/>
      <c r="D754" s="139"/>
      <c r="E754" s="139"/>
      <c r="F754" s="139"/>
      <c r="G754" s="139"/>
      <c r="H754" s="139"/>
      <c r="I754" s="139"/>
      <c r="J754" s="139"/>
      <c r="K754" s="139"/>
      <c r="L754" s="139"/>
      <c r="M754" s="139"/>
      <c r="N754" s="139"/>
      <c r="O754" s="139"/>
      <c r="P754" s="139"/>
      <c r="Q754" s="139"/>
      <c r="R754" s="139"/>
      <c r="S754" s="139"/>
      <c r="T754" s="139"/>
      <c r="U754" s="139"/>
      <c r="V754" s="139"/>
      <c r="W754" s="139"/>
      <c r="X754" s="139"/>
      <c r="Y754" s="139"/>
      <c r="Z754" s="139"/>
      <c r="AA754" s="139"/>
      <c r="AB754" s="139"/>
      <c r="AC754" s="139"/>
      <c r="AD754" s="139"/>
      <c r="AE754" s="139"/>
      <c r="AF754" s="139"/>
      <c r="AG754" s="139"/>
      <c r="AH754" s="139"/>
      <c r="AI754" s="139"/>
      <c r="AJ754" s="139"/>
    </row>
    <row r="755">
      <c r="A755" s="9"/>
      <c r="B755" s="139"/>
      <c r="C755" s="139"/>
      <c r="D755" s="139"/>
      <c r="E755" s="139"/>
      <c r="F755" s="139"/>
      <c r="G755" s="139"/>
      <c r="H755" s="139"/>
      <c r="I755" s="139"/>
      <c r="J755" s="139"/>
      <c r="K755" s="139"/>
      <c r="L755" s="139"/>
      <c r="M755" s="139"/>
      <c r="N755" s="139"/>
      <c r="O755" s="139"/>
      <c r="P755" s="139"/>
      <c r="Q755" s="139"/>
      <c r="R755" s="139"/>
      <c r="S755" s="139"/>
      <c r="T755" s="139"/>
      <c r="U755" s="139"/>
      <c r="V755" s="139"/>
      <c r="W755" s="139"/>
      <c r="X755" s="139"/>
      <c r="Y755" s="139"/>
      <c r="Z755" s="139"/>
      <c r="AA755" s="139"/>
      <c r="AB755" s="139"/>
      <c r="AC755" s="139"/>
      <c r="AD755" s="139"/>
      <c r="AE755" s="139"/>
      <c r="AF755" s="139"/>
      <c r="AG755" s="139"/>
      <c r="AH755" s="139"/>
      <c r="AI755" s="139"/>
      <c r="AJ755" s="139"/>
    </row>
    <row r="756">
      <c r="A756" s="9"/>
      <c r="B756" s="139"/>
      <c r="C756" s="139"/>
      <c r="D756" s="139"/>
      <c r="E756" s="139"/>
      <c r="F756" s="139"/>
      <c r="G756" s="139"/>
      <c r="H756" s="139"/>
      <c r="I756" s="139"/>
      <c r="J756" s="139"/>
      <c r="K756" s="139"/>
      <c r="L756" s="139"/>
      <c r="M756" s="139"/>
      <c r="N756" s="139"/>
      <c r="O756" s="139"/>
      <c r="P756" s="139"/>
      <c r="Q756" s="139"/>
      <c r="R756" s="139"/>
      <c r="S756" s="139"/>
      <c r="T756" s="139"/>
      <c r="U756" s="139"/>
      <c r="V756" s="139"/>
      <c r="W756" s="139"/>
      <c r="X756" s="139"/>
      <c r="Y756" s="139"/>
      <c r="Z756" s="139"/>
      <c r="AA756" s="139"/>
      <c r="AB756" s="139"/>
      <c r="AC756" s="139"/>
      <c r="AD756" s="139"/>
      <c r="AE756" s="139"/>
      <c r="AF756" s="139"/>
      <c r="AG756" s="139"/>
      <c r="AH756" s="139"/>
      <c r="AI756" s="139"/>
      <c r="AJ756" s="139"/>
    </row>
    <row r="757">
      <c r="A757" s="9"/>
      <c r="B757" s="139"/>
      <c r="C757" s="139"/>
      <c r="D757" s="139"/>
      <c r="E757" s="139"/>
      <c r="F757" s="139"/>
      <c r="G757" s="139"/>
      <c r="H757" s="139"/>
      <c r="I757" s="139"/>
      <c r="J757" s="139"/>
      <c r="K757" s="139"/>
      <c r="L757" s="139"/>
      <c r="M757" s="139"/>
      <c r="N757" s="139"/>
      <c r="O757" s="139"/>
      <c r="P757" s="139"/>
      <c r="Q757" s="139"/>
      <c r="R757" s="139"/>
      <c r="S757" s="139"/>
      <c r="T757" s="139"/>
      <c r="U757" s="139"/>
      <c r="V757" s="139"/>
      <c r="W757" s="139"/>
      <c r="X757" s="139"/>
      <c r="Y757" s="139"/>
      <c r="Z757" s="139"/>
      <c r="AA757" s="139"/>
      <c r="AB757" s="139"/>
      <c r="AC757" s="139"/>
      <c r="AD757" s="139"/>
      <c r="AE757" s="139"/>
      <c r="AF757" s="139"/>
      <c r="AG757" s="139"/>
      <c r="AH757" s="139"/>
      <c r="AI757" s="139"/>
      <c r="AJ757" s="139"/>
    </row>
    <row r="758">
      <c r="A758" s="9"/>
      <c r="B758" s="139"/>
      <c r="C758" s="139"/>
      <c r="D758" s="139"/>
      <c r="E758" s="139"/>
      <c r="F758" s="139"/>
      <c r="G758" s="139"/>
      <c r="H758" s="139"/>
      <c r="I758" s="139"/>
      <c r="J758" s="139"/>
      <c r="K758" s="139"/>
      <c r="L758" s="139"/>
      <c r="M758" s="139"/>
      <c r="N758" s="139"/>
      <c r="O758" s="139"/>
      <c r="P758" s="139"/>
      <c r="Q758" s="139"/>
      <c r="R758" s="139"/>
      <c r="S758" s="139"/>
      <c r="T758" s="139"/>
      <c r="U758" s="139"/>
      <c r="V758" s="139"/>
      <c r="W758" s="139"/>
      <c r="X758" s="139"/>
      <c r="Y758" s="139"/>
      <c r="Z758" s="139"/>
      <c r="AA758" s="139"/>
      <c r="AB758" s="139"/>
      <c r="AC758" s="139"/>
      <c r="AD758" s="139"/>
      <c r="AE758" s="139"/>
      <c r="AF758" s="139"/>
      <c r="AG758" s="139"/>
      <c r="AH758" s="139"/>
      <c r="AI758" s="139"/>
      <c r="AJ758" s="139"/>
    </row>
    <row r="759">
      <c r="A759" s="9"/>
      <c r="B759" s="139"/>
      <c r="C759" s="139"/>
      <c r="D759" s="139"/>
      <c r="E759" s="139"/>
      <c r="F759" s="139"/>
      <c r="G759" s="139"/>
      <c r="H759" s="139"/>
      <c r="I759" s="139"/>
      <c r="J759" s="139"/>
      <c r="K759" s="139"/>
      <c r="L759" s="139"/>
      <c r="M759" s="139"/>
      <c r="N759" s="139"/>
      <c r="O759" s="139"/>
      <c r="P759" s="139"/>
      <c r="Q759" s="139"/>
      <c r="R759" s="139"/>
      <c r="S759" s="139"/>
      <c r="T759" s="139"/>
      <c r="U759" s="139"/>
      <c r="V759" s="139"/>
      <c r="W759" s="139"/>
      <c r="X759" s="139"/>
      <c r="Y759" s="139"/>
      <c r="Z759" s="139"/>
      <c r="AA759" s="139"/>
      <c r="AB759" s="139"/>
      <c r="AC759" s="139"/>
      <c r="AD759" s="139"/>
      <c r="AE759" s="139"/>
      <c r="AF759" s="139"/>
      <c r="AG759" s="139"/>
      <c r="AH759" s="139"/>
      <c r="AI759" s="139"/>
      <c r="AJ759" s="139"/>
    </row>
    <row r="760">
      <c r="A760" s="9"/>
      <c r="B760" s="139"/>
      <c r="C760" s="139"/>
      <c r="D760" s="139"/>
      <c r="E760" s="139"/>
      <c r="F760" s="139"/>
      <c r="G760" s="139"/>
      <c r="H760" s="139"/>
      <c r="I760" s="139"/>
      <c r="J760" s="139"/>
      <c r="K760" s="139"/>
      <c r="L760" s="139"/>
      <c r="M760" s="139"/>
      <c r="N760" s="139"/>
      <c r="O760" s="139"/>
      <c r="P760" s="139"/>
      <c r="Q760" s="139"/>
      <c r="R760" s="139"/>
      <c r="S760" s="139"/>
      <c r="T760" s="139"/>
      <c r="U760" s="139"/>
      <c r="V760" s="139"/>
      <c r="W760" s="139"/>
      <c r="X760" s="139"/>
      <c r="Y760" s="139"/>
      <c r="Z760" s="139"/>
      <c r="AA760" s="139"/>
      <c r="AB760" s="139"/>
      <c r="AC760" s="139"/>
      <c r="AD760" s="139"/>
      <c r="AE760" s="139"/>
      <c r="AF760" s="139"/>
      <c r="AG760" s="139"/>
      <c r="AH760" s="139"/>
      <c r="AI760" s="139"/>
      <c r="AJ760" s="139"/>
    </row>
    <row r="761">
      <c r="A761" s="9"/>
      <c r="B761" s="139"/>
      <c r="C761" s="139"/>
      <c r="D761" s="139"/>
      <c r="E761" s="139"/>
      <c r="F761" s="139"/>
      <c r="G761" s="139"/>
      <c r="H761" s="139"/>
      <c r="I761" s="139"/>
      <c r="J761" s="139"/>
      <c r="K761" s="139"/>
      <c r="L761" s="139"/>
      <c r="M761" s="139"/>
      <c r="N761" s="139"/>
      <c r="O761" s="139"/>
      <c r="P761" s="139"/>
      <c r="Q761" s="139"/>
      <c r="R761" s="139"/>
      <c r="S761" s="139"/>
      <c r="T761" s="139"/>
      <c r="U761" s="139"/>
      <c r="V761" s="139"/>
      <c r="W761" s="139"/>
      <c r="X761" s="139"/>
      <c r="Y761" s="139"/>
      <c r="Z761" s="139"/>
      <c r="AA761" s="139"/>
      <c r="AB761" s="139"/>
      <c r="AC761" s="139"/>
      <c r="AD761" s="139"/>
      <c r="AE761" s="139"/>
      <c r="AF761" s="139"/>
      <c r="AG761" s="139"/>
      <c r="AH761" s="139"/>
      <c r="AI761" s="139"/>
      <c r="AJ761" s="139"/>
    </row>
    <row r="762">
      <c r="A762" s="9"/>
      <c r="B762" s="139"/>
      <c r="C762" s="139"/>
      <c r="D762" s="139"/>
      <c r="E762" s="139"/>
      <c r="F762" s="139"/>
      <c r="G762" s="139"/>
      <c r="H762" s="139"/>
      <c r="I762" s="139"/>
      <c r="J762" s="139"/>
      <c r="K762" s="139"/>
      <c r="L762" s="139"/>
      <c r="M762" s="139"/>
      <c r="N762" s="139"/>
      <c r="O762" s="139"/>
      <c r="P762" s="139"/>
      <c r="Q762" s="139"/>
      <c r="R762" s="139"/>
      <c r="S762" s="139"/>
      <c r="T762" s="139"/>
      <c r="U762" s="139"/>
      <c r="V762" s="139"/>
      <c r="W762" s="139"/>
      <c r="X762" s="139"/>
      <c r="Y762" s="139"/>
      <c r="Z762" s="139"/>
      <c r="AA762" s="139"/>
      <c r="AB762" s="139"/>
      <c r="AC762" s="139"/>
      <c r="AD762" s="139"/>
      <c r="AE762" s="139"/>
      <c r="AF762" s="139"/>
      <c r="AG762" s="139"/>
      <c r="AH762" s="139"/>
      <c r="AI762" s="139"/>
      <c r="AJ762" s="139"/>
    </row>
    <row r="763">
      <c r="A763" s="9"/>
      <c r="B763" s="139"/>
      <c r="C763" s="139"/>
      <c r="D763" s="139"/>
      <c r="E763" s="139"/>
      <c r="F763" s="139"/>
      <c r="G763" s="139"/>
      <c r="H763" s="139"/>
      <c r="I763" s="139"/>
      <c r="J763" s="139"/>
      <c r="K763" s="139"/>
      <c r="L763" s="139"/>
      <c r="M763" s="139"/>
      <c r="N763" s="139"/>
      <c r="O763" s="139"/>
      <c r="P763" s="139"/>
      <c r="Q763" s="139"/>
      <c r="R763" s="139"/>
      <c r="S763" s="139"/>
      <c r="T763" s="139"/>
      <c r="U763" s="139"/>
      <c r="V763" s="139"/>
      <c r="W763" s="139"/>
      <c r="X763" s="139"/>
      <c r="Y763" s="139"/>
      <c r="Z763" s="139"/>
      <c r="AA763" s="139"/>
      <c r="AB763" s="139"/>
      <c r="AC763" s="139"/>
      <c r="AD763" s="139"/>
      <c r="AE763" s="139"/>
      <c r="AF763" s="139"/>
      <c r="AG763" s="139"/>
      <c r="AH763" s="139"/>
      <c r="AI763" s="139"/>
      <c r="AJ763" s="139"/>
    </row>
    <row r="764">
      <c r="A764" s="9"/>
      <c r="B764" s="139"/>
      <c r="C764" s="139"/>
      <c r="D764" s="139"/>
      <c r="E764" s="139"/>
      <c r="F764" s="139"/>
      <c r="G764" s="139"/>
      <c r="H764" s="139"/>
      <c r="I764" s="139"/>
      <c r="J764" s="139"/>
      <c r="K764" s="139"/>
      <c r="L764" s="139"/>
      <c r="M764" s="139"/>
      <c r="N764" s="139"/>
      <c r="O764" s="139"/>
      <c r="P764" s="139"/>
      <c r="Q764" s="139"/>
      <c r="R764" s="139"/>
      <c r="S764" s="139"/>
      <c r="T764" s="139"/>
      <c r="U764" s="139"/>
      <c r="V764" s="139"/>
      <c r="W764" s="139"/>
      <c r="X764" s="139"/>
      <c r="Y764" s="139"/>
      <c r="Z764" s="139"/>
      <c r="AA764" s="139"/>
      <c r="AB764" s="139"/>
      <c r="AC764" s="139"/>
      <c r="AD764" s="139"/>
      <c r="AE764" s="139"/>
      <c r="AF764" s="139"/>
      <c r="AG764" s="139"/>
      <c r="AH764" s="139"/>
      <c r="AI764" s="139"/>
      <c r="AJ764" s="139"/>
    </row>
    <row r="765">
      <c r="A765" s="9"/>
      <c r="B765" s="139"/>
      <c r="C765" s="139"/>
      <c r="D765" s="139"/>
      <c r="E765" s="139"/>
      <c r="F765" s="139"/>
      <c r="G765" s="139"/>
      <c r="H765" s="139"/>
      <c r="I765" s="139"/>
      <c r="J765" s="139"/>
      <c r="K765" s="139"/>
      <c r="L765" s="139"/>
      <c r="M765" s="139"/>
      <c r="N765" s="139"/>
      <c r="O765" s="139"/>
      <c r="P765" s="139"/>
      <c r="Q765" s="139"/>
      <c r="R765" s="139"/>
      <c r="S765" s="139"/>
      <c r="T765" s="139"/>
      <c r="U765" s="139"/>
      <c r="V765" s="139"/>
      <c r="W765" s="139"/>
      <c r="X765" s="139"/>
      <c r="Y765" s="139"/>
      <c r="Z765" s="139"/>
      <c r="AA765" s="139"/>
      <c r="AB765" s="139"/>
      <c r="AC765" s="139"/>
      <c r="AD765" s="139"/>
      <c r="AE765" s="139"/>
      <c r="AF765" s="139"/>
      <c r="AG765" s="139"/>
      <c r="AH765" s="139"/>
      <c r="AI765" s="139"/>
      <c r="AJ765" s="139"/>
    </row>
    <row r="766">
      <c r="A766" s="9"/>
      <c r="B766" s="139"/>
      <c r="C766" s="139"/>
      <c r="D766" s="139"/>
      <c r="E766" s="139"/>
      <c r="F766" s="139"/>
      <c r="G766" s="139"/>
      <c r="H766" s="139"/>
      <c r="I766" s="139"/>
      <c r="J766" s="139"/>
      <c r="K766" s="139"/>
      <c r="L766" s="139"/>
      <c r="M766" s="139"/>
      <c r="N766" s="139"/>
      <c r="O766" s="139"/>
      <c r="P766" s="139"/>
      <c r="Q766" s="139"/>
      <c r="R766" s="139"/>
      <c r="S766" s="139"/>
      <c r="T766" s="139"/>
      <c r="U766" s="139"/>
      <c r="V766" s="139"/>
      <c r="W766" s="139"/>
      <c r="X766" s="139"/>
      <c r="Y766" s="139"/>
      <c r="Z766" s="139"/>
      <c r="AA766" s="139"/>
      <c r="AB766" s="139"/>
      <c r="AC766" s="139"/>
      <c r="AD766" s="139"/>
      <c r="AE766" s="139"/>
      <c r="AF766" s="139"/>
      <c r="AG766" s="139"/>
      <c r="AH766" s="139"/>
      <c r="AI766" s="139"/>
      <c r="AJ766" s="139"/>
    </row>
    <row r="767">
      <c r="A767" s="9"/>
      <c r="B767" s="139"/>
      <c r="C767" s="139"/>
      <c r="D767" s="139"/>
      <c r="E767" s="139"/>
      <c r="F767" s="139"/>
      <c r="G767" s="139"/>
      <c r="H767" s="139"/>
      <c r="I767" s="139"/>
      <c r="J767" s="139"/>
      <c r="K767" s="139"/>
      <c r="L767" s="139"/>
      <c r="M767" s="139"/>
      <c r="N767" s="139"/>
      <c r="O767" s="139"/>
      <c r="P767" s="139"/>
      <c r="Q767" s="139"/>
      <c r="R767" s="139"/>
      <c r="S767" s="139"/>
      <c r="T767" s="139"/>
      <c r="U767" s="139"/>
      <c r="V767" s="139"/>
      <c r="W767" s="139"/>
      <c r="X767" s="139"/>
      <c r="Y767" s="139"/>
      <c r="Z767" s="139"/>
      <c r="AA767" s="139"/>
      <c r="AB767" s="139"/>
      <c r="AC767" s="139"/>
      <c r="AD767" s="139"/>
      <c r="AE767" s="139"/>
      <c r="AF767" s="139"/>
      <c r="AG767" s="139"/>
      <c r="AH767" s="139"/>
      <c r="AI767" s="139"/>
      <c r="AJ767" s="139"/>
    </row>
    <row r="768">
      <c r="A768" s="9"/>
      <c r="B768" s="139"/>
      <c r="C768" s="139"/>
      <c r="D768" s="139"/>
      <c r="E768" s="139"/>
      <c r="F768" s="139"/>
      <c r="G768" s="139"/>
      <c r="H768" s="139"/>
      <c r="I768" s="139"/>
      <c r="J768" s="139"/>
      <c r="K768" s="139"/>
      <c r="L768" s="139"/>
      <c r="M768" s="139"/>
      <c r="N768" s="139"/>
      <c r="O768" s="139"/>
      <c r="P768" s="139"/>
      <c r="Q768" s="139"/>
      <c r="R768" s="139"/>
      <c r="S768" s="139"/>
      <c r="T768" s="139"/>
      <c r="U768" s="139"/>
      <c r="V768" s="139"/>
      <c r="W768" s="139"/>
      <c r="X768" s="139"/>
      <c r="Y768" s="139"/>
      <c r="Z768" s="139"/>
      <c r="AA768" s="139"/>
      <c r="AB768" s="139"/>
      <c r="AC768" s="139"/>
      <c r="AD768" s="139"/>
      <c r="AE768" s="139"/>
      <c r="AF768" s="139"/>
      <c r="AG768" s="139"/>
      <c r="AH768" s="139"/>
      <c r="AI768" s="139"/>
      <c r="AJ768" s="139"/>
    </row>
    <row r="769">
      <c r="A769" s="9"/>
      <c r="B769" s="139"/>
      <c r="C769" s="139"/>
      <c r="D769" s="139"/>
      <c r="E769" s="139"/>
      <c r="F769" s="139"/>
      <c r="G769" s="139"/>
      <c r="H769" s="139"/>
      <c r="I769" s="139"/>
      <c r="J769" s="139"/>
      <c r="K769" s="139"/>
      <c r="L769" s="139"/>
      <c r="M769" s="139"/>
      <c r="N769" s="139"/>
      <c r="O769" s="139"/>
      <c r="P769" s="139"/>
      <c r="Q769" s="139"/>
      <c r="R769" s="139"/>
      <c r="S769" s="139"/>
      <c r="T769" s="139"/>
      <c r="U769" s="139"/>
      <c r="V769" s="139"/>
      <c r="W769" s="139"/>
      <c r="X769" s="139"/>
      <c r="Y769" s="139"/>
      <c r="Z769" s="139"/>
      <c r="AA769" s="139"/>
      <c r="AB769" s="139"/>
      <c r="AC769" s="139"/>
      <c r="AD769" s="139"/>
      <c r="AE769" s="139"/>
      <c r="AF769" s="139"/>
      <c r="AG769" s="139"/>
      <c r="AH769" s="139"/>
      <c r="AI769" s="139"/>
      <c r="AJ769" s="139"/>
    </row>
    <row r="770">
      <c r="A770" s="9"/>
      <c r="B770" s="139"/>
      <c r="C770" s="139"/>
      <c r="D770" s="139"/>
      <c r="E770" s="139"/>
      <c r="F770" s="139"/>
      <c r="G770" s="139"/>
      <c r="H770" s="139"/>
      <c r="I770" s="139"/>
      <c r="J770" s="139"/>
      <c r="K770" s="139"/>
      <c r="L770" s="139"/>
      <c r="M770" s="139"/>
      <c r="N770" s="139"/>
      <c r="O770" s="139"/>
      <c r="P770" s="139"/>
      <c r="Q770" s="139"/>
      <c r="R770" s="139"/>
      <c r="S770" s="139"/>
      <c r="T770" s="139"/>
      <c r="U770" s="139"/>
      <c r="V770" s="139"/>
      <c r="W770" s="139"/>
      <c r="X770" s="139"/>
      <c r="Y770" s="139"/>
      <c r="Z770" s="139"/>
      <c r="AA770" s="139"/>
      <c r="AB770" s="139"/>
      <c r="AC770" s="139"/>
      <c r="AD770" s="139"/>
      <c r="AE770" s="139"/>
      <c r="AF770" s="139"/>
      <c r="AG770" s="139"/>
      <c r="AH770" s="139"/>
      <c r="AI770" s="139"/>
      <c r="AJ770" s="139"/>
    </row>
    <row r="771">
      <c r="A771" s="9"/>
      <c r="B771" s="139"/>
      <c r="C771" s="139"/>
      <c r="D771" s="139"/>
      <c r="E771" s="139"/>
      <c r="F771" s="139"/>
      <c r="G771" s="139"/>
      <c r="H771" s="139"/>
      <c r="I771" s="139"/>
      <c r="J771" s="139"/>
      <c r="K771" s="139"/>
      <c r="L771" s="139"/>
      <c r="M771" s="139"/>
      <c r="N771" s="139"/>
      <c r="O771" s="139"/>
      <c r="P771" s="139"/>
      <c r="Q771" s="139"/>
      <c r="R771" s="139"/>
      <c r="S771" s="139"/>
      <c r="T771" s="139"/>
      <c r="U771" s="139"/>
      <c r="V771" s="139"/>
      <c r="W771" s="139"/>
      <c r="X771" s="139"/>
      <c r="Y771" s="139"/>
      <c r="Z771" s="139"/>
      <c r="AA771" s="139"/>
      <c r="AB771" s="139"/>
      <c r="AC771" s="139"/>
      <c r="AD771" s="139"/>
      <c r="AE771" s="139"/>
      <c r="AF771" s="139"/>
      <c r="AG771" s="139"/>
      <c r="AH771" s="139"/>
      <c r="AI771" s="139"/>
      <c r="AJ771" s="139"/>
    </row>
    <row r="772">
      <c r="A772" s="9"/>
      <c r="B772" s="139"/>
      <c r="C772" s="139"/>
      <c r="D772" s="139"/>
      <c r="E772" s="139"/>
      <c r="F772" s="139"/>
      <c r="G772" s="139"/>
      <c r="H772" s="139"/>
      <c r="I772" s="139"/>
      <c r="J772" s="139"/>
      <c r="K772" s="139"/>
      <c r="L772" s="139"/>
      <c r="M772" s="139"/>
      <c r="N772" s="139"/>
      <c r="O772" s="139"/>
      <c r="P772" s="139"/>
      <c r="Q772" s="139"/>
      <c r="R772" s="139"/>
      <c r="S772" s="139"/>
      <c r="T772" s="139"/>
      <c r="U772" s="139"/>
      <c r="V772" s="139"/>
      <c r="W772" s="139"/>
      <c r="X772" s="139"/>
      <c r="Y772" s="139"/>
      <c r="Z772" s="139"/>
      <c r="AA772" s="139"/>
      <c r="AB772" s="139"/>
      <c r="AC772" s="139"/>
      <c r="AD772" s="139"/>
      <c r="AE772" s="139"/>
      <c r="AF772" s="139"/>
      <c r="AG772" s="139"/>
      <c r="AH772" s="139"/>
      <c r="AI772" s="139"/>
      <c r="AJ772" s="139"/>
    </row>
    <row r="773">
      <c r="A773" s="9"/>
      <c r="B773" s="139"/>
      <c r="C773" s="139"/>
      <c r="D773" s="139"/>
      <c r="E773" s="139"/>
      <c r="F773" s="139"/>
      <c r="G773" s="139"/>
      <c r="H773" s="139"/>
      <c r="I773" s="139"/>
      <c r="J773" s="139"/>
      <c r="K773" s="139"/>
      <c r="L773" s="139"/>
      <c r="M773" s="139"/>
      <c r="N773" s="139"/>
      <c r="O773" s="139"/>
      <c r="P773" s="139"/>
      <c r="Q773" s="139"/>
      <c r="R773" s="139"/>
      <c r="S773" s="139"/>
      <c r="T773" s="139"/>
      <c r="U773" s="139"/>
      <c r="V773" s="139"/>
      <c r="W773" s="139"/>
      <c r="X773" s="139"/>
      <c r="Y773" s="139"/>
      <c r="Z773" s="139"/>
      <c r="AA773" s="139"/>
      <c r="AB773" s="139"/>
      <c r="AC773" s="139"/>
      <c r="AD773" s="139"/>
      <c r="AE773" s="139"/>
      <c r="AF773" s="139"/>
      <c r="AG773" s="139"/>
      <c r="AH773" s="139"/>
      <c r="AI773" s="139"/>
      <c r="AJ773" s="139"/>
    </row>
    <row r="774">
      <c r="A774" s="9"/>
      <c r="B774" s="139"/>
      <c r="C774" s="139"/>
      <c r="D774" s="139"/>
      <c r="E774" s="139"/>
      <c r="F774" s="139"/>
      <c r="G774" s="139"/>
      <c r="H774" s="139"/>
      <c r="I774" s="139"/>
      <c r="J774" s="139"/>
      <c r="K774" s="139"/>
      <c r="L774" s="139"/>
      <c r="M774" s="139"/>
      <c r="N774" s="139"/>
      <c r="O774" s="139"/>
      <c r="P774" s="139"/>
      <c r="Q774" s="139"/>
      <c r="R774" s="139"/>
      <c r="S774" s="139"/>
      <c r="T774" s="139"/>
      <c r="U774" s="139"/>
      <c r="V774" s="139"/>
      <c r="W774" s="139"/>
      <c r="X774" s="139"/>
      <c r="Y774" s="139"/>
      <c r="Z774" s="139"/>
      <c r="AA774" s="139"/>
      <c r="AB774" s="139"/>
      <c r="AC774" s="139"/>
      <c r="AD774" s="139"/>
      <c r="AE774" s="139"/>
      <c r="AF774" s="139"/>
      <c r="AG774" s="139"/>
      <c r="AH774" s="139"/>
      <c r="AI774" s="139"/>
      <c r="AJ774" s="139"/>
    </row>
    <row r="775">
      <c r="A775" s="9"/>
      <c r="B775" s="139"/>
      <c r="C775" s="139"/>
      <c r="D775" s="139"/>
      <c r="E775" s="139"/>
      <c r="F775" s="139"/>
      <c r="G775" s="139"/>
      <c r="H775" s="139"/>
      <c r="I775" s="139"/>
      <c r="J775" s="139"/>
      <c r="K775" s="139"/>
      <c r="L775" s="139"/>
      <c r="M775" s="139"/>
      <c r="N775" s="139"/>
      <c r="O775" s="139"/>
      <c r="P775" s="139"/>
      <c r="Q775" s="139"/>
      <c r="R775" s="139"/>
      <c r="S775" s="139"/>
      <c r="T775" s="139"/>
      <c r="U775" s="139"/>
      <c r="V775" s="139"/>
      <c r="W775" s="139"/>
      <c r="X775" s="139"/>
      <c r="Y775" s="139"/>
      <c r="Z775" s="139"/>
      <c r="AA775" s="139"/>
      <c r="AB775" s="139"/>
      <c r="AC775" s="139"/>
      <c r="AD775" s="139"/>
      <c r="AE775" s="139"/>
      <c r="AF775" s="139"/>
      <c r="AG775" s="139"/>
      <c r="AH775" s="139"/>
      <c r="AI775" s="139"/>
      <c r="AJ775" s="139"/>
    </row>
    <row r="776">
      <c r="A776" s="9"/>
      <c r="B776" s="139"/>
      <c r="C776" s="139"/>
      <c r="D776" s="139"/>
      <c r="E776" s="139"/>
      <c r="F776" s="139"/>
      <c r="G776" s="139"/>
      <c r="H776" s="139"/>
      <c r="I776" s="139"/>
      <c r="J776" s="139"/>
      <c r="K776" s="139"/>
      <c r="L776" s="139"/>
      <c r="M776" s="139"/>
      <c r="N776" s="139"/>
      <c r="O776" s="139"/>
      <c r="P776" s="139"/>
      <c r="Q776" s="139"/>
      <c r="R776" s="139"/>
      <c r="S776" s="139"/>
      <c r="T776" s="139"/>
      <c r="U776" s="139"/>
      <c r="V776" s="139"/>
      <c r="W776" s="139"/>
      <c r="X776" s="139"/>
      <c r="Y776" s="139"/>
      <c r="Z776" s="139"/>
      <c r="AA776" s="139"/>
      <c r="AB776" s="139"/>
      <c r="AC776" s="139"/>
      <c r="AD776" s="139"/>
      <c r="AE776" s="139"/>
      <c r="AF776" s="139"/>
      <c r="AG776" s="139"/>
      <c r="AH776" s="139"/>
      <c r="AI776" s="139"/>
      <c r="AJ776" s="139"/>
    </row>
    <row r="777">
      <c r="A777" s="9"/>
      <c r="B777" s="139"/>
      <c r="C777" s="139"/>
      <c r="D777" s="139"/>
      <c r="E777" s="139"/>
      <c r="F777" s="139"/>
      <c r="G777" s="139"/>
      <c r="H777" s="139"/>
      <c r="I777" s="139"/>
      <c r="J777" s="139"/>
      <c r="K777" s="139"/>
      <c r="L777" s="139"/>
      <c r="M777" s="139"/>
      <c r="N777" s="139"/>
      <c r="O777" s="139"/>
      <c r="P777" s="139"/>
      <c r="Q777" s="139"/>
      <c r="R777" s="139"/>
      <c r="S777" s="139"/>
      <c r="T777" s="139"/>
      <c r="U777" s="139"/>
      <c r="V777" s="139"/>
      <c r="W777" s="139"/>
      <c r="X777" s="139"/>
      <c r="Y777" s="139"/>
      <c r="Z777" s="139"/>
      <c r="AA777" s="139"/>
      <c r="AB777" s="139"/>
      <c r="AC777" s="139"/>
      <c r="AD777" s="139"/>
      <c r="AE777" s="139"/>
      <c r="AF777" s="139"/>
      <c r="AG777" s="139"/>
      <c r="AH777" s="139"/>
      <c r="AI777" s="139"/>
      <c r="AJ777" s="139"/>
    </row>
    <row r="778">
      <c r="A778" s="9"/>
      <c r="B778" s="139"/>
      <c r="C778" s="139"/>
      <c r="D778" s="139"/>
      <c r="E778" s="139"/>
      <c r="F778" s="139"/>
      <c r="G778" s="139"/>
      <c r="H778" s="139"/>
      <c r="I778" s="139"/>
      <c r="J778" s="139"/>
      <c r="K778" s="139"/>
      <c r="L778" s="139"/>
      <c r="M778" s="139"/>
      <c r="N778" s="139"/>
      <c r="O778" s="139"/>
      <c r="P778" s="139"/>
      <c r="Q778" s="139"/>
      <c r="R778" s="139"/>
      <c r="S778" s="139"/>
      <c r="T778" s="139"/>
      <c r="U778" s="139"/>
      <c r="V778" s="139"/>
      <c r="W778" s="139"/>
      <c r="X778" s="139"/>
      <c r="Y778" s="139"/>
      <c r="Z778" s="139"/>
      <c r="AA778" s="139"/>
      <c r="AB778" s="139"/>
      <c r="AC778" s="139"/>
      <c r="AD778" s="139"/>
      <c r="AE778" s="139"/>
      <c r="AF778" s="139"/>
      <c r="AG778" s="139"/>
      <c r="AH778" s="139"/>
      <c r="AI778" s="139"/>
      <c r="AJ778" s="139"/>
    </row>
    <row r="779">
      <c r="A779" s="9"/>
      <c r="B779" s="139"/>
      <c r="C779" s="139"/>
      <c r="D779" s="139"/>
      <c r="E779" s="139"/>
      <c r="F779" s="139"/>
      <c r="G779" s="139"/>
      <c r="H779" s="139"/>
      <c r="I779" s="139"/>
      <c r="J779" s="139"/>
      <c r="K779" s="139"/>
      <c r="L779" s="139"/>
      <c r="M779" s="139"/>
      <c r="N779" s="139"/>
      <c r="O779" s="139"/>
      <c r="P779" s="139"/>
      <c r="Q779" s="139"/>
      <c r="R779" s="139"/>
      <c r="S779" s="139"/>
      <c r="T779" s="139"/>
      <c r="U779" s="139"/>
      <c r="V779" s="139"/>
      <c r="W779" s="139"/>
      <c r="X779" s="139"/>
      <c r="Y779" s="139"/>
      <c r="Z779" s="139"/>
      <c r="AA779" s="139"/>
      <c r="AB779" s="139"/>
      <c r="AC779" s="139"/>
      <c r="AD779" s="139"/>
      <c r="AE779" s="139"/>
      <c r="AF779" s="139"/>
      <c r="AG779" s="139"/>
      <c r="AH779" s="139"/>
      <c r="AI779" s="139"/>
      <c r="AJ779" s="139"/>
    </row>
    <row r="780">
      <c r="A780" s="9"/>
      <c r="B780" s="139"/>
      <c r="C780" s="139"/>
      <c r="D780" s="139"/>
      <c r="E780" s="139"/>
      <c r="F780" s="139"/>
      <c r="G780" s="139"/>
      <c r="H780" s="139"/>
      <c r="I780" s="139"/>
      <c r="J780" s="139"/>
      <c r="K780" s="139"/>
      <c r="L780" s="139"/>
      <c r="M780" s="139"/>
      <c r="N780" s="139"/>
      <c r="O780" s="139"/>
      <c r="P780" s="139"/>
      <c r="Q780" s="139"/>
      <c r="R780" s="139"/>
      <c r="S780" s="139"/>
      <c r="T780" s="139"/>
      <c r="U780" s="139"/>
      <c r="V780" s="139"/>
      <c r="W780" s="139"/>
      <c r="X780" s="139"/>
      <c r="Y780" s="139"/>
      <c r="Z780" s="139"/>
      <c r="AA780" s="139"/>
      <c r="AB780" s="139"/>
      <c r="AC780" s="139"/>
      <c r="AD780" s="139"/>
      <c r="AE780" s="139"/>
      <c r="AF780" s="139"/>
      <c r="AG780" s="139"/>
      <c r="AH780" s="139"/>
      <c r="AI780" s="139"/>
      <c r="AJ780" s="139"/>
    </row>
    <row r="781">
      <c r="A781" s="9"/>
      <c r="B781" s="139"/>
      <c r="C781" s="139"/>
      <c r="D781" s="139"/>
      <c r="E781" s="139"/>
      <c r="F781" s="139"/>
      <c r="G781" s="139"/>
      <c r="H781" s="139"/>
      <c r="I781" s="139"/>
      <c r="J781" s="139"/>
      <c r="K781" s="139"/>
      <c r="L781" s="139"/>
      <c r="M781" s="139"/>
      <c r="N781" s="139"/>
      <c r="O781" s="139"/>
      <c r="P781" s="139"/>
      <c r="Q781" s="139"/>
      <c r="R781" s="139"/>
      <c r="S781" s="139"/>
      <c r="T781" s="139"/>
      <c r="U781" s="139"/>
      <c r="V781" s="139"/>
      <c r="W781" s="139"/>
      <c r="X781" s="139"/>
      <c r="Y781" s="139"/>
      <c r="Z781" s="139"/>
      <c r="AA781" s="139"/>
      <c r="AB781" s="139"/>
      <c r="AC781" s="139"/>
      <c r="AD781" s="139"/>
      <c r="AE781" s="139"/>
      <c r="AF781" s="139"/>
      <c r="AG781" s="139"/>
      <c r="AH781" s="139"/>
      <c r="AI781" s="139"/>
      <c r="AJ781" s="139"/>
    </row>
    <row r="782">
      <c r="A782" s="9"/>
      <c r="B782" s="139"/>
      <c r="C782" s="139"/>
      <c r="D782" s="139"/>
      <c r="E782" s="139"/>
      <c r="F782" s="139"/>
      <c r="G782" s="139"/>
      <c r="H782" s="139"/>
      <c r="I782" s="139"/>
      <c r="J782" s="139"/>
      <c r="K782" s="139"/>
      <c r="L782" s="139"/>
      <c r="M782" s="139"/>
      <c r="N782" s="139"/>
      <c r="O782" s="139"/>
      <c r="P782" s="139"/>
      <c r="Q782" s="139"/>
      <c r="R782" s="139"/>
      <c r="S782" s="139"/>
      <c r="T782" s="139"/>
      <c r="U782" s="139"/>
      <c r="V782" s="139"/>
      <c r="W782" s="139"/>
      <c r="X782" s="139"/>
      <c r="Y782" s="139"/>
      <c r="Z782" s="139"/>
      <c r="AA782" s="139"/>
      <c r="AB782" s="139"/>
      <c r="AC782" s="139"/>
      <c r="AD782" s="139"/>
      <c r="AE782" s="139"/>
      <c r="AF782" s="139"/>
      <c r="AG782" s="139"/>
      <c r="AH782" s="139"/>
      <c r="AI782" s="139"/>
      <c r="AJ782" s="139"/>
    </row>
    <row r="783">
      <c r="A783" s="9"/>
      <c r="B783" s="139"/>
      <c r="C783" s="139"/>
      <c r="D783" s="139"/>
      <c r="E783" s="139"/>
      <c r="F783" s="139"/>
      <c r="G783" s="139"/>
      <c r="H783" s="139"/>
      <c r="I783" s="139"/>
      <c r="J783" s="139"/>
      <c r="K783" s="139"/>
      <c r="L783" s="139"/>
      <c r="M783" s="139"/>
      <c r="N783" s="139"/>
      <c r="O783" s="139"/>
      <c r="P783" s="139"/>
      <c r="Q783" s="139"/>
      <c r="R783" s="139"/>
      <c r="S783" s="139"/>
      <c r="T783" s="139"/>
      <c r="U783" s="139"/>
      <c r="V783" s="139"/>
      <c r="W783" s="139"/>
      <c r="X783" s="139"/>
      <c r="Y783" s="139"/>
      <c r="Z783" s="139"/>
      <c r="AA783" s="139"/>
      <c r="AB783" s="139"/>
      <c r="AC783" s="139"/>
      <c r="AD783" s="139"/>
      <c r="AE783" s="139"/>
      <c r="AF783" s="139"/>
      <c r="AG783" s="139"/>
      <c r="AH783" s="139"/>
      <c r="AI783" s="139"/>
      <c r="AJ783" s="139"/>
    </row>
    <row r="784">
      <c r="A784" s="9"/>
      <c r="B784" s="139"/>
      <c r="C784" s="139"/>
      <c r="D784" s="139"/>
      <c r="E784" s="139"/>
      <c r="F784" s="139"/>
      <c r="G784" s="139"/>
      <c r="H784" s="139"/>
      <c r="I784" s="139"/>
      <c r="J784" s="139"/>
      <c r="K784" s="139"/>
      <c r="L784" s="139"/>
      <c r="M784" s="139"/>
      <c r="N784" s="139"/>
      <c r="O784" s="139"/>
      <c r="P784" s="139"/>
      <c r="Q784" s="139"/>
      <c r="R784" s="139"/>
      <c r="S784" s="139"/>
      <c r="T784" s="139"/>
      <c r="U784" s="139"/>
      <c r="V784" s="139"/>
      <c r="W784" s="139"/>
      <c r="X784" s="139"/>
      <c r="Y784" s="139"/>
      <c r="Z784" s="139"/>
      <c r="AA784" s="139"/>
      <c r="AB784" s="139"/>
      <c r="AC784" s="139"/>
      <c r="AD784" s="139"/>
      <c r="AE784" s="139"/>
      <c r="AF784" s="139"/>
      <c r="AG784" s="139"/>
      <c r="AH784" s="139"/>
      <c r="AI784" s="139"/>
      <c r="AJ784" s="139"/>
    </row>
    <row r="785">
      <c r="A785" s="9"/>
      <c r="B785" s="139"/>
      <c r="C785" s="139"/>
      <c r="D785" s="139"/>
      <c r="E785" s="139"/>
      <c r="F785" s="139"/>
      <c r="G785" s="139"/>
      <c r="H785" s="139"/>
      <c r="I785" s="139"/>
      <c r="J785" s="139"/>
      <c r="K785" s="139"/>
      <c r="L785" s="139"/>
      <c r="M785" s="139"/>
      <c r="N785" s="139"/>
      <c r="O785" s="139"/>
      <c r="P785" s="139"/>
      <c r="Q785" s="139"/>
      <c r="R785" s="139"/>
      <c r="S785" s="139"/>
      <c r="T785" s="139"/>
      <c r="U785" s="139"/>
      <c r="V785" s="139"/>
      <c r="W785" s="139"/>
      <c r="X785" s="139"/>
      <c r="Y785" s="139"/>
      <c r="Z785" s="139"/>
      <c r="AA785" s="139"/>
      <c r="AB785" s="139"/>
      <c r="AC785" s="139"/>
      <c r="AD785" s="139"/>
      <c r="AE785" s="139"/>
      <c r="AF785" s="139"/>
      <c r="AG785" s="139"/>
      <c r="AH785" s="139"/>
      <c r="AI785" s="139"/>
      <c r="AJ785" s="139"/>
    </row>
    <row r="786">
      <c r="A786" s="9"/>
      <c r="B786" s="139"/>
      <c r="C786" s="139"/>
      <c r="D786" s="139"/>
      <c r="E786" s="139"/>
      <c r="F786" s="139"/>
      <c r="G786" s="139"/>
      <c r="H786" s="139"/>
      <c r="I786" s="139"/>
      <c r="J786" s="139"/>
      <c r="K786" s="139"/>
      <c r="L786" s="139"/>
      <c r="M786" s="139"/>
      <c r="N786" s="139"/>
      <c r="O786" s="139"/>
      <c r="P786" s="139"/>
      <c r="Q786" s="139"/>
      <c r="R786" s="139"/>
      <c r="S786" s="139"/>
      <c r="T786" s="139"/>
      <c r="U786" s="139"/>
      <c r="V786" s="139"/>
      <c r="W786" s="139"/>
      <c r="X786" s="139"/>
      <c r="Y786" s="139"/>
      <c r="Z786" s="139"/>
      <c r="AA786" s="139"/>
      <c r="AB786" s="139"/>
      <c r="AC786" s="139"/>
      <c r="AD786" s="139"/>
      <c r="AE786" s="139"/>
      <c r="AF786" s="139"/>
      <c r="AG786" s="139"/>
      <c r="AH786" s="139"/>
      <c r="AI786" s="139"/>
      <c r="AJ786" s="139"/>
    </row>
    <row r="787">
      <c r="A787" s="9"/>
      <c r="B787" s="139"/>
      <c r="C787" s="139"/>
      <c r="D787" s="139"/>
      <c r="E787" s="139"/>
      <c r="F787" s="139"/>
      <c r="G787" s="139"/>
      <c r="H787" s="139"/>
      <c r="I787" s="139"/>
      <c r="J787" s="139"/>
      <c r="K787" s="139"/>
      <c r="L787" s="139"/>
      <c r="M787" s="139"/>
      <c r="N787" s="139"/>
      <c r="O787" s="139"/>
      <c r="P787" s="139"/>
      <c r="Q787" s="139"/>
      <c r="R787" s="139"/>
      <c r="S787" s="139"/>
      <c r="T787" s="139"/>
      <c r="U787" s="139"/>
      <c r="V787" s="139"/>
      <c r="W787" s="139"/>
      <c r="X787" s="139"/>
      <c r="Y787" s="139"/>
      <c r="Z787" s="139"/>
      <c r="AA787" s="139"/>
      <c r="AB787" s="139"/>
      <c r="AC787" s="139"/>
      <c r="AD787" s="139"/>
      <c r="AE787" s="139"/>
      <c r="AF787" s="139"/>
      <c r="AG787" s="139"/>
      <c r="AH787" s="139"/>
      <c r="AI787" s="139"/>
      <c r="AJ787" s="139"/>
    </row>
    <row r="788">
      <c r="A788" s="9"/>
      <c r="B788" s="139"/>
      <c r="C788" s="139"/>
      <c r="D788" s="139"/>
      <c r="E788" s="139"/>
      <c r="F788" s="139"/>
      <c r="G788" s="139"/>
      <c r="H788" s="139"/>
      <c r="I788" s="139"/>
      <c r="J788" s="139"/>
      <c r="K788" s="139"/>
      <c r="L788" s="139"/>
      <c r="M788" s="139"/>
      <c r="N788" s="139"/>
      <c r="O788" s="139"/>
      <c r="P788" s="139"/>
      <c r="Q788" s="139"/>
      <c r="R788" s="139"/>
      <c r="S788" s="139"/>
      <c r="T788" s="139"/>
      <c r="U788" s="139"/>
      <c r="V788" s="139"/>
      <c r="W788" s="139"/>
      <c r="X788" s="139"/>
      <c r="Y788" s="139"/>
      <c r="Z788" s="139"/>
      <c r="AA788" s="139"/>
      <c r="AB788" s="139"/>
      <c r="AC788" s="139"/>
      <c r="AD788" s="139"/>
      <c r="AE788" s="139"/>
      <c r="AF788" s="139"/>
      <c r="AG788" s="139"/>
      <c r="AH788" s="139"/>
      <c r="AI788" s="139"/>
      <c r="AJ788" s="139"/>
    </row>
    <row r="789">
      <c r="A789" s="9"/>
      <c r="B789" s="139"/>
      <c r="C789" s="139"/>
      <c r="D789" s="139"/>
      <c r="E789" s="139"/>
      <c r="F789" s="139"/>
      <c r="G789" s="139"/>
      <c r="H789" s="139"/>
      <c r="I789" s="139"/>
      <c r="J789" s="139"/>
      <c r="K789" s="139"/>
      <c r="L789" s="139"/>
      <c r="M789" s="139"/>
      <c r="N789" s="139"/>
      <c r="O789" s="139"/>
      <c r="P789" s="139"/>
      <c r="Q789" s="139"/>
      <c r="R789" s="139"/>
      <c r="S789" s="139"/>
      <c r="T789" s="139"/>
      <c r="U789" s="139"/>
      <c r="V789" s="139"/>
      <c r="W789" s="139"/>
      <c r="X789" s="139"/>
      <c r="Y789" s="139"/>
      <c r="Z789" s="139"/>
      <c r="AA789" s="139"/>
      <c r="AB789" s="139"/>
      <c r="AC789" s="139"/>
      <c r="AD789" s="139"/>
      <c r="AE789" s="139"/>
      <c r="AF789" s="139"/>
      <c r="AG789" s="139"/>
      <c r="AH789" s="139"/>
      <c r="AI789" s="139"/>
      <c r="AJ789" s="139"/>
    </row>
    <row r="790">
      <c r="A790" s="9"/>
      <c r="B790" s="139"/>
      <c r="C790" s="139"/>
      <c r="D790" s="139"/>
      <c r="E790" s="139"/>
      <c r="F790" s="139"/>
      <c r="G790" s="139"/>
      <c r="H790" s="139"/>
      <c r="I790" s="139"/>
      <c r="J790" s="139"/>
      <c r="K790" s="139"/>
      <c r="L790" s="139"/>
      <c r="M790" s="139"/>
      <c r="N790" s="139"/>
      <c r="O790" s="139"/>
      <c r="P790" s="139"/>
      <c r="Q790" s="139"/>
      <c r="R790" s="139"/>
      <c r="S790" s="139"/>
      <c r="T790" s="139"/>
      <c r="U790" s="139"/>
      <c r="V790" s="139"/>
      <c r="W790" s="139"/>
      <c r="X790" s="139"/>
      <c r="Y790" s="139"/>
      <c r="Z790" s="139"/>
      <c r="AA790" s="139"/>
      <c r="AB790" s="139"/>
      <c r="AC790" s="139"/>
      <c r="AD790" s="139"/>
      <c r="AE790" s="139"/>
      <c r="AF790" s="139"/>
      <c r="AG790" s="139"/>
      <c r="AH790" s="139"/>
      <c r="AI790" s="139"/>
      <c r="AJ790" s="139"/>
    </row>
    <row r="791">
      <c r="A791" s="9"/>
      <c r="B791" s="139"/>
      <c r="C791" s="139"/>
      <c r="D791" s="139"/>
      <c r="E791" s="139"/>
      <c r="F791" s="139"/>
      <c r="G791" s="139"/>
      <c r="H791" s="139"/>
      <c r="I791" s="139"/>
      <c r="J791" s="139"/>
      <c r="K791" s="139"/>
      <c r="L791" s="139"/>
      <c r="M791" s="139"/>
      <c r="N791" s="139"/>
      <c r="O791" s="139"/>
      <c r="P791" s="139"/>
      <c r="Q791" s="139"/>
      <c r="R791" s="139"/>
      <c r="S791" s="139"/>
      <c r="T791" s="139"/>
      <c r="U791" s="139"/>
      <c r="V791" s="139"/>
      <c r="W791" s="139"/>
      <c r="X791" s="139"/>
      <c r="Y791" s="139"/>
      <c r="Z791" s="139"/>
      <c r="AA791" s="139"/>
      <c r="AB791" s="139"/>
      <c r="AC791" s="139"/>
      <c r="AD791" s="139"/>
      <c r="AE791" s="139"/>
      <c r="AF791" s="139"/>
      <c r="AG791" s="139"/>
      <c r="AH791" s="139"/>
      <c r="AI791" s="139"/>
      <c r="AJ791" s="139"/>
    </row>
    <row r="792">
      <c r="A792" s="9"/>
      <c r="B792" s="139"/>
      <c r="C792" s="139"/>
      <c r="D792" s="139"/>
      <c r="E792" s="139"/>
      <c r="F792" s="139"/>
      <c r="G792" s="139"/>
      <c r="H792" s="139"/>
      <c r="I792" s="139"/>
      <c r="J792" s="139"/>
      <c r="K792" s="139"/>
      <c r="L792" s="139"/>
      <c r="M792" s="139"/>
      <c r="N792" s="139"/>
      <c r="O792" s="139"/>
      <c r="P792" s="139"/>
      <c r="Q792" s="139"/>
      <c r="R792" s="139"/>
      <c r="S792" s="139"/>
      <c r="T792" s="139"/>
      <c r="U792" s="139"/>
      <c r="V792" s="139"/>
      <c r="W792" s="139"/>
      <c r="X792" s="139"/>
      <c r="Y792" s="139"/>
      <c r="Z792" s="139"/>
      <c r="AA792" s="139"/>
      <c r="AB792" s="139"/>
      <c r="AC792" s="139"/>
      <c r="AD792" s="139"/>
      <c r="AE792" s="139"/>
      <c r="AF792" s="139"/>
      <c r="AG792" s="139"/>
      <c r="AH792" s="139"/>
      <c r="AI792" s="139"/>
      <c r="AJ792" s="139"/>
    </row>
    <row r="793">
      <c r="A793" s="9"/>
      <c r="B793" s="139"/>
      <c r="C793" s="139"/>
      <c r="D793" s="139"/>
      <c r="E793" s="139"/>
      <c r="F793" s="139"/>
      <c r="G793" s="139"/>
      <c r="H793" s="139"/>
      <c r="I793" s="139"/>
      <c r="J793" s="139"/>
      <c r="K793" s="139"/>
      <c r="L793" s="139"/>
      <c r="M793" s="139"/>
      <c r="N793" s="139"/>
      <c r="O793" s="139"/>
      <c r="P793" s="139"/>
      <c r="Q793" s="139"/>
      <c r="R793" s="139"/>
      <c r="S793" s="139"/>
      <c r="T793" s="139"/>
      <c r="U793" s="139"/>
      <c r="V793" s="139"/>
      <c r="W793" s="139"/>
      <c r="X793" s="139"/>
      <c r="Y793" s="139"/>
      <c r="Z793" s="139"/>
      <c r="AA793" s="139"/>
      <c r="AB793" s="139"/>
      <c r="AC793" s="139"/>
      <c r="AD793" s="139"/>
      <c r="AE793" s="139"/>
      <c r="AF793" s="139"/>
      <c r="AG793" s="139"/>
      <c r="AH793" s="139"/>
      <c r="AI793" s="139"/>
      <c r="AJ793" s="139"/>
    </row>
    <row r="794">
      <c r="A794" s="9"/>
      <c r="B794" s="139"/>
      <c r="C794" s="139"/>
      <c r="D794" s="139"/>
      <c r="E794" s="139"/>
      <c r="F794" s="139"/>
      <c r="G794" s="139"/>
      <c r="H794" s="139"/>
      <c r="I794" s="139"/>
      <c r="J794" s="139"/>
      <c r="K794" s="139"/>
      <c r="L794" s="139"/>
      <c r="M794" s="139"/>
      <c r="N794" s="139"/>
      <c r="O794" s="139"/>
      <c r="P794" s="139"/>
      <c r="Q794" s="139"/>
      <c r="R794" s="139"/>
      <c r="S794" s="139"/>
      <c r="T794" s="139"/>
      <c r="U794" s="139"/>
      <c r="V794" s="139"/>
      <c r="W794" s="139"/>
      <c r="X794" s="139"/>
      <c r="Y794" s="139"/>
      <c r="Z794" s="139"/>
      <c r="AA794" s="139"/>
      <c r="AB794" s="139"/>
      <c r="AC794" s="139"/>
      <c r="AD794" s="139"/>
      <c r="AE794" s="139"/>
      <c r="AF794" s="139"/>
      <c r="AG794" s="139"/>
      <c r="AH794" s="139"/>
      <c r="AI794" s="139"/>
      <c r="AJ794" s="139"/>
    </row>
    <row r="795">
      <c r="A795" s="9"/>
      <c r="B795" s="139"/>
      <c r="C795" s="139"/>
      <c r="D795" s="139"/>
      <c r="E795" s="139"/>
      <c r="F795" s="139"/>
      <c r="G795" s="139"/>
      <c r="H795" s="139"/>
      <c r="I795" s="139"/>
      <c r="J795" s="139"/>
      <c r="K795" s="139"/>
      <c r="L795" s="139"/>
      <c r="M795" s="139"/>
      <c r="N795" s="139"/>
      <c r="O795" s="139"/>
      <c r="P795" s="139"/>
      <c r="Q795" s="139"/>
      <c r="R795" s="139"/>
      <c r="S795" s="139"/>
      <c r="T795" s="139"/>
      <c r="U795" s="139"/>
      <c r="V795" s="139"/>
      <c r="W795" s="139"/>
      <c r="X795" s="139"/>
      <c r="Y795" s="139"/>
      <c r="Z795" s="139"/>
      <c r="AA795" s="139"/>
      <c r="AB795" s="139"/>
      <c r="AC795" s="139"/>
      <c r="AD795" s="139"/>
      <c r="AE795" s="139"/>
      <c r="AF795" s="139"/>
      <c r="AG795" s="139"/>
      <c r="AH795" s="139"/>
      <c r="AI795" s="139"/>
      <c r="AJ795" s="139"/>
    </row>
    <row r="796">
      <c r="A796" s="9"/>
      <c r="B796" s="139"/>
      <c r="C796" s="139"/>
      <c r="D796" s="139"/>
      <c r="E796" s="139"/>
      <c r="F796" s="139"/>
      <c r="G796" s="139"/>
      <c r="H796" s="139"/>
      <c r="I796" s="139"/>
      <c r="J796" s="139"/>
      <c r="K796" s="139"/>
      <c r="L796" s="139"/>
      <c r="M796" s="139"/>
      <c r="N796" s="139"/>
      <c r="O796" s="139"/>
      <c r="P796" s="139"/>
      <c r="Q796" s="139"/>
      <c r="R796" s="139"/>
      <c r="S796" s="139"/>
      <c r="T796" s="139"/>
      <c r="U796" s="139"/>
      <c r="V796" s="139"/>
      <c r="W796" s="139"/>
      <c r="X796" s="139"/>
      <c r="Y796" s="139"/>
      <c r="Z796" s="139"/>
      <c r="AA796" s="139"/>
      <c r="AB796" s="139"/>
      <c r="AC796" s="139"/>
      <c r="AD796" s="139"/>
      <c r="AE796" s="139"/>
      <c r="AF796" s="139"/>
      <c r="AG796" s="139"/>
      <c r="AH796" s="139"/>
      <c r="AI796" s="139"/>
      <c r="AJ796" s="139"/>
    </row>
    <row r="797">
      <c r="A797" s="9"/>
      <c r="B797" s="139"/>
      <c r="C797" s="139"/>
      <c r="D797" s="139"/>
      <c r="E797" s="139"/>
      <c r="F797" s="139"/>
      <c r="G797" s="139"/>
      <c r="H797" s="139"/>
      <c r="I797" s="139"/>
      <c r="J797" s="139"/>
      <c r="K797" s="139"/>
      <c r="L797" s="139"/>
      <c r="M797" s="139"/>
      <c r="N797" s="139"/>
      <c r="O797" s="139"/>
      <c r="P797" s="139"/>
      <c r="Q797" s="139"/>
      <c r="R797" s="139"/>
      <c r="S797" s="139"/>
      <c r="T797" s="139"/>
      <c r="U797" s="139"/>
      <c r="V797" s="139"/>
      <c r="W797" s="139"/>
      <c r="X797" s="139"/>
      <c r="Y797" s="139"/>
      <c r="Z797" s="139"/>
      <c r="AA797" s="139"/>
      <c r="AB797" s="139"/>
      <c r="AC797" s="139"/>
      <c r="AD797" s="139"/>
      <c r="AE797" s="139"/>
      <c r="AF797" s="139"/>
      <c r="AG797" s="139"/>
      <c r="AH797" s="139"/>
      <c r="AI797" s="139"/>
      <c r="AJ797" s="139"/>
    </row>
    <row r="798">
      <c r="A798" s="9"/>
      <c r="B798" s="139"/>
      <c r="C798" s="139"/>
      <c r="D798" s="139"/>
      <c r="E798" s="139"/>
      <c r="F798" s="139"/>
      <c r="G798" s="139"/>
      <c r="H798" s="139"/>
      <c r="I798" s="139"/>
      <c r="J798" s="139"/>
      <c r="K798" s="139"/>
      <c r="L798" s="139"/>
      <c r="M798" s="139"/>
      <c r="N798" s="139"/>
      <c r="O798" s="139"/>
      <c r="P798" s="139"/>
      <c r="Q798" s="139"/>
      <c r="R798" s="139"/>
      <c r="S798" s="139"/>
      <c r="T798" s="139"/>
      <c r="U798" s="139"/>
      <c r="V798" s="139"/>
      <c r="W798" s="139"/>
      <c r="X798" s="139"/>
      <c r="Y798" s="139"/>
      <c r="Z798" s="139"/>
      <c r="AA798" s="139"/>
      <c r="AB798" s="139"/>
      <c r="AC798" s="139"/>
      <c r="AD798" s="139"/>
      <c r="AE798" s="139"/>
      <c r="AF798" s="139"/>
      <c r="AG798" s="139"/>
      <c r="AH798" s="139"/>
      <c r="AI798" s="139"/>
      <c r="AJ798" s="139"/>
    </row>
    <row r="799">
      <c r="A799" s="9"/>
      <c r="B799" s="139"/>
      <c r="C799" s="139"/>
      <c r="D799" s="139"/>
      <c r="E799" s="139"/>
      <c r="F799" s="139"/>
      <c r="G799" s="139"/>
      <c r="H799" s="139"/>
      <c r="I799" s="139"/>
      <c r="J799" s="139"/>
      <c r="K799" s="139"/>
      <c r="L799" s="139"/>
      <c r="M799" s="139"/>
      <c r="N799" s="139"/>
      <c r="O799" s="139"/>
      <c r="P799" s="139"/>
      <c r="Q799" s="139"/>
      <c r="R799" s="139"/>
      <c r="S799" s="139"/>
      <c r="T799" s="139"/>
      <c r="U799" s="139"/>
      <c r="V799" s="139"/>
      <c r="W799" s="139"/>
      <c r="X799" s="139"/>
      <c r="Y799" s="139"/>
      <c r="Z799" s="139"/>
      <c r="AA799" s="139"/>
      <c r="AB799" s="139"/>
      <c r="AC799" s="139"/>
      <c r="AD799" s="139"/>
      <c r="AE799" s="139"/>
      <c r="AF799" s="139"/>
      <c r="AG799" s="139"/>
      <c r="AH799" s="139"/>
      <c r="AI799" s="139"/>
      <c r="AJ799" s="139"/>
    </row>
    <row r="800">
      <c r="A800" s="9"/>
      <c r="B800" s="139"/>
      <c r="C800" s="139"/>
      <c r="D800" s="139"/>
      <c r="E800" s="139"/>
      <c r="F800" s="139"/>
      <c r="G800" s="139"/>
      <c r="H800" s="139"/>
      <c r="I800" s="139"/>
      <c r="J800" s="139"/>
      <c r="K800" s="139"/>
      <c r="L800" s="139"/>
      <c r="M800" s="139"/>
      <c r="N800" s="139"/>
      <c r="O800" s="139"/>
      <c r="P800" s="139"/>
      <c r="Q800" s="139"/>
      <c r="R800" s="139"/>
      <c r="S800" s="139"/>
      <c r="T800" s="139"/>
      <c r="U800" s="139"/>
      <c r="V800" s="139"/>
      <c r="W800" s="139"/>
      <c r="X800" s="139"/>
      <c r="Y800" s="139"/>
      <c r="Z800" s="139"/>
      <c r="AA800" s="139"/>
      <c r="AB800" s="139"/>
      <c r="AC800" s="139"/>
      <c r="AD800" s="139"/>
      <c r="AE800" s="139"/>
      <c r="AF800" s="139"/>
      <c r="AG800" s="139"/>
      <c r="AH800" s="139"/>
      <c r="AI800" s="139"/>
      <c r="AJ800" s="139"/>
    </row>
    <row r="801">
      <c r="A801" s="9"/>
      <c r="B801" s="139"/>
      <c r="C801" s="139"/>
      <c r="D801" s="139"/>
      <c r="E801" s="139"/>
      <c r="F801" s="139"/>
      <c r="G801" s="139"/>
      <c r="H801" s="139"/>
      <c r="I801" s="139"/>
      <c r="J801" s="139"/>
      <c r="K801" s="139"/>
      <c r="L801" s="139"/>
      <c r="M801" s="139"/>
      <c r="N801" s="139"/>
      <c r="O801" s="139"/>
      <c r="P801" s="139"/>
      <c r="Q801" s="139"/>
      <c r="R801" s="139"/>
      <c r="S801" s="139"/>
      <c r="T801" s="139"/>
      <c r="U801" s="139"/>
      <c r="V801" s="139"/>
      <c r="W801" s="139"/>
      <c r="X801" s="139"/>
      <c r="Y801" s="139"/>
      <c r="Z801" s="139"/>
      <c r="AA801" s="139"/>
      <c r="AB801" s="139"/>
      <c r="AC801" s="139"/>
      <c r="AD801" s="139"/>
      <c r="AE801" s="139"/>
      <c r="AF801" s="139"/>
      <c r="AG801" s="139"/>
      <c r="AH801" s="139"/>
      <c r="AI801" s="139"/>
      <c r="AJ801" s="139"/>
    </row>
    <row r="802">
      <c r="A802" s="9"/>
      <c r="B802" s="139"/>
      <c r="C802" s="139"/>
      <c r="D802" s="139"/>
      <c r="E802" s="139"/>
      <c r="F802" s="139"/>
      <c r="G802" s="139"/>
      <c r="H802" s="139"/>
      <c r="I802" s="139"/>
      <c r="J802" s="139"/>
      <c r="K802" s="139"/>
      <c r="L802" s="139"/>
      <c r="M802" s="139"/>
      <c r="N802" s="139"/>
      <c r="O802" s="139"/>
      <c r="P802" s="139"/>
      <c r="Q802" s="139"/>
      <c r="R802" s="139"/>
      <c r="S802" s="139"/>
      <c r="T802" s="139"/>
      <c r="U802" s="139"/>
      <c r="V802" s="139"/>
      <c r="W802" s="139"/>
      <c r="X802" s="139"/>
      <c r="Y802" s="139"/>
      <c r="Z802" s="139"/>
      <c r="AA802" s="139"/>
      <c r="AB802" s="139"/>
      <c r="AC802" s="139"/>
      <c r="AD802" s="139"/>
      <c r="AE802" s="139"/>
      <c r="AF802" s="139"/>
      <c r="AG802" s="139"/>
      <c r="AH802" s="139"/>
      <c r="AI802" s="139"/>
      <c r="AJ802" s="139"/>
    </row>
    <row r="803">
      <c r="A803" s="9"/>
      <c r="B803" s="139"/>
      <c r="C803" s="139"/>
      <c r="D803" s="139"/>
      <c r="E803" s="139"/>
      <c r="F803" s="139"/>
      <c r="G803" s="139"/>
      <c r="H803" s="139"/>
      <c r="I803" s="139"/>
      <c r="J803" s="139"/>
      <c r="K803" s="139"/>
      <c r="L803" s="139"/>
      <c r="M803" s="139"/>
      <c r="N803" s="139"/>
      <c r="O803" s="139"/>
      <c r="P803" s="139"/>
      <c r="Q803" s="139"/>
      <c r="R803" s="139"/>
      <c r="S803" s="139"/>
      <c r="T803" s="139"/>
      <c r="U803" s="139"/>
      <c r="V803" s="139"/>
      <c r="W803" s="139"/>
      <c r="X803" s="139"/>
      <c r="Y803" s="139"/>
      <c r="Z803" s="139"/>
      <c r="AA803" s="139"/>
      <c r="AB803" s="139"/>
      <c r="AC803" s="139"/>
      <c r="AD803" s="139"/>
      <c r="AE803" s="139"/>
      <c r="AF803" s="139"/>
      <c r="AG803" s="139"/>
      <c r="AH803" s="139"/>
      <c r="AI803" s="139"/>
      <c r="AJ803" s="139"/>
    </row>
    <row r="804">
      <c r="A804" s="9"/>
      <c r="B804" s="139"/>
      <c r="C804" s="139"/>
      <c r="D804" s="139"/>
      <c r="E804" s="139"/>
      <c r="F804" s="139"/>
      <c r="G804" s="139"/>
      <c r="H804" s="139"/>
      <c r="I804" s="139"/>
      <c r="J804" s="139"/>
      <c r="K804" s="139"/>
      <c r="L804" s="139"/>
      <c r="M804" s="139"/>
      <c r="N804" s="139"/>
      <c r="O804" s="139"/>
      <c r="P804" s="139"/>
      <c r="Q804" s="139"/>
      <c r="R804" s="139"/>
      <c r="S804" s="139"/>
      <c r="T804" s="139"/>
      <c r="U804" s="139"/>
      <c r="V804" s="139"/>
      <c r="W804" s="139"/>
      <c r="X804" s="139"/>
      <c r="Y804" s="139"/>
      <c r="Z804" s="139"/>
      <c r="AA804" s="139"/>
      <c r="AB804" s="139"/>
      <c r="AC804" s="139"/>
      <c r="AD804" s="139"/>
      <c r="AE804" s="139"/>
      <c r="AF804" s="139"/>
      <c r="AG804" s="139"/>
      <c r="AH804" s="139"/>
      <c r="AI804" s="139"/>
      <c r="AJ804" s="139"/>
    </row>
    <row r="805">
      <c r="A805" s="9"/>
      <c r="B805" s="139"/>
      <c r="C805" s="139"/>
      <c r="D805" s="139"/>
      <c r="E805" s="139"/>
      <c r="F805" s="139"/>
      <c r="G805" s="139"/>
      <c r="H805" s="139"/>
      <c r="I805" s="139"/>
      <c r="J805" s="139"/>
      <c r="K805" s="139"/>
      <c r="L805" s="139"/>
      <c r="M805" s="139"/>
      <c r="N805" s="139"/>
      <c r="O805" s="139"/>
      <c r="P805" s="139"/>
      <c r="Q805" s="139"/>
      <c r="R805" s="139"/>
      <c r="S805" s="139"/>
      <c r="T805" s="139"/>
      <c r="U805" s="139"/>
      <c r="V805" s="139"/>
      <c r="W805" s="139"/>
      <c r="X805" s="139"/>
      <c r="Y805" s="139"/>
      <c r="Z805" s="139"/>
      <c r="AA805" s="139"/>
      <c r="AB805" s="139"/>
      <c r="AC805" s="139"/>
      <c r="AD805" s="139"/>
      <c r="AE805" s="139"/>
      <c r="AF805" s="139"/>
      <c r="AG805" s="139"/>
      <c r="AH805" s="139"/>
      <c r="AI805" s="139"/>
      <c r="AJ805" s="139"/>
    </row>
    <row r="806">
      <c r="A806" s="9"/>
      <c r="B806" s="139"/>
      <c r="C806" s="139"/>
      <c r="D806" s="139"/>
      <c r="E806" s="139"/>
      <c r="F806" s="139"/>
      <c r="G806" s="139"/>
      <c r="H806" s="139"/>
      <c r="I806" s="139"/>
      <c r="J806" s="139"/>
      <c r="K806" s="139"/>
      <c r="L806" s="139"/>
      <c r="M806" s="139"/>
      <c r="N806" s="139"/>
      <c r="O806" s="139"/>
      <c r="P806" s="139"/>
      <c r="Q806" s="139"/>
      <c r="R806" s="139"/>
      <c r="S806" s="139"/>
      <c r="T806" s="139"/>
      <c r="U806" s="139"/>
      <c r="V806" s="139"/>
      <c r="W806" s="139"/>
      <c r="X806" s="139"/>
      <c r="Y806" s="139"/>
      <c r="Z806" s="139"/>
      <c r="AA806" s="139"/>
      <c r="AB806" s="139"/>
      <c r="AC806" s="139"/>
      <c r="AD806" s="139"/>
      <c r="AE806" s="139"/>
      <c r="AF806" s="139"/>
      <c r="AG806" s="139"/>
      <c r="AH806" s="139"/>
      <c r="AI806" s="139"/>
      <c r="AJ806" s="139"/>
    </row>
    <row r="807">
      <c r="A807" s="9"/>
      <c r="B807" s="139"/>
      <c r="C807" s="139"/>
      <c r="D807" s="139"/>
      <c r="E807" s="139"/>
      <c r="F807" s="139"/>
      <c r="G807" s="139"/>
      <c r="H807" s="139"/>
      <c r="I807" s="139"/>
      <c r="J807" s="139"/>
      <c r="K807" s="139"/>
      <c r="L807" s="139"/>
      <c r="M807" s="139"/>
      <c r="N807" s="139"/>
      <c r="O807" s="139"/>
      <c r="P807" s="139"/>
      <c r="Q807" s="139"/>
      <c r="R807" s="139"/>
      <c r="S807" s="139"/>
      <c r="T807" s="139"/>
      <c r="U807" s="139"/>
      <c r="V807" s="139"/>
      <c r="W807" s="139"/>
      <c r="X807" s="139"/>
      <c r="Y807" s="139"/>
      <c r="Z807" s="139"/>
      <c r="AA807" s="139"/>
      <c r="AB807" s="139"/>
      <c r="AC807" s="139"/>
      <c r="AD807" s="139"/>
      <c r="AE807" s="139"/>
      <c r="AF807" s="139"/>
      <c r="AG807" s="139"/>
      <c r="AH807" s="139"/>
      <c r="AI807" s="139"/>
      <c r="AJ807" s="139"/>
    </row>
    <row r="808">
      <c r="A808" s="9"/>
      <c r="B808" s="139"/>
      <c r="C808" s="139"/>
      <c r="D808" s="139"/>
      <c r="E808" s="139"/>
      <c r="F808" s="139"/>
      <c r="G808" s="139"/>
      <c r="H808" s="139"/>
      <c r="I808" s="139"/>
      <c r="J808" s="139"/>
      <c r="K808" s="139"/>
      <c r="L808" s="139"/>
      <c r="M808" s="139"/>
      <c r="N808" s="139"/>
      <c r="O808" s="139"/>
      <c r="P808" s="139"/>
      <c r="Q808" s="139"/>
      <c r="R808" s="139"/>
      <c r="S808" s="139"/>
      <c r="T808" s="139"/>
      <c r="U808" s="139"/>
      <c r="V808" s="139"/>
      <c r="W808" s="139"/>
      <c r="X808" s="139"/>
      <c r="Y808" s="139"/>
      <c r="Z808" s="139"/>
      <c r="AA808" s="139"/>
      <c r="AB808" s="139"/>
      <c r="AC808" s="139"/>
      <c r="AD808" s="139"/>
      <c r="AE808" s="139"/>
      <c r="AF808" s="139"/>
      <c r="AG808" s="139"/>
      <c r="AH808" s="139"/>
      <c r="AI808" s="139"/>
      <c r="AJ808" s="139"/>
    </row>
    <row r="809">
      <c r="A809" s="9"/>
      <c r="B809" s="139"/>
      <c r="C809" s="139"/>
      <c r="D809" s="139"/>
      <c r="E809" s="139"/>
      <c r="F809" s="139"/>
      <c r="G809" s="139"/>
      <c r="H809" s="139"/>
      <c r="I809" s="139"/>
      <c r="J809" s="139"/>
      <c r="K809" s="139"/>
      <c r="L809" s="139"/>
      <c r="M809" s="139"/>
      <c r="N809" s="139"/>
      <c r="O809" s="139"/>
      <c r="P809" s="139"/>
      <c r="Q809" s="139"/>
      <c r="R809" s="139"/>
      <c r="S809" s="139"/>
      <c r="T809" s="139"/>
      <c r="U809" s="139"/>
      <c r="V809" s="139"/>
      <c r="W809" s="139"/>
      <c r="X809" s="139"/>
      <c r="Y809" s="139"/>
      <c r="Z809" s="139"/>
      <c r="AA809" s="139"/>
      <c r="AB809" s="139"/>
      <c r="AC809" s="139"/>
      <c r="AD809" s="139"/>
      <c r="AE809" s="139"/>
      <c r="AF809" s="139"/>
      <c r="AG809" s="139"/>
      <c r="AH809" s="139"/>
      <c r="AI809" s="139"/>
      <c r="AJ809" s="139"/>
    </row>
    <row r="810">
      <c r="A810" s="9"/>
      <c r="B810" s="139"/>
      <c r="C810" s="139"/>
      <c r="D810" s="139"/>
      <c r="E810" s="139"/>
      <c r="F810" s="139"/>
      <c r="G810" s="139"/>
      <c r="H810" s="139"/>
      <c r="I810" s="139"/>
      <c r="J810" s="139"/>
      <c r="K810" s="139"/>
      <c r="L810" s="139"/>
      <c r="M810" s="139"/>
      <c r="N810" s="139"/>
      <c r="O810" s="139"/>
      <c r="P810" s="139"/>
      <c r="Q810" s="139"/>
      <c r="R810" s="139"/>
      <c r="S810" s="139"/>
      <c r="T810" s="139"/>
      <c r="U810" s="139"/>
      <c r="V810" s="139"/>
      <c r="W810" s="139"/>
      <c r="X810" s="139"/>
      <c r="Y810" s="139"/>
      <c r="Z810" s="139"/>
      <c r="AA810" s="139"/>
      <c r="AB810" s="139"/>
      <c r="AC810" s="139"/>
      <c r="AD810" s="139"/>
      <c r="AE810" s="139"/>
      <c r="AF810" s="139"/>
      <c r="AG810" s="139"/>
      <c r="AH810" s="139"/>
      <c r="AI810" s="139"/>
      <c r="AJ810" s="139"/>
    </row>
    <row r="811">
      <c r="A811" s="9"/>
      <c r="B811" s="139"/>
      <c r="C811" s="139"/>
      <c r="D811" s="139"/>
      <c r="E811" s="139"/>
      <c r="F811" s="139"/>
      <c r="G811" s="139"/>
      <c r="H811" s="139"/>
      <c r="I811" s="139"/>
      <c r="J811" s="139"/>
      <c r="K811" s="139"/>
      <c r="L811" s="139"/>
      <c r="M811" s="139"/>
      <c r="N811" s="139"/>
      <c r="O811" s="139"/>
      <c r="P811" s="139"/>
      <c r="Q811" s="139"/>
      <c r="R811" s="139"/>
      <c r="S811" s="139"/>
      <c r="T811" s="139"/>
      <c r="U811" s="139"/>
      <c r="V811" s="139"/>
      <c r="W811" s="139"/>
      <c r="X811" s="139"/>
      <c r="Y811" s="139"/>
      <c r="Z811" s="139"/>
      <c r="AA811" s="139"/>
      <c r="AB811" s="139"/>
      <c r="AC811" s="139"/>
      <c r="AD811" s="139"/>
      <c r="AE811" s="139"/>
      <c r="AF811" s="139"/>
      <c r="AG811" s="139"/>
      <c r="AH811" s="139"/>
      <c r="AI811" s="139"/>
      <c r="AJ811" s="139"/>
    </row>
    <row r="812">
      <c r="A812" s="9"/>
      <c r="B812" s="139"/>
      <c r="C812" s="139"/>
      <c r="D812" s="139"/>
      <c r="E812" s="139"/>
      <c r="F812" s="139"/>
      <c r="G812" s="139"/>
      <c r="H812" s="139"/>
      <c r="I812" s="139"/>
      <c r="J812" s="139"/>
      <c r="K812" s="139"/>
      <c r="L812" s="139"/>
      <c r="M812" s="139"/>
      <c r="N812" s="139"/>
      <c r="O812" s="139"/>
      <c r="P812" s="139"/>
      <c r="Q812" s="139"/>
      <c r="R812" s="139"/>
      <c r="S812" s="139"/>
      <c r="T812" s="139"/>
      <c r="U812" s="139"/>
      <c r="V812" s="139"/>
      <c r="W812" s="139"/>
      <c r="X812" s="139"/>
      <c r="Y812" s="139"/>
      <c r="Z812" s="139"/>
      <c r="AA812" s="139"/>
      <c r="AB812" s="139"/>
      <c r="AC812" s="139"/>
      <c r="AD812" s="139"/>
      <c r="AE812" s="139"/>
      <c r="AF812" s="139"/>
      <c r="AG812" s="139"/>
      <c r="AH812" s="139"/>
      <c r="AI812" s="139"/>
      <c r="AJ812" s="139"/>
    </row>
    <row r="813">
      <c r="A813" s="9"/>
      <c r="B813" s="139"/>
      <c r="C813" s="139"/>
      <c r="D813" s="139"/>
      <c r="E813" s="139"/>
      <c r="F813" s="139"/>
      <c r="G813" s="139"/>
      <c r="H813" s="139"/>
      <c r="I813" s="139"/>
      <c r="J813" s="139"/>
      <c r="K813" s="139"/>
      <c r="L813" s="139"/>
      <c r="M813" s="139"/>
      <c r="N813" s="139"/>
      <c r="O813" s="139"/>
      <c r="P813" s="139"/>
      <c r="Q813" s="139"/>
      <c r="R813" s="139"/>
      <c r="S813" s="139"/>
      <c r="T813" s="139"/>
      <c r="U813" s="139"/>
      <c r="V813" s="139"/>
      <c r="W813" s="139"/>
      <c r="X813" s="139"/>
      <c r="Y813" s="139"/>
      <c r="Z813" s="139"/>
      <c r="AA813" s="139"/>
      <c r="AB813" s="139"/>
      <c r="AC813" s="139"/>
      <c r="AD813" s="139"/>
      <c r="AE813" s="139"/>
      <c r="AF813" s="139"/>
      <c r="AG813" s="139"/>
      <c r="AH813" s="139"/>
      <c r="AI813" s="139"/>
      <c r="AJ813" s="139"/>
    </row>
    <row r="814">
      <c r="A814" s="9"/>
      <c r="B814" s="139"/>
      <c r="C814" s="139"/>
      <c r="D814" s="139"/>
      <c r="E814" s="139"/>
      <c r="F814" s="139"/>
      <c r="G814" s="139"/>
      <c r="H814" s="139"/>
      <c r="I814" s="139"/>
      <c r="J814" s="139"/>
      <c r="K814" s="139"/>
      <c r="L814" s="139"/>
      <c r="M814" s="139"/>
      <c r="N814" s="139"/>
      <c r="O814" s="139"/>
      <c r="P814" s="139"/>
      <c r="Q814" s="139"/>
      <c r="R814" s="139"/>
      <c r="S814" s="139"/>
      <c r="T814" s="139"/>
      <c r="U814" s="139"/>
      <c r="V814" s="139"/>
      <c r="W814" s="139"/>
      <c r="X814" s="139"/>
      <c r="Y814" s="139"/>
      <c r="Z814" s="139"/>
      <c r="AA814" s="139"/>
      <c r="AB814" s="139"/>
      <c r="AC814" s="139"/>
      <c r="AD814" s="139"/>
      <c r="AE814" s="139"/>
      <c r="AF814" s="139"/>
      <c r="AG814" s="139"/>
      <c r="AH814" s="139"/>
      <c r="AI814" s="139"/>
      <c r="AJ814" s="139"/>
    </row>
    <row r="815">
      <c r="A815" s="9"/>
      <c r="B815" s="139"/>
      <c r="C815" s="139"/>
      <c r="D815" s="139"/>
      <c r="E815" s="139"/>
      <c r="F815" s="139"/>
      <c r="G815" s="139"/>
      <c r="H815" s="139"/>
      <c r="I815" s="139"/>
      <c r="J815" s="139"/>
      <c r="K815" s="139"/>
      <c r="L815" s="139"/>
      <c r="M815" s="139"/>
      <c r="N815" s="139"/>
      <c r="O815" s="139"/>
      <c r="P815" s="139"/>
      <c r="Q815" s="139"/>
      <c r="R815" s="139"/>
      <c r="S815" s="139"/>
      <c r="T815" s="139"/>
      <c r="U815" s="139"/>
      <c r="V815" s="139"/>
      <c r="W815" s="139"/>
      <c r="X815" s="139"/>
      <c r="Y815" s="139"/>
      <c r="Z815" s="139"/>
      <c r="AA815" s="139"/>
      <c r="AB815" s="139"/>
      <c r="AC815" s="139"/>
      <c r="AD815" s="139"/>
      <c r="AE815" s="139"/>
      <c r="AF815" s="139"/>
      <c r="AG815" s="139"/>
      <c r="AH815" s="139"/>
      <c r="AI815" s="139"/>
      <c r="AJ815" s="139"/>
    </row>
    <row r="816">
      <c r="A816" s="9"/>
      <c r="B816" s="139"/>
      <c r="C816" s="139"/>
      <c r="D816" s="139"/>
      <c r="E816" s="139"/>
      <c r="F816" s="139"/>
      <c r="G816" s="139"/>
      <c r="H816" s="139"/>
      <c r="I816" s="139"/>
      <c r="J816" s="139"/>
      <c r="K816" s="139"/>
      <c r="L816" s="139"/>
      <c r="M816" s="139"/>
      <c r="N816" s="139"/>
      <c r="O816" s="139"/>
      <c r="P816" s="139"/>
      <c r="Q816" s="139"/>
      <c r="R816" s="139"/>
      <c r="S816" s="139"/>
      <c r="T816" s="139"/>
      <c r="U816" s="139"/>
      <c r="V816" s="139"/>
      <c r="W816" s="139"/>
      <c r="X816" s="139"/>
      <c r="Y816" s="139"/>
      <c r="Z816" s="139"/>
      <c r="AA816" s="139"/>
      <c r="AB816" s="139"/>
      <c r="AC816" s="139"/>
      <c r="AD816" s="139"/>
      <c r="AE816" s="139"/>
      <c r="AF816" s="139"/>
      <c r="AG816" s="139"/>
      <c r="AH816" s="139"/>
      <c r="AI816" s="139"/>
      <c r="AJ816" s="139"/>
    </row>
    <row r="817">
      <c r="A817" s="9"/>
      <c r="B817" s="139"/>
      <c r="C817" s="139"/>
      <c r="D817" s="139"/>
      <c r="E817" s="139"/>
      <c r="F817" s="139"/>
      <c r="G817" s="139"/>
      <c r="H817" s="139"/>
      <c r="I817" s="139"/>
      <c r="J817" s="139"/>
      <c r="K817" s="139"/>
      <c r="L817" s="139"/>
      <c r="M817" s="139"/>
      <c r="N817" s="139"/>
      <c r="O817" s="139"/>
      <c r="P817" s="139"/>
      <c r="Q817" s="139"/>
      <c r="R817" s="139"/>
      <c r="S817" s="139"/>
      <c r="T817" s="139"/>
      <c r="U817" s="139"/>
      <c r="V817" s="139"/>
      <c r="W817" s="139"/>
      <c r="X817" s="139"/>
      <c r="Y817" s="139"/>
      <c r="Z817" s="139"/>
      <c r="AA817" s="139"/>
      <c r="AB817" s="139"/>
      <c r="AC817" s="139"/>
      <c r="AD817" s="139"/>
      <c r="AE817" s="139"/>
      <c r="AF817" s="139"/>
      <c r="AG817" s="139"/>
      <c r="AH817" s="139"/>
      <c r="AI817" s="139"/>
      <c r="AJ817" s="139"/>
    </row>
    <row r="818">
      <c r="A818" s="9"/>
      <c r="B818" s="139"/>
      <c r="C818" s="139"/>
      <c r="D818" s="139"/>
      <c r="E818" s="139"/>
      <c r="F818" s="139"/>
      <c r="G818" s="139"/>
      <c r="H818" s="139"/>
      <c r="I818" s="139"/>
      <c r="J818" s="139"/>
      <c r="K818" s="139"/>
      <c r="L818" s="139"/>
      <c r="M818" s="139"/>
      <c r="N818" s="139"/>
      <c r="O818" s="139"/>
      <c r="P818" s="139"/>
      <c r="Q818" s="139"/>
      <c r="R818" s="139"/>
      <c r="S818" s="139"/>
      <c r="T818" s="139"/>
      <c r="U818" s="139"/>
      <c r="V818" s="139"/>
      <c r="W818" s="139"/>
      <c r="X818" s="139"/>
      <c r="Y818" s="139"/>
      <c r="Z818" s="139"/>
      <c r="AA818" s="139"/>
      <c r="AB818" s="139"/>
      <c r="AC818" s="139"/>
      <c r="AD818" s="139"/>
      <c r="AE818" s="139"/>
      <c r="AF818" s="139"/>
      <c r="AG818" s="139"/>
      <c r="AH818" s="139"/>
      <c r="AI818" s="139"/>
      <c r="AJ818" s="139"/>
    </row>
    <row r="819">
      <c r="A819" s="9"/>
      <c r="B819" s="139"/>
      <c r="C819" s="139"/>
      <c r="D819" s="139"/>
      <c r="E819" s="139"/>
      <c r="F819" s="139"/>
      <c r="G819" s="139"/>
      <c r="H819" s="139"/>
      <c r="I819" s="139"/>
      <c r="J819" s="139"/>
      <c r="K819" s="139"/>
      <c r="L819" s="139"/>
      <c r="M819" s="139"/>
      <c r="N819" s="139"/>
      <c r="O819" s="139"/>
      <c r="P819" s="139"/>
      <c r="Q819" s="139"/>
      <c r="R819" s="139"/>
      <c r="S819" s="139"/>
      <c r="T819" s="139"/>
      <c r="U819" s="139"/>
      <c r="V819" s="139"/>
      <c r="W819" s="139"/>
      <c r="X819" s="139"/>
      <c r="Y819" s="139"/>
      <c r="Z819" s="139"/>
      <c r="AA819" s="139"/>
      <c r="AB819" s="139"/>
      <c r="AC819" s="139"/>
      <c r="AD819" s="139"/>
      <c r="AE819" s="139"/>
      <c r="AF819" s="139"/>
      <c r="AG819" s="139"/>
      <c r="AH819" s="139"/>
      <c r="AI819" s="139"/>
      <c r="AJ819" s="139"/>
    </row>
    <row r="820">
      <c r="A820" s="9"/>
      <c r="B820" s="139"/>
      <c r="C820" s="139"/>
      <c r="D820" s="139"/>
      <c r="E820" s="139"/>
      <c r="F820" s="139"/>
      <c r="G820" s="139"/>
      <c r="H820" s="139"/>
      <c r="I820" s="139"/>
      <c r="J820" s="139"/>
      <c r="K820" s="139"/>
      <c r="L820" s="139"/>
      <c r="M820" s="139"/>
      <c r="N820" s="139"/>
      <c r="O820" s="139"/>
      <c r="P820" s="139"/>
      <c r="Q820" s="139"/>
      <c r="R820" s="139"/>
      <c r="S820" s="139"/>
      <c r="T820" s="139"/>
      <c r="U820" s="139"/>
      <c r="V820" s="139"/>
      <c r="W820" s="139"/>
      <c r="X820" s="139"/>
      <c r="Y820" s="139"/>
      <c r="Z820" s="139"/>
      <c r="AA820" s="139"/>
      <c r="AB820" s="139"/>
      <c r="AC820" s="139"/>
      <c r="AD820" s="139"/>
      <c r="AE820" s="139"/>
      <c r="AF820" s="139"/>
      <c r="AG820" s="139"/>
      <c r="AH820" s="139"/>
      <c r="AI820" s="139"/>
      <c r="AJ820" s="139"/>
    </row>
    <row r="821">
      <c r="A821" s="9"/>
      <c r="B821" s="139"/>
      <c r="C821" s="139"/>
      <c r="D821" s="139"/>
      <c r="E821" s="139"/>
      <c r="F821" s="139"/>
      <c r="G821" s="139"/>
      <c r="H821" s="139"/>
      <c r="I821" s="139"/>
      <c r="J821" s="139"/>
      <c r="K821" s="139"/>
      <c r="L821" s="139"/>
      <c r="M821" s="139"/>
      <c r="N821" s="139"/>
      <c r="O821" s="139"/>
      <c r="P821" s="139"/>
      <c r="Q821" s="139"/>
      <c r="R821" s="139"/>
      <c r="S821" s="139"/>
      <c r="T821" s="139"/>
      <c r="U821" s="139"/>
      <c r="V821" s="139"/>
      <c r="W821" s="139"/>
      <c r="X821" s="139"/>
      <c r="Y821" s="139"/>
      <c r="Z821" s="139"/>
      <c r="AA821" s="139"/>
      <c r="AB821" s="139"/>
      <c r="AC821" s="139"/>
      <c r="AD821" s="139"/>
      <c r="AE821" s="139"/>
      <c r="AF821" s="139"/>
      <c r="AG821" s="139"/>
      <c r="AH821" s="139"/>
      <c r="AI821" s="139"/>
      <c r="AJ821" s="139"/>
    </row>
    <row r="822">
      <c r="A822" s="9"/>
      <c r="B822" s="139"/>
      <c r="C822" s="139"/>
      <c r="D822" s="139"/>
      <c r="E822" s="139"/>
      <c r="F822" s="139"/>
      <c r="G822" s="139"/>
      <c r="H822" s="139"/>
      <c r="I822" s="139"/>
      <c r="J822" s="139"/>
      <c r="K822" s="139"/>
      <c r="L822" s="139"/>
      <c r="M822" s="139"/>
      <c r="N822" s="139"/>
      <c r="O822" s="139"/>
      <c r="P822" s="139"/>
      <c r="Q822" s="139"/>
      <c r="R822" s="139"/>
      <c r="S822" s="139"/>
      <c r="T822" s="139"/>
      <c r="U822" s="139"/>
      <c r="V822" s="139"/>
      <c r="W822" s="139"/>
      <c r="X822" s="139"/>
      <c r="Y822" s="139"/>
      <c r="Z822" s="139"/>
      <c r="AA822" s="139"/>
      <c r="AB822" s="139"/>
      <c r="AC822" s="139"/>
      <c r="AD822" s="139"/>
      <c r="AE822" s="139"/>
      <c r="AF822" s="139"/>
      <c r="AG822" s="139"/>
      <c r="AH822" s="139"/>
      <c r="AI822" s="139"/>
      <c r="AJ822" s="139"/>
    </row>
    <row r="823">
      <c r="A823" s="9"/>
      <c r="B823" s="139"/>
      <c r="C823" s="139"/>
      <c r="D823" s="139"/>
      <c r="E823" s="139"/>
      <c r="F823" s="139"/>
      <c r="G823" s="139"/>
      <c r="H823" s="139"/>
      <c r="I823" s="139"/>
      <c r="J823" s="139"/>
      <c r="K823" s="139"/>
      <c r="L823" s="139"/>
      <c r="M823" s="139"/>
      <c r="N823" s="139"/>
      <c r="O823" s="139"/>
      <c r="P823" s="139"/>
      <c r="Q823" s="139"/>
      <c r="R823" s="139"/>
      <c r="S823" s="139"/>
      <c r="T823" s="139"/>
      <c r="U823" s="139"/>
      <c r="V823" s="139"/>
      <c r="W823" s="139"/>
      <c r="X823" s="139"/>
      <c r="Y823" s="139"/>
      <c r="Z823" s="139"/>
      <c r="AA823" s="139"/>
      <c r="AB823" s="139"/>
      <c r="AC823" s="139"/>
      <c r="AD823" s="139"/>
      <c r="AE823" s="139"/>
      <c r="AF823" s="139"/>
      <c r="AG823" s="139"/>
      <c r="AH823" s="139"/>
      <c r="AI823" s="139"/>
      <c r="AJ823" s="139"/>
    </row>
    <row r="824">
      <c r="A824" s="9"/>
      <c r="B824" s="139"/>
      <c r="C824" s="139"/>
      <c r="D824" s="139"/>
      <c r="E824" s="139"/>
      <c r="F824" s="139"/>
      <c r="G824" s="139"/>
      <c r="H824" s="139"/>
      <c r="I824" s="139"/>
      <c r="J824" s="139"/>
      <c r="K824" s="139"/>
      <c r="L824" s="139"/>
      <c r="M824" s="139"/>
      <c r="N824" s="139"/>
      <c r="O824" s="139"/>
      <c r="P824" s="139"/>
      <c r="Q824" s="139"/>
      <c r="R824" s="139"/>
      <c r="S824" s="139"/>
      <c r="T824" s="139"/>
      <c r="U824" s="139"/>
      <c r="V824" s="139"/>
      <c r="W824" s="139"/>
      <c r="X824" s="139"/>
      <c r="Y824" s="139"/>
      <c r="Z824" s="139"/>
      <c r="AA824" s="139"/>
      <c r="AB824" s="139"/>
      <c r="AC824" s="139"/>
      <c r="AD824" s="139"/>
      <c r="AE824" s="139"/>
      <c r="AF824" s="139"/>
      <c r="AG824" s="139"/>
      <c r="AH824" s="139"/>
      <c r="AI824" s="139"/>
      <c r="AJ824" s="139"/>
    </row>
    <row r="825">
      <c r="A825" s="9"/>
      <c r="B825" s="139"/>
      <c r="C825" s="139"/>
      <c r="D825" s="139"/>
      <c r="E825" s="139"/>
      <c r="F825" s="139"/>
      <c r="G825" s="139"/>
      <c r="H825" s="139"/>
      <c r="I825" s="139"/>
      <c r="J825" s="139"/>
      <c r="K825" s="139"/>
      <c r="L825" s="139"/>
      <c r="M825" s="139"/>
      <c r="N825" s="139"/>
      <c r="O825" s="139"/>
      <c r="P825" s="139"/>
      <c r="Q825" s="139"/>
      <c r="R825" s="139"/>
      <c r="S825" s="139"/>
      <c r="T825" s="139"/>
      <c r="U825" s="139"/>
      <c r="V825" s="139"/>
      <c r="W825" s="139"/>
      <c r="X825" s="139"/>
      <c r="Y825" s="139"/>
      <c r="Z825" s="139"/>
      <c r="AA825" s="139"/>
      <c r="AB825" s="139"/>
      <c r="AC825" s="139"/>
      <c r="AD825" s="139"/>
      <c r="AE825" s="139"/>
      <c r="AF825" s="139"/>
      <c r="AG825" s="139"/>
      <c r="AH825" s="139"/>
      <c r="AI825" s="139"/>
      <c r="AJ825" s="139"/>
    </row>
    <row r="826">
      <c r="A826" s="9"/>
      <c r="B826" s="139"/>
      <c r="C826" s="139"/>
      <c r="D826" s="139"/>
      <c r="E826" s="139"/>
      <c r="F826" s="139"/>
      <c r="G826" s="139"/>
      <c r="H826" s="139"/>
      <c r="I826" s="139"/>
      <c r="J826" s="139"/>
      <c r="K826" s="139"/>
      <c r="L826" s="139"/>
      <c r="M826" s="139"/>
      <c r="N826" s="139"/>
      <c r="O826" s="139"/>
      <c r="P826" s="139"/>
      <c r="Q826" s="139"/>
      <c r="R826" s="139"/>
      <c r="S826" s="139"/>
      <c r="T826" s="139"/>
      <c r="U826" s="139"/>
      <c r="V826" s="139"/>
      <c r="W826" s="139"/>
      <c r="X826" s="139"/>
      <c r="Y826" s="139"/>
      <c r="Z826" s="139"/>
      <c r="AA826" s="139"/>
      <c r="AB826" s="139"/>
      <c r="AC826" s="139"/>
      <c r="AD826" s="139"/>
      <c r="AE826" s="139"/>
      <c r="AF826" s="139"/>
      <c r="AG826" s="139"/>
      <c r="AH826" s="139"/>
      <c r="AI826" s="139"/>
      <c r="AJ826" s="139"/>
    </row>
    <row r="827">
      <c r="A827" s="9"/>
      <c r="B827" s="139"/>
      <c r="C827" s="139"/>
      <c r="D827" s="139"/>
      <c r="E827" s="139"/>
      <c r="F827" s="139"/>
      <c r="G827" s="139"/>
      <c r="H827" s="139"/>
      <c r="I827" s="139"/>
      <c r="J827" s="139"/>
      <c r="K827" s="139"/>
      <c r="L827" s="139"/>
      <c r="M827" s="139"/>
      <c r="N827" s="139"/>
      <c r="O827" s="139"/>
      <c r="P827" s="139"/>
      <c r="Q827" s="139"/>
      <c r="R827" s="139"/>
      <c r="S827" s="139"/>
      <c r="T827" s="139"/>
      <c r="U827" s="139"/>
      <c r="V827" s="139"/>
      <c r="W827" s="139"/>
      <c r="X827" s="139"/>
      <c r="Y827" s="139"/>
      <c r="Z827" s="139"/>
      <c r="AA827" s="139"/>
      <c r="AB827" s="139"/>
      <c r="AC827" s="139"/>
      <c r="AD827" s="139"/>
      <c r="AE827" s="139"/>
      <c r="AF827" s="139"/>
      <c r="AG827" s="139"/>
      <c r="AH827" s="139"/>
      <c r="AI827" s="139"/>
      <c r="AJ827" s="139"/>
    </row>
    <row r="828">
      <c r="A828" s="9"/>
      <c r="B828" s="139"/>
      <c r="C828" s="139"/>
      <c r="D828" s="139"/>
      <c r="E828" s="139"/>
      <c r="F828" s="139"/>
      <c r="G828" s="139"/>
      <c r="H828" s="139"/>
      <c r="I828" s="139"/>
      <c r="J828" s="139"/>
      <c r="K828" s="139"/>
      <c r="L828" s="139"/>
      <c r="M828" s="139"/>
      <c r="N828" s="139"/>
      <c r="O828" s="139"/>
      <c r="P828" s="139"/>
      <c r="Q828" s="139"/>
      <c r="R828" s="139"/>
      <c r="S828" s="139"/>
      <c r="T828" s="139"/>
      <c r="U828" s="139"/>
      <c r="V828" s="139"/>
      <c r="W828" s="139"/>
      <c r="X828" s="139"/>
      <c r="Y828" s="139"/>
      <c r="Z828" s="139"/>
      <c r="AA828" s="139"/>
      <c r="AB828" s="139"/>
      <c r="AC828" s="139"/>
      <c r="AD828" s="139"/>
      <c r="AE828" s="139"/>
      <c r="AF828" s="139"/>
      <c r="AG828" s="139"/>
      <c r="AH828" s="139"/>
      <c r="AI828" s="139"/>
      <c r="AJ828" s="139"/>
    </row>
    <row r="829">
      <c r="A829" s="9"/>
      <c r="B829" s="139"/>
      <c r="C829" s="139"/>
      <c r="D829" s="139"/>
      <c r="E829" s="139"/>
      <c r="F829" s="139"/>
      <c r="G829" s="139"/>
      <c r="H829" s="139"/>
      <c r="I829" s="139"/>
      <c r="J829" s="139"/>
      <c r="K829" s="139"/>
      <c r="L829" s="139"/>
      <c r="M829" s="139"/>
      <c r="N829" s="139"/>
      <c r="O829" s="139"/>
      <c r="P829" s="139"/>
      <c r="Q829" s="139"/>
      <c r="R829" s="139"/>
      <c r="S829" s="139"/>
      <c r="T829" s="139"/>
      <c r="U829" s="139"/>
      <c r="V829" s="139"/>
      <c r="W829" s="139"/>
      <c r="X829" s="139"/>
      <c r="Y829" s="139"/>
      <c r="Z829" s="139"/>
      <c r="AA829" s="139"/>
      <c r="AB829" s="139"/>
      <c r="AC829" s="139"/>
      <c r="AD829" s="139"/>
      <c r="AE829" s="139"/>
      <c r="AF829" s="139"/>
      <c r="AG829" s="139"/>
      <c r="AH829" s="139"/>
      <c r="AI829" s="139"/>
      <c r="AJ829" s="139"/>
    </row>
    <row r="830">
      <c r="A830" s="9"/>
      <c r="B830" s="139"/>
      <c r="C830" s="139"/>
      <c r="D830" s="139"/>
      <c r="E830" s="139"/>
      <c r="F830" s="139"/>
      <c r="G830" s="139"/>
      <c r="H830" s="139"/>
      <c r="I830" s="139"/>
      <c r="J830" s="139"/>
      <c r="K830" s="139"/>
      <c r="L830" s="139"/>
      <c r="M830" s="139"/>
      <c r="N830" s="139"/>
      <c r="O830" s="139"/>
      <c r="P830" s="139"/>
      <c r="Q830" s="139"/>
      <c r="R830" s="139"/>
      <c r="S830" s="139"/>
      <c r="T830" s="139"/>
      <c r="U830" s="139"/>
      <c r="V830" s="139"/>
      <c r="W830" s="139"/>
      <c r="X830" s="139"/>
      <c r="Y830" s="139"/>
      <c r="Z830" s="139"/>
      <c r="AA830" s="139"/>
      <c r="AB830" s="139"/>
      <c r="AC830" s="139"/>
      <c r="AD830" s="139"/>
      <c r="AE830" s="139"/>
      <c r="AF830" s="139"/>
      <c r="AG830" s="139"/>
      <c r="AH830" s="139"/>
      <c r="AI830" s="139"/>
      <c r="AJ830" s="139"/>
    </row>
    <row r="831">
      <c r="A831" s="9"/>
      <c r="B831" s="139"/>
      <c r="C831" s="139"/>
      <c r="D831" s="139"/>
      <c r="E831" s="139"/>
      <c r="F831" s="139"/>
      <c r="G831" s="139"/>
      <c r="H831" s="139"/>
      <c r="I831" s="139"/>
      <c r="J831" s="139"/>
      <c r="K831" s="139"/>
      <c r="L831" s="139"/>
      <c r="M831" s="139"/>
      <c r="N831" s="139"/>
      <c r="O831" s="139"/>
      <c r="P831" s="139"/>
      <c r="Q831" s="139"/>
      <c r="R831" s="139"/>
      <c r="S831" s="139"/>
      <c r="T831" s="139"/>
      <c r="U831" s="139"/>
      <c r="V831" s="139"/>
      <c r="W831" s="139"/>
      <c r="X831" s="139"/>
      <c r="Y831" s="139"/>
      <c r="Z831" s="139"/>
      <c r="AA831" s="139"/>
      <c r="AB831" s="139"/>
      <c r="AC831" s="139"/>
      <c r="AD831" s="139"/>
      <c r="AE831" s="139"/>
      <c r="AF831" s="139"/>
      <c r="AG831" s="139"/>
      <c r="AH831" s="139"/>
      <c r="AI831" s="139"/>
      <c r="AJ831" s="139"/>
    </row>
    <row r="832">
      <c r="A832" s="9"/>
      <c r="B832" s="139"/>
      <c r="C832" s="139"/>
      <c r="D832" s="139"/>
      <c r="E832" s="139"/>
      <c r="F832" s="139"/>
      <c r="G832" s="139"/>
      <c r="H832" s="139"/>
      <c r="I832" s="139"/>
      <c r="J832" s="139"/>
      <c r="K832" s="139"/>
      <c r="L832" s="139"/>
      <c r="M832" s="139"/>
      <c r="N832" s="139"/>
      <c r="O832" s="139"/>
      <c r="P832" s="139"/>
      <c r="Q832" s="139"/>
      <c r="R832" s="139"/>
      <c r="S832" s="139"/>
      <c r="T832" s="139"/>
      <c r="U832" s="139"/>
      <c r="V832" s="139"/>
      <c r="W832" s="139"/>
      <c r="X832" s="139"/>
      <c r="Y832" s="139"/>
      <c r="Z832" s="139"/>
      <c r="AA832" s="139"/>
      <c r="AB832" s="139"/>
      <c r="AC832" s="139"/>
      <c r="AD832" s="139"/>
      <c r="AE832" s="139"/>
      <c r="AF832" s="139"/>
      <c r="AG832" s="139"/>
      <c r="AH832" s="139"/>
      <c r="AI832" s="139"/>
      <c r="AJ832" s="139"/>
    </row>
    <row r="833">
      <c r="A833" s="9"/>
      <c r="B833" s="139"/>
      <c r="C833" s="139"/>
      <c r="D833" s="139"/>
      <c r="E833" s="139"/>
      <c r="F833" s="139"/>
      <c r="G833" s="139"/>
      <c r="H833" s="139"/>
      <c r="I833" s="139"/>
      <c r="J833" s="139"/>
      <c r="K833" s="139"/>
      <c r="L833" s="139"/>
      <c r="M833" s="139"/>
      <c r="N833" s="139"/>
      <c r="O833" s="139"/>
      <c r="P833" s="139"/>
      <c r="Q833" s="139"/>
      <c r="R833" s="139"/>
      <c r="S833" s="139"/>
      <c r="T833" s="139"/>
      <c r="U833" s="139"/>
      <c r="V833" s="139"/>
      <c r="W833" s="139"/>
      <c r="X833" s="139"/>
      <c r="Y833" s="139"/>
      <c r="Z833" s="139"/>
      <c r="AA833" s="139"/>
      <c r="AB833" s="139"/>
      <c r="AC833" s="139"/>
      <c r="AD833" s="139"/>
      <c r="AE833" s="139"/>
      <c r="AF833" s="139"/>
      <c r="AG833" s="139"/>
      <c r="AH833" s="139"/>
      <c r="AI833" s="139"/>
      <c r="AJ833" s="139"/>
    </row>
    <row r="834">
      <c r="A834" s="9"/>
      <c r="B834" s="139"/>
      <c r="C834" s="139"/>
      <c r="D834" s="139"/>
      <c r="E834" s="139"/>
      <c r="F834" s="139"/>
      <c r="G834" s="139"/>
      <c r="H834" s="139"/>
      <c r="I834" s="139"/>
      <c r="J834" s="139"/>
      <c r="K834" s="139"/>
      <c r="L834" s="139"/>
      <c r="M834" s="139"/>
      <c r="N834" s="139"/>
      <c r="O834" s="139"/>
      <c r="P834" s="139"/>
      <c r="Q834" s="139"/>
      <c r="R834" s="139"/>
      <c r="S834" s="139"/>
      <c r="T834" s="139"/>
      <c r="U834" s="139"/>
      <c r="V834" s="139"/>
      <c r="W834" s="139"/>
      <c r="X834" s="139"/>
      <c r="Y834" s="139"/>
      <c r="Z834" s="139"/>
      <c r="AA834" s="139"/>
      <c r="AB834" s="139"/>
      <c r="AC834" s="139"/>
      <c r="AD834" s="139"/>
      <c r="AE834" s="139"/>
      <c r="AF834" s="139"/>
      <c r="AG834" s="139"/>
      <c r="AH834" s="139"/>
      <c r="AI834" s="139"/>
      <c r="AJ834" s="139"/>
    </row>
    <row r="835">
      <c r="A835" s="9"/>
      <c r="B835" s="139"/>
      <c r="C835" s="139"/>
      <c r="D835" s="139"/>
      <c r="E835" s="139"/>
      <c r="F835" s="139"/>
      <c r="G835" s="139"/>
      <c r="H835" s="139"/>
      <c r="I835" s="139"/>
      <c r="J835" s="139"/>
      <c r="K835" s="139"/>
      <c r="L835" s="139"/>
      <c r="M835" s="139"/>
      <c r="N835" s="139"/>
      <c r="O835" s="139"/>
      <c r="P835" s="139"/>
      <c r="Q835" s="139"/>
      <c r="R835" s="139"/>
      <c r="S835" s="139"/>
      <c r="T835" s="139"/>
      <c r="U835" s="139"/>
      <c r="V835" s="139"/>
      <c r="W835" s="139"/>
      <c r="X835" s="139"/>
      <c r="Y835" s="139"/>
      <c r="Z835" s="139"/>
      <c r="AA835" s="139"/>
      <c r="AB835" s="139"/>
      <c r="AC835" s="139"/>
      <c r="AD835" s="139"/>
      <c r="AE835" s="139"/>
      <c r="AF835" s="139"/>
      <c r="AG835" s="139"/>
      <c r="AH835" s="139"/>
      <c r="AI835" s="139"/>
      <c r="AJ835" s="139"/>
    </row>
    <row r="836">
      <c r="A836" s="9"/>
      <c r="B836" s="139"/>
      <c r="C836" s="139"/>
      <c r="D836" s="139"/>
      <c r="E836" s="139"/>
      <c r="F836" s="139"/>
      <c r="G836" s="139"/>
      <c r="H836" s="139"/>
      <c r="I836" s="139"/>
      <c r="J836" s="139"/>
      <c r="K836" s="139"/>
      <c r="L836" s="139"/>
      <c r="M836" s="139"/>
      <c r="N836" s="139"/>
      <c r="O836" s="139"/>
      <c r="P836" s="139"/>
      <c r="Q836" s="139"/>
      <c r="R836" s="139"/>
      <c r="S836" s="139"/>
      <c r="T836" s="139"/>
      <c r="U836" s="139"/>
      <c r="V836" s="139"/>
      <c r="W836" s="139"/>
      <c r="X836" s="139"/>
      <c r="Y836" s="139"/>
      <c r="Z836" s="139"/>
      <c r="AA836" s="139"/>
      <c r="AB836" s="139"/>
      <c r="AC836" s="139"/>
      <c r="AD836" s="139"/>
      <c r="AE836" s="139"/>
      <c r="AF836" s="139"/>
      <c r="AG836" s="139"/>
      <c r="AH836" s="139"/>
      <c r="AI836" s="139"/>
      <c r="AJ836" s="139"/>
    </row>
    <row r="837">
      <c r="A837" s="9"/>
      <c r="B837" s="139"/>
      <c r="C837" s="139"/>
      <c r="D837" s="139"/>
      <c r="E837" s="139"/>
      <c r="F837" s="139"/>
      <c r="G837" s="139"/>
      <c r="H837" s="139"/>
      <c r="I837" s="139"/>
      <c r="J837" s="139"/>
      <c r="K837" s="139"/>
      <c r="L837" s="139"/>
      <c r="M837" s="139"/>
      <c r="N837" s="139"/>
      <c r="O837" s="139"/>
      <c r="P837" s="139"/>
      <c r="Q837" s="139"/>
      <c r="R837" s="139"/>
      <c r="S837" s="139"/>
      <c r="T837" s="139"/>
      <c r="U837" s="139"/>
      <c r="V837" s="139"/>
      <c r="W837" s="139"/>
      <c r="X837" s="139"/>
      <c r="Y837" s="139"/>
      <c r="Z837" s="139"/>
      <c r="AA837" s="139"/>
      <c r="AB837" s="139"/>
      <c r="AC837" s="139"/>
      <c r="AD837" s="139"/>
      <c r="AE837" s="139"/>
      <c r="AF837" s="139"/>
      <c r="AG837" s="139"/>
      <c r="AH837" s="139"/>
      <c r="AI837" s="139"/>
      <c r="AJ837" s="139"/>
    </row>
    <row r="838">
      <c r="A838" s="9"/>
      <c r="B838" s="139"/>
      <c r="C838" s="139"/>
      <c r="D838" s="139"/>
      <c r="E838" s="139"/>
      <c r="F838" s="139"/>
      <c r="G838" s="139"/>
      <c r="H838" s="139"/>
      <c r="I838" s="139"/>
      <c r="J838" s="139"/>
      <c r="K838" s="139"/>
      <c r="L838" s="139"/>
      <c r="M838" s="139"/>
      <c r="N838" s="139"/>
      <c r="O838" s="139"/>
      <c r="P838" s="139"/>
      <c r="Q838" s="139"/>
      <c r="R838" s="139"/>
      <c r="S838" s="139"/>
      <c r="T838" s="139"/>
      <c r="U838" s="139"/>
      <c r="V838" s="139"/>
      <c r="W838" s="139"/>
      <c r="X838" s="139"/>
      <c r="Y838" s="139"/>
      <c r="Z838" s="139"/>
      <c r="AA838" s="139"/>
      <c r="AB838" s="139"/>
      <c r="AC838" s="139"/>
      <c r="AD838" s="139"/>
      <c r="AE838" s="139"/>
      <c r="AF838" s="139"/>
      <c r="AG838" s="139"/>
      <c r="AH838" s="139"/>
      <c r="AI838" s="139"/>
      <c r="AJ838" s="139"/>
    </row>
    <row r="839">
      <c r="A839" s="9"/>
      <c r="B839" s="139"/>
      <c r="C839" s="139"/>
      <c r="D839" s="139"/>
      <c r="E839" s="139"/>
      <c r="F839" s="139"/>
      <c r="G839" s="139"/>
      <c r="H839" s="139"/>
      <c r="I839" s="139"/>
      <c r="J839" s="139"/>
      <c r="K839" s="139"/>
      <c r="L839" s="139"/>
      <c r="M839" s="139"/>
      <c r="N839" s="139"/>
      <c r="O839" s="139"/>
      <c r="P839" s="139"/>
      <c r="Q839" s="139"/>
      <c r="R839" s="139"/>
      <c r="S839" s="139"/>
      <c r="T839" s="139"/>
      <c r="U839" s="139"/>
      <c r="V839" s="139"/>
      <c r="W839" s="139"/>
      <c r="X839" s="139"/>
      <c r="Y839" s="139"/>
      <c r="Z839" s="139"/>
      <c r="AA839" s="139"/>
      <c r="AB839" s="139"/>
      <c r="AC839" s="139"/>
      <c r="AD839" s="139"/>
      <c r="AE839" s="139"/>
      <c r="AF839" s="139"/>
      <c r="AG839" s="139"/>
      <c r="AH839" s="139"/>
      <c r="AI839" s="139"/>
      <c r="AJ839" s="139"/>
    </row>
    <row r="840">
      <c r="A840" s="9"/>
      <c r="B840" s="139"/>
      <c r="C840" s="139"/>
      <c r="D840" s="139"/>
      <c r="E840" s="139"/>
      <c r="F840" s="139"/>
      <c r="G840" s="139"/>
      <c r="H840" s="139"/>
      <c r="I840" s="139"/>
      <c r="J840" s="139"/>
      <c r="K840" s="139"/>
      <c r="L840" s="139"/>
      <c r="M840" s="139"/>
      <c r="N840" s="139"/>
      <c r="O840" s="139"/>
      <c r="P840" s="139"/>
      <c r="Q840" s="139"/>
      <c r="R840" s="139"/>
      <c r="S840" s="139"/>
      <c r="T840" s="139"/>
      <c r="U840" s="139"/>
      <c r="V840" s="139"/>
      <c r="W840" s="139"/>
      <c r="X840" s="139"/>
      <c r="Y840" s="139"/>
      <c r="Z840" s="139"/>
      <c r="AA840" s="139"/>
      <c r="AB840" s="139"/>
      <c r="AC840" s="139"/>
      <c r="AD840" s="139"/>
      <c r="AE840" s="139"/>
      <c r="AF840" s="139"/>
      <c r="AG840" s="139"/>
      <c r="AH840" s="139"/>
      <c r="AI840" s="139"/>
      <c r="AJ840" s="139"/>
    </row>
    <row r="841">
      <c r="A841" s="9"/>
      <c r="B841" s="139"/>
      <c r="C841" s="139"/>
      <c r="D841" s="139"/>
      <c r="E841" s="139"/>
      <c r="F841" s="139"/>
      <c r="G841" s="139"/>
      <c r="H841" s="139"/>
      <c r="I841" s="139"/>
      <c r="J841" s="139"/>
      <c r="K841" s="139"/>
      <c r="L841" s="139"/>
      <c r="M841" s="139"/>
      <c r="N841" s="139"/>
      <c r="O841" s="139"/>
      <c r="P841" s="139"/>
      <c r="Q841" s="139"/>
      <c r="R841" s="139"/>
      <c r="S841" s="139"/>
      <c r="T841" s="139"/>
      <c r="U841" s="139"/>
      <c r="V841" s="139"/>
      <c r="W841" s="139"/>
      <c r="X841" s="139"/>
      <c r="Y841" s="139"/>
      <c r="Z841" s="139"/>
      <c r="AA841" s="139"/>
      <c r="AB841" s="139"/>
      <c r="AC841" s="139"/>
      <c r="AD841" s="139"/>
      <c r="AE841" s="139"/>
      <c r="AF841" s="139"/>
      <c r="AG841" s="139"/>
      <c r="AH841" s="139"/>
      <c r="AI841" s="139"/>
      <c r="AJ841" s="139"/>
    </row>
    <row r="842">
      <c r="A842" s="9"/>
      <c r="B842" s="139"/>
      <c r="C842" s="139"/>
      <c r="D842" s="139"/>
      <c r="E842" s="139"/>
      <c r="F842" s="139"/>
      <c r="G842" s="139"/>
      <c r="H842" s="139"/>
      <c r="I842" s="139"/>
      <c r="J842" s="139"/>
      <c r="K842" s="139"/>
      <c r="L842" s="139"/>
      <c r="M842" s="139"/>
      <c r="N842" s="139"/>
      <c r="O842" s="139"/>
      <c r="P842" s="139"/>
      <c r="Q842" s="139"/>
      <c r="R842" s="139"/>
      <c r="S842" s="139"/>
      <c r="T842" s="139"/>
      <c r="U842" s="139"/>
      <c r="V842" s="139"/>
      <c r="W842" s="139"/>
      <c r="X842" s="139"/>
      <c r="Y842" s="139"/>
      <c r="Z842" s="139"/>
      <c r="AA842" s="139"/>
      <c r="AB842" s="139"/>
      <c r="AC842" s="139"/>
      <c r="AD842" s="139"/>
      <c r="AE842" s="139"/>
      <c r="AF842" s="139"/>
      <c r="AG842" s="139"/>
      <c r="AH842" s="139"/>
      <c r="AI842" s="139"/>
      <c r="AJ842" s="139"/>
    </row>
    <row r="843">
      <c r="A843" s="9"/>
      <c r="B843" s="139"/>
      <c r="C843" s="139"/>
      <c r="D843" s="139"/>
      <c r="E843" s="139"/>
      <c r="F843" s="139"/>
      <c r="G843" s="139"/>
      <c r="H843" s="139"/>
      <c r="I843" s="139"/>
      <c r="J843" s="139"/>
      <c r="K843" s="139"/>
      <c r="L843" s="139"/>
      <c r="M843" s="139"/>
      <c r="N843" s="139"/>
      <c r="O843" s="139"/>
      <c r="P843" s="139"/>
      <c r="Q843" s="139"/>
      <c r="R843" s="139"/>
      <c r="S843" s="139"/>
      <c r="T843" s="139"/>
      <c r="U843" s="139"/>
      <c r="V843" s="139"/>
      <c r="W843" s="139"/>
      <c r="X843" s="139"/>
      <c r="Y843" s="139"/>
      <c r="Z843" s="139"/>
      <c r="AA843" s="139"/>
      <c r="AB843" s="139"/>
      <c r="AC843" s="139"/>
      <c r="AD843" s="139"/>
      <c r="AE843" s="139"/>
      <c r="AF843" s="139"/>
      <c r="AG843" s="139"/>
      <c r="AH843" s="139"/>
      <c r="AI843" s="139"/>
      <c r="AJ843" s="139"/>
    </row>
    <row r="844">
      <c r="A844" s="9"/>
      <c r="B844" s="139"/>
      <c r="C844" s="139"/>
      <c r="D844" s="139"/>
      <c r="E844" s="139"/>
      <c r="F844" s="139"/>
      <c r="G844" s="139"/>
      <c r="H844" s="139"/>
      <c r="I844" s="139"/>
      <c r="J844" s="139"/>
      <c r="K844" s="139"/>
      <c r="L844" s="139"/>
      <c r="M844" s="139"/>
      <c r="N844" s="139"/>
      <c r="O844" s="139"/>
      <c r="P844" s="139"/>
      <c r="Q844" s="139"/>
      <c r="R844" s="139"/>
      <c r="S844" s="139"/>
      <c r="T844" s="139"/>
      <c r="U844" s="139"/>
      <c r="V844" s="139"/>
      <c r="W844" s="139"/>
      <c r="X844" s="139"/>
      <c r="Y844" s="139"/>
      <c r="Z844" s="139"/>
      <c r="AA844" s="139"/>
      <c r="AB844" s="139"/>
      <c r="AC844" s="139"/>
      <c r="AD844" s="139"/>
      <c r="AE844" s="139"/>
      <c r="AF844" s="139"/>
      <c r="AG844" s="139"/>
      <c r="AH844" s="139"/>
      <c r="AI844" s="139"/>
      <c r="AJ844" s="139"/>
    </row>
    <row r="845">
      <c r="A845" s="9"/>
      <c r="B845" s="139"/>
      <c r="C845" s="139"/>
      <c r="D845" s="139"/>
      <c r="E845" s="139"/>
      <c r="F845" s="139"/>
      <c r="G845" s="139"/>
      <c r="H845" s="139"/>
      <c r="I845" s="139"/>
      <c r="J845" s="139"/>
      <c r="K845" s="139"/>
      <c r="L845" s="139"/>
      <c r="M845" s="139"/>
      <c r="N845" s="139"/>
      <c r="O845" s="139"/>
      <c r="P845" s="139"/>
      <c r="Q845" s="139"/>
      <c r="R845" s="139"/>
      <c r="S845" s="139"/>
      <c r="T845" s="139"/>
      <c r="U845" s="139"/>
      <c r="V845" s="139"/>
      <c r="W845" s="139"/>
      <c r="X845" s="139"/>
      <c r="Y845" s="139"/>
      <c r="Z845" s="139"/>
      <c r="AA845" s="139"/>
      <c r="AB845" s="139"/>
      <c r="AC845" s="139"/>
      <c r="AD845" s="139"/>
      <c r="AE845" s="139"/>
      <c r="AF845" s="139"/>
      <c r="AG845" s="139"/>
      <c r="AH845" s="139"/>
      <c r="AI845" s="139"/>
      <c r="AJ845" s="139"/>
    </row>
    <row r="846">
      <c r="A846" s="9"/>
      <c r="B846" s="139"/>
      <c r="C846" s="139"/>
      <c r="D846" s="139"/>
      <c r="E846" s="139"/>
      <c r="F846" s="139"/>
      <c r="G846" s="139"/>
      <c r="H846" s="139"/>
      <c r="I846" s="139"/>
      <c r="J846" s="139"/>
      <c r="K846" s="139"/>
      <c r="L846" s="139"/>
      <c r="M846" s="139"/>
      <c r="N846" s="139"/>
      <c r="O846" s="139"/>
      <c r="P846" s="139"/>
      <c r="Q846" s="139"/>
      <c r="R846" s="139"/>
      <c r="S846" s="139"/>
      <c r="T846" s="139"/>
      <c r="U846" s="139"/>
      <c r="V846" s="139"/>
      <c r="W846" s="139"/>
      <c r="X846" s="139"/>
      <c r="Y846" s="139"/>
      <c r="Z846" s="139"/>
      <c r="AA846" s="139"/>
      <c r="AB846" s="139"/>
      <c r="AC846" s="139"/>
      <c r="AD846" s="139"/>
      <c r="AE846" s="139"/>
      <c r="AF846" s="139"/>
      <c r="AG846" s="139"/>
      <c r="AH846" s="139"/>
      <c r="AI846" s="139"/>
      <c r="AJ846" s="139"/>
    </row>
    <row r="847">
      <c r="A847" s="9"/>
      <c r="B847" s="139"/>
      <c r="C847" s="139"/>
      <c r="D847" s="139"/>
      <c r="E847" s="139"/>
      <c r="F847" s="139"/>
      <c r="G847" s="139"/>
      <c r="H847" s="139"/>
      <c r="I847" s="139"/>
      <c r="J847" s="139"/>
      <c r="K847" s="139"/>
      <c r="L847" s="139"/>
      <c r="M847" s="139"/>
      <c r="N847" s="139"/>
      <c r="O847" s="139"/>
      <c r="P847" s="139"/>
      <c r="Q847" s="139"/>
      <c r="R847" s="139"/>
      <c r="S847" s="139"/>
      <c r="T847" s="139"/>
      <c r="U847" s="139"/>
      <c r="V847" s="139"/>
      <c r="W847" s="139"/>
      <c r="X847" s="139"/>
      <c r="Y847" s="139"/>
      <c r="Z847" s="139"/>
      <c r="AA847" s="139"/>
      <c r="AB847" s="139"/>
      <c r="AC847" s="139"/>
      <c r="AD847" s="139"/>
      <c r="AE847" s="139"/>
      <c r="AF847" s="139"/>
      <c r="AG847" s="139"/>
      <c r="AH847" s="139"/>
      <c r="AI847" s="139"/>
      <c r="AJ847" s="139"/>
    </row>
    <row r="848">
      <c r="A848" s="9"/>
      <c r="B848" s="139"/>
      <c r="C848" s="139"/>
      <c r="D848" s="139"/>
      <c r="E848" s="139"/>
      <c r="F848" s="139"/>
      <c r="G848" s="139"/>
      <c r="H848" s="139"/>
      <c r="I848" s="139"/>
      <c r="J848" s="139"/>
      <c r="K848" s="139"/>
      <c r="L848" s="139"/>
      <c r="M848" s="139"/>
      <c r="N848" s="139"/>
      <c r="O848" s="139"/>
      <c r="P848" s="139"/>
      <c r="Q848" s="139"/>
      <c r="R848" s="139"/>
      <c r="S848" s="139"/>
      <c r="T848" s="139"/>
      <c r="U848" s="139"/>
      <c r="V848" s="139"/>
      <c r="W848" s="139"/>
      <c r="X848" s="139"/>
      <c r="Y848" s="139"/>
      <c r="Z848" s="139"/>
      <c r="AA848" s="139"/>
      <c r="AB848" s="139"/>
      <c r="AC848" s="139"/>
      <c r="AD848" s="139"/>
      <c r="AE848" s="139"/>
      <c r="AF848" s="139"/>
      <c r="AG848" s="139"/>
      <c r="AH848" s="139"/>
      <c r="AI848" s="139"/>
      <c r="AJ848" s="139"/>
    </row>
    <row r="849">
      <c r="A849" s="9"/>
      <c r="B849" s="139"/>
      <c r="C849" s="139"/>
      <c r="D849" s="139"/>
      <c r="E849" s="139"/>
      <c r="F849" s="139"/>
      <c r="G849" s="139"/>
      <c r="H849" s="139"/>
      <c r="I849" s="139"/>
      <c r="J849" s="139"/>
      <c r="K849" s="139"/>
      <c r="L849" s="139"/>
      <c r="M849" s="139"/>
      <c r="N849" s="139"/>
      <c r="O849" s="139"/>
      <c r="P849" s="139"/>
      <c r="Q849" s="139"/>
      <c r="R849" s="139"/>
      <c r="S849" s="139"/>
      <c r="T849" s="139"/>
      <c r="U849" s="139"/>
      <c r="V849" s="139"/>
      <c r="W849" s="139"/>
      <c r="X849" s="139"/>
      <c r="Y849" s="139"/>
      <c r="Z849" s="139"/>
      <c r="AA849" s="139"/>
      <c r="AB849" s="139"/>
      <c r="AC849" s="139"/>
      <c r="AD849" s="139"/>
      <c r="AE849" s="139"/>
      <c r="AF849" s="139"/>
      <c r="AG849" s="139"/>
      <c r="AH849" s="139"/>
      <c r="AI849" s="139"/>
      <c r="AJ849" s="139"/>
    </row>
    <row r="850">
      <c r="A850" s="9"/>
      <c r="B850" s="139"/>
      <c r="C850" s="139"/>
      <c r="D850" s="139"/>
      <c r="E850" s="139"/>
      <c r="F850" s="139"/>
      <c r="G850" s="139"/>
      <c r="H850" s="139"/>
      <c r="I850" s="139"/>
      <c r="J850" s="139"/>
      <c r="K850" s="139"/>
      <c r="L850" s="139"/>
      <c r="M850" s="139"/>
      <c r="N850" s="139"/>
      <c r="O850" s="139"/>
      <c r="P850" s="139"/>
      <c r="Q850" s="139"/>
      <c r="R850" s="139"/>
      <c r="S850" s="139"/>
      <c r="T850" s="139"/>
      <c r="U850" s="139"/>
      <c r="V850" s="139"/>
      <c r="W850" s="139"/>
      <c r="X850" s="139"/>
      <c r="Y850" s="139"/>
      <c r="Z850" s="139"/>
      <c r="AA850" s="139"/>
      <c r="AB850" s="139"/>
      <c r="AC850" s="139"/>
      <c r="AD850" s="139"/>
      <c r="AE850" s="139"/>
      <c r="AF850" s="139"/>
      <c r="AG850" s="139"/>
      <c r="AH850" s="139"/>
      <c r="AI850" s="139"/>
      <c r="AJ850" s="139"/>
    </row>
    <row r="851">
      <c r="A851" s="9"/>
      <c r="B851" s="139"/>
      <c r="C851" s="139"/>
      <c r="D851" s="139"/>
      <c r="E851" s="139"/>
      <c r="F851" s="139"/>
      <c r="G851" s="139"/>
      <c r="H851" s="139"/>
      <c r="I851" s="139"/>
      <c r="J851" s="139"/>
      <c r="K851" s="139"/>
      <c r="L851" s="139"/>
      <c r="M851" s="139"/>
      <c r="N851" s="139"/>
      <c r="O851" s="139"/>
      <c r="P851" s="139"/>
      <c r="Q851" s="139"/>
      <c r="R851" s="139"/>
      <c r="S851" s="139"/>
      <c r="T851" s="139"/>
      <c r="U851" s="139"/>
      <c r="V851" s="139"/>
      <c r="W851" s="139"/>
      <c r="X851" s="139"/>
      <c r="Y851" s="139"/>
      <c r="Z851" s="139"/>
      <c r="AA851" s="139"/>
      <c r="AB851" s="139"/>
      <c r="AC851" s="139"/>
      <c r="AD851" s="139"/>
      <c r="AE851" s="139"/>
      <c r="AF851" s="139"/>
      <c r="AG851" s="139"/>
      <c r="AH851" s="139"/>
      <c r="AI851" s="139"/>
      <c r="AJ851" s="139"/>
    </row>
    <row r="852">
      <c r="A852" s="9"/>
      <c r="B852" s="139"/>
      <c r="C852" s="139"/>
      <c r="D852" s="139"/>
      <c r="E852" s="139"/>
      <c r="F852" s="139"/>
      <c r="G852" s="139"/>
      <c r="H852" s="139"/>
      <c r="I852" s="139"/>
      <c r="J852" s="139"/>
      <c r="K852" s="139"/>
      <c r="L852" s="139"/>
      <c r="M852" s="139"/>
      <c r="N852" s="139"/>
      <c r="O852" s="139"/>
      <c r="P852" s="139"/>
      <c r="Q852" s="139"/>
      <c r="R852" s="139"/>
      <c r="S852" s="139"/>
      <c r="T852" s="139"/>
      <c r="U852" s="139"/>
      <c r="V852" s="139"/>
      <c r="W852" s="139"/>
      <c r="X852" s="139"/>
      <c r="Y852" s="139"/>
      <c r="Z852" s="139"/>
      <c r="AA852" s="139"/>
      <c r="AB852" s="139"/>
      <c r="AC852" s="139"/>
      <c r="AD852" s="139"/>
      <c r="AE852" s="139"/>
      <c r="AF852" s="139"/>
      <c r="AG852" s="139"/>
      <c r="AH852" s="139"/>
      <c r="AI852" s="139"/>
      <c r="AJ852" s="139"/>
    </row>
    <row r="853">
      <c r="A853" s="9"/>
      <c r="B853" s="139"/>
      <c r="C853" s="139"/>
      <c r="D853" s="139"/>
      <c r="E853" s="139"/>
      <c r="F853" s="139"/>
      <c r="G853" s="139"/>
      <c r="H853" s="139"/>
      <c r="I853" s="139"/>
      <c r="J853" s="139"/>
      <c r="K853" s="139"/>
      <c r="L853" s="139"/>
      <c r="M853" s="139"/>
      <c r="N853" s="139"/>
      <c r="O853" s="139"/>
      <c r="P853" s="139"/>
      <c r="Q853" s="139"/>
      <c r="R853" s="139"/>
      <c r="S853" s="139"/>
      <c r="T853" s="139"/>
      <c r="U853" s="139"/>
      <c r="V853" s="139"/>
      <c r="W853" s="139"/>
      <c r="X853" s="139"/>
      <c r="Y853" s="139"/>
      <c r="Z853" s="139"/>
      <c r="AA853" s="139"/>
      <c r="AB853" s="139"/>
      <c r="AC853" s="139"/>
      <c r="AD853" s="139"/>
      <c r="AE853" s="139"/>
      <c r="AF853" s="139"/>
      <c r="AG853" s="139"/>
      <c r="AH853" s="139"/>
      <c r="AI853" s="139"/>
      <c r="AJ853" s="139"/>
    </row>
    <row r="854">
      <c r="A854" s="9"/>
      <c r="B854" s="139"/>
      <c r="C854" s="139"/>
      <c r="D854" s="139"/>
      <c r="E854" s="139"/>
      <c r="F854" s="139"/>
      <c r="G854" s="139"/>
      <c r="H854" s="139"/>
      <c r="I854" s="139"/>
      <c r="J854" s="139"/>
      <c r="K854" s="139"/>
      <c r="L854" s="139"/>
      <c r="M854" s="139"/>
      <c r="N854" s="139"/>
      <c r="O854" s="139"/>
      <c r="P854" s="139"/>
      <c r="Q854" s="139"/>
      <c r="R854" s="139"/>
      <c r="S854" s="139"/>
      <c r="T854" s="139"/>
      <c r="U854" s="139"/>
      <c r="V854" s="139"/>
      <c r="W854" s="139"/>
      <c r="X854" s="139"/>
      <c r="Y854" s="139"/>
      <c r="Z854" s="139"/>
      <c r="AA854" s="139"/>
      <c r="AB854" s="139"/>
      <c r="AC854" s="139"/>
      <c r="AD854" s="139"/>
      <c r="AE854" s="139"/>
      <c r="AF854" s="139"/>
      <c r="AG854" s="139"/>
      <c r="AH854" s="139"/>
      <c r="AI854" s="139"/>
      <c r="AJ854" s="139"/>
    </row>
    <row r="855">
      <c r="A855" s="9"/>
      <c r="B855" s="139"/>
      <c r="C855" s="139"/>
      <c r="D855" s="139"/>
      <c r="E855" s="139"/>
      <c r="F855" s="139"/>
      <c r="G855" s="139"/>
      <c r="H855" s="139"/>
      <c r="I855" s="139"/>
      <c r="J855" s="139"/>
      <c r="K855" s="139"/>
      <c r="L855" s="139"/>
      <c r="M855" s="139"/>
      <c r="N855" s="139"/>
      <c r="O855" s="139"/>
      <c r="P855" s="139"/>
      <c r="Q855" s="139"/>
      <c r="R855" s="139"/>
      <c r="S855" s="139"/>
      <c r="T855" s="139"/>
      <c r="U855" s="139"/>
      <c r="V855" s="139"/>
      <c r="W855" s="139"/>
      <c r="X855" s="139"/>
      <c r="Y855" s="139"/>
      <c r="Z855" s="139"/>
      <c r="AA855" s="139"/>
      <c r="AB855" s="139"/>
      <c r="AC855" s="139"/>
      <c r="AD855" s="139"/>
      <c r="AE855" s="139"/>
      <c r="AF855" s="139"/>
      <c r="AG855" s="139"/>
      <c r="AH855" s="139"/>
      <c r="AI855" s="139"/>
      <c r="AJ855" s="139"/>
    </row>
    <row r="856">
      <c r="A856" s="9"/>
      <c r="B856" s="139"/>
      <c r="C856" s="139"/>
      <c r="D856" s="139"/>
      <c r="E856" s="139"/>
      <c r="F856" s="139"/>
      <c r="G856" s="139"/>
      <c r="H856" s="139"/>
      <c r="I856" s="139"/>
      <c r="J856" s="139"/>
      <c r="K856" s="139"/>
      <c r="L856" s="139"/>
      <c r="M856" s="139"/>
      <c r="N856" s="139"/>
      <c r="O856" s="139"/>
      <c r="P856" s="139"/>
      <c r="Q856" s="139"/>
      <c r="R856" s="139"/>
      <c r="S856" s="139"/>
      <c r="T856" s="139"/>
      <c r="U856" s="139"/>
      <c r="V856" s="139"/>
      <c r="W856" s="139"/>
      <c r="X856" s="139"/>
      <c r="Y856" s="139"/>
      <c r="Z856" s="139"/>
      <c r="AA856" s="139"/>
      <c r="AB856" s="139"/>
      <c r="AC856" s="139"/>
      <c r="AD856" s="139"/>
      <c r="AE856" s="139"/>
      <c r="AF856" s="139"/>
      <c r="AG856" s="139"/>
      <c r="AH856" s="139"/>
      <c r="AI856" s="139"/>
      <c r="AJ856" s="139"/>
    </row>
    <row r="857">
      <c r="A857" s="9"/>
      <c r="B857" s="139"/>
      <c r="C857" s="139"/>
      <c r="D857" s="139"/>
      <c r="E857" s="139"/>
      <c r="F857" s="139"/>
      <c r="G857" s="139"/>
      <c r="H857" s="139"/>
      <c r="I857" s="139"/>
      <c r="J857" s="139"/>
      <c r="K857" s="139"/>
      <c r="L857" s="139"/>
      <c r="M857" s="139"/>
      <c r="N857" s="139"/>
      <c r="O857" s="139"/>
      <c r="P857" s="139"/>
      <c r="Q857" s="139"/>
      <c r="R857" s="139"/>
      <c r="S857" s="139"/>
      <c r="T857" s="139"/>
      <c r="U857" s="139"/>
      <c r="V857" s="139"/>
      <c r="W857" s="139"/>
      <c r="X857" s="139"/>
      <c r="Y857" s="139"/>
      <c r="Z857" s="139"/>
      <c r="AA857" s="139"/>
      <c r="AB857" s="139"/>
      <c r="AC857" s="139"/>
      <c r="AD857" s="139"/>
      <c r="AE857" s="139"/>
      <c r="AF857" s="139"/>
      <c r="AG857" s="139"/>
      <c r="AH857" s="139"/>
      <c r="AI857" s="139"/>
      <c r="AJ857" s="139"/>
    </row>
    <row r="858">
      <c r="A858" s="9"/>
      <c r="B858" s="139"/>
      <c r="C858" s="139"/>
      <c r="D858" s="139"/>
      <c r="E858" s="139"/>
      <c r="F858" s="139"/>
      <c r="G858" s="139"/>
      <c r="H858" s="139"/>
      <c r="I858" s="139"/>
      <c r="J858" s="139"/>
      <c r="K858" s="139"/>
      <c r="L858" s="139"/>
      <c r="M858" s="139"/>
      <c r="N858" s="139"/>
      <c r="O858" s="139"/>
      <c r="P858" s="139"/>
      <c r="Q858" s="139"/>
      <c r="R858" s="139"/>
      <c r="S858" s="139"/>
      <c r="T858" s="139"/>
      <c r="U858" s="139"/>
      <c r="V858" s="139"/>
      <c r="W858" s="139"/>
      <c r="X858" s="139"/>
      <c r="Y858" s="139"/>
      <c r="Z858" s="139"/>
      <c r="AA858" s="139"/>
      <c r="AB858" s="139"/>
      <c r="AC858" s="139"/>
      <c r="AD858" s="139"/>
      <c r="AE858" s="139"/>
      <c r="AF858" s="139"/>
      <c r="AG858" s="139"/>
      <c r="AH858" s="139"/>
      <c r="AI858" s="139"/>
      <c r="AJ858" s="139"/>
    </row>
    <row r="859">
      <c r="A859" s="9"/>
      <c r="B859" s="139"/>
      <c r="C859" s="139"/>
      <c r="D859" s="139"/>
      <c r="E859" s="139"/>
      <c r="F859" s="139"/>
      <c r="G859" s="139"/>
      <c r="H859" s="139"/>
      <c r="I859" s="139"/>
      <c r="J859" s="139"/>
      <c r="K859" s="139"/>
      <c r="L859" s="139"/>
      <c r="M859" s="139"/>
      <c r="N859" s="139"/>
      <c r="O859" s="139"/>
      <c r="P859" s="139"/>
      <c r="Q859" s="139"/>
      <c r="R859" s="139"/>
      <c r="S859" s="139"/>
      <c r="T859" s="139"/>
      <c r="U859" s="139"/>
      <c r="V859" s="139"/>
      <c r="W859" s="139"/>
      <c r="X859" s="139"/>
      <c r="Y859" s="139"/>
      <c r="Z859" s="139"/>
      <c r="AA859" s="139"/>
      <c r="AB859" s="139"/>
      <c r="AC859" s="139"/>
      <c r="AD859" s="139"/>
      <c r="AE859" s="139"/>
      <c r="AF859" s="139"/>
      <c r="AG859" s="139"/>
      <c r="AH859" s="139"/>
      <c r="AI859" s="139"/>
      <c r="AJ859" s="139"/>
    </row>
    <row r="860">
      <c r="A860" s="9"/>
      <c r="B860" s="139"/>
      <c r="C860" s="139"/>
      <c r="D860" s="139"/>
      <c r="E860" s="139"/>
      <c r="F860" s="139"/>
      <c r="G860" s="139"/>
      <c r="H860" s="139"/>
      <c r="I860" s="139"/>
      <c r="J860" s="139"/>
      <c r="K860" s="139"/>
      <c r="L860" s="139"/>
      <c r="M860" s="139"/>
      <c r="N860" s="139"/>
      <c r="O860" s="139"/>
      <c r="P860" s="139"/>
      <c r="Q860" s="139"/>
      <c r="R860" s="139"/>
      <c r="S860" s="139"/>
      <c r="T860" s="139"/>
      <c r="U860" s="139"/>
      <c r="V860" s="139"/>
      <c r="W860" s="139"/>
      <c r="X860" s="139"/>
      <c r="Y860" s="139"/>
      <c r="Z860" s="139"/>
      <c r="AA860" s="139"/>
      <c r="AB860" s="139"/>
      <c r="AC860" s="139"/>
      <c r="AD860" s="139"/>
      <c r="AE860" s="139"/>
      <c r="AF860" s="139"/>
      <c r="AG860" s="139"/>
      <c r="AH860" s="139"/>
      <c r="AI860" s="139"/>
      <c r="AJ860" s="139"/>
    </row>
    <row r="861">
      <c r="A861" s="9"/>
      <c r="B861" s="139"/>
      <c r="C861" s="139"/>
      <c r="D861" s="139"/>
      <c r="E861" s="139"/>
      <c r="F861" s="139"/>
      <c r="G861" s="139"/>
      <c r="H861" s="139"/>
      <c r="I861" s="139"/>
      <c r="J861" s="139"/>
      <c r="K861" s="139"/>
      <c r="L861" s="139"/>
      <c r="M861" s="139"/>
      <c r="N861" s="139"/>
      <c r="O861" s="139"/>
      <c r="P861" s="139"/>
      <c r="Q861" s="139"/>
      <c r="R861" s="139"/>
      <c r="S861" s="139"/>
      <c r="T861" s="139"/>
      <c r="U861" s="139"/>
      <c r="V861" s="139"/>
      <c r="W861" s="139"/>
      <c r="X861" s="139"/>
      <c r="Y861" s="139"/>
      <c r="Z861" s="139"/>
      <c r="AA861" s="139"/>
      <c r="AB861" s="139"/>
      <c r="AC861" s="139"/>
      <c r="AD861" s="139"/>
      <c r="AE861" s="139"/>
      <c r="AF861" s="139"/>
      <c r="AG861" s="139"/>
      <c r="AH861" s="139"/>
      <c r="AI861" s="139"/>
      <c r="AJ861" s="139"/>
    </row>
    <row r="862">
      <c r="A862" s="9"/>
      <c r="B862" s="139"/>
      <c r="C862" s="139"/>
      <c r="D862" s="139"/>
      <c r="E862" s="139"/>
      <c r="F862" s="139"/>
      <c r="G862" s="139"/>
      <c r="H862" s="139"/>
      <c r="I862" s="139"/>
      <c r="J862" s="139"/>
      <c r="K862" s="139"/>
      <c r="L862" s="139"/>
      <c r="M862" s="139"/>
      <c r="N862" s="139"/>
      <c r="O862" s="139"/>
      <c r="P862" s="139"/>
      <c r="Q862" s="139"/>
      <c r="R862" s="139"/>
      <c r="S862" s="139"/>
      <c r="T862" s="139"/>
      <c r="U862" s="139"/>
      <c r="V862" s="139"/>
      <c r="W862" s="139"/>
      <c r="X862" s="139"/>
      <c r="Y862" s="139"/>
      <c r="Z862" s="139"/>
      <c r="AA862" s="139"/>
      <c r="AB862" s="139"/>
      <c r="AC862" s="139"/>
      <c r="AD862" s="139"/>
      <c r="AE862" s="139"/>
      <c r="AF862" s="139"/>
      <c r="AG862" s="139"/>
      <c r="AH862" s="139"/>
      <c r="AI862" s="139"/>
      <c r="AJ862" s="139"/>
    </row>
    <row r="863">
      <c r="A863" s="9"/>
      <c r="B863" s="139"/>
      <c r="C863" s="139"/>
      <c r="D863" s="139"/>
      <c r="E863" s="139"/>
      <c r="F863" s="139"/>
      <c r="G863" s="139"/>
      <c r="H863" s="139"/>
      <c r="I863" s="139"/>
      <c r="J863" s="139"/>
      <c r="K863" s="139"/>
      <c r="L863" s="139"/>
      <c r="M863" s="139"/>
      <c r="N863" s="139"/>
      <c r="O863" s="139"/>
      <c r="P863" s="139"/>
      <c r="Q863" s="139"/>
      <c r="R863" s="139"/>
      <c r="S863" s="139"/>
      <c r="T863" s="139"/>
      <c r="U863" s="139"/>
      <c r="V863" s="139"/>
      <c r="W863" s="139"/>
      <c r="X863" s="139"/>
      <c r="Y863" s="139"/>
      <c r="Z863" s="139"/>
      <c r="AA863" s="139"/>
      <c r="AB863" s="139"/>
      <c r="AC863" s="139"/>
      <c r="AD863" s="139"/>
      <c r="AE863" s="139"/>
      <c r="AF863" s="139"/>
      <c r="AG863" s="139"/>
      <c r="AH863" s="139"/>
      <c r="AI863" s="139"/>
      <c r="AJ863" s="139"/>
    </row>
    <row r="864">
      <c r="A864" s="9"/>
      <c r="B864" s="139"/>
      <c r="C864" s="139"/>
      <c r="D864" s="139"/>
      <c r="E864" s="139"/>
      <c r="F864" s="139"/>
      <c r="G864" s="139"/>
      <c r="H864" s="139"/>
      <c r="I864" s="139"/>
      <c r="J864" s="139"/>
      <c r="K864" s="139"/>
      <c r="L864" s="139"/>
      <c r="M864" s="139"/>
      <c r="N864" s="139"/>
      <c r="O864" s="139"/>
      <c r="P864" s="139"/>
      <c r="Q864" s="139"/>
      <c r="R864" s="139"/>
      <c r="S864" s="139"/>
      <c r="T864" s="139"/>
      <c r="U864" s="139"/>
      <c r="V864" s="139"/>
      <c r="W864" s="139"/>
      <c r="X864" s="139"/>
      <c r="Y864" s="139"/>
      <c r="Z864" s="139"/>
      <c r="AA864" s="139"/>
      <c r="AB864" s="139"/>
      <c r="AC864" s="139"/>
      <c r="AD864" s="139"/>
      <c r="AE864" s="139"/>
      <c r="AF864" s="139"/>
      <c r="AG864" s="139"/>
      <c r="AH864" s="139"/>
      <c r="AI864" s="139"/>
      <c r="AJ864" s="139"/>
    </row>
    <row r="865">
      <c r="A865" s="9"/>
      <c r="B865" s="139"/>
      <c r="C865" s="139"/>
      <c r="D865" s="139"/>
      <c r="E865" s="139"/>
      <c r="F865" s="139"/>
      <c r="G865" s="139"/>
      <c r="H865" s="139"/>
      <c r="I865" s="139"/>
      <c r="J865" s="139"/>
      <c r="K865" s="139"/>
      <c r="L865" s="139"/>
      <c r="M865" s="139"/>
      <c r="N865" s="139"/>
      <c r="O865" s="139"/>
      <c r="P865" s="139"/>
      <c r="Q865" s="139"/>
      <c r="R865" s="139"/>
      <c r="S865" s="139"/>
      <c r="T865" s="139"/>
      <c r="U865" s="139"/>
      <c r="V865" s="139"/>
      <c r="W865" s="139"/>
      <c r="X865" s="139"/>
      <c r="Y865" s="139"/>
      <c r="Z865" s="139"/>
      <c r="AA865" s="139"/>
      <c r="AB865" s="139"/>
      <c r="AC865" s="139"/>
      <c r="AD865" s="139"/>
      <c r="AE865" s="139"/>
      <c r="AF865" s="139"/>
      <c r="AG865" s="139"/>
      <c r="AH865" s="139"/>
      <c r="AI865" s="139"/>
      <c r="AJ865" s="139"/>
    </row>
    <row r="866">
      <c r="A866" s="9"/>
      <c r="B866" s="139"/>
      <c r="C866" s="139"/>
      <c r="D866" s="139"/>
      <c r="E866" s="139"/>
      <c r="F866" s="139"/>
      <c r="G866" s="139"/>
      <c r="H866" s="139"/>
      <c r="I866" s="139"/>
      <c r="J866" s="139"/>
      <c r="K866" s="139"/>
      <c r="L866" s="139"/>
      <c r="M866" s="139"/>
      <c r="N866" s="139"/>
      <c r="O866" s="139"/>
      <c r="P866" s="139"/>
      <c r="Q866" s="139"/>
      <c r="R866" s="139"/>
      <c r="S866" s="139"/>
      <c r="T866" s="139"/>
      <c r="U866" s="139"/>
      <c r="V866" s="139"/>
      <c r="W866" s="139"/>
      <c r="X866" s="139"/>
      <c r="Y866" s="139"/>
      <c r="Z866" s="139"/>
      <c r="AA866" s="139"/>
      <c r="AB866" s="139"/>
      <c r="AC866" s="139"/>
      <c r="AD866" s="139"/>
      <c r="AE866" s="139"/>
      <c r="AF866" s="139"/>
      <c r="AG866" s="139"/>
      <c r="AH866" s="139"/>
      <c r="AI866" s="139"/>
      <c r="AJ866" s="139"/>
    </row>
    <row r="867">
      <c r="A867" s="9"/>
      <c r="B867" s="139"/>
      <c r="C867" s="139"/>
      <c r="D867" s="139"/>
      <c r="E867" s="139"/>
      <c r="F867" s="139"/>
      <c r="G867" s="139"/>
      <c r="H867" s="139"/>
      <c r="I867" s="139"/>
      <c r="J867" s="139"/>
      <c r="K867" s="139"/>
      <c r="L867" s="139"/>
      <c r="M867" s="139"/>
      <c r="N867" s="139"/>
      <c r="O867" s="139"/>
      <c r="P867" s="139"/>
      <c r="Q867" s="139"/>
      <c r="R867" s="139"/>
      <c r="S867" s="139"/>
      <c r="T867" s="139"/>
      <c r="U867" s="139"/>
      <c r="V867" s="139"/>
      <c r="W867" s="139"/>
      <c r="X867" s="139"/>
      <c r="Y867" s="139"/>
      <c r="Z867" s="139"/>
      <c r="AA867" s="139"/>
      <c r="AB867" s="139"/>
      <c r="AC867" s="139"/>
      <c r="AD867" s="139"/>
      <c r="AE867" s="139"/>
      <c r="AF867" s="139"/>
      <c r="AG867" s="139"/>
      <c r="AH867" s="139"/>
      <c r="AI867" s="139"/>
      <c r="AJ867" s="139"/>
    </row>
    <row r="868">
      <c r="A868" s="9"/>
      <c r="B868" s="139"/>
      <c r="C868" s="139"/>
      <c r="D868" s="139"/>
      <c r="E868" s="139"/>
      <c r="F868" s="139"/>
      <c r="G868" s="139"/>
      <c r="H868" s="139"/>
      <c r="I868" s="139"/>
      <c r="J868" s="139"/>
      <c r="K868" s="139"/>
      <c r="L868" s="139"/>
      <c r="M868" s="139"/>
      <c r="N868" s="139"/>
      <c r="O868" s="139"/>
      <c r="P868" s="139"/>
      <c r="Q868" s="139"/>
      <c r="R868" s="139"/>
      <c r="S868" s="139"/>
      <c r="T868" s="139"/>
      <c r="U868" s="139"/>
      <c r="V868" s="139"/>
      <c r="W868" s="139"/>
      <c r="X868" s="139"/>
      <c r="Y868" s="139"/>
      <c r="Z868" s="139"/>
      <c r="AA868" s="139"/>
      <c r="AB868" s="139"/>
      <c r="AC868" s="139"/>
      <c r="AD868" s="139"/>
      <c r="AE868" s="139"/>
      <c r="AF868" s="139"/>
      <c r="AG868" s="139"/>
      <c r="AH868" s="139"/>
      <c r="AI868" s="139"/>
      <c r="AJ868" s="139"/>
    </row>
    <row r="869">
      <c r="A869" s="9"/>
      <c r="B869" s="139"/>
      <c r="C869" s="139"/>
      <c r="D869" s="139"/>
      <c r="E869" s="139"/>
      <c r="F869" s="139"/>
      <c r="G869" s="139"/>
      <c r="H869" s="139"/>
      <c r="I869" s="139"/>
      <c r="J869" s="139"/>
      <c r="K869" s="139"/>
      <c r="L869" s="139"/>
      <c r="M869" s="139"/>
      <c r="N869" s="139"/>
      <c r="O869" s="139"/>
      <c r="P869" s="139"/>
      <c r="Q869" s="139"/>
      <c r="R869" s="139"/>
      <c r="S869" s="139"/>
      <c r="T869" s="139"/>
      <c r="U869" s="139"/>
      <c r="V869" s="139"/>
      <c r="W869" s="139"/>
      <c r="X869" s="139"/>
      <c r="Y869" s="139"/>
      <c r="Z869" s="139"/>
      <c r="AA869" s="139"/>
      <c r="AB869" s="139"/>
      <c r="AC869" s="139"/>
      <c r="AD869" s="139"/>
      <c r="AE869" s="139"/>
      <c r="AF869" s="139"/>
      <c r="AG869" s="139"/>
      <c r="AH869" s="139"/>
      <c r="AI869" s="139"/>
      <c r="AJ869" s="139"/>
    </row>
    <row r="870">
      <c r="A870" s="9"/>
      <c r="B870" s="139"/>
      <c r="C870" s="139"/>
      <c r="D870" s="139"/>
      <c r="E870" s="139"/>
      <c r="F870" s="139"/>
      <c r="G870" s="139"/>
      <c r="H870" s="139"/>
      <c r="I870" s="139"/>
      <c r="J870" s="139"/>
      <c r="K870" s="139"/>
      <c r="L870" s="139"/>
      <c r="M870" s="139"/>
      <c r="N870" s="139"/>
      <c r="O870" s="139"/>
      <c r="P870" s="139"/>
      <c r="Q870" s="139"/>
      <c r="R870" s="139"/>
      <c r="S870" s="139"/>
      <c r="T870" s="139"/>
      <c r="U870" s="139"/>
      <c r="V870" s="139"/>
      <c r="W870" s="139"/>
      <c r="X870" s="139"/>
      <c r="Y870" s="139"/>
      <c r="Z870" s="139"/>
      <c r="AA870" s="139"/>
      <c r="AB870" s="139"/>
      <c r="AC870" s="139"/>
      <c r="AD870" s="139"/>
      <c r="AE870" s="139"/>
      <c r="AF870" s="139"/>
      <c r="AG870" s="139"/>
      <c r="AH870" s="139"/>
      <c r="AI870" s="139"/>
      <c r="AJ870" s="139"/>
    </row>
    <row r="871">
      <c r="A871" s="9"/>
      <c r="B871" s="139"/>
      <c r="C871" s="139"/>
      <c r="D871" s="139"/>
      <c r="E871" s="139"/>
      <c r="F871" s="139"/>
      <c r="G871" s="139"/>
      <c r="H871" s="139"/>
      <c r="I871" s="139"/>
      <c r="J871" s="139"/>
      <c r="K871" s="139"/>
      <c r="L871" s="139"/>
      <c r="M871" s="139"/>
      <c r="N871" s="139"/>
      <c r="O871" s="139"/>
      <c r="P871" s="139"/>
      <c r="Q871" s="139"/>
      <c r="R871" s="139"/>
      <c r="S871" s="139"/>
      <c r="T871" s="139"/>
      <c r="U871" s="139"/>
      <c r="V871" s="139"/>
      <c r="W871" s="139"/>
      <c r="X871" s="139"/>
      <c r="Y871" s="139"/>
      <c r="Z871" s="139"/>
      <c r="AA871" s="139"/>
      <c r="AB871" s="139"/>
      <c r="AC871" s="139"/>
      <c r="AD871" s="139"/>
      <c r="AE871" s="139"/>
      <c r="AF871" s="139"/>
      <c r="AG871" s="139"/>
      <c r="AH871" s="139"/>
      <c r="AI871" s="139"/>
      <c r="AJ871" s="139"/>
    </row>
    <row r="872">
      <c r="A872" s="9"/>
      <c r="B872" s="139"/>
      <c r="C872" s="139"/>
      <c r="D872" s="139"/>
      <c r="E872" s="139"/>
      <c r="F872" s="139"/>
      <c r="G872" s="139"/>
      <c r="H872" s="139"/>
      <c r="I872" s="139"/>
      <c r="J872" s="139"/>
      <c r="K872" s="139"/>
      <c r="L872" s="139"/>
      <c r="M872" s="139"/>
      <c r="N872" s="139"/>
      <c r="O872" s="139"/>
      <c r="P872" s="139"/>
      <c r="Q872" s="139"/>
      <c r="R872" s="139"/>
      <c r="S872" s="139"/>
      <c r="T872" s="139"/>
      <c r="U872" s="139"/>
      <c r="V872" s="139"/>
      <c r="W872" s="139"/>
      <c r="X872" s="139"/>
      <c r="Y872" s="139"/>
      <c r="Z872" s="139"/>
      <c r="AA872" s="139"/>
      <c r="AB872" s="139"/>
      <c r="AC872" s="139"/>
      <c r="AD872" s="139"/>
      <c r="AE872" s="139"/>
      <c r="AF872" s="139"/>
      <c r="AG872" s="139"/>
      <c r="AH872" s="139"/>
      <c r="AI872" s="139"/>
      <c r="AJ872" s="139"/>
    </row>
    <row r="873">
      <c r="A873" s="9"/>
      <c r="B873" s="139"/>
      <c r="C873" s="139"/>
      <c r="D873" s="139"/>
      <c r="E873" s="139"/>
      <c r="F873" s="139"/>
      <c r="G873" s="139"/>
      <c r="H873" s="139"/>
      <c r="I873" s="139"/>
      <c r="J873" s="139"/>
      <c r="K873" s="139"/>
      <c r="L873" s="139"/>
      <c r="M873" s="139"/>
      <c r="N873" s="139"/>
      <c r="O873" s="139"/>
      <c r="P873" s="139"/>
      <c r="Q873" s="139"/>
      <c r="R873" s="139"/>
      <c r="S873" s="139"/>
      <c r="T873" s="139"/>
      <c r="U873" s="139"/>
      <c r="V873" s="139"/>
      <c r="W873" s="139"/>
      <c r="X873" s="139"/>
      <c r="Y873" s="139"/>
      <c r="Z873" s="139"/>
      <c r="AA873" s="139"/>
      <c r="AB873" s="139"/>
      <c r="AC873" s="139"/>
      <c r="AD873" s="139"/>
      <c r="AE873" s="139"/>
      <c r="AF873" s="139"/>
      <c r="AG873" s="139"/>
      <c r="AH873" s="139"/>
      <c r="AI873" s="139"/>
      <c r="AJ873" s="139"/>
    </row>
    <row r="874">
      <c r="A874" s="9"/>
      <c r="B874" s="139"/>
      <c r="C874" s="139"/>
      <c r="D874" s="139"/>
      <c r="E874" s="139"/>
      <c r="F874" s="139"/>
      <c r="G874" s="139"/>
      <c r="H874" s="139"/>
      <c r="I874" s="139"/>
      <c r="J874" s="139"/>
      <c r="K874" s="139"/>
      <c r="L874" s="139"/>
      <c r="M874" s="139"/>
      <c r="N874" s="139"/>
      <c r="O874" s="139"/>
      <c r="P874" s="139"/>
      <c r="Q874" s="139"/>
      <c r="R874" s="139"/>
      <c r="S874" s="139"/>
      <c r="T874" s="139"/>
      <c r="U874" s="139"/>
      <c r="V874" s="139"/>
      <c r="W874" s="139"/>
      <c r="X874" s="139"/>
      <c r="Y874" s="139"/>
      <c r="Z874" s="139"/>
      <c r="AA874" s="139"/>
      <c r="AB874" s="139"/>
      <c r="AC874" s="139"/>
      <c r="AD874" s="139"/>
      <c r="AE874" s="139"/>
      <c r="AF874" s="139"/>
      <c r="AG874" s="139"/>
      <c r="AH874" s="139"/>
      <c r="AI874" s="139"/>
      <c r="AJ874" s="139"/>
    </row>
    <row r="875">
      <c r="A875" s="9"/>
      <c r="B875" s="139"/>
      <c r="C875" s="139"/>
      <c r="D875" s="139"/>
      <c r="E875" s="139"/>
      <c r="F875" s="139"/>
      <c r="G875" s="139"/>
      <c r="H875" s="139"/>
      <c r="I875" s="139"/>
      <c r="J875" s="139"/>
      <c r="K875" s="139"/>
      <c r="L875" s="139"/>
      <c r="M875" s="139"/>
      <c r="N875" s="139"/>
      <c r="O875" s="139"/>
      <c r="P875" s="139"/>
      <c r="Q875" s="139"/>
      <c r="R875" s="139"/>
      <c r="S875" s="139"/>
      <c r="T875" s="139"/>
      <c r="U875" s="139"/>
      <c r="V875" s="139"/>
      <c r="W875" s="139"/>
      <c r="X875" s="139"/>
      <c r="Y875" s="139"/>
      <c r="Z875" s="139"/>
      <c r="AA875" s="139"/>
      <c r="AB875" s="139"/>
      <c r="AC875" s="139"/>
      <c r="AD875" s="139"/>
      <c r="AE875" s="139"/>
      <c r="AF875" s="139"/>
      <c r="AG875" s="139"/>
      <c r="AH875" s="139"/>
      <c r="AI875" s="139"/>
      <c r="AJ875" s="139"/>
    </row>
    <row r="876">
      <c r="A876" s="9"/>
      <c r="B876" s="139"/>
      <c r="C876" s="139"/>
      <c r="D876" s="139"/>
      <c r="E876" s="139"/>
      <c r="F876" s="139"/>
      <c r="G876" s="139"/>
      <c r="H876" s="139"/>
      <c r="I876" s="139"/>
      <c r="J876" s="139"/>
      <c r="K876" s="139"/>
      <c r="L876" s="139"/>
      <c r="M876" s="139"/>
      <c r="N876" s="139"/>
      <c r="O876" s="139"/>
      <c r="P876" s="139"/>
      <c r="Q876" s="139"/>
      <c r="R876" s="139"/>
      <c r="S876" s="139"/>
      <c r="T876" s="139"/>
      <c r="U876" s="139"/>
      <c r="V876" s="139"/>
      <c r="W876" s="139"/>
      <c r="X876" s="139"/>
      <c r="Y876" s="139"/>
      <c r="Z876" s="139"/>
      <c r="AA876" s="139"/>
      <c r="AB876" s="139"/>
      <c r="AC876" s="139"/>
      <c r="AD876" s="139"/>
      <c r="AE876" s="139"/>
      <c r="AF876" s="139"/>
      <c r="AG876" s="139"/>
      <c r="AH876" s="139"/>
      <c r="AI876" s="139"/>
      <c r="AJ876" s="139"/>
    </row>
    <row r="877">
      <c r="A877" s="9"/>
      <c r="B877" s="139"/>
      <c r="C877" s="139"/>
      <c r="D877" s="139"/>
      <c r="E877" s="139"/>
      <c r="F877" s="139"/>
      <c r="G877" s="139"/>
      <c r="H877" s="139"/>
      <c r="I877" s="139"/>
      <c r="J877" s="139"/>
      <c r="K877" s="139"/>
      <c r="L877" s="139"/>
      <c r="M877" s="139"/>
      <c r="N877" s="139"/>
      <c r="O877" s="139"/>
      <c r="P877" s="139"/>
      <c r="Q877" s="139"/>
      <c r="R877" s="139"/>
      <c r="S877" s="139"/>
      <c r="T877" s="139"/>
      <c r="U877" s="139"/>
      <c r="V877" s="139"/>
      <c r="W877" s="139"/>
      <c r="X877" s="139"/>
      <c r="Y877" s="139"/>
      <c r="Z877" s="139"/>
      <c r="AA877" s="139"/>
      <c r="AB877" s="139"/>
      <c r="AC877" s="139"/>
      <c r="AD877" s="139"/>
      <c r="AE877" s="139"/>
      <c r="AF877" s="139"/>
      <c r="AG877" s="139"/>
      <c r="AH877" s="139"/>
      <c r="AI877" s="139"/>
      <c r="AJ877" s="139"/>
    </row>
    <row r="878">
      <c r="A878" s="9"/>
      <c r="B878" s="139"/>
      <c r="C878" s="139"/>
      <c r="D878" s="139"/>
      <c r="E878" s="139"/>
      <c r="F878" s="139"/>
      <c r="G878" s="139"/>
      <c r="H878" s="139"/>
      <c r="I878" s="139"/>
      <c r="J878" s="139"/>
      <c r="K878" s="139"/>
      <c r="L878" s="139"/>
      <c r="M878" s="139"/>
      <c r="N878" s="139"/>
      <c r="O878" s="139"/>
      <c r="P878" s="139"/>
      <c r="Q878" s="139"/>
      <c r="R878" s="139"/>
      <c r="S878" s="139"/>
      <c r="T878" s="139"/>
      <c r="U878" s="139"/>
      <c r="V878" s="139"/>
      <c r="W878" s="139"/>
      <c r="X878" s="139"/>
      <c r="Y878" s="139"/>
      <c r="Z878" s="139"/>
      <c r="AA878" s="139"/>
      <c r="AB878" s="139"/>
      <c r="AC878" s="139"/>
      <c r="AD878" s="139"/>
      <c r="AE878" s="139"/>
      <c r="AF878" s="139"/>
      <c r="AG878" s="139"/>
      <c r="AH878" s="139"/>
      <c r="AI878" s="139"/>
      <c r="AJ878" s="139"/>
    </row>
    <row r="879">
      <c r="A879" s="9"/>
      <c r="B879" s="139"/>
      <c r="C879" s="139"/>
      <c r="D879" s="139"/>
      <c r="E879" s="139"/>
      <c r="F879" s="139"/>
      <c r="G879" s="139"/>
      <c r="H879" s="139"/>
      <c r="I879" s="139"/>
      <c r="J879" s="139"/>
      <c r="K879" s="139"/>
      <c r="L879" s="139"/>
      <c r="M879" s="139"/>
      <c r="N879" s="139"/>
      <c r="O879" s="139"/>
      <c r="P879" s="139"/>
      <c r="Q879" s="139"/>
      <c r="R879" s="139"/>
      <c r="S879" s="139"/>
      <c r="T879" s="139"/>
      <c r="U879" s="139"/>
      <c r="V879" s="139"/>
      <c r="W879" s="139"/>
      <c r="X879" s="139"/>
      <c r="Y879" s="139"/>
      <c r="Z879" s="139"/>
      <c r="AA879" s="139"/>
      <c r="AB879" s="139"/>
      <c r="AC879" s="139"/>
      <c r="AD879" s="139"/>
      <c r="AE879" s="139"/>
      <c r="AF879" s="139"/>
      <c r="AG879" s="139"/>
      <c r="AH879" s="139"/>
      <c r="AI879" s="139"/>
      <c r="AJ879" s="139"/>
    </row>
    <row r="880">
      <c r="A880" s="9"/>
      <c r="B880" s="139"/>
      <c r="C880" s="139"/>
      <c r="D880" s="139"/>
      <c r="E880" s="139"/>
      <c r="F880" s="139"/>
      <c r="G880" s="139"/>
      <c r="H880" s="139"/>
      <c r="I880" s="139"/>
      <c r="J880" s="139"/>
      <c r="K880" s="139"/>
      <c r="L880" s="139"/>
      <c r="M880" s="139"/>
      <c r="N880" s="139"/>
      <c r="O880" s="139"/>
      <c r="P880" s="139"/>
      <c r="Q880" s="139"/>
      <c r="R880" s="139"/>
      <c r="S880" s="139"/>
      <c r="T880" s="139"/>
      <c r="U880" s="139"/>
      <c r="V880" s="139"/>
      <c r="W880" s="139"/>
      <c r="X880" s="139"/>
      <c r="Y880" s="139"/>
      <c r="Z880" s="139"/>
      <c r="AA880" s="139"/>
      <c r="AB880" s="139"/>
      <c r="AC880" s="139"/>
      <c r="AD880" s="139"/>
      <c r="AE880" s="139"/>
      <c r="AF880" s="139"/>
      <c r="AG880" s="139"/>
      <c r="AH880" s="139"/>
      <c r="AI880" s="139"/>
      <c r="AJ880" s="139"/>
    </row>
    <row r="881">
      <c r="A881" s="9"/>
      <c r="B881" s="139"/>
      <c r="C881" s="139"/>
      <c r="D881" s="139"/>
      <c r="E881" s="139"/>
      <c r="F881" s="139"/>
      <c r="G881" s="139"/>
      <c r="H881" s="139"/>
      <c r="I881" s="139"/>
      <c r="J881" s="139"/>
      <c r="K881" s="139"/>
      <c r="L881" s="139"/>
      <c r="M881" s="139"/>
      <c r="N881" s="139"/>
      <c r="O881" s="139"/>
      <c r="P881" s="139"/>
      <c r="Q881" s="139"/>
      <c r="R881" s="139"/>
      <c r="S881" s="139"/>
      <c r="T881" s="139"/>
      <c r="U881" s="139"/>
      <c r="V881" s="139"/>
      <c r="W881" s="139"/>
      <c r="X881" s="139"/>
      <c r="Y881" s="139"/>
      <c r="Z881" s="139"/>
      <c r="AA881" s="139"/>
      <c r="AB881" s="139"/>
      <c r="AC881" s="139"/>
      <c r="AD881" s="139"/>
      <c r="AE881" s="139"/>
      <c r="AF881" s="139"/>
      <c r="AG881" s="139"/>
      <c r="AH881" s="139"/>
      <c r="AI881" s="139"/>
      <c r="AJ881" s="139"/>
    </row>
    <row r="882">
      <c r="A882" s="9"/>
      <c r="B882" s="139"/>
      <c r="C882" s="139"/>
      <c r="D882" s="139"/>
      <c r="E882" s="139"/>
      <c r="F882" s="139"/>
      <c r="G882" s="139"/>
      <c r="H882" s="139"/>
      <c r="I882" s="139"/>
      <c r="J882" s="139"/>
      <c r="K882" s="139"/>
      <c r="L882" s="139"/>
      <c r="M882" s="139"/>
      <c r="N882" s="139"/>
      <c r="O882" s="139"/>
      <c r="P882" s="139"/>
      <c r="Q882" s="139"/>
      <c r="R882" s="139"/>
      <c r="S882" s="139"/>
      <c r="T882" s="139"/>
      <c r="U882" s="139"/>
      <c r="V882" s="139"/>
      <c r="W882" s="139"/>
      <c r="X882" s="139"/>
      <c r="Y882" s="139"/>
      <c r="Z882" s="139"/>
      <c r="AA882" s="139"/>
      <c r="AB882" s="139"/>
      <c r="AC882" s="139"/>
      <c r="AD882" s="139"/>
      <c r="AE882" s="139"/>
      <c r="AF882" s="139"/>
      <c r="AG882" s="139"/>
      <c r="AH882" s="139"/>
      <c r="AI882" s="139"/>
      <c r="AJ882" s="139"/>
    </row>
    <row r="883">
      <c r="A883" s="9"/>
      <c r="B883" s="139"/>
      <c r="C883" s="139"/>
      <c r="D883" s="139"/>
      <c r="E883" s="139"/>
      <c r="F883" s="139"/>
      <c r="G883" s="139"/>
      <c r="H883" s="139"/>
      <c r="I883" s="139"/>
      <c r="J883" s="139"/>
      <c r="K883" s="139"/>
      <c r="L883" s="139"/>
      <c r="M883" s="139"/>
      <c r="N883" s="139"/>
      <c r="O883" s="139"/>
      <c r="P883" s="139"/>
      <c r="Q883" s="139"/>
      <c r="R883" s="139"/>
      <c r="S883" s="139"/>
      <c r="T883" s="139"/>
      <c r="U883" s="139"/>
      <c r="V883" s="139"/>
      <c r="W883" s="139"/>
      <c r="X883" s="139"/>
      <c r="Y883" s="139"/>
      <c r="Z883" s="139"/>
      <c r="AA883" s="139"/>
      <c r="AB883" s="139"/>
      <c r="AC883" s="139"/>
      <c r="AD883" s="139"/>
      <c r="AE883" s="139"/>
      <c r="AF883" s="139"/>
      <c r="AG883" s="139"/>
      <c r="AH883" s="139"/>
      <c r="AI883" s="139"/>
      <c r="AJ883" s="139"/>
    </row>
    <row r="884">
      <c r="A884" s="9"/>
      <c r="B884" s="139"/>
      <c r="C884" s="139"/>
      <c r="D884" s="139"/>
      <c r="E884" s="139"/>
      <c r="F884" s="139"/>
      <c r="G884" s="139"/>
      <c r="H884" s="139"/>
      <c r="I884" s="139"/>
      <c r="J884" s="139"/>
      <c r="K884" s="139"/>
      <c r="L884" s="139"/>
      <c r="M884" s="139"/>
      <c r="N884" s="139"/>
      <c r="O884" s="139"/>
      <c r="P884" s="139"/>
      <c r="Q884" s="139"/>
      <c r="R884" s="139"/>
      <c r="S884" s="139"/>
      <c r="T884" s="139"/>
      <c r="U884" s="139"/>
      <c r="V884" s="139"/>
      <c r="W884" s="139"/>
      <c r="X884" s="139"/>
      <c r="Y884" s="139"/>
      <c r="Z884" s="139"/>
      <c r="AA884" s="139"/>
      <c r="AB884" s="139"/>
      <c r="AC884" s="139"/>
      <c r="AD884" s="139"/>
      <c r="AE884" s="139"/>
      <c r="AF884" s="139"/>
      <c r="AG884" s="139"/>
      <c r="AH884" s="139"/>
      <c r="AI884" s="139"/>
      <c r="AJ884" s="139"/>
    </row>
    <row r="885">
      <c r="A885" s="9"/>
      <c r="B885" s="139"/>
      <c r="C885" s="139"/>
      <c r="D885" s="139"/>
      <c r="E885" s="139"/>
      <c r="F885" s="139"/>
      <c r="G885" s="139"/>
      <c r="H885" s="139"/>
      <c r="I885" s="139"/>
      <c r="J885" s="139"/>
      <c r="K885" s="139"/>
      <c r="L885" s="139"/>
      <c r="M885" s="139"/>
      <c r="N885" s="139"/>
      <c r="O885" s="139"/>
      <c r="P885" s="139"/>
      <c r="Q885" s="139"/>
      <c r="R885" s="139"/>
      <c r="S885" s="139"/>
      <c r="T885" s="139"/>
      <c r="U885" s="139"/>
      <c r="V885" s="139"/>
      <c r="W885" s="139"/>
      <c r="X885" s="139"/>
      <c r="Y885" s="139"/>
      <c r="Z885" s="139"/>
      <c r="AA885" s="139"/>
      <c r="AB885" s="139"/>
      <c r="AC885" s="139"/>
      <c r="AD885" s="139"/>
      <c r="AE885" s="139"/>
      <c r="AF885" s="139"/>
      <c r="AG885" s="139"/>
      <c r="AH885" s="139"/>
      <c r="AI885" s="139"/>
      <c r="AJ885" s="139"/>
    </row>
    <row r="886">
      <c r="A886" s="9"/>
      <c r="B886" s="139"/>
      <c r="C886" s="139"/>
      <c r="D886" s="139"/>
      <c r="E886" s="139"/>
      <c r="F886" s="139"/>
      <c r="G886" s="139"/>
      <c r="H886" s="139"/>
      <c r="I886" s="139"/>
      <c r="J886" s="139"/>
      <c r="K886" s="139"/>
      <c r="L886" s="139"/>
      <c r="M886" s="139"/>
      <c r="N886" s="139"/>
      <c r="O886" s="139"/>
      <c r="P886" s="139"/>
      <c r="Q886" s="139"/>
      <c r="R886" s="139"/>
      <c r="S886" s="139"/>
      <c r="T886" s="139"/>
      <c r="U886" s="139"/>
      <c r="V886" s="139"/>
      <c r="W886" s="139"/>
      <c r="X886" s="139"/>
      <c r="Y886" s="139"/>
      <c r="Z886" s="139"/>
      <c r="AA886" s="139"/>
      <c r="AB886" s="139"/>
      <c r="AC886" s="139"/>
      <c r="AD886" s="139"/>
      <c r="AE886" s="139"/>
      <c r="AF886" s="139"/>
      <c r="AG886" s="139"/>
      <c r="AH886" s="139"/>
      <c r="AI886" s="139"/>
      <c r="AJ886" s="139"/>
    </row>
    <row r="887">
      <c r="A887" s="9"/>
      <c r="B887" s="139"/>
      <c r="C887" s="139"/>
      <c r="D887" s="139"/>
      <c r="E887" s="139"/>
      <c r="F887" s="139"/>
      <c r="G887" s="139"/>
      <c r="H887" s="139"/>
      <c r="I887" s="139"/>
      <c r="J887" s="139"/>
      <c r="K887" s="139"/>
      <c r="L887" s="139"/>
      <c r="M887" s="139"/>
      <c r="N887" s="139"/>
      <c r="O887" s="139"/>
      <c r="P887" s="139"/>
      <c r="Q887" s="139"/>
      <c r="R887" s="139"/>
      <c r="S887" s="139"/>
      <c r="T887" s="139"/>
      <c r="U887" s="139"/>
      <c r="V887" s="139"/>
      <c r="W887" s="139"/>
      <c r="X887" s="139"/>
      <c r="Y887" s="139"/>
      <c r="Z887" s="139"/>
      <c r="AA887" s="139"/>
      <c r="AB887" s="139"/>
      <c r="AC887" s="139"/>
      <c r="AD887" s="139"/>
      <c r="AE887" s="139"/>
      <c r="AF887" s="139"/>
      <c r="AG887" s="139"/>
      <c r="AH887" s="139"/>
      <c r="AI887" s="139"/>
      <c r="AJ887" s="139"/>
    </row>
    <row r="888">
      <c r="A888" s="9"/>
      <c r="B888" s="139"/>
      <c r="C888" s="139"/>
      <c r="D888" s="139"/>
      <c r="E888" s="139"/>
      <c r="F888" s="139"/>
      <c r="G888" s="139"/>
      <c r="H888" s="139"/>
      <c r="I888" s="139"/>
      <c r="J888" s="139"/>
      <c r="K888" s="139"/>
      <c r="L888" s="139"/>
      <c r="M888" s="139"/>
      <c r="N888" s="139"/>
      <c r="O888" s="139"/>
      <c r="P888" s="139"/>
      <c r="Q888" s="139"/>
      <c r="R888" s="139"/>
      <c r="S888" s="139"/>
      <c r="T888" s="139"/>
      <c r="U888" s="139"/>
      <c r="V888" s="139"/>
      <c r="W888" s="139"/>
      <c r="X888" s="139"/>
      <c r="Y888" s="139"/>
      <c r="Z888" s="139"/>
      <c r="AA888" s="139"/>
      <c r="AB888" s="139"/>
      <c r="AC888" s="139"/>
      <c r="AD888" s="139"/>
      <c r="AE888" s="139"/>
      <c r="AF888" s="139"/>
      <c r="AG888" s="139"/>
      <c r="AH888" s="139"/>
      <c r="AI888" s="139"/>
      <c r="AJ888" s="139"/>
    </row>
    <row r="889">
      <c r="A889" s="9"/>
      <c r="B889" s="139"/>
      <c r="C889" s="139"/>
      <c r="D889" s="139"/>
      <c r="E889" s="139"/>
      <c r="F889" s="139"/>
      <c r="G889" s="139"/>
      <c r="H889" s="139"/>
      <c r="I889" s="139"/>
      <c r="J889" s="139"/>
      <c r="K889" s="139"/>
      <c r="L889" s="139"/>
      <c r="M889" s="139"/>
      <c r="N889" s="139"/>
      <c r="O889" s="139"/>
      <c r="P889" s="139"/>
      <c r="Q889" s="139"/>
      <c r="R889" s="139"/>
      <c r="S889" s="139"/>
      <c r="T889" s="139"/>
      <c r="U889" s="139"/>
      <c r="V889" s="139"/>
      <c r="W889" s="139"/>
      <c r="X889" s="139"/>
      <c r="Y889" s="139"/>
      <c r="Z889" s="139"/>
      <c r="AA889" s="139"/>
      <c r="AB889" s="139"/>
      <c r="AC889" s="139"/>
      <c r="AD889" s="139"/>
      <c r="AE889" s="139"/>
      <c r="AF889" s="139"/>
      <c r="AG889" s="139"/>
      <c r="AH889" s="139"/>
      <c r="AI889" s="139"/>
      <c r="AJ889" s="139"/>
    </row>
    <row r="890">
      <c r="A890" s="9"/>
      <c r="B890" s="139"/>
      <c r="C890" s="139"/>
      <c r="D890" s="139"/>
      <c r="E890" s="139"/>
      <c r="F890" s="139"/>
      <c r="G890" s="139"/>
      <c r="H890" s="139"/>
      <c r="I890" s="139"/>
      <c r="J890" s="139"/>
      <c r="K890" s="139"/>
      <c r="L890" s="139"/>
      <c r="M890" s="139"/>
      <c r="N890" s="139"/>
      <c r="O890" s="139"/>
      <c r="P890" s="139"/>
      <c r="Q890" s="139"/>
      <c r="R890" s="139"/>
      <c r="S890" s="139"/>
      <c r="T890" s="139"/>
      <c r="U890" s="139"/>
      <c r="V890" s="139"/>
      <c r="W890" s="139"/>
      <c r="X890" s="139"/>
      <c r="Y890" s="139"/>
      <c r="Z890" s="139"/>
      <c r="AA890" s="139"/>
      <c r="AB890" s="139"/>
      <c r="AC890" s="139"/>
      <c r="AD890" s="139"/>
      <c r="AE890" s="139"/>
      <c r="AF890" s="139"/>
      <c r="AG890" s="139"/>
      <c r="AH890" s="139"/>
      <c r="AI890" s="139"/>
      <c r="AJ890" s="139"/>
    </row>
    <row r="891">
      <c r="A891" s="9"/>
      <c r="B891" s="139"/>
      <c r="C891" s="139"/>
      <c r="D891" s="139"/>
      <c r="E891" s="139"/>
      <c r="F891" s="139"/>
      <c r="G891" s="139"/>
      <c r="H891" s="139"/>
      <c r="I891" s="139"/>
      <c r="J891" s="139"/>
      <c r="K891" s="139"/>
      <c r="L891" s="139"/>
      <c r="M891" s="139"/>
      <c r="N891" s="139"/>
      <c r="O891" s="139"/>
      <c r="P891" s="139"/>
      <c r="Q891" s="139"/>
      <c r="R891" s="139"/>
      <c r="S891" s="139"/>
      <c r="T891" s="139"/>
      <c r="U891" s="139"/>
      <c r="V891" s="139"/>
      <c r="W891" s="139"/>
      <c r="X891" s="139"/>
      <c r="Y891" s="139"/>
      <c r="Z891" s="139"/>
      <c r="AA891" s="139"/>
      <c r="AB891" s="139"/>
      <c r="AC891" s="139"/>
      <c r="AD891" s="139"/>
      <c r="AE891" s="139"/>
      <c r="AF891" s="139"/>
      <c r="AG891" s="139"/>
      <c r="AH891" s="139"/>
      <c r="AI891" s="139"/>
      <c r="AJ891" s="139"/>
    </row>
    <row r="892">
      <c r="A892" s="9"/>
      <c r="B892" s="139"/>
      <c r="C892" s="139"/>
      <c r="D892" s="139"/>
      <c r="E892" s="139"/>
      <c r="F892" s="139"/>
      <c r="G892" s="139"/>
      <c r="H892" s="139"/>
      <c r="I892" s="139"/>
      <c r="J892" s="139"/>
      <c r="K892" s="139"/>
      <c r="L892" s="139"/>
      <c r="M892" s="139"/>
      <c r="N892" s="139"/>
      <c r="O892" s="139"/>
      <c r="P892" s="139"/>
      <c r="Q892" s="139"/>
      <c r="R892" s="139"/>
      <c r="S892" s="139"/>
      <c r="T892" s="139"/>
      <c r="U892" s="139"/>
      <c r="V892" s="139"/>
      <c r="W892" s="139"/>
      <c r="X892" s="139"/>
      <c r="Y892" s="139"/>
      <c r="Z892" s="139"/>
      <c r="AA892" s="139"/>
      <c r="AB892" s="139"/>
      <c r="AC892" s="139"/>
      <c r="AD892" s="139"/>
      <c r="AE892" s="139"/>
      <c r="AF892" s="139"/>
      <c r="AG892" s="139"/>
      <c r="AH892" s="139"/>
      <c r="AI892" s="139"/>
      <c r="AJ892" s="139"/>
    </row>
    <row r="893">
      <c r="A893" s="9"/>
      <c r="B893" s="139"/>
      <c r="C893" s="139"/>
      <c r="D893" s="139"/>
      <c r="E893" s="139"/>
      <c r="F893" s="139"/>
      <c r="G893" s="139"/>
      <c r="H893" s="139"/>
      <c r="I893" s="139"/>
      <c r="J893" s="139"/>
      <c r="K893" s="139"/>
      <c r="L893" s="139"/>
      <c r="M893" s="139"/>
      <c r="N893" s="139"/>
      <c r="O893" s="139"/>
      <c r="P893" s="139"/>
      <c r="Q893" s="139"/>
      <c r="R893" s="139"/>
      <c r="S893" s="139"/>
      <c r="T893" s="139"/>
      <c r="U893" s="139"/>
      <c r="V893" s="139"/>
      <c r="W893" s="139"/>
      <c r="X893" s="139"/>
      <c r="Y893" s="139"/>
      <c r="Z893" s="139"/>
      <c r="AA893" s="139"/>
      <c r="AB893" s="139"/>
      <c r="AC893" s="139"/>
      <c r="AD893" s="139"/>
      <c r="AE893" s="139"/>
      <c r="AF893" s="139"/>
      <c r="AG893" s="139"/>
      <c r="AH893" s="139"/>
      <c r="AI893" s="139"/>
      <c r="AJ893" s="139"/>
    </row>
    <row r="894">
      <c r="A894" s="9"/>
      <c r="B894" s="139"/>
      <c r="C894" s="139"/>
      <c r="D894" s="139"/>
      <c r="E894" s="139"/>
      <c r="F894" s="139"/>
      <c r="G894" s="139"/>
      <c r="H894" s="139"/>
      <c r="I894" s="139"/>
      <c r="J894" s="139"/>
      <c r="K894" s="139"/>
      <c r="L894" s="139"/>
      <c r="M894" s="139"/>
      <c r="N894" s="139"/>
      <c r="O894" s="139"/>
      <c r="P894" s="139"/>
      <c r="Q894" s="139"/>
      <c r="R894" s="139"/>
      <c r="S894" s="139"/>
      <c r="T894" s="139"/>
      <c r="U894" s="139"/>
      <c r="V894" s="139"/>
      <c r="W894" s="139"/>
      <c r="X894" s="139"/>
      <c r="Y894" s="139"/>
      <c r="Z894" s="139"/>
      <c r="AA894" s="139"/>
      <c r="AB894" s="139"/>
      <c r="AC894" s="139"/>
      <c r="AD894" s="139"/>
      <c r="AE894" s="139"/>
      <c r="AF894" s="139"/>
      <c r="AG894" s="139"/>
      <c r="AH894" s="139"/>
      <c r="AI894" s="139"/>
      <c r="AJ894" s="139"/>
    </row>
    <row r="895">
      <c r="A895" s="9"/>
      <c r="B895" s="139"/>
      <c r="C895" s="139"/>
      <c r="D895" s="139"/>
      <c r="E895" s="139"/>
      <c r="F895" s="139"/>
      <c r="G895" s="139"/>
      <c r="H895" s="139"/>
      <c r="I895" s="139"/>
      <c r="J895" s="139"/>
      <c r="K895" s="139"/>
      <c r="L895" s="139"/>
      <c r="M895" s="139"/>
      <c r="N895" s="139"/>
      <c r="O895" s="139"/>
      <c r="P895" s="139"/>
      <c r="Q895" s="139"/>
      <c r="R895" s="139"/>
      <c r="S895" s="139"/>
      <c r="T895" s="139"/>
      <c r="U895" s="139"/>
      <c r="V895" s="139"/>
      <c r="W895" s="139"/>
      <c r="X895" s="139"/>
      <c r="Y895" s="139"/>
      <c r="Z895" s="139"/>
      <c r="AA895" s="139"/>
      <c r="AB895" s="139"/>
      <c r="AC895" s="139"/>
      <c r="AD895" s="139"/>
      <c r="AE895" s="139"/>
      <c r="AF895" s="139"/>
      <c r="AG895" s="139"/>
      <c r="AH895" s="139"/>
      <c r="AI895" s="139"/>
      <c r="AJ895" s="139"/>
    </row>
    <row r="896">
      <c r="A896" s="9"/>
      <c r="B896" s="139"/>
      <c r="C896" s="139"/>
      <c r="D896" s="139"/>
      <c r="E896" s="139"/>
      <c r="F896" s="139"/>
      <c r="G896" s="139"/>
      <c r="H896" s="139"/>
      <c r="I896" s="139"/>
      <c r="J896" s="139"/>
      <c r="K896" s="139"/>
      <c r="L896" s="139"/>
      <c r="M896" s="139"/>
      <c r="N896" s="139"/>
      <c r="O896" s="139"/>
      <c r="P896" s="139"/>
      <c r="Q896" s="139"/>
      <c r="R896" s="139"/>
      <c r="S896" s="139"/>
      <c r="T896" s="139"/>
      <c r="U896" s="139"/>
      <c r="V896" s="139"/>
      <c r="W896" s="139"/>
      <c r="X896" s="139"/>
      <c r="Y896" s="139"/>
      <c r="Z896" s="139"/>
      <c r="AA896" s="139"/>
      <c r="AB896" s="139"/>
      <c r="AC896" s="139"/>
      <c r="AD896" s="139"/>
      <c r="AE896" s="139"/>
      <c r="AF896" s="139"/>
      <c r="AG896" s="139"/>
      <c r="AH896" s="139"/>
      <c r="AI896" s="139"/>
      <c r="AJ896" s="139"/>
    </row>
    <row r="897">
      <c r="A897" s="9"/>
      <c r="B897" s="139"/>
      <c r="C897" s="139"/>
      <c r="D897" s="139"/>
      <c r="E897" s="139"/>
      <c r="F897" s="139"/>
      <c r="G897" s="139"/>
      <c r="H897" s="139"/>
      <c r="I897" s="139"/>
      <c r="J897" s="139"/>
      <c r="K897" s="139"/>
      <c r="L897" s="139"/>
      <c r="M897" s="139"/>
      <c r="N897" s="139"/>
      <c r="O897" s="139"/>
      <c r="P897" s="139"/>
      <c r="Q897" s="139"/>
      <c r="R897" s="139"/>
      <c r="S897" s="139"/>
      <c r="T897" s="139"/>
      <c r="U897" s="139"/>
      <c r="V897" s="139"/>
      <c r="W897" s="139"/>
      <c r="X897" s="139"/>
      <c r="Y897" s="139"/>
      <c r="Z897" s="139"/>
      <c r="AA897" s="139"/>
      <c r="AB897" s="139"/>
      <c r="AC897" s="139"/>
      <c r="AD897" s="139"/>
      <c r="AE897" s="139"/>
      <c r="AF897" s="139"/>
      <c r="AG897" s="139"/>
      <c r="AH897" s="139"/>
      <c r="AI897" s="139"/>
      <c r="AJ897" s="139"/>
    </row>
    <row r="898">
      <c r="A898" s="9"/>
      <c r="B898" s="139"/>
      <c r="C898" s="139"/>
      <c r="D898" s="139"/>
      <c r="E898" s="139"/>
      <c r="F898" s="139"/>
      <c r="G898" s="139"/>
      <c r="H898" s="139"/>
      <c r="I898" s="139"/>
      <c r="J898" s="139"/>
      <c r="K898" s="139"/>
      <c r="L898" s="139"/>
      <c r="M898" s="139"/>
      <c r="N898" s="139"/>
      <c r="O898" s="139"/>
      <c r="P898" s="139"/>
      <c r="Q898" s="139"/>
      <c r="R898" s="139"/>
      <c r="S898" s="139"/>
      <c r="T898" s="139"/>
      <c r="U898" s="139"/>
      <c r="V898" s="139"/>
      <c r="W898" s="139"/>
      <c r="X898" s="139"/>
      <c r="Y898" s="139"/>
      <c r="Z898" s="139"/>
      <c r="AA898" s="139"/>
      <c r="AB898" s="139"/>
      <c r="AC898" s="139"/>
      <c r="AD898" s="139"/>
      <c r="AE898" s="139"/>
      <c r="AF898" s="139"/>
      <c r="AG898" s="139"/>
      <c r="AH898" s="139"/>
      <c r="AI898" s="139"/>
      <c r="AJ898" s="139"/>
    </row>
    <row r="899">
      <c r="A899" s="9"/>
      <c r="B899" s="139"/>
      <c r="C899" s="139"/>
      <c r="D899" s="139"/>
      <c r="E899" s="139"/>
      <c r="F899" s="139"/>
      <c r="G899" s="139"/>
      <c r="H899" s="139"/>
      <c r="I899" s="139"/>
      <c r="J899" s="139"/>
      <c r="K899" s="139"/>
      <c r="L899" s="139"/>
      <c r="M899" s="139"/>
      <c r="N899" s="139"/>
      <c r="O899" s="139"/>
      <c r="P899" s="139"/>
      <c r="Q899" s="139"/>
      <c r="R899" s="139"/>
      <c r="S899" s="139"/>
      <c r="T899" s="139"/>
      <c r="U899" s="139"/>
      <c r="V899" s="139"/>
      <c r="W899" s="139"/>
      <c r="X899" s="139"/>
      <c r="Y899" s="139"/>
      <c r="Z899" s="139"/>
      <c r="AA899" s="139"/>
      <c r="AB899" s="139"/>
      <c r="AC899" s="139"/>
      <c r="AD899" s="139"/>
      <c r="AE899" s="139"/>
      <c r="AF899" s="139"/>
      <c r="AG899" s="139"/>
      <c r="AH899" s="139"/>
      <c r="AI899" s="139"/>
      <c r="AJ899" s="139"/>
    </row>
    <row r="900">
      <c r="A900" s="9"/>
      <c r="B900" s="139"/>
      <c r="C900" s="139"/>
      <c r="D900" s="139"/>
      <c r="E900" s="139"/>
      <c r="F900" s="139"/>
      <c r="G900" s="139"/>
      <c r="H900" s="139"/>
      <c r="I900" s="139"/>
      <c r="J900" s="139"/>
      <c r="K900" s="139"/>
      <c r="L900" s="139"/>
      <c r="M900" s="139"/>
      <c r="N900" s="139"/>
      <c r="O900" s="139"/>
      <c r="P900" s="139"/>
      <c r="Q900" s="139"/>
      <c r="R900" s="139"/>
      <c r="S900" s="139"/>
      <c r="T900" s="139"/>
      <c r="U900" s="139"/>
      <c r="V900" s="139"/>
      <c r="W900" s="139"/>
      <c r="X900" s="139"/>
      <c r="Y900" s="139"/>
      <c r="Z900" s="139"/>
      <c r="AA900" s="139"/>
      <c r="AB900" s="139"/>
      <c r="AC900" s="139"/>
      <c r="AD900" s="139"/>
      <c r="AE900" s="139"/>
      <c r="AF900" s="139"/>
      <c r="AG900" s="139"/>
      <c r="AH900" s="139"/>
      <c r="AI900" s="139"/>
      <c r="AJ900" s="139"/>
    </row>
    <row r="901">
      <c r="A901" s="9"/>
      <c r="B901" s="139"/>
      <c r="C901" s="139"/>
      <c r="D901" s="139"/>
      <c r="E901" s="139"/>
      <c r="F901" s="139"/>
      <c r="G901" s="139"/>
      <c r="H901" s="139"/>
      <c r="I901" s="139"/>
      <c r="J901" s="139"/>
      <c r="K901" s="139"/>
      <c r="L901" s="139"/>
      <c r="M901" s="139"/>
      <c r="N901" s="139"/>
      <c r="O901" s="139"/>
      <c r="P901" s="139"/>
      <c r="Q901" s="139"/>
      <c r="R901" s="139"/>
      <c r="S901" s="139"/>
      <c r="T901" s="139"/>
      <c r="U901" s="139"/>
      <c r="V901" s="139"/>
      <c r="W901" s="139"/>
      <c r="X901" s="139"/>
      <c r="Y901" s="139"/>
      <c r="Z901" s="139"/>
      <c r="AA901" s="139"/>
      <c r="AB901" s="139"/>
      <c r="AC901" s="139"/>
      <c r="AD901" s="139"/>
      <c r="AE901" s="139"/>
      <c r="AF901" s="139"/>
      <c r="AG901" s="139"/>
      <c r="AH901" s="139"/>
      <c r="AI901" s="139"/>
      <c r="AJ901" s="139"/>
    </row>
    <row r="902">
      <c r="A902" s="9"/>
      <c r="B902" s="139"/>
      <c r="C902" s="139"/>
      <c r="D902" s="139"/>
      <c r="E902" s="139"/>
      <c r="F902" s="139"/>
      <c r="G902" s="139"/>
      <c r="H902" s="139"/>
      <c r="I902" s="139"/>
      <c r="J902" s="139"/>
      <c r="K902" s="139"/>
      <c r="L902" s="139"/>
      <c r="M902" s="139"/>
      <c r="N902" s="139"/>
      <c r="O902" s="139"/>
      <c r="P902" s="139"/>
      <c r="Q902" s="139"/>
      <c r="R902" s="139"/>
      <c r="S902" s="139"/>
      <c r="T902" s="139"/>
      <c r="U902" s="139"/>
      <c r="V902" s="139"/>
      <c r="W902" s="139"/>
      <c r="X902" s="139"/>
      <c r="Y902" s="139"/>
      <c r="Z902" s="139"/>
      <c r="AA902" s="139"/>
      <c r="AB902" s="139"/>
      <c r="AC902" s="139"/>
      <c r="AD902" s="139"/>
      <c r="AE902" s="139"/>
      <c r="AF902" s="139"/>
      <c r="AG902" s="139"/>
      <c r="AH902" s="139"/>
      <c r="AI902" s="139"/>
      <c r="AJ902" s="139"/>
    </row>
    <row r="903">
      <c r="A903" s="9"/>
      <c r="B903" s="139"/>
      <c r="C903" s="139"/>
      <c r="D903" s="139"/>
      <c r="E903" s="139"/>
      <c r="F903" s="139"/>
      <c r="G903" s="139"/>
      <c r="H903" s="139"/>
      <c r="I903" s="139"/>
      <c r="J903" s="139"/>
      <c r="K903" s="139"/>
      <c r="L903" s="139"/>
      <c r="M903" s="139"/>
      <c r="N903" s="139"/>
      <c r="O903" s="139"/>
      <c r="P903" s="139"/>
      <c r="Q903" s="139"/>
      <c r="R903" s="139"/>
      <c r="S903" s="139"/>
      <c r="T903" s="139"/>
      <c r="U903" s="139"/>
      <c r="V903" s="139"/>
      <c r="W903" s="139"/>
      <c r="X903" s="139"/>
      <c r="Y903" s="139"/>
      <c r="Z903" s="139"/>
      <c r="AA903" s="139"/>
      <c r="AB903" s="139"/>
      <c r="AC903" s="139"/>
      <c r="AD903" s="139"/>
      <c r="AE903" s="139"/>
      <c r="AF903" s="139"/>
      <c r="AG903" s="139"/>
      <c r="AH903" s="139"/>
      <c r="AI903" s="139"/>
      <c r="AJ903" s="139"/>
    </row>
    <row r="904">
      <c r="A904" s="9"/>
      <c r="B904" s="139"/>
      <c r="C904" s="139"/>
      <c r="D904" s="139"/>
      <c r="E904" s="139"/>
      <c r="F904" s="139"/>
      <c r="G904" s="139"/>
      <c r="H904" s="139"/>
      <c r="I904" s="139"/>
      <c r="J904" s="139"/>
      <c r="K904" s="139"/>
      <c r="L904" s="139"/>
      <c r="M904" s="139"/>
      <c r="N904" s="139"/>
      <c r="O904" s="139"/>
      <c r="P904" s="139"/>
      <c r="Q904" s="139"/>
      <c r="R904" s="139"/>
      <c r="S904" s="139"/>
      <c r="T904" s="139"/>
      <c r="U904" s="139"/>
      <c r="V904" s="139"/>
      <c r="W904" s="139"/>
      <c r="X904" s="139"/>
      <c r="Y904" s="139"/>
      <c r="Z904" s="139"/>
      <c r="AA904" s="139"/>
      <c r="AB904" s="139"/>
      <c r="AC904" s="139"/>
      <c r="AD904" s="139"/>
      <c r="AE904" s="139"/>
      <c r="AF904" s="139"/>
      <c r="AG904" s="139"/>
      <c r="AH904" s="139"/>
      <c r="AI904" s="139"/>
      <c r="AJ904" s="139"/>
    </row>
    <row r="905">
      <c r="A905" s="9"/>
      <c r="B905" s="139"/>
      <c r="C905" s="139"/>
      <c r="D905" s="139"/>
      <c r="E905" s="139"/>
      <c r="F905" s="139"/>
      <c r="G905" s="139"/>
      <c r="H905" s="139"/>
      <c r="I905" s="139"/>
      <c r="J905" s="139"/>
      <c r="K905" s="139"/>
      <c r="L905" s="139"/>
      <c r="M905" s="139"/>
      <c r="N905" s="139"/>
      <c r="O905" s="139"/>
      <c r="P905" s="139"/>
      <c r="Q905" s="139"/>
      <c r="R905" s="139"/>
      <c r="S905" s="139"/>
      <c r="T905" s="139"/>
      <c r="U905" s="139"/>
      <c r="V905" s="139"/>
      <c r="W905" s="139"/>
      <c r="X905" s="139"/>
      <c r="Y905" s="139"/>
      <c r="Z905" s="139"/>
      <c r="AA905" s="139"/>
      <c r="AB905" s="139"/>
      <c r="AC905" s="139"/>
      <c r="AD905" s="139"/>
      <c r="AE905" s="139"/>
      <c r="AF905" s="139"/>
      <c r="AG905" s="139"/>
      <c r="AH905" s="139"/>
      <c r="AI905" s="139"/>
      <c r="AJ905" s="139"/>
    </row>
    <row r="906">
      <c r="A906" s="9"/>
      <c r="B906" s="139"/>
      <c r="C906" s="139"/>
      <c r="D906" s="139"/>
      <c r="E906" s="139"/>
      <c r="F906" s="139"/>
      <c r="G906" s="139"/>
      <c r="H906" s="139"/>
      <c r="I906" s="139"/>
      <c r="J906" s="139"/>
      <c r="K906" s="139"/>
      <c r="L906" s="139"/>
      <c r="M906" s="139"/>
      <c r="N906" s="139"/>
      <c r="O906" s="139"/>
      <c r="P906" s="139"/>
      <c r="Q906" s="139"/>
      <c r="R906" s="139"/>
      <c r="S906" s="139"/>
      <c r="T906" s="139"/>
      <c r="U906" s="139"/>
      <c r="V906" s="139"/>
      <c r="W906" s="139"/>
      <c r="X906" s="139"/>
      <c r="Y906" s="139"/>
      <c r="Z906" s="139"/>
      <c r="AA906" s="139"/>
      <c r="AB906" s="139"/>
      <c r="AC906" s="139"/>
      <c r="AD906" s="139"/>
      <c r="AE906" s="139"/>
      <c r="AF906" s="139"/>
      <c r="AG906" s="139"/>
      <c r="AH906" s="139"/>
      <c r="AI906" s="139"/>
      <c r="AJ906" s="139"/>
    </row>
    <row r="907">
      <c r="A907" s="9"/>
      <c r="B907" s="139"/>
      <c r="C907" s="139"/>
      <c r="D907" s="139"/>
      <c r="E907" s="139"/>
      <c r="F907" s="139"/>
      <c r="G907" s="139"/>
      <c r="H907" s="139"/>
      <c r="I907" s="139"/>
      <c r="J907" s="139"/>
      <c r="K907" s="139"/>
      <c r="L907" s="139"/>
      <c r="M907" s="139"/>
      <c r="N907" s="139"/>
      <c r="O907" s="139"/>
      <c r="P907" s="139"/>
      <c r="Q907" s="139"/>
      <c r="R907" s="139"/>
      <c r="S907" s="139"/>
      <c r="T907" s="139"/>
      <c r="U907" s="139"/>
      <c r="V907" s="139"/>
      <c r="W907" s="139"/>
      <c r="X907" s="139"/>
      <c r="Y907" s="139"/>
      <c r="Z907" s="139"/>
      <c r="AA907" s="139"/>
      <c r="AB907" s="139"/>
      <c r="AC907" s="139"/>
      <c r="AD907" s="139"/>
      <c r="AE907" s="139"/>
      <c r="AF907" s="139"/>
      <c r="AG907" s="139"/>
      <c r="AH907" s="139"/>
      <c r="AI907" s="139"/>
      <c r="AJ907" s="139"/>
    </row>
    <row r="908">
      <c r="A908" s="9"/>
      <c r="B908" s="139"/>
      <c r="C908" s="139"/>
      <c r="D908" s="139"/>
      <c r="E908" s="139"/>
      <c r="F908" s="139"/>
      <c r="G908" s="139"/>
      <c r="H908" s="139"/>
      <c r="I908" s="139"/>
      <c r="J908" s="139"/>
      <c r="K908" s="139"/>
      <c r="L908" s="139"/>
      <c r="M908" s="139"/>
      <c r="N908" s="139"/>
      <c r="O908" s="139"/>
      <c r="P908" s="139"/>
      <c r="Q908" s="139"/>
      <c r="R908" s="139"/>
      <c r="S908" s="139"/>
      <c r="T908" s="139"/>
      <c r="U908" s="139"/>
      <c r="V908" s="139"/>
      <c r="W908" s="139"/>
      <c r="X908" s="139"/>
      <c r="Y908" s="139"/>
      <c r="Z908" s="139"/>
      <c r="AA908" s="139"/>
      <c r="AB908" s="139"/>
      <c r="AC908" s="139"/>
      <c r="AD908" s="139"/>
      <c r="AE908" s="139"/>
      <c r="AF908" s="139"/>
      <c r="AG908" s="139"/>
      <c r="AH908" s="139"/>
      <c r="AI908" s="139"/>
      <c r="AJ908" s="139"/>
    </row>
    <row r="909">
      <c r="A909" s="9"/>
      <c r="B909" s="139"/>
      <c r="C909" s="139"/>
      <c r="D909" s="139"/>
      <c r="E909" s="139"/>
      <c r="F909" s="139"/>
      <c r="G909" s="139"/>
      <c r="H909" s="139"/>
      <c r="I909" s="139"/>
      <c r="J909" s="139"/>
      <c r="K909" s="139"/>
      <c r="L909" s="139"/>
      <c r="M909" s="139"/>
      <c r="N909" s="139"/>
      <c r="O909" s="139"/>
      <c r="P909" s="139"/>
      <c r="Q909" s="139"/>
      <c r="R909" s="139"/>
      <c r="S909" s="139"/>
      <c r="T909" s="139"/>
      <c r="U909" s="139"/>
      <c r="V909" s="139"/>
      <c r="W909" s="139"/>
      <c r="X909" s="139"/>
      <c r="Y909" s="139"/>
      <c r="Z909" s="139"/>
      <c r="AA909" s="139"/>
      <c r="AB909" s="139"/>
      <c r="AC909" s="139"/>
      <c r="AD909" s="139"/>
      <c r="AE909" s="139"/>
      <c r="AF909" s="139"/>
      <c r="AG909" s="139"/>
      <c r="AH909" s="139"/>
      <c r="AI909" s="139"/>
      <c r="AJ909" s="139"/>
    </row>
    <row r="910">
      <c r="A910" s="9"/>
      <c r="B910" s="139"/>
      <c r="C910" s="139"/>
      <c r="D910" s="139"/>
      <c r="E910" s="139"/>
      <c r="F910" s="139"/>
      <c r="G910" s="139"/>
      <c r="H910" s="139"/>
      <c r="I910" s="139"/>
      <c r="J910" s="139"/>
      <c r="K910" s="139"/>
      <c r="L910" s="139"/>
      <c r="M910" s="139"/>
      <c r="N910" s="139"/>
      <c r="O910" s="139"/>
      <c r="P910" s="139"/>
      <c r="Q910" s="139"/>
      <c r="R910" s="139"/>
      <c r="S910" s="139"/>
      <c r="T910" s="139"/>
      <c r="U910" s="139"/>
      <c r="V910" s="139"/>
      <c r="W910" s="139"/>
      <c r="X910" s="139"/>
      <c r="Y910" s="139"/>
      <c r="Z910" s="139"/>
      <c r="AA910" s="139"/>
      <c r="AB910" s="139"/>
      <c r="AC910" s="139"/>
      <c r="AD910" s="139"/>
      <c r="AE910" s="139"/>
      <c r="AF910" s="139"/>
      <c r="AG910" s="139"/>
      <c r="AH910" s="139"/>
      <c r="AI910" s="139"/>
      <c r="AJ910" s="139"/>
    </row>
    <row r="911">
      <c r="A911" s="9"/>
      <c r="B911" s="139"/>
      <c r="C911" s="139"/>
      <c r="D911" s="139"/>
      <c r="E911" s="139"/>
      <c r="F911" s="139"/>
      <c r="G911" s="139"/>
      <c r="H911" s="139"/>
      <c r="I911" s="139"/>
      <c r="J911" s="139"/>
      <c r="K911" s="139"/>
      <c r="L911" s="139"/>
      <c r="M911" s="139"/>
      <c r="N911" s="139"/>
      <c r="O911" s="139"/>
      <c r="P911" s="139"/>
      <c r="Q911" s="139"/>
      <c r="R911" s="139"/>
      <c r="S911" s="139"/>
      <c r="T911" s="139"/>
      <c r="U911" s="139"/>
      <c r="V911" s="139"/>
      <c r="W911" s="139"/>
      <c r="X911" s="139"/>
      <c r="Y911" s="139"/>
      <c r="Z911" s="139"/>
      <c r="AA911" s="139"/>
      <c r="AB911" s="139"/>
      <c r="AC911" s="139"/>
      <c r="AD911" s="139"/>
      <c r="AE911" s="139"/>
      <c r="AF911" s="139"/>
      <c r="AG911" s="139"/>
      <c r="AH911" s="139"/>
      <c r="AI911" s="139"/>
      <c r="AJ911" s="139"/>
    </row>
    <row r="912">
      <c r="A912" s="9"/>
      <c r="B912" s="139"/>
      <c r="C912" s="139"/>
      <c r="D912" s="139"/>
      <c r="E912" s="139"/>
      <c r="F912" s="139"/>
      <c r="G912" s="139"/>
      <c r="H912" s="139"/>
      <c r="I912" s="139"/>
      <c r="J912" s="139"/>
      <c r="K912" s="139"/>
      <c r="L912" s="139"/>
      <c r="M912" s="139"/>
      <c r="N912" s="139"/>
      <c r="O912" s="139"/>
      <c r="P912" s="139"/>
      <c r="Q912" s="139"/>
      <c r="R912" s="139"/>
      <c r="S912" s="139"/>
      <c r="T912" s="139"/>
      <c r="U912" s="139"/>
      <c r="V912" s="139"/>
      <c r="W912" s="139"/>
      <c r="X912" s="139"/>
      <c r="Y912" s="139"/>
      <c r="Z912" s="139"/>
      <c r="AA912" s="139"/>
      <c r="AB912" s="139"/>
      <c r="AC912" s="139"/>
      <c r="AD912" s="139"/>
      <c r="AE912" s="139"/>
      <c r="AF912" s="139"/>
      <c r="AG912" s="139"/>
      <c r="AH912" s="139"/>
      <c r="AI912" s="139"/>
      <c r="AJ912" s="139"/>
    </row>
    <row r="913">
      <c r="A913" s="9"/>
      <c r="B913" s="139"/>
      <c r="C913" s="139"/>
      <c r="D913" s="139"/>
      <c r="E913" s="139"/>
      <c r="F913" s="139"/>
      <c r="G913" s="139"/>
      <c r="H913" s="139"/>
      <c r="I913" s="139"/>
      <c r="J913" s="139"/>
      <c r="K913" s="139"/>
      <c r="L913" s="139"/>
      <c r="M913" s="139"/>
      <c r="N913" s="139"/>
      <c r="O913" s="139"/>
      <c r="P913" s="139"/>
      <c r="Q913" s="139"/>
      <c r="R913" s="139"/>
      <c r="S913" s="139"/>
      <c r="T913" s="139"/>
      <c r="U913" s="139"/>
      <c r="V913" s="139"/>
      <c r="W913" s="139"/>
      <c r="X913" s="139"/>
      <c r="Y913" s="139"/>
      <c r="Z913" s="139"/>
      <c r="AA913" s="139"/>
      <c r="AB913" s="139"/>
      <c r="AC913" s="139"/>
      <c r="AD913" s="139"/>
      <c r="AE913" s="139"/>
      <c r="AF913" s="139"/>
      <c r="AG913" s="139"/>
      <c r="AH913" s="139"/>
      <c r="AI913" s="139"/>
      <c r="AJ913" s="139"/>
    </row>
    <row r="914">
      <c r="A914" s="9"/>
      <c r="B914" s="139"/>
      <c r="C914" s="139"/>
      <c r="D914" s="139"/>
      <c r="E914" s="139"/>
      <c r="F914" s="139"/>
      <c r="G914" s="139"/>
      <c r="H914" s="139"/>
      <c r="I914" s="139"/>
      <c r="J914" s="139"/>
      <c r="K914" s="139"/>
      <c r="L914" s="139"/>
      <c r="M914" s="139"/>
      <c r="N914" s="139"/>
      <c r="O914" s="139"/>
      <c r="P914" s="139"/>
      <c r="Q914" s="139"/>
      <c r="R914" s="139"/>
      <c r="S914" s="139"/>
      <c r="T914" s="139"/>
      <c r="U914" s="139"/>
      <c r="V914" s="139"/>
      <c r="W914" s="139"/>
      <c r="X914" s="139"/>
      <c r="Y914" s="139"/>
      <c r="Z914" s="139"/>
      <c r="AA914" s="139"/>
      <c r="AB914" s="139"/>
      <c r="AC914" s="139"/>
      <c r="AD914" s="139"/>
      <c r="AE914" s="139"/>
      <c r="AF914" s="139"/>
      <c r="AG914" s="139"/>
      <c r="AH914" s="139"/>
      <c r="AI914" s="139"/>
      <c r="AJ914" s="139"/>
    </row>
    <row r="915">
      <c r="A915" s="9"/>
      <c r="B915" s="139"/>
      <c r="C915" s="139"/>
      <c r="D915" s="139"/>
      <c r="E915" s="139"/>
      <c r="F915" s="139"/>
      <c r="G915" s="139"/>
      <c r="H915" s="139"/>
      <c r="I915" s="139"/>
      <c r="J915" s="139"/>
      <c r="K915" s="139"/>
      <c r="L915" s="139"/>
      <c r="M915" s="139"/>
      <c r="N915" s="139"/>
      <c r="O915" s="139"/>
      <c r="P915" s="139"/>
      <c r="Q915" s="139"/>
      <c r="R915" s="139"/>
      <c r="S915" s="139"/>
      <c r="T915" s="139"/>
      <c r="U915" s="139"/>
      <c r="V915" s="139"/>
      <c r="W915" s="139"/>
      <c r="X915" s="139"/>
      <c r="Y915" s="139"/>
      <c r="Z915" s="139"/>
      <c r="AA915" s="139"/>
      <c r="AB915" s="139"/>
      <c r="AC915" s="139"/>
      <c r="AD915" s="139"/>
      <c r="AE915" s="139"/>
      <c r="AF915" s="139"/>
      <c r="AG915" s="139"/>
      <c r="AH915" s="139"/>
      <c r="AI915" s="139"/>
      <c r="AJ915" s="139"/>
    </row>
    <row r="916">
      <c r="A916" s="9"/>
      <c r="B916" s="139"/>
      <c r="C916" s="139"/>
      <c r="D916" s="139"/>
      <c r="E916" s="139"/>
      <c r="F916" s="139"/>
      <c r="G916" s="139"/>
      <c r="H916" s="139"/>
      <c r="I916" s="139"/>
      <c r="J916" s="139"/>
      <c r="K916" s="139"/>
      <c r="L916" s="139"/>
      <c r="M916" s="139"/>
      <c r="N916" s="139"/>
      <c r="O916" s="139"/>
      <c r="P916" s="139"/>
      <c r="Q916" s="139"/>
      <c r="R916" s="139"/>
      <c r="S916" s="139"/>
      <c r="T916" s="139"/>
      <c r="U916" s="139"/>
      <c r="V916" s="139"/>
      <c r="W916" s="139"/>
      <c r="X916" s="139"/>
      <c r="Y916" s="139"/>
      <c r="Z916" s="139"/>
      <c r="AA916" s="139"/>
      <c r="AB916" s="139"/>
      <c r="AC916" s="139"/>
      <c r="AD916" s="139"/>
      <c r="AE916" s="139"/>
      <c r="AF916" s="139"/>
      <c r="AG916" s="139"/>
      <c r="AH916" s="139"/>
      <c r="AI916" s="139"/>
      <c r="AJ916" s="139"/>
    </row>
    <row r="917">
      <c r="A917" s="9"/>
      <c r="B917" s="139"/>
      <c r="C917" s="139"/>
      <c r="D917" s="139"/>
      <c r="E917" s="139"/>
      <c r="F917" s="139"/>
      <c r="G917" s="139"/>
      <c r="H917" s="139"/>
      <c r="I917" s="139"/>
      <c r="J917" s="139"/>
      <c r="K917" s="139"/>
      <c r="L917" s="139"/>
      <c r="M917" s="139"/>
      <c r="N917" s="139"/>
      <c r="O917" s="139"/>
      <c r="P917" s="139"/>
      <c r="Q917" s="139"/>
      <c r="R917" s="139"/>
      <c r="S917" s="139"/>
      <c r="T917" s="139"/>
      <c r="U917" s="139"/>
      <c r="V917" s="139"/>
      <c r="W917" s="139"/>
      <c r="X917" s="139"/>
      <c r="Y917" s="139"/>
      <c r="Z917" s="139"/>
      <c r="AA917" s="139"/>
      <c r="AB917" s="139"/>
      <c r="AC917" s="139"/>
      <c r="AD917" s="139"/>
      <c r="AE917" s="139"/>
      <c r="AF917" s="139"/>
      <c r="AG917" s="139"/>
      <c r="AH917" s="139"/>
      <c r="AI917" s="139"/>
      <c r="AJ917" s="139"/>
    </row>
    <row r="918">
      <c r="A918" s="9"/>
      <c r="B918" s="139"/>
      <c r="C918" s="139"/>
      <c r="D918" s="139"/>
      <c r="E918" s="139"/>
      <c r="F918" s="139"/>
      <c r="G918" s="139"/>
      <c r="H918" s="139"/>
      <c r="I918" s="139"/>
      <c r="J918" s="139"/>
      <c r="K918" s="139"/>
      <c r="L918" s="139"/>
      <c r="M918" s="139"/>
      <c r="N918" s="139"/>
      <c r="O918" s="139"/>
      <c r="P918" s="139"/>
      <c r="Q918" s="139"/>
      <c r="R918" s="139"/>
      <c r="S918" s="139"/>
      <c r="T918" s="139"/>
      <c r="U918" s="139"/>
      <c r="V918" s="139"/>
      <c r="W918" s="139"/>
      <c r="X918" s="139"/>
      <c r="Y918" s="139"/>
      <c r="Z918" s="139"/>
      <c r="AA918" s="139"/>
      <c r="AB918" s="139"/>
      <c r="AC918" s="139"/>
      <c r="AD918" s="139"/>
      <c r="AE918" s="139"/>
      <c r="AF918" s="139"/>
      <c r="AG918" s="139"/>
      <c r="AH918" s="139"/>
      <c r="AI918" s="139"/>
      <c r="AJ918" s="139"/>
    </row>
    <row r="919">
      <c r="A919" s="9"/>
      <c r="B919" s="139"/>
      <c r="C919" s="139"/>
      <c r="D919" s="139"/>
      <c r="E919" s="139"/>
      <c r="F919" s="139"/>
      <c r="G919" s="139"/>
      <c r="H919" s="139"/>
      <c r="I919" s="139"/>
      <c r="J919" s="139"/>
      <c r="K919" s="139"/>
      <c r="L919" s="139"/>
      <c r="M919" s="139"/>
      <c r="N919" s="139"/>
      <c r="O919" s="139"/>
      <c r="P919" s="139"/>
      <c r="Q919" s="139"/>
      <c r="R919" s="139"/>
      <c r="S919" s="139"/>
      <c r="T919" s="139"/>
      <c r="U919" s="139"/>
      <c r="V919" s="139"/>
      <c r="W919" s="139"/>
      <c r="X919" s="139"/>
      <c r="Y919" s="139"/>
      <c r="Z919" s="139"/>
      <c r="AA919" s="139"/>
      <c r="AB919" s="139"/>
      <c r="AC919" s="139"/>
      <c r="AD919" s="139"/>
      <c r="AE919" s="139"/>
      <c r="AF919" s="139"/>
      <c r="AG919" s="139"/>
      <c r="AH919" s="139"/>
      <c r="AI919" s="139"/>
      <c r="AJ919" s="139"/>
    </row>
    <row r="920">
      <c r="A920" s="9"/>
      <c r="B920" s="139"/>
      <c r="C920" s="139"/>
      <c r="D920" s="139"/>
      <c r="E920" s="139"/>
      <c r="F920" s="139"/>
      <c r="G920" s="139"/>
      <c r="H920" s="139"/>
      <c r="I920" s="139"/>
      <c r="J920" s="139"/>
      <c r="K920" s="139"/>
      <c r="L920" s="139"/>
      <c r="M920" s="139"/>
      <c r="N920" s="139"/>
      <c r="O920" s="139"/>
      <c r="P920" s="139"/>
      <c r="Q920" s="139"/>
      <c r="R920" s="139"/>
      <c r="S920" s="139"/>
      <c r="T920" s="139"/>
      <c r="U920" s="139"/>
      <c r="V920" s="139"/>
      <c r="W920" s="139"/>
      <c r="X920" s="139"/>
      <c r="Y920" s="139"/>
      <c r="Z920" s="139"/>
      <c r="AA920" s="139"/>
      <c r="AB920" s="139"/>
      <c r="AC920" s="139"/>
      <c r="AD920" s="139"/>
      <c r="AE920" s="139"/>
      <c r="AF920" s="139"/>
      <c r="AG920" s="139"/>
      <c r="AH920" s="139"/>
      <c r="AI920" s="139"/>
      <c r="AJ920" s="139"/>
    </row>
    <row r="921">
      <c r="A921" s="9"/>
      <c r="B921" s="139"/>
      <c r="C921" s="139"/>
      <c r="D921" s="139"/>
      <c r="E921" s="139"/>
      <c r="F921" s="139"/>
      <c r="G921" s="139"/>
      <c r="H921" s="139"/>
      <c r="I921" s="139"/>
      <c r="J921" s="139"/>
      <c r="K921" s="139"/>
      <c r="L921" s="139"/>
      <c r="M921" s="139"/>
      <c r="N921" s="139"/>
      <c r="O921" s="139"/>
      <c r="P921" s="139"/>
      <c r="Q921" s="139"/>
      <c r="R921" s="139"/>
      <c r="S921" s="139"/>
      <c r="T921" s="139"/>
      <c r="U921" s="139"/>
      <c r="V921" s="139"/>
      <c r="W921" s="139"/>
      <c r="X921" s="139"/>
      <c r="Y921" s="139"/>
      <c r="Z921" s="139"/>
      <c r="AA921" s="139"/>
      <c r="AB921" s="139"/>
      <c r="AC921" s="139"/>
      <c r="AD921" s="139"/>
      <c r="AE921" s="139"/>
      <c r="AF921" s="139"/>
      <c r="AG921" s="139"/>
      <c r="AH921" s="139"/>
      <c r="AI921" s="139"/>
      <c r="AJ921" s="139"/>
    </row>
    <row r="922">
      <c r="A922" s="9"/>
      <c r="B922" s="139"/>
      <c r="C922" s="139"/>
      <c r="D922" s="139"/>
      <c r="E922" s="139"/>
      <c r="F922" s="139"/>
      <c r="G922" s="139"/>
      <c r="H922" s="139"/>
      <c r="I922" s="139"/>
      <c r="J922" s="139"/>
      <c r="K922" s="139"/>
      <c r="L922" s="139"/>
      <c r="M922" s="139"/>
      <c r="N922" s="139"/>
      <c r="O922" s="139"/>
      <c r="P922" s="139"/>
      <c r="Q922" s="139"/>
      <c r="R922" s="139"/>
      <c r="S922" s="139"/>
      <c r="T922" s="139"/>
      <c r="U922" s="139"/>
      <c r="V922" s="139"/>
      <c r="W922" s="139"/>
      <c r="X922" s="139"/>
      <c r="Y922" s="139"/>
      <c r="Z922" s="139"/>
      <c r="AA922" s="139"/>
      <c r="AB922" s="139"/>
      <c r="AC922" s="139"/>
      <c r="AD922" s="139"/>
      <c r="AE922" s="139"/>
      <c r="AF922" s="139"/>
      <c r="AG922" s="139"/>
      <c r="AH922" s="139"/>
      <c r="AI922" s="139"/>
      <c r="AJ922" s="139"/>
    </row>
    <row r="923">
      <c r="A923" s="9"/>
      <c r="B923" s="139"/>
      <c r="C923" s="139"/>
      <c r="D923" s="139"/>
      <c r="E923" s="139"/>
      <c r="F923" s="139"/>
      <c r="G923" s="139"/>
      <c r="H923" s="139"/>
      <c r="I923" s="139"/>
      <c r="J923" s="139"/>
      <c r="K923" s="139"/>
      <c r="L923" s="139"/>
      <c r="M923" s="139"/>
      <c r="N923" s="139"/>
      <c r="O923" s="139"/>
      <c r="P923" s="139"/>
      <c r="Q923" s="139"/>
      <c r="R923" s="139"/>
      <c r="S923" s="139"/>
      <c r="T923" s="139"/>
      <c r="U923" s="139"/>
      <c r="V923" s="139"/>
      <c r="W923" s="139"/>
      <c r="X923" s="139"/>
      <c r="Y923" s="139"/>
      <c r="Z923" s="139"/>
      <c r="AA923" s="139"/>
      <c r="AB923" s="139"/>
      <c r="AC923" s="139"/>
      <c r="AD923" s="139"/>
      <c r="AE923" s="139"/>
      <c r="AF923" s="139"/>
      <c r="AG923" s="139"/>
      <c r="AH923" s="139"/>
      <c r="AI923" s="139"/>
      <c r="AJ923" s="139"/>
    </row>
    <row r="924">
      <c r="A924" s="9"/>
      <c r="B924" s="139"/>
      <c r="C924" s="139"/>
      <c r="D924" s="139"/>
      <c r="E924" s="139"/>
      <c r="F924" s="139"/>
      <c r="G924" s="139"/>
      <c r="H924" s="139"/>
      <c r="I924" s="139"/>
      <c r="J924" s="139"/>
      <c r="K924" s="139"/>
      <c r="L924" s="139"/>
      <c r="M924" s="139"/>
      <c r="N924" s="139"/>
      <c r="O924" s="139"/>
      <c r="P924" s="139"/>
      <c r="Q924" s="139"/>
      <c r="R924" s="139"/>
      <c r="S924" s="139"/>
      <c r="T924" s="139"/>
      <c r="U924" s="139"/>
      <c r="V924" s="139"/>
      <c r="W924" s="139"/>
      <c r="X924" s="139"/>
      <c r="Y924" s="139"/>
      <c r="Z924" s="139"/>
      <c r="AA924" s="139"/>
      <c r="AB924" s="139"/>
      <c r="AC924" s="139"/>
      <c r="AD924" s="139"/>
      <c r="AE924" s="139"/>
      <c r="AF924" s="139"/>
      <c r="AG924" s="139"/>
      <c r="AH924" s="139"/>
      <c r="AI924" s="139"/>
      <c r="AJ924" s="139"/>
    </row>
    <row r="925">
      <c r="A925" s="9"/>
      <c r="B925" s="139"/>
      <c r="C925" s="139"/>
      <c r="D925" s="139"/>
      <c r="E925" s="139"/>
      <c r="F925" s="139"/>
      <c r="G925" s="139"/>
      <c r="H925" s="139"/>
      <c r="I925" s="139"/>
      <c r="J925" s="139"/>
      <c r="K925" s="139"/>
      <c r="L925" s="139"/>
      <c r="M925" s="139"/>
      <c r="N925" s="139"/>
      <c r="O925" s="139"/>
      <c r="P925" s="139"/>
      <c r="Q925" s="139"/>
      <c r="R925" s="139"/>
      <c r="S925" s="139"/>
      <c r="T925" s="139"/>
      <c r="U925" s="139"/>
      <c r="V925" s="139"/>
      <c r="W925" s="139"/>
      <c r="X925" s="139"/>
      <c r="Y925" s="139"/>
      <c r="Z925" s="139"/>
      <c r="AA925" s="139"/>
      <c r="AB925" s="139"/>
      <c r="AC925" s="139"/>
      <c r="AD925" s="139"/>
      <c r="AE925" s="139"/>
      <c r="AF925" s="139"/>
      <c r="AG925" s="139"/>
      <c r="AH925" s="139"/>
      <c r="AI925" s="139"/>
      <c r="AJ925" s="139"/>
    </row>
    <row r="926">
      <c r="A926" s="9"/>
      <c r="B926" s="139"/>
      <c r="C926" s="139"/>
      <c r="D926" s="139"/>
      <c r="E926" s="139"/>
      <c r="F926" s="139"/>
      <c r="G926" s="139"/>
      <c r="H926" s="139"/>
      <c r="I926" s="139"/>
      <c r="J926" s="139"/>
      <c r="K926" s="139"/>
      <c r="L926" s="139"/>
      <c r="M926" s="139"/>
      <c r="N926" s="139"/>
      <c r="O926" s="139"/>
      <c r="P926" s="139"/>
      <c r="Q926" s="139"/>
      <c r="R926" s="139"/>
      <c r="S926" s="139"/>
      <c r="T926" s="139"/>
      <c r="U926" s="139"/>
      <c r="V926" s="139"/>
      <c r="W926" s="139"/>
      <c r="X926" s="139"/>
      <c r="Y926" s="139"/>
      <c r="Z926" s="139"/>
      <c r="AA926" s="139"/>
      <c r="AB926" s="139"/>
      <c r="AC926" s="139"/>
      <c r="AD926" s="139"/>
      <c r="AE926" s="139"/>
      <c r="AF926" s="139"/>
      <c r="AG926" s="139"/>
      <c r="AH926" s="139"/>
      <c r="AI926" s="139"/>
      <c r="AJ926" s="139"/>
    </row>
    <row r="927">
      <c r="A927" s="9"/>
      <c r="B927" s="139"/>
      <c r="C927" s="139"/>
      <c r="D927" s="139"/>
      <c r="E927" s="139"/>
      <c r="F927" s="139"/>
      <c r="G927" s="139"/>
      <c r="H927" s="139"/>
      <c r="I927" s="139"/>
      <c r="J927" s="139"/>
      <c r="K927" s="139"/>
      <c r="L927" s="139"/>
      <c r="M927" s="139"/>
      <c r="N927" s="139"/>
      <c r="O927" s="139"/>
      <c r="P927" s="139"/>
      <c r="Q927" s="139"/>
      <c r="R927" s="139"/>
      <c r="S927" s="139"/>
      <c r="T927" s="139"/>
      <c r="U927" s="139"/>
      <c r="V927" s="139"/>
      <c r="W927" s="139"/>
      <c r="X927" s="139"/>
      <c r="Y927" s="139"/>
      <c r="Z927" s="139"/>
      <c r="AA927" s="139"/>
      <c r="AB927" s="139"/>
      <c r="AC927" s="139"/>
      <c r="AD927" s="139"/>
      <c r="AE927" s="139"/>
      <c r="AF927" s="139"/>
      <c r="AG927" s="139"/>
      <c r="AH927" s="139"/>
      <c r="AI927" s="139"/>
      <c r="AJ927" s="139"/>
    </row>
    <row r="928">
      <c r="A928" s="9"/>
      <c r="B928" s="139"/>
      <c r="C928" s="139"/>
      <c r="D928" s="139"/>
      <c r="E928" s="139"/>
      <c r="F928" s="139"/>
      <c r="G928" s="139"/>
      <c r="H928" s="139"/>
      <c r="I928" s="139"/>
      <c r="J928" s="139"/>
      <c r="K928" s="139"/>
      <c r="L928" s="139"/>
      <c r="M928" s="139"/>
      <c r="N928" s="139"/>
      <c r="O928" s="139"/>
      <c r="P928" s="139"/>
      <c r="Q928" s="139"/>
      <c r="R928" s="139"/>
      <c r="S928" s="139"/>
      <c r="T928" s="139"/>
      <c r="U928" s="139"/>
      <c r="V928" s="139"/>
      <c r="W928" s="139"/>
      <c r="X928" s="139"/>
      <c r="Y928" s="139"/>
      <c r="Z928" s="139"/>
      <c r="AA928" s="139"/>
      <c r="AB928" s="139"/>
      <c r="AC928" s="139"/>
      <c r="AD928" s="139"/>
      <c r="AE928" s="139"/>
      <c r="AF928" s="139"/>
      <c r="AG928" s="139"/>
      <c r="AH928" s="139"/>
      <c r="AI928" s="139"/>
      <c r="AJ928" s="139"/>
    </row>
    <row r="929">
      <c r="A929" s="9"/>
      <c r="B929" s="139"/>
      <c r="C929" s="139"/>
      <c r="D929" s="139"/>
      <c r="E929" s="139"/>
      <c r="F929" s="139"/>
      <c r="G929" s="139"/>
      <c r="H929" s="139"/>
      <c r="I929" s="139"/>
      <c r="J929" s="139"/>
      <c r="K929" s="139"/>
      <c r="L929" s="139"/>
      <c r="M929" s="139"/>
      <c r="N929" s="139"/>
      <c r="O929" s="139"/>
      <c r="P929" s="139"/>
      <c r="Q929" s="139"/>
      <c r="R929" s="139"/>
      <c r="S929" s="139"/>
      <c r="T929" s="139"/>
      <c r="U929" s="139"/>
      <c r="V929" s="139"/>
      <c r="W929" s="139"/>
      <c r="X929" s="139"/>
      <c r="Y929" s="139"/>
      <c r="Z929" s="139"/>
      <c r="AA929" s="139"/>
      <c r="AB929" s="139"/>
      <c r="AC929" s="139"/>
      <c r="AD929" s="139"/>
      <c r="AE929" s="139"/>
      <c r="AF929" s="139"/>
      <c r="AG929" s="139"/>
      <c r="AH929" s="139"/>
      <c r="AI929" s="139"/>
      <c r="AJ929" s="139"/>
    </row>
    <row r="930">
      <c r="A930" s="9"/>
      <c r="B930" s="139"/>
      <c r="C930" s="139"/>
      <c r="D930" s="139"/>
      <c r="E930" s="139"/>
      <c r="F930" s="139"/>
      <c r="G930" s="139"/>
      <c r="H930" s="139"/>
      <c r="I930" s="139"/>
      <c r="J930" s="139"/>
      <c r="K930" s="139"/>
      <c r="L930" s="139"/>
      <c r="M930" s="139"/>
      <c r="N930" s="139"/>
      <c r="O930" s="139"/>
      <c r="P930" s="139"/>
      <c r="Q930" s="139"/>
      <c r="R930" s="139"/>
      <c r="S930" s="139"/>
      <c r="T930" s="139"/>
      <c r="U930" s="139"/>
      <c r="V930" s="139"/>
      <c r="W930" s="139"/>
      <c r="X930" s="139"/>
      <c r="Y930" s="139"/>
      <c r="Z930" s="139"/>
      <c r="AA930" s="139"/>
      <c r="AB930" s="139"/>
      <c r="AC930" s="139"/>
      <c r="AD930" s="139"/>
      <c r="AE930" s="139"/>
      <c r="AF930" s="139"/>
      <c r="AG930" s="139"/>
      <c r="AH930" s="139"/>
      <c r="AI930" s="139"/>
      <c r="AJ930" s="139"/>
    </row>
    <row r="931">
      <c r="A931" s="9"/>
      <c r="B931" s="139"/>
      <c r="C931" s="139"/>
      <c r="D931" s="139"/>
      <c r="E931" s="139"/>
      <c r="F931" s="139"/>
      <c r="G931" s="139"/>
      <c r="H931" s="139"/>
      <c r="I931" s="139"/>
      <c r="J931" s="139"/>
      <c r="K931" s="139"/>
      <c r="L931" s="139"/>
      <c r="M931" s="139"/>
      <c r="N931" s="139"/>
      <c r="O931" s="139"/>
      <c r="P931" s="139"/>
      <c r="Q931" s="139"/>
      <c r="R931" s="139"/>
      <c r="S931" s="139"/>
      <c r="T931" s="139"/>
      <c r="U931" s="139"/>
      <c r="V931" s="139"/>
      <c r="W931" s="139"/>
      <c r="X931" s="139"/>
      <c r="Y931" s="139"/>
      <c r="Z931" s="139"/>
      <c r="AA931" s="139"/>
      <c r="AB931" s="139"/>
      <c r="AC931" s="139"/>
      <c r="AD931" s="139"/>
      <c r="AE931" s="139"/>
      <c r="AF931" s="139"/>
      <c r="AG931" s="139"/>
      <c r="AH931" s="139"/>
      <c r="AI931" s="139"/>
      <c r="AJ931" s="139"/>
    </row>
    <row r="932">
      <c r="A932" s="9"/>
      <c r="B932" s="139"/>
      <c r="C932" s="139"/>
      <c r="D932" s="139"/>
      <c r="E932" s="139"/>
      <c r="F932" s="139"/>
      <c r="G932" s="139"/>
      <c r="H932" s="139"/>
      <c r="I932" s="139"/>
      <c r="J932" s="139"/>
      <c r="K932" s="139"/>
      <c r="L932" s="139"/>
      <c r="M932" s="139"/>
      <c r="N932" s="139"/>
      <c r="O932" s="139"/>
      <c r="P932" s="139"/>
      <c r="Q932" s="139"/>
      <c r="R932" s="139"/>
      <c r="S932" s="139"/>
      <c r="T932" s="139"/>
      <c r="U932" s="139"/>
      <c r="V932" s="139"/>
      <c r="W932" s="139"/>
      <c r="X932" s="139"/>
      <c r="Y932" s="139"/>
      <c r="Z932" s="139"/>
      <c r="AA932" s="139"/>
      <c r="AB932" s="139"/>
      <c r="AC932" s="139"/>
      <c r="AD932" s="139"/>
      <c r="AE932" s="139"/>
      <c r="AF932" s="139"/>
      <c r="AG932" s="139"/>
      <c r="AH932" s="139"/>
      <c r="AI932" s="139"/>
      <c r="AJ932" s="139"/>
    </row>
    <row r="933">
      <c r="A933" s="9"/>
      <c r="B933" s="139"/>
      <c r="C933" s="139"/>
      <c r="D933" s="139"/>
      <c r="E933" s="139"/>
      <c r="F933" s="139"/>
      <c r="G933" s="139"/>
      <c r="H933" s="139"/>
      <c r="I933" s="139"/>
      <c r="J933" s="139"/>
      <c r="K933" s="139"/>
      <c r="L933" s="139"/>
      <c r="M933" s="139"/>
      <c r="N933" s="139"/>
      <c r="O933" s="139"/>
      <c r="P933" s="139"/>
      <c r="Q933" s="139"/>
      <c r="R933" s="139"/>
      <c r="S933" s="139"/>
      <c r="T933" s="139"/>
      <c r="U933" s="139"/>
      <c r="V933" s="139"/>
      <c r="W933" s="139"/>
      <c r="X933" s="139"/>
      <c r="Y933" s="139"/>
      <c r="Z933" s="139"/>
      <c r="AA933" s="139"/>
      <c r="AB933" s="139"/>
      <c r="AC933" s="139"/>
      <c r="AD933" s="139"/>
      <c r="AE933" s="139"/>
      <c r="AF933" s="139"/>
      <c r="AG933" s="139"/>
      <c r="AH933" s="139"/>
      <c r="AI933" s="139"/>
      <c r="AJ933" s="139"/>
    </row>
    <row r="934">
      <c r="A934" s="9"/>
      <c r="B934" s="139"/>
      <c r="C934" s="139"/>
      <c r="D934" s="139"/>
      <c r="E934" s="139"/>
      <c r="F934" s="139"/>
      <c r="G934" s="139"/>
      <c r="H934" s="139"/>
      <c r="I934" s="139"/>
      <c r="J934" s="139"/>
      <c r="K934" s="139"/>
      <c r="L934" s="139"/>
      <c r="M934" s="139"/>
      <c r="N934" s="139"/>
      <c r="O934" s="139"/>
      <c r="P934" s="139"/>
      <c r="Q934" s="139"/>
      <c r="R934" s="139"/>
      <c r="S934" s="139"/>
      <c r="T934" s="139"/>
      <c r="U934" s="139"/>
      <c r="V934" s="139"/>
      <c r="W934" s="139"/>
      <c r="X934" s="139"/>
      <c r="Y934" s="139"/>
      <c r="Z934" s="139"/>
      <c r="AA934" s="139"/>
      <c r="AB934" s="139"/>
      <c r="AC934" s="139"/>
      <c r="AD934" s="139"/>
      <c r="AE934" s="139"/>
      <c r="AF934" s="139"/>
      <c r="AG934" s="139"/>
      <c r="AH934" s="139"/>
      <c r="AI934" s="139"/>
      <c r="AJ934" s="139"/>
    </row>
    <row r="935">
      <c r="A935" s="9"/>
      <c r="B935" s="139"/>
      <c r="C935" s="139"/>
      <c r="D935" s="139"/>
      <c r="E935" s="139"/>
      <c r="F935" s="139"/>
      <c r="G935" s="139"/>
      <c r="H935" s="139"/>
      <c r="I935" s="139"/>
      <c r="J935" s="139"/>
      <c r="K935" s="139"/>
      <c r="L935" s="139"/>
      <c r="M935" s="139"/>
      <c r="N935" s="139"/>
      <c r="O935" s="139"/>
      <c r="P935" s="139"/>
      <c r="Q935" s="139"/>
      <c r="R935" s="139"/>
      <c r="S935" s="139"/>
      <c r="T935" s="139"/>
      <c r="U935" s="139"/>
      <c r="V935" s="139"/>
      <c r="W935" s="139"/>
      <c r="X935" s="139"/>
      <c r="Y935" s="139"/>
      <c r="Z935" s="139"/>
      <c r="AA935" s="139"/>
      <c r="AB935" s="139"/>
      <c r="AC935" s="139"/>
      <c r="AD935" s="139"/>
      <c r="AE935" s="139"/>
      <c r="AF935" s="139"/>
      <c r="AG935" s="139"/>
      <c r="AH935" s="139"/>
      <c r="AI935" s="139"/>
      <c r="AJ935" s="139"/>
    </row>
    <row r="936">
      <c r="A936" s="9"/>
      <c r="B936" s="139"/>
      <c r="C936" s="139"/>
      <c r="D936" s="139"/>
      <c r="E936" s="139"/>
      <c r="F936" s="139"/>
      <c r="G936" s="139"/>
      <c r="H936" s="139"/>
      <c r="I936" s="139"/>
      <c r="J936" s="139"/>
      <c r="K936" s="139"/>
      <c r="L936" s="139"/>
      <c r="M936" s="139"/>
      <c r="N936" s="139"/>
      <c r="O936" s="139"/>
      <c r="P936" s="139"/>
      <c r="Q936" s="139"/>
      <c r="R936" s="139"/>
      <c r="S936" s="139"/>
      <c r="T936" s="139"/>
      <c r="U936" s="139"/>
      <c r="V936" s="139"/>
      <c r="W936" s="139"/>
      <c r="X936" s="139"/>
      <c r="Y936" s="139"/>
      <c r="Z936" s="139"/>
      <c r="AA936" s="139"/>
      <c r="AB936" s="139"/>
      <c r="AC936" s="139"/>
      <c r="AD936" s="139"/>
      <c r="AE936" s="139"/>
      <c r="AF936" s="139"/>
      <c r="AG936" s="139"/>
      <c r="AH936" s="139"/>
      <c r="AI936" s="139"/>
      <c r="AJ936" s="139"/>
    </row>
    <row r="937">
      <c r="A937" s="9"/>
      <c r="B937" s="139"/>
      <c r="C937" s="139"/>
      <c r="D937" s="139"/>
      <c r="E937" s="139"/>
      <c r="F937" s="139"/>
      <c r="G937" s="139"/>
      <c r="H937" s="139"/>
      <c r="I937" s="139"/>
      <c r="J937" s="139"/>
      <c r="K937" s="139"/>
      <c r="L937" s="139"/>
      <c r="M937" s="139"/>
      <c r="N937" s="139"/>
      <c r="O937" s="139"/>
      <c r="P937" s="139"/>
      <c r="Q937" s="139"/>
      <c r="R937" s="139"/>
      <c r="S937" s="139"/>
      <c r="T937" s="139"/>
      <c r="U937" s="139"/>
      <c r="V937" s="139"/>
      <c r="W937" s="139"/>
      <c r="X937" s="139"/>
      <c r="Y937" s="139"/>
      <c r="Z937" s="139"/>
      <c r="AA937" s="139"/>
      <c r="AB937" s="139"/>
      <c r="AC937" s="139"/>
      <c r="AD937" s="139"/>
      <c r="AE937" s="139"/>
      <c r="AF937" s="139"/>
      <c r="AG937" s="139"/>
      <c r="AH937" s="139"/>
      <c r="AI937" s="139"/>
      <c r="AJ937" s="139"/>
    </row>
    <row r="938">
      <c r="A938" s="9"/>
      <c r="B938" s="139"/>
      <c r="C938" s="139"/>
      <c r="D938" s="139"/>
      <c r="E938" s="139"/>
      <c r="F938" s="139"/>
      <c r="G938" s="139"/>
      <c r="H938" s="139"/>
      <c r="I938" s="139"/>
      <c r="J938" s="139"/>
      <c r="K938" s="139"/>
      <c r="L938" s="139"/>
      <c r="M938" s="139"/>
      <c r="N938" s="139"/>
      <c r="O938" s="139"/>
      <c r="P938" s="139"/>
      <c r="Q938" s="139"/>
      <c r="R938" s="139"/>
      <c r="S938" s="139"/>
      <c r="T938" s="139"/>
      <c r="U938" s="139"/>
      <c r="V938" s="139"/>
      <c r="W938" s="139"/>
      <c r="X938" s="139"/>
      <c r="Y938" s="139"/>
      <c r="Z938" s="139"/>
      <c r="AA938" s="139"/>
      <c r="AB938" s="139"/>
      <c r="AC938" s="139"/>
      <c r="AD938" s="139"/>
      <c r="AE938" s="139"/>
      <c r="AF938" s="139"/>
      <c r="AG938" s="139"/>
      <c r="AH938" s="139"/>
      <c r="AI938" s="139"/>
      <c r="AJ938" s="139"/>
    </row>
    <row r="939">
      <c r="A939" s="9"/>
      <c r="B939" s="139"/>
      <c r="C939" s="139"/>
      <c r="D939" s="139"/>
      <c r="E939" s="139"/>
      <c r="F939" s="139"/>
      <c r="G939" s="139"/>
      <c r="H939" s="139"/>
      <c r="I939" s="139"/>
      <c r="J939" s="139"/>
      <c r="K939" s="139"/>
      <c r="L939" s="139"/>
      <c r="M939" s="139"/>
      <c r="N939" s="139"/>
      <c r="O939" s="139"/>
      <c r="P939" s="139"/>
      <c r="Q939" s="139"/>
      <c r="R939" s="139"/>
      <c r="S939" s="139"/>
      <c r="T939" s="139"/>
      <c r="U939" s="139"/>
      <c r="V939" s="139"/>
      <c r="W939" s="139"/>
      <c r="X939" s="139"/>
      <c r="Y939" s="139"/>
      <c r="Z939" s="139"/>
      <c r="AA939" s="139"/>
      <c r="AB939" s="139"/>
      <c r="AC939" s="139"/>
      <c r="AD939" s="139"/>
      <c r="AE939" s="139"/>
      <c r="AF939" s="139"/>
      <c r="AG939" s="139"/>
      <c r="AH939" s="139"/>
      <c r="AI939" s="139"/>
      <c r="AJ939" s="139"/>
    </row>
    <row r="940">
      <c r="A940" s="9"/>
      <c r="B940" s="139"/>
      <c r="C940" s="139"/>
      <c r="D940" s="139"/>
      <c r="E940" s="139"/>
      <c r="F940" s="139"/>
      <c r="G940" s="139"/>
      <c r="H940" s="139"/>
      <c r="I940" s="139"/>
      <c r="J940" s="139"/>
      <c r="K940" s="139"/>
      <c r="L940" s="139"/>
      <c r="M940" s="139"/>
      <c r="N940" s="139"/>
      <c r="O940" s="139"/>
      <c r="P940" s="139"/>
      <c r="Q940" s="139"/>
      <c r="R940" s="139"/>
      <c r="S940" s="139"/>
      <c r="T940" s="139"/>
      <c r="U940" s="139"/>
      <c r="V940" s="139"/>
      <c r="W940" s="139"/>
      <c r="X940" s="139"/>
      <c r="Y940" s="139"/>
      <c r="Z940" s="139"/>
      <c r="AA940" s="139"/>
      <c r="AB940" s="139"/>
      <c r="AC940" s="139"/>
      <c r="AD940" s="139"/>
      <c r="AE940" s="139"/>
      <c r="AF940" s="139"/>
      <c r="AG940" s="139"/>
      <c r="AH940" s="139"/>
      <c r="AI940" s="139"/>
      <c r="AJ940" s="139"/>
    </row>
    <row r="941">
      <c r="A941" s="9"/>
      <c r="B941" s="139"/>
      <c r="C941" s="139"/>
      <c r="D941" s="139"/>
      <c r="E941" s="139"/>
      <c r="F941" s="139"/>
      <c r="G941" s="139"/>
      <c r="H941" s="139"/>
      <c r="I941" s="139"/>
      <c r="J941" s="139"/>
      <c r="K941" s="139"/>
      <c r="L941" s="139"/>
      <c r="M941" s="139"/>
      <c r="N941" s="139"/>
      <c r="O941" s="139"/>
      <c r="P941" s="139"/>
      <c r="Q941" s="139"/>
      <c r="R941" s="139"/>
      <c r="S941" s="139"/>
      <c r="T941" s="139"/>
      <c r="U941" s="139"/>
      <c r="V941" s="139"/>
      <c r="W941" s="139"/>
      <c r="X941" s="139"/>
      <c r="Y941" s="139"/>
      <c r="Z941" s="139"/>
      <c r="AA941" s="139"/>
      <c r="AB941" s="139"/>
      <c r="AC941" s="139"/>
      <c r="AD941" s="139"/>
      <c r="AE941" s="139"/>
      <c r="AF941" s="139"/>
      <c r="AG941" s="139"/>
      <c r="AH941" s="139"/>
      <c r="AI941" s="139"/>
      <c r="AJ941" s="139"/>
    </row>
    <row r="942">
      <c r="A942" s="9"/>
      <c r="B942" s="139"/>
      <c r="C942" s="139"/>
      <c r="D942" s="139"/>
      <c r="E942" s="139"/>
      <c r="F942" s="139"/>
      <c r="G942" s="139"/>
      <c r="H942" s="139"/>
      <c r="I942" s="139"/>
      <c r="J942" s="139"/>
      <c r="K942" s="139"/>
      <c r="L942" s="139"/>
      <c r="M942" s="139"/>
      <c r="N942" s="139"/>
      <c r="O942" s="139"/>
      <c r="P942" s="139"/>
      <c r="Q942" s="139"/>
      <c r="R942" s="139"/>
      <c r="S942" s="139"/>
      <c r="T942" s="139"/>
      <c r="U942" s="139"/>
      <c r="V942" s="139"/>
      <c r="W942" s="139"/>
      <c r="X942" s="139"/>
      <c r="Y942" s="139"/>
      <c r="Z942" s="139"/>
      <c r="AA942" s="139"/>
      <c r="AB942" s="139"/>
      <c r="AC942" s="139"/>
      <c r="AD942" s="139"/>
      <c r="AE942" s="139"/>
      <c r="AF942" s="139"/>
      <c r="AG942" s="139"/>
      <c r="AH942" s="139"/>
      <c r="AI942" s="139"/>
      <c r="AJ942" s="139"/>
    </row>
    <row r="943">
      <c r="A943" s="9"/>
      <c r="B943" s="139"/>
      <c r="C943" s="139"/>
      <c r="D943" s="139"/>
      <c r="E943" s="139"/>
      <c r="F943" s="139"/>
      <c r="G943" s="139"/>
      <c r="H943" s="139"/>
      <c r="I943" s="139"/>
      <c r="J943" s="139"/>
      <c r="K943" s="139"/>
      <c r="L943" s="139"/>
      <c r="M943" s="139"/>
      <c r="N943" s="139"/>
      <c r="O943" s="139"/>
      <c r="P943" s="139"/>
      <c r="Q943" s="139"/>
      <c r="R943" s="139"/>
      <c r="S943" s="139"/>
      <c r="T943" s="139"/>
      <c r="U943" s="139"/>
      <c r="V943" s="139"/>
      <c r="W943" s="139"/>
      <c r="X943" s="139"/>
      <c r="Y943" s="139"/>
      <c r="Z943" s="139"/>
      <c r="AA943" s="139"/>
      <c r="AB943" s="139"/>
      <c r="AC943" s="139"/>
      <c r="AD943" s="139"/>
      <c r="AE943" s="139"/>
      <c r="AF943" s="139"/>
      <c r="AG943" s="139"/>
      <c r="AH943" s="139"/>
      <c r="AI943" s="139"/>
      <c r="AJ943" s="139"/>
    </row>
    <row r="944">
      <c r="A944" s="9"/>
      <c r="B944" s="139"/>
      <c r="C944" s="139"/>
      <c r="D944" s="139"/>
      <c r="E944" s="139"/>
      <c r="F944" s="139"/>
      <c r="G944" s="139"/>
      <c r="H944" s="139"/>
      <c r="I944" s="139"/>
      <c r="J944" s="139"/>
      <c r="K944" s="139"/>
      <c r="L944" s="139"/>
      <c r="M944" s="139"/>
      <c r="N944" s="139"/>
      <c r="O944" s="139"/>
      <c r="P944" s="139"/>
      <c r="Q944" s="139"/>
      <c r="R944" s="139"/>
      <c r="S944" s="139"/>
      <c r="T944" s="139"/>
      <c r="U944" s="139"/>
      <c r="V944" s="139"/>
      <c r="W944" s="139"/>
      <c r="X944" s="139"/>
      <c r="Y944" s="139"/>
      <c r="Z944" s="139"/>
      <c r="AA944" s="139"/>
      <c r="AB944" s="139"/>
      <c r="AC944" s="139"/>
      <c r="AD944" s="139"/>
      <c r="AE944" s="139"/>
      <c r="AF944" s="139"/>
      <c r="AG944" s="139"/>
      <c r="AH944" s="139"/>
      <c r="AI944" s="139"/>
      <c r="AJ944" s="139"/>
    </row>
    <row r="945">
      <c r="A945" s="9"/>
      <c r="B945" s="139"/>
      <c r="C945" s="139"/>
      <c r="D945" s="139"/>
      <c r="E945" s="139"/>
      <c r="F945" s="139"/>
      <c r="G945" s="139"/>
      <c r="H945" s="139"/>
      <c r="I945" s="139"/>
      <c r="J945" s="139"/>
      <c r="K945" s="139"/>
      <c r="L945" s="139"/>
      <c r="M945" s="139"/>
      <c r="N945" s="139"/>
      <c r="O945" s="139"/>
      <c r="P945" s="139"/>
      <c r="Q945" s="139"/>
      <c r="R945" s="139"/>
      <c r="S945" s="139"/>
      <c r="T945" s="139"/>
      <c r="U945" s="139"/>
      <c r="V945" s="139"/>
      <c r="W945" s="139"/>
      <c r="X945" s="139"/>
      <c r="Y945" s="139"/>
      <c r="Z945" s="139"/>
      <c r="AA945" s="139"/>
      <c r="AB945" s="139"/>
      <c r="AC945" s="139"/>
      <c r="AD945" s="139"/>
      <c r="AE945" s="139"/>
      <c r="AF945" s="139"/>
      <c r="AG945" s="139"/>
      <c r="AH945" s="139"/>
      <c r="AI945" s="139"/>
      <c r="AJ945" s="139"/>
    </row>
    <row r="946">
      <c r="A946" s="9"/>
      <c r="B946" s="139"/>
      <c r="C946" s="139"/>
      <c r="D946" s="139"/>
      <c r="E946" s="139"/>
      <c r="F946" s="139"/>
      <c r="G946" s="139"/>
      <c r="H946" s="139"/>
      <c r="I946" s="139"/>
      <c r="J946" s="139"/>
      <c r="K946" s="139"/>
      <c r="L946" s="139"/>
      <c r="M946" s="139"/>
      <c r="N946" s="139"/>
      <c r="O946" s="139"/>
      <c r="P946" s="139"/>
      <c r="Q946" s="139"/>
      <c r="R946" s="139"/>
      <c r="S946" s="139"/>
      <c r="T946" s="139"/>
      <c r="U946" s="139"/>
      <c r="V946" s="139"/>
      <c r="W946" s="139"/>
      <c r="X946" s="139"/>
      <c r="Y946" s="139"/>
      <c r="Z946" s="139"/>
      <c r="AA946" s="139"/>
      <c r="AB946" s="139"/>
      <c r="AC946" s="139"/>
      <c r="AD946" s="139"/>
      <c r="AE946" s="139"/>
      <c r="AF946" s="139"/>
      <c r="AG946" s="139"/>
      <c r="AH946" s="139"/>
      <c r="AI946" s="139"/>
      <c r="AJ946" s="139"/>
    </row>
    <row r="947">
      <c r="A947" s="9"/>
      <c r="B947" s="139"/>
      <c r="C947" s="139"/>
      <c r="D947" s="139"/>
      <c r="E947" s="139"/>
      <c r="F947" s="139"/>
      <c r="G947" s="139"/>
      <c r="H947" s="139"/>
      <c r="I947" s="139"/>
      <c r="J947" s="139"/>
      <c r="K947" s="139"/>
      <c r="L947" s="139"/>
      <c r="M947" s="139"/>
      <c r="N947" s="139"/>
      <c r="O947" s="139"/>
      <c r="P947" s="139"/>
      <c r="Q947" s="139"/>
      <c r="R947" s="139"/>
      <c r="S947" s="139"/>
      <c r="T947" s="139"/>
      <c r="U947" s="139"/>
      <c r="V947" s="139"/>
      <c r="W947" s="139"/>
      <c r="X947" s="139"/>
      <c r="Y947" s="139"/>
      <c r="Z947" s="139"/>
      <c r="AA947" s="139"/>
      <c r="AB947" s="139"/>
      <c r="AC947" s="139"/>
      <c r="AD947" s="139"/>
      <c r="AE947" s="139"/>
      <c r="AF947" s="139"/>
      <c r="AG947" s="139"/>
      <c r="AH947" s="139"/>
      <c r="AI947" s="139"/>
      <c r="AJ947" s="139"/>
    </row>
    <row r="948">
      <c r="A948" s="9"/>
      <c r="B948" s="139"/>
      <c r="C948" s="139"/>
      <c r="D948" s="139"/>
      <c r="E948" s="139"/>
      <c r="F948" s="139"/>
      <c r="G948" s="139"/>
      <c r="H948" s="139"/>
      <c r="I948" s="139"/>
      <c r="J948" s="139"/>
      <c r="K948" s="139"/>
      <c r="L948" s="139"/>
      <c r="M948" s="139"/>
      <c r="N948" s="139"/>
      <c r="O948" s="139"/>
      <c r="P948" s="139"/>
      <c r="Q948" s="139"/>
      <c r="R948" s="139"/>
      <c r="S948" s="139"/>
      <c r="T948" s="139"/>
      <c r="U948" s="139"/>
      <c r="V948" s="139"/>
      <c r="W948" s="139"/>
      <c r="X948" s="139"/>
      <c r="Y948" s="139"/>
      <c r="Z948" s="139"/>
      <c r="AA948" s="139"/>
      <c r="AB948" s="139"/>
      <c r="AC948" s="139"/>
      <c r="AD948" s="139"/>
      <c r="AE948" s="139"/>
      <c r="AF948" s="139"/>
      <c r="AG948" s="139"/>
      <c r="AH948" s="139"/>
      <c r="AI948" s="139"/>
      <c r="AJ948" s="139"/>
    </row>
    <row r="949">
      <c r="A949" s="9"/>
      <c r="B949" s="139"/>
      <c r="C949" s="139"/>
      <c r="D949" s="139"/>
      <c r="E949" s="139"/>
      <c r="F949" s="139"/>
      <c r="G949" s="139"/>
      <c r="H949" s="139"/>
      <c r="I949" s="139"/>
      <c r="J949" s="139"/>
      <c r="K949" s="139"/>
      <c r="L949" s="139"/>
      <c r="M949" s="139"/>
      <c r="N949" s="139"/>
      <c r="O949" s="139"/>
      <c r="P949" s="139"/>
      <c r="Q949" s="139"/>
      <c r="R949" s="139"/>
      <c r="S949" s="139"/>
      <c r="T949" s="139"/>
      <c r="U949" s="139"/>
      <c r="V949" s="139"/>
      <c r="W949" s="139"/>
      <c r="X949" s="139"/>
      <c r="Y949" s="139"/>
      <c r="Z949" s="139"/>
      <c r="AA949" s="139"/>
      <c r="AB949" s="139"/>
      <c r="AC949" s="139"/>
      <c r="AD949" s="139"/>
      <c r="AE949" s="139"/>
      <c r="AF949" s="139"/>
      <c r="AG949" s="139"/>
      <c r="AH949" s="139"/>
      <c r="AI949" s="139"/>
      <c r="AJ949" s="139"/>
    </row>
    <row r="950">
      <c r="A950" s="9"/>
      <c r="B950" s="139"/>
      <c r="C950" s="139"/>
      <c r="D950" s="139"/>
      <c r="E950" s="139"/>
      <c r="F950" s="139"/>
      <c r="G950" s="139"/>
      <c r="H950" s="139"/>
      <c r="I950" s="139"/>
      <c r="J950" s="139"/>
      <c r="K950" s="139"/>
      <c r="L950" s="139"/>
      <c r="M950" s="139"/>
      <c r="N950" s="139"/>
      <c r="O950" s="139"/>
      <c r="P950" s="139"/>
      <c r="Q950" s="139"/>
      <c r="R950" s="139"/>
      <c r="S950" s="139"/>
      <c r="T950" s="139"/>
      <c r="U950" s="139"/>
      <c r="V950" s="139"/>
      <c r="W950" s="139"/>
      <c r="X950" s="139"/>
      <c r="Y950" s="139"/>
      <c r="Z950" s="139"/>
      <c r="AA950" s="139"/>
      <c r="AB950" s="139"/>
      <c r="AC950" s="139"/>
      <c r="AD950" s="139"/>
      <c r="AE950" s="139"/>
      <c r="AF950" s="139"/>
      <c r="AG950" s="139"/>
      <c r="AH950" s="139"/>
      <c r="AI950" s="139"/>
      <c r="AJ950" s="139"/>
    </row>
    <row r="951">
      <c r="A951" s="9"/>
      <c r="B951" s="139"/>
      <c r="C951" s="139"/>
      <c r="D951" s="139"/>
      <c r="E951" s="139"/>
      <c r="F951" s="139"/>
      <c r="G951" s="139"/>
      <c r="H951" s="139"/>
      <c r="I951" s="139"/>
      <c r="J951" s="139"/>
      <c r="K951" s="139"/>
      <c r="L951" s="139"/>
      <c r="M951" s="139"/>
      <c r="N951" s="139"/>
      <c r="O951" s="139"/>
      <c r="P951" s="139"/>
      <c r="Q951" s="139"/>
      <c r="R951" s="139"/>
      <c r="S951" s="139"/>
      <c r="T951" s="139"/>
      <c r="U951" s="139"/>
      <c r="V951" s="139"/>
      <c r="W951" s="139"/>
      <c r="X951" s="139"/>
      <c r="Y951" s="139"/>
      <c r="Z951" s="139"/>
      <c r="AA951" s="139"/>
      <c r="AB951" s="139"/>
      <c r="AC951" s="139"/>
      <c r="AD951" s="139"/>
      <c r="AE951" s="139"/>
      <c r="AF951" s="139"/>
      <c r="AG951" s="139"/>
      <c r="AH951" s="139"/>
      <c r="AI951" s="139"/>
      <c r="AJ951" s="139"/>
    </row>
    <row r="952">
      <c r="A952" s="9"/>
      <c r="B952" s="139"/>
      <c r="C952" s="139"/>
      <c r="D952" s="139"/>
      <c r="E952" s="139"/>
      <c r="F952" s="139"/>
      <c r="G952" s="139"/>
      <c r="H952" s="139"/>
      <c r="I952" s="139"/>
      <c r="J952" s="139"/>
      <c r="K952" s="139"/>
      <c r="L952" s="139"/>
      <c r="M952" s="139"/>
      <c r="N952" s="139"/>
      <c r="O952" s="139"/>
      <c r="P952" s="139"/>
      <c r="Q952" s="139"/>
      <c r="R952" s="139"/>
      <c r="S952" s="139"/>
      <c r="T952" s="139"/>
      <c r="U952" s="139"/>
      <c r="V952" s="139"/>
      <c r="W952" s="139"/>
      <c r="X952" s="139"/>
      <c r="Y952" s="139"/>
      <c r="Z952" s="139"/>
      <c r="AA952" s="139"/>
      <c r="AB952" s="139"/>
      <c r="AC952" s="139"/>
      <c r="AD952" s="139"/>
      <c r="AE952" s="139"/>
      <c r="AF952" s="139"/>
      <c r="AG952" s="139"/>
      <c r="AH952" s="139"/>
      <c r="AI952" s="139"/>
      <c r="AJ952" s="139"/>
    </row>
    <row r="953">
      <c r="A953" s="9"/>
      <c r="B953" s="139"/>
      <c r="C953" s="139"/>
      <c r="D953" s="139"/>
      <c r="E953" s="139"/>
      <c r="F953" s="139"/>
      <c r="G953" s="139"/>
      <c r="H953" s="139"/>
      <c r="I953" s="139"/>
      <c r="J953" s="139"/>
      <c r="K953" s="139"/>
      <c r="L953" s="139"/>
      <c r="M953" s="139"/>
      <c r="N953" s="139"/>
      <c r="O953" s="139"/>
      <c r="P953" s="139"/>
      <c r="Q953" s="139"/>
      <c r="R953" s="139"/>
      <c r="S953" s="139"/>
      <c r="T953" s="139"/>
      <c r="U953" s="139"/>
      <c r="V953" s="139"/>
      <c r="W953" s="139"/>
      <c r="X953" s="139"/>
      <c r="Y953" s="139"/>
      <c r="Z953" s="139"/>
      <c r="AA953" s="139"/>
      <c r="AB953" s="139"/>
      <c r="AC953" s="139"/>
      <c r="AD953" s="139"/>
      <c r="AE953" s="139"/>
      <c r="AF953" s="139"/>
      <c r="AG953" s="139"/>
      <c r="AH953" s="139"/>
      <c r="AI953" s="139"/>
      <c r="AJ953" s="139"/>
    </row>
    <row r="954">
      <c r="A954" s="9"/>
      <c r="B954" s="139"/>
      <c r="C954" s="139"/>
      <c r="D954" s="139"/>
      <c r="E954" s="139"/>
      <c r="F954" s="139"/>
      <c r="G954" s="139"/>
      <c r="H954" s="139"/>
      <c r="I954" s="139"/>
      <c r="J954" s="139"/>
      <c r="K954" s="139"/>
      <c r="L954" s="139"/>
      <c r="M954" s="139"/>
      <c r="N954" s="139"/>
      <c r="O954" s="139"/>
      <c r="P954" s="139"/>
      <c r="Q954" s="139"/>
      <c r="R954" s="139"/>
      <c r="S954" s="139"/>
      <c r="T954" s="139"/>
      <c r="U954" s="139"/>
      <c r="V954" s="139"/>
      <c r="W954" s="139"/>
      <c r="X954" s="139"/>
      <c r="Y954" s="139"/>
      <c r="Z954" s="139"/>
      <c r="AA954" s="139"/>
      <c r="AB954" s="139"/>
      <c r="AC954" s="139"/>
      <c r="AD954" s="139"/>
      <c r="AE954" s="139"/>
      <c r="AF954" s="139"/>
      <c r="AG954" s="139"/>
      <c r="AH954" s="139"/>
      <c r="AI954" s="139"/>
      <c r="AJ954" s="139"/>
    </row>
    <row r="955">
      <c r="A955" s="9"/>
      <c r="B955" s="139"/>
      <c r="C955" s="139"/>
      <c r="D955" s="139"/>
      <c r="E955" s="139"/>
      <c r="F955" s="139"/>
      <c r="G955" s="139"/>
      <c r="H955" s="139"/>
      <c r="I955" s="139"/>
      <c r="J955" s="139"/>
      <c r="K955" s="139"/>
      <c r="L955" s="139"/>
      <c r="M955" s="139"/>
      <c r="N955" s="139"/>
      <c r="O955" s="139"/>
      <c r="P955" s="139"/>
      <c r="Q955" s="139"/>
      <c r="R955" s="139"/>
      <c r="S955" s="139"/>
      <c r="T955" s="139"/>
      <c r="U955" s="139"/>
      <c r="V955" s="139"/>
      <c r="W955" s="139"/>
      <c r="X955" s="139"/>
      <c r="Y955" s="139"/>
      <c r="Z955" s="139"/>
      <c r="AA955" s="139"/>
      <c r="AB955" s="139"/>
      <c r="AC955" s="139"/>
      <c r="AD955" s="139"/>
      <c r="AE955" s="139"/>
      <c r="AF955" s="139"/>
      <c r="AG955" s="139"/>
      <c r="AH955" s="139"/>
      <c r="AI955" s="139"/>
      <c r="AJ955" s="139"/>
    </row>
    <row r="956">
      <c r="A956" s="9"/>
      <c r="B956" s="139"/>
      <c r="C956" s="139"/>
      <c r="D956" s="139"/>
      <c r="E956" s="139"/>
      <c r="F956" s="139"/>
      <c r="G956" s="139"/>
      <c r="H956" s="139"/>
      <c r="I956" s="139"/>
      <c r="J956" s="139"/>
      <c r="K956" s="139"/>
      <c r="L956" s="139"/>
      <c r="M956" s="139"/>
      <c r="N956" s="139"/>
      <c r="O956" s="139"/>
      <c r="P956" s="139"/>
      <c r="Q956" s="139"/>
      <c r="R956" s="139"/>
      <c r="S956" s="139"/>
      <c r="T956" s="139"/>
      <c r="U956" s="139"/>
      <c r="V956" s="139"/>
      <c r="W956" s="139"/>
      <c r="X956" s="139"/>
      <c r="Y956" s="139"/>
      <c r="Z956" s="139"/>
      <c r="AA956" s="139"/>
      <c r="AB956" s="139"/>
      <c r="AC956" s="139"/>
      <c r="AD956" s="139"/>
      <c r="AE956" s="139"/>
      <c r="AF956" s="139"/>
      <c r="AG956" s="139"/>
      <c r="AH956" s="139"/>
      <c r="AI956" s="139"/>
      <c r="AJ956" s="139"/>
    </row>
    <row r="957">
      <c r="A957" s="9"/>
      <c r="B957" s="139"/>
      <c r="C957" s="139"/>
      <c r="D957" s="139"/>
      <c r="E957" s="139"/>
      <c r="F957" s="139"/>
      <c r="G957" s="139"/>
      <c r="H957" s="139"/>
      <c r="I957" s="139"/>
      <c r="J957" s="139"/>
      <c r="K957" s="139"/>
      <c r="L957" s="139"/>
      <c r="M957" s="139"/>
      <c r="N957" s="139"/>
      <c r="O957" s="139"/>
      <c r="P957" s="139"/>
      <c r="Q957" s="139"/>
      <c r="R957" s="139"/>
      <c r="S957" s="139"/>
      <c r="T957" s="139"/>
      <c r="U957" s="139"/>
      <c r="V957" s="139"/>
      <c r="W957" s="139"/>
      <c r="X957" s="139"/>
      <c r="Y957" s="139"/>
      <c r="Z957" s="139"/>
      <c r="AA957" s="139"/>
      <c r="AB957" s="139"/>
      <c r="AC957" s="139"/>
      <c r="AD957" s="139"/>
      <c r="AE957" s="139"/>
      <c r="AF957" s="139"/>
      <c r="AG957" s="139"/>
      <c r="AH957" s="139"/>
      <c r="AI957" s="139"/>
      <c r="AJ957" s="139"/>
    </row>
    <row r="958">
      <c r="A958" s="9"/>
      <c r="B958" s="139"/>
      <c r="C958" s="139"/>
      <c r="D958" s="139"/>
      <c r="E958" s="139"/>
      <c r="F958" s="139"/>
      <c r="G958" s="139"/>
      <c r="H958" s="139"/>
      <c r="I958" s="139"/>
      <c r="J958" s="139"/>
      <c r="K958" s="139"/>
      <c r="L958" s="139"/>
      <c r="M958" s="139"/>
      <c r="N958" s="139"/>
      <c r="O958" s="139"/>
      <c r="P958" s="139"/>
      <c r="Q958" s="139"/>
      <c r="R958" s="139"/>
      <c r="S958" s="139"/>
      <c r="T958" s="139"/>
      <c r="U958" s="139"/>
      <c r="V958" s="139"/>
      <c r="W958" s="139"/>
      <c r="X958" s="139"/>
      <c r="Y958" s="139"/>
      <c r="Z958" s="139"/>
      <c r="AA958" s="139"/>
      <c r="AB958" s="139"/>
      <c r="AC958" s="139"/>
      <c r="AD958" s="139"/>
      <c r="AE958" s="139"/>
      <c r="AF958" s="139"/>
      <c r="AG958" s="139"/>
      <c r="AH958" s="139"/>
      <c r="AI958" s="139"/>
      <c r="AJ958" s="139"/>
    </row>
    <row r="959">
      <c r="A959" s="9"/>
      <c r="B959" s="139"/>
      <c r="C959" s="139"/>
      <c r="D959" s="139"/>
      <c r="E959" s="139"/>
      <c r="F959" s="139"/>
      <c r="G959" s="139"/>
      <c r="H959" s="139"/>
      <c r="I959" s="139"/>
      <c r="J959" s="139"/>
      <c r="K959" s="139"/>
      <c r="L959" s="139"/>
      <c r="M959" s="139"/>
      <c r="N959" s="139"/>
      <c r="O959" s="139"/>
      <c r="P959" s="139"/>
      <c r="Q959" s="139"/>
      <c r="R959" s="139"/>
      <c r="S959" s="139"/>
      <c r="T959" s="139"/>
      <c r="U959" s="139"/>
      <c r="V959" s="139"/>
      <c r="W959" s="139"/>
      <c r="X959" s="139"/>
      <c r="Y959" s="139"/>
      <c r="Z959" s="139"/>
      <c r="AA959" s="139"/>
      <c r="AB959" s="139"/>
      <c r="AC959" s="139"/>
      <c r="AD959" s="139"/>
      <c r="AE959" s="139"/>
      <c r="AF959" s="139"/>
      <c r="AG959" s="139"/>
      <c r="AH959" s="139"/>
      <c r="AI959" s="139"/>
      <c r="AJ959" s="139"/>
    </row>
    <row r="960">
      <c r="A960" s="9"/>
      <c r="B960" s="139"/>
      <c r="C960" s="139"/>
      <c r="D960" s="139"/>
      <c r="E960" s="139"/>
      <c r="F960" s="139"/>
      <c r="G960" s="139"/>
      <c r="H960" s="139"/>
      <c r="I960" s="139"/>
      <c r="J960" s="139"/>
      <c r="K960" s="139"/>
      <c r="L960" s="139"/>
      <c r="M960" s="139"/>
      <c r="N960" s="139"/>
      <c r="O960" s="139"/>
      <c r="P960" s="139"/>
      <c r="Q960" s="139"/>
      <c r="R960" s="139"/>
      <c r="S960" s="139"/>
      <c r="T960" s="139"/>
      <c r="U960" s="139"/>
      <c r="V960" s="139"/>
      <c r="W960" s="139"/>
      <c r="X960" s="139"/>
      <c r="Y960" s="139"/>
      <c r="Z960" s="139"/>
      <c r="AA960" s="139"/>
      <c r="AB960" s="139"/>
      <c r="AC960" s="139"/>
      <c r="AD960" s="139"/>
      <c r="AE960" s="139"/>
      <c r="AF960" s="139"/>
      <c r="AG960" s="139"/>
      <c r="AH960" s="139"/>
      <c r="AI960" s="139"/>
      <c r="AJ960" s="139"/>
    </row>
    <row r="961">
      <c r="A961" s="9"/>
      <c r="B961" s="139"/>
      <c r="C961" s="139"/>
      <c r="D961" s="139"/>
      <c r="E961" s="139"/>
      <c r="F961" s="139"/>
      <c r="G961" s="139"/>
      <c r="H961" s="139"/>
      <c r="I961" s="139"/>
      <c r="J961" s="139"/>
      <c r="K961" s="139"/>
      <c r="L961" s="139"/>
      <c r="M961" s="139"/>
      <c r="N961" s="139"/>
      <c r="O961" s="139"/>
      <c r="P961" s="139"/>
      <c r="Q961" s="139"/>
      <c r="R961" s="139"/>
      <c r="S961" s="139"/>
      <c r="T961" s="139"/>
      <c r="U961" s="139"/>
      <c r="V961" s="139"/>
      <c r="W961" s="139"/>
      <c r="X961" s="139"/>
      <c r="Y961" s="139"/>
      <c r="Z961" s="139"/>
      <c r="AA961" s="139"/>
      <c r="AB961" s="139"/>
      <c r="AC961" s="139"/>
      <c r="AD961" s="139"/>
      <c r="AE961" s="139"/>
      <c r="AF961" s="139"/>
      <c r="AG961" s="139"/>
      <c r="AH961" s="139"/>
      <c r="AI961" s="139"/>
      <c r="AJ961" s="139"/>
    </row>
    <row r="962">
      <c r="A962" s="9"/>
      <c r="B962" s="139"/>
      <c r="C962" s="139"/>
      <c r="D962" s="139"/>
      <c r="E962" s="139"/>
      <c r="F962" s="139"/>
      <c r="G962" s="139"/>
      <c r="H962" s="139"/>
      <c r="I962" s="139"/>
      <c r="J962" s="139"/>
      <c r="K962" s="139"/>
      <c r="L962" s="139"/>
      <c r="M962" s="139"/>
      <c r="N962" s="139"/>
      <c r="O962" s="139"/>
      <c r="P962" s="139"/>
      <c r="Q962" s="139"/>
      <c r="R962" s="139"/>
      <c r="S962" s="139"/>
      <c r="T962" s="139"/>
      <c r="U962" s="139"/>
      <c r="V962" s="139"/>
      <c r="W962" s="139"/>
      <c r="X962" s="139"/>
      <c r="Y962" s="139"/>
      <c r="Z962" s="139"/>
      <c r="AA962" s="139"/>
      <c r="AB962" s="139"/>
      <c r="AC962" s="139"/>
      <c r="AD962" s="139"/>
      <c r="AE962" s="139"/>
      <c r="AF962" s="139"/>
      <c r="AG962" s="139"/>
      <c r="AH962" s="139"/>
      <c r="AI962" s="139"/>
      <c r="AJ962" s="139"/>
    </row>
    <row r="963">
      <c r="A963" s="9"/>
      <c r="B963" s="139"/>
      <c r="C963" s="139"/>
      <c r="D963" s="139"/>
      <c r="E963" s="139"/>
      <c r="F963" s="139"/>
      <c r="G963" s="139"/>
      <c r="H963" s="139"/>
      <c r="I963" s="139"/>
      <c r="J963" s="139"/>
      <c r="K963" s="139"/>
      <c r="L963" s="139"/>
      <c r="M963" s="139"/>
      <c r="N963" s="139"/>
      <c r="O963" s="139"/>
      <c r="P963" s="139"/>
      <c r="Q963" s="139"/>
      <c r="R963" s="139"/>
      <c r="S963" s="139"/>
      <c r="T963" s="139"/>
      <c r="U963" s="139"/>
      <c r="V963" s="139"/>
      <c r="W963" s="139"/>
      <c r="X963" s="139"/>
      <c r="Y963" s="139"/>
      <c r="Z963" s="139"/>
      <c r="AA963" s="139"/>
      <c r="AB963" s="139"/>
      <c r="AC963" s="139"/>
      <c r="AD963" s="139"/>
      <c r="AE963" s="139"/>
      <c r="AF963" s="139"/>
      <c r="AG963" s="139"/>
      <c r="AH963" s="139"/>
      <c r="AI963" s="139"/>
      <c r="AJ963" s="139"/>
    </row>
    <row r="964">
      <c r="A964" s="9"/>
      <c r="B964" s="139"/>
      <c r="C964" s="139"/>
      <c r="D964" s="139"/>
      <c r="E964" s="139"/>
      <c r="F964" s="139"/>
      <c r="G964" s="139"/>
      <c r="H964" s="139"/>
      <c r="I964" s="139"/>
      <c r="J964" s="139"/>
      <c r="K964" s="139"/>
      <c r="L964" s="139"/>
      <c r="M964" s="139"/>
      <c r="N964" s="139"/>
      <c r="O964" s="139"/>
      <c r="P964" s="139"/>
      <c r="Q964" s="139"/>
      <c r="R964" s="139"/>
      <c r="S964" s="139"/>
      <c r="T964" s="139"/>
      <c r="U964" s="139"/>
      <c r="V964" s="139"/>
      <c r="W964" s="139"/>
      <c r="X964" s="139"/>
      <c r="Y964" s="139"/>
      <c r="Z964" s="139"/>
      <c r="AA964" s="139"/>
      <c r="AB964" s="139"/>
      <c r="AC964" s="139"/>
      <c r="AD964" s="139"/>
      <c r="AE964" s="139"/>
      <c r="AF964" s="139"/>
      <c r="AG964" s="139"/>
      <c r="AH964" s="139"/>
      <c r="AI964" s="139"/>
      <c r="AJ964" s="139"/>
    </row>
    <row r="965">
      <c r="A965" s="9"/>
      <c r="B965" s="139"/>
      <c r="C965" s="139"/>
      <c r="D965" s="139"/>
      <c r="E965" s="139"/>
      <c r="F965" s="139"/>
      <c r="G965" s="139"/>
      <c r="H965" s="139"/>
      <c r="I965" s="139"/>
      <c r="J965" s="139"/>
      <c r="K965" s="139"/>
      <c r="L965" s="139"/>
      <c r="M965" s="139"/>
      <c r="N965" s="139"/>
      <c r="O965" s="139"/>
      <c r="P965" s="139"/>
      <c r="Q965" s="139"/>
      <c r="R965" s="139"/>
      <c r="S965" s="139"/>
      <c r="T965" s="139"/>
      <c r="U965" s="139"/>
      <c r="V965" s="139"/>
      <c r="W965" s="139"/>
      <c r="X965" s="139"/>
      <c r="Y965" s="139"/>
      <c r="Z965" s="139"/>
      <c r="AA965" s="139"/>
      <c r="AB965" s="139"/>
      <c r="AC965" s="139"/>
      <c r="AD965" s="139"/>
      <c r="AE965" s="139"/>
      <c r="AF965" s="139"/>
      <c r="AG965" s="139"/>
      <c r="AH965" s="139"/>
      <c r="AI965" s="139"/>
      <c r="AJ965" s="139"/>
    </row>
    <row r="966">
      <c r="A966" s="9"/>
      <c r="B966" s="139"/>
      <c r="C966" s="139"/>
      <c r="D966" s="139"/>
      <c r="E966" s="139"/>
      <c r="F966" s="139"/>
      <c r="G966" s="139"/>
      <c r="H966" s="139"/>
      <c r="I966" s="139"/>
      <c r="J966" s="139"/>
      <c r="K966" s="139"/>
      <c r="L966" s="139"/>
      <c r="M966" s="139"/>
      <c r="N966" s="139"/>
      <c r="O966" s="139"/>
      <c r="P966" s="139"/>
      <c r="Q966" s="139"/>
      <c r="R966" s="139"/>
      <c r="S966" s="139"/>
      <c r="T966" s="139"/>
      <c r="U966" s="139"/>
      <c r="V966" s="139"/>
      <c r="W966" s="139"/>
      <c r="X966" s="139"/>
      <c r="Y966" s="139"/>
      <c r="Z966" s="139"/>
      <c r="AA966" s="139"/>
      <c r="AB966" s="139"/>
      <c r="AC966" s="139"/>
      <c r="AD966" s="139"/>
      <c r="AE966" s="139"/>
      <c r="AF966" s="139"/>
      <c r="AG966" s="139"/>
      <c r="AH966" s="139"/>
      <c r="AI966" s="139"/>
      <c r="AJ966" s="139"/>
    </row>
    <row r="967">
      <c r="A967" s="9"/>
      <c r="B967" s="139"/>
      <c r="C967" s="139"/>
      <c r="D967" s="139"/>
      <c r="E967" s="139"/>
      <c r="F967" s="139"/>
      <c r="G967" s="139"/>
      <c r="H967" s="139"/>
      <c r="I967" s="139"/>
      <c r="J967" s="139"/>
      <c r="K967" s="139"/>
      <c r="L967" s="139"/>
      <c r="M967" s="139"/>
      <c r="N967" s="139"/>
      <c r="O967" s="139"/>
      <c r="P967" s="139"/>
      <c r="Q967" s="139"/>
      <c r="R967" s="139"/>
      <c r="S967" s="139"/>
      <c r="T967" s="139"/>
      <c r="U967" s="139"/>
      <c r="V967" s="139"/>
      <c r="W967" s="139"/>
      <c r="X967" s="139"/>
      <c r="Y967" s="139"/>
      <c r="Z967" s="139"/>
      <c r="AA967" s="139"/>
      <c r="AB967" s="139"/>
      <c r="AC967" s="139"/>
      <c r="AD967" s="139"/>
      <c r="AE967" s="139"/>
      <c r="AF967" s="139"/>
      <c r="AG967" s="139"/>
      <c r="AH967" s="139"/>
      <c r="AI967" s="139"/>
      <c r="AJ967" s="139"/>
    </row>
    <row r="968">
      <c r="A968" s="9"/>
      <c r="B968" s="139"/>
      <c r="C968" s="139"/>
      <c r="D968" s="139"/>
      <c r="E968" s="139"/>
      <c r="F968" s="139"/>
      <c r="G968" s="139"/>
      <c r="H968" s="139"/>
      <c r="I968" s="139"/>
      <c r="J968" s="139"/>
      <c r="K968" s="139"/>
      <c r="L968" s="139"/>
      <c r="M968" s="139"/>
      <c r="N968" s="139"/>
      <c r="O968" s="139"/>
      <c r="P968" s="139"/>
      <c r="Q968" s="139"/>
      <c r="R968" s="139"/>
      <c r="S968" s="139"/>
      <c r="T968" s="139"/>
      <c r="U968" s="139"/>
      <c r="V968" s="139"/>
      <c r="W968" s="139"/>
      <c r="X968" s="139"/>
      <c r="Y968" s="139"/>
      <c r="Z968" s="139"/>
      <c r="AA968" s="139"/>
      <c r="AB968" s="139"/>
      <c r="AC968" s="139"/>
      <c r="AD968" s="139"/>
      <c r="AE968" s="139"/>
      <c r="AF968" s="139"/>
      <c r="AG968" s="139"/>
      <c r="AH968" s="139"/>
      <c r="AI968" s="139"/>
      <c r="AJ968" s="139"/>
    </row>
    <row r="969">
      <c r="A969" s="9"/>
      <c r="B969" s="139"/>
      <c r="C969" s="139"/>
      <c r="D969" s="139"/>
      <c r="E969" s="139"/>
      <c r="F969" s="139"/>
      <c r="G969" s="139"/>
      <c r="H969" s="139"/>
      <c r="I969" s="139"/>
      <c r="J969" s="139"/>
      <c r="K969" s="139"/>
      <c r="L969" s="139"/>
      <c r="M969" s="139"/>
      <c r="N969" s="139"/>
      <c r="O969" s="139"/>
      <c r="P969" s="139"/>
      <c r="Q969" s="139"/>
      <c r="R969" s="139"/>
      <c r="S969" s="139"/>
      <c r="T969" s="139"/>
      <c r="U969" s="139"/>
      <c r="V969" s="139"/>
      <c r="W969" s="139"/>
      <c r="X969" s="139"/>
      <c r="Y969" s="139"/>
      <c r="Z969" s="139"/>
      <c r="AA969" s="139"/>
      <c r="AB969" s="139"/>
      <c r="AC969" s="139"/>
      <c r="AD969" s="139"/>
      <c r="AE969" s="139"/>
      <c r="AF969" s="139"/>
      <c r="AG969" s="139"/>
      <c r="AH969" s="139"/>
      <c r="AI969" s="139"/>
      <c r="AJ969" s="139"/>
    </row>
    <row r="970">
      <c r="A970" s="9"/>
      <c r="B970" s="139"/>
      <c r="C970" s="139"/>
      <c r="D970" s="139"/>
      <c r="E970" s="139"/>
      <c r="F970" s="139"/>
      <c r="G970" s="139"/>
      <c r="H970" s="139"/>
      <c r="I970" s="139"/>
      <c r="J970" s="139"/>
      <c r="K970" s="139"/>
      <c r="L970" s="139"/>
      <c r="M970" s="139"/>
      <c r="N970" s="139"/>
      <c r="O970" s="139"/>
      <c r="P970" s="139"/>
      <c r="Q970" s="139"/>
      <c r="R970" s="139"/>
      <c r="S970" s="139"/>
      <c r="T970" s="139"/>
      <c r="U970" s="139"/>
      <c r="V970" s="139"/>
      <c r="W970" s="139"/>
      <c r="X970" s="139"/>
      <c r="Y970" s="139"/>
      <c r="Z970" s="139"/>
      <c r="AA970" s="139"/>
      <c r="AB970" s="139"/>
      <c r="AC970" s="139"/>
      <c r="AD970" s="139"/>
      <c r="AE970" s="139"/>
      <c r="AF970" s="139"/>
      <c r="AG970" s="139"/>
      <c r="AH970" s="139"/>
      <c r="AI970" s="139"/>
      <c r="AJ970" s="139"/>
    </row>
    <row r="971">
      <c r="A971" s="9"/>
      <c r="B971" s="139"/>
      <c r="C971" s="139"/>
      <c r="D971" s="139"/>
      <c r="E971" s="139"/>
      <c r="F971" s="139"/>
      <c r="G971" s="139"/>
      <c r="H971" s="139"/>
      <c r="I971" s="139"/>
      <c r="J971" s="139"/>
      <c r="K971" s="139"/>
      <c r="L971" s="139"/>
      <c r="M971" s="139"/>
      <c r="N971" s="139"/>
      <c r="O971" s="139"/>
      <c r="P971" s="139"/>
      <c r="Q971" s="139"/>
      <c r="R971" s="139"/>
      <c r="S971" s="139"/>
      <c r="T971" s="139"/>
      <c r="U971" s="139"/>
      <c r="V971" s="139"/>
      <c r="W971" s="139"/>
      <c r="X971" s="139"/>
      <c r="Y971" s="139"/>
      <c r="Z971" s="139"/>
      <c r="AA971" s="139"/>
      <c r="AB971" s="139"/>
      <c r="AC971" s="139"/>
      <c r="AD971" s="139"/>
      <c r="AE971" s="139"/>
      <c r="AF971" s="139"/>
      <c r="AG971" s="139"/>
      <c r="AH971" s="139"/>
      <c r="AI971" s="139"/>
      <c r="AJ971" s="139"/>
    </row>
    <row r="972">
      <c r="A972" s="9"/>
      <c r="B972" s="139"/>
      <c r="C972" s="139"/>
      <c r="D972" s="139"/>
      <c r="E972" s="139"/>
      <c r="F972" s="139"/>
      <c r="G972" s="139"/>
      <c r="H972" s="139"/>
      <c r="I972" s="139"/>
      <c r="J972" s="139"/>
      <c r="K972" s="139"/>
      <c r="L972" s="139"/>
      <c r="M972" s="139"/>
      <c r="N972" s="139"/>
      <c r="O972" s="139"/>
      <c r="P972" s="139"/>
      <c r="Q972" s="139"/>
      <c r="R972" s="139"/>
      <c r="S972" s="139"/>
      <c r="T972" s="139"/>
      <c r="U972" s="139"/>
      <c r="V972" s="139"/>
      <c r="W972" s="139"/>
      <c r="X972" s="139"/>
      <c r="Y972" s="139"/>
      <c r="Z972" s="139"/>
      <c r="AA972" s="139"/>
      <c r="AB972" s="139"/>
      <c r="AC972" s="139"/>
      <c r="AD972" s="139"/>
      <c r="AE972" s="139"/>
      <c r="AF972" s="139"/>
      <c r="AG972" s="139"/>
      <c r="AH972" s="139"/>
      <c r="AI972" s="139"/>
      <c r="AJ972" s="139"/>
    </row>
    <row r="973">
      <c r="A973" s="9"/>
      <c r="B973" s="139"/>
      <c r="C973" s="139"/>
      <c r="D973" s="139"/>
      <c r="E973" s="139"/>
      <c r="F973" s="139"/>
      <c r="G973" s="139"/>
      <c r="H973" s="139"/>
      <c r="I973" s="139"/>
      <c r="J973" s="139"/>
      <c r="K973" s="139"/>
      <c r="L973" s="139"/>
      <c r="M973" s="139"/>
      <c r="N973" s="139"/>
      <c r="O973" s="139"/>
      <c r="P973" s="139"/>
      <c r="Q973" s="139"/>
      <c r="R973" s="139"/>
      <c r="S973" s="139"/>
      <c r="T973" s="139"/>
      <c r="U973" s="139"/>
      <c r="V973" s="139"/>
      <c r="W973" s="139"/>
      <c r="X973" s="139"/>
      <c r="Y973" s="139"/>
      <c r="Z973" s="139"/>
      <c r="AA973" s="139"/>
      <c r="AB973" s="139"/>
      <c r="AC973" s="139"/>
      <c r="AD973" s="139"/>
      <c r="AE973" s="139"/>
      <c r="AF973" s="139"/>
      <c r="AG973" s="139"/>
      <c r="AH973" s="139"/>
      <c r="AI973" s="139"/>
      <c r="AJ973" s="139"/>
    </row>
    <row r="974">
      <c r="A974" s="9"/>
      <c r="B974" s="139"/>
      <c r="C974" s="139"/>
      <c r="D974" s="139"/>
      <c r="E974" s="139"/>
      <c r="F974" s="139"/>
      <c r="G974" s="139"/>
      <c r="H974" s="139"/>
      <c r="I974" s="139"/>
      <c r="J974" s="139"/>
      <c r="K974" s="139"/>
      <c r="L974" s="139"/>
      <c r="M974" s="139"/>
      <c r="N974" s="139"/>
      <c r="O974" s="139"/>
      <c r="P974" s="139"/>
      <c r="Q974" s="139"/>
      <c r="R974" s="139"/>
      <c r="S974" s="139"/>
      <c r="T974" s="139"/>
      <c r="U974" s="139"/>
      <c r="V974" s="139"/>
      <c r="W974" s="139"/>
      <c r="X974" s="139"/>
      <c r="Y974" s="139"/>
      <c r="Z974" s="139"/>
      <c r="AA974" s="139"/>
      <c r="AB974" s="139"/>
      <c r="AC974" s="139"/>
      <c r="AD974" s="139"/>
      <c r="AE974" s="139"/>
      <c r="AF974" s="139"/>
      <c r="AG974" s="139"/>
      <c r="AH974" s="139"/>
      <c r="AI974" s="139"/>
      <c r="AJ974" s="139"/>
    </row>
    <row r="975">
      <c r="A975" s="9"/>
      <c r="B975" s="139"/>
      <c r="C975" s="139"/>
      <c r="D975" s="139"/>
      <c r="E975" s="139"/>
      <c r="F975" s="139"/>
      <c r="G975" s="139"/>
      <c r="H975" s="139"/>
      <c r="I975" s="139"/>
      <c r="J975" s="139"/>
      <c r="K975" s="139"/>
      <c r="L975" s="139"/>
      <c r="M975" s="139"/>
      <c r="N975" s="139"/>
      <c r="O975" s="139"/>
      <c r="P975" s="139"/>
      <c r="Q975" s="139"/>
      <c r="R975" s="139"/>
      <c r="S975" s="139"/>
      <c r="T975" s="139"/>
      <c r="U975" s="139"/>
      <c r="V975" s="139"/>
      <c r="W975" s="139"/>
      <c r="X975" s="139"/>
      <c r="Y975" s="139"/>
      <c r="Z975" s="139"/>
      <c r="AA975" s="139"/>
      <c r="AB975" s="139"/>
      <c r="AC975" s="139"/>
      <c r="AD975" s="139"/>
      <c r="AE975" s="139"/>
      <c r="AF975" s="139"/>
      <c r="AG975" s="139"/>
      <c r="AH975" s="139"/>
      <c r="AI975" s="139"/>
      <c r="AJ975" s="139"/>
    </row>
    <row r="976">
      <c r="A976" s="9"/>
      <c r="B976" s="139"/>
      <c r="C976" s="139"/>
      <c r="D976" s="139"/>
      <c r="E976" s="139"/>
      <c r="F976" s="139"/>
      <c r="G976" s="139"/>
      <c r="H976" s="139"/>
      <c r="I976" s="139"/>
      <c r="J976" s="139"/>
      <c r="K976" s="139"/>
      <c r="L976" s="139"/>
      <c r="M976" s="139"/>
      <c r="N976" s="139"/>
      <c r="O976" s="139"/>
      <c r="P976" s="139"/>
      <c r="Q976" s="139"/>
      <c r="R976" s="139"/>
      <c r="S976" s="139"/>
      <c r="T976" s="139"/>
      <c r="U976" s="139"/>
      <c r="V976" s="139"/>
      <c r="W976" s="139"/>
      <c r="X976" s="139"/>
      <c r="Y976" s="139"/>
      <c r="Z976" s="139"/>
      <c r="AA976" s="139"/>
      <c r="AB976" s="139"/>
      <c r="AC976" s="139"/>
      <c r="AD976" s="139"/>
      <c r="AE976" s="139"/>
      <c r="AF976" s="139"/>
      <c r="AG976" s="139"/>
      <c r="AH976" s="139"/>
      <c r="AI976" s="139"/>
      <c r="AJ976" s="139"/>
    </row>
    <row r="977">
      <c r="A977" s="9"/>
      <c r="B977" s="139"/>
      <c r="C977" s="139"/>
      <c r="D977" s="139"/>
      <c r="E977" s="139"/>
      <c r="F977" s="139"/>
      <c r="G977" s="139"/>
      <c r="H977" s="139"/>
      <c r="I977" s="139"/>
      <c r="J977" s="139"/>
      <c r="K977" s="139"/>
      <c r="L977" s="139"/>
      <c r="M977" s="139"/>
      <c r="N977" s="139"/>
      <c r="O977" s="139"/>
      <c r="P977" s="139"/>
      <c r="Q977" s="139"/>
      <c r="R977" s="139"/>
      <c r="S977" s="139"/>
      <c r="T977" s="139"/>
      <c r="U977" s="139"/>
      <c r="V977" s="139"/>
      <c r="W977" s="139"/>
      <c r="X977" s="139"/>
      <c r="Y977" s="139"/>
      <c r="Z977" s="139"/>
      <c r="AA977" s="139"/>
      <c r="AB977" s="139"/>
      <c r="AC977" s="139"/>
      <c r="AD977" s="139"/>
      <c r="AE977" s="139"/>
      <c r="AF977" s="139"/>
      <c r="AG977" s="139"/>
      <c r="AH977" s="139"/>
      <c r="AI977" s="139"/>
      <c r="AJ977" s="139"/>
    </row>
    <row r="978">
      <c r="A978" s="9"/>
      <c r="B978" s="139"/>
      <c r="C978" s="139"/>
      <c r="D978" s="139"/>
      <c r="E978" s="139"/>
      <c r="F978" s="139"/>
      <c r="G978" s="139"/>
      <c r="H978" s="139"/>
      <c r="I978" s="139"/>
      <c r="J978" s="139"/>
      <c r="K978" s="139"/>
      <c r="L978" s="139"/>
      <c r="M978" s="139"/>
      <c r="N978" s="139"/>
      <c r="O978" s="139"/>
      <c r="P978" s="139"/>
      <c r="Q978" s="139"/>
      <c r="R978" s="139"/>
      <c r="S978" s="139"/>
      <c r="T978" s="139"/>
      <c r="U978" s="139"/>
      <c r="V978" s="139"/>
      <c r="W978" s="139"/>
      <c r="X978" s="139"/>
      <c r="Y978" s="139"/>
      <c r="Z978" s="139"/>
      <c r="AA978" s="139"/>
      <c r="AB978" s="139"/>
      <c r="AC978" s="139"/>
      <c r="AD978" s="139"/>
      <c r="AE978" s="139"/>
      <c r="AF978" s="139"/>
      <c r="AG978" s="139"/>
      <c r="AH978" s="139"/>
      <c r="AI978" s="139"/>
      <c r="AJ978" s="139"/>
    </row>
    <row r="979">
      <c r="A979" s="9"/>
      <c r="B979" s="139"/>
      <c r="C979" s="139"/>
      <c r="D979" s="139"/>
      <c r="E979" s="139"/>
      <c r="F979" s="139"/>
      <c r="G979" s="139"/>
      <c r="H979" s="139"/>
      <c r="I979" s="139"/>
      <c r="J979" s="139"/>
      <c r="K979" s="139"/>
      <c r="L979" s="139"/>
      <c r="M979" s="139"/>
      <c r="N979" s="139"/>
      <c r="O979" s="139"/>
      <c r="P979" s="139"/>
      <c r="Q979" s="139"/>
      <c r="R979" s="139"/>
      <c r="S979" s="139"/>
      <c r="T979" s="139"/>
      <c r="U979" s="139"/>
      <c r="V979" s="139"/>
      <c r="W979" s="139"/>
      <c r="X979" s="139"/>
      <c r="Y979" s="139"/>
      <c r="Z979" s="139"/>
      <c r="AA979" s="139"/>
      <c r="AB979" s="139"/>
      <c r="AC979" s="139"/>
      <c r="AD979" s="139"/>
      <c r="AE979" s="139"/>
      <c r="AF979" s="139"/>
      <c r="AG979" s="139"/>
      <c r="AH979" s="139"/>
      <c r="AI979" s="139"/>
      <c r="AJ979" s="139"/>
    </row>
    <row r="980">
      <c r="A980" s="9"/>
      <c r="B980" s="139"/>
      <c r="C980" s="139"/>
      <c r="D980" s="139"/>
      <c r="E980" s="139"/>
      <c r="F980" s="139"/>
      <c r="G980" s="139"/>
      <c r="H980" s="139"/>
      <c r="I980" s="139"/>
      <c r="J980" s="139"/>
      <c r="K980" s="139"/>
      <c r="L980" s="139"/>
      <c r="M980" s="139"/>
      <c r="N980" s="139"/>
      <c r="O980" s="139"/>
      <c r="P980" s="139"/>
      <c r="Q980" s="139"/>
      <c r="R980" s="139"/>
      <c r="S980" s="139"/>
      <c r="T980" s="139"/>
      <c r="U980" s="139"/>
      <c r="V980" s="139"/>
      <c r="W980" s="139"/>
      <c r="X980" s="139"/>
      <c r="Y980" s="139"/>
      <c r="Z980" s="139"/>
      <c r="AA980" s="139"/>
      <c r="AB980" s="139"/>
      <c r="AC980" s="139"/>
      <c r="AD980" s="139"/>
      <c r="AE980" s="139"/>
      <c r="AF980" s="139"/>
      <c r="AG980" s="139"/>
      <c r="AH980" s="139"/>
      <c r="AI980" s="139"/>
      <c r="AJ980" s="139"/>
    </row>
    <row r="981">
      <c r="A981" s="9"/>
      <c r="B981" s="139"/>
      <c r="C981" s="139"/>
      <c r="D981" s="139"/>
      <c r="E981" s="139"/>
      <c r="F981" s="139"/>
      <c r="G981" s="139"/>
      <c r="H981" s="139"/>
      <c r="I981" s="139"/>
      <c r="J981" s="139"/>
      <c r="K981" s="139"/>
      <c r="L981" s="139"/>
      <c r="M981" s="139"/>
      <c r="N981" s="139"/>
      <c r="O981" s="139"/>
      <c r="P981" s="139"/>
      <c r="Q981" s="139"/>
      <c r="R981" s="139"/>
      <c r="S981" s="139"/>
      <c r="T981" s="139"/>
      <c r="U981" s="139"/>
      <c r="V981" s="139"/>
      <c r="W981" s="139"/>
      <c r="X981" s="139"/>
      <c r="Y981" s="139"/>
      <c r="Z981" s="139"/>
      <c r="AA981" s="139"/>
      <c r="AB981" s="139"/>
      <c r="AC981" s="139"/>
      <c r="AD981" s="139"/>
      <c r="AE981" s="139"/>
      <c r="AF981" s="139"/>
      <c r="AG981" s="139"/>
      <c r="AH981" s="139"/>
      <c r="AI981" s="139"/>
      <c r="AJ981" s="139"/>
    </row>
    <row r="982">
      <c r="A982" s="9"/>
      <c r="B982" s="139"/>
      <c r="C982" s="139"/>
      <c r="D982" s="139"/>
      <c r="E982" s="139"/>
      <c r="F982" s="139"/>
      <c r="G982" s="139"/>
      <c r="H982" s="139"/>
      <c r="I982" s="139"/>
      <c r="J982" s="139"/>
      <c r="K982" s="139"/>
      <c r="L982" s="139"/>
      <c r="M982" s="139"/>
      <c r="N982" s="139"/>
      <c r="O982" s="139"/>
      <c r="P982" s="139"/>
      <c r="Q982" s="139"/>
      <c r="R982" s="139"/>
      <c r="S982" s="139"/>
      <c r="T982" s="139"/>
      <c r="U982" s="139"/>
      <c r="V982" s="139"/>
      <c r="W982" s="139"/>
      <c r="X982" s="139"/>
      <c r="Y982" s="139"/>
      <c r="Z982" s="139"/>
      <c r="AA982" s="139"/>
      <c r="AB982" s="139"/>
      <c r="AC982" s="139"/>
      <c r="AD982" s="139"/>
      <c r="AE982" s="139"/>
      <c r="AF982" s="139"/>
      <c r="AG982" s="139"/>
      <c r="AH982" s="139"/>
      <c r="AI982" s="139"/>
      <c r="AJ982" s="139"/>
    </row>
    <row r="983">
      <c r="A983" s="9"/>
      <c r="B983" s="139"/>
      <c r="C983" s="139"/>
      <c r="D983" s="139"/>
      <c r="E983" s="139"/>
      <c r="F983" s="139"/>
      <c r="G983" s="139"/>
      <c r="H983" s="139"/>
      <c r="I983" s="139"/>
      <c r="J983" s="139"/>
      <c r="K983" s="139"/>
      <c r="L983" s="139"/>
      <c r="M983" s="139"/>
      <c r="N983" s="139"/>
      <c r="O983" s="139"/>
      <c r="P983" s="139"/>
      <c r="Q983" s="139"/>
      <c r="R983" s="139"/>
      <c r="S983" s="139"/>
      <c r="T983" s="139"/>
      <c r="U983" s="139"/>
      <c r="V983" s="139"/>
      <c r="W983" s="139"/>
      <c r="X983" s="139"/>
      <c r="Y983" s="139"/>
      <c r="Z983" s="139"/>
      <c r="AA983" s="139"/>
      <c r="AB983" s="139"/>
      <c r="AC983" s="139"/>
      <c r="AD983" s="139"/>
      <c r="AE983" s="139"/>
      <c r="AF983" s="139"/>
      <c r="AG983" s="139"/>
      <c r="AH983" s="139"/>
      <c r="AI983" s="139"/>
      <c r="AJ983" s="139"/>
    </row>
    <row r="984">
      <c r="A984" s="9"/>
      <c r="B984" s="139"/>
      <c r="C984" s="139"/>
      <c r="D984" s="139"/>
      <c r="E984" s="139"/>
      <c r="F984" s="139"/>
      <c r="G984" s="139"/>
      <c r="H984" s="139"/>
      <c r="I984" s="139"/>
      <c r="J984" s="139"/>
      <c r="K984" s="139"/>
      <c r="L984" s="139"/>
      <c r="M984" s="139"/>
      <c r="N984" s="139"/>
      <c r="O984" s="139"/>
      <c r="P984" s="139"/>
      <c r="Q984" s="139"/>
      <c r="R984" s="139"/>
      <c r="S984" s="139"/>
      <c r="T984" s="139"/>
      <c r="U984" s="139"/>
      <c r="V984" s="139"/>
      <c r="W984" s="139"/>
      <c r="X984" s="139"/>
      <c r="Y984" s="139"/>
      <c r="Z984" s="139"/>
      <c r="AA984" s="139"/>
      <c r="AB984" s="139"/>
      <c r="AC984" s="139"/>
      <c r="AD984" s="139"/>
      <c r="AE984" s="139"/>
      <c r="AF984" s="139"/>
      <c r="AG984" s="139"/>
      <c r="AH984" s="139"/>
      <c r="AI984" s="139"/>
      <c r="AJ984" s="139"/>
    </row>
    <row r="985">
      <c r="A985" s="9"/>
      <c r="B985" s="139"/>
      <c r="C985" s="139"/>
      <c r="D985" s="139"/>
      <c r="E985" s="139"/>
      <c r="F985" s="139"/>
      <c r="G985" s="139"/>
      <c r="H985" s="139"/>
      <c r="I985" s="139"/>
      <c r="J985" s="139"/>
      <c r="K985" s="139"/>
      <c r="L985" s="139"/>
      <c r="M985" s="139"/>
      <c r="N985" s="139"/>
      <c r="O985" s="139"/>
      <c r="P985" s="139"/>
      <c r="Q985" s="139"/>
      <c r="R985" s="139"/>
      <c r="S985" s="139"/>
      <c r="T985" s="139"/>
      <c r="U985" s="139"/>
      <c r="V985" s="139"/>
      <c r="W985" s="139"/>
      <c r="X985" s="139"/>
      <c r="Y985" s="139"/>
      <c r="Z985" s="139"/>
      <c r="AA985" s="139"/>
      <c r="AB985" s="139"/>
      <c r="AC985" s="139"/>
      <c r="AD985" s="139"/>
      <c r="AE985" s="139"/>
      <c r="AF985" s="139"/>
      <c r="AG985" s="139"/>
      <c r="AH985" s="139"/>
      <c r="AI985" s="139"/>
      <c r="AJ985" s="139"/>
    </row>
    <row r="986">
      <c r="A986" s="9"/>
      <c r="B986" s="139"/>
      <c r="C986" s="139"/>
      <c r="D986" s="139"/>
      <c r="E986" s="139"/>
      <c r="F986" s="139"/>
      <c r="G986" s="139"/>
      <c r="H986" s="139"/>
      <c r="I986" s="139"/>
      <c r="J986" s="139"/>
      <c r="K986" s="139"/>
      <c r="L986" s="139"/>
      <c r="M986" s="139"/>
      <c r="N986" s="139"/>
      <c r="O986" s="139"/>
      <c r="P986" s="139"/>
      <c r="Q986" s="139"/>
      <c r="R986" s="139"/>
      <c r="S986" s="139"/>
      <c r="T986" s="139"/>
      <c r="U986" s="139"/>
      <c r="V986" s="139"/>
      <c r="W986" s="139"/>
      <c r="X986" s="139"/>
      <c r="Y986" s="139"/>
      <c r="Z986" s="139"/>
      <c r="AA986" s="139"/>
      <c r="AB986" s="139"/>
      <c r="AC986" s="139"/>
      <c r="AD986" s="139"/>
      <c r="AE986" s="139"/>
      <c r="AF986" s="139"/>
      <c r="AG986" s="139"/>
      <c r="AH986" s="139"/>
      <c r="AI986" s="139"/>
      <c r="AJ986" s="139"/>
    </row>
    <row r="987">
      <c r="A987" s="9"/>
      <c r="B987" s="139"/>
      <c r="C987" s="139"/>
      <c r="D987" s="139"/>
      <c r="E987" s="139"/>
      <c r="F987" s="139"/>
      <c r="G987" s="139"/>
      <c r="H987" s="139"/>
      <c r="I987" s="139"/>
      <c r="J987" s="139"/>
      <c r="K987" s="139"/>
      <c r="L987" s="139"/>
      <c r="M987" s="139"/>
      <c r="N987" s="139"/>
      <c r="O987" s="139"/>
      <c r="P987" s="139"/>
      <c r="Q987" s="139"/>
      <c r="R987" s="139"/>
      <c r="S987" s="139"/>
      <c r="T987" s="139"/>
      <c r="U987" s="139"/>
      <c r="V987" s="139"/>
      <c r="W987" s="139"/>
      <c r="X987" s="139"/>
      <c r="Y987" s="139"/>
      <c r="Z987" s="139"/>
      <c r="AA987" s="139"/>
      <c r="AB987" s="139"/>
      <c r="AC987" s="139"/>
      <c r="AD987" s="139"/>
      <c r="AE987" s="139"/>
      <c r="AF987" s="139"/>
      <c r="AG987" s="139"/>
      <c r="AH987" s="139"/>
      <c r="AI987" s="139"/>
      <c r="AJ987" s="139"/>
    </row>
    <row r="988">
      <c r="A988" s="9"/>
      <c r="B988" s="139"/>
      <c r="C988" s="139"/>
      <c r="D988" s="139"/>
      <c r="E988" s="139"/>
      <c r="F988" s="139"/>
      <c r="G988" s="139"/>
      <c r="H988" s="139"/>
      <c r="I988" s="139"/>
      <c r="J988" s="139"/>
      <c r="K988" s="139"/>
      <c r="L988" s="139"/>
      <c r="M988" s="139"/>
      <c r="N988" s="139"/>
      <c r="O988" s="139"/>
      <c r="P988" s="139"/>
      <c r="Q988" s="139"/>
      <c r="R988" s="139"/>
      <c r="S988" s="139"/>
      <c r="T988" s="139"/>
      <c r="U988" s="139"/>
      <c r="V988" s="139"/>
      <c r="W988" s="139"/>
      <c r="X988" s="139"/>
      <c r="Y988" s="139"/>
      <c r="Z988" s="139"/>
      <c r="AA988" s="139"/>
      <c r="AB988" s="139"/>
      <c r="AC988" s="139"/>
      <c r="AD988" s="139"/>
      <c r="AE988" s="139"/>
      <c r="AF988" s="139"/>
      <c r="AG988" s="139"/>
      <c r="AH988" s="139"/>
      <c r="AI988" s="139"/>
      <c r="AJ988" s="139"/>
    </row>
    <row r="989">
      <c r="A989" s="9"/>
      <c r="B989" s="139"/>
      <c r="C989" s="139"/>
      <c r="D989" s="139"/>
      <c r="E989" s="139"/>
      <c r="F989" s="139"/>
      <c r="G989" s="139"/>
      <c r="H989" s="139"/>
      <c r="I989" s="139"/>
      <c r="J989" s="139"/>
      <c r="K989" s="139"/>
      <c r="L989" s="139"/>
      <c r="M989" s="139"/>
      <c r="N989" s="139"/>
      <c r="O989" s="139"/>
      <c r="P989" s="139"/>
      <c r="Q989" s="139"/>
      <c r="R989" s="139"/>
      <c r="S989" s="139"/>
      <c r="T989" s="139"/>
      <c r="U989" s="139"/>
      <c r="V989" s="139"/>
      <c r="W989" s="139"/>
      <c r="X989" s="139"/>
      <c r="Y989" s="139"/>
      <c r="Z989" s="139"/>
      <c r="AA989" s="139"/>
      <c r="AB989" s="139"/>
      <c r="AC989" s="139"/>
      <c r="AD989" s="139"/>
      <c r="AE989" s="139"/>
      <c r="AF989" s="139"/>
      <c r="AG989" s="139"/>
      <c r="AH989" s="139"/>
      <c r="AI989" s="139"/>
      <c r="AJ989" s="139"/>
    </row>
    <row r="990">
      <c r="A990" s="9"/>
      <c r="B990" s="139"/>
      <c r="C990" s="139"/>
      <c r="D990" s="139"/>
      <c r="E990" s="139"/>
      <c r="F990" s="139"/>
      <c r="G990" s="139"/>
      <c r="H990" s="139"/>
      <c r="I990" s="139"/>
      <c r="J990" s="139"/>
      <c r="K990" s="139"/>
      <c r="L990" s="139"/>
      <c r="M990" s="139"/>
      <c r="N990" s="139"/>
      <c r="O990" s="139"/>
      <c r="P990" s="139"/>
      <c r="Q990" s="139"/>
      <c r="R990" s="139"/>
      <c r="S990" s="139"/>
      <c r="T990" s="139"/>
      <c r="U990" s="139"/>
      <c r="V990" s="139"/>
      <c r="W990" s="139"/>
      <c r="X990" s="139"/>
      <c r="Y990" s="139"/>
      <c r="Z990" s="139"/>
      <c r="AA990" s="139"/>
      <c r="AB990" s="139"/>
      <c r="AC990" s="139"/>
      <c r="AD990" s="139"/>
      <c r="AE990" s="139"/>
      <c r="AF990" s="139"/>
      <c r="AG990" s="139"/>
      <c r="AH990" s="139"/>
      <c r="AI990" s="139"/>
      <c r="AJ990" s="139"/>
    </row>
    <row r="991">
      <c r="A991" s="9"/>
      <c r="B991" s="139"/>
      <c r="C991" s="139"/>
      <c r="D991" s="139"/>
      <c r="E991" s="139"/>
      <c r="F991" s="139"/>
      <c r="G991" s="139"/>
      <c r="H991" s="139"/>
      <c r="I991" s="139"/>
      <c r="J991" s="139"/>
      <c r="K991" s="139"/>
      <c r="L991" s="139"/>
      <c r="M991" s="139"/>
      <c r="N991" s="139"/>
      <c r="O991" s="139"/>
      <c r="P991" s="139"/>
      <c r="Q991" s="139"/>
      <c r="R991" s="139"/>
      <c r="S991" s="139"/>
      <c r="T991" s="139"/>
      <c r="U991" s="139"/>
      <c r="V991" s="139"/>
      <c r="W991" s="139"/>
      <c r="X991" s="139"/>
      <c r="Y991" s="139"/>
      <c r="Z991" s="139"/>
      <c r="AA991" s="139"/>
      <c r="AB991" s="139"/>
      <c r="AC991" s="139"/>
      <c r="AD991" s="139"/>
      <c r="AE991" s="139"/>
      <c r="AF991" s="139"/>
      <c r="AG991" s="139"/>
      <c r="AH991" s="139"/>
      <c r="AI991" s="139"/>
      <c r="AJ991" s="139"/>
    </row>
    <row r="992">
      <c r="A992" s="9"/>
      <c r="B992" s="139"/>
      <c r="C992" s="139"/>
      <c r="D992" s="139"/>
      <c r="E992" s="139"/>
      <c r="F992" s="139"/>
      <c r="G992" s="139"/>
      <c r="H992" s="139"/>
      <c r="I992" s="139"/>
      <c r="J992" s="139"/>
      <c r="K992" s="139"/>
      <c r="L992" s="139"/>
      <c r="M992" s="139"/>
      <c r="N992" s="139"/>
      <c r="O992" s="139"/>
      <c r="P992" s="139"/>
      <c r="Q992" s="139"/>
      <c r="R992" s="139"/>
      <c r="S992" s="139"/>
      <c r="T992" s="139"/>
      <c r="U992" s="139"/>
      <c r="V992" s="139"/>
      <c r="W992" s="139"/>
      <c r="X992" s="139"/>
      <c r="Y992" s="139"/>
      <c r="Z992" s="139"/>
      <c r="AA992" s="139"/>
      <c r="AB992" s="139"/>
      <c r="AC992" s="139"/>
      <c r="AD992" s="139"/>
      <c r="AE992" s="139"/>
      <c r="AF992" s="139"/>
      <c r="AG992" s="139"/>
      <c r="AH992" s="139"/>
      <c r="AI992" s="139"/>
      <c r="AJ992" s="139"/>
    </row>
    <row r="993">
      <c r="A993" s="9"/>
      <c r="B993" s="139"/>
      <c r="C993" s="139"/>
      <c r="D993" s="139"/>
      <c r="E993" s="139"/>
      <c r="F993" s="139"/>
      <c r="G993" s="139"/>
      <c r="H993" s="139"/>
      <c r="I993" s="139"/>
      <c r="J993" s="139"/>
      <c r="K993" s="139"/>
      <c r="L993" s="139"/>
      <c r="M993" s="139"/>
      <c r="N993" s="139"/>
      <c r="O993" s="139"/>
      <c r="P993" s="139"/>
      <c r="Q993" s="139"/>
      <c r="R993" s="139"/>
      <c r="S993" s="139"/>
      <c r="T993" s="139"/>
      <c r="U993" s="139"/>
      <c r="V993" s="139"/>
      <c r="W993" s="139"/>
      <c r="X993" s="139"/>
      <c r="Y993" s="139"/>
      <c r="Z993" s="139"/>
      <c r="AA993" s="139"/>
      <c r="AB993" s="139"/>
      <c r="AC993" s="139"/>
      <c r="AD993" s="139"/>
      <c r="AE993" s="139"/>
      <c r="AF993" s="139"/>
      <c r="AG993" s="139"/>
      <c r="AH993" s="139"/>
      <c r="AI993" s="139"/>
      <c r="AJ993" s="139"/>
    </row>
    <row r="994">
      <c r="A994" s="9"/>
      <c r="B994" s="139"/>
      <c r="C994" s="139"/>
      <c r="D994" s="139"/>
      <c r="E994" s="139"/>
      <c r="F994" s="139"/>
      <c r="G994" s="139"/>
      <c r="H994" s="139"/>
      <c r="I994" s="139"/>
      <c r="J994" s="139"/>
      <c r="K994" s="139"/>
      <c r="L994" s="139"/>
      <c r="M994" s="139"/>
      <c r="N994" s="139"/>
      <c r="O994" s="139"/>
      <c r="P994" s="139"/>
      <c r="Q994" s="139"/>
      <c r="R994" s="139"/>
      <c r="S994" s="139"/>
      <c r="T994" s="139"/>
      <c r="U994" s="139"/>
      <c r="V994" s="139"/>
      <c r="W994" s="139"/>
      <c r="X994" s="139"/>
      <c r="Y994" s="139"/>
      <c r="Z994" s="139"/>
      <c r="AA994" s="139"/>
      <c r="AB994" s="139"/>
      <c r="AC994" s="139"/>
      <c r="AD994" s="139"/>
      <c r="AE994" s="139"/>
      <c r="AF994" s="139"/>
      <c r="AG994" s="139"/>
      <c r="AH994" s="139"/>
      <c r="AI994" s="139"/>
      <c r="AJ994" s="139"/>
    </row>
    <row r="995">
      <c r="A995" s="9"/>
      <c r="B995" s="139"/>
      <c r="C995" s="139"/>
      <c r="D995" s="139"/>
      <c r="E995" s="139"/>
      <c r="F995" s="139"/>
      <c r="G995" s="139"/>
      <c r="H995" s="139"/>
      <c r="I995" s="139"/>
      <c r="J995" s="139"/>
      <c r="K995" s="139"/>
      <c r="L995" s="139"/>
      <c r="M995" s="139"/>
      <c r="N995" s="139"/>
      <c r="O995" s="139"/>
      <c r="P995" s="139"/>
      <c r="Q995" s="139"/>
      <c r="R995" s="139"/>
      <c r="S995" s="139"/>
      <c r="T995" s="139"/>
      <c r="U995" s="139"/>
      <c r="V995" s="139"/>
      <c r="W995" s="139"/>
      <c r="X995" s="139"/>
      <c r="Y995" s="139"/>
      <c r="Z995" s="139"/>
      <c r="AA995" s="139"/>
      <c r="AB995" s="139"/>
      <c r="AC995" s="139"/>
      <c r="AD995" s="139"/>
      <c r="AE995" s="139"/>
      <c r="AF995" s="139"/>
      <c r="AG995" s="139"/>
      <c r="AH995" s="139"/>
      <c r="AI995" s="139"/>
      <c r="AJ995" s="139"/>
    </row>
    <row r="996">
      <c r="A996" s="9"/>
      <c r="B996" s="139"/>
      <c r="C996" s="139"/>
      <c r="D996" s="139"/>
      <c r="E996" s="139"/>
      <c r="F996" s="139"/>
      <c r="G996" s="139"/>
      <c r="H996" s="139"/>
      <c r="I996" s="139"/>
      <c r="J996" s="139"/>
      <c r="K996" s="139"/>
      <c r="L996" s="139"/>
      <c r="M996" s="139"/>
      <c r="N996" s="139"/>
      <c r="O996" s="139"/>
      <c r="P996" s="139"/>
      <c r="Q996" s="139"/>
      <c r="R996" s="139"/>
      <c r="S996" s="139"/>
      <c r="T996" s="139"/>
      <c r="U996" s="139"/>
      <c r="V996" s="139"/>
      <c r="W996" s="139"/>
      <c r="X996" s="139"/>
      <c r="Y996" s="139"/>
      <c r="Z996" s="139"/>
      <c r="AA996" s="139"/>
      <c r="AB996" s="139"/>
      <c r="AC996" s="139"/>
      <c r="AD996" s="139"/>
      <c r="AE996" s="139"/>
      <c r="AF996" s="139"/>
      <c r="AG996" s="139"/>
      <c r="AH996" s="139"/>
      <c r="AI996" s="139"/>
      <c r="AJ996" s="139"/>
    </row>
    <row r="997">
      <c r="A997" s="9"/>
      <c r="B997" s="139"/>
      <c r="C997" s="139"/>
      <c r="D997" s="139"/>
      <c r="E997" s="139"/>
      <c r="F997" s="139"/>
      <c r="G997" s="139"/>
      <c r="H997" s="139"/>
      <c r="I997" s="139"/>
      <c r="J997" s="139"/>
      <c r="K997" s="139"/>
      <c r="L997" s="139"/>
      <c r="M997" s="139"/>
      <c r="N997" s="139"/>
      <c r="O997" s="139"/>
      <c r="P997" s="139"/>
      <c r="Q997" s="139"/>
      <c r="R997" s="139"/>
      <c r="S997" s="139"/>
      <c r="T997" s="139"/>
      <c r="U997" s="139"/>
      <c r="V997" s="139"/>
      <c r="W997" s="139"/>
      <c r="X997" s="139"/>
      <c r="Y997" s="139"/>
      <c r="Z997" s="139"/>
      <c r="AA997" s="139"/>
      <c r="AB997" s="139"/>
      <c r="AC997" s="139"/>
      <c r="AD997" s="139"/>
      <c r="AE997" s="139"/>
      <c r="AF997" s="139"/>
      <c r="AG997" s="139"/>
      <c r="AH997" s="139"/>
      <c r="AI997" s="139"/>
      <c r="AJ997" s="139"/>
    </row>
    <row r="998">
      <c r="A998" s="9"/>
      <c r="B998" s="139"/>
      <c r="C998" s="139"/>
      <c r="D998" s="139"/>
      <c r="E998" s="139"/>
      <c r="F998" s="139"/>
      <c r="G998" s="139"/>
      <c r="H998" s="139"/>
      <c r="I998" s="139"/>
      <c r="J998" s="139"/>
      <c r="K998" s="139"/>
      <c r="L998" s="139"/>
      <c r="M998" s="139"/>
      <c r="N998" s="139"/>
      <c r="O998" s="139"/>
      <c r="P998" s="139"/>
      <c r="Q998" s="139"/>
      <c r="R998" s="139"/>
      <c r="S998" s="139"/>
      <c r="T998" s="139"/>
      <c r="U998" s="139"/>
      <c r="V998" s="139"/>
      <c r="W998" s="139"/>
      <c r="X998" s="139"/>
      <c r="Y998" s="139"/>
      <c r="Z998" s="139"/>
      <c r="AA998" s="139"/>
      <c r="AB998" s="139"/>
      <c r="AC998" s="139"/>
      <c r="AD998" s="139"/>
      <c r="AE998" s="139"/>
      <c r="AF998" s="139"/>
      <c r="AG998" s="139"/>
      <c r="AH998" s="139"/>
      <c r="AI998" s="139"/>
      <c r="AJ998" s="139"/>
    </row>
    <row r="999">
      <c r="A999" s="9"/>
      <c r="B999" s="139"/>
      <c r="C999" s="139"/>
      <c r="D999" s="139"/>
      <c r="E999" s="139"/>
      <c r="F999" s="139"/>
      <c r="G999" s="139"/>
      <c r="H999" s="139"/>
      <c r="I999" s="139"/>
      <c r="J999" s="139"/>
      <c r="K999" s="139"/>
      <c r="L999" s="139"/>
      <c r="M999" s="139"/>
      <c r="N999" s="139"/>
      <c r="O999" s="139"/>
      <c r="P999" s="139"/>
      <c r="Q999" s="139"/>
      <c r="R999" s="139"/>
      <c r="S999" s="139"/>
      <c r="T999" s="139"/>
      <c r="U999" s="139"/>
      <c r="V999" s="139"/>
      <c r="W999" s="139"/>
      <c r="X999" s="139"/>
      <c r="Y999" s="139"/>
      <c r="Z999" s="139"/>
      <c r="AA999" s="139"/>
      <c r="AB999" s="139"/>
      <c r="AC999" s="139"/>
      <c r="AD999" s="139"/>
      <c r="AE999" s="139"/>
      <c r="AF999" s="139"/>
      <c r="AG999" s="139"/>
      <c r="AH999" s="139"/>
      <c r="AI999" s="139"/>
      <c r="AJ999" s="13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38"/>
    <col customWidth="1" min="3" max="3" width="13.0"/>
    <col customWidth="1" min="4" max="4" width="15.25"/>
    <col customWidth="1" min="9" max="9" width="16.5"/>
    <col customWidth="1" min="15" max="15" width="12.38"/>
    <col customWidth="1" min="16" max="16" width="13.0"/>
    <col customWidth="1" min="17" max="17" width="15.25"/>
  </cols>
  <sheetData>
    <row r="1">
      <c r="A1" s="147" t="s">
        <v>467</v>
      </c>
      <c r="I1" s="148"/>
      <c r="J1" s="148"/>
      <c r="K1" s="148"/>
      <c r="L1" s="148"/>
      <c r="M1" s="148"/>
      <c r="N1" s="147" t="s">
        <v>29</v>
      </c>
      <c r="O1" s="148" t="s">
        <v>22</v>
      </c>
    </row>
    <row r="2">
      <c r="I2" s="149" t="s">
        <v>31</v>
      </c>
      <c r="J2" s="18"/>
      <c r="V2" s="149" t="s">
        <v>31</v>
      </c>
      <c r="W2" s="18"/>
    </row>
    <row r="3">
      <c r="A3" s="135" t="s">
        <v>33</v>
      </c>
      <c r="B3" s="135" t="s">
        <v>34</v>
      </c>
      <c r="C3" s="135" t="s">
        <v>35</v>
      </c>
      <c r="D3" s="135" t="s">
        <v>36</v>
      </c>
      <c r="E3" s="135" t="s">
        <v>39</v>
      </c>
      <c r="F3" s="135" t="s">
        <v>40</v>
      </c>
      <c r="G3" s="135" t="s">
        <v>41</v>
      </c>
      <c r="H3" s="135" t="s">
        <v>43</v>
      </c>
      <c r="I3" s="135" t="s">
        <v>37</v>
      </c>
      <c r="J3" s="135" t="s">
        <v>38</v>
      </c>
      <c r="N3" s="135" t="s">
        <v>33</v>
      </c>
      <c r="O3" s="135" t="s">
        <v>34</v>
      </c>
      <c r="P3" s="135" t="s">
        <v>35</v>
      </c>
      <c r="Q3" s="135" t="s">
        <v>36</v>
      </c>
      <c r="R3" s="135" t="s">
        <v>39</v>
      </c>
      <c r="S3" s="135" t="s">
        <v>40</v>
      </c>
      <c r="T3" s="135" t="s">
        <v>41</v>
      </c>
      <c r="U3" s="135" t="s">
        <v>43</v>
      </c>
      <c r="V3" s="135" t="s">
        <v>37</v>
      </c>
      <c r="W3" s="135" t="s">
        <v>38</v>
      </c>
    </row>
    <row r="4">
      <c r="A4" s="70"/>
      <c r="B4" s="70"/>
      <c r="C4" s="70"/>
      <c r="D4" s="70"/>
      <c r="E4" s="70"/>
      <c r="F4" s="70"/>
      <c r="G4" s="70"/>
      <c r="H4" s="70"/>
      <c r="I4" s="70"/>
      <c r="J4" s="70"/>
      <c r="N4" s="70"/>
      <c r="O4" s="70"/>
      <c r="P4" s="70"/>
      <c r="Q4" s="70"/>
      <c r="R4" s="70"/>
      <c r="S4" s="70"/>
      <c r="T4" s="70"/>
      <c r="U4" s="70"/>
      <c r="V4" s="70"/>
      <c r="W4" s="70"/>
    </row>
    <row r="5">
      <c r="A5" s="136">
        <v>46054.0</v>
      </c>
      <c r="B5" s="41">
        <f>sumifs(raw_data!$E:$E,raw_data!$A:$A,A5)</f>
        <v>35</v>
      </c>
      <c r="C5" s="41">
        <f>sumifs(raw_data!$E:$E,raw_data!$A:$A,A5,raw_data!$D:$D,"Primary_Walkin")</f>
        <v>34</v>
      </c>
      <c r="D5" s="41">
        <f>sumifs(raw_data!$E:$E,raw_data!$A:$A,A5,raw_data!$D:$D,"Secondary_Walkin")</f>
        <v>1</v>
      </c>
      <c r="E5" s="41">
        <f>sumifs(raw_data!$Z:$Z,raw_data!$T:$T,A5,raw_data!$U:$U,"Telephony")</f>
        <v>14</v>
      </c>
      <c r="F5" s="41">
        <f>sumifs(raw_data!$Z:$Z,raw_data!$T:$T,A5,raw_data!$U:$U,"Paid Ads")</f>
        <v>3</v>
      </c>
      <c r="G5" s="41">
        <f>sumifs(raw_data!$M:$M,raw_data!$K:$K,A5,raw_data!$N:$N,"Delhi") + sumifs(raw_data!$M:$M,raw_data!$K:$K,A5,raw_data!$N:$N,"Lucknow") + sumifs(raw_data!$M:$M,raw_data!$K:$K,A5,raw_data!$N:$N,"Prayagraj") + sumifs(raw_data!$M:$M,raw_data!$K:$K,A5,raw_data!$N:$N,"Patna") + sumifs(raw_data!$M:$M,raw_data!$K:$K,A5,raw_data!$N:$N,"Indore")</f>
        <v>0</v>
      </c>
      <c r="H5" s="41"/>
      <c r="I5" s="41">
        <f>sumifs(raw_data!$E:$E,raw_data!$A:$A,A5,raw_data!$G:$G,"GS Foundation")</f>
        <v>27</v>
      </c>
      <c r="J5" s="41">
        <f>sumifs(raw_data!$E:$E,raw_data!$A:$A,A5) - sumifs(raw_data!$E:$E,raw_data!$A:$A,A5,raw_data!$G:$G,"GS Foundation")</f>
        <v>8</v>
      </c>
      <c r="N5" s="136">
        <v>46054.0</v>
      </c>
      <c r="O5" s="41">
        <f>sumifs(raw_data!$E:$E,raw_data!$A:$A,N5,raw_data!C:C,$O$1)</f>
        <v>19</v>
      </c>
      <c r="P5" s="41">
        <f>sumifs(raw_data!$E:$E,raw_data!$A:$A,N5,raw_data!$D:$D,"Primary_Walkin",raw_data!$C:$C,$O$1)</f>
        <v>19</v>
      </c>
      <c r="Q5" s="41">
        <f>sumifs(raw_data!$E:$E,raw_data!$A:$A,N5,raw_data!$D:$D,"Secondary_Walkin",raw_data!$C:$C,$O$1)</f>
        <v>0</v>
      </c>
      <c r="R5" s="41">
        <f>sumifs(raw_data!$Z:$Z,raw_data!$T:$T,N5,raw_data!$U:$U,"Telephony",raw_data!$Y:$Y,$O$1)</f>
        <v>1</v>
      </c>
      <c r="S5" s="41">
        <f>sumifs(raw_data!$Z:$Z,raw_data!$T:$T,N5,raw_data!$U:$U,"Paid Ads",raw_data!$Y:$Y,$O$1)</f>
        <v>1</v>
      </c>
      <c r="T5" s="41">
        <f>sumifs(raw_data!$M:$M,raw_data!$K:$K,N5,raw_data!$N:$N,$O$1) </f>
        <v>0</v>
      </c>
      <c r="U5" s="41"/>
      <c r="V5" s="41">
        <f>sumifs(raw_data!$E:$E,raw_data!$A:$A,N5,raw_data!$G:$G,"GS Foundation",raw_data!C:C,$O$1)</f>
        <v>18</v>
      </c>
      <c r="W5" s="41">
        <f>sumifs(raw_data!$E:$E,raw_data!$A:$A,N5,raw_data!C:C,$O$1) - sumifs(raw_data!$E:$E,raw_data!$A:$A,N5,raw_data!$G:$G,"GS Foundation",raw_data!C:C,$O$1)</f>
        <v>1</v>
      </c>
    </row>
    <row r="6">
      <c r="A6" s="136">
        <v>46055.0</v>
      </c>
      <c r="B6" s="41">
        <f>sumifs(raw_data!$E:$E,raw_data!$A:$A,A6)</f>
        <v>41</v>
      </c>
      <c r="C6" s="41">
        <f>sumifs(raw_data!$E:$E,raw_data!$A:$A,A6,raw_data!$D:$D,"Primary_Walkin")</f>
        <v>36</v>
      </c>
      <c r="D6" s="41">
        <f>sumifs(raw_data!$E:$E,raw_data!$A:$A,A6,raw_data!$D:$D,"Secondary_Walkin")</f>
        <v>5</v>
      </c>
      <c r="E6" s="41">
        <f>sumifs(raw_data!$Z:$Z,raw_data!$T:$T,A6,raw_data!$U:$U,"Telephony")</f>
        <v>35</v>
      </c>
      <c r="F6" s="41">
        <f>sumifs(raw_data!$Z:$Z,raw_data!$T:$T,A6,raw_data!$U:$U,"Paid Ads")</f>
        <v>2</v>
      </c>
      <c r="G6" s="41">
        <f>sumifs(raw_data!$M:$M,raw_data!$K:$K,A6,raw_data!$N:$N,"Delhi") + sumifs(raw_data!$M:$M,raw_data!$K:$K,A6,raw_data!$N:$N,"Lucknow") + sumifs(raw_data!$M:$M,raw_data!$K:$K,A6,raw_data!$N:$N,"Prayagraj") + sumifs(raw_data!$M:$M,raw_data!$K:$K,A6,raw_data!$N:$N,"Patna") + sumifs(raw_data!$M:$M,raw_data!$K:$K,A6,raw_data!$N:$N,"Indore")</f>
        <v>0</v>
      </c>
      <c r="H6" s="41"/>
      <c r="I6" s="41">
        <f>sumifs(raw_data!$E:$E,raw_data!$A:$A,A6,raw_data!$G:$G,"GS Foundation")</f>
        <v>23</v>
      </c>
      <c r="J6" s="41">
        <f>sumifs(raw_data!$E:$E,raw_data!$A:$A,A6) - sumifs(raw_data!$E:$E,raw_data!$A:$A,A6,raw_data!$G:$G,"GS Foundation")</f>
        <v>18</v>
      </c>
      <c r="N6" s="136">
        <v>46055.0</v>
      </c>
      <c r="O6" s="41">
        <f>sumifs(raw_data!$E:$E,raw_data!$A:$A,N6,raw_data!C:C,$O$1)</f>
        <v>17</v>
      </c>
      <c r="P6" s="41">
        <f>sumifs(raw_data!$E:$E,raw_data!$A:$A,N6,raw_data!$D:$D,"Primary_Walkin",raw_data!$C:$C,$O$1)</f>
        <v>16</v>
      </c>
      <c r="Q6" s="41">
        <f>sumifs(raw_data!$E:$E,raw_data!$A:$A,N6,raw_data!$D:$D,"Secondary_Walkin",raw_data!$C:$C,$O$1)</f>
        <v>1</v>
      </c>
      <c r="R6" s="41">
        <f>sumifs(raw_data!$Z:$Z,raw_data!$T:$T,N6,raw_data!$U:$U,"Telephony",raw_data!$Y:$Y,$O$1)</f>
        <v>4</v>
      </c>
      <c r="S6" s="41">
        <f>sumifs(raw_data!$Z:$Z,raw_data!$T:$T,N6,raw_data!$U:$U,"Paid Ads",raw_data!$Y:$Y,$O$1)</f>
        <v>0</v>
      </c>
      <c r="T6" s="41">
        <f>sumifs(raw_data!$M:$M,raw_data!$K:$K,N6,raw_data!$N:$N,$O$1) </f>
        <v>0</v>
      </c>
      <c r="U6" s="41"/>
      <c r="V6" s="41">
        <f>sumifs(raw_data!$E:$E,raw_data!$A:$A,N6,raw_data!$G:$G,"GS Foundation",raw_data!C:C,$O$1)</f>
        <v>13</v>
      </c>
      <c r="W6" s="41">
        <f>sumifs(raw_data!$E:$E,raw_data!$A:$A,N6,raw_data!C:C,$O$1) - sumifs(raw_data!$E:$E,raw_data!$A:$A,N6,raw_data!$G:$G,"GS Foundation",raw_data!C:C,$O$1)</f>
        <v>4</v>
      </c>
    </row>
    <row r="7">
      <c r="A7" s="136">
        <v>46056.0</v>
      </c>
      <c r="B7" s="41">
        <f>sumifs(raw_data!$E:$E,raw_data!$A:$A,A7)</f>
        <v>55</v>
      </c>
      <c r="C7" s="41">
        <f>sumifs(raw_data!$E:$E,raw_data!$A:$A,A7,raw_data!$D:$D,"Primary_Walkin")</f>
        <v>50</v>
      </c>
      <c r="D7" s="41">
        <f>sumifs(raw_data!$E:$E,raw_data!$A:$A,A7,raw_data!$D:$D,"Secondary_Walkin")</f>
        <v>5</v>
      </c>
      <c r="E7" s="41">
        <f>sumifs(raw_data!$Z:$Z,raw_data!$T:$T,A7,raw_data!$U:$U,"Telephony")</f>
        <v>19</v>
      </c>
      <c r="F7" s="41">
        <f>sumifs(raw_data!$Z:$Z,raw_data!$T:$T,A7,raw_data!$U:$U,"Paid Ads")</f>
        <v>0</v>
      </c>
      <c r="G7" s="41">
        <f>sumifs(raw_data!$M:$M,raw_data!$K:$K,A7,raw_data!$N:$N,"Delhi") + sumifs(raw_data!$M:$M,raw_data!$K:$K,A7,raw_data!$N:$N,"Lucknow") + sumifs(raw_data!$M:$M,raw_data!$K:$K,A7,raw_data!$N:$N,"Prayagraj") + sumifs(raw_data!$M:$M,raw_data!$K:$K,A7,raw_data!$N:$N,"Patna") + sumifs(raw_data!$M:$M,raw_data!$K:$K,A7,raw_data!$N:$N,"Indore")</f>
        <v>0</v>
      </c>
      <c r="H7" s="41"/>
      <c r="I7" s="41">
        <f>sumifs(raw_data!$E:$E,raw_data!$A:$A,A7,raw_data!$G:$G,"GS Foundation")</f>
        <v>35</v>
      </c>
      <c r="J7" s="41">
        <f>sumifs(raw_data!$E:$E,raw_data!$A:$A,A7) - sumifs(raw_data!$E:$E,raw_data!$A:$A,A7,raw_data!$G:$G,"GS Foundation")</f>
        <v>20</v>
      </c>
      <c r="N7" s="136">
        <v>46056.0</v>
      </c>
      <c r="O7" s="41">
        <f>sumifs(raw_data!$E:$E,raw_data!$A:$A,N7,raw_data!C:C,$O$1)</f>
        <v>27</v>
      </c>
      <c r="P7" s="41">
        <f>sumifs(raw_data!$E:$E,raw_data!$A:$A,N7,raw_data!$D:$D,"Primary_Walkin",raw_data!$C:$C,$O$1)</f>
        <v>23</v>
      </c>
      <c r="Q7" s="41">
        <f>sumifs(raw_data!$E:$E,raw_data!$A:$A,N7,raw_data!$D:$D,"Secondary_Walkin",raw_data!$C:$C,$O$1)</f>
        <v>4</v>
      </c>
      <c r="R7" s="41">
        <f>sumifs(raw_data!$Z:$Z,raw_data!$T:$T,N7,raw_data!$U:$U,"Telephony",raw_data!$Y:$Y,$O$1)</f>
        <v>2</v>
      </c>
      <c r="S7" s="41">
        <f>sumifs(raw_data!$Z:$Z,raw_data!$T:$T,N7,raw_data!$U:$U,"Paid Ads",raw_data!$Y:$Y,$O$1)</f>
        <v>0</v>
      </c>
      <c r="T7" s="41">
        <f>sumifs(raw_data!$M:$M,raw_data!$K:$K,N7,raw_data!$N:$N,$O$1) </f>
        <v>0</v>
      </c>
      <c r="U7" s="41"/>
      <c r="V7" s="41">
        <f>sumifs(raw_data!$E:$E,raw_data!$A:$A,N7,raw_data!$G:$G,"GS Foundation",raw_data!C:C,$O$1)</f>
        <v>24</v>
      </c>
      <c r="W7" s="41">
        <f>sumifs(raw_data!$E:$E,raw_data!$A:$A,N7,raw_data!C:C,$O$1) - sumifs(raw_data!$E:$E,raw_data!$A:$A,N7,raw_data!$G:$G,"GS Foundation",raw_data!C:C,$O$1)</f>
        <v>3</v>
      </c>
    </row>
    <row r="8">
      <c r="A8" s="136">
        <v>46057.0</v>
      </c>
      <c r="B8" s="41">
        <f>sumifs(raw_data!$E:$E,raw_data!$A:$A,A8)</f>
        <v>65</v>
      </c>
      <c r="C8" s="41">
        <f>sumifs(raw_data!$E:$E,raw_data!$A:$A,A8,raw_data!$D:$D,"Primary_Walkin")</f>
        <v>58</v>
      </c>
      <c r="D8" s="41">
        <f>sumifs(raw_data!$E:$E,raw_data!$A:$A,A8,raw_data!$D:$D,"Secondary_Walkin")</f>
        <v>7</v>
      </c>
      <c r="E8" s="41">
        <f>sumifs(raw_data!$Z:$Z,raw_data!$T:$T,A8,raw_data!$U:$U,"Telephony")</f>
        <v>24</v>
      </c>
      <c r="F8" s="41">
        <f>sumifs(raw_data!$Z:$Z,raw_data!$T:$T,A8,raw_data!$U:$U,"Paid Ads")</f>
        <v>117</v>
      </c>
      <c r="G8" s="41">
        <f>sumifs(raw_data!$M:$M,raw_data!$K:$K,A8,raw_data!$N:$N,"Delhi") + sumifs(raw_data!$M:$M,raw_data!$K:$K,A8,raw_data!$N:$N,"Lucknow") + sumifs(raw_data!$M:$M,raw_data!$K:$K,A8,raw_data!$N:$N,"Prayagraj") + sumifs(raw_data!$M:$M,raw_data!$K:$K,A8,raw_data!$N:$N,"Patna") + sumifs(raw_data!$M:$M,raw_data!$K:$K,A8,raw_data!$N:$N,"Indore")</f>
        <v>0</v>
      </c>
      <c r="H8" s="41"/>
      <c r="I8" s="41">
        <f>sumifs(raw_data!$E:$E,raw_data!$A:$A,A8,raw_data!$G:$G,"GS Foundation")</f>
        <v>37</v>
      </c>
      <c r="J8" s="41">
        <f>sumifs(raw_data!$E:$E,raw_data!$A:$A,A8) - sumifs(raw_data!$E:$E,raw_data!$A:$A,A8,raw_data!$G:$G,"GS Foundation")</f>
        <v>28</v>
      </c>
      <c r="N8" s="136">
        <v>46057.0</v>
      </c>
      <c r="O8" s="41">
        <f>sumifs(raw_data!$E:$E,raw_data!$A:$A,N8,raw_data!C:C,$O$1)</f>
        <v>16</v>
      </c>
      <c r="P8" s="41">
        <f>sumifs(raw_data!$E:$E,raw_data!$A:$A,N8,raw_data!$D:$D,"Primary_Walkin",raw_data!$C:$C,$O$1)</f>
        <v>16</v>
      </c>
      <c r="Q8" s="41">
        <f>sumifs(raw_data!$E:$E,raw_data!$A:$A,N8,raw_data!$D:$D,"Secondary_Walkin",raw_data!$C:$C,$O$1)</f>
        <v>0</v>
      </c>
      <c r="R8" s="41">
        <f>sumifs(raw_data!$Z:$Z,raw_data!$T:$T,N8,raw_data!$U:$U,"Telephony",raw_data!$Y:$Y,$O$1)</f>
        <v>2</v>
      </c>
      <c r="S8" s="41">
        <f>sumifs(raw_data!$Z:$Z,raw_data!$T:$T,N8,raw_data!$U:$U,"Paid Ads",raw_data!$Y:$Y,$O$1)</f>
        <v>0</v>
      </c>
      <c r="T8" s="41">
        <f>sumifs(raw_data!$M:$M,raw_data!$K:$K,N8,raw_data!$N:$N,$O$1) </f>
        <v>0</v>
      </c>
      <c r="U8" s="41"/>
      <c r="V8" s="41">
        <f>sumifs(raw_data!$E:$E,raw_data!$A:$A,N8,raw_data!$G:$G,"GS Foundation",raw_data!C:C,$O$1)</f>
        <v>13</v>
      </c>
      <c r="W8" s="41">
        <f>sumifs(raw_data!$E:$E,raw_data!$A:$A,N8,raw_data!C:C,$O$1) - sumifs(raw_data!$E:$E,raw_data!$A:$A,N8,raw_data!$G:$G,"GS Foundation",raw_data!C:C,$O$1)</f>
        <v>3</v>
      </c>
    </row>
    <row r="9">
      <c r="A9" s="136">
        <v>46058.0</v>
      </c>
      <c r="B9" s="41">
        <f>sumifs(raw_data!$E:$E,raw_data!$A:$A,A9)</f>
        <v>55</v>
      </c>
      <c r="C9" s="41">
        <f>sumifs(raw_data!$E:$E,raw_data!$A:$A,A9,raw_data!$D:$D,"Primary_Walkin")</f>
        <v>51</v>
      </c>
      <c r="D9" s="41">
        <f>sumifs(raw_data!$E:$E,raw_data!$A:$A,A9,raw_data!$D:$D,"Secondary_Walkin")</f>
        <v>4</v>
      </c>
      <c r="E9" s="41">
        <f>sumifs(raw_data!$Z:$Z,raw_data!$T:$T,A9,raw_data!$U:$U,"Telephony")</f>
        <v>24</v>
      </c>
      <c r="F9" s="41">
        <f>sumifs(raw_data!$Z:$Z,raw_data!$T:$T,A9,raw_data!$U:$U,"Paid Ads")</f>
        <v>0</v>
      </c>
      <c r="G9" s="41">
        <f>sumifs(raw_data!$M:$M,raw_data!$K:$K,A9,raw_data!$N:$N,"Delhi") + sumifs(raw_data!$M:$M,raw_data!$K:$K,A9,raw_data!$N:$N,"Lucknow") + sumifs(raw_data!$M:$M,raw_data!$K:$K,A9,raw_data!$N:$N,"Prayagraj") + sumifs(raw_data!$M:$M,raw_data!$K:$K,A9,raw_data!$N:$N,"Patna") + sumifs(raw_data!$M:$M,raw_data!$K:$K,A9,raw_data!$N:$N,"Indore")</f>
        <v>0</v>
      </c>
      <c r="H9" s="41"/>
      <c r="I9" s="41">
        <f>sumifs(raw_data!$E:$E,raw_data!$A:$A,A9,raw_data!$G:$G,"GS Foundation")</f>
        <v>36</v>
      </c>
      <c r="J9" s="41">
        <f>sumifs(raw_data!$E:$E,raw_data!$A:$A,A9) - sumifs(raw_data!$E:$E,raw_data!$A:$A,A9,raw_data!$G:$G,"GS Foundation")</f>
        <v>19</v>
      </c>
      <c r="N9" s="136">
        <v>46058.0</v>
      </c>
      <c r="O9" s="41">
        <f>sumifs(raw_data!$E:$E,raw_data!$A:$A,N9,raw_data!C:C,$O$1)</f>
        <v>22</v>
      </c>
      <c r="P9" s="41">
        <f>sumifs(raw_data!$E:$E,raw_data!$A:$A,N9,raw_data!$D:$D,"Primary_Walkin",raw_data!$C:$C,$O$1)</f>
        <v>21</v>
      </c>
      <c r="Q9" s="41">
        <f>sumifs(raw_data!$E:$E,raw_data!$A:$A,N9,raw_data!$D:$D,"Secondary_Walkin",raw_data!$C:$C,$O$1)</f>
        <v>1</v>
      </c>
      <c r="R9" s="41">
        <f>sumifs(raw_data!$Z:$Z,raw_data!$T:$T,N9,raw_data!$U:$U,"Telephony",raw_data!$Y:$Y,$O$1)</f>
        <v>1</v>
      </c>
      <c r="S9" s="41">
        <f>sumifs(raw_data!$Z:$Z,raw_data!$T:$T,N9,raw_data!$U:$U,"Paid Ads",raw_data!$Y:$Y,$O$1)</f>
        <v>0</v>
      </c>
      <c r="T9" s="41">
        <f>sumifs(raw_data!$M:$M,raw_data!$K:$K,N9,raw_data!$N:$N,$O$1) </f>
        <v>0</v>
      </c>
      <c r="U9" s="41"/>
      <c r="V9" s="41">
        <f>sumifs(raw_data!$E:$E,raw_data!$A:$A,N9,raw_data!$G:$G,"GS Foundation",raw_data!C:C,$O$1)</f>
        <v>20</v>
      </c>
      <c r="W9" s="41">
        <f>sumifs(raw_data!$E:$E,raw_data!$A:$A,N9,raw_data!C:C,$O$1) - sumifs(raw_data!$E:$E,raw_data!$A:$A,N9,raw_data!$G:$G,"GS Foundation",raw_data!C:C,$O$1)</f>
        <v>2</v>
      </c>
    </row>
    <row r="10">
      <c r="A10" s="136">
        <v>46059.0</v>
      </c>
      <c r="B10" s="41">
        <f>sumifs(raw_data!$E:$E,raw_data!$A:$A,A10)</f>
        <v>46</v>
      </c>
      <c r="C10" s="41">
        <f>sumifs(raw_data!$E:$E,raw_data!$A:$A,A10,raw_data!$D:$D,"Primary_Walkin")</f>
        <v>42</v>
      </c>
      <c r="D10" s="41">
        <f>sumifs(raw_data!$E:$E,raw_data!$A:$A,A10,raw_data!$D:$D,"Secondary_Walkin")</f>
        <v>4</v>
      </c>
      <c r="E10" s="41">
        <f>sumifs(raw_data!$Z:$Z,raw_data!$T:$T,A10,raw_data!$U:$U,"Telephony")</f>
        <v>29</v>
      </c>
      <c r="F10" s="41">
        <f>sumifs(raw_data!$Z:$Z,raw_data!$T:$T,A10,raw_data!$U:$U,"Paid Ads")</f>
        <v>58</v>
      </c>
      <c r="G10" s="41">
        <f>sumifs(raw_data!$M:$M,raw_data!$K:$K,A10,raw_data!$N:$N,"Delhi") + sumifs(raw_data!$M:$M,raw_data!$K:$K,A10,raw_data!$N:$N,"Lucknow") + sumifs(raw_data!$M:$M,raw_data!$K:$K,A10,raw_data!$N:$N,"Prayagraj") + sumifs(raw_data!$M:$M,raw_data!$K:$K,A10,raw_data!$N:$N,"Patna") + sumifs(raw_data!$M:$M,raw_data!$K:$K,A10,raw_data!$N:$N,"Indore")</f>
        <v>0</v>
      </c>
      <c r="H10" s="41"/>
      <c r="I10" s="41">
        <f>sumifs(raw_data!$E:$E,raw_data!$A:$A,A10,raw_data!$G:$G,"GS Foundation")</f>
        <v>18</v>
      </c>
      <c r="J10" s="41">
        <f>sumifs(raw_data!$E:$E,raw_data!$A:$A,A10) - sumifs(raw_data!$E:$E,raw_data!$A:$A,A10,raw_data!$G:$G,"GS Foundation")</f>
        <v>28</v>
      </c>
      <c r="N10" s="136">
        <v>46059.0</v>
      </c>
      <c r="O10" s="41">
        <f>sumifs(raw_data!$E:$E,raw_data!$A:$A,N10,raw_data!C:C,$O$1)</f>
        <v>13</v>
      </c>
      <c r="P10" s="41">
        <f>sumifs(raw_data!$E:$E,raw_data!$A:$A,N10,raw_data!$D:$D,"Primary_Walkin",raw_data!$C:$C,$O$1)</f>
        <v>10</v>
      </c>
      <c r="Q10" s="41">
        <f>sumifs(raw_data!$E:$E,raw_data!$A:$A,N10,raw_data!$D:$D,"Secondary_Walkin",raw_data!$C:$C,$O$1)</f>
        <v>3</v>
      </c>
      <c r="R10" s="41">
        <f>sumifs(raw_data!$Z:$Z,raw_data!$T:$T,N10,raw_data!$U:$U,"Telephony",raw_data!$Y:$Y,$O$1)</f>
        <v>2</v>
      </c>
      <c r="S10" s="41">
        <f>sumifs(raw_data!$Z:$Z,raw_data!$T:$T,N10,raw_data!$U:$U,"Paid Ads",raw_data!$Y:$Y,$O$1)</f>
        <v>58</v>
      </c>
      <c r="T10" s="41">
        <f>sumifs(raw_data!$M:$M,raw_data!$K:$K,N10,raw_data!$N:$N,$O$1) </f>
        <v>0</v>
      </c>
      <c r="U10" s="41"/>
      <c r="V10" s="41">
        <f>sumifs(raw_data!$E:$E,raw_data!$A:$A,N10,raw_data!$G:$G,"GS Foundation",raw_data!C:C,$O$1)</f>
        <v>11</v>
      </c>
      <c r="W10" s="41">
        <f>sumifs(raw_data!$E:$E,raw_data!$A:$A,N10,raw_data!C:C,$O$1) - sumifs(raw_data!$E:$E,raw_data!$A:$A,N10,raw_data!$G:$G,"GS Foundation",raw_data!C:C,$O$1)</f>
        <v>2</v>
      </c>
    </row>
    <row r="11">
      <c r="A11" s="136">
        <v>46060.0</v>
      </c>
      <c r="B11" s="41">
        <f>sumifs(raw_data!$E:$E,raw_data!$A:$A,A11)</f>
        <v>69</v>
      </c>
      <c r="C11" s="41">
        <f>sumifs(raw_data!$E:$E,raw_data!$A:$A,A11,raw_data!$D:$D,"Primary_Walkin")</f>
        <v>64</v>
      </c>
      <c r="D11" s="41">
        <f>sumifs(raw_data!$E:$E,raw_data!$A:$A,A11,raw_data!$D:$D,"Secondary_Walkin")</f>
        <v>5</v>
      </c>
      <c r="E11" s="41">
        <f>sumifs(raw_data!$Z:$Z,raw_data!$T:$T,A11,raw_data!$U:$U,"Telephony")</f>
        <v>23</v>
      </c>
      <c r="F11" s="41">
        <f>sumifs(raw_data!$Z:$Z,raw_data!$T:$T,A11,raw_data!$U:$U,"Paid Ads")</f>
        <v>0</v>
      </c>
      <c r="G11" s="41">
        <f>sumifs(raw_data!$M:$M,raw_data!$K:$K,A11,raw_data!$N:$N,"Delhi") + sumifs(raw_data!$M:$M,raw_data!$K:$K,A11,raw_data!$N:$N,"Lucknow") + sumifs(raw_data!$M:$M,raw_data!$K:$K,A11,raw_data!$N:$N,"Prayagraj") + sumifs(raw_data!$M:$M,raw_data!$K:$K,A11,raw_data!$N:$N,"Patna") + sumifs(raw_data!$M:$M,raw_data!$K:$K,A11,raw_data!$N:$N,"Indore")</f>
        <v>0</v>
      </c>
      <c r="H11" s="41"/>
      <c r="I11" s="41">
        <f>sumifs(raw_data!$E:$E,raw_data!$A:$A,A11,raw_data!$G:$G,"GS Foundation")</f>
        <v>46</v>
      </c>
      <c r="J11" s="41">
        <f>sumifs(raw_data!$E:$E,raw_data!$A:$A,A11) - sumifs(raw_data!$E:$E,raw_data!$A:$A,A11,raw_data!$G:$G,"GS Foundation")</f>
        <v>23</v>
      </c>
      <c r="N11" s="136">
        <v>46060.0</v>
      </c>
      <c r="O11" s="41">
        <f>sumifs(raw_data!$E:$E,raw_data!$A:$A,N11,raw_data!C:C,$O$1)</f>
        <v>31</v>
      </c>
      <c r="P11" s="41">
        <f>sumifs(raw_data!$E:$E,raw_data!$A:$A,N11,raw_data!$D:$D,"Primary_Walkin",raw_data!$C:$C,$O$1)</f>
        <v>29</v>
      </c>
      <c r="Q11" s="41">
        <f>sumifs(raw_data!$E:$E,raw_data!$A:$A,N11,raw_data!$D:$D,"Secondary_Walkin",raw_data!$C:$C,$O$1)</f>
        <v>2</v>
      </c>
      <c r="R11" s="41">
        <f>sumifs(raw_data!$Z:$Z,raw_data!$T:$T,N11,raw_data!$U:$U,"Telephony",raw_data!$Y:$Y,$O$1)</f>
        <v>0</v>
      </c>
      <c r="S11" s="41">
        <f>sumifs(raw_data!$Z:$Z,raw_data!$T:$T,N11,raw_data!$U:$U,"Paid Ads",raw_data!$Y:$Y,$O$1)</f>
        <v>0</v>
      </c>
      <c r="T11" s="41">
        <f>sumifs(raw_data!$M:$M,raw_data!$K:$K,N11,raw_data!$N:$N,$O$1) </f>
        <v>0</v>
      </c>
      <c r="U11" s="41"/>
      <c r="V11" s="41">
        <f>sumifs(raw_data!$E:$E,raw_data!$A:$A,N11,raw_data!$G:$G,"GS Foundation",raw_data!C:C,$O$1)</f>
        <v>29</v>
      </c>
      <c r="W11" s="41">
        <f>sumifs(raw_data!$E:$E,raw_data!$A:$A,N11,raw_data!C:C,$O$1) - sumifs(raw_data!$E:$E,raw_data!$A:$A,N11,raw_data!$G:$G,"GS Foundation",raw_data!C:C,$O$1)</f>
        <v>2</v>
      </c>
    </row>
    <row r="12">
      <c r="A12" s="136">
        <v>46061.0</v>
      </c>
      <c r="B12" s="41">
        <f>sumifs(raw_data!$E:$E,raw_data!$A:$A,A12)</f>
        <v>51</v>
      </c>
      <c r="C12" s="41">
        <f>sumifs(raw_data!$E:$E,raw_data!$A:$A,A12,raw_data!$D:$D,"Primary_Walkin")</f>
        <v>47</v>
      </c>
      <c r="D12" s="41">
        <f>sumifs(raw_data!$E:$E,raw_data!$A:$A,A12,raw_data!$D:$D,"Secondary_Walkin")</f>
        <v>4</v>
      </c>
      <c r="E12" s="41">
        <f>sumifs(raw_data!$Z:$Z,raw_data!$T:$T,A12,raw_data!$U:$U,"Telephony")</f>
        <v>7</v>
      </c>
      <c r="F12" s="41">
        <f>sumifs(raw_data!$Z:$Z,raw_data!$T:$T,A12,raw_data!$U:$U,"Paid Ads")</f>
        <v>3</v>
      </c>
      <c r="G12" s="41">
        <f>sumifs(raw_data!$M:$M,raw_data!$K:$K,A12,raw_data!$N:$N,"Delhi") + sumifs(raw_data!$M:$M,raw_data!$K:$K,A12,raw_data!$N:$N,"Lucknow") + sumifs(raw_data!$M:$M,raw_data!$K:$K,A12,raw_data!$N:$N,"Prayagraj") + sumifs(raw_data!$M:$M,raw_data!$K:$K,A12,raw_data!$N:$N,"Patna") + sumifs(raw_data!$M:$M,raw_data!$K:$K,A12,raw_data!$N:$N,"Indore")</f>
        <v>0</v>
      </c>
      <c r="H12" s="41"/>
      <c r="I12" s="41">
        <f>sumifs(raw_data!$E:$E,raw_data!$A:$A,A12,raw_data!$G:$G,"GS Foundation")</f>
        <v>33</v>
      </c>
      <c r="J12" s="41">
        <f>sumifs(raw_data!$E:$E,raw_data!$A:$A,A12) - sumifs(raw_data!$E:$E,raw_data!$A:$A,A12,raw_data!$G:$G,"GS Foundation")</f>
        <v>18</v>
      </c>
      <c r="N12" s="136">
        <v>46061.0</v>
      </c>
      <c r="O12" s="41">
        <f>sumifs(raw_data!$E:$E,raw_data!$A:$A,N12,raw_data!C:C,$O$1)</f>
        <v>24</v>
      </c>
      <c r="P12" s="41">
        <f>sumifs(raw_data!$E:$E,raw_data!$A:$A,N12,raw_data!$D:$D,"Primary_Walkin",raw_data!$C:$C,$O$1)</f>
        <v>22</v>
      </c>
      <c r="Q12" s="41">
        <f>sumifs(raw_data!$E:$E,raw_data!$A:$A,N12,raw_data!$D:$D,"Secondary_Walkin",raw_data!$C:$C,$O$1)</f>
        <v>2</v>
      </c>
      <c r="R12" s="41">
        <f>sumifs(raw_data!$Z:$Z,raw_data!$T:$T,N12,raw_data!$U:$U,"Telephony",raw_data!$Y:$Y,$O$1)</f>
        <v>0</v>
      </c>
      <c r="S12" s="41">
        <f>sumifs(raw_data!$Z:$Z,raw_data!$T:$T,N12,raw_data!$U:$U,"Paid Ads",raw_data!$Y:$Y,$O$1)</f>
        <v>1</v>
      </c>
      <c r="T12" s="41">
        <f>sumifs(raw_data!$M:$M,raw_data!$K:$K,N12,raw_data!$N:$N,$O$1) </f>
        <v>0</v>
      </c>
      <c r="U12" s="41"/>
      <c r="V12" s="41">
        <f>sumifs(raw_data!$E:$E,raw_data!$A:$A,N12,raw_data!$G:$G,"GS Foundation",raw_data!C:C,$O$1)</f>
        <v>21</v>
      </c>
      <c r="W12" s="41">
        <f>sumifs(raw_data!$E:$E,raw_data!$A:$A,N12,raw_data!C:C,$O$1) - sumifs(raw_data!$E:$E,raw_data!$A:$A,N12,raw_data!$G:$G,"GS Foundation",raw_data!C:C,$O$1)</f>
        <v>3</v>
      </c>
    </row>
    <row r="13">
      <c r="A13" s="136">
        <v>46062.0</v>
      </c>
      <c r="B13" s="41">
        <f>sumifs(raw_data!$E:$E,raw_data!$A:$A,A13)</f>
        <v>73</v>
      </c>
      <c r="C13" s="41">
        <f>sumifs(raw_data!$E:$E,raw_data!$A:$A,A13,raw_data!$D:$D,"Primary_Walkin")</f>
        <v>65</v>
      </c>
      <c r="D13" s="41">
        <f>sumifs(raw_data!$E:$E,raw_data!$A:$A,A13,raw_data!$D:$D,"Secondary_Walkin")</f>
        <v>8</v>
      </c>
      <c r="E13" s="41">
        <f>sumifs(raw_data!$Z:$Z,raw_data!$T:$T,A13,raw_data!$U:$U,"Telephony")</f>
        <v>13</v>
      </c>
      <c r="F13" s="41">
        <f>sumifs(raw_data!$Z:$Z,raw_data!$T:$T,A13,raw_data!$U:$U,"Paid Ads")</f>
        <v>0</v>
      </c>
      <c r="G13" s="41">
        <f>sumifs(raw_data!$M:$M,raw_data!$K:$K,A13,raw_data!$N:$N,"Delhi") + sumifs(raw_data!$M:$M,raw_data!$K:$K,A13,raw_data!$N:$N,"Lucknow") + sumifs(raw_data!$M:$M,raw_data!$K:$K,A13,raw_data!$N:$N,"Prayagraj") + sumifs(raw_data!$M:$M,raw_data!$K:$K,A13,raw_data!$N:$N,"Patna") + sumifs(raw_data!$M:$M,raw_data!$K:$K,A13,raw_data!$N:$N,"Indore")</f>
        <v>0</v>
      </c>
      <c r="H13" s="41"/>
      <c r="I13" s="41">
        <f>sumifs(raw_data!$E:$E,raw_data!$A:$A,A13,raw_data!$G:$G,"GS Foundation")</f>
        <v>42</v>
      </c>
      <c r="J13" s="41">
        <f>sumifs(raw_data!$E:$E,raw_data!$A:$A,A13) - sumifs(raw_data!$E:$E,raw_data!$A:$A,A13,raw_data!$G:$G,"GS Foundation")</f>
        <v>31</v>
      </c>
      <c r="N13" s="136">
        <v>46062.0</v>
      </c>
      <c r="O13" s="41">
        <f>sumifs(raw_data!$E:$E,raw_data!$A:$A,N13,raw_data!C:C,$O$1)</f>
        <v>15</v>
      </c>
      <c r="P13" s="41">
        <f>sumifs(raw_data!$E:$E,raw_data!$A:$A,N13,raw_data!$D:$D,"Primary_Walkin",raw_data!$C:$C,$O$1)</f>
        <v>13</v>
      </c>
      <c r="Q13" s="41">
        <f>sumifs(raw_data!$E:$E,raw_data!$A:$A,N13,raw_data!$D:$D,"Secondary_Walkin",raw_data!$C:$C,$O$1)</f>
        <v>2</v>
      </c>
      <c r="R13" s="41">
        <f>sumifs(raw_data!$Z:$Z,raw_data!$T:$T,N13,raw_data!$U:$U,"Telephony",raw_data!$Y:$Y,$O$1)</f>
        <v>0</v>
      </c>
      <c r="S13" s="41">
        <f>sumifs(raw_data!$Z:$Z,raw_data!$T:$T,N13,raw_data!$U:$U,"Paid Ads",raw_data!$Y:$Y,$O$1)</f>
        <v>0</v>
      </c>
      <c r="T13" s="41">
        <f>sumifs(raw_data!$M:$M,raw_data!$K:$K,N13,raw_data!$N:$N,$O$1) </f>
        <v>0</v>
      </c>
      <c r="U13" s="41"/>
      <c r="V13" s="41">
        <f>sumifs(raw_data!$E:$E,raw_data!$A:$A,N13,raw_data!$G:$G,"GS Foundation",raw_data!C:C,$O$1)</f>
        <v>15</v>
      </c>
      <c r="W13" s="41">
        <f>sumifs(raw_data!$E:$E,raw_data!$A:$A,N13,raw_data!C:C,$O$1) - sumifs(raw_data!$E:$E,raw_data!$A:$A,N13,raw_data!$G:$G,"GS Foundation",raw_data!C:C,$O$1)</f>
        <v>0</v>
      </c>
    </row>
    <row r="14">
      <c r="A14" s="136">
        <v>46063.0</v>
      </c>
      <c r="B14" s="41">
        <f>sumifs(raw_data!$E:$E,raw_data!$A:$A,A14)</f>
        <v>54</v>
      </c>
      <c r="C14" s="41">
        <f>sumifs(raw_data!$E:$E,raw_data!$A:$A,A14,raw_data!$D:$D,"Primary_Walkin")</f>
        <v>53</v>
      </c>
      <c r="D14" s="41">
        <f>sumifs(raw_data!$E:$E,raw_data!$A:$A,A14,raw_data!$D:$D,"Secondary_Walkin")</f>
        <v>1</v>
      </c>
      <c r="E14" s="41">
        <f>sumifs(raw_data!$Z:$Z,raw_data!$T:$T,A14,raw_data!$U:$U,"Telephony")</f>
        <v>14</v>
      </c>
      <c r="F14" s="41">
        <f>sumifs(raw_data!$Z:$Z,raw_data!$T:$T,A14,raw_data!$U:$U,"Paid Ads")</f>
        <v>2</v>
      </c>
      <c r="G14" s="41">
        <f>sumifs(raw_data!$M:$M,raw_data!$K:$K,A14,raw_data!$N:$N,"Delhi") + sumifs(raw_data!$M:$M,raw_data!$K:$K,A14,raw_data!$N:$N,"Lucknow") + sumifs(raw_data!$M:$M,raw_data!$K:$K,A14,raw_data!$N:$N,"Prayagraj") + sumifs(raw_data!$M:$M,raw_data!$K:$K,A14,raw_data!$N:$N,"Patna") + sumifs(raw_data!$M:$M,raw_data!$K:$K,A14,raw_data!$N:$N,"Indore")</f>
        <v>0</v>
      </c>
      <c r="H14" s="41"/>
      <c r="I14" s="41">
        <f>sumifs(raw_data!$E:$E,raw_data!$A:$A,A14,raw_data!$G:$G,"GS Foundation")</f>
        <v>31</v>
      </c>
      <c r="J14" s="41">
        <f>sumifs(raw_data!$E:$E,raw_data!$A:$A,A14) - sumifs(raw_data!$E:$E,raw_data!$A:$A,A14,raw_data!$G:$G,"GS Foundation")</f>
        <v>23</v>
      </c>
      <c r="N14" s="136">
        <v>46063.0</v>
      </c>
      <c r="O14" s="41">
        <f>sumifs(raw_data!$E:$E,raw_data!$A:$A,N14,raw_data!C:C,$O$1)</f>
        <v>19</v>
      </c>
      <c r="P14" s="41">
        <f>sumifs(raw_data!$E:$E,raw_data!$A:$A,N14,raw_data!$D:$D,"Primary_Walkin",raw_data!$C:$C,$O$1)</f>
        <v>19</v>
      </c>
      <c r="Q14" s="41">
        <f>sumifs(raw_data!$E:$E,raw_data!$A:$A,N14,raw_data!$D:$D,"Secondary_Walkin",raw_data!$C:$C,$O$1)</f>
        <v>0</v>
      </c>
      <c r="R14" s="41">
        <f>sumifs(raw_data!$Z:$Z,raw_data!$T:$T,N14,raw_data!$U:$U,"Telephony",raw_data!$Y:$Y,$O$1)</f>
        <v>0</v>
      </c>
      <c r="S14" s="41">
        <f>sumifs(raw_data!$Z:$Z,raw_data!$T:$T,N14,raw_data!$U:$U,"Paid Ads",raw_data!$Y:$Y,$O$1)</f>
        <v>0</v>
      </c>
      <c r="T14" s="41">
        <f>sumifs(raw_data!$M:$M,raw_data!$K:$K,N14,raw_data!$N:$N,$O$1) </f>
        <v>0</v>
      </c>
      <c r="U14" s="41"/>
      <c r="V14" s="41">
        <f>sumifs(raw_data!$E:$E,raw_data!$A:$A,N14,raw_data!$G:$G,"GS Foundation",raw_data!C:C,$O$1)</f>
        <v>14</v>
      </c>
      <c r="W14" s="41">
        <f>sumifs(raw_data!$E:$E,raw_data!$A:$A,N14,raw_data!C:C,$O$1) - sumifs(raw_data!$E:$E,raw_data!$A:$A,N14,raw_data!$G:$G,"GS Foundation",raw_data!C:C,$O$1)</f>
        <v>5</v>
      </c>
    </row>
    <row r="15">
      <c r="A15" s="136">
        <v>46064.0</v>
      </c>
      <c r="B15" s="41">
        <f>sumifs(raw_data!$E:$E,raw_data!$A:$A,A15)</f>
        <v>59</v>
      </c>
      <c r="C15" s="41">
        <f>sumifs(raw_data!$E:$E,raw_data!$A:$A,A15,raw_data!$D:$D,"Primary_Walkin")</f>
        <v>53</v>
      </c>
      <c r="D15" s="41">
        <f>sumifs(raw_data!$E:$E,raw_data!$A:$A,A15,raw_data!$D:$D,"Secondary_Walkin")</f>
        <v>6</v>
      </c>
      <c r="E15" s="41">
        <f>sumifs(raw_data!$Z:$Z,raw_data!$T:$T,A15,raw_data!$U:$U,"Telephony")</f>
        <v>13</v>
      </c>
      <c r="F15" s="41">
        <f>sumifs(raw_data!$Z:$Z,raw_data!$T:$T,A15,raw_data!$U:$U,"Paid Ads")</f>
        <v>1</v>
      </c>
      <c r="G15" s="41">
        <f>sumifs(raw_data!$M:$M,raw_data!$K:$K,A15,raw_data!$N:$N,"Delhi") + sumifs(raw_data!$M:$M,raw_data!$K:$K,A15,raw_data!$N:$N,"Lucknow") + sumifs(raw_data!$M:$M,raw_data!$K:$K,A15,raw_data!$N:$N,"Prayagraj") + sumifs(raw_data!$M:$M,raw_data!$K:$K,A15,raw_data!$N:$N,"Patna") + sumifs(raw_data!$M:$M,raw_data!$K:$K,A15,raw_data!$N:$N,"Indore")</f>
        <v>0</v>
      </c>
      <c r="H15" s="41"/>
      <c r="I15" s="41">
        <f>sumifs(raw_data!$E:$E,raw_data!$A:$A,A15,raw_data!$G:$G,"GS Foundation")</f>
        <v>34</v>
      </c>
      <c r="J15" s="41">
        <f>sumifs(raw_data!$E:$E,raw_data!$A:$A,A15) - sumifs(raw_data!$E:$E,raw_data!$A:$A,A15,raw_data!$G:$G,"GS Foundation")</f>
        <v>25</v>
      </c>
      <c r="N15" s="136">
        <v>46064.0</v>
      </c>
      <c r="O15" s="41">
        <f>sumifs(raw_data!$E:$E,raw_data!$A:$A,N15,raw_data!C:C,$O$1)</f>
        <v>15</v>
      </c>
      <c r="P15" s="41">
        <f>sumifs(raw_data!$E:$E,raw_data!$A:$A,N15,raw_data!$D:$D,"Primary_Walkin",raw_data!$C:$C,$O$1)</f>
        <v>11</v>
      </c>
      <c r="Q15" s="41">
        <f>sumifs(raw_data!$E:$E,raw_data!$A:$A,N15,raw_data!$D:$D,"Secondary_Walkin",raw_data!$C:$C,$O$1)</f>
        <v>4</v>
      </c>
      <c r="R15" s="41">
        <f>sumifs(raw_data!$Z:$Z,raw_data!$T:$T,N15,raw_data!$U:$U,"Telephony",raw_data!$Y:$Y,$O$1)</f>
        <v>0</v>
      </c>
      <c r="S15" s="41">
        <f>sumifs(raw_data!$Z:$Z,raw_data!$T:$T,N15,raw_data!$U:$U,"Paid Ads",raw_data!$Y:$Y,$O$1)</f>
        <v>1</v>
      </c>
      <c r="T15" s="41">
        <f>sumifs(raw_data!$M:$M,raw_data!$K:$K,N15,raw_data!$N:$N,$O$1) </f>
        <v>0</v>
      </c>
      <c r="U15" s="41"/>
      <c r="V15" s="41">
        <f>sumifs(raw_data!$E:$E,raw_data!$A:$A,N15,raw_data!$G:$G,"GS Foundation",raw_data!C:C,$O$1)</f>
        <v>14</v>
      </c>
      <c r="W15" s="41">
        <f>sumifs(raw_data!$E:$E,raw_data!$A:$A,N15,raw_data!C:C,$O$1) - sumifs(raw_data!$E:$E,raw_data!$A:$A,N15,raw_data!$G:$G,"GS Foundation",raw_data!C:C,$O$1)</f>
        <v>1</v>
      </c>
    </row>
    <row r="16">
      <c r="A16" s="136">
        <v>46065.0</v>
      </c>
      <c r="B16" s="41">
        <f>sumifs(raw_data!$E:$E,raw_data!$A:$A,A16)</f>
        <v>79</v>
      </c>
      <c r="C16" s="41">
        <f>sumifs(raw_data!$E:$E,raw_data!$A:$A,A16,raw_data!$D:$D,"Primary_Walkin")</f>
        <v>74</v>
      </c>
      <c r="D16" s="41">
        <f>sumifs(raw_data!$E:$E,raw_data!$A:$A,A16,raw_data!$D:$D,"Secondary_Walkin")</f>
        <v>5</v>
      </c>
      <c r="E16" s="41">
        <f>sumifs(raw_data!$Z:$Z,raw_data!$T:$T,A16,raw_data!$U:$U,"Telephony")</f>
        <v>18</v>
      </c>
      <c r="F16" s="41">
        <f>sumifs(raw_data!$Z:$Z,raw_data!$T:$T,A16,raw_data!$U:$U,"Paid Ads")</f>
        <v>0</v>
      </c>
      <c r="G16" s="41">
        <f>sumifs(raw_data!$M:$M,raw_data!$K:$K,A16,raw_data!$N:$N,"Delhi") + sumifs(raw_data!$M:$M,raw_data!$K:$K,A16,raw_data!$N:$N,"Lucknow") + sumifs(raw_data!$M:$M,raw_data!$K:$K,A16,raw_data!$N:$N,"Prayagraj") + sumifs(raw_data!$M:$M,raw_data!$K:$K,A16,raw_data!$N:$N,"Patna") + sumifs(raw_data!$M:$M,raw_data!$K:$K,A16,raw_data!$N:$N,"Indore")</f>
        <v>0</v>
      </c>
      <c r="H16" s="41"/>
      <c r="I16" s="41">
        <f>sumifs(raw_data!$E:$E,raw_data!$A:$A,A16,raw_data!$G:$G,"GS Foundation")</f>
        <v>41</v>
      </c>
      <c r="J16" s="41">
        <f>sumifs(raw_data!$E:$E,raw_data!$A:$A,A16) - sumifs(raw_data!$E:$E,raw_data!$A:$A,A16,raw_data!$G:$G,"GS Foundation")</f>
        <v>38</v>
      </c>
      <c r="N16" s="136">
        <v>46065.0</v>
      </c>
      <c r="O16" s="41">
        <f>sumifs(raw_data!$E:$E,raw_data!$A:$A,N16,raw_data!C:C,$O$1)</f>
        <v>30</v>
      </c>
      <c r="P16" s="41">
        <f>sumifs(raw_data!$E:$E,raw_data!$A:$A,N16,raw_data!$D:$D,"Primary_Walkin",raw_data!$C:$C,$O$1)</f>
        <v>27</v>
      </c>
      <c r="Q16" s="41">
        <f>sumifs(raw_data!$E:$E,raw_data!$A:$A,N16,raw_data!$D:$D,"Secondary_Walkin",raw_data!$C:$C,$O$1)</f>
        <v>3</v>
      </c>
      <c r="R16" s="41">
        <f>sumifs(raw_data!$Z:$Z,raw_data!$T:$T,N16,raw_data!$U:$U,"Telephony",raw_data!$Y:$Y,$O$1)</f>
        <v>0</v>
      </c>
      <c r="S16" s="41">
        <f>sumifs(raw_data!$Z:$Z,raw_data!$T:$T,N16,raw_data!$U:$U,"Paid Ads",raw_data!$Y:$Y,$O$1)</f>
        <v>0</v>
      </c>
      <c r="T16" s="41">
        <f>sumifs(raw_data!$M:$M,raw_data!$K:$K,N16,raw_data!$N:$N,$O$1) </f>
        <v>0</v>
      </c>
      <c r="U16" s="41"/>
      <c r="V16" s="41">
        <f>sumifs(raw_data!$E:$E,raw_data!$A:$A,N16,raw_data!$G:$G,"GS Foundation",raw_data!C:C,$O$1)</f>
        <v>24</v>
      </c>
      <c r="W16" s="41">
        <f>sumifs(raw_data!$E:$E,raw_data!$A:$A,N16,raw_data!C:C,$O$1) - sumifs(raw_data!$E:$E,raw_data!$A:$A,N16,raw_data!$G:$G,"GS Foundation",raw_data!C:C,$O$1)</f>
        <v>6</v>
      </c>
    </row>
    <row r="17">
      <c r="A17" s="136">
        <v>46066.0</v>
      </c>
      <c r="B17" s="41">
        <f>sumifs(raw_data!$E:$E,raw_data!$A:$A,A17)</f>
        <v>54</v>
      </c>
      <c r="C17" s="41">
        <f>sumifs(raw_data!$E:$E,raw_data!$A:$A,A17,raw_data!$D:$D,"Primary_Walkin")</f>
        <v>47</v>
      </c>
      <c r="D17" s="41">
        <f>sumifs(raw_data!$E:$E,raw_data!$A:$A,A17,raw_data!$D:$D,"Secondary_Walkin")</f>
        <v>7</v>
      </c>
      <c r="E17" s="41">
        <f>sumifs(raw_data!$Z:$Z,raw_data!$T:$T,A17,raw_data!$U:$U,"Telephony")</f>
        <v>8</v>
      </c>
      <c r="F17" s="41">
        <f>sumifs(raw_data!$Z:$Z,raw_data!$T:$T,A17,raw_data!$U:$U,"Paid Ads")</f>
        <v>1</v>
      </c>
      <c r="G17" s="41">
        <f>sumifs(raw_data!$M:$M,raw_data!$K:$K,A17,raw_data!$N:$N,"Delhi") + sumifs(raw_data!$M:$M,raw_data!$K:$K,A17,raw_data!$N:$N,"Lucknow") + sumifs(raw_data!$M:$M,raw_data!$K:$K,A17,raw_data!$N:$N,"Prayagraj") + sumifs(raw_data!$M:$M,raw_data!$K:$K,A17,raw_data!$N:$N,"Patna") + sumifs(raw_data!$M:$M,raw_data!$K:$K,A17,raw_data!$N:$N,"Indore")</f>
        <v>0</v>
      </c>
      <c r="H17" s="41"/>
      <c r="I17" s="41">
        <f>sumifs(raw_data!$E:$E,raw_data!$A:$A,A17,raw_data!$G:$G,"GS Foundation")</f>
        <v>39</v>
      </c>
      <c r="J17" s="41">
        <f>sumifs(raw_data!$E:$E,raw_data!$A:$A,A17) - sumifs(raw_data!$E:$E,raw_data!$A:$A,A17,raw_data!$G:$G,"GS Foundation")</f>
        <v>15</v>
      </c>
      <c r="N17" s="136">
        <v>46066.0</v>
      </c>
      <c r="O17" s="41">
        <f>sumifs(raw_data!$E:$E,raw_data!$A:$A,N17,raw_data!C:C,$O$1)</f>
        <v>16</v>
      </c>
      <c r="P17" s="41">
        <f>sumifs(raw_data!$E:$E,raw_data!$A:$A,N17,raw_data!$D:$D,"Primary_Walkin",raw_data!$C:$C,$O$1)</f>
        <v>13</v>
      </c>
      <c r="Q17" s="41">
        <f>sumifs(raw_data!$E:$E,raw_data!$A:$A,N17,raw_data!$D:$D,"Secondary_Walkin",raw_data!$C:$C,$O$1)</f>
        <v>3</v>
      </c>
      <c r="R17" s="41">
        <f>sumifs(raw_data!$Z:$Z,raw_data!$T:$T,N17,raw_data!$U:$U,"Telephony",raw_data!$Y:$Y,$O$1)</f>
        <v>0</v>
      </c>
      <c r="S17" s="41">
        <f>sumifs(raw_data!$Z:$Z,raw_data!$T:$T,N17,raw_data!$U:$U,"Paid Ads",raw_data!$Y:$Y,$O$1)</f>
        <v>1</v>
      </c>
      <c r="T17" s="41">
        <f>sumifs(raw_data!$M:$M,raw_data!$K:$K,N17,raw_data!$N:$N,$O$1) </f>
        <v>0</v>
      </c>
      <c r="U17" s="41"/>
      <c r="V17" s="41">
        <f>sumifs(raw_data!$E:$E,raw_data!$A:$A,N17,raw_data!$G:$G,"GS Foundation",raw_data!C:C,$O$1)</f>
        <v>16</v>
      </c>
      <c r="W17" s="41">
        <f>sumifs(raw_data!$E:$E,raw_data!$A:$A,N17,raw_data!C:C,$O$1) - sumifs(raw_data!$E:$E,raw_data!$A:$A,N17,raw_data!$G:$G,"GS Foundation",raw_data!C:C,$O$1)</f>
        <v>0</v>
      </c>
    </row>
    <row r="18">
      <c r="A18" s="136">
        <v>46067.0</v>
      </c>
      <c r="B18" s="41">
        <f>sumifs(raw_data!$E:$E,raw_data!$A:$A,A18)</f>
        <v>59</v>
      </c>
      <c r="C18" s="41">
        <f>sumifs(raw_data!$E:$E,raw_data!$A:$A,A18,raw_data!$D:$D,"Primary_Walkin")</f>
        <v>55</v>
      </c>
      <c r="D18" s="41">
        <f>sumifs(raw_data!$E:$E,raw_data!$A:$A,A18,raw_data!$D:$D,"Secondary_Walkin")</f>
        <v>4</v>
      </c>
      <c r="E18" s="41">
        <f>sumifs(raw_data!$Z:$Z,raw_data!$T:$T,A18,raw_data!$U:$U,"Telephony")</f>
        <v>10</v>
      </c>
      <c r="F18" s="41">
        <f>sumifs(raw_data!$Z:$Z,raw_data!$T:$T,A18,raw_data!$U:$U,"Paid Ads")</f>
        <v>1</v>
      </c>
      <c r="G18" s="41">
        <f>sumifs(raw_data!$M:$M,raw_data!$K:$K,A18,raw_data!$N:$N,"Delhi") + sumifs(raw_data!$M:$M,raw_data!$K:$K,A18,raw_data!$N:$N,"Lucknow") + sumifs(raw_data!$M:$M,raw_data!$K:$K,A18,raw_data!$N:$N,"Prayagraj") + sumifs(raw_data!$M:$M,raw_data!$K:$K,A18,raw_data!$N:$N,"Patna") + sumifs(raw_data!$M:$M,raw_data!$K:$K,A18,raw_data!$N:$N,"Indore")</f>
        <v>0</v>
      </c>
      <c r="H18" s="41"/>
      <c r="I18" s="41">
        <f>sumifs(raw_data!$E:$E,raw_data!$A:$A,A18,raw_data!$G:$G,"GS Foundation")</f>
        <v>29</v>
      </c>
      <c r="J18" s="41">
        <f>sumifs(raw_data!$E:$E,raw_data!$A:$A,A18) - sumifs(raw_data!$E:$E,raw_data!$A:$A,A18,raw_data!$G:$G,"GS Foundation")</f>
        <v>30</v>
      </c>
      <c r="N18" s="136">
        <v>46067.0</v>
      </c>
      <c r="O18" s="41">
        <f>sumifs(raw_data!$E:$E,raw_data!$A:$A,N18,raw_data!C:C,$O$1)</f>
        <v>15</v>
      </c>
      <c r="P18" s="41">
        <f>sumifs(raw_data!$E:$E,raw_data!$A:$A,N18,raw_data!$D:$D,"Primary_Walkin",raw_data!$C:$C,$O$1)</f>
        <v>14</v>
      </c>
      <c r="Q18" s="41">
        <f>sumifs(raw_data!$E:$E,raw_data!$A:$A,N18,raw_data!$D:$D,"Secondary_Walkin",raw_data!$C:$C,$O$1)</f>
        <v>1</v>
      </c>
      <c r="R18" s="41">
        <f>sumifs(raw_data!$Z:$Z,raw_data!$T:$T,N18,raw_data!$U:$U,"Telephony",raw_data!$Y:$Y,$O$1)</f>
        <v>0</v>
      </c>
      <c r="S18" s="41">
        <f>sumifs(raw_data!$Z:$Z,raw_data!$T:$T,N18,raw_data!$U:$U,"Paid Ads",raw_data!$Y:$Y,$O$1)</f>
        <v>0</v>
      </c>
      <c r="T18" s="41">
        <f>sumifs(raw_data!$M:$M,raw_data!$K:$K,N18,raw_data!$N:$N,$O$1) </f>
        <v>0</v>
      </c>
      <c r="U18" s="41"/>
      <c r="V18" s="41">
        <f>sumifs(raw_data!$E:$E,raw_data!$A:$A,N18,raw_data!$G:$G,"GS Foundation",raw_data!C:C,$O$1)</f>
        <v>12</v>
      </c>
      <c r="W18" s="41">
        <f>sumifs(raw_data!$E:$E,raw_data!$A:$A,N18,raw_data!C:C,$O$1) - sumifs(raw_data!$E:$E,raw_data!$A:$A,N18,raw_data!$G:$G,"GS Foundation",raw_data!C:C,$O$1)</f>
        <v>3</v>
      </c>
    </row>
    <row r="19">
      <c r="A19" s="136">
        <v>46068.0</v>
      </c>
      <c r="B19" s="41">
        <f>sumifs(raw_data!$E:$E,raw_data!$A:$A,A19)</f>
        <v>24</v>
      </c>
      <c r="C19" s="41">
        <f>sumifs(raw_data!$E:$E,raw_data!$A:$A,A19,raw_data!$D:$D,"Primary_Walkin")</f>
        <v>21</v>
      </c>
      <c r="D19" s="41">
        <f>sumifs(raw_data!$E:$E,raw_data!$A:$A,A19,raw_data!$D:$D,"Secondary_Walkin")</f>
        <v>3</v>
      </c>
      <c r="E19" s="41">
        <f>sumifs(raw_data!$Z:$Z,raw_data!$T:$T,A19,raw_data!$U:$U,"Telephony")</f>
        <v>11</v>
      </c>
      <c r="F19" s="41">
        <f>sumifs(raw_data!$Z:$Z,raw_data!$T:$T,A19,raw_data!$U:$U,"Paid Ads")</f>
        <v>0</v>
      </c>
      <c r="G19" s="41">
        <f>sumifs(raw_data!$M:$M,raw_data!$K:$K,A19,raw_data!$N:$N,"Delhi") + sumifs(raw_data!$M:$M,raw_data!$K:$K,A19,raw_data!$N:$N,"Lucknow") + sumifs(raw_data!$M:$M,raw_data!$K:$K,A19,raw_data!$N:$N,"Prayagraj") + sumifs(raw_data!$M:$M,raw_data!$K:$K,A19,raw_data!$N:$N,"Patna") + sumifs(raw_data!$M:$M,raw_data!$K:$K,A19,raw_data!$N:$N,"Indore")</f>
        <v>0</v>
      </c>
      <c r="H19" s="41"/>
      <c r="I19" s="41">
        <f>sumifs(raw_data!$E:$E,raw_data!$A:$A,A19,raw_data!$G:$G,"GS Foundation")</f>
        <v>12</v>
      </c>
      <c r="J19" s="41">
        <f>sumifs(raw_data!$E:$E,raw_data!$A:$A,A19) - sumifs(raw_data!$E:$E,raw_data!$A:$A,A19,raw_data!$G:$G,"GS Foundation")</f>
        <v>12</v>
      </c>
      <c r="N19" s="136">
        <v>46068.0</v>
      </c>
      <c r="O19" s="41">
        <f>sumifs(raw_data!$E:$E,raw_data!$A:$A,N19,raw_data!C:C,$O$1)</f>
        <v>9</v>
      </c>
      <c r="P19" s="41">
        <f>sumifs(raw_data!$E:$E,raw_data!$A:$A,N19,raw_data!$D:$D,"Primary_Walkin",raw_data!$C:$C,$O$1)</f>
        <v>8</v>
      </c>
      <c r="Q19" s="41">
        <f>sumifs(raw_data!$E:$E,raw_data!$A:$A,N19,raw_data!$D:$D,"Secondary_Walkin",raw_data!$C:$C,$O$1)</f>
        <v>1</v>
      </c>
      <c r="R19" s="41">
        <f>sumifs(raw_data!$Z:$Z,raw_data!$T:$T,N19,raw_data!$U:$U,"Telephony",raw_data!$Y:$Y,$O$1)</f>
        <v>0</v>
      </c>
      <c r="S19" s="41">
        <f>sumifs(raw_data!$Z:$Z,raw_data!$T:$T,N19,raw_data!$U:$U,"Paid Ads",raw_data!$Y:$Y,$O$1)</f>
        <v>0</v>
      </c>
      <c r="T19" s="41">
        <f>sumifs(raw_data!$M:$M,raw_data!$K:$K,N19,raw_data!$N:$N,$O$1) </f>
        <v>0</v>
      </c>
      <c r="U19" s="41"/>
      <c r="V19" s="41">
        <f>sumifs(raw_data!$E:$E,raw_data!$A:$A,N19,raw_data!$G:$G,"GS Foundation",raw_data!C:C,$O$1)</f>
        <v>7</v>
      </c>
      <c r="W19" s="41">
        <f>sumifs(raw_data!$E:$E,raw_data!$A:$A,N19,raw_data!C:C,$O$1) - sumifs(raw_data!$E:$E,raw_data!$A:$A,N19,raw_data!$G:$G,"GS Foundation",raw_data!C:C,$O$1)</f>
        <v>2</v>
      </c>
    </row>
    <row r="20">
      <c r="A20" s="136">
        <v>46069.0</v>
      </c>
      <c r="B20" s="41">
        <f>sumifs(raw_data!$E:$E,raw_data!$A:$A,A20)</f>
        <v>56</v>
      </c>
      <c r="C20" s="41">
        <f>sumifs(raw_data!$E:$E,raw_data!$A:$A,A20,raw_data!$D:$D,"Primary_Walkin")</f>
        <v>54</v>
      </c>
      <c r="D20" s="41">
        <f>sumifs(raw_data!$E:$E,raw_data!$A:$A,A20,raw_data!$D:$D,"Secondary_Walkin")</f>
        <v>2</v>
      </c>
      <c r="E20" s="41">
        <f>sumifs(raw_data!$Z:$Z,raw_data!$T:$T,A20,raw_data!$U:$U,"Telephony")</f>
        <v>11</v>
      </c>
      <c r="F20" s="41">
        <f>sumifs(raw_data!$Z:$Z,raw_data!$T:$T,A20,raw_data!$U:$U,"Paid Ads")</f>
        <v>1</v>
      </c>
      <c r="G20" s="41">
        <f>sumifs(raw_data!$M:$M,raw_data!$K:$K,A20,raw_data!$N:$N,"Delhi") + sumifs(raw_data!$M:$M,raw_data!$K:$K,A20,raw_data!$N:$N,"Lucknow") + sumifs(raw_data!$M:$M,raw_data!$K:$K,A20,raw_data!$N:$N,"Prayagraj") + sumifs(raw_data!$M:$M,raw_data!$K:$K,A20,raw_data!$N:$N,"Patna") + sumifs(raw_data!$M:$M,raw_data!$K:$K,A20,raw_data!$N:$N,"Indore")</f>
        <v>0</v>
      </c>
      <c r="H20" s="41"/>
      <c r="I20" s="41">
        <f>sumifs(raw_data!$E:$E,raw_data!$A:$A,A20,raw_data!$G:$G,"GS Foundation")</f>
        <v>29</v>
      </c>
      <c r="J20" s="41">
        <f>sumifs(raw_data!$E:$E,raw_data!$A:$A,A20) - sumifs(raw_data!$E:$E,raw_data!$A:$A,A20,raw_data!$G:$G,"GS Foundation")</f>
        <v>27</v>
      </c>
      <c r="N20" s="136">
        <v>46069.0</v>
      </c>
      <c r="O20" s="41">
        <f>sumifs(raw_data!$E:$E,raw_data!$A:$A,N20,raw_data!C:C,$O$1)</f>
        <v>13</v>
      </c>
      <c r="P20" s="41">
        <f>sumifs(raw_data!$E:$E,raw_data!$A:$A,N20,raw_data!$D:$D,"Primary_Walkin",raw_data!$C:$C,$O$1)</f>
        <v>12</v>
      </c>
      <c r="Q20" s="41">
        <f>sumifs(raw_data!$E:$E,raw_data!$A:$A,N20,raw_data!$D:$D,"Secondary_Walkin",raw_data!$C:$C,$O$1)</f>
        <v>1</v>
      </c>
      <c r="R20" s="41">
        <f>sumifs(raw_data!$Z:$Z,raw_data!$T:$T,N20,raw_data!$U:$U,"Telephony",raw_data!$Y:$Y,$O$1)</f>
        <v>0</v>
      </c>
      <c r="S20" s="41">
        <f>sumifs(raw_data!$Z:$Z,raw_data!$T:$T,N20,raw_data!$U:$U,"Paid Ads",raw_data!$Y:$Y,$O$1)</f>
        <v>1</v>
      </c>
      <c r="T20" s="41">
        <f>sumifs(raw_data!$M:$M,raw_data!$K:$K,N20,raw_data!$N:$N,$O$1) </f>
        <v>0</v>
      </c>
      <c r="U20" s="41"/>
      <c r="V20" s="41">
        <f>sumifs(raw_data!$E:$E,raw_data!$A:$A,N20,raw_data!$G:$G,"GS Foundation",raw_data!C:C,$O$1)</f>
        <v>11</v>
      </c>
      <c r="W20" s="41">
        <f>sumifs(raw_data!$E:$E,raw_data!$A:$A,N20,raw_data!C:C,$O$1) - sumifs(raw_data!$E:$E,raw_data!$A:$A,N20,raw_data!$G:$G,"GS Foundation",raw_data!C:C,$O$1)</f>
        <v>2</v>
      </c>
    </row>
    <row r="21">
      <c r="A21" s="136">
        <v>46070.0</v>
      </c>
      <c r="B21" s="41">
        <f>sumifs(raw_data!$E:$E,raw_data!$A:$A,A21)</f>
        <v>55</v>
      </c>
      <c r="C21" s="41">
        <f>sumifs(raw_data!$E:$E,raw_data!$A:$A,A21,raw_data!$D:$D,"Primary_Walkin")</f>
        <v>50</v>
      </c>
      <c r="D21" s="41">
        <f>sumifs(raw_data!$E:$E,raw_data!$A:$A,A21,raw_data!$D:$D,"Secondary_Walkin")</f>
        <v>5</v>
      </c>
      <c r="E21" s="41">
        <f>sumifs(raw_data!$Z:$Z,raw_data!$T:$T,A21,raw_data!$U:$U,"Telephony")</f>
        <v>10</v>
      </c>
      <c r="F21" s="41">
        <f>sumifs(raw_data!$Z:$Z,raw_data!$T:$T,A21,raw_data!$U:$U,"Paid Ads")</f>
        <v>64</v>
      </c>
      <c r="G21" s="41">
        <f>sumifs(raw_data!$M:$M,raw_data!$K:$K,A21,raw_data!$N:$N,"Delhi") + sumifs(raw_data!$M:$M,raw_data!$K:$K,A21,raw_data!$N:$N,"Lucknow") + sumifs(raw_data!$M:$M,raw_data!$K:$K,A21,raw_data!$N:$N,"Prayagraj") + sumifs(raw_data!$M:$M,raw_data!$K:$K,A21,raw_data!$N:$N,"Patna") + sumifs(raw_data!$M:$M,raw_data!$K:$K,A21,raw_data!$N:$N,"Indore")</f>
        <v>0</v>
      </c>
      <c r="H21" s="41"/>
      <c r="I21" s="41">
        <f>sumifs(raw_data!$E:$E,raw_data!$A:$A,A21,raw_data!$G:$G,"GS Foundation")</f>
        <v>35</v>
      </c>
      <c r="J21" s="41">
        <f>sumifs(raw_data!$E:$E,raw_data!$A:$A,A21) - sumifs(raw_data!$E:$E,raw_data!$A:$A,A21,raw_data!$G:$G,"GS Foundation")</f>
        <v>20</v>
      </c>
      <c r="N21" s="136">
        <v>46070.0</v>
      </c>
      <c r="O21" s="41">
        <f>sumifs(raw_data!$E:$E,raw_data!$A:$A,N21,raw_data!C:C,$O$1)</f>
        <v>20</v>
      </c>
      <c r="P21" s="41">
        <f>sumifs(raw_data!$E:$E,raw_data!$A:$A,N21,raw_data!$D:$D,"Primary_Walkin",raw_data!$C:$C,$O$1)</f>
        <v>18</v>
      </c>
      <c r="Q21" s="41">
        <f>sumifs(raw_data!$E:$E,raw_data!$A:$A,N21,raw_data!$D:$D,"Secondary_Walkin",raw_data!$C:$C,$O$1)</f>
        <v>2</v>
      </c>
      <c r="R21" s="41">
        <f>sumifs(raw_data!$Z:$Z,raw_data!$T:$T,N21,raw_data!$U:$U,"Telephony",raw_data!$Y:$Y,$O$1)</f>
        <v>0</v>
      </c>
      <c r="S21" s="41">
        <f>sumifs(raw_data!$Z:$Z,raw_data!$T:$T,N21,raw_data!$U:$U,"Paid Ads",raw_data!$Y:$Y,$O$1)</f>
        <v>1</v>
      </c>
      <c r="T21" s="41">
        <f>sumifs(raw_data!$M:$M,raw_data!$K:$K,N21,raw_data!$N:$N,$O$1) </f>
        <v>0</v>
      </c>
      <c r="U21" s="41"/>
      <c r="V21" s="41">
        <f>sumifs(raw_data!$E:$E,raw_data!$A:$A,N21,raw_data!$G:$G,"GS Foundation",raw_data!C:C,$O$1)</f>
        <v>18</v>
      </c>
      <c r="W21" s="41">
        <f>sumifs(raw_data!$E:$E,raw_data!$A:$A,N21,raw_data!C:C,$O$1) - sumifs(raw_data!$E:$E,raw_data!$A:$A,N21,raw_data!$G:$G,"GS Foundation",raw_data!C:C,$O$1)</f>
        <v>2</v>
      </c>
    </row>
    <row r="22">
      <c r="A22" s="136">
        <v>46071.0</v>
      </c>
      <c r="B22" s="41">
        <f>sumifs(raw_data!$E:$E,raw_data!$A:$A,A22)</f>
        <v>56</v>
      </c>
      <c r="C22" s="41">
        <f>sumifs(raw_data!$E:$E,raw_data!$A:$A,A22,raw_data!$D:$D,"Primary_Walkin")</f>
        <v>50</v>
      </c>
      <c r="D22" s="41">
        <f>sumifs(raw_data!$E:$E,raw_data!$A:$A,A22,raw_data!$D:$D,"Secondary_Walkin")</f>
        <v>6</v>
      </c>
      <c r="E22" s="41">
        <f>sumifs(raw_data!$Z:$Z,raw_data!$T:$T,A22,raw_data!$U:$U,"Telephony")</f>
        <v>11</v>
      </c>
      <c r="F22" s="41">
        <f>sumifs(raw_data!$Z:$Z,raw_data!$T:$T,A22,raw_data!$U:$U,"Paid Ads")</f>
        <v>0</v>
      </c>
      <c r="G22" s="41">
        <f>sumifs(raw_data!$M:$M,raw_data!$K:$K,A22,raw_data!$N:$N,"Delhi") + sumifs(raw_data!$M:$M,raw_data!$K:$K,A22,raw_data!$N:$N,"Lucknow") + sumifs(raw_data!$M:$M,raw_data!$K:$K,A22,raw_data!$N:$N,"Prayagraj") + sumifs(raw_data!$M:$M,raw_data!$K:$K,A22,raw_data!$N:$N,"Patna") + sumifs(raw_data!$M:$M,raw_data!$K:$K,A22,raw_data!$N:$N,"Indore")</f>
        <v>0</v>
      </c>
      <c r="H22" s="41"/>
      <c r="I22" s="41">
        <f>sumifs(raw_data!$E:$E,raw_data!$A:$A,A22,raw_data!$G:$G,"GS Foundation")</f>
        <v>27</v>
      </c>
      <c r="J22" s="41">
        <f>sumifs(raw_data!$E:$E,raw_data!$A:$A,A22) - sumifs(raw_data!$E:$E,raw_data!$A:$A,A22,raw_data!$G:$G,"GS Foundation")</f>
        <v>29</v>
      </c>
      <c r="N22" s="136">
        <v>46071.0</v>
      </c>
      <c r="O22" s="41">
        <f>sumifs(raw_data!$E:$E,raw_data!$A:$A,N22,raw_data!C:C,$O$1)</f>
        <v>13</v>
      </c>
      <c r="P22" s="41">
        <f>sumifs(raw_data!$E:$E,raw_data!$A:$A,N22,raw_data!$D:$D,"Primary_Walkin",raw_data!$C:$C,$O$1)</f>
        <v>11</v>
      </c>
      <c r="Q22" s="41">
        <f>sumifs(raw_data!$E:$E,raw_data!$A:$A,N22,raw_data!$D:$D,"Secondary_Walkin",raw_data!$C:$C,$O$1)</f>
        <v>2</v>
      </c>
      <c r="R22" s="41">
        <f>sumifs(raw_data!$Z:$Z,raw_data!$T:$T,N22,raw_data!$U:$U,"Telephony",raw_data!$Y:$Y,$O$1)</f>
        <v>0</v>
      </c>
      <c r="S22" s="41">
        <f>sumifs(raw_data!$Z:$Z,raw_data!$T:$T,N22,raw_data!$U:$U,"Paid Ads",raw_data!$Y:$Y,$O$1)</f>
        <v>0</v>
      </c>
      <c r="T22" s="41">
        <f>sumifs(raw_data!$M:$M,raw_data!$K:$K,N22,raw_data!$N:$N,$O$1) </f>
        <v>0</v>
      </c>
      <c r="U22" s="41"/>
      <c r="V22" s="41">
        <f>sumifs(raw_data!$E:$E,raw_data!$A:$A,N22,raw_data!$G:$G,"GS Foundation",raw_data!C:C,$O$1)</f>
        <v>11</v>
      </c>
      <c r="W22" s="41">
        <f>sumifs(raw_data!$E:$E,raw_data!$A:$A,N22,raw_data!C:C,$O$1) - sumifs(raw_data!$E:$E,raw_data!$A:$A,N22,raw_data!$G:$G,"GS Foundation",raw_data!C:C,$O$1)</f>
        <v>2</v>
      </c>
    </row>
    <row r="23">
      <c r="A23" s="136">
        <v>46072.0</v>
      </c>
      <c r="B23" s="41">
        <f>sumifs(raw_data!$E:$E,raw_data!$A:$A,A23)</f>
        <v>59</v>
      </c>
      <c r="C23" s="41">
        <f>sumifs(raw_data!$E:$E,raw_data!$A:$A,A23,raw_data!$D:$D,"Primary_Walkin")</f>
        <v>53</v>
      </c>
      <c r="D23" s="41">
        <f>sumifs(raw_data!$E:$E,raw_data!$A:$A,A23,raw_data!$D:$D,"Secondary_Walkin")</f>
        <v>6</v>
      </c>
      <c r="E23" s="41">
        <f>sumifs(raw_data!$Z:$Z,raw_data!$T:$T,A23,raw_data!$U:$U,"Telephony")</f>
        <v>14</v>
      </c>
      <c r="F23" s="41">
        <f>sumifs(raw_data!$Z:$Z,raw_data!$T:$T,A23,raw_data!$U:$U,"Paid Ads")</f>
        <v>1</v>
      </c>
      <c r="G23" s="41">
        <f>sumifs(raw_data!$M:$M,raw_data!$K:$K,A23,raw_data!$N:$N,"Delhi") + sumifs(raw_data!$M:$M,raw_data!$K:$K,A23,raw_data!$N:$N,"Lucknow") + sumifs(raw_data!$M:$M,raw_data!$K:$K,A23,raw_data!$N:$N,"Prayagraj") + sumifs(raw_data!$M:$M,raw_data!$K:$K,A23,raw_data!$N:$N,"Patna") + sumifs(raw_data!$M:$M,raw_data!$K:$K,A23,raw_data!$N:$N,"Indore")</f>
        <v>0</v>
      </c>
      <c r="H23" s="41"/>
      <c r="I23" s="41">
        <f>sumifs(raw_data!$E:$E,raw_data!$A:$A,A23,raw_data!$G:$G,"GS Foundation")</f>
        <v>29</v>
      </c>
      <c r="J23" s="41">
        <f>sumifs(raw_data!$E:$E,raw_data!$A:$A,A23) - sumifs(raw_data!$E:$E,raw_data!$A:$A,A23,raw_data!$G:$G,"GS Foundation")</f>
        <v>30</v>
      </c>
      <c r="N23" s="136">
        <v>46072.0</v>
      </c>
      <c r="O23" s="41">
        <f>sumifs(raw_data!$E:$E,raw_data!$A:$A,N23,raw_data!C:C,$O$1)</f>
        <v>14</v>
      </c>
      <c r="P23" s="41">
        <f>sumifs(raw_data!$E:$E,raw_data!$A:$A,N23,raw_data!$D:$D,"Primary_Walkin",raw_data!$C:$C,$O$1)</f>
        <v>12</v>
      </c>
      <c r="Q23" s="41">
        <f>sumifs(raw_data!$E:$E,raw_data!$A:$A,N23,raw_data!$D:$D,"Secondary_Walkin",raw_data!$C:$C,$O$1)</f>
        <v>2</v>
      </c>
      <c r="R23" s="41">
        <f>sumifs(raw_data!$Z:$Z,raw_data!$T:$T,N23,raw_data!$U:$U,"Telephony",raw_data!$Y:$Y,$O$1)</f>
        <v>0</v>
      </c>
      <c r="S23" s="41">
        <f>sumifs(raw_data!$Z:$Z,raw_data!$T:$T,N23,raw_data!$U:$U,"Paid Ads",raw_data!$Y:$Y,$O$1)</f>
        <v>0</v>
      </c>
      <c r="T23" s="41">
        <f>sumifs(raw_data!$M:$M,raw_data!$K:$K,N23,raw_data!$N:$N,$O$1) </f>
        <v>0</v>
      </c>
      <c r="U23" s="41"/>
      <c r="V23" s="41">
        <f>sumifs(raw_data!$E:$E,raw_data!$A:$A,N23,raw_data!$G:$G,"GS Foundation",raw_data!C:C,$O$1)</f>
        <v>12</v>
      </c>
      <c r="W23" s="41">
        <f>sumifs(raw_data!$E:$E,raw_data!$A:$A,N23,raw_data!C:C,$O$1) - sumifs(raw_data!$E:$E,raw_data!$A:$A,N23,raw_data!$G:$G,"GS Foundation",raw_data!C:C,$O$1)</f>
        <v>2</v>
      </c>
    </row>
    <row r="24">
      <c r="A24" s="136">
        <v>46073.0</v>
      </c>
      <c r="B24" s="41">
        <f>sumifs(raw_data!$E:$E,raw_data!$A:$A,A24)</f>
        <v>55</v>
      </c>
      <c r="C24" s="41">
        <f>sumifs(raw_data!$E:$E,raw_data!$A:$A,A24,raw_data!$D:$D,"Primary_Walkin")</f>
        <v>48</v>
      </c>
      <c r="D24" s="41">
        <f>sumifs(raw_data!$E:$E,raw_data!$A:$A,A24,raw_data!$D:$D,"Secondary_Walkin")</f>
        <v>7</v>
      </c>
      <c r="E24" s="41">
        <f>sumifs(raw_data!$Z:$Z,raw_data!$T:$T,A24,raw_data!$U:$U,"Telephony")</f>
        <v>14</v>
      </c>
      <c r="F24" s="41">
        <f>sumifs(raw_data!$Z:$Z,raw_data!$T:$T,A24,raw_data!$U:$U,"Paid Ads")</f>
        <v>0</v>
      </c>
      <c r="G24" s="41">
        <f>sumifs(raw_data!$M:$M,raw_data!$K:$K,A24,raw_data!$N:$N,"Delhi") + sumifs(raw_data!$M:$M,raw_data!$K:$K,A24,raw_data!$N:$N,"Lucknow") + sumifs(raw_data!$M:$M,raw_data!$K:$K,A24,raw_data!$N:$N,"Prayagraj") + sumifs(raw_data!$M:$M,raw_data!$K:$K,A24,raw_data!$N:$N,"Patna") + sumifs(raw_data!$M:$M,raw_data!$K:$K,A24,raw_data!$N:$N,"Indore")</f>
        <v>0</v>
      </c>
      <c r="H24" s="41"/>
      <c r="I24" s="41">
        <f>sumifs(raw_data!$E:$E,raw_data!$A:$A,A24,raw_data!$G:$G,"GS Foundation")</f>
        <v>30</v>
      </c>
      <c r="J24" s="41">
        <f>sumifs(raw_data!$E:$E,raw_data!$A:$A,A24) - sumifs(raw_data!$E:$E,raw_data!$A:$A,A24,raw_data!$G:$G,"GS Foundation")</f>
        <v>25</v>
      </c>
      <c r="N24" s="136">
        <v>46073.0</v>
      </c>
      <c r="O24" s="41">
        <f>sumifs(raw_data!$E:$E,raw_data!$A:$A,N24,raw_data!C:C,$O$1)</f>
        <v>14</v>
      </c>
      <c r="P24" s="41">
        <f>sumifs(raw_data!$E:$E,raw_data!$A:$A,N24,raw_data!$D:$D,"Primary_Walkin",raw_data!$C:$C,$O$1)</f>
        <v>13</v>
      </c>
      <c r="Q24" s="41">
        <f>sumifs(raw_data!$E:$E,raw_data!$A:$A,N24,raw_data!$D:$D,"Secondary_Walkin",raw_data!$C:$C,$O$1)</f>
        <v>1</v>
      </c>
      <c r="R24" s="41">
        <f>sumifs(raw_data!$Z:$Z,raw_data!$T:$T,N24,raw_data!$U:$U,"Telephony",raw_data!$Y:$Y,$O$1)</f>
        <v>0</v>
      </c>
      <c r="S24" s="41">
        <f>sumifs(raw_data!$Z:$Z,raw_data!$T:$T,N24,raw_data!$U:$U,"Paid Ads",raw_data!$Y:$Y,$O$1)</f>
        <v>0</v>
      </c>
      <c r="T24" s="41">
        <f>sumifs(raw_data!$M:$M,raw_data!$K:$K,N24,raw_data!$N:$N,$O$1) </f>
        <v>0</v>
      </c>
      <c r="U24" s="41"/>
      <c r="V24" s="41">
        <f>sumifs(raw_data!$E:$E,raw_data!$A:$A,N24,raw_data!$G:$G,"GS Foundation",raw_data!C:C,$O$1)</f>
        <v>13</v>
      </c>
      <c r="W24" s="41">
        <f>sumifs(raw_data!$E:$E,raw_data!$A:$A,N24,raw_data!C:C,$O$1) - sumifs(raw_data!$E:$E,raw_data!$A:$A,N24,raw_data!$G:$G,"GS Foundation",raw_data!C:C,$O$1)</f>
        <v>1</v>
      </c>
    </row>
    <row r="25">
      <c r="A25" s="136">
        <v>46074.0</v>
      </c>
      <c r="B25" s="41">
        <f>sumifs(raw_data!$E:$E,raw_data!$A:$A,A25)</f>
        <v>53</v>
      </c>
      <c r="C25" s="41">
        <f>sumifs(raw_data!$E:$E,raw_data!$A:$A,A25,raw_data!$D:$D,"Primary_Walkin")</f>
        <v>49</v>
      </c>
      <c r="D25" s="41">
        <f>sumifs(raw_data!$E:$E,raw_data!$A:$A,A25,raw_data!$D:$D,"Secondary_Walkin")</f>
        <v>4</v>
      </c>
      <c r="E25" s="41">
        <f>sumifs(raw_data!$Z:$Z,raw_data!$T:$T,A25,raw_data!$U:$U,"Telephony")</f>
        <v>11</v>
      </c>
      <c r="F25" s="41">
        <f>sumifs(raw_data!$Z:$Z,raw_data!$T:$T,A25,raw_data!$U:$U,"Paid Ads")</f>
        <v>0</v>
      </c>
      <c r="G25" s="41">
        <f>sumifs(raw_data!$M:$M,raw_data!$K:$K,A25,raw_data!$N:$N,"Delhi") + sumifs(raw_data!$M:$M,raw_data!$K:$K,A25,raw_data!$N:$N,"Lucknow") + sumifs(raw_data!$M:$M,raw_data!$K:$K,A25,raw_data!$N:$N,"Prayagraj") + sumifs(raw_data!$M:$M,raw_data!$K:$K,A25,raw_data!$N:$N,"Patna") + sumifs(raw_data!$M:$M,raw_data!$K:$K,A25,raw_data!$N:$N,"Indore")</f>
        <v>0</v>
      </c>
      <c r="H25" s="41"/>
      <c r="I25" s="41">
        <f>sumifs(raw_data!$E:$E,raw_data!$A:$A,A25,raw_data!$G:$G,"GS Foundation")</f>
        <v>34</v>
      </c>
      <c r="J25" s="41">
        <f>sumifs(raw_data!$E:$E,raw_data!$A:$A,A25) - sumifs(raw_data!$E:$E,raw_data!$A:$A,A25,raw_data!$G:$G,"GS Foundation")</f>
        <v>19</v>
      </c>
      <c r="N25" s="136">
        <v>46074.0</v>
      </c>
      <c r="O25" s="41">
        <f>sumifs(raw_data!$E:$E,raw_data!$A:$A,N25,raw_data!C:C,$O$1)</f>
        <v>21</v>
      </c>
      <c r="P25" s="41">
        <f>sumifs(raw_data!$E:$E,raw_data!$A:$A,N25,raw_data!$D:$D,"Primary_Walkin",raw_data!$C:$C,$O$1)</f>
        <v>19</v>
      </c>
      <c r="Q25" s="41">
        <f>sumifs(raw_data!$E:$E,raw_data!$A:$A,N25,raw_data!$D:$D,"Secondary_Walkin",raw_data!$C:$C,$O$1)</f>
        <v>2</v>
      </c>
      <c r="R25" s="41">
        <f>sumifs(raw_data!$Z:$Z,raw_data!$T:$T,N25,raw_data!$U:$U,"Telephony",raw_data!$Y:$Y,$O$1)</f>
        <v>0</v>
      </c>
      <c r="S25" s="41">
        <f>sumifs(raw_data!$Z:$Z,raw_data!$T:$T,N25,raw_data!$U:$U,"Paid Ads",raw_data!$Y:$Y,$O$1)</f>
        <v>0</v>
      </c>
      <c r="T25" s="41">
        <f>sumifs(raw_data!$M:$M,raw_data!$K:$K,N25,raw_data!$N:$N,$O$1) </f>
        <v>0</v>
      </c>
      <c r="U25" s="41"/>
      <c r="V25" s="41">
        <f>sumifs(raw_data!$E:$E,raw_data!$A:$A,N25,raw_data!$G:$G,"GS Foundation",raw_data!C:C,$O$1)</f>
        <v>15</v>
      </c>
      <c r="W25" s="41">
        <f>sumifs(raw_data!$E:$E,raw_data!$A:$A,N25,raw_data!C:C,$O$1) - sumifs(raw_data!$E:$E,raw_data!$A:$A,N25,raw_data!$G:$G,"GS Foundation",raw_data!C:C,$O$1)</f>
        <v>6</v>
      </c>
    </row>
    <row r="26">
      <c r="A26" s="136">
        <v>46075.0</v>
      </c>
      <c r="B26" s="41">
        <f>sumifs(raw_data!$E:$E,raw_data!$A:$A,A26)</f>
        <v>58</v>
      </c>
      <c r="C26" s="41">
        <f>sumifs(raw_data!$E:$E,raw_data!$A:$A,A26,raw_data!$D:$D,"Primary_Walkin")</f>
        <v>55</v>
      </c>
      <c r="D26" s="41">
        <f>sumifs(raw_data!$E:$E,raw_data!$A:$A,A26,raw_data!$D:$D,"Secondary_Walkin")</f>
        <v>3</v>
      </c>
      <c r="E26" s="41">
        <f>sumifs(raw_data!$Z:$Z,raw_data!$T:$T,A26,raw_data!$U:$U,"Telephony")</f>
        <v>12</v>
      </c>
      <c r="F26" s="41">
        <f>sumifs(raw_data!$Z:$Z,raw_data!$T:$T,A26,raw_data!$U:$U,"Paid Ads")</f>
        <v>0</v>
      </c>
      <c r="G26" s="41">
        <f>sumifs(raw_data!$M:$M,raw_data!$K:$K,A26,raw_data!$N:$N,"Delhi") + sumifs(raw_data!$M:$M,raw_data!$K:$K,A26,raw_data!$N:$N,"Lucknow") + sumifs(raw_data!$M:$M,raw_data!$K:$K,A26,raw_data!$N:$N,"Prayagraj") + sumifs(raw_data!$M:$M,raw_data!$K:$K,A26,raw_data!$N:$N,"Patna") + sumifs(raw_data!$M:$M,raw_data!$K:$K,A26,raw_data!$N:$N,"Indore")</f>
        <v>0</v>
      </c>
      <c r="H26" s="41"/>
      <c r="I26" s="41">
        <f>sumifs(raw_data!$E:$E,raw_data!$A:$A,A26,raw_data!$G:$G,"GS Foundation")</f>
        <v>30</v>
      </c>
      <c r="J26" s="41">
        <f>sumifs(raw_data!$E:$E,raw_data!$A:$A,A26) - sumifs(raw_data!$E:$E,raw_data!$A:$A,A26,raw_data!$G:$G,"GS Foundation")</f>
        <v>28</v>
      </c>
      <c r="N26" s="136">
        <v>46075.0</v>
      </c>
      <c r="O26" s="41">
        <f>sumifs(raw_data!$E:$E,raw_data!$A:$A,N26,raw_data!C:C,$O$1)</f>
        <v>15</v>
      </c>
      <c r="P26" s="41">
        <f>sumifs(raw_data!$E:$E,raw_data!$A:$A,N26,raw_data!$D:$D,"Primary_Walkin",raw_data!$C:$C,$O$1)</f>
        <v>14</v>
      </c>
      <c r="Q26" s="41">
        <f>sumifs(raw_data!$E:$E,raw_data!$A:$A,N26,raw_data!$D:$D,"Secondary_Walkin",raw_data!$C:$C,$O$1)</f>
        <v>1</v>
      </c>
      <c r="R26" s="41">
        <f>sumifs(raw_data!$Z:$Z,raw_data!$T:$T,N26,raw_data!$U:$U,"Telephony",raw_data!$Y:$Y,$O$1)</f>
        <v>0</v>
      </c>
      <c r="S26" s="41">
        <f>sumifs(raw_data!$Z:$Z,raw_data!$T:$T,N26,raw_data!$U:$U,"Paid Ads",raw_data!$Y:$Y,$O$1)</f>
        <v>0</v>
      </c>
      <c r="T26" s="41">
        <f>sumifs(raw_data!$M:$M,raw_data!$K:$K,N26,raw_data!$N:$N,$O$1) </f>
        <v>0</v>
      </c>
      <c r="U26" s="41"/>
      <c r="V26" s="41">
        <f>sumifs(raw_data!$E:$E,raw_data!$A:$A,N26,raw_data!$G:$G,"GS Foundation",raw_data!C:C,$O$1)</f>
        <v>14</v>
      </c>
      <c r="W26" s="41">
        <f>sumifs(raw_data!$E:$E,raw_data!$A:$A,N26,raw_data!C:C,$O$1) - sumifs(raw_data!$E:$E,raw_data!$A:$A,N26,raw_data!$G:$G,"GS Foundation",raw_data!C:C,$O$1)</f>
        <v>1</v>
      </c>
    </row>
    <row r="27">
      <c r="A27" s="136">
        <v>46076.0</v>
      </c>
      <c r="B27" s="41">
        <f>sumifs(raw_data!$E:$E,raw_data!$A:$A,A27)</f>
        <v>44</v>
      </c>
      <c r="C27" s="41">
        <f>sumifs(raw_data!$E:$E,raw_data!$A:$A,A27,raw_data!$D:$D,"Primary_Walkin")</f>
        <v>39</v>
      </c>
      <c r="D27" s="41">
        <f>sumifs(raw_data!$E:$E,raw_data!$A:$A,A27,raw_data!$D:$D,"Secondary_Walkin")</f>
        <v>5</v>
      </c>
      <c r="E27" s="41">
        <f>sumifs(raw_data!$Z:$Z,raw_data!$T:$T,A27,raw_data!$U:$U,"Telephony")</f>
        <v>19</v>
      </c>
      <c r="F27" s="41">
        <f>sumifs(raw_data!$Z:$Z,raw_data!$T:$T,A27,raw_data!$U:$U,"Paid Ads")</f>
        <v>0</v>
      </c>
      <c r="G27" s="41">
        <f>sumifs(raw_data!$M:$M,raw_data!$K:$K,A27,raw_data!$N:$N,"Delhi") + sumifs(raw_data!$M:$M,raw_data!$K:$K,A27,raw_data!$N:$N,"Lucknow") + sumifs(raw_data!$M:$M,raw_data!$K:$K,A27,raw_data!$N:$N,"Prayagraj") + sumifs(raw_data!$M:$M,raw_data!$K:$K,A27,raw_data!$N:$N,"Patna") + sumifs(raw_data!$M:$M,raw_data!$K:$K,A27,raw_data!$N:$N,"Indore")</f>
        <v>0</v>
      </c>
      <c r="H27" s="41"/>
      <c r="I27" s="41">
        <f>sumifs(raw_data!$E:$E,raw_data!$A:$A,A27,raw_data!$G:$G,"GS Foundation")</f>
        <v>25</v>
      </c>
      <c r="J27" s="41">
        <f>sumifs(raw_data!$E:$E,raw_data!$A:$A,A27) - sumifs(raw_data!$E:$E,raw_data!$A:$A,A27,raw_data!$G:$G,"GS Foundation")</f>
        <v>19</v>
      </c>
      <c r="N27" s="136">
        <v>46076.0</v>
      </c>
      <c r="O27" s="41">
        <f>sumifs(raw_data!$E:$E,raw_data!$A:$A,N27,raw_data!C:C,$O$1)</f>
        <v>15</v>
      </c>
      <c r="P27" s="41">
        <f>sumifs(raw_data!$E:$E,raw_data!$A:$A,N27,raw_data!$D:$D,"Primary_Walkin",raw_data!$C:$C,$O$1)</f>
        <v>15</v>
      </c>
      <c r="Q27" s="41">
        <f>sumifs(raw_data!$E:$E,raw_data!$A:$A,N27,raw_data!$D:$D,"Secondary_Walkin",raw_data!$C:$C,$O$1)</f>
        <v>0</v>
      </c>
      <c r="R27" s="41">
        <f>sumifs(raw_data!$Z:$Z,raw_data!$T:$T,N27,raw_data!$U:$U,"Telephony",raw_data!$Y:$Y,$O$1)</f>
        <v>8</v>
      </c>
      <c r="S27" s="41">
        <f>sumifs(raw_data!$Z:$Z,raw_data!$T:$T,N27,raw_data!$U:$U,"Paid Ads",raw_data!$Y:$Y,$O$1)</f>
        <v>0</v>
      </c>
      <c r="T27" s="41">
        <f>sumifs(raw_data!$M:$M,raw_data!$K:$K,N27,raw_data!$N:$N,$O$1) </f>
        <v>0</v>
      </c>
      <c r="U27" s="41"/>
      <c r="V27" s="41">
        <f>sumifs(raw_data!$E:$E,raw_data!$A:$A,N27,raw_data!$G:$G,"GS Foundation",raw_data!C:C,$O$1)</f>
        <v>14</v>
      </c>
      <c r="W27" s="41">
        <f>sumifs(raw_data!$E:$E,raw_data!$A:$A,N27,raw_data!C:C,$O$1) - sumifs(raw_data!$E:$E,raw_data!$A:$A,N27,raw_data!$G:$G,"GS Foundation",raw_data!C:C,$O$1)</f>
        <v>1</v>
      </c>
    </row>
    <row r="28">
      <c r="A28" s="136">
        <v>46077.0</v>
      </c>
      <c r="B28" s="41">
        <f>sumifs(raw_data!$E:$E,raw_data!$A:$A,A28)</f>
        <v>45</v>
      </c>
      <c r="C28" s="41">
        <f>sumifs(raw_data!$E:$E,raw_data!$A:$A,A28,raw_data!$D:$D,"Primary_Walkin")</f>
        <v>38</v>
      </c>
      <c r="D28" s="41">
        <f>sumifs(raw_data!$E:$E,raw_data!$A:$A,A28,raw_data!$D:$D,"Secondary_Walkin")</f>
        <v>7</v>
      </c>
      <c r="E28" s="41">
        <f>sumifs(raw_data!$Z:$Z,raw_data!$T:$T,A28,raw_data!$U:$U,"Telephony")</f>
        <v>19</v>
      </c>
      <c r="F28" s="41">
        <f>sumifs(raw_data!$Z:$Z,raw_data!$T:$T,A28,raw_data!$U:$U,"Paid Ads")</f>
        <v>1</v>
      </c>
      <c r="G28" s="41">
        <f>sumifs(raw_data!$M:$M,raw_data!$K:$K,A28,raw_data!$N:$N,"Delhi") + sumifs(raw_data!$M:$M,raw_data!$K:$K,A28,raw_data!$N:$N,"Lucknow") + sumifs(raw_data!$M:$M,raw_data!$K:$K,A28,raw_data!$N:$N,"Prayagraj") + sumifs(raw_data!$M:$M,raw_data!$K:$K,A28,raw_data!$N:$N,"Patna") + sumifs(raw_data!$M:$M,raw_data!$K:$K,A28,raw_data!$N:$N,"Indore")</f>
        <v>0</v>
      </c>
      <c r="H28" s="41"/>
      <c r="I28" s="41">
        <f>sumifs(raw_data!$E:$E,raw_data!$A:$A,A28,raw_data!$G:$G,"GS Foundation")</f>
        <v>27</v>
      </c>
      <c r="J28" s="41">
        <f>sumifs(raw_data!$E:$E,raw_data!$A:$A,A28) - sumifs(raw_data!$E:$E,raw_data!$A:$A,A28,raw_data!$G:$G,"GS Foundation")</f>
        <v>18</v>
      </c>
      <c r="N28" s="136">
        <v>46077.0</v>
      </c>
      <c r="O28" s="41">
        <f>sumifs(raw_data!$E:$E,raw_data!$A:$A,N28,raw_data!C:C,$O$1)</f>
        <v>19</v>
      </c>
      <c r="P28" s="41">
        <f>sumifs(raw_data!$E:$E,raw_data!$A:$A,N28,raw_data!$D:$D,"Primary_Walkin",raw_data!$C:$C,$O$1)</f>
        <v>16</v>
      </c>
      <c r="Q28" s="41">
        <f>sumifs(raw_data!$E:$E,raw_data!$A:$A,N28,raw_data!$D:$D,"Secondary_Walkin",raw_data!$C:$C,$O$1)</f>
        <v>3</v>
      </c>
      <c r="R28" s="41">
        <f>sumifs(raw_data!$Z:$Z,raw_data!$T:$T,N28,raw_data!$U:$U,"Telephony",raw_data!$Y:$Y,$O$1)</f>
        <v>4</v>
      </c>
      <c r="S28" s="41">
        <f>sumifs(raw_data!$Z:$Z,raw_data!$T:$T,N28,raw_data!$U:$U,"Paid Ads",raw_data!$Y:$Y,$O$1)</f>
        <v>1</v>
      </c>
      <c r="T28" s="41">
        <f>sumifs(raw_data!$M:$M,raw_data!$K:$K,N28,raw_data!$N:$N,$O$1) </f>
        <v>0</v>
      </c>
      <c r="U28" s="41"/>
      <c r="V28" s="41">
        <f>sumifs(raw_data!$E:$E,raw_data!$A:$A,N28,raw_data!$G:$G,"GS Foundation",raw_data!C:C,$O$1)</f>
        <v>17</v>
      </c>
      <c r="W28" s="41">
        <f>sumifs(raw_data!$E:$E,raw_data!$A:$A,N28,raw_data!C:C,$O$1) - sumifs(raw_data!$E:$E,raw_data!$A:$A,N28,raw_data!$G:$G,"GS Foundation",raw_data!C:C,$O$1)</f>
        <v>2</v>
      </c>
    </row>
    <row r="29">
      <c r="A29" s="136">
        <v>46078.0</v>
      </c>
      <c r="B29" s="41">
        <f>sumifs(raw_data!$E:$E,raw_data!$A:$A,A29)</f>
        <v>38</v>
      </c>
      <c r="C29" s="41">
        <f>sumifs(raw_data!$E:$E,raw_data!$A:$A,A29,raw_data!$D:$D,"Primary_Walkin")</f>
        <v>35</v>
      </c>
      <c r="D29" s="41">
        <f>sumifs(raw_data!$E:$E,raw_data!$A:$A,A29,raw_data!$D:$D,"Secondary_Walkin")</f>
        <v>3</v>
      </c>
      <c r="E29" s="41">
        <f>sumifs(raw_data!$Z:$Z,raw_data!$T:$T,A29,raw_data!$U:$U,"Telephony")</f>
        <v>32</v>
      </c>
      <c r="F29" s="41">
        <f>sumifs(raw_data!$Z:$Z,raw_data!$T:$T,A29,raw_data!$U:$U,"Paid Ads")</f>
        <v>0</v>
      </c>
      <c r="G29" s="41">
        <f>sumifs(raw_data!$M:$M,raw_data!$K:$K,A29,raw_data!$N:$N,"Delhi") + sumifs(raw_data!$M:$M,raw_data!$K:$K,A29,raw_data!$N:$N,"Lucknow") + sumifs(raw_data!$M:$M,raw_data!$K:$K,A29,raw_data!$N:$N,"Prayagraj") + sumifs(raw_data!$M:$M,raw_data!$K:$K,A29,raw_data!$N:$N,"Patna") + sumifs(raw_data!$M:$M,raw_data!$K:$K,A29,raw_data!$N:$N,"Indore")</f>
        <v>0</v>
      </c>
      <c r="H29" s="41"/>
      <c r="I29" s="41">
        <f>sumifs(raw_data!$E:$E,raw_data!$A:$A,A29,raw_data!$G:$G,"GS Foundation")</f>
        <v>20</v>
      </c>
      <c r="J29" s="41">
        <f>sumifs(raw_data!$E:$E,raw_data!$A:$A,A29) - sumifs(raw_data!$E:$E,raw_data!$A:$A,A29,raw_data!$G:$G,"GS Foundation")</f>
        <v>18</v>
      </c>
      <c r="N29" s="136">
        <v>46078.0</v>
      </c>
      <c r="O29" s="41">
        <f>sumifs(raw_data!$E:$E,raw_data!$A:$A,N29,raw_data!C:C,$O$1)</f>
        <v>14</v>
      </c>
      <c r="P29" s="41">
        <f>sumifs(raw_data!$E:$E,raw_data!$A:$A,N29,raw_data!$D:$D,"Primary_Walkin",raw_data!$C:$C,$O$1)</f>
        <v>13</v>
      </c>
      <c r="Q29" s="41">
        <f>sumifs(raw_data!$E:$E,raw_data!$A:$A,N29,raw_data!$D:$D,"Secondary_Walkin",raw_data!$C:$C,$O$1)</f>
        <v>1</v>
      </c>
      <c r="R29" s="41">
        <f>sumifs(raw_data!$Z:$Z,raw_data!$T:$T,N29,raw_data!$U:$U,"Telephony",raw_data!$Y:$Y,$O$1)</f>
        <v>19</v>
      </c>
      <c r="S29" s="41">
        <f>sumifs(raw_data!$Z:$Z,raw_data!$T:$T,N29,raw_data!$U:$U,"Paid Ads",raw_data!$Y:$Y,$O$1)</f>
        <v>0</v>
      </c>
      <c r="T29" s="41">
        <f>sumifs(raw_data!$M:$M,raw_data!$K:$K,N29,raw_data!$N:$N,$O$1) </f>
        <v>0</v>
      </c>
      <c r="U29" s="41"/>
      <c r="V29" s="41">
        <f>sumifs(raw_data!$E:$E,raw_data!$A:$A,N29,raw_data!$G:$G,"GS Foundation",raw_data!C:C,$O$1)</f>
        <v>11</v>
      </c>
      <c r="W29" s="41">
        <f>sumifs(raw_data!$E:$E,raw_data!$A:$A,N29,raw_data!C:C,$O$1) - sumifs(raw_data!$E:$E,raw_data!$A:$A,N29,raw_data!$G:$G,"GS Foundation",raw_data!C:C,$O$1)</f>
        <v>3</v>
      </c>
    </row>
    <row r="30">
      <c r="A30" s="136">
        <v>46079.0</v>
      </c>
      <c r="B30" s="41">
        <f>sumifs(raw_data!$E:$E,raw_data!$A:$A,A30)</f>
        <v>58</v>
      </c>
      <c r="C30" s="41">
        <f>sumifs(raw_data!$E:$E,raw_data!$A:$A,A30,raw_data!$D:$D,"Primary_Walkin")</f>
        <v>53</v>
      </c>
      <c r="D30" s="41">
        <f>sumifs(raw_data!$E:$E,raw_data!$A:$A,A30,raw_data!$D:$D,"Secondary_Walkin")</f>
        <v>5</v>
      </c>
      <c r="E30" s="41">
        <f>sumifs(raw_data!$Z:$Z,raw_data!$T:$T,A30,raw_data!$U:$U,"Telephony")</f>
        <v>29</v>
      </c>
      <c r="F30" s="41">
        <f>sumifs(raw_data!$Z:$Z,raw_data!$T:$T,A30,raw_data!$U:$U,"Paid Ads")</f>
        <v>0</v>
      </c>
      <c r="G30" s="41">
        <f>sumifs(raw_data!$M:$M,raw_data!$K:$K,A30,raw_data!$N:$N,"Delhi") + sumifs(raw_data!$M:$M,raw_data!$K:$K,A30,raw_data!$N:$N,"Lucknow") + sumifs(raw_data!$M:$M,raw_data!$K:$K,A30,raw_data!$N:$N,"Prayagraj") + sumifs(raw_data!$M:$M,raw_data!$K:$K,A30,raw_data!$N:$N,"Patna") + sumifs(raw_data!$M:$M,raw_data!$K:$K,A30,raw_data!$N:$N,"Indore")</f>
        <v>0</v>
      </c>
      <c r="H30" s="41"/>
      <c r="I30" s="41">
        <f>sumifs(raw_data!$E:$E,raw_data!$A:$A,A30,raw_data!$G:$G,"GS Foundation")</f>
        <v>33</v>
      </c>
      <c r="J30" s="41">
        <f>sumifs(raw_data!$E:$E,raw_data!$A:$A,A30) - sumifs(raw_data!$E:$E,raw_data!$A:$A,A30,raw_data!$G:$G,"GS Foundation")</f>
        <v>25</v>
      </c>
      <c r="N30" s="136">
        <v>46079.0</v>
      </c>
      <c r="O30" s="41">
        <f>sumifs(raw_data!$E:$E,raw_data!$A:$A,N30,raw_data!C:C,$O$1)</f>
        <v>21</v>
      </c>
      <c r="P30" s="41">
        <f>sumifs(raw_data!$E:$E,raw_data!$A:$A,N30,raw_data!$D:$D,"Primary_Walkin",raw_data!$C:$C,$O$1)</f>
        <v>18</v>
      </c>
      <c r="Q30" s="41">
        <f>sumifs(raw_data!$E:$E,raw_data!$A:$A,N30,raw_data!$D:$D,"Secondary_Walkin",raw_data!$C:$C,$O$1)</f>
        <v>3</v>
      </c>
      <c r="R30" s="41">
        <f>sumifs(raw_data!$Z:$Z,raw_data!$T:$T,N30,raw_data!$U:$U,"Telephony",raw_data!$Y:$Y,$O$1)</f>
        <v>14</v>
      </c>
      <c r="S30" s="41">
        <f>sumifs(raw_data!$Z:$Z,raw_data!$T:$T,N30,raw_data!$U:$U,"Paid Ads",raw_data!$Y:$Y,$O$1)</f>
        <v>0</v>
      </c>
      <c r="T30" s="41">
        <f>sumifs(raw_data!$M:$M,raw_data!$K:$K,N30,raw_data!$N:$N,$O$1) </f>
        <v>0</v>
      </c>
      <c r="U30" s="41"/>
      <c r="V30" s="41">
        <f>sumifs(raw_data!$E:$E,raw_data!$A:$A,N30,raw_data!$G:$G,"GS Foundation",raw_data!C:C,$O$1)</f>
        <v>18</v>
      </c>
      <c r="W30" s="41">
        <f>sumifs(raw_data!$E:$E,raw_data!$A:$A,N30,raw_data!C:C,$O$1) - sumifs(raw_data!$E:$E,raw_data!$A:$A,N30,raw_data!$G:$G,"GS Foundation",raw_data!C:C,$O$1)</f>
        <v>3</v>
      </c>
    </row>
    <row r="31">
      <c r="A31" s="136">
        <v>46080.0</v>
      </c>
      <c r="B31" s="41">
        <f>sumifs(raw_data!$E:$E,raw_data!$A:$A,A31)</f>
        <v>32</v>
      </c>
      <c r="C31" s="41">
        <f>sumifs(raw_data!$E:$E,raw_data!$A:$A,A31,raw_data!$D:$D,"Primary_Walkin")</f>
        <v>29</v>
      </c>
      <c r="D31" s="41">
        <f>sumifs(raw_data!$E:$E,raw_data!$A:$A,A31,raw_data!$D:$D,"Secondary_Walkin")</f>
        <v>3</v>
      </c>
      <c r="E31" s="41">
        <f>sumifs(raw_data!$Z:$Z,raw_data!$T:$T,A31,raw_data!$U:$U,"Telephony")</f>
        <v>25</v>
      </c>
      <c r="F31" s="41">
        <f>sumifs(raw_data!$Z:$Z,raw_data!$T:$T,A31,raw_data!$U:$U,"Paid Ads")</f>
        <v>0</v>
      </c>
      <c r="G31" s="41">
        <f>sumifs(raw_data!$M:$M,raw_data!$K:$K,A31,raw_data!$N:$N,"Delhi") + sumifs(raw_data!$M:$M,raw_data!$K:$K,A31,raw_data!$N:$N,"Lucknow") + sumifs(raw_data!$M:$M,raw_data!$K:$K,A31,raw_data!$N:$N,"Prayagraj") + sumifs(raw_data!$M:$M,raw_data!$K:$K,A31,raw_data!$N:$N,"Patna") + sumifs(raw_data!$M:$M,raw_data!$K:$K,A31,raw_data!$N:$N,"Indore")</f>
        <v>0</v>
      </c>
      <c r="H31" s="41"/>
      <c r="I31" s="41">
        <f>sumifs(raw_data!$E:$E,raw_data!$A:$A,A31,raw_data!$G:$G,"GS Foundation")</f>
        <v>18</v>
      </c>
      <c r="J31" s="41">
        <f>sumifs(raw_data!$E:$E,raw_data!$A:$A,A31) - sumifs(raw_data!$E:$E,raw_data!$A:$A,A31,raw_data!$G:$G,"GS Foundation")</f>
        <v>14</v>
      </c>
      <c r="N31" s="136">
        <v>46080.0</v>
      </c>
      <c r="O31" s="41">
        <f>sumifs(raw_data!$E:$E,raw_data!$A:$A,N31,raw_data!C:C,$O$1)</f>
        <v>14</v>
      </c>
      <c r="P31" s="41">
        <f>sumifs(raw_data!$E:$E,raw_data!$A:$A,N31,raw_data!$D:$D,"Primary_Walkin",raw_data!$C:$C,$O$1)</f>
        <v>13</v>
      </c>
      <c r="Q31" s="41">
        <f>sumifs(raw_data!$E:$E,raw_data!$A:$A,N31,raw_data!$D:$D,"Secondary_Walkin",raw_data!$C:$C,$O$1)</f>
        <v>1</v>
      </c>
      <c r="R31" s="41">
        <f>sumifs(raw_data!$Z:$Z,raw_data!$T:$T,N31,raw_data!$U:$U,"Telephony",raw_data!$Y:$Y,$O$1)</f>
        <v>15</v>
      </c>
      <c r="S31" s="41">
        <f>sumifs(raw_data!$Z:$Z,raw_data!$T:$T,N31,raw_data!$U:$U,"Paid Ads",raw_data!$Y:$Y,$O$1)</f>
        <v>0</v>
      </c>
      <c r="T31" s="41">
        <f>sumifs(raw_data!$M:$M,raw_data!$K:$K,N31,raw_data!$N:$N,$O$1) </f>
        <v>0</v>
      </c>
      <c r="U31" s="41"/>
      <c r="V31" s="41">
        <f>sumifs(raw_data!$E:$E,raw_data!$A:$A,N31,raw_data!$G:$G,"GS Foundation",raw_data!C:C,$O$1)</f>
        <v>13</v>
      </c>
      <c r="W31" s="41">
        <f>sumifs(raw_data!$E:$E,raw_data!$A:$A,N31,raw_data!C:C,$O$1) - sumifs(raw_data!$E:$E,raw_data!$A:$A,N31,raw_data!$G:$G,"GS Foundation",raw_data!C:C,$O$1)</f>
        <v>1</v>
      </c>
    </row>
    <row r="32">
      <c r="A32" s="136">
        <v>46081.0</v>
      </c>
      <c r="B32" s="41">
        <f>sumifs(raw_data!$E:$E,raw_data!$A:$A,A32)</f>
        <v>35</v>
      </c>
      <c r="C32" s="41">
        <f>sumifs(raw_data!$E:$E,raw_data!$A:$A,A32,raw_data!$D:$D,"Primary_Walkin")</f>
        <v>32</v>
      </c>
      <c r="D32" s="41">
        <f>sumifs(raw_data!$E:$E,raw_data!$A:$A,A32,raw_data!$D:$D,"Secondary_Walkin")</f>
        <v>3</v>
      </c>
      <c r="E32" s="41">
        <f>sumifs(raw_data!$Z:$Z,raw_data!$T:$T,A32,raw_data!$U:$U,"Telephony")</f>
        <v>28</v>
      </c>
      <c r="F32" s="41">
        <f>sumifs(raw_data!$Z:$Z,raw_data!$T:$T,A32,raw_data!$U:$U,"Paid Ads")</f>
        <v>0</v>
      </c>
      <c r="G32" s="41">
        <f>sumifs(raw_data!$M:$M,raw_data!$K:$K,A32,raw_data!$N:$N,"Delhi") + sumifs(raw_data!$M:$M,raw_data!$K:$K,A32,raw_data!$N:$N,"Lucknow") + sumifs(raw_data!$M:$M,raw_data!$K:$K,A32,raw_data!$N:$N,"Prayagraj") + sumifs(raw_data!$M:$M,raw_data!$K:$K,A32,raw_data!$N:$N,"Patna") + sumifs(raw_data!$M:$M,raw_data!$K:$K,A32,raw_data!$N:$N,"Indore")</f>
        <v>0</v>
      </c>
      <c r="H32" s="41"/>
      <c r="I32" s="41">
        <f>sumifs(raw_data!$E:$E,raw_data!$A:$A,A32,raw_data!$G:$G,"GS Foundation")</f>
        <v>23</v>
      </c>
      <c r="J32" s="41">
        <f>sumifs(raw_data!$E:$E,raw_data!$A:$A,A32) - sumifs(raw_data!$E:$E,raw_data!$A:$A,A32,raw_data!$G:$G,"GS Foundation")</f>
        <v>12</v>
      </c>
      <c r="N32" s="136">
        <v>46081.0</v>
      </c>
      <c r="O32" s="41">
        <f>sumifs(raw_data!$E:$E,raw_data!$A:$A,N32,raw_data!C:C,$O$1)</f>
        <v>16</v>
      </c>
      <c r="P32" s="41">
        <f>sumifs(raw_data!$E:$E,raw_data!$A:$A,N32,raw_data!$D:$D,"Primary_Walkin",raw_data!$C:$C,$O$1)</f>
        <v>15</v>
      </c>
      <c r="Q32" s="41">
        <f>sumifs(raw_data!$E:$E,raw_data!$A:$A,N32,raw_data!$D:$D,"Secondary_Walkin",raw_data!$C:$C,$O$1)</f>
        <v>1</v>
      </c>
      <c r="R32" s="41">
        <f>sumifs(raw_data!$Z:$Z,raw_data!$T:$T,N32,raw_data!$U:$U,"Telephony",raw_data!$Y:$Y,$O$1)</f>
        <v>18</v>
      </c>
      <c r="S32" s="41">
        <f>sumifs(raw_data!$Z:$Z,raw_data!$T:$T,N32,raw_data!$U:$U,"Paid Ads",raw_data!$Y:$Y,$O$1)</f>
        <v>0</v>
      </c>
      <c r="T32" s="41">
        <f>sumifs(raw_data!$M:$M,raw_data!$K:$K,N32,raw_data!$N:$N,$O$1) </f>
        <v>0</v>
      </c>
      <c r="U32" s="41"/>
      <c r="V32" s="41">
        <f>sumifs(raw_data!$E:$E,raw_data!$A:$A,N32,raw_data!$G:$G,"GS Foundation",raw_data!C:C,$O$1)</f>
        <v>14</v>
      </c>
      <c r="W32" s="41">
        <f>sumifs(raw_data!$E:$E,raw_data!$A:$A,N32,raw_data!C:C,$O$1) - sumifs(raw_data!$E:$E,raw_data!$A:$A,N32,raw_data!$G:$G,"GS Foundation",raw_data!C:C,$O$1)</f>
        <v>2</v>
      </c>
    </row>
    <row r="33">
      <c r="A33" s="136"/>
      <c r="B33" s="41"/>
      <c r="C33" s="41"/>
      <c r="D33" s="41"/>
      <c r="E33" s="41"/>
      <c r="F33" s="41"/>
      <c r="G33" s="41"/>
      <c r="H33" s="41"/>
      <c r="I33" s="70"/>
      <c r="J33" s="70"/>
      <c r="N33" s="136"/>
      <c r="O33" s="41"/>
      <c r="P33" s="41"/>
      <c r="Q33" s="41"/>
      <c r="R33" s="41"/>
      <c r="S33" s="41"/>
      <c r="T33" s="41"/>
      <c r="U33" s="41"/>
      <c r="V33" s="70"/>
      <c r="W33" s="70"/>
    </row>
    <row r="34">
      <c r="A34" s="70"/>
      <c r="B34" s="41"/>
      <c r="C34" s="41"/>
      <c r="D34" s="41"/>
      <c r="E34" s="41"/>
      <c r="F34" s="41"/>
      <c r="G34" s="41"/>
      <c r="H34" s="41"/>
      <c r="I34" s="70"/>
      <c r="J34" s="70"/>
      <c r="N34" s="70"/>
      <c r="O34" s="41"/>
      <c r="P34" s="41"/>
      <c r="Q34" s="41"/>
      <c r="R34" s="41"/>
      <c r="S34" s="41"/>
      <c r="T34" s="41"/>
      <c r="U34" s="41"/>
      <c r="V34" s="70"/>
      <c r="W34" s="70"/>
    </row>
    <row r="35">
      <c r="A35" s="70"/>
      <c r="B35" s="41"/>
      <c r="C35" s="41"/>
      <c r="D35" s="41"/>
      <c r="E35" s="41"/>
      <c r="F35" s="41"/>
      <c r="G35" s="41"/>
      <c r="H35" s="41"/>
      <c r="I35" s="70"/>
      <c r="J35" s="70"/>
      <c r="N35" s="70"/>
      <c r="O35" s="41"/>
      <c r="P35" s="41"/>
      <c r="Q35" s="41"/>
      <c r="R35" s="41"/>
      <c r="S35" s="41"/>
      <c r="T35" s="41"/>
      <c r="U35" s="41"/>
      <c r="V35" s="70"/>
      <c r="W35" s="70"/>
    </row>
    <row r="36">
      <c r="A36" s="135" t="s">
        <v>46</v>
      </c>
      <c r="B36" s="150">
        <f t="shared" ref="B36:J36" si="1">sum(B5:B32)</f>
        <v>1463</v>
      </c>
      <c r="C36" s="150">
        <f t="shared" si="1"/>
        <v>1335</v>
      </c>
      <c r="D36" s="150">
        <f t="shared" si="1"/>
        <v>128</v>
      </c>
      <c r="E36" s="150">
        <f t="shared" si="1"/>
        <v>497</v>
      </c>
      <c r="F36" s="150">
        <f t="shared" si="1"/>
        <v>255</v>
      </c>
      <c r="G36" s="150">
        <f t="shared" si="1"/>
        <v>0</v>
      </c>
      <c r="H36" s="150">
        <f t="shared" si="1"/>
        <v>0</v>
      </c>
      <c r="I36" s="150">
        <f t="shared" si="1"/>
        <v>843</v>
      </c>
      <c r="J36" s="150">
        <f t="shared" si="1"/>
        <v>620</v>
      </c>
      <c r="N36" s="135" t="s">
        <v>46</v>
      </c>
      <c r="O36" s="150">
        <f t="shared" ref="O36:W36" si="2">sum(O5:O32)</f>
        <v>497</v>
      </c>
      <c r="P36" s="150">
        <f t="shared" si="2"/>
        <v>450</v>
      </c>
      <c r="Q36" s="150">
        <f t="shared" si="2"/>
        <v>47</v>
      </c>
      <c r="R36" s="150">
        <f t="shared" si="2"/>
        <v>90</v>
      </c>
      <c r="S36" s="150">
        <f t="shared" si="2"/>
        <v>65</v>
      </c>
      <c r="T36" s="150">
        <f t="shared" si="2"/>
        <v>0</v>
      </c>
      <c r="U36" s="150">
        <f t="shared" si="2"/>
        <v>0</v>
      </c>
      <c r="V36" s="150">
        <f t="shared" si="2"/>
        <v>432</v>
      </c>
      <c r="W36" s="150">
        <f t="shared" si="2"/>
        <v>65</v>
      </c>
    </row>
  </sheetData>
  <mergeCells count="2">
    <mergeCell ref="I2:J2"/>
    <mergeCell ref="V2:W2"/>
  </mergeCells>
  <dataValidations>
    <dataValidation type="list" allowBlank="1" showErrorMessage="1" sqref="O1">
      <formula1>"Delhi,Prayagraj,Lucknow,Patna,Indore"</formula1>
    </dataValidation>
  </dataValidations>
  <drawing r:id="rId1"/>
</worksheet>
</file>